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xr:revisionPtr revIDLastSave="5914" documentId="13_ncr:1_{7FB411D6-282B-4809-89E9-DD91A8EC4CA3}" xr6:coauthVersionLast="47" xr6:coauthVersionMax="47" xr10:uidLastSave="{BFBED8CF-68B3-45A9-A870-2A2B55177E5D}"/>
  <bookViews>
    <workbookView xWindow="1390" yWindow="640" windowWidth="13720" windowHeight="10880" tabRatio="740" firstSheet="37" activeTab="40" xr2:uid="{00000000-000D-0000-FFFF-FFFF00000000}"/>
  </bookViews>
  <sheets>
    <sheet name="1809" sheetId="26" r:id="rId1"/>
    <sheet name="1810" sheetId="27" r:id="rId2"/>
    <sheet name="1811" sheetId="30" r:id="rId3"/>
    <sheet name="1812" sheetId="31" r:id="rId4"/>
    <sheet name="1901" sheetId="32" r:id="rId5"/>
    <sheet name="1902" sheetId="36" r:id="rId6"/>
    <sheet name="1903" sheetId="38" r:id="rId7"/>
    <sheet name="1904" sheetId="39" r:id="rId8"/>
    <sheet name="1905" sheetId="40" r:id="rId9"/>
    <sheet name="1906" sheetId="13" r:id="rId10"/>
    <sheet name="1907" sheetId="14" r:id="rId11"/>
    <sheet name="1908" sheetId="16" r:id="rId12"/>
    <sheet name="1909" sheetId="17" r:id="rId13"/>
    <sheet name="1910" sheetId="18" r:id="rId14"/>
    <sheet name="1911" sheetId="20" r:id="rId15"/>
    <sheet name="1912" sheetId="21" r:id="rId16"/>
    <sheet name="2001" sheetId="22" r:id="rId17"/>
    <sheet name="2002" sheetId="23" r:id="rId18"/>
    <sheet name="2003" sheetId="24" r:id="rId19"/>
    <sheet name="2004" sheetId="42" r:id="rId20"/>
    <sheet name="2005" sheetId="44" r:id="rId21"/>
    <sheet name="2006" sheetId="45" r:id="rId22"/>
    <sheet name="2007" sheetId="49" r:id="rId23"/>
    <sheet name="2008" sheetId="48" r:id="rId24"/>
    <sheet name="2009" sheetId="50" r:id="rId25"/>
    <sheet name="2010" sheetId="51" r:id="rId26"/>
    <sheet name="2011" sheetId="52" r:id="rId27"/>
    <sheet name="2012" sheetId="54" r:id="rId28"/>
    <sheet name="2101" sheetId="53" r:id="rId29"/>
    <sheet name="2102" sheetId="55" r:id="rId30"/>
    <sheet name="2103" sheetId="56" r:id="rId31"/>
    <sheet name="2104" sheetId="58" r:id="rId32"/>
    <sheet name="2105" sheetId="61" r:id="rId33"/>
    <sheet name="2106" sheetId="60" r:id="rId34"/>
    <sheet name="2107" sheetId="59" r:id="rId35"/>
    <sheet name="2108" sheetId="62" r:id="rId36"/>
    <sheet name="2109" sheetId="63" r:id="rId37"/>
    <sheet name="2110" sheetId="64" r:id="rId38"/>
    <sheet name="2111" sheetId="65" r:id="rId39"/>
    <sheet name="テンプレ" sheetId="15" r:id="rId40"/>
    <sheet name="宝船玉手箱SR" sheetId="43" r:id="rId41"/>
    <sheet name="5進化隊士SSR" sheetId="57" r:id="rId42"/>
    <sheet name="復活ZRチケ" sheetId="41"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6" i="56" l="1"/>
  <c r="E458" i="55" l="1"/>
  <c r="E297" i="55"/>
  <c r="E6" i="55" l="1"/>
  <c r="E326" i="53" l="1"/>
  <c r="E6" i="53" l="1"/>
  <c r="E486" i="62" l="1"/>
  <c r="E485" i="62"/>
  <c r="E484" i="62"/>
  <c r="E483" i="62"/>
  <c r="E482" i="62"/>
  <c r="E481" i="62"/>
  <c r="E480" i="62"/>
  <c r="E479" i="62"/>
  <c r="E478" i="62"/>
  <c r="E477" i="62"/>
  <c r="E476" i="62"/>
  <c r="E471" i="62"/>
  <c r="E470" i="62"/>
  <c r="E469" i="62"/>
  <c r="E468" i="62"/>
  <c r="E464" i="62"/>
  <c r="E458" i="62"/>
  <c r="E459" i="62"/>
  <c r="E462" i="62"/>
  <c r="E463" i="62"/>
  <c r="E461" i="62"/>
  <c r="E460" i="62"/>
  <c r="E320" i="62"/>
  <c r="E319" i="62"/>
  <c r="E318" i="62"/>
  <c r="E317" i="62"/>
  <c r="E316" i="62"/>
  <c r="E315" i="62"/>
  <c r="E314" i="62"/>
  <c r="E309" i="62"/>
  <c r="E308" i="62"/>
  <c r="E307" i="62"/>
  <c r="E306" i="62"/>
  <c r="E302" i="62"/>
  <c r="E301" i="62"/>
  <c r="E300" i="62"/>
  <c r="E299" i="62"/>
  <c r="E298" i="62"/>
  <c r="E297" i="62"/>
  <c r="E296" i="62"/>
  <c r="E280" i="59" l="1"/>
  <c r="E279" i="59"/>
  <c r="E278" i="59"/>
  <c r="E277" i="59"/>
  <c r="E276" i="59"/>
  <c r="E275" i="59"/>
  <c r="E274" i="59"/>
  <c r="E284" i="59"/>
  <c r="E287" i="59" l="1"/>
  <c r="E286" i="59"/>
  <c r="E285" i="59"/>
  <c r="E298" i="59"/>
  <c r="E297" i="59"/>
  <c r="E296" i="59"/>
  <c r="E295" i="59"/>
  <c r="E294" i="59"/>
  <c r="E293" i="59"/>
  <c r="E292" i="59"/>
  <c r="E6" i="59"/>
  <c r="E433" i="59"/>
  <c r="E292" i="60"/>
  <c r="E291" i="60"/>
  <c r="E290" i="60"/>
  <c r="E289" i="60"/>
  <c r="E288" i="60"/>
  <c r="E287" i="60"/>
  <c r="E286" i="60"/>
  <c r="E278" i="60" l="1"/>
  <c r="E277" i="60"/>
  <c r="E276" i="60"/>
  <c r="E281" i="60"/>
  <c r="E280" i="60"/>
  <c r="E279" i="60"/>
  <c r="E272" i="60" l="1"/>
  <c r="E271" i="60"/>
  <c r="E270" i="60"/>
  <c r="E287" i="61"/>
  <c r="E286" i="61"/>
  <c r="E285" i="61"/>
  <c r="E284" i="61"/>
  <c r="E283" i="61"/>
  <c r="E282" i="61"/>
  <c r="E281" i="61"/>
  <c r="E276" i="61" l="1"/>
  <c r="E275" i="61"/>
  <c r="E274" i="61"/>
  <c r="E273" i="61"/>
  <c r="E272" i="61"/>
  <c r="E271" i="61"/>
  <c r="E267" i="61"/>
  <c r="E266" i="61"/>
  <c r="E265" i="61"/>
  <c r="E6" i="61"/>
  <c r="E469" i="58"/>
  <c r="E6" i="58"/>
  <c r="E444" i="56"/>
  <c r="E306" i="56"/>
  <c r="E439" i="53"/>
  <c r="E608" i="65" l="1"/>
  <c r="E607" i="65"/>
  <c r="E609" i="65"/>
  <c r="E606" i="65"/>
  <c r="E605" i="65"/>
  <c r="E604" i="65"/>
  <c r="E600" i="65"/>
  <c r="E599" i="65"/>
  <c r="E598" i="65"/>
  <c r="E597" i="65"/>
  <c r="E596" i="65"/>
  <c r="E595" i="65"/>
  <c r="E608" i="64"/>
  <c r="E607" i="64"/>
  <c r="E606" i="64"/>
  <c r="E605" i="64"/>
  <c r="E604" i="64"/>
  <c r="E609" i="64"/>
  <c r="E600" i="64"/>
  <c r="E599" i="64"/>
  <c r="E598" i="64"/>
  <c r="E597" i="64"/>
  <c r="E595" i="64"/>
  <c r="E596" i="64"/>
  <c r="E197" i="61"/>
  <c r="E196" i="61"/>
  <c r="E195" i="61"/>
  <c r="E194" i="61"/>
  <c r="E187" i="61"/>
  <c r="E186" i="61"/>
  <c r="E185" i="61"/>
  <c r="E184" i="61"/>
  <c r="E190" i="61"/>
  <c r="E189" i="61"/>
  <c r="E188" i="61"/>
  <c r="E293" i="65"/>
  <c r="E292" i="65"/>
  <c r="E291" i="65"/>
  <c r="E290" i="65"/>
  <c r="E289" i="65"/>
  <c r="E288" i="65"/>
  <c r="E287" i="65"/>
  <c r="E286" i="65"/>
  <c r="E282" i="65"/>
  <c r="E281" i="65"/>
  <c r="E280" i="65"/>
  <c r="E279" i="65"/>
  <c r="E275" i="65"/>
  <c r="E274" i="65"/>
  <c r="E273" i="65"/>
  <c r="E265" i="65"/>
  <c r="E272" i="65"/>
  <c r="E271" i="65"/>
  <c r="E270" i="65"/>
  <c r="E269" i="65"/>
  <c r="E251" i="65"/>
  <c r="E250" i="65"/>
  <c r="E249" i="65"/>
  <c r="E264" i="65"/>
  <c r="E263" i="65"/>
  <c r="E262" i="65"/>
  <c r="E261" i="65"/>
  <c r="E260" i="65"/>
  <c r="E259" i="65"/>
  <c r="E258" i="65"/>
  <c r="E254" i="65"/>
  <c r="E253" i="65"/>
  <c r="E252" i="65"/>
  <c r="E248" i="65"/>
  <c r="E247" i="65"/>
  <c r="E246" i="65"/>
  <c r="E239" i="65" l="1"/>
  <c r="E238" i="65"/>
  <c r="E237" i="65"/>
  <c r="E242" i="65"/>
  <c r="E241" i="65"/>
  <c r="E240" i="65"/>
  <c r="E233" i="65"/>
  <c r="E232" i="65"/>
  <c r="E231" i="65"/>
  <c r="E230" i="65"/>
  <c r="E226" i="65"/>
  <c r="E225" i="65"/>
  <c r="E224" i="65"/>
  <c r="E223" i="65"/>
  <c r="E222" i="65"/>
  <c r="E221" i="65"/>
  <c r="E220" i="65"/>
  <c r="E180" i="61" l="1"/>
  <c r="E179" i="61"/>
  <c r="E178" i="61"/>
  <c r="E177" i="61"/>
  <c r="E173" i="61"/>
  <c r="E172" i="61" l="1"/>
  <c r="E171" i="61"/>
  <c r="E216" i="65"/>
  <c r="E215" i="65"/>
  <c r="E214" i="65"/>
  <c r="E213" i="65"/>
  <c r="E212" i="65"/>
  <c r="E211" i="65"/>
  <c r="E210" i="65"/>
  <c r="E209" i="65"/>
  <c r="E208" i="65"/>
  <c r="E203" i="65"/>
  <c r="E202" i="65" l="1"/>
  <c r="E201" i="65"/>
  <c r="E326" i="61" l="1"/>
  <c r="E325" i="61"/>
  <c r="E324" i="61"/>
  <c r="E323" i="61"/>
  <c r="E322" i="61"/>
  <c r="E321" i="61"/>
  <c r="E320" i="61"/>
  <c r="E318" i="61"/>
  <c r="E319" i="61"/>
  <c r="E302" i="61" l="1"/>
  <c r="E301" i="61"/>
  <c r="E300" i="61"/>
  <c r="E299" i="61"/>
  <c r="E236" i="61"/>
  <c r="E235" i="61"/>
  <c r="E234" i="61"/>
  <c r="E233" i="61"/>
  <c r="E214" i="61" l="1"/>
  <c r="E213" i="61"/>
  <c r="E212" i="61"/>
  <c r="E194" i="58"/>
  <c r="E218" i="61"/>
  <c r="E217" i="61"/>
  <c r="E216" i="61"/>
  <c r="E215" i="61"/>
  <c r="E197" i="65"/>
  <c r="E196" i="65"/>
  <c r="E195" i="65"/>
  <c r="E194" i="65"/>
  <c r="E193" i="65"/>
  <c r="E192" i="65"/>
  <c r="E188" i="65"/>
  <c r="E187" i="65"/>
  <c r="E186" i="65"/>
  <c r="E185" i="65"/>
  <c r="E184" i="65"/>
  <c r="E183" i="65"/>
  <c r="E164" i="65" l="1"/>
  <c r="E163" i="65"/>
  <c r="E162" i="65"/>
  <c r="E178" i="65"/>
  <c r="E177" i="65"/>
  <c r="E176" i="65"/>
  <c r="E175" i="65"/>
  <c r="E174" i="65"/>
  <c r="E173" i="65"/>
  <c r="E172" i="65"/>
  <c r="E171" i="65"/>
  <c r="E167" i="65"/>
  <c r="E166" i="65"/>
  <c r="E165" i="65"/>
  <c r="E161" i="65"/>
  <c r="E160" i="65"/>
  <c r="E159" i="65"/>
  <c r="E34" i="64"/>
  <c r="E32" i="64"/>
  <c r="E151" i="61"/>
  <c r="E156" i="61"/>
  <c r="E155" i="61"/>
  <c r="E154" i="61"/>
  <c r="E153" i="61"/>
  <c r="E152" i="61"/>
  <c r="E160" i="61"/>
  <c r="E135" i="61"/>
  <c r="E134" i="61"/>
  <c r="E133" i="61"/>
  <c r="E132" i="61"/>
  <c r="E131" i="61"/>
  <c r="E130" i="61"/>
  <c r="E129" i="61"/>
  <c r="E128" i="61"/>
  <c r="E127" i="61"/>
  <c r="E109" i="61" l="1"/>
  <c r="E118" i="61"/>
  <c r="E117" i="61"/>
  <c r="E116" i="61"/>
  <c r="E121" i="61"/>
  <c r="E120" i="61"/>
  <c r="E119" i="61"/>
  <c r="E115" i="61"/>
  <c r="E114" i="61"/>
  <c r="E113" i="61"/>
  <c r="E108" i="61"/>
  <c r="E107" i="61"/>
  <c r="E106" i="61"/>
  <c r="E102" i="61"/>
  <c r="E101" i="61"/>
  <c r="E100" i="61"/>
  <c r="E99" i="61"/>
  <c r="E98" i="61"/>
  <c r="E97" i="61"/>
  <c r="E96" i="61"/>
  <c r="E95" i="61"/>
  <c r="E94" i="61"/>
  <c r="E89" i="61"/>
  <c r="E85" i="61" l="1"/>
  <c r="E84" i="61"/>
  <c r="E83" i="61"/>
  <c r="E88" i="61"/>
  <c r="E87" i="61"/>
  <c r="E86" i="61"/>
  <c r="E72" i="61"/>
  <c r="E71" i="61"/>
  <c r="E70" i="61"/>
  <c r="E69" i="61"/>
  <c r="E68" i="61"/>
  <c r="E76" i="61"/>
  <c r="E77" i="61"/>
  <c r="E79" i="61"/>
  <c r="E78" i="61"/>
  <c r="E137" i="65"/>
  <c r="E136" i="65"/>
  <c r="E135" i="65"/>
  <c r="E134" i="65"/>
  <c r="E141" i="65"/>
  <c r="E144" i="65"/>
  <c r="E143" i="65"/>
  <c r="E142" i="65"/>
  <c r="E148" i="65"/>
  <c r="E155" i="65" l="1"/>
  <c r="E154" i="65"/>
  <c r="E153" i="65"/>
  <c r="E152" i="65"/>
  <c r="E151" i="65"/>
  <c r="E150" i="65"/>
  <c r="E149" i="65"/>
  <c r="E513" i="61"/>
  <c r="E512" i="61"/>
  <c r="E511" i="61"/>
  <c r="E507" i="61"/>
  <c r="E515" i="61" l="1"/>
  <c r="E514" i="61"/>
  <c r="E516" i="61"/>
  <c r="E505" i="61"/>
  <c r="E504" i="61"/>
  <c r="E503" i="61"/>
  <c r="E502" i="61"/>
  <c r="E501" i="61"/>
  <c r="E506" i="61" l="1"/>
  <c r="E497" i="61"/>
  <c r="E495" i="61"/>
  <c r="E494" i="61"/>
  <c r="E496" i="61"/>
  <c r="E490" i="61"/>
  <c r="E489" i="61"/>
  <c r="E488" i="61"/>
  <c r="E487" i="61"/>
  <c r="E477" i="61"/>
  <c r="E476" i="61"/>
  <c r="E475" i="61"/>
  <c r="E479" i="61"/>
  <c r="E480" i="61" l="1"/>
  <c r="E478" i="61"/>
  <c r="E483" i="61" l="1"/>
  <c r="E482" i="61"/>
  <c r="E481" i="61"/>
  <c r="E471" i="61"/>
  <c r="E470" i="61"/>
  <c r="E469" i="61"/>
  <c r="E468" i="61"/>
  <c r="E467" i="61"/>
  <c r="E466" i="61"/>
  <c r="E450" i="61" l="1"/>
  <c r="E449" i="61"/>
  <c r="E448" i="61"/>
  <c r="E447" i="61"/>
  <c r="E446" i="61"/>
  <c r="E445" i="61"/>
  <c r="E444" i="61"/>
  <c r="E443" i="61"/>
  <c r="E442" i="61"/>
  <c r="E529" i="61"/>
  <c r="E528" i="61"/>
  <c r="E527" i="61"/>
  <c r="E526" i="61"/>
  <c r="E525" i="61"/>
  <c r="E524" i="61"/>
  <c r="E523" i="61"/>
  <c r="E522" i="61" l="1"/>
  <c r="E521" i="61"/>
  <c r="E559" i="61"/>
  <c r="E558" i="61"/>
  <c r="E557" i="61"/>
  <c r="E556" i="61"/>
  <c r="E555" i="61"/>
  <c r="E554" i="61"/>
  <c r="E550" i="61"/>
  <c r="E546" i="61"/>
  <c r="E545" i="61"/>
  <c r="E544" i="61"/>
  <c r="E547" i="61"/>
  <c r="E549" i="61"/>
  <c r="E548" i="61"/>
  <c r="E130" i="65"/>
  <c r="E129" i="65"/>
  <c r="E127" i="65"/>
  <c r="E128" i="65"/>
  <c r="E126" i="65"/>
  <c r="E125" i="65"/>
  <c r="E121" i="65"/>
  <c r="E119" i="65"/>
  <c r="E118" i="65"/>
  <c r="E116" i="65"/>
  <c r="E115" i="65"/>
  <c r="E120" i="65"/>
  <c r="E117" i="65"/>
  <c r="E114" i="65"/>
  <c r="E113" i="65"/>
  <c r="E107" i="65"/>
  <c r="E106" i="65"/>
  <c r="E105" i="65"/>
  <c r="E104" i="65"/>
  <c r="E102" i="65"/>
  <c r="E101" i="65"/>
  <c r="E103" i="65"/>
  <c r="E96" i="65" l="1"/>
  <c r="E95" i="65"/>
  <c r="E94" i="65"/>
  <c r="E93" i="65"/>
  <c r="E97" i="65"/>
  <c r="E92" i="65"/>
  <c r="E91" i="65"/>
  <c r="E90" i="65"/>
  <c r="E86" i="65"/>
  <c r="E85" i="65"/>
  <c r="E84" i="65"/>
  <c r="E83" i="65"/>
  <c r="E82" i="65"/>
  <c r="E81" i="65"/>
  <c r="E77" i="65"/>
  <c r="E76" i="65"/>
  <c r="E73" i="65"/>
  <c r="E75" i="65"/>
  <c r="E74" i="65"/>
  <c r="E68" i="65" l="1"/>
  <c r="E67" i="65"/>
  <c r="E66" i="65"/>
  <c r="E65" i="65"/>
  <c r="E64" i="65"/>
  <c r="E63" i="65"/>
  <c r="E60" i="65"/>
  <c r="E61" i="65"/>
  <c r="E62" i="65"/>
  <c r="E55" i="65"/>
  <c r="E54" i="65"/>
  <c r="E53" i="65"/>
  <c r="E52" i="65"/>
  <c r="E51" i="65"/>
  <c r="E50" i="65"/>
  <c r="E49" i="65"/>
  <c r="E48" i="65"/>
  <c r="E47" i="65"/>
  <c r="E43" i="65"/>
  <c r="E42" i="65"/>
  <c r="E40" i="65"/>
  <c r="E41" i="65"/>
  <c r="E29" i="65" l="1"/>
  <c r="E36" i="65" l="1"/>
  <c r="E35" i="65"/>
  <c r="E34" i="65"/>
  <c r="E33" i="65"/>
  <c r="E32" i="65"/>
  <c r="E31" i="65"/>
  <c r="E30" i="65"/>
  <c r="E28" i="65"/>
  <c r="E27" i="65"/>
  <c r="E26" i="65"/>
  <c r="E22" i="65"/>
  <c r="E21" i="65" l="1"/>
  <c r="E20" i="65"/>
  <c r="E16" i="65"/>
  <c r="E15" i="65"/>
  <c r="E14" i="65"/>
  <c r="E13" i="65"/>
  <c r="E12" i="65"/>
  <c r="E11" i="65"/>
  <c r="E10" i="65"/>
  <c r="E9" i="65"/>
  <c r="E8" i="65"/>
  <c r="E7" i="65"/>
  <c r="E6" i="65"/>
  <c r="E411" i="64" l="1"/>
  <c r="E410" i="64"/>
  <c r="E409" i="64"/>
  <c r="E408" i="64"/>
  <c r="E407" i="64"/>
  <c r="E406" i="64"/>
  <c r="E403" i="64"/>
  <c r="E383" i="58"/>
  <c r="E405" i="64"/>
  <c r="E404" i="64"/>
  <c r="E398" i="64" l="1"/>
  <c r="E397" i="64"/>
  <c r="E396" i="64"/>
  <c r="E395" i="64"/>
  <c r="E287" i="64"/>
  <c r="E286" i="64"/>
  <c r="E285" i="64"/>
  <c r="E284" i="64"/>
  <c r="E280" i="64"/>
  <c r="E276" i="64"/>
  <c r="E275" i="64"/>
  <c r="E274" i="64"/>
  <c r="E279" i="64"/>
  <c r="E278" i="64"/>
  <c r="E277" i="64"/>
  <c r="E369" i="64"/>
  <c r="E368" i="64"/>
  <c r="E367" i="64"/>
  <c r="E373" i="64"/>
  <c r="E372" i="64"/>
  <c r="E371" i="64"/>
  <c r="E370" i="64"/>
  <c r="E380" i="64" l="1"/>
  <c r="E379" i="64"/>
  <c r="E378" i="64"/>
  <c r="E377" i="64"/>
  <c r="E363" i="64"/>
  <c r="E362" i="64"/>
  <c r="E361" i="64"/>
  <c r="E360" i="64"/>
  <c r="E359" i="64"/>
  <c r="E358" i="64"/>
  <c r="E352" i="64"/>
  <c r="E357" i="64" l="1"/>
  <c r="E351" i="64" l="1"/>
  <c r="E350" i="64"/>
  <c r="E349" i="64"/>
  <c r="E348" i="64"/>
  <c r="E347" i="64"/>
  <c r="E343" i="64"/>
  <c r="E342" i="64"/>
  <c r="E341" i="64"/>
  <c r="E247" i="64" l="1"/>
  <c r="E246" i="64"/>
  <c r="E245" i="64"/>
  <c r="E244" i="64"/>
  <c r="E238" i="64"/>
  <c r="E237" i="64"/>
  <c r="E236" i="64"/>
  <c r="E235" i="64"/>
  <c r="E231" i="64"/>
  <c r="E228" i="64"/>
  <c r="E227" i="64"/>
  <c r="E226" i="64"/>
  <c r="E225" i="64"/>
  <c r="E243" i="64" l="1"/>
  <c r="E242" i="64"/>
  <c r="E230" i="64"/>
  <c r="E229" i="64"/>
  <c r="E193" i="64"/>
  <c r="E192" i="64"/>
  <c r="E191" i="64"/>
  <c r="E190" i="64"/>
  <c r="E189" i="64"/>
  <c r="E202" i="64"/>
  <c r="E201" i="64"/>
  <c r="E200" i="64"/>
  <c r="E198" i="64"/>
  <c r="E197" i="64"/>
  <c r="E199" i="64"/>
  <c r="E188" i="64"/>
  <c r="E167" i="64" l="1"/>
  <c r="E169" i="64"/>
  <c r="E168" i="64"/>
  <c r="E172" i="64"/>
  <c r="E171" i="64"/>
  <c r="E170" i="64"/>
  <c r="E166" i="64"/>
  <c r="E165" i="64"/>
  <c r="E164" i="64"/>
  <c r="E135" i="64"/>
  <c r="E134" i="64"/>
  <c r="E133" i="64"/>
  <c r="E132" i="64"/>
  <c r="E131" i="64"/>
  <c r="E130" i="64"/>
  <c r="E126" i="64"/>
  <c r="E125" i="64"/>
  <c r="E124" i="64"/>
  <c r="E123" i="64"/>
  <c r="E122" i="64"/>
  <c r="E121" i="64"/>
  <c r="E120" i="64"/>
  <c r="E119" i="64" l="1"/>
  <c r="E118" i="64"/>
  <c r="E112" i="64"/>
  <c r="E108" i="64"/>
  <c r="E107" i="64"/>
  <c r="E106" i="64"/>
  <c r="E109" i="64"/>
  <c r="E178" i="41"/>
  <c r="E177" i="41"/>
  <c r="E176" i="41"/>
  <c r="E175" i="41"/>
  <c r="E174" i="41"/>
  <c r="E173" i="41"/>
  <c r="E172" i="41"/>
  <c r="E171" i="41"/>
  <c r="E170" i="41"/>
  <c r="E169" i="41"/>
  <c r="E168" i="41"/>
  <c r="E167" i="41"/>
  <c r="E166" i="41"/>
  <c r="E165" i="41"/>
  <c r="E164" i="41"/>
  <c r="E163" i="41"/>
  <c r="E162" i="41"/>
  <c r="E161" i="41"/>
  <c r="E160" i="41"/>
  <c r="E159" i="41"/>
  <c r="E158" i="41"/>
  <c r="E157" i="41"/>
  <c r="E156" i="41"/>
  <c r="E155" i="41"/>
  <c r="E154" i="41"/>
  <c r="E153" i="41"/>
  <c r="E152" i="41"/>
  <c r="E151" i="41"/>
  <c r="E150" i="41"/>
  <c r="E149" i="41"/>
  <c r="E111" i="64"/>
  <c r="E110" i="64"/>
  <c r="E566" i="64"/>
  <c r="E565" i="64"/>
  <c r="E567" i="64"/>
  <c r="E558" i="64" l="1"/>
  <c r="E557" i="64"/>
  <c r="E556" i="64"/>
  <c r="E555" i="64"/>
  <c r="E570" i="64"/>
  <c r="E569" i="64"/>
  <c r="E568" i="64"/>
  <c r="E564" i="64"/>
  <c r="E563" i="64"/>
  <c r="E562" i="64"/>
  <c r="E46" i="64" l="1"/>
  <c r="E45" i="64"/>
  <c r="E44" i="64"/>
  <c r="E62" i="64"/>
  <c r="E61" i="64"/>
  <c r="E60" i="64"/>
  <c r="E59" i="64"/>
  <c r="E58" i="64"/>
  <c r="E57" i="64"/>
  <c r="E56" i="64"/>
  <c r="E55" i="64"/>
  <c r="E54" i="64"/>
  <c r="E49" i="64"/>
  <c r="E48" i="64"/>
  <c r="E47" i="64"/>
  <c r="E43" i="64"/>
  <c r="E42" i="64"/>
  <c r="E41" i="64"/>
  <c r="E36" i="64"/>
  <c r="E35" i="64"/>
  <c r="E31" i="64"/>
  <c r="E30" i="64"/>
  <c r="E29" i="64"/>
  <c r="E28" i="64"/>
  <c r="E27" i="64"/>
  <c r="E26" i="64"/>
  <c r="E22" i="64"/>
  <c r="E253" i="64"/>
  <c r="E252" i="64"/>
  <c r="E251" i="64"/>
  <c r="E254" i="64"/>
  <c r="E256" i="64"/>
  <c r="E255" i="64"/>
  <c r="E259" i="64"/>
  <c r="E258" i="64"/>
  <c r="E257" i="64"/>
  <c r="E82" i="64"/>
  <c r="E81" i="64"/>
  <c r="E80" i="64"/>
  <c r="E79" i="64"/>
  <c r="E88" i="64"/>
  <c r="E87" i="64"/>
  <c r="E86" i="64"/>
  <c r="E89" i="64"/>
  <c r="E90" i="64"/>
  <c r="E91" i="64"/>
  <c r="E78" i="64"/>
  <c r="E221" i="64" l="1"/>
  <c r="E220" i="64"/>
  <c r="E219" i="64"/>
  <c r="E218" i="64"/>
  <c r="E217" i="64"/>
  <c r="E216" i="64"/>
  <c r="E215" i="64"/>
  <c r="E214" i="64"/>
  <c r="E213" i="64"/>
  <c r="E208" i="64"/>
  <c r="E207" i="64"/>
  <c r="E206" i="64"/>
  <c r="E22" i="63"/>
  <c r="E21" i="63"/>
  <c r="E20" i="63"/>
  <c r="E38" i="63"/>
  <c r="E37" i="63"/>
  <c r="E36" i="63"/>
  <c r="E35" i="63"/>
  <c r="E34" i="63"/>
  <c r="E33" i="63"/>
  <c r="E32" i="63"/>
  <c r="E31" i="63"/>
  <c r="E30" i="63"/>
  <c r="E29" i="63"/>
  <c r="E28" i="63"/>
  <c r="E16" i="63"/>
  <c r="E15" i="63"/>
  <c r="E14" i="63"/>
  <c r="E13" i="63"/>
  <c r="E12" i="63"/>
  <c r="E11" i="63"/>
  <c r="E10" i="63"/>
  <c r="E9" i="63"/>
  <c r="E8" i="63"/>
  <c r="E7" i="63"/>
  <c r="E16" i="64"/>
  <c r="E15" i="64"/>
  <c r="E13" i="64"/>
  <c r="E14" i="64"/>
  <c r="E12" i="64"/>
  <c r="E11" i="64"/>
  <c r="E10" i="64"/>
  <c r="E9" i="64"/>
  <c r="E8" i="64"/>
  <c r="E7" i="64"/>
  <c r="E6" i="64"/>
  <c r="E21" i="64" l="1"/>
  <c r="E20" i="64"/>
  <c r="E73" i="64"/>
  <c r="E72" i="64"/>
  <c r="E71" i="64"/>
  <c r="E70" i="64"/>
  <c r="E69" i="64"/>
  <c r="E68" i="64"/>
  <c r="E67" i="64"/>
  <c r="E66" i="64"/>
  <c r="E102" i="64"/>
  <c r="E101" i="64"/>
  <c r="E100" i="64"/>
  <c r="E99" i="64"/>
  <c r="E98" i="64"/>
  <c r="E97" i="64"/>
  <c r="E96" i="64"/>
  <c r="E95" i="64"/>
  <c r="E183" i="64"/>
  <c r="E182" i="64"/>
  <c r="E181" i="64"/>
  <c r="E180" i="64"/>
  <c r="E179" i="64"/>
  <c r="E178" i="64"/>
  <c r="E177" i="64"/>
  <c r="E176" i="64"/>
  <c r="E270" i="64" l="1"/>
  <c r="E269" i="64"/>
  <c r="E268" i="64"/>
  <c r="E267" i="64"/>
  <c r="E266" i="64"/>
  <c r="E265" i="64"/>
  <c r="E264" i="64"/>
  <c r="E263" i="64"/>
  <c r="E298" i="64" l="1"/>
  <c r="E297" i="64"/>
  <c r="E296" i="64"/>
  <c r="E295" i="64"/>
  <c r="E294" i="64"/>
  <c r="E293" i="64"/>
  <c r="E292" i="64"/>
  <c r="E291" i="64"/>
  <c r="E391" i="64"/>
  <c r="E390" i="64"/>
  <c r="E389" i="64"/>
  <c r="E388" i="64"/>
  <c r="E387" i="64"/>
  <c r="E386" i="64"/>
  <c r="E385" i="64"/>
  <c r="E384" i="64"/>
  <c r="E422" i="64"/>
  <c r="E421" i="64"/>
  <c r="E420" i="64"/>
  <c r="E419" i="64"/>
  <c r="E418" i="64"/>
  <c r="E417" i="64"/>
  <c r="E416" i="64"/>
  <c r="E415" i="64"/>
  <c r="E493" i="64"/>
  <c r="E492" i="64"/>
  <c r="E491" i="64"/>
  <c r="E490" i="64"/>
  <c r="E489" i="64"/>
  <c r="E488" i="64"/>
  <c r="E487" i="64"/>
  <c r="E486" i="64"/>
  <c r="E522" i="64" l="1"/>
  <c r="E521" i="64"/>
  <c r="E520" i="64"/>
  <c r="E519" i="64"/>
  <c r="E518" i="64"/>
  <c r="E517" i="64"/>
  <c r="E516" i="64"/>
  <c r="E515" i="64"/>
  <c r="E208" i="62" l="1"/>
  <c r="E207" i="62"/>
  <c r="E206" i="62"/>
  <c r="E205" i="62"/>
  <c r="E204" i="62"/>
  <c r="E203" i="62"/>
  <c r="E202" i="62"/>
  <c r="E201" i="62"/>
  <c r="E173" i="62"/>
  <c r="E172" i="62"/>
  <c r="E171" i="62"/>
  <c r="E170" i="62"/>
  <c r="E169" i="62"/>
  <c r="E168" i="62"/>
  <c r="E167" i="62"/>
  <c r="E166" i="62"/>
  <c r="E425" i="61"/>
  <c r="E424" i="61"/>
  <c r="E423" i="61"/>
  <c r="E422" i="61"/>
  <c r="E418" i="58" l="1"/>
  <c r="E417" i="58"/>
  <c r="E416" i="58"/>
  <c r="E415" i="58"/>
  <c r="E414" i="58"/>
  <c r="E413" i="58"/>
  <c r="E412" i="58"/>
  <c r="E411" i="58"/>
  <c r="E410" i="58"/>
  <c r="E400" i="58" l="1"/>
  <c r="E399" i="58"/>
  <c r="E398" i="58"/>
  <c r="E401" i="58"/>
  <c r="E394" i="58"/>
  <c r="E404" i="58"/>
  <c r="E403" i="58"/>
  <c r="E402" i="58"/>
  <c r="E382" i="58"/>
  <c r="E381" i="58"/>
  <c r="E380" i="58"/>
  <c r="E379" i="58"/>
  <c r="E378" i="58"/>
  <c r="E377" i="58"/>
  <c r="E376" i="58"/>
  <c r="E375" i="58"/>
  <c r="E359" i="58" l="1"/>
  <c r="E358" i="58"/>
  <c r="E357" i="58"/>
  <c r="E356" i="58"/>
  <c r="E352" i="58"/>
  <c r="E351" i="58"/>
  <c r="E350" i="58"/>
  <c r="E349" i="58"/>
  <c r="E348" i="58"/>
  <c r="E347" i="58"/>
  <c r="E341" i="58"/>
  <c r="E346" i="58" l="1"/>
  <c r="E340" i="58"/>
  <c r="E339" i="58"/>
  <c r="E338" i="58"/>
  <c r="E334" i="58"/>
  <c r="E333" i="58"/>
  <c r="E332" i="58"/>
  <c r="E331" i="58"/>
  <c r="E330" i="58"/>
  <c r="E329" i="58"/>
  <c r="E328" i="58"/>
  <c r="E324" i="58"/>
  <c r="E323" i="58"/>
  <c r="E322" i="58"/>
  <c r="E318" i="58"/>
  <c r="E317" i="58"/>
  <c r="E316" i="58"/>
  <c r="E319" i="58"/>
  <c r="E321" i="58" l="1"/>
  <c r="E320" i="58"/>
  <c r="E312" i="58"/>
  <c r="E311" i="58"/>
  <c r="E310" i="58"/>
  <c r="E309" i="58" l="1"/>
  <c r="E308" i="58"/>
  <c r="E307" i="58"/>
  <c r="E303" i="58" l="1"/>
  <c r="E302" i="58"/>
  <c r="E301" i="58"/>
  <c r="E155" i="64"/>
  <c r="E154" i="64"/>
  <c r="E77" i="63"/>
  <c r="E76" i="63"/>
  <c r="E82" i="63"/>
  <c r="E81" i="63"/>
  <c r="E80" i="63"/>
  <c r="E79" i="63"/>
  <c r="E78" i="63"/>
  <c r="E75" i="63"/>
  <c r="E160" i="64"/>
  <c r="E159" i="64"/>
  <c r="E158" i="64"/>
  <c r="E157" i="64"/>
  <c r="E156" i="64"/>
  <c r="E153" i="64"/>
  <c r="E149" i="64"/>
  <c r="E148" i="64"/>
  <c r="E147" i="64"/>
  <c r="E146" i="64"/>
  <c r="E142" i="64"/>
  <c r="E141" i="64"/>
  <c r="E139" i="64"/>
  <c r="E140" i="64"/>
  <c r="E33" i="64"/>
  <c r="E6" i="63" l="1"/>
  <c r="E524" i="63"/>
  <c r="E523" i="63"/>
  <c r="E522" i="63"/>
  <c r="E521" i="63"/>
  <c r="E520" i="63"/>
  <c r="E519" i="63"/>
  <c r="E530" i="63"/>
  <c r="E529" i="63"/>
  <c r="E528" i="63"/>
  <c r="E531" i="63"/>
  <c r="E602" i="62"/>
  <c r="E601" i="62"/>
  <c r="E600" i="62"/>
  <c r="E599" i="62"/>
  <c r="E598" i="62"/>
  <c r="E597" i="62"/>
  <c r="E596" i="62"/>
  <c r="E595" i="62"/>
  <c r="E591" i="62"/>
  <c r="E590" i="62"/>
  <c r="E589" i="62"/>
  <c r="E588" i="62"/>
  <c r="E584" i="62"/>
  <c r="E583" i="62"/>
  <c r="E582" i="62"/>
  <c r="E581" i="62"/>
  <c r="E580" i="62"/>
  <c r="E579" i="62"/>
  <c r="E575" i="62"/>
  <c r="E574" i="62"/>
  <c r="E573" i="62"/>
  <c r="E572" i="62"/>
  <c r="E568" i="62"/>
  <c r="E567" i="62"/>
  <c r="E566" i="62"/>
  <c r="E565" i="62"/>
  <c r="E564" i="62"/>
  <c r="E563" i="62"/>
  <c r="E64" i="63"/>
  <c r="E63" i="63"/>
  <c r="E62" i="63"/>
  <c r="E61" i="63"/>
  <c r="E60" i="63"/>
  <c r="E59" i="63"/>
  <c r="E58" i="63"/>
  <c r="E57" i="63"/>
  <c r="E56" i="63"/>
  <c r="E55" i="63"/>
  <c r="E54" i="63"/>
  <c r="E50" i="63"/>
  <c r="E49" i="63"/>
  <c r="E48" i="63"/>
  <c r="E47" i="63"/>
  <c r="E46" i="63"/>
  <c r="E45" i="63"/>
  <c r="E44" i="63"/>
  <c r="E43" i="63"/>
  <c r="E42" i="63"/>
  <c r="E612" i="62"/>
  <c r="E611" i="62"/>
  <c r="E610" i="62"/>
  <c r="E609" i="62"/>
  <c r="E608" i="62"/>
  <c r="E607" i="62"/>
  <c r="E606" i="62"/>
  <c r="E635" i="62"/>
  <c r="E634" i="62"/>
  <c r="E633" i="62"/>
  <c r="E632" i="62"/>
  <c r="E631" i="62"/>
  <c r="E630" i="62"/>
  <c r="E629" i="62"/>
  <c r="E628" i="62"/>
  <c r="E624" i="62"/>
  <c r="E623" i="62"/>
  <c r="E622" i="62"/>
  <c r="E621" i="62"/>
  <c r="E620" i="62"/>
  <c r="E619" i="62"/>
  <c r="E618" i="62"/>
  <c r="E617" i="62"/>
  <c r="E616" i="62"/>
  <c r="E297" i="58" l="1"/>
  <c r="E296" i="58"/>
  <c r="E295" i="58"/>
  <c r="E294" i="58"/>
  <c r="E293" i="58"/>
  <c r="E292" i="58"/>
  <c r="E291" i="58"/>
  <c r="E286" i="58"/>
  <c r="E283" i="58"/>
  <c r="E282" i="58"/>
  <c r="E281" i="58"/>
  <c r="E285" i="58"/>
  <c r="E284" i="58"/>
  <c r="E272" i="58"/>
  <c r="E273" i="58"/>
  <c r="E277" i="58"/>
  <c r="E276" i="58"/>
  <c r="E275" i="58"/>
  <c r="E274" i="58"/>
  <c r="E256" i="58"/>
  <c r="E255" i="58"/>
  <c r="E254" i="58"/>
  <c r="E253" i="58"/>
  <c r="E234" i="58"/>
  <c r="E233" i="58"/>
  <c r="E232" i="58"/>
  <c r="E235" i="58"/>
  <c r="E238" i="58"/>
  <c r="E237" i="58"/>
  <c r="E236" i="58"/>
  <c r="E228" i="58"/>
  <c r="E227" i="58"/>
  <c r="E226" i="58"/>
  <c r="E225" i="58"/>
  <c r="E224" i="58"/>
  <c r="E223" i="58"/>
  <c r="E222" i="58"/>
  <c r="E221" i="58"/>
  <c r="E220" i="58"/>
  <c r="E214" i="58" l="1"/>
  <c r="E213" i="58"/>
  <c r="E210" i="58"/>
  <c r="E215" i="58"/>
  <c r="E212" i="58"/>
  <c r="E211" i="58"/>
  <c r="E129" i="62"/>
  <c r="E128" i="62"/>
  <c r="E127" i="62"/>
  <c r="E123" i="62"/>
  <c r="E140" i="62"/>
  <c r="E139" i="62"/>
  <c r="E141" i="62"/>
  <c r="E130" i="62"/>
  <c r="E132" i="62"/>
  <c r="E131" i="62"/>
  <c r="E138" i="62"/>
  <c r="E137" i="62"/>
  <c r="E136" i="62"/>
  <c r="E122" i="62"/>
  <c r="E121" i="62"/>
  <c r="E120" i="62"/>
  <c r="E116" i="62"/>
  <c r="E115" i="62"/>
  <c r="E114" i="62"/>
  <c r="E113" i="62"/>
  <c r="E112" i="62"/>
  <c r="E111" i="62"/>
  <c r="E110" i="62"/>
  <c r="E109" i="62"/>
  <c r="E108" i="62"/>
  <c r="E99" i="62"/>
  <c r="E98" i="62"/>
  <c r="E97" i="62"/>
  <c r="E103" i="62"/>
  <c r="E102" i="62"/>
  <c r="E101" i="62"/>
  <c r="E100" i="62"/>
  <c r="E114" i="59"/>
  <c r="E113" i="59"/>
  <c r="E112" i="59"/>
  <c r="E111" i="59"/>
  <c r="E110" i="59"/>
  <c r="E109" i="59"/>
  <c r="E118" i="59"/>
  <c r="E105" i="59"/>
  <c r="E104" i="59"/>
  <c r="E103" i="59"/>
  <c r="E102" i="59"/>
  <c r="E101" i="59"/>
  <c r="E100" i="59"/>
  <c r="E99" i="59"/>
  <c r="E98" i="59"/>
  <c r="E97" i="59"/>
  <c r="E92" i="59"/>
  <c r="E91" i="59"/>
  <c r="E90" i="59"/>
  <c r="E89" i="59"/>
  <c r="E87" i="59"/>
  <c r="E86" i="59"/>
  <c r="E88" i="59"/>
  <c r="E75" i="59"/>
  <c r="E74" i="59"/>
  <c r="E73" i="59"/>
  <c r="E72" i="59"/>
  <c r="E82" i="59"/>
  <c r="E81" i="59"/>
  <c r="E80" i="59"/>
  <c r="E79" i="59"/>
  <c r="E71" i="59"/>
  <c r="E197" i="58" l="1"/>
  <c r="E196" i="58"/>
  <c r="E195" i="58"/>
  <c r="E193" i="58"/>
  <c r="E203" i="58"/>
  <c r="E199" i="58"/>
  <c r="E198" i="58"/>
  <c r="E205" i="58"/>
  <c r="E204" i="58"/>
  <c r="E206" i="58"/>
  <c r="E182" i="58" l="1"/>
  <c r="E181" i="58"/>
  <c r="E180" i="58"/>
  <c r="E189" i="58"/>
  <c r="E187" i="58"/>
  <c r="E186" i="58"/>
  <c r="E188" i="58"/>
  <c r="E48" i="62"/>
  <c r="E47" i="62"/>
  <c r="E46" i="62"/>
  <c r="E45" i="62"/>
  <c r="E44" i="62"/>
  <c r="E43" i="62"/>
  <c r="E42" i="62"/>
  <c r="E41" i="62"/>
  <c r="E40" i="62"/>
  <c r="E39" i="62"/>
  <c r="E38" i="62"/>
  <c r="E34" i="62"/>
  <c r="E33" i="62" l="1"/>
  <c r="E32" i="62"/>
  <c r="E31" i="62"/>
  <c r="E30" i="62"/>
  <c r="E28" i="62"/>
  <c r="E27" i="62"/>
  <c r="E26" i="62"/>
  <c r="E29" i="62"/>
  <c r="E22" i="62"/>
  <c r="E21" i="62"/>
  <c r="E20" i="62"/>
  <c r="E16" i="62"/>
  <c r="E15" i="62"/>
  <c r="E14" i="62"/>
  <c r="E13" i="62"/>
  <c r="E12" i="62"/>
  <c r="E11" i="62"/>
  <c r="E10" i="62"/>
  <c r="E9" i="62"/>
  <c r="E8" i="62"/>
  <c r="E7" i="62"/>
  <c r="E66" i="62"/>
  <c r="E65" i="62"/>
  <c r="E64" i="62"/>
  <c r="E63" i="62"/>
  <c r="E62" i="62"/>
  <c r="E61" i="62"/>
  <c r="E60" i="62"/>
  <c r="E59" i="62"/>
  <c r="E55" i="62"/>
  <c r="E54" i="62"/>
  <c r="E53" i="62"/>
  <c r="E52" i="62"/>
  <c r="E75" i="62" l="1"/>
  <c r="E74" i="62"/>
  <c r="E73" i="62"/>
  <c r="E72" i="62"/>
  <c r="E71" i="62"/>
  <c r="E79" i="62"/>
  <c r="E82" i="62" l="1"/>
  <c r="E81" i="62"/>
  <c r="E80" i="62"/>
  <c r="E86" i="62"/>
  <c r="E93" i="62" l="1"/>
  <c r="E92" i="62"/>
  <c r="E91" i="62"/>
  <c r="E90" i="62"/>
  <c r="E89" i="62"/>
  <c r="E88" i="62"/>
  <c r="E87" i="62"/>
  <c r="E6" i="62"/>
  <c r="E682" i="59"/>
  <c r="E681" i="59"/>
  <c r="E680" i="59"/>
  <c r="E679" i="59"/>
  <c r="E678" i="59"/>
  <c r="E677" i="59"/>
  <c r="E676" i="59"/>
  <c r="E675" i="59"/>
  <c r="E671" i="59"/>
  <c r="E664" i="59"/>
  <c r="E663" i="59"/>
  <c r="E662" i="59"/>
  <c r="E661" i="59"/>
  <c r="E660" i="59"/>
  <c r="E659" i="59"/>
  <c r="E658" i="59"/>
  <c r="E657" i="59"/>
  <c r="E656" i="59"/>
  <c r="E668" i="59"/>
  <c r="E670" i="59"/>
  <c r="E669" i="59"/>
  <c r="E641" i="59"/>
  <c r="E640" i="59"/>
  <c r="E639" i="59"/>
  <c r="E638" i="59"/>
  <c r="E645" i="59"/>
  <c r="E652" i="59"/>
  <c r="E651" i="59"/>
  <c r="E650" i="59"/>
  <c r="E649" i="59"/>
  <c r="E648" i="59"/>
  <c r="E647" i="59"/>
  <c r="E646" i="59"/>
  <c r="E45" i="60" l="1"/>
  <c r="E44" i="60"/>
  <c r="E43" i="60"/>
  <c r="E42" i="60" l="1"/>
  <c r="E41" i="60"/>
  <c r="E40" i="60"/>
  <c r="E46" i="60"/>
  <c r="E48" i="60"/>
  <c r="E47" i="60"/>
  <c r="E30" i="60" l="1"/>
  <c r="E29" i="60"/>
  <c r="E28" i="60"/>
  <c r="E27" i="60"/>
  <c r="E26" i="60"/>
  <c r="E31" i="60"/>
  <c r="E36" i="60"/>
  <c r="E35" i="60"/>
  <c r="E34" i="60"/>
  <c r="E33" i="60"/>
  <c r="E32" i="60"/>
  <c r="E22" i="60"/>
  <c r="E21" i="60"/>
  <c r="E20" i="60"/>
  <c r="E52" i="61"/>
  <c r="E50" i="61"/>
  <c r="E49" i="61"/>
  <c r="E51" i="61"/>
  <c r="E45" i="61"/>
  <c r="E44" i="61"/>
  <c r="E43" i="61"/>
  <c r="E42" i="61"/>
  <c r="E41" i="61"/>
  <c r="E40" i="61"/>
  <c r="E39" i="61"/>
  <c r="E38" i="61"/>
  <c r="E37" i="61"/>
  <c r="E36" i="61"/>
  <c r="E35" i="61"/>
  <c r="E31" i="61"/>
  <c r="E30" i="61"/>
  <c r="E29" i="61"/>
  <c r="E28" i="61"/>
  <c r="E27" i="61"/>
  <c r="E26" i="61"/>
  <c r="E22" i="61"/>
  <c r="E21" i="61" l="1"/>
  <c r="E20" i="61"/>
  <c r="E176" i="58" l="1"/>
  <c r="E175" i="58"/>
  <c r="E174" i="58"/>
  <c r="E171" i="58"/>
  <c r="E170" i="58"/>
  <c r="E169" i="58"/>
  <c r="E168" i="58"/>
  <c r="E164" i="58"/>
  <c r="E173" i="58"/>
  <c r="E172" i="58"/>
  <c r="E159" i="58"/>
  <c r="E160" i="58"/>
  <c r="E163" i="58"/>
  <c r="E162" i="58"/>
  <c r="E161" i="58"/>
  <c r="E624" i="59"/>
  <c r="E623" i="59"/>
  <c r="E622" i="59"/>
  <c r="E621" i="59"/>
  <c r="E625" i="59"/>
  <c r="E633" i="59"/>
  <c r="E632" i="59"/>
  <c r="E631" i="59"/>
  <c r="E634" i="59"/>
  <c r="E627" i="59"/>
  <c r="E626" i="59"/>
  <c r="E617" i="59"/>
  <c r="E616" i="59"/>
  <c r="E615" i="59"/>
  <c r="E614" i="59"/>
  <c r="E613" i="59"/>
  <c r="E612" i="59"/>
  <c r="E611" i="59"/>
  <c r="E610" i="59"/>
  <c r="E606" i="59"/>
  <c r="E605" i="59"/>
  <c r="E604" i="59"/>
  <c r="E603" i="59"/>
  <c r="E602" i="59"/>
  <c r="E601" i="59"/>
  <c r="E600" i="59"/>
  <c r="E599" i="59"/>
  <c r="E598" i="59"/>
  <c r="E590" i="59" l="1"/>
  <c r="E589" i="59"/>
  <c r="E588" i="59"/>
  <c r="E593" i="59"/>
  <c r="E592" i="59"/>
  <c r="E591" i="59"/>
  <c r="E587" i="59"/>
  <c r="E586" i="59"/>
  <c r="E585" i="59"/>
  <c r="E581" i="59"/>
  <c r="E580" i="59"/>
  <c r="E579" i="59"/>
  <c r="E578" i="59"/>
  <c r="E16" i="61" l="1"/>
  <c r="E15" i="61"/>
  <c r="E14" i="61"/>
  <c r="E13" i="61"/>
  <c r="E12" i="61"/>
  <c r="E11" i="61"/>
  <c r="E10" i="61"/>
  <c r="E9" i="61"/>
  <c r="E8" i="61"/>
  <c r="E562" i="59"/>
  <c r="E561" i="59"/>
  <c r="E560" i="59"/>
  <c r="E563" i="59"/>
  <c r="E559" i="59"/>
  <c r="E557" i="59"/>
  <c r="E558" i="59"/>
  <c r="E574" i="59" l="1"/>
  <c r="E573" i="59"/>
  <c r="E572" i="59"/>
  <c r="E571" i="59"/>
  <c r="E570" i="59"/>
  <c r="E569" i="59"/>
  <c r="E568" i="59"/>
  <c r="E567" i="59"/>
  <c r="E249" i="59"/>
  <c r="E248" i="59"/>
  <c r="E247" i="59"/>
  <c r="E246" i="59"/>
  <c r="E245" i="59"/>
  <c r="E244" i="59"/>
  <c r="E243" i="59"/>
  <c r="E242" i="59"/>
  <c r="E229" i="59"/>
  <c r="E228" i="59"/>
  <c r="E227" i="59"/>
  <c r="E226" i="59"/>
  <c r="E225" i="59"/>
  <c r="E224" i="59"/>
  <c r="E223" i="59"/>
  <c r="E222" i="59"/>
  <c r="E239" i="60"/>
  <c r="E240" i="60"/>
  <c r="E192" i="59"/>
  <c r="E191" i="59"/>
  <c r="E190" i="59"/>
  <c r="E189" i="59"/>
  <c r="E188" i="59"/>
  <c r="E187" i="59"/>
  <c r="E186" i="59"/>
  <c r="E185" i="59"/>
  <c r="E125" i="59"/>
  <c r="E124" i="59"/>
  <c r="E123" i="59"/>
  <c r="E122" i="59"/>
  <c r="E121" i="59"/>
  <c r="E120" i="59"/>
  <c r="E119" i="59"/>
  <c r="E529" i="60"/>
  <c r="E528" i="60"/>
  <c r="E527" i="60"/>
  <c r="E526" i="60"/>
  <c r="E522" i="60"/>
  <c r="E521" i="60"/>
  <c r="E520" i="60"/>
  <c r="E519" i="60"/>
  <c r="E518" i="60"/>
  <c r="E517" i="60"/>
  <c r="E516" i="60"/>
  <c r="E515" i="60"/>
  <c r="E514" i="60"/>
  <c r="E499" i="60"/>
  <c r="E498" i="60"/>
  <c r="E497" i="60"/>
  <c r="E496" i="60"/>
  <c r="E503" i="60"/>
  <c r="E510" i="60"/>
  <c r="E509" i="60"/>
  <c r="E508" i="60"/>
  <c r="E507" i="60"/>
  <c r="E506" i="60"/>
  <c r="E505" i="60"/>
  <c r="E504" i="60"/>
  <c r="E460" i="60"/>
  <c r="E459" i="60"/>
  <c r="E458" i="60"/>
  <c r="E457" i="60"/>
  <c r="E456" i="60"/>
  <c r="E455" i="60"/>
  <c r="E454" i="60"/>
  <c r="E453" i="60"/>
  <c r="E417" i="60"/>
  <c r="E416" i="60"/>
  <c r="E415" i="60"/>
  <c r="E414" i="60"/>
  <c r="E413" i="60"/>
  <c r="E412" i="60"/>
  <c r="E411" i="60"/>
  <c r="E410" i="60"/>
  <c r="E392" i="60"/>
  <c r="E391" i="60"/>
  <c r="E390" i="60"/>
  <c r="E389" i="60"/>
  <c r="E388" i="60"/>
  <c r="E387" i="60"/>
  <c r="E386" i="60"/>
  <c r="E385" i="60"/>
  <c r="E349" i="60"/>
  <c r="E348" i="60"/>
  <c r="E347" i="60"/>
  <c r="E346" i="60"/>
  <c r="E345" i="60"/>
  <c r="E344" i="60"/>
  <c r="E343" i="60"/>
  <c r="E342" i="60"/>
  <c r="E325" i="60"/>
  <c r="E324" i="60"/>
  <c r="E323" i="60"/>
  <c r="E322" i="60"/>
  <c r="E321" i="60"/>
  <c r="E320" i="60"/>
  <c r="E319" i="60"/>
  <c r="E318" i="60"/>
  <c r="E246" i="60"/>
  <c r="E245" i="60"/>
  <c r="E244" i="60"/>
  <c r="E243" i="60"/>
  <c r="E242" i="60"/>
  <c r="E241" i="60"/>
  <c r="E203" i="60"/>
  <c r="E202" i="60"/>
  <c r="E201" i="60"/>
  <c r="E200" i="60"/>
  <c r="E199" i="60"/>
  <c r="E198" i="60"/>
  <c r="E197" i="60"/>
  <c r="E196" i="60"/>
  <c r="E165" i="60"/>
  <c r="E164" i="60"/>
  <c r="E163" i="60"/>
  <c r="E162" i="60"/>
  <c r="E161" i="60"/>
  <c r="E160" i="60"/>
  <c r="E159" i="60"/>
  <c r="E158" i="60"/>
  <c r="E124" i="60"/>
  <c r="E123" i="60"/>
  <c r="E122" i="60"/>
  <c r="E121" i="60"/>
  <c r="E120" i="60"/>
  <c r="E119" i="60"/>
  <c r="E118" i="60"/>
  <c r="E117" i="60"/>
  <c r="E589" i="61" l="1"/>
  <c r="E588" i="61"/>
  <c r="E587" i="61"/>
  <c r="E586" i="61"/>
  <c r="E585" i="61"/>
  <c r="E584" i="61"/>
  <c r="E583" i="61"/>
  <c r="E582" i="61"/>
  <c r="E581" i="61"/>
  <c r="E577" i="61"/>
  <c r="E576" i="61"/>
  <c r="E575" i="61"/>
  <c r="E574" i="61"/>
  <c r="E570" i="61"/>
  <c r="E569" i="61"/>
  <c r="E568" i="61"/>
  <c r="E567" i="61"/>
  <c r="E566" i="61"/>
  <c r="E565" i="61"/>
  <c r="E564" i="61"/>
  <c r="E563" i="61"/>
  <c r="E540" i="61"/>
  <c r="E539" i="61"/>
  <c r="E538" i="61"/>
  <c r="E537" i="61"/>
  <c r="E536" i="61"/>
  <c r="E535" i="61"/>
  <c r="E534" i="61"/>
  <c r="E533" i="61"/>
  <c r="E461" i="61"/>
  <c r="E460" i="61"/>
  <c r="E459" i="61"/>
  <c r="E458" i="61"/>
  <c r="E457" i="61"/>
  <c r="E456" i="61"/>
  <c r="E455" i="61"/>
  <c r="E454" i="61"/>
  <c r="E436" i="61"/>
  <c r="E435" i="61"/>
  <c r="E434" i="61"/>
  <c r="E433" i="61"/>
  <c r="E432" i="61"/>
  <c r="E431" i="61"/>
  <c r="E430" i="61"/>
  <c r="E429" i="61"/>
  <c r="E337" i="61"/>
  <c r="E336" i="61"/>
  <c r="E335" i="61"/>
  <c r="E334" i="61"/>
  <c r="E333" i="61"/>
  <c r="E332" i="61"/>
  <c r="E331" i="61"/>
  <c r="E330" i="61"/>
  <c r="E313" i="61"/>
  <c r="E312" i="61"/>
  <c r="E311" i="61"/>
  <c r="E310" i="61"/>
  <c r="E309" i="61"/>
  <c r="E308" i="61"/>
  <c r="E307" i="61"/>
  <c r="E306" i="61"/>
  <c r="E247" i="61"/>
  <c r="E246" i="61"/>
  <c r="E245" i="61"/>
  <c r="E244" i="61"/>
  <c r="E243" i="61"/>
  <c r="E242" i="61"/>
  <c r="E241" i="61"/>
  <c r="E240" i="61"/>
  <c r="E229" i="61"/>
  <c r="E228" i="61"/>
  <c r="E227" i="61"/>
  <c r="E226" i="61"/>
  <c r="E225" i="61"/>
  <c r="E224" i="61"/>
  <c r="E223" i="61"/>
  <c r="E222" i="61"/>
  <c r="E167" i="61"/>
  <c r="E166" i="61"/>
  <c r="E165" i="61"/>
  <c r="E164" i="61"/>
  <c r="E163" i="61"/>
  <c r="E162" i="61"/>
  <c r="E161" i="61"/>
  <c r="E146" i="61"/>
  <c r="E145" i="61"/>
  <c r="E144" i="61"/>
  <c r="E143" i="61"/>
  <c r="E142" i="61"/>
  <c r="E141" i="61"/>
  <c r="E140" i="61"/>
  <c r="E139" i="61"/>
  <c r="E63" i="61"/>
  <c r="E62" i="61"/>
  <c r="E61" i="61"/>
  <c r="E60" i="61"/>
  <c r="E59" i="61"/>
  <c r="E58" i="61"/>
  <c r="E57" i="61"/>
  <c r="E56" i="61"/>
  <c r="E393" i="58"/>
  <c r="E392" i="58"/>
  <c r="E391" i="58"/>
  <c r="E390" i="58"/>
  <c r="E389" i="58"/>
  <c r="E388" i="58"/>
  <c r="E387" i="58"/>
  <c r="E370" i="58"/>
  <c r="E369" i="58"/>
  <c r="E368" i="58"/>
  <c r="E367" i="58"/>
  <c r="E366" i="58"/>
  <c r="E365" i="58"/>
  <c r="E364" i="58"/>
  <c r="E363" i="58"/>
  <c r="E267" i="58"/>
  <c r="E266" i="58"/>
  <c r="E265" i="58"/>
  <c r="E264" i="58"/>
  <c r="E263" i="58"/>
  <c r="E262" i="58"/>
  <c r="E261" i="58"/>
  <c r="E260" i="58"/>
  <c r="E249" i="58"/>
  <c r="E248" i="58"/>
  <c r="E247" i="58"/>
  <c r="E246" i="58"/>
  <c r="E245" i="58"/>
  <c r="E244" i="58"/>
  <c r="E243" i="58"/>
  <c r="E242" i="58"/>
  <c r="E7" i="61" l="1"/>
  <c r="E16" i="60" l="1"/>
  <c r="E15" i="60"/>
  <c r="E14" i="60"/>
  <c r="E13" i="60"/>
  <c r="E12" i="60"/>
  <c r="E11" i="60"/>
  <c r="E10" i="60"/>
  <c r="E9" i="60"/>
  <c r="E8" i="60"/>
  <c r="E7" i="60"/>
  <c r="E6" i="60"/>
  <c r="E373" i="60"/>
  <c r="E372" i="60"/>
  <c r="E371" i="60"/>
  <c r="E370" i="60"/>
  <c r="E369" i="60"/>
  <c r="E374" i="60"/>
  <c r="E367" i="60"/>
  <c r="E366" i="60"/>
  <c r="E365" i="60"/>
  <c r="E364" i="60"/>
  <c r="E368" i="60"/>
  <c r="E436" i="59"/>
  <c r="E435" i="59"/>
  <c r="E359" i="60"/>
  <c r="E358" i="60"/>
  <c r="E357" i="60"/>
  <c r="E353" i="60"/>
  <c r="E356" i="60"/>
  <c r="E355" i="60"/>
  <c r="E354" i="60"/>
  <c r="E418" i="61"/>
  <c r="E417" i="61"/>
  <c r="E416" i="61"/>
  <c r="E415" i="61"/>
  <c r="E414" i="61"/>
  <c r="E413" i="61"/>
  <c r="E403" i="61"/>
  <c r="E553" i="59" l="1"/>
  <c r="E552" i="59"/>
  <c r="E551" i="59"/>
  <c r="E550" i="59"/>
  <c r="E549" i="59"/>
  <c r="E548" i="59"/>
  <c r="E544" i="59"/>
  <c r="E486" i="31"/>
  <c r="E487" i="31"/>
  <c r="E485" i="31"/>
  <c r="E375" i="27"/>
  <c r="E543" i="59"/>
  <c r="E542" i="59"/>
  <c r="E541" i="59"/>
  <c r="E540" i="59"/>
  <c r="E539" i="59"/>
  <c r="E535" i="59"/>
  <c r="E534" i="59"/>
  <c r="E533" i="59"/>
  <c r="E532" i="59"/>
  <c r="E412" i="61"/>
  <c r="E411" i="61"/>
  <c r="E410" i="61"/>
  <c r="E409" i="61"/>
  <c r="E408" i="61"/>
  <c r="E434" i="59"/>
  <c r="E397" i="61"/>
  <c r="E398" i="61"/>
  <c r="E402" i="61"/>
  <c r="E401" i="61"/>
  <c r="E400" i="61"/>
  <c r="E399" i="61"/>
  <c r="E314" i="59"/>
  <c r="E319" i="59"/>
  <c r="E318" i="59"/>
  <c r="E317" i="59"/>
  <c r="E316" i="59"/>
  <c r="E315" i="59"/>
  <c r="E313" i="59"/>
  <c r="E312" i="59"/>
  <c r="E311" i="59"/>
  <c r="E310" i="59"/>
  <c r="E309" i="59"/>
  <c r="E305" i="59"/>
  <c r="E304" i="59"/>
  <c r="E303" i="59"/>
  <c r="E302" i="59"/>
  <c r="E330" i="59"/>
  <c r="E329" i="59"/>
  <c r="E328" i="59"/>
  <c r="E327" i="59"/>
  <c r="E326" i="59"/>
  <c r="E325" i="59"/>
  <c r="E324" i="59"/>
  <c r="E323" i="59"/>
  <c r="E528" i="59" l="1"/>
  <c r="E527" i="59"/>
  <c r="E526" i="59"/>
  <c r="E525" i="59"/>
  <c r="E521" i="59"/>
  <c r="E517" i="59"/>
  <c r="E520" i="59"/>
  <c r="E519" i="59"/>
  <c r="E518" i="59"/>
  <c r="E516" i="59"/>
  <c r="E511" i="59"/>
  <c r="E510" i="59"/>
  <c r="E509" i="59"/>
  <c r="E508" i="59"/>
  <c r="E507" i="59"/>
  <c r="E506" i="59"/>
  <c r="E505" i="59"/>
  <c r="E504" i="59"/>
  <c r="E500" i="59"/>
  <c r="E499" i="59"/>
  <c r="E498" i="59"/>
  <c r="E497" i="59"/>
  <c r="E496" i="59"/>
  <c r="E495" i="59"/>
  <c r="E494" i="59"/>
  <c r="E493" i="59"/>
  <c r="E492" i="59"/>
  <c r="E36" i="59" l="1"/>
  <c r="E35" i="59"/>
  <c r="E34" i="59"/>
  <c r="E33" i="59"/>
  <c r="E32" i="59"/>
  <c r="E31" i="59"/>
  <c r="E30" i="59"/>
  <c r="E29" i="59"/>
  <c r="E28" i="59"/>
  <c r="E27" i="59"/>
  <c r="E26" i="59"/>
  <c r="E22" i="59"/>
  <c r="E48" i="59" l="1"/>
  <c r="E47" i="59"/>
  <c r="E46" i="59"/>
  <c r="E42" i="59"/>
  <c r="E41" i="59"/>
  <c r="E40" i="59"/>
  <c r="E43" i="59"/>
  <c r="E45" i="59"/>
  <c r="E44" i="59"/>
  <c r="E21" i="59" l="1"/>
  <c r="E20" i="59"/>
  <c r="E15" i="59"/>
  <c r="E13" i="59"/>
  <c r="E14" i="59"/>
  <c r="E16" i="59"/>
  <c r="E12" i="59"/>
  <c r="E11" i="59"/>
  <c r="E10" i="59"/>
  <c r="E9" i="59"/>
  <c r="E8" i="59"/>
  <c r="E7" i="59"/>
  <c r="E486" i="59"/>
  <c r="E485" i="59"/>
  <c r="E484" i="59"/>
  <c r="E483" i="59"/>
  <c r="E482" i="59"/>
  <c r="E481" i="59"/>
  <c r="E480" i="59"/>
  <c r="E479" i="59"/>
  <c r="E475" i="59"/>
  <c r="E474" i="59"/>
  <c r="E473" i="59"/>
  <c r="E472" i="59"/>
  <c r="E471" i="59"/>
  <c r="E470" i="59"/>
  <c r="E469" i="59"/>
  <c r="E7" i="53"/>
  <c r="E468" i="59"/>
  <c r="E467" i="59"/>
  <c r="E462" i="59"/>
  <c r="E461" i="59" l="1"/>
  <c r="E460" i="59"/>
  <c r="E456" i="59"/>
  <c r="E455" i="59"/>
  <c r="E454" i="59"/>
  <c r="E457" i="59"/>
  <c r="E459" i="59"/>
  <c r="E458" i="59"/>
  <c r="E450" i="59" l="1"/>
  <c r="E449" i="59"/>
  <c r="E448" i="59"/>
  <c r="E447" i="59"/>
  <c r="E497" i="58"/>
  <c r="E496" i="58" l="1"/>
  <c r="E495" i="58"/>
  <c r="E494" i="58"/>
  <c r="E493" i="58"/>
  <c r="E492" i="58"/>
  <c r="E491" i="58"/>
  <c r="E490" i="58"/>
  <c r="E486" i="58"/>
  <c r="E485" i="58"/>
  <c r="E484" i="58"/>
  <c r="E483" i="58"/>
  <c r="E503" i="58"/>
  <c r="E432" i="58"/>
  <c r="E431" i="58"/>
  <c r="E430" i="58"/>
  <c r="E429" i="58"/>
  <c r="E425" i="58"/>
  <c r="E424" i="58"/>
  <c r="E423" i="58"/>
  <c r="E422" i="58"/>
  <c r="E454" i="58" l="1"/>
  <c r="E453" i="58"/>
  <c r="E452" i="58"/>
  <c r="E451" i="58"/>
  <c r="E450" i="58"/>
  <c r="E449" i="58"/>
  <c r="E448" i="58"/>
  <c r="E447" i="58"/>
  <c r="E446" i="58"/>
  <c r="E442" i="58"/>
  <c r="E441" i="58"/>
  <c r="E440" i="58"/>
  <c r="E438" i="58"/>
  <c r="E439" i="58"/>
  <c r="E436" i="58"/>
  <c r="E437" i="58"/>
  <c r="E458" i="58"/>
  <c r="E459" i="58"/>
  <c r="E464" i="58" l="1"/>
  <c r="E463" i="58"/>
  <c r="E462" i="58"/>
  <c r="E461" i="58"/>
  <c r="E460" i="58"/>
  <c r="E472" i="58"/>
  <c r="E471" i="58"/>
  <c r="E470" i="58"/>
  <c r="E478" i="58"/>
  <c r="E477" i="58"/>
  <c r="E476" i="58"/>
  <c r="E475" i="58"/>
  <c r="E474" i="58"/>
  <c r="E473" i="58"/>
  <c r="E479" i="58"/>
  <c r="E517" i="58" l="1"/>
  <c r="E516" i="58"/>
  <c r="E515" i="58"/>
  <c r="E514" i="58"/>
  <c r="E513" i="58"/>
  <c r="E512" i="58"/>
  <c r="E511" i="58"/>
  <c r="E510" i="58"/>
  <c r="E509" i="58"/>
  <c r="E508" i="58"/>
  <c r="E507" i="58"/>
  <c r="E506" i="58"/>
  <c r="E505" i="58"/>
  <c r="E504" i="58"/>
  <c r="E521" i="58"/>
  <c r="E443" i="59" l="1"/>
  <c r="E442" i="59"/>
  <c r="E441" i="59"/>
  <c r="E440" i="59"/>
  <c r="E439" i="59"/>
  <c r="E438" i="59"/>
  <c r="E437" i="59"/>
  <c r="E428" i="59"/>
  <c r="E427" i="59"/>
  <c r="E426" i="59"/>
  <c r="E425" i="59"/>
  <c r="E423" i="59"/>
  <c r="E424" i="59"/>
  <c r="E422" i="59"/>
  <c r="E528" i="58" l="1"/>
  <c r="E527" i="58"/>
  <c r="E526" i="58"/>
  <c r="E525" i="58"/>
  <c r="E524" i="58"/>
  <c r="E523" i="58"/>
  <c r="E522" i="58"/>
  <c r="E655" i="58"/>
  <c r="E654" i="58"/>
  <c r="E652" i="58"/>
  <c r="E653" i="58"/>
  <c r="E647" i="58"/>
  <c r="E646" i="58"/>
  <c r="E645" i="58"/>
  <c r="E644" i="58"/>
  <c r="E643" i="58"/>
  <c r="E642" i="58"/>
  <c r="E641" i="58"/>
  <c r="E640" i="58"/>
  <c r="E648" i="58"/>
  <c r="E636" i="58"/>
  <c r="E635" i="58"/>
  <c r="E634" i="58"/>
  <c r="E633" i="58"/>
  <c r="E632" i="58"/>
  <c r="E631" i="58"/>
  <c r="E630" i="58"/>
  <c r="E629" i="58"/>
  <c r="E625" i="58"/>
  <c r="E551" i="58"/>
  <c r="E550" i="58"/>
  <c r="E549" i="58"/>
  <c r="E548" i="58"/>
  <c r="E547" i="58"/>
  <c r="E546" i="58"/>
  <c r="E545" i="58"/>
  <c r="E544" i="58"/>
  <c r="E543" i="58"/>
  <c r="E538" i="58"/>
  <c r="E537" i="58"/>
  <c r="E536" i="58"/>
  <c r="E535" i="58"/>
  <c r="E534" i="58"/>
  <c r="E533" i="58"/>
  <c r="E624" i="58"/>
  <c r="E623" i="58"/>
  <c r="E622" i="58"/>
  <c r="E654" i="56"/>
  <c r="E653" i="56"/>
  <c r="E652" i="56"/>
  <c r="E655" i="56"/>
  <c r="E647" i="56"/>
  <c r="E646" i="56"/>
  <c r="E645" i="56"/>
  <c r="E644" i="56"/>
  <c r="E643" i="56"/>
  <c r="E642" i="56"/>
  <c r="E641" i="56"/>
  <c r="E640" i="56"/>
  <c r="E648" i="56"/>
  <c r="E636" i="56"/>
  <c r="E635" i="56"/>
  <c r="E634" i="56"/>
  <c r="E633" i="56"/>
  <c r="E632" i="56"/>
  <c r="E631" i="56"/>
  <c r="E630" i="56"/>
  <c r="E629" i="56"/>
  <c r="E625" i="56"/>
  <c r="E624" i="56"/>
  <c r="E622" i="56"/>
  <c r="E623" i="56"/>
  <c r="E618" i="56"/>
  <c r="E617" i="56"/>
  <c r="E616" i="56"/>
  <c r="E615" i="56"/>
  <c r="E614" i="56"/>
  <c r="E613" i="56"/>
  <c r="E612" i="56"/>
  <c r="E611" i="56"/>
  <c r="E607" i="56"/>
  <c r="E606" i="56"/>
  <c r="E605" i="56"/>
  <c r="E604" i="56"/>
  <c r="E603" i="56"/>
  <c r="E602" i="56"/>
  <c r="E601" i="56"/>
  <c r="E597" i="56"/>
  <c r="E596" i="56"/>
  <c r="E595" i="56"/>
  <c r="E594" i="56"/>
  <c r="E593" i="56"/>
  <c r="E592" i="56"/>
  <c r="E591" i="56"/>
  <c r="E590" i="56"/>
  <c r="E589" i="56"/>
  <c r="E584" i="56"/>
  <c r="E583" i="56"/>
  <c r="E582" i="56"/>
  <c r="E581" i="56"/>
  <c r="E580" i="56"/>
  <c r="E579" i="56"/>
  <c r="E578" i="56" l="1"/>
  <c r="E577" i="56"/>
  <c r="E576" i="56"/>
  <c r="E570" i="56"/>
  <c r="E569" i="56"/>
  <c r="E568" i="56"/>
  <c r="E567" i="56"/>
  <c r="E566" i="56"/>
  <c r="E565" i="56"/>
  <c r="E564" i="56"/>
  <c r="E563" i="56"/>
  <c r="E562" i="56"/>
  <c r="E558" i="56" l="1"/>
  <c r="E557" i="56"/>
  <c r="E556" i="56"/>
  <c r="E555" i="56"/>
  <c r="E554" i="56"/>
  <c r="E553" i="56"/>
  <c r="E552" i="56"/>
  <c r="E551" i="56"/>
  <c r="E547" i="56"/>
  <c r="E543" i="56"/>
  <c r="E544" i="56"/>
  <c r="E542" i="56"/>
  <c r="E545" i="56"/>
  <c r="E546" i="56"/>
  <c r="E535" i="56"/>
  <c r="E534" i="56"/>
  <c r="E533" i="56"/>
  <c r="E532" i="56"/>
  <c r="E538" i="56"/>
  <c r="E537" i="56"/>
  <c r="E536" i="56"/>
  <c r="E528" i="56"/>
  <c r="E527" i="56"/>
  <c r="E526" i="56"/>
  <c r="E525" i="56"/>
  <c r="E521" i="56"/>
  <c r="E520" i="56"/>
  <c r="E519" i="56"/>
  <c r="E518" i="56"/>
  <c r="E492" i="56"/>
  <c r="E491" i="56"/>
  <c r="E490" i="56"/>
  <c r="E489" i="56"/>
  <c r="E488" i="56"/>
  <c r="E487" i="56"/>
  <c r="E486" i="56"/>
  <c r="E485" i="56"/>
  <c r="E481" i="56"/>
  <c r="E480" i="56"/>
  <c r="E479" i="56"/>
  <c r="E478" i="56"/>
  <c r="E477" i="56"/>
  <c r="E476" i="56"/>
  <c r="E472" i="56"/>
  <c r="E471" i="56"/>
  <c r="E470" i="56"/>
  <c r="E469" i="56"/>
  <c r="E467" i="56"/>
  <c r="E466" i="56"/>
  <c r="E465" i="56"/>
  <c r="E468" i="56"/>
  <c r="E461" i="56"/>
  <c r="E460" i="56"/>
  <c r="E459" i="56"/>
  <c r="E458" i="56"/>
  <c r="E418" i="59" l="1"/>
  <c r="E417" i="59"/>
  <c r="E416" i="59"/>
  <c r="E415" i="59"/>
  <c r="E402" i="59"/>
  <c r="E401" i="59"/>
  <c r="E400" i="59"/>
  <c r="E399" i="59"/>
  <c r="E398" i="59"/>
  <c r="E397" i="59"/>
  <c r="E396" i="59"/>
  <c r="E395" i="59"/>
  <c r="E394" i="59"/>
  <c r="E411" i="59"/>
  <c r="E410" i="59"/>
  <c r="E409" i="59"/>
  <c r="E406" i="59"/>
  <c r="E408" i="59"/>
  <c r="E407" i="59"/>
  <c r="E390" i="59"/>
  <c r="E388" i="59"/>
  <c r="E387" i="59"/>
  <c r="E389" i="59"/>
  <c r="E383" i="59" l="1"/>
  <c r="E382" i="59"/>
  <c r="E381" i="59"/>
  <c r="E380" i="59"/>
  <c r="E376" i="59"/>
  <c r="E372" i="59"/>
  <c r="E371" i="59"/>
  <c r="E370" i="59"/>
  <c r="E375" i="59"/>
  <c r="E374" i="59"/>
  <c r="E373" i="59"/>
  <c r="E366" i="59" l="1"/>
  <c r="E365" i="59"/>
  <c r="E364" i="59"/>
  <c r="E363" i="59"/>
  <c r="E362" i="59"/>
  <c r="E361" i="59"/>
  <c r="E360" i="59"/>
  <c r="E359" i="59"/>
  <c r="E355" i="59"/>
  <c r="E354" i="59"/>
  <c r="E353" i="59"/>
  <c r="E352" i="59"/>
  <c r="E351" i="59"/>
  <c r="E350" i="59"/>
  <c r="E349" i="59"/>
  <c r="E348" i="59"/>
  <c r="E347" i="59"/>
  <c r="E343" i="59"/>
  <c r="E342" i="59"/>
  <c r="E341" i="59"/>
  <c r="E340" i="59"/>
  <c r="E339" i="59"/>
  <c r="E338" i="59"/>
  <c r="E337" i="59"/>
  <c r="E336" i="59"/>
  <c r="E335" i="59"/>
  <c r="E55" i="60" l="1"/>
  <c r="E54" i="60"/>
  <c r="E53" i="60"/>
  <c r="E52" i="60"/>
  <c r="E59" i="60"/>
  <c r="E55" i="59"/>
  <c r="E54" i="59"/>
  <c r="E53" i="59"/>
  <c r="E52" i="59"/>
  <c r="E59" i="59"/>
  <c r="E65" i="60"/>
  <c r="E64" i="60"/>
  <c r="E63" i="60"/>
  <c r="E62" i="60"/>
  <c r="E61" i="60"/>
  <c r="E60" i="60"/>
  <c r="E66" i="60"/>
  <c r="E66" i="59"/>
  <c r="E65" i="59"/>
  <c r="E64" i="59"/>
  <c r="E63" i="59"/>
  <c r="E62" i="59"/>
  <c r="E61" i="59"/>
  <c r="E60" i="59"/>
  <c r="E618" i="58"/>
  <c r="E617" i="58"/>
  <c r="E616" i="58"/>
  <c r="E615" i="58"/>
  <c r="E613" i="58"/>
  <c r="E612" i="58"/>
  <c r="E611" i="58"/>
  <c r="E614" i="58"/>
  <c r="E607" i="58"/>
  <c r="E606" i="58"/>
  <c r="E605" i="58"/>
  <c r="E604" i="58"/>
  <c r="E603" i="58"/>
  <c r="E602" i="58"/>
  <c r="E601" i="58"/>
  <c r="E600" i="58"/>
  <c r="E599" i="58"/>
  <c r="E590" i="58"/>
  <c r="E589" i="58"/>
  <c r="E588" i="58"/>
  <c r="E591" i="58"/>
  <c r="E594" i="58"/>
  <c r="E593" i="58"/>
  <c r="E592" i="58"/>
  <c r="E575" i="58"/>
  <c r="E574" i="58"/>
  <c r="E573" i="58"/>
  <c r="E572" i="58"/>
  <c r="E571" i="58"/>
  <c r="E570" i="58"/>
  <c r="E569" i="58"/>
  <c r="E584" i="58"/>
  <c r="E583" i="58"/>
  <c r="E582" i="58"/>
  <c r="E581" i="58"/>
  <c r="E580" i="58"/>
  <c r="E579" i="58"/>
  <c r="E564" i="58"/>
  <c r="E563" i="58"/>
  <c r="E562" i="58"/>
  <c r="E558" i="58"/>
  <c r="E557" i="58"/>
  <c r="E556" i="58"/>
  <c r="E555" i="58"/>
  <c r="E565" i="58"/>
  <c r="E141" i="58" l="1"/>
  <c r="E154" i="58"/>
  <c r="E153" i="58"/>
  <c r="E152" i="58"/>
  <c r="E151" i="58"/>
  <c r="E150" i="58"/>
  <c r="E149" i="58"/>
  <c r="E148" i="58"/>
  <c r="E147" i="58"/>
  <c r="E143" i="58"/>
  <c r="E142" i="58"/>
  <c r="E140" i="58"/>
  <c r="E139" i="58"/>
  <c r="E138" i="58"/>
  <c r="E136" i="58"/>
  <c r="E137" i="58"/>
  <c r="E135" i="58"/>
  <c r="E129" i="58" l="1"/>
  <c r="E128" i="58"/>
  <c r="E127" i="58"/>
  <c r="E126" i="58"/>
  <c r="E125" i="58"/>
  <c r="E124" i="58"/>
  <c r="E123" i="58"/>
  <c r="E122" i="58"/>
  <c r="E117" i="58"/>
  <c r="E116" i="58"/>
  <c r="E115" i="58"/>
  <c r="E118" i="58"/>
  <c r="E111" i="58"/>
  <c r="E110" i="58"/>
  <c r="E109" i="58"/>
  <c r="E108" i="58"/>
  <c r="E107" i="58"/>
  <c r="E106" i="58"/>
  <c r="E105" i="58"/>
  <c r="E104" i="58"/>
  <c r="E103" i="58"/>
  <c r="E98" i="58"/>
  <c r="E97" i="58" l="1"/>
  <c r="E96" i="58"/>
  <c r="E95" i="58"/>
  <c r="E94" i="58"/>
  <c r="E93" i="58"/>
  <c r="E89" i="58"/>
  <c r="E85" i="58"/>
  <c r="E84" i="58"/>
  <c r="E83" i="58"/>
  <c r="E88" i="58"/>
  <c r="E87" i="58"/>
  <c r="E86" i="58"/>
  <c r="E453" i="56"/>
  <c r="E452" i="56"/>
  <c r="E451" i="56"/>
  <c r="E450" i="56"/>
  <c r="E449" i="56"/>
  <c r="E448" i="56"/>
  <c r="E447" i="56"/>
  <c r="E446" i="56"/>
  <c r="E445" i="56"/>
  <c r="E454" i="56"/>
  <c r="E433" i="56" l="1"/>
  <c r="E439" i="56"/>
  <c r="E438" i="56"/>
  <c r="E437" i="56"/>
  <c r="E436" i="56"/>
  <c r="E435" i="56"/>
  <c r="E434" i="56"/>
  <c r="E256" i="56"/>
  <c r="E255" i="56"/>
  <c r="E253" i="56"/>
  <c r="E254" i="56"/>
  <c r="E267" i="56"/>
  <c r="E266" i="56"/>
  <c r="E265" i="56"/>
  <c r="E264" i="56"/>
  <c r="E263" i="56"/>
  <c r="E262" i="56"/>
  <c r="E261" i="56"/>
  <c r="E260" i="56"/>
  <c r="E272" i="56"/>
  <c r="E249" i="56" l="1"/>
  <c r="E248" i="56"/>
  <c r="E247" i="56"/>
  <c r="E246" i="56"/>
  <c r="E245" i="56"/>
  <c r="E244" i="56"/>
  <c r="E243" i="56"/>
  <c r="E242" i="56"/>
  <c r="E238" i="56"/>
  <c r="E234" i="56"/>
  <c r="E233" i="56"/>
  <c r="E232" i="56"/>
  <c r="E235" i="56"/>
  <c r="E237" i="56"/>
  <c r="E236" i="56"/>
  <c r="E72" i="58"/>
  <c r="E71" i="58"/>
  <c r="E70" i="58"/>
  <c r="E69" i="58"/>
  <c r="E68" i="58" l="1"/>
  <c r="E78" i="58"/>
  <c r="E77" i="58"/>
  <c r="E76" i="58"/>
  <c r="E79" i="58"/>
  <c r="E63" i="58"/>
  <c r="E62" i="58"/>
  <c r="E61" i="58"/>
  <c r="E60" i="58"/>
  <c r="E59" i="58"/>
  <c r="E58" i="58"/>
  <c r="E57" i="58"/>
  <c r="E56" i="58"/>
  <c r="E52" i="58"/>
  <c r="E51" i="58"/>
  <c r="E50" i="58"/>
  <c r="E49" i="58"/>
  <c r="E45" i="58" l="1"/>
  <c r="E44" i="58"/>
  <c r="E43" i="58"/>
  <c r="E42" i="58"/>
  <c r="E41" i="58"/>
  <c r="E40" i="58"/>
  <c r="E39" i="58"/>
  <c r="E38" i="58"/>
  <c r="E37" i="58"/>
  <c r="E36" i="58"/>
  <c r="E35" i="58"/>
  <c r="E22" i="58"/>
  <c r="E31" i="58" l="1"/>
  <c r="E30" i="58"/>
  <c r="E29" i="58"/>
  <c r="E28" i="58"/>
  <c r="E27" i="58"/>
  <c r="E26" i="58"/>
  <c r="E21" i="58"/>
  <c r="E20" i="58"/>
  <c r="E16" i="58"/>
  <c r="E15" i="58"/>
  <c r="E14" i="58"/>
  <c r="E13" i="58"/>
  <c r="E12" i="58"/>
  <c r="E11" i="58"/>
  <c r="E10" i="58"/>
  <c r="E9" i="58"/>
  <c r="E8" i="58"/>
  <c r="E7" i="58"/>
  <c r="E502" i="56" l="1"/>
  <c r="E501" i="56"/>
  <c r="E500" i="56"/>
  <c r="E499" i="56"/>
  <c r="E498" i="56"/>
  <c r="E497" i="56"/>
  <c r="E511" i="56"/>
  <c r="E509" i="56"/>
  <c r="E510" i="56"/>
  <c r="E514" i="56"/>
  <c r="E513" i="56"/>
  <c r="E512" i="56"/>
  <c r="E508" i="56"/>
  <c r="E507" i="56"/>
  <c r="E506" i="56"/>
  <c r="E228" i="56"/>
  <c r="E227" i="56"/>
  <c r="E226" i="56"/>
  <c r="E225" i="56"/>
  <c r="E224" i="56"/>
  <c r="E223" i="56"/>
  <c r="E222" i="56"/>
  <c r="E221" i="56"/>
  <c r="E220" i="56"/>
  <c r="E215" i="56"/>
  <c r="E214" i="56"/>
  <c r="E213" i="56"/>
  <c r="E211" i="56"/>
  <c r="E210" i="56"/>
  <c r="E212" i="56"/>
  <c r="E206" i="56"/>
  <c r="E205" i="56"/>
  <c r="E204" i="56"/>
  <c r="E203" i="56"/>
  <c r="E199" i="56"/>
  <c r="E195" i="56"/>
  <c r="E194" i="56"/>
  <c r="E193" i="56"/>
  <c r="E198" i="56"/>
  <c r="E197" i="56"/>
  <c r="E196" i="56"/>
  <c r="E8" i="57" l="1"/>
  <c r="E7" i="57"/>
  <c r="E6" i="57"/>
  <c r="E5" i="57"/>
  <c r="E4" i="57"/>
  <c r="E3" i="57"/>
  <c r="E188" i="56"/>
  <c r="E187" i="56"/>
  <c r="E186" i="56"/>
  <c r="E189" i="56"/>
  <c r="E182" i="56"/>
  <c r="E181" i="56"/>
  <c r="E180" i="56"/>
  <c r="E347" i="56" l="1"/>
  <c r="E346" i="56"/>
  <c r="E345" i="56"/>
  <c r="E344" i="56"/>
  <c r="E343" i="56"/>
  <c r="E342" i="56"/>
  <c r="E341" i="56"/>
  <c r="E340" i="56"/>
  <c r="E335" i="56"/>
  <c r="E334" i="56"/>
  <c r="E333" i="56"/>
  <c r="E336" i="56"/>
  <c r="E329" i="56"/>
  <c r="E328" i="56"/>
  <c r="E327" i="56"/>
  <c r="E326" i="56"/>
  <c r="E322" i="56"/>
  <c r="E321" i="56"/>
  <c r="E320" i="56"/>
  <c r="E319" i="56"/>
  <c r="E318" i="56"/>
  <c r="E317" i="56"/>
  <c r="E316" i="56"/>
  <c r="E392" i="56"/>
  <c r="E391" i="56"/>
  <c r="E390" i="56"/>
  <c r="E389" i="56"/>
  <c r="E388" i="56"/>
  <c r="E387" i="56"/>
  <c r="E386" i="56"/>
  <c r="E385" i="56"/>
  <c r="E384" i="56"/>
  <c r="E379" i="56"/>
  <c r="E378" i="56"/>
  <c r="E377" i="56"/>
  <c r="E376" i="56"/>
  <c r="E375" i="56"/>
  <c r="E374" i="56"/>
  <c r="E380" i="56"/>
  <c r="E406" i="56"/>
  <c r="E405" i="56"/>
  <c r="E404" i="56"/>
  <c r="E403" i="56"/>
  <c r="E399" i="56"/>
  <c r="E398" i="56"/>
  <c r="E397" i="56"/>
  <c r="E396" i="56"/>
  <c r="E429" i="56"/>
  <c r="E428" i="56"/>
  <c r="E427" i="56"/>
  <c r="E426" i="56"/>
  <c r="E425" i="56"/>
  <c r="E424" i="56"/>
  <c r="E423" i="56"/>
  <c r="E422" i="56"/>
  <c r="E416" i="56"/>
  <c r="E421" i="56"/>
  <c r="E415" i="56" l="1"/>
  <c r="E414" i="56"/>
  <c r="E413" i="56"/>
  <c r="E410" i="56"/>
  <c r="E412" i="56"/>
  <c r="E411" i="56"/>
  <c r="E356" i="56" l="1"/>
  <c r="E355" i="56"/>
  <c r="E370" i="56"/>
  <c r="E369" i="56"/>
  <c r="E368" i="56"/>
  <c r="E367" i="56"/>
  <c r="E366" i="56"/>
  <c r="E365" i="56"/>
  <c r="E364" i="56"/>
  <c r="E363" i="56"/>
  <c r="E359" i="56"/>
  <c r="E358" i="56"/>
  <c r="E357" i="56"/>
  <c r="E353" i="56"/>
  <c r="E352" i="56"/>
  <c r="E351" i="56"/>
  <c r="E354" i="56"/>
  <c r="E312" i="56" l="1"/>
  <c r="E311" i="56"/>
  <c r="E310" i="56"/>
  <c r="E309" i="56"/>
  <c r="E308" i="56"/>
  <c r="E307" i="56"/>
  <c r="E301" i="56" l="1"/>
  <c r="E300" i="56"/>
  <c r="E299" i="56"/>
  <c r="E298" i="56"/>
  <c r="E297" i="56"/>
  <c r="E296" i="56"/>
  <c r="E292" i="56"/>
  <c r="E291" i="56"/>
  <c r="E290" i="56"/>
  <c r="E176" i="56"/>
  <c r="E175" i="56"/>
  <c r="E174" i="56"/>
  <c r="E173" i="56"/>
  <c r="E172" i="56"/>
  <c r="E171" i="56"/>
  <c r="E170" i="56"/>
  <c r="E169" i="56"/>
  <c r="E168" i="56"/>
  <c r="E164" i="56"/>
  <c r="E163" i="56"/>
  <c r="E162" i="56"/>
  <c r="E161" i="56"/>
  <c r="E160" i="56"/>
  <c r="E159" i="56"/>
  <c r="E142" i="56"/>
  <c r="E141" i="56"/>
  <c r="E140" i="56"/>
  <c r="E139" i="56"/>
  <c r="E138" i="56"/>
  <c r="E137" i="56"/>
  <c r="E136" i="56"/>
  <c r="E135" i="56"/>
  <c r="E143" i="56"/>
  <c r="E154" i="56"/>
  <c r="E153" i="56"/>
  <c r="E152" i="56"/>
  <c r="E151" i="56"/>
  <c r="E150" i="56"/>
  <c r="E149" i="56"/>
  <c r="E148" i="56"/>
  <c r="E147" i="56"/>
  <c r="E129" i="56" l="1"/>
  <c r="E128" i="56"/>
  <c r="E127" i="56"/>
  <c r="E126" i="56"/>
  <c r="E125" i="56"/>
  <c r="E124" i="56"/>
  <c r="E123" i="56"/>
  <c r="E122" i="56"/>
  <c r="E117" i="56"/>
  <c r="E116" i="56"/>
  <c r="E115" i="56"/>
  <c r="E118" i="56"/>
  <c r="E277" i="56"/>
  <c r="E276" i="56"/>
  <c r="E275" i="56"/>
  <c r="E274" i="56"/>
  <c r="E273" i="56"/>
  <c r="E281" i="56"/>
  <c r="E285" i="56"/>
  <c r="E284" i="56"/>
  <c r="E283" i="56"/>
  <c r="E282" i="56"/>
  <c r="E286" i="56"/>
  <c r="E111" i="56"/>
  <c r="E110" i="56"/>
  <c r="E109" i="56"/>
  <c r="E108" i="56"/>
  <c r="E107" i="56"/>
  <c r="E106" i="56"/>
  <c r="E105" i="56"/>
  <c r="E104" i="56"/>
  <c r="E103" i="56"/>
  <c r="E98" i="56"/>
  <c r="E97" i="56"/>
  <c r="E96" i="56"/>
  <c r="E95" i="56"/>
  <c r="E94" i="56"/>
  <c r="E93" i="56"/>
  <c r="E89" i="56"/>
  <c r="E85" i="56" l="1"/>
  <c r="E84" i="56"/>
  <c r="E83" i="56"/>
  <c r="E86" i="56"/>
  <c r="E88" i="56"/>
  <c r="E87" i="56"/>
  <c r="E78" i="56"/>
  <c r="E77" i="56"/>
  <c r="E76" i="56"/>
  <c r="E79" i="56"/>
  <c r="E72" i="56" l="1"/>
  <c r="E71" i="56"/>
  <c r="E70" i="56"/>
  <c r="E69" i="56"/>
  <c r="E68" i="56" l="1"/>
  <c r="E63" i="56"/>
  <c r="E62" i="56"/>
  <c r="E61" i="56"/>
  <c r="E60" i="56"/>
  <c r="E59" i="56"/>
  <c r="E58" i="56"/>
  <c r="E57" i="56"/>
  <c r="E56" i="56"/>
  <c r="E52" i="56"/>
  <c r="E51" i="56"/>
  <c r="E49" i="56"/>
  <c r="E50" i="56"/>
  <c r="E45" i="56" l="1"/>
  <c r="E44" i="56"/>
  <c r="E43" i="56"/>
  <c r="E42" i="56"/>
  <c r="E41" i="56"/>
  <c r="E40" i="56"/>
  <c r="E39" i="56"/>
  <c r="E38" i="56"/>
  <c r="E37" i="56"/>
  <c r="E36" i="56"/>
  <c r="E35" i="56"/>
  <c r="E31" i="56"/>
  <c r="E30" i="56" l="1"/>
  <c r="E29" i="56"/>
  <c r="E28" i="56"/>
  <c r="E27" i="56"/>
  <c r="E26" i="56"/>
  <c r="E22" i="56"/>
  <c r="E21" i="56"/>
  <c r="E20" i="56"/>
  <c r="E16" i="56"/>
  <c r="E15" i="56"/>
  <c r="E14" i="56"/>
  <c r="E13" i="56"/>
  <c r="E12" i="56"/>
  <c r="E11" i="56"/>
  <c r="E10" i="56"/>
  <c r="E9" i="56"/>
  <c r="E7" i="56"/>
  <c r="E8" i="56"/>
  <c r="E598" i="55" l="1"/>
  <c r="E597" i="55"/>
  <c r="E596" i="55"/>
  <c r="E595" i="55"/>
  <c r="E594" i="55"/>
  <c r="E593" i="55"/>
  <c r="E592" i="55"/>
  <c r="E591" i="55"/>
  <c r="E587" i="55"/>
  <c r="E586" i="55"/>
  <c r="E584" i="55"/>
  <c r="E583" i="55"/>
  <c r="E582" i="55"/>
  <c r="E581" i="55"/>
  <c r="E580" i="55"/>
  <c r="E579" i="55"/>
  <c r="E585" i="55"/>
  <c r="E575" i="55"/>
  <c r="E574" i="55"/>
  <c r="E573" i="55"/>
  <c r="E572" i="55"/>
  <c r="E568" i="55"/>
  <c r="E567" i="55"/>
  <c r="E566" i="55"/>
  <c r="E564" i="55"/>
  <c r="E563" i="55"/>
  <c r="E562" i="55"/>
  <c r="E565" i="55"/>
  <c r="E558" i="55"/>
  <c r="E557" i="55"/>
  <c r="E556" i="55"/>
  <c r="E555" i="55"/>
  <c r="E554" i="55"/>
  <c r="E553" i="55"/>
  <c r="E552" i="55"/>
  <c r="E551" i="55"/>
  <c r="E550" i="55"/>
  <c r="E546" i="55"/>
  <c r="E545" i="55"/>
  <c r="E544" i="55"/>
  <c r="E543" i="55"/>
  <c r="E539" i="55"/>
  <c r="E538" i="55"/>
  <c r="E537" i="55"/>
  <c r="E536" i="55"/>
  <c r="E535" i="55"/>
  <c r="E534" i="55"/>
  <c r="E533" i="55"/>
  <c r="E532" i="55"/>
  <c r="E531" i="55"/>
  <c r="E526" i="55"/>
  <c r="E525" i="55" l="1"/>
  <c r="E524" i="55"/>
  <c r="E523" i="55"/>
  <c r="E522" i="55"/>
  <c r="E521" i="55"/>
  <c r="E517" i="55"/>
  <c r="E516" i="55"/>
  <c r="E515" i="55"/>
  <c r="E512" i="55"/>
  <c r="E514" i="55"/>
  <c r="E513" i="55"/>
  <c r="E613" i="54"/>
  <c r="E612" i="54"/>
  <c r="E611" i="54"/>
  <c r="E610" i="54"/>
  <c r="E609" i="54"/>
  <c r="E608" i="54"/>
  <c r="E607" i="54"/>
  <c r="E606" i="54"/>
  <c r="E602" i="54"/>
  <c r="E601" i="54"/>
  <c r="E600" i="54"/>
  <c r="E599" i="54"/>
  <c r="E595" i="54"/>
  <c r="E594" i="54"/>
  <c r="E593" i="54"/>
  <c r="E592" i="54"/>
  <c r="E591" i="54"/>
  <c r="E590" i="54"/>
  <c r="E589" i="54"/>
  <c r="E588" i="54"/>
  <c r="E587" i="54"/>
  <c r="E582" i="54"/>
  <c r="E581" i="54"/>
  <c r="E580" i="54"/>
  <c r="E579" i="54"/>
  <c r="E578" i="54"/>
  <c r="E577" i="54"/>
  <c r="E576" i="54"/>
  <c r="E563" i="53" l="1"/>
  <c r="E572" i="54"/>
  <c r="E571" i="54"/>
  <c r="E570" i="54"/>
  <c r="E569" i="54"/>
  <c r="E568" i="54"/>
  <c r="E567" i="54"/>
  <c r="E566" i="54"/>
  <c r="E565" i="54"/>
  <c r="E561" i="54"/>
  <c r="E560" i="54"/>
  <c r="E559" i="54"/>
  <c r="E558" i="54"/>
  <c r="E554" i="54"/>
  <c r="E550" i="54"/>
  <c r="E549" i="54"/>
  <c r="E548" i="54"/>
  <c r="E544" i="54"/>
  <c r="E553" i="54"/>
  <c r="E552" i="54"/>
  <c r="E551" i="54"/>
  <c r="E543" i="54"/>
  <c r="E542" i="54"/>
  <c r="E541" i="54"/>
  <c r="E537" i="54"/>
  <c r="E536" i="54"/>
  <c r="E535" i="54"/>
  <c r="E534" i="54"/>
  <c r="E533" i="54"/>
  <c r="E532" i="54"/>
  <c r="E531" i="54"/>
  <c r="E530" i="54"/>
  <c r="E529" i="54"/>
  <c r="E525" i="54"/>
  <c r="E524" i="54"/>
  <c r="E523" i="54"/>
  <c r="E522" i="54"/>
  <c r="E521" i="54"/>
  <c r="E520" i="54"/>
  <c r="E519" i="54"/>
  <c r="E507" i="54" l="1"/>
  <c r="E506" i="54"/>
  <c r="E505" i="54"/>
  <c r="E504" i="54"/>
  <c r="E518" i="54"/>
  <c r="E517" i="54"/>
  <c r="E516" i="54"/>
  <c r="E515" i="54"/>
  <c r="E514" i="54"/>
  <c r="E513" i="54"/>
  <c r="E512" i="54"/>
  <c r="E511" i="54"/>
  <c r="E502" i="54"/>
  <c r="E503" i="54"/>
  <c r="E493" i="55" l="1"/>
  <c r="E492" i="55"/>
  <c r="E491" i="55"/>
  <c r="E490" i="55"/>
  <c r="E494" i="55"/>
  <c r="E496" i="55"/>
  <c r="E495" i="55"/>
  <c r="E507" i="55"/>
  <c r="E506" i="55"/>
  <c r="E505" i="55"/>
  <c r="E504" i="55"/>
  <c r="E503" i="55"/>
  <c r="E502" i="55"/>
  <c r="E501" i="55"/>
  <c r="E500" i="55"/>
  <c r="E141" i="54" l="1"/>
  <c r="E140" i="54"/>
  <c r="E139" i="54"/>
  <c r="E138" i="54"/>
  <c r="E137" i="54"/>
  <c r="E136" i="54"/>
  <c r="E135" i="54"/>
  <c r="E134" i="54"/>
  <c r="E133" i="54"/>
  <c r="E152" i="54"/>
  <c r="E151" i="54"/>
  <c r="E150" i="54"/>
  <c r="E149" i="54"/>
  <c r="E148" i="54"/>
  <c r="E147" i="54"/>
  <c r="E146" i="54"/>
  <c r="E145" i="54"/>
  <c r="E127" i="54"/>
  <c r="E126" i="54"/>
  <c r="E125" i="54"/>
  <c r="E124" i="54"/>
  <c r="E123" i="54"/>
  <c r="E122" i="54"/>
  <c r="E121" i="54"/>
  <c r="E120" i="54"/>
  <c r="E116" i="54"/>
  <c r="E115" i="54"/>
  <c r="E114" i="54"/>
  <c r="E113" i="54"/>
  <c r="E108" i="54"/>
  <c r="E107" i="54"/>
  <c r="E106" i="54"/>
  <c r="E105" i="54"/>
  <c r="E104" i="54"/>
  <c r="E109" i="54"/>
  <c r="E99" i="54"/>
  <c r="E98" i="54"/>
  <c r="E97" i="54"/>
  <c r="E96" i="54"/>
  <c r="E95" i="54"/>
  <c r="E94" i="54"/>
  <c r="E100" i="54"/>
  <c r="E85" i="54"/>
  <c r="E84" i="54"/>
  <c r="E83" i="54"/>
  <c r="E86" i="54"/>
  <c r="E89" i="54"/>
  <c r="E88" i="54"/>
  <c r="E87" i="54"/>
  <c r="E72" i="54"/>
  <c r="E71" i="54"/>
  <c r="E70" i="54"/>
  <c r="E69" i="54"/>
  <c r="E68" i="54"/>
  <c r="E79" i="54"/>
  <c r="E78" i="54"/>
  <c r="E77" i="54"/>
  <c r="E76" i="54"/>
  <c r="E63" i="54" l="1"/>
  <c r="E62" i="54"/>
  <c r="E61" i="54"/>
  <c r="E60" i="54"/>
  <c r="E59" i="54"/>
  <c r="E58" i="54"/>
  <c r="E57" i="54"/>
  <c r="E56" i="54"/>
  <c r="E52" i="54"/>
  <c r="E51" i="54"/>
  <c r="E50" i="54"/>
  <c r="E49" i="54"/>
  <c r="E282" i="54"/>
  <c r="E281" i="54"/>
  <c r="E280" i="54"/>
  <c r="E279" i="54"/>
  <c r="E275" i="54"/>
  <c r="E272" i="54" l="1"/>
  <c r="E270" i="54"/>
  <c r="E274" i="54"/>
  <c r="E273" i="54"/>
  <c r="E271" i="54"/>
  <c r="E265" i="54"/>
  <c r="E264" i="54"/>
  <c r="E263" i="54"/>
  <c r="E262" i="54"/>
  <c r="E261" i="54"/>
  <c r="E260" i="54"/>
  <c r="E259" i="54"/>
  <c r="E258" i="54"/>
  <c r="E254" i="54"/>
  <c r="E253" i="54"/>
  <c r="E252" i="54"/>
  <c r="E251" i="54"/>
  <c r="E247" i="54"/>
  <c r="E246" i="54"/>
  <c r="E245" i="54"/>
  <c r="E244" i="54"/>
  <c r="E243" i="54"/>
  <c r="E242" i="54"/>
  <c r="E241" i="54"/>
  <c r="E240" i="54"/>
  <c r="E233" i="54"/>
  <c r="E232" i="54"/>
  <c r="E231" i="54"/>
  <c r="E230" i="54"/>
  <c r="E236" i="54"/>
  <c r="E235" i="54"/>
  <c r="E234" i="54"/>
  <c r="E226" i="54" l="1"/>
  <c r="E225" i="54"/>
  <c r="E224" i="54"/>
  <c r="E223" i="54"/>
  <c r="E222" i="54"/>
  <c r="E221" i="54"/>
  <c r="E217" i="54"/>
  <c r="E216" i="54"/>
  <c r="E215" i="54"/>
  <c r="E214" i="54"/>
  <c r="E213" i="54"/>
  <c r="E212" i="54"/>
  <c r="E211" i="54"/>
  <c r="E210" i="54"/>
  <c r="E209" i="54"/>
  <c r="E204" i="54" l="1"/>
  <c r="E203" i="54"/>
  <c r="E202" i="54"/>
  <c r="E201" i="54"/>
  <c r="E197" i="54"/>
  <c r="E193" i="54"/>
  <c r="E192" i="54"/>
  <c r="E191" i="54"/>
  <c r="E196" i="54"/>
  <c r="E195" i="54"/>
  <c r="E194" i="54"/>
  <c r="E497" i="54" l="1"/>
  <c r="E496" i="54"/>
  <c r="E495" i="54"/>
  <c r="E494" i="54"/>
  <c r="E493" i="54"/>
  <c r="E492" i="54"/>
  <c r="E491" i="54"/>
  <c r="E490" i="54"/>
  <c r="E486" i="54"/>
  <c r="E484" i="54"/>
  <c r="E483" i="54"/>
  <c r="E482" i="54"/>
  <c r="E481" i="54"/>
  <c r="E480" i="54"/>
  <c r="E485" i="54"/>
  <c r="E364" i="54"/>
  <c r="E363" i="54"/>
  <c r="E362" i="54"/>
  <c r="E361" i="54"/>
  <c r="E360" i="54"/>
  <c r="E359" i="54"/>
  <c r="E358" i="54"/>
  <c r="E357" i="54"/>
  <c r="E353" i="54"/>
  <c r="E352" i="54"/>
  <c r="E351" i="54"/>
  <c r="E350" i="54"/>
  <c r="E345" i="54"/>
  <c r="E344" i="54"/>
  <c r="E343" i="54"/>
  <c r="E342" i="54"/>
  <c r="E341" i="54"/>
  <c r="E340" i="54"/>
  <c r="E339" i="54"/>
  <c r="E335" i="54"/>
  <c r="E334" i="54"/>
  <c r="E333" i="54"/>
  <c r="E332" i="54"/>
  <c r="E346" i="54"/>
  <c r="E315" i="54"/>
  <c r="E314" i="54"/>
  <c r="E313" i="54"/>
  <c r="E316" i="54"/>
  <c r="E319" i="54"/>
  <c r="E318" i="54"/>
  <c r="E317" i="54"/>
  <c r="E325" i="54"/>
  <c r="E324" i="54"/>
  <c r="E323" i="54"/>
  <c r="E326" i="54"/>
  <c r="E327" i="54"/>
  <c r="E328" i="54"/>
  <c r="E308" i="54" l="1"/>
  <c r="E307" i="54"/>
  <c r="E306" i="54"/>
  <c r="E305" i="54"/>
  <c r="E304" i="54"/>
  <c r="E303" i="54"/>
  <c r="E309" i="54"/>
  <c r="E297" i="54" l="1"/>
  <c r="E296" i="54"/>
  <c r="E295" i="54"/>
  <c r="E294" i="54"/>
  <c r="E293" i="54"/>
  <c r="E292" i="54"/>
  <c r="E288" i="54"/>
  <c r="E287" i="54"/>
  <c r="E286" i="54"/>
  <c r="E187" i="54" l="1"/>
  <c r="E186" i="54"/>
  <c r="E185" i="54"/>
  <c r="E184" i="54"/>
  <c r="E180" i="54"/>
  <c r="E179" i="54" l="1"/>
  <c r="E178" i="54"/>
  <c r="E625" i="54"/>
  <c r="E624" i="54"/>
  <c r="E623" i="54"/>
  <c r="E622" i="54"/>
  <c r="E621" i="54"/>
  <c r="E620" i="54"/>
  <c r="E619" i="54"/>
  <c r="E618" i="54"/>
  <c r="E617" i="54"/>
  <c r="E488" i="53" l="1"/>
  <c r="E487" i="53"/>
  <c r="E486" i="53"/>
  <c r="E485" i="53"/>
  <c r="E484" i="53"/>
  <c r="E483" i="53"/>
  <c r="E482" i="53"/>
  <c r="E481" i="53"/>
  <c r="E477" i="53"/>
  <c r="E476" i="53"/>
  <c r="E475" i="53"/>
  <c r="E474" i="53"/>
  <c r="E473" i="53"/>
  <c r="E472" i="53"/>
  <c r="E471" i="53"/>
  <c r="E486" i="55"/>
  <c r="E485" i="55"/>
  <c r="E484" i="55"/>
  <c r="E483" i="55"/>
  <c r="E482" i="55"/>
  <c r="E481" i="55"/>
  <c r="E480" i="55"/>
  <c r="E479" i="55"/>
  <c r="E475" i="55"/>
  <c r="E474" i="55"/>
  <c r="E473" i="55"/>
  <c r="E472" i="55"/>
  <c r="E467" i="53"/>
  <c r="E466" i="53"/>
  <c r="E465" i="53"/>
  <c r="E464" i="53"/>
  <c r="E463" i="53"/>
  <c r="E462" i="53"/>
  <c r="E461" i="53"/>
  <c r="E460" i="53"/>
  <c r="E456" i="53"/>
  <c r="E455" i="53"/>
  <c r="E454" i="53"/>
  <c r="E453" i="53"/>
  <c r="E465" i="54"/>
  <c r="E464" i="54"/>
  <c r="E463" i="54"/>
  <c r="E462" i="54"/>
  <c r="E469" i="54"/>
  <c r="E476" i="54"/>
  <c r="E475" i="54"/>
  <c r="E474" i="54"/>
  <c r="E472" i="54"/>
  <c r="E471" i="54"/>
  <c r="E470" i="54"/>
  <c r="E473" i="54"/>
  <c r="E45" i="54"/>
  <c r="E44" i="54"/>
  <c r="E43" i="54"/>
  <c r="E42" i="54"/>
  <c r="E41" i="54"/>
  <c r="E40" i="54"/>
  <c r="E39" i="54"/>
  <c r="E38" i="54"/>
  <c r="E37" i="54"/>
  <c r="E36" i="54"/>
  <c r="E35" i="54"/>
  <c r="E31" i="54"/>
  <c r="E30" i="54"/>
  <c r="E29" i="54"/>
  <c r="E28" i="54"/>
  <c r="E27" i="54"/>
  <c r="E26" i="54"/>
  <c r="E22" i="54" l="1"/>
  <c r="E21" i="54"/>
  <c r="E20" i="54"/>
  <c r="E231" i="52" l="1"/>
  <c r="E230" i="52"/>
  <c r="E229" i="52"/>
  <c r="E232" i="52"/>
  <c r="E586" i="52"/>
  <c r="E585" i="52"/>
  <c r="E584" i="52"/>
  <c r="E583" i="52"/>
  <c r="E582" i="52"/>
  <c r="E581" i="52"/>
  <c r="E580" i="52"/>
  <c r="E579" i="52"/>
  <c r="E578" i="52"/>
  <c r="E597" i="52"/>
  <c r="E596" i="52"/>
  <c r="E595" i="52"/>
  <c r="E594" i="52"/>
  <c r="E593" i="52"/>
  <c r="E592" i="52"/>
  <c r="E591" i="52"/>
  <c r="E590" i="52"/>
  <c r="E555" i="52"/>
  <c r="E554" i="52"/>
  <c r="E553" i="52"/>
  <c r="E552" i="52"/>
  <c r="E551" i="52"/>
  <c r="E550" i="52"/>
  <c r="E549" i="52"/>
  <c r="E548" i="52"/>
  <c r="E556" i="52"/>
  <c r="E539" i="52" l="1"/>
  <c r="E538" i="52"/>
  <c r="E537" i="52"/>
  <c r="E540" i="52"/>
  <c r="E543" i="52"/>
  <c r="E542" i="52"/>
  <c r="E541" i="52"/>
  <c r="E533" i="52"/>
  <c r="E532" i="52"/>
  <c r="E531" i="52"/>
  <c r="E530" i="52"/>
  <c r="E526" i="52"/>
  <c r="E525" i="52"/>
  <c r="E524" i="52"/>
  <c r="E523" i="52"/>
  <c r="E522" i="52"/>
  <c r="E521" i="52"/>
  <c r="E520" i="52"/>
  <c r="E478" i="52"/>
  <c r="E477" i="52"/>
  <c r="E476" i="52"/>
  <c r="E475" i="52"/>
  <c r="E474" i="52"/>
  <c r="E473" i="52"/>
  <c r="E472" i="52"/>
  <c r="E471" i="52"/>
  <c r="E467" i="52"/>
  <c r="E466" i="52"/>
  <c r="E465" i="52"/>
  <c r="E464" i="52"/>
  <c r="E463" i="52"/>
  <c r="E462" i="52"/>
  <c r="E461" i="52"/>
  <c r="E457" i="52" l="1"/>
  <c r="E456" i="52"/>
  <c r="E455" i="52"/>
  <c r="E454" i="52"/>
  <c r="E453" i="52"/>
  <c r="E452" i="52"/>
  <c r="E451" i="52"/>
  <c r="E450" i="52"/>
  <c r="E446" i="52"/>
  <c r="E445" i="52"/>
  <c r="E444" i="52"/>
  <c r="E443" i="52"/>
  <c r="E411" i="54"/>
  <c r="E410" i="54"/>
  <c r="E409" i="54"/>
  <c r="E408" i="54"/>
  <c r="E404" i="54"/>
  <c r="E403" i="54"/>
  <c r="E402" i="54"/>
  <c r="E401" i="54"/>
  <c r="E453" i="55"/>
  <c r="E452" i="55"/>
  <c r="E451" i="55"/>
  <c r="E450" i="55"/>
  <c r="E449" i="55"/>
  <c r="E448" i="55"/>
  <c r="E447" i="55"/>
  <c r="E468" i="55" l="1"/>
  <c r="E467" i="55"/>
  <c r="E466" i="55"/>
  <c r="E465" i="55"/>
  <c r="E464" i="55"/>
  <c r="E463" i="55"/>
  <c r="E462" i="55"/>
  <c r="E461" i="55"/>
  <c r="E460" i="55"/>
  <c r="E459" i="55"/>
  <c r="E443" i="55" l="1"/>
  <c r="E442" i="55"/>
  <c r="E441" i="55"/>
  <c r="E440" i="55"/>
  <c r="E439" i="55"/>
  <c r="E438" i="55"/>
  <c r="E437" i="55"/>
  <c r="E436" i="55"/>
  <c r="E435" i="55"/>
  <c r="E429" i="55"/>
  <c r="E428" i="55"/>
  <c r="E427" i="55"/>
  <c r="E426" i="55"/>
  <c r="E423" i="55"/>
  <c r="E424" i="55"/>
  <c r="E425" i="55"/>
  <c r="E408" i="52" l="1"/>
  <c r="E407" i="52"/>
  <c r="E406" i="52"/>
  <c r="E409" i="52"/>
  <c r="E414" i="52"/>
  <c r="E413" i="52"/>
  <c r="E412" i="52"/>
  <c r="E411" i="52"/>
  <c r="E410" i="52"/>
  <c r="E396" i="52" l="1"/>
  <c r="E397" i="52"/>
  <c r="E402" i="52"/>
  <c r="E401" i="52"/>
  <c r="E400" i="52"/>
  <c r="E399" i="52"/>
  <c r="E398" i="52"/>
  <c r="E415" i="54"/>
  <c r="E416" i="54"/>
  <c r="E437" i="54"/>
  <c r="E438" i="54"/>
  <c r="E418" i="52"/>
  <c r="E419" i="52"/>
  <c r="E439" i="52" l="1"/>
  <c r="E438" i="52"/>
  <c r="E437" i="52"/>
  <c r="E436" i="52"/>
  <c r="E435" i="52"/>
  <c r="E434" i="52"/>
  <c r="E429" i="52"/>
  <c r="E433" i="52"/>
  <c r="E432" i="52"/>
  <c r="E431" i="52"/>
  <c r="E430" i="52"/>
  <c r="E451" i="54"/>
  <c r="E448" i="54"/>
  <c r="E442" i="53"/>
  <c r="E441" i="53"/>
  <c r="E424" i="52"/>
  <c r="E423" i="52"/>
  <c r="E422" i="52"/>
  <c r="E421" i="52"/>
  <c r="E420" i="52"/>
  <c r="E433" i="54" l="1"/>
  <c r="E432" i="54"/>
  <c r="E431" i="54"/>
  <c r="E430" i="54"/>
  <c r="E429" i="54"/>
  <c r="E428" i="54"/>
  <c r="E427" i="54"/>
  <c r="E426" i="54"/>
  <c r="E425" i="54"/>
  <c r="E421" i="54"/>
  <c r="E420" i="54"/>
  <c r="E419" i="54"/>
  <c r="E418" i="54"/>
  <c r="E417" i="54"/>
  <c r="E443" i="54"/>
  <c r="E442" i="54"/>
  <c r="E441" i="54"/>
  <c r="E440" i="54"/>
  <c r="E439" i="54"/>
  <c r="E458" i="54"/>
  <c r="E457" i="54"/>
  <c r="E456" i="54"/>
  <c r="E455" i="54"/>
  <c r="E454" i="54"/>
  <c r="E453" i="54"/>
  <c r="E452" i="54"/>
  <c r="E450" i="54"/>
  <c r="E449" i="54"/>
  <c r="E449" i="53" l="1"/>
  <c r="E448" i="53"/>
  <c r="E447" i="53"/>
  <c r="E446" i="53"/>
  <c r="E445" i="53"/>
  <c r="E444" i="53"/>
  <c r="E443" i="53"/>
  <c r="E440" i="53"/>
  <c r="E434" i="53" l="1"/>
  <c r="E433" i="53"/>
  <c r="E432" i="53"/>
  <c r="E431" i="53"/>
  <c r="E425" i="53"/>
  <c r="E424" i="53"/>
  <c r="E423" i="53"/>
  <c r="E422" i="53"/>
  <c r="E421" i="53"/>
  <c r="E420" i="53"/>
  <c r="E419" i="53"/>
  <c r="E430" i="53"/>
  <c r="E429" i="53"/>
  <c r="E418" i="53"/>
  <c r="E417" i="53"/>
  <c r="E415" i="53"/>
  <c r="E416" i="53"/>
  <c r="E414" i="53"/>
  <c r="E419" i="55"/>
  <c r="E418" i="55"/>
  <c r="E417" i="55"/>
  <c r="E416" i="55"/>
  <c r="E412" i="55"/>
  <c r="E411" i="55"/>
  <c r="E410" i="55"/>
  <c r="E409" i="55"/>
  <c r="E408" i="53"/>
  <c r="E407" i="53"/>
  <c r="E406" i="53"/>
  <c r="E405" i="53"/>
  <c r="E401" i="53"/>
  <c r="E400" i="53"/>
  <c r="E399" i="53"/>
  <c r="E398" i="53"/>
  <c r="E394" i="53"/>
  <c r="E393" i="53"/>
  <c r="E392" i="53"/>
  <c r="E391" i="53"/>
  <c r="E390" i="53"/>
  <c r="E388" i="53"/>
  <c r="E389" i="53"/>
  <c r="E379" i="53"/>
  <c r="E378" i="53"/>
  <c r="E377" i="53"/>
  <c r="E380" i="53"/>
  <c r="E383" i="53"/>
  <c r="E382" i="53"/>
  <c r="E381" i="53"/>
  <c r="E405" i="55"/>
  <c r="E404" i="55"/>
  <c r="E403" i="55"/>
  <c r="E402" i="55"/>
  <c r="E401" i="55"/>
  <c r="E400" i="55"/>
  <c r="E391" i="55"/>
  <c r="E396" i="55"/>
  <c r="E395" i="55"/>
  <c r="E399" i="55"/>
  <c r="E398" i="55"/>
  <c r="E397" i="55"/>
  <c r="E390" i="55"/>
  <c r="E389" i="55"/>
  <c r="E388" i="55"/>
  <c r="E387" i="55"/>
  <c r="E386" i="55"/>
  <c r="E385" i="55"/>
  <c r="E376" i="55"/>
  <c r="E375" i="55"/>
  <c r="E374" i="55"/>
  <c r="E377" i="55"/>
  <c r="E380" i="55"/>
  <c r="E379" i="55"/>
  <c r="E378" i="55"/>
  <c r="E397" i="54" l="1"/>
  <c r="E396" i="54"/>
  <c r="E395" i="54"/>
  <c r="E394" i="54"/>
  <c r="E393" i="54"/>
  <c r="E392" i="54"/>
  <c r="E391" i="54"/>
  <c r="E383" i="54"/>
  <c r="E382" i="54"/>
  <c r="E381" i="54"/>
  <c r="E380" i="54"/>
  <c r="E386" i="54"/>
  <c r="E385" i="54"/>
  <c r="E384" i="54"/>
  <c r="E168" i="54" l="1"/>
  <c r="E167" i="54"/>
  <c r="E166" i="54" l="1"/>
  <c r="E162" i="54"/>
  <c r="E376" i="54"/>
  <c r="E375" i="54"/>
  <c r="E374" i="54"/>
  <c r="E373" i="54"/>
  <c r="E372" i="54"/>
  <c r="E371" i="54"/>
  <c r="E370" i="54"/>
  <c r="E369" i="54"/>
  <c r="E368" i="54"/>
  <c r="E174" i="54" l="1"/>
  <c r="E173" i="54"/>
  <c r="E172" i="54"/>
  <c r="E171" i="54"/>
  <c r="E170" i="54"/>
  <c r="E169" i="54"/>
  <c r="E161" i="54"/>
  <c r="E160" i="54"/>
  <c r="E159" i="54"/>
  <c r="E158" i="54"/>
  <c r="E157" i="54"/>
  <c r="E373" i="53"/>
  <c r="E372" i="53"/>
  <c r="E371" i="53"/>
  <c r="E370" i="53"/>
  <c r="E369" i="53"/>
  <c r="E368" i="53"/>
  <c r="E367" i="53"/>
  <c r="E366" i="53"/>
  <c r="E362" i="53"/>
  <c r="E361" i="53"/>
  <c r="E360" i="53"/>
  <c r="E356" i="53"/>
  <c r="E355" i="53"/>
  <c r="E354" i="53"/>
  <c r="E359" i="53"/>
  <c r="E358" i="53"/>
  <c r="E357" i="53"/>
  <c r="E359" i="55" l="1"/>
  <c r="E358" i="55"/>
  <c r="E357" i="55"/>
  <c r="E356" i="55"/>
  <c r="E355" i="55"/>
  <c r="E370" i="55"/>
  <c r="E369" i="55"/>
  <c r="E368" i="55"/>
  <c r="E367" i="55"/>
  <c r="E366" i="55"/>
  <c r="E365" i="55"/>
  <c r="E364" i="55"/>
  <c r="E363" i="55"/>
  <c r="E353" i="55"/>
  <c r="E352" i="55"/>
  <c r="E351" i="55"/>
  <c r="E354" i="55"/>
  <c r="E347" i="55" l="1"/>
  <c r="E346" i="55"/>
  <c r="E345" i="55"/>
  <c r="E344" i="55"/>
  <c r="E343" i="55"/>
  <c r="E342" i="55"/>
  <c r="E341" i="55"/>
  <c r="E340" i="55"/>
  <c r="E336" i="55"/>
  <c r="E335" i="55"/>
  <c r="E334" i="55"/>
  <c r="E333" i="55"/>
  <c r="E350" i="53"/>
  <c r="E349" i="53"/>
  <c r="E348" i="53"/>
  <c r="E347" i="53"/>
  <c r="E346" i="53"/>
  <c r="E345" i="53"/>
  <c r="E344" i="53"/>
  <c r="E343" i="53"/>
  <c r="E339" i="53"/>
  <c r="E338" i="53"/>
  <c r="E337" i="53"/>
  <c r="E336" i="53"/>
  <c r="E331" i="53" l="1"/>
  <c r="E330" i="53"/>
  <c r="E329" i="53"/>
  <c r="E328" i="53"/>
  <c r="E327" i="53"/>
  <c r="E332" i="53"/>
  <c r="E321" i="53"/>
  <c r="E320" i="53" l="1"/>
  <c r="E319" i="53"/>
  <c r="E318" i="53"/>
  <c r="E314" i="53"/>
  <c r="E313" i="53" l="1"/>
  <c r="E312" i="53"/>
  <c r="E311" i="53"/>
  <c r="E310" i="53"/>
  <c r="E309" i="53"/>
  <c r="E308" i="53"/>
  <c r="E329" i="55"/>
  <c r="E328" i="55"/>
  <c r="E327" i="55"/>
  <c r="E326" i="55"/>
  <c r="E325" i="55"/>
  <c r="E320" i="55"/>
  <c r="E324" i="55"/>
  <c r="E319" i="55"/>
  <c r="E318" i="55"/>
  <c r="E317" i="55"/>
  <c r="E313" i="55"/>
  <c r="E310" i="55"/>
  <c r="E309" i="55"/>
  <c r="E308" i="55"/>
  <c r="E307" i="55"/>
  <c r="E312" i="55"/>
  <c r="E311" i="55"/>
  <c r="E304" i="53" l="1"/>
  <c r="E303" i="53"/>
  <c r="E302" i="53"/>
  <c r="E301" i="53"/>
  <c r="E300" i="53" l="1"/>
  <c r="E299" i="53"/>
  <c r="E295" i="53" l="1"/>
  <c r="E294" i="53"/>
  <c r="E293" i="53"/>
  <c r="E303" i="55"/>
  <c r="E302" i="55"/>
  <c r="E301" i="55"/>
  <c r="E300" i="55"/>
  <c r="E299" i="55"/>
  <c r="E298" i="55"/>
  <c r="E292" i="55" l="1"/>
  <c r="E291" i="55"/>
  <c r="E290" i="55"/>
  <c r="E286" i="55" l="1"/>
  <c r="E285" i="55"/>
  <c r="E284" i="55"/>
  <c r="E283" i="55"/>
  <c r="E277" i="55" l="1"/>
  <c r="E276" i="55"/>
  <c r="E275" i="55"/>
  <c r="E274" i="55"/>
  <c r="E273" i="55"/>
  <c r="E282" i="55"/>
  <c r="E281" i="55"/>
  <c r="E272" i="55"/>
  <c r="E289" i="53"/>
  <c r="E288" i="53"/>
  <c r="E287" i="53"/>
  <c r="E286" i="53"/>
  <c r="E285" i="53"/>
  <c r="E284" i="53"/>
  <c r="E280" i="53"/>
  <c r="E279" i="53"/>
  <c r="E278" i="53"/>
  <c r="E277" i="53"/>
  <c r="E276" i="53"/>
  <c r="E275" i="53" l="1"/>
  <c r="E259" i="53" l="1"/>
  <c r="E258" i="53"/>
  <c r="E257" i="53"/>
  <c r="E256" i="53"/>
  <c r="E263" i="53"/>
  <c r="E270" i="53"/>
  <c r="E269" i="53"/>
  <c r="E268" i="53"/>
  <c r="E267" i="53"/>
  <c r="E266" i="53"/>
  <c r="E265" i="53"/>
  <c r="E264" i="53"/>
  <c r="E267" i="55"/>
  <c r="E266" i="55"/>
  <c r="E265" i="55"/>
  <c r="E264" i="55"/>
  <c r="E263" i="55"/>
  <c r="E262" i="55"/>
  <c r="E261" i="55"/>
  <c r="E260" i="55"/>
  <c r="E256" i="55"/>
  <c r="E255" i="55"/>
  <c r="E254" i="55"/>
  <c r="E253" i="55"/>
  <c r="E596" i="53" l="1"/>
  <c r="E595" i="53"/>
  <c r="E594" i="53"/>
  <c r="E593" i="53"/>
  <c r="E588" i="53" l="1"/>
  <c r="E587" i="53"/>
  <c r="E586" i="53"/>
  <c r="E585" i="53"/>
  <c r="E584" i="53"/>
  <c r="E589" i="53"/>
  <c r="E582" i="53"/>
  <c r="E581" i="53"/>
  <c r="E583" i="53"/>
  <c r="E572" i="53"/>
  <c r="E571" i="53"/>
  <c r="E570" i="53"/>
  <c r="E573" i="53"/>
  <c r="E576" i="53"/>
  <c r="E575" i="53"/>
  <c r="E574" i="53"/>
  <c r="E555" i="53" l="1"/>
  <c r="E554" i="53"/>
  <c r="E553" i="53"/>
  <c r="E552" i="53"/>
  <c r="E551" i="53"/>
  <c r="E550" i="53"/>
  <c r="E549" i="53"/>
  <c r="E548" i="53"/>
  <c r="E547" i="53"/>
  <c r="E566" i="53"/>
  <c r="E565" i="53"/>
  <c r="E564" i="53"/>
  <c r="E562" i="53"/>
  <c r="E561" i="53"/>
  <c r="E560" i="53"/>
  <c r="E559" i="53"/>
  <c r="E536" i="53" l="1"/>
  <c r="E535" i="53"/>
  <c r="E534" i="53"/>
  <c r="E543" i="53"/>
  <c r="E542" i="53"/>
  <c r="E541" i="53"/>
  <c r="E540" i="53"/>
  <c r="E532" i="53"/>
  <c r="E531" i="53"/>
  <c r="E530" i="53"/>
  <c r="E533" i="53"/>
  <c r="E526" i="53"/>
  <c r="E525" i="53"/>
  <c r="E524" i="53"/>
  <c r="E523" i="53"/>
  <c r="E519" i="53"/>
  <c r="E518" i="53" l="1"/>
  <c r="E517" i="53"/>
  <c r="E516" i="53"/>
  <c r="E515" i="53"/>
  <c r="E514" i="53"/>
  <c r="E513" i="53"/>
  <c r="E512" i="53"/>
  <c r="E511" i="53"/>
  <c r="E252" i="53" l="1"/>
  <c r="E251" i="53"/>
  <c r="E250" i="53"/>
  <c r="E249" i="53"/>
  <c r="E248" i="53"/>
  <c r="E247" i="53"/>
  <c r="E246" i="53"/>
  <c r="E245" i="53"/>
  <c r="E241" i="53"/>
  <c r="E237" i="53"/>
  <c r="E236" i="53"/>
  <c r="E235" i="53"/>
  <c r="E238" i="53"/>
  <c r="E240" i="53"/>
  <c r="E239" i="53"/>
  <c r="E249" i="55"/>
  <c r="E248" i="55"/>
  <c r="E247" i="55"/>
  <c r="E246" i="55"/>
  <c r="E245" i="55"/>
  <c r="E244" i="55"/>
  <c r="E243" i="55"/>
  <c r="E242" i="55"/>
  <c r="E238" i="55"/>
  <c r="E234" i="55"/>
  <c r="E233" i="55"/>
  <c r="E232" i="55"/>
  <c r="E237" i="55"/>
  <c r="E236" i="55"/>
  <c r="E235" i="55"/>
  <c r="E228" i="55" l="1"/>
  <c r="E227" i="55"/>
  <c r="E226" i="55"/>
  <c r="E225" i="55"/>
  <c r="E224" i="55"/>
  <c r="E223" i="55"/>
  <c r="E222" i="55"/>
  <c r="E221" i="55"/>
  <c r="E220" i="55"/>
  <c r="E214" i="55" l="1"/>
  <c r="E213" i="55"/>
  <c r="E210" i="55"/>
  <c r="E215" i="55"/>
  <c r="E212" i="55"/>
  <c r="E211" i="55"/>
  <c r="E231" i="53"/>
  <c r="E230" i="53"/>
  <c r="E229" i="53"/>
  <c r="E228" i="53"/>
  <c r="E227" i="53"/>
  <c r="E226" i="53"/>
  <c r="E225" i="53"/>
  <c r="E224" i="53"/>
  <c r="E223" i="53"/>
  <c r="E218" i="53" l="1"/>
  <c r="E217" i="53"/>
  <c r="E216" i="53"/>
  <c r="E215" i="53"/>
  <c r="E214" i="53"/>
  <c r="E213" i="53"/>
  <c r="E209" i="53"/>
  <c r="E208" i="53"/>
  <c r="E207" i="53"/>
  <c r="E206" i="53"/>
  <c r="E202" i="53"/>
  <c r="E198" i="53"/>
  <c r="E197" i="53"/>
  <c r="E196" i="53"/>
  <c r="E201" i="53"/>
  <c r="E200" i="53"/>
  <c r="E199" i="53"/>
  <c r="E111" i="55"/>
  <c r="E110" i="55"/>
  <c r="E109" i="55"/>
  <c r="E108" i="55"/>
  <c r="E107" i="55"/>
  <c r="E105" i="55"/>
  <c r="E104" i="55"/>
  <c r="E103" i="55"/>
  <c r="E106" i="55"/>
  <c r="E95" i="55"/>
  <c r="E94" i="55"/>
  <c r="E93" i="55"/>
  <c r="E96" i="55"/>
  <c r="E85" i="55"/>
  <c r="E84" i="55"/>
  <c r="E83" i="55"/>
  <c r="E97" i="55"/>
  <c r="E98" i="55"/>
  <c r="E89" i="55"/>
  <c r="E88" i="55"/>
  <c r="E87" i="55"/>
  <c r="E86" i="55"/>
  <c r="E118" i="55"/>
  <c r="E117" i="55"/>
  <c r="E116" i="55"/>
  <c r="E115" i="55"/>
  <c r="E122" i="55"/>
  <c r="E129" i="55"/>
  <c r="E128" i="55"/>
  <c r="E127" i="55"/>
  <c r="E126" i="55"/>
  <c r="E125" i="55"/>
  <c r="E124" i="55"/>
  <c r="E123" i="55"/>
  <c r="E70" i="55"/>
  <c r="E72" i="55"/>
  <c r="E71" i="55"/>
  <c r="E69" i="55"/>
  <c r="E68" i="55"/>
  <c r="E79" i="55"/>
  <c r="E78" i="55"/>
  <c r="E76" i="55"/>
  <c r="E77" i="55"/>
  <c r="E63" i="55" l="1"/>
  <c r="E62" i="55"/>
  <c r="E61" i="55"/>
  <c r="E60" i="55"/>
  <c r="E59" i="55"/>
  <c r="E58" i="55"/>
  <c r="E57" i="55"/>
  <c r="E56" i="55"/>
  <c r="E52" i="55"/>
  <c r="E51" i="55"/>
  <c r="E50" i="55"/>
  <c r="E49" i="55"/>
  <c r="E206" i="55" l="1"/>
  <c r="E205" i="55"/>
  <c r="E204" i="55"/>
  <c r="E203" i="55"/>
  <c r="E196" i="55"/>
  <c r="E195" i="55"/>
  <c r="E194" i="55"/>
  <c r="E193" i="55"/>
  <c r="E199" i="55"/>
  <c r="E198" i="55"/>
  <c r="E197" i="55"/>
  <c r="E189" i="55"/>
  <c r="E188" i="55"/>
  <c r="E187" i="55"/>
  <c r="E186" i="55"/>
  <c r="E182" i="55"/>
  <c r="E181" i="55" l="1"/>
  <c r="E180" i="55"/>
  <c r="E176" i="55" l="1"/>
  <c r="E175" i="55"/>
  <c r="E174" i="55"/>
  <c r="E173" i="55"/>
  <c r="E172" i="55"/>
  <c r="E171" i="55"/>
  <c r="E170" i="55"/>
  <c r="E169" i="55"/>
  <c r="E168" i="55"/>
  <c r="E164" i="55"/>
  <c r="E163" i="55"/>
  <c r="E162" i="55"/>
  <c r="E161" i="55"/>
  <c r="E160" i="55"/>
  <c r="E159" i="55"/>
  <c r="E154" i="55"/>
  <c r="E153" i="55"/>
  <c r="E152" i="55"/>
  <c r="E151" i="55"/>
  <c r="E150" i="55"/>
  <c r="E149" i="55"/>
  <c r="E148" i="55"/>
  <c r="E147" i="55"/>
  <c r="E143" i="55"/>
  <c r="E142" i="55"/>
  <c r="E141" i="55"/>
  <c r="E140" i="55"/>
  <c r="E139" i="55"/>
  <c r="E138" i="55"/>
  <c r="E137" i="55"/>
  <c r="E136" i="55"/>
  <c r="E135" i="55"/>
  <c r="E45" i="55" l="1"/>
  <c r="E44" i="55"/>
  <c r="E43" i="55"/>
  <c r="E42" i="55"/>
  <c r="E41" i="55"/>
  <c r="E40" i="55"/>
  <c r="E39" i="55"/>
  <c r="E38" i="55"/>
  <c r="E37" i="55"/>
  <c r="E36" i="55"/>
  <c r="E35" i="55"/>
  <c r="E30" i="55"/>
  <c r="E29" i="55"/>
  <c r="E28" i="55"/>
  <c r="E27" i="55"/>
  <c r="E26" i="55"/>
  <c r="E31" i="55"/>
  <c r="E22" i="55"/>
  <c r="E21" i="55"/>
  <c r="E20" i="55"/>
  <c r="E16" i="55" l="1"/>
  <c r="E15" i="55"/>
  <c r="E14" i="55"/>
  <c r="E13" i="55"/>
  <c r="E12" i="55"/>
  <c r="E11" i="55"/>
  <c r="E10" i="55"/>
  <c r="E9" i="55"/>
  <c r="E8" i="55"/>
  <c r="E7" i="55"/>
  <c r="E607" i="53" l="1"/>
  <c r="E608" i="53"/>
  <c r="E606" i="53"/>
  <c r="E605" i="53"/>
  <c r="E604" i="53"/>
  <c r="E603" i="53"/>
  <c r="E602" i="53"/>
  <c r="E601" i="53"/>
  <c r="E600" i="53"/>
  <c r="E504" i="53"/>
  <c r="E503" i="53"/>
  <c r="E502" i="53"/>
  <c r="E505" i="53"/>
  <c r="E506" i="53"/>
  <c r="E507" i="53"/>
  <c r="E498" i="53" l="1"/>
  <c r="E497" i="53"/>
  <c r="E496" i="53"/>
  <c r="E495" i="53"/>
  <c r="E493" i="53"/>
  <c r="E494" i="53"/>
  <c r="E185" i="53"/>
  <c r="E184" i="53"/>
  <c r="E183" i="53"/>
  <c r="E190" i="53"/>
  <c r="E189" i="53"/>
  <c r="E192" i="53"/>
  <c r="E191" i="53"/>
  <c r="E179" i="53"/>
  <c r="E178" i="53"/>
  <c r="E177" i="53"/>
  <c r="E176" i="53"/>
  <c r="E175" i="53"/>
  <c r="E174" i="53"/>
  <c r="E173" i="53"/>
  <c r="E171" i="53"/>
  <c r="E172" i="53"/>
  <c r="E167" i="53" l="1"/>
  <c r="E166" i="53"/>
  <c r="E165" i="53"/>
  <c r="E163" i="53"/>
  <c r="E164" i="53"/>
  <c r="E162" i="53"/>
  <c r="E157" i="53" l="1"/>
  <c r="E156" i="53" l="1"/>
  <c r="E155" i="53"/>
  <c r="E154" i="53"/>
  <c r="E153" i="53"/>
  <c r="E152" i="53"/>
  <c r="E151" i="53"/>
  <c r="E150" i="53"/>
  <c r="E146" i="53"/>
  <c r="E145" i="53"/>
  <c r="E144" i="53"/>
  <c r="E143" i="53"/>
  <c r="E142" i="53"/>
  <c r="E141" i="53"/>
  <c r="E140" i="53"/>
  <c r="E139" i="53"/>
  <c r="E138" i="53"/>
  <c r="E121" i="53" l="1"/>
  <c r="E120" i="53"/>
  <c r="E119" i="53"/>
  <c r="E118" i="53"/>
  <c r="E131" i="53"/>
  <c r="E130" i="53"/>
  <c r="E129" i="53"/>
  <c r="E128" i="53"/>
  <c r="E127" i="53"/>
  <c r="E126" i="53"/>
  <c r="E125" i="53"/>
  <c r="E132" i="53"/>
  <c r="E113" i="53"/>
  <c r="E112" i="53"/>
  <c r="E111" i="53"/>
  <c r="E110" i="53"/>
  <c r="E109" i="53"/>
  <c r="E108" i="53"/>
  <c r="E107" i="53"/>
  <c r="E106" i="53"/>
  <c r="E114" i="53"/>
  <c r="E100" i="53"/>
  <c r="E99" i="53"/>
  <c r="E98" i="53"/>
  <c r="E97" i="53"/>
  <c r="E96" i="53"/>
  <c r="E101" i="53"/>
  <c r="E88" i="53" l="1"/>
  <c r="E87" i="53"/>
  <c r="E86" i="53"/>
  <c r="E92" i="53"/>
  <c r="E91" i="53"/>
  <c r="E90" i="53"/>
  <c r="E89" i="53"/>
  <c r="E55" i="53" l="1"/>
  <c r="E48" i="53"/>
  <c r="E47" i="53"/>
  <c r="E46" i="53"/>
  <c r="E45" i="53"/>
  <c r="E44" i="53"/>
  <c r="E43" i="53"/>
  <c r="E42" i="53"/>
  <c r="E41" i="53"/>
  <c r="E40" i="53"/>
  <c r="E39" i="53"/>
  <c r="E38" i="53"/>
  <c r="E31" i="53"/>
  <c r="E30" i="53"/>
  <c r="E29" i="53"/>
  <c r="E32" i="53"/>
  <c r="E25" i="53" l="1"/>
  <c r="E24" i="53"/>
  <c r="E23" i="53"/>
  <c r="E34" i="53" l="1"/>
  <c r="E33" i="53"/>
  <c r="E26" i="15"/>
  <c r="E27" i="15"/>
  <c r="E28" i="15"/>
  <c r="E29" i="15"/>
  <c r="E30" i="15"/>
  <c r="E36" i="15"/>
  <c r="E35" i="15"/>
  <c r="E34" i="15"/>
  <c r="E33" i="15"/>
  <c r="E32" i="15"/>
  <c r="E31" i="15"/>
  <c r="E19" i="53"/>
  <c r="E18" i="53"/>
  <c r="E17" i="53"/>
  <c r="E16" i="53"/>
  <c r="E15" i="53"/>
  <c r="E14" i="53"/>
  <c r="E13" i="53"/>
  <c r="E12" i="53"/>
  <c r="E11" i="53"/>
  <c r="E10" i="53"/>
  <c r="E21" i="15"/>
  <c r="E22" i="15"/>
  <c r="E20" i="15"/>
  <c r="E7" i="15"/>
  <c r="E8" i="15"/>
  <c r="E9" i="15"/>
  <c r="E10" i="15"/>
  <c r="E11" i="15"/>
  <c r="E12" i="15"/>
  <c r="E13" i="15"/>
  <c r="E14" i="15"/>
  <c r="E15" i="15"/>
  <c r="E16" i="15"/>
  <c r="E6" i="15"/>
  <c r="E9" i="53"/>
  <c r="E8" i="53"/>
  <c r="E16" i="54"/>
  <c r="E15" i="54"/>
  <c r="E14" i="54"/>
  <c r="E13" i="54"/>
  <c r="E12" i="54"/>
  <c r="E11" i="54"/>
  <c r="E10" i="54"/>
  <c r="E8" i="54"/>
  <c r="E9" i="54"/>
  <c r="E7" i="54"/>
  <c r="E6" i="54" l="1"/>
  <c r="E79" i="53" l="1"/>
  <c r="E82" i="53"/>
  <c r="E81" i="53"/>
  <c r="E80" i="53"/>
  <c r="E54" i="53"/>
  <c r="E53" i="53"/>
  <c r="E52" i="53"/>
  <c r="E75" i="53"/>
  <c r="E74" i="53"/>
  <c r="E73" i="53"/>
  <c r="E72" i="53"/>
  <c r="E71" i="53"/>
  <c r="E66" i="53"/>
  <c r="E65" i="53"/>
  <c r="E64" i="53"/>
  <c r="E63" i="53"/>
  <c r="E62" i="53"/>
  <c r="E61" i="53"/>
  <c r="E60" i="53"/>
  <c r="E59" i="53"/>
  <c r="E516" i="52" l="1"/>
  <c r="E515" i="52"/>
  <c r="E514" i="52"/>
  <c r="E513" i="52"/>
  <c r="E509" i="52"/>
  <c r="E508" i="52"/>
  <c r="E507" i="52"/>
  <c r="E506" i="52"/>
  <c r="E505" i="52"/>
  <c r="E504" i="52"/>
  <c r="E503" i="52"/>
  <c r="E502" i="52"/>
  <c r="E501" i="52"/>
  <c r="E574" i="52" l="1"/>
  <c r="E573" i="52"/>
  <c r="E572" i="52"/>
  <c r="E571" i="52"/>
  <c r="E570" i="52"/>
  <c r="E569" i="52"/>
  <c r="E568" i="52"/>
  <c r="E567" i="52"/>
  <c r="E560" i="52"/>
  <c r="E563" i="52"/>
  <c r="E562" i="52"/>
  <c r="E561" i="52"/>
  <c r="E496" i="52" l="1"/>
  <c r="E495" i="52"/>
  <c r="E494" i="52"/>
  <c r="E493" i="52"/>
  <c r="E492" i="52"/>
  <c r="E497" i="52"/>
  <c r="E483" i="52"/>
  <c r="E488" i="52"/>
  <c r="E487" i="52"/>
  <c r="E486" i="52"/>
  <c r="E485" i="52"/>
  <c r="E484" i="52"/>
  <c r="E392" i="52" l="1"/>
  <c r="E391" i="52"/>
  <c r="E390" i="52"/>
  <c r="E389" i="52"/>
  <c r="E385" i="52"/>
  <c r="E384" i="52"/>
  <c r="E383" i="52"/>
  <c r="E382" i="52"/>
  <c r="E294" i="52" l="1"/>
  <c r="E293" i="52"/>
  <c r="E292" i="52"/>
  <c r="E291" i="52"/>
  <c r="E290" i="52"/>
  <c r="E289" i="52"/>
  <c r="E285" i="52"/>
  <c r="E284" i="52"/>
  <c r="E283" i="52"/>
  <c r="E282" i="52"/>
  <c r="E274" i="52"/>
  <c r="E275" i="52"/>
  <c r="E273" i="52"/>
  <c r="E278" i="52"/>
  <c r="E277" i="52"/>
  <c r="E276" i="52"/>
  <c r="E378" i="52"/>
  <c r="E377" i="52"/>
  <c r="E376" i="52"/>
  <c r="E375" i="52"/>
  <c r="E374" i="52"/>
  <c r="E373" i="52"/>
  <c r="E372" i="52"/>
  <c r="E371" i="52"/>
  <c r="E370" i="52"/>
  <c r="E365" i="52"/>
  <c r="E364" i="52"/>
  <c r="E363" i="52"/>
  <c r="E362" i="52"/>
  <c r="E361" i="52"/>
  <c r="E360" i="52"/>
  <c r="E359" i="52"/>
  <c r="E309" i="52" l="1"/>
  <c r="E308" i="52"/>
  <c r="E307" i="52"/>
  <c r="E306" i="52"/>
  <c r="E305" i="52"/>
  <c r="E304" i="52"/>
  <c r="E300" i="52"/>
  <c r="E299" i="52"/>
  <c r="E298" i="52"/>
  <c r="E355" i="52"/>
  <c r="E354" i="52"/>
  <c r="E353" i="52"/>
  <c r="E352" i="52"/>
  <c r="E351" i="52"/>
  <c r="E350" i="52"/>
  <c r="E349" i="52"/>
  <c r="E348" i="52"/>
  <c r="E343" i="52"/>
  <c r="E344" i="52" l="1"/>
  <c r="E342" i="52"/>
  <c r="E341" i="52"/>
  <c r="E318" i="52" l="1"/>
  <c r="E315" i="52"/>
  <c r="E314" i="52"/>
  <c r="E313" i="52"/>
  <c r="E316" i="52"/>
  <c r="E319" i="52"/>
  <c r="E317" i="52"/>
  <c r="E326" i="52"/>
  <c r="E325" i="52"/>
  <c r="E324" i="52"/>
  <c r="E323" i="52"/>
  <c r="E337" i="52"/>
  <c r="E336" i="52"/>
  <c r="E335" i="52"/>
  <c r="E334" i="52"/>
  <c r="E333" i="52"/>
  <c r="E332" i="52"/>
  <c r="E331" i="52"/>
  <c r="E330" i="52"/>
  <c r="E257" i="52" l="1"/>
  <c r="E256" i="52"/>
  <c r="E255" i="52"/>
  <c r="E254" i="52"/>
  <c r="E253" i="52"/>
  <c r="E252" i="52"/>
  <c r="E251" i="52"/>
  <c r="E268" i="52" l="1"/>
  <c r="E267" i="52"/>
  <c r="E266" i="52"/>
  <c r="E265" i="52"/>
  <c r="E264" i="52"/>
  <c r="E263" i="52"/>
  <c r="E262" i="52"/>
  <c r="E261" i="52"/>
  <c r="E246" i="52"/>
  <c r="E245" i="52" l="1"/>
  <c r="E244" i="52"/>
  <c r="E243" i="52"/>
  <c r="E242" i="52"/>
  <c r="E241" i="52"/>
  <c r="E240" i="52"/>
  <c r="E239" i="52"/>
  <c r="E235" i="52"/>
  <c r="E234" i="52"/>
  <c r="E233" i="52"/>
  <c r="E225" i="52"/>
  <c r="E224" i="52" l="1"/>
  <c r="E223" i="52"/>
  <c r="E222" i="52"/>
  <c r="E221" i="52"/>
  <c r="E220" i="52"/>
  <c r="E216" i="52"/>
  <c r="E215" i="52"/>
  <c r="E214" i="52"/>
  <c r="E213" i="52"/>
  <c r="E212" i="52"/>
  <c r="E211" i="52"/>
  <c r="E210" i="52"/>
  <c r="E209" i="52"/>
  <c r="E208" i="52"/>
  <c r="E203" i="52" l="1"/>
  <c r="E202" i="52"/>
  <c r="E201" i="52"/>
  <c r="E200" i="52"/>
  <c r="E193" i="52"/>
  <c r="E192" i="52"/>
  <c r="E191" i="52"/>
  <c r="E190" i="52"/>
  <c r="E196" i="52" l="1"/>
  <c r="E195" i="52"/>
  <c r="E194" i="52"/>
  <c r="E186" i="52"/>
  <c r="E185" i="52"/>
  <c r="E184" i="52"/>
  <c r="E183" i="52"/>
  <c r="E179" i="52"/>
  <c r="E178" i="52"/>
  <c r="E177" i="52"/>
  <c r="E154" i="52" l="1"/>
  <c r="E153" i="52"/>
  <c r="E152" i="52"/>
  <c r="E151" i="52"/>
  <c r="E150" i="52"/>
  <c r="E149" i="52"/>
  <c r="E148" i="52"/>
  <c r="E147" i="52"/>
  <c r="E143" i="52"/>
  <c r="E142" i="52"/>
  <c r="E141" i="52"/>
  <c r="E140" i="52"/>
  <c r="E139" i="52"/>
  <c r="E138" i="52"/>
  <c r="E137" i="52"/>
  <c r="E136" i="52"/>
  <c r="E135" i="52"/>
  <c r="E129" i="52"/>
  <c r="E128" i="52"/>
  <c r="E127" i="52"/>
  <c r="E126" i="52"/>
  <c r="E125" i="52"/>
  <c r="E124" i="52"/>
  <c r="E123" i="52"/>
  <c r="E122" i="52"/>
  <c r="E118" i="52"/>
  <c r="E117" i="52"/>
  <c r="E116" i="52"/>
  <c r="E115" i="52"/>
  <c r="E111" i="52"/>
  <c r="E110" i="52"/>
  <c r="E109" i="52"/>
  <c r="E108" i="52"/>
  <c r="E107" i="52"/>
  <c r="E106" i="52"/>
  <c r="E102" i="52"/>
  <c r="E101" i="52"/>
  <c r="E100" i="52"/>
  <c r="E99" i="52"/>
  <c r="E98" i="52"/>
  <c r="E97" i="52"/>
  <c r="E96" i="52"/>
  <c r="E95" i="52"/>
  <c r="E94" i="52"/>
  <c r="E85" i="52"/>
  <c r="E84" i="52"/>
  <c r="E83" i="52"/>
  <c r="E89" i="52"/>
  <c r="E88" i="52"/>
  <c r="E87" i="52"/>
  <c r="E86" i="52"/>
  <c r="E79" i="52"/>
  <c r="E78" i="52"/>
  <c r="E77" i="52"/>
  <c r="E76" i="52"/>
  <c r="E72" i="52"/>
  <c r="E71" i="52"/>
  <c r="E70" i="52"/>
  <c r="E69" i="52"/>
  <c r="E68" i="52"/>
  <c r="E63" i="52"/>
  <c r="E62" i="52"/>
  <c r="E61" i="52"/>
  <c r="E60" i="52"/>
  <c r="E59" i="52"/>
  <c r="E58" i="52"/>
  <c r="E57" i="52"/>
  <c r="E56" i="52"/>
  <c r="E49" i="52"/>
  <c r="E52" i="52" l="1"/>
  <c r="E51" i="52"/>
  <c r="E50" i="52"/>
  <c r="E45" i="52" l="1"/>
  <c r="E44" i="52"/>
  <c r="E43" i="52"/>
  <c r="E42" i="52"/>
  <c r="E41" i="52"/>
  <c r="E40" i="52"/>
  <c r="E31" i="52"/>
  <c r="E39" i="52"/>
  <c r="E38" i="52"/>
  <c r="E37" i="52"/>
  <c r="E36" i="52"/>
  <c r="E35" i="52"/>
  <c r="E30" i="52"/>
  <c r="E29" i="52"/>
  <c r="E28" i="52"/>
  <c r="E27" i="52"/>
  <c r="E26" i="52"/>
  <c r="E22" i="52"/>
  <c r="E20" i="52"/>
  <c r="E21" i="52"/>
  <c r="E16" i="52"/>
  <c r="E170" i="52"/>
  <c r="E169" i="52"/>
  <c r="E168" i="52"/>
  <c r="E173" i="52"/>
  <c r="E172" i="52"/>
  <c r="E171" i="52"/>
  <c r="E159" i="52"/>
  <c r="E160" i="52"/>
  <c r="E164" i="52"/>
  <c r="E163" i="52"/>
  <c r="E162" i="52"/>
  <c r="E161" i="52"/>
  <c r="E114" i="51" l="1"/>
  <c r="E262" i="42"/>
  <c r="E141" i="41"/>
  <c r="E50" i="41"/>
  <c r="E510" i="51" l="1"/>
  <c r="E509" i="51"/>
  <c r="E508" i="51"/>
  <c r="E507" i="51"/>
  <c r="E506" i="51"/>
  <c r="E15" i="52" l="1"/>
  <c r="E14" i="52"/>
  <c r="E13" i="52"/>
  <c r="E12" i="52"/>
  <c r="E11" i="52"/>
  <c r="E10" i="52"/>
  <c r="E9" i="52"/>
  <c r="E8" i="52"/>
  <c r="E7" i="52"/>
  <c r="E6" i="52" l="1"/>
  <c r="E634" i="51"/>
  <c r="E633" i="51"/>
  <c r="E632" i="51"/>
  <c r="E631" i="51"/>
  <c r="E630" i="51"/>
  <c r="E629" i="51"/>
  <c r="E628" i="51"/>
  <c r="E627" i="51"/>
  <c r="E626" i="51"/>
  <c r="E500" i="51" l="1"/>
  <c r="E499" i="51"/>
  <c r="E498" i="51"/>
  <c r="E497" i="51"/>
  <c r="E496" i="51"/>
  <c r="E495" i="51"/>
  <c r="E494" i="51"/>
  <c r="E493" i="51"/>
  <c r="E489" i="51"/>
  <c r="E488" i="51"/>
  <c r="E487" i="51"/>
  <c r="E486" i="51"/>
  <c r="E480" i="51"/>
  <c r="E479" i="51"/>
  <c r="E478" i="51"/>
  <c r="E477" i="51"/>
  <c r="E476" i="51"/>
  <c r="E482" i="51"/>
  <c r="E481" i="51"/>
  <c r="E472" i="51" l="1"/>
  <c r="E471" i="51"/>
  <c r="E470" i="51"/>
  <c r="E469" i="51"/>
  <c r="E468" i="51"/>
  <c r="E467" i="51"/>
  <c r="E466" i="51"/>
  <c r="E465" i="51"/>
  <c r="E461" i="51"/>
  <c r="E460" i="51"/>
  <c r="E459" i="51"/>
  <c r="E458" i="51"/>
  <c r="E457" i="51"/>
  <c r="E456" i="51"/>
  <c r="E455" i="51"/>
  <c r="E454" i="51"/>
  <c r="E453" i="51"/>
  <c r="E452" i="51"/>
  <c r="E451" i="51"/>
  <c r="E450" i="51"/>
  <c r="E437" i="51"/>
  <c r="E436" i="51"/>
  <c r="E435" i="51"/>
  <c r="E438" i="51"/>
  <c r="E444" i="51" l="1"/>
  <c r="E443" i="51"/>
  <c r="E442" i="51"/>
  <c r="E441" i="51"/>
  <c r="E440" i="51"/>
  <c r="E439" i="51"/>
  <c r="E434" i="51"/>
  <c r="E621" i="51"/>
  <c r="E620" i="51"/>
  <c r="E619" i="51"/>
  <c r="E615" i="51"/>
  <c r="E614" i="51"/>
  <c r="E613" i="51"/>
  <c r="E612" i="51"/>
  <c r="E622" i="51"/>
  <c r="E428" i="51" l="1"/>
  <c r="E429" i="51"/>
  <c r="E427" i="51"/>
  <c r="E426" i="51"/>
  <c r="E425" i="51"/>
  <c r="E424" i="51"/>
  <c r="E423" i="51"/>
  <c r="E412" i="51" l="1"/>
  <c r="E411" i="51"/>
  <c r="E410" i="51"/>
  <c r="E409" i="51"/>
  <c r="E408" i="51"/>
  <c r="E407" i="51"/>
  <c r="E406" i="51"/>
  <c r="E419" i="51" l="1"/>
  <c r="E418" i="51"/>
  <c r="E417" i="51"/>
  <c r="E416" i="51"/>
  <c r="E584" i="51"/>
  <c r="E582" i="51"/>
  <c r="E581" i="51"/>
  <c r="E580" i="51"/>
  <c r="E579" i="51"/>
  <c r="E586" i="51"/>
  <c r="E585" i="51"/>
  <c r="E583" i="51"/>
  <c r="E574" i="51"/>
  <c r="E573" i="51"/>
  <c r="E572" i="51"/>
  <c r="E571" i="51"/>
  <c r="E570" i="51"/>
  <c r="E575" i="51"/>
  <c r="E596" i="51"/>
  <c r="E595" i="51"/>
  <c r="E594" i="51"/>
  <c r="E593" i="51"/>
  <c r="E592" i="51"/>
  <c r="E591" i="51"/>
  <c r="E590" i="51"/>
  <c r="E608" i="51"/>
  <c r="E607" i="51"/>
  <c r="E606" i="51"/>
  <c r="E605" i="51"/>
  <c r="E604" i="51"/>
  <c r="E603" i="51"/>
  <c r="E602" i="51"/>
  <c r="E601" i="51"/>
  <c r="E600" i="51"/>
  <c r="E519" i="51" l="1"/>
  <c r="E518" i="51"/>
  <c r="E517" i="51"/>
  <c r="E516" i="51"/>
  <c r="E515" i="51"/>
  <c r="E514" i="51"/>
  <c r="E505" i="51"/>
  <c r="E538" i="51" l="1"/>
  <c r="E537" i="51"/>
  <c r="E536" i="51"/>
  <c r="E535" i="51"/>
  <c r="E531" i="51"/>
  <c r="E530" i="51"/>
  <c r="E529" i="51"/>
  <c r="E528" i="51"/>
  <c r="E527" i="51"/>
  <c r="E526" i="51"/>
  <c r="E525" i="51"/>
  <c r="E524" i="51"/>
  <c r="E523" i="51"/>
  <c r="E544" i="51" l="1"/>
  <c r="E543" i="51"/>
  <c r="E542" i="51"/>
  <c r="E545" i="51"/>
  <c r="E566" i="51"/>
  <c r="E565" i="51"/>
  <c r="E564" i="51"/>
  <c r="E563" i="51"/>
  <c r="E562" i="51"/>
  <c r="E561" i="51"/>
  <c r="E560" i="51"/>
  <c r="E559" i="51"/>
  <c r="E555" i="51"/>
  <c r="E554" i="51"/>
  <c r="E553" i="51"/>
  <c r="E552" i="51"/>
  <c r="E548" i="51"/>
  <c r="E547" i="51"/>
  <c r="E546" i="51"/>
  <c r="E395" i="51" l="1"/>
  <c r="E394" i="51"/>
  <c r="E393" i="51"/>
  <c r="E392" i="51"/>
  <c r="E391" i="51"/>
  <c r="E390" i="51"/>
  <c r="E402" i="51"/>
  <c r="E401" i="51"/>
  <c r="E400" i="51"/>
  <c r="E399" i="51"/>
  <c r="E389" i="51"/>
  <c r="E388" i="51"/>
  <c r="E387" i="51"/>
  <c r="E383" i="51" l="1"/>
  <c r="E382" i="51"/>
  <c r="E381" i="51"/>
  <c r="E380" i="51"/>
  <c r="E379" i="51"/>
  <c r="E378" i="51"/>
  <c r="E377" i="51"/>
  <c r="E376" i="51"/>
  <c r="E375" i="51"/>
  <c r="E371" i="51"/>
  <c r="E370" i="51" l="1"/>
  <c r="E369" i="51"/>
  <c r="E367" i="51"/>
  <c r="E366" i="51"/>
  <c r="E365" i="51"/>
  <c r="E368" i="51"/>
  <c r="E361" i="51"/>
  <c r="E360" i="51"/>
  <c r="E359" i="51"/>
  <c r="E358" i="51"/>
  <c r="E357" i="51"/>
  <c r="E356" i="51"/>
  <c r="E355" i="51"/>
  <c r="E354" i="51"/>
  <c r="E350" i="51"/>
  <c r="E349" i="51"/>
  <c r="E348" i="51"/>
  <c r="E347" i="51"/>
  <c r="E343" i="51"/>
  <c r="E342" i="51"/>
  <c r="E341" i="51"/>
  <c r="E340" i="51"/>
  <c r="E339" i="51"/>
  <c r="E338" i="51"/>
  <c r="E337" i="51"/>
  <c r="E336" i="51"/>
  <c r="E332" i="51"/>
  <c r="E331" i="51"/>
  <c r="E330" i="51"/>
  <c r="E329" i="51"/>
  <c r="E328" i="51"/>
  <c r="E327" i="51"/>
  <c r="E323" i="51"/>
  <c r="E322" i="51"/>
  <c r="E321" i="51"/>
  <c r="E320" i="51"/>
  <c r="E316" i="51" l="1"/>
  <c r="E315" i="51"/>
  <c r="E314" i="51"/>
  <c r="E313" i="51"/>
  <c r="E312" i="51"/>
  <c r="E311" i="51"/>
  <c r="E310" i="51"/>
  <c r="E305" i="51"/>
  <c r="E304" i="51"/>
  <c r="E303" i="51"/>
  <c r="E302" i="51"/>
  <c r="E301" i="51"/>
  <c r="E300" i="51"/>
  <c r="E299" i="51"/>
  <c r="E295" i="51"/>
  <c r="E294" i="51"/>
  <c r="E293" i="51"/>
  <c r="E292" i="51"/>
  <c r="E291" i="51"/>
  <c r="E290" i="51"/>
  <c r="E285" i="51"/>
  <c r="E286" i="51"/>
  <c r="E284" i="51"/>
  <c r="E280" i="51"/>
  <c r="E279" i="51"/>
  <c r="E278" i="51"/>
  <c r="E277" i="51"/>
  <c r="E276" i="51"/>
  <c r="E275" i="51"/>
  <c r="E271" i="51"/>
  <c r="E270" i="51"/>
  <c r="E269" i="51"/>
  <c r="E268" i="51"/>
  <c r="E267" i="51"/>
  <c r="E266" i="51"/>
  <c r="E261" i="51" l="1"/>
  <c r="E260" i="51"/>
  <c r="E259" i="51"/>
  <c r="E258" i="51"/>
  <c r="E257" i="51"/>
  <c r="E256" i="51"/>
  <c r="E255" i="51"/>
  <c r="E254" i="51"/>
  <c r="E250" i="51"/>
  <c r="E249" i="51"/>
  <c r="E248" i="51"/>
  <c r="E247" i="51"/>
  <c r="E243" i="51" l="1"/>
  <c r="E242" i="51"/>
  <c r="E241" i="51"/>
  <c r="E240" i="51"/>
  <c r="E239" i="51"/>
  <c r="E238" i="51"/>
  <c r="E237" i="51"/>
  <c r="E236" i="51"/>
  <c r="E229" i="51" l="1"/>
  <c r="E228" i="51"/>
  <c r="E227" i="51"/>
  <c r="E226" i="51"/>
  <c r="E222" i="51"/>
  <c r="E232" i="51"/>
  <c r="E231" i="51"/>
  <c r="E230" i="51"/>
  <c r="E221" i="51"/>
  <c r="E220" i="51"/>
  <c r="E217" i="51"/>
  <c r="E219" i="51"/>
  <c r="E218" i="51"/>
  <c r="E212" i="51"/>
  <c r="E211" i="51"/>
  <c r="E210" i="51"/>
  <c r="E209" i="51"/>
  <c r="E208" i="51"/>
  <c r="E207" i="51"/>
  <c r="E206" i="51"/>
  <c r="E205" i="51"/>
  <c r="E213" i="51"/>
  <c r="E201" i="51" l="1"/>
  <c r="E200" i="51"/>
  <c r="E199" i="51"/>
  <c r="E198" i="51"/>
  <c r="E194" i="51"/>
  <c r="E193" i="51"/>
  <c r="E192" i="51"/>
  <c r="E191" i="51"/>
  <c r="E190" i="51"/>
  <c r="E189" i="51"/>
  <c r="E188" i="51"/>
  <c r="E183" i="51"/>
  <c r="E182" i="51"/>
  <c r="E181" i="51"/>
  <c r="E180" i="51"/>
  <c r="E179" i="51"/>
  <c r="E184" i="51"/>
  <c r="E177" i="51"/>
  <c r="E176" i="51"/>
  <c r="E178" i="51"/>
  <c r="E171" i="51" l="1"/>
  <c r="E170" i="51"/>
  <c r="E169" i="51"/>
  <c r="E165" i="51" l="1"/>
  <c r="E164" i="51"/>
  <c r="E163" i="51"/>
  <c r="E162" i="51"/>
  <c r="E161" i="51"/>
  <c r="E160" i="51"/>
  <c r="E156" i="51"/>
  <c r="E155" i="51"/>
  <c r="E154" i="51"/>
  <c r="E153" i="51"/>
  <c r="E152" i="51"/>
  <c r="E151" i="51"/>
  <c r="E146" i="51"/>
  <c r="E145" i="51"/>
  <c r="E144" i="51"/>
  <c r="E143" i="51"/>
  <c r="E142" i="51"/>
  <c r="E141" i="51"/>
  <c r="E140" i="51"/>
  <c r="E139" i="51"/>
  <c r="E135" i="51"/>
  <c r="E133" i="51"/>
  <c r="E132" i="51"/>
  <c r="E134" i="51"/>
  <c r="E128" i="51" l="1"/>
  <c r="E127" i="51"/>
  <c r="E126" i="51"/>
  <c r="E125" i="51"/>
  <c r="E124" i="51"/>
  <c r="E123" i="51"/>
  <c r="E122" i="51"/>
  <c r="E121" i="51"/>
  <c r="E117" i="51"/>
  <c r="E116" i="51"/>
  <c r="E115" i="51"/>
  <c r="E110" i="51" l="1"/>
  <c r="E109" i="51"/>
  <c r="E108" i="51"/>
  <c r="E107" i="51"/>
  <c r="E106" i="51"/>
  <c r="E105" i="51"/>
  <c r="E101" i="51"/>
  <c r="E100" i="51"/>
  <c r="E99" i="51"/>
  <c r="E98" i="51"/>
  <c r="E97" i="51"/>
  <c r="E96" i="51"/>
  <c r="E95" i="51"/>
  <c r="E94" i="51"/>
  <c r="E93" i="51"/>
  <c r="E89" i="51"/>
  <c r="E88" i="51"/>
  <c r="E87" i="51"/>
  <c r="E86" i="51"/>
  <c r="E85" i="51"/>
  <c r="E84" i="51"/>
  <c r="E83" i="51"/>
  <c r="E79" i="51" l="1"/>
  <c r="E78" i="51"/>
  <c r="E77" i="51"/>
  <c r="E76" i="51"/>
  <c r="E72" i="51"/>
  <c r="E71" i="51" l="1"/>
  <c r="E70" i="51"/>
  <c r="E69" i="51"/>
  <c r="E68" i="51"/>
  <c r="E63" i="51" l="1"/>
  <c r="E62" i="51"/>
  <c r="E61" i="51"/>
  <c r="E60" i="51"/>
  <c r="E59" i="51"/>
  <c r="E58" i="51"/>
  <c r="E57" i="51"/>
  <c r="E56" i="51"/>
  <c r="E52" i="51"/>
  <c r="E51" i="51"/>
  <c r="E50" i="51"/>
  <c r="E49" i="51"/>
  <c r="E45" i="51" l="1"/>
  <c r="E44" i="51"/>
  <c r="E43" i="51"/>
  <c r="E42" i="51"/>
  <c r="E41" i="51"/>
  <c r="E40" i="51"/>
  <c r="E31" i="51"/>
  <c r="E35" i="50"/>
  <c r="E34" i="50"/>
  <c r="E39" i="51"/>
  <c r="E38" i="51"/>
  <c r="E37" i="51"/>
  <c r="E36" i="51"/>
  <c r="E35" i="51"/>
  <c r="E30" i="51"/>
  <c r="E29" i="51"/>
  <c r="E28" i="51"/>
  <c r="E27" i="51"/>
  <c r="E26" i="51"/>
  <c r="E22" i="51"/>
  <c r="E21" i="51"/>
  <c r="E20" i="51"/>
  <c r="E16" i="51" l="1"/>
  <c r="E15" i="51"/>
  <c r="E14" i="51"/>
  <c r="E13" i="51"/>
  <c r="E12" i="51"/>
  <c r="E11" i="51"/>
  <c r="E10" i="51"/>
  <c r="E9" i="51"/>
  <c r="E8" i="51"/>
  <c r="E7" i="51"/>
  <c r="E6" i="51" l="1"/>
  <c r="E529" i="50" l="1"/>
  <c r="E528" i="50"/>
  <c r="E526" i="50"/>
  <c r="E525" i="50"/>
  <c r="E523" i="50"/>
  <c r="E522" i="50"/>
  <c r="E527" i="50"/>
  <c r="E524" i="50"/>
  <c r="E521" i="50"/>
  <c r="E517" i="50" l="1"/>
  <c r="E515" i="50"/>
  <c r="E514" i="50"/>
  <c r="E516" i="50"/>
  <c r="E510" i="50" l="1"/>
  <c r="E509" i="50"/>
  <c r="E508" i="50"/>
  <c r="E507" i="50"/>
  <c r="E506" i="50"/>
  <c r="E505" i="50"/>
  <c r="E504" i="50"/>
  <c r="E503" i="50"/>
  <c r="E502" i="50"/>
  <c r="E498" i="50"/>
  <c r="E497" i="50"/>
  <c r="E496" i="50"/>
  <c r="E495" i="50"/>
  <c r="E494" i="50"/>
  <c r="E493" i="50"/>
  <c r="E492" i="50"/>
  <c r="E488" i="50" l="1"/>
  <c r="E487" i="50"/>
  <c r="E486" i="50"/>
  <c r="E485" i="50"/>
  <c r="E484" i="50"/>
  <c r="E483" i="50"/>
  <c r="E482" i="50"/>
  <c r="E481" i="50"/>
  <c r="E6" i="48"/>
  <c r="E7" i="48"/>
  <c r="E8" i="48"/>
  <c r="E9" i="48"/>
  <c r="E10" i="48"/>
  <c r="E11" i="48"/>
  <c r="E473" i="50" l="1"/>
  <c r="E472" i="50"/>
  <c r="E471" i="50"/>
  <c r="E477" i="50"/>
  <c r="E476" i="50"/>
  <c r="E475" i="50"/>
  <c r="E474" i="50"/>
  <c r="E467" i="50" l="1"/>
  <c r="E466" i="50"/>
  <c r="E465" i="50"/>
  <c r="E464" i="50"/>
  <c r="E457" i="50" l="1"/>
  <c r="E456" i="50"/>
  <c r="E455" i="50"/>
  <c r="E458" i="50"/>
  <c r="E460" i="50"/>
  <c r="E459" i="50"/>
  <c r="E446" i="50" l="1"/>
  <c r="E447" i="50"/>
  <c r="E451" i="50"/>
  <c r="E450" i="50"/>
  <c r="E449" i="50"/>
  <c r="E448" i="50"/>
  <c r="E439" i="50" l="1"/>
  <c r="E438" i="50"/>
  <c r="E437" i="50"/>
  <c r="E436" i="50"/>
  <c r="E435" i="50"/>
  <c r="E441" i="50"/>
  <c r="E440" i="50"/>
  <c r="E431" i="50" l="1"/>
  <c r="E430" i="50"/>
  <c r="E429" i="50"/>
  <c r="E428" i="50"/>
  <c r="E427" i="50"/>
  <c r="E426" i="50"/>
  <c r="E425" i="50"/>
  <c r="E424" i="50"/>
  <c r="E420" i="50"/>
  <c r="E419" i="50" l="1"/>
  <c r="E418" i="50"/>
  <c r="E417" i="50"/>
  <c r="E413" i="50"/>
  <c r="E412" i="50" l="1"/>
  <c r="E411" i="50"/>
  <c r="E410" i="50"/>
  <c r="E409" i="50"/>
  <c r="E408" i="50"/>
  <c r="E407" i="50"/>
  <c r="E406" i="50"/>
  <c r="E402" i="50"/>
  <c r="E396" i="50"/>
  <c r="E397" i="50"/>
  <c r="E401" i="50"/>
  <c r="E400" i="50"/>
  <c r="E399" i="50"/>
  <c r="E398" i="50"/>
  <c r="E381" i="50" l="1"/>
  <c r="E380" i="50"/>
  <c r="E379" i="50"/>
  <c r="E378" i="50"/>
  <c r="E377" i="50"/>
  <c r="E376" i="50"/>
  <c r="E382" i="50"/>
  <c r="E386" i="50" l="1"/>
  <c r="E387" i="50"/>
  <c r="E392" i="50"/>
  <c r="E391" i="50"/>
  <c r="E390" i="50"/>
  <c r="E389" i="50"/>
  <c r="E388" i="50"/>
  <c r="E371" i="50" l="1"/>
  <c r="E370" i="50"/>
  <c r="E369" i="50"/>
  <c r="E368" i="50"/>
  <c r="E364" i="50" l="1"/>
  <c r="E363" i="50"/>
  <c r="E362" i="50"/>
  <c r="E361" i="50"/>
  <c r="E357" i="50"/>
  <c r="E356" i="50"/>
  <c r="E355" i="50"/>
  <c r="E353" i="50"/>
  <c r="E352" i="50"/>
  <c r="E351" i="50"/>
  <c r="E354" i="50"/>
  <c r="E347" i="50" l="1"/>
  <c r="E346" i="50"/>
  <c r="E345" i="50"/>
  <c r="E344" i="50"/>
  <c r="E343" i="50"/>
  <c r="E342" i="50"/>
  <c r="E341" i="50"/>
  <c r="E340" i="50"/>
  <c r="E336" i="50"/>
  <c r="E335" i="50"/>
  <c r="E334" i="50"/>
  <c r="E333" i="50"/>
  <c r="E332" i="50"/>
  <c r="E331" i="50"/>
  <c r="E330" i="50"/>
  <c r="E329" i="50"/>
  <c r="E328" i="50"/>
  <c r="E324" i="50" l="1"/>
  <c r="E323" i="50"/>
  <c r="E322" i="50"/>
  <c r="E321" i="50"/>
  <c r="E320" i="50"/>
  <c r="E319" i="50"/>
  <c r="E318" i="50"/>
  <c r="E317" i="50"/>
  <c r="E313" i="50"/>
  <c r="E312" i="50"/>
  <c r="E311" i="50"/>
  <c r="E310" i="50"/>
  <c r="E99" i="26" l="1"/>
  <c r="E98" i="26"/>
  <c r="E97" i="26"/>
  <c r="E96" i="26"/>
  <c r="E95" i="26"/>
  <c r="E94" i="26"/>
  <c r="E93" i="26"/>
  <c r="E92" i="26"/>
  <c r="E88" i="26"/>
  <c r="E27" i="26"/>
  <c r="E26" i="26"/>
  <c r="E25" i="26"/>
  <c r="E24" i="26"/>
  <c r="E23" i="26"/>
  <c r="E22" i="26"/>
  <c r="E21" i="26"/>
  <c r="E20" i="26"/>
  <c r="E16" i="26"/>
  <c r="E305" i="50" l="1"/>
  <c r="E304" i="50"/>
  <c r="E303" i="50"/>
  <c r="E299" i="50"/>
  <c r="E298" i="50"/>
  <c r="E297" i="50"/>
  <c r="E296" i="50"/>
  <c r="E295" i="50"/>
  <c r="E294" i="50"/>
  <c r="E293" i="50"/>
  <c r="E306" i="50"/>
  <c r="E289" i="50" l="1"/>
  <c r="E288" i="50"/>
  <c r="E287" i="50"/>
  <c r="E286" i="50"/>
  <c r="E285" i="50"/>
  <c r="E284" i="50"/>
  <c r="E280" i="50"/>
  <c r="E279" i="50"/>
  <c r="E278" i="50"/>
  <c r="E267" i="50" l="1"/>
  <c r="E266" i="50"/>
  <c r="E265" i="50"/>
  <c r="E264" i="50"/>
  <c r="E263" i="50"/>
  <c r="E262" i="50"/>
  <c r="E274" i="50"/>
  <c r="E273" i="50"/>
  <c r="E272" i="50"/>
  <c r="E271" i="50"/>
  <c r="E246" i="50" l="1"/>
  <c r="E245" i="50"/>
  <c r="E244" i="50"/>
  <c r="E243" i="50"/>
  <c r="E257" i="50"/>
  <c r="E256" i="50"/>
  <c r="E255" i="50"/>
  <c r="E254" i="50"/>
  <c r="E253" i="50"/>
  <c r="E252" i="50"/>
  <c r="E251" i="50"/>
  <c r="E250" i="50"/>
  <c r="E239" i="50" l="1"/>
  <c r="E238" i="50"/>
  <c r="E237" i="50"/>
  <c r="E236" i="50"/>
  <c r="E235" i="50"/>
  <c r="E234" i="50"/>
  <c r="E233" i="50"/>
  <c r="E232" i="50"/>
  <c r="E228" i="50"/>
  <c r="E227" i="50"/>
  <c r="E226" i="50"/>
  <c r="E225" i="50"/>
  <c r="E224" i="50"/>
  <c r="E223" i="50"/>
  <c r="E222" i="50"/>
  <c r="E218" i="50" l="1"/>
  <c r="E217" i="50"/>
  <c r="E216" i="50"/>
  <c r="E215" i="50"/>
  <c r="E214" i="50"/>
  <c r="E213" i="50" l="1"/>
  <c r="E211" i="50" l="1"/>
  <c r="E210" i="50"/>
  <c r="E209" i="50"/>
  <c r="E208" i="50"/>
  <c r="E204" i="50"/>
  <c r="E203" i="50"/>
  <c r="E202" i="50"/>
  <c r="E201" i="50"/>
  <c r="E212" i="50"/>
  <c r="E197" i="50" l="1"/>
  <c r="E196" i="50"/>
  <c r="E195" i="50"/>
  <c r="E194" i="50"/>
  <c r="E193" i="50"/>
  <c r="E192" i="50"/>
  <c r="E191" i="50"/>
  <c r="E190" i="50"/>
  <c r="E189" i="50"/>
  <c r="E185" i="50"/>
  <c r="E182" i="50"/>
  <c r="E181" i="50"/>
  <c r="E180" i="50"/>
  <c r="E179" i="50"/>
  <c r="E184" i="50"/>
  <c r="E183" i="50"/>
  <c r="E175" i="50" l="1"/>
  <c r="E174" i="50"/>
  <c r="E173" i="50"/>
  <c r="E172" i="50"/>
  <c r="E168" i="50"/>
  <c r="E167" i="50"/>
  <c r="E166" i="50"/>
  <c r="E153" i="50"/>
  <c r="E152" i="50"/>
  <c r="E151" i="50"/>
  <c r="E150" i="50"/>
  <c r="E149" i="50"/>
  <c r="E161" i="50"/>
  <c r="E160" i="50"/>
  <c r="E159" i="50"/>
  <c r="E158" i="50"/>
  <c r="E157" i="50"/>
  <c r="E162" i="50"/>
  <c r="E148" i="50"/>
  <c r="E132" i="50" l="1"/>
  <c r="E131" i="50"/>
  <c r="E130" i="50"/>
  <c r="E129" i="50"/>
  <c r="E128" i="50"/>
  <c r="E127" i="50"/>
  <c r="E126" i="50"/>
  <c r="E125" i="50"/>
  <c r="E124" i="50"/>
  <c r="E136" i="50"/>
  <c r="E143" i="50"/>
  <c r="E142" i="50"/>
  <c r="E141" i="50"/>
  <c r="E140" i="50"/>
  <c r="E139" i="50"/>
  <c r="E138" i="50"/>
  <c r="E137" i="50"/>
  <c r="E119" i="50" l="1"/>
  <c r="E118" i="50"/>
  <c r="E117" i="50"/>
  <c r="E116" i="50"/>
  <c r="E115" i="50"/>
  <c r="E114" i="50"/>
  <c r="E113" i="50"/>
  <c r="E112" i="50"/>
  <c r="E108" i="50"/>
  <c r="E107" i="50"/>
  <c r="E106" i="50"/>
  <c r="E105" i="50"/>
  <c r="E101" i="50" l="1"/>
  <c r="E100" i="50"/>
  <c r="E99" i="50"/>
  <c r="E98" i="50"/>
  <c r="E97" i="50"/>
  <c r="E96" i="50"/>
  <c r="E95" i="50"/>
  <c r="E94" i="50"/>
  <c r="E93" i="50"/>
  <c r="E89" i="50"/>
  <c r="E85" i="50" l="1"/>
  <c r="E84" i="50"/>
  <c r="E83" i="50"/>
  <c r="E88" i="50"/>
  <c r="E87" i="50"/>
  <c r="E86" i="50"/>
  <c r="E79" i="50" l="1"/>
  <c r="E78" i="50"/>
  <c r="E77" i="50"/>
  <c r="E76" i="50"/>
  <c r="E72" i="50"/>
  <c r="E71" i="50"/>
  <c r="E70" i="50"/>
  <c r="E68" i="50"/>
  <c r="E69" i="50"/>
  <c r="E52" i="50" l="1"/>
  <c r="E51" i="50"/>
  <c r="E50" i="50"/>
  <c r="E49" i="50"/>
  <c r="E63" i="50"/>
  <c r="E62" i="50"/>
  <c r="E61" i="50"/>
  <c r="E60" i="50"/>
  <c r="E59" i="50"/>
  <c r="E58" i="50"/>
  <c r="E57" i="50"/>
  <c r="E56" i="50"/>
  <c r="E36" i="50" l="1"/>
  <c r="E33" i="50"/>
  <c r="E32" i="50"/>
  <c r="E31" i="50"/>
  <c r="E30" i="50"/>
  <c r="E42" i="50"/>
  <c r="E41" i="50"/>
  <c r="E40" i="50"/>
  <c r="E43" i="50"/>
  <c r="E44" i="50"/>
  <c r="E45" i="50"/>
  <c r="E29" i="50"/>
  <c r="E28" i="50"/>
  <c r="E27" i="50"/>
  <c r="E26" i="50"/>
  <c r="E22" i="50"/>
  <c r="E21" i="50"/>
  <c r="E20" i="50"/>
  <c r="E14" i="50" l="1"/>
  <c r="E6" i="50" l="1"/>
  <c r="E16" i="50" l="1"/>
  <c r="E15" i="50"/>
  <c r="E13" i="50"/>
  <c r="E12" i="50"/>
  <c r="E11" i="50"/>
  <c r="E10" i="50"/>
  <c r="E9" i="50"/>
  <c r="E8" i="50"/>
  <c r="E7" i="50"/>
  <c r="E602" i="48" l="1"/>
  <c r="E601" i="48"/>
  <c r="E600" i="48"/>
  <c r="E599" i="48"/>
  <c r="E598" i="48"/>
  <c r="E597" i="48"/>
  <c r="E596" i="48"/>
  <c r="E595" i="48"/>
  <c r="E594" i="48"/>
  <c r="E589" i="48" l="1"/>
  <c r="E588" i="48"/>
  <c r="E587" i="48"/>
  <c r="E583" i="48"/>
  <c r="E582" i="48"/>
  <c r="E581" i="48"/>
  <c r="E580" i="48"/>
  <c r="E590" i="48"/>
  <c r="E574" i="48" l="1"/>
  <c r="E576" i="48"/>
  <c r="E575" i="48"/>
  <c r="E573" i="48"/>
  <c r="E572" i="48"/>
  <c r="E571" i="48"/>
  <c r="E570" i="48"/>
  <c r="E569" i="48"/>
  <c r="E568" i="48"/>
  <c r="E564" i="48"/>
  <c r="E563" i="48"/>
  <c r="E562" i="48"/>
  <c r="E560" i="48"/>
  <c r="E559" i="48"/>
  <c r="E558" i="48"/>
  <c r="E561" i="48"/>
  <c r="E554" i="48" l="1"/>
  <c r="E553" i="48"/>
  <c r="E552" i="48"/>
  <c r="E551" i="48"/>
  <c r="E550" i="48"/>
  <c r="E549" i="48"/>
  <c r="E548" i="48"/>
  <c r="E547" i="48"/>
  <c r="E543" i="48"/>
  <c r="E542" i="48"/>
  <c r="E541" i="48"/>
  <c r="E540" i="48"/>
  <c r="E539" i="48"/>
  <c r="E538" i="48"/>
  <c r="E523" i="48" l="1"/>
  <c r="E522" i="48"/>
  <c r="E521" i="48"/>
  <c r="E520" i="48"/>
  <c r="E519" i="48"/>
  <c r="E518" i="48"/>
  <c r="E517" i="48"/>
  <c r="E534" i="48"/>
  <c r="E533" i="48"/>
  <c r="E532" i="48"/>
  <c r="E531" i="48"/>
  <c r="E530" i="48"/>
  <c r="E529" i="48"/>
  <c r="E528" i="48"/>
  <c r="E527" i="48"/>
  <c r="E513" i="48" l="1"/>
  <c r="E512" i="48"/>
  <c r="E511" i="48"/>
  <c r="E510" i="48"/>
  <c r="E506" i="48"/>
  <c r="E505" i="48"/>
  <c r="E504" i="48"/>
  <c r="E503" i="48"/>
  <c r="E490" i="48" l="1"/>
  <c r="E489" i="48"/>
  <c r="E488" i="48"/>
  <c r="E487" i="48"/>
  <c r="E486" i="48"/>
  <c r="E485" i="48"/>
  <c r="E498" i="48"/>
  <c r="E497" i="48"/>
  <c r="E496" i="48"/>
  <c r="E495" i="48"/>
  <c r="E494" i="48"/>
  <c r="E499" i="48"/>
  <c r="E479" i="48" l="1"/>
  <c r="E478" i="48"/>
  <c r="E477" i="48"/>
  <c r="E476" i="48"/>
  <c r="E475" i="48"/>
  <c r="E474" i="48"/>
  <c r="E473" i="48"/>
  <c r="E480" i="48"/>
  <c r="E469" i="48" l="1"/>
  <c r="E468" i="48"/>
  <c r="E467" i="48"/>
  <c r="E465" i="48"/>
  <c r="E464" i="48"/>
  <c r="E463" i="48"/>
  <c r="E466" i="48"/>
  <c r="E459" i="48" l="1"/>
  <c r="E458" i="48"/>
  <c r="E457" i="48"/>
  <c r="E456" i="48"/>
  <c r="E455" i="48"/>
  <c r="E454" i="48"/>
  <c r="E453" i="48"/>
  <c r="E452" i="48"/>
  <c r="E448" i="48"/>
  <c r="E447" i="48" l="1"/>
  <c r="E446" i="48"/>
  <c r="E445" i="48"/>
  <c r="E444" i="48"/>
  <c r="E443" i="48"/>
  <c r="E442" i="48"/>
  <c r="E571" i="49" l="1"/>
  <c r="E570" i="49"/>
  <c r="E569" i="49"/>
  <c r="E568" i="49"/>
  <c r="E578" i="49"/>
  <c r="E577" i="49"/>
  <c r="E576" i="49"/>
  <c r="E575" i="49"/>
  <c r="E564" i="49"/>
  <c r="E563" i="49"/>
  <c r="E562" i="49"/>
  <c r="E561" i="49"/>
  <c r="E560" i="49"/>
  <c r="E559" i="49"/>
  <c r="E558" i="49"/>
  <c r="E557" i="49"/>
  <c r="E556" i="49"/>
  <c r="E552" i="49"/>
  <c r="E551" i="49"/>
  <c r="E550" i="49"/>
  <c r="E549" i="49"/>
  <c r="E548" i="49"/>
  <c r="E547" i="49"/>
  <c r="E546" i="49"/>
  <c r="E542" i="49"/>
  <c r="E541" i="49"/>
  <c r="E540" i="49"/>
  <c r="E539" i="49"/>
  <c r="E538" i="49"/>
  <c r="E537" i="49"/>
  <c r="E532" i="49"/>
  <c r="E531" i="49"/>
  <c r="E530" i="49"/>
  <c r="E529" i="49"/>
  <c r="E528" i="49"/>
  <c r="E527" i="49"/>
  <c r="E526" i="49"/>
  <c r="E522" i="49"/>
  <c r="E521" i="49"/>
  <c r="E520" i="49"/>
  <c r="E519" i="49"/>
  <c r="E518" i="49"/>
  <c r="E517" i="49"/>
  <c r="E516" i="49"/>
  <c r="E533" i="49"/>
  <c r="E505" i="49"/>
  <c r="E504" i="49"/>
  <c r="E503" i="49"/>
  <c r="E502" i="49"/>
  <c r="E510" i="49"/>
  <c r="E509" i="49"/>
  <c r="E512" i="49"/>
  <c r="E511" i="49"/>
  <c r="E484" i="49"/>
  <c r="E485" i="49"/>
  <c r="E489" i="49"/>
  <c r="E488" i="49"/>
  <c r="E487" i="49"/>
  <c r="E486" i="49"/>
  <c r="E497" i="49"/>
  <c r="E496" i="49"/>
  <c r="E495" i="49"/>
  <c r="E494" i="49"/>
  <c r="E493" i="49"/>
  <c r="E498" i="49"/>
  <c r="E479" i="49"/>
  <c r="E478" i="49"/>
  <c r="E477" i="49"/>
  <c r="E476" i="49"/>
  <c r="E475" i="49"/>
  <c r="E474" i="49"/>
  <c r="E473" i="49"/>
  <c r="E472" i="49"/>
  <c r="E468" i="49"/>
  <c r="E467" i="49"/>
  <c r="E466" i="49"/>
  <c r="E464" i="49"/>
  <c r="E463" i="49"/>
  <c r="E462" i="49"/>
  <c r="E465" i="49"/>
  <c r="E445" i="49"/>
  <c r="E446" i="49"/>
  <c r="E444" i="49"/>
  <c r="E443" i="49"/>
  <c r="E442" i="49"/>
  <c r="E441" i="49"/>
  <c r="E440" i="49"/>
  <c r="E456" i="49"/>
  <c r="E455" i="49"/>
  <c r="E454" i="49"/>
  <c r="E453" i="49"/>
  <c r="E452" i="49"/>
  <c r="E451" i="49"/>
  <c r="E450" i="49"/>
  <c r="E458" i="49"/>
  <c r="E457" i="49"/>
  <c r="E429" i="49"/>
  <c r="E428" i="49"/>
  <c r="E427" i="49"/>
  <c r="E426" i="49"/>
  <c r="E438" i="45"/>
  <c r="E437" i="45"/>
  <c r="E436" i="45"/>
  <c r="E435" i="45"/>
  <c r="E438" i="48"/>
  <c r="E437" i="48"/>
  <c r="E436" i="48"/>
  <c r="E435" i="48"/>
  <c r="E434" i="48"/>
  <c r="E433" i="48"/>
  <c r="E432" i="48"/>
  <c r="E431" i="48"/>
  <c r="E430" i="48"/>
  <c r="E429" i="48"/>
  <c r="E417" i="48"/>
  <c r="E428" i="48"/>
  <c r="E423" i="48"/>
  <c r="E422" i="48"/>
  <c r="E421" i="48"/>
  <c r="E420" i="48"/>
  <c r="E419" i="48"/>
  <c r="E418" i="48"/>
  <c r="E436" i="49" l="1"/>
  <c r="E435" i="49"/>
  <c r="E434" i="49"/>
  <c r="E433" i="49"/>
  <c r="E432" i="49"/>
  <c r="E431" i="49"/>
  <c r="E430" i="49"/>
  <c r="E422" i="49"/>
  <c r="E416" i="49" l="1"/>
  <c r="E417" i="49"/>
  <c r="E421" i="49"/>
  <c r="E420" i="49"/>
  <c r="E419" i="49"/>
  <c r="E418" i="49"/>
  <c r="E412" i="49"/>
  <c r="E411" i="49"/>
  <c r="E410" i="49"/>
  <c r="E409" i="49"/>
  <c r="E408" i="49"/>
  <c r="E407" i="49"/>
  <c r="E406" i="49"/>
  <c r="E405" i="49"/>
  <c r="E401" i="49"/>
  <c r="E400" i="49"/>
  <c r="E399" i="49"/>
  <c r="E398" i="49"/>
  <c r="E388" i="49"/>
  <c r="E389" i="49"/>
  <c r="E394" i="49"/>
  <c r="E393" i="49"/>
  <c r="E392" i="49"/>
  <c r="E391" i="49"/>
  <c r="E390" i="49"/>
  <c r="E373" i="49"/>
  <c r="E372" i="49"/>
  <c r="E371" i="49"/>
  <c r="E370" i="49"/>
  <c r="E384" i="49"/>
  <c r="E383" i="49"/>
  <c r="E382" i="49"/>
  <c r="E381" i="49"/>
  <c r="E380" i="49"/>
  <c r="E379" i="49"/>
  <c r="E378" i="49"/>
  <c r="E377" i="49"/>
  <c r="E366" i="49" l="1"/>
  <c r="E365" i="49"/>
  <c r="E364" i="49"/>
  <c r="E363" i="49"/>
  <c r="E362" i="49"/>
  <c r="E361" i="49"/>
  <c r="E360" i="49"/>
  <c r="E359" i="49"/>
  <c r="E358" i="49"/>
  <c r="E352" i="49"/>
  <c r="E351" i="49"/>
  <c r="E350" i="49"/>
  <c r="E349" i="49"/>
  <c r="E348" i="49"/>
  <c r="E354" i="49" l="1"/>
  <c r="E353" i="49"/>
  <c r="E344" i="49" l="1"/>
  <c r="E343" i="49"/>
  <c r="E342" i="49"/>
  <c r="E341" i="49"/>
  <c r="E337" i="49"/>
  <c r="E336" i="49"/>
  <c r="E335" i="49"/>
  <c r="E334" i="49"/>
  <c r="E329" i="49"/>
  <c r="E328" i="49"/>
  <c r="E327" i="49"/>
  <c r="E326" i="49"/>
  <c r="E325" i="49"/>
  <c r="E324" i="49"/>
  <c r="E330" i="49"/>
  <c r="E319" i="49" l="1"/>
  <c r="E318" i="49"/>
  <c r="E317" i="49"/>
  <c r="E316" i="49"/>
  <c r="E315" i="49"/>
  <c r="E314" i="49"/>
  <c r="E310" i="49"/>
  <c r="E309" i="49"/>
  <c r="E308" i="49"/>
  <c r="E307" i="49"/>
  <c r="E306" i="49"/>
  <c r="E305" i="49"/>
  <c r="E304" i="49"/>
  <c r="E285" i="49"/>
  <c r="E284" i="49"/>
  <c r="E283" i="49"/>
  <c r="E282" i="49"/>
  <c r="E274" i="49"/>
  <c r="E278" i="49"/>
  <c r="E277" i="49"/>
  <c r="E276" i="49"/>
  <c r="E275" i="49"/>
  <c r="E273" i="49"/>
  <c r="E268" i="49"/>
  <c r="E267" i="49"/>
  <c r="E266" i="49"/>
  <c r="E263" i="49"/>
  <c r="E259" i="49"/>
  <c r="E258" i="49"/>
  <c r="E257" i="49"/>
  <c r="E256" i="49"/>
  <c r="E265" i="49"/>
  <c r="E264" i="49"/>
  <c r="E252" i="49"/>
  <c r="E251" i="49"/>
  <c r="E250" i="49"/>
  <c r="E249" i="49"/>
  <c r="E248" i="49"/>
  <c r="E247" i="49"/>
  <c r="E246" i="49"/>
  <c r="E245" i="49"/>
  <c r="E235" i="49"/>
  <c r="E238" i="49"/>
  <c r="E241" i="49"/>
  <c r="E240" i="49"/>
  <c r="E239" i="49"/>
  <c r="E237" i="49"/>
  <c r="E236" i="49"/>
  <c r="E231" i="49"/>
  <c r="E230" i="49"/>
  <c r="E229" i="49"/>
  <c r="E228" i="49"/>
  <c r="E227" i="49"/>
  <c r="E226" i="49"/>
  <c r="E225" i="49"/>
  <c r="E224" i="49"/>
  <c r="E220" i="49"/>
  <c r="E219" i="49"/>
  <c r="E218" i="49"/>
  <c r="E211" i="49"/>
  <c r="E210" i="49"/>
  <c r="E209" i="49"/>
  <c r="E208" i="49"/>
  <c r="E217" i="49"/>
  <c r="E216" i="49"/>
  <c r="E215" i="49"/>
  <c r="E204" i="49"/>
  <c r="E203" i="49"/>
  <c r="E202" i="49"/>
  <c r="E201" i="49"/>
  <c r="E200" i="49"/>
  <c r="E199" i="49"/>
  <c r="E198" i="49"/>
  <c r="E197" i="49"/>
  <c r="E196" i="49"/>
  <c r="E188" i="49"/>
  <c r="E187" i="49"/>
  <c r="E186" i="49"/>
  <c r="E189" i="49"/>
  <c r="E192" i="49"/>
  <c r="E191" i="49"/>
  <c r="E190" i="49"/>
  <c r="E160" i="49"/>
  <c r="E159" i="49"/>
  <c r="E158" i="49"/>
  <c r="E157" i="49"/>
  <c r="E156" i="49"/>
  <c r="E168" i="49"/>
  <c r="E167" i="49"/>
  <c r="E165" i="49"/>
  <c r="E164" i="49"/>
  <c r="E169" i="49"/>
  <c r="E166" i="49"/>
  <c r="E155" i="49"/>
  <c r="E150" i="49"/>
  <c r="E149" i="49"/>
  <c r="E148" i="49"/>
  <c r="E147" i="49"/>
  <c r="E146" i="49"/>
  <c r="E145" i="49"/>
  <c r="E144" i="49"/>
  <c r="E143" i="49"/>
  <c r="E139" i="49"/>
  <c r="E138" i="49"/>
  <c r="E137" i="49"/>
  <c r="E136" i="49"/>
  <c r="E135" i="49"/>
  <c r="E134" i="49"/>
  <c r="E133" i="49"/>
  <c r="E132" i="49"/>
  <c r="E131" i="49"/>
  <c r="E126" i="49" l="1"/>
  <c r="E125" i="49"/>
  <c r="E124" i="49"/>
  <c r="E123" i="49"/>
  <c r="E122" i="49"/>
  <c r="E121" i="49"/>
  <c r="E120" i="49"/>
  <c r="E119" i="49"/>
  <c r="E115" i="49"/>
  <c r="E114" i="49"/>
  <c r="E113" i="49"/>
  <c r="E112" i="49"/>
  <c r="E103" i="49"/>
  <c r="E105" i="49"/>
  <c r="E104" i="49"/>
  <c r="E99" i="49"/>
  <c r="E107" i="49"/>
  <c r="E106" i="49"/>
  <c r="E108" i="49"/>
  <c r="E98" i="49"/>
  <c r="E97" i="49"/>
  <c r="E96" i="49"/>
  <c r="E95" i="49"/>
  <c r="E94" i="49"/>
  <c r="E93" i="49"/>
  <c r="E89" i="49"/>
  <c r="E86" i="49"/>
  <c r="E85" i="49"/>
  <c r="E84" i="49"/>
  <c r="E83" i="49"/>
  <c r="E88" i="49"/>
  <c r="E87" i="49"/>
  <c r="E79" i="49" l="1"/>
  <c r="E78" i="49"/>
  <c r="E77" i="49"/>
  <c r="E76" i="49"/>
  <c r="E68" i="49"/>
  <c r="E69" i="49"/>
  <c r="E72" i="49"/>
  <c r="E71" i="49"/>
  <c r="E70" i="49"/>
  <c r="E413" i="48" l="1"/>
  <c r="E412" i="48"/>
  <c r="E411" i="48"/>
  <c r="E410" i="48"/>
  <c r="E400" i="48"/>
  <c r="E406" i="48"/>
  <c r="E405" i="48"/>
  <c r="E404" i="48"/>
  <c r="E403" i="48"/>
  <c r="E402" i="48"/>
  <c r="E401" i="48"/>
  <c r="E590" i="49" l="1"/>
  <c r="E589" i="49"/>
  <c r="E588" i="49"/>
  <c r="E587" i="49"/>
  <c r="E586" i="49"/>
  <c r="E585" i="49"/>
  <c r="E582" i="49"/>
  <c r="E583" i="49"/>
  <c r="E584" i="49"/>
  <c r="E182" i="49"/>
  <c r="E181" i="49"/>
  <c r="E180" i="49"/>
  <c r="E179" i="49"/>
  <c r="E175" i="49"/>
  <c r="E174" i="49"/>
  <c r="E173" i="49"/>
  <c r="E599" i="45"/>
  <c r="E598" i="45"/>
  <c r="E597" i="45"/>
  <c r="E596" i="45"/>
  <c r="E595" i="45"/>
  <c r="E594" i="45"/>
  <c r="E593" i="45"/>
  <c r="E592" i="45"/>
  <c r="E591" i="45"/>
  <c r="E606" i="45"/>
  <c r="E605" i="45"/>
  <c r="E604" i="45"/>
  <c r="E603" i="45"/>
  <c r="E587" i="45"/>
  <c r="E586" i="45"/>
  <c r="E585" i="45"/>
  <c r="E584" i="45"/>
  <c r="E583" i="45"/>
  <c r="E582" i="45"/>
  <c r="E581" i="45"/>
  <c r="E580" i="45"/>
  <c r="E579" i="45"/>
  <c r="E574" i="45"/>
  <c r="E573" i="45"/>
  <c r="E572" i="45"/>
  <c r="E575" i="45"/>
  <c r="E568" i="45"/>
  <c r="E567" i="45"/>
  <c r="E566" i="45"/>
  <c r="E565" i="45"/>
  <c r="E564" i="45"/>
  <c r="E563" i="45"/>
  <c r="E559" i="45"/>
  <c r="E558" i="45"/>
  <c r="E557" i="45"/>
  <c r="E556" i="45"/>
  <c r="E548" i="45"/>
  <c r="E547" i="45"/>
  <c r="E546" i="45"/>
  <c r="E549" i="45"/>
  <c r="E552" i="45"/>
  <c r="E551" i="45"/>
  <c r="E550" i="45"/>
  <c r="E542" i="45"/>
  <c r="E541" i="45"/>
  <c r="E540" i="45"/>
  <c r="E539" i="45"/>
  <c r="E538" i="45"/>
  <c r="E536" i="45"/>
  <c r="E535" i="45"/>
  <c r="E530" i="45"/>
  <c r="E529" i="45"/>
  <c r="E528" i="45"/>
  <c r="E527" i="45"/>
  <c r="E526" i="45"/>
  <c r="E525" i="45"/>
  <c r="E537" i="45"/>
  <c r="E531" i="45"/>
  <c r="E520" i="45"/>
  <c r="E519" i="45"/>
  <c r="E518" i="45"/>
  <c r="E514" i="45"/>
  <c r="E513" i="45"/>
  <c r="E512" i="45"/>
  <c r="E511" i="45"/>
  <c r="E521" i="45"/>
  <c r="E396" i="48"/>
  <c r="E395" i="48"/>
  <c r="E394" i="48"/>
  <c r="E393" i="48"/>
  <c r="E392" i="48"/>
  <c r="E391" i="48"/>
  <c r="E390" i="48"/>
  <c r="E386" i="48"/>
  <c r="E385" i="48"/>
  <c r="E384" i="48"/>
  <c r="E383" i="48"/>
  <c r="E507" i="45"/>
  <c r="E506" i="45"/>
  <c r="E505" i="45"/>
  <c r="E504" i="45"/>
  <c r="E503" i="45"/>
  <c r="E502" i="45"/>
  <c r="E493" i="45"/>
  <c r="E494" i="45"/>
  <c r="E497" i="45"/>
  <c r="E496" i="45"/>
  <c r="E495" i="45"/>
  <c r="E498" i="45"/>
  <c r="E488" i="45"/>
  <c r="E487" i="45"/>
  <c r="E486" i="45"/>
  <c r="E485" i="45"/>
  <c r="E484" i="45"/>
  <c r="E483" i="45"/>
  <c r="E482" i="45"/>
  <c r="E481" i="45"/>
  <c r="E477" i="45"/>
  <c r="E476" i="45"/>
  <c r="E475" i="45"/>
  <c r="E474" i="45"/>
  <c r="E473" i="45"/>
  <c r="E472" i="45"/>
  <c r="E471" i="45"/>
  <c r="E453" i="45"/>
  <c r="E452" i="45"/>
  <c r="E451" i="45"/>
  <c r="E450" i="45"/>
  <c r="E449" i="45"/>
  <c r="E455" i="45"/>
  <c r="E454" i="45"/>
  <c r="E466" i="45"/>
  <c r="E465" i="45"/>
  <c r="E464" i="45"/>
  <c r="E463" i="45"/>
  <c r="E462" i="45"/>
  <c r="E461" i="45"/>
  <c r="E460" i="45"/>
  <c r="E459" i="45"/>
  <c r="E467" i="45"/>
  <c r="E424" i="45"/>
  <c r="E445" i="45"/>
  <c r="E444" i="45"/>
  <c r="E443" i="45"/>
  <c r="E442" i="45"/>
  <c r="E441" i="45"/>
  <c r="E440" i="45"/>
  <c r="E439" i="45"/>
  <c r="E430" i="45"/>
  <c r="E429" i="45"/>
  <c r="E428" i="45"/>
  <c r="E427" i="45"/>
  <c r="E426" i="45"/>
  <c r="E425" i="45"/>
  <c r="E420" i="45"/>
  <c r="E419" i="45"/>
  <c r="E418" i="45"/>
  <c r="E417" i="45"/>
  <c r="E416" i="45"/>
  <c r="E415" i="45"/>
  <c r="E414" i="45"/>
  <c r="E413" i="45"/>
  <c r="E409" i="45"/>
  <c r="E408" i="45"/>
  <c r="E407" i="45"/>
  <c r="E406" i="45"/>
  <c r="E396" i="45"/>
  <c r="E397" i="45"/>
  <c r="E402" i="45"/>
  <c r="E401" i="45"/>
  <c r="E400" i="45"/>
  <c r="E399" i="45"/>
  <c r="E398" i="45"/>
  <c r="E392" i="45"/>
  <c r="E391" i="45"/>
  <c r="E390" i="45"/>
  <c r="E389" i="45"/>
  <c r="E388" i="45"/>
  <c r="E387" i="45"/>
  <c r="E386" i="45"/>
  <c r="E385" i="45"/>
  <c r="E381" i="45"/>
  <c r="E380" i="45"/>
  <c r="E379" i="45"/>
  <c r="E378" i="45"/>
  <c r="E362" i="45" l="1"/>
  <c r="E361" i="45"/>
  <c r="E360" i="45"/>
  <c r="E359" i="45"/>
  <c r="E358" i="45"/>
  <c r="E357" i="45"/>
  <c r="E356" i="45"/>
  <c r="E368" i="45"/>
  <c r="E367" i="45"/>
  <c r="E366" i="45"/>
  <c r="E374" i="45"/>
  <c r="E373" i="45"/>
  <c r="E372" i="45"/>
  <c r="E371" i="45"/>
  <c r="E370" i="45"/>
  <c r="E369" i="45"/>
  <c r="E352" i="45"/>
  <c r="E351" i="45"/>
  <c r="E350" i="45"/>
  <c r="E349" i="45"/>
  <c r="E345" i="45"/>
  <c r="E344" i="45"/>
  <c r="E343" i="45"/>
  <c r="E342" i="45"/>
  <c r="E338" i="45"/>
  <c r="E337" i="45"/>
  <c r="E336" i="45"/>
  <c r="E335" i="45"/>
  <c r="E334" i="45"/>
  <c r="E333" i="45"/>
  <c r="E328" i="45"/>
  <c r="E327" i="45"/>
  <c r="E326" i="45"/>
  <c r="E325" i="45"/>
  <c r="E324" i="45"/>
  <c r="E323" i="45"/>
  <c r="E322" i="45"/>
  <c r="E321" i="45"/>
  <c r="E329" i="45"/>
  <c r="E317" i="45"/>
  <c r="E316" i="45"/>
  <c r="E314" i="45"/>
  <c r="E313" i="45"/>
  <c r="E312" i="45"/>
  <c r="E315" i="45"/>
  <c r="E307" i="45"/>
  <c r="E306" i="45"/>
  <c r="E305" i="45"/>
  <c r="E304" i="45"/>
  <c r="E303" i="45"/>
  <c r="E302" i="45"/>
  <c r="E308" i="45"/>
  <c r="E297" i="45"/>
  <c r="E296" i="45"/>
  <c r="E295" i="45"/>
  <c r="E294" i="45"/>
  <c r="E293" i="45"/>
  <c r="E298" i="45"/>
  <c r="E289" i="45"/>
  <c r="E288" i="45"/>
  <c r="E287" i="45"/>
  <c r="E236" i="45"/>
  <c r="E235" i="45"/>
  <c r="E234" i="45"/>
  <c r="E233" i="45"/>
  <c r="E232" i="45"/>
  <c r="E231" i="45"/>
  <c r="E230" i="45"/>
  <c r="E229" i="45"/>
  <c r="E225" i="45"/>
  <c r="E224" i="45"/>
  <c r="E223" i="45"/>
  <c r="E222" i="45"/>
  <c r="E221" i="45"/>
  <c r="E220" i="45"/>
  <c r="E219" i="45"/>
  <c r="E215" i="45"/>
  <c r="E214" i="45"/>
  <c r="E213" i="45"/>
  <c r="E212" i="45"/>
  <c r="E211" i="45"/>
  <c r="E210" i="45"/>
  <c r="E209" i="45"/>
  <c r="E208" i="45"/>
  <c r="E204" i="45"/>
  <c r="E203" i="45"/>
  <c r="E202" i="45"/>
  <c r="E201" i="45"/>
  <c r="E200" i="45"/>
  <c r="E199" i="45"/>
  <c r="E195" i="45"/>
  <c r="E194" i="45"/>
  <c r="E193" i="45"/>
  <c r="E192" i="45"/>
  <c r="E188" i="45"/>
  <c r="E187" i="45"/>
  <c r="E186" i="45"/>
  <c r="E185" i="45"/>
  <c r="E184" i="45"/>
  <c r="E183" i="45"/>
  <c r="E182" i="45"/>
  <c r="E177" i="45"/>
  <c r="E176" i="45"/>
  <c r="E175" i="45"/>
  <c r="E178" i="45"/>
  <c r="E171" i="45" l="1"/>
  <c r="E170" i="45"/>
  <c r="E169" i="45"/>
  <c r="E151" i="45"/>
  <c r="E152" i="45"/>
  <c r="E156" i="45"/>
  <c r="E155" i="45"/>
  <c r="E154" i="45"/>
  <c r="E153" i="45"/>
  <c r="E165" i="45"/>
  <c r="E164" i="45"/>
  <c r="E163" i="45"/>
  <c r="E162" i="45"/>
  <c r="E161" i="45"/>
  <c r="E160" i="45"/>
  <c r="E282" i="45" l="1"/>
  <c r="E281" i="45"/>
  <c r="E280" i="45"/>
  <c r="E283" i="45"/>
  <c r="E275" i="45"/>
  <c r="E274" i="45"/>
  <c r="E273" i="45"/>
  <c r="E276" i="45"/>
  <c r="E269" i="45"/>
  <c r="E268" i="45"/>
  <c r="E267" i="45"/>
  <c r="E266" i="45"/>
  <c r="E265" i="45"/>
  <c r="E264" i="45"/>
  <c r="E247" i="45"/>
  <c r="E246" i="45"/>
  <c r="E245" i="45"/>
  <c r="E244" i="45"/>
  <c r="E243" i="45"/>
  <c r="E241" i="45"/>
  <c r="E242" i="45"/>
  <c r="E253" i="45" l="1"/>
  <c r="E252" i="45"/>
  <c r="E251" i="45"/>
  <c r="E259" i="45"/>
  <c r="E258" i="45"/>
  <c r="E257" i="45"/>
  <c r="E256" i="45"/>
  <c r="E254" i="45"/>
  <c r="E255" i="45"/>
  <c r="E62" i="49" l="1"/>
  <c r="E61" i="49"/>
  <c r="E60" i="49"/>
  <c r="E59" i="49"/>
  <c r="E58" i="49"/>
  <c r="E57" i="49"/>
  <c r="E56" i="49"/>
  <c r="E63" i="49"/>
  <c r="E51" i="49"/>
  <c r="E50" i="49"/>
  <c r="E49" i="49"/>
  <c r="E52" i="49"/>
  <c r="E22" i="49"/>
  <c r="E21" i="49"/>
  <c r="E20" i="49"/>
  <c r="E26" i="49"/>
  <c r="E44" i="49"/>
  <c r="E43" i="49"/>
  <c r="E42" i="49"/>
  <c r="E41" i="49"/>
  <c r="E40" i="49"/>
  <c r="E45" i="49"/>
  <c r="E36" i="49"/>
  <c r="E35" i="49"/>
  <c r="E34" i="49"/>
  <c r="E33" i="49"/>
  <c r="E32" i="49"/>
  <c r="E31" i="49"/>
  <c r="E30" i="49"/>
  <c r="E29" i="49"/>
  <c r="E28" i="49"/>
  <c r="E27" i="49"/>
  <c r="E379" i="48" l="1"/>
  <c r="E378" i="48"/>
  <c r="E377" i="48"/>
  <c r="E376" i="48"/>
  <c r="E375" i="48"/>
  <c r="E374" i="48"/>
  <c r="E372" i="48"/>
  <c r="E373" i="48"/>
  <c r="E371" i="48"/>
  <c r="E367" i="48" l="1"/>
  <c r="E366" i="48"/>
  <c r="E365" i="48"/>
  <c r="E364" i="48"/>
  <c r="E363" i="48"/>
  <c r="E362" i="48"/>
  <c r="E361" i="48"/>
  <c r="E357" i="48" l="1"/>
  <c r="E356" i="48"/>
  <c r="E355" i="48"/>
  <c r="E354" i="48"/>
  <c r="E353" i="48"/>
  <c r="E352" i="48"/>
  <c r="E351" i="48"/>
  <c r="E350" i="48"/>
  <c r="E346" i="48"/>
  <c r="E345" i="48"/>
  <c r="E344" i="48"/>
  <c r="E343" i="48"/>
  <c r="E16" i="48" l="1"/>
  <c r="E15" i="48"/>
  <c r="E14" i="48"/>
  <c r="E16" i="49"/>
  <c r="E15" i="49"/>
  <c r="E14" i="49"/>
  <c r="E13" i="49"/>
  <c r="E12" i="49"/>
  <c r="E11" i="49"/>
  <c r="E10" i="49"/>
  <c r="E9" i="49"/>
  <c r="E8" i="49"/>
  <c r="E7" i="49"/>
  <c r="E243" i="48" l="1"/>
  <c r="E242" i="48"/>
  <c r="E241" i="48"/>
  <c r="E240" i="48"/>
  <c r="E239" i="48"/>
  <c r="E238" i="48"/>
  <c r="E237" i="48"/>
  <c r="E236" i="48"/>
  <c r="E232" i="48"/>
  <c r="E228" i="48"/>
  <c r="E227" i="48"/>
  <c r="E226" i="48"/>
  <c r="E229" i="48"/>
  <c r="E231" i="48"/>
  <c r="E230" i="48"/>
  <c r="E222" i="48"/>
  <c r="E221" i="48"/>
  <c r="E220" i="48"/>
  <c r="E219" i="48"/>
  <c r="E218" i="48"/>
  <c r="E217" i="48"/>
  <c r="E216" i="48"/>
  <c r="E215" i="48"/>
  <c r="E211" i="48"/>
  <c r="E210" i="48"/>
  <c r="E209" i="48"/>
  <c r="E208" i="48"/>
  <c r="E207" i="48"/>
  <c r="E206" i="48"/>
  <c r="E201" i="48"/>
  <c r="E200" i="48"/>
  <c r="E199" i="48"/>
  <c r="E202" i="48"/>
  <c r="E195" i="48"/>
  <c r="E194" i="48"/>
  <c r="E193" i="48"/>
  <c r="E192" i="48"/>
  <c r="E191" i="48"/>
  <c r="E190" i="48"/>
  <c r="E189" i="48"/>
  <c r="E188" i="48"/>
  <c r="E187" i="48"/>
  <c r="E179" i="48" l="1"/>
  <c r="E178" i="48"/>
  <c r="E177" i="48"/>
  <c r="E183" i="48"/>
  <c r="E182" i="48"/>
  <c r="E181" i="48"/>
  <c r="E180" i="48"/>
  <c r="E172" i="48"/>
  <c r="E171" i="48"/>
  <c r="E170" i="48"/>
  <c r="E173" i="48"/>
  <c r="E166" i="48"/>
  <c r="E165" i="48"/>
  <c r="E164" i="48"/>
  <c r="E159" i="48"/>
  <c r="E158" i="48"/>
  <c r="E146" i="48"/>
  <c r="E160" i="48"/>
  <c r="E157" i="48"/>
  <c r="E156" i="48"/>
  <c r="E155" i="48"/>
  <c r="E151" i="48"/>
  <c r="E150" i="48"/>
  <c r="E149" i="48"/>
  <c r="E148" i="48"/>
  <c r="E147" i="48"/>
  <c r="E141" i="48"/>
  <c r="E140" i="48"/>
  <c r="E139" i="48"/>
  <c r="E138" i="48"/>
  <c r="E137" i="48"/>
  <c r="E136" i="48"/>
  <c r="E135" i="48"/>
  <c r="E134" i="48"/>
  <c r="E130" i="48"/>
  <c r="E129" i="48"/>
  <c r="E128" i="48"/>
  <c r="E127" i="48"/>
  <c r="E126" i="48"/>
  <c r="E125" i="48"/>
  <c r="E124" i="48"/>
  <c r="E123" i="48"/>
  <c r="E122" i="48"/>
  <c r="E117" i="48"/>
  <c r="E116" i="48"/>
  <c r="E115" i="48"/>
  <c r="E114" i="48"/>
  <c r="E113" i="48"/>
  <c r="E112" i="48"/>
  <c r="E111" i="48"/>
  <c r="E110" i="48"/>
  <c r="E106" i="48"/>
  <c r="E105" i="48"/>
  <c r="E104" i="48"/>
  <c r="E103" i="48"/>
  <c r="E99" i="48"/>
  <c r="E98" i="48"/>
  <c r="E97" i="48"/>
  <c r="E96" i="48"/>
  <c r="E95" i="48"/>
  <c r="E94" i="48"/>
  <c r="E93" i="48"/>
  <c r="E85" i="48"/>
  <c r="E84" i="48"/>
  <c r="E83" i="48"/>
  <c r="E89" i="48"/>
  <c r="E88" i="48"/>
  <c r="E87" i="48"/>
  <c r="E86" i="48"/>
  <c r="E68" i="48"/>
  <c r="E69" i="48"/>
  <c r="E78" i="48"/>
  <c r="E77" i="48"/>
  <c r="E76" i="48"/>
  <c r="E79" i="48"/>
  <c r="E72" i="48"/>
  <c r="E71" i="48"/>
  <c r="E70" i="48"/>
  <c r="E339" i="48" l="1"/>
  <c r="E338" i="48"/>
  <c r="E337" i="48"/>
  <c r="E336" i="48"/>
  <c r="E335" i="48"/>
  <c r="E334" i="48"/>
  <c r="E333" i="48"/>
  <c r="E332" i="48"/>
  <c r="E328" i="48"/>
  <c r="E326" i="48" l="1"/>
  <c r="E325" i="48"/>
  <c r="E327" i="48"/>
  <c r="E63" i="48" l="1"/>
  <c r="E62" i="48"/>
  <c r="E61" i="48"/>
  <c r="E60" i="48"/>
  <c r="E59" i="48"/>
  <c r="E58" i="48"/>
  <c r="E57" i="48"/>
  <c r="E56" i="48"/>
  <c r="E49" i="48"/>
  <c r="E52" i="48" l="1"/>
  <c r="E51" i="48"/>
  <c r="E50" i="48"/>
  <c r="E321" i="48"/>
  <c r="E320" i="48"/>
  <c r="E319" i="48"/>
  <c r="E318" i="48"/>
  <c r="E317" i="48"/>
  <c r="E316" i="48"/>
  <c r="E312" i="48"/>
  <c r="E308" i="48"/>
  <c r="E307" i="48"/>
  <c r="E306" i="48"/>
  <c r="E311" i="48"/>
  <c r="E310" i="48"/>
  <c r="E309" i="48"/>
  <c r="E302" i="48" l="1"/>
  <c r="E301" i="48"/>
  <c r="E300" i="48"/>
  <c r="E299" i="48"/>
  <c r="E298" i="48"/>
  <c r="E297" i="48"/>
  <c r="E296" i="48"/>
  <c r="E291" i="48" l="1"/>
  <c r="E290" i="48"/>
  <c r="E289" i="48"/>
  <c r="E287" i="48"/>
  <c r="E288" i="48"/>
  <c r="E286" i="48"/>
  <c r="E282" i="48"/>
  <c r="E281" i="48"/>
  <c r="E280" i="48"/>
  <c r="E275" i="48" l="1"/>
  <c r="E274" i="48"/>
  <c r="E273" i="48"/>
  <c r="E276" i="48"/>
  <c r="E269" i="48"/>
  <c r="E268" i="48"/>
  <c r="E267" i="48" l="1"/>
  <c r="E266" i="48"/>
  <c r="E265" i="48"/>
  <c r="E264" i="48" l="1"/>
  <c r="E256" i="48" l="1"/>
  <c r="E255" i="48"/>
  <c r="E254" i="48"/>
  <c r="E257" i="48"/>
  <c r="E250" i="48"/>
  <c r="E249" i="48"/>
  <c r="E248" i="48"/>
  <c r="E247" i="48"/>
  <c r="E258" i="48"/>
  <c r="E259" i="48"/>
  <c r="E13" i="48" l="1"/>
  <c r="E12" i="48"/>
  <c r="E6" i="49" l="1"/>
  <c r="E300" i="49"/>
  <c r="E299" i="49"/>
  <c r="E298" i="49"/>
  <c r="E297" i="49"/>
  <c r="E296" i="49"/>
  <c r="E295" i="49"/>
  <c r="E291" i="49"/>
  <c r="E290" i="49"/>
  <c r="E289" i="49"/>
  <c r="E45" i="48" l="1"/>
  <c r="E44" i="48"/>
  <c r="E43" i="48"/>
  <c r="E42" i="48"/>
  <c r="E41" i="48"/>
  <c r="E40" i="48"/>
  <c r="E36" i="48"/>
  <c r="E35" i="48"/>
  <c r="E34" i="48"/>
  <c r="E33" i="48"/>
  <c r="E32" i="48"/>
  <c r="E31" i="48"/>
  <c r="E30" i="48"/>
  <c r="E29" i="48"/>
  <c r="E28" i="48"/>
  <c r="E27" i="48"/>
  <c r="E26" i="48"/>
  <c r="E22" i="48"/>
  <c r="E21" i="48"/>
  <c r="E20" i="48"/>
  <c r="E146" i="45" l="1"/>
  <c r="E145" i="45"/>
  <c r="E144" i="45"/>
  <c r="E143" i="45"/>
  <c r="E142" i="45"/>
  <c r="E141" i="45"/>
  <c r="E140" i="45"/>
  <c r="E139" i="45"/>
  <c r="E135" i="45"/>
  <c r="E134" i="45"/>
  <c r="E133" i="45"/>
  <c r="E132" i="45"/>
  <c r="E131" i="45"/>
  <c r="E130" i="45"/>
  <c r="E129" i="45"/>
  <c r="E128" i="45"/>
  <c r="E127" i="45"/>
  <c r="E122" i="45" l="1"/>
  <c r="E121" i="45"/>
  <c r="E120" i="45"/>
  <c r="E119" i="45"/>
  <c r="E118" i="45"/>
  <c r="E117" i="45"/>
  <c r="E116" i="45"/>
  <c r="E115" i="45"/>
  <c r="E111" i="45"/>
  <c r="E110" i="45"/>
  <c r="E109" i="45"/>
  <c r="E108" i="45"/>
  <c r="E104" i="45" l="1"/>
  <c r="E103" i="45"/>
  <c r="E102" i="45"/>
  <c r="E101" i="45"/>
  <c r="E100" i="45"/>
  <c r="E99" i="45"/>
  <c r="E95" i="45"/>
  <c r="E94" i="45"/>
  <c r="E93" i="45"/>
  <c r="E92" i="45"/>
  <c r="E91" i="45"/>
  <c r="E90" i="45"/>
  <c r="E89" i="45"/>
  <c r="E81" i="45"/>
  <c r="E80" i="45"/>
  <c r="E79" i="45"/>
  <c r="E85" i="45"/>
  <c r="E84" i="45"/>
  <c r="E83" i="45"/>
  <c r="E82" i="45"/>
  <c r="E68" i="45" l="1"/>
  <c r="E67" i="45"/>
  <c r="E66" i="45"/>
  <c r="E65" i="45"/>
  <c r="E64" i="45"/>
  <c r="E48" i="45" l="1"/>
  <c r="E47" i="45"/>
  <c r="E46" i="45"/>
  <c r="E45" i="45"/>
  <c r="E59" i="45"/>
  <c r="E58" i="45"/>
  <c r="E57" i="45"/>
  <c r="E56" i="45"/>
  <c r="E55" i="45"/>
  <c r="E54" i="45"/>
  <c r="E53" i="45"/>
  <c r="E52" i="45"/>
  <c r="E38" i="45" l="1"/>
  <c r="E37" i="45"/>
  <c r="E36" i="45"/>
  <c r="E39" i="45"/>
  <c r="E41" i="45"/>
  <c r="E40" i="45"/>
  <c r="E32" i="45"/>
  <c r="E31" i="45"/>
  <c r="E30" i="45"/>
  <c r="E29" i="45"/>
  <c r="E28" i="45"/>
  <c r="E27" i="45"/>
  <c r="E26" i="45"/>
  <c r="E22" i="45"/>
  <c r="E21" i="45"/>
  <c r="E20" i="45"/>
  <c r="E94" i="38" l="1"/>
  <c r="E29" i="31"/>
  <c r="E16" i="45" l="1"/>
  <c r="E15" i="45"/>
  <c r="E14" i="45"/>
  <c r="E13" i="45"/>
  <c r="E12" i="45"/>
  <c r="E11" i="45"/>
  <c r="E10" i="45"/>
  <c r="E9" i="45"/>
  <c r="E8" i="45"/>
  <c r="E7" i="45"/>
  <c r="E6" i="45" l="1"/>
  <c r="E611" i="44" l="1"/>
  <c r="E610" i="44"/>
  <c r="E609" i="44"/>
  <c r="E608" i="44"/>
  <c r="E607" i="44"/>
  <c r="E606" i="44"/>
  <c r="E605" i="44"/>
  <c r="E604" i="44"/>
  <c r="E603" i="44"/>
  <c r="E598" i="44" l="1"/>
  <c r="E597" i="44"/>
  <c r="E596" i="44"/>
  <c r="E599" i="44"/>
  <c r="E592" i="44" l="1"/>
  <c r="E591" i="44"/>
  <c r="E590" i="44"/>
  <c r="E589" i="44"/>
  <c r="E585" i="44" l="1"/>
  <c r="E584" i="44"/>
  <c r="E583" i="44"/>
  <c r="E582" i="44"/>
  <c r="E581" i="44"/>
  <c r="E580" i="44"/>
  <c r="E579" i="44"/>
  <c r="E578" i="44"/>
  <c r="E577" i="44"/>
  <c r="E573" i="44" l="1"/>
  <c r="E572" i="44"/>
  <c r="E571" i="44"/>
  <c r="E570" i="44"/>
  <c r="E569" i="44"/>
  <c r="E568" i="44"/>
  <c r="E567" i="44"/>
  <c r="E563" i="44" l="1"/>
  <c r="E562" i="44"/>
  <c r="E561" i="44"/>
  <c r="E560" i="44"/>
  <c r="E559" i="44"/>
  <c r="E558" i="44"/>
  <c r="E557" i="44"/>
  <c r="E556" i="44"/>
  <c r="E549" i="44"/>
  <c r="E548" i="44"/>
  <c r="E547" i="44"/>
  <c r="E550" i="44"/>
  <c r="E552" i="44"/>
  <c r="E551" i="44"/>
  <c r="E543" i="44" l="1"/>
  <c r="E542" i="44"/>
  <c r="E541" i="44"/>
  <c r="E540" i="44"/>
  <c r="E539" i="44"/>
  <c r="E538" i="44"/>
  <c r="E537" i="44"/>
  <c r="E536" i="44"/>
  <c r="E529" i="44" l="1"/>
  <c r="E528" i="44"/>
  <c r="E527" i="44"/>
  <c r="E526" i="44"/>
  <c r="E532" i="44"/>
  <c r="E531" i="44"/>
  <c r="E530" i="44"/>
  <c r="E521" i="44" l="1"/>
  <c r="E520" i="44"/>
  <c r="E519" i="44"/>
  <c r="E522" i="44"/>
  <c r="E515" i="44" l="1"/>
  <c r="E514" i="44"/>
  <c r="E513" i="44"/>
  <c r="E512" i="44"/>
  <c r="E507" i="44" l="1"/>
  <c r="E506" i="44"/>
  <c r="E505" i="44"/>
  <c r="E504" i="44"/>
  <c r="E503" i="44"/>
  <c r="E508" i="44"/>
  <c r="E494" i="44" l="1"/>
  <c r="E495" i="44"/>
  <c r="E499" i="44"/>
  <c r="E498" i="44"/>
  <c r="E497" i="44"/>
  <c r="E496" i="44"/>
  <c r="E489" i="44" l="1"/>
  <c r="E488" i="44"/>
  <c r="E487" i="44"/>
  <c r="E486" i="44"/>
  <c r="E485" i="44"/>
  <c r="E484" i="44"/>
  <c r="E483" i="44"/>
  <c r="E482" i="44"/>
  <c r="E478" i="44" l="1"/>
  <c r="E477" i="44"/>
  <c r="E476" i="44"/>
  <c r="E475" i="44"/>
  <c r="E474" i="44"/>
  <c r="E473" i="44"/>
  <c r="E472" i="44"/>
  <c r="E468" i="44" l="1"/>
  <c r="E467" i="44"/>
  <c r="E466" i="44"/>
  <c r="E465" i="44"/>
  <c r="E464" i="44"/>
  <c r="E463" i="44"/>
  <c r="E462" i="44"/>
  <c r="E456" i="44" l="1"/>
  <c r="E455" i="44"/>
  <c r="E454" i="44"/>
  <c r="E453" i="44"/>
  <c r="E452" i="44"/>
  <c r="E458" i="44"/>
  <c r="E457" i="44"/>
  <c r="E441" i="44" l="1"/>
  <c r="E440" i="44"/>
  <c r="E439" i="44"/>
  <c r="E442" i="44"/>
  <c r="E447" i="44"/>
  <c r="E446" i="44"/>
  <c r="E445" i="44"/>
  <c r="E444" i="44"/>
  <c r="E443" i="44"/>
  <c r="E438" i="44"/>
  <c r="E448" i="44"/>
  <c r="E520" i="38" l="1"/>
  <c r="E519" i="38"/>
  <c r="E518" i="38"/>
  <c r="E517" i="38"/>
  <c r="E513" i="38"/>
  <c r="E512" i="38"/>
  <c r="E511" i="38"/>
  <c r="E510" i="38"/>
  <c r="E509" i="38"/>
  <c r="E508" i="38"/>
  <c r="E504" i="38"/>
  <c r="E503" i="38"/>
  <c r="E502" i="38"/>
  <c r="E501" i="38"/>
  <c r="E490" i="38"/>
  <c r="E489" i="38"/>
  <c r="E488" i="38"/>
  <c r="E487" i="38"/>
  <c r="E486" i="38"/>
  <c r="E485" i="38"/>
  <c r="E484" i="38"/>
  <c r="E483" i="38"/>
  <c r="E479" i="38"/>
  <c r="E478" i="38"/>
  <c r="E477" i="38"/>
  <c r="E476" i="38"/>
  <c r="E475" i="38"/>
  <c r="E474" i="38"/>
  <c r="E473" i="38"/>
  <c r="E521" i="38"/>
  <c r="E522" i="38"/>
  <c r="E364" i="16"/>
  <c r="E16" i="27"/>
  <c r="E15" i="27"/>
  <c r="E433" i="44" l="1"/>
  <c r="E432" i="44"/>
  <c r="E431" i="44"/>
  <c r="E430" i="44"/>
  <c r="E429" i="44"/>
  <c r="E428" i="44"/>
  <c r="E427" i="44"/>
  <c r="E423" i="44" l="1"/>
  <c r="E422" i="44"/>
  <c r="E421" i="44"/>
  <c r="E420" i="44"/>
  <c r="E410" i="44" l="1"/>
  <c r="E416" i="44" l="1"/>
  <c r="E415" i="44"/>
  <c r="E414" i="44"/>
  <c r="E413" i="44"/>
  <c r="E412" i="44"/>
  <c r="E411" i="44"/>
  <c r="E406" i="44" l="1"/>
  <c r="E405" i="44"/>
  <c r="E404" i="44"/>
  <c r="E403" i="44"/>
  <c r="E402" i="44"/>
  <c r="E401" i="44"/>
  <c r="E400" i="44"/>
  <c r="E399" i="44"/>
  <c r="E388" i="44" l="1"/>
  <c r="E387" i="44"/>
  <c r="E386" i="44"/>
  <c r="E385" i="44"/>
  <c r="E384" i="44"/>
  <c r="E383" i="44"/>
  <c r="E395" i="44" l="1"/>
  <c r="E394" i="44"/>
  <c r="E393" i="44"/>
  <c r="E392" i="44"/>
  <c r="E382" i="44"/>
  <c r="E381" i="44"/>
  <c r="E380" i="44"/>
  <c r="E375" i="44" l="1"/>
  <c r="E374" i="44"/>
  <c r="E373" i="44"/>
  <c r="E372" i="44"/>
  <c r="E371" i="44"/>
  <c r="E370" i="44"/>
  <c r="E369" i="44"/>
  <c r="E376" i="44"/>
  <c r="E365" i="44"/>
  <c r="E364" i="44"/>
  <c r="E363" i="44"/>
  <c r="E362" i="44"/>
  <c r="E361" i="44"/>
  <c r="E360" i="44"/>
  <c r="E359" i="44"/>
  <c r="E355" i="44" l="1"/>
  <c r="E354" i="44"/>
  <c r="E353" i="44"/>
  <c r="E352" i="44"/>
  <c r="E348" i="44"/>
  <c r="E347" i="44"/>
  <c r="E346" i="44"/>
  <c r="E345" i="44"/>
  <c r="E340" i="44" l="1"/>
  <c r="E339" i="44"/>
  <c r="E338" i="44"/>
  <c r="E337" i="44"/>
  <c r="E336" i="44"/>
  <c r="E341" i="44"/>
  <c r="E331" i="44"/>
  <c r="E330" i="44"/>
  <c r="E329" i="44"/>
  <c r="E328" i="44"/>
  <c r="E327" i="44"/>
  <c r="E326" i="44"/>
  <c r="E332" i="44"/>
  <c r="E322" i="44" l="1"/>
  <c r="E321" i="44"/>
  <c r="E320" i="44"/>
  <c r="E319" i="44"/>
  <c r="E318" i="44"/>
  <c r="E313" i="44" l="1"/>
  <c r="E312" i="44"/>
  <c r="E311" i="44"/>
  <c r="E310" i="44"/>
  <c r="E309" i="44"/>
  <c r="E308" i="44"/>
  <c r="E307" i="44"/>
  <c r="E303" i="44" l="1"/>
  <c r="E302" i="44"/>
  <c r="E301" i="44"/>
  <c r="E300" i="44"/>
  <c r="E299" i="44"/>
  <c r="E298" i="44"/>
  <c r="E294" i="44"/>
  <c r="E293" i="44"/>
  <c r="E292" i="44"/>
  <c r="E288" i="44" l="1"/>
  <c r="E287" i="44"/>
  <c r="E286" i="44"/>
  <c r="E285" i="44"/>
  <c r="E281" i="44"/>
  <c r="E280" i="44"/>
  <c r="E279" i="44"/>
  <c r="E278" i="44"/>
  <c r="E277" i="44"/>
  <c r="E276" i="44"/>
  <c r="E275" i="44"/>
  <c r="E274" i="44"/>
  <c r="E273" i="44"/>
  <c r="E272" i="44"/>
  <c r="E271" i="44"/>
  <c r="E270" i="44"/>
  <c r="E264" i="44" l="1"/>
  <c r="E263" i="44"/>
  <c r="E262" i="44"/>
  <c r="E261" i="44"/>
  <c r="E259" i="44"/>
  <c r="E260" i="44"/>
  <c r="E254" i="44" l="1"/>
  <c r="E253" i="44"/>
  <c r="E252" i="44"/>
  <c r="E249" i="44"/>
  <c r="E251" i="44"/>
  <c r="E250" i="44"/>
  <c r="E245" i="44" l="1"/>
  <c r="E244" i="44"/>
  <c r="E243" i="44"/>
  <c r="E242" i="44"/>
  <c r="E238" i="44" l="1"/>
  <c r="E237" i="44"/>
  <c r="E236" i="44"/>
  <c r="E235" i="44"/>
  <c r="E234" i="44"/>
  <c r="E233" i="44"/>
  <c r="E232" i="44"/>
  <c r="E231" i="44"/>
  <c r="E223" i="44" l="1"/>
  <c r="E222" i="44"/>
  <c r="E221" i="44"/>
  <c r="E224" i="44"/>
  <c r="E227" i="44"/>
  <c r="E226" i="44"/>
  <c r="E225" i="44"/>
  <c r="E216" i="44" l="1"/>
  <c r="E215" i="44"/>
  <c r="E214" i="44"/>
  <c r="E213" i="44"/>
  <c r="E212" i="44"/>
  <c r="E211" i="44"/>
  <c r="E210" i="44"/>
  <c r="E217" i="44"/>
  <c r="E290" i="42"/>
  <c r="E289" i="42"/>
  <c r="E288" i="42"/>
  <c r="E287" i="42"/>
  <c r="E286" i="42"/>
  <c r="E285" i="42"/>
  <c r="E284" i="42"/>
  <c r="E280" i="42"/>
  <c r="E279" i="42"/>
  <c r="E278" i="42"/>
  <c r="E277" i="42"/>
  <c r="E276" i="42"/>
  <c r="E275" i="42"/>
  <c r="E271" i="42"/>
  <c r="E270" i="42"/>
  <c r="E269" i="42"/>
  <c r="E265" i="42"/>
  <c r="E264" i="42"/>
  <c r="E263" i="42"/>
  <c r="E258" i="42"/>
  <c r="E257" i="42"/>
  <c r="E256" i="42"/>
  <c r="E255" i="42"/>
  <c r="E254" i="42"/>
  <c r="E253" i="42"/>
  <c r="E248" i="42"/>
  <c r="E247" i="42"/>
  <c r="E246" i="42"/>
  <c r="E245" i="42"/>
  <c r="E241" i="42"/>
  <c r="E240" i="42"/>
  <c r="E239" i="42"/>
  <c r="E238" i="42"/>
  <c r="E237" i="42"/>
  <c r="E236" i="42"/>
  <c r="E235" i="42"/>
  <c r="E234" i="42"/>
  <c r="E230" i="42"/>
  <c r="E229" i="42"/>
  <c r="E228" i="42"/>
  <c r="E227" i="42"/>
  <c r="E226" i="42"/>
  <c r="E225" i="42"/>
  <c r="E224" i="42"/>
  <c r="E220" i="42"/>
  <c r="E219" i="42"/>
  <c r="E218" i="42"/>
  <c r="E217" i="42"/>
  <c r="E216" i="42"/>
  <c r="E215" i="42"/>
  <c r="E214" i="42"/>
  <c r="E213" i="42"/>
  <c r="E209" i="42"/>
  <c r="E208" i="42"/>
  <c r="E207" i="42"/>
  <c r="E206" i="42"/>
  <c r="E205" i="42"/>
  <c r="E204" i="42"/>
  <c r="E200" i="42"/>
  <c r="E199" i="42"/>
  <c r="E198" i="42"/>
  <c r="E197" i="42"/>
  <c r="E196" i="42"/>
  <c r="E195" i="42"/>
  <c r="E194" i="42"/>
  <c r="E193" i="42"/>
  <c r="E192" i="42"/>
  <c r="E187" i="42"/>
  <c r="E186" i="42"/>
  <c r="E185" i="42"/>
  <c r="E184" i="42"/>
  <c r="E180" i="42"/>
  <c r="E179" i="42"/>
  <c r="E178" i="42"/>
  <c r="E177" i="42"/>
  <c r="E176" i="42"/>
  <c r="E175" i="42"/>
  <c r="E174" i="42"/>
  <c r="E170" i="42"/>
  <c r="E169" i="42"/>
  <c r="E168" i="42"/>
  <c r="E167" i="42"/>
  <c r="E166" i="42"/>
  <c r="E165" i="42"/>
  <c r="E164" i="42"/>
  <c r="E163" i="42"/>
  <c r="E162" i="42"/>
  <c r="E157" i="42"/>
  <c r="E156" i="42"/>
  <c r="E155" i="42"/>
  <c r="E151" i="42"/>
  <c r="E150" i="42"/>
  <c r="E149" i="42"/>
  <c r="E148" i="42"/>
  <c r="E147" i="42"/>
  <c r="E146" i="42"/>
  <c r="E142" i="42"/>
  <c r="E141" i="42"/>
  <c r="E140" i="42"/>
  <c r="E139" i="42"/>
  <c r="E135" i="42"/>
  <c r="E134" i="42"/>
  <c r="E133" i="42"/>
  <c r="E132" i="42"/>
  <c r="E131" i="42"/>
  <c r="E130" i="42"/>
  <c r="E125" i="42"/>
  <c r="E124" i="42"/>
  <c r="E123" i="42"/>
  <c r="E122" i="42"/>
  <c r="E121" i="42"/>
  <c r="E120" i="42"/>
  <c r="E119" i="42"/>
  <c r="E118" i="42"/>
  <c r="E114" i="42"/>
  <c r="E113" i="42"/>
  <c r="E112" i="42"/>
  <c r="E111" i="42"/>
  <c r="E110" i="42"/>
  <c r="E109" i="42"/>
  <c r="E108" i="42"/>
  <c r="E107" i="42"/>
  <c r="E106" i="42"/>
  <c r="E102" i="42"/>
  <c r="E101" i="42"/>
  <c r="E100" i="42"/>
  <c r="E99" i="42"/>
  <c r="E98" i="42"/>
  <c r="E97" i="42"/>
  <c r="E96" i="42"/>
  <c r="E95" i="42"/>
  <c r="E91" i="42"/>
  <c r="E90" i="42"/>
  <c r="E89" i="42"/>
  <c r="E88" i="42"/>
  <c r="E84" i="42"/>
  <c r="E83" i="42"/>
  <c r="E82" i="42"/>
  <c r="E81" i="42"/>
  <c r="E80" i="42"/>
  <c r="E79" i="42"/>
  <c r="E75" i="42"/>
  <c r="E74" i="42"/>
  <c r="E73" i="42"/>
  <c r="E72" i="42"/>
  <c r="E71" i="42"/>
  <c r="E70" i="42"/>
  <c r="E69" i="42"/>
  <c r="E65" i="42"/>
  <c r="E64" i="42"/>
  <c r="E63" i="42"/>
  <c r="E62" i="42"/>
  <c r="E58" i="42"/>
  <c r="E57" i="42"/>
  <c r="E56" i="42"/>
  <c r="E55" i="42"/>
  <c r="E54" i="42"/>
  <c r="E49" i="42"/>
  <c r="E48" i="42"/>
  <c r="E47" i="42"/>
  <c r="E46" i="42"/>
  <c r="E45" i="42"/>
  <c r="E44" i="42"/>
  <c r="E43" i="42"/>
  <c r="E42" i="42"/>
  <c r="E38" i="42"/>
  <c r="E37" i="42"/>
  <c r="E36" i="42"/>
  <c r="E35" i="42"/>
  <c r="E31" i="42"/>
  <c r="E30" i="42"/>
  <c r="E29" i="42"/>
  <c r="E28" i="42"/>
  <c r="E27" i="42"/>
  <c r="E26" i="42"/>
  <c r="E22" i="42"/>
  <c r="E21" i="42"/>
  <c r="E20" i="42"/>
  <c r="E16" i="42"/>
  <c r="E15" i="42"/>
  <c r="E14" i="42"/>
  <c r="E13" i="42"/>
  <c r="E12" i="42"/>
  <c r="E11" i="42"/>
  <c r="E10" i="42"/>
  <c r="E9" i="42"/>
  <c r="E8" i="42"/>
  <c r="E7" i="42"/>
  <c r="E6" i="42"/>
  <c r="E548" i="42"/>
  <c r="E547" i="42"/>
  <c r="E546" i="42"/>
  <c r="E299" i="42"/>
  <c r="E298" i="42"/>
  <c r="E297" i="42"/>
  <c r="E296" i="42"/>
  <c r="E295" i="42"/>
  <c r="E294" i="42"/>
  <c r="E205" i="44"/>
  <c r="E204" i="44"/>
  <c r="E201" i="44"/>
  <c r="E206" i="44"/>
  <c r="E203" i="44"/>
  <c r="E202" i="44"/>
  <c r="E196" i="44" l="1"/>
  <c r="E195" i="44"/>
  <c r="E194" i="44"/>
  <c r="E197" i="44"/>
  <c r="E186" i="44" l="1"/>
  <c r="E185" i="44"/>
  <c r="E184" i="44"/>
  <c r="E190" i="44"/>
  <c r="E189" i="44"/>
  <c r="E188" i="44"/>
  <c r="E187" i="44"/>
  <c r="E179" i="44" l="1"/>
  <c r="E178" i="44"/>
  <c r="E177" i="44"/>
  <c r="E180" i="44"/>
  <c r="E173" i="44" l="1"/>
  <c r="E172" i="44"/>
  <c r="E171" i="44"/>
  <c r="E158" i="44" l="1"/>
  <c r="E157" i="44"/>
  <c r="E156" i="44"/>
  <c r="E155" i="44"/>
  <c r="E154" i="44"/>
  <c r="E153" i="44"/>
  <c r="E167" i="44"/>
  <c r="E166" i="44"/>
  <c r="E165" i="44"/>
  <c r="E164" i="44"/>
  <c r="E163" i="44"/>
  <c r="E162" i="44"/>
  <c r="E148" i="44" l="1"/>
  <c r="E147" i="44"/>
  <c r="E146" i="44"/>
  <c r="E145" i="44"/>
  <c r="E144" i="44"/>
  <c r="E143" i="44"/>
  <c r="E142" i="44"/>
  <c r="E141" i="44"/>
  <c r="E137" i="44" l="1"/>
  <c r="E136" i="44"/>
  <c r="E135" i="44"/>
  <c r="E134" i="44"/>
  <c r="E133" i="44"/>
  <c r="E132" i="44"/>
  <c r="E131" i="44"/>
  <c r="E130" i="44"/>
  <c r="E129" i="44"/>
  <c r="E123" i="44" l="1"/>
  <c r="E122" i="44"/>
  <c r="E121" i="44"/>
  <c r="E120" i="44"/>
  <c r="E119" i="44"/>
  <c r="E118" i="44"/>
  <c r="E117" i="44"/>
  <c r="E124" i="44"/>
  <c r="E113" i="44" l="1"/>
  <c r="E112" i="44"/>
  <c r="E111" i="44"/>
  <c r="E110" i="44"/>
  <c r="E106" i="44"/>
  <c r="E105" i="44"/>
  <c r="E104" i="44"/>
  <c r="E103" i="44"/>
  <c r="E102" i="44"/>
  <c r="E101" i="44"/>
  <c r="E97" i="44"/>
  <c r="E96" i="44"/>
  <c r="E95" i="44"/>
  <c r="E94" i="44"/>
  <c r="E93" i="44"/>
  <c r="E92" i="44"/>
  <c r="E91" i="44"/>
  <c r="E90" i="44"/>
  <c r="E89" i="44"/>
  <c r="E85" i="44"/>
  <c r="E84" i="44"/>
  <c r="E83" i="44"/>
  <c r="E82" i="44"/>
  <c r="E81" i="44"/>
  <c r="E80" i="44"/>
  <c r="E79" i="44"/>
  <c r="E68" i="44" l="1"/>
  <c r="E67" i="44"/>
  <c r="E66" i="44"/>
  <c r="E65" i="44"/>
  <c r="E64" i="44"/>
  <c r="E74" i="44"/>
  <c r="E73" i="44"/>
  <c r="E72" i="44"/>
  <c r="E75" i="44"/>
  <c r="E59" i="44" l="1"/>
  <c r="E58" i="44"/>
  <c r="E57" i="44"/>
  <c r="E56" i="44"/>
  <c r="E55" i="44"/>
  <c r="E54" i="44"/>
  <c r="E53" i="44"/>
  <c r="E52" i="44"/>
  <c r="E48" i="44"/>
  <c r="E22" i="44" l="1"/>
  <c r="E21" i="44"/>
  <c r="E20" i="44"/>
  <c r="E16" i="44"/>
  <c r="E15" i="44"/>
  <c r="E41" i="44"/>
  <c r="E40" i="44"/>
  <c r="E39" i="44"/>
  <c r="E38" i="44"/>
  <c r="E37" i="44"/>
  <c r="E36" i="44"/>
  <c r="E32" i="44"/>
  <c r="E31" i="44"/>
  <c r="E30" i="44"/>
  <c r="E29" i="44"/>
  <c r="E28" i="44"/>
  <c r="E27" i="44"/>
  <c r="E47" i="44"/>
  <c r="E46" i="44"/>
  <c r="E45" i="44"/>
  <c r="E26" i="44"/>
  <c r="E14" i="44" l="1"/>
  <c r="E13" i="44" l="1"/>
  <c r="E12" i="44"/>
  <c r="E11" i="44"/>
  <c r="E10" i="44"/>
  <c r="E9" i="44"/>
  <c r="E8" i="44"/>
  <c r="E7" i="44"/>
  <c r="E6" i="44" l="1"/>
  <c r="E589" i="42"/>
  <c r="E588" i="42"/>
  <c r="E587" i="42"/>
  <c r="E586" i="42"/>
  <c r="E582" i="42"/>
  <c r="E581" i="42"/>
  <c r="E580" i="42"/>
  <c r="E579" i="42"/>
  <c r="E578" i="42"/>
  <c r="E577" i="42"/>
  <c r="E576" i="42"/>
  <c r="E575" i="42"/>
  <c r="E574" i="42"/>
  <c r="E569" i="42" l="1"/>
  <c r="E568" i="42"/>
  <c r="E567" i="42"/>
  <c r="E566" i="42"/>
  <c r="E565" i="42"/>
  <c r="E564" i="42"/>
  <c r="E563" i="42"/>
  <c r="E562" i="42"/>
  <c r="E570" i="42"/>
  <c r="E557" i="42"/>
  <c r="E556" i="42"/>
  <c r="E555" i="42"/>
  <c r="E558" i="42"/>
  <c r="E551" i="42" l="1"/>
  <c r="E550" i="42"/>
  <c r="E549" i="42"/>
  <c r="E539" i="42"/>
  <c r="E538" i="42"/>
  <c r="E537" i="42"/>
  <c r="E536" i="42"/>
  <c r="E542" i="42"/>
  <c r="E541" i="42"/>
  <c r="E540" i="42"/>
  <c r="E521" i="42" l="1"/>
  <c r="E520" i="42"/>
  <c r="E519" i="42"/>
  <c r="E518" i="42"/>
  <c r="E517" i="42"/>
  <c r="E516" i="42"/>
  <c r="E515" i="42"/>
  <c r="E532" i="42"/>
  <c r="E531" i="42"/>
  <c r="E530" i="42"/>
  <c r="E529" i="42"/>
  <c r="E528" i="42"/>
  <c r="E527" i="42"/>
  <c r="E526" i="42"/>
  <c r="E525" i="42"/>
  <c r="E511" i="42" l="1"/>
  <c r="E510" i="42"/>
  <c r="E509" i="42"/>
  <c r="E508" i="42"/>
  <c r="E504" i="42"/>
  <c r="E503" i="42"/>
  <c r="E502" i="42"/>
  <c r="E501" i="42"/>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E4" i="43"/>
  <c r="E3" i="43"/>
  <c r="E494" i="42" l="1"/>
  <c r="E493" i="42"/>
  <c r="E492" i="42"/>
  <c r="E497" i="42"/>
  <c r="E496" i="42"/>
  <c r="E495" i="42"/>
  <c r="E488" i="42"/>
  <c r="E487" i="42"/>
  <c r="E486" i="42"/>
  <c r="E485" i="42"/>
  <c r="E483" i="42"/>
  <c r="E484" i="42"/>
  <c r="E478" i="42" l="1"/>
  <c r="E477" i="42"/>
  <c r="E476" i="42"/>
  <c r="E475" i="42"/>
  <c r="E474" i="42"/>
  <c r="E473" i="42"/>
  <c r="E472" i="42"/>
  <c r="E471" i="42"/>
  <c r="E470" i="42"/>
  <c r="E465" i="42" l="1"/>
  <c r="E464" i="42"/>
  <c r="E463" i="42"/>
  <c r="E462" i="42"/>
  <c r="E461" i="42"/>
  <c r="E460" i="42"/>
  <c r="E459" i="42"/>
  <c r="E458" i="42"/>
  <c r="E452" i="42" l="1"/>
  <c r="E451" i="42"/>
  <c r="E450" i="42"/>
  <c r="E449" i="42"/>
  <c r="E448" i="42"/>
  <c r="E453" i="42"/>
  <c r="E454" i="42"/>
  <c r="E443" i="42" l="1"/>
  <c r="E442" i="42"/>
  <c r="E441" i="42"/>
  <c r="E444" i="42"/>
  <c r="E427" i="42" l="1"/>
  <c r="E426" i="42"/>
  <c r="E425" i="42"/>
  <c r="E424" i="42"/>
  <c r="E423" i="42"/>
  <c r="E422" i="42"/>
  <c r="E421" i="42"/>
  <c r="E420" i="42"/>
  <c r="E419" i="42"/>
  <c r="E418" i="42"/>
  <c r="E435" i="42"/>
  <c r="E434" i="42"/>
  <c r="E433" i="42"/>
  <c r="E432" i="42"/>
  <c r="E431" i="42"/>
  <c r="E437" i="42"/>
  <c r="E436" i="42"/>
  <c r="E417" i="42" l="1"/>
  <c r="E406" i="42" l="1"/>
  <c r="E407" i="42"/>
  <c r="E412" i="42"/>
  <c r="E411" i="42"/>
  <c r="E410" i="42"/>
  <c r="E409" i="42"/>
  <c r="E408" i="42"/>
  <c r="E401" i="42" l="1"/>
  <c r="E400" i="42"/>
  <c r="E399" i="42"/>
  <c r="E402" i="42"/>
  <c r="E393" i="42"/>
  <c r="E394" i="42"/>
  <c r="E395" i="42"/>
  <c r="E392" i="42"/>
  <c r="E391" i="42"/>
  <c r="E390" i="42"/>
  <c r="E389" i="42"/>
  <c r="E418" i="24" l="1"/>
  <c r="E416" i="24"/>
  <c r="E415" i="24"/>
  <c r="E414" i="24"/>
  <c r="E408" i="24"/>
  <c r="E385" i="42"/>
  <c r="E384" i="42"/>
  <c r="E383" i="42"/>
  <c r="E382" i="42"/>
  <c r="E381" i="42"/>
  <c r="E380" i="42"/>
  <c r="E379" i="42"/>
  <c r="E378" i="42"/>
  <c r="E374" i="42" l="1"/>
  <c r="E373" i="42"/>
  <c r="E372" i="42"/>
  <c r="E371" i="42"/>
  <c r="E367" i="42" l="1"/>
  <c r="E366" i="42"/>
  <c r="E365" i="42"/>
  <c r="E364" i="42"/>
  <c r="E363" i="42"/>
  <c r="E361" i="42"/>
  <c r="E360" i="42"/>
  <c r="E359" i="42"/>
  <c r="E362" i="42"/>
  <c r="E355" i="42" l="1"/>
  <c r="E354" i="42"/>
  <c r="E353" i="42"/>
  <c r="E352" i="42"/>
  <c r="E351" i="42"/>
  <c r="E350" i="42"/>
  <c r="E349" i="42"/>
  <c r="E348" i="42"/>
  <c r="E344" i="42"/>
  <c r="E343" i="42"/>
  <c r="E342" i="42"/>
  <c r="E341" i="42"/>
  <c r="E340" i="42"/>
  <c r="E339" i="42"/>
  <c r="E338" i="42"/>
  <c r="E334" i="42" l="1"/>
  <c r="E333" i="42"/>
  <c r="E332" i="42"/>
  <c r="E331" i="42"/>
  <c r="E327" i="42"/>
  <c r="E326" i="42"/>
  <c r="E325" i="42"/>
  <c r="E324" i="42"/>
  <c r="E319" i="42" l="1"/>
  <c r="E318" i="42"/>
  <c r="E317" i="42"/>
  <c r="E316" i="42"/>
  <c r="E315" i="42"/>
  <c r="E320" i="42"/>
  <c r="E310" i="42"/>
  <c r="E309" i="42"/>
  <c r="E308" i="42"/>
  <c r="E307" i="42"/>
  <c r="E306" i="42"/>
  <c r="E305" i="42"/>
  <c r="E304" i="42"/>
  <c r="E303" i="42"/>
  <c r="E311" i="42"/>
  <c r="E116" i="41" l="1"/>
  <c r="E117" i="41"/>
  <c r="E118" i="41"/>
  <c r="E119" i="41"/>
  <c r="E120" i="41"/>
  <c r="E121" i="41"/>
  <c r="E122" i="41"/>
  <c r="E123" i="41"/>
  <c r="E124" i="41"/>
  <c r="E125" i="41"/>
  <c r="E126" i="41"/>
  <c r="E127" i="41"/>
  <c r="E128" i="41"/>
  <c r="E129" i="41"/>
  <c r="E130" i="41"/>
  <c r="E131" i="41"/>
  <c r="E132" i="41"/>
  <c r="E133" i="41"/>
  <c r="E134" i="41"/>
  <c r="E135" i="41"/>
  <c r="E136" i="41"/>
  <c r="E137" i="41"/>
  <c r="E138" i="41"/>
  <c r="E139" i="41"/>
  <c r="E140" i="41"/>
  <c r="E142" i="41"/>
  <c r="E143" i="41"/>
  <c r="E144" i="41"/>
  <c r="E145" i="41"/>
  <c r="E28" i="41" l="1"/>
  <c r="E638" i="24" l="1"/>
  <c r="E637" i="24"/>
  <c r="E636" i="24"/>
  <c r="E635" i="24"/>
  <c r="E634" i="24"/>
  <c r="E633" i="24"/>
  <c r="E632" i="24"/>
  <c r="E631" i="24"/>
  <c r="E630" i="24"/>
  <c r="E626" i="24" l="1"/>
  <c r="E625" i="24"/>
  <c r="E624" i="24"/>
  <c r="E623" i="24"/>
  <c r="E619" i="24"/>
  <c r="E618" i="24" l="1"/>
  <c r="E617" i="24"/>
  <c r="E616" i="24"/>
  <c r="E615" i="24"/>
  <c r="E614" i="24"/>
  <c r="E613" i="24"/>
  <c r="E612" i="24"/>
  <c r="E611" i="24"/>
  <c r="E607" i="24"/>
  <c r="E606" i="24"/>
  <c r="E605" i="24"/>
  <c r="E604" i="24"/>
  <c r="E600" i="24"/>
  <c r="E599" i="24" l="1"/>
  <c r="E598" i="24"/>
  <c r="E597" i="24"/>
  <c r="E596" i="24"/>
  <c r="E595" i="24"/>
  <c r="E594" i="24"/>
  <c r="E593" i="24"/>
  <c r="E592" i="24"/>
  <c r="E588" i="24"/>
  <c r="E587" i="24"/>
  <c r="E586" i="24"/>
  <c r="E585" i="24"/>
  <c r="E579" i="24"/>
  <c r="E578" i="24"/>
  <c r="E577" i="24"/>
  <c r="E576" i="24"/>
  <c r="E575" i="24"/>
  <c r="E560" i="24"/>
  <c r="E581" i="24" l="1"/>
  <c r="E580" i="24"/>
  <c r="E559" i="24" l="1"/>
  <c r="E558" i="24"/>
  <c r="E557" i="24"/>
  <c r="E556" i="24"/>
  <c r="E555" i="24"/>
  <c r="E554" i="24"/>
  <c r="E571" i="24"/>
  <c r="E570" i="24"/>
  <c r="E569" i="24"/>
  <c r="E568" i="24"/>
  <c r="E567" i="24"/>
  <c r="E566" i="24"/>
  <c r="E565" i="24"/>
  <c r="E564" i="24"/>
  <c r="E550" i="24"/>
  <c r="E549" i="24" l="1"/>
  <c r="E548" i="24"/>
  <c r="E547" i="24"/>
  <c r="E543" i="24"/>
  <c r="E542" i="24"/>
  <c r="E541" i="24"/>
  <c r="E540" i="24"/>
  <c r="E536" i="24"/>
  <c r="E524" i="24" l="1"/>
  <c r="E523" i="24"/>
  <c r="E522" i="24"/>
  <c r="E521" i="24"/>
  <c r="E520" i="24"/>
  <c r="E535" i="24" l="1"/>
  <c r="E534" i="24"/>
  <c r="E533" i="24"/>
  <c r="E532" i="24"/>
  <c r="E531" i="24"/>
  <c r="E530" i="24"/>
  <c r="E529" i="24"/>
  <c r="E528" i="24"/>
  <c r="E519" i="24"/>
  <c r="E514" i="24"/>
  <c r="E513" i="24" l="1"/>
  <c r="E512" i="24"/>
  <c r="E511" i="24"/>
  <c r="E510" i="24"/>
  <c r="E509" i="24"/>
  <c r="E508" i="24"/>
  <c r="E507" i="24"/>
  <c r="E503" i="24"/>
  <c r="E502" i="24" l="1"/>
  <c r="E501" i="24"/>
  <c r="E500" i="24"/>
  <c r="E499" i="24"/>
  <c r="E498" i="24"/>
  <c r="E497" i="24"/>
  <c r="E493" i="24"/>
  <c r="E492" i="24" l="1"/>
  <c r="E491" i="24"/>
  <c r="E490" i="24"/>
  <c r="E486" i="24"/>
  <c r="E485" i="24" l="1"/>
  <c r="E484" i="24"/>
  <c r="E483" i="24"/>
  <c r="E482" i="24"/>
  <c r="E481" i="24"/>
  <c r="E480" i="24"/>
  <c r="E476" i="24"/>
  <c r="E475" i="24" l="1"/>
  <c r="E474" i="24"/>
  <c r="E473" i="24"/>
  <c r="E472" i="24"/>
  <c r="E471" i="24"/>
  <c r="E470" i="24"/>
  <c r="E469" i="24"/>
  <c r="E468" i="24"/>
  <c r="E467" i="24"/>
  <c r="E466" i="24"/>
  <c r="E461" i="24"/>
  <c r="E460" i="24" l="1"/>
  <c r="E459" i="24"/>
  <c r="E458" i="24"/>
  <c r="E457" i="24"/>
  <c r="E456" i="24"/>
  <c r="E455" i="24"/>
  <c r="E454" i="24"/>
  <c r="E453" i="24"/>
  <c r="E449" i="24"/>
  <c r="E100" i="41" l="1"/>
  <c r="E99" i="41"/>
  <c r="E98" i="41"/>
  <c r="E97" i="41"/>
  <c r="E96" i="41"/>
  <c r="E95" i="41"/>
  <c r="E94" i="41"/>
  <c r="E93" i="41"/>
  <c r="E92" i="41"/>
  <c r="E91" i="41"/>
  <c r="E90" i="41"/>
  <c r="E89" i="41"/>
  <c r="E88" i="41"/>
  <c r="E87" i="41"/>
  <c r="E86" i="41"/>
  <c r="E85" i="41"/>
  <c r="E84" i="41"/>
  <c r="E83" i="41"/>
  <c r="E82" i="41"/>
  <c r="E81" i="41"/>
  <c r="E80" i="41"/>
  <c r="E79" i="41"/>
  <c r="E78" i="41"/>
  <c r="E77" i="41"/>
  <c r="E76" i="41"/>
  <c r="E75" i="41"/>
  <c r="E74" i="41"/>
  <c r="E73" i="41"/>
  <c r="E72" i="41"/>
  <c r="E71" i="41"/>
  <c r="E442" i="24"/>
  <c r="E441" i="24"/>
  <c r="E440" i="24"/>
  <c r="E439" i="24"/>
  <c r="E438" i="24"/>
  <c r="E437" i="24"/>
  <c r="E436" i="24"/>
  <c r="E435" i="24"/>
  <c r="E434" i="24"/>
  <c r="E430" i="24"/>
  <c r="E429" i="24"/>
  <c r="E428" i="24"/>
  <c r="E427" i="24"/>
  <c r="E426" i="24"/>
  <c r="E425" i="24"/>
  <c r="E424" i="24"/>
  <c r="E423" i="24"/>
  <c r="E419" i="24"/>
  <c r="E417" i="24"/>
  <c r="E413" i="24"/>
  <c r="E412" i="24"/>
  <c r="E411" i="24"/>
  <c r="E410" i="24"/>
  <c r="E409" i="24"/>
  <c r="E402" i="24"/>
  <c r="E401" i="24"/>
  <c r="E400" i="24"/>
  <c r="E399" i="24"/>
  <c r="E398" i="24"/>
  <c r="E397" i="24"/>
  <c r="E396" i="24"/>
  <c r="E395" i="24"/>
  <c r="E394" i="24"/>
  <c r="E390" i="24"/>
  <c r="E389" i="24"/>
  <c r="E388" i="24"/>
  <c r="E387" i="24"/>
  <c r="E386" i="24"/>
  <c r="E385" i="24"/>
  <c r="E384" i="24"/>
  <c r="E383" i="24"/>
  <c r="E379" i="24"/>
  <c r="E378" i="24"/>
  <c r="E377" i="24"/>
  <c r="E376" i="24"/>
  <c r="E375" i="24"/>
  <c r="E374" i="24"/>
  <c r="E373" i="24"/>
  <c r="E369" i="24"/>
  <c r="E368" i="24"/>
  <c r="E367" i="24"/>
  <c r="E366" i="24"/>
  <c r="E362" i="24"/>
  <c r="E361" i="24"/>
  <c r="E360" i="24"/>
  <c r="E359" i="24"/>
  <c r="E355" i="24"/>
  <c r="E354" i="24"/>
  <c r="E353" i="24"/>
  <c r="E352" i="24"/>
  <c r="E351" i="24"/>
  <c r="E350" i="24"/>
  <c r="E349" i="24"/>
  <c r="E348" i="24"/>
  <c r="E347" i="24"/>
  <c r="E343" i="24"/>
  <c r="E342" i="24"/>
  <c r="E341" i="24"/>
  <c r="E340" i="24"/>
  <c r="E339" i="24"/>
  <c r="E338" i="24"/>
  <c r="E335" i="24"/>
  <c r="E336" i="24"/>
  <c r="E337" i="24"/>
  <c r="E331" i="24"/>
  <c r="E330" i="24"/>
  <c r="E329" i="24"/>
  <c r="E328" i="24"/>
  <c r="E327" i="24"/>
  <c r="E326" i="24"/>
  <c r="E325" i="24"/>
  <c r="E324" i="24"/>
  <c r="E323" i="24"/>
  <c r="E319" i="24"/>
  <c r="E318" i="24"/>
  <c r="E317" i="24"/>
  <c r="E316" i="24"/>
  <c r="E315" i="24"/>
  <c r="E314" i="24"/>
  <c r="E313" i="24"/>
  <c r="E312" i="24"/>
  <c r="E311" i="24"/>
  <c r="E307" i="24"/>
  <c r="E306" i="24"/>
  <c r="E305" i="24"/>
  <c r="E304" i="24"/>
  <c r="E303" i="24"/>
  <c r="E302" i="24"/>
  <c r="E301" i="24"/>
  <c r="E297" i="24"/>
  <c r="E296" i="24"/>
  <c r="E295" i="24"/>
  <c r="E294" i="24"/>
  <c r="E293" i="24"/>
  <c r="E292" i="24"/>
  <c r="E288" i="24"/>
  <c r="E287" i="24"/>
  <c r="E286" i="24"/>
  <c r="E282" i="24"/>
  <c r="E281" i="24"/>
  <c r="E280" i="24"/>
  <c r="E279" i="24"/>
  <c r="E275" i="24"/>
  <c r="E274" i="24"/>
  <c r="E273" i="24"/>
  <c r="E272" i="24"/>
  <c r="E271" i="24"/>
  <c r="E270" i="24"/>
  <c r="E265" i="24"/>
  <c r="E264" i="24"/>
  <c r="E263" i="24"/>
  <c r="E262" i="24"/>
  <c r="E261" i="24"/>
  <c r="E260" i="24"/>
  <c r="E259" i="24"/>
  <c r="E258" i="24"/>
  <c r="E254" i="24"/>
  <c r="E253" i="24"/>
  <c r="E252" i="24"/>
  <c r="E251" i="24"/>
  <c r="E250" i="24"/>
  <c r="E249" i="24"/>
  <c r="E248" i="24"/>
  <c r="E247" i="24"/>
  <c r="E246" i="24"/>
  <c r="E240" i="24"/>
  <c r="E239" i="24"/>
  <c r="E238" i="24"/>
  <c r="E237" i="24"/>
  <c r="E233" i="24"/>
  <c r="E232" i="24"/>
  <c r="E231" i="24"/>
  <c r="E230" i="24"/>
  <c r="E229" i="24"/>
  <c r="E228" i="24"/>
  <c r="E227" i="24"/>
  <c r="E223" i="24"/>
  <c r="E222" i="24"/>
  <c r="E221" i="24"/>
  <c r="E220" i="24"/>
  <c r="E219" i="24"/>
  <c r="E218" i="24"/>
  <c r="E217" i="24"/>
  <c r="E216" i="24"/>
  <c r="E212" i="24"/>
  <c r="E211" i="24"/>
  <c r="E210" i="24"/>
  <c r="E209" i="24"/>
  <c r="E208" i="24"/>
  <c r="E207" i="24"/>
  <c r="E206" i="24"/>
  <c r="E205" i="24"/>
  <c r="E204" i="24"/>
  <c r="E200" i="24"/>
  <c r="E199" i="24"/>
  <c r="E198" i="24"/>
  <c r="E197" i="24"/>
  <c r="E193" i="24"/>
  <c r="E192" i="24"/>
  <c r="E191" i="24"/>
  <c r="E190" i="24"/>
  <c r="E189" i="24"/>
  <c r="E188" i="24"/>
  <c r="E187" i="24"/>
  <c r="E183" i="24"/>
  <c r="E182" i="24"/>
  <c r="E181" i="24"/>
  <c r="E180" i="24"/>
  <c r="E176" i="24"/>
  <c r="E175" i="24"/>
  <c r="E174" i="24"/>
  <c r="E170" i="24"/>
  <c r="E169" i="24"/>
  <c r="E168" i="24"/>
  <c r="E167" i="24"/>
  <c r="E166" i="24"/>
  <c r="E165" i="24"/>
  <c r="E164" i="24"/>
  <c r="E163" i="24"/>
  <c r="E162" i="24"/>
  <c r="E158" i="24"/>
  <c r="E157" i="24"/>
  <c r="E156" i="24"/>
  <c r="E155" i="24"/>
  <c r="E154" i="24"/>
  <c r="E153" i="24"/>
  <c r="E148" i="24"/>
  <c r="E147" i="24"/>
  <c r="E146" i="24"/>
  <c r="E145" i="24"/>
  <c r="E144" i="24"/>
  <c r="E143" i="24"/>
  <c r="E142" i="24"/>
  <c r="E141" i="24"/>
  <c r="E140" i="24"/>
  <c r="E139" i="24"/>
  <c r="E138" i="24"/>
  <c r="E137" i="24"/>
  <c r="E131" i="24"/>
  <c r="E130" i="24"/>
  <c r="E129" i="24"/>
  <c r="E128" i="24"/>
  <c r="E127" i="24"/>
  <c r="E126" i="24"/>
  <c r="E125" i="24"/>
  <c r="E124" i="24"/>
  <c r="E120" i="24"/>
  <c r="E119" i="24"/>
  <c r="E118" i="24"/>
  <c r="E117" i="24"/>
  <c r="E116" i="24"/>
  <c r="E115" i="24"/>
  <c r="E114" i="24"/>
  <c r="E113" i="24"/>
  <c r="E109" i="24"/>
  <c r="E108" i="24"/>
  <c r="E107" i="24"/>
  <c r="E106" i="24"/>
  <c r="E102" i="24"/>
  <c r="E101" i="24"/>
  <c r="E100" i="24"/>
  <c r="E99" i="24"/>
  <c r="E98" i="24"/>
  <c r="E97" i="24"/>
  <c r="E96" i="24"/>
  <c r="E95" i="24"/>
  <c r="E94" i="24"/>
  <c r="E90" i="24"/>
  <c r="E89" i="24"/>
  <c r="E88" i="24"/>
  <c r="E87" i="24"/>
  <c r="E86" i="24"/>
  <c r="E85" i="24"/>
  <c r="E84" i="24"/>
  <c r="E78" i="24"/>
  <c r="E77" i="24"/>
  <c r="E76" i="24"/>
  <c r="E75" i="24"/>
  <c r="E74" i="24"/>
  <c r="E73" i="24"/>
  <c r="E72" i="24"/>
  <c r="E68" i="24"/>
  <c r="E67" i="24"/>
  <c r="E66" i="24"/>
  <c r="E65" i="24"/>
  <c r="E61" i="24"/>
  <c r="E60" i="24"/>
  <c r="E59" i="24"/>
  <c r="E58" i="24"/>
  <c r="E57" i="24"/>
  <c r="E52" i="24"/>
  <c r="E51" i="24"/>
  <c r="E50" i="24"/>
  <c r="E49" i="24"/>
  <c r="E48" i="24"/>
  <c r="E47" i="24"/>
  <c r="E46" i="24"/>
  <c r="E45" i="24"/>
  <c r="E41" i="24"/>
  <c r="E40" i="24"/>
  <c r="E39" i="24"/>
  <c r="E38" i="24"/>
  <c r="E34" i="24"/>
  <c r="E33" i="24"/>
  <c r="E32" i="24"/>
  <c r="E31" i="24"/>
  <c r="E30" i="24"/>
  <c r="E29" i="24"/>
  <c r="E28" i="24"/>
  <c r="E27" i="24"/>
  <c r="E26" i="24"/>
  <c r="E22" i="24"/>
  <c r="E21" i="24"/>
  <c r="E20" i="24"/>
  <c r="E16" i="24"/>
  <c r="E15" i="24"/>
  <c r="E14" i="24"/>
  <c r="E13" i="24"/>
  <c r="E12" i="24"/>
  <c r="E11" i="24"/>
  <c r="E10" i="24"/>
  <c r="E9" i="24"/>
  <c r="E8" i="24"/>
  <c r="E7" i="24"/>
  <c r="E6" i="24"/>
  <c r="E610" i="23"/>
  <c r="E609" i="23"/>
  <c r="E608" i="23"/>
  <c r="E607" i="23"/>
  <c r="E606" i="23"/>
  <c r="E605" i="23"/>
  <c r="E604" i="23"/>
  <c r="E600" i="23"/>
  <c r="E599" i="23"/>
  <c r="E598" i="23"/>
  <c r="E597" i="23"/>
  <c r="E593" i="23"/>
  <c r="E592" i="23"/>
  <c r="E591" i="23"/>
  <c r="E590" i="23"/>
  <c r="E589" i="23"/>
  <c r="E588" i="23"/>
  <c r="E587" i="23"/>
  <c r="E583" i="23"/>
  <c r="E582" i="23"/>
  <c r="E581" i="23"/>
  <c r="E580" i="23"/>
  <c r="E576" i="23"/>
  <c r="E575" i="23"/>
  <c r="E574" i="23"/>
  <c r="E573" i="23"/>
  <c r="E572" i="23"/>
  <c r="E571" i="23"/>
  <c r="E570" i="23"/>
  <c r="E566" i="23"/>
  <c r="E565" i="23"/>
  <c r="E564" i="23"/>
  <c r="E563" i="23"/>
  <c r="E562" i="23"/>
  <c r="E561" i="23"/>
  <c r="E560" i="23"/>
  <c r="E559" i="23"/>
  <c r="E555" i="23"/>
  <c r="E554" i="23"/>
  <c r="E553" i="23"/>
  <c r="E552" i="23"/>
  <c r="E551" i="23"/>
  <c r="E550" i="23"/>
  <c r="E549" i="23"/>
  <c r="E548" i="23"/>
  <c r="E547" i="23"/>
  <c r="E543" i="23"/>
  <c r="E542" i="23"/>
  <c r="E541" i="23"/>
  <c r="E540" i="23"/>
  <c r="E539" i="23"/>
  <c r="E538" i="23"/>
  <c r="E537" i="23"/>
  <c r="E533" i="23"/>
  <c r="E532" i="23"/>
  <c r="E531" i="23"/>
  <c r="E530" i="23"/>
  <c r="E526" i="23"/>
  <c r="E525" i="23"/>
  <c r="E524" i="23"/>
  <c r="E523" i="23"/>
  <c r="E522" i="23"/>
  <c r="E521" i="23"/>
  <c r="E516" i="23"/>
  <c r="E515" i="23"/>
  <c r="E514" i="23"/>
  <c r="E513" i="23"/>
  <c r="E512" i="23"/>
  <c r="E511" i="23"/>
  <c r="E510" i="23"/>
  <c r="E509" i="23"/>
  <c r="E508" i="23"/>
  <c r="E504" i="23"/>
  <c r="E503" i="23"/>
  <c r="E502" i="23"/>
  <c r="E501" i="23"/>
  <c r="E497" i="23"/>
  <c r="E496" i="23"/>
  <c r="E495" i="23"/>
  <c r="E494" i="23"/>
  <c r="E493" i="23"/>
  <c r="E492" i="23"/>
  <c r="E491" i="23"/>
  <c r="E490" i="23"/>
  <c r="E486" i="23"/>
  <c r="E485" i="23"/>
  <c r="E484" i="23"/>
  <c r="E483" i="23"/>
  <c r="E482" i="23"/>
  <c r="E481" i="23"/>
  <c r="E480" i="23"/>
  <c r="E476" i="23"/>
  <c r="E475" i="23"/>
  <c r="E474" i="23"/>
  <c r="E473" i="23"/>
  <c r="E472" i="23"/>
  <c r="E471" i="23"/>
  <c r="E470" i="23"/>
  <c r="E466" i="23"/>
  <c r="E469" i="23"/>
  <c r="E468" i="23"/>
  <c r="E467" i="23"/>
  <c r="E462" i="23"/>
  <c r="E461" i="23"/>
  <c r="E460" i="23"/>
  <c r="E459" i="23"/>
  <c r="E458" i="23"/>
  <c r="E457" i="23"/>
  <c r="E456" i="23"/>
  <c r="E455" i="23"/>
  <c r="E454" i="23"/>
  <c r="E450" i="23"/>
  <c r="E449" i="23"/>
  <c r="E448" i="23"/>
  <c r="E447" i="23"/>
  <c r="E443" i="23"/>
  <c r="E442" i="23"/>
  <c r="E441" i="23"/>
  <c r="E440" i="23"/>
  <c r="E439" i="23"/>
  <c r="E438" i="23"/>
  <c r="E437" i="23"/>
  <c r="E436" i="23"/>
  <c r="E435" i="23"/>
  <c r="E431" i="23"/>
  <c r="E430" i="23"/>
  <c r="E429" i="23"/>
  <c r="E428" i="23"/>
  <c r="E427" i="23"/>
  <c r="E426" i="23"/>
  <c r="E425" i="23"/>
  <c r="E424" i="23"/>
  <c r="E420" i="23"/>
  <c r="E419" i="23"/>
  <c r="E418" i="23"/>
  <c r="E417" i="23"/>
  <c r="E416" i="23"/>
  <c r="E415" i="23"/>
  <c r="E411" i="23"/>
  <c r="E410" i="23"/>
  <c r="E409" i="23"/>
  <c r="E408" i="23"/>
  <c r="E407" i="23"/>
  <c r="E406" i="23"/>
  <c r="E405" i="23"/>
  <c r="E404" i="23"/>
  <c r="E403" i="23"/>
  <c r="E399" i="23"/>
  <c r="E398" i="23"/>
  <c r="E397" i="23"/>
  <c r="E396" i="23"/>
  <c r="E395" i="23"/>
  <c r="E394" i="23"/>
  <c r="E393" i="23"/>
  <c r="E392" i="23"/>
  <c r="E388" i="23"/>
  <c r="E387" i="23"/>
  <c r="E386" i="23"/>
  <c r="E385" i="23"/>
  <c r="E384" i="23"/>
  <c r="E383" i="23"/>
  <c r="E382" i="23"/>
  <c r="E378" i="23"/>
  <c r="E377" i="23"/>
  <c r="E376" i="23"/>
  <c r="E375" i="23"/>
  <c r="E371" i="23"/>
  <c r="E370" i="23"/>
  <c r="E369" i="23"/>
  <c r="E368" i="23"/>
  <c r="E364" i="23"/>
  <c r="E363" i="23"/>
  <c r="E362" i="23"/>
  <c r="E361" i="23"/>
  <c r="E360" i="23"/>
  <c r="E359" i="23"/>
  <c r="E358" i="23"/>
  <c r="E357" i="23"/>
  <c r="E356" i="23"/>
  <c r="E352" i="23"/>
  <c r="E351" i="23"/>
  <c r="E350" i="23"/>
  <c r="E349" i="23"/>
  <c r="E348" i="23"/>
  <c r="E347" i="23"/>
  <c r="E346" i="23"/>
  <c r="E345" i="23"/>
  <c r="E344" i="23"/>
  <c r="E340" i="23"/>
  <c r="E339" i="23"/>
  <c r="E338" i="23"/>
  <c r="E337" i="23"/>
  <c r="E336" i="23"/>
  <c r="E335" i="23"/>
  <c r="E331" i="23"/>
  <c r="E330" i="23"/>
  <c r="E329" i="23"/>
  <c r="E328" i="23"/>
  <c r="E327" i="23"/>
  <c r="E326" i="23"/>
  <c r="E325" i="23"/>
  <c r="E321" i="23"/>
  <c r="E320" i="23"/>
  <c r="E319" i="23"/>
  <c r="E318" i="23"/>
  <c r="E314" i="23"/>
  <c r="E313" i="23"/>
  <c r="E312" i="23"/>
  <c r="E308" i="23"/>
  <c r="E307" i="23"/>
  <c r="E306" i="23"/>
  <c r="E305" i="23"/>
  <c r="E304" i="23"/>
  <c r="E303" i="23"/>
  <c r="E302" i="23"/>
  <c r="E301" i="23"/>
  <c r="E300" i="23"/>
  <c r="E296" i="23"/>
  <c r="E295" i="23"/>
  <c r="E294" i="23"/>
  <c r="E293" i="23"/>
  <c r="E292" i="23"/>
  <c r="E291" i="23"/>
  <c r="E290" i="23"/>
  <c r="E289" i="23"/>
  <c r="E288" i="23"/>
  <c r="E283" i="23"/>
  <c r="E282" i="23"/>
  <c r="E281" i="23"/>
  <c r="E280" i="23"/>
  <c r="E279" i="23"/>
  <c r="E278" i="23"/>
  <c r="E273" i="23"/>
  <c r="E272" i="23"/>
  <c r="E271" i="23"/>
  <c r="E270" i="23"/>
  <c r="E269" i="23"/>
  <c r="E268" i="23"/>
  <c r="E267" i="23"/>
  <c r="E266" i="23"/>
  <c r="E262" i="23"/>
  <c r="E261" i="23"/>
  <c r="E260" i="23"/>
  <c r="E259" i="23"/>
  <c r="E255" i="23"/>
  <c r="E254" i="23"/>
  <c r="E253" i="23"/>
  <c r="E252" i="23"/>
  <c r="E251" i="23"/>
  <c r="E250" i="23"/>
  <c r="E249" i="23"/>
  <c r="E248" i="23"/>
  <c r="E244" i="23"/>
  <c r="E243" i="23"/>
  <c r="E242" i="23"/>
  <c r="E241" i="23"/>
  <c r="E240" i="23"/>
  <c r="E239" i="23"/>
  <c r="E238" i="23"/>
  <c r="E234" i="23"/>
  <c r="E233" i="23"/>
  <c r="E232" i="23"/>
  <c r="E231" i="23"/>
  <c r="E230" i="23"/>
  <c r="E229" i="23"/>
  <c r="E228" i="23"/>
  <c r="E227" i="23"/>
  <c r="E226" i="23"/>
  <c r="E222" i="23"/>
  <c r="E221" i="23"/>
  <c r="E220" i="23"/>
  <c r="E219" i="23"/>
  <c r="E215" i="23"/>
  <c r="E214" i="23"/>
  <c r="E213" i="23"/>
  <c r="E212" i="23"/>
  <c r="E211" i="23"/>
  <c r="E210" i="23"/>
  <c r="E209" i="23"/>
  <c r="E205" i="23"/>
  <c r="E204" i="23"/>
  <c r="E203" i="23"/>
  <c r="E202" i="23"/>
  <c r="E198" i="23"/>
  <c r="E197" i="23"/>
  <c r="E196" i="23"/>
  <c r="E195" i="23"/>
  <c r="E194" i="23"/>
  <c r="E193" i="23"/>
  <c r="E192" i="23"/>
  <c r="E191" i="23"/>
  <c r="E187" i="23"/>
  <c r="E186" i="23"/>
  <c r="E185" i="23"/>
  <c r="E181" i="23"/>
  <c r="E180" i="23"/>
  <c r="E179" i="23"/>
  <c r="E178" i="23"/>
  <c r="E177" i="23"/>
  <c r="E176" i="23"/>
  <c r="E175" i="23"/>
  <c r="E174" i="23"/>
  <c r="E173" i="23"/>
  <c r="E169" i="23"/>
  <c r="E168" i="23"/>
  <c r="E167" i="23"/>
  <c r="E166" i="23"/>
  <c r="E165" i="23"/>
  <c r="E164" i="23"/>
  <c r="E163" i="23"/>
  <c r="E162" i="23"/>
  <c r="E161" i="23"/>
  <c r="E160" i="23"/>
  <c r="E159" i="23"/>
  <c r="E158" i="23"/>
  <c r="E152" i="23"/>
  <c r="E151" i="23"/>
  <c r="E150" i="23"/>
  <c r="E149" i="23"/>
  <c r="E148" i="23"/>
  <c r="E147" i="23"/>
  <c r="E142" i="23"/>
  <c r="E141" i="23"/>
  <c r="E140" i="23"/>
  <c r="E139" i="23"/>
  <c r="E138" i="23"/>
  <c r="E137" i="23"/>
  <c r="E136" i="23"/>
  <c r="E135" i="23"/>
  <c r="E134" i="23"/>
  <c r="E130" i="23"/>
  <c r="E129" i="23"/>
  <c r="E128" i="23"/>
  <c r="E127" i="23"/>
  <c r="E123" i="23"/>
  <c r="E122" i="23"/>
  <c r="E121" i="23"/>
  <c r="E120" i="23"/>
  <c r="E119" i="23"/>
  <c r="E118" i="23"/>
  <c r="E117" i="23"/>
  <c r="E116" i="23"/>
  <c r="E112" i="23"/>
  <c r="E111" i="23"/>
  <c r="E110" i="23"/>
  <c r="E109" i="23"/>
  <c r="E105" i="23"/>
  <c r="E104" i="23"/>
  <c r="E103" i="23"/>
  <c r="E102" i="23"/>
  <c r="E101" i="23"/>
  <c r="E100" i="23"/>
  <c r="E99" i="23"/>
  <c r="E98" i="23"/>
  <c r="E97" i="23"/>
  <c r="E93" i="23"/>
  <c r="E92" i="23"/>
  <c r="E91" i="23"/>
  <c r="E90" i="23"/>
  <c r="E89" i="23"/>
  <c r="E88" i="23"/>
  <c r="E87" i="23"/>
  <c r="E83" i="23"/>
  <c r="E82" i="23"/>
  <c r="E81" i="23"/>
  <c r="E80" i="23"/>
  <c r="E79" i="23"/>
  <c r="E78" i="23"/>
  <c r="E77" i="23"/>
  <c r="E76" i="23"/>
  <c r="E75" i="23"/>
  <c r="E74" i="23"/>
  <c r="E73" i="23"/>
  <c r="E72" i="23"/>
  <c r="E71" i="23"/>
  <c r="E70" i="23"/>
  <c r="E69" i="23"/>
  <c r="E68" i="23"/>
  <c r="E67" i="23"/>
  <c r="E66" i="23"/>
  <c r="E61" i="23"/>
  <c r="E60" i="23"/>
  <c r="E59" i="23"/>
  <c r="E58" i="23"/>
  <c r="E57" i="23"/>
  <c r="E52" i="23"/>
  <c r="E51" i="23"/>
  <c r="E50" i="23"/>
  <c r="E49" i="23"/>
  <c r="E48" i="23"/>
  <c r="E47" i="23"/>
  <c r="E46" i="23"/>
  <c r="E45" i="23"/>
  <c r="E41" i="23"/>
  <c r="E40" i="23"/>
  <c r="E39" i="23"/>
  <c r="E38" i="23"/>
  <c r="E34" i="23"/>
  <c r="E33" i="23"/>
  <c r="E32" i="23"/>
  <c r="E31" i="23"/>
  <c r="E30" i="23"/>
  <c r="E29" i="23"/>
  <c r="E28" i="23"/>
  <c r="E27" i="23"/>
  <c r="E26" i="23"/>
  <c r="E22" i="23"/>
  <c r="E21" i="23"/>
  <c r="E20" i="23"/>
  <c r="E16" i="23"/>
  <c r="E15" i="23"/>
  <c r="E14" i="23"/>
  <c r="E13" i="23"/>
  <c r="E12" i="23"/>
  <c r="E11" i="23"/>
  <c r="E10" i="23"/>
  <c r="E9" i="23"/>
  <c r="E8" i="23"/>
  <c r="E7" i="23"/>
  <c r="E6" i="23"/>
  <c r="E627" i="22"/>
  <c r="E626" i="22"/>
  <c r="E625" i="22"/>
  <c r="E621" i="22"/>
  <c r="E620" i="22"/>
  <c r="E619" i="22"/>
  <c r="E618" i="22"/>
  <c r="E614" i="22"/>
  <c r="E613" i="22"/>
  <c r="E612" i="22"/>
  <c r="E611" i="22"/>
  <c r="E610" i="22"/>
  <c r="E609" i="22"/>
  <c r="E608" i="22"/>
  <c r="E607" i="22"/>
  <c r="E603" i="22"/>
  <c r="E602" i="22"/>
  <c r="E601" i="22"/>
  <c r="E600" i="22"/>
  <c r="E599" i="22"/>
  <c r="E598" i="22"/>
  <c r="E597" i="22"/>
  <c r="E596" i="22"/>
  <c r="E592" i="22"/>
  <c r="E591" i="22"/>
  <c r="E590" i="22"/>
  <c r="E589" i="22"/>
  <c r="E588" i="22"/>
  <c r="E587" i="22"/>
  <c r="E586" i="22"/>
  <c r="E585" i="22"/>
  <c r="E581" i="22"/>
  <c r="E580" i="22"/>
  <c r="E579" i="22"/>
  <c r="E578" i="22"/>
  <c r="E577" i="22"/>
  <c r="E576" i="22"/>
  <c r="E575" i="22"/>
  <c r="E574" i="22"/>
  <c r="E573" i="22"/>
  <c r="E569" i="22"/>
  <c r="E568" i="22"/>
  <c r="E567" i="22"/>
  <c r="E566" i="22"/>
  <c r="E565" i="22"/>
  <c r="E564" i="22"/>
  <c r="E563" i="22"/>
  <c r="E559" i="22"/>
  <c r="E558" i="22"/>
  <c r="E557" i="22"/>
  <c r="E556" i="22"/>
  <c r="E552" i="22"/>
  <c r="E551" i="22"/>
  <c r="E550" i="22"/>
  <c r="E549" i="22"/>
  <c r="E548" i="22"/>
  <c r="E547" i="22"/>
  <c r="E546" i="22"/>
  <c r="E542" i="22"/>
  <c r="E541" i="22"/>
  <c r="E540" i="22"/>
  <c r="E539" i="22"/>
  <c r="E538" i="22"/>
  <c r="E537" i="22"/>
  <c r="E536" i="22"/>
  <c r="E535" i="22"/>
  <c r="E531" i="22"/>
  <c r="E530" i="22"/>
  <c r="E529" i="22"/>
  <c r="E528" i="22"/>
  <c r="E524" i="22"/>
  <c r="E523" i="22"/>
  <c r="E522" i="22"/>
  <c r="E521" i="22"/>
  <c r="E520" i="22"/>
  <c r="E519" i="22"/>
  <c r="E518" i="22"/>
  <c r="E517" i="22"/>
  <c r="E516" i="22"/>
  <c r="E512" i="22"/>
  <c r="E511" i="22"/>
  <c r="E510" i="22"/>
  <c r="E509" i="22"/>
  <c r="E508" i="22"/>
  <c r="E507" i="22"/>
  <c r="E502" i="22"/>
  <c r="E501" i="22"/>
  <c r="E500" i="22"/>
  <c r="E499" i="22"/>
  <c r="E495" i="22"/>
  <c r="E494" i="22"/>
  <c r="E493" i="22"/>
  <c r="E492" i="22"/>
  <c r="E491" i="22"/>
  <c r="E490" i="22"/>
  <c r="E489" i="22"/>
  <c r="E488" i="22"/>
  <c r="E484" i="22"/>
  <c r="E483" i="22"/>
  <c r="E482" i="22"/>
  <c r="E481" i="22"/>
  <c r="E480" i="22"/>
  <c r="E479" i="22"/>
  <c r="E478" i="22"/>
  <c r="E477" i="22"/>
  <c r="E473" i="22"/>
  <c r="E472" i="22"/>
  <c r="E471" i="22"/>
  <c r="E470" i="22"/>
  <c r="E469" i="22"/>
  <c r="E468" i="22"/>
  <c r="E467" i="22"/>
  <c r="E463" i="22"/>
  <c r="E462" i="22"/>
  <c r="E461" i="22"/>
  <c r="E460" i="22"/>
  <c r="E459" i="22"/>
  <c r="E458" i="22"/>
  <c r="E457" i="22"/>
  <c r="E456" i="22"/>
  <c r="E455" i="22"/>
  <c r="E451" i="22"/>
  <c r="E450" i="22"/>
  <c r="E449" i="22"/>
  <c r="E448" i="22"/>
  <c r="E447" i="22"/>
  <c r="E446" i="22"/>
  <c r="E445" i="22"/>
  <c r="E442" i="22"/>
  <c r="E444" i="22"/>
  <c r="E443" i="22"/>
  <c r="E438" i="22"/>
  <c r="E437" i="22"/>
  <c r="E436" i="22"/>
  <c r="E435" i="22"/>
  <c r="E434" i="22"/>
  <c r="E433" i="22"/>
  <c r="E432" i="22"/>
  <c r="E431" i="22"/>
  <c r="E430" i="22"/>
  <c r="E429" i="22"/>
  <c r="E428" i="22"/>
  <c r="E427" i="22"/>
  <c r="E422" i="22"/>
  <c r="E421" i="22"/>
  <c r="E420" i="22"/>
  <c r="E419" i="22"/>
  <c r="E415" i="22"/>
  <c r="E414" i="22"/>
  <c r="E413" i="22"/>
  <c r="E412" i="22"/>
  <c r="E411" i="22"/>
  <c r="E410" i="22"/>
  <c r="E409" i="22"/>
  <c r="E408" i="22"/>
  <c r="E404" i="22"/>
  <c r="E403" i="22"/>
  <c r="E402" i="22"/>
  <c r="E401" i="22"/>
  <c r="E397" i="22"/>
  <c r="E396" i="22"/>
  <c r="E395" i="22"/>
  <c r="E394" i="22"/>
  <c r="E393" i="22"/>
  <c r="E392" i="22"/>
  <c r="E391" i="22"/>
  <c r="E390" i="22"/>
  <c r="E386" i="22"/>
  <c r="E385" i="22"/>
  <c r="E384" i="22"/>
  <c r="E383" i="22"/>
  <c r="E382" i="22"/>
  <c r="E381" i="22"/>
  <c r="E380" i="22"/>
  <c r="E376" i="22"/>
  <c r="E375" i="22"/>
  <c r="E374" i="22"/>
  <c r="E373" i="22"/>
  <c r="E369" i="22"/>
  <c r="E368" i="22"/>
  <c r="E367" i="22"/>
  <c r="E366" i="22"/>
  <c r="E365" i="22"/>
  <c r="E364" i="22"/>
  <c r="E363" i="22"/>
  <c r="E362" i="22"/>
  <c r="E361" i="22"/>
  <c r="E360" i="22"/>
  <c r="E359" i="22"/>
  <c r="E358" i="22"/>
  <c r="E357" i="22"/>
  <c r="E356" i="22"/>
  <c r="E355" i="22"/>
  <c r="E354" i="22"/>
  <c r="E353" i="22"/>
  <c r="E352" i="22"/>
  <c r="E347" i="22"/>
  <c r="E346" i="22"/>
  <c r="E345" i="22"/>
  <c r="E344" i="22"/>
  <c r="E343" i="22"/>
  <c r="E342" i="22"/>
  <c r="E341" i="22"/>
  <c r="E340" i="22"/>
  <c r="E336" i="22"/>
  <c r="E335" i="22"/>
  <c r="E334" i="22"/>
  <c r="E333" i="22"/>
  <c r="E332" i="22"/>
  <c r="E331" i="22"/>
  <c r="E330" i="22"/>
  <c r="E329" i="22"/>
  <c r="E328" i="22"/>
  <c r="E324" i="22"/>
  <c r="E323" i="22"/>
  <c r="E322" i="22"/>
  <c r="E321" i="22"/>
  <c r="E320" i="22"/>
  <c r="E319" i="22"/>
  <c r="E318" i="22"/>
  <c r="E317" i="22"/>
  <c r="E313" i="22"/>
  <c r="E312" i="22"/>
  <c r="E311" i="22"/>
  <c r="E310" i="22"/>
  <c r="E306" i="22"/>
  <c r="E305" i="22"/>
  <c r="E304" i="22"/>
  <c r="E303" i="22"/>
  <c r="E302" i="22"/>
  <c r="E301" i="22"/>
  <c r="E300" i="22"/>
  <c r="E296" i="22"/>
  <c r="E295" i="22"/>
  <c r="E294" i="22"/>
  <c r="E293" i="22"/>
  <c r="E292" i="22"/>
  <c r="E291" i="22"/>
  <c r="E287" i="22"/>
  <c r="E286" i="22"/>
  <c r="E285" i="22"/>
  <c r="E281" i="22"/>
  <c r="E280" i="22"/>
  <c r="E279" i="22"/>
  <c r="E278" i="22"/>
  <c r="E277" i="22"/>
  <c r="E276" i="22"/>
  <c r="E275" i="22"/>
  <c r="E274" i="22"/>
  <c r="E273" i="22"/>
  <c r="E269" i="22"/>
  <c r="E268" i="22"/>
  <c r="E267" i="22"/>
  <c r="E266" i="22"/>
  <c r="E262" i="22"/>
  <c r="E261" i="22"/>
  <c r="E260" i="22"/>
  <c r="E259" i="22"/>
  <c r="E258" i="22"/>
  <c r="E257" i="22"/>
  <c r="E252" i="22"/>
  <c r="E251" i="22"/>
  <c r="E250" i="22"/>
  <c r="E249" i="22"/>
  <c r="E248" i="22"/>
  <c r="E247" i="22"/>
  <c r="E246" i="22"/>
  <c r="E245" i="22"/>
  <c r="E241" i="22"/>
  <c r="E240" i="22"/>
  <c r="E239" i="22"/>
  <c r="E238" i="22"/>
  <c r="E234" i="22"/>
  <c r="E233" i="22"/>
  <c r="E232" i="22"/>
  <c r="E231" i="22"/>
  <c r="E230" i="22"/>
  <c r="E229" i="22"/>
  <c r="E228" i="22"/>
  <c r="E224" i="22"/>
  <c r="E223" i="22"/>
  <c r="E222" i="22"/>
  <c r="E221" i="22"/>
  <c r="E220" i="22"/>
  <c r="E219" i="22"/>
  <c r="E218" i="22"/>
  <c r="E217" i="22"/>
  <c r="E213" i="22"/>
  <c r="E212" i="22"/>
  <c r="E211" i="22"/>
  <c r="E210" i="22"/>
  <c r="E209" i="22"/>
  <c r="E208" i="22"/>
  <c r="E207" i="22"/>
  <c r="E206" i="22"/>
  <c r="E205" i="22"/>
  <c r="E201" i="22"/>
  <c r="E200" i="22"/>
  <c r="E199" i="22"/>
  <c r="E198" i="22"/>
  <c r="E194" i="22"/>
  <c r="E193" i="22"/>
  <c r="E192" i="22"/>
  <c r="E191" i="22"/>
  <c r="E187" i="22"/>
  <c r="E186" i="22"/>
  <c r="E185" i="22"/>
  <c r="E184" i="22"/>
  <c r="E183" i="22"/>
  <c r="E182" i="22"/>
  <c r="E181" i="22"/>
  <c r="E177" i="22"/>
  <c r="E176" i="22"/>
  <c r="E175" i="22"/>
  <c r="E174" i="22"/>
  <c r="E173" i="22"/>
  <c r="E172" i="22"/>
  <c r="E171" i="22"/>
  <c r="E170" i="22"/>
  <c r="E166" i="22"/>
  <c r="E165" i="22"/>
  <c r="E164" i="22"/>
  <c r="E160" i="22"/>
  <c r="E159" i="22"/>
  <c r="E158" i="22"/>
  <c r="E157" i="22"/>
  <c r="E156" i="22"/>
  <c r="E155" i="22"/>
  <c r="E154" i="22"/>
  <c r="E153" i="22"/>
  <c r="E152" i="22"/>
  <c r="E148" i="22"/>
  <c r="E147" i="22"/>
  <c r="E146" i="22"/>
  <c r="E145" i="22"/>
  <c r="E141" i="22"/>
  <c r="E140" i="22"/>
  <c r="E139" i="22"/>
  <c r="E138" i="22"/>
  <c r="E137" i="22"/>
  <c r="E136" i="22"/>
  <c r="E131" i="22"/>
  <c r="E130" i="22"/>
  <c r="E129" i="22"/>
  <c r="E128" i="22"/>
  <c r="E127" i="22"/>
  <c r="E126" i="22"/>
  <c r="E125" i="22"/>
  <c r="E124" i="22"/>
  <c r="E123" i="22"/>
  <c r="E119" i="22"/>
  <c r="E118" i="22"/>
  <c r="E117" i="22"/>
  <c r="E116" i="22"/>
  <c r="E112" i="22"/>
  <c r="E111" i="22"/>
  <c r="E110" i="22"/>
  <c r="E109" i="22"/>
  <c r="E108" i="22"/>
  <c r="E107" i="22"/>
  <c r="E106" i="22"/>
  <c r="E105" i="22"/>
  <c r="E101" i="22"/>
  <c r="E100" i="22"/>
  <c r="E99" i="22"/>
  <c r="E98" i="22"/>
  <c r="E94" i="22"/>
  <c r="E93" i="22"/>
  <c r="E92" i="22"/>
  <c r="E91" i="22"/>
  <c r="E90" i="22"/>
  <c r="E89" i="22"/>
  <c r="E88" i="22"/>
  <c r="E87" i="22"/>
  <c r="E86" i="22"/>
  <c r="E82" i="22"/>
  <c r="E81" i="22"/>
  <c r="E80" i="22"/>
  <c r="E79" i="22"/>
  <c r="E78" i="22"/>
  <c r="E77" i="22"/>
  <c r="E76" i="22"/>
  <c r="E72" i="22"/>
  <c r="E71" i="22"/>
  <c r="E70" i="22"/>
  <c r="E69" i="22"/>
  <c r="E68" i="22"/>
  <c r="E63" i="22"/>
  <c r="E62" i="22"/>
  <c r="E61" i="22"/>
  <c r="E60" i="22"/>
  <c r="E59" i="22"/>
  <c r="E58" i="22"/>
  <c r="E57" i="22"/>
  <c r="E56" i="22"/>
  <c r="E52" i="22"/>
  <c r="E51" i="22"/>
  <c r="E50" i="22"/>
  <c r="E49" i="22"/>
  <c r="E48" i="22"/>
  <c r="E47" i="22"/>
  <c r="E46" i="22"/>
  <c r="E45" i="22"/>
  <c r="E41" i="22"/>
  <c r="E40" i="22"/>
  <c r="E39" i="22"/>
  <c r="E38" i="22"/>
  <c r="E34" i="22"/>
  <c r="E33" i="22"/>
  <c r="E32" i="22"/>
  <c r="E31" i="22"/>
  <c r="E30" i="22"/>
  <c r="E29" i="22"/>
  <c r="E28" i="22"/>
  <c r="E27" i="22"/>
  <c r="E26" i="22"/>
  <c r="E22" i="22"/>
  <c r="E21" i="22"/>
  <c r="E20" i="22"/>
  <c r="E16" i="22"/>
  <c r="E15" i="22"/>
  <c r="E14" i="22"/>
  <c r="E13" i="22"/>
  <c r="E12" i="22"/>
  <c r="E11" i="22"/>
  <c r="E10" i="22"/>
  <c r="E9" i="22"/>
  <c r="E8" i="22"/>
  <c r="E7" i="22"/>
  <c r="E6" i="22"/>
  <c r="E677" i="21"/>
  <c r="E676" i="21"/>
  <c r="E675" i="21"/>
  <c r="E674" i="21"/>
  <c r="E673" i="21"/>
  <c r="E672" i="21"/>
  <c r="E668" i="21"/>
  <c r="E667" i="21"/>
  <c r="E666" i="21"/>
  <c r="E665" i="21"/>
  <c r="E661" i="21"/>
  <c r="E660" i="21"/>
  <c r="E659" i="21"/>
  <c r="E658" i="21"/>
  <c r="E657" i="21"/>
  <c r="E656" i="21"/>
  <c r="E655" i="21"/>
  <c r="E654" i="21"/>
  <c r="E650" i="21"/>
  <c r="E649" i="21"/>
  <c r="E648" i="21"/>
  <c r="E647" i="21"/>
  <c r="E646" i="21"/>
  <c r="E645" i="21"/>
  <c r="E644" i="21"/>
  <c r="E643" i="21"/>
  <c r="E639" i="21"/>
  <c r="E638" i="21"/>
  <c r="E637" i="21"/>
  <c r="E636" i="21"/>
  <c r="E635" i="21"/>
  <c r="E634" i="21"/>
  <c r="E633" i="21"/>
  <c r="E632" i="21"/>
  <c r="E631" i="21"/>
  <c r="E627" i="21"/>
  <c r="E626" i="21"/>
  <c r="E625" i="21"/>
  <c r="E624" i="21"/>
  <c r="E623" i="21"/>
  <c r="E622" i="21"/>
  <c r="E621" i="21"/>
  <c r="E614" i="21"/>
  <c r="E610" i="21"/>
  <c r="E609" i="21"/>
  <c r="E608" i="21"/>
  <c r="E607" i="21"/>
  <c r="E600" i="21"/>
  <c r="E599" i="21"/>
  <c r="E598" i="21"/>
  <c r="E597" i="21"/>
  <c r="E596" i="21"/>
  <c r="E595" i="21"/>
  <c r="E594" i="21"/>
  <c r="E593" i="21"/>
  <c r="E592" i="21"/>
  <c r="E591" i="21"/>
  <c r="E590" i="21"/>
  <c r="E589" i="21"/>
  <c r="E588" i="21"/>
  <c r="E583" i="21"/>
  <c r="E582" i="21"/>
  <c r="E581" i="21"/>
  <c r="E580" i="21"/>
  <c r="E576" i="21"/>
  <c r="E575" i="21"/>
  <c r="E574" i="21"/>
  <c r="E573" i="21"/>
  <c r="E572" i="21"/>
  <c r="E571" i="21"/>
  <c r="E570" i="21"/>
  <c r="E569" i="21"/>
  <c r="E565" i="21"/>
  <c r="E564" i="21"/>
  <c r="E563" i="21"/>
  <c r="E562" i="21"/>
  <c r="E561" i="21"/>
  <c r="E560" i="21"/>
  <c r="E559" i="21"/>
  <c r="E558" i="21"/>
  <c r="E557" i="21"/>
  <c r="E553" i="21"/>
  <c r="E552" i="21"/>
  <c r="E551" i="21"/>
  <c r="E550" i="21"/>
  <c r="E549" i="21"/>
  <c r="E548" i="21"/>
  <c r="E543" i="21"/>
  <c r="E542" i="21"/>
  <c r="E541" i="21"/>
  <c r="E540" i="21"/>
  <c r="E536" i="21"/>
  <c r="E535" i="21"/>
  <c r="E534" i="21"/>
  <c r="E533" i="21"/>
  <c r="E532" i="21"/>
  <c r="E531" i="21"/>
  <c r="E530" i="21"/>
  <c r="E529" i="21"/>
  <c r="E525" i="21"/>
  <c r="E524" i="21"/>
  <c r="E523" i="21"/>
  <c r="E522" i="21"/>
  <c r="E521" i="21"/>
  <c r="E520" i="21"/>
  <c r="E519" i="21"/>
  <c r="E518" i="21"/>
  <c r="E514" i="21"/>
  <c r="E513" i="21"/>
  <c r="E512" i="21"/>
  <c r="E511" i="21"/>
  <c r="E510" i="21"/>
  <c r="E509" i="21"/>
  <c r="E508" i="21"/>
  <c r="E504" i="21"/>
  <c r="E503" i="21"/>
  <c r="E502" i="21"/>
  <c r="E501" i="21"/>
  <c r="E500" i="21"/>
  <c r="E499" i="21"/>
  <c r="E498" i="21"/>
  <c r="E497" i="21"/>
  <c r="E496" i="21"/>
  <c r="E492" i="21"/>
  <c r="E491" i="21"/>
  <c r="E490" i="21"/>
  <c r="E489" i="21"/>
  <c r="E485" i="21"/>
  <c r="E484" i="21"/>
  <c r="E483" i="21"/>
  <c r="E482" i="21"/>
  <c r="E481" i="21"/>
  <c r="E480" i="21"/>
  <c r="E479" i="21"/>
  <c r="E478" i="21"/>
  <c r="E477" i="21"/>
  <c r="E473" i="21"/>
  <c r="E472" i="21"/>
  <c r="E471" i="21"/>
  <c r="E470" i="21"/>
  <c r="E457" i="21"/>
  <c r="E456" i="21"/>
  <c r="E455" i="21"/>
  <c r="E454" i="21"/>
  <c r="E453" i="21"/>
  <c r="E452" i="21"/>
  <c r="E451" i="21"/>
  <c r="E450" i="21"/>
  <c r="E449" i="21"/>
  <c r="E466" i="21"/>
  <c r="E465" i="21"/>
  <c r="E464" i="21"/>
  <c r="E463" i="21"/>
  <c r="E462" i="21"/>
  <c r="E461" i="21"/>
  <c r="E445" i="21"/>
  <c r="E444" i="21"/>
  <c r="E443" i="21"/>
  <c r="E442" i="21"/>
  <c r="E441" i="21"/>
  <c r="E440" i="21"/>
  <c r="E439" i="21"/>
  <c r="E438" i="21"/>
  <c r="E434" i="21"/>
  <c r="E433" i="21"/>
  <c r="E432" i="21"/>
  <c r="E431" i="21"/>
  <c r="E430" i="21"/>
  <c r="E429" i="21"/>
  <c r="E428" i="21"/>
  <c r="E427" i="21"/>
  <c r="E423" i="21"/>
  <c r="E422" i="21"/>
  <c r="E421" i="21"/>
  <c r="E420" i="21"/>
  <c r="E419" i="21"/>
  <c r="E418" i="21"/>
  <c r="E417" i="21"/>
  <c r="E416" i="21"/>
  <c r="E412" i="21"/>
  <c r="E411" i="21"/>
  <c r="E410" i="21"/>
  <c r="E409" i="21"/>
  <c r="E408" i="21"/>
  <c r="E407" i="21"/>
  <c r="E406" i="21"/>
  <c r="E402" i="21"/>
  <c r="E401" i="21"/>
  <c r="E400" i="21"/>
  <c r="E399" i="21"/>
  <c r="E395" i="21"/>
  <c r="E394" i="21"/>
  <c r="E393" i="21"/>
  <c r="E392" i="21"/>
  <c r="E388" i="21"/>
  <c r="E387" i="21"/>
  <c r="E386" i="21"/>
  <c r="E385" i="21"/>
  <c r="E384" i="21"/>
  <c r="E383" i="21"/>
  <c r="E382" i="21"/>
  <c r="E378" i="21"/>
  <c r="E377" i="21"/>
  <c r="E376" i="21"/>
  <c r="E375" i="21"/>
  <c r="E374" i="21"/>
  <c r="E373" i="21"/>
  <c r="E372" i="21"/>
  <c r="E371" i="21"/>
  <c r="E370" i="21"/>
  <c r="E366" i="21"/>
  <c r="E365" i="21"/>
  <c r="E364" i="21"/>
  <c r="E363" i="21"/>
  <c r="E362" i="21"/>
  <c r="E361" i="21"/>
  <c r="E360" i="21"/>
  <c r="E359" i="21"/>
  <c r="E355" i="21"/>
  <c r="E354" i="21"/>
  <c r="E353" i="21"/>
  <c r="E352" i="21"/>
  <c r="E351" i="21"/>
  <c r="E350" i="21"/>
  <c r="E349" i="21"/>
  <c r="E348" i="21"/>
  <c r="E344" i="21"/>
  <c r="E343" i="21"/>
  <c r="E342" i="21"/>
  <c r="E341" i="21"/>
  <c r="E340" i="21"/>
  <c r="E339" i="21"/>
  <c r="E338" i="21"/>
  <c r="E334" i="21"/>
  <c r="E333" i="21"/>
  <c r="E332" i="21"/>
  <c r="E331" i="21"/>
  <c r="E330" i="21"/>
  <c r="E329" i="21"/>
  <c r="E325" i="21"/>
  <c r="E324" i="21"/>
  <c r="E323" i="21"/>
  <c r="E322" i="21"/>
  <c r="E321" i="21"/>
  <c r="E320" i="21"/>
  <c r="E319" i="21"/>
  <c r="E313" i="21"/>
  <c r="E312" i="21"/>
  <c r="E311" i="21"/>
  <c r="E307" i="21"/>
  <c r="E306" i="21"/>
  <c r="E305" i="21"/>
  <c r="E304" i="21"/>
  <c r="E303" i="21"/>
  <c r="E302" i="21"/>
  <c r="E301" i="21"/>
  <c r="E300" i="21"/>
  <c r="E299" i="21"/>
  <c r="E295" i="21"/>
  <c r="E294" i="21"/>
  <c r="E293" i="21"/>
  <c r="E292" i="21"/>
  <c r="E288" i="21"/>
  <c r="E287" i="21"/>
  <c r="E286" i="21"/>
  <c r="E285" i="21"/>
  <c r="E284" i="21"/>
  <c r="E283" i="21"/>
  <c r="E278" i="21"/>
  <c r="E277" i="21"/>
  <c r="E276" i="21"/>
  <c r="E275" i="21"/>
  <c r="E274" i="21"/>
  <c r="E273" i="21"/>
  <c r="E272" i="21"/>
  <c r="E271" i="21"/>
  <c r="E267" i="21"/>
  <c r="E266" i="21"/>
  <c r="E265" i="21"/>
  <c r="E264" i="21"/>
  <c r="E260" i="21"/>
  <c r="E259" i="21"/>
  <c r="E258" i="21"/>
  <c r="E257" i="21"/>
  <c r="E256" i="21"/>
  <c r="E255" i="21"/>
  <c r="E254" i="21"/>
  <c r="E253" i="21"/>
  <c r="E249" i="21"/>
  <c r="E248" i="21"/>
  <c r="E247" i="21"/>
  <c r="E246" i="21"/>
  <c r="E245" i="21"/>
  <c r="E244" i="21"/>
  <c r="E243" i="21"/>
  <c r="E242" i="21"/>
  <c r="E238" i="21"/>
  <c r="E237" i="21"/>
  <c r="E236" i="21"/>
  <c r="E235" i="21"/>
  <c r="E234" i="21"/>
  <c r="E233" i="21"/>
  <c r="E232" i="21"/>
  <c r="E228" i="21"/>
  <c r="E227" i="21"/>
  <c r="E226" i="21"/>
  <c r="E225" i="21"/>
  <c r="E224" i="21"/>
  <c r="E223" i="21"/>
  <c r="E222" i="21"/>
  <c r="E221" i="21"/>
  <c r="E220" i="21"/>
  <c r="E216" i="21"/>
  <c r="E215" i="21"/>
  <c r="E214" i="21"/>
  <c r="E213" i="21"/>
  <c r="E209" i="21"/>
  <c r="E208" i="21"/>
  <c r="E207" i="21"/>
  <c r="E206" i="21"/>
  <c r="E202" i="21"/>
  <c r="E201" i="21"/>
  <c r="E200" i="21"/>
  <c r="E199" i="21"/>
  <c r="E198" i="21"/>
  <c r="E197" i="21"/>
  <c r="E196" i="21"/>
  <c r="E192" i="21"/>
  <c r="E191" i="21"/>
  <c r="E190" i="21"/>
  <c r="E189" i="21"/>
  <c r="E188" i="21"/>
  <c r="E187" i="21"/>
  <c r="E186" i="21"/>
  <c r="E185" i="21"/>
  <c r="E181" i="21"/>
  <c r="E180" i="21"/>
  <c r="E179" i="21"/>
  <c r="E178" i="21"/>
  <c r="E177" i="21"/>
  <c r="E176" i="21"/>
  <c r="E175" i="21"/>
  <c r="E174" i="21"/>
  <c r="E173" i="21"/>
  <c r="E172" i="21"/>
  <c r="E171" i="21"/>
  <c r="E170" i="21"/>
  <c r="E169" i="21"/>
  <c r="E168" i="21"/>
  <c r="E167" i="21"/>
  <c r="E166" i="21"/>
  <c r="E165" i="21"/>
  <c r="E164" i="21"/>
  <c r="E159" i="21"/>
  <c r="E158" i="21"/>
  <c r="E157" i="21"/>
  <c r="E153" i="21"/>
  <c r="E152" i="21"/>
  <c r="E151" i="21"/>
  <c r="E150" i="21"/>
  <c r="E149" i="21"/>
  <c r="E148" i="21"/>
  <c r="E147" i="21"/>
  <c r="E146" i="21"/>
  <c r="E145" i="21"/>
  <c r="E141" i="21"/>
  <c r="E140" i="21"/>
  <c r="E139" i="21"/>
  <c r="E138" i="21"/>
  <c r="E137" i="21"/>
  <c r="E136" i="21"/>
  <c r="E131" i="21"/>
  <c r="E130" i="21"/>
  <c r="E129" i="21"/>
  <c r="E128" i="21"/>
  <c r="E127" i="21"/>
  <c r="E126" i="21"/>
  <c r="E125" i="21"/>
  <c r="E124" i="21"/>
  <c r="E123" i="21"/>
  <c r="E119" i="21"/>
  <c r="E118" i="21"/>
  <c r="E117" i="21"/>
  <c r="E116" i="21"/>
  <c r="E112" i="21"/>
  <c r="E111" i="21"/>
  <c r="E110" i="21"/>
  <c r="E109" i="21"/>
  <c r="E108" i="21"/>
  <c r="E107" i="21"/>
  <c r="E106" i="21"/>
  <c r="E105" i="21"/>
  <c r="E101" i="21"/>
  <c r="E100" i="21"/>
  <c r="E99" i="21"/>
  <c r="E98" i="21"/>
  <c r="E94" i="21"/>
  <c r="E93" i="21"/>
  <c r="E92" i="21"/>
  <c r="E91" i="21"/>
  <c r="E90" i="21"/>
  <c r="E89" i="21"/>
  <c r="E88" i="21"/>
  <c r="E87" i="21"/>
  <c r="E86" i="21"/>
  <c r="E82" i="21"/>
  <c r="E81" i="21"/>
  <c r="E80" i="21"/>
  <c r="E79" i="21"/>
  <c r="E78" i="21"/>
  <c r="E77" i="21"/>
  <c r="E76" i="21"/>
  <c r="E72" i="21"/>
  <c r="E71" i="21"/>
  <c r="E70" i="21"/>
  <c r="E69" i="21"/>
  <c r="E68" i="21"/>
  <c r="E67" i="21"/>
  <c r="E66" i="21"/>
  <c r="E65" i="21"/>
  <c r="E61" i="21"/>
  <c r="E60" i="21"/>
  <c r="E59" i="21"/>
  <c r="E58" i="21"/>
  <c r="E57" i="21"/>
  <c r="E52" i="21"/>
  <c r="E51" i="21"/>
  <c r="E50" i="21"/>
  <c r="E49" i="21"/>
  <c r="E48" i="21"/>
  <c r="E47" i="21"/>
  <c r="E46" i="21"/>
  <c r="E45" i="21"/>
  <c r="E41" i="21"/>
  <c r="E40" i="21"/>
  <c r="E39" i="21"/>
  <c r="E38" i="21"/>
  <c r="E34" i="21"/>
  <c r="E33" i="21"/>
  <c r="E32" i="21"/>
  <c r="E31" i="21"/>
  <c r="E30" i="21"/>
  <c r="E29" i="21"/>
  <c r="E28" i="21"/>
  <c r="E27" i="21"/>
  <c r="E26" i="21"/>
  <c r="E22" i="21"/>
  <c r="E21" i="21"/>
  <c r="E20" i="21"/>
  <c r="E16" i="21"/>
  <c r="E15" i="21"/>
  <c r="E14" i="21"/>
  <c r="E13" i="21"/>
  <c r="E12" i="21"/>
  <c r="E11" i="21"/>
  <c r="E10" i="21"/>
  <c r="E9" i="21"/>
  <c r="E8" i="21"/>
  <c r="E7" i="21"/>
  <c r="E6" i="21"/>
  <c r="E653" i="20"/>
  <c r="E652" i="20"/>
  <c r="E651" i="20"/>
  <c r="E650" i="20"/>
  <c r="E649" i="20"/>
  <c r="E648" i="20"/>
  <c r="E647" i="20"/>
  <c r="E643" i="20"/>
  <c r="E642" i="20"/>
  <c r="E641" i="20"/>
  <c r="E640" i="20"/>
  <c r="E636" i="20"/>
  <c r="E635" i="20"/>
  <c r="E634" i="20"/>
  <c r="E633" i="20"/>
  <c r="E632" i="20"/>
  <c r="E631" i="20"/>
  <c r="E630" i="20"/>
  <c r="E629" i="20"/>
  <c r="E625" i="20"/>
  <c r="E624" i="20"/>
  <c r="E623" i="20"/>
  <c r="E622" i="20"/>
  <c r="E621" i="20"/>
  <c r="E620" i="20"/>
  <c r="E619" i="20"/>
  <c r="E618" i="20"/>
  <c r="E617" i="20"/>
  <c r="E613" i="20"/>
  <c r="E612" i="20"/>
  <c r="E611" i="20"/>
  <c r="E610" i="20"/>
  <c r="E609" i="20"/>
  <c r="E608" i="20"/>
  <c r="E607" i="20"/>
  <c r="E603" i="20"/>
  <c r="E602" i="20"/>
  <c r="E601" i="20"/>
  <c r="E600" i="20"/>
  <c r="E596" i="20"/>
  <c r="E595" i="20"/>
  <c r="E594" i="20"/>
  <c r="E593" i="20"/>
  <c r="E589" i="20"/>
  <c r="E588" i="20"/>
  <c r="E587" i="20"/>
  <c r="E586" i="20"/>
  <c r="E585" i="20"/>
  <c r="E584" i="20"/>
  <c r="E583" i="20"/>
  <c r="E579" i="20"/>
  <c r="E578" i="20"/>
  <c r="E577" i="20"/>
  <c r="E576" i="20"/>
  <c r="E572" i="20"/>
  <c r="E571" i="20"/>
  <c r="E570" i="20"/>
  <c r="E569" i="20"/>
  <c r="E568" i="20"/>
  <c r="E567" i="20"/>
  <c r="E566" i="20"/>
  <c r="E565" i="20"/>
  <c r="E564" i="20"/>
  <c r="E560" i="20"/>
  <c r="E559" i="20"/>
  <c r="E558" i="20"/>
  <c r="E557" i="20"/>
  <c r="E556" i="20"/>
  <c r="E555" i="20"/>
  <c r="E550" i="20"/>
  <c r="E549" i="20"/>
  <c r="E548" i="20"/>
  <c r="E547" i="20"/>
  <c r="E543" i="20"/>
  <c r="E542" i="20"/>
  <c r="E541" i="20"/>
  <c r="E540" i="20"/>
  <c r="E539" i="20"/>
  <c r="E538" i="20"/>
  <c r="E537" i="20"/>
  <c r="E536" i="20"/>
  <c r="E535" i="20"/>
  <c r="E534" i="20"/>
  <c r="E530" i="20"/>
  <c r="E529" i="20"/>
  <c r="E528" i="20"/>
  <c r="E527" i="20"/>
  <c r="E526" i="20"/>
  <c r="E525" i="20"/>
  <c r="E524" i="20"/>
  <c r="E523" i="20"/>
  <c r="E519" i="20"/>
  <c r="E518" i="20"/>
  <c r="E517" i="20"/>
  <c r="E516" i="20"/>
  <c r="E515" i="20"/>
  <c r="E514" i="20"/>
  <c r="E513" i="20"/>
  <c r="E512" i="20"/>
  <c r="E508" i="20"/>
  <c r="E507" i="20"/>
  <c r="E506" i="20"/>
  <c r="E505" i="20"/>
  <c r="E504" i="20"/>
  <c r="E503" i="20"/>
  <c r="E502" i="20"/>
  <c r="E498" i="20"/>
  <c r="E497" i="20"/>
  <c r="E496" i="20"/>
  <c r="E495" i="20"/>
  <c r="E494" i="20"/>
  <c r="E493" i="20"/>
  <c r="E492" i="20"/>
  <c r="E491" i="20"/>
  <c r="E487" i="20"/>
  <c r="E486" i="20"/>
  <c r="E485" i="20"/>
  <c r="E484" i="20"/>
  <c r="E483" i="20"/>
  <c r="E482" i="20"/>
  <c r="E481" i="20"/>
  <c r="E480" i="20"/>
  <c r="E479" i="20"/>
  <c r="E475" i="20"/>
  <c r="E474" i="20"/>
  <c r="E473" i="20"/>
  <c r="E472" i="20"/>
  <c r="E468" i="20"/>
  <c r="E467" i="20"/>
  <c r="E466" i="20"/>
  <c r="E465" i="20"/>
  <c r="E464" i="20"/>
  <c r="E463" i="20"/>
  <c r="E462" i="20"/>
  <c r="E461" i="20"/>
  <c r="E460" i="20"/>
  <c r="E456" i="20"/>
  <c r="E455" i="20"/>
  <c r="E454" i="20"/>
  <c r="E453" i="20"/>
  <c r="E449" i="20"/>
  <c r="E448" i="20"/>
  <c r="E447" i="20"/>
  <c r="E446" i="20"/>
  <c r="E445" i="20"/>
  <c r="E444" i="20"/>
  <c r="E443" i="20"/>
  <c r="E442" i="20"/>
  <c r="E441" i="20"/>
  <c r="E437" i="20"/>
  <c r="E436" i="20"/>
  <c r="E435" i="20"/>
  <c r="E434" i="20"/>
  <c r="E433" i="20"/>
  <c r="E432" i="20"/>
  <c r="E431" i="20"/>
  <c r="E430" i="20"/>
  <c r="E429" i="20"/>
  <c r="E428" i="20"/>
  <c r="E427" i="20"/>
  <c r="E426" i="20"/>
  <c r="E425" i="20"/>
  <c r="E424" i="20"/>
  <c r="E423" i="20"/>
  <c r="E422" i="20"/>
  <c r="E421" i="20"/>
  <c r="E420" i="20"/>
  <c r="E415" i="20"/>
  <c r="E414" i="20"/>
  <c r="E413" i="20"/>
  <c r="E412" i="20"/>
  <c r="E411" i="20"/>
  <c r="E410" i="20"/>
  <c r="E409" i="20"/>
  <c r="E408" i="20"/>
  <c r="E404" i="20"/>
  <c r="E403" i="20"/>
  <c r="E402" i="20"/>
  <c r="E401" i="20"/>
  <c r="E400" i="20"/>
  <c r="E399" i="20"/>
  <c r="E398" i="20"/>
  <c r="E397" i="20"/>
  <c r="E393" i="20"/>
  <c r="E392" i="20"/>
  <c r="E391" i="20"/>
  <c r="E390" i="20"/>
  <c r="E383" i="20"/>
  <c r="E382" i="20"/>
  <c r="E381" i="20"/>
  <c r="E380" i="20"/>
  <c r="E376" i="20"/>
  <c r="E375" i="20"/>
  <c r="E374" i="20"/>
  <c r="E373" i="20"/>
  <c r="E369" i="20"/>
  <c r="E368" i="20"/>
  <c r="E367" i="20"/>
  <c r="E366" i="20"/>
  <c r="E365" i="20"/>
  <c r="E364" i="20"/>
  <c r="E363" i="20"/>
  <c r="E362" i="20"/>
  <c r="E361" i="20"/>
  <c r="E357" i="20"/>
  <c r="E356" i="20"/>
  <c r="E355" i="20"/>
  <c r="E354" i="20"/>
  <c r="E353" i="20"/>
  <c r="E352" i="20"/>
  <c r="E351" i="20"/>
  <c r="E350" i="20"/>
  <c r="E346" i="20"/>
  <c r="E345" i="20"/>
  <c r="E344" i="20"/>
  <c r="E343" i="20"/>
  <c r="E342" i="20"/>
  <c r="E341" i="20"/>
  <c r="E340" i="20"/>
  <c r="E336" i="20"/>
  <c r="E335" i="20"/>
  <c r="E334" i="20"/>
  <c r="E333" i="20"/>
  <c r="E332" i="20"/>
  <c r="E331" i="20"/>
  <c r="E330" i="20"/>
  <c r="E329" i="20"/>
  <c r="E328" i="20"/>
  <c r="E327" i="20"/>
  <c r="E323" i="20"/>
  <c r="E322" i="20"/>
  <c r="E321" i="20"/>
  <c r="E320" i="20"/>
  <c r="E319" i="20"/>
  <c r="E318" i="20"/>
  <c r="E314" i="20"/>
  <c r="E313" i="20"/>
  <c r="E312" i="20"/>
  <c r="E308" i="20"/>
  <c r="E307" i="20"/>
  <c r="E306" i="20"/>
  <c r="E305" i="20"/>
  <c r="E304" i="20"/>
  <c r="E303" i="20"/>
  <c r="E302" i="20"/>
  <c r="E301" i="20"/>
  <c r="E300" i="20"/>
  <c r="E296" i="20"/>
  <c r="E295" i="20"/>
  <c r="E294" i="20"/>
  <c r="E293" i="20"/>
  <c r="E289" i="20"/>
  <c r="E288" i="20"/>
  <c r="E287" i="20"/>
  <c r="E286" i="20"/>
  <c r="E285" i="20"/>
  <c r="E284" i="20"/>
  <c r="E279" i="20"/>
  <c r="E278" i="20"/>
  <c r="E277" i="20"/>
  <c r="E276" i="20"/>
  <c r="E275" i="20"/>
  <c r="E274" i="20"/>
  <c r="E273" i="20"/>
  <c r="E272" i="20"/>
  <c r="E268" i="20"/>
  <c r="E267" i="20"/>
  <c r="E266" i="20"/>
  <c r="E265" i="20"/>
  <c r="E261" i="20"/>
  <c r="E260" i="20"/>
  <c r="E259" i="20"/>
  <c r="E258" i="20"/>
  <c r="E257" i="20"/>
  <c r="E256" i="20"/>
  <c r="E255" i="20"/>
  <c r="E254" i="20"/>
  <c r="E253" i="20"/>
  <c r="E249" i="20"/>
  <c r="E248" i="20"/>
  <c r="E247" i="20"/>
  <c r="E246" i="20"/>
  <c r="E245" i="20"/>
  <c r="E244" i="20"/>
  <c r="E243" i="20"/>
  <c r="E239" i="20"/>
  <c r="E238" i="20"/>
  <c r="E237" i="20"/>
  <c r="E236" i="20"/>
  <c r="E235" i="20"/>
  <c r="E234" i="20"/>
  <c r="E233" i="20"/>
  <c r="E232" i="20"/>
  <c r="E228" i="20"/>
  <c r="E227" i="20"/>
  <c r="E226" i="20"/>
  <c r="E225" i="20"/>
  <c r="E224" i="20"/>
  <c r="E223" i="20"/>
  <c r="E222" i="20"/>
  <c r="E221" i="20"/>
  <c r="E220" i="20"/>
  <c r="E216" i="20"/>
  <c r="E215" i="20"/>
  <c r="E214" i="20"/>
  <c r="E213" i="20"/>
  <c r="E209" i="20"/>
  <c r="E208" i="20"/>
  <c r="E207" i="20"/>
  <c r="E206" i="20"/>
  <c r="E202" i="20"/>
  <c r="E201" i="20"/>
  <c r="E200" i="20"/>
  <c r="E199" i="20"/>
  <c r="E198" i="20"/>
  <c r="E197" i="20"/>
  <c r="E196" i="20"/>
  <c r="E192" i="20"/>
  <c r="E191" i="20"/>
  <c r="E190" i="20"/>
  <c r="E189" i="20"/>
  <c r="E188" i="20"/>
  <c r="E187" i="20"/>
  <c r="E186" i="20"/>
  <c r="E185" i="20"/>
  <c r="E181" i="20"/>
  <c r="E180" i="20"/>
  <c r="E179" i="20"/>
  <c r="E178" i="20"/>
  <c r="E177" i="20"/>
  <c r="E176" i="20"/>
  <c r="E175" i="20"/>
  <c r="E174" i="20"/>
  <c r="E173" i="20"/>
  <c r="E172" i="20"/>
  <c r="E171" i="20"/>
  <c r="E170" i="20"/>
  <c r="E169" i="20"/>
  <c r="E168" i="20"/>
  <c r="E167" i="20"/>
  <c r="E166" i="20"/>
  <c r="E165" i="20"/>
  <c r="E164" i="20"/>
  <c r="E159" i="20"/>
  <c r="E158" i="20"/>
  <c r="E157" i="20"/>
  <c r="E153" i="20"/>
  <c r="E152" i="20"/>
  <c r="E151" i="20"/>
  <c r="E150" i="20"/>
  <c r="E149" i="20"/>
  <c r="E148" i="20"/>
  <c r="E147" i="20"/>
  <c r="E146" i="20"/>
  <c r="E145" i="20"/>
  <c r="E141" i="20"/>
  <c r="E140" i="20"/>
  <c r="E139" i="20"/>
  <c r="E138" i="20"/>
  <c r="E137" i="20"/>
  <c r="E136" i="20"/>
  <c r="E131" i="20"/>
  <c r="E130" i="20"/>
  <c r="E129" i="20"/>
  <c r="E128" i="20"/>
  <c r="E127" i="20"/>
  <c r="E126" i="20"/>
  <c r="E125" i="20"/>
  <c r="E124" i="20"/>
  <c r="E123" i="20"/>
  <c r="E119" i="20"/>
  <c r="E118" i="20"/>
  <c r="E117" i="20"/>
  <c r="E116" i="20"/>
  <c r="E112" i="20"/>
  <c r="E111" i="20"/>
  <c r="E110" i="20"/>
  <c r="E109" i="20"/>
  <c r="E108" i="20"/>
  <c r="E107" i="20"/>
  <c r="E106" i="20"/>
  <c r="E105" i="20"/>
  <c r="E101" i="20"/>
  <c r="E100" i="20"/>
  <c r="E99" i="20"/>
  <c r="E98" i="20"/>
  <c r="E94" i="20"/>
  <c r="E93" i="20"/>
  <c r="E92" i="20"/>
  <c r="E91" i="20"/>
  <c r="E90" i="20"/>
  <c r="E89" i="20"/>
  <c r="E88" i="20"/>
  <c r="E87" i="20"/>
  <c r="E86" i="20"/>
  <c r="E82" i="20"/>
  <c r="E81" i="20"/>
  <c r="E80" i="20"/>
  <c r="E79" i="20"/>
  <c r="E78" i="20"/>
  <c r="E77" i="20"/>
  <c r="E76" i="20"/>
  <c r="E72" i="20"/>
  <c r="E71" i="20"/>
  <c r="E70" i="20"/>
  <c r="E69" i="20"/>
  <c r="E68" i="20"/>
  <c r="E63" i="20"/>
  <c r="E62" i="20"/>
  <c r="E61" i="20"/>
  <c r="E60" i="20"/>
  <c r="E59" i="20"/>
  <c r="E58" i="20"/>
  <c r="E57" i="20"/>
  <c r="E56" i="20"/>
  <c r="E52" i="20"/>
  <c r="E51" i="20"/>
  <c r="E50" i="20"/>
  <c r="E49" i="20"/>
  <c r="E48" i="20"/>
  <c r="E47" i="20"/>
  <c r="E46" i="20"/>
  <c r="E45" i="20"/>
  <c r="E41" i="20"/>
  <c r="E40" i="20"/>
  <c r="E39" i="20"/>
  <c r="E38" i="20"/>
  <c r="E34" i="20"/>
  <c r="E33" i="20"/>
  <c r="E32" i="20"/>
  <c r="E31" i="20"/>
  <c r="E30" i="20"/>
  <c r="E29" i="20"/>
  <c r="E28" i="20"/>
  <c r="E27" i="20"/>
  <c r="E26" i="20"/>
  <c r="E22" i="20"/>
  <c r="E21" i="20"/>
  <c r="E20" i="20"/>
  <c r="E16" i="20"/>
  <c r="E15" i="20"/>
  <c r="E14" i="20"/>
  <c r="E13" i="20"/>
  <c r="E12" i="20"/>
  <c r="E11" i="20"/>
  <c r="E10" i="20"/>
  <c r="E9" i="20"/>
  <c r="E8" i="20"/>
  <c r="E7" i="20"/>
  <c r="E6" i="20"/>
  <c r="E628" i="18"/>
  <c r="E627" i="18"/>
  <c r="E626" i="18"/>
  <c r="E622" i="18"/>
  <c r="E621" i="18"/>
  <c r="E620" i="18"/>
  <c r="E619" i="18"/>
  <c r="E615" i="18"/>
  <c r="E614" i="18"/>
  <c r="E613" i="18"/>
  <c r="E612" i="18"/>
  <c r="E611" i="18"/>
  <c r="E610" i="18"/>
  <c r="E606" i="18"/>
  <c r="E605" i="18"/>
  <c r="E604" i="18"/>
  <c r="E603" i="18"/>
  <c r="E602" i="18"/>
  <c r="E601" i="18"/>
  <c r="E600" i="18"/>
  <c r="E599" i="18"/>
  <c r="E595" i="18"/>
  <c r="E594" i="18"/>
  <c r="E593" i="18"/>
  <c r="E592" i="18"/>
  <c r="E591" i="18"/>
  <c r="E590" i="18"/>
  <c r="E589" i="18"/>
  <c r="E588" i="18"/>
  <c r="E584" i="18"/>
  <c r="E583" i="18"/>
  <c r="E582" i="18"/>
  <c r="E581" i="18"/>
  <c r="E580" i="18"/>
  <c r="E579" i="18"/>
  <c r="E578" i="18"/>
  <c r="E577" i="18"/>
  <c r="E576" i="18"/>
  <c r="E572" i="18"/>
  <c r="E571" i="18"/>
  <c r="E570" i="18"/>
  <c r="E569" i="18"/>
  <c r="E568" i="18"/>
  <c r="E567" i="18"/>
  <c r="E566" i="18"/>
  <c r="E562" i="18"/>
  <c r="E561" i="18"/>
  <c r="E560" i="18"/>
  <c r="E559" i="18"/>
  <c r="E555" i="18"/>
  <c r="E554" i="18"/>
  <c r="E553" i="18"/>
  <c r="E552" i="18"/>
  <c r="E551" i="18"/>
  <c r="E550" i="18"/>
  <c r="E549" i="18"/>
  <c r="E545" i="18"/>
  <c r="E544" i="18"/>
  <c r="E543" i="18"/>
  <c r="E542" i="18"/>
  <c r="E541" i="18"/>
  <c r="E540" i="18"/>
  <c r="E539" i="18"/>
  <c r="E538" i="18"/>
  <c r="E537" i="18"/>
  <c r="E533" i="18"/>
  <c r="E532" i="18"/>
  <c r="E531" i="18"/>
  <c r="E530" i="18"/>
  <c r="E526" i="18"/>
  <c r="E525" i="18"/>
  <c r="E524" i="18"/>
  <c r="E523" i="18"/>
  <c r="E522" i="18"/>
  <c r="E521" i="18"/>
  <c r="E520" i="18"/>
  <c r="E519" i="18"/>
  <c r="E518" i="18"/>
  <c r="E514" i="18"/>
  <c r="E513" i="18"/>
  <c r="E512" i="18"/>
  <c r="E511" i="18"/>
  <c r="E510" i="18"/>
  <c r="E509" i="18"/>
  <c r="E504" i="18"/>
  <c r="E503" i="18"/>
  <c r="E502" i="18"/>
  <c r="E501" i="18"/>
  <c r="E497" i="18"/>
  <c r="E496" i="18"/>
  <c r="E495" i="18"/>
  <c r="E494" i="18"/>
  <c r="E493" i="18"/>
  <c r="E492" i="18"/>
  <c r="E491" i="18"/>
  <c r="E490" i="18"/>
  <c r="E486" i="18"/>
  <c r="E485" i="18"/>
  <c r="E484" i="18"/>
  <c r="E483" i="18"/>
  <c r="E482" i="18"/>
  <c r="E481" i="18"/>
  <c r="E480" i="18"/>
  <c r="E479" i="18"/>
  <c r="E475" i="18"/>
  <c r="E474" i="18"/>
  <c r="E473" i="18"/>
  <c r="E472" i="18"/>
  <c r="E471" i="18"/>
  <c r="E470" i="18"/>
  <c r="E469" i="18"/>
  <c r="E465" i="18"/>
  <c r="E464" i="18"/>
  <c r="E463" i="18"/>
  <c r="E462" i="18"/>
  <c r="E461" i="18"/>
  <c r="E460" i="18"/>
  <c r="E459" i="18"/>
  <c r="E458" i="18"/>
  <c r="E457" i="18"/>
  <c r="E453" i="18"/>
  <c r="E452" i="18"/>
  <c r="E451" i="18"/>
  <c r="E450" i="18"/>
  <c r="E446" i="18"/>
  <c r="E445" i="18"/>
  <c r="E444" i="18"/>
  <c r="E443" i="18"/>
  <c r="E442" i="18"/>
  <c r="E441" i="18"/>
  <c r="E440" i="18"/>
  <c r="E439" i="18"/>
  <c r="E438" i="18"/>
  <c r="E434" i="18"/>
  <c r="E433" i="18"/>
  <c r="E432" i="18"/>
  <c r="E431" i="18"/>
  <c r="E430" i="18"/>
  <c r="E429" i="18"/>
  <c r="E428" i="18"/>
  <c r="E422" i="18"/>
  <c r="E421" i="18"/>
  <c r="E420" i="18"/>
  <c r="E419" i="18"/>
  <c r="E415" i="18"/>
  <c r="E414" i="18"/>
  <c r="E413" i="18"/>
  <c r="E412" i="18"/>
  <c r="E411" i="18"/>
  <c r="E410" i="18"/>
  <c r="E409" i="18"/>
  <c r="E408" i="18"/>
  <c r="E407" i="18"/>
  <c r="E403" i="18"/>
  <c r="E402" i="18"/>
  <c r="E401" i="18"/>
  <c r="E400" i="18"/>
  <c r="E399" i="18"/>
  <c r="E398" i="18"/>
  <c r="E397" i="18"/>
  <c r="E396" i="18"/>
  <c r="E392" i="18"/>
  <c r="E391" i="18"/>
  <c r="E390" i="18"/>
  <c r="E389" i="18"/>
  <c r="E388" i="18"/>
  <c r="E387" i="18"/>
  <c r="E386" i="18"/>
  <c r="E385" i="18"/>
  <c r="E381" i="18"/>
  <c r="E380" i="18"/>
  <c r="E379" i="18"/>
  <c r="E378" i="18"/>
  <c r="E377" i="18"/>
  <c r="E376" i="18"/>
  <c r="E375" i="18"/>
  <c r="E374" i="18"/>
  <c r="E370" i="18"/>
  <c r="E369" i="18"/>
  <c r="E368" i="18"/>
  <c r="E367" i="18"/>
  <c r="E366" i="18"/>
  <c r="E365" i="18"/>
  <c r="E364" i="18"/>
  <c r="E360" i="18"/>
  <c r="E359" i="18"/>
  <c r="E358" i="18"/>
  <c r="E357" i="18"/>
  <c r="E353" i="18"/>
  <c r="E352" i="18"/>
  <c r="E351" i="18"/>
  <c r="E350" i="18"/>
  <c r="E346" i="18"/>
  <c r="E345" i="18"/>
  <c r="E344" i="18"/>
  <c r="E343" i="18"/>
  <c r="E342" i="18"/>
  <c r="E341" i="18"/>
  <c r="E340" i="18"/>
  <c r="E339" i="18"/>
  <c r="E338" i="18"/>
  <c r="E334" i="18"/>
  <c r="E333" i="18"/>
  <c r="E332" i="18"/>
  <c r="E331" i="18"/>
  <c r="E330" i="18"/>
  <c r="E329" i="18"/>
  <c r="E328" i="18"/>
  <c r="E327" i="18"/>
  <c r="E323" i="18"/>
  <c r="E322" i="18"/>
  <c r="E321" i="18"/>
  <c r="E320" i="18"/>
  <c r="E319" i="18"/>
  <c r="E318" i="18"/>
  <c r="E317" i="18"/>
  <c r="E316" i="18"/>
  <c r="E315" i="18"/>
  <c r="E311" i="18"/>
  <c r="E310" i="18"/>
  <c r="E309" i="18"/>
  <c r="E308" i="18"/>
  <c r="E307" i="18"/>
  <c r="E306" i="18"/>
  <c r="E305" i="18"/>
  <c r="E301" i="18"/>
  <c r="E300" i="18"/>
  <c r="E299" i="18"/>
  <c r="E298" i="18"/>
  <c r="E297" i="18"/>
  <c r="E296" i="18"/>
  <c r="E292" i="18"/>
  <c r="E291" i="18"/>
  <c r="E290" i="18"/>
  <c r="E286" i="18"/>
  <c r="E285" i="18"/>
  <c r="E284" i="18"/>
  <c r="E283" i="18"/>
  <c r="E282" i="18"/>
  <c r="E281" i="18"/>
  <c r="E280" i="18"/>
  <c r="E279" i="18"/>
  <c r="E278" i="18"/>
  <c r="E274" i="18"/>
  <c r="E273" i="18"/>
  <c r="E272" i="18"/>
  <c r="E271" i="18"/>
  <c r="E270" i="18"/>
  <c r="E269" i="18"/>
  <c r="E264" i="18"/>
  <c r="E263" i="18"/>
  <c r="E262" i="18"/>
  <c r="E261" i="18"/>
  <c r="E260" i="18"/>
  <c r="E259" i="18"/>
  <c r="E258" i="18"/>
  <c r="E257" i="18"/>
  <c r="E253" i="18"/>
  <c r="E252" i="18"/>
  <c r="E251" i="18"/>
  <c r="E250" i="18"/>
  <c r="E246" i="18"/>
  <c r="E245" i="18"/>
  <c r="E244" i="18"/>
  <c r="E243" i="18"/>
  <c r="E242" i="18"/>
  <c r="E241" i="18"/>
  <c r="E240" i="18"/>
  <c r="E239" i="18"/>
  <c r="E238" i="18"/>
  <c r="E237" i="18"/>
  <c r="E236" i="18"/>
  <c r="E235" i="18"/>
  <c r="E234" i="18"/>
  <c r="E233" i="18"/>
  <c r="E232" i="18"/>
  <c r="E227" i="18"/>
  <c r="E226" i="18"/>
  <c r="E225" i="18"/>
  <c r="E224" i="18"/>
  <c r="E223" i="18"/>
  <c r="E222" i="18"/>
  <c r="E221" i="18"/>
  <c r="E220" i="18"/>
  <c r="E216" i="18"/>
  <c r="E215" i="18"/>
  <c r="E214" i="18"/>
  <c r="E213" i="18"/>
  <c r="E212" i="18"/>
  <c r="E211" i="18"/>
  <c r="E210" i="18"/>
  <c r="E206" i="18"/>
  <c r="E205" i="18"/>
  <c r="E204" i="18"/>
  <c r="E203" i="18"/>
  <c r="E202" i="18"/>
  <c r="E201" i="18"/>
  <c r="E200" i="18"/>
  <c r="E199" i="18"/>
  <c r="E198" i="18"/>
  <c r="E194" i="18"/>
  <c r="E193" i="18"/>
  <c r="E192" i="18"/>
  <c r="E191" i="18"/>
  <c r="E187" i="18"/>
  <c r="E186" i="18"/>
  <c r="E185" i="18"/>
  <c r="E184" i="18"/>
  <c r="E180" i="18"/>
  <c r="E179" i="18"/>
  <c r="E178" i="18"/>
  <c r="E177" i="18"/>
  <c r="E176" i="18"/>
  <c r="E175" i="18"/>
  <c r="E174" i="18"/>
  <c r="E170" i="18"/>
  <c r="E169" i="18"/>
  <c r="E168" i="18"/>
  <c r="E167" i="18"/>
  <c r="E166" i="18"/>
  <c r="E165" i="18"/>
  <c r="E164" i="18"/>
  <c r="E163" i="18"/>
  <c r="E159" i="18"/>
  <c r="E158" i="18"/>
  <c r="E157" i="18"/>
  <c r="E153" i="18"/>
  <c r="E152" i="18"/>
  <c r="E151" i="18"/>
  <c r="E150" i="18"/>
  <c r="E149" i="18"/>
  <c r="E148" i="18"/>
  <c r="E147" i="18"/>
  <c r="E146" i="18"/>
  <c r="E145" i="18"/>
  <c r="E141" i="18"/>
  <c r="E140" i="18"/>
  <c r="E139" i="18"/>
  <c r="E138" i="18"/>
  <c r="E137" i="18"/>
  <c r="E136" i="18"/>
  <c r="E131" i="18"/>
  <c r="E130" i="18"/>
  <c r="E129" i="18"/>
  <c r="E128" i="18"/>
  <c r="E127" i="18"/>
  <c r="E126" i="18"/>
  <c r="E125" i="18"/>
  <c r="E124" i="18"/>
  <c r="E123" i="18"/>
  <c r="E119" i="18"/>
  <c r="E118" i="18"/>
  <c r="E117" i="18"/>
  <c r="E116" i="18"/>
  <c r="E112" i="18"/>
  <c r="E111" i="18"/>
  <c r="E110" i="18"/>
  <c r="E109" i="18"/>
  <c r="E108" i="18"/>
  <c r="E107" i="18"/>
  <c r="E106" i="18"/>
  <c r="E105" i="18"/>
  <c r="E101" i="18"/>
  <c r="E100" i="18"/>
  <c r="E99" i="18"/>
  <c r="E98" i="18"/>
  <c r="E94" i="18"/>
  <c r="E93" i="18"/>
  <c r="E92" i="18"/>
  <c r="E91" i="18"/>
  <c r="E90" i="18"/>
  <c r="E89" i="18"/>
  <c r="E88" i="18"/>
  <c r="E87" i="18"/>
  <c r="E86" i="18"/>
  <c r="E82" i="18"/>
  <c r="E81" i="18"/>
  <c r="E80" i="18"/>
  <c r="E79" i="18"/>
  <c r="E78" i="18"/>
  <c r="E77" i="18"/>
  <c r="E76" i="18"/>
  <c r="E72" i="18"/>
  <c r="E71" i="18"/>
  <c r="E70" i="18"/>
  <c r="E69" i="18"/>
  <c r="E68" i="18"/>
  <c r="E63" i="18"/>
  <c r="E62" i="18"/>
  <c r="E61" i="18"/>
  <c r="E60" i="18"/>
  <c r="E59" i="18"/>
  <c r="E58" i="18"/>
  <c r="E57" i="18"/>
  <c r="E56" i="18"/>
  <c r="E52" i="18"/>
  <c r="E51" i="18"/>
  <c r="E50" i="18"/>
  <c r="E49" i="18"/>
  <c r="E48" i="18"/>
  <c r="E47" i="18"/>
  <c r="E46" i="18"/>
  <c r="E45" i="18"/>
  <c r="E41" i="18"/>
  <c r="E40" i="18"/>
  <c r="E39" i="18"/>
  <c r="E38" i="18"/>
  <c r="E34" i="18"/>
  <c r="E33" i="18"/>
  <c r="E32" i="18"/>
  <c r="E31" i="18"/>
  <c r="E30" i="18"/>
  <c r="E29" i="18"/>
  <c r="E28" i="18"/>
  <c r="E27" i="18"/>
  <c r="E26" i="18"/>
  <c r="E22" i="18"/>
  <c r="E21" i="18"/>
  <c r="E20" i="18"/>
  <c r="E16" i="18"/>
  <c r="E15" i="18"/>
  <c r="E14" i="18"/>
  <c r="E13" i="18"/>
  <c r="E12" i="18"/>
  <c r="E11" i="18"/>
  <c r="E10" i="18"/>
  <c r="E9" i="18"/>
  <c r="E8" i="18"/>
  <c r="E7" i="18"/>
  <c r="E6" i="18"/>
  <c r="E584" i="17"/>
  <c r="E583" i="17"/>
  <c r="E582" i="17"/>
  <c r="E581" i="17"/>
  <c r="E580" i="17"/>
  <c r="E576" i="17"/>
  <c r="E575" i="17"/>
  <c r="E574" i="17"/>
  <c r="E573" i="17"/>
  <c r="E569" i="17"/>
  <c r="E568" i="17"/>
  <c r="E567" i="17"/>
  <c r="E566" i="17"/>
  <c r="E565" i="17"/>
  <c r="E564" i="17"/>
  <c r="E563" i="17"/>
  <c r="E562" i="17"/>
  <c r="E558" i="17"/>
  <c r="E557" i="17"/>
  <c r="E556" i="17"/>
  <c r="E555" i="17"/>
  <c r="E551" i="17"/>
  <c r="E550" i="17"/>
  <c r="E549" i="17"/>
  <c r="E548" i="17"/>
  <c r="E547" i="17"/>
  <c r="E546" i="17"/>
  <c r="E545" i="17"/>
  <c r="E541" i="17"/>
  <c r="E540" i="17"/>
  <c r="E539" i="17"/>
  <c r="E538" i="17"/>
  <c r="E534" i="17"/>
  <c r="E533" i="17"/>
  <c r="E532" i="17"/>
  <c r="E531" i="17"/>
  <c r="E530" i="17"/>
  <c r="E529" i="17"/>
  <c r="E528" i="17"/>
  <c r="E524" i="17"/>
  <c r="E523" i="17"/>
  <c r="E522" i="17"/>
  <c r="E521" i="17"/>
  <c r="E520" i="17"/>
  <c r="E519" i="17"/>
  <c r="E518" i="17"/>
  <c r="E517" i="17"/>
  <c r="E516" i="17"/>
  <c r="E512" i="17"/>
  <c r="E511" i="17"/>
  <c r="E510" i="17"/>
  <c r="E509" i="17"/>
  <c r="E508" i="17"/>
  <c r="E507" i="17"/>
  <c r="E506" i="17"/>
  <c r="E505" i="17"/>
  <c r="E501" i="17"/>
  <c r="E500" i="17"/>
  <c r="E499" i="17"/>
  <c r="E498" i="17"/>
  <c r="E497" i="17"/>
  <c r="E496" i="17"/>
  <c r="E495" i="17"/>
  <c r="E494" i="17"/>
  <c r="E490" i="17"/>
  <c r="E489" i="17"/>
  <c r="E488" i="17"/>
  <c r="E487" i="17"/>
  <c r="E486" i="17"/>
  <c r="E485" i="17"/>
  <c r="E480" i="17"/>
  <c r="E479" i="17"/>
  <c r="E478" i="17"/>
  <c r="E477" i="17"/>
  <c r="E476" i="17"/>
  <c r="E475" i="17"/>
  <c r="E474" i="17"/>
  <c r="E473" i="17"/>
  <c r="E469" i="17"/>
  <c r="E468" i="17"/>
  <c r="E467" i="17"/>
  <c r="E466" i="17"/>
  <c r="E465" i="17"/>
  <c r="E464" i="17"/>
  <c r="E463" i="17"/>
  <c r="E459" i="17"/>
  <c r="E458" i="17"/>
  <c r="E457" i="17"/>
  <c r="E456" i="17"/>
  <c r="E455" i="17"/>
  <c r="E454" i="17"/>
  <c r="E453" i="17"/>
  <c r="E452" i="17"/>
  <c r="E451" i="17"/>
  <c r="E447" i="17"/>
  <c r="E446" i="17"/>
  <c r="E445" i="17"/>
  <c r="E444" i="17"/>
  <c r="E440" i="17"/>
  <c r="E439" i="17"/>
  <c r="E438" i="17"/>
  <c r="E437" i="17"/>
  <c r="E433" i="17"/>
  <c r="E432" i="17"/>
  <c r="E431" i="17"/>
  <c r="E430" i="17"/>
  <c r="E429" i="17"/>
  <c r="E428" i="17"/>
  <c r="E427" i="17"/>
  <c r="E426" i="17"/>
  <c r="E425" i="17"/>
  <c r="E421" i="17"/>
  <c r="E420" i="17"/>
  <c r="E419" i="17"/>
  <c r="E418" i="17"/>
  <c r="E417" i="17"/>
  <c r="E416" i="17"/>
  <c r="E415" i="17"/>
  <c r="E414" i="17"/>
  <c r="E409" i="17"/>
  <c r="E408" i="17"/>
  <c r="E407" i="17"/>
  <c r="E406" i="17"/>
  <c r="E405" i="17"/>
  <c r="E404" i="17"/>
  <c r="E403" i="17"/>
  <c r="E402" i="17"/>
  <c r="E401" i="17"/>
  <c r="E397" i="17"/>
  <c r="E396" i="17"/>
  <c r="E395" i="17"/>
  <c r="E394" i="17"/>
  <c r="E393" i="17"/>
  <c r="E392" i="17"/>
  <c r="E391" i="17"/>
  <c r="E390" i="17"/>
  <c r="E386" i="17"/>
  <c r="E385" i="17"/>
  <c r="E384" i="17"/>
  <c r="E383" i="17"/>
  <c r="E379" i="17"/>
  <c r="E378" i="17"/>
  <c r="E377" i="17"/>
  <c r="E376" i="17"/>
  <c r="E375" i="17"/>
  <c r="E374" i="17"/>
  <c r="E373" i="17"/>
  <c r="E372" i="17"/>
  <c r="E371" i="17"/>
  <c r="E367" i="17"/>
  <c r="E366" i="17"/>
  <c r="E365" i="17"/>
  <c r="E364" i="17"/>
  <c r="E363" i="17"/>
  <c r="E362" i="17"/>
  <c r="E361" i="17"/>
  <c r="E357" i="17"/>
  <c r="E356" i="17"/>
  <c r="E355" i="17"/>
  <c r="E354" i="17"/>
  <c r="E353" i="17"/>
  <c r="E352" i="17"/>
  <c r="E351" i="17"/>
  <c r="E350" i="17"/>
  <c r="E349" i="17"/>
  <c r="E345" i="17"/>
  <c r="E344" i="17"/>
  <c r="E343" i="17"/>
  <c r="E342" i="17"/>
  <c r="E338" i="17"/>
  <c r="E337" i="17"/>
  <c r="E336" i="17"/>
  <c r="E335" i="17"/>
  <c r="E334" i="17"/>
  <c r="E333" i="17"/>
  <c r="E332" i="17"/>
  <c r="E331" i="17"/>
  <c r="E327" i="17"/>
  <c r="E326" i="17"/>
  <c r="E325" i="17"/>
  <c r="E324" i="17"/>
  <c r="E323" i="17"/>
  <c r="E322" i="17"/>
  <c r="E321" i="17"/>
  <c r="E320" i="17"/>
  <c r="E316" i="17"/>
  <c r="E315" i="17"/>
  <c r="E314" i="17"/>
  <c r="E313" i="17"/>
  <c r="E312" i="17"/>
  <c r="E311" i="17"/>
  <c r="E310" i="17"/>
  <c r="E309" i="17"/>
  <c r="E308" i="17"/>
  <c r="E304" i="17"/>
  <c r="E303" i="17"/>
  <c r="E302" i="17"/>
  <c r="E301" i="17"/>
  <c r="E300" i="17"/>
  <c r="E299" i="17"/>
  <c r="E298" i="17"/>
  <c r="E294" i="17"/>
  <c r="E293" i="17"/>
  <c r="E292" i="17"/>
  <c r="E291" i="17"/>
  <c r="E290" i="17"/>
  <c r="E289" i="17"/>
  <c r="E285" i="17"/>
  <c r="E284" i="17"/>
  <c r="E283" i="17"/>
  <c r="E279" i="17"/>
  <c r="E278" i="17"/>
  <c r="E277" i="17"/>
  <c r="E276" i="17"/>
  <c r="E272" i="17"/>
  <c r="E271" i="17"/>
  <c r="E270" i="17"/>
  <c r="E269" i="17"/>
  <c r="E268" i="17"/>
  <c r="E267" i="17"/>
  <c r="E266" i="17"/>
  <c r="E265" i="17"/>
  <c r="E264" i="17"/>
  <c r="E260" i="17"/>
  <c r="E259" i="17"/>
  <c r="E258" i="17"/>
  <c r="E257" i="17"/>
  <c r="E256" i="17"/>
  <c r="E255" i="17"/>
  <c r="E250" i="17"/>
  <c r="E249" i="17"/>
  <c r="E248" i="17"/>
  <c r="E247" i="17"/>
  <c r="E246" i="17"/>
  <c r="E245" i="17"/>
  <c r="E244" i="17"/>
  <c r="E243" i="17"/>
  <c r="E239" i="17"/>
  <c r="E238" i="17"/>
  <c r="E237" i="17"/>
  <c r="E236" i="17"/>
  <c r="E232" i="17"/>
  <c r="E231" i="17"/>
  <c r="E230" i="17"/>
  <c r="E229" i="17"/>
  <c r="E228" i="17"/>
  <c r="E227" i="17"/>
  <c r="E226" i="17"/>
  <c r="E225" i="17"/>
  <c r="E221" i="17"/>
  <c r="E220" i="17"/>
  <c r="E219" i="17"/>
  <c r="E218" i="17"/>
  <c r="E217" i="17"/>
  <c r="E216" i="17"/>
  <c r="E215" i="17"/>
  <c r="E214" i="17"/>
  <c r="E210" i="17"/>
  <c r="E209" i="17"/>
  <c r="E208" i="17"/>
  <c r="E207" i="17"/>
  <c r="E206" i="17"/>
  <c r="E205" i="17"/>
  <c r="E204" i="17"/>
  <c r="E203" i="17"/>
  <c r="E202" i="17"/>
  <c r="E198" i="17"/>
  <c r="E197" i="17"/>
  <c r="E196" i="17"/>
  <c r="E195" i="17"/>
  <c r="E191" i="17"/>
  <c r="E190" i="17"/>
  <c r="E189" i="17"/>
  <c r="E188" i="17"/>
  <c r="E187" i="17"/>
  <c r="E186" i="17"/>
  <c r="E185" i="17"/>
  <c r="E184" i="17"/>
  <c r="E183" i="17"/>
  <c r="E179" i="17"/>
  <c r="E178" i="17"/>
  <c r="E177" i="17"/>
  <c r="E176" i="17"/>
  <c r="E175" i="17"/>
  <c r="E174" i="17"/>
  <c r="E173" i="17"/>
  <c r="E169" i="17"/>
  <c r="E168" i="17"/>
  <c r="E167" i="17"/>
  <c r="E166" i="17"/>
  <c r="E165" i="17"/>
  <c r="E164" i="17"/>
  <c r="E163" i="17"/>
  <c r="E162" i="17"/>
  <c r="E158" i="17"/>
  <c r="E157" i="17"/>
  <c r="E156" i="17"/>
  <c r="E152" i="17"/>
  <c r="E151" i="17"/>
  <c r="E150" i="17"/>
  <c r="E149" i="17"/>
  <c r="E145" i="17"/>
  <c r="E144" i="17"/>
  <c r="E143" i="17"/>
  <c r="E142" i="17"/>
  <c r="E141" i="17"/>
  <c r="E136" i="17"/>
  <c r="E135" i="17"/>
  <c r="E134" i="17"/>
  <c r="E133" i="17"/>
  <c r="E132" i="17"/>
  <c r="E131" i="17"/>
  <c r="E130" i="17"/>
  <c r="E129" i="17"/>
  <c r="E128" i="17"/>
  <c r="E124" i="17"/>
  <c r="E123" i="17"/>
  <c r="E122" i="17"/>
  <c r="E121" i="17"/>
  <c r="E117" i="17"/>
  <c r="E116" i="17"/>
  <c r="E115" i="17"/>
  <c r="E114" i="17"/>
  <c r="E113" i="17"/>
  <c r="E112" i="17"/>
  <c r="E111" i="17"/>
  <c r="E110" i="17"/>
  <c r="E106" i="17"/>
  <c r="E105" i="17"/>
  <c r="E104" i="17"/>
  <c r="E103" i="17"/>
  <c r="E102" i="17"/>
  <c r="E101" i="17"/>
  <c r="E100" i="17"/>
  <c r="E99" i="17"/>
  <c r="E95" i="17"/>
  <c r="E94" i="17"/>
  <c r="E93" i="17"/>
  <c r="E92" i="17"/>
  <c r="E91" i="17"/>
  <c r="E90" i="17"/>
  <c r="E89" i="17"/>
  <c r="E88" i="17"/>
  <c r="E87" i="17"/>
  <c r="E83" i="17"/>
  <c r="E82" i="17"/>
  <c r="E81" i="17"/>
  <c r="E80" i="17"/>
  <c r="E79" i="17"/>
  <c r="E78" i="17"/>
  <c r="E77" i="17"/>
  <c r="E73" i="17"/>
  <c r="E72" i="17"/>
  <c r="E71" i="17"/>
  <c r="E70" i="17"/>
  <c r="E69" i="17"/>
  <c r="E68" i="17"/>
  <c r="E67" i="17"/>
  <c r="E66" i="17"/>
  <c r="E65" i="17"/>
  <c r="E61" i="17"/>
  <c r="E60" i="17"/>
  <c r="E59" i="17"/>
  <c r="E58" i="17"/>
  <c r="E57" i="17"/>
  <c r="E52" i="17"/>
  <c r="E51" i="17"/>
  <c r="E50" i="17"/>
  <c r="E49" i="17"/>
  <c r="E48" i="17"/>
  <c r="E47" i="17"/>
  <c r="E46" i="17"/>
  <c r="E45" i="17"/>
  <c r="E41" i="17"/>
  <c r="E40" i="17"/>
  <c r="E39" i="17"/>
  <c r="E38" i="17"/>
  <c r="E34" i="17"/>
  <c r="E33" i="17"/>
  <c r="E32" i="17"/>
  <c r="E31" i="17"/>
  <c r="E30" i="17"/>
  <c r="E29" i="17"/>
  <c r="E28" i="17"/>
  <c r="E27" i="17"/>
  <c r="E26" i="17"/>
  <c r="E22" i="17"/>
  <c r="E21" i="17"/>
  <c r="E20" i="17"/>
  <c r="E16" i="17"/>
  <c r="E15" i="17"/>
  <c r="E14" i="17"/>
  <c r="E13" i="17"/>
  <c r="E12" i="17"/>
  <c r="E11" i="17"/>
  <c r="E10" i="17"/>
  <c r="E9" i="17"/>
  <c r="E8" i="17"/>
  <c r="E7" i="17"/>
  <c r="E6" i="17"/>
  <c r="E610" i="16"/>
  <c r="E609" i="16"/>
  <c r="E608" i="16"/>
  <c r="E607" i="16"/>
  <c r="E606" i="16"/>
  <c r="E605" i="16"/>
  <c r="E604" i="16"/>
  <c r="E603" i="16"/>
  <c r="E599" i="16"/>
  <c r="E598" i="16"/>
  <c r="E597" i="16"/>
  <c r="E596" i="16"/>
  <c r="E595" i="16"/>
  <c r="E594" i="16"/>
  <c r="E590" i="16"/>
  <c r="E589" i="16"/>
  <c r="E588" i="16"/>
  <c r="E587" i="16"/>
  <c r="E586" i="16"/>
  <c r="E585" i="16"/>
  <c r="E584" i="16"/>
  <c r="E583" i="16"/>
  <c r="E582" i="16"/>
  <c r="E578" i="16"/>
  <c r="E577" i="16"/>
  <c r="E576" i="16"/>
  <c r="E575" i="16"/>
  <c r="E571" i="16"/>
  <c r="E570" i="16"/>
  <c r="E569" i="16"/>
  <c r="E568" i="16"/>
  <c r="E564" i="16"/>
  <c r="E563" i="16"/>
  <c r="E562" i="16"/>
  <c r="E561" i="16"/>
  <c r="E560" i="16"/>
  <c r="E559" i="16"/>
  <c r="E558" i="16"/>
  <c r="E554" i="16"/>
  <c r="E553" i="16"/>
  <c r="E552" i="16"/>
  <c r="E551" i="16"/>
  <c r="E550" i="16"/>
  <c r="E549" i="16"/>
  <c r="E548" i="16"/>
  <c r="E547" i="16"/>
  <c r="E546" i="16"/>
  <c r="E542" i="16"/>
  <c r="E541" i="16"/>
  <c r="E540" i="16"/>
  <c r="E539" i="16"/>
  <c r="E538" i="16"/>
  <c r="E537" i="16"/>
  <c r="E536" i="16"/>
  <c r="E532" i="16"/>
  <c r="E531" i="16"/>
  <c r="E530" i="16"/>
  <c r="E529" i="16"/>
  <c r="E525" i="16"/>
  <c r="E524" i="16"/>
  <c r="E523" i="16"/>
  <c r="E522" i="16"/>
  <c r="E521" i="16"/>
  <c r="E520" i="16"/>
  <c r="E519" i="16"/>
  <c r="E518" i="16"/>
  <c r="E514" i="16"/>
  <c r="E513" i="16"/>
  <c r="E512" i="16"/>
  <c r="E511" i="16"/>
  <c r="E510" i="16"/>
  <c r="E509" i="16"/>
  <c r="E508" i="16"/>
  <c r="E507" i="16"/>
  <c r="E503" i="16"/>
  <c r="E502" i="16"/>
  <c r="E501" i="16"/>
  <c r="E500" i="16"/>
  <c r="E496" i="16"/>
  <c r="E495" i="16"/>
  <c r="E494" i="16"/>
  <c r="E493" i="16"/>
  <c r="E492" i="16"/>
  <c r="E491" i="16"/>
  <c r="E486" i="16"/>
  <c r="E485" i="16"/>
  <c r="E484" i="16"/>
  <c r="E483" i="16"/>
  <c r="E482" i="16"/>
  <c r="E481" i="16"/>
  <c r="E480" i="16"/>
  <c r="E479" i="16"/>
  <c r="E475" i="16"/>
  <c r="E474" i="16"/>
  <c r="E473" i="16"/>
  <c r="E472" i="16"/>
  <c r="E471" i="16"/>
  <c r="E470" i="16"/>
  <c r="E469" i="16"/>
  <c r="E465" i="16"/>
  <c r="E464" i="16"/>
  <c r="E463" i="16"/>
  <c r="E462" i="16"/>
  <c r="E461" i="16"/>
  <c r="E460" i="16"/>
  <c r="E459" i="16"/>
  <c r="E458" i="16"/>
  <c r="E457" i="16"/>
  <c r="E453" i="16"/>
  <c r="E452" i="16"/>
  <c r="E451" i="16"/>
  <c r="E450" i="16"/>
  <c r="E446" i="16"/>
  <c r="E445" i="16"/>
  <c r="E444" i="16"/>
  <c r="E443" i="16"/>
  <c r="E439" i="16"/>
  <c r="E438" i="16"/>
  <c r="E437" i="16"/>
  <c r="E436" i="16"/>
  <c r="E435" i="16"/>
  <c r="E434" i="16"/>
  <c r="E433" i="16"/>
  <c r="E432" i="16"/>
  <c r="E431" i="16"/>
  <c r="E427" i="16"/>
  <c r="E426" i="16"/>
  <c r="E425" i="16"/>
  <c r="E424" i="16"/>
  <c r="E423" i="16"/>
  <c r="E422" i="16"/>
  <c r="E421" i="16"/>
  <c r="E420" i="16"/>
  <c r="E419" i="16"/>
  <c r="E415" i="16"/>
  <c r="E414" i="16"/>
  <c r="E413" i="16"/>
  <c r="E412" i="16"/>
  <c r="E411" i="16"/>
  <c r="E410" i="16"/>
  <c r="E409" i="16"/>
  <c r="E408" i="16"/>
  <c r="E404" i="16"/>
  <c r="E403" i="16"/>
  <c r="E402" i="16"/>
  <c r="E401" i="16"/>
  <c r="E400" i="16"/>
  <c r="E399" i="16"/>
  <c r="E398" i="16"/>
  <c r="E397" i="16"/>
  <c r="E393" i="16"/>
  <c r="E392" i="16"/>
  <c r="E391" i="16"/>
  <c r="E390" i="16"/>
  <c r="E386" i="16"/>
  <c r="E385" i="16"/>
  <c r="E384" i="16"/>
  <c r="E383" i="16"/>
  <c r="E382" i="16"/>
  <c r="E381" i="16"/>
  <c r="E380" i="16"/>
  <c r="E379" i="16"/>
  <c r="E378" i="16"/>
  <c r="E374" i="16"/>
  <c r="E373" i="16"/>
  <c r="E372" i="16"/>
  <c r="E371" i="16"/>
  <c r="E367" i="16"/>
  <c r="E366" i="16"/>
  <c r="E365" i="16"/>
  <c r="E363" i="16"/>
  <c r="E362" i="16"/>
  <c r="E361" i="16"/>
  <c r="E360" i="16"/>
  <c r="E359" i="16"/>
  <c r="E355" i="16"/>
  <c r="E354" i="16"/>
  <c r="E353" i="16"/>
  <c r="E352" i="16"/>
  <c r="E351" i="16"/>
  <c r="E350" i="16"/>
  <c r="E349" i="16"/>
  <c r="E348" i="16"/>
  <c r="E347" i="16"/>
  <c r="E343" i="16"/>
  <c r="E342" i="16"/>
  <c r="E341" i="16"/>
  <c r="E340" i="16"/>
  <c r="E339" i="16"/>
  <c r="E338" i="16"/>
  <c r="E337" i="16"/>
  <c r="E336" i="16"/>
  <c r="E332" i="16"/>
  <c r="E331" i="16"/>
  <c r="E330" i="16"/>
  <c r="E329" i="16"/>
  <c r="E328" i="16"/>
  <c r="E327" i="16"/>
  <c r="E326" i="16"/>
  <c r="E325" i="16"/>
  <c r="E321" i="16"/>
  <c r="E320" i="16"/>
  <c r="E319" i="16"/>
  <c r="E318" i="16"/>
  <c r="E317" i="16"/>
  <c r="E316" i="16"/>
  <c r="E315" i="16"/>
  <c r="E314" i="16"/>
  <c r="E313" i="16"/>
  <c r="E308" i="16"/>
  <c r="E307" i="16"/>
  <c r="E306" i="16"/>
  <c r="E305" i="16"/>
  <c r="E304" i="16"/>
  <c r="E303" i="16"/>
  <c r="E302" i="16"/>
  <c r="E298" i="16"/>
  <c r="E297" i="16"/>
  <c r="E296" i="16"/>
  <c r="E295" i="16"/>
  <c r="E294" i="16"/>
  <c r="E293" i="16"/>
  <c r="E289" i="16"/>
  <c r="E288" i="16"/>
  <c r="E287" i="16"/>
  <c r="E283" i="16"/>
  <c r="E282" i="16"/>
  <c r="E281" i="16"/>
  <c r="E280" i="16"/>
  <c r="E279" i="16"/>
  <c r="E278" i="16"/>
  <c r="E277" i="16"/>
  <c r="E276" i="16"/>
  <c r="E275" i="16"/>
  <c r="E271" i="16"/>
  <c r="E270" i="16"/>
  <c r="E269" i="16"/>
  <c r="E268" i="16"/>
  <c r="E267" i="16"/>
  <c r="E266" i="16"/>
  <c r="E261" i="16"/>
  <c r="E260" i="16"/>
  <c r="E259" i="16"/>
  <c r="E258" i="16"/>
  <c r="E257" i="16"/>
  <c r="E256" i="16"/>
  <c r="E255" i="16"/>
  <c r="E254" i="16"/>
  <c r="E250" i="16"/>
  <c r="E249" i="16"/>
  <c r="E248" i="16"/>
  <c r="E247" i="16"/>
  <c r="E243" i="16"/>
  <c r="E242" i="16"/>
  <c r="E241" i="16"/>
  <c r="E240" i="16"/>
  <c r="E239" i="16"/>
  <c r="E238" i="16"/>
  <c r="E237" i="16"/>
  <c r="E236" i="16"/>
  <c r="E232" i="16"/>
  <c r="E231" i="16"/>
  <c r="E230" i="16"/>
  <c r="E229" i="16"/>
  <c r="E228" i="16"/>
  <c r="E227" i="16"/>
  <c r="E226" i="16"/>
  <c r="E225" i="16"/>
  <c r="E221" i="16"/>
  <c r="E220" i="16"/>
  <c r="E219" i="16"/>
  <c r="E218" i="16"/>
  <c r="E217" i="16"/>
  <c r="E216" i="16"/>
  <c r="E215" i="16"/>
  <c r="E214" i="16"/>
  <c r="E213" i="16"/>
  <c r="E209" i="16"/>
  <c r="E208" i="16"/>
  <c r="E207" i="16"/>
  <c r="E206" i="16"/>
  <c r="E202" i="16"/>
  <c r="E201" i="16"/>
  <c r="E200" i="16"/>
  <c r="E199" i="16"/>
  <c r="E198" i="16"/>
  <c r="E197" i="16"/>
  <c r="E196" i="16"/>
  <c r="E195" i="16"/>
  <c r="E194" i="16"/>
  <c r="E190" i="16"/>
  <c r="E189" i="16"/>
  <c r="E188" i="16"/>
  <c r="E187" i="16"/>
  <c r="E186" i="16"/>
  <c r="E185" i="16"/>
  <c r="E184" i="16"/>
  <c r="E180" i="16"/>
  <c r="E179" i="16"/>
  <c r="E178" i="16"/>
  <c r="E177" i="16"/>
  <c r="E176" i="16"/>
  <c r="E175" i="16"/>
  <c r="E174" i="16"/>
  <c r="E173" i="16"/>
  <c r="E169" i="16"/>
  <c r="E168" i="16"/>
  <c r="E167" i="16"/>
  <c r="E163" i="16"/>
  <c r="E162" i="16"/>
  <c r="E161" i="16"/>
  <c r="E160" i="16"/>
  <c r="E156" i="16"/>
  <c r="E155" i="16"/>
  <c r="E154" i="16"/>
  <c r="E153" i="16"/>
  <c r="E152" i="16"/>
  <c r="E147" i="16"/>
  <c r="E146" i="16"/>
  <c r="E145" i="16"/>
  <c r="E144" i="16"/>
  <c r="E143" i="16"/>
  <c r="E142" i="16"/>
  <c r="E141" i="16"/>
  <c r="E140" i="16"/>
  <c r="E139" i="16"/>
  <c r="E135" i="16"/>
  <c r="E134" i="16"/>
  <c r="E133" i="16"/>
  <c r="E132" i="16"/>
  <c r="E128" i="16"/>
  <c r="E127" i="16"/>
  <c r="E126" i="16"/>
  <c r="E125" i="16"/>
  <c r="E124" i="16"/>
  <c r="E123" i="16"/>
  <c r="E122" i="16"/>
  <c r="E121" i="16"/>
  <c r="E120" i="16"/>
  <c r="E116" i="16"/>
  <c r="E115" i="16"/>
  <c r="E114" i="16"/>
  <c r="E113" i="16"/>
  <c r="E112" i="16"/>
  <c r="E111" i="16"/>
  <c r="E110" i="16"/>
  <c r="E106" i="16"/>
  <c r="E105" i="16"/>
  <c r="E104" i="16"/>
  <c r="E103" i="16"/>
  <c r="E102" i="16"/>
  <c r="E101" i="16"/>
  <c r="E100" i="16"/>
  <c r="E99" i="16"/>
  <c r="E95" i="16"/>
  <c r="E94" i="16"/>
  <c r="E93" i="16"/>
  <c r="E92" i="16"/>
  <c r="E91" i="16"/>
  <c r="E90" i="16"/>
  <c r="E89" i="16"/>
  <c r="E88" i="16"/>
  <c r="E87" i="16"/>
  <c r="E83" i="16"/>
  <c r="E82" i="16"/>
  <c r="E81" i="16"/>
  <c r="E80" i="16"/>
  <c r="E79" i="16"/>
  <c r="E78" i="16"/>
  <c r="E77" i="16"/>
  <c r="E73" i="16"/>
  <c r="E72" i="16"/>
  <c r="E71" i="16"/>
  <c r="E70" i="16"/>
  <c r="E69" i="16"/>
  <c r="E68" i="16"/>
  <c r="E67" i="16"/>
  <c r="E66" i="16"/>
  <c r="E65" i="16"/>
  <c r="E61" i="16"/>
  <c r="E60" i="16"/>
  <c r="E59" i="16"/>
  <c r="E58" i="16"/>
  <c r="E57" i="16"/>
  <c r="E52" i="16"/>
  <c r="E51" i="16"/>
  <c r="E50" i="16"/>
  <c r="E49" i="16"/>
  <c r="E48" i="16"/>
  <c r="E47" i="16"/>
  <c r="E46" i="16"/>
  <c r="E45" i="16"/>
  <c r="E41" i="16"/>
  <c r="E40" i="16"/>
  <c r="E39" i="16"/>
  <c r="E38" i="16"/>
  <c r="E34" i="16"/>
  <c r="E33" i="16"/>
  <c r="E32" i="16"/>
  <c r="E31" i="16"/>
  <c r="E30" i="16"/>
  <c r="E29" i="16"/>
  <c r="E28" i="16"/>
  <c r="E27" i="16"/>
  <c r="E26" i="16"/>
  <c r="E22" i="16"/>
  <c r="E21" i="16"/>
  <c r="E20" i="16"/>
  <c r="E16" i="16"/>
  <c r="E15" i="16"/>
  <c r="E14" i="16"/>
  <c r="E13" i="16"/>
  <c r="E12" i="16"/>
  <c r="E11" i="16"/>
  <c r="E10" i="16"/>
  <c r="E9" i="16"/>
  <c r="E8" i="16"/>
  <c r="E7" i="16"/>
  <c r="E6" i="16"/>
  <c r="E572" i="14"/>
  <c r="E568" i="14"/>
  <c r="E567" i="14"/>
  <c r="E566" i="14"/>
  <c r="E565" i="14"/>
  <c r="E564" i="14"/>
  <c r="E563" i="14"/>
  <c r="E562" i="14"/>
  <c r="E561" i="14"/>
  <c r="E557" i="14"/>
  <c r="E556" i="14"/>
  <c r="E555" i="14"/>
  <c r="E554" i="14"/>
  <c r="E550" i="14"/>
  <c r="E549" i="14"/>
  <c r="E548" i="14"/>
  <c r="E547" i="14"/>
  <c r="E543" i="14"/>
  <c r="E542" i="14"/>
  <c r="E541" i="14"/>
  <c r="E540" i="14"/>
  <c r="E539" i="14"/>
  <c r="E538" i="14"/>
  <c r="E537" i="14"/>
  <c r="E536" i="14"/>
  <c r="E535" i="14"/>
  <c r="E531" i="14"/>
  <c r="E530" i="14"/>
  <c r="E529" i="14"/>
  <c r="E528" i="14"/>
  <c r="E524" i="14"/>
  <c r="E523" i="14"/>
  <c r="E522" i="14"/>
  <c r="E521" i="14"/>
  <c r="E520" i="14"/>
  <c r="E519" i="14"/>
  <c r="E515" i="14"/>
  <c r="E514" i="14"/>
  <c r="E513" i="14"/>
  <c r="E512" i="14"/>
  <c r="E508" i="14"/>
  <c r="E507" i="14"/>
  <c r="E506" i="14"/>
  <c r="E505" i="14"/>
  <c r="E504" i="14"/>
  <c r="E503" i="14"/>
  <c r="E499" i="14"/>
  <c r="E498" i="14"/>
  <c r="E497" i="14"/>
  <c r="E496" i="14"/>
  <c r="E495" i="14"/>
  <c r="E494" i="14"/>
  <c r="E493" i="14"/>
  <c r="E489" i="14"/>
  <c r="E488" i="14"/>
  <c r="E487" i="14"/>
  <c r="E486" i="14"/>
  <c r="E482" i="14"/>
  <c r="E481" i="14"/>
  <c r="E480" i="14"/>
  <c r="E479" i="14"/>
  <c r="E478" i="14"/>
  <c r="E477" i="14"/>
  <c r="E476" i="14"/>
  <c r="E475" i="14"/>
  <c r="E471" i="14"/>
  <c r="E470" i="14"/>
  <c r="E469" i="14"/>
  <c r="E468" i="14"/>
  <c r="E464" i="14"/>
  <c r="E463" i="14"/>
  <c r="E462" i="14"/>
  <c r="E461" i="14"/>
  <c r="E460" i="14"/>
  <c r="E455" i="14"/>
  <c r="E454" i="14"/>
  <c r="E453" i="14"/>
  <c r="E452" i="14"/>
  <c r="E451" i="14"/>
  <c r="E450" i="14"/>
  <c r="E449" i="14"/>
  <c r="E448" i="14"/>
  <c r="E444" i="14"/>
  <c r="E443" i="14"/>
  <c r="E442" i="14"/>
  <c r="E441" i="14"/>
  <c r="E440" i="14"/>
  <c r="E439" i="14"/>
  <c r="E438" i="14"/>
  <c r="E434" i="14"/>
  <c r="E433" i="14"/>
  <c r="E432" i="14"/>
  <c r="E431" i="14"/>
  <c r="E430" i="14"/>
  <c r="E429" i="14"/>
  <c r="E428" i="14"/>
  <c r="E427" i="14"/>
  <c r="E426" i="14"/>
  <c r="E422" i="14"/>
  <c r="E421" i="14"/>
  <c r="E420" i="14"/>
  <c r="E419" i="14"/>
  <c r="E415" i="14"/>
  <c r="E414" i="14"/>
  <c r="E413" i="14"/>
  <c r="E412" i="14"/>
  <c r="E408" i="14"/>
  <c r="E407" i="14"/>
  <c r="E406" i="14"/>
  <c r="E405" i="14"/>
  <c r="E404" i="14"/>
  <c r="E403" i="14"/>
  <c r="E402" i="14"/>
  <c r="E401" i="14"/>
  <c r="E400" i="14"/>
  <c r="E396" i="14"/>
  <c r="E395" i="14"/>
  <c r="E394" i="14"/>
  <c r="E393" i="14"/>
  <c r="E392" i="14"/>
  <c r="E391" i="14"/>
  <c r="E390" i="14"/>
  <c r="E389" i="14"/>
  <c r="E388" i="14"/>
  <c r="E384" i="14"/>
  <c r="E383" i="14"/>
  <c r="E382" i="14"/>
  <c r="E381" i="14"/>
  <c r="E380" i="14"/>
  <c r="E379" i="14"/>
  <c r="E378" i="14"/>
  <c r="E377" i="14"/>
  <c r="E373" i="14"/>
  <c r="E372" i="14"/>
  <c r="E371" i="14"/>
  <c r="E370" i="14"/>
  <c r="E366" i="14"/>
  <c r="E365" i="14"/>
  <c r="E364" i="14"/>
  <c r="E363" i="14"/>
  <c r="E359" i="14"/>
  <c r="E358" i="14"/>
  <c r="E357" i="14"/>
  <c r="E356" i="14"/>
  <c r="E355" i="14"/>
  <c r="E354" i="14"/>
  <c r="E353" i="14"/>
  <c r="E352" i="14"/>
  <c r="E351" i="14"/>
  <c r="E347" i="14"/>
  <c r="E346" i="14"/>
  <c r="E345" i="14"/>
  <c r="E344" i="14"/>
  <c r="E340" i="14"/>
  <c r="E339" i="14"/>
  <c r="E338" i="14"/>
  <c r="E337" i="14"/>
  <c r="E336" i="14"/>
  <c r="E335" i="14"/>
  <c r="E334" i="14"/>
  <c r="E333" i="14"/>
  <c r="E332" i="14"/>
  <c r="E328" i="14"/>
  <c r="E327" i="14"/>
  <c r="E326" i="14"/>
  <c r="E325" i="14"/>
  <c r="E324" i="14"/>
  <c r="E323" i="14"/>
  <c r="E322" i="14"/>
  <c r="E321" i="14"/>
  <c r="E320" i="14"/>
  <c r="E316" i="14"/>
  <c r="E315" i="14"/>
  <c r="E314" i="14"/>
  <c r="E313" i="14"/>
  <c r="E312" i="14"/>
  <c r="E311" i="14"/>
  <c r="E310" i="14"/>
  <c r="E309" i="14"/>
  <c r="E305" i="14"/>
  <c r="E304" i="14"/>
  <c r="E303" i="14"/>
  <c r="E302" i="14"/>
  <c r="E301" i="14"/>
  <c r="E300" i="14"/>
  <c r="E299" i="14"/>
  <c r="E298" i="14"/>
  <c r="E294" i="14"/>
  <c r="E293" i="14"/>
  <c r="E292" i="14"/>
  <c r="E291" i="14"/>
  <c r="E290" i="14"/>
  <c r="E289" i="14"/>
  <c r="E285" i="14"/>
  <c r="E284" i="14"/>
  <c r="E283" i="14"/>
  <c r="E282" i="14"/>
  <c r="E281" i="14"/>
  <c r="E280" i="14"/>
  <c r="E279" i="14"/>
  <c r="E275" i="14"/>
  <c r="E274" i="14"/>
  <c r="E273" i="14"/>
  <c r="E272" i="14"/>
  <c r="E271" i="14"/>
  <c r="E270" i="14"/>
  <c r="E266" i="14"/>
  <c r="E265" i="14"/>
  <c r="E264" i="14"/>
  <c r="E260" i="14"/>
  <c r="E259" i="14"/>
  <c r="E258" i="14"/>
  <c r="E257" i="14"/>
  <c r="E256" i="14"/>
  <c r="E255" i="14"/>
  <c r="E251" i="14"/>
  <c r="E250" i="14"/>
  <c r="E249" i="14"/>
  <c r="E248" i="14"/>
  <c r="E247" i="14"/>
  <c r="E242" i="14"/>
  <c r="E241" i="14"/>
  <c r="E240" i="14"/>
  <c r="E239" i="14"/>
  <c r="E238" i="14"/>
  <c r="E237" i="14"/>
  <c r="E236" i="14"/>
  <c r="E235" i="14"/>
  <c r="E231" i="14"/>
  <c r="E230" i="14"/>
  <c r="E229" i="14"/>
  <c r="E228" i="14"/>
  <c r="E224" i="14"/>
  <c r="E223" i="14"/>
  <c r="E222" i="14"/>
  <c r="E221" i="14"/>
  <c r="E217" i="14"/>
  <c r="E216" i="14"/>
  <c r="E215" i="14"/>
  <c r="E214" i="14"/>
  <c r="E213" i="14"/>
  <c r="E212" i="14"/>
  <c r="E211" i="14"/>
  <c r="E210" i="14"/>
  <c r="E206" i="14"/>
  <c r="E205" i="14"/>
  <c r="E204" i="14"/>
  <c r="E203" i="14"/>
  <c r="E202" i="14"/>
  <c r="E201" i="14"/>
  <c r="E197" i="14"/>
  <c r="E196" i="14"/>
  <c r="E195" i="14"/>
  <c r="E194" i="14"/>
  <c r="E190" i="14"/>
  <c r="E189" i="14"/>
  <c r="E188" i="14"/>
  <c r="E187" i="14"/>
  <c r="E186" i="14"/>
  <c r="E185" i="14"/>
  <c r="E184" i="14"/>
  <c r="E183" i="14"/>
  <c r="E182" i="14"/>
  <c r="E178" i="14"/>
  <c r="E177" i="14"/>
  <c r="E176" i="14"/>
  <c r="E175" i="14"/>
  <c r="E174" i="14"/>
  <c r="E173" i="14"/>
  <c r="E172" i="14"/>
  <c r="E168" i="14"/>
  <c r="E167" i="14"/>
  <c r="E166" i="14"/>
  <c r="E165" i="14"/>
  <c r="E164" i="14"/>
  <c r="E163" i="14"/>
  <c r="E162" i="14"/>
  <c r="E161" i="14"/>
  <c r="E157" i="14"/>
  <c r="E156" i="14"/>
  <c r="E155" i="14"/>
  <c r="E151" i="14"/>
  <c r="E150" i="14"/>
  <c r="E149" i="14"/>
  <c r="E148" i="14"/>
  <c r="E144" i="14"/>
  <c r="E143" i="14"/>
  <c r="E142" i="14"/>
  <c r="E141" i="14"/>
  <c r="E140" i="14"/>
  <c r="E135" i="14"/>
  <c r="E134" i="14"/>
  <c r="E133" i="14"/>
  <c r="E132" i="14"/>
  <c r="E131" i="14"/>
  <c r="E130" i="14"/>
  <c r="E126" i="14"/>
  <c r="E125" i="14"/>
  <c r="E124" i="14"/>
  <c r="E123" i="14"/>
  <c r="E119" i="14"/>
  <c r="E118" i="14"/>
  <c r="E117" i="14"/>
  <c r="E116" i="14"/>
  <c r="E115" i="14"/>
  <c r="E114" i="14"/>
  <c r="E113" i="14"/>
  <c r="E112" i="14"/>
  <c r="E111" i="14"/>
  <c r="E107" i="14"/>
  <c r="E106" i="14"/>
  <c r="E105" i="14"/>
  <c r="E104" i="14"/>
  <c r="E100" i="14"/>
  <c r="E99" i="14"/>
  <c r="E98" i="14"/>
  <c r="E97" i="14"/>
  <c r="E96" i="14"/>
  <c r="E95" i="14"/>
  <c r="E94" i="14"/>
  <c r="E93" i="14"/>
  <c r="E89" i="14"/>
  <c r="E88" i="14"/>
  <c r="E87" i="14"/>
  <c r="E86" i="14"/>
  <c r="E85" i="14"/>
  <c r="E84" i="14"/>
  <c r="E80" i="14"/>
  <c r="E79" i="14"/>
  <c r="E78" i="14"/>
  <c r="E77" i="14"/>
  <c r="E76" i="14"/>
  <c r="E75" i="14"/>
  <c r="E74" i="14"/>
  <c r="E70" i="14"/>
  <c r="E69" i="14"/>
  <c r="E68" i="14"/>
  <c r="E67" i="14"/>
  <c r="E66" i="14"/>
  <c r="E65" i="14"/>
  <c r="E64" i="14"/>
  <c r="E63" i="14"/>
  <c r="E62" i="14"/>
  <c r="E58" i="14"/>
  <c r="E57" i="14"/>
  <c r="E56" i="14"/>
  <c r="E55" i="14"/>
  <c r="E54" i="14"/>
  <c r="E49" i="14"/>
  <c r="E48" i="14"/>
  <c r="E47" i="14"/>
  <c r="E46" i="14"/>
  <c r="E45" i="14"/>
  <c r="E44" i="14"/>
  <c r="E43" i="14"/>
  <c r="E42" i="14"/>
  <c r="E38" i="14"/>
  <c r="E37" i="14"/>
  <c r="E36" i="14"/>
  <c r="E35" i="14"/>
  <c r="E31" i="14"/>
  <c r="E30" i="14"/>
  <c r="E29" i="14"/>
  <c r="E28" i="14"/>
  <c r="E27" i="14"/>
  <c r="E26" i="14"/>
  <c r="E22" i="14"/>
  <c r="E21" i="14"/>
  <c r="E20" i="14"/>
  <c r="E16" i="14"/>
  <c r="E15" i="14"/>
  <c r="E14" i="14"/>
  <c r="E13" i="14"/>
  <c r="E12" i="14"/>
  <c r="E11" i="14"/>
  <c r="E10" i="14"/>
  <c r="E9" i="14"/>
  <c r="E8" i="14"/>
  <c r="E7" i="14"/>
  <c r="E6" i="14"/>
  <c r="E553" i="13"/>
  <c r="E549" i="13"/>
  <c r="E548" i="13"/>
  <c r="E547" i="13"/>
  <c r="E546" i="13"/>
  <c r="E542" i="13"/>
  <c r="E541" i="13"/>
  <c r="E540" i="13"/>
  <c r="E539" i="13"/>
  <c r="E538" i="13"/>
  <c r="E537" i="13"/>
  <c r="E533" i="13"/>
  <c r="E532" i="13"/>
  <c r="E531" i="13"/>
  <c r="E530" i="13"/>
  <c r="E529" i="13"/>
  <c r="E528" i="13"/>
  <c r="E527" i="13"/>
  <c r="E526" i="13"/>
  <c r="E525" i="13"/>
  <c r="E521" i="13"/>
  <c r="E520" i="13"/>
  <c r="E519" i="13"/>
  <c r="E518" i="13"/>
  <c r="E517" i="13"/>
  <c r="E516" i="13"/>
  <c r="E512" i="13"/>
  <c r="E511" i="13"/>
  <c r="E510" i="13"/>
  <c r="E509" i="13"/>
  <c r="E508" i="13"/>
  <c r="E507" i="13"/>
  <c r="E506" i="13"/>
  <c r="E502" i="13"/>
  <c r="E501" i="13"/>
  <c r="E500" i="13"/>
  <c r="E499" i="13"/>
  <c r="E498" i="13"/>
  <c r="E497" i="13"/>
  <c r="E496" i="13"/>
  <c r="E495" i="13"/>
  <c r="E491" i="13"/>
  <c r="E490" i="13"/>
  <c r="E489" i="13"/>
  <c r="E488" i="13"/>
  <c r="E487" i="13"/>
  <c r="E486" i="13"/>
  <c r="E485" i="13"/>
  <c r="E484" i="13"/>
  <c r="E480" i="13"/>
  <c r="E479" i="13"/>
  <c r="E478" i="13"/>
  <c r="E477" i="13"/>
  <c r="E476" i="13"/>
  <c r="E475" i="13"/>
  <c r="E474" i="13"/>
  <c r="E473" i="13"/>
  <c r="E472" i="13"/>
  <c r="E468" i="13"/>
  <c r="E467" i="13"/>
  <c r="E466" i="13"/>
  <c r="E465" i="13"/>
  <c r="E461" i="13"/>
  <c r="E460" i="13"/>
  <c r="E459" i="13"/>
  <c r="E458" i="13"/>
  <c r="E457" i="13"/>
  <c r="E452" i="13"/>
  <c r="E451" i="13"/>
  <c r="E450" i="13"/>
  <c r="E449" i="13"/>
  <c r="E445" i="13"/>
  <c r="E444" i="13"/>
  <c r="E443" i="13"/>
  <c r="E442" i="13"/>
  <c r="E441" i="13"/>
  <c r="E440" i="13"/>
  <c r="E436" i="13"/>
  <c r="E435" i="13"/>
  <c r="E434" i="13"/>
  <c r="E433" i="13"/>
  <c r="E429" i="13"/>
  <c r="E428" i="13"/>
  <c r="E427" i="13"/>
  <c r="E426" i="13"/>
  <c r="E425" i="13"/>
  <c r="E424" i="13"/>
  <c r="E423" i="13"/>
  <c r="E419" i="13"/>
  <c r="E418" i="13"/>
  <c r="E417" i="13"/>
  <c r="E416" i="13"/>
  <c r="E415" i="13"/>
  <c r="E414" i="13"/>
  <c r="E413" i="13"/>
  <c r="E412" i="13"/>
  <c r="E408" i="13"/>
  <c r="E407" i="13"/>
  <c r="E406" i="13"/>
  <c r="E405" i="13"/>
  <c r="E401" i="13"/>
  <c r="E400" i="13"/>
  <c r="E399" i="13"/>
  <c r="E398" i="13"/>
  <c r="E397" i="13"/>
  <c r="E396" i="13"/>
  <c r="E395" i="13"/>
  <c r="E394" i="13"/>
  <c r="E393" i="13"/>
  <c r="E389" i="13"/>
  <c r="E388" i="13"/>
  <c r="E387" i="13"/>
  <c r="E386" i="13"/>
  <c r="E385" i="13"/>
  <c r="E384" i="13"/>
  <c r="E383" i="13"/>
  <c r="E382" i="13"/>
  <c r="E381" i="13"/>
  <c r="E377" i="13"/>
  <c r="E376" i="13"/>
  <c r="E375" i="13"/>
  <c r="E374" i="13"/>
  <c r="E373" i="13"/>
  <c r="E372" i="13"/>
  <c r="E371" i="13"/>
  <c r="E370" i="13"/>
  <c r="E366" i="13"/>
  <c r="E365" i="13"/>
  <c r="E364" i="13"/>
  <c r="E363" i="13"/>
  <c r="E359" i="13"/>
  <c r="E358" i="13"/>
  <c r="E357" i="13"/>
  <c r="E356" i="13"/>
  <c r="E352" i="13"/>
  <c r="E351" i="13"/>
  <c r="E350" i="13"/>
  <c r="E349" i="13"/>
  <c r="E348" i="13"/>
  <c r="E347" i="13"/>
  <c r="E346" i="13"/>
  <c r="E345" i="13"/>
  <c r="E344" i="13"/>
  <c r="E340" i="13"/>
  <c r="E339" i="13"/>
  <c r="E338" i="13"/>
  <c r="E337" i="13"/>
  <c r="E333" i="13"/>
  <c r="E332" i="13"/>
  <c r="E331" i="13"/>
  <c r="E330" i="13"/>
  <c r="E329" i="13"/>
  <c r="E328" i="13"/>
  <c r="E327" i="13"/>
  <c r="E326" i="13"/>
  <c r="E325" i="13"/>
  <c r="E321" i="13"/>
  <c r="E320" i="13"/>
  <c r="E319" i="13"/>
  <c r="E318" i="13"/>
  <c r="E317" i="13"/>
  <c r="E316" i="13"/>
  <c r="E315" i="13"/>
  <c r="E314" i="13"/>
  <c r="E313" i="13"/>
  <c r="E309" i="13"/>
  <c r="E308" i="13"/>
  <c r="E307" i="13"/>
  <c r="E306" i="13"/>
  <c r="E305" i="13"/>
  <c r="E304" i="13"/>
  <c r="E303" i="13"/>
  <c r="E302" i="13"/>
  <c r="E298" i="13"/>
  <c r="E297" i="13"/>
  <c r="E296" i="13"/>
  <c r="E295" i="13"/>
  <c r="E294" i="13"/>
  <c r="E293" i="13"/>
  <c r="E292" i="13"/>
  <c r="E291" i="13"/>
  <c r="E287" i="13"/>
  <c r="E286" i="13"/>
  <c r="E285" i="13"/>
  <c r="E284" i="13"/>
  <c r="E283" i="13"/>
  <c r="E282" i="13"/>
  <c r="E278" i="13"/>
  <c r="E277" i="13"/>
  <c r="E276" i="13"/>
  <c r="E275" i="13"/>
  <c r="E274" i="13"/>
  <c r="E273" i="13"/>
  <c r="E272" i="13"/>
  <c r="E268" i="13"/>
  <c r="E267" i="13"/>
  <c r="E266" i="13"/>
  <c r="E265" i="13"/>
  <c r="E264" i="13"/>
  <c r="E263" i="13"/>
  <c r="E259" i="13"/>
  <c r="E258" i="13"/>
  <c r="E257" i="13"/>
  <c r="E253" i="13"/>
  <c r="E252" i="13"/>
  <c r="E251" i="13"/>
  <c r="E250" i="13"/>
  <c r="E249" i="13"/>
  <c r="E248" i="13"/>
  <c r="E244" i="13"/>
  <c r="E243" i="13"/>
  <c r="E242" i="13"/>
  <c r="E241" i="13"/>
  <c r="E240" i="13"/>
  <c r="E235" i="13"/>
  <c r="E234" i="13"/>
  <c r="E233" i="13"/>
  <c r="E232" i="13"/>
  <c r="E231" i="13"/>
  <c r="E230" i="13"/>
  <c r="E229" i="13"/>
  <c r="E228" i="13"/>
  <c r="E224" i="13"/>
  <c r="E223" i="13"/>
  <c r="E222" i="13"/>
  <c r="E221" i="13"/>
  <c r="E217" i="13"/>
  <c r="E216" i="13"/>
  <c r="E215" i="13"/>
  <c r="E214" i="13"/>
  <c r="E210" i="13"/>
  <c r="E209" i="13"/>
  <c r="E208" i="13"/>
  <c r="E207" i="13"/>
  <c r="E206" i="13"/>
  <c r="E205" i="13"/>
  <c r="E204" i="13"/>
  <c r="E203" i="13"/>
  <c r="E199" i="13"/>
  <c r="E198" i="13"/>
  <c r="E197" i="13"/>
  <c r="E196" i="13"/>
  <c r="E195" i="13"/>
  <c r="E194" i="13"/>
  <c r="E190" i="13"/>
  <c r="E189" i="13"/>
  <c r="E188" i="13"/>
  <c r="E187" i="13"/>
  <c r="E183" i="13"/>
  <c r="E182" i="13"/>
  <c r="E181" i="13"/>
  <c r="E180" i="13"/>
  <c r="E179" i="13"/>
  <c r="E178" i="13"/>
  <c r="E177" i="13"/>
  <c r="E176" i="13"/>
  <c r="E175" i="13"/>
  <c r="E171" i="13"/>
  <c r="E170" i="13"/>
  <c r="E169" i="13"/>
  <c r="E168" i="13"/>
  <c r="E167" i="13"/>
  <c r="E166" i="13"/>
  <c r="E165" i="13"/>
  <c r="E161" i="13"/>
  <c r="E160" i="13"/>
  <c r="E159" i="13"/>
  <c r="E158" i="13"/>
  <c r="E157" i="13"/>
  <c r="E156" i="13"/>
  <c r="E155" i="13"/>
  <c r="E154" i="13"/>
  <c r="E150" i="13"/>
  <c r="E149" i="13"/>
  <c r="E148" i="13"/>
  <c r="E144" i="13"/>
  <c r="E143" i="13"/>
  <c r="E142" i="13"/>
  <c r="E141" i="13"/>
  <c r="E137" i="13"/>
  <c r="E136" i="13"/>
  <c r="E135" i="13"/>
  <c r="E134" i="13"/>
  <c r="E133" i="13"/>
  <c r="E128" i="13"/>
  <c r="E127" i="13"/>
  <c r="E126" i="13"/>
  <c r="E125" i="13"/>
  <c r="E124" i="13"/>
  <c r="E123" i="13"/>
  <c r="E119" i="13"/>
  <c r="E118" i="13"/>
  <c r="E117" i="13"/>
  <c r="E116" i="13"/>
  <c r="E115" i="13"/>
  <c r="E114" i="13"/>
  <c r="E113" i="13"/>
  <c r="E112" i="13"/>
  <c r="E111" i="13"/>
  <c r="E107" i="13"/>
  <c r="E106" i="13"/>
  <c r="E105" i="13"/>
  <c r="E104" i="13"/>
  <c r="E100" i="13"/>
  <c r="E99" i="13"/>
  <c r="E98" i="13"/>
  <c r="E97" i="13"/>
  <c r="E96" i="13"/>
  <c r="E95" i="13"/>
  <c r="E94" i="13"/>
  <c r="E93" i="13"/>
  <c r="E89" i="13"/>
  <c r="E88" i="13"/>
  <c r="E87" i="13"/>
  <c r="E86" i="13"/>
  <c r="E85" i="13"/>
  <c r="E84" i="13"/>
  <c r="E80" i="13"/>
  <c r="E79" i="13"/>
  <c r="E78" i="13"/>
  <c r="E77" i="13"/>
  <c r="E76" i="13"/>
  <c r="E75" i="13"/>
  <c r="E74" i="13"/>
  <c r="E70" i="13"/>
  <c r="E69" i="13"/>
  <c r="E68" i="13"/>
  <c r="E67" i="13"/>
  <c r="E66" i="13"/>
  <c r="E65" i="13"/>
  <c r="E64" i="13"/>
  <c r="E63" i="13"/>
  <c r="E62" i="13"/>
  <c r="E58" i="13"/>
  <c r="E57" i="13"/>
  <c r="E56" i="13"/>
  <c r="E55" i="13"/>
  <c r="E54" i="13"/>
  <c r="E49" i="13"/>
  <c r="E48" i="13"/>
  <c r="E47" i="13"/>
  <c r="E46" i="13"/>
  <c r="E45" i="13"/>
  <c r="E44" i="13"/>
  <c r="E43" i="13"/>
  <c r="E42" i="13"/>
  <c r="E38" i="13"/>
  <c r="E37" i="13"/>
  <c r="E36" i="13"/>
  <c r="E35" i="13"/>
  <c r="E31" i="13"/>
  <c r="E30" i="13"/>
  <c r="E29" i="13"/>
  <c r="E28" i="13"/>
  <c r="E27" i="13"/>
  <c r="E26" i="13"/>
  <c r="E22" i="13"/>
  <c r="E21" i="13"/>
  <c r="E20" i="13"/>
  <c r="E16" i="13"/>
  <c r="E15" i="13"/>
  <c r="E14" i="13"/>
  <c r="E13" i="13"/>
  <c r="E12" i="13"/>
  <c r="E11" i="13"/>
  <c r="E10" i="13"/>
  <c r="E9" i="13"/>
  <c r="E8" i="13"/>
  <c r="E7" i="13"/>
  <c r="E6" i="13"/>
  <c r="E527" i="40"/>
  <c r="E526" i="40"/>
  <c r="E525" i="40"/>
  <c r="E524" i="40"/>
  <c r="E523" i="40"/>
  <c r="E522" i="40"/>
  <c r="E521" i="40"/>
  <c r="E517" i="40"/>
  <c r="E516" i="40"/>
  <c r="E515" i="40"/>
  <c r="E514" i="40"/>
  <c r="E513" i="40"/>
  <c r="E512" i="40"/>
  <c r="E508" i="40"/>
  <c r="E507" i="40"/>
  <c r="E506" i="40"/>
  <c r="E505" i="40"/>
  <c r="E501" i="40"/>
  <c r="E500" i="40"/>
  <c r="E499" i="40"/>
  <c r="E498" i="40"/>
  <c r="E497" i="40"/>
  <c r="E496" i="40"/>
  <c r="E495" i="40"/>
  <c r="E494" i="40"/>
  <c r="E493" i="40"/>
  <c r="E489" i="40"/>
  <c r="E488" i="40"/>
  <c r="E487" i="40"/>
  <c r="E486" i="40"/>
  <c r="E482" i="40"/>
  <c r="E481" i="40"/>
  <c r="E480" i="40"/>
  <c r="E479" i="40"/>
  <c r="E478" i="40"/>
  <c r="E477" i="40"/>
  <c r="E473" i="40"/>
  <c r="E472" i="40"/>
  <c r="E471" i="40"/>
  <c r="E470" i="40"/>
  <c r="E469" i="40"/>
  <c r="E468" i="40"/>
  <c r="E467" i="40"/>
  <c r="E463" i="40"/>
  <c r="E462" i="40"/>
  <c r="E461" i="40"/>
  <c r="E460" i="40"/>
  <c r="E459" i="40"/>
  <c r="E458" i="40"/>
  <c r="E457" i="40"/>
  <c r="E456" i="40"/>
  <c r="E452" i="40"/>
  <c r="E451" i="40"/>
  <c r="E450" i="40"/>
  <c r="E449" i="40"/>
  <c r="E448" i="40"/>
  <c r="E447" i="40"/>
  <c r="E446" i="40"/>
  <c r="E445" i="40"/>
  <c r="E441" i="40"/>
  <c r="E440" i="40"/>
  <c r="E439" i="40"/>
  <c r="E438" i="40"/>
  <c r="E437" i="40"/>
  <c r="E436" i="40"/>
  <c r="E435" i="40"/>
  <c r="E434" i="40"/>
  <c r="E433" i="40"/>
  <c r="E429" i="40"/>
  <c r="E428" i="40"/>
  <c r="E427" i="40"/>
  <c r="E426" i="40"/>
  <c r="E425" i="40"/>
  <c r="E420" i="40"/>
  <c r="E419" i="40"/>
  <c r="E418" i="40"/>
  <c r="E417" i="40"/>
  <c r="E413" i="40"/>
  <c r="E412" i="40"/>
  <c r="E411" i="40"/>
  <c r="E410" i="40"/>
  <c r="E409" i="40"/>
  <c r="E408" i="40"/>
  <c r="E404" i="40"/>
  <c r="E403" i="40"/>
  <c r="E402" i="40"/>
  <c r="E401" i="40"/>
  <c r="E397" i="40"/>
  <c r="E396" i="40"/>
  <c r="E395" i="40"/>
  <c r="E394" i="40"/>
  <c r="E393" i="40"/>
  <c r="E392" i="40"/>
  <c r="E391" i="40"/>
  <c r="E390" i="40"/>
  <c r="E389" i="40"/>
  <c r="E382" i="40"/>
  <c r="E378" i="40"/>
  <c r="E377" i="40"/>
  <c r="E376" i="40"/>
  <c r="E375" i="40"/>
  <c r="E374" i="40"/>
  <c r="E373" i="40"/>
  <c r="E372" i="40"/>
  <c r="E371" i="40"/>
  <c r="E370" i="40"/>
  <c r="E366" i="40"/>
  <c r="E365" i="40"/>
  <c r="E364" i="40"/>
  <c r="E363" i="40"/>
  <c r="E362" i="40"/>
  <c r="E361" i="40"/>
  <c r="E360" i="40"/>
  <c r="E359" i="40"/>
  <c r="E355" i="40"/>
  <c r="E354" i="40"/>
  <c r="E353" i="40"/>
  <c r="E352" i="40"/>
  <c r="E348" i="40"/>
  <c r="E347" i="40"/>
  <c r="E346" i="40"/>
  <c r="E345" i="40"/>
  <c r="E341" i="40"/>
  <c r="E340" i="40"/>
  <c r="E339" i="40"/>
  <c r="E338" i="40"/>
  <c r="E337" i="40"/>
  <c r="E336" i="40"/>
  <c r="E335" i="40"/>
  <c r="E334" i="40"/>
  <c r="E333" i="40"/>
  <c r="E329" i="40"/>
  <c r="E328" i="40"/>
  <c r="E327" i="40"/>
  <c r="E326" i="40"/>
  <c r="E322" i="40"/>
  <c r="E321" i="40"/>
  <c r="E320" i="40"/>
  <c r="E319" i="40"/>
  <c r="E318" i="40"/>
  <c r="E317" i="40"/>
  <c r="E316" i="40"/>
  <c r="E315" i="40"/>
  <c r="E314" i="40"/>
  <c r="E310" i="40"/>
  <c r="E309" i="40"/>
  <c r="E308" i="40"/>
  <c r="E307" i="40"/>
  <c r="E306" i="40"/>
  <c r="E305" i="40"/>
  <c r="E304" i="40"/>
  <c r="E303" i="40"/>
  <c r="E302" i="40"/>
  <c r="E298" i="40"/>
  <c r="E297" i="40"/>
  <c r="E296" i="40"/>
  <c r="E295" i="40"/>
  <c r="E294" i="40"/>
  <c r="E293" i="40"/>
  <c r="E292" i="40"/>
  <c r="E291" i="40"/>
  <c r="E287" i="40"/>
  <c r="E286" i="40"/>
  <c r="E285" i="40"/>
  <c r="E284" i="40"/>
  <c r="E283" i="40"/>
  <c r="E282" i="40"/>
  <c r="E281" i="40"/>
  <c r="E280" i="40"/>
  <c r="E276" i="40"/>
  <c r="E275" i="40"/>
  <c r="E274" i="40"/>
  <c r="E273" i="40"/>
  <c r="E272" i="40"/>
  <c r="E271" i="40"/>
  <c r="E267" i="40"/>
  <c r="E266" i="40"/>
  <c r="E265" i="40"/>
  <c r="E264" i="40"/>
  <c r="E263" i="40"/>
  <c r="E262" i="40"/>
  <c r="E261" i="40"/>
  <c r="E257" i="40"/>
  <c r="E256" i="40"/>
  <c r="E255" i="40"/>
  <c r="E254" i="40"/>
  <c r="E253" i="40"/>
  <c r="E252" i="40"/>
  <c r="E248" i="40"/>
  <c r="E247" i="40"/>
  <c r="E246" i="40"/>
  <c r="E242" i="40"/>
  <c r="E241" i="40"/>
  <c r="E240" i="40"/>
  <c r="E239" i="40"/>
  <c r="E238" i="40"/>
  <c r="E237" i="40"/>
  <c r="E233" i="40"/>
  <c r="E232" i="40"/>
  <c r="E231" i="40"/>
  <c r="E230" i="40"/>
  <c r="E229" i="40"/>
  <c r="E224" i="40"/>
  <c r="E223" i="40"/>
  <c r="E222" i="40"/>
  <c r="E221" i="40"/>
  <c r="E217" i="40"/>
  <c r="E216" i="40"/>
  <c r="E215" i="40"/>
  <c r="E214" i="40"/>
  <c r="E210" i="40"/>
  <c r="E209" i="40"/>
  <c r="E208" i="40"/>
  <c r="E207" i="40"/>
  <c r="E206" i="40"/>
  <c r="E205" i="40"/>
  <c r="E204" i="40"/>
  <c r="E203" i="40"/>
  <c r="E199" i="40"/>
  <c r="E198" i="40"/>
  <c r="E197" i="40"/>
  <c r="E196" i="40"/>
  <c r="E195" i="40"/>
  <c r="E194" i="40"/>
  <c r="E190" i="40"/>
  <c r="E189" i="40"/>
  <c r="E188" i="40"/>
  <c r="E187" i="40"/>
  <c r="E183" i="40"/>
  <c r="E182" i="40"/>
  <c r="E181" i="40"/>
  <c r="E180" i="40"/>
  <c r="E179" i="40"/>
  <c r="E178" i="40"/>
  <c r="E177" i="40"/>
  <c r="E176" i="40"/>
  <c r="E175" i="40"/>
  <c r="E171" i="40"/>
  <c r="E170" i="40"/>
  <c r="E169" i="40"/>
  <c r="E168" i="40"/>
  <c r="E167" i="40"/>
  <c r="E166" i="40"/>
  <c r="E165" i="40"/>
  <c r="E161" i="40"/>
  <c r="E160" i="40"/>
  <c r="E159" i="40"/>
  <c r="E158" i="40"/>
  <c r="E157" i="40"/>
  <c r="E156" i="40"/>
  <c r="E155" i="40"/>
  <c r="E154" i="40"/>
  <c r="E150" i="40"/>
  <c r="E149" i="40"/>
  <c r="E148" i="40"/>
  <c r="E144" i="40"/>
  <c r="E143" i="40"/>
  <c r="E142" i="40"/>
  <c r="E141" i="40"/>
  <c r="E137" i="40"/>
  <c r="E136" i="40"/>
  <c r="E135" i="40"/>
  <c r="E134" i="40"/>
  <c r="E133" i="40"/>
  <c r="E128" i="40"/>
  <c r="E127" i="40"/>
  <c r="E126" i="40"/>
  <c r="E125" i="40"/>
  <c r="E124" i="40"/>
  <c r="E123" i="40"/>
  <c r="E119" i="40"/>
  <c r="E118" i="40"/>
  <c r="E117" i="40"/>
  <c r="E116" i="40"/>
  <c r="E115" i="40"/>
  <c r="E114" i="40"/>
  <c r="E113" i="40"/>
  <c r="E112" i="40"/>
  <c r="E111" i="40"/>
  <c r="E107" i="40"/>
  <c r="E106" i="40"/>
  <c r="E105" i="40"/>
  <c r="E104" i="40"/>
  <c r="E100" i="40"/>
  <c r="E99" i="40"/>
  <c r="E98" i="40"/>
  <c r="E97" i="40"/>
  <c r="E96" i="40"/>
  <c r="E95" i="40"/>
  <c r="E94" i="40"/>
  <c r="E93" i="40"/>
  <c r="E89" i="40"/>
  <c r="E88" i="40"/>
  <c r="E87" i="40"/>
  <c r="E86" i="40"/>
  <c r="E85" i="40"/>
  <c r="E84" i="40"/>
  <c r="E80" i="40"/>
  <c r="E79" i="40"/>
  <c r="E78" i="40"/>
  <c r="E77" i="40"/>
  <c r="E76" i="40"/>
  <c r="E75" i="40"/>
  <c r="E74" i="40"/>
  <c r="E70" i="40"/>
  <c r="E69" i="40"/>
  <c r="E68" i="40"/>
  <c r="E67" i="40"/>
  <c r="E66" i="40"/>
  <c r="E65" i="40"/>
  <c r="E64" i="40"/>
  <c r="E63" i="40"/>
  <c r="E62" i="40"/>
  <c r="E58" i="40"/>
  <c r="E57" i="40"/>
  <c r="E56" i="40"/>
  <c r="E55" i="40"/>
  <c r="E54" i="40"/>
  <c r="E49" i="40"/>
  <c r="E48" i="40"/>
  <c r="E47" i="40"/>
  <c r="E46" i="40"/>
  <c r="E45" i="40"/>
  <c r="E44" i="40"/>
  <c r="E43" i="40"/>
  <c r="E42" i="40"/>
  <c r="E38" i="40"/>
  <c r="E37" i="40"/>
  <c r="E36" i="40"/>
  <c r="E35" i="40"/>
  <c r="E31" i="40"/>
  <c r="E30" i="40"/>
  <c r="E29" i="40"/>
  <c r="E28" i="40"/>
  <c r="E27" i="40"/>
  <c r="E26" i="40"/>
  <c r="E22" i="40"/>
  <c r="E21" i="40"/>
  <c r="E20" i="40"/>
  <c r="E16" i="40"/>
  <c r="E15" i="40"/>
  <c r="E14" i="40"/>
  <c r="E13" i="40"/>
  <c r="E12" i="40"/>
  <c r="E11" i="40"/>
  <c r="E10" i="40"/>
  <c r="E9" i="40"/>
  <c r="E8" i="40"/>
  <c r="E7" i="40"/>
  <c r="E6" i="40"/>
  <c r="E508" i="39"/>
  <c r="E504" i="39"/>
  <c r="E503" i="39"/>
  <c r="E502" i="39"/>
  <c r="E501" i="39"/>
  <c r="E497" i="39"/>
  <c r="E496" i="39"/>
  <c r="E495" i="39"/>
  <c r="E494" i="39"/>
  <c r="E493" i="39"/>
  <c r="E492" i="39"/>
  <c r="E491" i="39"/>
  <c r="E490" i="39"/>
  <c r="E489" i="39"/>
  <c r="E485" i="39"/>
  <c r="E484" i="39"/>
  <c r="E483" i="39"/>
  <c r="E482" i="39"/>
  <c r="E478" i="39"/>
  <c r="E477" i="39"/>
  <c r="E476" i="39"/>
  <c r="E475" i="39"/>
  <c r="E471" i="39"/>
  <c r="E470" i="39"/>
  <c r="E469" i="39"/>
  <c r="E468" i="39"/>
  <c r="E467" i="39"/>
  <c r="E466" i="39"/>
  <c r="E465" i="39"/>
  <c r="E461" i="39"/>
  <c r="E460" i="39"/>
  <c r="E459" i="39"/>
  <c r="E458" i="39"/>
  <c r="E457" i="39"/>
  <c r="E456" i="39"/>
  <c r="E455" i="39"/>
  <c r="E454" i="39"/>
  <c r="E450" i="39"/>
  <c r="E449" i="39"/>
  <c r="E448" i="39"/>
  <c r="E447" i="39"/>
  <c r="E446" i="39"/>
  <c r="E445" i="39"/>
  <c r="E444" i="39"/>
  <c r="E443" i="39"/>
  <c r="E439" i="39"/>
  <c r="E438" i="39"/>
  <c r="E437" i="39"/>
  <c r="E436" i="39"/>
  <c r="E435" i="39"/>
  <c r="E434" i="39"/>
  <c r="E433" i="39"/>
  <c r="E432" i="39"/>
  <c r="E431" i="39"/>
  <c r="E427" i="39"/>
  <c r="E426" i="39"/>
  <c r="E425" i="39"/>
  <c r="E424" i="39"/>
  <c r="E423" i="39"/>
  <c r="E418" i="39"/>
  <c r="E417" i="39"/>
  <c r="E416" i="39"/>
  <c r="E415" i="39"/>
  <c r="E411" i="39"/>
  <c r="E410" i="39"/>
  <c r="E409" i="39"/>
  <c r="E408" i="39"/>
  <c r="E407" i="39"/>
  <c r="E406" i="39"/>
  <c r="E402" i="39"/>
  <c r="E401" i="39"/>
  <c r="E400" i="39"/>
  <c r="E399" i="39"/>
  <c r="E398" i="39"/>
  <c r="E397" i="39"/>
  <c r="E396" i="39"/>
  <c r="E395" i="39"/>
  <c r="E394" i="39"/>
  <c r="E390" i="39"/>
  <c r="E389" i="39"/>
  <c r="E388" i="39"/>
  <c r="E387" i="39"/>
  <c r="E386" i="39"/>
  <c r="E385" i="39"/>
  <c r="E384" i="39"/>
  <c r="E383" i="39"/>
  <c r="E382" i="39"/>
  <c r="E378" i="39"/>
  <c r="E377" i="39"/>
  <c r="E376" i="39"/>
  <c r="E375" i="39"/>
  <c r="E374" i="39"/>
  <c r="E373" i="39"/>
  <c r="E372" i="39"/>
  <c r="E371" i="39"/>
  <c r="E367" i="39"/>
  <c r="E366" i="39"/>
  <c r="E365" i="39"/>
  <c r="E364" i="39"/>
  <c r="E363" i="39"/>
  <c r="E362" i="39"/>
  <c r="E361" i="39"/>
  <c r="E360" i="39"/>
  <c r="E356" i="39"/>
  <c r="E355" i="39"/>
  <c r="E354" i="39"/>
  <c r="E353" i="39"/>
  <c r="E352" i="39"/>
  <c r="E351" i="39"/>
  <c r="E350" i="39"/>
  <c r="E349" i="39"/>
  <c r="E348" i="39"/>
  <c r="E344" i="39"/>
  <c r="E343" i="39"/>
  <c r="E342" i="39"/>
  <c r="E341" i="39"/>
  <c r="E337" i="39"/>
  <c r="E336" i="39"/>
  <c r="E335" i="39"/>
  <c r="E334" i="39"/>
  <c r="E330" i="39"/>
  <c r="E329" i="39"/>
  <c r="E328" i="39"/>
  <c r="E327" i="39"/>
  <c r="E326" i="39"/>
  <c r="E325" i="39"/>
  <c r="E324" i="39"/>
  <c r="E323" i="39"/>
  <c r="E322" i="39"/>
  <c r="E318" i="39"/>
  <c r="E317" i="39"/>
  <c r="E316" i="39"/>
  <c r="E315" i="39"/>
  <c r="E311" i="39"/>
  <c r="E310" i="39"/>
  <c r="E309" i="39"/>
  <c r="E308" i="39"/>
  <c r="E307" i="39"/>
  <c r="E306" i="39"/>
  <c r="E305" i="39"/>
  <c r="E304" i="39"/>
  <c r="E303" i="39"/>
  <c r="E299" i="39"/>
  <c r="E298" i="39"/>
  <c r="E297" i="39"/>
  <c r="E296" i="39"/>
  <c r="E295" i="39"/>
  <c r="E294" i="39"/>
  <c r="E293" i="39"/>
  <c r="E292" i="39"/>
  <c r="E291" i="39"/>
  <c r="E287" i="39"/>
  <c r="E286" i="39"/>
  <c r="E285" i="39"/>
  <c r="E284" i="39"/>
  <c r="E283" i="39"/>
  <c r="E282" i="39"/>
  <c r="E281" i="39"/>
  <c r="E280" i="39"/>
  <c r="E276" i="39"/>
  <c r="E275" i="39"/>
  <c r="E274" i="39"/>
  <c r="E273" i="39"/>
  <c r="E272" i="39"/>
  <c r="E271" i="39"/>
  <c r="E267" i="39"/>
  <c r="E266" i="39"/>
  <c r="E265" i="39"/>
  <c r="E264" i="39"/>
  <c r="E263" i="39"/>
  <c r="E262" i="39"/>
  <c r="E261" i="39"/>
  <c r="E257" i="39"/>
  <c r="E256" i="39"/>
  <c r="E255" i="39"/>
  <c r="E254" i="39"/>
  <c r="E253" i="39"/>
  <c r="E252" i="39"/>
  <c r="E248" i="39"/>
  <c r="E247" i="39"/>
  <c r="E246" i="39"/>
  <c r="E242" i="39"/>
  <c r="E241" i="39"/>
  <c r="E240" i="39"/>
  <c r="E239" i="39"/>
  <c r="E238" i="39"/>
  <c r="E237" i="39"/>
  <c r="E233" i="39"/>
  <c r="E232" i="39"/>
  <c r="E231" i="39"/>
  <c r="E230" i="39"/>
  <c r="E229" i="39"/>
  <c r="E224" i="39"/>
  <c r="E223" i="39"/>
  <c r="E222" i="39"/>
  <c r="E221" i="39"/>
  <c r="E217" i="39"/>
  <c r="E216" i="39"/>
  <c r="E215" i="39"/>
  <c r="E214" i="39"/>
  <c r="E210" i="39"/>
  <c r="E209" i="39"/>
  <c r="E208" i="39"/>
  <c r="E207" i="39"/>
  <c r="E203" i="39"/>
  <c r="E202" i="39"/>
  <c r="E201" i="39"/>
  <c r="E200" i="39"/>
  <c r="E199" i="39"/>
  <c r="E198" i="39"/>
  <c r="E194" i="39"/>
  <c r="E193" i="39"/>
  <c r="E192" i="39"/>
  <c r="E191" i="39"/>
  <c r="E190" i="39"/>
  <c r="E189" i="39"/>
  <c r="E188" i="39"/>
  <c r="E187" i="39"/>
  <c r="E183" i="39"/>
  <c r="E182" i="39"/>
  <c r="E181" i="39"/>
  <c r="E180" i="39"/>
  <c r="E179" i="39"/>
  <c r="E178" i="39"/>
  <c r="E177" i="39"/>
  <c r="E176" i="39"/>
  <c r="E175" i="39"/>
  <c r="E171" i="39"/>
  <c r="E170" i="39"/>
  <c r="E169" i="39"/>
  <c r="E168" i="39"/>
  <c r="E167" i="39"/>
  <c r="E166" i="39"/>
  <c r="E165" i="39"/>
  <c r="E161" i="39"/>
  <c r="E160" i="39"/>
  <c r="E159" i="39"/>
  <c r="E158" i="39"/>
  <c r="E157" i="39"/>
  <c r="E156" i="39"/>
  <c r="E155" i="39"/>
  <c r="E154" i="39"/>
  <c r="E150" i="39"/>
  <c r="E149" i="39"/>
  <c r="E148" i="39"/>
  <c r="E144" i="39"/>
  <c r="E143" i="39"/>
  <c r="E142" i="39"/>
  <c r="E141" i="39"/>
  <c r="E137" i="39"/>
  <c r="E136" i="39"/>
  <c r="E135" i="39"/>
  <c r="E134" i="39"/>
  <c r="E133" i="39"/>
  <c r="E128" i="39"/>
  <c r="E127" i="39"/>
  <c r="E126" i="39"/>
  <c r="E125" i="39"/>
  <c r="E124" i="39"/>
  <c r="E123" i="39"/>
  <c r="E119" i="39"/>
  <c r="E118" i="39"/>
  <c r="E117" i="39"/>
  <c r="E116" i="39"/>
  <c r="E115" i="39"/>
  <c r="E114" i="39"/>
  <c r="E113" i="39"/>
  <c r="E112" i="39"/>
  <c r="E111" i="39"/>
  <c r="E107" i="39"/>
  <c r="E106" i="39"/>
  <c r="E105" i="39"/>
  <c r="E104" i="39"/>
  <c r="E100" i="39"/>
  <c r="E99" i="39"/>
  <c r="E98" i="39"/>
  <c r="E97" i="39"/>
  <c r="E96" i="39"/>
  <c r="E95" i="39"/>
  <c r="E94" i="39"/>
  <c r="E93" i="39"/>
  <c r="E89" i="39"/>
  <c r="E88" i="39"/>
  <c r="E87" i="39"/>
  <c r="E86" i="39"/>
  <c r="E85" i="39"/>
  <c r="E84" i="39"/>
  <c r="E80" i="39"/>
  <c r="E79" i="39"/>
  <c r="E78" i="39"/>
  <c r="E77" i="39"/>
  <c r="E76" i="39"/>
  <c r="E75" i="39"/>
  <c r="E74" i="39"/>
  <c r="E70" i="39"/>
  <c r="E69" i="39"/>
  <c r="E68" i="39"/>
  <c r="E67" i="39"/>
  <c r="E66" i="39"/>
  <c r="E65" i="39"/>
  <c r="E64" i="39"/>
  <c r="E63" i="39"/>
  <c r="E62" i="39"/>
  <c r="E58" i="39"/>
  <c r="E57" i="39"/>
  <c r="E56" i="39"/>
  <c r="E55" i="39"/>
  <c r="E54" i="39"/>
  <c r="E49" i="39"/>
  <c r="E48" i="39"/>
  <c r="E47" i="39"/>
  <c r="E46" i="39"/>
  <c r="E45" i="39"/>
  <c r="E44" i="39"/>
  <c r="E43" i="39"/>
  <c r="E42" i="39"/>
  <c r="E38" i="39"/>
  <c r="E37" i="39"/>
  <c r="E36" i="39"/>
  <c r="E35" i="39"/>
  <c r="E31" i="39"/>
  <c r="E30" i="39"/>
  <c r="E29" i="39"/>
  <c r="E28" i="39"/>
  <c r="E27" i="39"/>
  <c r="E26" i="39"/>
  <c r="E22" i="39"/>
  <c r="E21" i="39"/>
  <c r="E20" i="39"/>
  <c r="E16" i="39"/>
  <c r="E15" i="39"/>
  <c r="E14" i="39"/>
  <c r="E13" i="39"/>
  <c r="E12" i="39"/>
  <c r="E11" i="39"/>
  <c r="E10" i="39"/>
  <c r="E9" i="39"/>
  <c r="E8" i="39"/>
  <c r="E7" i="39"/>
  <c r="E6" i="39"/>
  <c r="E531" i="38"/>
  <c r="E530" i="38"/>
  <c r="E529" i="38"/>
  <c r="E528" i="38"/>
  <c r="E527" i="38"/>
  <c r="E526" i="38"/>
  <c r="E497" i="38"/>
  <c r="E496" i="38"/>
  <c r="E495" i="38"/>
  <c r="E494" i="38"/>
  <c r="E469" i="38"/>
  <c r="E468" i="38"/>
  <c r="E467" i="38"/>
  <c r="E466" i="38"/>
  <c r="E465" i="38"/>
  <c r="E464" i="38"/>
  <c r="E463" i="38"/>
  <c r="E462" i="38"/>
  <c r="E458" i="38"/>
  <c r="E457" i="38"/>
  <c r="E456" i="38"/>
  <c r="E455" i="38"/>
  <c r="E454" i="38"/>
  <c r="E453" i="38"/>
  <c r="E452" i="38"/>
  <c r="E451" i="38"/>
  <c r="E450" i="38"/>
  <c r="E446" i="38"/>
  <c r="E445" i="38"/>
  <c r="E444" i="38"/>
  <c r="E443" i="38"/>
  <c r="E439" i="38"/>
  <c r="E438" i="38"/>
  <c r="E437" i="38"/>
  <c r="E436" i="38"/>
  <c r="E435" i="38"/>
  <c r="E430" i="38"/>
  <c r="E429" i="38"/>
  <c r="E428" i="38"/>
  <c r="E427" i="38"/>
  <c r="E426" i="38"/>
  <c r="E425" i="38"/>
  <c r="E424" i="38"/>
  <c r="E423" i="38"/>
  <c r="E422" i="38"/>
  <c r="E418" i="38"/>
  <c r="E417" i="38"/>
  <c r="E416" i="38"/>
  <c r="E415" i="38"/>
  <c r="E414" i="38"/>
  <c r="E413" i="38"/>
  <c r="E412" i="38"/>
  <c r="E411" i="38"/>
  <c r="E407" i="38"/>
  <c r="E406" i="38"/>
  <c r="E405" i="38"/>
  <c r="E404" i="38"/>
  <c r="E403" i="38"/>
  <c r="E402" i="38"/>
  <c r="E401" i="38"/>
  <c r="E400" i="38"/>
  <c r="E399" i="38"/>
  <c r="E395" i="38"/>
  <c r="E394" i="38"/>
  <c r="E393" i="38"/>
  <c r="E392" i="38"/>
  <c r="E391" i="38"/>
  <c r="E390" i="38"/>
  <c r="E389" i="38"/>
  <c r="E388" i="38"/>
  <c r="E387" i="38"/>
  <c r="E383" i="38"/>
  <c r="E382" i="38"/>
  <c r="E381" i="38"/>
  <c r="E380" i="38"/>
  <c r="E376" i="38"/>
  <c r="E375" i="38"/>
  <c r="E374" i="38"/>
  <c r="E373" i="38"/>
  <c r="E372" i="38"/>
  <c r="E371" i="38"/>
  <c r="E370" i="38"/>
  <c r="E369" i="38"/>
  <c r="E368" i="38"/>
  <c r="E364" i="38"/>
  <c r="E363" i="38"/>
  <c r="E362" i="38"/>
  <c r="E361" i="38"/>
  <c r="E360" i="38"/>
  <c r="E359" i="38"/>
  <c r="E358" i="38"/>
  <c r="E357" i="38"/>
  <c r="E353" i="38"/>
  <c r="E352" i="38"/>
  <c r="E351" i="38"/>
  <c r="E350" i="38"/>
  <c r="E349" i="38"/>
  <c r="E348" i="38"/>
  <c r="E344" i="38"/>
  <c r="E343" i="38"/>
  <c r="E342" i="38"/>
  <c r="E341" i="38"/>
  <c r="E340" i="38"/>
  <c r="E339" i="38"/>
  <c r="E338" i="38"/>
  <c r="E337" i="38"/>
  <c r="E336" i="38"/>
  <c r="E332" i="38"/>
  <c r="E331" i="38"/>
  <c r="E330" i="38"/>
  <c r="E329" i="38"/>
  <c r="E328" i="38"/>
  <c r="E327" i="38"/>
  <c r="E326" i="38"/>
  <c r="E325" i="38"/>
  <c r="E324" i="38"/>
  <c r="E320" i="38"/>
  <c r="E319" i="38"/>
  <c r="E318" i="38"/>
  <c r="E317" i="38"/>
  <c r="E316" i="38"/>
  <c r="E315" i="38"/>
  <c r="E314" i="38"/>
  <c r="E313" i="38"/>
  <c r="E309" i="38"/>
  <c r="E308" i="38"/>
  <c r="E307" i="38"/>
  <c r="E306" i="38"/>
  <c r="E302" i="38"/>
  <c r="E301" i="38"/>
  <c r="E300" i="38"/>
  <c r="E299" i="38"/>
  <c r="E295" i="38"/>
  <c r="E294" i="38"/>
  <c r="E293" i="38"/>
  <c r="E292" i="38"/>
  <c r="E291" i="38"/>
  <c r="E290" i="38"/>
  <c r="E289" i="38"/>
  <c r="E288" i="38"/>
  <c r="E284" i="38"/>
  <c r="E283" i="38"/>
  <c r="E282" i="38"/>
  <c r="E281" i="38"/>
  <c r="E280" i="38"/>
  <c r="E279" i="38"/>
  <c r="E275" i="38"/>
  <c r="E274" i="38"/>
  <c r="E273" i="38"/>
  <c r="E272" i="38"/>
  <c r="E271" i="38"/>
  <c r="E270" i="38"/>
  <c r="E269" i="38"/>
  <c r="E265" i="38"/>
  <c r="E264" i="38"/>
  <c r="E263" i="38"/>
  <c r="E262" i="38"/>
  <c r="E261" i="38"/>
  <c r="E260" i="38"/>
  <c r="E256" i="38"/>
  <c r="E255" i="38"/>
  <c r="E254" i="38"/>
  <c r="E250" i="38"/>
  <c r="E249" i="38"/>
  <c r="E248" i="38"/>
  <c r="E247" i="38"/>
  <c r="E243" i="38"/>
  <c r="E242" i="38"/>
  <c r="E241" i="38"/>
  <c r="E240" i="38"/>
  <c r="E239" i="38"/>
  <c r="E234" i="38"/>
  <c r="E233" i="38"/>
  <c r="E232" i="38"/>
  <c r="E231" i="38"/>
  <c r="E230" i="38"/>
  <c r="E229" i="38"/>
  <c r="E225" i="38"/>
  <c r="E224" i="38"/>
  <c r="E223" i="38"/>
  <c r="E222" i="38"/>
  <c r="E221" i="38"/>
  <c r="E220" i="38"/>
  <c r="E219" i="38"/>
  <c r="E218" i="38"/>
  <c r="E214" i="38"/>
  <c r="E213" i="38"/>
  <c r="E212" i="38"/>
  <c r="E211" i="38"/>
  <c r="E210" i="38"/>
  <c r="E209" i="38"/>
  <c r="E205" i="38"/>
  <c r="E204" i="38"/>
  <c r="E203" i="38"/>
  <c r="E202" i="38"/>
  <c r="E198" i="38"/>
  <c r="E197" i="38"/>
  <c r="E196" i="38"/>
  <c r="E195" i="38"/>
  <c r="E194" i="38"/>
  <c r="E193" i="38"/>
  <c r="E192" i="38"/>
  <c r="E191" i="38"/>
  <c r="E187" i="38"/>
  <c r="E186" i="38"/>
  <c r="E185" i="38"/>
  <c r="E184" i="38"/>
  <c r="E183" i="38"/>
  <c r="E182" i="38"/>
  <c r="E181" i="38"/>
  <c r="E180" i="38"/>
  <c r="E179" i="38"/>
  <c r="E175" i="38"/>
  <c r="E174" i="38"/>
  <c r="E173" i="38"/>
  <c r="E172" i="38"/>
  <c r="E171" i="38"/>
  <c r="E170" i="38"/>
  <c r="E169" i="38"/>
  <c r="E165" i="38"/>
  <c r="E164" i="38"/>
  <c r="E163" i="38"/>
  <c r="E162" i="38"/>
  <c r="E161" i="38"/>
  <c r="E160" i="38"/>
  <c r="E159" i="38"/>
  <c r="E158" i="38"/>
  <c r="E157" i="38"/>
  <c r="E153" i="38"/>
  <c r="E152" i="38"/>
  <c r="E151" i="38"/>
  <c r="E147" i="38"/>
  <c r="E146" i="38"/>
  <c r="E145" i="38"/>
  <c r="E144" i="38"/>
  <c r="E140" i="38"/>
  <c r="E139" i="38"/>
  <c r="E138" i="38"/>
  <c r="E137" i="38"/>
  <c r="E136" i="38"/>
  <c r="E131" i="38"/>
  <c r="E130" i="38"/>
  <c r="E129" i="38"/>
  <c r="E128" i="38"/>
  <c r="E127" i="38"/>
  <c r="E126" i="38"/>
  <c r="E122" i="38"/>
  <c r="E121" i="38"/>
  <c r="E120" i="38"/>
  <c r="E119" i="38"/>
  <c r="E118" i="38"/>
  <c r="E117" i="38"/>
  <c r="E116" i="38"/>
  <c r="E115" i="38"/>
  <c r="E114" i="38"/>
  <c r="E110" i="38"/>
  <c r="E109" i="38"/>
  <c r="E108" i="38"/>
  <c r="E107" i="38"/>
  <c r="E103" i="38"/>
  <c r="E102" i="38"/>
  <c r="E101" i="38"/>
  <c r="E100" i="38"/>
  <c r="E96" i="38"/>
  <c r="E95" i="38"/>
  <c r="E93" i="38"/>
  <c r="E92" i="38"/>
  <c r="E91" i="38"/>
  <c r="E90" i="38"/>
  <c r="E89" i="38"/>
  <c r="E88" i="38"/>
  <c r="E84" i="38"/>
  <c r="E83" i="38"/>
  <c r="E82" i="38"/>
  <c r="E81" i="38"/>
  <c r="E80" i="38"/>
  <c r="E79" i="38"/>
  <c r="E78" i="38"/>
  <c r="E74" i="38"/>
  <c r="E73" i="38"/>
  <c r="E72" i="38"/>
  <c r="E71" i="38"/>
  <c r="E70" i="38"/>
  <c r="E69" i="38"/>
  <c r="E65" i="38"/>
  <c r="E64" i="38"/>
  <c r="E63" i="38"/>
  <c r="E62" i="38"/>
  <c r="E61" i="38"/>
  <c r="E56" i="38"/>
  <c r="E55" i="38"/>
  <c r="E54" i="38"/>
  <c r="E53" i="38"/>
  <c r="E52" i="38"/>
  <c r="E51" i="38"/>
  <c r="E50" i="38"/>
  <c r="E49" i="38"/>
  <c r="E45" i="38"/>
  <c r="E44" i="38"/>
  <c r="E43" i="38"/>
  <c r="E42" i="38"/>
  <c r="E41" i="38"/>
  <c r="E40" i="38"/>
  <c r="E39" i="38"/>
  <c r="E38" i="38"/>
  <c r="E34" i="38"/>
  <c r="E33" i="38"/>
  <c r="E32" i="38"/>
  <c r="E31" i="38"/>
  <c r="E30" i="38"/>
  <c r="E29" i="38"/>
  <c r="E28" i="38"/>
  <c r="E27" i="38"/>
  <c r="E26" i="38"/>
  <c r="E22" i="38"/>
  <c r="E21" i="38"/>
  <c r="E20" i="38"/>
  <c r="E16" i="38"/>
  <c r="E15" i="38"/>
  <c r="E14" i="38"/>
  <c r="E13" i="38"/>
  <c r="E12" i="38"/>
  <c r="E11" i="38"/>
  <c r="E10" i="38"/>
  <c r="E9" i="38"/>
  <c r="E8" i="38"/>
  <c r="E7" i="38"/>
  <c r="E6" i="38"/>
  <c r="E505" i="36"/>
  <c r="E504" i="36"/>
  <c r="E503" i="36"/>
  <c r="E499" i="36"/>
  <c r="E498" i="36"/>
  <c r="E497" i="36"/>
  <c r="E496" i="36"/>
  <c r="E492" i="36"/>
  <c r="E491" i="36"/>
  <c r="E490" i="36"/>
  <c r="E489" i="36"/>
  <c r="E488" i="36"/>
  <c r="E487" i="36"/>
  <c r="E486" i="36"/>
  <c r="E485" i="36"/>
  <c r="E481" i="36"/>
  <c r="E480" i="36"/>
  <c r="E479" i="36"/>
  <c r="E478" i="36"/>
  <c r="E477" i="36"/>
  <c r="E476" i="36"/>
  <c r="E475" i="36"/>
  <c r="E474" i="36"/>
  <c r="E470" i="36"/>
  <c r="E469" i="36"/>
  <c r="E468" i="36"/>
  <c r="E467" i="36"/>
  <c r="E466" i="36"/>
  <c r="E465" i="36"/>
  <c r="E464" i="36"/>
  <c r="E463" i="36"/>
  <c r="E462" i="36"/>
  <c r="E458" i="36"/>
  <c r="E457" i="36"/>
  <c r="E456" i="36"/>
  <c r="E455" i="36"/>
  <c r="E454" i="36"/>
  <c r="E453" i="36"/>
  <c r="E452" i="36"/>
  <c r="E448" i="36"/>
  <c r="E447" i="36"/>
  <c r="E446" i="36"/>
  <c r="E445" i="36"/>
  <c r="E444" i="36"/>
  <c r="E443" i="36"/>
  <c r="E439" i="36"/>
  <c r="E438" i="36"/>
  <c r="E437" i="36"/>
  <c r="E436" i="36"/>
  <c r="E435" i="36"/>
  <c r="E430" i="36"/>
  <c r="E429" i="36"/>
  <c r="E428" i="36"/>
  <c r="E427" i="36"/>
  <c r="E426" i="36"/>
  <c r="E425" i="36"/>
  <c r="E424" i="36"/>
  <c r="E423" i="36"/>
  <c r="E422" i="36"/>
  <c r="E418" i="36"/>
  <c r="E417" i="36"/>
  <c r="E416" i="36"/>
  <c r="E415" i="36"/>
  <c r="E411" i="36"/>
  <c r="E410" i="36"/>
  <c r="E409" i="36"/>
  <c r="E408" i="36"/>
  <c r="E404" i="36"/>
  <c r="E403" i="36"/>
  <c r="E402" i="36"/>
  <c r="E401" i="36"/>
  <c r="E400" i="36"/>
  <c r="E399" i="36"/>
  <c r="E398" i="36"/>
  <c r="E397" i="36"/>
  <c r="E393" i="36"/>
  <c r="E392" i="36"/>
  <c r="E391" i="36"/>
  <c r="E390" i="36"/>
  <c r="E389" i="36"/>
  <c r="E388" i="36"/>
  <c r="E387" i="36"/>
  <c r="E386" i="36"/>
  <c r="E385" i="36"/>
  <c r="E381" i="36"/>
  <c r="E380" i="36"/>
  <c r="E379" i="36"/>
  <c r="E378" i="36"/>
  <c r="E377" i="36"/>
  <c r="E376" i="36"/>
  <c r="E375" i="36"/>
  <c r="E374" i="36"/>
  <c r="E370" i="36"/>
  <c r="E369" i="36"/>
  <c r="E368" i="36"/>
  <c r="E367" i="36"/>
  <c r="E366" i="36"/>
  <c r="E365" i="36"/>
  <c r="E364" i="36"/>
  <c r="E363" i="36"/>
  <c r="E362" i="36"/>
  <c r="E358" i="36"/>
  <c r="E357" i="36"/>
  <c r="E356" i="36"/>
  <c r="E355" i="36"/>
  <c r="E354" i="36"/>
  <c r="E353" i="36"/>
  <c r="E352" i="36"/>
  <c r="E351" i="36"/>
  <c r="E350" i="36"/>
  <c r="E346" i="36"/>
  <c r="E345" i="36"/>
  <c r="E344" i="36"/>
  <c r="E343" i="36"/>
  <c r="E339" i="36"/>
  <c r="E338" i="36"/>
  <c r="E337" i="36"/>
  <c r="E336" i="36"/>
  <c r="E335" i="36"/>
  <c r="E334" i="36"/>
  <c r="E333" i="36"/>
  <c r="E332" i="36"/>
  <c r="E331" i="36"/>
  <c r="E327" i="36"/>
  <c r="E326" i="36"/>
  <c r="E325" i="36"/>
  <c r="E324" i="36"/>
  <c r="E320" i="36"/>
  <c r="E319" i="36"/>
  <c r="E318" i="36"/>
  <c r="E317" i="36"/>
  <c r="E316" i="36"/>
  <c r="E315" i="36"/>
  <c r="E314" i="36"/>
  <c r="E313" i="36"/>
  <c r="E312" i="36"/>
  <c r="E308" i="36"/>
  <c r="E307" i="36"/>
  <c r="E306" i="36"/>
  <c r="E305" i="36"/>
  <c r="E304" i="36"/>
  <c r="E303" i="36"/>
  <c r="E302" i="36"/>
  <c r="E301" i="36"/>
  <c r="E297" i="36"/>
  <c r="E296" i="36"/>
  <c r="E295" i="36"/>
  <c r="E294" i="36"/>
  <c r="E293" i="36"/>
  <c r="E292" i="36"/>
  <c r="E291" i="36"/>
  <c r="E290" i="36"/>
  <c r="E286" i="36"/>
  <c r="E285" i="36"/>
  <c r="E284" i="36"/>
  <c r="E283" i="36"/>
  <c r="E279" i="36"/>
  <c r="E278" i="36"/>
  <c r="E277" i="36"/>
  <c r="E276" i="36"/>
  <c r="E272" i="36"/>
  <c r="E271" i="36"/>
  <c r="E270" i="36"/>
  <c r="E269" i="36"/>
  <c r="E268" i="36"/>
  <c r="E267" i="36"/>
  <c r="E263" i="36"/>
  <c r="E262" i="36"/>
  <c r="E261" i="36"/>
  <c r="E260" i="36"/>
  <c r="E259" i="36"/>
  <c r="E258" i="36"/>
  <c r="E254" i="36"/>
  <c r="E253" i="36"/>
  <c r="E252" i="36"/>
  <c r="E248" i="36"/>
  <c r="E247" i="36"/>
  <c r="E246" i="36"/>
  <c r="E245" i="36"/>
  <c r="E244" i="36"/>
  <c r="E243" i="36"/>
  <c r="E242" i="36"/>
  <c r="E238" i="36"/>
  <c r="E237" i="36"/>
  <c r="E236" i="36"/>
  <c r="E235" i="36"/>
  <c r="E231" i="36"/>
  <c r="E230" i="36"/>
  <c r="E229" i="36"/>
  <c r="E228" i="36"/>
  <c r="E227" i="36"/>
  <c r="E222" i="36"/>
  <c r="E221" i="36"/>
  <c r="E220" i="36"/>
  <c r="E219" i="36"/>
  <c r="E218" i="36"/>
  <c r="E217" i="36"/>
  <c r="E213" i="36"/>
  <c r="E212" i="36"/>
  <c r="E211" i="36"/>
  <c r="E210" i="36"/>
  <c r="E206" i="36"/>
  <c r="E205" i="36"/>
  <c r="E204" i="36"/>
  <c r="E203" i="36"/>
  <c r="E202" i="36"/>
  <c r="E201" i="36"/>
  <c r="E197" i="36"/>
  <c r="E196" i="36"/>
  <c r="E195" i="36"/>
  <c r="E194" i="36"/>
  <c r="E193" i="36"/>
  <c r="E192" i="36"/>
  <c r="E191" i="36"/>
  <c r="E190" i="36"/>
  <c r="E186" i="36"/>
  <c r="E185" i="36"/>
  <c r="E184" i="36"/>
  <c r="E183" i="36"/>
  <c r="E182" i="36"/>
  <c r="E181" i="36"/>
  <c r="E180" i="36"/>
  <c r="E179" i="36"/>
  <c r="E178" i="36"/>
  <c r="E174" i="36"/>
  <c r="E173" i="36"/>
  <c r="E172" i="36"/>
  <c r="E171" i="36"/>
  <c r="E170" i="36"/>
  <c r="E169" i="36"/>
  <c r="E168" i="36"/>
  <c r="E164" i="36"/>
  <c r="E163" i="36"/>
  <c r="E162" i="36"/>
  <c r="E161" i="36"/>
  <c r="E160" i="36"/>
  <c r="E159" i="36"/>
  <c r="E158" i="36"/>
  <c r="E157" i="36"/>
  <c r="E156" i="36"/>
  <c r="E152" i="36"/>
  <c r="E151" i="36"/>
  <c r="E150" i="36"/>
  <c r="E146" i="36"/>
  <c r="E145" i="36"/>
  <c r="E144" i="36"/>
  <c r="E143" i="36"/>
  <c r="E139" i="36"/>
  <c r="E138" i="36"/>
  <c r="E137" i="36"/>
  <c r="E136" i="36"/>
  <c r="E135" i="36"/>
  <c r="E130" i="36"/>
  <c r="E129" i="36"/>
  <c r="E128" i="36"/>
  <c r="E127" i="36"/>
  <c r="E126" i="36"/>
  <c r="E125" i="36"/>
  <c r="E121" i="36"/>
  <c r="E120" i="36"/>
  <c r="E119" i="36"/>
  <c r="E118" i="36"/>
  <c r="E117" i="36"/>
  <c r="E116" i="36"/>
  <c r="E115" i="36"/>
  <c r="E114" i="36"/>
  <c r="E110" i="36"/>
  <c r="E109" i="36"/>
  <c r="E108" i="36"/>
  <c r="E107" i="36"/>
  <c r="E103" i="36"/>
  <c r="E102" i="36"/>
  <c r="E101" i="36"/>
  <c r="E100" i="36"/>
  <c r="E96" i="36"/>
  <c r="E95" i="36"/>
  <c r="E94" i="36"/>
  <c r="E93" i="36"/>
  <c r="E92" i="36"/>
  <c r="E91" i="36"/>
  <c r="E90" i="36"/>
  <c r="E89" i="36"/>
  <c r="E88" i="36"/>
  <c r="E84" i="36"/>
  <c r="E83" i="36"/>
  <c r="E82" i="36"/>
  <c r="E81" i="36"/>
  <c r="E80" i="36"/>
  <c r="E79" i="36"/>
  <c r="E78" i="36"/>
  <c r="E74" i="36"/>
  <c r="E73" i="36"/>
  <c r="E72" i="36"/>
  <c r="E71" i="36"/>
  <c r="E70" i="36"/>
  <c r="E69" i="36"/>
  <c r="E65" i="36"/>
  <c r="E64" i="36"/>
  <c r="E63" i="36"/>
  <c r="E62" i="36"/>
  <c r="E61" i="36"/>
  <c r="E56" i="36"/>
  <c r="E55" i="36"/>
  <c r="E54" i="36"/>
  <c r="E53" i="36"/>
  <c r="E52" i="36"/>
  <c r="E51" i="36"/>
  <c r="E50" i="36"/>
  <c r="E49" i="36"/>
  <c r="E45" i="36"/>
  <c r="E44" i="36"/>
  <c r="E43" i="36"/>
  <c r="E42" i="36"/>
  <c r="E41" i="36"/>
  <c r="E40" i="36"/>
  <c r="E39" i="36"/>
  <c r="E38" i="36"/>
  <c r="E34" i="36"/>
  <c r="E33" i="36"/>
  <c r="E32" i="36"/>
  <c r="E31" i="36"/>
  <c r="E30" i="36"/>
  <c r="E29" i="36"/>
  <c r="E28" i="36"/>
  <c r="E27" i="36"/>
  <c r="E26" i="36"/>
  <c r="E22" i="36"/>
  <c r="E21" i="36"/>
  <c r="E20" i="36"/>
  <c r="E16" i="36"/>
  <c r="E15" i="36"/>
  <c r="E14" i="36"/>
  <c r="E13" i="36"/>
  <c r="E12" i="36"/>
  <c r="E11" i="36"/>
  <c r="E10" i="36"/>
  <c r="E9" i="36"/>
  <c r="E8" i="36"/>
  <c r="E7" i="36"/>
  <c r="E6" i="36"/>
  <c r="E547" i="32"/>
  <c r="E546" i="32"/>
  <c r="E545" i="32"/>
  <c r="E544" i="32"/>
  <c r="E543" i="32"/>
  <c r="E542" i="32"/>
  <c r="E538" i="32"/>
  <c r="E537" i="32"/>
  <c r="E536" i="32"/>
  <c r="E535" i="32"/>
  <c r="E534" i="32"/>
  <c r="E533" i="32"/>
  <c r="E529" i="32"/>
  <c r="E528" i="32"/>
  <c r="E527" i="32"/>
  <c r="E526" i="32"/>
  <c r="E525" i="32"/>
  <c r="E524" i="32"/>
  <c r="E520" i="32"/>
  <c r="E519" i="32"/>
  <c r="E518" i="32"/>
  <c r="E517" i="32"/>
  <c r="E513" i="32"/>
  <c r="E512" i="32"/>
  <c r="E511" i="32"/>
  <c r="E510" i="32"/>
  <c r="E506" i="32"/>
  <c r="E505" i="32"/>
  <c r="E504" i="32"/>
  <c r="E503" i="32"/>
  <c r="E502" i="32"/>
  <c r="E501" i="32"/>
  <c r="E500" i="32"/>
  <c r="E499" i="32"/>
  <c r="E495" i="32"/>
  <c r="E494" i="32"/>
  <c r="E493" i="32"/>
  <c r="E492" i="32"/>
  <c r="E485" i="32"/>
  <c r="E484" i="32"/>
  <c r="E483" i="32"/>
  <c r="E482" i="32"/>
  <c r="E481" i="32"/>
  <c r="E480" i="32"/>
  <c r="E479" i="32"/>
  <c r="E478" i="32"/>
  <c r="E474" i="32"/>
  <c r="E473" i="32"/>
  <c r="E472" i="32"/>
  <c r="E471" i="32"/>
  <c r="E467" i="32"/>
  <c r="E466" i="32"/>
  <c r="E465" i="32"/>
  <c r="E464" i="32"/>
  <c r="E463" i="32"/>
  <c r="E462" i="32"/>
  <c r="E461" i="32"/>
  <c r="E460" i="32"/>
  <c r="E459" i="32"/>
  <c r="E455" i="32"/>
  <c r="E454" i="32"/>
  <c r="E453" i="32"/>
  <c r="E452" i="32"/>
  <c r="E451" i="32"/>
  <c r="E446" i="32"/>
  <c r="E445" i="32"/>
  <c r="E444" i="32"/>
  <c r="E443" i="32"/>
  <c r="E442" i="32"/>
  <c r="E441" i="32"/>
  <c r="E440" i="32"/>
  <c r="E439" i="32"/>
  <c r="E438" i="32"/>
  <c r="E434" i="32"/>
  <c r="E433" i="32"/>
  <c r="E432" i="32"/>
  <c r="E431" i="32"/>
  <c r="E430" i="32"/>
  <c r="E429" i="32"/>
  <c r="E428" i="32"/>
  <c r="E427" i="32"/>
  <c r="E426" i="32"/>
  <c r="E422" i="32"/>
  <c r="E421" i="32"/>
  <c r="E420" i="32"/>
  <c r="E419" i="32"/>
  <c r="E418" i="32"/>
  <c r="E417" i="32"/>
  <c r="E416" i="32"/>
  <c r="E415" i="32"/>
  <c r="E411" i="32"/>
  <c r="E410" i="32"/>
  <c r="E409" i="32"/>
  <c r="E408" i="32"/>
  <c r="E407" i="32"/>
  <c r="E406" i="32"/>
  <c r="E405" i="32"/>
  <c r="E404" i="32"/>
  <c r="E403" i="32"/>
  <c r="E399" i="32"/>
  <c r="E398" i="32"/>
  <c r="E397" i="32"/>
  <c r="E396" i="32"/>
  <c r="E395" i="32"/>
  <c r="E394" i="32"/>
  <c r="E393" i="32"/>
  <c r="E392" i="32"/>
  <c r="E391" i="32"/>
  <c r="E387" i="32"/>
  <c r="E386" i="32"/>
  <c r="E385" i="32"/>
  <c r="E384" i="32"/>
  <c r="E383" i="32"/>
  <c r="E382" i="32"/>
  <c r="E381" i="32"/>
  <c r="E380" i="32"/>
  <c r="E376" i="32"/>
  <c r="E375" i="32"/>
  <c r="E374" i="32"/>
  <c r="E373" i="32"/>
  <c r="E372" i="32"/>
  <c r="E371" i="32"/>
  <c r="E370" i="32"/>
  <c r="E369" i="32"/>
  <c r="E368" i="32"/>
  <c r="E364" i="32"/>
  <c r="E363" i="32"/>
  <c r="E362" i="32"/>
  <c r="E361" i="32"/>
  <c r="E357" i="32"/>
  <c r="E356" i="32"/>
  <c r="E355" i="32"/>
  <c r="E354" i="32"/>
  <c r="E353" i="32"/>
  <c r="E352" i="32"/>
  <c r="E348" i="32"/>
  <c r="E347" i="32"/>
  <c r="E346" i="32"/>
  <c r="E345" i="32"/>
  <c r="E344" i="32"/>
  <c r="E343" i="32"/>
  <c r="E342" i="32"/>
  <c r="E341" i="32"/>
  <c r="E340" i="32"/>
  <c r="E336" i="32"/>
  <c r="E335" i="32"/>
  <c r="E334" i="32"/>
  <c r="E333" i="32"/>
  <c r="E332" i="32"/>
  <c r="E331" i="32"/>
  <c r="E330" i="32"/>
  <c r="E329" i="32"/>
  <c r="E328" i="32"/>
  <c r="E324" i="32"/>
  <c r="E323" i="32"/>
  <c r="E322" i="32"/>
  <c r="E321" i="32"/>
  <c r="E320" i="32"/>
  <c r="E319" i="32"/>
  <c r="E318" i="32"/>
  <c r="E317" i="32"/>
  <c r="E313" i="32"/>
  <c r="E312" i="32"/>
  <c r="E311" i="32"/>
  <c r="E310" i="32"/>
  <c r="E306" i="32"/>
  <c r="E305" i="32"/>
  <c r="E304" i="32"/>
  <c r="E303" i="32"/>
  <c r="E299" i="32"/>
  <c r="E298" i="32"/>
  <c r="E297" i="32"/>
  <c r="E296" i="32"/>
  <c r="E295" i="32"/>
  <c r="E294" i="32"/>
  <c r="E293" i="32"/>
  <c r="E292" i="32"/>
  <c r="E288" i="32"/>
  <c r="E287" i="32"/>
  <c r="E286" i="32"/>
  <c r="E285" i="32"/>
  <c r="E284" i="32"/>
  <c r="E283" i="32"/>
  <c r="E279" i="32"/>
  <c r="E278" i="32"/>
  <c r="E277" i="32"/>
  <c r="E276" i="32"/>
  <c r="E275" i="32"/>
  <c r="E274" i="32"/>
  <c r="E273" i="32"/>
  <c r="E269" i="32"/>
  <c r="E268" i="32"/>
  <c r="E267" i="32"/>
  <c r="E266" i="32"/>
  <c r="E265" i="32"/>
  <c r="E264" i="32"/>
  <c r="E260" i="32"/>
  <c r="E259" i="32"/>
  <c r="E258" i="32"/>
  <c r="E254" i="32"/>
  <c r="E253" i="32"/>
  <c r="E252" i="32"/>
  <c r="E251" i="32"/>
  <c r="E247" i="32"/>
  <c r="E246" i="32"/>
  <c r="E245" i="32"/>
  <c r="E244" i="32"/>
  <c r="E243" i="32"/>
  <c r="E238" i="32"/>
  <c r="E237" i="32"/>
  <c r="E236" i="32"/>
  <c r="E235" i="32"/>
  <c r="E234" i="32"/>
  <c r="E233" i="32"/>
  <c r="E229" i="32"/>
  <c r="E228" i="32"/>
  <c r="E227" i="32"/>
  <c r="E226" i="32"/>
  <c r="E225" i="32"/>
  <c r="E224" i="32"/>
  <c r="E223" i="32"/>
  <c r="E222" i="32"/>
  <c r="E218" i="32"/>
  <c r="E217" i="32"/>
  <c r="E216" i="32"/>
  <c r="E215" i="32"/>
  <c r="E214" i="32"/>
  <c r="E213" i="32"/>
  <c r="E212" i="32"/>
  <c r="E211" i="32"/>
  <c r="E207" i="32"/>
  <c r="E206" i="32"/>
  <c r="E205" i="32"/>
  <c r="E204" i="32"/>
  <c r="E203" i="32"/>
  <c r="E202" i="32"/>
  <c r="E198" i="32"/>
  <c r="E197" i="32"/>
  <c r="E196" i="32"/>
  <c r="E195" i="32"/>
  <c r="E191" i="32"/>
  <c r="E190" i="32"/>
  <c r="E189" i="32"/>
  <c r="E188" i="32"/>
  <c r="E187" i="32"/>
  <c r="E186" i="32"/>
  <c r="E185" i="32"/>
  <c r="E184" i="32"/>
  <c r="E180" i="32"/>
  <c r="E179" i="32"/>
  <c r="E178" i="32"/>
  <c r="E177" i="32"/>
  <c r="E176" i="32"/>
  <c r="E175" i="32"/>
  <c r="E174" i="32"/>
  <c r="E173" i="32"/>
  <c r="E172" i="32"/>
  <c r="E168" i="32"/>
  <c r="E167" i="32"/>
  <c r="E166" i="32"/>
  <c r="E165" i="32"/>
  <c r="E164" i="32"/>
  <c r="E163" i="32"/>
  <c r="E162" i="32"/>
  <c r="E158" i="32"/>
  <c r="E157" i="32"/>
  <c r="E156" i="32"/>
  <c r="E155" i="32"/>
  <c r="E154" i="32"/>
  <c r="E153" i="32"/>
  <c r="E152" i="32"/>
  <c r="E151" i="32"/>
  <c r="E150" i="32"/>
  <c r="E146" i="32"/>
  <c r="E145" i="32"/>
  <c r="E144" i="32"/>
  <c r="E140" i="32"/>
  <c r="E139" i="32"/>
  <c r="E138" i="32"/>
  <c r="E137" i="32"/>
  <c r="E136" i="32"/>
  <c r="E131" i="32"/>
  <c r="E130" i="32"/>
  <c r="E129" i="32"/>
  <c r="E128" i="32"/>
  <c r="E127" i="32"/>
  <c r="E126" i="32"/>
  <c r="E122" i="32"/>
  <c r="E121" i="32"/>
  <c r="E120" i="32"/>
  <c r="E119" i="32"/>
  <c r="E118" i="32"/>
  <c r="E117" i="32"/>
  <c r="E116" i="32"/>
  <c r="E115" i="32"/>
  <c r="E114" i="32"/>
  <c r="E110" i="32"/>
  <c r="E109" i="32"/>
  <c r="E108" i="32"/>
  <c r="E107" i="32"/>
  <c r="E103" i="32"/>
  <c r="E102" i="32"/>
  <c r="E101" i="32"/>
  <c r="E100" i="32"/>
  <c r="E96" i="32"/>
  <c r="E95" i="32"/>
  <c r="E94" i="32"/>
  <c r="E93" i="32"/>
  <c r="E92" i="32"/>
  <c r="E91" i="32"/>
  <c r="E90" i="32"/>
  <c r="E89" i="32"/>
  <c r="E88" i="32"/>
  <c r="E84" i="32"/>
  <c r="E83" i="32"/>
  <c r="E82" i="32"/>
  <c r="E81" i="32"/>
  <c r="E80" i="32"/>
  <c r="E79" i="32"/>
  <c r="E78" i="32"/>
  <c r="E74" i="32"/>
  <c r="E73" i="32"/>
  <c r="E72" i="32"/>
  <c r="E71" i="32"/>
  <c r="E70" i="32"/>
  <c r="E69" i="32"/>
  <c r="E65" i="32"/>
  <c r="E64" i="32"/>
  <c r="E63" i="32"/>
  <c r="E62" i="32"/>
  <c r="E61" i="32"/>
  <c r="E56" i="32"/>
  <c r="E55" i="32"/>
  <c r="E54" i="32"/>
  <c r="E53" i="32"/>
  <c r="E52" i="32"/>
  <c r="E51" i="32"/>
  <c r="E50" i="32"/>
  <c r="E49" i="32"/>
  <c r="E45" i="32"/>
  <c r="E44" i="32"/>
  <c r="E43" i="32"/>
  <c r="E42" i="32"/>
  <c r="E41" i="32"/>
  <c r="E40" i="32"/>
  <c r="E39" i="32"/>
  <c r="E38" i="32"/>
  <c r="E34" i="32"/>
  <c r="E33" i="32"/>
  <c r="E32" i="32"/>
  <c r="E31" i="32"/>
  <c r="E30" i="32"/>
  <c r="E29" i="32"/>
  <c r="E28" i="32"/>
  <c r="E27" i="32"/>
  <c r="E26" i="32"/>
  <c r="E22" i="32"/>
  <c r="E21" i="32"/>
  <c r="E20" i="32"/>
  <c r="E16" i="32"/>
  <c r="E15" i="32"/>
  <c r="E14" i="32"/>
  <c r="E13" i="32"/>
  <c r="E12" i="32"/>
  <c r="E11" i="32"/>
  <c r="E10" i="32"/>
  <c r="E9" i="32"/>
  <c r="E8" i="32"/>
  <c r="E7" i="32"/>
  <c r="E6" i="32"/>
  <c r="E564" i="31"/>
  <c r="E563" i="31"/>
  <c r="E562" i="31"/>
  <c r="E561" i="31"/>
  <c r="E560" i="31"/>
  <c r="E559" i="31"/>
  <c r="E558" i="31"/>
  <c r="E554" i="31"/>
  <c r="E553" i="31"/>
  <c r="E552" i="31"/>
  <c r="E551" i="31"/>
  <c r="E550" i="31"/>
  <c r="E549" i="31"/>
  <c r="E548" i="31"/>
  <c r="E547" i="31"/>
  <c r="E543" i="31"/>
  <c r="E542" i="31"/>
  <c r="E541" i="31"/>
  <c r="E540" i="31"/>
  <c r="E539" i="31"/>
  <c r="E538" i="31"/>
  <c r="E534" i="31"/>
  <c r="E533" i="31"/>
  <c r="E532" i="31"/>
  <c r="E531" i="31"/>
  <c r="E530" i="31"/>
  <c r="E529" i="31"/>
  <c r="E525" i="31"/>
  <c r="E524" i="31"/>
  <c r="E523" i="31"/>
  <c r="E522" i="31"/>
  <c r="E518" i="31"/>
  <c r="E517" i="31"/>
  <c r="E516" i="31"/>
  <c r="E515" i="31"/>
  <c r="E511" i="31"/>
  <c r="E510" i="31"/>
  <c r="E509" i="31"/>
  <c r="E508" i="31"/>
  <c r="E507" i="31"/>
  <c r="E506" i="31"/>
  <c r="E502" i="31"/>
  <c r="E501" i="31"/>
  <c r="E500" i="31"/>
  <c r="E499" i="31"/>
  <c r="E498" i="31"/>
  <c r="E497" i="31"/>
  <c r="E496" i="31"/>
  <c r="E495" i="31"/>
  <c r="E491" i="31"/>
  <c r="E490" i="31"/>
  <c r="E489" i="31"/>
  <c r="E488" i="31"/>
  <c r="E481" i="31"/>
  <c r="E480" i="31"/>
  <c r="E479" i="31"/>
  <c r="E478" i="31"/>
  <c r="E477" i="31"/>
  <c r="E476" i="31"/>
  <c r="E475" i="31"/>
  <c r="E474" i="31"/>
  <c r="E470" i="31"/>
  <c r="E469" i="31"/>
  <c r="E468" i="31"/>
  <c r="E467" i="31"/>
  <c r="E463" i="31"/>
  <c r="E462" i="31"/>
  <c r="E461" i="31"/>
  <c r="E460" i="31"/>
  <c r="E456" i="31"/>
  <c r="E455" i="31"/>
  <c r="E454" i="31"/>
  <c r="E453" i="31"/>
  <c r="E452" i="31"/>
  <c r="E447" i="31"/>
  <c r="E446" i="31"/>
  <c r="E445" i="31"/>
  <c r="E444" i="31"/>
  <c r="E443" i="31"/>
  <c r="E442" i="31"/>
  <c r="E441" i="31"/>
  <c r="E440" i="31"/>
  <c r="E439" i="31"/>
  <c r="E435" i="31"/>
  <c r="E434" i="31"/>
  <c r="E433" i="31"/>
  <c r="E432" i="31"/>
  <c r="E431" i="31"/>
  <c r="E430" i="31"/>
  <c r="E429" i="31"/>
  <c r="E428" i="31"/>
  <c r="E427" i="31"/>
  <c r="E423" i="31"/>
  <c r="E422" i="31"/>
  <c r="E421" i="31"/>
  <c r="E420" i="31"/>
  <c r="E419" i="31"/>
  <c r="E418" i="31"/>
  <c r="E414" i="31"/>
  <c r="E413" i="31"/>
  <c r="E412" i="31"/>
  <c r="E411" i="31"/>
  <c r="E410" i="31"/>
  <c r="E409" i="31"/>
  <c r="E408" i="31"/>
  <c r="E407" i="31"/>
  <c r="E403" i="31"/>
  <c r="E402" i="31"/>
  <c r="E401" i="31"/>
  <c r="E400" i="31"/>
  <c r="E399" i="31"/>
  <c r="E398" i="31"/>
  <c r="E397" i="31"/>
  <c r="E396" i="31"/>
  <c r="E395" i="31"/>
  <c r="E391" i="31"/>
  <c r="E390" i="31"/>
  <c r="E389" i="31"/>
  <c r="E388" i="31"/>
  <c r="E387" i="31"/>
  <c r="E386" i="31"/>
  <c r="E385" i="31"/>
  <c r="E384" i="31"/>
  <c r="E383" i="31"/>
  <c r="E379" i="31"/>
  <c r="E378" i="31"/>
  <c r="E377" i="31"/>
  <c r="E376" i="31"/>
  <c r="E375" i="31"/>
  <c r="E374" i="31"/>
  <c r="E373" i="31"/>
  <c r="E372" i="31"/>
  <c r="E368" i="31"/>
  <c r="E367" i="31"/>
  <c r="E366" i="31"/>
  <c r="E365" i="31"/>
  <c r="E363" i="31"/>
  <c r="E362" i="31"/>
  <c r="E361" i="31"/>
  <c r="E360" i="31"/>
  <c r="E356" i="31"/>
  <c r="E355" i="31"/>
  <c r="E354" i="31"/>
  <c r="E353" i="31"/>
  <c r="E349" i="31"/>
  <c r="E348" i="31"/>
  <c r="E347" i="31"/>
  <c r="E346" i="31"/>
  <c r="E345" i="31"/>
  <c r="E344" i="31"/>
  <c r="E340" i="31"/>
  <c r="E339" i="31"/>
  <c r="E338" i="31"/>
  <c r="E337" i="31"/>
  <c r="E336" i="31"/>
  <c r="E335" i="31"/>
  <c r="E334" i="31"/>
  <c r="E333" i="31"/>
  <c r="E332" i="31"/>
  <c r="E328" i="31"/>
  <c r="E327" i="31"/>
  <c r="E326" i="31"/>
  <c r="E325" i="31"/>
  <c r="E324" i="31"/>
  <c r="E323" i="31"/>
  <c r="E322" i="31"/>
  <c r="E321" i="31"/>
  <c r="E320" i="31"/>
  <c r="E316" i="31"/>
  <c r="E315" i="31"/>
  <c r="E314" i="31"/>
  <c r="E313" i="31"/>
  <c r="E312" i="31"/>
  <c r="E311" i="31"/>
  <c r="E310" i="31"/>
  <c r="E309" i="31"/>
  <c r="E305" i="31"/>
  <c r="E304" i="31"/>
  <c r="E303" i="31"/>
  <c r="E302" i="31"/>
  <c r="E298" i="31"/>
  <c r="E297" i="31"/>
  <c r="E296" i="31"/>
  <c r="E295" i="31"/>
  <c r="E291" i="31"/>
  <c r="E290" i="31"/>
  <c r="E289" i="31"/>
  <c r="E288" i="31"/>
  <c r="E287" i="31"/>
  <c r="E286" i="31"/>
  <c r="E285" i="31"/>
  <c r="E284" i="31"/>
  <c r="E280" i="31"/>
  <c r="E279" i="31"/>
  <c r="E278" i="31"/>
  <c r="E277" i="31"/>
  <c r="E276" i="31"/>
  <c r="E275" i="31"/>
  <c r="E274" i="31"/>
  <c r="E273" i="31"/>
  <c r="E272" i="31"/>
  <c r="E268" i="31"/>
  <c r="E267" i="31"/>
  <c r="E266" i="31"/>
  <c r="E265" i="31"/>
  <c r="E264" i="31"/>
  <c r="E263" i="31"/>
  <c r="E262" i="31"/>
  <c r="E258" i="31"/>
  <c r="E257" i="31"/>
  <c r="E256" i="31"/>
  <c r="E255" i="31"/>
  <c r="E254" i="31"/>
  <c r="E253" i="31"/>
  <c r="E249" i="31"/>
  <c r="E248" i="31"/>
  <c r="E247" i="31"/>
  <c r="E243" i="31"/>
  <c r="E242" i="31"/>
  <c r="E241" i="31"/>
  <c r="E240" i="31"/>
  <c r="E236" i="31"/>
  <c r="E235" i="31"/>
  <c r="E234" i="31"/>
  <c r="E233" i="31"/>
  <c r="E232" i="31"/>
  <c r="E227" i="31"/>
  <c r="E226" i="31"/>
  <c r="E225" i="31"/>
  <c r="E224" i="31"/>
  <c r="E223" i="31"/>
  <c r="E222" i="31"/>
  <c r="E218" i="31"/>
  <c r="E217" i="31"/>
  <c r="E216" i="31"/>
  <c r="E215" i="31"/>
  <c r="E214" i="31"/>
  <c r="E213" i="31"/>
  <c r="E212" i="31"/>
  <c r="E211" i="31"/>
  <c r="E207" i="31"/>
  <c r="E206" i="31"/>
  <c r="E205" i="31"/>
  <c r="E204" i="31"/>
  <c r="E203" i="31"/>
  <c r="E202" i="31"/>
  <c r="E201" i="31"/>
  <c r="E200" i="31"/>
  <c r="E196" i="31"/>
  <c r="E195" i="31"/>
  <c r="E194" i="31"/>
  <c r="E193" i="31"/>
  <c r="E192" i="31"/>
  <c r="E191" i="31"/>
  <c r="E187" i="31"/>
  <c r="E186" i="31"/>
  <c r="E185" i="31"/>
  <c r="E184" i="31"/>
  <c r="E180" i="31"/>
  <c r="E179" i="31"/>
  <c r="E178" i="31"/>
  <c r="E177" i="31"/>
  <c r="E176" i="31"/>
  <c r="E175" i="31"/>
  <c r="E174" i="31"/>
  <c r="E173" i="31"/>
  <c r="E172" i="31"/>
  <c r="E168" i="31"/>
  <c r="E167" i="31"/>
  <c r="E166" i="31"/>
  <c r="E165" i="31"/>
  <c r="E164" i="31"/>
  <c r="E163" i="31"/>
  <c r="E162" i="31"/>
  <c r="E158" i="31"/>
  <c r="E157" i="31"/>
  <c r="E156" i="31"/>
  <c r="E155" i="31"/>
  <c r="E154" i="31"/>
  <c r="E153" i="31"/>
  <c r="E152" i="31"/>
  <c r="E151" i="31"/>
  <c r="E150" i="31"/>
  <c r="E146" i="31"/>
  <c r="E145" i="31"/>
  <c r="E144" i="31"/>
  <c r="E140" i="31"/>
  <c r="E139" i="31"/>
  <c r="E138" i="31"/>
  <c r="E137" i="31"/>
  <c r="E136" i="31"/>
  <c r="E131" i="31"/>
  <c r="E130" i="31"/>
  <c r="E129" i="31"/>
  <c r="E128" i="31"/>
  <c r="E127" i="31"/>
  <c r="E126" i="31"/>
  <c r="E125" i="31"/>
  <c r="E124" i="31"/>
  <c r="E123" i="31"/>
  <c r="E119" i="31"/>
  <c r="E118" i="31"/>
  <c r="E117" i="31"/>
  <c r="E116" i="31"/>
  <c r="E115" i="31"/>
  <c r="E114" i="31"/>
  <c r="E110" i="31"/>
  <c r="E109" i="31"/>
  <c r="E108" i="31"/>
  <c r="E107" i="31"/>
  <c r="E103" i="31"/>
  <c r="E102" i="31"/>
  <c r="E101" i="31"/>
  <c r="E100" i="31"/>
  <c r="E96" i="31"/>
  <c r="E95" i="31"/>
  <c r="E94" i="31"/>
  <c r="E93" i="31"/>
  <c r="E92" i="31"/>
  <c r="E91" i="31"/>
  <c r="E90" i="31"/>
  <c r="E89" i="31"/>
  <c r="E88" i="31"/>
  <c r="E84" i="31"/>
  <c r="E83" i="31"/>
  <c r="E82" i="31"/>
  <c r="E81" i="31"/>
  <c r="E80" i="31"/>
  <c r="E79" i="31"/>
  <c r="E78" i="31"/>
  <c r="E74" i="31"/>
  <c r="E73" i="31"/>
  <c r="E72" i="31"/>
  <c r="E71" i="31"/>
  <c r="E70" i="31"/>
  <c r="E69" i="31"/>
  <c r="E65" i="31"/>
  <c r="E64" i="31"/>
  <c r="E63" i="31"/>
  <c r="E62" i="31"/>
  <c r="E61" i="31"/>
  <c r="E56" i="31"/>
  <c r="E55" i="31"/>
  <c r="E54" i="31"/>
  <c r="E53" i="31"/>
  <c r="E52" i="31"/>
  <c r="E51" i="31"/>
  <c r="E50" i="31"/>
  <c r="E49" i="31"/>
  <c r="E45" i="31"/>
  <c r="E44" i="31"/>
  <c r="E43" i="31"/>
  <c r="E42" i="31"/>
  <c r="E41" i="31"/>
  <c r="E40" i="31"/>
  <c r="E39" i="31"/>
  <c r="E38" i="31"/>
  <c r="E34" i="31"/>
  <c r="E33" i="31"/>
  <c r="E32" i="31"/>
  <c r="E31" i="31"/>
  <c r="E30" i="31"/>
  <c r="E28" i="31"/>
  <c r="E27" i="31"/>
  <c r="E26" i="31"/>
  <c r="E22" i="31"/>
  <c r="E21" i="31"/>
  <c r="E20" i="31"/>
  <c r="E16" i="31"/>
  <c r="E15" i="31"/>
  <c r="E14" i="31"/>
  <c r="E13" i="31"/>
  <c r="E12" i="31"/>
  <c r="E11" i="31"/>
  <c r="E10" i="31"/>
  <c r="E9" i="31"/>
  <c r="E8" i="31"/>
  <c r="E7" i="31"/>
  <c r="E6" i="31"/>
  <c r="E544" i="30"/>
  <c r="E543" i="30"/>
  <c r="E542" i="30"/>
  <c r="E541" i="30"/>
  <c r="E540" i="30"/>
  <c r="E536" i="30"/>
  <c r="E535" i="30"/>
  <c r="E534" i="30"/>
  <c r="E533" i="30"/>
  <c r="E532" i="30"/>
  <c r="E531" i="30"/>
  <c r="E527" i="30"/>
  <c r="E526" i="30"/>
  <c r="E525" i="30"/>
  <c r="E524" i="30"/>
  <c r="E520" i="30"/>
  <c r="E519" i="30"/>
  <c r="E518" i="30"/>
  <c r="E517" i="30"/>
  <c r="E513" i="30"/>
  <c r="E512" i="30"/>
  <c r="E511" i="30"/>
  <c r="E510" i="30"/>
  <c r="E509" i="30"/>
  <c r="E508" i="30"/>
  <c r="E504" i="30"/>
  <c r="E503" i="30"/>
  <c r="E502" i="30"/>
  <c r="E501" i="30"/>
  <c r="E500" i="30"/>
  <c r="E499" i="30"/>
  <c r="E498" i="30"/>
  <c r="E497" i="30"/>
  <c r="E493" i="30"/>
  <c r="E492" i="30"/>
  <c r="E491" i="30"/>
  <c r="E490" i="30"/>
  <c r="E489" i="30"/>
  <c r="E488" i="30"/>
  <c r="E487" i="30"/>
  <c r="E483" i="30"/>
  <c r="E482" i="30"/>
  <c r="E481" i="30"/>
  <c r="E480" i="30"/>
  <c r="E479" i="30"/>
  <c r="E478" i="30"/>
  <c r="E477" i="30"/>
  <c r="E476" i="30"/>
  <c r="E472" i="30"/>
  <c r="E471" i="30"/>
  <c r="E470" i="30"/>
  <c r="E469" i="30"/>
  <c r="E465" i="30"/>
  <c r="E464" i="30"/>
  <c r="E463" i="30"/>
  <c r="E462" i="30"/>
  <c r="E458" i="30"/>
  <c r="E457" i="30"/>
  <c r="E456" i="30"/>
  <c r="E455" i="30"/>
  <c r="E454" i="30"/>
  <c r="E449" i="30"/>
  <c r="E448" i="30"/>
  <c r="E447" i="30"/>
  <c r="E446" i="30"/>
  <c r="E445" i="30"/>
  <c r="E444" i="30"/>
  <c r="E443" i="30"/>
  <c r="E442" i="30"/>
  <c r="E441" i="30"/>
  <c r="E437" i="30"/>
  <c r="E436" i="30"/>
  <c r="E435" i="30"/>
  <c r="E434" i="30"/>
  <c r="E433" i="30"/>
  <c r="E432" i="30"/>
  <c r="E431" i="30"/>
  <c r="E430" i="30"/>
  <c r="E429" i="30"/>
  <c r="E425" i="30"/>
  <c r="E424" i="30"/>
  <c r="E423" i="30"/>
  <c r="E422" i="30"/>
  <c r="E421" i="30"/>
  <c r="E420" i="30"/>
  <c r="E419" i="30"/>
  <c r="E418" i="30"/>
  <c r="E414" i="30"/>
  <c r="E413" i="30"/>
  <c r="E412" i="30"/>
  <c r="E411" i="30"/>
  <c r="E410" i="30"/>
  <c r="E409" i="30"/>
  <c r="E408" i="30"/>
  <c r="E407" i="30"/>
  <c r="E406" i="30"/>
  <c r="E402" i="30"/>
  <c r="E401" i="30"/>
  <c r="E400" i="30"/>
  <c r="E399" i="30"/>
  <c r="E398" i="30"/>
  <c r="E397" i="30"/>
  <c r="E396" i="30"/>
  <c r="E395" i="30"/>
  <c r="E394" i="30"/>
  <c r="E390" i="30"/>
  <c r="E389" i="30"/>
  <c r="E388" i="30"/>
  <c r="E387" i="30"/>
  <c r="E386" i="30"/>
  <c r="E385" i="30"/>
  <c r="E384" i="30"/>
  <c r="E383" i="30"/>
  <c r="E379" i="30"/>
  <c r="E378" i="30"/>
  <c r="E377" i="30"/>
  <c r="E376" i="30"/>
  <c r="E375" i="30"/>
  <c r="E374" i="30"/>
  <c r="E373" i="30"/>
  <c r="E372" i="30"/>
  <c r="E371" i="30"/>
  <c r="E367" i="30"/>
  <c r="E366" i="30"/>
  <c r="E365" i="30"/>
  <c r="E364" i="30"/>
  <c r="E363" i="30"/>
  <c r="E362" i="30"/>
  <c r="E358" i="30"/>
  <c r="E357" i="30"/>
  <c r="E356" i="30"/>
  <c r="E355" i="30"/>
  <c r="E351" i="30"/>
  <c r="E350" i="30"/>
  <c r="E349" i="30"/>
  <c r="E348" i="30"/>
  <c r="E347" i="30"/>
  <c r="E346" i="30"/>
  <c r="E345" i="30"/>
  <c r="E344" i="30"/>
  <c r="E343" i="30"/>
  <c r="E339" i="30"/>
  <c r="E338" i="30"/>
  <c r="E337" i="30"/>
  <c r="E336" i="30"/>
  <c r="E335" i="30"/>
  <c r="E334" i="30"/>
  <c r="E333" i="30"/>
  <c r="E332" i="30"/>
  <c r="E331" i="30"/>
  <c r="E327" i="30"/>
  <c r="E326" i="30"/>
  <c r="E325" i="30"/>
  <c r="E324" i="30"/>
  <c r="E323" i="30"/>
  <c r="E322" i="30"/>
  <c r="E321" i="30"/>
  <c r="E320" i="30"/>
  <c r="E316" i="30"/>
  <c r="E315" i="30"/>
  <c r="E314" i="30"/>
  <c r="E313" i="30"/>
  <c r="E309" i="30"/>
  <c r="E308" i="30"/>
  <c r="E307" i="30"/>
  <c r="E306" i="30"/>
  <c r="E302" i="30"/>
  <c r="E301" i="30"/>
  <c r="E300" i="30"/>
  <c r="E299" i="30"/>
  <c r="E298" i="30"/>
  <c r="E297" i="30"/>
  <c r="E296" i="30"/>
  <c r="E295" i="30"/>
  <c r="E291" i="30"/>
  <c r="E290" i="30"/>
  <c r="E289" i="30"/>
  <c r="E288" i="30"/>
  <c r="E287" i="30"/>
  <c r="E286" i="30"/>
  <c r="E285" i="30"/>
  <c r="E284" i="30"/>
  <c r="E283" i="30"/>
  <c r="E279" i="30"/>
  <c r="E278" i="30"/>
  <c r="E277" i="30"/>
  <c r="E276" i="30"/>
  <c r="E275" i="30"/>
  <c r="E274" i="30"/>
  <c r="E273" i="30"/>
  <c r="E269" i="30"/>
  <c r="E268" i="30"/>
  <c r="E267" i="30"/>
  <c r="E266" i="30"/>
  <c r="E265" i="30"/>
  <c r="E264" i="30"/>
  <c r="E260" i="30"/>
  <c r="E259" i="30"/>
  <c r="E258" i="30"/>
  <c r="E254" i="30"/>
  <c r="E253" i="30"/>
  <c r="E252" i="30"/>
  <c r="E251" i="30"/>
  <c r="E247" i="30"/>
  <c r="E246" i="30"/>
  <c r="E245" i="30"/>
  <c r="E244" i="30"/>
  <c r="E243" i="30"/>
  <c r="E238" i="30"/>
  <c r="E237" i="30"/>
  <c r="E236" i="30"/>
  <c r="E235" i="30"/>
  <c r="E234" i="30"/>
  <c r="E233" i="30"/>
  <c r="E229" i="30"/>
  <c r="E228" i="30"/>
  <c r="E227" i="30"/>
  <c r="E226" i="30"/>
  <c r="E225" i="30"/>
  <c r="E224" i="30"/>
  <c r="E223" i="30"/>
  <c r="E222" i="30"/>
  <c r="E218" i="30"/>
  <c r="E217" i="30"/>
  <c r="E216" i="30"/>
  <c r="E215" i="30"/>
  <c r="E214" i="30"/>
  <c r="E213" i="30"/>
  <c r="E212" i="30"/>
  <c r="E211" i="30"/>
  <c r="E207" i="30"/>
  <c r="E206" i="30"/>
  <c r="E205" i="30"/>
  <c r="E204" i="30"/>
  <c r="E203" i="30"/>
  <c r="E202" i="30"/>
  <c r="E198" i="30"/>
  <c r="E197" i="30"/>
  <c r="E196" i="30"/>
  <c r="E195" i="30"/>
  <c r="E191" i="30"/>
  <c r="E190" i="30"/>
  <c r="E189" i="30"/>
  <c r="E188" i="30"/>
  <c r="E187" i="30"/>
  <c r="E186" i="30"/>
  <c r="E185" i="30"/>
  <c r="E184" i="30"/>
  <c r="E180" i="30"/>
  <c r="E179" i="30"/>
  <c r="E178" i="30"/>
  <c r="E177" i="30"/>
  <c r="E176" i="30"/>
  <c r="E175" i="30"/>
  <c r="E174" i="30"/>
  <c r="E173" i="30"/>
  <c r="E172" i="30"/>
  <c r="E168" i="30"/>
  <c r="E167" i="30"/>
  <c r="E166" i="30"/>
  <c r="E165" i="30"/>
  <c r="E164" i="30"/>
  <c r="E163" i="30"/>
  <c r="E162" i="30"/>
  <c r="E158" i="30"/>
  <c r="E157" i="30"/>
  <c r="E156" i="30"/>
  <c r="E155" i="30"/>
  <c r="E154" i="30"/>
  <c r="E153" i="30"/>
  <c r="E152" i="30"/>
  <c r="E151" i="30"/>
  <c r="E150" i="30"/>
  <c r="E146" i="30"/>
  <c r="E145" i="30"/>
  <c r="E144" i="30"/>
  <c r="E140" i="30"/>
  <c r="E139" i="30"/>
  <c r="E138" i="30"/>
  <c r="E137" i="30"/>
  <c r="E136" i="30"/>
  <c r="E131" i="30"/>
  <c r="E130" i="30"/>
  <c r="E129" i="30"/>
  <c r="E128" i="30"/>
  <c r="E127" i="30"/>
  <c r="E126" i="30"/>
  <c r="E125" i="30"/>
  <c r="E124" i="30"/>
  <c r="E123" i="30"/>
  <c r="E119" i="30"/>
  <c r="E118" i="30"/>
  <c r="E117" i="30"/>
  <c r="E116" i="30"/>
  <c r="E115" i="30"/>
  <c r="E114" i="30"/>
  <c r="E110" i="30"/>
  <c r="E109" i="30"/>
  <c r="E108" i="30"/>
  <c r="E107" i="30"/>
  <c r="E103" i="30"/>
  <c r="E102" i="30"/>
  <c r="E101" i="30"/>
  <c r="E100" i="30"/>
  <c r="E96" i="30"/>
  <c r="E95" i="30"/>
  <c r="E94" i="30"/>
  <c r="E93" i="30"/>
  <c r="E92" i="30"/>
  <c r="E91" i="30"/>
  <c r="E90" i="30"/>
  <c r="E89" i="30"/>
  <c r="E88" i="30"/>
  <c r="E84" i="30"/>
  <c r="E83" i="30"/>
  <c r="E82" i="30"/>
  <c r="E81" i="30"/>
  <c r="E80" i="30"/>
  <c r="E79" i="30"/>
  <c r="E78" i="30"/>
  <c r="E74" i="30"/>
  <c r="E73" i="30"/>
  <c r="E72" i="30"/>
  <c r="E71" i="30"/>
  <c r="E70" i="30"/>
  <c r="E69" i="30"/>
  <c r="E68" i="30"/>
  <c r="E67" i="30"/>
  <c r="E66" i="30"/>
  <c r="E62" i="30"/>
  <c r="E61" i="30"/>
  <c r="E60" i="30"/>
  <c r="E59" i="30"/>
  <c r="E58" i="30"/>
  <c r="E53" i="30"/>
  <c r="E52" i="30"/>
  <c r="E51" i="30"/>
  <c r="E50" i="30"/>
  <c r="E49" i="30"/>
  <c r="E48" i="30"/>
  <c r="E47" i="30"/>
  <c r="E46" i="30"/>
  <c r="E42" i="30"/>
  <c r="E41" i="30"/>
  <c r="E40" i="30"/>
  <c r="E39" i="30"/>
  <c r="E38" i="30"/>
  <c r="E37" i="30"/>
  <c r="E36" i="30"/>
  <c r="E35" i="30"/>
  <c r="E31" i="30"/>
  <c r="E30" i="30"/>
  <c r="E29" i="30"/>
  <c r="E28" i="30"/>
  <c r="E27" i="30"/>
  <c r="E26" i="30"/>
  <c r="E22" i="30"/>
  <c r="E21" i="30"/>
  <c r="E20" i="30"/>
  <c r="E16" i="30"/>
  <c r="E15" i="30"/>
  <c r="E14" i="30"/>
  <c r="E13" i="30"/>
  <c r="E12" i="30"/>
  <c r="E11" i="30"/>
  <c r="E10" i="30"/>
  <c r="E9" i="30"/>
  <c r="E8" i="30"/>
  <c r="E7" i="30"/>
  <c r="E6" i="30"/>
  <c r="E555" i="27"/>
  <c r="E554" i="27"/>
  <c r="E553" i="27"/>
  <c r="E552" i="27"/>
  <c r="E551" i="27"/>
  <c r="E550" i="27"/>
  <c r="E549" i="27"/>
  <c r="E548" i="27"/>
  <c r="E544" i="27"/>
  <c r="E543" i="27"/>
  <c r="E542" i="27"/>
  <c r="E541" i="27"/>
  <c r="E540" i="27"/>
  <c r="E539" i="27"/>
  <c r="E538" i="27"/>
  <c r="E537" i="27"/>
  <c r="E533" i="27"/>
  <c r="E532" i="27"/>
  <c r="E531" i="27"/>
  <c r="E530" i="27"/>
  <c r="E526" i="27"/>
  <c r="E525" i="27"/>
  <c r="E524" i="27"/>
  <c r="E523" i="27"/>
  <c r="E522" i="27"/>
  <c r="E521" i="27"/>
  <c r="E520" i="27"/>
  <c r="E519" i="27"/>
  <c r="E518" i="27"/>
  <c r="E514" i="27"/>
  <c r="E513" i="27"/>
  <c r="E512" i="27"/>
  <c r="E511" i="27"/>
  <c r="E510" i="27"/>
  <c r="E509" i="27"/>
  <c r="E505" i="27"/>
  <c r="E504" i="27"/>
  <c r="E503" i="27"/>
  <c r="E502" i="27"/>
  <c r="E498" i="27"/>
  <c r="E497" i="27"/>
  <c r="E496" i="27"/>
  <c r="E495" i="27"/>
  <c r="E494" i="27"/>
  <c r="E493" i="27"/>
  <c r="E489" i="27"/>
  <c r="E488" i="27"/>
  <c r="E487" i="27"/>
  <c r="E486" i="27"/>
  <c r="E485" i="27"/>
  <c r="E484" i="27"/>
  <c r="E483" i="27"/>
  <c r="E482" i="27"/>
  <c r="E478" i="27"/>
  <c r="E477" i="27"/>
  <c r="E476" i="27"/>
  <c r="E475" i="27"/>
  <c r="E474" i="27"/>
  <c r="E473" i="27"/>
  <c r="E472" i="27"/>
  <c r="E468" i="27"/>
  <c r="E467" i="27"/>
  <c r="E466" i="27"/>
  <c r="E465" i="27"/>
  <c r="E464" i="27"/>
  <c r="E463" i="27"/>
  <c r="E462" i="27"/>
  <c r="E461" i="27"/>
  <c r="E457" i="27"/>
  <c r="E456" i="27"/>
  <c r="E455" i="27"/>
  <c r="E454" i="27"/>
  <c r="E450" i="27"/>
  <c r="E449" i="27"/>
  <c r="E448" i="27"/>
  <c r="E447" i="27"/>
  <c r="E443" i="27"/>
  <c r="E442" i="27"/>
  <c r="E441" i="27"/>
  <c r="E440" i="27"/>
  <c r="E439" i="27"/>
  <c r="E434" i="27"/>
  <c r="E433" i="27"/>
  <c r="E432" i="27"/>
  <c r="E431" i="27"/>
  <c r="E430" i="27"/>
  <c r="E429" i="27"/>
  <c r="E428" i="27"/>
  <c r="E427" i="27"/>
  <c r="E426" i="27"/>
  <c r="E422" i="27"/>
  <c r="E421" i="27"/>
  <c r="E420" i="27"/>
  <c r="E419" i="27"/>
  <c r="E418" i="27"/>
  <c r="E417" i="27"/>
  <c r="E416" i="27"/>
  <c r="E415" i="27"/>
  <c r="E414" i="27"/>
  <c r="E410" i="27"/>
  <c r="E409" i="27"/>
  <c r="E408" i="27"/>
  <c r="E407" i="27"/>
  <c r="E406" i="27"/>
  <c r="E405" i="27"/>
  <c r="E404" i="27"/>
  <c r="E403" i="27"/>
  <c r="E399" i="27"/>
  <c r="E398" i="27"/>
  <c r="E397" i="27"/>
  <c r="E396" i="27"/>
  <c r="E395" i="27"/>
  <c r="E394" i="27"/>
  <c r="E393" i="27"/>
  <c r="E392" i="27"/>
  <c r="E391" i="27"/>
  <c r="E387" i="27"/>
  <c r="E386" i="27"/>
  <c r="E385" i="27"/>
  <c r="E384" i="27"/>
  <c r="E383" i="27"/>
  <c r="E382" i="27"/>
  <c r="E381" i="27"/>
  <c r="E380" i="27"/>
  <c r="E379" i="27"/>
  <c r="E368" i="27"/>
  <c r="E367" i="27"/>
  <c r="E366" i="27"/>
  <c r="E365" i="27"/>
  <c r="E364" i="27"/>
  <c r="E363" i="27"/>
  <c r="E362" i="27"/>
  <c r="E361" i="27"/>
  <c r="E360" i="27"/>
  <c r="E356" i="27"/>
  <c r="E374" i="27"/>
  <c r="E373" i="27"/>
  <c r="E372" i="27"/>
  <c r="E355" i="27"/>
  <c r="E354" i="27"/>
  <c r="E353" i="27"/>
  <c r="E352" i="27"/>
  <c r="E351" i="27"/>
  <c r="E350" i="27"/>
  <c r="E346" i="27"/>
  <c r="E345" i="27"/>
  <c r="E344" i="27"/>
  <c r="E343" i="27"/>
  <c r="E342" i="27"/>
  <c r="E341" i="27"/>
  <c r="E340" i="27"/>
  <c r="E339" i="27"/>
  <c r="E335" i="27"/>
  <c r="E334" i="27"/>
  <c r="E333" i="27"/>
  <c r="E332" i="27"/>
  <c r="E331" i="27"/>
  <c r="E330" i="27"/>
  <c r="E329" i="27"/>
  <c r="E328" i="27"/>
  <c r="E327" i="27"/>
  <c r="E323" i="27"/>
  <c r="E322" i="27"/>
  <c r="E321" i="27"/>
  <c r="E320" i="27"/>
  <c r="E319" i="27"/>
  <c r="E318" i="27"/>
  <c r="E317" i="27"/>
  <c r="E316" i="27"/>
  <c r="E315" i="27"/>
  <c r="E311" i="27"/>
  <c r="E310" i="27"/>
  <c r="E309" i="27"/>
  <c r="E308" i="27"/>
  <c r="E307" i="27"/>
  <c r="E306" i="27"/>
  <c r="E305" i="27"/>
  <c r="E304" i="27"/>
  <c r="E300" i="27"/>
  <c r="E299" i="27"/>
  <c r="E298" i="27"/>
  <c r="E297" i="27"/>
  <c r="E293" i="27"/>
  <c r="E292" i="27"/>
  <c r="E291" i="27"/>
  <c r="E290" i="27"/>
  <c r="E286" i="27"/>
  <c r="E285" i="27"/>
  <c r="E284" i="27"/>
  <c r="E283" i="27"/>
  <c r="E282" i="27"/>
  <c r="E281" i="27"/>
  <c r="E280" i="27"/>
  <c r="E279" i="27"/>
  <c r="E275" i="27"/>
  <c r="E274" i="27"/>
  <c r="E273" i="27"/>
  <c r="E272" i="27"/>
  <c r="E271" i="27"/>
  <c r="E270" i="27"/>
  <c r="E266" i="27"/>
  <c r="E265" i="27"/>
  <c r="E264" i="27"/>
  <c r="E263" i="27"/>
  <c r="E262" i="27"/>
  <c r="E261" i="27"/>
  <c r="E260" i="27"/>
  <c r="E256" i="27"/>
  <c r="E255" i="27"/>
  <c r="E254" i="27"/>
  <c r="E253" i="27"/>
  <c r="E252" i="27"/>
  <c r="E251" i="27"/>
  <c r="E247" i="27"/>
  <c r="E246" i="27"/>
  <c r="E245" i="27"/>
  <c r="E241" i="27"/>
  <c r="E240" i="27"/>
  <c r="E239" i="27"/>
  <c r="E238" i="27"/>
  <c r="E234" i="27"/>
  <c r="E233" i="27"/>
  <c r="E232" i="27"/>
  <c r="E231" i="27"/>
  <c r="E230" i="27"/>
  <c r="E225" i="27"/>
  <c r="E224" i="27"/>
  <c r="E223" i="27"/>
  <c r="E222" i="27"/>
  <c r="E221" i="27"/>
  <c r="E220" i="27"/>
  <c r="E219" i="27"/>
  <c r="E218" i="27"/>
  <c r="E217" i="27"/>
  <c r="E213" i="27"/>
  <c r="E212" i="27"/>
  <c r="E211" i="27"/>
  <c r="E210" i="27"/>
  <c r="E209" i="27"/>
  <c r="E208" i="27"/>
  <c r="E207" i="27"/>
  <c r="E206" i="27"/>
  <c r="E202" i="27"/>
  <c r="E201" i="27"/>
  <c r="E200" i="27"/>
  <c r="E199" i="27"/>
  <c r="E198" i="27"/>
  <c r="E197" i="27"/>
  <c r="E196" i="27"/>
  <c r="E195" i="27"/>
  <c r="E191" i="27"/>
  <c r="E190" i="27"/>
  <c r="E189" i="27"/>
  <c r="E188" i="27"/>
  <c r="E187" i="27"/>
  <c r="E186" i="27"/>
  <c r="E185" i="27"/>
  <c r="E184" i="27"/>
  <c r="E180" i="27"/>
  <c r="E179" i="27"/>
  <c r="E178" i="27"/>
  <c r="E177" i="27"/>
  <c r="E176" i="27"/>
  <c r="E175" i="27"/>
  <c r="E174" i="27"/>
  <c r="E173" i="27"/>
  <c r="E172" i="27"/>
  <c r="E168" i="27"/>
  <c r="E167" i="27"/>
  <c r="E166" i="27"/>
  <c r="E165" i="27"/>
  <c r="E164" i="27"/>
  <c r="E163" i="27"/>
  <c r="E162" i="27"/>
  <c r="E158" i="27"/>
  <c r="E157" i="27"/>
  <c r="E156" i="27"/>
  <c r="E155" i="27"/>
  <c r="E154" i="27"/>
  <c r="E153" i="27"/>
  <c r="E149" i="27"/>
  <c r="E148" i="27"/>
  <c r="E147" i="27"/>
  <c r="E143" i="27"/>
  <c r="E142" i="27"/>
  <c r="E141" i="27"/>
  <c r="E140" i="27"/>
  <c r="E139" i="27"/>
  <c r="E134" i="27"/>
  <c r="E133" i="27"/>
  <c r="E132" i="27"/>
  <c r="E131" i="27"/>
  <c r="E130" i="27"/>
  <c r="E129" i="27"/>
  <c r="E125" i="27"/>
  <c r="E124" i="27"/>
  <c r="E123" i="27"/>
  <c r="E122" i="27"/>
  <c r="E118" i="27"/>
  <c r="E117" i="27"/>
  <c r="E116" i="27"/>
  <c r="E115" i="27"/>
  <c r="E114" i="27"/>
  <c r="E113" i="27"/>
  <c r="E112" i="27"/>
  <c r="E111" i="27"/>
  <c r="E110" i="27"/>
  <c r="E106" i="27"/>
  <c r="E105" i="27"/>
  <c r="E104" i="27"/>
  <c r="E103" i="27"/>
  <c r="E99" i="27"/>
  <c r="E98" i="27"/>
  <c r="E97" i="27"/>
  <c r="E96" i="27"/>
  <c r="E95" i="27"/>
  <c r="E94" i="27"/>
  <c r="E93" i="27"/>
  <c r="E92" i="27"/>
  <c r="E91" i="27"/>
  <c r="E87" i="27"/>
  <c r="E86" i="27"/>
  <c r="E85" i="27"/>
  <c r="E84" i="27"/>
  <c r="E83" i="27"/>
  <c r="E82" i="27"/>
  <c r="E81" i="27"/>
  <c r="E77" i="27"/>
  <c r="E76" i="27"/>
  <c r="E75" i="27"/>
  <c r="E74" i="27"/>
  <c r="E73" i="27"/>
  <c r="E72" i="27"/>
  <c r="E71" i="27"/>
  <c r="E70" i="27"/>
  <c r="E69" i="27"/>
  <c r="E65" i="27"/>
  <c r="E64" i="27"/>
  <c r="E63" i="27"/>
  <c r="E62" i="27"/>
  <c r="E61" i="27"/>
  <c r="E56" i="27"/>
  <c r="E55" i="27"/>
  <c r="E54" i="27"/>
  <c r="E53" i="27"/>
  <c r="E52" i="27"/>
  <c r="E51" i="27"/>
  <c r="E50" i="27"/>
  <c r="E49" i="27"/>
  <c r="E45" i="27"/>
  <c r="E44" i="27"/>
  <c r="E43" i="27"/>
  <c r="E42" i="27"/>
  <c r="E41" i="27"/>
  <c r="E40" i="27"/>
  <c r="E39" i="27"/>
  <c r="E38" i="27"/>
  <c r="E34" i="27"/>
  <c r="E33" i="27"/>
  <c r="E32" i="27"/>
  <c r="E31" i="27"/>
  <c r="E30" i="27"/>
  <c r="E29" i="27"/>
  <c r="E28" i="27"/>
  <c r="E27" i="27"/>
  <c r="E26" i="27"/>
  <c r="E22" i="27"/>
  <c r="E21" i="27"/>
  <c r="E20" i="27"/>
  <c r="E14" i="27"/>
  <c r="E13" i="27"/>
  <c r="E12" i="27"/>
  <c r="E11" i="27"/>
  <c r="E10" i="27"/>
  <c r="E9" i="27"/>
  <c r="E8" i="27"/>
  <c r="E7" i="27"/>
  <c r="E6" i="27"/>
  <c r="E111" i="26"/>
  <c r="E110" i="26"/>
  <c r="E109" i="26"/>
  <c r="E108" i="26"/>
  <c r="E107" i="26"/>
  <c r="E106" i="26"/>
  <c r="E105" i="26"/>
  <c r="E104" i="26"/>
  <c r="E103" i="26"/>
  <c r="E87" i="26"/>
  <c r="E86" i="26"/>
  <c r="E85" i="26"/>
  <c r="E81" i="26"/>
  <c r="E80" i="26"/>
  <c r="E79" i="26"/>
  <c r="E78" i="26"/>
  <c r="E77" i="26"/>
  <c r="E76" i="26"/>
  <c r="E75" i="26"/>
  <c r="E74" i="26"/>
  <c r="E73" i="26"/>
  <c r="E69" i="26"/>
  <c r="E68" i="26"/>
  <c r="E67" i="26"/>
  <c r="E66" i="26"/>
  <c r="E65" i="26"/>
  <c r="E64" i="26"/>
  <c r="E60" i="26"/>
  <c r="E59" i="26"/>
  <c r="E58" i="26"/>
  <c r="E57" i="26"/>
  <c r="E56" i="26"/>
  <c r="E55" i="26"/>
  <c r="E54" i="26"/>
  <c r="E53" i="26"/>
  <c r="E52" i="26"/>
  <c r="E48" i="26"/>
  <c r="E47" i="26"/>
  <c r="E46" i="26"/>
  <c r="E45" i="26"/>
  <c r="E44" i="26"/>
  <c r="E43" i="26"/>
  <c r="E42" i="26"/>
  <c r="E41" i="26"/>
  <c r="E37" i="26"/>
  <c r="E36" i="26"/>
  <c r="E35" i="26"/>
  <c r="E34" i="26"/>
  <c r="E33" i="26"/>
  <c r="E32" i="26"/>
  <c r="E31" i="26"/>
  <c r="E15" i="26"/>
  <c r="E14" i="26"/>
  <c r="E10" i="26"/>
  <c r="E9" i="26"/>
  <c r="E8" i="26"/>
  <c r="E7" i="26"/>
  <c r="E6" i="26"/>
  <c r="E118" i="26"/>
  <c r="E117" i="26"/>
  <c r="E116" i="26"/>
  <c r="E115" i="26"/>
  <c r="E556" i="27"/>
  <c r="E548" i="30"/>
  <c r="E547" i="30"/>
  <c r="E546" i="30"/>
  <c r="E545" i="30"/>
  <c r="E566" i="31"/>
  <c r="E565" i="31"/>
  <c r="E556" i="32"/>
  <c r="E555" i="32"/>
  <c r="E554" i="32"/>
  <c r="E553" i="32"/>
  <c r="E549" i="32"/>
  <c r="E548" i="32"/>
  <c r="E518" i="36"/>
  <c r="E517" i="36"/>
  <c r="E516" i="36"/>
  <c r="E515" i="36"/>
  <c r="E514" i="36"/>
  <c r="E513" i="36"/>
  <c r="E512" i="36"/>
  <c r="E511" i="36"/>
  <c r="E510" i="36"/>
  <c r="E506" i="36"/>
  <c r="E540" i="38"/>
  <c r="E539" i="38"/>
  <c r="E538" i="38"/>
  <c r="E537" i="38"/>
  <c r="E533" i="38"/>
  <c r="E532" i="38"/>
  <c r="E516" i="39"/>
  <c r="E515" i="39"/>
  <c r="E514" i="39"/>
  <c r="E513" i="39"/>
  <c r="E512" i="39"/>
  <c r="E511" i="39"/>
  <c r="E510" i="39"/>
  <c r="E509" i="39"/>
  <c r="E540" i="40"/>
  <c r="E539" i="40"/>
  <c r="E538" i="40"/>
  <c r="E537" i="40"/>
  <c r="E536" i="40"/>
  <c r="E535" i="40"/>
  <c r="E534" i="40"/>
  <c r="E533" i="40"/>
  <c r="E532" i="40"/>
  <c r="E528" i="40"/>
  <c r="E561" i="13"/>
  <c r="E560" i="13"/>
  <c r="E559" i="13"/>
  <c r="E558" i="13"/>
  <c r="E557" i="13"/>
  <c r="E556" i="13"/>
  <c r="E555" i="13"/>
  <c r="E554" i="13"/>
  <c r="E580" i="14"/>
  <c r="E579" i="14"/>
  <c r="E578" i="14"/>
  <c r="E577" i="14"/>
  <c r="E576" i="14"/>
  <c r="E575" i="14"/>
  <c r="E574" i="14"/>
  <c r="E573" i="14"/>
  <c r="E622" i="16"/>
  <c r="E621" i="16"/>
  <c r="E620" i="16"/>
  <c r="E619" i="16"/>
  <c r="E618" i="16"/>
  <c r="E617" i="16"/>
  <c r="E616" i="16"/>
  <c r="E615" i="16"/>
  <c r="E614" i="16"/>
  <c r="E597" i="17"/>
  <c r="E596" i="17"/>
  <c r="E595" i="17"/>
  <c r="E594" i="17"/>
  <c r="E593" i="17"/>
  <c r="E592" i="17"/>
  <c r="E591" i="17"/>
  <c r="E590" i="17"/>
  <c r="E589" i="17"/>
  <c r="E585" i="17"/>
  <c r="E634" i="18"/>
  <c r="E633" i="18"/>
  <c r="E632" i="18"/>
  <c r="E631" i="18"/>
  <c r="E630" i="18"/>
  <c r="E629" i="18"/>
  <c r="E655" i="20"/>
  <c r="E654" i="20"/>
  <c r="E680" i="21"/>
  <c r="E679" i="21"/>
  <c r="E678" i="21"/>
  <c r="E633" i="22"/>
  <c r="E632" i="22"/>
  <c r="E631" i="22"/>
  <c r="E630" i="22"/>
  <c r="E629" i="22"/>
  <c r="E628" i="22"/>
  <c r="E612" i="23"/>
  <c r="E611" i="23"/>
  <c r="E448" i="24"/>
  <c r="E447" i="24"/>
  <c r="E446" i="24"/>
  <c r="E51" i="41"/>
  <c r="E66" i="41"/>
  <c r="E65" i="41"/>
  <c r="E64" i="41"/>
  <c r="E63" i="41"/>
  <c r="E62" i="41"/>
  <c r="E61" i="41"/>
  <c r="E60" i="41"/>
  <c r="E59" i="41"/>
  <c r="E58" i="41"/>
  <c r="E57" i="41"/>
  <c r="E56" i="41"/>
  <c r="E55" i="41"/>
  <c r="E54" i="41"/>
  <c r="E53" i="41"/>
  <c r="E52" i="41"/>
  <c r="E104" i="41"/>
  <c r="E49" i="41"/>
  <c r="E48" i="41"/>
  <c r="E47" i="41"/>
  <c r="E46" i="41"/>
  <c r="E45" i="41"/>
  <c r="E44" i="41"/>
  <c r="E43" i="41"/>
  <c r="E42" i="41"/>
  <c r="E41" i="41"/>
  <c r="E40" i="41"/>
  <c r="E39" i="41"/>
  <c r="E38" i="41"/>
  <c r="E37" i="41"/>
  <c r="E33" i="41"/>
  <c r="E32" i="41"/>
  <c r="E31" i="41"/>
  <c r="E30" i="41"/>
  <c r="E29" i="41"/>
  <c r="E27" i="41"/>
  <c r="E26" i="41"/>
  <c r="E25" i="41"/>
  <c r="E24" i="41"/>
  <c r="E23" i="41"/>
  <c r="E22" i="41"/>
  <c r="E21" i="41"/>
  <c r="E20" i="41"/>
  <c r="E19" i="41"/>
  <c r="E18" i="41"/>
  <c r="E17" i="41"/>
  <c r="E16" i="41"/>
  <c r="E15" i="41"/>
  <c r="E14" i="41"/>
  <c r="E13" i="41"/>
  <c r="E12" i="41"/>
  <c r="E11" i="41"/>
  <c r="E10" i="41"/>
  <c r="E9" i="41"/>
  <c r="E8" i="41"/>
  <c r="E7" i="41"/>
  <c r="E6" i="41"/>
  <c r="E5" i="41"/>
  <c r="E4" i="41"/>
</calcChain>
</file>

<file path=xl/sharedStrings.xml><?xml version="1.0" encoding="utf-8"?>
<sst xmlns="http://schemas.openxmlformats.org/spreadsheetml/2006/main" count="180605" uniqueCount="18555">
  <si>
    <t>SSR</t>
    <phoneticPr fontId="1"/>
  </si>
  <si>
    <t>中国・四国</t>
    <phoneticPr fontId="1"/>
  </si>
  <si>
    <t>【月見酒】出雲阿国</t>
    <phoneticPr fontId="1"/>
  </si>
  <si>
    <t>レア度</t>
    <rPh sb="2" eb="3">
      <t>ド</t>
    </rPh>
    <phoneticPr fontId="1"/>
  </si>
  <si>
    <t>所属</t>
    <rPh sb="0" eb="2">
      <t>ショゾク</t>
    </rPh>
    <phoneticPr fontId="1"/>
  </si>
  <si>
    <t>タイプ</t>
    <phoneticPr fontId="1"/>
  </si>
  <si>
    <t>隊士名</t>
    <rPh sb="0" eb="2">
      <t>タイシ</t>
    </rPh>
    <rPh sb="2" eb="3">
      <t>メイ</t>
    </rPh>
    <phoneticPr fontId="1"/>
  </si>
  <si>
    <t>MAX攻</t>
    <rPh sb="3" eb="4">
      <t>コウ</t>
    </rPh>
    <phoneticPr fontId="1"/>
  </si>
  <si>
    <t>MAX防</t>
    <rPh sb="3" eb="4">
      <t>ボウ</t>
    </rPh>
    <phoneticPr fontId="1"/>
  </si>
  <si>
    <t>スキル名</t>
    <rPh sb="3" eb="4">
      <t>メイ</t>
    </rPh>
    <phoneticPr fontId="1"/>
  </si>
  <si>
    <t>偉人</t>
    <phoneticPr fontId="1"/>
  </si>
  <si>
    <t>月夜の杯</t>
    <phoneticPr fontId="1"/>
  </si>
  <si>
    <t>タイプ偉人・妖怪・名物の防45％UP</t>
    <phoneticPr fontId="1"/>
  </si>
  <si>
    <t>画像</t>
    <rPh sb="0" eb="2">
      <t>ガゾウ</t>
    </rPh>
    <phoneticPr fontId="1"/>
  </si>
  <si>
    <t>北海道・東北</t>
    <phoneticPr fontId="1"/>
  </si>
  <si>
    <t>SR</t>
    <phoneticPr fontId="1"/>
  </si>
  <si>
    <t>知性派</t>
    <phoneticPr fontId="1"/>
  </si>
  <si>
    <t>MAXコスト</t>
    <phoneticPr fontId="1"/>
  </si>
  <si>
    <t>【月見酒】支倉常長</t>
    <phoneticPr fontId="1"/>
  </si>
  <si>
    <t>はせくらつねなが</t>
    <phoneticPr fontId="1"/>
  </si>
  <si>
    <t>独眼の矢十字</t>
    <phoneticPr fontId="1"/>
  </si>
  <si>
    <t>タイプ神秘・飲食の攻30％UP　/　タイプ【知性派】の攻10％UP</t>
    <phoneticPr fontId="1"/>
  </si>
  <si>
    <t>HR</t>
    <phoneticPr fontId="1"/>
  </si>
  <si>
    <t>関東</t>
    <phoneticPr fontId="1"/>
  </si>
  <si>
    <t>[新生]おてまる</t>
    <phoneticPr fontId="1"/>
  </si>
  <si>
    <t>しんせいおてまる</t>
    <phoneticPr fontId="1"/>
  </si>
  <si>
    <t>名物</t>
    <phoneticPr fontId="1"/>
  </si>
  <si>
    <t>月を愛でてのおてまる突き</t>
    <phoneticPr fontId="1"/>
  </si>
  <si>
    <t>タイプ偉人・妖怪の防20％UP</t>
    <phoneticPr fontId="1"/>
  </si>
  <si>
    <t>大阪</t>
    <phoneticPr fontId="1"/>
  </si>
  <si>
    <t>R</t>
    <phoneticPr fontId="1"/>
  </si>
  <si>
    <t>[新生]石上露子</t>
    <phoneticPr fontId="1"/>
  </si>
  <si>
    <t>しんせいいそのかみつゆこ</t>
    <phoneticPr fontId="1"/>
  </si>
  <si>
    <t>美しく悲運な女神</t>
    <phoneticPr fontId="1"/>
  </si>
  <si>
    <t>タイプ【飲食】の攻20％UP</t>
    <phoneticPr fontId="1"/>
  </si>
  <si>
    <t>全国</t>
    <phoneticPr fontId="1"/>
  </si>
  <si>
    <t>ムテキセンカンヤマト</t>
    <phoneticPr fontId="1"/>
  </si>
  <si>
    <t>むてきせんかんやまと</t>
    <phoneticPr fontId="1"/>
  </si>
  <si>
    <t>伝承</t>
    <phoneticPr fontId="1"/>
  </si>
  <si>
    <t>超弩級ムテキ戦艦ヤマト</t>
    <phoneticPr fontId="1"/>
  </si>
  <si>
    <t>タイプ武人・姫の攻25％UP　/　タイプ【伝承】の攻20％UP</t>
    <phoneticPr fontId="1"/>
  </si>
  <si>
    <t>西日本</t>
    <phoneticPr fontId="1"/>
  </si>
  <si>
    <t>スペースヒメジZ</t>
    <phoneticPr fontId="1"/>
  </si>
  <si>
    <t>すぺーすひめじぜっと</t>
    <phoneticPr fontId="1"/>
  </si>
  <si>
    <t>神秘</t>
    <phoneticPr fontId="1"/>
  </si>
  <si>
    <t>宙に聳える白き羽瓦</t>
    <phoneticPr fontId="1"/>
  </si>
  <si>
    <t>タイプ神秘・知性派・飲食の攻15％UP　/　タイプ偉人・妖怪・名物の防95％DOWN</t>
    <phoneticPr fontId="1"/>
  </si>
  <si>
    <t>東日本</t>
    <phoneticPr fontId="1"/>
  </si>
  <si>
    <t>ガントリークレーンMk-２</t>
    <phoneticPr fontId="1"/>
  </si>
  <si>
    <t>がんとりーくれーんまーくつー</t>
    <phoneticPr fontId="1"/>
  </si>
  <si>
    <t>その頂きに御業あり</t>
    <phoneticPr fontId="1"/>
  </si>
  <si>
    <t>【王宮】篤姫</t>
    <phoneticPr fontId="1"/>
  </si>
  <si>
    <t>ZR</t>
    <phoneticPr fontId="1"/>
  </si>
  <si>
    <t>【霊玉伝説】伏姫</t>
    <phoneticPr fontId="1"/>
  </si>
  <si>
    <t>【独眼竜】伊達政宗</t>
    <phoneticPr fontId="1"/>
  </si>
  <si>
    <t>【戦国海開き】柳原白蓮</t>
    <phoneticPr fontId="1"/>
  </si>
  <si>
    <t>【夏祭り】徳川家康</t>
    <phoneticPr fontId="1"/>
  </si>
  <si>
    <t>藤原鎌足</t>
    <phoneticPr fontId="1"/>
  </si>
  <si>
    <t>ふじわらのかまたり</t>
    <phoneticPr fontId="1"/>
  </si>
  <si>
    <t>大化の改新</t>
    <phoneticPr fontId="1"/>
  </si>
  <si>
    <t>タイプ妖怪・名物の攻50％UP　/　タイプ【偉人】の攻35％UP</t>
    <phoneticPr fontId="1"/>
  </si>
  <si>
    <t>賀茂別雷神</t>
    <phoneticPr fontId="1"/>
  </si>
  <si>
    <t>かもわけいかづちのみこと</t>
    <phoneticPr fontId="1"/>
  </si>
  <si>
    <t>運命の丹塗矢</t>
    <phoneticPr fontId="1"/>
  </si>
  <si>
    <t>タイプ偉人・妖怪・名物の防80％DOWN　/　タイプ神秘・知性派・飲食の攻15％UP</t>
    <phoneticPr fontId="1"/>
  </si>
  <si>
    <t>梓弓</t>
    <phoneticPr fontId="1"/>
  </si>
  <si>
    <t>あずさゆみ</t>
    <phoneticPr fontId="1"/>
  </si>
  <si>
    <t>霊界との橋渡し</t>
    <phoneticPr fontId="1"/>
  </si>
  <si>
    <t>タイプ伝承・武人・姫の攻40％UP　/　タイプ偉人・妖怪・名物の防10％DOWN</t>
    <phoneticPr fontId="1"/>
  </si>
  <si>
    <t>神野悪五郎</t>
    <phoneticPr fontId="1"/>
  </si>
  <si>
    <t>しんのあくごろう</t>
    <phoneticPr fontId="1"/>
  </si>
  <si>
    <t>悪を束ねし大妖怪</t>
    <phoneticPr fontId="1"/>
  </si>
  <si>
    <t>タイプ【名物】の攻90％UP　/　タイプ偉人・妖怪の攻20％UP</t>
    <phoneticPr fontId="1"/>
  </si>
  <si>
    <t>妖怪</t>
    <phoneticPr fontId="1"/>
  </si>
  <si>
    <t>伊勢姫</t>
    <phoneticPr fontId="1"/>
  </si>
  <si>
    <t>その思いしのぶれど</t>
    <phoneticPr fontId="1"/>
  </si>
  <si>
    <t>タイプ【武人】の攻85％UP　/　タイプ姫・伝承の攻25％UP</t>
    <phoneticPr fontId="1"/>
  </si>
  <si>
    <t>姫</t>
    <phoneticPr fontId="1"/>
  </si>
  <si>
    <t>いせひめ</t>
    <phoneticPr fontId="1"/>
  </si>
  <si>
    <t>萬龍</t>
    <phoneticPr fontId="1"/>
  </si>
  <si>
    <t>まんりゅう</t>
    <phoneticPr fontId="1"/>
  </si>
  <si>
    <t>高嶺の花の絵葉書美人</t>
    <phoneticPr fontId="1"/>
  </si>
  <si>
    <t>タイプ【神秘】の防75％UP　/　タイプ知性派・飲食の防30％UP</t>
    <phoneticPr fontId="1"/>
  </si>
  <si>
    <t>【水無月婚】赤井輝子</t>
    <phoneticPr fontId="1"/>
  </si>
  <si>
    <t>魍魎</t>
    <phoneticPr fontId="1"/>
  </si>
  <si>
    <t>タイプ偉人・妖怪・名物の防35％UP　/　タイプ伝承・武人・姫の攻15％DOWN</t>
    <phoneticPr fontId="1"/>
  </si>
  <si>
    <t>紅に染まりし瞳</t>
    <phoneticPr fontId="1"/>
  </si>
  <si>
    <t>もうりょう</t>
    <phoneticPr fontId="1"/>
  </si>
  <si>
    <t>正洞院</t>
    <phoneticPr fontId="1"/>
  </si>
  <si>
    <t>しょうとういん</t>
    <phoneticPr fontId="1"/>
  </si>
  <si>
    <t>沙羅双樹の華を射て</t>
    <phoneticPr fontId="1"/>
  </si>
  <si>
    <t>タイプ武人・伝承の防45％UP　/　タイプ偉人・姫の防35％UP</t>
    <phoneticPr fontId="1"/>
  </si>
  <si>
    <t>【ぴよぴよ】獏</t>
    <phoneticPr fontId="1"/>
  </si>
  <si>
    <t>ぴよぴよばく</t>
    <phoneticPr fontId="1"/>
  </si>
  <si>
    <t>卵から孵る癒しの夢</t>
    <phoneticPr fontId="1"/>
  </si>
  <si>
    <t>タイプ神秘・知性派・飲食の防30％UP　/　タイプ伝承・武人・姫の攻50％DOWN</t>
    <phoneticPr fontId="1"/>
  </si>
  <si>
    <t>近畿</t>
    <phoneticPr fontId="1"/>
  </si>
  <si>
    <t>【バレエ】石上露子</t>
    <phoneticPr fontId="1"/>
  </si>
  <si>
    <t>ばれえいそのかみつゆこ</t>
    <phoneticPr fontId="1"/>
  </si>
  <si>
    <t>舞踊る可憐な白菊</t>
    <phoneticPr fontId="1"/>
  </si>
  <si>
    <t>タイプ神秘・飲食・伝承の防30％UP</t>
    <phoneticPr fontId="1"/>
  </si>
  <si>
    <t>中部</t>
    <phoneticPr fontId="1"/>
  </si>
  <si>
    <t>【トランプ】モモちゃん</t>
    <phoneticPr fontId="1"/>
  </si>
  <si>
    <t>とらんぷももちゃん</t>
    <phoneticPr fontId="1"/>
  </si>
  <si>
    <t>飲食</t>
    <phoneticPr fontId="1"/>
  </si>
  <si>
    <t>邪気祓う桃の加護</t>
    <phoneticPr fontId="1"/>
  </si>
  <si>
    <t>タイプ神秘・知性派の防30％UP　/　タイプ武人・姫の攻20％DOWN</t>
    <phoneticPr fontId="1"/>
  </si>
  <si>
    <t>九州・沖縄</t>
    <phoneticPr fontId="1"/>
  </si>
  <si>
    <t>【ダイビング】左京ヶ橋の蛇</t>
    <phoneticPr fontId="1"/>
  </si>
  <si>
    <t>だいびんぐさきょうがばしのへび</t>
    <phoneticPr fontId="1"/>
  </si>
  <si>
    <t>清き海へ誘う双蛇少女</t>
    <phoneticPr fontId="1"/>
  </si>
  <si>
    <t>タイプ姫・武人・名物の防35％UP</t>
    <phoneticPr fontId="1"/>
  </si>
  <si>
    <t>天下統一戦 秋夜の月と酒！巫女と晩酌ガチャ</t>
    <rPh sb="0" eb="2">
      <t>テンカ</t>
    </rPh>
    <rPh sb="2" eb="4">
      <t>トウイツ</t>
    </rPh>
    <rPh sb="4" eb="5">
      <t>セン</t>
    </rPh>
    <rPh sb="6" eb="7">
      <t>アキ</t>
    </rPh>
    <rPh sb="7" eb="8">
      <t>ヨル</t>
    </rPh>
    <rPh sb="9" eb="10">
      <t>ツキ</t>
    </rPh>
    <rPh sb="11" eb="12">
      <t>サケ</t>
    </rPh>
    <rPh sb="13" eb="15">
      <t>ミコ</t>
    </rPh>
    <rPh sb="16" eb="18">
      <t>バンシャク</t>
    </rPh>
    <phoneticPr fontId="1"/>
  </si>
  <si>
    <t>天下統一戦 英雄ガチャ</t>
    <rPh sb="6" eb="8">
      <t>エイユウ</t>
    </rPh>
    <phoneticPr fontId="1"/>
  </si>
  <si>
    <t>戦神ガチャ</t>
    <rPh sb="0" eb="2">
      <t>センシン</t>
    </rPh>
    <phoneticPr fontId="1"/>
  </si>
  <si>
    <t>超防再臨ガチャ</t>
    <rPh sb="0" eb="1">
      <t>チョウ</t>
    </rPh>
    <rPh sb="1" eb="2">
      <t>ボウ</t>
    </rPh>
    <rPh sb="2" eb="4">
      <t>サイリン</t>
    </rPh>
    <phoneticPr fontId="1"/>
  </si>
  <si>
    <t>乱世傑士ガチャ</t>
    <rPh sb="0" eb="2">
      <t>ランセイ</t>
    </rPh>
    <rPh sb="2" eb="3">
      <t>ケツ</t>
    </rPh>
    <rPh sb="3" eb="4">
      <t>シ</t>
    </rPh>
    <phoneticPr fontId="1"/>
  </si>
  <si>
    <t>SP</t>
    <phoneticPr fontId="1"/>
  </si>
  <si>
    <t>日本三種神宝</t>
    <rPh sb="0" eb="2">
      <t>ニホン</t>
    </rPh>
    <rPh sb="2" eb="4">
      <t>サンシュ</t>
    </rPh>
    <rPh sb="4" eb="6">
      <t>シンポウ</t>
    </rPh>
    <phoneticPr fontId="1"/>
  </si>
  <si>
    <t>【浴衣】徳川慶喜</t>
    <rPh sb="1" eb="3">
      <t>ユカタ</t>
    </rPh>
    <rPh sb="4" eb="6">
      <t>トクガワ</t>
    </rPh>
    <rPh sb="6" eb="8">
      <t>ヨシノブ</t>
    </rPh>
    <phoneticPr fontId="1"/>
  </si>
  <si>
    <t>【四周年】鳩姫</t>
    <rPh sb="1" eb="4">
      <t>ヨンシュウネン</t>
    </rPh>
    <rPh sb="5" eb="6">
      <t>ハト</t>
    </rPh>
    <rPh sb="6" eb="7">
      <t>ヒメ</t>
    </rPh>
    <phoneticPr fontId="1"/>
  </si>
  <si>
    <t>井原西鶴</t>
    <phoneticPr fontId="1"/>
  </si>
  <si>
    <t>いはらさいかく</t>
    <phoneticPr fontId="1"/>
  </si>
  <si>
    <t>江戸文学最高峰の一角を記す筆</t>
    <phoneticPr fontId="1"/>
  </si>
  <si>
    <t>タイプ神秘・知性派・飲食の防40％UP　/　タイプ伝承・武人・姫の攻10％DOWN</t>
    <phoneticPr fontId="1"/>
  </si>
  <si>
    <t>累</t>
    <phoneticPr fontId="1"/>
  </si>
  <si>
    <t>かさね</t>
    <phoneticPr fontId="1"/>
  </si>
  <si>
    <t>かさね重なる魂の因果</t>
    <phoneticPr fontId="1"/>
  </si>
  <si>
    <t>タイプ伝承・武人・姫の防15％UP　/　タイプ妖怪・名物・偉人・飲食の攻25％DOWN</t>
    <phoneticPr fontId="1"/>
  </si>
  <si>
    <t>そばめし</t>
    <phoneticPr fontId="1"/>
  </si>
  <si>
    <t>食欲そそる香ばしい芳醇ソース</t>
    <phoneticPr fontId="1"/>
  </si>
  <si>
    <t>タイプ神秘・知性派の防40％UP　/　タイプ【飲食】の防25％UP</t>
    <phoneticPr fontId="1"/>
  </si>
  <si>
    <t>復活！5進化隊士ガチャ</t>
    <rPh sb="0" eb="2">
      <t>フッカツ</t>
    </rPh>
    <rPh sb="4" eb="6">
      <t>シンカ</t>
    </rPh>
    <rPh sb="6" eb="8">
      <t>タイシ</t>
    </rPh>
    <phoneticPr fontId="1"/>
  </si>
  <si>
    <t>長宗我部国親</t>
    <rPh sb="0" eb="4">
      <t>チョウソカベ</t>
    </rPh>
    <rPh sb="4" eb="6">
      <t>クニチカ</t>
    </rPh>
    <phoneticPr fontId="1"/>
  </si>
  <si>
    <t>大山巌</t>
    <rPh sb="0" eb="2">
      <t>オオヤマ</t>
    </rPh>
    <rPh sb="2" eb="3">
      <t>イワオ</t>
    </rPh>
    <phoneticPr fontId="1"/>
  </si>
  <si>
    <t>祝来！宝船福引ガチャ</t>
    <rPh sb="0" eb="1">
      <t>シュク</t>
    </rPh>
    <rPh sb="1" eb="2">
      <t>ライ</t>
    </rPh>
    <rPh sb="3" eb="5">
      <t>タカラブネ</t>
    </rPh>
    <rPh sb="5" eb="7">
      <t>フクビキ</t>
    </rPh>
    <phoneticPr fontId="1"/>
  </si>
  <si>
    <t>【X’masパーティ】神田明神</t>
    <phoneticPr fontId="1"/>
  </si>
  <si>
    <t>【節分】於大の方</t>
    <phoneticPr fontId="1"/>
  </si>
  <si>
    <t>せつぶんおだいのかた</t>
    <phoneticPr fontId="1"/>
  </si>
  <si>
    <t>豆に込めた母の愛</t>
    <phoneticPr fontId="1"/>
  </si>
  <si>
    <t>タイプ妖怪・名物の攻50％UP　/　タイプ【偉人】の攻40％UP</t>
    <phoneticPr fontId="1"/>
  </si>
  <si>
    <t>梶原入道冬庵</t>
    <phoneticPr fontId="1"/>
  </si>
  <si>
    <t>かじわらにゅうどうとうあん</t>
    <phoneticPr fontId="1"/>
  </si>
  <si>
    <t>武人</t>
    <phoneticPr fontId="1"/>
  </si>
  <si>
    <t>勇猛怪力が放つ一騎打ち</t>
    <phoneticPr fontId="1"/>
  </si>
  <si>
    <t>タイプ姫・伝承の攻25％UP　/　タイプ【武人】の攻10％UP</t>
    <phoneticPr fontId="1"/>
  </si>
  <si>
    <t>【幻獣】島左近</t>
    <phoneticPr fontId="1"/>
  </si>
  <si>
    <t>げんじゅうしまさこん</t>
    <phoneticPr fontId="1"/>
  </si>
  <si>
    <t>沸き立つ紅蓮の焔</t>
    <phoneticPr fontId="1"/>
  </si>
  <si>
    <t>タイプ姫・伝承の攻35％UP　/　タイプ神秘・知性派・飲食の防12％DOWN</t>
    <phoneticPr fontId="1"/>
  </si>
  <si>
    <t>西日本→全国</t>
    <phoneticPr fontId="1"/>
  </si>
  <si>
    <t>ナナちゃん人形</t>
    <phoneticPr fontId="1"/>
  </si>
  <si>
    <t>召喚アビ名</t>
    <rPh sb="0" eb="2">
      <t>ショウカン</t>
    </rPh>
    <rPh sb="4" eb="5">
      <t>メイ</t>
    </rPh>
    <phoneticPr fontId="1"/>
  </si>
  <si>
    <t>香川</t>
    <rPh sb="0" eb="2">
      <t>カガワ</t>
    </rPh>
    <phoneticPr fontId="1"/>
  </si>
  <si>
    <t>東日本</t>
    <rPh sb="0" eb="1">
      <t>ヒガシ</t>
    </rPh>
    <rPh sb="1" eb="3">
      <t>ニホン</t>
    </rPh>
    <phoneticPr fontId="1"/>
  </si>
  <si>
    <t>伝承</t>
    <rPh sb="0" eb="2">
      <t>デンショウ</t>
    </rPh>
    <phoneticPr fontId="1"/>
  </si>
  <si>
    <t>符術士サラシナ</t>
    <rPh sb="0" eb="1">
      <t>フ</t>
    </rPh>
    <rPh sb="1" eb="2">
      <t>ジュツ</t>
    </rPh>
    <rPh sb="2" eb="3">
      <t>シ</t>
    </rPh>
    <phoneticPr fontId="1"/>
  </si>
  <si>
    <t>ふじゅつしさらしな</t>
    <phoneticPr fontId="1"/>
  </si>
  <si>
    <t>西日本</t>
    <rPh sb="0" eb="1">
      <t>ニシ</t>
    </rPh>
    <rPh sb="1" eb="3">
      <t>ニホン</t>
    </rPh>
    <phoneticPr fontId="1"/>
  </si>
  <si>
    <t>知性派</t>
    <rPh sb="0" eb="2">
      <t>チセイ</t>
    </rPh>
    <rPh sb="2" eb="3">
      <t>ハ</t>
    </rPh>
    <phoneticPr fontId="1"/>
  </si>
  <si>
    <t>陰陽師イロハ</t>
    <rPh sb="0" eb="3">
      <t>オンミョウジ</t>
    </rPh>
    <phoneticPr fontId="1"/>
  </si>
  <si>
    <t>おんみょうじいろは</t>
    <phoneticPr fontId="1"/>
  </si>
  <si>
    <t>幸せへと導く符術の心</t>
    <rPh sb="0" eb="1">
      <t>シアワ</t>
    </rPh>
    <rPh sb="4" eb="5">
      <t>ミチビ</t>
    </rPh>
    <rPh sb="6" eb="7">
      <t>フ</t>
    </rPh>
    <rPh sb="7" eb="8">
      <t>ジュツ</t>
    </rPh>
    <rPh sb="9" eb="10">
      <t>ココロ</t>
    </rPh>
    <phoneticPr fontId="1"/>
  </si>
  <si>
    <t>妖魔を従える陰陽の業</t>
    <rPh sb="0" eb="2">
      <t>ヨウマ</t>
    </rPh>
    <rPh sb="3" eb="4">
      <t>シタガ</t>
    </rPh>
    <rPh sb="6" eb="8">
      <t>オンミョウ</t>
    </rPh>
    <rPh sb="9" eb="10">
      <t>ワザ</t>
    </rPh>
    <phoneticPr fontId="1"/>
  </si>
  <si>
    <t>タイプ神秘・知性派・飲食の防40％UP　/　所属が【東日本】と、それに属する地方・県、および【全国】の攻30％DOWN</t>
    <rPh sb="26" eb="27">
      <t>ヒガシ</t>
    </rPh>
    <rPh sb="27" eb="29">
      <t>ニホン</t>
    </rPh>
    <phoneticPr fontId="1"/>
  </si>
  <si>
    <t>近畿</t>
    <rPh sb="0" eb="2">
      <t>キンキ</t>
    </rPh>
    <phoneticPr fontId="1"/>
  </si>
  <si>
    <t>金剛力士像</t>
    <rPh sb="0" eb="2">
      <t>コンゴウ</t>
    </rPh>
    <rPh sb="2" eb="4">
      <t>リキシ</t>
    </rPh>
    <rPh sb="4" eb="5">
      <t>ゾウ</t>
    </rPh>
    <phoneticPr fontId="1"/>
  </si>
  <si>
    <t>こんごうりきしぞう</t>
    <phoneticPr fontId="1"/>
  </si>
  <si>
    <t>仏敵を威圧する盆怒相</t>
    <rPh sb="0" eb="1">
      <t>ブツ</t>
    </rPh>
    <rPh sb="1" eb="2">
      <t>テキ</t>
    </rPh>
    <rPh sb="3" eb="5">
      <t>イアツ</t>
    </rPh>
    <rPh sb="7" eb="8">
      <t>ボン</t>
    </rPh>
    <rPh sb="8" eb="9">
      <t>ド</t>
    </rPh>
    <rPh sb="9" eb="10">
      <t>ソウ</t>
    </rPh>
    <phoneticPr fontId="1"/>
  </si>
  <si>
    <t>神秘</t>
    <rPh sb="0" eb="2">
      <t>シンピ</t>
    </rPh>
    <phoneticPr fontId="1"/>
  </si>
  <si>
    <t>【魔女王】卑弥呼</t>
    <rPh sb="1" eb="3">
      <t>マジョ</t>
    </rPh>
    <rPh sb="3" eb="4">
      <t>オウ</t>
    </rPh>
    <rPh sb="5" eb="8">
      <t>ヒミコ</t>
    </rPh>
    <phoneticPr fontId="1"/>
  </si>
  <si>
    <t>まじょおうひみこ</t>
    <phoneticPr fontId="1"/>
  </si>
  <si>
    <t>お菓子と踊る魔女の王</t>
    <rPh sb="1" eb="3">
      <t>カシ</t>
    </rPh>
    <rPh sb="4" eb="5">
      <t>オド</t>
    </rPh>
    <rPh sb="6" eb="8">
      <t>マジョ</t>
    </rPh>
    <rPh sb="9" eb="10">
      <t>オウ</t>
    </rPh>
    <phoneticPr fontId="1"/>
  </si>
  <si>
    <t>偉人</t>
    <rPh sb="0" eb="2">
      <t>イジン</t>
    </rPh>
    <phoneticPr fontId="1"/>
  </si>
  <si>
    <t>5進</t>
    <rPh sb="1" eb="2">
      <t>シン</t>
    </rPh>
    <phoneticPr fontId="1"/>
  </si>
  <si>
    <t>3進</t>
    <rPh sb="1" eb="2">
      <t>シン</t>
    </rPh>
    <phoneticPr fontId="1"/>
  </si>
  <si>
    <t>1進</t>
    <rPh sb="1" eb="2">
      <t>シン</t>
    </rPh>
    <phoneticPr fontId="1"/>
  </si>
  <si>
    <t>超・不良遊戯ガチャ</t>
    <rPh sb="0" eb="1">
      <t>チョウ</t>
    </rPh>
    <rPh sb="2" eb="4">
      <t>フリョウ</t>
    </rPh>
    <rPh sb="4" eb="6">
      <t>ユウギ</t>
    </rPh>
    <phoneticPr fontId="1"/>
  </si>
  <si>
    <t>防衛戦 東洋より伝わりし不敗の軍神ガチャ</t>
    <rPh sb="0" eb="3">
      <t>ボウエイセン</t>
    </rPh>
    <rPh sb="4" eb="6">
      <t>トウヨウ</t>
    </rPh>
    <rPh sb="8" eb="9">
      <t>ツタ</t>
    </rPh>
    <rPh sb="12" eb="14">
      <t>フハイ</t>
    </rPh>
    <rPh sb="15" eb="17">
      <t>グンシン</t>
    </rPh>
    <phoneticPr fontId="1"/>
  </si>
  <si>
    <t>天幻来迎ガチャ</t>
    <rPh sb="0" eb="1">
      <t>テン</t>
    </rPh>
    <rPh sb="1" eb="2">
      <t>ゲン</t>
    </rPh>
    <rPh sb="2" eb="3">
      <t>ライ</t>
    </rPh>
    <rPh sb="3" eb="4">
      <t>ゲイ</t>
    </rPh>
    <phoneticPr fontId="1"/>
  </si>
  <si>
    <t>防衛戦 英雄ガチャ</t>
    <rPh sb="0" eb="3">
      <t>ボウエイセン</t>
    </rPh>
    <rPh sb="4" eb="6">
      <t>エイユウ</t>
    </rPh>
    <phoneticPr fontId="1"/>
  </si>
  <si>
    <t>【運動会】鬼切丸</t>
    <rPh sb="1" eb="4">
      <t>ウンドウカイ</t>
    </rPh>
    <rPh sb="5" eb="8">
      <t>オニキリマル</t>
    </rPh>
    <phoneticPr fontId="1"/>
  </si>
  <si>
    <t>妖怪</t>
    <rPh sb="0" eb="2">
      <t>ヨウカイ</t>
    </rPh>
    <phoneticPr fontId="1"/>
  </si>
  <si>
    <t>鬼の如く斬るテープ</t>
    <rPh sb="0" eb="1">
      <t>オニ</t>
    </rPh>
    <rPh sb="2" eb="3">
      <t>ゴト</t>
    </rPh>
    <rPh sb="4" eb="5">
      <t>キ</t>
    </rPh>
    <phoneticPr fontId="1"/>
  </si>
  <si>
    <t>タイプ偉人・名物の攻35％UP　/　タイプ神秘・知性派の防100％DOWN</t>
    <rPh sb="9" eb="10">
      <t>コウ</t>
    </rPh>
    <rPh sb="21" eb="23">
      <t>シンピ</t>
    </rPh>
    <rPh sb="24" eb="26">
      <t>チセイ</t>
    </rPh>
    <rPh sb="26" eb="27">
      <t>ハ</t>
    </rPh>
    <phoneticPr fontId="1"/>
  </si>
  <si>
    <t>北海道・東北</t>
    <rPh sb="0" eb="3">
      <t>ホッカイドウ</t>
    </rPh>
    <rPh sb="4" eb="6">
      <t>トウホク</t>
    </rPh>
    <phoneticPr fontId="1"/>
  </si>
  <si>
    <t>【お花見】満天姫</t>
    <rPh sb="2" eb="4">
      <t>ハナミ</t>
    </rPh>
    <rPh sb="5" eb="7">
      <t>マンテン</t>
    </rPh>
    <rPh sb="7" eb="8">
      <t>ヒメ</t>
    </rPh>
    <phoneticPr fontId="1"/>
  </si>
  <si>
    <t>姫</t>
    <rPh sb="0" eb="1">
      <t>ヒメ</t>
    </rPh>
    <phoneticPr fontId="1"/>
  </si>
  <si>
    <t>運命の風に舞う桜</t>
    <rPh sb="0" eb="2">
      <t>ウンメイ</t>
    </rPh>
    <rPh sb="3" eb="4">
      <t>カゼ</t>
    </rPh>
    <rPh sb="5" eb="6">
      <t>マ</t>
    </rPh>
    <rPh sb="7" eb="8">
      <t>サクラ</t>
    </rPh>
    <phoneticPr fontId="1"/>
  </si>
  <si>
    <t>井原西鶴</t>
    <rPh sb="0" eb="2">
      <t>イハラ</t>
    </rPh>
    <rPh sb="2" eb="4">
      <t>サイカク</t>
    </rPh>
    <phoneticPr fontId="1"/>
  </si>
  <si>
    <t>江戸文学最高峰の一角を記す筆</t>
    <rPh sb="0" eb="2">
      <t>エド</t>
    </rPh>
    <rPh sb="2" eb="4">
      <t>ブンガク</t>
    </rPh>
    <rPh sb="4" eb="7">
      <t>サイコウホウ</t>
    </rPh>
    <rPh sb="8" eb="10">
      <t>イッカク</t>
    </rPh>
    <rPh sb="11" eb="12">
      <t>シル</t>
    </rPh>
    <rPh sb="13" eb="14">
      <t>フデ</t>
    </rPh>
    <phoneticPr fontId="1"/>
  </si>
  <si>
    <t>中部</t>
    <rPh sb="0" eb="2">
      <t>チュウブ</t>
    </rPh>
    <phoneticPr fontId="1"/>
  </si>
  <si>
    <t>【節分】於大の方</t>
    <rPh sb="1" eb="3">
      <t>セツブン</t>
    </rPh>
    <phoneticPr fontId="1"/>
  </si>
  <si>
    <t>豆に込めた母の愛</t>
    <rPh sb="0" eb="1">
      <t>マメ</t>
    </rPh>
    <rPh sb="2" eb="3">
      <t>コ</t>
    </rPh>
    <rPh sb="5" eb="6">
      <t>ハハ</t>
    </rPh>
    <rPh sb="7" eb="8">
      <t>アイ</t>
    </rPh>
    <phoneticPr fontId="1"/>
  </si>
  <si>
    <t>武人</t>
    <rPh sb="0" eb="2">
      <t>ブジン</t>
    </rPh>
    <phoneticPr fontId="1"/>
  </si>
  <si>
    <t>刹那！最強DOWN隊士ガチャ</t>
    <rPh sb="0" eb="2">
      <t>セツナ</t>
    </rPh>
    <rPh sb="3" eb="5">
      <t>サイキョウ</t>
    </rPh>
    <rPh sb="9" eb="11">
      <t>タイシ</t>
    </rPh>
    <phoneticPr fontId="1"/>
  </si>
  <si>
    <t>マラーターの誇り</t>
    <rPh sb="6" eb="7">
      <t>ホコ</t>
    </rPh>
    <phoneticPr fontId="1"/>
  </si>
  <si>
    <t>【白銀】ジャンヌ・ダルク</t>
    <rPh sb="1" eb="3">
      <t>ハクギン</t>
    </rPh>
    <phoneticPr fontId="1"/>
  </si>
  <si>
    <t>幸運の象徴</t>
    <rPh sb="0" eb="2">
      <t>コウウン</t>
    </rPh>
    <rPh sb="3" eb="5">
      <t>ショウチョウ</t>
    </rPh>
    <phoneticPr fontId="1"/>
  </si>
  <si>
    <t>天撃皆伝ガチャ</t>
    <rPh sb="0" eb="1">
      <t>テン</t>
    </rPh>
    <rPh sb="1" eb="2">
      <t>ゲキ</t>
    </rPh>
    <rPh sb="2" eb="4">
      <t>カイデン</t>
    </rPh>
    <phoneticPr fontId="1"/>
  </si>
  <si>
    <t>関東</t>
    <rPh sb="0" eb="2">
      <t>カントウ</t>
    </rPh>
    <phoneticPr fontId="1"/>
  </si>
  <si>
    <t>愛媛</t>
    <rPh sb="0" eb="2">
      <t>エヒメ</t>
    </rPh>
    <phoneticPr fontId="1"/>
  </si>
  <si>
    <t>全国</t>
    <rPh sb="0" eb="2">
      <t>ゼンコク</t>
    </rPh>
    <phoneticPr fontId="1"/>
  </si>
  <si>
    <t>西日本</t>
    <rPh sb="0" eb="3">
      <t>ニシニホン</t>
    </rPh>
    <phoneticPr fontId="1"/>
  </si>
  <si>
    <t>超攻再臨ガチャ</t>
    <rPh sb="0" eb="1">
      <t>チョウ</t>
    </rPh>
    <rPh sb="1" eb="2">
      <t>コウ</t>
    </rPh>
    <rPh sb="2" eb="4">
      <t>サイリン</t>
    </rPh>
    <phoneticPr fontId="1"/>
  </si>
  <si>
    <t>中国・四国</t>
    <rPh sb="0" eb="2">
      <t>チュウゴク</t>
    </rPh>
    <rPh sb="3" eb="5">
      <t>シコク</t>
    </rPh>
    <phoneticPr fontId="1"/>
  </si>
  <si>
    <t>九州・沖縄</t>
    <rPh sb="0" eb="2">
      <t>キュウシュウ</t>
    </rPh>
    <rPh sb="3" eb="5">
      <t>オキナワ</t>
    </rPh>
    <phoneticPr fontId="1"/>
  </si>
  <si>
    <t>四神戦 英雄ガチャ</t>
    <rPh sb="0" eb="1">
      <t>ヨン</t>
    </rPh>
    <rPh sb="1" eb="2">
      <t>シン</t>
    </rPh>
    <rPh sb="2" eb="3">
      <t>セン</t>
    </rPh>
    <rPh sb="4" eb="6">
      <t>エイユウ</t>
    </rPh>
    <phoneticPr fontId="1"/>
  </si>
  <si>
    <t>古豪戦傑ガチャ</t>
    <rPh sb="0" eb="2">
      <t>コゴウ</t>
    </rPh>
    <rPh sb="2" eb="3">
      <t>セン</t>
    </rPh>
    <rPh sb="3" eb="4">
      <t>ケツ</t>
    </rPh>
    <phoneticPr fontId="1"/>
  </si>
  <si>
    <t>東日本</t>
    <rPh sb="0" eb="3">
      <t>ヒガシニホン</t>
    </rPh>
    <phoneticPr fontId="1"/>
  </si>
  <si>
    <t>赤舌</t>
    <rPh sb="0" eb="1">
      <t>アカ</t>
    </rPh>
    <rPh sb="1" eb="2">
      <t>シタ</t>
    </rPh>
    <phoneticPr fontId="1"/>
  </si>
  <si>
    <t>相楽総三</t>
    <rPh sb="0" eb="2">
      <t>サガラ</t>
    </rPh>
    <rPh sb="2" eb="4">
      <t>ソウゾウ</t>
    </rPh>
    <phoneticPr fontId="1"/>
  </si>
  <si>
    <t>早川徳次</t>
    <rPh sb="0" eb="2">
      <t>ハヤカワ</t>
    </rPh>
    <rPh sb="2" eb="3">
      <t>ノリ</t>
    </rPh>
    <rPh sb="3" eb="4">
      <t>ツグ</t>
    </rPh>
    <phoneticPr fontId="1"/>
  </si>
  <si>
    <t>松の丸殿</t>
    <rPh sb="0" eb="1">
      <t>マツ</t>
    </rPh>
    <rPh sb="2" eb="3">
      <t>マル</t>
    </rPh>
    <rPh sb="3" eb="4">
      <t>ドノ</t>
    </rPh>
    <phoneticPr fontId="1"/>
  </si>
  <si>
    <t>大神実命</t>
    <rPh sb="0" eb="1">
      <t>オオ</t>
    </rPh>
    <rPh sb="1" eb="2">
      <t>カミ</t>
    </rPh>
    <rPh sb="2" eb="3">
      <t>ミ</t>
    </rPh>
    <rPh sb="3" eb="4">
      <t>イノチ</t>
    </rPh>
    <phoneticPr fontId="1"/>
  </si>
  <si>
    <t>アグー豚ちゃん</t>
    <rPh sb="3" eb="4">
      <t>ブタ</t>
    </rPh>
    <phoneticPr fontId="1"/>
  </si>
  <si>
    <t>飲食</t>
    <rPh sb="0" eb="2">
      <t>インショク</t>
    </rPh>
    <phoneticPr fontId="1"/>
  </si>
  <si>
    <t>十界羅刹</t>
    <rPh sb="0" eb="1">
      <t>ジュウ</t>
    </rPh>
    <rPh sb="1" eb="2">
      <t>カイ</t>
    </rPh>
    <rPh sb="2" eb="4">
      <t>ラセツ</t>
    </rPh>
    <phoneticPr fontId="1"/>
  </si>
  <si>
    <t>不屈の赤き誇り</t>
    <rPh sb="0" eb="2">
      <t>フクツ</t>
    </rPh>
    <rPh sb="3" eb="4">
      <t>アカ</t>
    </rPh>
    <rPh sb="5" eb="6">
      <t>ホコ</t>
    </rPh>
    <phoneticPr fontId="1"/>
  </si>
  <si>
    <t>遙かなり地下の龍脈</t>
    <rPh sb="0" eb="1">
      <t>ハル</t>
    </rPh>
    <rPh sb="4" eb="6">
      <t>チカ</t>
    </rPh>
    <rPh sb="7" eb="8">
      <t>リュウ</t>
    </rPh>
    <rPh sb="8" eb="9">
      <t>ミャク</t>
    </rPh>
    <phoneticPr fontId="1"/>
  </si>
  <si>
    <t>秀吉の寵愛</t>
    <rPh sb="0" eb="2">
      <t>ヒデヨシ</t>
    </rPh>
    <rPh sb="3" eb="5">
      <t>チョウアイ</t>
    </rPh>
    <phoneticPr fontId="1"/>
  </si>
  <si>
    <t>桃色三千世界</t>
    <rPh sb="0" eb="2">
      <t>モモイロ</t>
    </rPh>
    <rPh sb="2" eb="4">
      <t>サンゼン</t>
    </rPh>
    <rPh sb="4" eb="6">
      <t>セカイ</t>
    </rPh>
    <phoneticPr fontId="1"/>
  </si>
  <si>
    <t>天クロ演義ガチャ</t>
    <rPh sb="0" eb="1">
      <t>テン</t>
    </rPh>
    <rPh sb="3" eb="5">
      <t>エンギ</t>
    </rPh>
    <phoneticPr fontId="1"/>
  </si>
  <si>
    <t>豪華玉手箱ガチャ</t>
    <rPh sb="0" eb="2">
      <t>ゴウカ</t>
    </rPh>
    <rPh sb="2" eb="5">
      <t>タマテバコ</t>
    </rPh>
    <phoneticPr fontId="1"/>
  </si>
  <si>
    <t>【雨の花嫁】樋口一葉</t>
    <rPh sb="1" eb="2">
      <t>アメ</t>
    </rPh>
    <rPh sb="3" eb="5">
      <t>ハナヨメ</t>
    </rPh>
    <rPh sb="6" eb="8">
      <t>ヒグチ</t>
    </rPh>
    <rPh sb="8" eb="10">
      <t>イチヨウ</t>
    </rPh>
    <phoneticPr fontId="1"/>
  </si>
  <si>
    <t>色褪せぬ紫陽花の一葉</t>
    <rPh sb="0" eb="2">
      <t>イロア</t>
    </rPh>
    <rPh sb="4" eb="7">
      <t>アジサイ</t>
    </rPh>
    <rPh sb="8" eb="10">
      <t>イチヨウ</t>
    </rPh>
    <phoneticPr fontId="1"/>
  </si>
  <si>
    <t>【元旦】福姫</t>
    <rPh sb="1" eb="3">
      <t>ガンタン</t>
    </rPh>
    <rPh sb="4" eb="6">
      <t>フクヒメ</t>
    </rPh>
    <phoneticPr fontId="1"/>
  </si>
  <si>
    <t>縁に感謝する初詣</t>
    <rPh sb="0" eb="1">
      <t>エン</t>
    </rPh>
    <rPh sb="2" eb="4">
      <t>カンシャ</t>
    </rPh>
    <rPh sb="6" eb="8">
      <t>ハツモウデ</t>
    </rPh>
    <phoneticPr fontId="1"/>
  </si>
  <si>
    <t>華厳滝</t>
    <rPh sb="0" eb="2">
      <t>ケゴン</t>
    </rPh>
    <rPh sb="2" eb="3">
      <t>タキ</t>
    </rPh>
    <phoneticPr fontId="1"/>
  </si>
  <si>
    <t>名物</t>
    <rPh sb="0" eb="2">
      <t>メイブツ</t>
    </rPh>
    <phoneticPr fontId="1"/>
  </si>
  <si>
    <t>自然が造りし超名瀑の飛沫</t>
    <rPh sb="0" eb="2">
      <t>シゼン</t>
    </rPh>
    <rPh sb="3" eb="4">
      <t>ツク</t>
    </rPh>
    <rPh sb="6" eb="7">
      <t>チョウ</t>
    </rPh>
    <rPh sb="7" eb="9">
      <t>メイバク</t>
    </rPh>
    <rPh sb="10" eb="12">
      <t>ヒマツ</t>
    </rPh>
    <phoneticPr fontId="1"/>
  </si>
  <si>
    <t>【獣水着】高千穂峰</t>
    <rPh sb="1" eb="2">
      <t>ケモノ</t>
    </rPh>
    <rPh sb="2" eb="4">
      <t>ミズギ</t>
    </rPh>
    <rPh sb="5" eb="8">
      <t>タカチホ</t>
    </rPh>
    <rPh sb="8" eb="9">
      <t>ミネ</t>
    </rPh>
    <phoneticPr fontId="1"/>
  </si>
  <si>
    <t>天上に輝く水着</t>
    <rPh sb="0" eb="2">
      <t>テンジョウ</t>
    </rPh>
    <rPh sb="3" eb="4">
      <t>カガヤ</t>
    </rPh>
    <rPh sb="5" eb="7">
      <t>ミズギ</t>
    </rPh>
    <phoneticPr fontId="1"/>
  </si>
  <si>
    <t>10/4 18:00～10/6 23:59</t>
  </si>
  <si>
    <t>10/5 11:00～10/5 23:59</t>
  </si>
  <si>
    <t>10/5 12:00～10/5 23:59</t>
  </si>
  <si>
    <t>10/6 12:00～10/7 11:59</t>
  </si>
  <si>
    <t>10/6 18:00～10/8 23:59</t>
  </si>
  <si>
    <t>10/7 20:00～10/7 23:59</t>
  </si>
  <si>
    <t>10/7 12:00～10/9 23:59</t>
  </si>
  <si>
    <t>10/9 12:00～10/14 11:59</t>
  </si>
  <si>
    <t>10/9 20:00～10/11 23:59</t>
  </si>
  <si>
    <t>10/10 11:00～10/10 23:59</t>
  </si>
  <si>
    <t>10/10 18:00～10/12 23:59</t>
  </si>
  <si>
    <t>10/11 11:00～10/13 23:59</t>
  </si>
  <si>
    <t>10/12 18:00～10/12 21:59</t>
  </si>
  <si>
    <t>10/13 11:00～10/14 10:59</t>
  </si>
  <si>
    <t>10/13 21:00～10/15 23:59</t>
  </si>
  <si>
    <t>広島</t>
    <rPh sb="0" eb="2">
      <t>ヒロシマ</t>
    </rPh>
    <phoneticPr fontId="1"/>
  </si>
  <si>
    <t>東日本→全国</t>
    <rPh sb="0" eb="1">
      <t>ヒガシ</t>
    </rPh>
    <rPh sb="1" eb="3">
      <t>ニホン</t>
    </rPh>
    <phoneticPr fontId="1"/>
  </si>
  <si>
    <t>所属一致ボーナス130％UP</t>
  </si>
  <si>
    <t>メインデッキの自地方隊士の所属一致ボーナスを130％UP（全国・東西日本所属は除く）</t>
  </si>
  <si>
    <t>木村芥舟</t>
    <rPh sb="0" eb="2">
      <t>キムラ</t>
    </rPh>
    <rPh sb="2" eb="3">
      <t>カイ</t>
    </rPh>
    <rPh sb="3" eb="4">
      <t>シュウ</t>
    </rPh>
    <phoneticPr fontId="1"/>
  </si>
  <si>
    <t>飛騨和牛</t>
    <rPh sb="0" eb="2">
      <t>ヒダ</t>
    </rPh>
    <rPh sb="2" eb="4">
      <t>ワギュウ</t>
    </rPh>
    <phoneticPr fontId="1"/>
  </si>
  <si>
    <t>猿田彦大神</t>
    <rPh sb="0" eb="3">
      <t>サルタヒコ</t>
    </rPh>
    <rPh sb="3" eb="5">
      <t>オオカミ</t>
    </rPh>
    <phoneticPr fontId="1"/>
  </si>
  <si>
    <t>銭形砂絵</t>
    <rPh sb="0" eb="2">
      <t>ゼニガタ</t>
    </rPh>
    <rPh sb="2" eb="4">
      <t>スナエ</t>
    </rPh>
    <phoneticPr fontId="1"/>
  </si>
  <si>
    <t>天狗のかくれみの</t>
    <rPh sb="0" eb="2">
      <t>テング</t>
    </rPh>
    <phoneticPr fontId="1"/>
  </si>
  <si>
    <t>才能溢れる咸臨丸提督</t>
    <rPh sb="0" eb="2">
      <t>サイノウ</t>
    </rPh>
    <rPh sb="2" eb="3">
      <t>アフ</t>
    </rPh>
    <rPh sb="5" eb="8">
      <t>カンリンマル</t>
    </rPh>
    <rPh sb="8" eb="10">
      <t>テイトク</t>
    </rPh>
    <phoneticPr fontId="1"/>
  </si>
  <si>
    <t>魅惑の霜降り</t>
    <rPh sb="0" eb="2">
      <t>ミワク</t>
    </rPh>
    <rPh sb="3" eb="5">
      <t>シモフ</t>
    </rPh>
    <phoneticPr fontId="1"/>
  </si>
  <si>
    <t>偉大なる天孫降臨の始まり</t>
    <rPh sb="0" eb="2">
      <t>イダイ</t>
    </rPh>
    <rPh sb="4" eb="6">
      <t>テンソン</t>
    </rPh>
    <rPh sb="6" eb="8">
      <t>コウリン</t>
    </rPh>
    <rPh sb="9" eb="10">
      <t>ハジ</t>
    </rPh>
    <phoneticPr fontId="1"/>
  </si>
  <si>
    <t>金運を呼び込む宝</t>
    <rPh sb="0" eb="2">
      <t>キンウン</t>
    </rPh>
    <rPh sb="3" eb="4">
      <t>ヨ</t>
    </rPh>
    <rPh sb="5" eb="6">
      <t>コ</t>
    </rPh>
    <rPh sb="7" eb="8">
      <t>タカラ</t>
    </rPh>
    <phoneticPr fontId="1"/>
  </si>
  <si>
    <t>灰となっても消えぬ神通力</t>
    <rPh sb="0" eb="1">
      <t>ハイ</t>
    </rPh>
    <rPh sb="6" eb="7">
      <t>キ</t>
    </rPh>
    <rPh sb="9" eb="12">
      <t>ジンツウリキ</t>
    </rPh>
    <phoneticPr fontId="1"/>
  </si>
  <si>
    <t>東日本→全国</t>
    <rPh sb="0" eb="3">
      <t>ヒガシニホン</t>
    </rPh>
    <rPh sb="4" eb="6">
      <t>ゼンコク</t>
    </rPh>
    <phoneticPr fontId="1"/>
  </si>
  <si>
    <t>西日本→全国</t>
    <rPh sb="0" eb="1">
      <t>ニシ</t>
    </rPh>
    <rPh sb="1" eb="3">
      <t>ニホン</t>
    </rPh>
    <rPh sb="4" eb="6">
      <t>ゼンコク</t>
    </rPh>
    <phoneticPr fontId="1"/>
  </si>
  <si>
    <t>東日本→全国</t>
    <rPh sb="0" eb="1">
      <t>ヒガシ</t>
    </rPh>
    <rPh sb="1" eb="3">
      <t>ニホン</t>
    </rPh>
    <rPh sb="4" eb="6">
      <t>ゼンコク</t>
    </rPh>
    <phoneticPr fontId="1"/>
  </si>
  <si>
    <t>西日本→全国</t>
    <rPh sb="0" eb="3">
      <t>ニシニホン</t>
    </rPh>
    <rPh sb="4" eb="6">
      <t>ゼンコク</t>
    </rPh>
    <phoneticPr fontId="1"/>
  </si>
  <si>
    <t>10/20 11:00～10/21 10:59</t>
  </si>
  <si>
    <t>中国・四国</t>
  </si>
  <si>
    <t>東日本</t>
  </si>
  <si>
    <t>西日本</t>
  </si>
  <si>
    <t>全国</t>
  </si>
  <si>
    <t>関東</t>
  </si>
  <si>
    <t>【元旦】桃太郎</t>
  </si>
  <si>
    <t>がんたんももたろう</t>
  </si>
  <si>
    <t>伝承</t>
  </si>
  <si>
    <t>鬼も脅かす書の腕前</t>
  </si>
  <si>
    <t>タイプ伝承・武人・姫の攻35％UP　/　タイプ妖怪・名物・偉人・知性派の防20％DOWN</t>
  </si>
  <si>
    <t>【霊玉伝説】伏姫</t>
  </si>
  <si>
    <t>れいぎょくでんせつふせひめ</t>
  </si>
  <si>
    <t>仁義八行の数珠</t>
  </si>
  <si>
    <t>タイプ姫・武人・名物の防40％UP　/　タイプ【伝承】の防20％UP</t>
  </si>
  <si>
    <t>東の肉叢演義</t>
  </si>
  <si>
    <t>ひがしのししむらえんぎ</t>
  </si>
  <si>
    <t>飲食</t>
  </si>
  <si>
    <t>美味しさの秘密</t>
  </si>
  <si>
    <t>タイプ神秘・知性派の攻25％UP</t>
  </si>
  <si>
    <t>西の肉叢演義</t>
  </si>
  <si>
    <t>にしのししむらえんぎ</t>
  </si>
  <si>
    <t>赤と白の宝石</t>
  </si>
  <si>
    <t>豊艶肉叢演義</t>
  </si>
  <si>
    <t>ほうえんししむらえんぎ</t>
  </si>
  <si>
    <t>甘美なくちどけ</t>
  </si>
  <si>
    <t>タイプ神秘・知性派・飲食の攻40％UP</t>
  </si>
  <si>
    <t>東の文藝演義</t>
  </si>
  <si>
    <t>ひがしのぶんげいえんぎ</t>
  </si>
  <si>
    <t>日本文学の礎</t>
  </si>
  <si>
    <t>タイプ武人・姫の防10％UP　/　タイプ神秘・飲食の攻15％DOWN</t>
  </si>
  <si>
    <t>西の文藝演義</t>
  </si>
  <si>
    <t>にしのぶんげいえんぎ</t>
  </si>
  <si>
    <t>日本文学の基</t>
  </si>
  <si>
    <t>傑作文藝演義</t>
  </si>
  <si>
    <t>けっさくぶんげいえんぎ</t>
  </si>
  <si>
    <t>日本文豪傑作選</t>
  </si>
  <si>
    <t>タイプ伝承・武人・姫の防15％UP　/　タイプ神秘・飲食・知性派・妖怪の攻25％DOWN</t>
  </si>
  <si>
    <t>天撃皆伝ガチャ</t>
  </si>
  <si>
    <t>10/20 18:00～10/22 23:59</t>
  </si>
  <si>
    <t>【お花見】真田幸村</t>
  </si>
  <si>
    <t>中部</t>
  </si>
  <si>
    <t>近畿</t>
  </si>
  <si>
    <t>おはなみさなだゆきむら</t>
  </si>
  <si>
    <t>武人</t>
  </si>
  <si>
    <t>桜に誓う真田の不惜身命</t>
  </si>
  <si>
    <t>タイプ姫・伝承の攻40％UP　/　タイプ【武人】の攻25％UP</t>
  </si>
  <si>
    <t>【温泉パニック】豪姫</t>
  </si>
  <si>
    <t>おんせんぱにっくごうひめ</t>
  </si>
  <si>
    <t>姫</t>
  </si>
  <si>
    <t>紅葉舞う療養の地</t>
  </si>
  <si>
    <t>タイプ伝承・武人・偉人の防50％UP　/　タイプ【姫】の防25％UP</t>
  </si>
  <si>
    <t>【妖精】一目連</t>
  </si>
  <si>
    <t>ようせいいちもくれん</t>
  </si>
  <si>
    <t>妖怪</t>
  </si>
  <si>
    <t>森の泉に舞う神風</t>
  </si>
  <si>
    <t>タイプ【神秘】の防100％DOWN　/　タイプ知性派・飲食・伝承の防30％DOWN</t>
  </si>
  <si>
    <t>西日本→全国</t>
    <rPh sb="0" eb="4">
      <t>ニシニホンミギ</t>
    </rPh>
    <rPh sb="4" eb="6">
      <t>ゼンコク</t>
    </rPh>
    <phoneticPr fontId="1"/>
  </si>
  <si>
    <t>すくーるらいふきくひめ</t>
  </si>
  <si>
    <t>菊咲き誇る学園</t>
  </si>
  <si>
    <t>タイプ【武人】の防50％UP　/　タイプ姫・伝承の防25％UP</t>
  </si>
  <si>
    <t>みずようかんちゃん</t>
  </si>
  <si>
    <t>喉ごし柔らか、夏の涼菓子</t>
  </si>
  <si>
    <t>タイプ神秘・知性派・飲食の攻35％UP</t>
  </si>
  <si>
    <t>ZR</t>
  </si>
  <si>
    <t>【ハロウィン】カグヤ</t>
  </si>
  <si>
    <t>はろうぃんかぐや</t>
  </si>
  <si>
    <t>包帯に隠された月姫</t>
  </si>
  <si>
    <t>SSR</t>
  </si>
  <si>
    <t>北海道・東北</t>
  </si>
  <si>
    <t>はろうぃんからぐちにほんしゅちゃん</t>
  </si>
  <si>
    <t>ハロウィンのほろ酔い宴</t>
  </si>
  <si>
    <t>タイプ神秘・知性派の攻45％UP　/　タイプ【飲食】の攻15％UP</t>
  </si>
  <si>
    <t>はろうぃんきたのかた</t>
  </si>
  <si>
    <t>勇猛美麗な悪魔の槍</t>
  </si>
  <si>
    <t>タイプ【伝承】の防75％UP　/　タイプ武人・姫の防30％UP</t>
  </si>
  <si>
    <t>所属一致ボーナス140％UP</t>
  </si>
  <si>
    <t>メインデッキの自地方隊士の所属一致ボーナスを140％UP（全国・東西日本所属は除く）</t>
  </si>
  <si>
    <t>九州・沖縄</t>
  </si>
  <si>
    <t>はろうぃんたつくちなわ</t>
  </si>
  <si>
    <t>妖たちのハロウィンナイト</t>
  </si>
  <si>
    <t>タイプ武人・姫の攻100％DOWN　/　タイプ偉人・名物の防20％UP</t>
  </si>
  <si>
    <t>SR</t>
  </si>
  <si>
    <t>【ハロウィン】島隆</t>
  </si>
  <si>
    <t>はろうぃんしまりゅう</t>
  </si>
  <si>
    <t>偉人</t>
  </si>
  <si>
    <t>ダイエット禁止デー</t>
  </si>
  <si>
    <t>タイプ妖怪・名物の攻35％UP　/　タイプ【偉人】の攻20％UP</t>
  </si>
  <si>
    <t>【ハロウィン】松尾多勢子</t>
  </si>
  <si>
    <t>はろうぃんまつおたせこ</t>
  </si>
  <si>
    <t>はろうぃんの母</t>
  </si>
  <si>
    <t>タイプ姫・伝承の攻35％UP　/　タイプ【武人】の攻20％UP</t>
  </si>
  <si>
    <t>【ハロウィン】幽霊傘</t>
  </si>
  <si>
    <t>はろうぃんゆうれいがさ</t>
  </si>
  <si>
    <t>正体なき妖怪</t>
  </si>
  <si>
    <t>タイプ知性派・飲食の防35％UP　/　タイプ【妖怪】の防20％UP</t>
  </si>
  <si>
    <t>HR</t>
  </si>
  <si>
    <t>[新生]【ハロウィン】舌きりスズメ</t>
  </si>
  <si>
    <t>しんせいはろうぃんしたきりすずめ</t>
  </si>
  <si>
    <t>お菓子の詰まった二つのつづら</t>
  </si>
  <si>
    <t>タイプ武人・姫の防25％UP</t>
  </si>
  <si>
    <t>[新生]【魔界】コウテイペンギンちゃん</t>
  </si>
  <si>
    <t>しんせいまかいこうていぺんぎんちゃん</t>
  </si>
  <si>
    <t>名物</t>
  </si>
  <si>
    <t>偉大なる皇帝　　</t>
  </si>
  <si>
    <t>タイプ偉人・妖怪の攻25％UP</t>
  </si>
  <si>
    <t>R</t>
  </si>
  <si>
    <t>[新生]パンプキンゼリーちゃん</t>
  </si>
  <si>
    <t>しんせいぱんぷきんぜりーちゃん</t>
  </si>
  <si>
    <t>ぷるんぷるんパンプキン</t>
  </si>
  <si>
    <t>[新生]土瓶神</t>
  </si>
  <si>
    <t>しんせいとんぼがみ</t>
  </si>
  <si>
    <t>金色輪を持つ蛇の福</t>
  </si>
  <si>
    <t>八幡馬</t>
  </si>
  <si>
    <t>やわたうま</t>
  </si>
  <si>
    <t>込められた愛馬への祈り</t>
  </si>
  <si>
    <t>タイプ偉人・妖怪・名物の防25％UP　/　タイプ伝承・武人・姫の攻40％DOWN</t>
  </si>
  <si>
    <t>タイプ偉人・妖怪・名物の防15％UP　/　タイプ伝承・武人・姫の攻25％DOWN</t>
  </si>
  <si>
    <t>タイプ偉人・妖怪・名物の防10％UP　/　タイプ伝承・武人・姫の攻10％DOWN</t>
  </si>
  <si>
    <t>【お部屋】酒呑童子</t>
  </si>
  <si>
    <t>おへやしゅてんどうじ</t>
  </si>
  <si>
    <t>酒香る寛ぎの時間</t>
  </si>
  <si>
    <t>タイプ【武人】の攻100％DOWN　/　タイプ姫・伝承・知性派の攻40％DOWN</t>
  </si>
  <si>
    <t>【夏祭り】徳川家康</t>
  </si>
  <si>
    <t>なつまつりとくがわいえやす</t>
  </si>
  <si>
    <t>祭り頭の将軍</t>
  </si>
  <si>
    <t>タイプ姫・伝承・妖怪の攻50％UP　/　タイプ【武人】の攻25％UP</t>
  </si>
  <si>
    <t>【戦将】織田信長</t>
  </si>
  <si>
    <t>せんしょうおだのぶなが</t>
  </si>
  <si>
    <t>魔王の戦歴</t>
  </si>
  <si>
    <t>タイプ伝承・姫・偉人の防40％UP　/　タイプ【武人】の防20％UP</t>
  </si>
  <si>
    <t>ひめらぎゆきかぜ</t>
  </si>
  <si>
    <t>征服まーちんぐ♡</t>
  </si>
  <si>
    <t>タイプ偉人・妖怪・名物の攻50％UP</t>
  </si>
  <si>
    <t>やみ</t>
  </si>
  <si>
    <t>神秘</t>
  </si>
  <si>
    <t>縛鎖の解放</t>
  </si>
  <si>
    <t>タイプ神秘・知性派・飲食の防20％UP　/　タイプ伝承・武人・姫の攻75％DOWN</t>
  </si>
  <si>
    <t>畔上明璃花</t>
  </si>
  <si>
    <t>あぜがみありか</t>
  </si>
  <si>
    <t>伝説の継承者</t>
  </si>
  <si>
    <t>タイプ姫・伝承の防25％UP　/　タイプ【武人】の防10％UP</t>
  </si>
  <si>
    <t>【旅館】清姫</t>
  </si>
  <si>
    <t>りょかんきよひめ</t>
  </si>
  <si>
    <t>旅館に宿す恋の炎</t>
  </si>
  <si>
    <t>タイプ偉人・名物の攻30％UP　/　タイプ神秘・知性派・飲食の攻15％UP</t>
  </si>
  <si>
    <t>【梅花魁】杉田久女</t>
  </si>
  <si>
    <t>うめおいらんすぎたひさじょ</t>
  </si>
  <si>
    <t>知性派</t>
  </si>
  <si>
    <t>春を告げる百花の魁</t>
  </si>
  <si>
    <t>タイプ【神秘】の攻30％UP　/　タイプ知性派・飲食の攻20％UP</t>
  </si>
  <si>
    <t>【カーニバル】お月様に行ったうさぎ</t>
  </si>
  <si>
    <t>かーにばるおつきさまにいったうさぎ</t>
  </si>
  <si>
    <t>興奮最高潮の月兎ダンス</t>
  </si>
  <si>
    <t>タイプ武人・姫の防30％UP　/　タイプ偉人・妖怪・名物の防12％UP</t>
  </si>
  <si>
    <t>【節分パニック】平塚らいてう</t>
  </si>
  <si>
    <t>せつぶんぱにっくひらつからいちょう</t>
  </si>
  <si>
    <t>悪を挫く信念の豆</t>
  </si>
  <si>
    <t>タイプ神秘・飲食・名物の攻60％UP　/　タイプ【知性派】の攻30％UP</t>
  </si>
  <si>
    <t>【MONSTER】玉手箱</t>
  </si>
  <si>
    <t>もんすたーたまてばこ</t>
  </si>
  <si>
    <t>秘宝か罠か呪いの玉手箱</t>
  </si>
  <si>
    <t>タイプ伝承・武人・姫の攻40％UP　/　タイプ偉人・妖怪・名物の防10％DOWN</t>
  </si>
  <si>
    <t>ケラマブルー</t>
  </si>
  <si>
    <t>けらまぶるー</t>
  </si>
  <si>
    <t>母なる海の揺りかご</t>
  </si>
  <si>
    <t>タイプ偉人・妖怪・知性派の防40％UP　/　タイプ神秘・飲食・名物の防35％UP</t>
  </si>
  <si>
    <t>あいすくりんちゃん</t>
  </si>
  <si>
    <t>口中に入るるに忽ち溶けてまことに美味なり</t>
  </si>
  <si>
    <t>タイプ神秘・知性派・飲食の攻20％UP</t>
  </si>
  <si>
    <t>魃鬼</t>
  </si>
  <si>
    <t>ばっき</t>
  </si>
  <si>
    <t>風雨蹴散らす旱魃の女神</t>
  </si>
  <si>
    <t>タイプ偉人・名物の防45％UP　/　タイプ【妖怪】の防15％UP</t>
  </si>
  <si>
    <t>梶原入道冬庵</t>
  </si>
  <si>
    <t>かじわらにゅうどうとうあん</t>
  </si>
  <si>
    <t>勇猛怪力が放つ一騎打ち</t>
  </si>
  <si>
    <t>タイプ姫・伝承の攻25％UP　/　タイプ【武人】の攻10％UP</t>
  </si>
  <si>
    <t>会津八一</t>
  </si>
  <si>
    <t>あいづやいち</t>
  </si>
  <si>
    <t>秋艸道人の筆軌跡</t>
  </si>
  <si>
    <t>タイプ神秘・知性派・飲食の防40％UP　/　タイプ偉人・妖怪の攻15％DOWN</t>
  </si>
  <si>
    <t>ハタハタ</t>
  </si>
  <si>
    <t>はたはた</t>
  </si>
  <si>
    <t>雷の魚</t>
  </si>
  <si>
    <t>南京玉すだれ</t>
  </si>
  <si>
    <t>なんきんたますだれ</t>
  </si>
  <si>
    <t>乱れ舞う玉すだれ</t>
  </si>
  <si>
    <t>宮古島</t>
  </si>
  <si>
    <t>みやこじま</t>
  </si>
  <si>
    <t>南国の風</t>
  </si>
  <si>
    <t>飯塚伊賀七</t>
  </si>
  <si>
    <t>いいづかいがしち</t>
  </si>
  <si>
    <t>からくり伊賀七</t>
  </si>
  <si>
    <t>和田惟政</t>
  </si>
  <si>
    <t>わだこれまさ</t>
  </si>
  <si>
    <t>今際の際の鬼</t>
  </si>
  <si>
    <t>武市半平太</t>
  </si>
  <si>
    <t>たけちずいざん</t>
  </si>
  <si>
    <t>気高き土佐の志士</t>
  </si>
  <si>
    <t>摩利支天法</t>
  </si>
  <si>
    <t>まりしてんほう</t>
  </si>
  <si>
    <t>摩利支天隠形法</t>
  </si>
  <si>
    <t>タイプ伝承・武人・姫の防30％UP　/　タイプ神秘・知性派・飲食・武人の攻13％DOWN</t>
  </si>
  <si>
    <t>[新生]徳川慶勝</t>
  </si>
  <si>
    <t>しんせいとくがわよしかつ</t>
  </si>
  <si>
    <t>無血開城の誓約</t>
  </si>
  <si>
    <t>タイプ妖怪・名物の攻30％UP　/　タイプ【偉人】の攻10％UP</t>
  </si>
  <si>
    <t>[新生]縁結びの夫婦岩</t>
  </si>
  <si>
    <t>しんせいえんむすびのふうふいわ</t>
  </si>
  <si>
    <t>二つで一つの御神石</t>
  </si>
  <si>
    <t>タイプ知性派・飲食の防20％UP</t>
  </si>
  <si>
    <t>大分</t>
  </si>
  <si>
    <t>[新生]高橋紹運</t>
  </si>
  <si>
    <t>しんせいたかはしじょううん</t>
  </si>
  <si>
    <t>仁義の勇</t>
  </si>
  <si>
    <t>タイプ【姫】の攻20％UP</t>
  </si>
  <si>
    <t>【神謀鬼策】黒田官兵衛</t>
  </si>
  <si>
    <t>しんぼうきさくくろだかんべえ</t>
  </si>
  <si>
    <t>福岡から轟く知将</t>
  </si>
  <si>
    <t>タイプ神秘・飲食・名物の攻40％UP　/　タイプ【知性派】の攻20％UP</t>
  </si>
  <si>
    <t>ひすいつららつかいのやーま</t>
  </si>
  <si>
    <t>氷のイリュージョン</t>
  </si>
  <si>
    <t>タイプ伝承・武人・姫の攻30％UP　/　タイプ武人・妖怪・名物・偉人の防10％DOWN</t>
  </si>
  <si>
    <t>らばんおんみょうのじおまんさー</t>
  </si>
  <si>
    <t>カウダ・ドラコニス</t>
  </si>
  <si>
    <t>タイプ神秘・知性派・飲食の防20％UP　/　タイプ神秘・知性派・飲食の攻75％DOWN</t>
  </si>
  <si>
    <t>カエルデ</t>
  </si>
  <si>
    <t>かえるで</t>
  </si>
  <si>
    <t>燃え上がる紅</t>
  </si>
  <si>
    <t>タイプ偉人・妖怪・名物の防35％UP　/　タイプ伝承・武人・姫の攻10％DOWN</t>
  </si>
  <si>
    <t>【オートクチュール】赤井輝子</t>
  </si>
  <si>
    <t>おーとくちゅーるあかいてるこ</t>
  </si>
  <si>
    <t>守護者としての威厳</t>
  </si>
  <si>
    <t>タイプ姫・伝承・妖怪の防35％UP</t>
  </si>
  <si>
    <t>【オートクチュール】佐保姫</t>
  </si>
  <si>
    <t>おーとくちゅーるさほひめ</t>
  </si>
  <si>
    <t>春の女神の宮殿散歩</t>
  </si>
  <si>
    <t>タイプ飲食・知性派・武人の攻35％UP</t>
  </si>
  <si>
    <t>【文化祭】於大の方</t>
  </si>
  <si>
    <t>ぶんかさいおだいのかた</t>
  </si>
  <si>
    <t>慈悲の心とおもてなし</t>
  </si>
  <si>
    <t>タイプ名物・妖怪・伝承の攻30％UP</t>
  </si>
  <si>
    <t>【勇者】万里姫</t>
  </si>
  <si>
    <t>ゆうしゃまりひめ</t>
  </si>
  <si>
    <t>姫は勇者の道を歩む</t>
  </si>
  <si>
    <t>タイプ伝承・武人・飲食の攻50％UP　/　タイプ【姫】の攻25％UP</t>
  </si>
  <si>
    <t>【ややこ踊り】出雲阿国</t>
  </si>
  <si>
    <t>ややこおどりいずものおくに</t>
  </si>
  <si>
    <t>阿国の常識破り</t>
  </si>
  <si>
    <t>タイプ神秘・飲食・妖怪の攻40％UP　/　タイプ【知性派】の攻20％UP</t>
  </si>
  <si>
    <t>天狗火</t>
  </si>
  <si>
    <t>てんぐび</t>
  </si>
  <si>
    <t>暗闇を照らす天狗の炎</t>
  </si>
  <si>
    <t>タイプ偉人・名物の防70％UP　/　タイプ【妖怪】の防40％UP</t>
  </si>
  <si>
    <t>タイプ偉人・名物の防35％UP　/　タイプ【妖怪】の防20％UP</t>
  </si>
  <si>
    <t>タイプ偉人・名物の防15％UP　/　タイプ【妖怪】の防5％UP</t>
  </si>
  <si>
    <t>久坂玄瑞</t>
  </si>
  <si>
    <t>くさかげんずい</t>
  </si>
  <si>
    <t>尊王攘夷を目指して</t>
  </si>
  <si>
    <t>タイプ武人・姫の攻100％DOWN　/　タイプ姫・伝承の防20％UP</t>
  </si>
  <si>
    <t>タイプ武人・姫の攻50％DOWN　/　タイプ姫・伝承の防15％UP</t>
  </si>
  <si>
    <t>タイプ【姫】の攻20％DOWN　/　タイプ姫・伝承の防10％UP</t>
  </si>
  <si>
    <t>はりはり鍋</t>
  </si>
  <si>
    <t>はりはりなべ</t>
  </si>
  <si>
    <t>浪速庶民のふるさとの味</t>
  </si>
  <si>
    <t>タイプ神秘・知性派の防90％DOWN　/　タイプ神秘・知性派・飲食の攻15％UP</t>
  </si>
  <si>
    <t>タイプ神秘・知性派の防50％DOWN　/　タイプ神秘・知性派・飲食の攻10％UP</t>
  </si>
  <si>
    <t>タイプ【知性派】の防20％DOWN　/　タイプ神秘・知性派の攻10％UP</t>
  </si>
  <si>
    <t>うんどうかいおにきりまる</t>
  </si>
  <si>
    <t>おはなみまてひめ</t>
  </si>
  <si>
    <t>いはらさいかく</t>
  </si>
  <si>
    <t>せつぶんおだいのかた</t>
  </si>
  <si>
    <t>【春舞】仙桃院</t>
  </si>
  <si>
    <t>はるまいせんとういん</t>
  </si>
  <si>
    <t>桜舞う美麗なる賢母</t>
  </si>
  <si>
    <t>タイプ伝承・武人・姫の防25％UP　/　タイプ名物・知性派・飲食・神秘の攻30％DOWN</t>
  </si>
  <si>
    <t>【戦国海開き】柳原白蓮</t>
  </si>
  <si>
    <t>せんごくうみびらきやなぎはらびゃくれん</t>
  </si>
  <si>
    <t>海に思う腹心の友</t>
  </si>
  <si>
    <t>タイプ神秘・飲食・伝承の防50％UP　/　タイプ【知性派】の防25％UP</t>
  </si>
  <si>
    <t>水谷蟠龍斎</t>
  </si>
  <si>
    <t>みずのやはんりゅうさい</t>
  </si>
  <si>
    <t>常勝無敗の刀槍勇術</t>
  </si>
  <si>
    <t>タイプ伝承・武人・姫の防25％UP　/　タイプ神秘・知性派・飲食の攻12％DOWN</t>
  </si>
  <si>
    <t>きょうまい</t>
  </si>
  <si>
    <t>男子禁制春陽の舞</t>
  </si>
  <si>
    <t>タイプ偉人・妖怪・伝承の防40％UP　/　タイプ名物・姫の防35％UP</t>
  </si>
  <si>
    <t>【川あそび】ミヅハノメ</t>
  </si>
  <si>
    <t>かわあそびみづはのめ</t>
  </si>
  <si>
    <t>激流を制する水の神</t>
  </si>
  <si>
    <t>タイプ偉人・妖怪・名物の防25％UP　/　タイプ神秘・知性派・飲食の攻50％DOWN</t>
  </si>
  <si>
    <t>千夜一夜物語</t>
  </si>
  <si>
    <t>せんやいちやものがたり</t>
  </si>
  <si>
    <t>幻想と好奇心の夜</t>
  </si>
  <si>
    <t>タイプ姫・武人・知性派の防30％UP</t>
  </si>
  <si>
    <t>【アラビアンナイト】只野真葛</t>
  </si>
  <si>
    <t>あらびあんないとただのまくず</t>
  </si>
  <si>
    <t>雄弁に物語る三日月刀</t>
  </si>
  <si>
    <t>タイプ名物・妖怪・飲食の防30％UP</t>
  </si>
  <si>
    <t>【バニー】山根敏子</t>
  </si>
  <si>
    <t>ばにーやまねとしこ</t>
  </si>
  <si>
    <t>裏切ることなき経験</t>
  </si>
  <si>
    <t>タイプ神秘・飲食の防30％UP　/　タイプ伝承・武人・姫の防15％UP</t>
  </si>
  <si>
    <t>シヴァージー</t>
  </si>
  <si>
    <t>しヴぁーじー</t>
  </si>
  <si>
    <t>しろがねじゃんぬだるく</t>
  </si>
  <si>
    <t>【剣闘】桂小五郎</t>
  </si>
  <si>
    <t>けんとうかつらこごろう</t>
  </si>
  <si>
    <t>真剣との語らい</t>
  </si>
  <si>
    <t>【乗馬】山川登美子</t>
  </si>
  <si>
    <t>じょうばやまかわとみこ</t>
  </si>
  <si>
    <t>風に乗せて歌う恋</t>
  </si>
  <si>
    <t>あいぞめ</t>
  </si>
  <si>
    <t>青は藍より出でて</t>
  </si>
  <si>
    <t>タイプ偉人・妖怪・伝承の攻40％UP　/　タイプ【名物】の攻15％UP</t>
  </si>
  <si>
    <t>かんふーはっとりはんぞう</t>
  </si>
  <si>
    <t>自在に操る伝統の技</t>
  </si>
  <si>
    <t>タイプ伝承・神秘の防50％UP　/　タイプ知性派・飲食の防25％UP</t>
  </si>
  <si>
    <t>揚巻太夫</t>
  </si>
  <si>
    <t>あげまきだゆう</t>
  </si>
  <si>
    <t>宝刀巡りし傾城太夫</t>
  </si>
  <si>
    <t>タイプ名物・武人の攻55％UP　/　タイプ姫・伝承の攻30％UP</t>
  </si>
  <si>
    <t>【湯けむり】ミヅハノメ</t>
  </si>
  <si>
    <t>ゆけむりみづはのめ</t>
  </si>
  <si>
    <t>温泉愛好家</t>
  </si>
  <si>
    <t>タイプ神秘・知性派・飲食の防80％DOWN　/　タイプ知性派・飲食の攻25％UP</t>
  </si>
  <si>
    <t>[新生]【湯けむり】京極マリア</t>
  </si>
  <si>
    <t>しんせいゆけむりきょうごくまりあ</t>
  </si>
  <si>
    <t>神が作りし天然温泉</t>
  </si>
  <si>
    <t>タイプ武人・伝承の防30％UP　/　タイプ【姫】の防10％UP</t>
  </si>
  <si>
    <t>[新生]【幼少】乙姫</t>
  </si>
  <si>
    <t>しんせいようしょうおとひめ</t>
  </si>
  <si>
    <t>竜宮の幼姫</t>
  </si>
  <si>
    <t>タイプ武人・姫の攻20％UP</t>
  </si>
  <si>
    <t>[新生]海坊主</t>
  </si>
  <si>
    <t>しんせいうみぼうず</t>
  </si>
  <si>
    <t>恐怖と長寿の白き泳ぎ</t>
  </si>
  <si>
    <t>タイプ【名物】の防20％UP</t>
  </si>
  <si>
    <t>【湯けむり】五龍局</t>
  </si>
  <si>
    <t>ゆけむりごりゅうのつぼね</t>
  </si>
  <si>
    <t>秘湯とお酒で大開放♪</t>
  </si>
  <si>
    <t>タイプ【武人】の防85％UP　/　タイプ姫・伝承の防25％UP</t>
  </si>
  <si>
    <t>タイプ【武人】の防60％UP　/　タイプ姫・伝承の防20％UP</t>
  </si>
  <si>
    <t>タイプ【武人】の防45％UP　/　タイプ【姫】の防15％UP</t>
  </si>
  <si>
    <t>【鬼切衆】宮本武蔵</t>
  </si>
  <si>
    <t>おにきりしゅうみやもとむさし</t>
  </si>
  <si>
    <t>百戦錬磨の武者修行</t>
  </si>
  <si>
    <t>【王宮】篤姫</t>
  </si>
  <si>
    <t>おうきゅうあつひめ</t>
  </si>
  <si>
    <t>王宮に舞う御台所</t>
  </si>
  <si>
    <t>タイプ伝承・武人・名物の攻50％UP　/　タイプ【姫】の攻25％UP</t>
  </si>
  <si>
    <t>富有柿</t>
  </si>
  <si>
    <t>ふゆうがき</t>
  </si>
  <si>
    <t>完熟美味な黄金色</t>
  </si>
  <si>
    <t>タイプ【神秘】の攻50％UP　/　タイプ知性派・飲食・名物・偉人の攻30％UP</t>
  </si>
  <si>
    <t>善童鬼</t>
  </si>
  <si>
    <t>ぜんどうき</t>
  </si>
  <si>
    <t>人の道を切り開く鉄斧</t>
  </si>
  <si>
    <t>タイプ偉人・妖怪・名物の攻35％UP　/　所属が【西日本】と、それに属する地方・県、および【全国】の攻15％UP</t>
  </si>
  <si>
    <t>【麗将】立花宗茂</t>
  </si>
  <si>
    <t>れいしょうたちばなむねしげ</t>
  </si>
  <si>
    <t>詐降の火計</t>
  </si>
  <si>
    <t>タイプ妖怪・偉人・姫の攻30％UP　/　タイプ【武人】の攻20％UP</t>
  </si>
  <si>
    <t>【九尾】玉藻前</t>
  </si>
  <si>
    <t>きゅうびたまものまえ</t>
  </si>
  <si>
    <t>傾国の美女玉藻</t>
  </si>
  <si>
    <t>タイプ名物・偉人・神秘の攻50％UP　/　タイプ【妖怪】の攻25％UP</t>
  </si>
  <si>
    <t>【聖獣】真神</t>
  </si>
  <si>
    <t>せいじゅうまかみ</t>
  </si>
  <si>
    <t>神と狼が出会う時</t>
  </si>
  <si>
    <t>タイプ飲食・知性派・武人の攻40％UP　/　タイプ【神秘】の攻20％UP</t>
  </si>
  <si>
    <t>【独眼竜】伊達政宗</t>
  </si>
  <si>
    <t>どくがんりゅうだてまさむね</t>
  </si>
  <si>
    <t>戦に吼える独眼竜</t>
  </si>
  <si>
    <t>タイプ姫・伝承・神秘の防40％UP　/　タイプ【武人】の防20％UP</t>
  </si>
  <si>
    <t>【雨詩】寂蓮法師</t>
  </si>
  <si>
    <t>あめうたじゃくれんほうし</t>
  </si>
  <si>
    <t>にわか雨がもたらす薄霧</t>
  </si>
  <si>
    <t>タイプ神秘・名物の防50％UP　/　タイプ知性派・飲食の防30％UP</t>
  </si>
  <si>
    <t>やまがーるあつひめ</t>
  </si>
  <si>
    <t>試練を与える厳格な山</t>
  </si>
  <si>
    <t>タイプ偉人・武人の攻50％UP　/　タイプ姫・伝承の攻30％UP</t>
  </si>
  <si>
    <t>ユキヒョウ</t>
  </si>
  <si>
    <t>ゆきひょう</t>
  </si>
  <si>
    <t>雪に溶ける幻の動物</t>
  </si>
  <si>
    <t>タイプ偉人・妖怪・知性派の攻40％UP　/　タイプ【名物】の攻30％UP</t>
  </si>
  <si>
    <t>アレッサンドロ・ヴァリニャーノ</t>
  </si>
  <si>
    <t>あれっさんどろゔぁりにゃーの</t>
  </si>
  <si>
    <t>提言せし適応主義</t>
  </si>
  <si>
    <t>タイプ名物・妖怪の攻30％UP　/　タイプ【偉人】の攻20％UP</t>
  </si>
  <si>
    <t>佐藤継信</t>
  </si>
  <si>
    <t>さとうつぐのぶ</t>
  </si>
  <si>
    <t>義経四天王・継信</t>
  </si>
  <si>
    <t>タイプ【姫】の攻55％UP　/　タイプ【武人】の攻15％UP</t>
  </si>
  <si>
    <t>鬼切安綱</t>
  </si>
  <si>
    <t>おにきりやすつな</t>
  </si>
  <si>
    <t>悪しき鬼を断つ太刀</t>
  </si>
  <si>
    <t>タイプ武人・姫の防35％UP</t>
  </si>
  <si>
    <t>【水無月婚】赤井輝子</t>
  </si>
  <si>
    <t>みなづきこんあかいてるこ</t>
  </si>
  <si>
    <t>天晴れな最強花嫁</t>
  </si>
  <si>
    <t>タイプ姫・伝承の防40％UP　/　タイプ【武人】の防25％UP</t>
  </si>
  <si>
    <t>【湯けむり】泡盛ちゃん</t>
  </si>
  <si>
    <t>ゆけむりあわもりちゃん</t>
  </si>
  <si>
    <t>島の恵みに飲み過ぎ注意</t>
  </si>
  <si>
    <t>タイプ神秘・知性派の攻50％UP　/　タイプ【飲食】の攻40％UP</t>
  </si>
  <si>
    <t>【MONSTER】クジラちゃん</t>
  </si>
  <si>
    <t>もんすたーくじらちゃん</t>
  </si>
  <si>
    <t>哀しみの怪クジラの歌</t>
  </si>
  <si>
    <t>むじな</t>
  </si>
  <si>
    <t>同じ穴に入らずんば</t>
  </si>
  <si>
    <t>タイプ偉人・妖怪・名物の攻35％UP　/　所属が【東日本】と、それに属する地方・県、および【全国】の攻15％UP</t>
  </si>
  <si>
    <t>玉依御前</t>
  </si>
  <si>
    <t>たまよりごぜん</t>
  </si>
  <si>
    <t>数珠で繋がりし親子の絆</t>
  </si>
  <si>
    <t>タイプ妖怪・名物の防55％UP　/　タイプ【偉人】の防25％UP</t>
  </si>
  <si>
    <t>あまいゆめちゃちゃ</t>
  </si>
  <si>
    <t>乱世の美しき華</t>
  </si>
  <si>
    <t>くろはちだいみょうじんとおおかみ</t>
  </si>
  <si>
    <t>命のおむすび</t>
  </si>
  <si>
    <t>萬龍</t>
  </si>
  <si>
    <t>まんりゅう</t>
  </si>
  <si>
    <t>高嶺の花の絵葉書美人</t>
  </si>
  <si>
    <t>タイプ【神秘】の防75％UP　/　タイプ知性派・飲食の防30％UP</t>
  </si>
  <si>
    <t>あかした</t>
  </si>
  <si>
    <t>さがらそうぞう</t>
  </si>
  <si>
    <t>はやかわのりつぐ</t>
  </si>
  <si>
    <t>まつのまるどの</t>
  </si>
  <si>
    <t>おおかむづみのみこと</t>
  </si>
  <si>
    <t>あぐーぶたちゃん</t>
  </si>
  <si>
    <t>ぜっぴん☆オキナワグルメ！！</t>
  </si>
  <si>
    <t>【ハロウィン】藤代御前</t>
  </si>
  <si>
    <t>はろうぃんふじしろごぜん</t>
  </si>
  <si>
    <t>妖艶な悪魔の祟り</t>
  </si>
  <si>
    <t>タイプ【武人】の防100％UP　/　タイプ姫・伝承の防30％UP</t>
  </si>
  <si>
    <t>【花水着】三村鶴</t>
  </si>
  <si>
    <t>はなみずぎみむらつる</t>
  </si>
  <si>
    <t>鶴を彩る大輪花</t>
  </si>
  <si>
    <t>タイプ姫・伝承・神秘の防50％UP　/　タイプ【武人】の防25％UP</t>
  </si>
  <si>
    <t>東の怪談演義</t>
  </si>
  <si>
    <t>ひがしのかいだんえんぎ</t>
  </si>
  <si>
    <t>トイレと屋上にて待機完了！</t>
  </si>
  <si>
    <t>タイプ【姫】の攻40％DOWN　/　タイプ偉人・名物の防12％UP</t>
  </si>
  <si>
    <t>西の怪談演義</t>
  </si>
  <si>
    <t>にしのかいだんえんぎ</t>
  </si>
  <si>
    <t>怪談スカウトチーム</t>
  </si>
  <si>
    <t>懐古怪談演義</t>
  </si>
  <si>
    <t>かいこかいだんえんぎ</t>
  </si>
  <si>
    <t>七不思議、いくつ知ってる・・・？</t>
  </si>
  <si>
    <t>タイプ武人・姫の攻80％DOWN　/　タイプ偉人・名物の防40％UP</t>
  </si>
  <si>
    <t>東の極姫演義</t>
  </si>
  <si>
    <t>ひがしのごくひめえんぎ</t>
  </si>
  <si>
    <t>肌に染めし任侠道の覚悟</t>
  </si>
  <si>
    <t>タイプ【武人】の防30％UP　/　タイプ姫・伝承の防15％UP</t>
  </si>
  <si>
    <t>西の極姫演義</t>
  </si>
  <si>
    <t>にしのごくひめえんぎ</t>
  </si>
  <si>
    <t>心に刻みし義侠の精神</t>
  </si>
  <si>
    <t>烈日極姫演義</t>
  </si>
  <si>
    <t>れつじつごくひめえんぎ</t>
  </si>
  <si>
    <t>女心にも侠気これ極まれり</t>
  </si>
  <si>
    <t>タイプ【武人】の防80％UP　/　タイプ姫・伝承の防30％UP</t>
  </si>
  <si>
    <t>宗義智</t>
  </si>
  <si>
    <t>そうよしとし</t>
  </si>
  <si>
    <t>その想いは海を越えて</t>
  </si>
  <si>
    <t>タイプ伝承・武人・姫の防15％UP</t>
  </si>
  <si>
    <t>たい焼きちゃん</t>
  </si>
  <si>
    <t>たいやきちゃん</t>
  </si>
  <si>
    <t>おなかに詰まった甘い愛情</t>
  </si>
  <si>
    <t>タイプ神秘・知性派の防40％UP　/　タイプ【飲食】の防25％UP</t>
  </si>
  <si>
    <t>【チョコ】玉藻前</t>
  </si>
  <si>
    <t>ちょこたまものまえ</t>
  </si>
  <si>
    <t>妖狐特製恋の媚薬</t>
  </si>
  <si>
    <t>タイプ偉人・名物の防45％UP　/　タイプ【妖怪】の防30％UP</t>
  </si>
  <si>
    <t>サイコロ行脚 この手で救う！救済の宣教師ガチャ</t>
  </si>
  <si>
    <t>はんなりでる</t>
  </si>
  <si>
    <t>貴族趣味の宣教師</t>
  </si>
  <si>
    <t>タイプ偉人・妖怪・名物の攻45％UP</t>
  </si>
  <si>
    <t>[新生]ダリア</t>
  </si>
  <si>
    <t>しんせいだりあ</t>
  </si>
  <si>
    <t>愛でませ天竺牡丹</t>
  </si>
  <si>
    <t>タイプ偉人・妖怪の防30％UP　/　タイプ【名物】の防10％UP</t>
  </si>
  <si>
    <t>[新生]【播州】お菊</t>
  </si>
  <si>
    <t>しんせいばんしゅうおきく</t>
  </si>
  <si>
    <t>女中としての内偵</t>
  </si>
  <si>
    <t>広島</t>
  </si>
  <si>
    <t>[新生]もみじまんじゅうちゃん</t>
  </si>
  <si>
    <t>しんせいもみじまんじゅうちゃん</t>
  </si>
  <si>
    <t>甘くやわらかな紅葉</t>
  </si>
  <si>
    <t>タイプ【神秘】の防20％UP</t>
  </si>
  <si>
    <t>10/14 15:00～10/14 23:59</t>
  </si>
  <si>
    <t>あめのはなよめひぐちいちよう</t>
  </si>
  <si>
    <t>がんたんふくひめ</t>
  </si>
  <si>
    <t>けごんのたき</t>
  </si>
  <si>
    <t>けものみずぎたかちほのみね</t>
  </si>
  <si>
    <t>10/15 12:00～10/20 22:59</t>
  </si>
  <si>
    <t>いがめんち</t>
  </si>
  <si>
    <t>イカと愛情たっぷり母の味</t>
  </si>
  <si>
    <t>10/15 15:00～10/16 23:59</t>
  </si>
  <si>
    <t>【梅花魁】袖萩</t>
  </si>
  <si>
    <t>うめおいらんそではぎ</t>
  </si>
  <si>
    <t>梅を巡る霊泉への旅</t>
  </si>
  <si>
    <t>タイプ【武人】の攻55％UP　/　タイプ姫・伝承の攻30％UP</t>
  </si>
  <si>
    <t>ゆきのおうこくなべしまのばけねこ</t>
  </si>
  <si>
    <t>怨恨の積もりし冷徹な氷城</t>
  </si>
  <si>
    <t>タイプ武人・伝承の攻60％DOWN　/　タイプ偉人・妖怪・名物の防20％UP</t>
  </si>
  <si>
    <t>【ぴよぴよ】獏</t>
  </si>
  <si>
    <t>ぴよぴよばく</t>
  </si>
  <si>
    <t>卵から孵る癒しの夢</t>
  </si>
  <si>
    <t>タイプ神秘・知性派・飲食の防30％UP　/　タイプ伝承・武人・姫の攻50％DOWN</t>
  </si>
  <si>
    <t>【アラビアンナイト】山手殿</t>
  </si>
  <si>
    <t>あらびあんないとやまのてどの</t>
  </si>
  <si>
    <t>兄弟の宿命を占う札</t>
  </si>
  <si>
    <t>タイプ武人・伝承・飲食の防30％UP</t>
  </si>
  <si>
    <t>【ブロードウェイ】ルイス・フロイス</t>
  </si>
  <si>
    <t>ぶろーどうぇいるいすふろいす</t>
  </si>
  <si>
    <t>体躯を活かした柔らかな踊り</t>
  </si>
  <si>
    <t>ナポリタン</t>
  </si>
  <si>
    <t>なぽりたん</t>
  </si>
  <si>
    <t>郷愁誘う思い出の味</t>
  </si>
  <si>
    <t>タイプ神秘・知性派・姫の攻30％UP</t>
  </si>
  <si>
    <t>サイコロ行脚 英雄ガチャ</t>
  </si>
  <si>
    <t>10/16 11:00～10/16 23:59</t>
  </si>
  <si>
    <t>【陰陽道】 安倍晴明</t>
  </si>
  <si>
    <t>おんみょうどうあべのせいめい</t>
  </si>
  <si>
    <t>不世出の陰陽師</t>
  </si>
  <si>
    <t>タイプ名物・妖怪・飲食の防50％UP　/　タイプ【偉人】の防25％UP</t>
  </si>
  <si>
    <t>【麗姫】井伊直虎</t>
  </si>
  <si>
    <t>れいひいいなおとら</t>
  </si>
  <si>
    <t>虎姫の徳川大繁栄計画</t>
  </si>
  <si>
    <t>タイプ伝承・武人・飲食の防40％UP　/　タイプ【姫】の防20％UP</t>
  </si>
  <si>
    <t>10/16 20:00～10/18 23:59</t>
  </si>
  <si>
    <t>おににわさげつさい</t>
  </si>
  <si>
    <t>戦地最前線で翳す長槍</t>
  </si>
  <si>
    <t>タイプ伝承・武人・姫の攻25％UP　/　タイプ神秘・知性派・飲食の防12％DOWN</t>
  </si>
  <si>
    <t>くまのくすびのみこと</t>
  </si>
  <si>
    <t>母の物実に祈れば</t>
  </si>
  <si>
    <t>タイプ神秘・知性派・飲食の攻30％UP　/　タイプ偉人・妖怪・名物の防50％DOWN</t>
  </si>
  <si>
    <t>すちーむぱんくおくりちょうちん</t>
  </si>
  <si>
    <t>蒸気機関の送り火</t>
  </si>
  <si>
    <t>タイプ偉人・名物の攻40％UP　/　タイプ【妖怪】の攻15％UP</t>
  </si>
  <si>
    <t>戦神ガチャ</t>
  </si>
  <si>
    <t>10/17 11:00～10/19 23:59</t>
  </si>
  <si>
    <t>【X’masパーティ】神田明神</t>
  </si>
  <si>
    <t>くりすますぱーてぃかんだみょうじん</t>
  </si>
  <si>
    <t>聖なる祭りは江戸の華</t>
  </si>
  <si>
    <t>タイプ神秘・知性派・飲食の防30％UP　/　タイプ偉人・妖怪・名物の攻80％DOWN</t>
  </si>
  <si>
    <t>【ハロウィン】小野小町</t>
  </si>
  <si>
    <t>はろうぃんおののこまち</t>
  </si>
  <si>
    <t>赤き血の収穫歌</t>
  </si>
  <si>
    <t>タイプ名物・妖怪・姫の攻50％UP　/　タイプ【偉人】の攻25％UP</t>
  </si>
  <si>
    <t>もんすたーとみぬしひめ</t>
  </si>
  <si>
    <t>不死の女王となった弁財天</t>
  </si>
  <si>
    <t>タイプ伝承・武人・姫の防80％DOWN　/　タイプ知性派・飲食の攻25％UP</t>
  </si>
  <si>
    <t>はくぞうす</t>
  </si>
  <si>
    <t>白衣に包みし偽りの説法</t>
  </si>
  <si>
    <t>タイプ名物・偉人・武人の防45％UP　/　タイプ【妖怪】の防35％UP</t>
  </si>
  <si>
    <t>ほそやじゅうだゆう</t>
  </si>
  <si>
    <t>時の運命に抗う黒鴉</t>
  </si>
  <si>
    <t>きのくにやぶんざえもん</t>
  </si>
  <si>
    <t>紀州と江戸を繫ぐ商才</t>
  </si>
  <si>
    <t>タイプ【神秘】の攻75％UP　/　タイプ知性派・飲食の攻30％UP</t>
  </si>
  <si>
    <t>筑紫舞</t>
  </si>
  <si>
    <t>つくしまい</t>
  </si>
  <si>
    <t>口伝で舞うは、太古の秘曲</t>
  </si>
  <si>
    <t>タイプ伝承・武人・姫の攻15％UP　/　タイプ神秘・飲食・知性派・伝承の防25％DOWN</t>
  </si>
  <si>
    <t>朱の盆</t>
  </si>
  <si>
    <t>しゅのぼん</t>
  </si>
  <si>
    <t>魂を抜き取る紅の怪異</t>
  </si>
  <si>
    <t>刹那！最強DOWN隊士ガチャ</t>
  </si>
  <si>
    <t>10/17 20:00～10/17 23:59</t>
  </si>
  <si>
    <t>符術士サラシナ</t>
  </si>
  <si>
    <t>ふじゅつしさらしな</t>
  </si>
  <si>
    <t>幸せへと導く符術の心</t>
  </si>
  <si>
    <t>タイプ伝承・武人・姫の防40％UP　/　所属が【西日本】と、それに属する地方・県、および【全国】の攻30％DOWN</t>
  </si>
  <si>
    <t>陰陽師イロハ</t>
  </si>
  <si>
    <t>おんみょうじいろは</t>
  </si>
  <si>
    <t>妖魔を従える陰陽の業</t>
  </si>
  <si>
    <t>タイプ神秘・知性派・飲食の防40％UP　/　所属が【東日本】と、それに属する地方・県、および【全国】の攻30％DOWN</t>
  </si>
  <si>
    <t>金剛力士像</t>
  </si>
  <si>
    <t>こんごうりきしぞう</t>
  </si>
  <si>
    <t>仏敵を威圧する忿怒相</t>
  </si>
  <si>
    <t>タイプ神秘・知性派・飲食の攻25％UP　/　タイプ伝承・武人・姫の防50％DOWN</t>
  </si>
  <si>
    <t>まじょおうひみこ</t>
  </si>
  <si>
    <t>お菓子と踊る魔女の王</t>
  </si>
  <si>
    <t>タイプ【妖怪】の攻30％UP　/　タイプ【神秘】の防25％DOWN</t>
  </si>
  <si>
    <t>10/18 11:00～10/18 23:59</t>
  </si>
  <si>
    <t>うんどうかいたかむらちえこ</t>
  </si>
  <si>
    <t>パン巡る愛の跳躍</t>
  </si>
  <si>
    <t>タイプ神秘・知性派・飲食の攻40％UP　/　タイプ偉人・妖怪・名物の防10％DOWN</t>
  </si>
  <si>
    <t>いんどしんわくりおねちゃん</t>
  </si>
  <si>
    <t>聖なる川を流るる女神</t>
  </si>
  <si>
    <t>10/18 18:00～10/18 21:59</t>
  </si>
  <si>
    <t>牟宇姫</t>
  </si>
  <si>
    <t>むうひめ</t>
  </si>
  <si>
    <t>一身に受ける父の愛</t>
  </si>
  <si>
    <t>タイプ武人・伝承の防40％UP　/　所属が【北海道・東北】とそれに属する県、および【全国】【東日本】の防30％UP</t>
  </si>
  <si>
    <t>きむらかいしゅう</t>
  </si>
  <si>
    <t>ひだわぎゅう</t>
  </si>
  <si>
    <t>さるたひこのおおかみ</t>
  </si>
  <si>
    <t>ぜにがたすなえ</t>
  </si>
  <si>
    <t>てんぐのかくれみの</t>
  </si>
  <si>
    <t>10/19 11:00～10/19 23:59</t>
  </si>
  <si>
    <t>アメノワカヒコ</t>
  </si>
  <si>
    <t>あめのわかひこ</t>
  </si>
  <si>
    <t>鳴いた雉は撃たれる運命</t>
  </si>
  <si>
    <t>タイプ伝承・武人・姫の攻80％DOWN　/　タイプ神秘・知性派・飲食の防20％UP</t>
  </si>
  <si>
    <t>タイプ伝承・武人・姫の攻30％DOWN　/　タイプ知性派・飲食の防15％UP</t>
  </si>
  <si>
    <t>タイプ武人・姫の攻15％DOWN　/　タイプ知性派・飲食の防10％UP</t>
  </si>
  <si>
    <t>うさぎとかめ</t>
  </si>
  <si>
    <t>油断大敵</t>
  </si>
  <si>
    <t>タイプ伝承・武人・姫の防25％UP　/　タイプ武人・姫の攻60％DOWN</t>
  </si>
  <si>
    <t>タイプ伝承・武人・姫の防15％UP　/　タイプ武人・姫の攻40％DOWN</t>
  </si>
  <si>
    <t>タイプ武人・姫の防12％UP　/　タイプ武人・姫の攻20％DOWN</t>
  </si>
  <si>
    <t>金の神の火</t>
  </si>
  <si>
    <t>かねのかみのひ</t>
  </si>
  <si>
    <t>神の金をあなたにあげる</t>
  </si>
  <si>
    <t>タイプ偉人・名物の攻70％UP　/　タイプ【妖怪】の攻40％UP</t>
  </si>
  <si>
    <t>タイプ偉人・名物の攻35％UP　/　タイプ【妖怪】の攻20％UP</t>
  </si>
  <si>
    <t>タイプ偉人・名物の攻15％UP　/　タイプ【妖怪】の攻5％UP</t>
  </si>
  <si>
    <t>10/19 12:00～10/21 23:59</t>
  </si>
  <si>
    <t>今川嶺姫</t>
  </si>
  <si>
    <t>いまがわみねひめ</t>
  </si>
  <si>
    <t>定められた戦世の麗しき姫君</t>
  </si>
  <si>
    <t>真暗葬礼</t>
  </si>
  <si>
    <t>まっくらぞうれ</t>
  </si>
  <si>
    <t>暗闇の奇妙な葬礼</t>
  </si>
  <si>
    <t>タイプ偉人・妖怪・名物の防40％UP　/　タイプ伝承・武人・姫の攻10％DOWN</t>
  </si>
  <si>
    <t>えんじぇるむらさめまる</t>
  </si>
  <si>
    <t>神々しく降るにわか雨</t>
  </si>
  <si>
    <t>タイプ飲食・知性派・武人の防25％UP　/　タイプ伝承・武人・姫の攻50％DOWN</t>
  </si>
  <si>
    <t>超攻撃ガチャ</t>
    <rPh sb="0" eb="1">
      <t>チョウ</t>
    </rPh>
    <rPh sb="1" eb="3">
      <t>コウゲキ</t>
    </rPh>
    <phoneticPr fontId="1"/>
  </si>
  <si>
    <t>【お花見】真田幸村</t>
    <phoneticPr fontId="1"/>
  </si>
  <si>
    <t>おはなみさなだゆきむら</t>
    <phoneticPr fontId="1"/>
  </si>
  <si>
    <t>桜に誓う真田の不惜身命</t>
    <phoneticPr fontId="1"/>
  </si>
  <si>
    <t>タイプ姫・伝承の攻40％UP　/　タイプ【武人】の攻25％UP</t>
    <phoneticPr fontId="1"/>
  </si>
  <si>
    <t>なつまつりとくがわいえやす</t>
    <phoneticPr fontId="1"/>
  </si>
  <si>
    <t>祭り頭の将軍</t>
    <phoneticPr fontId="1"/>
  </si>
  <si>
    <t>タイプ姫・伝承・妖怪の攻50％UP　/　タイプ【武人】の攻25％UP</t>
    <phoneticPr fontId="1"/>
  </si>
  <si>
    <t>【神謀鬼策】黒田官兵衛</t>
    <phoneticPr fontId="1"/>
  </si>
  <si>
    <t>しんぼうきさくくろだかんべえ</t>
    <phoneticPr fontId="1"/>
  </si>
  <si>
    <t>福岡から轟く知将</t>
    <phoneticPr fontId="1"/>
  </si>
  <si>
    <t>タイプ神秘・飲食・名物の攻40％UP　/　タイプ【知性派】の攻20％UP</t>
    <phoneticPr fontId="1"/>
  </si>
  <si>
    <t>寺沢広高</t>
    <phoneticPr fontId="1"/>
  </si>
  <si>
    <t>てらざわひろたか</t>
    <phoneticPr fontId="1"/>
  </si>
  <si>
    <t>8万石の誓い</t>
    <phoneticPr fontId="1"/>
  </si>
  <si>
    <t>タイプ伝承・武人・姫の攻45％UP</t>
    <phoneticPr fontId="1"/>
  </si>
  <si>
    <t>田中正造</t>
    <phoneticPr fontId="1"/>
  </si>
  <si>
    <t>たなかしょうぞう</t>
    <phoneticPr fontId="1"/>
  </si>
  <si>
    <t>魂ゆさぶりし気迫</t>
    <phoneticPr fontId="1"/>
  </si>
  <si>
    <t>タイプ名物・妖怪・姫の攻40％UP　/　タイプ伝承・武人・偉人の攻35％UP</t>
    <phoneticPr fontId="1"/>
  </si>
  <si>
    <t>【卒業式】棋士</t>
    <phoneticPr fontId="1"/>
  </si>
  <si>
    <t>そつぎょうしききし</t>
    <phoneticPr fontId="1"/>
  </si>
  <si>
    <t>卒業を迎えた棋士の、次の一手</t>
    <phoneticPr fontId="1"/>
  </si>
  <si>
    <t>タイプ神秘・知性派・飲食の攻40％UP　/　タイプ伝承・武人・姫の防10％DOWN</t>
    <phoneticPr fontId="1"/>
  </si>
  <si>
    <t>ホッキョクグマ</t>
    <phoneticPr fontId="1"/>
  </si>
  <si>
    <t>ほっきょくぐま</t>
    <phoneticPr fontId="1"/>
  </si>
  <si>
    <t>氷と共に生きる白獣</t>
    <phoneticPr fontId="1"/>
  </si>
  <si>
    <t>タイプ偉人・妖怪の攻30％UP　/　タイプ【名物】の攻20％UP</t>
    <phoneticPr fontId="1"/>
  </si>
  <si>
    <t>[新生]鯛しゃぶちゃん</t>
    <phoneticPr fontId="1"/>
  </si>
  <si>
    <t>しんせいたいしゃぶちゃん</t>
    <phoneticPr fontId="1"/>
  </si>
  <si>
    <t>湯で梳きしおめでた魚</t>
    <phoneticPr fontId="1"/>
  </si>
  <si>
    <t>タイプ【神秘】の攻45％UP　/　タイプ【飲食】の攻15％UP</t>
    <phoneticPr fontId="1"/>
  </si>
  <si>
    <t>【ハイカラ紅葉】西郡局</t>
    <phoneticPr fontId="1"/>
  </si>
  <si>
    <t>はいからもみじにしごおりのつぼね</t>
    <phoneticPr fontId="1"/>
  </si>
  <si>
    <t>紅葉狩りに深まる愛</t>
    <phoneticPr fontId="1"/>
  </si>
  <si>
    <t>タイプ武人・伝承の攻30％UP　/　タイプ【姫】の攻10％UP</t>
    <phoneticPr fontId="1"/>
  </si>
  <si>
    <t>10/21 18:00～10/22 11:59</t>
    <phoneticPr fontId="1"/>
  </si>
  <si>
    <t>【海開き】隠神刑部</t>
    <rPh sb="1" eb="3">
      <t>ウミビラ</t>
    </rPh>
    <rPh sb="5" eb="6">
      <t>カク</t>
    </rPh>
    <rPh sb="6" eb="7">
      <t>カミ</t>
    </rPh>
    <rPh sb="7" eb="9">
      <t>ギョウブ</t>
    </rPh>
    <phoneticPr fontId="1"/>
  </si>
  <si>
    <t>うみびらきいぬがみぎょうぶ</t>
    <phoneticPr fontId="1"/>
  </si>
  <si>
    <t>水を得た最強の神通力</t>
    <rPh sb="0" eb="1">
      <t>ミズ</t>
    </rPh>
    <rPh sb="2" eb="3">
      <t>エ</t>
    </rPh>
    <rPh sb="4" eb="6">
      <t>サイキョウ</t>
    </rPh>
    <rPh sb="7" eb="10">
      <t>ジンツウリキ</t>
    </rPh>
    <phoneticPr fontId="1"/>
  </si>
  <si>
    <t>狐狗狸狐</t>
    <rPh sb="0" eb="1">
      <t>キツネ</t>
    </rPh>
    <rPh sb="1" eb="2">
      <t>ク</t>
    </rPh>
    <rPh sb="2" eb="3">
      <t>タヌキ</t>
    </rPh>
    <rPh sb="3" eb="4">
      <t>キツネ</t>
    </rPh>
    <phoneticPr fontId="1"/>
  </si>
  <si>
    <t>こくりこ</t>
    <phoneticPr fontId="1"/>
  </si>
  <si>
    <t>全てを支配する狐の意志</t>
    <rPh sb="0" eb="1">
      <t>スベ</t>
    </rPh>
    <rPh sb="3" eb="5">
      <t>シハイ</t>
    </rPh>
    <rPh sb="7" eb="8">
      <t>キツネ</t>
    </rPh>
    <rPh sb="9" eb="11">
      <t>イシ</t>
    </rPh>
    <phoneticPr fontId="1"/>
  </si>
  <si>
    <t>【大航海時代】南総里見八犬伝</t>
    <rPh sb="1" eb="4">
      <t>ダイコウカイ</t>
    </rPh>
    <rPh sb="4" eb="6">
      <t>ジダイ</t>
    </rPh>
    <rPh sb="7" eb="9">
      <t>ナンソウ</t>
    </rPh>
    <rPh sb="9" eb="11">
      <t>サトミ</t>
    </rPh>
    <rPh sb="11" eb="14">
      <t>ハッケンデン</t>
    </rPh>
    <phoneticPr fontId="1"/>
  </si>
  <si>
    <t>だいこうかいじだいなんそうさとみはっけんでん</t>
    <phoneticPr fontId="1"/>
  </si>
  <si>
    <t>ほとばしる海の村雨丸</t>
    <rPh sb="5" eb="6">
      <t>ウミ</t>
    </rPh>
    <rPh sb="7" eb="9">
      <t>ムラサメ</t>
    </rPh>
    <rPh sb="9" eb="10">
      <t>マル</t>
    </rPh>
    <phoneticPr fontId="1"/>
  </si>
  <si>
    <t>ベルベット</t>
    <phoneticPr fontId="1"/>
  </si>
  <si>
    <t>べるべっと</t>
    <phoneticPr fontId="1"/>
  </si>
  <si>
    <t>やみつきの手触り</t>
    <rPh sb="5" eb="7">
      <t>テザワ</t>
    </rPh>
    <phoneticPr fontId="1"/>
  </si>
  <si>
    <t>超防御ガチャ</t>
    <rPh sb="0" eb="1">
      <t>チョウ</t>
    </rPh>
    <rPh sb="1" eb="3">
      <t>ボウギョ</t>
    </rPh>
    <phoneticPr fontId="1"/>
  </si>
  <si>
    <t>【温泉パニック】豪姫</t>
    <phoneticPr fontId="1"/>
  </si>
  <si>
    <t>おんせんぱにっくごうひめ</t>
    <phoneticPr fontId="1"/>
  </si>
  <si>
    <t>紅葉舞う療養の地</t>
    <phoneticPr fontId="1"/>
  </si>
  <si>
    <t>タイプ伝承・武人・偉人の防50％UP　/　タイプ【姫】の防25％UP</t>
    <phoneticPr fontId="1"/>
  </si>
  <si>
    <t>【春舞】仙桃院</t>
    <phoneticPr fontId="1"/>
  </si>
  <si>
    <t>はるまいせんとういん</t>
    <phoneticPr fontId="1"/>
  </si>
  <si>
    <t>桜舞う美麗なる賢母</t>
    <phoneticPr fontId="1"/>
  </si>
  <si>
    <t>タイプ伝承・武人・姫の防25％UP　/　タイプ名物・知性派・飲食・神秘の攻30％DOWN</t>
    <phoneticPr fontId="1"/>
  </si>
  <si>
    <t>れいぎょくでんせつふせひめ</t>
    <phoneticPr fontId="1"/>
  </si>
  <si>
    <t>仁義八行の数珠</t>
    <phoneticPr fontId="1"/>
  </si>
  <si>
    <t>タイプ姫・武人・名物の防40％UP　/　タイプ【伝承】の防20％UP</t>
    <phoneticPr fontId="1"/>
  </si>
  <si>
    <t>二口女</t>
    <phoneticPr fontId="1"/>
  </si>
  <si>
    <t>ふたくちおんな</t>
    <phoneticPr fontId="1"/>
  </si>
  <si>
    <t>後悔の二口</t>
    <phoneticPr fontId="1"/>
  </si>
  <si>
    <t>タイプ伝承・武人・姫の攻60％DOWN　/　タイプ偉人・妖怪・名物の防20％UP</t>
    <phoneticPr fontId="1"/>
  </si>
  <si>
    <t>三ツ石神</t>
    <phoneticPr fontId="1"/>
  </si>
  <si>
    <t>みついしのかみ</t>
    <phoneticPr fontId="1"/>
  </si>
  <si>
    <t>鬼も恐るる三ツ石の神</t>
    <phoneticPr fontId="1"/>
  </si>
  <si>
    <t>タイプ神秘・知性派・飲食の攻80％DOWN　/　タイプ知性派・飲食の防25％UP</t>
    <phoneticPr fontId="1"/>
  </si>
  <si>
    <t>榊原禮子</t>
    <phoneticPr fontId="1"/>
  </si>
  <si>
    <t>さかきばらみちこ</t>
    <phoneticPr fontId="1"/>
  </si>
  <si>
    <t>梅の枝に祈りを込めて</t>
    <phoneticPr fontId="1"/>
  </si>
  <si>
    <t>タイプ【武人】の防85％UP　/　タイプ姫・伝承の防25％UP</t>
    <phoneticPr fontId="1"/>
  </si>
  <si>
    <t>【乗馬】あま姫</t>
    <phoneticPr fontId="1"/>
  </si>
  <si>
    <t>じょうばあまひめ</t>
    <phoneticPr fontId="1"/>
  </si>
  <si>
    <t>知られざる姫の遊び</t>
    <phoneticPr fontId="1"/>
  </si>
  <si>
    <t>タイプ武人・伝承の防30％UP　/　タイプ【姫】の防10％UP</t>
    <phoneticPr fontId="1"/>
  </si>
  <si>
    <t>【飛影】ニホンリスちゃん</t>
    <phoneticPr fontId="1"/>
  </si>
  <si>
    <t>ひえいにほんりすちゃん</t>
    <phoneticPr fontId="1"/>
  </si>
  <si>
    <t>投げるはドングリから手裏剣へ</t>
    <phoneticPr fontId="1"/>
  </si>
  <si>
    <t>タイプ偉人・妖怪の防30％UP　/　タイプ【名物】の防10％UP</t>
    <phoneticPr fontId="1"/>
  </si>
  <si>
    <t>【魔術師】寿桂尼</t>
    <phoneticPr fontId="1"/>
  </si>
  <si>
    <t>まじゅつしじゅけいに</t>
    <phoneticPr fontId="1"/>
  </si>
  <si>
    <t>死してなお咲き誇る</t>
    <phoneticPr fontId="1"/>
  </si>
  <si>
    <t>タイプ神秘・飲食の防30％UP　/　タイプ【知性派】の防10％UP</t>
    <phoneticPr fontId="1"/>
  </si>
  <si>
    <t>【お部屋】酒呑童子</t>
    <phoneticPr fontId="1"/>
  </si>
  <si>
    <t>おへやしゅてんどうじ</t>
    <phoneticPr fontId="1"/>
  </si>
  <si>
    <t>酒香る寛ぎの時間</t>
    <phoneticPr fontId="1"/>
  </si>
  <si>
    <t>タイプ【武人】の攻100％DOWN　/　タイプ姫・伝承・知性派の攻40％DOWN</t>
    <phoneticPr fontId="1"/>
  </si>
  <si>
    <t>星読みの天文学者</t>
    <phoneticPr fontId="1"/>
  </si>
  <si>
    <t>ほしよみのてんもんがくしゃ</t>
    <phoneticPr fontId="1"/>
  </si>
  <si>
    <t>アストロリーディング</t>
    <phoneticPr fontId="1"/>
  </si>
  <si>
    <t>タイプ【神秘】の攻30％UP　/　タイプ知性派・飲食の攻15％UP</t>
    <phoneticPr fontId="1"/>
  </si>
  <si>
    <t>【氷吹】氷柱使いヤーマ</t>
    <phoneticPr fontId="1"/>
  </si>
  <si>
    <t>ひすいつららつかいのやーま</t>
    <phoneticPr fontId="1"/>
  </si>
  <si>
    <t>氷のイリュージョン</t>
    <phoneticPr fontId="1"/>
  </si>
  <si>
    <t>タイプ伝承・武人・姫の攻30％UP　/　タイプ武人・妖怪・名物・偉人の防10％DOWN</t>
    <phoneticPr fontId="1"/>
  </si>
  <si>
    <t>赤炎のトリス</t>
    <phoneticPr fontId="1"/>
  </si>
  <si>
    <t>せきえんのとりす</t>
    <phoneticPr fontId="1"/>
  </si>
  <si>
    <t>怒濤焰斧</t>
    <phoneticPr fontId="1"/>
  </si>
  <si>
    <t>【オートクチュール】赤井輝子</t>
    <phoneticPr fontId="1"/>
  </si>
  <si>
    <t>おーとくちゅーるあかいてるこ</t>
    <phoneticPr fontId="1"/>
  </si>
  <si>
    <t>守護者としての威厳</t>
    <phoneticPr fontId="1"/>
  </si>
  <si>
    <t>タイプ姫・伝承・妖怪の防35％UP</t>
    <phoneticPr fontId="1"/>
  </si>
  <si>
    <t>【オートクチュール】佐保姫</t>
    <phoneticPr fontId="1"/>
  </si>
  <si>
    <t>おーとくちゅーるさほひめ</t>
    <phoneticPr fontId="1"/>
  </si>
  <si>
    <t>春の女神の宮殿散歩</t>
    <phoneticPr fontId="1"/>
  </si>
  <si>
    <t>タイプ飲食・知性派・武人の攻35％UP</t>
    <phoneticPr fontId="1"/>
  </si>
  <si>
    <t>【文化祭】於大の方</t>
    <phoneticPr fontId="1"/>
  </si>
  <si>
    <t>ぶんかさいおだいのかた</t>
    <phoneticPr fontId="1"/>
  </si>
  <si>
    <t>慈悲の心とおもてなし</t>
    <phoneticPr fontId="1"/>
  </si>
  <si>
    <t>タイプ名物・妖怪・伝承の攻30％UP</t>
    <phoneticPr fontId="1"/>
  </si>
  <si>
    <t>10/22 18:00～10/24 23:59</t>
    <phoneticPr fontId="1"/>
  </si>
  <si>
    <t>10/23 11:00～10/25 23:59</t>
    <phoneticPr fontId="1"/>
  </si>
  <si>
    <t>【鯉のぼり】竜宮神</t>
    <phoneticPr fontId="1"/>
  </si>
  <si>
    <t>こいのぼりりゅうぐうじん</t>
    <phoneticPr fontId="1"/>
  </si>
  <si>
    <t>天昇る伝説の登竜門</t>
    <phoneticPr fontId="1"/>
  </si>
  <si>
    <t>タイプ神秘・知性派・飲食の防35％UP　/　タイプ妖怪・名物・偉人・姫・武人・伝承の攻15％DOWN</t>
    <phoneticPr fontId="1"/>
  </si>
  <si>
    <t>【迎春】天草四郎</t>
    <phoneticPr fontId="1"/>
  </si>
  <si>
    <t>げいしゅんあまくさしろう</t>
    <phoneticPr fontId="1"/>
  </si>
  <si>
    <t>厄払いという奇跡</t>
    <phoneticPr fontId="1"/>
  </si>
  <si>
    <t>タイプ名物・妖怪・姫の防60％UP　/　タイプ【偉人】の防30％UP</t>
    <phoneticPr fontId="1"/>
  </si>
  <si>
    <t>【スク水】花子さん</t>
    <phoneticPr fontId="1"/>
  </si>
  <si>
    <t>すくみずはなこさん</t>
    <phoneticPr fontId="1"/>
  </si>
  <si>
    <t>恐怖満点、真夜中のプール</t>
    <phoneticPr fontId="1"/>
  </si>
  <si>
    <t>タイプ武人・伝承の防90％DOWN　/　タイプ偉人・名物の攻30％UP</t>
    <phoneticPr fontId="1"/>
  </si>
  <si>
    <t>ケラマブルー</t>
    <phoneticPr fontId="1"/>
  </si>
  <si>
    <t>けらまぶるー</t>
    <phoneticPr fontId="1"/>
  </si>
  <si>
    <t>母なる海の揺りかご</t>
    <phoneticPr fontId="1"/>
  </si>
  <si>
    <t>タイプ偉人・妖怪・知性派の防40％UP　/　タイプ神秘・飲食・名物の防35％UP</t>
    <phoneticPr fontId="1"/>
  </si>
  <si>
    <t>あいすくりんちゃん</t>
    <phoneticPr fontId="1"/>
  </si>
  <si>
    <t>口中に入るるに忽ち溶けてまことに美味なり</t>
    <phoneticPr fontId="1"/>
  </si>
  <si>
    <t>タイプ神秘・知性派・飲食の攻20％UP</t>
    <phoneticPr fontId="1"/>
  </si>
  <si>
    <t>魃鬼</t>
    <phoneticPr fontId="1"/>
  </si>
  <si>
    <t>ばっき</t>
    <phoneticPr fontId="1"/>
  </si>
  <si>
    <t>風雨蹴散らす旱魃の女神</t>
    <phoneticPr fontId="1"/>
  </si>
  <si>
    <t>タイプ偉人・名物の防45％UP　/　タイプ【妖怪】の防15％UP</t>
    <phoneticPr fontId="1"/>
  </si>
  <si>
    <t>会津八一</t>
    <phoneticPr fontId="1"/>
  </si>
  <si>
    <t>あいづやいち</t>
    <phoneticPr fontId="1"/>
  </si>
  <si>
    <t>秋艸道人の筆軌跡</t>
    <phoneticPr fontId="1"/>
  </si>
  <si>
    <t>タイプ神秘・知性派・飲食の防40％UP　/　タイプ偉人・妖怪の攻15％DOWN</t>
    <phoneticPr fontId="1"/>
  </si>
  <si>
    <t>10/23 18:00～10/25 23:59</t>
    <phoneticPr fontId="1"/>
  </si>
  <si>
    <t>【節分パニック】平塚らいてう</t>
    <phoneticPr fontId="1"/>
  </si>
  <si>
    <t>せつぶんぱにっくひらつからいちょう</t>
    <phoneticPr fontId="1"/>
  </si>
  <si>
    <t>悪を挫く信念の豆</t>
    <phoneticPr fontId="1"/>
  </si>
  <si>
    <t>タイプ神秘・飲食・名物の攻60％UP　/　タイプ【知性派】の攻30％UP</t>
    <phoneticPr fontId="1"/>
  </si>
  <si>
    <t>【勇者】万里姫</t>
    <phoneticPr fontId="1"/>
  </si>
  <si>
    <t>ゆうしゃまりひめ</t>
    <phoneticPr fontId="1"/>
  </si>
  <si>
    <t>姫は勇者の道を歩む</t>
    <phoneticPr fontId="1"/>
  </si>
  <si>
    <t>タイプ伝承・武人・飲食の攻50％UP　/　タイプ【姫】の攻25％UP</t>
    <phoneticPr fontId="1"/>
  </si>
  <si>
    <t>フルーツタルトちゃん</t>
    <phoneticPr fontId="1"/>
  </si>
  <si>
    <t>ふるーつたるとちゃん</t>
    <phoneticPr fontId="1"/>
  </si>
  <si>
    <t>旬の恵みの贅沢盛り</t>
    <phoneticPr fontId="1"/>
  </si>
  <si>
    <t>タイプ【神秘】の攻50％UP　/　タイプ知性派・飲食の攻20％UP</t>
    <phoneticPr fontId="1"/>
  </si>
  <si>
    <t>【刑事】山岡鉄舟</t>
    <phoneticPr fontId="1"/>
  </si>
  <si>
    <t>けいじやまおかてっしゅう</t>
    <phoneticPr fontId="1"/>
  </si>
  <si>
    <t>維新のエンジン音</t>
    <phoneticPr fontId="1"/>
  </si>
  <si>
    <t>タイプ名物・妖怪・姫の攻40％UP　/　タイプ【偉人】の攻30％UP</t>
    <phoneticPr fontId="1"/>
  </si>
  <si>
    <t>【ハンター】雑賀孫市</t>
    <phoneticPr fontId="1"/>
  </si>
  <si>
    <t>はんたーさいかまごいち</t>
    <phoneticPr fontId="1"/>
  </si>
  <si>
    <t>鉄の弾丸部隊</t>
    <phoneticPr fontId="1"/>
  </si>
  <si>
    <t>タイプ姫・伝承の攻20％UP　/　タイプ【武人】の攻5％UP</t>
    <phoneticPr fontId="1"/>
  </si>
  <si>
    <t>アレッサンドロ・ヴァリニャーノ</t>
    <phoneticPr fontId="1"/>
  </si>
  <si>
    <t>あれっさんどろゔぁりにゃーの</t>
    <phoneticPr fontId="1"/>
  </si>
  <si>
    <t>提言せし適応主義</t>
    <phoneticPr fontId="1"/>
  </si>
  <si>
    <t>タイプ名物・妖怪の攻30％UP　/　タイプ【偉人】の攻20％UP</t>
    <phoneticPr fontId="1"/>
  </si>
  <si>
    <t>佐藤継信</t>
    <phoneticPr fontId="1"/>
  </si>
  <si>
    <t>さとうつぐのぶ</t>
    <phoneticPr fontId="1"/>
  </si>
  <si>
    <t>義経四天王・継信</t>
    <phoneticPr fontId="1"/>
  </si>
  <si>
    <t>タイプ【姫】の攻55％UP　/　タイプ【武人】の攻15％UP</t>
    <phoneticPr fontId="1"/>
  </si>
  <si>
    <t>鬼切安綱</t>
    <phoneticPr fontId="1"/>
  </si>
  <si>
    <t>おにきりやすつな</t>
    <phoneticPr fontId="1"/>
  </si>
  <si>
    <t>悪しき鬼を断つ太刀</t>
    <phoneticPr fontId="1"/>
  </si>
  <si>
    <t>タイプ武人・姫の防35％UP</t>
    <phoneticPr fontId="1"/>
  </si>
  <si>
    <t>10/24 13:00～10/26 23:59</t>
    <phoneticPr fontId="1"/>
  </si>
  <si>
    <t>【戦将】織田信長</t>
    <phoneticPr fontId="1"/>
  </si>
  <si>
    <t>せんしょうおだのぶなが</t>
    <phoneticPr fontId="1"/>
  </si>
  <si>
    <t>魔王の戦歴</t>
    <phoneticPr fontId="1"/>
  </si>
  <si>
    <t>タイプ伝承・姫・偉人の防40％UP　/　タイプ【武人】の防20％UP</t>
    <phoneticPr fontId="1"/>
  </si>
  <si>
    <t>ユノ カーライル</t>
    <phoneticPr fontId="1"/>
  </si>
  <si>
    <t>ゆのかーらいる</t>
    <phoneticPr fontId="1"/>
  </si>
  <si>
    <t>スイートトラップ</t>
    <phoneticPr fontId="1"/>
  </si>
  <si>
    <t>タイプ神秘・知性派・飲食の防35％UP</t>
    <phoneticPr fontId="1"/>
  </si>
  <si>
    <t>傀儡 麻里</t>
    <phoneticPr fontId="1"/>
  </si>
  <si>
    <t>くぐつまり</t>
    <phoneticPr fontId="1"/>
  </si>
  <si>
    <t>独眼流クイーン</t>
    <phoneticPr fontId="1"/>
  </si>
  <si>
    <t>ギャングマ</t>
    <phoneticPr fontId="1"/>
  </si>
  <si>
    <t>ぎゃんぐま</t>
    <phoneticPr fontId="1"/>
  </si>
  <si>
    <t>怒りの千本ノック</t>
    <phoneticPr fontId="1"/>
  </si>
  <si>
    <t>タイプ偉人・妖怪・名物の攻35％UP　/　タイプ伝承・武人・姫の防10％DOWN</t>
    <phoneticPr fontId="1"/>
  </si>
  <si>
    <t>【旅館】清姫</t>
    <phoneticPr fontId="1"/>
  </si>
  <si>
    <t>りょかんきよひめ</t>
    <phoneticPr fontId="1"/>
  </si>
  <si>
    <t>旅館に宿す恋の炎</t>
    <phoneticPr fontId="1"/>
  </si>
  <si>
    <t>タイプ偉人・名物の攻30％UP　/　タイプ神秘・知性派・飲食の攻15％UP</t>
    <phoneticPr fontId="1"/>
  </si>
  <si>
    <t>【梅花魁】杉田久女</t>
    <phoneticPr fontId="1"/>
  </si>
  <si>
    <t>うめおいらんすぎたひさじょ</t>
    <phoneticPr fontId="1"/>
  </si>
  <si>
    <t>春を告げる百花の魁</t>
    <phoneticPr fontId="1"/>
  </si>
  <si>
    <t>タイプ【神秘】の攻30％UP　/　タイプ知性派・飲食の攻20％UP</t>
    <phoneticPr fontId="1"/>
  </si>
  <si>
    <t>【カーニバル】お月様に行ったうさぎ</t>
    <phoneticPr fontId="1"/>
  </si>
  <si>
    <t>かーにばるおつきさまにいったうさぎ</t>
    <phoneticPr fontId="1"/>
  </si>
  <si>
    <t>興奮最高潮の月兎ダンス</t>
    <phoneticPr fontId="1"/>
  </si>
  <si>
    <t>タイプ武人・姫の防30％UP　/　タイプ偉人・妖怪・名物の防12％UP</t>
    <phoneticPr fontId="1"/>
  </si>
  <si>
    <t>全国巡り まさに鉄板！どんどんおいで♪ガチャ</t>
    <rPh sb="0" eb="2">
      <t>ゼンコク</t>
    </rPh>
    <rPh sb="2" eb="3">
      <t>メグ</t>
    </rPh>
    <rPh sb="8" eb="10">
      <t>テッパン</t>
    </rPh>
    <phoneticPr fontId="1"/>
  </si>
  <si>
    <t>神奈川</t>
    <rPh sb="0" eb="3">
      <t>カナガワ</t>
    </rPh>
    <phoneticPr fontId="1"/>
  </si>
  <si>
    <t>【ハロウィン】カグヤ</t>
    <phoneticPr fontId="1"/>
  </si>
  <si>
    <t>はろうぃんかぐや</t>
    <phoneticPr fontId="1"/>
  </si>
  <si>
    <t>包帯に隠された月姫</t>
    <phoneticPr fontId="1"/>
  </si>
  <si>
    <t>タイプ伝承・武人・姫の攻35％UP　/　タイプ妖怪・名物・偉人・知性派の防20％DOWN</t>
    <phoneticPr fontId="1"/>
  </si>
  <si>
    <t>どんどん焼き</t>
    <phoneticPr fontId="1"/>
  </si>
  <si>
    <t>どんどんやき</t>
    <phoneticPr fontId="1"/>
  </si>
  <si>
    <t>どんどん作ってどんどん鳴らしてどんどん売れるどんどん焼き</t>
    <phoneticPr fontId="1"/>
  </si>
  <si>
    <t>タイプ神秘・知性派・飲食の攻35％UP</t>
    <phoneticPr fontId="1"/>
  </si>
  <si>
    <t>[新生]平等院鳳凰堂</t>
    <phoneticPr fontId="1"/>
  </si>
  <si>
    <t>しんせいびょうどういんほうおうどう</t>
    <phoneticPr fontId="1"/>
  </si>
  <si>
    <t>１０円硬貨の建築物</t>
    <phoneticPr fontId="1"/>
  </si>
  <si>
    <t>[新生]【百人一首】菅原道真</t>
    <phoneticPr fontId="1"/>
  </si>
  <si>
    <t>しんせいひゃくにんいっしゅすがわらのみちざね</t>
    <phoneticPr fontId="1"/>
  </si>
  <si>
    <t>神へ送られた紅葉の手向け</t>
    <phoneticPr fontId="1"/>
  </si>
  <si>
    <t>タイプ神秘・飲食の攻20％UP</t>
    <phoneticPr fontId="1"/>
  </si>
  <si>
    <t>[新生]北条氏康</t>
    <phoneticPr fontId="1"/>
  </si>
  <si>
    <t>しんせいほうじょううじやす</t>
    <phoneticPr fontId="1"/>
  </si>
  <si>
    <t>相模の獅子</t>
    <phoneticPr fontId="1"/>
  </si>
  <si>
    <t>タイプ【伝承】の防20％UP</t>
    <phoneticPr fontId="1"/>
  </si>
  <si>
    <t>10/25 20:00～10/25 23:59</t>
    <phoneticPr fontId="1"/>
  </si>
  <si>
    <t>シヴァージー</t>
    <phoneticPr fontId="1"/>
  </si>
  <si>
    <t>しヴぁーじー</t>
    <phoneticPr fontId="1"/>
  </si>
  <si>
    <t>マラーターの誇り</t>
    <phoneticPr fontId="1"/>
  </si>
  <si>
    <t>タイプ伝承・武人・姫の攻40％UP　/　所属が【西日本】と、それに属する地方・県、および【全国】の防30％DOWN</t>
    <phoneticPr fontId="1"/>
  </si>
  <si>
    <t>【白銀】ジャンヌ・ダルク</t>
    <phoneticPr fontId="1"/>
  </si>
  <si>
    <t>しろがねじゃんぬだるく</t>
    <phoneticPr fontId="1"/>
  </si>
  <si>
    <t>幸運の象徴</t>
    <phoneticPr fontId="1"/>
  </si>
  <si>
    <t>タイプ偉人・妖怪・名物の攻40％UP　/　所属が【東日本】と、それに属する地方・県、および【全国】の防30％DOWN</t>
    <phoneticPr fontId="1"/>
  </si>
  <si>
    <t>【剣闘】桂小五郎</t>
    <phoneticPr fontId="1"/>
  </si>
  <si>
    <t>けんとうかつらこごろう</t>
    <phoneticPr fontId="1"/>
  </si>
  <si>
    <t>真剣との語らい</t>
    <phoneticPr fontId="1"/>
  </si>
  <si>
    <t>タイプ妖怪・名物の防30％UP　/　タイプ【妖怪】の攻30％DOWN</t>
    <phoneticPr fontId="1"/>
  </si>
  <si>
    <t>【乗馬】山川登美子</t>
    <phoneticPr fontId="1"/>
  </si>
  <si>
    <t>じょうばやまかわとみこ</t>
    <phoneticPr fontId="1"/>
  </si>
  <si>
    <t>風に乗せて歌う恋</t>
    <phoneticPr fontId="1"/>
  </si>
  <si>
    <t>タイプ偉人・妖怪・名物の攻40％UP　/　タイプ偉人・妖怪・名物の防10％DOWN</t>
    <phoneticPr fontId="1"/>
  </si>
  <si>
    <t>10/26 12:00～10/27 11:59</t>
    <phoneticPr fontId="1"/>
  </si>
  <si>
    <t>【雨の花嫁】樋口一葉</t>
    <phoneticPr fontId="1"/>
  </si>
  <si>
    <t>あめのはなよめひぐちいちよう</t>
    <phoneticPr fontId="1"/>
  </si>
  <si>
    <t>色褪せぬ紫陽花の一葉</t>
    <phoneticPr fontId="1"/>
  </si>
  <si>
    <t>タイプ妖怪・名物の攻65％UP　/　タイプ【偉人】の攻35％UP</t>
    <phoneticPr fontId="1"/>
  </si>
  <si>
    <t>由井正雪</t>
    <phoneticPr fontId="1"/>
  </si>
  <si>
    <t>ゆいしょうせつ</t>
    <phoneticPr fontId="1"/>
  </si>
  <si>
    <t>文治政策への先駆け</t>
    <phoneticPr fontId="1"/>
  </si>
  <si>
    <t>藤原景清</t>
    <phoneticPr fontId="1"/>
  </si>
  <si>
    <t>ふじわらかげきよ</t>
    <phoneticPr fontId="1"/>
  </si>
  <si>
    <t>名刀・あざ丸</t>
    <phoneticPr fontId="1"/>
  </si>
  <si>
    <t>タイプ姫・伝承の防25％UP　/　タイプ【武人】の防10％UP</t>
    <phoneticPr fontId="1"/>
  </si>
  <si>
    <t>タイプ神秘・知性派・飲食の攻40％UP　/　タイプ偉人・妖怪・名物の防10％DOWN</t>
    <phoneticPr fontId="1"/>
  </si>
  <si>
    <t>【POPクリスマス】出雲阿国</t>
    <phoneticPr fontId="1"/>
  </si>
  <si>
    <t>ぽっぷくりすますいずものおくに</t>
    <phoneticPr fontId="1"/>
  </si>
  <si>
    <t>絢爛たるかぶき者</t>
    <phoneticPr fontId="1"/>
  </si>
  <si>
    <t>タイプ妖怪・名物の防45％UP　/　タイプ伝承・姫・飲食・偉人の防30％UP</t>
    <phoneticPr fontId="1"/>
  </si>
  <si>
    <t>10/26 18:00～10/26 21:59</t>
    <phoneticPr fontId="1"/>
  </si>
  <si>
    <t>メルキーシル</t>
  </si>
  <si>
    <t>めるきーしる</t>
  </si>
  <si>
    <t>トルムシャイト</t>
  </si>
  <si>
    <t>ティシュトリヤ</t>
  </si>
  <si>
    <t>藤壺宮</t>
    <rPh sb="0" eb="2">
      <t>フジツボ</t>
    </rPh>
    <rPh sb="2" eb="3">
      <t>ミヤ</t>
    </rPh>
    <phoneticPr fontId="3"/>
  </si>
  <si>
    <t>メフィストフェレス</t>
  </si>
  <si>
    <t>提琴のフィーレ</t>
    <rPh sb="0" eb="1">
      <t>テイ</t>
    </rPh>
    <rPh sb="1" eb="2">
      <t>コト</t>
    </rPh>
    <phoneticPr fontId="3"/>
  </si>
  <si>
    <t>とるむしゃいと</t>
  </si>
  <si>
    <t>てぃしゅとりあ</t>
  </si>
  <si>
    <t>ふじつぼのみや</t>
  </si>
  <si>
    <t>めふぃすとふぇれす</t>
  </si>
  <si>
    <t>ていきんのふぃーれ</t>
  </si>
  <si>
    <t>伝承</t>
    <rPh sb="0" eb="2">
      <t>デンショウ</t>
    </rPh>
    <phoneticPr fontId="3"/>
  </si>
  <si>
    <t>妖怪</t>
    <rPh sb="0" eb="2">
      <t>ヨウカイ</t>
    </rPh>
    <phoneticPr fontId="3"/>
  </si>
  <si>
    <t>姫</t>
    <rPh sb="0" eb="1">
      <t>ヒメ</t>
    </rPh>
    <phoneticPr fontId="3"/>
  </si>
  <si>
    <t>戦乱を憂う聖女の祈り</t>
    <rPh sb="0" eb="2">
      <t>センラン</t>
    </rPh>
    <rPh sb="3" eb="4">
      <t>ウレ</t>
    </rPh>
    <rPh sb="5" eb="7">
      <t>セイジョ</t>
    </rPh>
    <rPh sb="8" eb="9">
      <t>イノ</t>
    </rPh>
    <phoneticPr fontId="3"/>
  </si>
  <si>
    <t>大海へと広がる響き</t>
    <rPh sb="0" eb="2">
      <t>タイカイ</t>
    </rPh>
    <rPh sb="4" eb="5">
      <t>ヒロ</t>
    </rPh>
    <rPh sb="7" eb="8">
      <t>ヒビ</t>
    </rPh>
    <phoneticPr fontId="3"/>
  </si>
  <si>
    <t>星と慈雨に加護を込めて</t>
    <rPh sb="0" eb="1">
      <t>ホシ</t>
    </rPh>
    <rPh sb="2" eb="4">
      <t>ジウ</t>
    </rPh>
    <rPh sb="5" eb="7">
      <t>カゴ</t>
    </rPh>
    <rPh sb="8" eb="9">
      <t>コ</t>
    </rPh>
    <phoneticPr fontId="3"/>
  </si>
  <si>
    <t>光る君の永遠の恋人</t>
    <rPh sb="0" eb="1">
      <t>ヒカ</t>
    </rPh>
    <rPh sb="2" eb="3">
      <t>キミ</t>
    </rPh>
    <rPh sb="4" eb="6">
      <t>エイエン</t>
    </rPh>
    <rPh sb="7" eb="9">
      <t>コイビト</t>
    </rPh>
    <phoneticPr fontId="3"/>
  </si>
  <si>
    <t>心に囁く悪魔の誘い</t>
    <rPh sb="0" eb="1">
      <t>ココロ</t>
    </rPh>
    <rPh sb="2" eb="3">
      <t>ササヤ</t>
    </rPh>
    <rPh sb="4" eb="6">
      <t>アクマ</t>
    </rPh>
    <rPh sb="7" eb="8">
      <t>サソ</t>
    </rPh>
    <phoneticPr fontId="3"/>
  </si>
  <si>
    <t>文化を彩る豊かな音色</t>
    <rPh sb="0" eb="2">
      <t>ブンカ</t>
    </rPh>
    <rPh sb="3" eb="4">
      <t>イロド</t>
    </rPh>
    <rPh sb="5" eb="6">
      <t>ユタ</t>
    </rPh>
    <rPh sb="8" eb="10">
      <t>ネイロ</t>
    </rPh>
    <phoneticPr fontId="3"/>
  </si>
  <si>
    <t>全国巡り 英雄ガチャ</t>
    <rPh sb="0" eb="2">
      <t>ゼンコク</t>
    </rPh>
    <rPh sb="2" eb="3">
      <t>メグ</t>
    </rPh>
    <rPh sb="5" eb="7">
      <t>エイユウ</t>
    </rPh>
    <phoneticPr fontId="1"/>
  </si>
  <si>
    <t>10/27 11:00～10/27 23:59</t>
    <phoneticPr fontId="1"/>
  </si>
  <si>
    <t>おうきゅうあつひめ</t>
    <phoneticPr fontId="1"/>
  </si>
  <si>
    <t>王宮に舞う御台所</t>
    <phoneticPr fontId="1"/>
  </si>
  <si>
    <t>タイプ伝承・武人・名物の攻50％UP　/　タイプ【姫】の攻25％UP</t>
    <phoneticPr fontId="1"/>
  </si>
  <si>
    <t>どくがんりゅうだてまさむね</t>
    <phoneticPr fontId="1"/>
  </si>
  <si>
    <t>戦に吼える独眼竜</t>
    <phoneticPr fontId="1"/>
  </si>
  <si>
    <t>タイプ姫・伝承・神秘の防40％UP　/　タイプ【武人】の防20％UP</t>
    <phoneticPr fontId="1"/>
  </si>
  <si>
    <t>10/27 12:00～10/29 11:59</t>
    <phoneticPr fontId="1"/>
  </si>
  <si>
    <t>【海開き】隠神刑部</t>
    <phoneticPr fontId="1"/>
  </si>
  <si>
    <t>水を得た最強の神通力</t>
    <phoneticPr fontId="1"/>
  </si>
  <si>
    <t>タイプ偉人・名物の防40％UP　/　タイプ【妖怪】の防25％UP</t>
    <phoneticPr fontId="1"/>
  </si>
  <si>
    <t>みなづきこんあかいてるこ</t>
    <phoneticPr fontId="1"/>
  </si>
  <si>
    <t>天晴れな最強花嫁</t>
    <phoneticPr fontId="1"/>
  </si>
  <si>
    <t>タイプ姫・伝承の防40％UP　/　タイプ【武人】の防25％UP</t>
    <phoneticPr fontId="1"/>
  </si>
  <si>
    <t>【MONSTER】明石レジーナ</t>
    <phoneticPr fontId="1"/>
  </si>
  <si>
    <t>もんすたーあかしれじーな</t>
    <phoneticPr fontId="1"/>
  </si>
  <si>
    <t>聖母レジーナの甘い誘惑</t>
    <phoneticPr fontId="1"/>
  </si>
  <si>
    <t>タイプ偉人・妖怪の防30％UP　/　タイプ【名物】の防75％UP</t>
    <phoneticPr fontId="1"/>
  </si>
  <si>
    <t>江戸からかみちゃん</t>
    <phoneticPr fontId="1"/>
  </si>
  <si>
    <t>えどからかみちゃん</t>
    <phoneticPr fontId="1"/>
  </si>
  <si>
    <t>１枚の紙に込めたる職人の技</t>
    <phoneticPr fontId="1"/>
  </si>
  <si>
    <t>タイプ偉人・妖怪・名物の攻35％UP　/　タイプ伝承・武人・姫の防5％DOWN</t>
    <phoneticPr fontId="1"/>
  </si>
  <si>
    <t>【神鬼道】卑弥呼</t>
    <phoneticPr fontId="1"/>
  </si>
  <si>
    <t>しんきどうひみこ</t>
    <phoneticPr fontId="1"/>
  </si>
  <si>
    <t>未来を我が手に</t>
    <phoneticPr fontId="1"/>
  </si>
  <si>
    <t>タイプ偉人・妖怪・名物の攻45％UP</t>
    <phoneticPr fontId="1"/>
  </si>
  <si>
    <t>鳥居元忠</t>
    <phoneticPr fontId="1"/>
  </si>
  <si>
    <t>とりいもとただ</t>
    <phoneticPr fontId="1"/>
  </si>
  <si>
    <t>徳川の礎</t>
    <phoneticPr fontId="1"/>
  </si>
  <si>
    <t>熱田大神</t>
    <phoneticPr fontId="1"/>
  </si>
  <si>
    <t>あつたじんぐう</t>
    <phoneticPr fontId="1"/>
  </si>
  <si>
    <t>草薙神剣</t>
    <phoneticPr fontId="1"/>
  </si>
  <si>
    <t>タイプ伝承・武人・姫の攻80％DOWN　/　タイプ知性派・飲食の防25％UP</t>
    <phoneticPr fontId="1"/>
  </si>
  <si>
    <t>筑紫舞</t>
    <phoneticPr fontId="1"/>
  </si>
  <si>
    <t>つくしまい</t>
    <phoneticPr fontId="1"/>
  </si>
  <si>
    <t>口伝で舞うは、太古の秘曲</t>
    <phoneticPr fontId="1"/>
  </si>
  <si>
    <t>タイプ伝承・武人・姫の攻15％UP　/　タイプ神秘・飲食・知性派・伝承の防25％DOWN</t>
    <phoneticPr fontId="1"/>
  </si>
  <si>
    <t>天下統一ロボティクスガチャ</t>
    <rPh sb="0" eb="2">
      <t>テンカ</t>
    </rPh>
    <rPh sb="2" eb="4">
      <t>トウイツ</t>
    </rPh>
    <phoneticPr fontId="1"/>
  </si>
  <si>
    <t>10/28 12:00～10/30 23:59</t>
    <phoneticPr fontId="1"/>
  </si>
  <si>
    <t>高機動型パトバトラー</t>
    <phoneticPr fontId="1"/>
  </si>
  <si>
    <t>こうきどうがたぱとばとらー</t>
    <phoneticPr fontId="1"/>
  </si>
  <si>
    <t>白黒つける特大捜査</t>
    <phoneticPr fontId="1"/>
  </si>
  <si>
    <t>タイプ姫・伝承の攻30％UP　/　タイプ【武人】の攻25％UP</t>
    <phoneticPr fontId="1"/>
  </si>
  <si>
    <t>Dr.メディック</t>
    <phoneticPr fontId="1"/>
  </si>
  <si>
    <t>どくたーめでぃっく</t>
    <phoneticPr fontId="1"/>
  </si>
  <si>
    <t>コンマ1秒の闘い</t>
    <phoneticPr fontId="1"/>
  </si>
  <si>
    <t>タイプ神秘・知性派・飲食の防45％UP</t>
    <phoneticPr fontId="1"/>
  </si>
  <si>
    <t>ファイアファイター</t>
    <phoneticPr fontId="1"/>
  </si>
  <si>
    <t>ふぁいあふぁいたー</t>
    <phoneticPr fontId="1"/>
  </si>
  <si>
    <t>紅蓮の守護者</t>
    <phoneticPr fontId="1"/>
  </si>
  <si>
    <t>タイプ偉人・妖怪・名物の防25％UP　/　タイプ伝承・武人・姫の攻75％DOWN</t>
    <phoneticPr fontId="1"/>
  </si>
  <si>
    <t>10/28 20:00～10/28 23:59</t>
    <phoneticPr fontId="1"/>
  </si>
  <si>
    <t>符術士サラシナ</t>
    <rPh sb="0" eb="1">
      <t>フ</t>
    </rPh>
    <rPh sb="1" eb="2">
      <t>ジュツ</t>
    </rPh>
    <rPh sb="2" eb="3">
      <t>シ</t>
    </rPh>
    <phoneticPr fontId="3"/>
  </si>
  <si>
    <t>陰陽師イロハ</t>
    <rPh sb="0" eb="3">
      <t>オンミョウジ</t>
    </rPh>
    <phoneticPr fontId="3"/>
  </si>
  <si>
    <t>幸せへと導く符術の心</t>
    <rPh sb="0" eb="1">
      <t>シアワ</t>
    </rPh>
    <rPh sb="4" eb="5">
      <t>ミチビ</t>
    </rPh>
    <rPh sb="6" eb="7">
      <t>フ</t>
    </rPh>
    <rPh sb="7" eb="8">
      <t>ジュツ</t>
    </rPh>
    <rPh sb="9" eb="10">
      <t>ココロ</t>
    </rPh>
    <phoneticPr fontId="3"/>
  </si>
  <si>
    <t>妖魔を従える陰陽の業</t>
    <rPh sb="0" eb="2">
      <t>ヨウマ</t>
    </rPh>
    <rPh sb="3" eb="4">
      <t>シタガ</t>
    </rPh>
    <rPh sb="6" eb="8">
      <t>オンミョウ</t>
    </rPh>
    <rPh sb="9" eb="10">
      <t>ワザ</t>
    </rPh>
    <phoneticPr fontId="3"/>
  </si>
  <si>
    <t>タイプ神秘・知性派・飲食の防40％UP　/　所属が【東日本】と、それに属する地方・県、および【全国】の攻30％DOWN</t>
    <rPh sb="26" eb="27">
      <t>ヒガシ</t>
    </rPh>
    <rPh sb="27" eb="29">
      <t>ニホン</t>
    </rPh>
    <phoneticPr fontId="3"/>
  </si>
  <si>
    <t>仏敵を威圧する忿怒相</t>
    <rPh sb="0" eb="1">
      <t>ブツ</t>
    </rPh>
    <rPh sb="1" eb="2">
      <t>テキ</t>
    </rPh>
    <rPh sb="3" eb="5">
      <t>イアツ</t>
    </rPh>
    <rPh sb="7" eb="9">
      <t>フンヌ</t>
    </rPh>
    <rPh sb="9" eb="10">
      <t>ソウ</t>
    </rPh>
    <phoneticPr fontId="1"/>
  </si>
  <si>
    <t>【魔女王】卑弥呼</t>
    <rPh sb="1" eb="2">
      <t>マ</t>
    </rPh>
    <rPh sb="2" eb="4">
      <t>ジョオウ</t>
    </rPh>
    <rPh sb="5" eb="8">
      <t>ヒミコ</t>
    </rPh>
    <phoneticPr fontId="1"/>
  </si>
  <si>
    <t>乱世傑士ガチャ</t>
    <phoneticPr fontId="1"/>
  </si>
  <si>
    <t>10/29 12:00～10/31 23:59</t>
    <phoneticPr fontId="1"/>
  </si>
  <si>
    <t>神代三光神</t>
    <phoneticPr fontId="1"/>
  </si>
  <si>
    <t>じんだいさんこうしん</t>
    <phoneticPr fontId="1"/>
  </si>
  <si>
    <t>空を支配し神々－太陽の章－</t>
    <phoneticPr fontId="1"/>
  </si>
  <si>
    <t>タイプ伝承・武人・姫の攻25％UP　/　タイプ【伝承】の防60％DOWN</t>
    <phoneticPr fontId="1"/>
  </si>
  <si>
    <t>【ハロウィン】藤代御前</t>
    <phoneticPr fontId="1"/>
  </si>
  <si>
    <t>はろうぃんふじしろごぜん</t>
    <phoneticPr fontId="1"/>
  </si>
  <si>
    <t>妖艶な悪魔の祟り</t>
    <phoneticPr fontId="1"/>
  </si>
  <si>
    <t>タイプ【武人】の防100％UP　/　タイプ姫・伝承の防30％UP</t>
    <phoneticPr fontId="1"/>
  </si>
  <si>
    <t>せんごくうみびらきやなぎはらびゃくれん</t>
    <phoneticPr fontId="1"/>
  </si>
  <si>
    <t>海に思う腹心の友</t>
    <phoneticPr fontId="1"/>
  </si>
  <si>
    <t>タイプ神秘・飲食・伝承の防50％UP　/　タイプ【知性派】の防25％UP</t>
    <phoneticPr fontId="1"/>
  </si>
  <si>
    <t>シトゥンペカムイ</t>
    <phoneticPr fontId="1"/>
  </si>
  <si>
    <t>しとぅんぺかむい</t>
    <phoneticPr fontId="1"/>
  </si>
  <si>
    <t>ハイクンテレケ、ハイコシテムトリ</t>
    <phoneticPr fontId="1"/>
  </si>
  <si>
    <t>タイプ伝承・武人・姫の攻80％DOWN　/　タイプ神秘・知性派の防25％UP</t>
    <phoneticPr fontId="1"/>
  </si>
  <si>
    <t>朱の盆</t>
    <phoneticPr fontId="1"/>
  </si>
  <si>
    <t>しゅのぼん</t>
    <phoneticPr fontId="1"/>
  </si>
  <si>
    <t>魂を抜き取る紅の怪異</t>
    <phoneticPr fontId="1"/>
  </si>
  <si>
    <t>タイプ武人・姫の攻100％DOWN　/　タイプ偉人・名物の防20％UP</t>
    <phoneticPr fontId="1"/>
  </si>
  <si>
    <t>10/29 18:00～10/31 23:59</t>
    <phoneticPr fontId="1"/>
  </si>
  <si>
    <t>氷穴のニクスとパトロール</t>
    <phoneticPr fontId="1"/>
  </si>
  <si>
    <t>ひょうけつのにくすとぱとろーる</t>
    <phoneticPr fontId="1"/>
  </si>
  <si>
    <t>氷穴の守護者と小さな相棒</t>
    <phoneticPr fontId="1"/>
  </si>
  <si>
    <t>儀間真常</t>
    <phoneticPr fontId="1"/>
  </si>
  <si>
    <t>ぎましんじょう</t>
    <phoneticPr fontId="1"/>
  </si>
  <si>
    <t>琉球王国の産業革命家</t>
    <phoneticPr fontId="1"/>
  </si>
  <si>
    <t>タイプ名物・妖怪・知性派の防40％UP　/　タイプ【偉人】の防35％UP</t>
    <phoneticPr fontId="1"/>
  </si>
  <si>
    <t>【大人の遊び】巨峰</t>
    <phoneticPr fontId="1"/>
  </si>
  <si>
    <t>おとなのあそびきょほう</t>
    <phoneticPr fontId="1"/>
  </si>
  <si>
    <t>どんな的でも射止める手腕</t>
    <phoneticPr fontId="1"/>
  </si>
  <si>
    <t>タイプ神秘・知性派の防40％UP　/　タイプ【飲食】の防35％UP</t>
    <phoneticPr fontId="1"/>
  </si>
  <si>
    <t>千夜一夜物語</t>
    <phoneticPr fontId="1"/>
  </si>
  <si>
    <t>せんやいちやものがたり</t>
    <phoneticPr fontId="1"/>
  </si>
  <si>
    <t>幻想と好奇心の夜</t>
    <phoneticPr fontId="1"/>
  </si>
  <si>
    <t>タイプ姫・武人・知性派の防30％UP</t>
    <phoneticPr fontId="1"/>
  </si>
  <si>
    <t>【アラビアンナイト】只野真葛</t>
    <phoneticPr fontId="1"/>
  </si>
  <si>
    <t>あらびあんないとただのまくず</t>
    <phoneticPr fontId="1"/>
  </si>
  <si>
    <t>雄弁に物語る三日月刀</t>
    <phoneticPr fontId="1"/>
  </si>
  <si>
    <t>タイプ名物・妖怪・飲食の防30％UP</t>
    <phoneticPr fontId="1"/>
  </si>
  <si>
    <t>【バニー】山根敏子</t>
    <phoneticPr fontId="1"/>
  </si>
  <si>
    <t>ばにーやまねとしこ</t>
    <phoneticPr fontId="1"/>
  </si>
  <si>
    <t>裏切ることなき経験</t>
    <phoneticPr fontId="1"/>
  </si>
  <si>
    <t>タイプ神秘・飲食の防30％UP　/　タイプ伝承・武人・姫の防15％UP</t>
    <phoneticPr fontId="1"/>
  </si>
  <si>
    <t>10/30 11:00～10/30 23:59</t>
    <phoneticPr fontId="1"/>
  </si>
  <si>
    <t>あんこう鍋ちゃん</t>
    <rPh sb="4" eb="5">
      <t>ナベ</t>
    </rPh>
    <phoneticPr fontId="1"/>
  </si>
  <si>
    <t>あんこうなべちゃん</t>
    <phoneticPr fontId="1"/>
  </si>
  <si>
    <t>濃厚旨味は通ごのみ</t>
    <rPh sb="0" eb="2">
      <t>ノウコウ</t>
    </rPh>
    <rPh sb="2" eb="4">
      <t>ウマミ</t>
    </rPh>
    <rPh sb="5" eb="6">
      <t>ツウ</t>
    </rPh>
    <phoneticPr fontId="1"/>
  </si>
  <si>
    <t>【X'masパーティ】金子みすず</t>
    <rPh sb="11" eb="13">
      <t>カネコ</t>
    </rPh>
    <phoneticPr fontId="1"/>
  </si>
  <si>
    <t>くりすますぱーてぃかねこみすず</t>
    <phoneticPr fontId="1"/>
  </si>
  <si>
    <t>光輝く個性とオーナメント</t>
    <rPh sb="0" eb="1">
      <t>ヒカリ</t>
    </rPh>
    <rPh sb="1" eb="2">
      <t>カガヤ</t>
    </rPh>
    <rPh sb="3" eb="5">
      <t>コセイ</t>
    </rPh>
    <phoneticPr fontId="1"/>
  </si>
  <si>
    <t>【浴衣】阿南姫</t>
    <rPh sb="1" eb="3">
      <t>ユカタ</t>
    </rPh>
    <rPh sb="4" eb="5">
      <t>ア</t>
    </rPh>
    <rPh sb="5" eb="6">
      <t>ミナミ</t>
    </rPh>
    <rPh sb="6" eb="7">
      <t>ヒメ</t>
    </rPh>
    <phoneticPr fontId="1"/>
  </si>
  <si>
    <t>ゆかたおなみひめ</t>
    <phoneticPr fontId="1"/>
  </si>
  <si>
    <t>アツい姫の涼なる縁側</t>
    <rPh sb="3" eb="4">
      <t>ヒメ</t>
    </rPh>
    <rPh sb="5" eb="6">
      <t>リョウ</t>
    </rPh>
    <rPh sb="8" eb="10">
      <t>エンガワ</t>
    </rPh>
    <phoneticPr fontId="1"/>
  </si>
  <si>
    <t>10/30 18:00～10/30 21:59</t>
    <phoneticPr fontId="1"/>
  </si>
  <si>
    <t>シラリカ姫</t>
  </si>
  <si>
    <t>しらりかひめ</t>
  </si>
  <si>
    <t>青ヶ島ちゃん</t>
  </si>
  <si>
    <t>あおがしまちゃん</t>
  </si>
  <si>
    <t>待賢門院堀河</t>
  </si>
  <si>
    <t>たいけんもんいんのほりかわ</t>
  </si>
  <si>
    <t>井伊直弼</t>
  </si>
  <si>
    <t>いいなおすけ</t>
  </si>
  <si>
    <t>元親夫人</t>
  </si>
  <si>
    <t>もとちかふじん</t>
  </si>
  <si>
    <t>天児屋命</t>
  </si>
  <si>
    <t>あめのこやねのみこと</t>
  </si>
  <si>
    <t>ユーカラに咲く絶世の花</t>
    <phoneticPr fontId="1"/>
  </si>
  <si>
    <t>絶海に浮かぶ二重カルデラの孤島</t>
    <phoneticPr fontId="1"/>
  </si>
  <si>
    <t>別れを惜しむ、きりぎりす</t>
    <phoneticPr fontId="1"/>
  </si>
  <si>
    <t>一期一会の心得たるや</t>
    <phoneticPr fontId="1"/>
  </si>
  <si>
    <t>水心理因の心のごとく</t>
    <phoneticPr fontId="1"/>
  </si>
  <si>
    <t>太陽を呼び戻した功労者</t>
    <phoneticPr fontId="1"/>
  </si>
  <si>
    <t>メインデッキの自地方隊士の所属一致ボーナスを120％UP（全国・東西日本所属は除く）</t>
    <phoneticPr fontId="1"/>
  </si>
  <si>
    <t>10/31 12:00～10/31 23:59</t>
    <phoneticPr fontId="1"/>
  </si>
  <si>
    <t>林きむ子</t>
    <phoneticPr fontId="1"/>
  </si>
  <si>
    <t>はやしきむこ</t>
    <phoneticPr fontId="1"/>
  </si>
  <si>
    <t>波乱に磨かれた大正美人</t>
    <phoneticPr fontId="1"/>
  </si>
  <si>
    <t>タイプ【武人】の攻60％UP　/　タイプ姫・伝承の攻20％UP</t>
    <phoneticPr fontId="1"/>
  </si>
  <si>
    <t>タイプ【武人】の攻45％UP　/　タイプ【姫】の攻15％UP</t>
    <phoneticPr fontId="1"/>
  </si>
  <si>
    <t>はりはり鍋</t>
    <phoneticPr fontId="1"/>
  </si>
  <si>
    <t>はりはりなべ</t>
    <phoneticPr fontId="1"/>
  </si>
  <si>
    <t>浪速庶民のふるさとの味</t>
    <phoneticPr fontId="1"/>
  </si>
  <si>
    <t>タイプ神秘・知性派の防90％DOWN　/　タイプ神秘・知性派・飲食の攻15％UP</t>
    <phoneticPr fontId="1"/>
  </si>
  <si>
    <t>タイプ神秘・知性派の防50％DOWN　/　タイプ神秘・知性派・飲食の攻10％UP</t>
    <phoneticPr fontId="1"/>
  </si>
  <si>
    <t>タイプ【知性派】の防20％DOWN　/　タイプ神秘・知性派の攻10％UP</t>
    <phoneticPr fontId="1"/>
  </si>
  <si>
    <t>ななちゃんにんぎょう</t>
    <phoneticPr fontId="1"/>
  </si>
  <si>
    <t>ナナちゃん人形七変化</t>
    <phoneticPr fontId="1"/>
  </si>
  <si>
    <t>タイプ偉人・妖怪・名物の攻35％UP　/　タイプ神秘・知性派・飲食の防15％DOWN</t>
    <phoneticPr fontId="1"/>
  </si>
  <si>
    <t>タイプ偉人・妖怪・名物の攻20％UP　/　タイプ神秘・知性派・飲食の防12％DOWN</t>
    <phoneticPr fontId="1"/>
  </si>
  <si>
    <t>タイプ偉人・妖怪・名物の攻12％UP　/　タイプ神秘・知性派・飲食の防10％DOWN</t>
    <phoneticPr fontId="1"/>
  </si>
  <si>
    <t>防衛戦 湯けむり舞う♪混浴露天風呂ガチャ</t>
    <rPh sb="0" eb="3">
      <t>ボウエイセン</t>
    </rPh>
    <rPh sb="4" eb="5">
      <t>ユ</t>
    </rPh>
    <rPh sb="8" eb="9">
      <t>マ</t>
    </rPh>
    <rPh sb="11" eb="13">
      <t>コンヨク</t>
    </rPh>
    <rPh sb="13" eb="15">
      <t>ロテン</t>
    </rPh>
    <rPh sb="15" eb="17">
      <t>ブロ</t>
    </rPh>
    <phoneticPr fontId="1"/>
  </si>
  <si>
    <t>新潟</t>
    <rPh sb="0" eb="2">
      <t>ニイガタ</t>
    </rPh>
    <phoneticPr fontId="1"/>
  </si>
  <si>
    <t>福島</t>
    <rPh sb="0" eb="2">
      <t>フクシマ</t>
    </rPh>
    <phoneticPr fontId="1"/>
  </si>
  <si>
    <t>鳥取</t>
    <rPh sb="0" eb="2">
      <t>トットリ</t>
    </rPh>
    <phoneticPr fontId="1"/>
  </si>
  <si>
    <t>雷の魚</t>
    <rPh sb="0" eb="1">
      <t>カミナリ</t>
    </rPh>
    <rPh sb="2" eb="3">
      <t>サカナ</t>
    </rPh>
    <phoneticPr fontId="1"/>
  </si>
  <si>
    <t>飯塚伊賀七</t>
    <rPh sb="0" eb="2">
      <t>イイヅカ</t>
    </rPh>
    <rPh sb="2" eb="4">
      <t>イガ</t>
    </rPh>
    <rPh sb="4" eb="5">
      <t>シチ</t>
    </rPh>
    <phoneticPr fontId="1"/>
  </si>
  <si>
    <t>からくり伊賀七</t>
    <rPh sb="4" eb="6">
      <t>イガ</t>
    </rPh>
    <rPh sb="6" eb="7">
      <t>シチ</t>
    </rPh>
    <phoneticPr fontId="1"/>
  </si>
  <si>
    <t>南京玉すだれ</t>
    <rPh sb="0" eb="2">
      <t>ナンキン</t>
    </rPh>
    <rPh sb="2" eb="3">
      <t>タマ</t>
    </rPh>
    <phoneticPr fontId="1"/>
  </si>
  <si>
    <t>乱れ舞う玉すだれ</t>
    <rPh sb="0" eb="1">
      <t>ミダ</t>
    </rPh>
    <rPh sb="2" eb="3">
      <t>マ</t>
    </rPh>
    <rPh sb="4" eb="5">
      <t>タマ</t>
    </rPh>
    <phoneticPr fontId="1"/>
  </si>
  <si>
    <t>和田惟政</t>
    <rPh sb="0" eb="2">
      <t>ワダ</t>
    </rPh>
    <rPh sb="2" eb="3">
      <t>コレ</t>
    </rPh>
    <rPh sb="3" eb="4">
      <t>マサ</t>
    </rPh>
    <phoneticPr fontId="1"/>
  </si>
  <si>
    <t>今際の際の鬼</t>
    <rPh sb="0" eb="2">
      <t>イマワ</t>
    </rPh>
    <rPh sb="3" eb="4">
      <t>キワ</t>
    </rPh>
    <rPh sb="5" eb="6">
      <t>オニ</t>
    </rPh>
    <phoneticPr fontId="1"/>
  </si>
  <si>
    <t>武市半平太</t>
    <rPh sb="0" eb="1">
      <t>タケ</t>
    </rPh>
    <rPh sb="1" eb="2">
      <t>シ</t>
    </rPh>
    <rPh sb="2" eb="3">
      <t>ハン</t>
    </rPh>
    <rPh sb="3" eb="5">
      <t>ヘイタ</t>
    </rPh>
    <phoneticPr fontId="1"/>
  </si>
  <si>
    <t>気高き土佐の志士</t>
    <rPh sb="0" eb="2">
      <t>ケダカ</t>
    </rPh>
    <rPh sb="3" eb="5">
      <t>トサ</t>
    </rPh>
    <rPh sb="6" eb="8">
      <t>シシ</t>
    </rPh>
    <phoneticPr fontId="1"/>
  </si>
  <si>
    <t>宮古島</t>
    <rPh sb="0" eb="3">
      <t>ミヤコジマ</t>
    </rPh>
    <phoneticPr fontId="1"/>
  </si>
  <si>
    <t>南国の風</t>
    <rPh sb="0" eb="2">
      <t>ナンゴク</t>
    </rPh>
    <rPh sb="3" eb="4">
      <t>カゼ</t>
    </rPh>
    <phoneticPr fontId="1"/>
  </si>
  <si>
    <t>防衛戦 時代と共に戦場を駆けた女傑ガチャ</t>
    <rPh sb="0" eb="3">
      <t>ボウエイセン</t>
    </rPh>
    <rPh sb="4" eb="6">
      <t>ジダイ</t>
    </rPh>
    <rPh sb="7" eb="8">
      <t>トモ</t>
    </rPh>
    <rPh sb="9" eb="11">
      <t>センジョウ</t>
    </rPh>
    <rPh sb="12" eb="13">
      <t>カ</t>
    </rPh>
    <rPh sb="15" eb="17">
      <t>ジョケツ</t>
    </rPh>
    <phoneticPr fontId="1"/>
  </si>
  <si>
    <t>茨城</t>
    <rPh sb="0" eb="2">
      <t>イバラギ</t>
    </rPh>
    <phoneticPr fontId="1"/>
  </si>
  <si>
    <t>タイプ妖怪・名物の攻65％UP　/　タイプ【偉人】の攻35％UP</t>
    <rPh sb="3" eb="5">
      <t>ヨウカイ</t>
    </rPh>
    <rPh sb="6" eb="8">
      <t>メイブツ</t>
    </rPh>
    <rPh sb="9" eb="10">
      <t>コウ</t>
    </rPh>
    <phoneticPr fontId="1"/>
  </si>
  <si>
    <t>由井正雪</t>
    <rPh sb="0" eb="2">
      <t>ユイ</t>
    </rPh>
    <rPh sb="2" eb="4">
      <t>ショウセツ</t>
    </rPh>
    <phoneticPr fontId="1"/>
  </si>
  <si>
    <t>文知政策への先駆け</t>
    <rPh sb="0" eb="1">
      <t>ブン</t>
    </rPh>
    <rPh sb="1" eb="2">
      <t>チ</t>
    </rPh>
    <rPh sb="2" eb="4">
      <t>セイサク</t>
    </rPh>
    <rPh sb="6" eb="8">
      <t>サキガ</t>
    </rPh>
    <phoneticPr fontId="1"/>
  </si>
  <si>
    <t>藤原景清</t>
    <rPh sb="0" eb="2">
      <t>フジワラ</t>
    </rPh>
    <rPh sb="2" eb="4">
      <t>カゲキヨ</t>
    </rPh>
    <phoneticPr fontId="1"/>
  </si>
  <si>
    <t>名刀・あざ丸</t>
    <rPh sb="0" eb="2">
      <t>メイトウ</t>
    </rPh>
    <rPh sb="5" eb="6">
      <t>マル</t>
    </rPh>
    <phoneticPr fontId="1"/>
  </si>
  <si>
    <t>【POPクリスマス】出雲阿国</t>
    <rPh sb="10" eb="14">
      <t>イズモノオクニ</t>
    </rPh>
    <phoneticPr fontId="1"/>
  </si>
  <si>
    <t>絢爛たるかぶき者</t>
    <rPh sb="0" eb="2">
      <t>ケンラン</t>
    </rPh>
    <rPh sb="7" eb="8">
      <t>モノ</t>
    </rPh>
    <phoneticPr fontId="1"/>
  </si>
  <si>
    <t>【魔術師】鶴の恩返し</t>
    <rPh sb="1" eb="4">
      <t>マジュツシ</t>
    </rPh>
    <rPh sb="5" eb="6">
      <t>ツル</t>
    </rPh>
    <rPh sb="7" eb="9">
      <t>オンガエ</t>
    </rPh>
    <phoneticPr fontId="1"/>
  </si>
  <si>
    <t>絶対に覗かないでください</t>
    <rPh sb="0" eb="2">
      <t>ゼッタイ</t>
    </rPh>
    <rPh sb="3" eb="4">
      <t>ノゾ</t>
    </rPh>
    <phoneticPr fontId="1"/>
  </si>
  <si>
    <t>【幽精】黒百合伝説</t>
    <rPh sb="1" eb="2">
      <t>ユウ</t>
    </rPh>
    <rPh sb="2" eb="3">
      <t>セイ</t>
    </rPh>
    <rPh sb="4" eb="7">
      <t>クロユリ</t>
    </rPh>
    <rPh sb="7" eb="9">
      <t>デンセツ</t>
    </rPh>
    <phoneticPr fontId="1"/>
  </si>
  <si>
    <t>闇ニ堕チル黒花ノ精</t>
    <rPh sb="0" eb="1">
      <t>ヤミ</t>
    </rPh>
    <rPh sb="2" eb="3">
      <t>オ</t>
    </rPh>
    <rPh sb="5" eb="6">
      <t>クロ</t>
    </rPh>
    <rPh sb="6" eb="7">
      <t>ハナ</t>
    </rPh>
    <rPh sb="8" eb="9">
      <t>セイ</t>
    </rPh>
    <phoneticPr fontId="1"/>
  </si>
  <si>
    <t>東日本→全国</t>
    <rPh sb="0" eb="3">
      <t>ヒガシニホン</t>
    </rPh>
    <phoneticPr fontId="1"/>
  </si>
  <si>
    <t>天幻来迎ガチャ</t>
    <rPh sb="0" eb="1">
      <t>テン</t>
    </rPh>
    <rPh sb="1" eb="2">
      <t>ゲン</t>
    </rPh>
    <rPh sb="2" eb="4">
      <t>ライゴウ</t>
    </rPh>
    <phoneticPr fontId="1"/>
  </si>
  <si>
    <t>四神戦 ようこそ茶屋へ魅惑の甘味処ガチャ</t>
    <rPh sb="0" eb="1">
      <t>ヨン</t>
    </rPh>
    <rPh sb="1" eb="2">
      <t>シン</t>
    </rPh>
    <rPh sb="2" eb="3">
      <t>セン</t>
    </rPh>
    <rPh sb="8" eb="10">
      <t>チャヤ</t>
    </rPh>
    <rPh sb="11" eb="13">
      <t>ミワク</t>
    </rPh>
    <rPh sb="14" eb="16">
      <t>カンミ</t>
    </rPh>
    <rPh sb="16" eb="17">
      <t>ドコロ</t>
    </rPh>
    <phoneticPr fontId="1"/>
  </si>
  <si>
    <t>【聖獣】真神</t>
    <rPh sb="1" eb="2">
      <t>セイ</t>
    </rPh>
    <rPh sb="2" eb="3">
      <t>ジュウ</t>
    </rPh>
    <rPh sb="4" eb="5">
      <t>シン</t>
    </rPh>
    <rPh sb="5" eb="6">
      <t>カミ</t>
    </rPh>
    <phoneticPr fontId="1"/>
  </si>
  <si>
    <t>サイコロ行脚 山駆ける！秋風纏う歌人ガチャ</t>
    <rPh sb="4" eb="6">
      <t>アンギャ</t>
    </rPh>
    <rPh sb="7" eb="8">
      <t>ヤマ</t>
    </rPh>
    <rPh sb="8" eb="9">
      <t>カ</t>
    </rPh>
    <rPh sb="12" eb="14">
      <t>アキカゼ</t>
    </rPh>
    <rPh sb="14" eb="15">
      <t>マト</t>
    </rPh>
    <rPh sb="16" eb="17">
      <t>ウタ</t>
    </rPh>
    <rPh sb="17" eb="18">
      <t>ビト</t>
    </rPh>
    <phoneticPr fontId="1"/>
  </si>
  <si>
    <t>【レースクイーン】お月様に行ったうさぎ</t>
    <rPh sb="10" eb="12">
      <t>ツキサマ</t>
    </rPh>
    <rPh sb="13" eb="14">
      <t>イ</t>
    </rPh>
    <phoneticPr fontId="1"/>
  </si>
  <si>
    <t>転生したサーキットの兎</t>
    <rPh sb="0" eb="2">
      <t>テンセイ</t>
    </rPh>
    <rPh sb="10" eb="11">
      <t>ウサギ</t>
    </rPh>
    <phoneticPr fontId="1"/>
  </si>
  <si>
    <t>【愛をこめて】バレンタインちゃんず</t>
    <rPh sb="1" eb="2">
      <t>アイ</t>
    </rPh>
    <phoneticPr fontId="1"/>
  </si>
  <si>
    <t>甘くほろ苦い告白</t>
    <rPh sb="0" eb="1">
      <t>アマ</t>
    </rPh>
    <rPh sb="4" eb="5">
      <t>ニガ</t>
    </rPh>
    <rPh sb="6" eb="8">
      <t>コクハク</t>
    </rPh>
    <phoneticPr fontId="1"/>
  </si>
  <si>
    <t>梓弓</t>
    <rPh sb="0" eb="1">
      <t>アズサ</t>
    </rPh>
    <rPh sb="1" eb="2">
      <t>ユミ</t>
    </rPh>
    <phoneticPr fontId="1"/>
  </si>
  <si>
    <t>霊界との橋渡し</t>
    <rPh sb="0" eb="2">
      <t>レイカイ</t>
    </rPh>
    <rPh sb="4" eb="6">
      <t>ハシワタ</t>
    </rPh>
    <phoneticPr fontId="1"/>
  </si>
  <si>
    <t>11/15 12:00～11/20 22:59</t>
  </si>
  <si>
    <t>【白衣の天使】ヘビガミ</t>
  </si>
  <si>
    <t>はくいのてんしへびがみ</t>
  </si>
  <si>
    <t>死と再生を見つめる白蛇</t>
  </si>
  <si>
    <t>【湯けむり】巴御前</t>
  </si>
  <si>
    <t>ゆけむりともえごぜん</t>
  </si>
  <si>
    <t>紅く染まる一騎当千女武将</t>
  </si>
  <si>
    <t>タイプ伝承・武人・姫の防55％UP　/　タイプ偉人・妖怪・名物の攻15％DOWN</t>
  </si>
  <si>
    <t>ゆけむりかんだみょうじん</t>
  </si>
  <si>
    <t>温泉満喫明神</t>
  </si>
  <si>
    <t>ゆけむりいづな</t>
  </si>
  <si>
    <t>秋の湯</t>
  </si>
  <si>
    <t>タイプ伝承・武人・姫の防60％DOWN　/　タイプ偉人・妖怪・名物の攻20％UP</t>
  </si>
  <si>
    <t>大自然の秘湯</t>
  </si>
  <si>
    <t>[新生]鬼怒川温泉</t>
  </si>
  <si>
    <t>奥座敷の癒し湯</t>
  </si>
  <si>
    <t>タイプ偉人・妖怪の防35％UP　/　タイプ【名物】の防20％UP</t>
  </si>
  <si>
    <t>[新生]杉田久女</t>
  </si>
  <si>
    <t>しんせいすぎたひさじょ</t>
  </si>
  <si>
    <t>波乱に富んだ清艶高華</t>
  </si>
  <si>
    <t>タイプ神秘・飲食の攻35％UP　/　タイプ【知性派】の攻20％UP</t>
  </si>
  <si>
    <t>[新生]橋立小女郎</t>
  </si>
  <si>
    <t>しんせいはしだてこじょろう</t>
  </si>
  <si>
    <t>白い狐と真っ黒な大根</t>
  </si>
  <si>
    <t>タイプ武人・姫の攻35％UP　/　タイプ【伝承】の攻20％UP</t>
  </si>
  <si>
    <t>[新生]千坂景親</t>
  </si>
  <si>
    <t>しんせいさかかげちか</t>
  </si>
  <si>
    <t>上杉四家老の一</t>
  </si>
  <si>
    <t>タイプ姫・伝承の攻25％UP</t>
  </si>
  <si>
    <t>[新生]斯波園女</t>
  </si>
  <si>
    <t>しんせいしばそのめ</t>
  </si>
  <si>
    <t>俳諧に注いだ情熱</t>
  </si>
  <si>
    <t>タイプ妖怪・名物の防25％UP</t>
  </si>
  <si>
    <t>[新生]会津塗りちゃん</t>
  </si>
  <si>
    <t>しんせいあいづぬりちゃん</t>
  </si>
  <si>
    <t>花塗の文化象徴</t>
  </si>
  <si>
    <t>[新生]カニ汁ちゃん</t>
  </si>
  <si>
    <t>しんせいかにじるちゃん</t>
  </si>
  <si>
    <t>漁師の愛した甲羅汁</t>
  </si>
  <si>
    <t>11/2 12:00～11/3 23:59</t>
  </si>
  <si>
    <t>【白衣の天使】荻野吟子</t>
  </si>
  <si>
    <t>はくいのてんしおぎのぎんこ</t>
  </si>
  <si>
    <t>道を拓く天使の信念</t>
  </si>
  <si>
    <t>タイプ神秘・飲食の攻25％UP　/　タイプ【知性派】の攻10％UP</t>
  </si>
  <si>
    <t>タイプ神秘・飲食の攻12％UP　/　タイプ【知性派】の攻10％UP</t>
  </si>
  <si>
    <t>タイプ神秘・飲食の攻10％UP　/　タイプ【知性派】の攻5％UP</t>
  </si>
  <si>
    <t>11/2 18:00～11/4 23:59</t>
  </si>
  <si>
    <t>不知八幡森</t>
  </si>
  <si>
    <t>謎多き神隠しの森</t>
  </si>
  <si>
    <t>タイプ伝承・武人・姫の攻15％UP　/　タイプ武人・姫・伝承・知性派の防25％DOWN</t>
  </si>
  <si>
    <t>洞爺湖</t>
  </si>
  <si>
    <t>とうやこ</t>
  </si>
  <si>
    <t>みずうみヴォルケイノ</t>
  </si>
  <si>
    <t>タイプ偉人・妖怪・名物の攻10％UP　/　タイプ妖怪・名物・偉人・神秘の防35％DOWN</t>
  </si>
  <si>
    <t>朱舜水</t>
  </si>
  <si>
    <t>しゅしゅんすい</t>
  </si>
  <si>
    <t>諸国漫遊の手引き</t>
  </si>
  <si>
    <t>タイプ伝承・神秘の攻50％UP　/　タイプ知性派・飲食の攻30％UP</t>
  </si>
  <si>
    <t>11/3 11:00～11/5 23:59</t>
  </si>
  <si>
    <t>【浴衣】徳川慶喜</t>
  </si>
  <si>
    <t>ゆかたとくがわよしのぶ</t>
  </si>
  <si>
    <t>水ヨーヨーは勝利の証</t>
  </si>
  <si>
    <t>タイプ妖怪・名物の防65％UP　/　タイプ【偉人】の防35％UP</t>
  </si>
  <si>
    <t>しゅくさいのおうじょほりでー</t>
  </si>
  <si>
    <t>ハッピーホリデー！</t>
  </si>
  <si>
    <t>タイプ【武人】の攻85％UP　/　タイプ姫・伝承の攻25％UP</t>
  </si>
  <si>
    <t>11/3 18:00～11/3 21:59</t>
  </si>
  <si>
    <t>(DX)11/4 12:00～11/8 11:59</t>
  </si>
  <si>
    <t>【世紀末】新島八重</t>
  </si>
  <si>
    <t>せいきまつにいじまやえ</t>
  </si>
  <si>
    <t>無慈悲な一撃</t>
  </si>
  <si>
    <t>タイプ妖怪・名物の攻55％UP　/　タイプ【偉人】の攻25％UP</t>
  </si>
  <si>
    <t>[新生]【秘湯】オリーブちゃん</t>
  </si>
  <si>
    <t>しんせいひとうおりーぶちゃん</t>
  </si>
  <si>
    <t>身体いっぱいオリーブがけ</t>
  </si>
  <si>
    <t>タイプ神秘・知性派の防30％UP　/　タイプ【飲食】の防10％UP</t>
  </si>
  <si>
    <t>[新生]おりゅう柳</t>
  </si>
  <si>
    <t>しんせいおりゅうやなぎ</t>
  </si>
  <si>
    <t>柳の木精との逢瀬</t>
  </si>
  <si>
    <t>[新生]綱火ちゃん</t>
  </si>
  <si>
    <t>しんせいつなびちゃん</t>
  </si>
  <si>
    <t>星空の花火劇場</t>
  </si>
  <si>
    <t>タイプ【妖怪】の防20％UP</t>
  </si>
  <si>
    <t>11/4 18:00～11/6 23:59</t>
  </si>
  <si>
    <t>丸亀城</t>
  </si>
  <si>
    <t>まるかめじょう</t>
  </si>
  <si>
    <t>名工による石垣の城</t>
  </si>
  <si>
    <t>タイプ偉人・妖怪・名物の防35％UP</t>
  </si>
  <si>
    <t>シラミキヨ</t>
  </si>
  <si>
    <t>しらみきよ</t>
  </si>
  <si>
    <t>水平線の彼方から</t>
  </si>
  <si>
    <t>タイプ神秘・知性派・飲食の防30％UP　/　タイプ神秘・知性派・飲食の攻50％DOWN</t>
  </si>
  <si>
    <t>くろきしさなだゆきむら</t>
  </si>
  <si>
    <t>暗黒に染まる赤備え</t>
  </si>
  <si>
    <t>タイプ知性派・飲食・姫の防40％UP　/　タイプ【神秘】の防30％UP</t>
  </si>
  <si>
    <t>【セレブ】江戸紫</t>
  </si>
  <si>
    <t>せれぶえどむらさき</t>
  </si>
  <si>
    <t>江戸文化というプライド</t>
  </si>
  <si>
    <t>タイプ武人・姫の防30％UP　/　タイプ【伝承】の防10％UP</t>
  </si>
  <si>
    <t>【トランプ】モモちゃん</t>
  </si>
  <si>
    <t>とらんぷももちゃん</t>
  </si>
  <si>
    <t>邪気祓う桃の加護</t>
  </si>
  <si>
    <t>タイプ神秘・知性派の防30％UP　/　タイプ武人・姫の攻20％DOWN</t>
  </si>
  <si>
    <t>【ギリシア神話】リンゴちゃん</t>
  </si>
  <si>
    <t>ぎりしあしんわりんごちゃん</t>
  </si>
  <si>
    <t>その果実をひと度齧れば</t>
  </si>
  <si>
    <t>11/5 11:00～11/5 23:59</t>
  </si>
  <si>
    <t>茨城</t>
  </si>
  <si>
    <t>11/5 18:00～11/5 23:59</t>
  </si>
  <si>
    <t>平山成信</t>
  </si>
  <si>
    <t>ひらやまなりのぶ</t>
  </si>
  <si>
    <t>出世街道突き進む男爵</t>
  </si>
  <si>
    <t>タイプ妖怪・名物の攻25％UP　/　タイプ【偉人】の攻10％UP</t>
  </si>
  <si>
    <t>タイプ妖怪・名物の攻12％UP　/　タイプ【偉人】の攻10％UP</t>
  </si>
  <si>
    <t>タイプ妖怪・名物の攻10％UP　/　タイプ【偉人】の攻5％UP</t>
  </si>
  <si>
    <t>高場乱</t>
  </si>
  <si>
    <t>たかばおさむ</t>
  </si>
  <si>
    <t>男装帯刀した人参畑の女傑</t>
  </si>
  <si>
    <t>タイプ神秘・知性派・飲食の攻40％UP　/　タイプ伝承・武人・姫の防10％DOWN</t>
  </si>
  <si>
    <t>タイプ神秘・知性派・飲食の攻30％UP　/　タイプ武人・姫の防10％DOWN</t>
  </si>
  <si>
    <t>タイプ神秘・飲食の攻15％UP　/　タイプ【武人】の防10％DOWN</t>
  </si>
  <si>
    <t>11/6 12:00～11/7 11:59</t>
  </si>
  <si>
    <t>色褪せぬ紫陽花の一葉</t>
  </si>
  <si>
    <t>ゆいしょうせつ</t>
  </si>
  <si>
    <t>ふじわらかげきよ</t>
  </si>
  <si>
    <t>ぽっぷくりすますいずものおくに</t>
  </si>
  <si>
    <t>11/6 20:00～11/6 23:59</t>
  </si>
  <si>
    <t>まじゅつしつるのおんがえし</t>
  </si>
  <si>
    <t>ゆうせいくろゆりでんせつ</t>
  </si>
  <si>
    <t>11/7 12:00～11/9 23:59</t>
  </si>
  <si>
    <t>【夏遊園地】コシヒカリちゃん</t>
  </si>
  <si>
    <t>なつゆうえんちこしひかりちゃん</t>
  </si>
  <si>
    <t>光り輝くライスシャワー</t>
  </si>
  <si>
    <t>タイプ神秘・知性派・飲食の攻55％UP　/　タイプ偉人・妖怪・名物の防15％DOWN</t>
  </si>
  <si>
    <t>ばれえつるのおんがえし</t>
  </si>
  <si>
    <t>華麗に舞う愛のダンス</t>
  </si>
  <si>
    <t>タイプ名物・武人の防50％UP　/　タイプ姫・伝承の防30％UP</t>
  </si>
  <si>
    <t>れいんぼーかきごおりちゃん</t>
  </si>
  <si>
    <t>目にも鮮やかな虹色氷</t>
  </si>
  <si>
    <t>タイプ神秘・姫の攻50％UP　/　タイプ知性派・飲食の攻30％UP</t>
  </si>
  <si>
    <t>じゅうきふじわらのきよひら</t>
  </si>
  <si>
    <t>栄華を誇る連続射撃</t>
  </si>
  <si>
    <t>タイプ名物・妖怪・飲食の攻40％UP　/　タイプ【偉人】の攻30％UP</t>
  </si>
  <si>
    <t>11/7 18:00～11/9 23:59</t>
  </si>
  <si>
    <t>豊穣の女神フリッグ</t>
  </si>
  <si>
    <t>ほうじょうのめがみふりっぐ</t>
  </si>
  <si>
    <t>慈愛の苺香</t>
  </si>
  <si>
    <t>タイプ神秘・知性派・飲食の防20％UP</t>
  </si>
  <si>
    <t>赤炎のトリス</t>
  </si>
  <si>
    <t>せきえんのとりす</t>
  </si>
  <si>
    <t>怒濤焰斧</t>
  </si>
  <si>
    <t>【鬼切衆】黒比売</t>
  </si>
  <si>
    <t>おにきりしゅうくろひめ</t>
  </si>
  <si>
    <t>恋する女の熱き戦い</t>
  </si>
  <si>
    <t>タイプ神秘・飲食の防35％UP　/　タイプ武人・伝承の防20％UP</t>
  </si>
  <si>
    <t>【スクールガール】池田せん</t>
  </si>
  <si>
    <t>すくーるがーるいけだせん</t>
  </si>
  <si>
    <t>我が身弾雨に踊る</t>
  </si>
  <si>
    <t>タイプ姫・伝承の攻30％UP　/　タイプ【武人】の攻10％UP</t>
  </si>
  <si>
    <t>【妖精】中島歌子</t>
  </si>
  <si>
    <t>ようせいなかじまうたこ</t>
  </si>
  <si>
    <t>萩咲く悲恋物語</t>
  </si>
  <si>
    <t>【茶屋むすめ】神田祭</t>
  </si>
  <si>
    <t>ちゃやむすめかんだまつり</t>
  </si>
  <si>
    <t>茶屋に咲く江戸の華</t>
  </si>
  <si>
    <t>タイプ偉人・妖怪・名物の攻35％UP　/　タイプ伝承・武人・姫の防10％DOWN</t>
  </si>
  <si>
    <t>[新生]秋鮭ちゃん</t>
  </si>
  <si>
    <t>しんせいあきざけちゃん</t>
  </si>
  <si>
    <t>河川遡上の名人</t>
  </si>
  <si>
    <t>タイプ神秘・知性派の攻30％UP　/　タイプ【飲食】の攻10％UP</t>
  </si>
  <si>
    <t>[新生]【繚乱】高力忠房</t>
  </si>
  <si>
    <t>しんせいりょうらんこうりきただふさ</t>
  </si>
  <si>
    <t>春の訪れは食欲から</t>
  </si>
  <si>
    <t>タイプ姫・伝承の防20％UP</t>
  </si>
  <si>
    <t>[新生]山口ワインちゃん</t>
  </si>
  <si>
    <t>しんせいやまぐちわいんちゃん</t>
  </si>
  <si>
    <t>常識破りの浪漫酒</t>
  </si>
  <si>
    <t>タイプ【神秘】の攻20％UP</t>
  </si>
  <si>
    <t>11/9 12:00～11/14 11:59</t>
  </si>
  <si>
    <t>【茶屋むすめ】ワカルヒメノミコト</t>
  </si>
  <si>
    <t>ちゃやむすめわかるひめのみこと</t>
  </si>
  <si>
    <t>癒し与える太陽の女神</t>
  </si>
  <si>
    <t>タイプ【飲食】の攻85％UP　/　タイプ神秘・知性派の攻25％UP</t>
  </si>
  <si>
    <t>タイプ【飲食】の攻60％UP　/　タイプ神秘・知性派の攻20％UP</t>
  </si>
  <si>
    <t>タイプ【飲食】の攻45％UP　/　タイプ【神秘】の攻15％UP</t>
  </si>
  <si>
    <t>11/9 18:00～11/11 23:59</t>
  </si>
  <si>
    <t>あまもりくずは</t>
  </si>
  <si>
    <t>極寒の螺旋氷術</t>
  </si>
  <si>
    <t>しんがえかすか</t>
  </si>
  <si>
    <t>花魁ブロンディー</t>
  </si>
  <si>
    <t>タイプ伝承・武人・姫の攻30％UP　/　タイプ神秘・知性派・飲食の防40％DOWN</t>
  </si>
  <si>
    <t>11/10 11:00～11/10 23:59</t>
  </si>
  <si>
    <t>【海開き】隠神刑部</t>
  </si>
  <si>
    <t>うみびらきいぬがみぎょうぶ</t>
  </si>
  <si>
    <t>水を得た最強の神通力</t>
  </si>
  <si>
    <t>タイプ偉人・名物の防40％UP　/　タイプ【妖怪】の防25％UP</t>
  </si>
  <si>
    <t>うかのみたまのかみ</t>
  </si>
  <si>
    <t>豊穰を司る稲荷女神</t>
  </si>
  <si>
    <t>タイプ知性派・飲食の攻25％UP　/　タイプ伝承・武人・姫の防30％DOWN</t>
  </si>
  <si>
    <t>えとぴりか</t>
  </si>
  <si>
    <t>コロニーの仲間</t>
  </si>
  <si>
    <t>タイプ偉人・妖怪の防35％UP　/　タイプ【名物】の防25％UP</t>
  </si>
  <si>
    <t>ひゃくだんひなまつり</t>
  </si>
  <si>
    <t>豪華絢爛飾り雛</t>
  </si>
  <si>
    <t>タイプ伝承・武人・姫の攻15％UP　/　タイプ神秘・飲食・知性派・妖怪の防25％DOWN</t>
  </si>
  <si>
    <t>11/11 11:00～11/13 23:59</t>
  </si>
  <si>
    <t>でぃーぷぶるー</t>
  </si>
  <si>
    <t>"４７"</t>
  </si>
  <si>
    <t>タイプ神秘・知性派・飲食の防40％UP　/　タイプ伝承・武人・姫の攻10％DOWN</t>
  </si>
  <si>
    <t>にうつひめのおおかみ</t>
  </si>
  <si>
    <t>授けたる朱色の託宣</t>
  </si>
  <si>
    <t>タイプ神秘・知性派・飲食の防25％UP　/　タイプ神秘・知性派・飲食の攻50％DOWN</t>
  </si>
  <si>
    <t>ふれんちとーすと</t>
  </si>
  <si>
    <t>黄金色に焼けた甘い香り</t>
  </si>
  <si>
    <t>タイプ偉人・神秘の防60％UP　/　タイプ知性派・飲食の防30％UP</t>
  </si>
  <si>
    <t>伊勢姫</t>
  </si>
  <si>
    <t>いせひめ</t>
  </si>
  <si>
    <t>その思いしのぶれど</t>
  </si>
  <si>
    <t>しんのあくごろう</t>
  </si>
  <si>
    <t>悪を束ねし大妖怪</t>
  </si>
  <si>
    <t>タイプ【名物】の攻90％UP　/　タイプ偉人・妖怪の攻20％UP</t>
  </si>
  <si>
    <t>11/11 20:00～11/11 23:59</t>
  </si>
  <si>
    <t>雪姫・紅葉姫</t>
  </si>
  <si>
    <t>ゆきひめもみじひめ</t>
  </si>
  <si>
    <t>湖面を漂う２色の姉妹鯉</t>
  </si>
  <si>
    <t>タイプ伝承・武人・姫の攻35％UP　/　所属が【西日本】と、それに属する地方・県、および【全国】の防35％DOWN</t>
  </si>
  <si>
    <t>虎徹</t>
  </si>
  <si>
    <t>こてつ</t>
  </si>
  <si>
    <t>鍛冶場に響き渡る槌音</t>
  </si>
  <si>
    <t>タイプ神秘・知性派・飲食の攻35％UP　/　所属が【東日本】と、それに属する地方・県、および【全国】の防35％DOWN</t>
  </si>
  <si>
    <t>【ハロウィン】猫神</t>
  </si>
  <si>
    <t>はろうぃんねこがみ</t>
  </si>
  <si>
    <t>気まぐれなハロウィン収穫祭</t>
  </si>
  <si>
    <t>タイプ【名物】の攻30％UP　/　タイプ【飲食】の防25％DOWN</t>
  </si>
  <si>
    <t>11/12 12:00～11/14 23:59</t>
  </si>
  <si>
    <t>高機動型パトバトラー</t>
  </si>
  <si>
    <t>こうきどうがたぱとばとらー</t>
  </si>
  <si>
    <t>白黒つける特大捜査</t>
  </si>
  <si>
    <t>タイプ姫・伝承の攻30％UP　/　タイプ【武人】の攻25％UP</t>
  </si>
  <si>
    <t>Dr.メディック</t>
  </si>
  <si>
    <t>どくたーめでぃっく</t>
  </si>
  <si>
    <t>コンマ1秒の闘い</t>
  </si>
  <si>
    <t>タイプ神秘・知性派・飲食の防45％UP</t>
  </si>
  <si>
    <t>ファイアファイター</t>
  </si>
  <si>
    <t>ふぁいあふぁいたー</t>
  </si>
  <si>
    <t>紅蓮の守護者</t>
  </si>
  <si>
    <t>タイプ偉人・妖怪・名物の防25％UP　/　タイプ伝承・武人・姫の攻75％DOWN</t>
  </si>
  <si>
    <t>ムテキセンカンヤマト</t>
  </si>
  <si>
    <t>むてきせんかんやまと</t>
  </si>
  <si>
    <t>超弩級ムテキ戦艦ヤマト</t>
  </si>
  <si>
    <t>タイプ武人・姫の攻25％UP　/　タイプ【伝承】の攻20％UP</t>
  </si>
  <si>
    <t>スペースヒメジZ</t>
  </si>
  <si>
    <t>すぺーすひめじぜっと</t>
  </si>
  <si>
    <t>宙に聳える白き羽瓦</t>
  </si>
  <si>
    <t>タイプ神秘・知性派・飲食の攻15％UP　/　タイプ偉人・妖怪・名物の防95％DOWN</t>
  </si>
  <si>
    <t>ガントリークレーンMk-２</t>
  </si>
  <si>
    <t>がんとりーくれーんまーくつー</t>
  </si>
  <si>
    <t>その頂きに御業あり</t>
  </si>
  <si>
    <t>タイプ偉人・妖怪・名物の防45％UP</t>
  </si>
  <si>
    <t>11/12 18:00～11/12 21:59</t>
  </si>
  <si>
    <t>11/13 11:00～11/14 10:59</t>
  </si>
  <si>
    <t>東の渡来演義</t>
  </si>
  <si>
    <t>ひがしのとらいえんぎ</t>
  </si>
  <si>
    <t>山頂までの処方箋</t>
  </si>
  <si>
    <t>タイプ妖怪・名物の攻20％UP</t>
  </si>
  <si>
    <t>西の渡来演義</t>
  </si>
  <si>
    <t>にしのとらいえんぎ</t>
  </si>
  <si>
    <t>最高のおやつタイム</t>
  </si>
  <si>
    <t>異邦渡来演義</t>
  </si>
  <si>
    <t>いほうとらいえんぎ</t>
  </si>
  <si>
    <t>郷里会遇</t>
  </si>
  <si>
    <t>タイプ偉人・妖怪・名物の攻40％UP　/　タイプ伝承・武人・姫の防40％DOWN</t>
  </si>
  <si>
    <t>東の霊鳥演義</t>
  </si>
  <si>
    <t>ひがしのれいちょうえんぎ</t>
  </si>
  <si>
    <t>神聖なる歌と舞</t>
  </si>
  <si>
    <t>タイプ妖怪・名物の攻30％DOWN　/　タイプ知性派・飲食の防10％UP</t>
  </si>
  <si>
    <t>西の霊鳥演義</t>
  </si>
  <si>
    <t>にしのれいちょうえんぎ</t>
  </si>
  <si>
    <t>魅了する軽快なステップ</t>
  </si>
  <si>
    <t>タイプ偉人・妖怪の攻30％DOWN　/　タイプ知性派・飲食の防10％UP</t>
  </si>
  <si>
    <t>天武霊鳥演義</t>
  </si>
  <si>
    <t>てんぶれいちょうえんぎ</t>
  </si>
  <si>
    <t>天武霊鳥光臨</t>
  </si>
  <si>
    <t>タイプ偉人・妖怪・名物の攻80％DOWN　/　タイプ知性派・飲食の防25％UP</t>
  </si>
  <si>
    <t>11/13 18:00～11/15 23:59</t>
  </si>
  <si>
    <t>御木本幸吉</t>
  </si>
  <si>
    <t>みきもとこうきち</t>
  </si>
  <si>
    <t>天性の商才と熱意</t>
  </si>
  <si>
    <t>タイプ妖怪・名物の攻50％UP　/　タイプ【偉人】の攻35％UP</t>
  </si>
  <si>
    <t>【海道一の弓取り】今川義元</t>
  </si>
  <si>
    <t>かいどういちのゆみとりいまがわよしもと</t>
  </si>
  <si>
    <t>駿河屈指の栄華</t>
  </si>
  <si>
    <t>タイプ姫・伝承の攻30％UP　/　タイプ武人・妖怪・名物・偉人の攻20％UP</t>
  </si>
  <si>
    <t>おーとくちゅーるにじっせいきなしちゃん</t>
  </si>
  <si>
    <t>透明感溢れる黄緑色</t>
  </si>
  <si>
    <t>タイプ神秘・知性派の攻40％UP　/　タイプ伝承・姫・飲食の攻35％UP</t>
  </si>
  <si>
    <t>(DX)11/14 12:00～11/21 11:59</t>
  </si>
  <si>
    <t>やまがーるあきのむらぼうとうに</t>
  </si>
  <si>
    <t>山間に舞う紅葉</t>
  </si>
  <si>
    <t>[新生]甲斐犬</t>
  </si>
  <si>
    <t>しんせいかいいぬ</t>
  </si>
  <si>
    <t>一代一主の忠犬</t>
  </si>
  <si>
    <t>[新生]【農業】足利氏姫</t>
  </si>
  <si>
    <t>しんせいのうぎょうあしかがうじひめ</t>
  </si>
  <si>
    <t>足利の畑を守る者</t>
  </si>
  <si>
    <t>タイプ武人・伝承の攻20％UP</t>
  </si>
  <si>
    <t>石川</t>
  </si>
  <si>
    <t>[新生]【山ガール】珠姫</t>
  </si>
  <si>
    <t>しんせいやまがーるたまひめ</t>
  </si>
  <si>
    <t>山頂目指す成長の証</t>
  </si>
  <si>
    <t>タイプ【武人】の防20％UP</t>
  </si>
  <si>
    <t>11/14 15:00～11/14 23:59</t>
  </si>
  <si>
    <t>れーすくいーんおつきさまにいったうさぎ</t>
  </si>
  <si>
    <t>あいをこめてばれんたいんちゃんず</t>
  </si>
  <si>
    <t>シトゥンペカムイ</t>
  </si>
  <si>
    <t>しとぅんぺかむい</t>
  </si>
  <si>
    <t>ハイクンテレケ、ハイコシテムトリ</t>
  </si>
  <si>
    <t>あずさゆみ</t>
  </si>
  <si>
    <t>2018天クロ秋の大感謝祭福引ガチャ</t>
    <rPh sb="4" eb="5">
      <t>テン</t>
    </rPh>
    <rPh sb="7" eb="8">
      <t>アキ</t>
    </rPh>
    <rPh sb="9" eb="13">
      <t>ダイカンシャサイ</t>
    </rPh>
    <rPh sb="13" eb="15">
      <t>フクビキ</t>
    </rPh>
    <phoneticPr fontId="1"/>
  </si>
  <si>
    <t>11/15 15:00～11/16 23:59</t>
    <phoneticPr fontId="1"/>
  </si>
  <si>
    <t>【騎手】立花宗茂</t>
    <phoneticPr fontId="1"/>
  </si>
  <si>
    <t>きしゅたちばなむねしげ</t>
    <phoneticPr fontId="1"/>
  </si>
  <si>
    <t>戦国の優秀なる血統</t>
    <phoneticPr fontId="1"/>
  </si>
  <si>
    <t>タイプ姫・伝承の攻30％UP　/　タイプ神秘・知性派・飲食の防12％DOWN</t>
    <phoneticPr fontId="1"/>
  </si>
  <si>
    <t>【カーニバル】ゴールド</t>
    <phoneticPr fontId="1"/>
  </si>
  <si>
    <t>かーにばるごーるど</t>
    <phoneticPr fontId="1"/>
  </si>
  <si>
    <t>黄金色の豪華絢爛美女</t>
    <phoneticPr fontId="1"/>
  </si>
  <si>
    <t>タイプ偉人・妖怪・知性派の攻40％UP　/　タイプ【名物】の攻35％UP</t>
    <phoneticPr fontId="1"/>
  </si>
  <si>
    <t>【イルミネーション】和泉式部</t>
    <phoneticPr fontId="1"/>
  </si>
  <si>
    <t>いるみねーしょんいずみしきぶ</t>
    <phoneticPr fontId="1"/>
  </si>
  <si>
    <t>つれづれと灯ぞ見らるる想い人</t>
    <phoneticPr fontId="1"/>
  </si>
  <si>
    <t>タイプ伝承・神秘の防55％UP　/　タイプ飲食・知性派・武人の防30％UP</t>
    <phoneticPr fontId="1"/>
  </si>
  <si>
    <t>ラプンツェル</t>
    <phoneticPr fontId="1"/>
  </si>
  <si>
    <t>らぷんつぇる</t>
    <phoneticPr fontId="1"/>
  </si>
  <si>
    <t>塔へ誘う金色の髪</t>
    <phoneticPr fontId="1"/>
  </si>
  <si>
    <t>タイプ姫・武人・名物の攻30％UP</t>
    <phoneticPr fontId="1"/>
  </si>
  <si>
    <t>【球技】糸引き娘</t>
    <phoneticPr fontId="1"/>
  </si>
  <si>
    <t>きゅうぎいとひきむすめ</t>
    <phoneticPr fontId="1"/>
  </si>
  <si>
    <t>奇想天外の名セッター</t>
    <phoneticPr fontId="1"/>
  </si>
  <si>
    <t>タイプ偉人・名物の防30％UP　/　タイプ【妖怪】の防10％UP</t>
    <phoneticPr fontId="1"/>
  </si>
  <si>
    <t>【梅花魁】阿豆佐味天神の狛猫</t>
    <phoneticPr fontId="1"/>
  </si>
  <si>
    <t>うめおいらんあずさみてんじんのこまねこ</t>
    <phoneticPr fontId="1"/>
  </si>
  <si>
    <t>梅と猫の温かな香り</t>
    <phoneticPr fontId="1"/>
  </si>
  <si>
    <t>タイプ【飲食】の防30％UP　/　タイプ神秘・知性派の防20％UP</t>
    <phoneticPr fontId="1"/>
  </si>
  <si>
    <t>サイコロ行脚 英雄ガチャ</t>
    <rPh sb="4" eb="6">
      <t>アンギャ</t>
    </rPh>
    <rPh sb="7" eb="9">
      <t>エイユウ</t>
    </rPh>
    <phoneticPr fontId="1"/>
  </si>
  <si>
    <t>石川</t>
    <rPh sb="0" eb="2">
      <t>イシカワ</t>
    </rPh>
    <phoneticPr fontId="1"/>
  </si>
  <si>
    <t>【夏祭り】徳川家康</t>
    <rPh sb="1" eb="3">
      <t>ナツマツ</t>
    </rPh>
    <rPh sb="5" eb="7">
      <t>トクガワ</t>
    </rPh>
    <rPh sb="7" eb="9">
      <t>イエヤス</t>
    </rPh>
    <phoneticPr fontId="1"/>
  </si>
  <si>
    <t>祭り頭の将軍</t>
    <rPh sb="0" eb="1">
      <t>マツ</t>
    </rPh>
    <rPh sb="2" eb="3">
      <t>カシラ</t>
    </rPh>
    <rPh sb="4" eb="6">
      <t>ショウグン</t>
    </rPh>
    <phoneticPr fontId="1"/>
  </si>
  <si>
    <t>【ややこ踊り】出雲阿国</t>
    <rPh sb="4" eb="5">
      <t>オド</t>
    </rPh>
    <rPh sb="7" eb="11">
      <t>イズモノオクニ</t>
    </rPh>
    <phoneticPr fontId="1"/>
  </si>
  <si>
    <t>ややこおどりいずものおくに</t>
    <phoneticPr fontId="1"/>
  </si>
  <si>
    <t>阿国の常識破り</t>
    <rPh sb="0" eb="2">
      <t>オクニ</t>
    </rPh>
    <rPh sb="3" eb="5">
      <t>ジョウシキ</t>
    </rPh>
    <rPh sb="5" eb="6">
      <t>ヤブ</t>
    </rPh>
    <phoneticPr fontId="1"/>
  </si>
  <si>
    <t>タイプ神秘・飲食・妖怪の攻40％UP　/　タイプ【知性派】の攻20％UP</t>
    <phoneticPr fontId="1"/>
  </si>
  <si>
    <t>【麗姫】井伊直虎</t>
    <phoneticPr fontId="1"/>
  </si>
  <si>
    <t>れいひいいなおとら</t>
    <phoneticPr fontId="1"/>
  </si>
  <si>
    <t>虎姫の徳川大繁栄計画</t>
    <phoneticPr fontId="1"/>
  </si>
  <si>
    <t>タイプ伝承・武人・飲食の防40％UP　/　タイプ【姫】の防20％UP</t>
    <phoneticPr fontId="1"/>
  </si>
  <si>
    <t>【山ガール秋】野村望東尼</t>
    <phoneticPr fontId="1"/>
  </si>
  <si>
    <t>やまがーるあきのむらぼうとうに</t>
    <phoneticPr fontId="1"/>
  </si>
  <si>
    <t>山間に舞う紅葉</t>
    <phoneticPr fontId="1"/>
  </si>
  <si>
    <t>[新生]甲斐犬</t>
    <phoneticPr fontId="1"/>
  </si>
  <si>
    <t>しんせいかいいぬ</t>
    <phoneticPr fontId="1"/>
  </si>
  <si>
    <t>一代一主の忠犬</t>
    <phoneticPr fontId="1"/>
  </si>
  <si>
    <t>[新生]【農業】足利氏姫</t>
    <phoneticPr fontId="1"/>
  </si>
  <si>
    <t>しんせいのうぎょうあしかがうじひめ</t>
    <phoneticPr fontId="1"/>
  </si>
  <si>
    <t>足利の畑を守る者</t>
    <phoneticPr fontId="1"/>
  </si>
  <si>
    <t>タイプ武人・伝承の攻20％UP</t>
    <phoneticPr fontId="1"/>
  </si>
  <si>
    <t>[新生]【山ガール】珠姫</t>
    <phoneticPr fontId="1"/>
  </si>
  <si>
    <t>しんせいやまがーるたまひめ</t>
    <phoneticPr fontId="1"/>
  </si>
  <si>
    <t>山頂目指す成長の証</t>
    <phoneticPr fontId="1"/>
  </si>
  <si>
    <t>タイプ【武人】の防20％UP</t>
    <phoneticPr fontId="1"/>
  </si>
  <si>
    <t>11/16 11:00～11/16 23:59</t>
    <phoneticPr fontId="1"/>
  </si>
  <si>
    <t>11/16 18:00～11/18 23:59</t>
    <phoneticPr fontId="1"/>
  </si>
  <si>
    <t>水谷蟠龍斎</t>
    <phoneticPr fontId="1"/>
  </si>
  <si>
    <t>みずのやはんりゅうさい</t>
    <phoneticPr fontId="1"/>
  </si>
  <si>
    <t>常勝無敗の刀槍勇術</t>
    <phoneticPr fontId="1"/>
  </si>
  <si>
    <t>タイプ伝承・武人・姫の防25％UP　/　タイプ神秘・知性派・飲食の攻12％DOWN</t>
    <phoneticPr fontId="1"/>
  </si>
  <si>
    <t>頼春水</t>
    <phoneticPr fontId="1"/>
  </si>
  <si>
    <t>らいしゅんすい</t>
    <phoneticPr fontId="1"/>
  </si>
  <si>
    <t>詩豪の志を一筆に込めて</t>
    <phoneticPr fontId="1"/>
  </si>
  <si>
    <t>【銃器】佐保姫</t>
    <phoneticPr fontId="1"/>
  </si>
  <si>
    <t>じゅうきさほひめ</t>
    <phoneticPr fontId="1"/>
  </si>
  <si>
    <t>戦場に告げる春の訪れ</t>
    <phoneticPr fontId="1"/>
  </si>
  <si>
    <t>タイプ伝承・武人・姫の防25％UP　/　タイプ神秘・知性派・飲食の攻50％DOWN</t>
    <phoneticPr fontId="1"/>
  </si>
  <si>
    <t>【セレブ】江戸紫</t>
    <phoneticPr fontId="1"/>
  </si>
  <si>
    <t>せれぶえどむらさき</t>
    <phoneticPr fontId="1"/>
  </si>
  <si>
    <t>江戸文化というプライド</t>
    <phoneticPr fontId="1"/>
  </si>
  <si>
    <t>タイプ武人・姫の防30％UP　/　タイプ【伝承】の防10％UP</t>
    <phoneticPr fontId="1"/>
  </si>
  <si>
    <t>【ギリシア神話】リンゴちゃん</t>
    <phoneticPr fontId="1"/>
  </si>
  <si>
    <t>ぎりしあしんわりんごちゃん</t>
    <phoneticPr fontId="1"/>
  </si>
  <si>
    <t>その果実をひと度齧れば</t>
    <phoneticPr fontId="1"/>
  </si>
  <si>
    <t>タイプ神秘・知性派の防30％UP　/　タイプ【飲食】の防10％UP</t>
    <phoneticPr fontId="1"/>
  </si>
  <si>
    <t>11/17 20:00～11/17 23:59</t>
    <phoneticPr fontId="1"/>
  </si>
  <si>
    <t>ササニシキ</t>
    <phoneticPr fontId="1"/>
  </si>
  <si>
    <t>ささにしき</t>
    <phoneticPr fontId="1"/>
  </si>
  <si>
    <t>心地よくほどける幻の米</t>
    <phoneticPr fontId="1"/>
  </si>
  <si>
    <t>タイプ神秘・知性派・飲食の攻35％UP　/　所属が【西日本】と、それに属する地方・県、および【全国】の防35％DOWN</t>
    <phoneticPr fontId="1"/>
  </si>
  <si>
    <t>孝謙天皇</t>
    <phoneticPr fontId="1"/>
  </si>
  <si>
    <t>こうけんてんのう</t>
    <phoneticPr fontId="1"/>
  </si>
  <si>
    <t>玉座におわす篤き女帝</t>
    <phoneticPr fontId="1"/>
  </si>
  <si>
    <t>タイプ伝承・武人・姫の攻35％UP　/　所属が【東日本】と、それに属する地方・県、および【全国】の防35％DOWN</t>
    <phoneticPr fontId="1"/>
  </si>
  <si>
    <t>11/17 11:00～11/19 23:59</t>
    <phoneticPr fontId="1"/>
  </si>
  <si>
    <t>【POPクリスマス】生駒吉乃</t>
    <phoneticPr fontId="1"/>
  </si>
  <si>
    <t>ぽっぷくりすますいこまきつの</t>
    <phoneticPr fontId="1"/>
  </si>
  <si>
    <t>聖夜に贈る南蛮品</t>
    <phoneticPr fontId="1"/>
  </si>
  <si>
    <t>タイプ伝承・武人・偉人の攻60％UP　/　タイプ【姫】の攻30％UP</t>
    <phoneticPr fontId="1"/>
  </si>
  <si>
    <t>【4周年】鳰姫</t>
    <phoneticPr fontId="1"/>
  </si>
  <si>
    <t>よんしゅうねんにおのひめ</t>
    <phoneticPr fontId="1"/>
  </si>
  <si>
    <t>大蛇と白鷺の遭遇</t>
    <phoneticPr fontId="1"/>
  </si>
  <si>
    <t>タイプ姫・武人・知性派の防50％UP　/　タイプ【伝承】の防25％UP</t>
    <phoneticPr fontId="1"/>
  </si>
  <si>
    <t>龍の寵児</t>
    <phoneticPr fontId="1"/>
  </si>
  <si>
    <t>りゅうのちょうじ</t>
    <phoneticPr fontId="1"/>
  </si>
  <si>
    <t>龍と人を絆ぐ力</t>
    <phoneticPr fontId="1"/>
  </si>
  <si>
    <t>タイプ神秘・飲食の防100％DOWN　/　タイプ偉人・名物の攻20％UP</t>
    <phoneticPr fontId="1"/>
  </si>
  <si>
    <t>保科正之</t>
    <phoneticPr fontId="1"/>
  </si>
  <si>
    <t>ほしなまさゆき</t>
    <phoneticPr fontId="1"/>
  </si>
  <si>
    <t>絶対遵守の家訓十五箇条</t>
    <phoneticPr fontId="1"/>
  </si>
  <si>
    <t>タイプ偉人・妖怪・名物の攻60％UP</t>
    <phoneticPr fontId="1"/>
  </si>
  <si>
    <t>亡者船</t>
    <phoneticPr fontId="1"/>
  </si>
  <si>
    <t>もうじゃぶね</t>
    <phoneticPr fontId="1"/>
  </si>
  <si>
    <t>静かな船出に忍び寄る死への誘い</t>
    <phoneticPr fontId="1"/>
  </si>
  <si>
    <t>タイプ姫・伝承の攻100％DOWN　/　タイプ偉人・名物の防20％UP</t>
    <phoneticPr fontId="1"/>
  </si>
  <si>
    <t>チキン南蛮</t>
    <phoneticPr fontId="1"/>
  </si>
  <si>
    <t>ちきんなんばん</t>
    <phoneticPr fontId="1"/>
  </si>
  <si>
    <t>甘酸っぱいタレとの出会い</t>
    <phoneticPr fontId="1"/>
  </si>
  <si>
    <t>タイプ神秘・知性派・偉人の攻45％UP　/　タイプ飲食・名物の攻30％UP</t>
    <phoneticPr fontId="1"/>
  </si>
  <si>
    <t>揚巻太夫</t>
    <phoneticPr fontId="1"/>
  </si>
  <si>
    <t>あげまきだゆう</t>
    <phoneticPr fontId="1"/>
  </si>
  <si>
    <t>宝刀巡りし傾城太夫</t>
    <phoneticPr fontId="1"/>
  </si>
  <si>
    <t>タイプ名物・武人の攻55％UP　/　タイプ姫・伝承の攻30％UP</t>
    <phoneticPr fontId="1"/>
  </si>
  <si>
    <t>島津義久</t>
    <phoneticPr fontId="1"/>
  </si>
  <si>
    <t>しまづよしひさ</t>
    <phoneticPr fontId="1"/>
  </si>
  <si>
    <t>島津の名政治家</t>
    <phoneticPr fontId="1"/>
  </si>
  <si>
    <t>タイプ姫・伝承の防30％UP　/　タイプ偉人・妖怪・名物の攻12％DOWN</t>
    <phoneticPr fontId="1"/>
  </si>
  <si>
    <t>11/19 11:00～11/19 23:59</t>
    <phoneticPr fontId="1"/>
  </si>
  <si>
    <t>九頭龍大神</t>
    <phoneticPr fontId="1"/>
  </si>
  <si>
    <t>くずりゅうおおみかみ</t>
    <phoneticPr fontId="1"/>
  </si>
  <si>
    <t>水辺に溢れる龍の怒り</t>
    <phoneticPr fontId="1"/>
  </si>
  <si>
    <t>タイプ知性派・飲食・神秘・武人・姫・伝承の防25％UP　/　タイプ伝承・武人・姫の攻50％DOWN</t>
    <phoneticPr fontId="1"/>
  </si>
  <si>
    <t>タイプ知性派・飲食の防25％UP　/　タイプ伝承・武人・姫の攻30％DOWN</t>
    <phoneticPr fontId="1"/>
  </si>
  <si>
    <t>タイプ【知性派】の防20％UP</t>
    <phoneticPr fontId="1"/>
  </si>
  <si>
    <t>徳川綱吉</t>
    <phoneticPr fontId="1"/>
  </si>
  <si>
    <t>とくがわつなよし</t>
    <phoneticPr fontId="1"/>
  </si>
  <si>
    <t>平和をこよなく愛した将軍</t>
    <phoneticPr fontId="1"/>
  </si>
  <si>
    <t>タイプ名物・妖怪・姫の防40％UP　/　タイプ偉人・神秘・知性派・飲食の防15％UP</t>
    <phoneticPr fontId="1"/>
  </si>
  <si>
    <t>タイプ名物・妖怪の防20％UP</t>
    <phoneticPr fontId="1"/>
  </si>
  <si>
    <t>タイプ名物・妖怪の防25％UP　/　タイプ【偉人】の防10％UP</t>
    <phoneticPr fontId="1"/>
  </si>
  <si>
    <t>鳥獣戯画</t>
    <phoneticPr fontId="1"/>
  </si>
  <si>
    <t>ちょうじゅうぎが</t>
    <phoneticPr fontId="1"/>
  </si>
  <si>
    <t>最古の娯楽漫画</t>
    <phoneticPr fontId="1"/>
  </si>
  <si>
    <t>タイプ【武人】の攻50％UP　/　タイプ姫・伝承・名物・偉人の攻25％UP</t>
    <phoneticPr fontId="1"/>
  </si>
  <si>
    <t>タイプ【武人】の攻40％UP　/　タイプ【姫】の攻20％UP</t>
    <phoneticPr fontId="1"/>
  </si>
  <si>
    <t>タイプ【武人】の攻20％UP</t>
    <phoneticPr fontId="1"/>
  </si>
  <si>
    <t>11/19 18:00～11/21 23:59</t>
    <phoneticPr fontId="1"/>
  </si>
  <si>
    <t>近畿→全国</t>
    <rPh sb="0" eb="2">
      <t>キンキ</t>
    </rPh>
    <rPh sb="3" eb="5">
      <t>ゼンコク</t>
    </rPh>
    <phoneticPr fontId="1"/>
  </si>
  <si>
    <t>【カジノ】閻魔王</t>
    <phoneticPr fontId="1"/>
  </si>
  <si>
    <t>かじのえんまおう</t>
    <phoneticPr fontId="1"/>
  </si>
  <si>
    <t>イカサマ見抜く浄玻璃鏡</t>
    <phoneticPr fontId="1"/>
  </si>
  <si>
    <t>タイプ偉人・名物・伝承の攻35％UP　/　タイプ【妖怪】の攻20％UP</t>
    <phoneticPr fontId="1"/>
  </si>
  <si>
    <t>【不思議の国の】紫式部</t>
    <phoneticPr fontId="1"/>
  </si>
  <si>
    <t>ふしぎのくにのむらさきしきぶ</t>
    <phoneticPr fontId="1"/>
  </si>
  <si>
    <t>摩訶不思議な無数の蔵書</t>
    <phoneticPr fontId="1"/>
  </si>
  <si>
    <t>タイプ伝承・神秘の攻50％UP　/　タイプ知性派・飲食の攻25％UP</t>
    <phoneticPr fontId="1"/>
  </si>
  <si>
    <t>立見尚文</t>
    <phoneticPr fontId="1"/>
  </si>
  <si>
    <t>たつみなおふみ</t>
    <phoneticPr fontId="1"/>
  </si>
  <si>
    <t>東洋一の不敗の名将</t>
    <phoneticPr fontId="1"/>
  </si>
  <si>
    <t>11/18 11:00～11/18 23:59</t>
    <phoneticPr fontId="1"/>
  </si>
  <si>
    <t>【鯉のぼり】竜宮神</t>
    <rPh sb="1" eb="2">
      <t>コイ</t>
    </rPh>
    <rPh sb="6" eb="8">
      <t>リュウグウ</t>
    </rPh>
    <rPh sb="8" eb="9">
      <t>シン</t>
    </rPh>
    <phoneticPr fontId="2"/>
  </si>
  <si>
    <t>狐狗狸狐</t>
    <rPh sb="0" eb="1">
      <t>キツネ</t>
    </rPh>
    <rPh sb="1" eb="2">
      <t>ク</t>
    </rPh>
    <rPh sb="2" eb="3">
      <t>リ</t>
    </rPh>
    <rPh sb="3" eb="4">
      <t>キツネ</t>
    </rPh>
    <phoneticPr fontId="1"/>
  </si>
  <si>
    <t>【節分】於大の方</t>
    <rPh sb="1" eb="3">
      <t>セツブン</t>
    </rPh>
    <rPh sb="4" eb="5">
      <t>オ</t>
    </rPh>
    <rPh sb="5" eb="6">
      <t>ダイ</t>
    </rPh>
    <rPh sb="7" eb="8">
      <t>カタ</t>
    </rPh>
    <phoneticPr fontId="1"/>
  </si>
  <si>
    <t>【雨の花嫁】妙林尼</t>
    <phoneticPr fontId="1"/>
  </si>
  <si>
    <t>あめのはなよめみょうりんに</t>
    <phoneticPr fontId="1"/>
  </si>
  <si>
    <t>知謀に長けた最強の花嫁</t>
    <rPh sb="0" eb="2">
      <t>チボウ</t>
    </rPh>
    <rPh sb="3" eb="4">
      <t>タ</t>
    </rPh>
    <rPh sb="6" eb="8">
      <t>サイキョウ</t>
    </rPh>
    <rPh sb="9" eb="11">
      <t>ハナヨメ</t>
    </rPh>
    <phoneticPr fontId="1"/>
  </si>
  <si>
    <t>11/18 18:00～11/18 21:59</t>
    <phoneticPr fontId="1"/>
  </si>
  <si>
    <t>南部晴政</t>
  </si>
  <si>
    <t>足利嶋姫</t>
  </si>
  <si>
    <t>旧鼠</t>
  </si>
  <si>
    <t>あんころ餅</t>
  </si>
  <si>
    <t>平賀譲</t>
  </si>
  <si>
    <t>北原白秋</t>
  </si>
  <si>
    <t>勇猛たる北の巨人</t>
    <rPh sb="0" eb="2">
      <t>ユウモウ</t>
    </rPh>
    <rPh sb="4" eb="5">
      <t>キタ</t>
    </rPh>
    <rPh sb="6" eb="8">
      <t>キョジン</t>
    </rPh>
    <phoneticPr fontId="1"/>
  </si>
  <si>
    <t>月と桂の再興物語</t>
    <rPh sb="0" eb="1">
      <t>ツキ</t>
    </rPh>
    <rPh sb="2" eb="3">
      <t>カツラ</t>
    </rPh>
    <rPh sb="4" eb="6">
      <t>サイコウ</t>
    </rPh>
    <rPh sb="6" eb="8">
      <t>モノガタリ</t>
    </rPh>
    <phoneticPr fontId="1"/>
  </si>
  <si>
    <t>歳月を重ねし古の鼠</t>
    <rPh sb="0" eb="2">
      <t>サイゲツ</t>
    </rPh>
    <rPh sb="3" eb="4">
      <t>カサ</t>
    </rPh>
    <rPh sb="6" eb="7">
      <t>イニシエ</t>
    </rPh>
    <rPh sb="8" eb="9">
      <t>ネズミ</t>
    </rPh>
    <phoneticPr fontId="1"/>
  </si>
  <si>
    <t>疲れを癒す甘いひととき</t>
    <rPh sb="0" eb="1">
      <t>ツカ</t>
    </rPh>
    <rPh sb="3" eb="4">
      <t>イヤ</t>
    </rPh>
    <rPh sb="5" eb="6">
      <t>アマ</t>
    </rPh>
    <phoneticPr fontId="1"/>
  </si>
  <si>
    <t>その魂は波のまにまに</t>
    <rPh sb="2" eb="3">
      <t>タマシイ</t>
    </rPh>
    <rPh sb="4" eb="5">
      <t>ナミ</t>
    </rPh>
    <phoneticPr fontId="1"/>
  </si>
  <si>
    <t>言の葉ひらり、あはれなりけり。</t>
    <rPh sb="0" eb="1">
      <t>コト</t>
    </rPh>
    <rPh sb="2" eb="3">
      <t>ハ</t>
    </rPh>
    <phoneticPr fontId="1"/>
  </si>
  <si>
    <t>なんぶはるまさ</t>
    <phoneticPr fontId="1"/>
  </si>
  <si>
    <t>あしかがしまひめ</t>
    <phoneticPr fontId="1"/>
  </si>
  <si>
    <t>きゅうそ</t>
    <phoneticPr fontId="1"/>
  </si>
  <si>
    <t>あんころもち</t>
    <phoneticPr fontId="1"/>
  </si>
  <si>
    <t>ひらがゆずる</t>
    <phoneticPr fontId="1"/>
  </si>
  <si>
    <t>きたはらはくしゅう</t>
    <phoneticPr fontId="1"/>
  </si>
  <si>
    <t>狐狗狸狐</t>
    <phoneticPr fontId="1"/>
  </si>
  <si>
    <t>全てを支配する狐の意思</t>
    <phoneticPr fontId="1"/>
  </si>
  <si>
    <t>タイプ偉人・妖怪・名物の防80％DOWN　/　タイプ知性派・飲食の攻25％UP</t>
    <phoneticPr fontId="1"/>
  </si>
  <si>
    <t>【大航海時代】南総里見八犬伝</t>
    <phoneticPr fontId="1"/>
  </si>
  <si>
    <t>ほとばしる海の村雨丸</t>
    <phoneticPr fontId="1"/>
  </si>
  <si>
    <t>タイプ伝承・武人・姫の防15％UP　/　タイプ妖怪・名物・偉人・知性派の攻25％DOWN</t>
    <phoneticPr fontId="1"/>
  </si>
  <si>
    <t>やみつきの手触り</t>
    <phoneticPr fontId="1"/>
  </si>
  <si>
    <t>タイプ偉人・妖怪・名物の防10％UP　/　タイプ名物・武人・姫・伝承の攻35％DOWN</t>
    <phoneticPr fontId="1"/>
  </si>
  <si>
    <t>11/20 12:00～11/21 11:59</t>
    <phoneticPr fontId="1"/>
  </si>
  <si>
    <t>11/20 18:00～11/22 23:59</t>
    <phoneticPr fontId="1"/>
  </si>
  <si>
    <t>【鬼切衆】宮本武蔵</t>
    <phoneticPr fontId="1"/>
  </si>
  <si>
    <t>おにきりしゅうみやもとむさし</t>
    <phoneticPr fontId="1"/>
  </si>
  <si>
    <t>百戦錬磨の武者修行</t>
    <phoneticPr fontId="1"/>
  </si>
  <si>
    <t>くりすますぱーてぃかんだみょうじん</t>
    <phoneticPr fontId="1"/>
  </si>
  <si>
    <t>聖なる祭りは江戸の華</t>
    <phoneticPr fontId="1"/>
  </si>
  <si>
    <t>タイプ神秘・知性派・飲食の防30％UP　/　タイプ偉人・妖怪・名物の攻80％DOWN</t>
    <phoneticPr fontId="1"/>
  </si>
  <si>
    <t>【妖艶】千草</t>
    <phoneticPr fontId="1"/>
  </si>
  <si>
    <t>ようえんちぐさ</t>
    <phoneticPr fontId="1"/>
  </si>
  <si>
    <t>行灯と愛しい待ち人</t>
    <phoneticPr fontId="1"/>
  </si>
  <si>
    <t>タイプ伝承・武人・飲食の攻40％UP　/　タイプ【姫】の攻35％UP</t>
    <phoneticPr fontId="1"/>
  </si>
  <si>
    <t>幸田延</t>
    <phoneticPr fontId="1"/>
  </si>
  <si>
    <t>こうだのぶ</t>
    <phoneticPr fontId="1"/>
  </si>
  <si>
    <t>日本音楽会の女王</t>
    <phoneticPr fontId="1"/>
  </si>
  <si>
    <t>タイプ神秘・知性派・飲食の攻30％UP　/　タイプ知性派・飲食の防10％DOWN</t>
    <phoneticPr fontId="1"/>
  </si>
  <si>
    <t>11/21 12:00～11/25 11:59</t>
    <phoneticPr fontId="1"/>
  </si>
  <si>
    <t>【カジノ】池田せん</t>
    <phoneticPr fontId="1"/>
  </si>
  <si>
    <t>かじのいけだせん</t>
    <phoneticPr fontId="1"/>
  </si>
  <si>
    <t>豪快カジノプレイ</t>
    <phoneticPr fontId="1"/>
  </si>
  <si>
    <t>犯罪王パーカー・バロウ</t>
    <phoneticPr fontId="1"/>
  </si>
  <si>
    <t>はんざいおうぱーかーばろう</t>
    <phoneticPr fontId="1"/>
  </si>
  <si>
    <t>犯罪王の説く美学</t>
    <phoneticPr fontId="1"/>
  </si>
  <si>
    <t>タイプ【神秘】の攻75％UP　/　タイプ知性派・飲食の攻30％UP</t>
    <phoneticPr fontId="1"/>
  </si>
  <si>
    <t>【白雪姫】小野小町</t>
    <phoneticPr fontId="1"/>
  </si>
  <si>
    <t>しらゆきひめおののこまち</t>
    <phoneticPr fontId="1"/>
  </si>
  <si>
    <t>林檎に咲きし白雪の花</t>
    <phoneticPr fontId="1"/>
  </si>
  <si>
    <t>タイプ妖怪・名物の攻40％UP　/　タイプ【偉人】の攻35％UP</t>
    <phoneticPr fontId="1"/>
  </si>
  <si>
    <t>11/21 18:00～11/22 17:59</t>
    <phoneticPr fontId="1"/>
  </si>
  <si>
    <t>【陰陽道】 安倍晴明</t>
    <phoneticPr fontId="1"/>
  </si>
  <si>
    <t>おんみょうどうあべのせいめい</t>
    <phoneticPr fontId="1"/>
  </si>
  <si>
    <t>不世出の陰陽師</t>
    <phoneticPr fontId="1"/>
  </si>
  <si>
    <t>タイプ名物・妖怪・飲食の防50％UP　/　タイプ【偉人】の防25％UP</t>
    <phoneticPr fontId="1"/>
  </si>
  <si>
    <t>東の撩乱演義</t>
    <phoneticPr fontId="1"/>
  </si>
  <si>
    <t>ひがしのりょうらんえんぎ</t>
    <phoneticPr fontId="1"/>
  </si>
  <si>
    <t>戟ノ閃</t>
    <phoneticPr fontId="1"/>
  </si>
  <si>
    <t>タイプ姫・伝承の防15％UP</t>
    <phoneticPr fontId="1"/>
  </si>
  <si>
    <t>西の撩乱演義</t>
    <phoneticPr fontId="1"/>
  </si>
  <si>
    <t>にしのりょうらんえんぎ</t>
    <phoneticPr fontId="1"/>
  </si>
  <si>
    <t>刀ノ舞</t>
    <phoneticPr fontId="1"/>
  </si>
  <si>
    <t>刀戟撩乱演義</t>
    <phoneticPr fontId="1"/>
  </si>
  <si>
    <t>とうげきりょうらんえんぎ</t>
    <phoneticPr fontId="1"/>
  </si>
  <si>
    <t>百花繚乱</t>
    <phoneticPr fontId="1"/>
  </si>
  <si>
    <t>東の聰明演義</t>
    <phoneticPr fontId="1"/>
  </si>
  <si>
    <t>ひがしのそうめいえんぎ</t>
    <phoneticPr fontId="1"/>
  </si>
  <si>
    <t>歌子と算聖の対話は続く</t>
    <phoneticPr fontId="1"/>
  </si>
  <si>
    <t>タイプ神秘・飲食の攻25％UP　/　タイプ【知性派】の攻10％UP</t>
    <phoneticPr fontId="1"/>
  </si>
  <si>
    <t>西の聰明演義</t>
    <phoneticPr fontId="1"/>
  </si>
  <si>
    <t>にしのそうめいえんぎ</t>
    <phoneticPr fontId="1"/>
  </si>
  <si>
    <t>二人の軍医は人々とともに</t>
    <phoneticPr fontId="1"/>
  </si>
  <si>
    <t>五學聰明演義</t>
    <phoneticPr fontId="1"/>
  </si>
  <si>
    <t>ごがくそうめいえんぎ</t>
    <phoneticPr fontId="1"/>
  </si>
  <si>
    <t>導く者よ英知を磨け</t>
    <phoneticPr fontId="1"/>
  </si>
  <si>
    <t>11/22 12:00～11/25 11:59</t>
    <phoneticPr fontId="1"/>
  </si>
  <si>
    <t>11/22 18:00～11/24 23:59</t>
    <phoneticPr fontId="1"/>
  </si>
  <si>
    <t>【カジノ】とちおとめちゃん</t>
    <phoneticPr fontId="1"/>
  </si>
  <si>
    <t>かじのとちおとめちゃん</t>
    <phoneticPr fontId="1"/>
  </si>
  <si>
    <t>賭場の乙女</t>
    <phoneticPr fontId="1"/>
  </si>
  <si>
    <t>タイプ神秘・知性派の防50％UP　/　タイプ【飲食】の防35％UP</t>
    <phoneticPr fontId="1"/>
  </si>
  <si>
    <t>香川之景</t>
    <phoneticPr fontId="1"/>
  </si>
  <si>
    <t>かがわゆきかげ</t>
    <phoneticPr fontId="1"/>
  </si>
  <si>
    <t>難攻不落の天霧城</t>
    <phoneticPr fontId="1"/>
  </si>
  <si>
    <t>【ロリータ】五郎八姫</t>
    <phoneticPr fontId="1"/>
  </si>
  <si>
    <t>ろりーたいろはひめ</t>
    <phoneticPr fontId="1"/>
  </si>
  <si>
    <t>優雅な休日のいろは</t>
    <phoneticPr fontId="1"/>
  </si>
  <si>
    <t>グレーテル</t>
    <phoneticPr fontId="1"/>
  </si>
  <si>
    <t>ぐれーてる</t>
    <phoneticPr fontId="1"/>
  </si>
  <si>
    <t>お菓子の行進</t>
    <phoneticPr fontId="1"/>
  </si>
  <si>
    <t>タイプ伝承・武人・姫の防30％UP　/　タイプ妖怪・名物・偉人・飲食の攻13％DOWN</t>
    <phoneticPr fontId="1"/>
  </si>
  <si>
    <t>【羅盤】陰陽のジオマンサー</t>
    <phoneticPr fontId="1"/>
  </si>
  <si>
    <t>らばんおんみょうのじおまんさー</t>
    <phoneticPr fontId="1"/>
  </si>
  <si>
    <t>カウダ・ドラコニス</t>
    <phoneticPr fontId="1"/>
  </si>
  <si>
    <t>タイプ神秘・知性派・飲食の防20％UP　/　タイプ神秘・知性派・飲食の攻75％DOWN</t>
    <phoneticPr fontId="1"/>
  </si>
  <si>
    <t>【闘牛】トレロ・カモミロ</t>
    <phoneticPr fontId="1"/>
  </si>
  <si>
    <t>とれろかもみろ</t>
    <phoneticPr fontId="1"/>
  </si>
  <si>
    <t>パソドブレ</t>
    <phoneticPr fontId="1"/>
  </si>
  <si>
    <t>タイプ偉人・妖怪・名物の攻20％UP</t>
    <phoneticPr fontId="1"/>
  </si>
  <si>
    <t>11/23 11:00～11/25 11:59</t>
    <phoneticPr fontId="1"/>
  </si>
  <si>
    <t>原宿ロリータちゃん</t>
    <phoneticPr fontId="1"/>
  </si>
  <si>
    <t>はらじゅくろりいたちゃん</t>
    <phoneticPr fontId="1"/>
  </si>
  <si>
    <t>聖地に集うロリータ少女</t>
    <phoneticPr fontId="1"/>
  </si>
  <si>
    <t>タイプ偉人・妖怪・名物の防35％UP　/　タイプ伝承・武人・姫の攻5％DOWN</t>
    <phoneticPr fontId="1"/>
  </si>
  <si>
    <t>太宰治</t>
    <phoneticPr fontId="1"/>
  </si>
  <si>
    <t>だざいおさむ</t>
    <phoneticPr fontId="1"/>
  </si>
  <si>
    <t>人間失格</t>
    <phoneticPr fontId="1"/>
  </si>
  <si>
    <t>タイプ伝承・神秘の攻50％UP　/　タイプ飲食・知性派・妖怪・偉人の攻30％UP</t>
    <phoneticPr fontId="1"/>
  </si>
  <si>
    <t>雪窓夫人</t>
    <phoneticPr fontId="1"/>
  </si>
  <si>
    <t>せっそうふじん</t>
    <phoneticPr fontId="1"/>
  </si>
  <si>
    <t>島津を支える雪美人</t>
    <phoneticPr fontId="1"/>
  </si>
  <si>
    <t>タイプ【武人】の防90％UP　/　タイプ姫・伝承の防20％UP</t>
    <phoneticPr fontId="1"/>
  </si>
  <si>
    <t>松阪牛</t>
    <phoneticPr fontId="1"/>
  </si>
  <si>
    <t>まつさかうし</t>
    <phoneticPr fontId="1"/>
  </si>
  <si>
    <t>世界に誇る特選牛肉</t>
    <phoneticPr fontId="1"/>
  </si>
  <si>
    <t>タイプ神秘・姫の防50％UP　/　タイプ知性派・飲食の防30％UP</t>
    <phoneticPr fontId="1"/>
  </si>
  <si>
    <t>11/23 18:00～11/25 23:59</t>
    <phoneticPr fontId="1"/>
  </si>
  <si>
    <t>プリンセス・カイウラニ</t>
    <phoneticPr fontId="1"/>
  </si>
  <si>
    <t>ぷりんせす・かいうらに</t>
    <phoneticPr fontId="1"/>
  </si>
  <si>
    <t>南国の熱い風</t>
    <phoneticPr fontId="1"/>
  </si>
  <si>
    <t>タイプ飲食・武人の防50％UP　/　タイプ姫・伝承の防30％UP</t>
    <phoneticPr fontId="1"/>
  </si>
  <si>
    <t>愛宕太郎坊</t>
    <phoneticPr fontId="1"/>
  </si>
  <si>
    <t>あたごたろうぼう</t>
    <phoneticPr fontId="1"/>
  </si>
  <si>
    <t>神道の守護者として</t>
    <phoneticPr fontId="1"/>
  </si>
  <si>
    <t>タイプ偉人・名物の攻35％UP　/　タイプ【妖怪】の攻15％UP</t>
    <phoneticPr fontId="1"/>
  </si>
  <si>
    <t>クローバーハニーちゃん</t>
    <phoneticPr fontId="1"/>
  </si>
  <si>
    <t>くろーばーはにーちゃん</t>
    <phoneticPr fontId="1"/>
  </si>
  <si>
    <t>広い大地からの幸福</t>
    <phoneticPr fontId="1"/>
  </si>
  <si>
    <t>超・不良遊戯ガチャ</t>
    <rPh sb="0" eb="1">
      <t>チョウ</t>
    </rPh>
    <rPh sb="2" eb="6">
      <t>フリョウユウギ</t>
    </rPh>
    <phoneticPr fontId="1"/>
  </si>
  <si>
    <t>11/24 12:00～11/26 23:59</t>
    <phoneticPr fontId="1"/>
  </si>
  <si>
    <t>円城寺ケイト</t>
    <phoneticPr fontId="1"/>
  </si>
  <si>
    <t>えんじょうじけいと</t>
    <phoneticPr fontId="1"/>
  </si>
  <si>
    <t>逮捕遊戯</t>
    <phoneticPr fontId="1"/>
  </si>
  <si>
    <t>タイプ偉人・妖怪・名物の防50％UP</t>
    <phoneticPr fontId="1"/>
  </si>
  <si>
    <t>トニーウェン</t>
    <phoneticPr fontId="1"/>
  </si>
  <si>
    <t>とにーうぇん</t>
    <phoneticPr fontId="1"/>
  </si>
  <si>
    <t>龍頭</t>
    <phoneticPr fontId="1"/>
  </si>
  <si>
    <t>タイプ伝承・武人・姫の防30％UP　/　タイプ武人・妖怪・名物・偉人の攻10％DOWN</t>
    <phoneticPr fontId="1"/>
  </si>
  <si>
    <t>11/25 20:00～11/25 23:59</t>
    <phoneticPr fontId="1"/>
  </si>
  <si>
    <t>北海道いくらちゃん</t>
    <phoneticPr fontId="1"/>
  </si>
  <si>
    <t>ほっかいどういくらちゃん</t>
    <phoneticPr fontId="1"/>
  </si>
  <si>
    <t>虹色に輝く秋の味覚</t>
    <phoneticPr fontId="1"/>
  </si>
  <si>
    <t>タイプ神秘・知性派・飲食の防35％UP　/　所属が【西日本】と、それに属する地方・県、および【全国】の攻30％DOWN</t>
    <phoneticPr fontId="1"/>
  </si>
  <si>
    <t>一本だたら</t>
    <phoneticPr fontId="1"/>
  </si>
  <si>
    <t>いっぽんだたら</t>
    <phoneticPr fontId="1"/>
  </si>
  <si>
    <t>直立する不動の伝説</t>
    <phoneticPr fontId="1"/>
  </si>
  <si>
    <t>タイプ偉人・妖怪・名物の防35％UP　/　所属が【東日本】と、それに属する地方・県、および【全国】の攻30％DOWN</t>
    <phoneticPr fontId="1"/>
  </si>
  <si>
    <t>【名工】小泉八雲</t>
    <phoneticPr fontId="1"/>
  </si>
  <si>
    <t>めいこうこいずみやくも</t>
    <phoneticPr fontId="1"/>
  </si>
  <si>
    <t>海外より伝えたる刀技</t>
    <phoneticPr fontId="1"/>
  </si>
  <si>
    <t>【室内プール】望月千代女</t>
    <phoneticPr fontId="1"/>
  </si>
  <si>
    <t>しつないぷーるもちづきちよめ</t>
    <phoneticPr fontId="1"/>
  </si>
  <si>
    <t>プールサイドくノ一</t>
    <phoneticPr fontId="1"/>
  </si>
  <si>
    <t>タイプ神秘・知性派・飲食の防40％UP　/　タイプ神秘・知性派・飲食の攻10％DOWN</t>
    <phoneticPr fontId="1"/>
  </si>
  <si>
    <t>(DX)11/25 12:00～11/30 11:59</t>
    <phoneticPr fontId="1"/>
  </si>
  <si>
    <t>【湯けむり】巴御前</t>
    <phoneticPr fontId="1"/>
  </si>
  <si>
    <t>ゆけむりともえごぜん</t>
    <phoneticPr fontId="1"/>
  </si>
  <si>
    <t>宮城</t>
    <rPh sb="0" eb="2">
      <t>ミヤギ</t>
    </rPh>
    <phoneticPr fontId="1"/>
  </si>
  <si>
    <t>紅く染まる一騎当千女武将</t>
    <phoneticPr fontId="1"/>
  </si>
  <si>
    <t>タイプ伝承・武人・姫の防55％UP　/　タイプ偉人・妖怪・名物の攻15％DOWN</t>
    <phoneticPr fontId="1"/>
  </si>
  <si>
    <t>【みやこのタワー】鈴彦姫</t>
    <phoneticPr fontId="1"/>
  </si>
  <si>
    <t>みやこのたわーすずひこひめ</t>
    <phoneticPr fontId="1"/>
  </si>
  <si>
    <t>付喪神の東京観光</t>
    <phoneticPr fontId="1"/>
  </si>
  <si>
    <t>タイプ武人・伝承の攻90％DOWN　/　タイプ偉人・妖怪・名物の防15％UP</t>
    <phoneticPr fontId="1"/>
  </si>
  <si>
    <t>[新生]通天閣</t>
    <phoneticPr fontId="1"/>
  </si>
  <si>
    <t>しんせいつうてんかく</t>
    <phoneticPr fontId="1"/>
  </si>
  <si>
    <t>天へと通じる幸運塔</t>
    <phoneticPr fontId="1"/>
  </si>
  <si>
    <t>タイプ偉人・妖怪の攻30％UP　/　タイプ【名物】の攻10％UP</t>
    <phoneticPr fontId="1"/>
  </si>
  <si>
    <t>[新生]琴弾岩</t>
    <phoneticPr fontId="1"/>
  </si>
  <si>
    <t>しんせいことひきいわ</t>
    <phoneticPr fontId="1"/>
  </si>
  <si>
    <t>月夜に響く琵琶</t>
    <phoneticPr fontId="1"/>
  </si>
  <si>
    <t>タイプ武人・姫の防20％UP</t>
    <phoneticPr fontId="1"/>
  </si>
  <si>
    <t>[新生]仙台駄菓子ちゃん</t>
    <phoneticPr fontId="1"/>
  </si>
  <si>
    <t>しんせいせんだいだがしちゃん</t>
    <phoneticPr fontId="1"/>
  </si>
  <si>
    <t>多彩なる隠れた銘菓</t>
    <phoneticPr fontId="1"/>
  </si>
  <si>
    <t>タイプ【知性派】の攻20％UP</t>
    <phoneticPr fontId="1"/>
  </si>
  <si>
    <t>11/26 12:00～11/27 11:59</t>
    <phoneticPr fontId="1"/>
  </si>
  <si>
    <t>丹生比売大神</t>
    <rPh sb="0" eb="1">
      <t>タン</t>
    </rPh>
    <rPh sb="1" eb="2">
      <t>ナマ</t>
    </rPh>
    <rPh sb="2" eb="3">
      <t>ヒ</t>
    </rPh>
    <rPh sb="3" eb="4">
      <t>ウリ</t>
    </rPh>
    <rPh sb="4" eb="6">
      <t>オオカミ</t>
    </rPh>
    <phoneticPr fontId="1"/>
  </si>
  <si>
    <t>にうつひめのおおかみ</t>
    <phoneticPr fontId="1"/>
  </si>
  <si>
    <t>授けたる朱色の託宣</t>
    <rPh sb="0" eb="1">
      <t>サズ</t>
    </rPh>
    <rPh sb="4" eb="6">
      <t>シュイロ</t>
    </rPh>
    <rPh sb="7" eb="9">
      <t>タクセン</t>
    </rPh>
    <phoneticPr fontId="1"/>
  </si>
  <si>
    <t>【温泉パニック】コウテイペンギンちゃん</t>
    <rPh sb="1" eb="3">
      <t>オンセン</t>
    </rPh>
    <phoneticPr fontId="1"/>
  </si>
  <si>
    <t>おんせんぱにっくこうていぺんぎんちゃん</t>
    <phoneticPr fontId="1"/>
  </si>
  <si>
    <t>皇帝への反逆</t>
    <rPh sb="0" eb="2">
      <t>コウテイ</t>
    </rPh>
    <rPh sb="4" eb="6">
      <t>ハンギャク</t>
    </rPh>
    <phoneticPr fontId="1"/>
  </si>
  <si>
    <t>【節分パニック】三村鶴</t>
    <rPh sb="1" eb="3">
      <t>セツブン</t>
    </rPh>
    <rPh sb="8" eb="10">
      <t>ミムラ</t>
    </rPh>
    <rPh sb="10" eb="11">
      <t>ツル</t>
    </rPh>
    <phoneticPr fontId="1"/>
  </si>
  <si>
    <t>せつぶんぱにっくみむらつる</t>
    <phoneticPr fontId="1"/>
  </si>
  <si>
    <t>金棒振るう鬼女の舞</t>
    <rPh sb="0" eb="2">
      <t>カナボウ</t>
    </rPh>
    <rPh sb="2" eb="3">
      <t>フ</t>
    </rPh>
    <rPh sb="5" eb="6">
      <t>オニ</t>
    </rPh>
    <rPh sb="6" eb="7">
      <t>オンナ</t>
    </rPh>
    <rPh sb="8" eb="9">
      <t>マイ</t>
    </rPh>
    <phoneticPr fontId="1"/>
  </si>
  <si>
    <t>11/26 18:00～11/26 21:59</t>
    <phoneticPr fontId="1"/>
  </si>
  <si>
    <t>天下統一戦 付喪神の東京観光ガチャ</t>
    <rPh sb="0" eb="2">
      <t>テンカ</t>
    </rPh>
    <rPh sb="2" eb="4">
      <t>トウイツ</t>
    </rPh>
    <rPh sb="4" eb="5">
      <t>セン</t>
    </rPh>
    <phoneticPr fontId="1"/>
  </si>
  <si>
    <t>11/27 11:00～11/27 23:59</t>
    <phoneticPr fontId="1"/>
  </si>
  <si>
    <t>【獣水着】黒百合伝説</t>
    <phoneticPr fontId="1"/>
  </si>
  <si>
    <t>けものみずぎくろゆりでんせつ</t>
    <phoneticPr fontId="1"/>
  </si>
  <si>
    <t>百合狐の誘惑</t>
    <phoneticPr fontId="1"/>
  </si>
  <si>
    <t>タイプ姫・武人・知性派の攻50％UP　/　タイプ【伝承】の攻25％UP</t>
    <phoneticPr fontId="1"/>
  </si>
  <si>
    <t>【聖獣】真神</t>
    <phoneticPr fontId="1"/>
  </si>
  <si>
    <t>せいじゅうまかみ</t>
    <phoneticPr fontId="1"/>
  </si>
  <si>
    <t>神と狼が出会う時</t>
    <phoneticPr fontId="1"/>
  </si>
  <si>
    <t>タイプ飲食・知性派・武人の攻40％UP　/　タイプ【神秘】の攻20％UP</t>
    <phoneticPr fontId="1"/>
  </si>
  <si>
    <t>11/27 12:00～11/29 23:59</t>
    <phoneticPr fontId="1"/>
  </si>
  <si>
    <t>【湯けむり】泡盛ちゃん</t>
    <phoneticPr fontId="1"/>
  </si>
  <si>
    <t>ゆけむりあわもりちゃん</t>
    <phoneticPr fontId="1"/>
  </si>
  <si>
    <t>島の恵みに飲み過ぎ注意</t>
    <phoneticPr fontId="1"/>
  </si>
  <si>
    <t>タイプ神秘・知性派の攻50％UP　/　タイプ【飲食】の攻40％UP</t>
    <phoneticPr fontId="1"/>
  </si>
  <si>
    <t>柳生利厳</t>
    <phoneticPr fontId="1"/>
  </si>
  <si>
    <t>やぎゅうとしよし</t>
    <phoneticPr fontId="1"/>
  </si>
  <si>
    <t>剣豪の意志継ぐ新陰流剣士</t>
    <phoneticPr fontId="1"/>
  </si>
  <si>
    <t>タイプ姫・伝承の攻30％UP　/　タイプ【武人】の攻45％UP</t>
    <phoneticPr fontId="1"/>
  </si>
  <si>
    <t>狢</t>
    <phoneticPr fontId="1"/>
  </si>
  <si>
    <t>むじな</t>
    <phoneticPr fontId="1"/>
  </si>
  <si>
    <t>同じ穴に入らずんば</t>
    <phoneticPr fontId="1"/>
  </si>
  <si>
    <t>タイプ偉人・妖怪・名物の攻35％UP　/　所属が【東日本】と、それに属する地方・県、および【全国】の攻15％UP</t>
    <phoneticPr fontId="1"/>
  </si>
  <si>
    <t>玉依御前</t>
    <phoneticPr fontId="1"/>
  </si>
  <si>
    <t>たまよりごぜん</t>
    <phoneticPr fontId="1"/>
  </si>
  <si>
    <t>数珠で繋がりし親子の絆</t>
    <phoneticPr fontId="1"/>
  </si>
  <si>
    <t>タイプ妖怪・名物の防55％UP　/　タイプ【偉人】の防25％UP</t>
    <phoneticPr fontId="1"/>
  </si>
  <si>
    <t>【甘い夢】茶々</t>
    <phoneticPr fontId="1"/>
  </si>
  <si>
    <t>あまいゆめちゃちゃ</t>
    <phoneticPr fontId="1"/>
  </si>
  <si>
    <t>乱世の美しき華</t>
    <phoneticPr fontId="1"/>
  </si>
  <si>
    <t>黒八大明神と狼</t>
    <phoneticPr fontId="1"/>
  </si>
  <si>
    <t>くろはちだいみょうじんとおおかみ</t>
    <phoneticPr fontId="1"/>
  </si>
  <si>
    <t>命のおむすび</t>
    <phoneticPr fontId="1"/>
  </si>
  <si>
    <t>乱世傑士ガチャ</t>
    <rPh sb="0" eb="2">
      <t>ランセ</t>
    </rPh>
    <rPh sb="2" eb="3">
      <t>ケツ</t>
    </rPh>
    <rPh sb="3" eb="4">
      <t>シ</t>
    </rPh>
    <phoneticPr fontId="1"/>
  </si>
  <si>
    <t>11/28 20:00～11/28 23:59</t>
    <phoneticPr fontId="1"/>
  </si>
  <si>
    <t>11/28 12:00～11/30 23:59</t>
    <phoneticPr fontId="1"/>
  </si>
  <si>
    <t>戦国三英傑</t>
    <phoneticPr fontId="1"/>
  </si>
  <si>
    <t>せんごくさんえいけつ</t>
    <phoneticPr fontId="1"/>
  </si>
  <si>
    <t>天下無敵の三英傑-序-</t>
    <phoneticPr fontId="1"/>
  </si>
  <si>
    <t>タイプ伝承・武人・姫の攻25％UP　/　タイプ【武人】の防60％DOWN</t>
    <phoneticPr fontId="1"/>
  </si>
  <si>
    <t>月下翁</t>
    <phoneticPr fontId="1"/>
  </si>
  <si>
    <t>げっかおう</t>
    <phoneticPr fontId="1"/>
  </si>
  <si>
    <t>月下に操る運命の糸</t>
    <phoneticPr fontId="1"/>
  </si>
  <si>
    <t>つきみざけいずものおくに</t>
    <phoneticPr fontId="1"/>
  </si>
  <si>
    <t>豪華玉手箱ガチャ</t>
    <rPh sb="0" eb="5">
      <t>ゴウカタマテバコ</t>
    </rPh>
    <phoneticPr fontId="1"/>
  </si>
  <si>
    <t>【元旦】福姫</t>
    <phoneticPr fontId="1"/>
  </si>
  <si>
    <t>がんたんふくひめ</t>
    <phoneticPr fontId="1"/>
  </si>
  <si>
    <t>縁に感謝する初詣</t>
    <phoneticPr fontId="1"/>
  </si>
  <si>
    <t>華厳滝</t>
    <phoneticPr fontId="1"/>
  </si>
  <si>
    <t>けごんのたき</t>
    <phoneticPr fontId="1"/>
  </si>
  <si>
    <t>自然が造りし超名瀑の飛沫</t>
    <phoneticPr fontId="1"/>
  </si>
  <si>
    <t>タイプ偉人・妖怪・名物の攻10％UP　/　タイプ妖怪・名物・偉人・姫の防35％DOWN</t>
    <phoneticPr fontId="1"/>
  </si>
  <si>
    <t>【獣水着】高千穂峰</t>
    <phoneticPr fontId="1"/>
  </si>
  <si>
    <t>けものみずぎたかちほのみね</t>
    <phoneticPr fontId="1"/>
  </si>
  <si>
    <t>天上に輝く水着</t>
    <phoneticPr fontId="1"/>
  </si>
  <si>
    <t>タイプ神秘・知性派・飲食の防25％UP　/　タイプ神秘・知性派・飲食の攻50％DOWN</t>
    <phoneticPr fontId="1"/>
  </si>
  <si>
    <t>11/29 11:00～11/29 23:59</t>
    <phoneticPr fontId="1"/>
  </si>
  <si>
    <t>11/29 12:00～11/30 23:59</t>
    <phoneticPr fontId="1"/>
  </si>
  <si>
    <t>【浴衣】徳川慶喜</t>
    <phoneticPr fontId="1"/>
  </si>
  <si>
    <t>ゆかたとくがわよしのぶ</t>
    <phoneticPr fontId="1"/>
  </si>
  <si>
    <t>水ヨーヨーは勝利の証</t>
    <phoneticPr fontId="1"/>
  </si>
  <si>
    <t>タイプ妖怪・名物の防65％UP　/　タイプ【偉人】の防35％UP</t>
    <phoneticPr fontId="1"/>
  </si>
  <si>
    <t>【ハロウィン】小野小町</t>
    <phoneticPr fontId="1"/>
  </si>
  <si>
    <t>はろうぃんおののこまち</t>
    <phoneticPr fontId="1"/>
  </si>
  <si>
    <t>赤き血の収穫歌</t>
    <phoneticPr fontId="1"/>
  </si>
  <si>
    <t>タイプ名物・妖怪・姫の攻50％UP　/　タイプ【偉人】の攻25％UP</t>
    <phoneticPr fontId="1"/>
  </si>
  <si>
    <t>二代目市川團十郎</t>
    <phoneticPr fontId="1"/>
  </si>
  <si>
    <t>にだいめいちかわだんじゅうろう</t>
    <phoneticPr fontId="1"/>
  </si>
  <si>
    <t>舞台で魅せる、不動の申し子</t>
    <phoneticPr fontId="1"/>
  </si>
  <si>
    <t>タイプ神秘・知性派・飲食の攻40％UP　/　タイプ神秘・知性派・飲食の防10％DOWN</t>
    <phoneticPr fontId="1"/>
  </si>
  <si>
    <t>真暗葬礼</t>
    <phoneticPr fontId="1"/>
  </si>
  <si>
    <t>まっくらぞうれ</t>
    <phoneticPr fontId="1"/>
  </si>
  <si>
    <t>暗闇の奇妙な葬礼</t>
    <phoneticPr fontId="1"/>
  </si>
  <si>
    <t>タイプ偉人・妖怪・名物の防40％UP　/　タイプ伝承・武人・姫の攻10％DOWN</t>
    <phoneticPr fontId="1"/>
  </si>
  <si>
    <t>乃美大方</t>
    <phoneticPr fontId="1"/>
  </si>
  <si>
    <t>のみのおおかた</t>
    <phoneticPr fontId="1"/>
  </si>
  <si>
    <t>武将の母</t>
    <phoneticPr fontId="1"/>
  </si>
  <si>
    <t>11/30 12:00～11/30 23:59</t>
    <phoneticPr fontId="1"/>
  </si>
  <si>
    <t>天狗火</t>
    <phoneticPr fontId="1"/>
  </si>
  <si>
    <t>てんぐび</t>
    <phoneticPr fontId="1"/>
  </si>
  <si>
    <t>暗闇を照らす天狗の炎</t>
    <phoneticPr fontId="1"/>
  </si>
  <si>
    <t>タイプ偉人・名物の防70％UP　/　タイプ【妖怪】の防40％UP</t>
    <phoneticPr fontId="1"/>
  </si>
  <si>
    <t>タイプ偉人・名物の防35％UP　/　タイプ【妖怪】の防20％UP</t>
    <phoneticPr fontId="1"/>
  </si>
  <si>
    <t>タイプ偉人・名物の防15％UP　/　タイプ【妖怪】の防5％UP</t>
    <phoneticPr fontId="1"/>
  </si>
  <si>
    <t>蜜柑はちみつちゃん</t>
    <phoneticPr fontId="1"/>
  </si>
  <si>
    <t>みかんはちみつちゃん</t>
    <phoneticPr fontId="1"/>
  </si>
  <si>
    <t>黄金に輝く爽やかな雫</t>
    <phoneticPr fontId="1"/>
  </si>
  <si>
    <t>タイプ神秘・知性派の防45％UP　/　タイプ【飲食】の防20％UP</t>
    <phoneticPr fontId="1"/>
  </si>
  <si>
    <t>タイプ神秘・知性派の防15％UP　/　タイプ【飲食】の防10％UP</t>
    <phoneticPr fontId="1"/>
  </si>
  <si>
    <t>万里小路局</t>
    <phoneticPr fontId="1"/>
  </si>
  <si>
    <t>までのこうじのつぼね</t>
    <phoneticPr fontId="1"/>
  </si>
  <si>
    <t>筆頭に名を残せし大奥の花</t>
    <phoneticPr fontId="1"/>
  </si>
  <si>
    <t>タイプ【武人】の防60％UP　/　タイプ姫・伝承の防20％UP</t>
    <phoneticPr fontId="1"/>
  </si>
  <si>
    <t>タイプ【武人】の防45％UP　/　タイプ【姫】の防15％UP</t>
    <phoneticPr fontId="1"/>
  </si>
  <si>
    <t>(DX)12/1 0:00～12/4 11:59</t>
    <phoneticPr fontId="1"/>
  </si>
  <si>
    <t>【Xmas大作戦】滝夜叉姫</t>
    <phoneticPr fontId="1"/>
  </si>
  <si>
    <t>くりすますだいさくせんたきやしゃひめ</t>
    <phoneticPr fontId="1"/>
  </si>
  <si>
    <t>聖夜に贈る妖術師</t>
    <phoneticPr fontId="1"/>
  </si>
  <si>
    <t>タイプ伝承・武人・姫の攻35％UP　/　タイプ知性派・飲食・神秘・妖怪・名物・偉人の防15％DOWN</t>
    <phoneticPr fontId="1"/>
  </si>
  <si>
    <t>【Xmas大作戦】どんぐりころころ</t>
    <phoneticPr fontId="1"/>
  </si>
  <si>
    <t>くりすますだいさくせんどんぐりころころ</t>
    <phoneticPr fontId="1"/>
  </si>
  <si>
    <t>転がるどんぐり</t>
    <phoneticPr fontId="1"/>
  </si>
  <si>
    <t>タイプ伝承・武人・姫の攻30％UP　/　タイプ神秘・飲食・知性派・妖怪の防13％DOWN</t>
    <phoneticPr fontId="1"/>
  </si>
  <si>
    <t>【Xmas大作戦】ジャイアントタスマニアンクラブ</t>
    <phoneticPr fontId="1"/>
  </si>
  <si>
    <t>くりすますだいさくせんじゃいあんとたすまにあんくらぶ</t>
    <phoneticPr fontId="1"/>
  </si>
  <si>
    <t>ふぉーりんぐ☆ぎふと</t>
    <phoneticPr fontId="1"/>
  </si>
  <si>
    <t>タイプ偉人・妖怪・名物の防35％UP　/　タイプ伝承・武人・姫の攻10％DOWN</t>
    <phoneticPr fontId="1"/>
  </si>
  <si>
    <t>所属一致ボーナス140％UP</t>
    <phoneticPr fontId="1"/>
  </si>
  <si>
    <t>メインデッキの自地方隊士の所属一致ボーナスを140％UP（全国・東西日本所属は除く）</t>
    <phoneticPr fontId="1"/>
  </si>
  <si>
    <t>【Xmas大作戦】百十踏揚</t>
    <phoneticPr fontId="1"/>
  </si>
  <si>
    <t>くりすますだいさくせんももとふみあがり</t>
    <phoneticPr fontId="1"/>
  </si>
  <si>
    <t>聖夜の宅配屋さん</t>
    <phoneticPr fontId="1"/>
  </si>
  <si>
    <t>[新生]森有礼</t>
    <phoneticPr fontId="1"/>
  </si>
  <si>
    <t>しんせいもりありのり</t>
    <phoneticPr fontId="1"/>
  </si>
  <si>
    <t>世界標準日本語化計画</t>
    <phoneticPr fontId="1"/>
  </si>
  <si>
    <t>タイプ妖怪・名物の防35％UP　/　タイプ【偉人】の防20％UP</t>
    <phoneticPr fontId="1"/>
  </si>
  <si>
    <t>[新生]【水着X’mas】シッケンケン</t>
    <phoneticPr fontId="1"/>
  </si>
  <si>
    <t>しんせいみずぎくりすますしっけんけん</t>
    <phoneticPr fontId="1"/>
  </si>
  <si>
    <t>アメと鞭とのプレゼント</t>
    <phoneticPr fontId="1"/>
  </si>
  <si>
    <t>タイプ偉人・名物の攻35％UP　/　タイプ【妖怪】の攻20％UP</t>
    <phoneticPr fontId="1"/>
  </si>
  <si>
    <t>[新生]モンブランちゃん</t>
    <phoneticPr fontId="1"/>
  </si>
  <si>
    <t>しんせいもんぶらんちゃん</t>
    <phoneticPr fontId="1"/>
  </si>
  <si>
    <t>白き山に描かれし栗色</t>
    <phoneticPr fontId="1"/>
  </si>
  <si>
    <t>タイプ神秘・知性派の防35％UP　/　タイプ【飲食】の防20％UP</t>
    <phoneticPr fontId="1"/>
  </si>
  <si>
    <t>[新生]【アイヌサンタ】イワコシンプ</t>
    <phoneticPr fontId="1"/>
  </si>
  <si>
    <t>しんせいあいぬさんたいわこしんぷ</t>
    <phoneticPr fontId="1"/>
  </si>
  <si>
    <t>とことこアイヌサンタさん</t>
    <phoneticPr fontId="1"/>
  </si>
  <si>
    <t>タイプ知性派・飲食の防25％UP</t>
    <phoneticPr fontId="1"/>
  </si>
  <si>
    <t>[新生]クリスマスソックスちゃん</t>
    <phoneticPr fontId="1"/>
  </si>
  <si>
    <t>しんせいくりすますそっくすちゃん</t>
    <phoneticPr fontId="1"/>
  </si>
  <si>
    <t>靴下への想いと贈答</t>
    <phoneticPr fontId="1"/>
  </si>
  <si>
    <t>タイプ偉人・妖怪の攻25％UP</t>
    <phoneticPr fontId="1"/>
  </si>
  <si>
    <t>山口</t>
    <rPh sb="0" eb="2">
      <t>ヤマグチ</t>
    </rPh>
    <phoneticPr fontId="1"/>
  </si>
  <si>
    <t>[新生]ニホンカワウソ</t>
    <phoneticPr fontId="1"/>
  </si>
  <si>
    <t>しんせいにほんかわうそ</t>
    <phoneticPr fontId="1"/>
  </si>
  <si>
    <t>保温の二層毛皮</t>
    <phoneticPr fontId="1"/>
  </si>
  <si>
    <t>[新生]いとこ煮ちゃん</t>
    <phoneticPr fontId="1"/>
  </si>
  <si>
    <t>しんせいいとこにちゃん</t>
    <phoneticPr fontId="1"/>
  </si>
  <si>
    <t>おいおいの精進</t>
    <phoneticPr fontId="1"/>
  </si>
  <si>
    <t>12/2 12:00～12/3 23:59</t>
    <phoneticPr fontId="1"/>
  </si>
  <si>
    <t>【料理バトル】ウカノミタマノカミ</t>
    <phoneticPr fontId="1"/>
  </si>
  <si>
    <t>りょうりばとるうかのみたまのかみ</t>
    <phoneticPr fontId="1"/>
  </si>
  <si>
    <t>全国的カリスマ料理神</t>
    <phoneticPr fontId="1"/>
  </si>
  <si>
    <t>タイプ神秘・知性派・飲食の防35％UP　/　タイプ伝承・武人・姫の攻15％DOWN</t>
    <phoneticPr fontId="1"/>
  </si>
  <si>
    <t>タイプ神秘・知性派・飲食の防20％UP　/　タイプ伝承・武人・姫の攻12％DOWN</t>
    <phoneticPr fontId="1"/>
  </si>
  <si>
    <t>タイプ神秘・知性派・飲食の防12％UP　/　タイプ伝承・武人・姫の攻10％DOWN</t>
    <phoneticPr fontId="1"/>
  </si>
  <si>
    <t>12/2 18:00～12/4 23:59</t>
    <phoneticPr fontId="1"/>
  </si>
  <si>
    <t>【聖】成宮 希来里</t>
    <phoneticPr fontId="1"/>
  </si>
  <si>
    <t>せいなりみや きらり</t>
    <phoneticPr fontId="1"/>
  </si>
  <si>
    <t>メリクリ乙女♪</t>
    <phoneticPr fontId="1"/>
  </si>
  <si>
    <t>タイプ偉人・妖怪・名物の攻35％UP　/　タイプ神秘・知性派・飲食の防10％DOWN</t>
    <phoneticPr fontId="1"/>
  </si>
  <si>
    <t>【聖】サマンサ バローズ</t>
    <phoneticPr fontId="1"/>
  </si>
  <si>
    <t>せいさまんさばろーず</t>
    <phoneticPr fontId="1"/>
  </si>
  <si>
    <t>シャイターンバイブス</t>
    <phoneticPr fontId="1"/>
  </si>
  <si>
    <t>【聖】ブリジット ローガン</t>
    <phoneticPr fontId="1"/>
  </si>
  <si>
    <t>せいぶりじっとろーがん</t>
    <phoneticPr fontId="1"/>
  </si>
  <si>
    <t>ハッピースマイルイヴ</t>
    <phoneticPr fontId="1"/>
  </si>
  <si>
    <t>【迎春】玉城盛重</t>
    <phoneticPr fontId="1"/>
  </si>
  <si>
    <t>げいしゅんたまぐすくせいじゅう</t>
    <phoneticPr fontId="1"/>
  </si>
  <si>
    <t>伝統を重んじる勝負</t>
    <phoneticPr fontId="1"/>
  </si>
  <si>
    <t>タイプ神秘・飲食の攻35％UP　/　タイプ伝承・武人・姫の攻12％UP</t>
    <phoneticPr fontId="1"/>
  </si>
  <si>
    <t>【節分パニック】レプンカムイ</t>
    <phoneticPr fontId="1"/>
  </si>
  <si>
    <t>せつぶんぱにっくれぷんかむい</t>
    <phoneticPr fontId="1"/>
  </si>
  <si>
    <t>糧をもたらす鬼</t>
    <phoneticPr fontId="1"/>
  </si>
  <si>
    <t>タイプ知性派・飲食の攻35％UP　/　タイプ偉人・妖怪の攻20％UP</t>
    <phoneticPr fontId="1"/>
  </si>
  <si>
    <t>【鬼切衆】濡髪童子</t>
    <phoneticPr fontId="1"/>
  </si>
  <si>
    <t>おにきりしゅうぬれがみどうじ</t>
    <phoneticPr fontId="1"/>
  </si>
  <si>
    <t>水も滴る美白狐の誓い</t>
    <phoneticPr fontId="1"/>
  </si>
  <si>
    <t>タイプ偉人・名物の攻35％UP　/　タイプ知性派・飲食の攻20％UP</t>
    <phoneticPr fontId="1"/>
  </si>
  <si>
    <t>12/3 11:00～12/5 23:59</t>
    <phoneticPr fontId="1"/>
  </si>
  <si>
    <t>赤ずきん</t>
    <phoneticPr fontId="1"/>
  </si>
  <si>
    <t>あかずきん</t>
    <phoneticPr fontId="1"/>
  </si>
  <si>
    <t>あなたは、だあれ？</t>
    <phoneticPr fontId="1"/>
  </si>
  <si>
    <t>タイプ伝承・武人・姫の防30％UP　/　タイプ神秘・知性派・飲食・武人の攻13％DOWN</t>
    <phoneticPr fontId="1"/>
  </si>
  <si>
    <t>12/3 18:00～12/3 21:59</t>
    <phoneticPr fontId="1"/>
  </si>
  <si>
    <t>防衛戦 酔っぱらい女神の暴れ酒ガチャ</t>
    <rPh sb="0" eb="3">
      <t>ボウエイセン</t>
    </rPh>
    <phoneticPr fontId="1"/>
  </si>
  <si>
    <t>栃木</t>
    <rPh sb="0" eb="2">
      <t>トチギ</t>
    </rPh>
    <phoneticPr fontId="1"/>
  </si>
  <si>
    <t>【暴年会】妙音弁財天</t>
    <phoneticPr fontId="1"/>
  </si>
  <si>
    <t>ぼうねんかいみょうおんべんざいてん</t>
    <phoneticPr fontId="1"/>
  </si>
  <si>
    <t>芸能神の暴年会</t>
    <phoneticPr fontId="1"/>
  </si>
  <si>
    <t>タイプ神秘・知性派・飲食の防80％DOWN　/　タイプ知性派・飲食の攻25％UP</t>
    <phoneticPr fontId="1"/>
  </si>
  <si>
    <t>[新生]【水着X’mas】祐子内親王</t>
    <phoneticPr fontId="1"/>
  </si>
  <si>
    <t>しんせいみずぎくりすますゆうしないしんのう</t>
    <phoneticPr fontId="1"/>
  </si>
  <si>
    <t>風流人と氷の彫刻</t>
    <phoneticPr fontId="1"/>
  </si>
  <si>
    <t>[新生]杉大方</t>
    <phoneticPr fontId="1"/>
  </si>
  <si>
    <t>しんせいすぎのおおかた</t>
    <phoneticPr fontId="1"/>
  </si>
  <si>
    <t>胸に秘めた信仰心</t>
    <phoneticPr fontId="1"/>
  </si>
  <si>
    <t>[新生]【聖夜】フラワー園ちゃん</t>
    <phoneticPr fontId="1"/>
  </si>
  <si>
    <t>しんせいせいやふらわーえんちゃん</t>
    <phoneticPr fontId="1"/>
  </si>
  <si>
    <t>光と花の芸術庭園</t>
    <phoneticPr fontId="1"/>
  </si>
  <si>
    <t>タイプ【偉人】の防20％UP</t>
    <phoneticPr fontId="1"/>
  </si>
  <si>
    <t>12/4 18:00～12/6 23:59</t>
    <phoneticPr fontId="1"/>
  </si>
  <si>
    <t>アムドゥスキアス</t>
    <phoneticPr fontId="1"/>
  </si>
  <si>
    <t>あむどぅすきあす</t>
    <phoneticPr fontId="1"/>
  </si>
  <si>
    <t>悪魔が奏でる魅惑の音色</t>
    <phoneticPr fontId="1"/>
  </si>
  <si>
    <t>タイプ偉人・妖怪の攻20％UP　/　タイプ【名物】の攻15％UP</t>
    <phoneticPr fontId="1"/>
  </si>
  <si>
    <t>十河存保</t>
    <phoneticPr fontId="1"/>
  </si>
  <si>
    <t>そごうまさやす</t>
    <phoneticPr fontId="1"/>
  </si>
  <si>
    <t>十河家最後の当主</t>
    <phoneticPr fontId="1"/>
  </si>
  <si>
    <t>タイプ姫・伝承の攻30％UP　/　タイプ偉人・妖怪・名物の防12％DOWN</t>
    <phoneticPr fontId="1"/>
  </si>
  <si>
    <t>【探検隊】荻野吟子</t>
    <phoneticPr fontId="1"/>
  </si>
  <si>
    <t>たんけんたいおぎのぎんこ</t>
    <phoneticPr fontId="1"/>
  </si>
  <si>
    <t>医学と冒険心</t>
    <phoneticPr fontId="1"/>
  </si>
  <si>
    <t>タイプ伝承・神秘の攻50％UP　/　タイプ知性派・飲食の攻30％UP</t>
    <phoneticPr fontId="1"/>
  </si>
  <si>
    <t>12/5 18:00～12/5 23:59</t>
    <phoneticPr fontId="1"/>
  </si>
  <si>
    <t>入内雀</t>
    <phoneticPr fontId="1"/>
  </si>
  <si>
    <t>にゅうないすずめ</t>
    <phoneticPr fontId="1"/>
  </si>
  <si>
    <t>タイプ伝承・武人・姫の攻80％DOWN　/　タイプ偉人・名物の防50％UP</t>
    <phoneticPr fontId="1"/>
  </si>
  <si>
    <t>雀と化した京への思慕</t>
    <phoneticPr fontId="1"/>
  </si>
  <si>
    <t>タイプ伝承・武人・姫の攻30％DOWN　/　タイプ偉人・名物の防35％UP</t>
    <phoneticPr fontId="1"/>
  </si>
  <si>
    <t>タイプ武人・姫の攻15％DOWN　/　タイプ偉人・名物の防20％UP</t>
    <phoneticPr fontId="1"/>
  </si>
  <si>
    <t>容光院</t>
    <phoneticPr fontId="1"/>
  </si>
  <si>
    <t>ようこういん</t>
    <phoneticPr fontId="1"/>
  </si>
  <si>
    <t>確かに掴んだ幸光とともに</t>
    <phoneticPr fontId="1"/>
  </si>
  <si>
    <t>タイプ【武人】の攻65％UP　/　タイプ姫・伝承の攻35％UP</t>
    <phoneticPr fontId="1"/>
  </si>
  <si>
    <t>タイプ【武人】の攻50％UP　/　タイプ姫・伝承の攻25％UP</t>
    <phoneticPr fontId="1"/>
  </si>
  <si>
    <t>曲亭馬琴</t>
    <phoneticPr fontId="1"/>
  </si>
  <si>
    <t>きょくていばきん</t>
    <phoneticPr fontId="1"/>
  </si>
  <si>
    <t>第一人者の選びし言の葉</t>
    <phoneticPr fontId="1"/>
  </si>
  <si>
    <t>タイプ神秘・知性派・飲食の攻30％UP　/　タイプ神秘・知性派の防10％DOWN</t>
    <phoneticPr fontId="1"/>
  </si>
  <si>
    <t>タイプ神秘・飲食の攻15％UP　/　タイプ【知性派】の防10％DOWN</t>
    <phoneticPr fontId="1"/>
  </si>
  <si>
    <t>12/5 11:00～12/5 23:59</t>
    <phoneticPr fontId="1"/>
  </si>
  <si>
    <t>【ややこ踊り】出雲阿国</t>
    <phoneticPr fontId="1"/>
  </si>
  <si>
    <t>阿国の常識破り</t>
    <phoneticPr fontId="1"/>
  </si>
  <si>
    <t>12/6 20:00～12/6 23:59</t>
    <phoneticPr fontId="1"/>
  </si>
  <si>
    <t>中浦ジュリアン</t>
    <phoneticPr fontId="1"/>
  </si>
  <si>
    <t>なかうらじゅりあん</t>
    <phoneticPr fontId="1"/>
  </si>
  <si>
    <t>ローマに赴く若き使節たち</t>
    <phoneticPr fontId="1"/>
  </si>
  <si>
    <t>タイプ偉人・妖怪・名物の防40％UP　/　所属が【東日本】と、それに属する地方・県、および【全国】の攻30％DOWN</t>
    <phoneticPr fontId="1"/>
  </si>
  <si>
    <t>勁松院綏姫</t>
    <phoneticPr fontId="1"/>
  </si>
  <si>
    <t>けいしょういんまさひめ</t>
    <phoneticPr fontId="1"/>
  </si>
  <si>
    <t>その心、夫が為に</t>
    <phoneticPr fontId="1"/>
  </si>
  <si>
    <t>タイプ伝承・武人・姫の防40％UP　/　所属が【西日本】と、それに属する地方・県、および【全国】の攻30％DOWN</t>
    <phoneticPr fontId="1"/>
  </si>
  <si>
    <t>【セレブ】クシヤタマノカミ</t>
    <phoneticPr fontId="1"/>
  </si>
  <si>
    <t>せれぶくしやたまのかみ</t>
    <phoneticPr fontId="1"/>
  </si>
  <si>
    <t>神世界一のセレブシェフ</t>
    <phoneticPr fontId="1"/>
  </si>
  <si>
    <t>天魔</t>
    <phoneticPr fontId="1"/>
  </si>
  <si>
    <t>てんま</t>
    <phoneticPr fontId="1"/>
  </si>
  <si>
    <t>欲望と誘惑の根源</t>
    <phoneticPr fontId="1"/>
  </si>
  <si>
    <t>タイプ神秘・知性派・飲食の防25％UP　/　タイプ伝承・武人・姫の攻50％DOWN</t>
    <phoneticPr fontId="1"/>
  </si>
  <si>
    <t>12/6 12:00～12/7 11:59</t>
    <phoneticPr fontId="1"/>
  </si>
  <si>
    <t>【元旦】桃太郎</t>
    <rPh sb="1" eb="3">
      <t>ガンタン</t>
    </rPh>
    <rPh sb="4" eb="7">
      <t>モモタロウ</t>
    </rPh>
    <phoneticPr fontId="1"/>
  </si>
  <si>
    <t>がんたんももたろう</t>
    <phoneticPr fontId="1"/>
  </si>
  <si>
    <t>鬼も脅かす書の腕前</t>
    <rPh sb="0" eb="1">
      <t>オニ</t>
    </rPh>
    <rPh sb="2" eb="3">
      <t>オビヤ</t>
    </rPh>
    <rPh sb="5" eb="6">
      <t>ショ</t>
    </rPh>
    <rPh sb="7" eb="9">
      <t>ウデマエ</t>
    </rPh>
    <phoneticPr fontId="1"/>
  </si>
  <si>
    <t>筑紫舞</t>
    <rPh sb="0" eb="2">
      <t>ツクシ</t>
    </rPh>
    <rPh sb="2" eb="3">
      <t>マイ</t>
    </rPh>
    <phoneticPr fontId="1"/>
  </si>
  <si>
    <t>口伝で舞うは、太古の秘曲</t>
    <rPh sb="0" eb="1">
      <t>クチ</t>
    </rPh>
    <rPh sb="3" eb="4">
      <t>マ</t>
    </rPh>
    <rPh sb="7" eb="9">
      <t>タイコ</t>
    </rPh>
    <rPh sb="10" eb="12">
      <t>ヒキョク</t>
    </rPh>
    <phoneticPr fontId="1"/>
  </si>
  <si>
    <t>【5周年】アニバーサリーケーキちゃん</t>
    <rPh sb="2" eb="4">
      <t>シュウネン</t>
    </rPh>
    <phoneticPr fontId="1"/>
  </si>
  <si>
    <t>ごしゅうねんあにばーさりーけーきちゃん</t>
    <phoneticPr fontId="1"/>
  </si>
  <si>
    <t>５周年の甘ーいパーティ♪</t>
    <rPh sb="1" eb="3">
      <t>シュウネン</t>
    </rPh>
    <rPh sb="4" eb="5">
      <t>アマ</t>
    </rPh>
    <phoneticPr fontId="1"/>
  </si>
  <si>
    <t>12/7 12:00～12/9 23:59</t>
    <phoneticPr fontId="1"/>
  </si>
  <si>
    <t>【花水着】三村鶴</t>
    <phoneticPr fontId="1"/>
  </si>
  <si>
    <t>はなみずぎみむらつる</t>
    <phoneticPr fontId="1"/>
  </si>
  <si>
    <t>鶴を彩る大輪花</t>
    <phoneticPr fontId="1"/>
  </si>
  <si>
    <t>タイプ姫・伝承・神秘の防50％UP　/　タイプ【武人】の防25％UP</t>
    <phoneticPr fontId="1"/>
  </si>
  <si>
    <t>【白騎士】白鶴</t>
    <phoneticPr fontId="1"/>
  </si>
  <si>
    <t>しろきしはくつる</t>
    <phoneticPr fontId="1"/>
  </si>
  <si>
    <t>剣にて護る動物報恩譚</t>
    <phoneticPr fontId="1"/>
  </si>
  <si>
    <t>タイプ姫・武人・知性派の防40％UP　/　タイプ神秘・飲食・伝承の防30％UP</t>
    <phoneticPr fontId="1"/>
  </si>
  <si>
    <t>【華の太夫】あまおう</t>
    <phoneticPr fontId="1"/>
  </si>
  <si>
    <t>はなのだゆうあまおう</t>
    <phoneticPr fontId="1"/>
  </si>
  <si>
    <t>梅と苺の行列行脚</t>
    <phoneticPr fontId="1"/>
  </si>
  <si>
    <t>【お部屋】ダリア</t>
    <phoneticPr fontId="1"/>
  </si>
  <si>
    <t>おへやだりあ</t>
    <phoneticPr fontId="1"/>
  </si>
  <si>
    <t>移り気女子の寛ぎ</t>
    <phoneticPr fontId="1"/>
  </si>
  <si>
    <t>タイプ偉人・妖怪・名物の攻10％UP　/　タイプ武人・姫・伝承・知性派の防35％DOWN</t>
    <phoneticPr fontId="1"/>
  </si>
  <si>
    <t>12/7 18:00～12/9 23:59</t>
    <phoneticPr fontId="1"/>
  </si>
  <si>
    <t>【夏遊園地】コシヒカリちゃん</t>
    <phoneticPr fontId="1"/>
  </si>
  <si>
    <t>なつゆうえんちこしひかりちゃん</t>
    <phoneticPr fontId="1"/>
  </si>
  <si>
    <t>光り輝くライスシャワー</t>
    <phoneticPr fontId="1"/>
  </si>
  <si>
    <t>タイプ神秘・知性派・飲食の攻55％UP　/　タイプ偉人・妖怪・名物の防15％DOWN</t>
    <phoneticPr fontId="1"/>
  </si>
  <si>
    <t>豊穣の女神フリッグ</t>
    <phoneticPr fontId="1"/>
  </si>
  <si>
    <t>ほうじょうのめがみふりっぐ</t>
    <phoneticPr fontId="1"/>
  </si>
  <si>
    <t>慈愛の苺香</t>
    <phoneticPr fontId="1"/>
  </si>
  <si>
    <t>タイプ神秘・知性派・飲食の防20％UP</t>
    <phoneticPr fontId="1"/>
  </si>
  <si>
    <t>【サンタ王国】ナイトメア</t>
    <phoneticPr fontId="1"/>
  </si>
  <si>
    <t>さんたおうこくないとめあ</t>
    <phoneticPr fontId="1"/>
  </si>
  <si>
    <t>無限算数ドリルの悪夢</t>
    <phoneticPr fontId="1"/>
  </si>
  <si>
    <t>タイプ伝承・武人・姫の防60％DOWN　/　タイプ偉人・妖怪・名物の攻20％UP</t>
    <phoneticPr fontId="1"/>
  </si>
  <si>
    <t>四神戦 甘いお菓子とお泊り女子会ガチャ</t>
    <rPh sb="0" eb="1">
      <t>ヨン</t>
    </rPh>
    <rPh sb="1" eb="2">
      <t>シン</t>
    </rPh>
    <rPh sb="2" eb="3">
      <t>セン</t>
    </rPh>
    <rPh sb="4" eb="5">
      <t>アマ</t>
    </rPh>
    <rPh sb="7" eb="9">
      <t>カシ</t>
    </rPh>
    <rPh sb="11" eb="12">
      <t>トマ</t>
    </rPh>
    <rPh sb="13" eb="15">
      <t>ジョシ</t>
    </rPh>
    <rPh sb="15" eb="16">
      <t>カイ</t>
    </rPh>
    <phoneticPr fontId="1"/>
  </si>
  <si>
    <t>(DX)12/8 12:00～12/14 11:59</t>
    <phoneticPr fontId="1"/>
  </si>
  <si>
    <t>宮崎</t>
    <rPh sb="0" eb="2">
      <t>ミヤザキ</t>
    </rPh>
    <phoneticPr fontId="1"/>
  </si>
  <si>
    <t>【お泊り女子会】たい焼きちゃん</t>
    <phoneticPr fontId="1"/>
  </si>
  <si>
    <t>おとまりじょしかいたいやきちゃん</t>
    <phoneticPr fontId="1"/>
  </si>
  <si>
    <t>お茶とお話とたい焼きと。</t>
    <phoneticPr fontId="1"/>
  </si>
  <si>
    <t>[新生]呉の乙女椿</t>
    <phoneticPr fontId="1"/>
  </si>
  <si>
    <t>しんせいくれのおとめつばき</t>
    <phoneticPr fontId="1"/>
  </si>
  <si>
    <t>悲恋を示す巨椿</t>
    <phoneticPr fontId="1"/>
  </si>
  <si>
    <t>[新生]【洗礼】新島八重</t>
    <phoneticPr fontId="1"/>
  </si>
  <si>
    <t>しんせいせんれいにいじまやえ</t>
    <phoneticPr fontId="1"/>
  </si>
  <si>
    <t>銃装・幕末のジャンヌ</t>
    <phoneticPr fontId="1"/>
  </si>
  <si>
    <t>タイプ妖怪・名物の攻20％UP</t>
    <phoneticPr fontId="1"/>
  </si>
  <si>
    <t>[新生]カンナ</t>
    <phoneticPr fontId="1"/>
  </si>
  <si>
    <t>しんせいかんな</t>
    <phoneticPr fontId="1"/>
  </si>
  <si>
    <t>緋色の堅実な未来</t>
    <phoneticPr fontId="1"/>
  </si>
  <si>
    <t>12/9 12:00～12/14 11:59</t>
    <phoneticPr fontId="1"/>
  </si>
  <si>
    <t>【料理バトル】中野竹子</t>
    <phoneticPr fontId="1"/>
  </si>
  <si>
    <t>りょうりばとるなかのたけこ</t>
    <phoneticPr fontId="1"/>
  </si>
  <si>
    <t>免許皆伝の包丁さばき</t>
    <phoneticPr fontId="1"/>
  </si>
  <si>
    <t>タイプ伝承・武人・姫の防20％UP</t>
    <phoneticPr fontId="1"/>
  </si>
  <si>
    <t>タイプ姫・伝承の防17％UP</t>
    <phoneticPr fontId="1"/>
  </si>
  <si>
    <t>タイプ姫・伝承の防12％UP</t>
    <phoneticPr fontId="1"/>
  </si>
  <si>
    <t>12/9 18:00～12/11 23:59</t>
    <phoneticPr fontId="1"/>
  </si>
  <si>
    <t>弦城遊</t>
    <phoneticPr fontId="1"/>
  </si>
  <si>
    <t>つるぎゆう</t>
    <phoneticPr fontId="1"/>
  </si>
  <si>
    <t>あやかしの戯れ</t>
    <phoneticPr fontId="1"/>
  </si>
  <si>
    <t>タイプ伝承・武人・姫の防60％DOWN　/　タイプ偉人・妖怪・名物の攻25％UP</t>
    <phoneticPr fontId="1"/>
  </si>
  <si>
    <t>畔道カリン</t>
    <phoneticPr fontId="1"/>
  </si>
  <si>
    <t>あぜみちかりん</t>
    <phoneticPr fontId="1"/>
  </si>
  <si>
    <t>幻惑フラワーガーデン</t>
    <phoneticPr fontId="1"/>
  </si>
  <si>
    <t>タイプ伝承・武人・姫の防30％UP　/　タイプ神秘・知性派・飲食の攻40％DOWN</t>
    <phoneticPr fontId="1"/>
  </si>
  <si>
    <t>夜見</t>
    <phoneticPr fontId="1"/>
  </si>
  <si>
    <t>やみ</t>
    <phoneticPr fontId="1"/>
  </si>
  <si>
    <t>縛鎖の解放</t>
    <phoneticPr fontId="1"/>
  </si>
  <si>
    <t>タイプ神秘・知性派・飲食の防20％UP　/　タイプ伝承・武人・姫の攻75％DOWN</t>
    <phoneticPr fontId="1"/>
  </si>
  <si>
    <t>12/10 11:00～12/10 23:59</t>
    <phoneticPr fontId="1"/>
  </si>
  <si>
    <t>【九尾】玉藻前</t>
    <phoneticPr fontId="1"/>
  </si>
  <si>
    <t>きゅうびたまものまえ</t>
    <phoneticPr fontId="1"/>
  </si>
  <si>
    <t>傾国の美女玉藻</t>
    <phoneticPr fontId="1"/>
  </si>
  <si>
    <t>タイプ名物・偉人・神秘の攻50％UP　/　タイプ【妖怪】の攻25％UP</t>
    <phoneticPr fontId="1"/>
  </si>
  <si>
    <t>12/10 18:00～12/12 23:59</t>
    <phoneticPr fontId="1"/>
  </si>
  <si>
    <t>イチキシマヒメ</t>
    <phoneticPr fontId="1"/>
  </si>
  <si>
    <t>いちきしまひめ</t>
    <phoneticPr fontId="1"/>
  </si>
  <si>
    <t>海難の禊</t>
    <phoneticPr fontId="1"/>
  </si>
  <si>
    <t>タイプ神秘・知性派・飲食の攻25％UP　/　タイプ偉人・妖怪・名物の防50％DOWN</t>
    <phoneticPr fontId="1"/>
  </si>
  <si>
    <t>【ロードバイク】北原怜子</t>
    <phoneticPr fontId="1"/>
  </si>
  <si>
    <t>ろーどばいくきたはらさとこ</t>
    <phoneticPr fontId="1"/>
  </si>
  <si>
    <t>マリアを癒す春の花</t>
    <phoneticPr fontId="1"/>
  </si>
  <si>
    <t>タイプ名物・妖怪・飲食の攻40％UP　/　タイプ伝承・姫・偉人の攻15％UP</t>
    <phoneticPr fontId="1"/>
  </si>
  <si>
    <t>【占い師】白蛇姫</t>
    <phoneticPr fontId="1"/>
  </si>
  <si>
    <t>うらないししろへびひめ</t>
    <phoneticPr fontId="1"/>
  </si>
  <si>
    <t>運命を導く白きアルカナ</t>
    <phoneticPr fontId="1"/>
  </si>
  <si>
    <t>タイプ武人・知性派の防55％UP　/　タイプ姫・伝承の防30％UP</t>
    <phoneticPr fontId="1"/>
  </si>
  <si>
    <t>那覇大綱挽まつり</t>
    <phoneticPr fontId="1"/>
  </si>
  <si>
    <t>なはおおつなひきまつり</t>
    <phoneticPr fontId="1"/>
  </si>
  <si>
    <t>その一心を大綱に込めて</t>
    <phoneticPr fontId="1"/>
  </si>
  <si>
    <t>アカカナジャー</t>
    <phoneticPr fontId="1"/>
  </si>
  <si>
    <t>あかかなじゃー</t>
    <phoneticPr fontId="1"/>
  </si>
  <si>
    <t>魚の目玉で大漁旗</t>
    <phoneticPr fontId="1"/>
  </si>
  <si>
    <t>タイプ武人・神秘の攻20％UP</t>
    <phoneticPr fontId="1"/>
  </si>
  <si>
    <t>コーレーグース</t>
    <phoneticPr fontId="1"/>
  </si>
  <si>
    <t>こーれーぐーす</t>
    <phoneticPr fontId="1"/>
  </si>
  <si>
    <t>一滴たらせば島国の味</t>
    <phoneticPr fontId="1"/>
  </si>
  <si>
    <t>タイプ神秘・知性派の攻30％UP</t>
    <phoneticPr fontId="1"/>
  </si>
  <si>
    <t>12/11 20:00～12/11 23:59</t>
    <phoneticPr fontId="1"/>
  </si>
  <si>
    <t>12/12 18:00～12/12 21:59</t>
    <phoneticPr fontId="1"/>
  </si>
  <si>
    <t>12/12 12:00～12/14 23:59</t>
    <phoneticPr fontId="1"/>
  </si>
  <si>
    <t>12/13 12:00～12/14 11:59</t>
    <phoneticPr fontId="1"/>
  </si>
  <si>
    <t>東の花札演義</t>
    <phoneticPr fontId="1"/>
  </si>
  <si>
    <t>ひがしのはなふだえんぎ</t>
    <phoneticPr fontId="1"/>
  </si>
  <si>
    <t>お花見とお月見で一杯！</t>
    <phoneticPr fontId="1"/>
  </si>
  <si>
    <t>タイプ偉人・妖怪の攻20％UP　/　タイプ【名物】の攻12％UP</t>
    <phoneticPr fontId="1"/>
  </si>
  <si>
    <t>西の花札演義</t>
    <phoneticPr fontId="1"/>
  </si>
  <si>
    <t>にしのはなふだえんぎ</t>
    <phoneticPr fontId="1"/>
  </si>
  <si>
    <t>風光明媚の風景</t>
    <phoneticPr fontId="1"/>
  </si>
  <si>
    <t>四季花札演義</t>
    <phoneticPr fontId="1"/>
  </si>
  <si>
    <t>しきはなふだえんぎ</t>
    <phoneticPr fontId="1"/>
  </si>
  <si>
    <t>五光の花札</t>
    <phoneticPr fontId="1"/>
  </si>
  <si>
    <t>タイプ偉人・妖怪の攻45％UP　/　タイプ【名物】の攻30％UP</t>
    <phoneticPr fontId="1"/>
  </si>
  <si>
    <t>東の霊鳥演義</t>
    <phoneticPr fontId="1"/>
  </si>
  <si>
    <t>ひがしのれいちょうえんぎ</t>
    <phoneticPr fontId="1"/>
  </si>
  <si>
    <t>神聖なる歌と舞</t>
    <phoneticPr fontId="1"/>
  </si>
  <si>
    <t>タイプ妖怪・名物の攻30％DOWN　/　タイプ知性派・飲食の防10％UP</t>
    <phoneticPr fontId="1"/>
  </si>
  <si>
    <t>西の霊鳥演義</t>
    <phoneticPr fontId="1"/>
  </si>
  <si>
    <t>にしのれいちょうえんぎ</t>
    <phoneticPr fontId="1"/>
  </si>
  <si>
    <t>魅了する軽快なステップ</t>
    <phoneticPr fontId="1"/>
  </si>
  <si>
    <t>タイプ偉人・妖怪の攻30％DOWN　/　タイプ知性派・飲食の防10％UP</t>
    <phoneticPr fontId="1"/>
  </si>
  <si>
    <t>天武霊鳥演義</t>
    <phoneticPr fontId="1"/>
  </si>
  <si>
    <t>てんぶれいちょうえんぎ</t>
    <phoneticPr fontId="1"/>
  </si>
  <si>
    <t>天武霊鳥光臨</t>
    <phoneticPr fontId="1"/>
  </si>
  <si>
    <t>タイプ偉人・妖怪・名物の攻80％DOWN　/　タイプ知性派・飲食の防25％UP</t>
    <phoneticPr fontId="1"/>
  </si>
  <si>
    <t>12/13 18:00～12/15 23:59</t>
    <phoneticPr fontId="1"/>
  </si>
  <si>
    <t>【スノーグラビア】シルバーアクセちゃん</t>
    <phoneticPr fontId="1"/>
  </si>
  <si>
    <t>すのーぐらびあしるばーあくせちゃん</t>
    <phoneticPr fontId="1"/>
  </si>
  <si>
    <t>雪原に際立つ、しろがねの美貌</t>
    <phoneticPr fontId="1"/>
  </si>
  <si>
    <t>タイプ偉人・妖怪・名物の攻20％UP　/　タイプ神秘・飮食・知性派・姫の防25％DOWN</t>
    <phoneticPr fontId="1"/>
  </si>
  <si>
    <t>【なまはげ】よりよりちゃん</t>
    <phoneticPr fontId="1"/>
  </si>
  <si>
    <t>なまはげよりよりちゃん</t>
    <phoneticPr fontId="1"/>
  </si>
  <si>
    <t>雪の地で振舞う伝統の味覚</t>
    <phoneticPr fontId="1"/>
  </si>
  <si>
    <t>タイプ神秘・知性派の攻40％UP　/　タイプ【飲食】の攻25％UP</t>
    <phoneticPr fontId="1"/>
  </si>
  <si>
    <t>北条景広</t>
    <phoneticPr fontId="1"/>
  </si>
  <si>
    <t>きたじょうかげひろ</t>
    <phoneticPr fontId="1"/>
  </si>
  <si>
    <t>中核なす鬼弥五郎</t>
    <phoneticPr fontId="1"/>
  </si>
  <si>
    <t>サイコロ行脚 雪の降る夜の踊り子ガチャ</t>
    <rPh sb="4" eb="6">
      <t>アンギャ</t>
    </rPh>
    <rPh sb="7" eb="8">
      <t>ユキ</t>
    </rPh>
    <rPh sb="9" eb="10">
      <t>フ</t>
    </rPh>
    <rPh sb="11" eb="12">
      <t>ヨル</t>
    </rPh>
    <rPh sb="13" eb="14">
      <t>オド</t>
    </rPh>
    <rPh sb="15" eb="16">
      <t>コ</t>
    </rPh>
    <phoneticPr fontId="1"/>
  </si>
  <si>
    <t>(DX)12/14 12:00～12/21 11:59</t>
    <phoneticPr fontId="1"/>
  </si>
  <si>
    <t>【雪の唄】阿波踊り</t>
    <phoneticPr fontId="1"/>
  </si>
  <si>
    <t>ゆきのうたあわおどり</t>
    <phoneticPr fontId="1"/>
  </si>
  <si>
    <t>同じ阿呆なら踊らな損</t>
    <phoneticPr fontId="1"/>
  </si>
  <si>
    <t>[新生]神戸ワインちゃん</t>
    <phoneticPr fontId="1"/>
  </si>
  <si>
    <t>しんせいこうべわいんちゃん</t>
    <phoneticPr fontId="1"/>
  </si>
  <si>
    <t>神戸銘柄の発展</t>
    <phoneticPr fontId="1"/>
  </si>
  <si>
    <t>[新生]【遠野女大名】清心尼</t>
    <phoneticPr fontId="1"/>
  </si>
  <si>
    <t>しんせいとおのおんなだいみょうせいしんに</t>
    <phoneticPr fontId="1"/>
  </si>
  <si>
    <t>冷静明哲な女当主</t>
    <phoneticPr fontId="1"/>
  </si>
  <si>
    <t>タイプ武人・伝承の防20％UP</t>
    <phoneticPr fontId="1"/>
  </si>
  <si>
    <t>[新生]【クリスマス】山名豊国</t>
    <phoneticPr fontId="1"/>
  </si>
  <si>
    <t>しんせいくりすますやまなとよくに</t>
    <phoneticPr fontId="1"/>
  </si>
  <si>
    <t>贈り散らす立ち回り忠義</t>
    <phoneticPr fontId="1"/>
  </si>
  <si>
    <t>タイプ【姫】の攻20％UP</t>
    <phoneticPr fontId="1"/>
  </si>
  <si>
    <t>12/14 15:00～12/14 23:59</t>
    <phoneticPr fontId="1"/>
  </si>
  <si>
    <t>【節分】雪女</t>
    <phoneticPr fontId="1"/>
  </si>
  <si>
    <t>せつぶんゆきおんな</t>
    <phoneticPr fontId="1"/>
  </si>
  <si>
    <t>雪降る夜に現れた鬼</t>
    <phoneticPr fontId="1"/>
  </si>
  <si>
    <t>タイプ偉人・名物の防50％UP　/　タイプ【妖怪】の防40％UP</t>
    <phoneticPr fontId="1"/>
  </si>
  <si>
    <t>みずようかんちゃん</t>
    <phoneticPr fontId="1"/>
  </si>
  <si>
    <t>喉ごし柔らか、夏の涼菓子</t>
    <phoneticPr fontId="1"/>
  </si>
  <si>
    <t>【MONSTER】クジラちゃん</t>
    <phoneticPr fontId="1"/>
  </si>
  <si>
    <t>もんすたーくじらちゃん</t>
    <phoneticPr fontId="1"/>
  </si>
  <si>
    <t>哀しみの怪クジラの歌</t>
    <phoneticPr fontId="1"/>
  </si>
  <si>
    <t>【節分パニック】三村鶴</t>
    <phoneticPr fontId="1"/>
  </si>
  <si>
    <t>金棒振るう鬼女の舞</t>
    <phoneticPr fontId="1"/>
  </si>
  <si>
    <t>12/15 12:00～12/20 22:59</t>
    <phoneticPr fontId="1"/>
  </si>
  <si>
    <t>自在のインプ</t>
    <phoneticPr fontId="1"/>
  </si>
  <si>
    <t>じざいのいんぷ</t>
    <phoneticPr fontId="1"/>
  </si>
  <si>
    <t>お気に召すまま</t>
    <phoneticPr fontId="1"/>
  </si>
  <si>
    <t>タイプ伝承・武人・姫の防80％DOWN　/　タイプ偉人・名物の攻50％UP</t>
    <phoneticPr fontId="1"/>
  </si>
  <si>
    <t>タイプ伝承・武人・姫の防30％DOWN　/　タイプ偉人・名物の攻35％UP</t>
    <phoneticPr fontId="1"/>
  </si>
  <si>
    <t>タイプ武人・姫の防15％DOWN　/　タイプ偉人・名物の攻20％UP</t>
    <phoneticPr fontId="1"/>
  </si>
  <si>
    <t>12/15 15:00～12/16 23:59</t>
    <phoneticPr fontId="1"/>
  </si>
  <si>
    <t>【鯉のぼり】日野富子</t>
    <phoneticPr fontId="1"/>
  </si>
  <si>
    <t>こいのぼりひのとみこ</t>
    <phoneticPr fontId="1"/>
  </si>
  <si>
    <t>山間に並べたる魚群</t>
    <phoneticPr fontId="1"/>
  </si>
  <si>
    <t>【戦国海開き】島津義弘</t>
    <phoneticPr fontId="1"/>
  </si>
  <si>
    <t>せんごくうみびらきしまづよしひろ</t>
    <phoneticPr fontId="1"/>
  </si>
  <si>
    <t>鬼も笑う夏本番</t>
    <phoneticPr fontId="1"/>
  </si>
  <si>
    <t>タイプ姫・伝承の防30％UP　/　タイプ妖怪・名物の攻20％DOWN</t>
    <phoneticPr fontId="1"/>
  </si>
  <si>
    <t>【旧スク水】つらら女</t>
    <phoneticPr fontId="1"/>
  </si>
  <si>
    <t>きゅうすくみずつららおんな</t>
    <phoneticPr fontId="1"/>
  </si>
  <si>
    <t>水遊びに興じる氷柱の美女</t>
    <phoneticPr fontId="1"/>
  </si>
  <si>
    <t>【湯けむり】壺ふり師</t>
    <phoneticPr fontId="1"/>
  </si>
  <si>
    <t>ゆけむりつぼふりし</t>
    <phoneticPr fontId="1"/>
  </si>
  <si>
    <t>火照る刺青にご用心</t>
    <phoneticPr fontId="1"/>
  </si>
  <si>
    <t>タイプ神秘・飲食の攻35％UP　/　タイプ【知性派】の攻20％UP</t>
    <phoneticPr fontId="1"/>
  </si>
  <si>
    <t>12/16 11:00～12/16 23:59</t>
    <phoneticPr fontId="1"/>
  </si>
  <si>
    <t>12/16 18:00～12/18 23:59</t>
    <phoneticPr fontId="1"/>
  </si>
  <si>
    <t>あわびちゃん</t>
    <phoneticPr fontId="1"/>
  </si>
  <si>
    <t>歯ごたえ抜群の極上食感</t>
    <phoneticPr fontId="1"/>
  </si>
  <si>
    <t>アナコンダ</t>
    <phoneticPr fontId="1"/>
  </si>
  <si>
    <t>あなこんだ</t>
    <phoneticPr fontId="1"/>
  </si>
  <si>
    <t>それはまるで流木の如く</t>
    <phoneticPr fontId="1"/>
  </si>
  <si>
    <t>タイプ偉人・妖怪・知性派の防40％UP　/　タイプ神秘・名物の防20％UP</t>
    <phoneticPr fontId="1"/>
  </si>
  <si>
    <t>【スチームパンク】猫狸</t>
    <phoneticPr fontId="1"/>
  </si>
  <si>
    <t>すちーむぱんくねこだぬき</t>
    <phoneticPr fontId="1"/>
  </si>
  <si>
    <t>煤けた街の鬼ごっこ</t>
    <phoneticPr fontId="1"/>
  </si>
  <si>
    <t>タイプ偉人・名物・姫の防30％UP</t>
    <phoneticPr fontId="1"/>
  </si>
  <si>
    <t>【遺跡】浅間大神</t>
    <phoneticPr fontId="1"/>
  </si>
  <si>
    <t>いせきあさまのおおかみ</t>
    <phoneticPr fontId="1"/>
  </si>
  <si>
    <t>三角形は神聖な象徴</t>
    <phoneticPr fontId="1"/>
  </si>
  <si>
    <t>タイプ飲食・知性派・名物の防30％UP</t>
    <phoneticPr fontId="1"/>
  </si>
  <si>
    <t>【幻獣】袖萩</t>
    <phoneticPr fontId="1"/>
  </si>
  <si>
    <t>げんじゅうそではぎ</t>
    <phoneticPr fontId="1"/>
  </si>
  <si>
    <t>極寒の哀情歌</t>
    <phoneticPr fontId="1"/>
  </si>
  <si>
    <t>タイプ姫・武人・知性派の防35％UP</t>
    <phoneticPr fontId="1"/>
  </si>
  <si>
    <t>12/17 11:00～12/19 23:59</t>
    <phoneticPr fontId="1"/>
  </si>
  <si>
    <t>東日本→全国</t>
    <rPh sb="0" eb="6">
      <t>ヒガシニホンミギゼンコク</t>
    </rPh>
    <phoneticPr fontId="1"/>
  </si>
  <si>
    <t>ひらつか</t>
    <phoneticPr fontId="1"/>
  </si>
  <si>
    <t>九谷焼</t>
    <phoneticPr fontId="1"/>
  </si>
  <si>
    <t>くたにやき</t>
    <phoneticPr fontId="1"/>
  </si>
  <si>
    <t>伝統が生んだ色彩美</t>
    <phoneticPr fontId="1"/>
  </si>
  <si>
    <t>タイプ偉人・妖怪・名物の防40％UP　/　タイプ神秘・知性派・飲食の攻10％DOWN</t>
    <phoneticPr fontId="1"/>
  </si>
  <si>
    <t>細谷十太夫</t>
    <phoneticPr fontId="1"/>
  </si>
  <si>
    <t>ほそやじゅうだゆう</t>
    <phoneticPr fontId="1"/>
  </si>
  <si>
    <t>時の運命に抗う黒鴉</t>
    <phoneticPr fontId="1"/>
  </si>
  <si>
    <t>丹生比売大神</t>
    <phoneticPr fontId="1"/>
  </si>
  <si>
    <t>授けたる朱色の託宣</t>
    <phoneticPr fontId="1"/>
  </si>
  <si>
    <t>フレンチトースト</t>
    <phoneticPr fontId="1"/>
  </si>
  <si>
    <t>ふれんちとーすと</t>
    <phoneticPr fontId="1"/>
  </si>
  <si>
    <t>黄金色に焼けた甘い香り</t>
    <phoneticPr fontId="1"/>
  </si>
  <si>
    <t>タイプ偉人・神秘の防60％UP　/　タイプ知性派・飲食の防30％UP</t>
    <phoneticPr fontId="1"/>
  </si>
  <si>
    <t>12/17 20:00～12/17 23:59</t>
    <phoneticPr fontId="1"/>
  </si>
  <si>
    <t>12/18 11:00～12/18 23:59</t>
    <phoneticPr fontId="1"/>
  </si>
  <si>
    <t>北辰妙見菩薩</t>
    <phoneticPr fontId="1"/>
  </si>
  <si>
    <t>ほくしんみょうけんぼさつ</t>
    <phoneticPr fontId="1"/>
  </si>
  <si>
    <t>妙見天部神</t>
    <phoneticPr fontId="1"/>
  </si>
  <si>
    <t>タイプ知性派・飲食の攻25％UP　/　タイプ【神秘】の攻10％UP</t>
    <phoneticPr fontId="1"/>
  </si>
  <si>
    <t>【お花見】満天姫</t>
    <phoneticPr fontId="1"/>
  </si>
  <si>
    <t>おはなみまてひめ</t>
    <phoneticPr fontId="1"/>
  </si>
  <si>
    <t>運命の風に舞う桜</t>
    <phoneticPr fontId="1"/>
  </si>
  <si>
    <t>タイプ武人・伝承の防40％UP　/　タイプ【姫】の防25％UP</t>
    <phoneticPr fontId="1"/>
  </si>
  <si>
    <t>12/18 18:00～12/18 21:59</t>
    <phoneticPr fontId="1"/>
  </si>
  <si>
    <t>12/19 11:00～12/19 23:59</t>
    <phoneticPr fontId="1"/>
  </si>
  <si>
    <t>琵琶湖</t>
    <rPh sb="0" eb="3">
      <t>ビワコ</t>
    </rPh>
    <phoneticPr fontId="1"/>
  </si>
  <si>
    <t>びわこ</t>
    <phoneticPr fontId="1"/>
  </si>
  <si>
    <t>風光明媚な日本一の湖</t>
    <phoneticPr fontId="1"/>
  </si>
  <si>
    <t>うさぎとかめ</t>
    <phoneticPr fontId="1"/>
  </si>
  <si>
    <t>油断大敵</t>
    <phoneticPr fontId="1"/>
  </si>
  <si>
    <t>タイプ伝承・武人・姫の防25％UP　/　タイプ武人・姫の攻60％DOWN</t>
    <phoneticPr fontId="1"/>
  </si>
  <si>
    <t>タイプ伝承・武人・姫の防15％UP　/　タイプ武人・姫の攻40％DOWN</t>
    <phoneticPr fontId="1"/>
  </si>
  <si>
    <t>タイプ武人・姫の防12％UP　/　タイプ武人・姫の攻20％DOWN</t>
    <phoneticPr fontId="1"/>
  </si>
  <si>
    <t>味噌煮込みうどん</t>
    <phoneticPr fontId="1"/>
  </si>
  <si>
    <t>みそにこみうどん</t>
    <phoneticPr fontId="1"/>
  </si>
  <si>
    <t>豆味噌仕立ての熱～いスープ</t>
    <phoneticPr fontId="1"/>
  </si>
  <si>
    <t>タイプ神秘・知性派の防45％UP　/　タイプ【飲食】の防15％UP</t>
    <phoneticPr fontId="1"/>
  </si>
  <si>
    <t>12/19 18:00～12/21 23:59</t>
    <phoneticPr fontId="1"/>
  </si>
  <si>
    <t>菊池寛</t>
    <phoneticPr fontId="1"/>
  </si>
  <si>
    <t>きくちかん</t>
    <phoneticPr fontId="1"/>
  </si>
  <si>
    <t>くちきかんきくちかん</t>
    <phoneticPr fontId="1"/>
  </si>
  <si>
    <t>タイプ【神秘】の攻40％UP　/　タイプ知性派・飲食の攻20％UP</t>
    <phoneticPr fontId="1"/>
  </si>
  <si>
    <t>【おばけ屋敷】クビワコウモリちゃん</t>
    <phoneticPr fontId="1"/>
  </si>
  <si>
    <t>おばけやしきくびわこうもりちゃん</t>
    <phoneticPr fontId="1"/>
  </si>
  <si>
    <t>暗闇に溶け込む生態</t>
    <phoneticPr fontId="1"/>
  </si>
  <si>
    <t>【壇ノ浦】源義経</t>
    <phoneticPr fontId="1"/>
  </si>
  <si>
    <t>だんのうらみなもとのよしつね</t>
    <phoneticPr fontId="1"/>
  </si>
  <si>
    <t>壇ノ浦八艘飛び</t>
    <phoneticPr fontId="1"/>
  </si>
  <si>
    <t>12/20 12:00～12/22 23:59</t>
    <phoneticPr fontId="1"/>
  </si>
  <si>
    <t>【酔心地】出雲阿国</t>
    <phoneticPr fontId="1"/>
  </si>
  <si>
    <t>よいごこちいずものおくに</t>
    <phoneticPr fontId="1"/>
  </si>
  <si>
    <t>一滴から生まれたる新たな踊り</t>
    <phoneticPr fontId="1"/>
  </si>
  <si>
    <t>【鯉のぼり】光明皇后</t>
    <phoneticPr fontId="1"/>
  </si>
  <si>
    <t>こいのぼりこうみょうこうごう</t>
    <phoneticPr fontId="1"/>
  </si>
  <si>
    <t>慈愛満ちた鯉如来</t>
    <phoneticPr fontId="1"/>
  </si>
  <si>
    <t>12/20 18:00～12/21 11:59</t>
    <phoneticPr fontId="1"/>
  </si>
  <si>
    <t>【運動会】鬼切丸</t>
    <phoneticPr fontId="1"/>
  </si>
  <si>
    <t>うんどうかいおにきりまる</t>
    <phoneticPr fontId="1"/>
  </si>
  <si>
    <t>鬼の如く斬るテープ</t>
    <phoneticPr fontId="1"/>
  </si>
  <si>
    <t>タイプ偉人・名物の攻35％UP　/　タイプ神秘・知性派の防100％DOWN</t>
    <phoneticPr fontId="1"/>
  </si>
  <si>
    <t>【X’masパーティ】金子みすず</t>
    <phoneticPr fontId="1"/>
  </si>
  <si>
    <t>光輝く個性とオーナメント</t>
    <phoneticPr fontId="1"/>
  </si>
  <si>
    <t>タイプ偉人・妖怪・名物の攻40％UP　/　タイプ神秘・知性派・飲食の防25％DOWN</t>
    <phoneticPr fontId="1"/>
  </si>
  <si>
    <t>縁切榎</t>
    <phoneticPr fontId="1"/>
  </si>
  <si>
    <t>えんきりえのき</t>
    <phoneticPr fontId="1"/>
  </si>
  <si>
    <t>離縁成就の古木</t>
    <phoneticPr fontId="1"/>
  </si>
  <si>
    <t>12/21 12:00～12/25 11:59</t>
    <phoneticPr fontId="1"/>
  </si>
  <si>
    <t>中部</t>
    <rPh sb="0" eb="2">
      <t>チュウブ</t>
    </rPh>
    <phoneticPr fontId="1"/>
  </si>
  <si>
    <t>【動物の島】橋姫</t>
    <phoneticPr fontId="1"/>
  </si>
  <si>
    <t>どうぶつのしまはしひめ</t>
    <phoneticPr fontId="1"/>
  </si>
  <si>
    <t>嫉妬深いハシの姫</t>
    <phoneticPr fontId="1"/>
  </si>
  <si>
    <t>タイプ伝承・武人・姫の攻30％UP　/　タイプ武人・妖怪・名物・偉人の防13％DOWN</t>
    <phoneticPr fontId="1"/>
  </si>
  <si>
    <t>とがくしそば</t>
    <phoneticPr fontId="1"/>
  </si>
  <si>
    <t>飲食</t>
    <phoneticPr fontId="1"/>
  </si>
  <si>
    <t>神話の息づく名物そば</t>
    <phoneticPr fontId="1"/>
  </si>
  <si>
    <t>タイプ神秘・知性派の攻40％UP　/　タイプ【飲食】の攻25％UP</t>
    <phoneticPr fontId="1"/>
  </si>
  <si>
    <t>【ラッピング】乙女椿</t>
    <phoneticPr fontId="1"/>
  </si>
  <si>
    <t>らっぴんぐおとめつばき</t>
    <phoneticPr fontId="1"/>
  </si>
  <si>
    <t>可憐な日本の乙女</t>
    <phoneticPr fontId="1"/>
  </si>
  <si>
    <t>タイプ伝承・妖怪の攻55％UP　/　タイプ偉人・名物・姫の攻30％UP</t>
    <phoneticPr fontId="1"/>
  </si>
  <si>
    <t>12/21 18:00～12/22 17:59</t>
    <phoneticPr fontId="1"/>
  </si>
  <si>
    <t>タイプ伝承・武人・飲食の攻40％UP　/　タイプ【姫】の攻20％UP</t>
    <phoneticPr fontId="1"/>
  </si>
  <si>
    <t>東の極姫演義</t>
    <phoneticPr fontId="1"/>
  </si>
  <si>
    <t>ひがしのごくひめえんぎ</t>
    <phoneticPr fontId="1"/>
  </si>
  <si>
    <t>肌に染めし任侠道の覚悟</t>
    <phoneticPr fontId="1"/>
  </si>
  <si>
    <t>タイプ【武人】の防30％UP　/　タイプ姫・伝承の防15％UP</t>
    <phoneticPr fontId="1"/>
  </si>
  <si>
    <t>西の極姫演義</t>
    <phoneticPr fontId="1"/>
  </si>
  <si>
    <t>にしのごくひめえんぎ</t>
    <phoneticPr fontId="1"/>
  </si>
  <si>
    <t>心に刻みし義侠の精神</t>
    <phoneticPr fontId="1"/>
  </si>
  <si>
    <t>烈日極姫演義</t>
    <phoneticPr fontId="1"/>
  </si>
  <si>
    <t>れつじつごくひめえんぎ</t>
    <phoneticPr fontId="1"/>
  </si>
  <si>
    <t>女心にも侠気これ極まれり</t>
    <phoneticPr fontId="1"/>
  </si>
  <si>
    <t>タイプ【武人】の防80％UP　/　タイプ姫・伝承の防30％UP</t>
    <phoneticPr fontId="1"/>
  </si>
  <si>
    <t>東の丼飯演義</t>
    <phoneticPr fontId="1"/>
  </si>
  <si>
    <t>ひがしのどんぶりめしえんぎ</t>
    <phoneticPr fontId="1"/>
  </si>
  <si>
    <t>海と陸の幸パワー</t>
    <phoneticPr fontId="1"/>
  </si>
  <si>
    <t>タイプ偉人・神秘の攻30％UP</t>
    <phoneticPr fontId="1"/>
  </si>
  <si>
    <t>西の丼飯演義</t>
    <phoneticPr fontId="1"/>
  </si>
  <si>
    <t>にしのどんぶりめしえんぎ</t>
    <phoneticPr fontId="1"/>
  </si>
  <si>
    <t>溢れる魚介パワー</t>
    <phoneticPr fontId="1"/>
  </si>
  <si>
    <t>美味丼飯演義</t>
    <phoneticPr fontId="1"/>
  </si>
  <si>
    <t>びみどんぶりめしえんぎ</t>
    <phoneticPr fontId="1"/>
  </si>
  <si>
    <t>幻の丼飯</t>
    <phoneticPr fontId="1"/>
  </si>
  <si>
    <t>タイプ偉人・神秘の攻55％UP　/　タイプ知性派・飲食の攻40％UP</t>
    <phoneticPr fontId="1"/>
  </si>
  <si>
    <t>12/22 12:00～12/25 11:59</t>
    <phoneticPr fontId="1"/>
  </si>
  <si>
    <t>【動物の島】タクハタチヂヒメ</t>
    <phoneticPr fontId="1"/>
  </si>
  <si>
    <t>どうぶつのしまたくはたちぢひめ</t>
    <phoneticPr fontId="1"/>
  </si>
  <si>
    <t>お洒落大好き！</t>
    <phoneticPr fontId="1"/>
  </si>
  <si>
    <t>京舞</t>
    <phoneticPr fontId="1"/>
  </si>
  <si>
    <t>きょうまい</t>
    <phoneticPr fontId="1"/>
  </si>
  <si>
    <t>男子禁制春陽の舞</t>
    <phoneticPr fontId="1"/>
  </si>
  <si>
    <t>タイプ偉人・妖怪・伝承の防40％UP　/　タイプ名物・姫の防35％UP</t>
    <phoneticPr fontId="1"/>
  </si>
  <si>
    <t>【職業体験】赤井輝子</t>
    <phoneticPr fontId="1"/>
  </si>
  <si>
    <t>しょくぎょうたいけんあかいてるこ</t>
    <phoneticPr fontId="1"/>
  </si>
  <si>
    <t>逮捕します！</t>
    <phoneticPr fontId="1"/>
  </si>
  <si>
    <t>しらずやわたのもり</t>
    <phoneticPr fontId="1"/>
  </si>
  <si>
    <t>【サンタ王国】サンタクイーン</t>
    <phoneticPr fontId="1"/>
  </si>
  <si>
    <t>さんたおうこくさんたくいーん</t>
    <phoneticPr fontId="1"/>
  </si>
  <si>
    <t>サンタ王妃の多忙な一日</t>
    <phoneticPr fontId="1"/>
  </si>
  <si>
    <t>タイプ神秘・知性派・飲食の防20％UP　/　タイプ伝承・武人・姫の攻80％DOWN</t>
    <phoneticPr fontId="1"/>
  </si>
  <si>
    <t>12/22 18:00～12/24 23:59</t>
    <phoneticPr fontId="1"/>
  </si>
  <si>
    <t>12/23 11:00～12/25 11:59</t>
    <phoneticPr fontId="1"/>
  </si>
  <si>
    <t>クリスマス福引ガチャ</t>
    <rPh sb="5" eb="7">
      <t>フクビキ</t>
    </rPh>
    <phoneticPr fontId="1"/>
  </si>
  <si>
    <t>12/23 22:00～12/25 23:59</t>
    <phoneticPr fontId="1"/>
  </si>
  <si>
    <t>無所属→全国</t>
    <rPh sb="0" eb="3">
      <t>ムショゾク</t>
    </rPh>
    <rPh sb="4" eb="6">
      <t>ゼンコク</t>
    </rPh>
    <phoneticPr fontId="1"/>
  </si>
  <si>
    <t>無所属</t>
    <rPh sb="0" eb="3">
      <t>ムショゾク</t>
    </rPh>
    <phoneticPr fontId="1"/>
  </si>
  <si>
    <t>合体後全国所属SSR</t>
    <rPh sb="0" eb="2">
      <t>ガッタイ</t>
    </rPh>
    <rPh sb="2" eb="3">
      <t>ゴ</t>
    </rPh>
    <rPh sb="3" eb="5">
      <t>ゼンコク</t>
    </rPh>
    <rPh sb="5" eb="7">
      <t>ショゾク</t>
    </rPh>
    <phoneticPr fontId="1"/>
  </si>
  <si>
    <t>反魂香</t>
    <phoneticPr fontId="1"/>
  </si>
  <si>
    <t>はんごんこう</t>
    <phoneticPr fontId="1"/>
  </si>
  <si>
    <t>煙に揺れる死者の魂</t>
    <phoneticPr fontId="1"/>
  </si>
  <si>
    <t>天野康景</t>
    <phoneticPr fontId="1"/>
  </si>
  <si>
    <t>あまのやすかげ</t>
    <phoneticPr fontId="1"/>
  </si>
  <si>
    <t>徳川への忠義</t>
    <phoneticPr fontId="1"/>
  </si>
  <si>
    <t>タイプ姫・伝承の防30％UP　/　タイプ【武人】の防20％UP</t>
    <phoneticPr fontId="1"/>
  </si>
  <si>
    <t>【サンタ王国】レディ・サンタ</t>
    <phoneticPr fontId="1"/>
  </si>
  <si>
    <t>さんたおうこくれでぃさんた</t>
    <phoneticPr fontId="1"/>
  </si>
  <si>
    <t>聖夜の疾走</t>
    <phoneticPr fontId="1"/>
  </si>
  <si>
    <t>タイプ武人・姫の攻45％UP　/　タイプ【伝承】の攻20％UP</t>
    <phoneticPr fontId="1"/>
  </si>
  <si>
    <t>【聖夜泥棒】メリー</t>
    <phoneticPr fontId="1"/>
  </si>
  <si>
    <t>せいやどろぼうめりー</t>
    <phoneticPr fontId="1"/>
  </si>
  <si>
    <t>略奪のメリークリスマス</t>
    <phoneticPr fontId="1"/>
  </si>
  <si>
    <t>タイプ【武人】の防50％UP　/　タイプ姫・伝承の防20％UP</t>
    <phoneticPr fontId="1"/>
  </si>
  <si>
    <t>【氷閉夢】北の街のニェーヴェ</t>
    <phoneticPr fontId="1"/>
  </si>
  <si>
    <t>きたのまちのにぇーゔぇ</t>
    <phoneticPr fontId="1"/>
  </si>
  <si>
    <t>凍らぬための氷</t>
    <phoneticPr fontId="1"/>
  </si>
  <si>
    <t>タイプ【武人】の攻防50％UP　/　タイプ姫・伝承の攻防30％UP</t>
    <phoneticPr fontId="1"/>
  </si>
  <si>
    <t>駆け出しサンタと黒のルドルフ</t>
    <phoneticPr fontId="1"/>
  </si>
  <si>
    <t>かけだしさんたとくろのるどるふ</t>
    <phoneticPr fontId="1"/>
  </si>
  <si>
    <t>爆走クリスマス</t>
    <phoneticPr fontId="1"/>
  </si>
  <si>
    <t>タイプ偉人・妖怪の攻20％UP</t>
    <phoneticPr fontId="1"/>
  </si>
  <si>
    <t>見習いサンタと赤のルドルフ</t>
    <phoneticPr fontId="1"/>
  </si>
  <si>
    <t>みならいさんたとあかのるどるふ</t>
    <phoneticPr fontId="1"/>
  </si>
  <si>
    <t>暴走クリスマス</t>
    <phoneticPr fontId="1"/>
  </si>
  <si>
    <t>12/24 12:00～12/26 23:59</t>
    <phoneticPr fontId="1"/>
  </si>
  <si>
    <t>雨漏樟葉</t>
    <phoneticPr fontId="1"/>
  </si>
  <si>
    <t>あまもりくずは</t>
    <phoneticPr fontId="1"/>
  </si>
  <si>
    <t>極寒の螺旋氷術</t>
    <phoneticPr fontId="1"/>
  </si>
  <si>
    <t>ひめらぎゆきかぜ</t>
    <phoneticPr fontId="1"/>
  </si>
  <si>
    <t>征服まーちんぐ♡</t>
    <phoneticPr fontId="1"/>
  </si>
  <si>
    <t>タイプ偉人・妖怪・名物の攻50％UP</t>
    <phoneticPr fontId="1"/>
  </si>
  <si>
    <t>新ヶ江幽</t>
    <phoneticPr fontId="1"/>
  </si>
  <si>
    <t>しんがえかすか</t>
    <phoneticPr fontId="1"/>
  </si>
  <si>
    <t>花魁ブロンディー</t>
    <phoneticPr fontId="1"/>
  </si>
  <si>
    <t>タイプ伝承・武人・姫の攻30％UP　/　タイプ神秘・知性派・飲食の防40％DOWN</t>
    <phoneticPr fontId="1"/>
  </si>
  <si>
    <t>12/24 18:00～12/26 23:59</t>
    <phoneticPr fontId="1"/>
  </si>
  <si>
    <t>西日本→全国</t>
    <rPh sb="0" eb="6">
      <t>ニシニホンミギゼンコク</t>
    </rPh>
    <phoneticPr fontId="1"/>
  </si>
  <si>
    <t>【キューピッド】七星剣</t>
    <phoneticPr fontId="1"/>
  </si>
  <si>
    <t>きゅーぴっどしちせいけん</t>
    <phoneticPr fontId="1"/>
  </si>
  <si>
    <t>永遠に続く愛の守護刀</t>
    <phoneticPr fontId="1"/>
  </si>
  <si>
    <t>タイプ神秘・知性派・飲食の防25％UP　/　タイプ偉人・妖怪・名物の攻50％DOWN</t>
    <phoneticPr fontId="1"/>
  </si>
  <si>
    <t>【イルミネーション】一条美賀子</t>
    <phoneticPr fontId="1"/>
  </si>
  <si>
    <t>いるみねーしょんいちじょうみかこ</t>
    <phoneticPr fontId="1"/>
  </si>
  <si>
    <t>大きな聖なる樹の下で</t>
    <phoneticPr fontId="1"/>
  </si>
  <si>
    <t>タイプ姫・妖怪の攻55％UP　/　タイプ偉人・名物の攻30％UP</t>
    <phoneticPr fontId="1"/>
  </si>
  <si>
    <t>【クリスマス】八上姫</t>
    <phoneticPr fontId="1"/>
  </si>
  <si>
    <t>くりすますやがみひめ</t>
    <phoneticPr fontId="1"/>
  </si>
  <si>
    <t>優しき者へ愛のプレゼント</t>
    <phoneticPr fontId="1"/>
  </si>
  <si>
    <t>タイプ【武人】の攻50％UP　/　タイプ姫・伝承の攻20％UP</t>
    <phoneticPr fontId="1"/>
  </si>
  <si>
    <t>全国巡り 幕末剣士の年末大掃除ガチャ</t>
    <rPh sb="0" eb="2">
      <t>ゼンコク</t>
    </rPh>
    <rPh sb="2" eb="3">
      <t>メグ</t>
    </rPh>
    <rPh sb="5" eb="7">
      <t>バクマツ</t>
    </rPh>
    <rPh sb="7" eb="9">
      <t>ケンシ</t>
    </rPh>
    <rPh sb="10" eb="12">
      <t>ネンマツ</t>
    </rPh>
    <rPh sb="12" eb="15">
      <t>オオソウジ</t>
    </rPh>
    <phoneticPr fontId="1"/>
  </si>
  <si>
    <t>【年末大掃除】千葉栄次郎</t>
    <phoneticPr fontId="1"/>
  </si>
  <si>
    <t>ねんまつおおそうじちばえいじろう</t>
    <phoneticPr fontId="1"/>
  </si>
  <si>
    <t>小天狗の大掃除</t>
    <phoneticPr fontId="1"/>
  </si>
  <si>
    <t>[新生]出雲大社</t>
    <phoneticPr fontId="1"/>
  </si>
  <si>
    <t>しんせいいずもたいしゃ</t>
    <phoneticPr fontId="1"/>
  </si>
  <si>
    <t>神集う社</t>
    <phoneticPr fontId="1"/>
  </si>
  <si>
    <t>[新生]のたもちちゃん</t>
    <phoneticPr fontId="1"/>
  </si>
  <si>
    <t>しんせいのたもちちゃん</t>
    <phoneticPr fontId="1"/>
  </si>
  <si>
    <t>豆餅のぬったくり</t>
    <phoneticPr fontId="1"/>
  </si>
  <si>
    <t>タイプ神秘・知性派の攻20％UP</t>
    <phoneticPr fontId="1"/>
  </si>
  <si>
    <t>[新生]【クリスマス】五郎八姫</t>
    <phoneticPr fontId="1"/>
  </si>
  <si>
    <t>しんせいくりすますいろはひめ</t>
    <phoneticPr fontId="1"/>
  </si>
  <si>
    <t>いろはの雪街視察</t>
    <phoneticPr fontId="1"/>
  </si>
  <si>
    <t>12/25 20:00～12/25 23:59</t>
    <phoneticPr fontId="1"/>
  </si>
  <si>
    <t>12/26 12:00～12/27 11:59</t>
    <phoneticPr fontId="1"/>
  </si>
  <si>
    <t>【節分パニック】平塚らいてう</t>
    <rPh sb="1" eb="3">
      <t>セツブン</t>
    </rPh>
    <rPh sb="8" eb="10">
      <t>ヒラツカ</t>
    </rPh>
    <phoneticPr fontId="1"/>
  </si>
  <si>
    <t>悪を挫く信念の豆</t>
    <rPh sb="0" eb="1">
      <t>アク</t>
    </rPh>
    <rPh sb="2" eb="3">
      <t>クジ</t>
    </rPh>
    <rPh sb="4" eb="6">
      <t>シンネン</t>
    </rPh>
    <rPh sb="7" eb="8">
      <t>マメ</t>
    </rPh>
    <phoneticPr fontId="1"/>
  </si>
  <si>
    <t>【お部屋】ダリア</t>
    <rPh sb="2" eb="4">
      <t>ヘヤ</t>
    </rPh>
    <phoneticPr fontId="1"/>
  </si>
  <si>
    <t>移り気女子の寛ぎ</t>
    <rPh sb="0" eb="1">
      <t>ウツ</t>
    </rPh>
    <rPh sb="2" eb="3">
      <t>ギ</t>
    </rPh>
    <rPh sb="3" eb="5">
      <t>ジョシ</t>
    </rPh>
    <rPh sb="6" eb="7">
      <t>クツロ</t>
    </rPh>
    <phoneticPr fontId="1"/>
  </si>
  <si>
    <t>12/26 18:00～12/26 21:59</t>
    <phoneticPr fontId="1"/>
  </si>
  <si>
    <t>12/27 11:00～12/27 23:59</t>
    <phoneticPr fontId="1"/>
  </si>
  <si>
    <t>カーニバルクイーン</t>
    <phoneticPr fontId="1"/>
  </si>
  <si>
    <t>かーにばるくいーん</t>
    <phoneticPr fontId="1"/>
  </si>
  <si>
    <t>ポルタ・バンデイラ</t>
    <phoneticPr fontId="1"/>
  </si>
  <si>
    <t>12/27 12:00～12/29 11:59</t>
    <phoneticPr fontId="1"/>
  </si>
  <si>
    <t>10/29 12:00～10/30 11:59</t>
    <phoneticPr fontId="1"/>
  </si>
  <si>
    <t>【X'masパーティ】神田明神</t>
    <rPh sb="11" eb="13">
      <t>カンダ</t>
    </rPh>
    <rPh sb="13" eb="15">
      <t>ミョウジン</t>
    </rPh>
    <phoneticPr fontId="1"/>
  </si>
  <si>
    <t>聖なる祭りは江戸の華</t>
    <rPh sb="0" eb="1">
      <t>セイ</t>
    </rPh>
    <rPh sb="3" eb="4">
      <t>マツ</t>
    </rPh>
    <rPh sb="6" eb="8">
      <t>エド</t>
    </rPh>
    <rPh sb="9" eb="10">
      <t>ハナ</t>
    </rPh>
    <phoneticPr fontId="1"/>
  </si>
  <si>
    <t>幸田延</t>
    <rPh sb="0" eb="2">
      <t>コウダ</t>
    </rPh>
    <rPh sb="2" eb="3">
      <t>ノブ</t>
    </rPh>
    <phoneticPr fontId="1"/>
  </si>
  <si>
    <t>日本音楽界の女王</t>
    <rPh sb="0" eb="2">
      <t>ニホン</t>
    </rPh>
    <rPh sb="2" eb="4">
      <t>オンガク</t>
    </rPh>
    <rPh sb="4" eb="5">
      <t>カイ</t>
    </rPh>
    <rPh sb="6" eb="8">
      <t>ジョウオウ</t>
    </rPh>
    <phoneticPr fontId="1"/>
  </si>
  <si>
    <t>天撃皆伝ガチャ</t>
    <rPh sb="0" eb="4">
      <t>テンゲキカイデン</t>
    </rPh>
    <phoneticPr fontId="1"/>
  </si>
  <si>
    <t>【天使】常山御前</t>
    <phoneticPr fontId="1"/>
  </si>
  <si>
    <t>てんしつねやまごぜん</t>
    <phoneticPr fontId="1"/>
  </si>
  <si>
    <t>槍を手にした天使</t>
    <phoneticPr fontId="1"/>
  </si>
  <si>
    <t>タイプ姫・伝承の防35％UP　/　タイプ伝承・武人・姫の攻12％DOWN</t>
    <phoneticPr fontId="1"/>
  </si>
  <si>
    <t>【幻獣】古椿の霊</t>
    <phoneticPr fontId="1"/>
  </si>
  <si>
    <t>げんじゅうふるつばきのれい</t>
    <phoneticPr fontId="1"/>
  </si>
  <si>
    <t>大地に堕つ裁きの毒華</t>
    <phoneticPr fontId="1"/>
  </si>
  <si>
    <t>タイプ偉人・名物・神秘・飲食の攻40％UP　/　タイプ【妖怪】の攻35％UP</t>
    <phoneticPr fontId="1"/>
  </si>
  <si>
    <t>12/30 12:00～12/31 23:59</t>
    <phoneticPr fontId="1"/>
  </si>
  <si>
    <t>大正浪漫紀行</t>
    <phoneticPr fontId="1"/>
  </si>
  <si>
    <t>たいしょうろまんきこう</t>
    <phoneticPr fontId="1"/>
  </si>
  <si>
    <t>赤レンガの誇り</t>
    <phoneticPr fontId="1"/>
  </si>
  <si>
    <t>タイプ偉人・妖怪・名物の攻30％UP　/　タイプ【偉人】の防50％DOWN</t>
    <phoneticPr fontId="1"/>
  </si>
  <si>
    <t>12/30 18:00～12/30 21:59</t>
    <phoneticPr fontId="1"/>
  </si>
  <si>
    <t>12/31 11:00～12/31 23:59</t>
    <phoneticPr fontId="1"/>
  </si>
  <si>
    <t>耳なし芳一</t>
    <phoneticPr fontId="1"/>
  </si>
  <si>
    <t>みみなしほういち</t>
    <phoneticPr fontId="1"/>
  </si>
  <si>
    <t>引き語る壇ノ浦の悲劇</t>
    <phoneticPr fontId="1"/>
  </si>
  <si>
    <t>タイプ伝承・武人・姫の防15％UP　/　タイプ武人・妖怪・名物・偉人の攻25％DOWN</t>
    <phoneticPr fontId="1"/>
  </si>
  <si>
    <t>タイプ伝承・武人・姫の防12％UP　/　タイプ偉人・妖怪・名物の攻15％DOWN</t>
    <phoneticPr fontId="1"/>
  </si>
  <si>
    <t>タイプ武人・姫の防10％UP　/　タイプ妖怪・名物の攻12％DOWN</t>
    <phoneticPr fontId="1"/>
  </si>
  <si>
    <t>策戦 兵站奇襲</t>
    <phoneticPr fontId="1"/>
  </si>
  <si>
    <t>岡山</t>
    <rPh sb="0" eb="2">
      <t>オカヤマ</t>
    </rPh>
    <phoneticPr fontId="1"/>
  </si>
  <si>
    <t>防衛戦 福を呼び込む大蛇武者ガチャ</t>
    <rPh sb="0" eb="3">
      <t>ボウエイセン</t>
    </rPh>
    <rPh sb="4" eb="5">
      <t>フク</t>
    </rPh>
    <rPh sb="6" eb="7">
      <t>ヨ</t>
    </rPh>
    <rPh sb="8" eb="9">
      <t>コ</t>
    </rPh>
    <rPh sb="10" eb="12">
      <t>ダイジャ</t>
    </rPh>
    <rPh sb="12" eb="14">
      <t>ムシャ</t>
    </rPh>
    <phoneticPr fontId="1"/>
  </si>
  <si>
    <t>大阪</t>
    <rPh sb="0" eb="2">
      <t>オオサカ</t>
    </rPh>
    <phoneticPr fontId="1"/>
  </si>
  <si>
    <t>四神戦 うり坊達と一緒！幻の岩兎ガチャ</t>
    <rPh sb="0" eb="1">
      <t>ヨン</t>
    </rPh>
    <rPh sb="1" eb="2">
      <t>シン</t>
    </rPh>
    <rPh sb="2" eb="3">
      <t>セン</t>
    </rPh>
    <rPh sb="6" eb="7">
      <t>ボウ</t>
    </rPh>
    <rPh sb="7" eb="8">
      <t>タチ</t>
    </rPh>
    <rPh sb="9" eb="11">
      <t>イッショ</t>
    </rPh>
    <rPh sb="12" eb="13">
      <t>マボロシ</t>
    </rPh>
    <rPh sb="14" eb="15">
      <t>イワ</t>
    </rPh>
    <rPh sb="15" eb="16">
      <t>ウサギ</t>
    </rPh>
    <phoneticPr fontId="1"/>
  </si>
  <si>
    <t>戦技名</t>
    <rPh sb="0" eb="2">
      <t>センギ</t>
    </rPh>
    <rPh sb="2" eb="3">
      <t>メイ</t>
    </rPh>
    <phoneticPr fontId="1"/>
  </si>
  <si>
    <t>輝夜月姫</t>
    <phoneticPr fontId="1"/>
  </si>
  <si>
    <t>味方が多いほど大ダメージ</t>
    <phoneticPr fontId="1"/>
  </si>
  <si>
    <t>消費P</t>
    <rPh sb="0" eb="2">
      <t>ショウヒ</t>
    </rPh>
    <phoneticPr fontId="1"/>
  </si>
  <si>
    <t>刹那！最強DOWN隊士ガチャ</t>
    <rPh sb="0" eb="2">
      <t>セツナ</t>
    </rPh>
    <rPh sb="3" eb="5">
      <t>サイキョウタイシ</t>
    </rPh>
    <phoneticPr fontId="1"/>
  </si>
  <si>
    <t>サイコロ行脚 火花散る氷雪の激闘ガチャ</t>
    <rPh sb="4" eb="6">
      <t>アンギャ</t>
    </rPh>
    <rPh sb="7" eb="9">
      <t>ヒバナ</t>
    </rPh>
    <rPh sb="9" eb="10">
      <t>チ</t>
    </rPh>
    <rPh sb="11" eb="13">
      <t>ヒョウセツ</t>
    </rPh>
    <rPh sb="14" eb="16">
      <t>ゲキトウ</t>
    </rPh>
    <phoneticPr fontId="1"/>
  </si>
  <si>
    <t>埼玉</t>
    <rPh sb="0" eb="2">
      <t>サイタマ</t>
    </rPh>
    <phoneticPr fontId="1"/>
  </si>
  <si>
    <t>2019新春福引ガチャ</t>
    <rPh sb="4" eb="6">
      <t>シンシュン</t>
    </rPh>
    <rPh sb="6" eb="8">
      <t>フクビキ</t>
    </rPh>
    <phoneticPr fontId="1"/>
  </si>
  <si>
    <t>1/20 12:00～1/22 23:59</t>
  </si>
  <si>
    <t>兵糧越光</t>
  </si>
  <si>
    <t>敵単体に極大ダメージ！</t>
  </si>
  <si>
    <t>かぼ♡チャージ</t>
  </si>
  <si>
    <t>攻撃時に追加ダメージ</t>
  </si>
  <si>
    <t>【夏祭り】那須与一</t>
  </si>
  <si>
    <t>なつまつりなすのよいち</t>
  </si>
  <si>
    <t>天の華</t>
  </si>
  <si>
    <t>【月見酒】出雲阿国</t>
  </si>
  <si>
    <t>つきみざけいずものおくに</t>
  </si>
  <si>
    <t>月夜の杯</t>
  </si>
  <si>
    <t>撹拌凍結</t>
  </si>
  <si>
    <t>相手の防御デッキに名物が多いほど大ダメージ</t>
  </si>
  <si>
    <t>1/20 18:00～1/21 11:59</t>
  </si>
  <si>
    <t>【迎春】コイノミコト</t>
  </si>
  <si>
    <t>げいしゅんこいのみこと</t>
  </si>
  <si>
    <t>恋の計は元旦にあり</t>
  </si>
  <si>
    <t>タイプ伝承・武人・姫の防60％UP</t>
  </si>
  <si>
    <t>一定時間、敵が多いほど自軍のダメージ軽減</t>
  </si>
  <si>
    <t>【迎春】由良妙印尼</t>
  </si>
  <si>
    <t>げいしゅんゆらみょういんに</t>
  </si>
  <si>
    <t>素敵な破魔矢</t>
  </si>
  <si>
    <t>策戦 兵站奇襲</t>
  </si>
  <si>
    <t>げいしゅんいくまつ</t>
  </si>
  <si>
    <t>書初め・才色兼備</t>
  </si>
  <si>
    <t>げいしゅんばけだぬき</t>
  </si>
  <si>
    <t>美味しい正月料理</t>
  </si>
  <si>
    <t>タイプ神秘・知性派・飲食の防60％DOWN　/　タイプ偉人・妖怪・名物の攻20％UP</t>
  </si>
  <si>
    <t>[新生]【天地人】直江兼続</t>
  </si>
  <si>
    <t>しんせいてんちじんなおえかねつぐ</t>
  </si>
  <si>
    <t>愛掲げ天地を愛す</t>
  </si>
  <si>
    <t>タイプ姫・伝承の防35％UP　/　タイプ【武人】の防20％UP</t>
  </si>
  <si>
    <t>[新生]金印ちゃん</t>
  </si>
  <si>
    <t>しんせいきんいんちゃん</t>
  </si>
  <si>
    <t>黄金の皇帝印</t>
  </si>
  <si>
    <t>タイプ偉人・妖怪の攻35％UP　/　タイプ【名物】の攻20％UP</t>
  </si>
  <si>
    <t>[新生]【初詣荒らし】たこ焼きちゃん</t>
  </si>
  <si>
    <t>しんせいはつもうであらしたこやきちゃん</t>
  </si>
  <si>
    <t>新年の食いだおれ</t>
  </si>
  <si>
    <t>タイプ神秘・知性派の攻35％UP　/　タイプ【飲食】の攻20％UP</t>
  </si>
  <si>
    <t>[新生]万年筆ちゃん</t>
  </si>
  <si>
    <t>しんせいまんねんひつちゃん</t>
  </si>
  <si>
    <t>万年の文具</t>
  </si>
  <si>
    <t>[新生]【雪の王国】松浦佐用姫伝説</t>
  </si>
  <si>
    <t>しんせいゆきのおうこくまつらさよひめでんせつ</t>
  </si>
  <si>
    <t>氷石に閉じ込めた想い</t>
  </si>
  <si>
    <t>[新生]【鏡開き】日本酒ちゃん</t>
  </si>
  <si>
    <t>しんせいかがみびらきにほんしゅちゃん</t>
  </si>
  <si>
    <t>あけました鏡開き</t>
  </si>
  <si>
    <t>[新生]戸川秀安</t>
  </si>
  <si>
    <t>しんせいとがわひでやす</t>
  </si>
  <si>
    <t>宇喜多三老の一剣</t>
  </si>
  <si>
    <t>1/2 12:00～1/3 23:59</t>
  </si>
  <si>
    <t>【Yシャツ】赤井輝子</t>
  </si>
  <si>
    <t>わいしゃつあかいてるこ</t>
  </si>
  <si>
    <t>白き衣の戦乙女</t>
  </si>
  <si>
    <t>タイプ伝承・武人・姫の攻20％UP</t>
  </si>
  <si>
    <t>タイプ姫・伝承の攻17％UP</t>
  </si>
  <si>
    <t>タイプ姫・伝承の攻12％UP</t>
  </si>
  <si>
    <t>1/2 18:00～1/4 23:59</t>
  </si>
  <si>
    <t>クレスティル玲奈</t>
  </si>
  <si>
    <t>くれすてぃるれいな</t>
  </si>
  <si>
    <t>こたつとお雑煮</t>
  </si>
  <si>
    <t>タイプ神秘・知性派の防50％UP　/　タイプ【飲食】の防35％UP</t>
  </si>
  <si>
    <t>小山田勇音</t>
  </si>
  <si>
    <t>おやまだいさね</t>
  </si>
  <si>
    <t>着物武装</t>
  </si>
  <si>
    <t>タイプ妖怪・名物の防60％UP　/　タイプ【偉人】の防30％UP</t>
  </si>
  <si>
    <t>宝塚まりも</t>
  </si>
  <si>
    <t>たからづかまりも</t>
  </si>
  <si>
    <t>寂しがり屋な小悪魔</t>
  </si>
  <si>
    <t>【迎春】玉城盛重</t>
  </si>
  <si>
    <t>げいしゅんたまぐすくせいじゅう</t>
  </si>
  <si>
    <t>伝統を重んじる勝負</t>
  </si>
  <si>
    <t>タイプ神秘・飲食の攻35％UP　/　タイプ伝承・武人・姫の攻12％UP</t>
  </si>
  <si>
    <t>【節分パニック】レプンカムイ</t>
  </si>
  <si>
    <t>せつぶんぱにっくれぷんかむい</t>
  </si>
  <si>
    <t>糧をもたらす鬼</t>
  </si>
  <si>
    <t>タイプ知性派・飲食の攻35％UP　/　タイプ偉人・妖怪の攻20％UP</t>
  </si>
  <si>
    <t>【鬼切衆】濡髪童子</t>
  </si>
  <si>
    <t>おにきりしゅうぬれがみどうじ</t>
  </si>
  <si>
    <t>水も滴る美白狐の誓い</t>
  </si>
  <si>
    <t>タイプ偉人・名物の攻35％UP　/　タイプ知性派・飲食の攻20％UP</t>
  </si>
  <si>
    <t>1/3 11:00～1/5 23:59</t>
  </si>
  <si>
    <t>【迎春】天草四郎</t>
  </si>
  <si>
    <t>げいしゅんあまくさしろう</t>
  </si>
  <si>
    <t>厄払いという奇跡</t>
  </si>
  <si>
    <t>タイプ名物・妖怪・姫の防60％UP　/　タイプ【偉人】の防30％UP</t>
  </si>
  <si>
    <t>フルーツトマトちゃん</t>
  </si>
  <si>
    <t>ふるーつとまとちゃん</t>
  </si>
  <si>
    <t>甘さの追求</t>
  </si>
  <si>
    <t>タイプ神秘・知性派・飲食の防35％UP</t>
  </si>
  <si>
    <t>敵全体の攻20％DOWN</t>
  </si>
  <si>
    <t>影鰐</t>
  </si>
  <si>
    <t>かげわに</t>
  </si>
  <si>
    <t>忍び寄る影</t>
  </si>
  <si>
    <t>タイプ伝承・武人・姫の防30％UP　/　タイプ武人・妖怪・名物・偉人の攻25％DOWN</t>
  </si>
  <si>
    <t>ブルーインパルス</t>
  </si>
  <si>
    <t>ぶるーいんぱるす</t>
  </si>
  <si>
    <t>青空に描く希望の印</t>
  </si>
  <si>
    <t>タイプ偉人・妖怪・伝承の攻40％UP　/　タイプ名物・知性派・飲食・神秘の攻15％UP</t>
  </si>
  <si>
    <t>西園寺公望</t>
  </si>
  <si>
    <t>さいおんじきんもち</t>
  </si>
  <si>
    <t>西欧の思念を伝えし元老</t>
  </si>
  <si>
    <t>狐狗狸狐</t>
  </si>
  <si>
    <t>こくりこ</t>
  </si>
  <si>
    <t>全てを支配する狐の意思</t>
  </si>
  <si>
    <t>タイプ偉人・妖怪・名物の防80％DOWN　/　タイプ知性派・飲食の攻25％UP</t>
  </si>
  <si>
    <t>コクリ連爪</t>
  </si>
  <si>
    <t>敵単体に一定割合で連続攻撃をする</t>
  </si>
  <si>
    <t>雪窓夫人</t>
  </si>
  <si>
    <t>せっそうふじん</t>
  </si>
  <si>
    <t>島津を支える雪美人</t>
  </si>
  <si>
    <t>タイプ【武人】の防90％UP　/　タイプ姫・伝承の防20％UP</t>
  </si>
  <si>
    <t>1/3 18:00～1/3 21:59</t>
  </si>
  <si>
    <t>ユーカラに咲く絶世の花</t>
  </si>
  <si>
    <t>メインデッキの自地方隊士の所属一致ボーナスを120％UP（全国・東西日本所属は除く）</t>
  </si>
  <si>
    <t>絶海に浮かぶ二重カルデラの孤島</t>
  </si>
  <si>
    <t>別れを惜しむ、きりぎりす</t>
  </si>
  <si>
    <t>一期一会の心得たるや</t>
  </si>
  <si>
    <t>水心理因の心のごとく</t>
  </si>
  <si>
    <t>太陽を呼び戻した功労者</t>
  </si>
  <si>
    <t>(DX)1/4 12:00～1/8 11:59</t>
  </si>
  <si>
    <t>【七福神】オロチの武者</t>
  </si>
  <si>
    <t>しちふくじんおろちのむしゃ</t>
  </si>
  <si>
    <t>新たな可能性</t>
  </si>
  <si>
    <t>[新生]細川ガラシャ</t>
  </si>
  <si>
    <t>しんせいほそかわがらしゃ</t>
  </si>
  <si>
    <t>神の恵みの洗礼</t>
  </si>
  <si>
    <t>タイプ武人・伝承の攻30％UP　/　タイプ【姫】の攻10％UP</t>
  </si>
  <si>
    <t>[新生]アテルイ</t>
  </si>
  <si>
    <t>しんせいあてるい</t>
  </si>
  <si>
    <t>北の英雄</t>
  </si>
  <si>
    <t>タイプ妖怪・名物の防20％UP</t>
  </si>
  <si>
    <t>[新生]恵方巻きちゃん</t>
  </si>
  <si>
    <t>しんせいえほうまきちゃん</t>
  </si>
  <si>
    <t>招福特大巻</t>
  </si>
  <si>
    <t>タイプ【知性派】の攻20％UP</t>
  </si>
  <si>
    <t>1/4 18:00～1/6 23:59</t>
  </si>
  <si>
    <t>鬼刃七変化</t>
  </si>
  <si>
    <t>攻撃するほど大ダメージ</t>
  </si>
  <si>
    <t>【獣水着】黒百合伝説</t>
  </si>
  <si>
    <t>けものみずぎくろゆりでんせつ</t>
  </si>
  <si>
    <t>百合狐の誘惑</t>
  </si>
  <si>
    <t>タイプ姫・武人・知性派の攻50％UP　/　タイプ【伝承】の攻25％UP</t>
  </si>
  <si>
    <t>長白羽神</t>
  </si>
  <si>
    <t>ながしらはのかみ</t>
  </si>
  <si>
    <t>麻の神が織りし白羽</t>
  </si>
  <si>
    <t>タイプ神秘・知性派・飲食の防60％DOWN　/　タイプ神秘・知性派・飲食の攻25％UP</t>
  </si>
  <si>
    <t>百足姫</t>
  </si>
  <si>
    <t>むかでひめ</t>
  </si>
  <si>
    <t>代々伝わる家宝の因縁</t>
  </si>
  <si>
    <t>【昭和レトロポップ】斯波園女</t>
  </si>
  <si>
    <t>しょうわれとろぽっぷしばのそのめ</t>
  </si>
  <si>
    <t>駄菓子のあらし、見る暇もなし</t>
  </si>
  <si>
    <t>1/5 11:00～1/5 23:59</t>
  </si>
  <si>
    <t>化け猫の歌詠</t>
  </si>
  <si>
    <t>1/5 18:00～1/7 23:59</t>
  </si>
  <si>
    <t>仙桃丹</t>
  </si>
  <si>
    <t>終ノ大将軍</t>
  </si>
  <si>
    <t>味方全体にダメージ軽減のバリアを付与する</t>
  </si>
  <si>
    <t>パヴァーリア王女</t>
  </si>
  <si>
    <t>ぱゔぁーりあおうじょ</t>
  </si>
  <si>
    <t>マウアフォル</t>
  </si>
  <si>
    <t>舞蝶ミシェルー</t>
  </si>
  <si>
    <t>あげはみしぇるー</t>
  </si>
  <si>
    <t>可憐な羽ばたき</t>
  </si>
  <si>
    <t>タイプ【神秘】の防30％UP　/　タイプ知性派・飲食の防15％UP</t>
  </si>
  <si>
    <t>【華の太夫】中野竹子</t>
  </si>
  <si>
    <t>はなのだゆうなかのたけこ</t>
  </si>
  <si>
    <t>もののふの猛き心にくらぶれば</t>
  </si>
  <si>
    <t>【お料理】エヒメノミコト</t>
  </si>
  <si>
    <t>おりょうりえひめのみこと</t>
  </si>
  <si>
    <t>強火で炒める輝く焼き飯</t>
  </si>
  <si>
    <t>タイプ知性派・飲食の防30％UP　/　タイプ【神秘】の防10％UP</t>
  </si>
  <si>
    <t>【女給】蓮華草</t>
  </si>
  <si>
    <t>じょきゅうれんげそう</t>
  </si>
  <si>
    <t>ゲンゲの花が咲く店で</t>
  </si>
  <si>
    <t>タイプ偉人・妖怪の攻30％UP　/　タイプ【名物】の攻10％UP</t>
  </si>
  <si>
    <t>1/6 12:00～1/7 11:59</t>
  </si>
  <si>
    <t>井原西鶴</t>
  </si>
  <si>
    <t>江戸文学最高峰の一角を記す筆</t>
  </si>
  <si>
    <t>しこみ簪</t>
  </si>
  <si>
    <t>ベルベット</t>
  </si>
  <si>
    <t>べるべっと</t>
  </si>
  <si>
    <t>やみつきの手触り</t>
  </si>
  <si>
    <t>タイプ偉人・妖怪・名物の防10％UP　/　タイプ名物・武人・姫・伝承の攻35％DOWN</t>
  </si>
  <si>
    <t>天鵞絨壁</t>
  </si>
  <si>
    <t>味方単体にダメージ軽減のバリアを付与する</t>
  </si>
  <si>
    <t>1/6 20:00～1/6 23:59</t>
  </si>
  <si>
    <t>1/7 11:00～1/7 23:59</t>
  </si>
  <si>
    <t>源範頼</t>
  </si>
  <si>
    <t>みなもとののりより</t>
  </si>
  <si>
    <t>大軍を率いて各地を巡る吉見御所</t>
  </si>
  <si>
    <t>タイプ姫・伝承の防12％UP　/　タイプ【武人】の防10％UP</t>
  </si>
  <si>
    <t>タイプ姫・伝承の防10％UP　/　タイプ【武人】の防5％UP</t>
  </si>
  <si>
    <t>陸奥宗光</t>
  </si>
  <si>
    <t>むつむねみつ</t>
  </si>
  <si>
    <t>電光石火のカミソリ大臣</t>
  </si>
  <si>
    <t>タイプ妖怪・名物の攻30％UP　/　タイプ【偉人】の攻20％UP</t>
  </si>
  <si>
    <t>オキクルミ</t>
  </si>
  <si>
    <t>おきくるみ</t>
  </si>
  <si>
    <t>天を衝く英雄の矢</t>
  </si>
  <si>
    <t>タイプ偉人・妖怪・名物の防30％DOWN　/　タイプ知性派・飲食の攻15％UP</t>
  </si>
  <si>
    <t>タイプ偉人・妖怪の防15％DOWN　/　タイプ知性派・飲食の攻10％UP</t>
  </si>
  <si>
    <t>1/7 18:00～1/9 23:59</t>
  </si>
  <si>
    <t>【鯉のぼり】竜宮神</t>
  </si>
  <si>
    <t>こいのぼりりゅうぐうじん</t>
  </si>
  <si>
    <t>天昇る伝説の登竜門</t>
  </si>
  <si>
    <t>タイプ神秘・知性派・飲食の防35％UP　/　タイプ妖怪・名物・偉人・姫・武人・伝承の攻15％DOWN</t>
  </si>
  <si>
    <t>渦巻く蓬莱</t>
  </si>
  <si>
    <t>一定時間、自身が攻撃を受ける際の戦技によるダメージUP効果を無効化する</t>
  </si>
  <si>
    <t>【遊園地】ラグーザ玉</t>
  </si>
  <si>
    <t>ゆうえんちらぐーざたま</t>
  </si>
  <si>
    <t>廻る宝石箱で微笑む淑女</t>
  </si>
  <si>
    <t>【おかし】厳島内侍</t>
  </si>
  <si>
    <t>おかしいつくしまのないじ</t>
  </si>
  <si>
    <t>王道を極めた祝福の甘さ</t>
  </si>
  <si>
    <t>タイプ名物・妖怪・飲食の防40％UP　/　タイプ【偉人】の防35％UP</t>
  </si>
  <si>
    <t>梓弓</t>
  </si>
  <si>
    <t>霊界との橋渡し</t>
  </si>
  <si>
    <t>策戦 敵陣突破</t>
  </si>
  <si>
    <t>(DX)1/8 12:00～1/14 11:59</t>
  </si>
  <si>
    <t>【亥年】イワイセポ</t>
  </si>
  <si>
    <t>いどしいわいせぽ</t>
  </si>
  <si>
    <t>幻の岩兎</t>
  </si>
  <si>
    <t>タイプ武人・伝承の防90％DOWN　/　タイプ偉人・妖怪・名物の攻15％UP</t>
  </si>
  <si>
    <t>[新生]【バイク】北の方</t>
  </si>
  <si>
    <t>しんせいばいくきたのかた</t>
  </si>
  <si>
    <t>機械仕掛けの馬は今日も行く</t>
  </si>
  <si>
    <t>タイプ姫・伝承の防30％UP　/　タイプ【武人】の防10％UP</t>
  </si>
  <si>
    <t>[新生]【年明け】讃岐うどんちゃん</t>
  </si>
  <si>
    <t>しんせいとしあけさぬきうどんちゃん</t>
  </si>
  <si>
    <t>年明け歯ごたえの一杯</t>
  </si>
  <si>
    <t>タイプ神秘・知性派の攻20％UP</t>
  </si>
  <si>
    <t>[新生]【紙幣】和気清麻呂</t>
  </si>
  <si>
    <t>しんせいしへいわけのきよまろ</t>
  </si>
  <si>
    <t>一族繋がりの十円札</t>
  </si>
  <si>
    <t>1/9 12:00～1/14 11:59</t>
  </si>
  <si>
    <t>【Yシャツ】小野小町</t>
  </si>
  <si>
    <t>わいしゃつおののこまち</t>
  </si>
  <si>
    <t>稀代の恋愛ソング小町</t>
  </si>
  <si>
    <t>タイプ【名物】の攻75％UP　/　タイプ偉人・妖怪の攻30％UP</t>
  </si>
  <si>
    <t>タイプ【名物】の攻50％UP　/　タイプ偉人・妖怪の攻25％UP</t>
  </si>
  <si>
    <t>タイプ【名物】の攻40％UP　/　タイプ偉人・妖怪の攻15％UP</t>
  </si>
  <si>
    <t>1/9 18:00～1/11 23:59</t>
  </si>
  <si>
    <t>輝夜月姫</t>
  </si>
  <si>
    <t>味方が多いほど大ダメージ</t>
  </si>
  <si>
    <t>刑部神通力</t>
  </si>
  <si>
    <t>一定割合で、自軍への攻撃を回避して県HPを回復</t>
  </si>
  <si>
    <t>円城寺ケイト</t>
  </si>
  <si>
    <t>えんじょうじけいと</t>
  </si>
  <si>
    <t>逮捕遊戯</t>
  </si>
  <si>
    <t>タイプ偉人・妖怪・名物の防50％UP</t>
  </si>
  <si>
    <t>受けたダメージを相手にも与える</t>
  </si>
  <si>
    <t>ユノ カーライル</t>
  </si>
  <si>
    <t>ゆのかーらいる</t>
  </si>
  <si>
    <t>スイートトラップ</t>
  </si>
  <si>
    <t>【水無月婚】バラ</t>
  </si>
  <si>
    <t>みなづきこんばら</t>
  </si>
  <si>
    <t>放たれる愛の象徴</t>
  </si>
  <si>
    <t>【春舞】立花誾千代</t>
  </si>
  <si>
    <t>はるまいたちばなぎんちよ</t>
  </si>
  <si>
    <t>荒ぶる女城主の巫女神楽</t>
  </si>
  <si>
    <t>タイプ武人・伝承の攻35％UP　/　タイプ知性派・飲食の攻20％UP</t>
  </si>
  <si>
    <t>1/10 11:00～1/10 23:59</t>
  </si>
  <si>
    <t>1/10 18:00～1/12 23:59</t>
  </si>
  <si>
    <t>三神覚醒</t>
  </si>
  <si>
    <t>敵・味方全体の発動中戦技効果を消滅させる</t>
  </si>
  <si>
    <t>寺田寅彦</t>
  </si>
  <si>
    <t>てらだとらひこ</t>
  </si>
  <si>
    <t>本質見抜く天才</t>
  </si>
  <si>
    <t>タイプ偉人・妖怪・名物の攻70％DOWN　/　タイプ妖怪・名物の防30％UP</t>
  </si>
  <si>
    <t>小野道風</t>
  </si>
  <si>
    <t>おののみちかぜ</t>
  </si>
  <si>
    <t>蛙に学んだ惜しまぬ努力</t>
  </si>
  <si>
    <t>浦上政宗</t>
  </si>
  <si>
    <t>うらがみまさむね</t>
  </si>
  <si>
    <t>父の仇と進む道</t>
  </si>
  <si>
    <t>タイプ伝承・武人・姫の防35％UP　/　タイプ偉人・妖怪・名物の攻10％DOWN</t>
  </si>
  <si>
    <t>【イースターバニー】山室機恵子</t>
  </si>
  <si>
    <t>いーすたーばにーやまむろきえこ</t>
  </si>
  <si>
    <t>イースターエッグをあなたに</t>
  </si>
  <si>
    <t>タイプ名物・妖怪の防30％UP　/　タイプ【偉人】の防10％UP</t>
  </si>
  <si>
    <t>【ウィンタースポーツ】桑姫</t>
  </si>
  <si>
    <t>うぃんたーすぽーつくわひめ</t>
  </si>
  <si>
    <t>緩やかな坂を下る糸紡姫</t>
  </si>
  <si>
    <t>【初夏の盛装】マドレーヌちゃん</t>
  </si>
  <si>
    <t>しょかのせいそうまどれーぬちゃん</t>
  </si>
  <si>
    <t>アーリーサマースイート</t>
  </si>
  <si>
    <t>1/11 11:00～1/13 23:59</t>
  </si>
  <si>
    <t>マリアの祈り</t>
  </si>
  <si>
    <t>一定ダメージ身代わりする。</t>
  </si>
  <si>
    <t>魔弾のティルソルシエール</t>
  </si>
  <si>
    <t>まだんのてぃるそるしえーる</t>
  </si>
  <si>
    <t>魔弓の代償</t>
  </si>
  <si>
    <t>十二単</t>
  </si>
  <si>
    <t>じゅうにひとえ</t>
  </si>
  <si>
    <t>十重二十重の思い</t>
  </si>
  <si>
    <t>タイプ伝承・武人・姫の攻15％UP　/　タイプ偉人・姫・武人・伝承の防25％DOWN</t>
  </si>
  <si>
    <t>月下翁</t>
  </si>
  <si>
    <t>げっかおう</t>
  </si>
  <si>
    <t>月下に操る運命の糸</t>
  </si>
  <si>
    <t>江戸からかみちゃん</t>
  </si>
  <si>
    <t>えどからかみちゃん</t>
  </si>
  <si>
    <t>１枚の紙に込めたる職人の技</t>
  </si>
  <si>
    <t>タイプ偉人・妖怪・名物の攻35％UP　/　タイプ伝承・武人・姫の防5％DOWN</t>
  </si>
  <si>
    <t>軍計 死路穽陥</t>
  </si>
  <si>
    <t>1/11 20:00～1/11 23:59</t>
  </si>
  <si>
    <t>勁松院綏姫</t>
  </si>
  <si>
    <t>けいしょういんまさひめ</t>
  </si>
  <si>
    <t>その心、夫が為に</t>
  </si>
  <si>
    <t>中浦ジュリアン</t>
  </si>
  <si>
    <t>なかうらじゅりあん</t>
  </si>
  <si>
    <t>ローマに赴く若き使節たち</t>
  </si>
  <si>
    <t>タイプ偉人・妖怪・名物の防40％UP　/　所属が【東日本】と、それに属する地方・県、および【全国】の攻30％DOWN</t>
  </si>
  <si>
    <t>【セレブ】クシヤタマノカミ</t>
  </si>
  <si>
    <t>せれぶくしやたまのかみ</t>
  </si>
  <si>
    <t>神世界一のセレブシェフ</t>
  </si>
  <si>
    <t>天魔</t>
  </si>
  <si>
    <t>てんま</t>
  </si>
  <si>
    <t>欲望と誘惑の根源</t>
  </si>
  <si>
    <t>タイプ神秘・知性派・飲食の防25％UP　/　タイプ伝承・武人・姫の攻50％DOWN</t>
  </si>
  <si>
    <t>1/12 12:00～1/14 23:59</t>
  </si>
  <si>
    <t>1/12 18:00～1/12 21:59</t>
  </si>
  <si>
    <t>なんぶはるまさ</t>
  </si>
  <si>
    <t>あしかがしまひめ</t>
  </si>
  <si>
    <t>きゅうそ</t>
  </si>
  <si>
    <t>あんころもち</t>
  </si>
  <si>
    <t>ひらがゆずる</t>
  </si>
  <si>
    <t>きたはらはくしゅう</t>
  </si>
  <si>
    <t>1/13 12:00～1/14 11:59</t>
  </si>
  <si>
    <t>相手の攻撃を引き付ける</t>
  </si>
  <si>
    <t>東の菩薩演義</t>
  </si>
  <si>
    <t>ひがしのぼさつえんぎ</t>
  </si>
  <si>
    <t>導きの光</t>
  </si>
  <si>
    <t>タイプ神秘・知性派・飲食の防10％UP　/　タイプ伝承・武人・姫の攻15％DOWN</t>
  </si>
  <si>
    <t>西の菩薩演義</t>
  </si>
  <si>
    <t>にしのぼさつえんぎ</t>
  </si>
  <si>
    <t>慈愛の心</t>
  </si>
  <si>
    <t>救世菩薩演義</t>
  </si>
  <si>
    <t>ぐぜぼさつえんぎ</t>
  </si>
  <si>
    <t>見守られる大地</t>
  </si>
  <si>
    <t>タイプ神秘・知性派・飲食の防25％UP　/　タイプ伝承・武人・姫の攻80％DOWN</t>
  </si>
  <si>
    <t>東の撩乱演義</t>
  </si>
  <si>
    <t>ひがしのりょうらんえんぎ</t>
  </si>
  <si>
    <t>戟ノ閃</t>
  </si>
  <si>
    <t>タイプ姫・伝承の防15％UP</t>
  </si>
  <si>
    <t>西の撩乱演義</t>
  </si>
  <si>
    <t>にしのりょうらんえんぎ</t>
  </si>
  <si>
    <t>刀ノ舞</t>
  </si>
  <si>
    <t>刀戟撩乱演義</t>
  </si>
  <si>
    <t>とうげきりょうらんえんぎ</t>
  </si>
  <si>
    <t>百花繚乱</t>
  </si>
  <si>
    <t>1/13 18:00～1/15 23:59</t>
  </si>
  <si>
    <t>自軍HP残り割合が敵軍より低いほど大ダメージ</t>
  </si>
  <si>
    <t>【節分】雪女</t>
  </si>
  <si>
    <t>せつぶんゆきおんな</t>
  </si>
  <si>
    <t>雪降る夜に現れた鬼</t>
  </si>
  <si>
    <t>タイプ偉人・名物の防50％UP　/　タイプ【妖怪】の防40％UP</t>
  </si>
  <si>
    <t>狂い吹雪</t>
  </si>
  <si>
    <t>一定時間、自軍が受けたダメージに応じて必ず相手に反射する</t>
  </si>
  <si>
    <t>飛龍窯</t>
  </si>
  <si>
    <t>ひりゅうがま</t>
  </si>
  <si>
    <t>登り飛竜</t>
  </si>
  <si>
    <t>浜松歌国</t>
  </si>
  <si>
    <t>はままつうたくに</t>
  </si>
  <si>
    <t>愛するゆえの辛辣な歌舞伎評</t>
  </si>
  <si>
    <t>(DX)1/14 12:00～1/21 11:59</t>
  </si>
  <si>
    <t>【ウィンタースポーツ】月見酒ちゃん</t>
  </si>
  <si>
    <t>うぃんたーすぽーつつきみざけちゃん</t>
  </si>
  <si>
    <t>氷上の酒仙乙女</t>
  </si>
  <si>
    <t>[新生]【ウィンタースポーツ】桑姫</t>
  </si>
  <si>
    <t>しんせいうぃんたーすぽーつくわひめ</t>
  </si>
  <si>
    <t>[新生]雪渡り</t>
  </si>
  <si>
    <t>しんせいゆきわたり</t>
  </si>
  <si>
    <t>信頼の黍団子</t>
  </si>
  <si>
    <t>[新生]羽子板ちゃん</t>
  </si>
  <si>
    <t>しんせいはごいたちゃん</t>
  </si>
  <si>
    <t>墨まみれ羽根つき大会</t>
  </si>
  <si>
    <t>タイプ【偉人】の防20％UP</t>
  </si>
  <si>
    <t>1/14 15:00～1/14 23:59</t>
  </si>
  <si>
    <t>【鯉のぼり】光明皇后</t>
  </si>
  <si>
    <t>こいのぼりこうみょうこうごう</t>
  </si>
  <si>
    <t>慈愛満ちた鯉如来</t>
  </si>
  <si>
    <t>敵単体に大ダメージ</t>
  </si>
  <si>
    <t>1/15 12:00～1/20 22:59</t>
  </si>
  <si>
    <t>【Yシャツ】TKGちゃん</t>
  </si>
  <si>
    <t>わいしゃつたまごかけごはんちゃん</t>
  </si>
  <si>
    <t>目覚めの特効薬TKG</t>
  </si>
  <si>
    <t>タイプ神秘・知性派の攻25％UP　/　タイプ【飲食】の攻10％UP</t>
  </si>
  <si>
    <t>タイプ神秘・知性派の攻12％UP　/　タイプ【飲食】の攻10％UP</t>
  </si>
  <si>
    <t>タイプ神秘・知性派の攻10％UP　/　タイプ【飲食】の攻5％UP</t>
  </si>
  <si>
    <t>1/15 15:00～1/16 23:59</t>
  </si>
  <si>
    <t>【幽精】黒百合伝説</t>
  </si>
  <si>
    <t>闇ニ堕チル黒花ノ精</t>
  </si>
  <si>
    <t>タイプ伝承・武人・姫の攻15％UP　/　タイプ妖怪・名物・偉人・姫の防25％DOWN</t>
  </si>
  <si>
    <t>【お弁当】猫狸</t>
  </si>
  <si>
    <t>おべんとうねこだぬき</t>
  </si>
  <si>
    <t>ほら、食べて食べて～！</t>
  </si>
  <si>
    <t>タイプ妖怪・名物の防100％DOWN　/　タイプ偉人・名物の攻20％UP</t>
  </si>
  <si>
    <t>【ヴィランズ】春日局</t>
  </si>
  <si>
    <t>ゔぃらんずかすがのつぼね</t>
  </si>
  <si>
    <t>すべてを掌握する蜘蛛の虜</t>
  </si>
  <si>
    <t>タイプ神秘・知性派・飲食の防40％UP　/　タイプ神秘・知性派・飲食の攻10％DOWN</t>
  </si>
  <si>
    <t>【うたたね】あま姫</t>
  </si>
  <si>
    <t>うたたねあまひめ</t>
  </si>
  <si>
    <t>幼い嫁のお昼寝時間</t>
  </si>
  <si>
    <t>タイプ伝承・武人・偉人の攻25％UP</t>
  </si>
  <si>
    <t>【マーチングバンド】斯波園女</t>
  </si>
  <si>
    <t>まーちんぐばんどしばそのめ</t>
  </si>
  <si>
    <t>澄み渡る白菊の音色</t>
  </si>
  <si>
    <t>タイプ偉人・妖怪の防25％UP　/　タイプ飲食・知性派・名物の防20％UP</t>
  </si>
  <si>
    <t>1/16 11:00～1/16 23:59</t>
  </si>
  <si>
    <t>県HP中回復</t>
  </si>
  <si>
    <t>1/16 18:00～1/18 23:59</t>
  </si>
  <si>
    <t>【運動会】鬼切丸</t>
  </si>
  <si>
    <t>鬼の如く斬るテープ</t>
  </si>
  <si>
    <t>タイプ偉人・名物の攻35％UP　/　タイプ神秘・知性派の防100％DOWN</t>
  </si>
  <si>
    <t>しろきつねのおおしばい</t>
  </si>
  <si>
    <t>葛の葉</t>
  </si>
  <si>
    <t>タイプ伝承・武人・姫の攻30％UP　/　タイプ妖怪・名物・偉人・飲食の防13％DOWN</t>
  </si>
  <si>
    <t>パヨカカムイ</t>
  </si>
  <si>
    <t>ぱよかかむい</t>
  </si>
  <si>
    <t>村を救ったユーカラの語り手</t>
  </si>
  <si>
    <t>タイプ伝承・武人・姫の防60％DOWN　/　タイプ神秘・知性派・飲食の攻25％UP</t>
  </si>
  <si>
    <t>【鬼無里の郷】鬼女紅葉</t>
  </si>
  <si>
    <t>きなさのさときじょもみじ</t>
  </si>
  <si>
    <t>紅葉狩</t>
  </si>
  <si>
    <t>1/17 11:00～1/19 23:59</t>
  </si>
  <si>
    <t>【雨の花嫁】樋口一葉</t>
  </si>
  <si>
    <t>タイプ妖怪・名物の攻65％UP　/　タイプ【偉人】の攻35％UP</t>
  </si>
  <si>
    <t>落花流水</t>
  </si>
  <si>
    <t>敵が多いほど大ダメージ</t>
  </si>
  <si>
    <t>バトルでコンボに成功した時、コンボ数が4UPする。コンボ＋3</t>
  </si>
  <si>
    <t>紺碧の嘆き歌</t>
  </si>
  <si>
    <t>かさね</t>
  </si>
  <si>
    <t>かさね重なる魂の因果</t>
  </si>
  <si>
    <t>タイプ伝承・武人・姫の防15％UP　/　タイプ妖怪・名物・偉人・飲食の攻25％DOWN</t>
  </si>
  <si>
    <t>柳生利厳</t>
  </si>
  <si>
    <t>やぎゅうとしよし</t>
  </si>
  <si>
    <t>剣豪の意志継ぐ新陰流剣士</t>
  </si>
  <si>
    <t>タイプ姫・伝承の攻30％UP　/　タイプ【武人】の攻45％UP</t>
  </si>
  <si>
    <t>神妙剣・転</t>
  </si>
  <si>
    <t>相手の戦技ゲージを吸収して大ダメージ</t>
  </si>
  <si>
    <t>保科正之</t>
  </si>
  <si>
    <t>ほしなまさゆき</t>
  </si>
  <si>
    <t>絶対遵守の家訓十五箇条</t>
  </si>
  <si>
    <t>タイプ偉人・妖怪・名物の攻60％UP</t>
  </si>
  <si>
    <t>1/17 20:00～1/17 23:59</t>
  </si>
  <si>
    <t>北海道いくらちゃん</t>
  </si>
  <si>
    <t>ほっかいどういくらちゃん</t>
  </si>
  <si>
    <t>虹色に輝く秋の味覚</t>
  </si>
  <si>
    <t>タイプ神秘・知性派・飲食の防35％UP　/　所属が【西日本】と、それに属する地方・県、および【全国】の攻30％DOWN</t>
  </si>
  <si>
    <t>一本だたら</t>
  </si>
  <si>
    <t>いっぽんだたら</t>
  </si>
  <si>
    <t>直立する不動の伝説</t>
  </si>
  <si>
    <t>タイプ偉人・妖怪・名物の防35％UP　/　所属が【東日本】と、それに属する地方・県、および【全国】の攻30％DOWN</t>
  </si>
  <si>
    <t>【名工】小泉八雲</t>
  </si>
  <si>
    <t>めいこうこいずみやくも</t>
  </si>
  <si>
    <t>海外より伝えたる刀技</t>
  </si>
  <si>
    <t>【室内プール】望月千代女</t>
  </si>
  <si>
    <t>しつないぷーるもちづきちよめ</t>
  </si>
  <si>
    <t>プールサイドくノ一</t>
  </si>
  <si>
    <t>1/18 11:00～1/18 23:59</t>
  </si>
  <si>
    <t>【レースクイーン】お月様に行ったうさぎ</t>
  </si>
  <si>
    <t>転生したサーキットの兎</t>
  </si>
  <si>
    <t>タイプ偉人・妖怪・名物の攻55％UP</t>
  </si>
  <si>
    <t>餅つき兎の15回攻撃！</t>
  </si>
  <si>
    <t>【雨の花嫁】妙林尼</t>
  </si>
  <si>
    <t>あめのはなよめみょうりんに</t>
  </si>
  <si>
    <t>知謀に長けた最強の花嫁</t>
  </si>
  <si>
    <t>熱田大神</t>
  </si>
  <si>
    <t>あつたじんぐう</t>
  </si>
  <si>
    <t>草薙神剣</t>
  </si>
  <si>
    <t>タイプ伝承・武人・姫の攻80％DOWN　/　タイプ知性派・飲食の防25％UP</t>
  </si>
  <si>
    <t>【レースクイーン】玉藻前</t>
  </si>
  <si>
    <t>れーすくいーんたまものまえ</t>
  </si>
  <si>
    <t>サーキット彩る妖艶狐</t>
  </si>
  <si>
    <t>タイプ伝承・武人・姫の攻60％DOWN　/　タイプ偉人・妖怪・名物の防20％UP</t>
  </si>
  <si>
    <t>1/18 18:00～1/18 21:59</t>
  </si>
  <si>
    <t>1/19 11:00～1/19 23:5</t>
  </si>
  <si>
    <t>松下乙女</t>
  </si>
  <si>
    <t>まつしたおとめ</t>
  </si>
  <si>
    <t>天下の四英傑に添う慈しみ</t>
  </si>
  <si>
    <t>蜜柑はちみつちゃん</t>
  </si>
  <si>
    <t>みかんはちみつちゃん</t>
  </si>
  <si>
    <t>黄金に輝く爽やかな雫</t>
  </si>
  <si>
    <t>タイプ神秘・知性派の防45％UP　/　タイプ【飲食】の防20％UP</t>
  </si>
  <si>
    <t>タイプ神秘・知性派の防15％UP　/　タイプ【飲食】の防10％UP</t>
  </si>
  <si>
    <t>1/19 18:00～1/21 23:59</t>
  </si>
  <si>
    <t>自身の攻撃と共に十勇士が10回助太刀攻撃</t>
  </si>
  <si>
    <t>小少将</t>
  </si>
  <si>
    <t>こしょうしょう</t>
  </si>
  <si>
    <t>諏訪館の傾国</t>
  </si>
  <si>
    <t>タイプ偉人・武人の防55％UP　/　タイプ姫・伝承の防30％UP</t>
  </si>
  <si>
    <t>在原業平</t>
  </si>
  <si>
    <t>ありわらのなりひら</t>
  </si>
  <si>
    <t>文学に残る恋心</t>
  </si>
  <si>
    <t>タイプ伝承・神秘の攻55％UP　/　タイプ知性派・飲食の攻30％UP</t>
  </si>
  <si>
    <t>【魔鳥】陰摩羅鬼</t>
  </si>
  <si>
    <t>まちょうおんもらき</t>
  </si>
  <si>
    <t>黄泉の屍炎</t>
  </si>
  <si>
    <t>タイプ名物・偉人・武人の攻45％UP　/　タイプ【妖怪】の攻30％UP</t>
  </si>
  <si>
    <t>榎本住</t>
  </si>
  <si>
    <t>えのもとすみ</t>
  </si>
  <si>
    <t>妙訣、神の如し</t>
  </si>
  <si>
    <t>タイプ神秘・飲食の防30％UP　/　タイプ【知性派】の防20％UP</t>
  </si>
  <si>
    <t>雪鬼</t>
  </si>
  <si>
    <t>ゆきおに</t>
  </si>
  <si>
    <t>理を破りし者へ落とす制裁</t>
  </si>
  <si>
    <t>タイプ武人・姫の防30％UP　/　タイプ【伝承】の防20％UP</t>
  </si>
  <si>
    <t>大輪の個性を花器に広げて</t>
  </si>
  <si>
    <t>タイプ妖怪・名物の攻30％UP</t>
  </si>
  <si>
    <t>神威請願</t>
    <phoneticPr fontId="1"/>
  </si>
  <si>
    <t>敵全体の戦技効果時間を短縮</t>
    <phoneticPr fontId="1"/>
  </si>
  <si>
    <t>1/21 12:00～1/25 11:59</t>
    <phoneticPr fontId="1"/>
  </si>
  <si>
    <t>【レースクイーン】お月様に行ったうさぎ</t>
    <phoneticPr fontId="1"/>
  </si>
  <si>
    <t>れーすくいーんおつきさまにいったうさぎ</t>
    <phoneticPr fontId="1"/>
  </si>
  <si>
    <t>転生したサーキットの兎</t>
    <phoneticPr fontId="1"/>
  </si>
  <si>
    <t>タイプ偉人・妖怪・名物の攻55％UP</t>
    <phoneticPr fontId="1"/>
  </si>
  <si>
    <t>餅つき兎の15回攻撃！</t>
    <phoneticPr fontId="1"/>
  </si>
  <si>
    <t>二天一流</t>
    <phoneticPr fontId="1"/>
  </si>
  <si>
    <t>味方全体の強襲発生割合UP</t>
    <phoneticPr fontId="1"/>
  </si>
  <si>
    <t>【かるた】阿南姫</t>
    <phoneticPr fontId="1"/>
  </si>
  <si>
    <t>かるたおなみひめ</t>
    <phoneticPr fontId="1"/>
  </si>
  <si>
    <t>真剣勝負！</t>
    <phoneticPr fontId="1"/>
  </si>
  <si>
    <t>東尋坊</t>
    <phoneticPr fontId="1"/>
  </si>
  <si>
    <t>とうじんぼう</t>
    <phoneticPr fontId="1"/>
  </si>
  <si>
    <t>恋を巡る恐ろしき絶壁</t>
    <phoneticPr fontId="1"/>
  </si>
  <si>
    <t>タイプ【妖怪】の攻90％UP　/　タイプ偉人・名物の攻20％UP</t>
    <phoneticPr fontId="1"/>
  </si>
  <si>
    <t>デミカツ丼</t>
    <phoneticPr fontId="1"/>
  </si>
  <si>
    <t>でみかつどん</t>
    <phoneticPr fontId="1"/>
  </si>
  <si>
    <t>伝家のデミグラス</t>
    <phoneticPr fontId="1"/>
  </si>
  <si>
    <t>【室内プール】蝶々夫人</t>
    <phoneticPr fontId="1"/>
  </si>
  <si>
    <t>しつないぷーるちょうちょうふじん</t>
    <phoneticPr fontId="1"/>
  </si>
  <si>
    <t>室内プールの蝶々</t>
    <phoneticPr fontId="1"/>
  </si>
  <si>
    <t>タイプ武人・姫の攻30％UP　/　タイプ【伝承】の攻10％UP</t>
    <phoneticPr fontId="1"/>
  </si>
  <si>
    <t>【かるた】ワカヒルメノミコト</t>
    <phoneticPr fontId="1"/>
  </si>
  <si>
    <t>かるたわかひるめのみこと</t>
    <phoneticPr fontId="1"/>
  </si>
  <si>
    <t>太陽の神も花より団子</t>
    <phoneticPr fontId="1"/>
  </si>
  <si>
    <t>タイプ知性派・飲食の攻30％UP　/　タイプ【神秘】の攻10％UP</t>
    <phoneticPr fontId="1"/>
  </si>
  <si>
    <t>[新生]【紫陽花】新島八重</t>
    <phoneticPr fontId="1"/>
  </si>
  <si>
    <t>しんせいあじさいにいじまやえ</t>
    <phoneticPr fontId="1"/>
  </si>
  <si>
    <t>銃持つその手に花束を</t>
    <phoneticPr fontId="1"/>
  </si>
  <si>
    <t>タイプ妖怪・名物の攻30％UP　/　タイプ【偉人】の攻10％UP</t>
    <phoneticPr fontId="1"/>
  </si>
  <si>
    <t>1/21 18:00～1/22 17:59</t>
    <phoneticPr fontId="1"/>
  </si>
  <si>
    <t>攻撃するほど大ダメージ</t>
    <phoneticPr fontId="1"/>
  </si>
  <si>
    <t>東の怪談演義</t>
    <phoneticPr fontId="1"/>
  </si>
  <si>
    <t>ひがしのかいだんえんぎ</t>
    <phoneticPr fontId="1"/>
  </si>
  <si>
    <t>トイレと屋上にて待機完了！</t>
    <phoneticPr fontId="1"/>
  </si>
  <si>
    <t>タイプ【姫】の攻40％DOWN　/　タイプ偉人・名物の防12％UP</t>
    <phoneticPr fontId="1"/>
  </si>
  <si>
    <t>西の怪談演義</t>
    <phoneticPr fontId="1"/>
  </si>
  <si>
    <t>にしのかいだんえんぎ</t>
    <phoneticPr fontId="1"/>
  </si>
  <si>
    <t>怪談スカウトチーム</t>
    <phoneticPr fontId="1"/>
  </si>
  <si>
    <t>懐古怪談演義</t>
    <phoneticPr fontId="1"/>
  </si>
  <si>
    <t>かいこかいだんえんぎ</t>
    <phoneticPr fontId="1"/>
  </si>
  <si>
    <t>七不思議、いくつ知ってる・・・？</t>
    <phoneticPr fontId="1"/>
  </si>
  <si>
    <t>タイプ武人・姫の攻80％DOWN　/　タイプ偉人・名物の防40％UP</t>
    <phoneticPr fontId="1"/>
  </si>
  <si>
    <t>冬のデートすぽっと～東日本～</t>
    <phoneticPr fontId="1"/>
  </si>
  <si>
    <t>ふゆのでーとすぽっとひがしにほん</t>
    <phoneticPr fontId="1"/>
  </si>
  <si>
    <t>とっておきの聖夜</t>
    <phoneticPr fontId="1"/>
  </si>
  <si>
    <t>タイプ妖怪・知性派の防30％UP</t>
    <phoneticPr fontId="1"/>
  </si>
  <si>
    <t>冬のデートすぽっと～西日本～</t>
    <phoneticPr fontId="1"/>
  </si>
  <si>
    <t>ふゆのでーとすぽっとにしにほん</t>
    <phoneticPr fontId="1"/>
  </si>
  <si>
    <t>恋人たちの聖夜</t>
    <phoneticPr fontId="1"/>
  </si>
  <si>
    <t>冬のデートすぽっと特集</t>
    <phoneticPr fontId="1"/>
  </si>
  <si>
    <t>ふゆのでーとすぽっととくしゅう</t>
    <phoneticPr fontId="1"/>
  </si>
  <si>
    <t>恋路を照らす雪反射</t>
    <phoneticPr fontId="1"/>
  </si>
  <si>
    <t>タイプ妖怪・知性派の防55％UP　/　タイプ偉人・名物の防40％UP</t>
    <phoneticPr fontId="1"/>
  </si>
  <si>
    <t>1/22 12:00～1/25 11:59</t>
    <phoneticPr fontId="1"/>
  </si>
  <si>
    <t>刑部神通力</t>
    <phoneticPr fontId="1"/>
  </si>
  <si>
    <t>一定割合で、自軍への攻撃を回避して県HPを回復</t>
    <phoneticPr fontId="1"/>
  </si>
  <si>
    <t>化け猫の歌詠</t>
    <phoneticPr fontId="1"/>
  </si>
  <si>
    <t>攻撃時に追加ダメージ</t>
    <phoneticPr fontId="1"/>
  </si>
  <si>
    <t>【かるた】蓋井島の山ノ神</t>
    <phoneticPr fontId="1"/>
  </si>
  <si>
    <t>かるたふたおいじまのやまのかみ</t>
    <phoneticPr fontId="1"/>
  </si>
  <si>
    <t>楽しいかるた！</t>
    <phoneticPr fontId="1"/>
  </si>
  <si>
    <t>寺田寅彦</t>
    <phoneticPr fontId="1"/>
  </si>
  <si>
    <t>てらだとらひこ</t>
    <phoneticPr fontId="1"/>
  </si>
  <si>
    <t>本質見抜く天才</t>
    <phoneticPr fontId="1"/>
  </si>
  <si>
    <t>タイプ偉人・妖怪・名物の攻70％DOWN　/　タイプ妖怪・名物の防30％UP</t>
    <phoneticPr fontId="1"/>
  </si>
  <si>
    <t>【縁日】金魚の歌</t>
    <phoneticPr fontId="1"/>
  </si>
  <si>
    <t>えんにちきんぎょのうた</t>
    <phoneticPr fontId="1"/>
  </si>
  <si>
    <t>飽くなき金魚救出劇</t>
    <phoneticPr fontId="1"/>
  </si>
  <si>
    <t>タイプ伝承・武人・姫の防40％UP　/　タイプ伝承・武人・姫の攻10％DOWN</t>
    <phoneticPr fontId="1"/>
  </si>
  <si>
    <t>【キューピッド】ハヤアキツヒメノミコト</t>
    <phoneticPr fontId="1"/>
  </si>
  <si>
    <t>きゅーぴっどはやあきつひめのみこと</t>
    <phoneticPr fontId="1"/>
  </si>
  <si>
    <t>恋とでるか、愛へ育つか</t>
    <phoneticPr fontId="1"/>
  </si>
  <si>
    <t>タイプ知性派・飲食の防30％UP　/　タイプ【神秘】の防10％UP</t>
    <phoneticPr fontId="1"/>
  </si>
  <si>
    <t>【名工】麻布の大猫</t>
    <phoneticPr fontId="1"/>
  </si>
  <si>
    <t>めいこうあざぶのおおねこ</t>
    <phoneticPr fontId="1"/>
  </si>
  <si>
    <t>化け猫の技巧派ブラックスミス</t>
    <phoneticPr fontId="1"/>
  </si>
  <si>
    <t>【スノーグラビア】中野竹子</t>
    <phoneticPr fontId="1"/>
  </si>
  <si>
    <t>すのーぐらびあなかのたけこ</t>
    <phoneticPr fontId="1"/>
  </si>
  <si>
    <t>その気力は雪前にも負けじ</t>
    <phoneticPr fontId="1"/>
  </si>
  <si>
    <t>タイプ姫・伝承の防30％UP　/　タイプ【武人】の防10％UP</t>
    <phoneticPr fontId="1"/>
  </si>
  <si>
    <t>1/22 18:00～1/24 23:59</t>
    <phoneticPr fontId="1"/>
  </si>
  <si>
    <t>籠城仕掛け櫓</t>
    <phoneticPr fontId="1"/>
  </si>
  <si>
    <t>味方全体が相手の攻撃を確率で回避する</t>
    <phoneticPr fontId="1"/>
  </si>
  <si>
    <t>一定ダメージ身代わりする。</t>
    <phoneticPr fontId="1"/>
  </si>
  <si>
    <t>自由の女神マリアンヌ</t>
    <phoneticPr fontId="1"/>
  </si>
  <si>
    <t>じゆうのめがみまりあんぬ</t>
    <phoneticPr fontId="1"/>
  </si>
  <si>
    <t>信念の戦旗</t>
    <phoneticPr fontId="1"/>
  </si>
  <si>
    <t>【遊園地】宜秋門院丹後</t>
    <phoneticPr fontId="1"/>
  </si>
  <si>
    <t>ゆうえんちぎしゅうもんいんのたんご</t>
    <phoneticPr fontId="1"/>
  </si>
  <si>
    <t>甘い菓子から生まれるメロディー</t>
    <phoneticPr fontId="1"/>
  </si>
  <si>
    <t>タイプ妖怪・名物の防30％UP　/　タイプ【偉人】の防10％UP</t>
    <phoneticPr fontId="1"/>
  </si>
  <si>
    <t>【隠遁】ワダツミ</t>
    <phoneticPr fontId="1"/>
  </si>
  <si>
    <t>いんとんわだつみ</t>
    <phoneticPr fontId="1"/>
  </si>
  <si>
    <t>神技と忍びの技の競演</t>
    <phoneticPr fontId="1"/>
  </si>
  <si>
    <t>【サファリパーク】南部鶴姫</t>
    <phoneticPr fontId="1"/>
  </si>
  <si>
    <t>さふぁりぱーくなんぶつるひめ</t>
    <phoneticPr fontId="1"/>
  </si>
  <si>
    <t>無邪気に飛び跳ねる鶴</t>
    <phoneticPr fontId="1"/>
  </si>
  <si>
    <t>1/23 11:00～1/25 11:59</t>
    <phoneticPr fontId="1"/>
  </si>
  <si>
    <t>受けたダメージの一部を相手にも与える</t>
    <phoneticPr fontId="1"/>
  </si>
  <si>
    <t>【プール】茶々</t>
    <phoneticPr fontId="1"/>
  </si>
  <si>
    <t>ぷーるちゃちゃ</t>
    <phoneticPr fontId="1"/>
  </si>
  <si>
    <t>優雅に浮かぶ戦国屈指のスーパーモデル</t>
    <phoneticPr fontId="1"/>
  </si>
  <si>
    <t>【命の雨】小林一茶</t>
    <phoneticPr fontId="1"/>
  </si>
  <si>
    <t>いのちのあめこばやしいっさ</t>
    <phoneticPr fontId="1"/>
  </si>
  <si>
    <t>親なき雀</t>
    <phoneticPr fontId="1"/>
  </si>
  <si>
    <t>タイプ妖怪・名物の攻55％UP　/　タイプ【偉人】の攻25％UP</t>
    <phoneticPr fontId="1"/>
  </si>
  <si>
    <t>【MONSTER】富主姫</t>
    <phoneticPr fontId="1"/>
  </si>
  <si>
    <t>もんすたーとみぬしひめ</t>
    <phoneticPr fontId="1"/>
  </si>
  <si>
    <t>不死の女王となった弁財天</t>
    <phoneticPr fontId="1"/>
  </si>
  <si>
    <t>タイプ伝承・武人・姫の防80％DOWN　/　タイプ知性派・飲食の攻25％UP</t>
    <phoneticPr fontId="1"/>
  </si>
  <si>
    <t>八幡馬</t>
    <rPh sb="0" eb="2">
      <t>ヤワタ</t>
    </rPh>
    <rPh sb="2" eb="3">
      <t>ウマ</t>
    </rPh>
    <phoneticPr fontId="1"/>
  </si>
  <si>
    <t>無銀杏</t>
    <rPh sb="0" eb="1">
      <t>ナ</t>
    </rPh>
    <rPh sb="1" eb="3">
      <t>ギンナン</t>
    </rPh>
    <phoneticPr fontId="1"/>
  </si>
  <si>
    <t>狩野探幽</t>
    <rPh sb="0" eb="2">
      <t>カノウ</t>
    </rPh>
    <rPh sb="2" eb="4">
      <t>タンユウ</t>
    </rPh>
    <phoneticPr fontId="1"/>
  </si>
  <si>
    <t>やわたうま</t>
    <phoneticPr fontId="1"/>
  </si>
  <si>
    <t>なきぎんなん</t>
    <phoneticPr fontId="1"/>
  </si>
  <si>
    <t>かのうたんゆう</t>
    <phoneticPr fontId="1"/>
  </si>
  <si>
    <t>込められた愛馬への祈り</t>
    <phoneticPr fontId="1"/>
  </si>
  <si>
    <t>タイプ偉人・妖怪・名物の防25％UP　/　タイプ伝承・武人・姫の攻40％DOWN</t>
    <phoneticPr fontId="1"/>
  </si>
  <si>
    <t>タイプ偉人・妖怪・名物の防15％UP　/　タイプ伝承・武人・姫の攻25％DOWN</t>
    <phoneticPr fontId="1"/>
  </si>
  <si>
    <t>タイプ偉人・妖怪・名物の防10％UP　/　タイプ伝承・武人・姫の攻10％DOWN</t>
    <phoneticPr fontId="1"/>
  </si>
  <si>
    <t>小袖一振</t>
    <phoneticPr fontId="1"/>
  </si>
  <si>
    <t>タイプ伝承・武人・姫の防30％UP　/　タイプ妖怪・名物・偉人・知性派の攻13％DOWN</t>
    <phoneticPr fontId="1"/>
  </si>
  <si>
    <t>タイプ伝承・武人・姫の防20％UP　/　タイプ神秘・知性派・飲食の攻10％DOWN</t>
    <phoneticPr fontId="1"/>
  </si>
  <si>
    <t>タイプ武人・姫の防15％UP　/　タイプ神秘・飲食の攻10％DOWN</t>
    <phoneticPr fontId="1"/>
  </si>
  <si>
    <t>端麗瀟洒な余白の美</t>
    <phoneticPr fontId="1"/>
  </si>
  <si>
    <t>タイプ神秘・知性派・飲食の攻30％UP　/　タイプ妖怪・名物の防10％DOWN</t>
    <phoneticPr fontId="1"/>
  </si>
  <si>
    <t>タイプ神秘・飲食の攻15％UP　/　タイプ【名物】の防10％DOWN</t>
    <phoneticPr fontId="1"/>
  </si>
  <si>
    <t>撹拌凍結</t>
    <phoneticPr fontId="1"/>
  </si>
  <si>
    <t>相手の防御デッキに名物が多いほど大ダメージ</t>
    <phoneticPr fontId="1"/>
  </si>
  <si>
    <t>榊原ルイ</t>
    <phoneticPr fontId="1"/>
  </si>
  <si>
    <t>さかきばらるい</t>
    <phoneticPr fontId="1"/>
  </si>
  <si>
    <t>進め狐ガール</t>
    <phoneticPr fontId="1"/>
  </si>
  <si>
    <t>タイプ伝承・武人・姫の攻60％DOWN　/　タイプ偉人・妖怪・名物の防25％UP</t>
    <phoneticPr fontId="1"/>
  </si>
  <si>
    <t>【水無月婚】バラ</t>
    <phoneticPr fontId="1"/>
  </si>
  <si>
    <t>みなづきこんばら</t>
    <phoneticPr fontId="1"/>
  </si>
  <si>
    <t>放たれる愛の象徴</t>
    <phoneticPr fontId="1"/>
  </si>
  <si>
    <t>タイプ偉人・妖怪の防35％UP　/　タイプ【名物】の防20％UP</t>
    <phoneticPr fontId="1"/>
  </si>
  <si>
    <t>【春舞】立花誾千代</t>
    <phoneticPr fontId="1"/>
  </si>
  <si>
    <t>はるまいたちばなぎんちよ</t>
    <phoneticPr fontId="1"/>
  </si>
  <si>
    <t>荒ぶる女城主の巫女神楽</t>
    <phoneticPr fontId="1"/>
  </si>
  <si>
    <t>タイプ武人・伝承の攻35％UP　/　タイプ知性派・飲食の攻20％UP</t>
    <phoneticPr fontId="1"/>
  </si>
  <si>
    <t>【鬼切衆】黒比売</t>
    <phoneticPr fontId="1"/>
  </si>
  <si>
    <t>おにきりしゅうくろひめ</t>
    <phoneticPr fontId="1"/>
  </si>
  <si>
    <t>恋する女の熱き戦い</t>
    <phoneticPr fontId="1"/>
  </si>
  <si>
    <t>タイプ神秘・飲食の防35％UP　/　タイプ武人・伝承の防20％UP</t>
    <phoneticPr fontId="1"/>
  </si>
  <si>
    <t>(DX)1/25 12:00～1/31 11:59</t>
    <phoneticPr fontId="1"/>
  </si>
  <si>
    <t>高知</t>
    <rPh sb="0" eb="2">
      <t>コウチ</t>
    </rPh>
    <phoneticPr fontId="1"/>
  </si>
  <si>
    <t>【新年音楽会】博多美人</t>
    <phoneticPr fontId="1"/>
  </si>
  <si>
    <t>しんねんおんがくかいはかたびじん</t>
    <phoneticPr fontId="1"/>
  </si>
  <si>
    <t>妖艶音楽家</t>
    <phoneticPr fontId="1"/>
  </si>
  <si>
    <t>[新生]【ブラバン】北原怜子</t>
    <phoneticPr fontId="1"/>
  </si>
  <si>
    <t>しんせいぶらばんきたはらさとこ</t>
    <phoneticPr fontId="1"/>
  </si>
  <si>
    <t>蟻の町クラリネット奏者</t>
    <phoneticPr fontId="1"/>
  </si>
  <si>
    <t>[新生]毛利元就</t>
    <phoneticPr fontId="1"/>
  </si>
  <si>
    <t>しんせいもうりもとなり</t>
    <phoneticPr fontId="1"/>
  </si>
  <si>
    <t>三本の矢</t>
    <phoneticPr fontId="1"/>
  </si>
  <si>
    <t>タイプ姫・伝承の防20％UP</t>
    <phoneticPr fontId="1"/>
  </si>
  <si>
    <t>[新生]【ヘビメタ】夜雀</t>
    <phoneticPr fontId="1"/>
  </si>
  <si>
    <t>しんせいへびめたよすずめ</t>
    <phoneticPr fontId="1"/>
  </si>
  <si>
    <t>タイプ【名物】の攻20％UP</t>
    <phoneticPr fontId="1"/>
  </si>
  <si>
    <t>1/26 18:00～1/26 21:59</t>
    <phoneticPr fontId="1"/>
  </si>
  <si>
    <t>1/26 12:00～1/27 11:59</t>
    <phoneticPr fontId="1"/>
  </si>
  <si>
    <t>落花流水</t>
    <phoneticPr fontId="1"/>
  </si>
  <si>
    <t>敵が多いほど大ダメージ</t>
    <phoneticPr fontId="1"/>
  </si>
  <si>
    <t>【運動会】高村智恵子</t>
    <phoneticPr fontId="1"/>
  </si>
  <si>
    <t>うんどうかいたかむらちえこ</t>
    <phoneticPr fontId="1"/>
  </si>
  <si>
    <t>パン巡る愛の跳躍</t>
    <phoneticPr fontId="1"/>
  </si>
  <si>
    <t>策戦 敵陣突破</t>
    <phoneticPr fontId="1"/>
  </si>
  <si>
    <t>三番目の個室</t>
    <phoneticPr fontId="1"/>
  </si>
  <si>
    <t>相手の防御デッキに伝承が多いほど大ダメージ</t>
    <phoneticPr fontId="1"/>
  </si>
  <si>
    <t>1/25 18:00～1/27 23:59</t>
    <phoneticPr fontId="1"/>
  </si>
  <si>
    <t>自身の攻撃と共に十勇士が10回助太刀攻撃</t>
    <phoneticPr fontId="1"/>
  </si>
  <si>
    <t>渦巻く蓬莱</t>
    <phoneticPr fontId="1"/>
  </si>
  <si>
    <t>一定時間、自身が攻撃を受ける際の戦技によるダメージUP効果を無効化する</t>
    <phoneticPr fontId="1"/>
  </si>
  <si>
    <t>比叡山延暦寺</t>
    <phoneticPr fontId="1"/>
  </si>
  <si>
    <t>ひえいざんえんりゃくじ</t>
    <phoneticPr fontId="1"/>
  </si>
  <si>
    <t>７年間の千日回峰行</t>
    <phoneticPr fontId="1"/>
  </si>
  <si>
    <t>タイプ偉人・妖怪・名物の防30％UP　/　タイプ偉人・妖怪の攻25％DOWN</t>
    <phoneticPr fontId="1"/>
  </si>
  <si>
    <t>ちゃんこ鍋</t>
    <phoneticPr fontId="1"/>
  </si>
  <si>
    <t>ちゃんこなべ</t>
    <phoneticPr fontId="1"/>
  </si>
  <si>
    <t>腹ペコ隊士は食べて育つ</t>
    <phoneticPr fontId="1"/>
  </si>
  <si>
    <t>タイプ神秘・知性派の攻35％UP　/　タイプ【飲食】の攻30％UP</t>
    <phoneticPr fontId="1"/>
  </si>
  <si>
    <t>【姫甲冑】愛姫</t>
    <phoneticPr fontId="1"/>
  </si>
  <si>
    <t>ひめかっちゅうめごひめ</t>
    <phoneticPr fontId="1"/>
  </si>
  <si>
    <t>護るべき御人のためあらば</t>
    <phoneticPr fontId="1"/>
  </si>
  <si>
    <t>タイプ飲食・武人の攻55％UP　/　タイプ姫・伝承の攻30％UP</t>
    <phoneticPr fontId="1"/>
  </si>
  <si>
    <t>榎本住</t>
    <phoneticPr fontId="1"/>
  </si>
  <si>
    <t>えのもとすみ</t>
    <phoneticPr fontId="1"/>
  </si>
  <si>
    <t>妙訣、神の如し</t>
    <phoneticPr fontId="1"/>
  </si>
  <si>
    <t>タイプ神秘・飲食の防30％UP　/　タイプ【知性派】の防20％UP</t>
    <phoneticPr fontId="1"/>
  </si>
  <si>
    <t>雪鬼</t>
    <phoneticPr fontId="1"/>
  </si>
  <si>
    <t>ゆきおに</t>
    <phoneticPr fontId="1"/>
  </si>
  <si>
    <t>理を破りし者へ落とす制裁</t>
    <phoneticPr fontId="1"/>
  </si>
  <si>
    <t>タイプ武人・姫の防30％UP　/　タイプ【伝承】の防20％UP</t>
    <phoneticPr fontId="1"/>
  </si>
  <si>
    <t>粕谷一葉</t>
    <phoneticPr fontId="1"/>
  </si>
  <si>
    <t>かすたにいちよう</t>
    <phoneticPr fontId="1"/>
  </si>
  <si>
    <t>大輪の個性を花器に広げて</t>
    <phoneticPr fontId="1"/>
  </si>
  <si>
    <t>タイプ妖怪・名物の攻30％UP</t>
    <phoneticPr fontId="1"/>
  </si>
  <si>
    <t>天下統一戦 初春を奏でる音楽団ガチャ</t>
    <rPh sb="0" eb="2">
      <t>テンカ</t>
    </rPh>
    <rPh sb="2" eb="4">
      <t>トウイツ</t>
    </rPh>
    <rPh sb="4" eb="5">
      <t>セン</t>
    </rPh>
    <rPh sb="6" eb="7">
      <t>ハツ</t>
    </rPh>
    <rPh sb="7" eb="8">
      <t>ハル</t>
    </rPh>
    <rPh sb="9" eb="10">
      <t>カナ</t>
    </rPh>
    <rPh sb="12" eb="14">
      <t>オンガク</t>
    </rPh>
    <rPh sb="14" eb="15">
      <t>ダン</t>
    </rPh>
    <phoneticPr fontId="1"/>
  </si>
  <si>
    <t>天下統一戦 英雄ガチャ</t>
    <rPh sb="0" eb="2">
      <t>テンカ</t>
    </rPh>
    <rPh sb="2" eb="4">
      <t>トウイツ</t>
    </rPh>
    <rPh sb="4" eb="5">
      <t>セン</t>
    </rPh>
    <rPh sb="6" eb="8">
      <t>エイユウ</t>
    </rPh>
    <phoneticPr fontId="1"/>
  </si>
  <si>
    <t>1/27 11:00～1/27 23:59</t>
    <phoneticPr fontId="1"/>
  </si>
  <si>
    <t>1/27 12:00～1/29 11:59</t>
    <phoneticPr fontId="1"/>
  </si>
  <si>
    <t>【元旦】桃太郎</t>
    <phoneticPr fontId="1"/>
  </si>
  <si>
    <t>鬼も脅かす書の腕前</t>
    <phoneticPr fontId="1"/>
  </si>
  <si>
    <t>自軍HP残り割合が敵軍より低いほど大ダメージ</t>
    <phoneticPr fontId="1"/>
  </si>
  <si>
    <t>丹生活神水</t>
    <phoneticPr fontId="1"/>
  </si>
  <si>
    <t>1/28 20:00～1/28 23:59</t>
    <phoneticPr fontId="1"/>
  </si>
  <si>
    <t>1/29 12:00～1/30 11:59</t>
    <phoneticPr fontId="1"/>
  </si>
  <si>
    <t>バトルでコンボに成功した時、コンボ数が4UPする。コンボ＋3</t>
    <phoneticPr fontId="1"/>
  </si>
  <si>
    <t>【海開き】巴御前</t>
    <phoneticPr fontId="1"/>
  </si>
  <si>
    <t>うみびらきともえごぜん</t>
    <phoneticPr fontId="1"/>
  </si>
  <si>
    <t>太陽はじく自慢の白肌</t>
    <phoneticPr fontId="1"/>
  </si>
  <si>
    <t>タイプ【姫】の攻30％UP　/　タイプ武人・伝承の攻15％UP</t>
    <phoneticPr fontId="1"/>
  </si>
  <si>
    <t>敵単体に大ダメージ</t>
    <phoneticPr fontId="1"/>
  </si>
  <si>
    <t>闇鍋奉行</t>
    <phoneticPr fontId="1"/>
  </si>
  <si>
    <t>一定割合で、相手の攻撃を回避して県HPを回復</t>
    <phoneticPr fontId="1"/>
  </si>
  <si>
    <t>あんこう鍋ちゃん</t>
    <phoneticPr fontId="1"/>
  </si>
  <si>
    <t>濃厚旨味は通ごのみ</t>
    <phoneticPr fontId="1"/>
  </si>
  <si>
    <t>マヨイガ</t>
    <phoneticPr fontId="1"/>
  </si>
  <si>
    <t>まよいが</t>
    <phoneticPr fontId="1"/>
  </si>
  <si>
    <t>富もたらす家の怪異</t>
    <phoneticPr fontId="1"/>
  </si>
  <si>
    <t>タイプ偉人・名物の攻45％UP　/　タイプ【妖怪】の攻15％UP</t>
    <phoneticPr fontId="1"/>
  </si>
  <si>
    <t>軍計 死路穽陥</t>
    <phoneticPr fontId="1"/>
  </si>
  <si>
    <t>1/29 18:00～1/31 23:59</t>
    <phoneticPr fontId="1"/>
  </si>
  <si>
    <t>山川二葉</t>
    <phoneticPr fontId="1"/>
  </si>
  <si>
    <t>やまかわふたば</t>
    <phoneticPr fontId="1"/>
  </si>
  <si>
    <t>明治の教育者</t>
    <phoneticPr fontId="1"/>
  </si>
  <si>
    <t>安芸国虎</t>
    <phoneticPr fontId="1"/>
  </si>
  <si>
    <t>あきくにとら</t>
    <phoneticPr fontId="1"/>
  </si>
  <si>
    <t>土佐七雄</t>
    <phoneticPr fontId="1"/>
  </si>
  <si>
    <t>乱世傑士ガチャ</t>
    <rPh sb="0" eb="2">
      <t>ランセ</t>
    </rPh>
    <rPh sb="2" eb="3">
      <t>ケッ</t>
    </rPh>
    <rPh sb="3" eb="4">
      <t>シ</t>
    </rPh>
    <phoneticPr fontId="1"/>
  </si>
  <si>
    <t>1/30 12:00～1/31 23:59</t>
    <phoneticPr fontId="1"/>
  </si>
  <si>
    <t>ひのもとみくさのかむだから</t>
    <phoneticPr fontId="1"/>
  </si>
  <si>
    <t>その身砕くは草薙剣</t>
    <phoneticPr fontId="1"/>
  </si>
  <si>
    <t>タイプ伝承・武人・姫の防30％UP　/　タイプ【武人】の攻50％DOWN</t>
    <phoneticPr fontId="1"/>
  </si>
  <si>
    <t>三神覚醒</t>
    <phoneticPr fontId="1"/>
  </si>
  <si>
    <t>敵・味方全体の発動中戦技効果を消滅させる</t>
    <phoneticPr fontId="1"/>
  </si>
  <si>
    <t>仙桃丹</t>
    <phoneticPr fontId="1"/>
  </si>
  <si>
    <t>県HP中回復</t>
    <phoneticPr fontId="1"/>
  </si>
  <si>
    <t>皿うどんちゃん</t>
    <phoneticPr fontId="1"/>
  </si>
  <si>
    <t>さらうどんちゃん</t>
    <phoneticPr fontId="1"/>
  </si>
  <si>
    <t>味と触感の調和</t>
    <phoneticPr fontId="1"/>
  </si>
  <si>
    <t>タイプ神秘・知性派の攻45％UP　/　タイプ【飲食】の攻15％UP</t>
    <phoneticPr fontId="1"/>
  </si>
  <si>
    <t>改新撃</t>
    <phoneticPr fontId="1"/>
  </si>
  <si>
    <t>自分が攻撃するほど大ダメージ</t>
    <phoneticPr fontId="1"/>
  </si>
  <si>
    <t>1/30 18:00～1/30 21:59</t>
    <phoneticPr fontId="1"/>
  </si>
  <si>
    <t>1/31 20:00～1/31 23:59</t>
    <phoneticPr fontId="1"/>
  </si>
  <si>
    <t>防衛戦 恋心全開！バレンタインの乙女ガチャ</t>
    <rPh sb="4" eb="6">
      <t>コイゴコロ</t>
    </rPh>
    <rPh sb="6" eb="8">
      <t>ゼンカイ</t>
    </rPh>
    <rPh sb="16" eb="18">
      <t>オトメ</t>
    </rPh>
    <phoneticPr fontId="1"/>
  </si>
  <si>
    <t>ほんめいちょこてんにょひめ</t>
    <phoneticPr fontId="1"/>
  </si>
  <si>
    <t>甘々な天女の本命</t>
    <phoneticPr fontId="1"/>
  </si>
  <si>
    <t>タイプ神秘・知性派の攻45％UP　/　タイプ妖怪・名物の防110％DOWN</t>
    <phoneticPr fontId="1"/>
  </si>
  <si>
    <t>敵単体に極大ダメージを与え、自軍に反動ダメージ</t>
    <phoneticPr fontId="1"/>
  </si>
  <si>
    <t>ほんめいちょこだてまさむね</t>
    <phoneticPr fontId="1"/>
  </si>
  <si>
    <t>独眼竜の本命は？</t>
    <phoneticPr fontId="1"/>
  </si>
  <si>
    <t>タイプ武人・伝承の攻35％UP　/　タイプ【姫】の攻20％UP</t>
    <phoneticPr fontId="1"/>
  </si>
  <si>
    <t>タイプ神秘・知性派の攻35％UP　/　タイプ【飲食】の攻20％UP</t>
    <phoneticPr fontId="1"/>
  </si>
  <si>
    <t>[新生]【チョコ】野口小蘋</t>
    <phoneticPr fontId="1"/>
  </si>
  <si>
    <t>しんせいちょこのぐちしょうひん</t>
    <phoneticPr fontId="1"/>
  </si>
  <si>
    <t>絵画的豪華チョコレート</t>
    <phoneticPr fontId="1"/>
  </si>
  <si>
    <t>タイプ武人・伝承の防25％UP</t>
    <phoneticPr fontId="1"/>
  </si>
  <si>
    <t>京都</t>
    <rPh sb="0" eb="2">
      <t>キョウト</t>
    </rPh>
    <phoneticPr fontId="1"/>
  </si>
  <si>
    <t>きゃびんあてんだんとくろひめ</t>
    <phoneticPr fontId="1"/>
  </si>
  <si>
    <t>タイプ神秘・知性派・飲食の防30％UP　/　タイプ武人・姫の攻10％DOWN</t>
    <phoneticPr fontId="1"/>
  </si>
  <si>
    <t>タイプ神秘・飲食の防15％UP　/　タイプ【武人】の攻10％DOWN</t>
    <phoneticPr fontId="1"/>
  </si>
  <si>
    <t>2/2 18:00～2/4 23:59</t>
    <phoneticPr fontId="1"/>
  </si>
  <si>
    <t>1/24 12:00～1/26 23:59</t>
    <phoneticPr fontId="1"/>
  </si>
  <si>
    <t>1/24 11:00～1/24 23:59</t>
    <phoneticPr fontId="1"/>
  </si>
  <si>
    <t>さおとめれいいち</t>
    <phoneticPr fontId="1"/>
  </si>
  <si>
    <t>爆走乙女</t>
    <phoneticPr fontId="1"/>
  </si>
  <si>
    <t>りゅうおういんさみだれ</t>
    <phoneticPr fontId="1"/>
  </si>
  <si>
    <t>悪魔のレシピ</t>
    <phoneticPr fontId="1"/>
  </si>
  <si>
    <t>タイプ姫・伝承の防100％DOWN　/　タイプ偉人・名物の攻20％UP</t>
    <phoneticPr fontId="1"/>
  </si>
  <si>
    <t>ながどうあゆみ</t>
    <phoneticPr fontId="1"/>
  </si>
  <si>
    <t>恋の行方</t>
    <phoneticPr fontId="1"/>
  </si>
  <si>
    <t>【スクールガール】池田せん</t>
    <phoneticPr fontId="1"/>
  </si>
  <si>
    <t>すくーるがーるいけだせん</t>
    <phoneticPr fontId="1"/>
  </si>
  <si>
    <t>我が身弾雨に踊る</t>
    <phoneticPr fontId="1"/>
  </si>
  <si>
    <t>タイプ姫・伝承の攻30％UP　/　タイプ【武人】の攻10％UP</t>
    <phoneticPr fontId="1"/>
  </si>
  <si>
    <t>【妖精】中島歌子</t>
    <phoneticPr fontId="1"/>
  </si>
  <si>
    <t>ようせいなかじまうたこ</t>
    <phoneticPr fontId="1"/>
  </si>
  <si>
    <t>萩咲く悲恋物語</t>
    <phoneticPr fontId="1"/>
  </si>
  <si>
    <t>スーザフォニア</t>
    <phoneticPr fontId="1"/>
  </si>
  <si>
    <t>すーざふぉにあ</t>
    <phoneticPr fontId="1"/>
  </si>
  <si>
    <t>天鵞絨壁</t>
    <phoneticPr fontId="1"/>
  </si>
  <si>
    <t>味方単体にダメージ軽減のバリアを付与する</t>
    <phoneticPr fontId="1"/>
  </si>
  <si>
    <t>圧倒する低音の魅力</t>
    <phoneticPr fontId="1"/>
  </si>
  <si>
    <t>2/3 18:00～2/3 21:59</t>
    <phoneticPr fontId="1"/>
  </si>
  <si>
    <t>防衛戦 ぽんぽこ狸の将棋合戦ガチャ</t>
    <rPh sb="0" eb="3">
      <t>ボウエイセン</t>
    </rPh>
    <rPh sb="8" eb="9">
      <t>タヌキ</t>
    </rPh>
    <rPh sb="10" eb="12">
      <t>ショウギ</t>
    </rPh>
    <rPh sb="12" eb="14">
      <t>ガッセン</t>
    </rPh>
    <phoneticPr fontId="1"/>
  </si>
  <si>
    <t>(DX)2/4 12:00～2/8 11:59</t>
    <phoneticPr fontId="1"/>
  </si>
  <si>
    <t>和歌山</t>
    <rPh sb="0" eb="3">
      <t>ワカヤマ</t>
    </rPh>
    <phoneticPr fontId="1"/>
  </si>
  <si>
    <t>しょうぎたぬきのおんがえし</t>
    <phoneticPr fontId="1"/>
  </si>
  <si>
    <t>対局中の腹太鼓</t>
    <phoneticPr fontId="1"/>
  </si>
  <si>
    <t>タイプ伝承・武人・姫の防30％UP　/　タイプ武人・姫・伝承・飲食の攻13％DOWN</t>
    <phoneticPr fontId="1"/>
  </si>
  <si>
    <t>しんせいしょうぎあまのうずめ</t>
    <phoneticPr fontId="1"/>
  </si>
  <si>
    <t>戦場に沸く勇壮たる歓声</t>
    <phoneticPr fontId="1"/>
  </si>
  <si>
    <t>鬼刃七変化</t>
    <phoneticPr fontId="1"/>
  </si>
  <si>
    <t>【飛影】江</t>
    <phoneticPr fontId="1"/>
  </si>
  <si>
    <t>ひえいごう</t>
    <phoneticPr fontId="1"/>
  </si>
  <si>
    <t>逞しく生きる忍びの道</t>
    <phoneticPr fontId="1"/>
  </si>
  <si>
    <t>タイプ妖怪・名物の防60％UP　/　タイプ【偉人】の防15％UP</t>
    <phoneticPr fontId="1"/>
  </si>
  <si>
    <t>【球技】とちおとめちゃん</t>
    <phoneticPr fontId="1"/>
  </si>
  <si>
    <t>きゅうぎとちおとめちゃん</t>
    <phoneticPr fontId="1"/>
  </si>
  <si>
    <t>心射抜くパワフルショット</t>
    <phoneticPr fontId="1"/>
  </si>
  <si>
    <t>【戦国海開き】狐の宝珠</t>
    <phoneticPr fontId="1"/>
  </si>
  <si>
    <t>せんごくうみびらききつねのほうじゅ</t>
    <phoneticPr fontId="1"/>
  </si>
  <si>
    <t>太陽に輝く不思議な宝珠</t>
    <phoneticPr fontId="1"/>
  </si>
  <si>
    <t>タイプ名物・武人の攻50％UP　/　タイプ姫・伝承の攻30％UP</t>
    <phoneticPr fontId="1"/>
  </si>
  <si>
    <t>誘惑の油揚げ</t>
    <phoneticPr fontId="1"/>
  </si>
  <si>
    <t>刑部神通力</t>
    <rPh sb="0" eb="2">
      <t>ギョウブ</t>
    </rPh>
    <rPh sb="2" eb="5">
      <t>ジンツウリキ</t>
    </rPh>
    <phoneticPr fontId="1"/>
  </si>
  <si>
    <t>一定割合で、自軍への攻撃を回避して県HPを回復</t>
    <rPh sb="0" eb="2">
      <t>イッテイ</t>
    </rPh>
    <rPh sb="2" eb="4">
      <t>ワリアイ</t>
    </rPh>
    <rPh sb="6" eb="7">
      <t>ジ</t>
    </rPh>
    <rPh sb="7" eb="8">
      <t>グン</t>
    </rPh>
    <rPh sb="10" eb="12">
      <t>コウゲキ</t>
    </rPh>
    <rPh sb="13" eb="15">
      <t>カイヒ</t>
    </rPh>
    <rPh sb="17" eb="18">
      <t>ケン</t>
    </rPh>
    <rPh sb="21" eb="23">
      <t>カイフク</t>
    </rPh>
    <phoneticPr fontId="1"/>
  </si>
  <si>
    <t>乃美大方</t>
    <rPh sb="0" eb="2">
      <t>ノミ</t>
    </rPh>
    <rPh sb="2" eb="4">
      <t>オオカタ</t>
    </rPh>
    <phoneticPr fontId="1"/>
  </si>
  <si>
    <t>武将の母</t>
    <rPh sb="0" eb="2">
      <t>ブショウ</t>
    </rPh>
    <rPh sb="3" eb="4">
      <t>ハハ</t>
    </rPh>
    <phoneticPr fontId="1"/>
  </si>
  <si>
    <t>【鯉のぼり】光明皇后</t>
    <rPh sb="1" eb="2">
      <t>コイ</t>
    </rPh>
    <rPh sb="6" eb="8">
      <t>コウミョウ</t>
    </rPh>
    <rPh sb="8" eb="10">
      <t>コウゴウ</t>
    </rPh>
    <phoneticPr fontId="1"/>
  </si>
  <si>
    <t>慈愛満ちた鯉如来</t>
    <rPh sb="0" eb="2">
      <t>ジアイ</t>
    </rPh>
    <rPh sb="2" eb="3">
      <t>ミ</t>
    </rPh>
    <rPh sb="5" eb="6">
      <t>コイ</t>
    </rPh>
    <rPh sb="6" eb="8">
      <t>ニョライ</t>
    </rPh>
    <phoneticPr fontId="1"/>
  </si>
  <si>
    <t>敵単体に大ダメージ</t>
    <rPh sb="0" eb="1">
      <t>テキ</t>
    </rPh>
    <rPh sb="1" eb="3">
      <t>タンタイ</t>
    </rPh>
    <rPh sb="4" eb="5">
      <t>ダイ</t>
    </rPh>
    <phoneticPr fontId="1"/>
  </si>
  <si>
    <t>喉ごし柔らか、夏の涼菓子</t>
    <rPh sb="0" eb="1">
      <t>ノド</t>
    </rPh>
    <rPh sb="3" eb="4">
      <t>ヤワ</t>
    </rPh>
    <rPh sb="7" eb="8">
      <t>ナツ</t>
    </rPh>
    <rPh sb="9" eb="10">
      <t>リョウ</t>
    </rPh>
    <rPh sb="10" eb="12">
      <t>カシ</t>
    </rPh>
    <phoneticPr fontId="1"/>
  </si>
  <si>
    <t>自身の強襲発生割合UP</t>
    <rPh sb="0" eb="2">
      <t>ジシン</t>
    </rPh>
    <rPh sb="3" eb="5">
      <t>キョウシュウ</t>
    </rPh>
    <rPh sb="5" eb="7">
      <t>ハッセイ</t>
    </rPh>
    <rPh sb="7" eb="9">
      <t>ワリアイ</t>
    </rPh>
    <phoneticPr fontId="1"/>
  </si>
  <si>
    <t>【肝試しホラー】浜姫</t>
    <rPh sb="1" eb="2">
      <t>キモ</t>
    </rPh>
    <rPh sb="2" eb="3">
      <t>ダメ</t>
    </rPh>
    <rPh sb="8" eb="9">
      <t>ハマ</t>
    </rPh>
    <rPh sb="9" eb="10">
      <t>ヒメ</t>
    </rPh>
    <phoneticPr fontId="1"/>
  </si>
  <si>
    <t>きもだめしほらーはまひめ</t>
    <phoneticPr fontId="1"/>
  </si>
  <si>
    <t>影を飲み込む白衣の美女</t>
    <rPh sb="0" eb="1">
      <t>カゲ</t>
    </rPh>
    <rPh sb="2" eb="3">
      <t>ノ</t>
    </rPh>
    <rPh sb="4" eb="5">
      <t>コ</t>
    </rPh>
    <rPh sb="6" eb="8">
      <t>ハクイ</t>
    </rPh>
    <rPh sb="9" eb="11">
      <t>ビジョ</t>
    </rPh>
    <phoneticPr fontId="1"/>
  </si>
  <si>
    <t>2/6 20:00～2/6 23:59</t>
    <phoneticPr fontId="1"/>
  </si>
  <si>
    <t>【マッサージ】上野パンダちゃん</t>
    <rPh sb="7" eb="9">
      <t>ウエノ</t>
    </rPh>
    <phoneticPr fontId="1"/>
  </si>
  <si>
    <t>まっさーじうえのぱんだちゃん</t>
    <phoneticPr fontId="1"/>
  </si>
  <si>
    <t>多忙なパンダの癒しのひととき</t>
    <rPh sb="0" eb="2">
      <t>タボウ</t>
    </rPh>
    <rPh sb="7" eb="8">
      <t>イヤ</t>
    </rPh>
    <phoneticPr fontId="1"/>
  </si>
  <si>
    <t>四神戦 名医は鍋奉行！？鍋パーティガチャ</t>
    <rPh sb="0" eb="1">
      <t>ヨン</t>
    </rPh>
    <rPh sb="1" eb="2">
      <t>シン</t>
    </rPh>
    <rPh sb="2" eb="3">
      <t>セン</t>
    </rPh>
    <rPh sb="4" eb="6">
      <t>メイイ</t>
    </rPh>
    <rPh sb="7" eb="8">
      <t>ナベ</t>
    </rPh>
    <rPh sb="8" eb="10">
      <t>ブギョウ</t>
    </rPh>
    <rPh sb="12" eb="13">
      <t>ナベ</t>
    </rPh>
    <phoneticPr fontId="1"/>
  </si>
  <si>
    <t>なべぱーてぃほのいかづちのおおかみ</t>
    <phoneticPr fontId="1"/>
  </si>
  <si>
    <t>楽しい食事</t>
    <phoneticPr fontId="1"/>
  </si>
  <si>
    <t>しんせいうしかえしんじ</t>
    <phoneticPr fontId="1"/>
  </si>
  <si>
    <t>菅原道真公の想いと共に</t>
    <phoneticPr fontId="1"/>
  </si>
  <si>
    <t>琵琶霊弓</t>
    <phoneticPr fontId="1"/>
  </si>
  <si>
    <t>五歳ノ祝典</t>
    <phoneticPr fontId="1"/>
  </si>
  <si>
    <t>怒涛厳瀑</t>
    <phoneticPr fontId="1"/>
  </si>
  <si>
    <t>敵単体に一定割合で連続攻撃をする</t>
    <phoneticPr fontId="1"/>
  </si>
  <si>
    <t>妖艶業火宮</t>
    <phoneticPr fontId="1"/>
  </si>
  <si>
    <t>相手の防御デッキに妖怪が多いほど大ダメージ</t>
    <phoneticPr fontId="1"/>
  </si>
  <si>
    <t>【紫陽花】クシナダヒメ</t>
    <phoneticPr fontId="1"/>
  </si>
  <si>
    <t>あじさいくしなだひめ</t>
    <phoneticPr fontId="1"/>
  </si>
  <si>
    <t>番傘の隙間から、覗きたる紫陽花</t>
    <phoneticPr fontId="1"/>
  </si>
  <si>
    <t>イースターエッグをあなたに</t>
    <phoneticPr fontId="1"/>
  </si>
  <si>
    <t>しょかのせいそうまどれーぬちゃん</t>
    <phoneticPr fontId="1"/>
  </si>
  <si>
    <t>アーリーサマースイート</t>
    <phoneticPr fontId="1"/>
  </si>
  <si>
    <t>聖夜の贈り物</t>
    <phoneticPr fontId="1"/>
  </si>
  <si>
    <t>発動するほど大ダメージ</t>
    <phoneticPr fontId="1"/>
  </si>
  <si>
    <t>しきょくのあしゅらと</t>
    <phoneticPr fontId="1"/>
  </si>
  <si>
    <t>畏れ多き高潔な神々の母</t>
    <phoneticPr fontId="1"/>
  </si>
  <si>
    <t>敵全体の攻20％DOWN</t>
    <phoneticPr fontId="1"/>
  </si>
  <si>
    <t>浜松歌国</t>
    <phoneticPr fontId="1"/>
  </si>
  <si>
    <t>はままつうたくに</t>
    <phoneticPr fontId="1"/>
  </si>
  <si>
    <t>愛するゆえの辛辣な歌舞伎評</t>
    <phoneticPr fontId="1"/>
  </si>
  <si>
    <t>【インド神話】クリオネちゃん</t>
    <phoneticPr fontId="1"/>
  </si>
  <si>
    <t>いんどしんわくりおねちゃん</t>
    <phoneticPr fontId="1"/>
  </si>
  <si>
    <t>聖なる川を流るる女神</t>
    <phoneticPr fontId="1"/>
  </si>
  <si>
    <t>狂い吹雪</t>
    <phoneticPr fontId="1"/>
  </si>
  <si>
    <t>一定時間、自軍が受けたダメージに応じて必ず相手に反射する</t>
    <phoneticPr fontId="1"/>
  </si>
  <si>
    <t>天逆鉾</t>
    <phoneticPr fontId="1"/>
  </si>
  <si>
    <t>サイコロ行脚 心揺さぶる武道家の歌声ガチャ</t>
    <rPh sb="4" eb="6">
      <t>アンギャ</t>
    </rPh>
    <rPh sb="7" eb="8">
      <t>ココロ</t>
    </rPh>
    <rPh sb="8" eb="9">
      <t>ユ</t>
    </rPh>
    <rPh sb="12" eb="14">
      <t>ブドウ</t>
    </rPh>
    <rPh sb="14" eb="15">
      <t>カ</t>
    </rPh>
    <rPh sb="16" eb="18">
      <t>ウタゴエ</t>
    </rPh>
    <phoneticPr fontId="1"/>
  </si>
  <si>
    <t>ひびきわたるねいろそのべひでお</t>
    <phoneticPr fontId="1"/>
  </si>
  <si>
    <t>凛として響く歌声</t>
    <phoneticPr fontId="1"/>
  </si>
  <si>
    <t>しんせいおいり</t>
    <phoneticPr fontId="1"/>
  </si>
  <si>
    <t>幸福の虹色菓子</t>
    <phoneticPr fontId="1"/>
  </si>
  <si>
    <t>タイプ神秘・知性派の攻30％UP　/　タイプ【飲食】の攻10％UP</t>
    <phoneticPr fontId="1"/>
  </si>
  <si>
    <t>長崎</t>
    <phoneticPr fontId="1"/>
  </si>
  <si>
    <t>天竺輪舞</t>
    <phoneticPr fontId="1"/>
  </si>
  <si>
    <t>相手の防御デッキに姫が多いほど大ダメージ</t>
    <phoneticPr fontId="1"/>
  </si>
  <si>
    <t>あんさーでーきたのかた</t>
    <phoneticPr fontId="1"/>
  </si>
  <si>
    <t>お菓子まみれの一日を</t>
    <phoneticPr fontId="1"/>
  </si>
  <si>
    <t>タイプ【飲食】の攻85％UP　/　タイプ神秘・知性派の攻25％UP</t>
    <phoneticPr fontId="1"/>
  </si>
  <si>
    <t>ちちぶよまつり</t>
    <phoneticPr fontId="1"/>
  </si>
  <si>
    <t>祭りを祝う冬花火</t>
    <phoneticPr fontId="1"/>
  </si>
  <si>
    <t>タイプ武人・姫の攻30％UP　/　タイプ妖怪・名物の防20％DOWN</t>
    <phoneticPr fontId="1"/>
  </si>
  <si>
    <t>こうざいよしきよ</t>
    <phoneticPr fontId="1"/>
  </si>
  <si>
    <t>転戦する盲目の大将</t>
    <phoneticPr fontId="1"/>
  </si>
  <si>
    <t>仁義八行玉</t>
    <phoneticPr fontId="1"/>
  </si>
  <si>
    <t>【夏祭り】幾松</t>
    <phoneticPr fontId="1"/>
  </si>
  <si>
    <t>なつまつりいくまつ</t>
    <phoneticPr fontId="1"/>
  </si>
  <si>
    <t>永遠に散らぬ花火</t>
    <phoneticPr fontId="1"/>
  </si>
  <si>
    <t>タイプ伝承・神秘の防50％UP　/　タイプ知性派・飲食の防30％UP</t>
    <phoneticPr fontId="1"/>
  </si>
  <si>
    <t>秘し隠し</t>
    <phoneticPr fontId="1"/>
  </si>
  <si>
    <t>味方単体を攻撃対象から除外</t>
    <phoneticPr fontId="1"/>
  </si>
  <si>
    <t>ゆきひめもみじひめ</t>
    <phoneticPr fontId="1"/>
  </si>
  <si>
    <t>雪姫・紅葉姫</t>
    <phoneticPr fontId="1"/>
  </si>
  <si>
    <t>湖面を漂う２色の姉妹鯉</t>
    <phoneticPr fontId="1"/>
  </si>
  <si>
    <t>タイプ伝承・武人・姫の攻35％UP　/　所属が【西日本】と、それに属する地方・県、および【全国】の防35％DOWN</t>
    <phoneticPr fontId="1"/>
  </si>
  <si>
    <t>虎徹</t>
    <phoneticPr fontId="1"/>
  </si>
  <si>
    <t>こてつ</t>
    <phoneticPr fontId="1"/>
  </si>
  <si>
    <t>鍛冶場に響き渡る槌音</t>
    <phoneticPr fontId="1"/>
  </si>
  <si>
    <t>タイプ神秘・知性派・飲食の攻35％UP　/　所属が【東日本】と、それに属する地方・県、および【全国】の防35％DOWN</t>
    <phoneticPr fontId="1"/>
  </si>
  <si>
    <t>【マーチングバンド】金鵄</t>
    <phoneticPr fontId="1"/>
  </si>
  <si>
    <t>まーちんぐばんどきんし</t>
    <phoneticPr fontId="1"/>
  </si>
  <si>
    <t>金色のバトン回しをとくと見よ！</t>
    <phoneticPr fontId="1"/>
  </si>
  <si>
    <t>【温泉宿】魍魎</t>
    <phoneticPr fontId="1"/>
  </si>
  <si>
    <t>おんせんやどもうりょう</t>
    <phoneticPr fontId="1"/>
  </si>
  <si>
    <t>怨みも忘れる恍惚の温もり</t>
    <phoneticPr fontId="1"/>
  </si>
  <si>
    <t>タイプ神秘・知性派の攻100％DOWN　/　タイプ偉人・名物の防20％UP</t>
    <phoneticPr fontId="1"/>
  </si>
  <si>
    <t>鬼人丹後守</t>
    <phoneticPr fontId="1"/>
  </si>
  <si>
    <t>王献扇舞</t>
    <phoneticPr fontId="1"/>
  </si>
  <si>
    <t>復活！5進化隊士ガチャ</t>
    <phoneticPr fontId="1"/>
  </si>
  <si>
    <t>木曽義仲</t>
    <phoneticPr fontId="1"/>
  </si>
  <si>
    <t>きそよしなか</t>
    <phoneticPr fontId="1"/>
  </si>
  <si>
    <t>盛者必衰の理</t>
    <phoneticPr fontId="1"/>
  </si>
  <si>
    <t>タイプ姫・伝承の攻12％UP　/　タイプ【武人】の攻10％UP</t>
    <phoneticPr fontId="1"/>
  </si>
  <si>
    <t>タイプ姫・伝承の攻10％UP　/　タイプ【武人】の攻5％UP</t>
    <phoneticPr fontId="1"/>
  </si>
  <si>
    <t>ユッコルカムイ</t>
    <phoneticPr fontId="1"/>
  </si>
  <si>
    <t>ゆっこるかむい</t>
    <phoneticPr fontId="1"/>
  </si>
  <si>
    <t>カムイからの贈り物</t>
    <phoneticPr fontId="1"/>
  </si>
  <si>
    <t>タイプ【飲食】の防85％UP　/　タイプ神秘・知性派の防25％UP</t>
    <phoneticPr fontId="1"/>
  </si>
  <si>
    <t>タイプ【飲食】の防60％UP　/　タイプ神秘・知性派の防20％UP</t>
    <phoneticPr fontId="1"/>
  </si>
  <si>
    <t>タイプ【飲食】の防45％UP　/　タイプ【神秘】の防15％UP</t>
    <phoneticPr fontId="1"/>
  </si>
  <si>
    <t>神妙剣・転</t>
    <phoneticPr fontId="1"/>
  </si>
  <si>
    <t>相手の戦技ゲージを吸収して大ダメージ</t>
    <phoneticPr fontId="1"/>
  </si>
  <si>
    <t>渾身ノ合掌</t>
    <phoneticPr fontId="1"/>
  </si>
  <si>
    <t>相手の防御デッキに飲食が多いほど大ダメージ</t>
    <phoneticPr fontId="1"/>
  </si>
  <si>
    <t>【湯けむり】イヅナ</t>
    <phoneticPr fontId="1"/>
  </si>
  <si>
    <t>コクリ連爪</t>
    <phoneticPr fontId="1"/>
  </si>
  <si>
    <t>聖なる舞踊</t>
    <phoneticPr fontId="1"/>
  </si>
  <si>
    <t>相手の攻撃を確率で回避する</t>
    <phoneticPr fontId="1"/>
  </si>
  <si>
    <t>えんたくのきしたかつかさのぶこ</t>
    <phoneticPr fontId="1"/>
  </si>
  <si>
    <t>大衆酒場にて</t>
    <phoneticPr fontId="1"/>
  </si>
  <si>
    <t>【四十八天狗】彦山豊前坊</t>
    <phoneticPr fontId="1"/>
  </si>
  <si>
    <t>しじゅうはちてんぐひこざんぶぜんぼう</t>
    <phoneticPr fontId="1"/>
  </si>
  <si>
    <t>律する大天狗</t>
    <phoneticPr fontId="1"/>
  </si>
  <si>
    <t>えんたくのきしみょうりんに</t>
    <phoneticPr fontId="1"/>
  </si>
  <si>
    <t>お着替えタイム</t>
    <phoneticPr fontId="1"/>
  </si>
  <si>
    <t>受けたダメージを相手にも与える</t>
    <phoneticPr fontId="1"/>
  </si>
  <si>
    <t>畔上明璃花</t>
    <phoneticPr fontId="1"/>
  </si>
  <si>
    <t>敵単体の身代わり効果を一定時間無効化</t>
    <phoneticPr fontId="1"/>
  </si>
  <si>
    <t>染殿后</t>
    <phoneticPr fontId="1"/>
  </si>
  <si>
    <t>そめどののきさき</t>
    <phoneticPr fontId="1"/>
  </si>
  <si>
    <t>物の怪も嫉妬する美しき皇后</t>
    <rPh sb="0" eb="3">
      <t>モノノケ</t>
    </rPh>
    <rPh sb="4" eb="6">
      <t>シット</t>
    </rPh>
    <rPh sb="8" eb="9">
      <t>ウツク</t>
    </rPh>
    <rPh sb="11" eb="13">
      <t>コウゴウ</t>
    </rPh>
    <phoneticPr fontId="1"/>
  </si>
  <si>
    <t>【ハロウィン】辛口日本酒ちゃん</t>
    <phoneticPr fontId="1"/>
  </si>
  <si>
    <t>【アラビアン】銀狐</t>
    <rPh sb="7" eb="9">
      <t>ギンギツネ</t>
    </rPh>
    <phoneticPr fontId="1"/>
  </si>
  <si>
    <t>あらびあんぎんこ</t>
    <phoneticPr fontId="1"/>
  </si>
  <si>
    <t>宮殿に響く弦の音色</t>
    <rPh sb="0" eb="2">
      <t>キュウデン</t>
    </rPh>
    <rPh sb="3" eb="4">
      <t>ヒビ</t>
    </rPh>
    <rPh sb="5" eb="6">
      <t>ゲン</t>
    </rPh>
    <rPh sb="7" eb="9">
      <t>ネイロ</t>
    </rPh>
    <phoneticPr fontId="1"/>
  </si>
  <si>
    <t>江川英龍</t>
    <phoneticPr fontId="1"/>
  </si>
  <si>
    <t>えがわひでたつ</t>
    <phoneticPr fontId="1"/>
  </si>
  <si>
    <t>水平線に向ける鉄壁の砲術</t>
    <phoneticPr fontId="1"/>
  </si>
  <si>
    <t>タイプ妖怪・名物の防25％UP　/　タイプ【偉人】の防10％UP</t>
    <phoneticPr fontId="1"/>
  </si>
  <si>
    <t>タイプ妖怪・名物の防12％UP　/　タイプ【偉人】の防10％UP</t>
    <phoneticPr fontId="1"/>
  </si>
  <si>
    <t>タイプ妖怪・名物の防10％UP　/　タイプ【偉人】の防5％UP</t>
    <phoneticPr fontId="1"/>
  </si>
  <si>
    <t>いがめんち</t>
    <phoneticPr fontId="1"/>
  </si>
  <si>
    <t>イカと愛情たっぷり母の味</t>
    <phoneticPr fontId="1"/>
  </si>
  <si>
    <t>全国巡り 雪祭り！思わず見惚れる銀世界ガチャ</t>
    <rPh sb="0" eb="2">
      <t>ゼンコク</t>
    </rPh>
    <rPh sb="2" eb="3">
      <t>メグ</t>
    </rPh>
    <rPh sb="5" eb="7">
      <t>ユキマツ</t>
    </rPh>
    <rPh sb="9" eb="10">
      <t>オモ</t>
    </rPh>
    <rPh sb="12" eb="14">
      <t>ミホ</t>
    </rPh>
    <rPh sb="16" eb="19">
      <t>ギンセカイ</t>
    </rPh>
    <phoneticPr fontId="1"/>
  </si>
  <si>
    <t>ゆきのさいてんぼでぃこんちゃん</t>
    <phoneticPr fontId="1"/>
  </si>
  <si>
    <t>照らされた銀世界</t>
    <phoneticPr fontId="1"/>
  </si>
  <si>
    <t>しんせいいなづまらいごろう</t>
    <phoneticPr fontId="1"/>
  </si>
  <si>
    <t>稲妻のごとき昇進</t>
    <phoneticPr fontId="1"/>
  </si>
  <si>
    <t>北海道</t>
    <phoneticPr fontId="1"/>
  </si>
  <si>
    <t>タイプ【飲食】の防20％UP</t>
    <phoneticPr fontId="1"/>
  </si>
  <si>
    <t>2/24 18:00～2/26 23:59</t>
    <phoneticPr fontId="1"/>
  </si>
  <si>
    <t>タイプ伝承・武人・姫の防30％UP　/　タイプ名物・知性派・飲食・神秘の攻13％DOWN</t>
    <phoneticPr fontId="1"/>
  </si>
  <si>
    <t>しょうぎはくぞうす</t>
    <phoneticPr fontId="1"/>
  </si>
  <si>
    <t>永久に眺めし王の生き様</t>
    <phoneticPr fontId="1"/>
  </si>
  <si>
    <t>タイプ偉人・妖怪の防100％DOWN　/　タイプ偉人・名物の攻20％UP</t>
    <phoneticPr fontId="1"/>
  </si>
  <si>
    <t>2/26 18:00～2/26 21:59</t>
    <phoneticPr fontId="1"/>
  </si>
  <si>
    <t>自身の強襲発生割合を100％にする</t>
    <phoneticPr fontId="1"/>
  </si>
  <si>
    <t>祝祭の王女ホリデー</t>
    <phoneticPr fontId="1"/>
  </si>
  <si>
    <t>鬼鶴玉砕棒</t>
    <rPh sb="0" eb="1">
      <t>オニ</t>
    </rPh>
    <rPh sb="1" eb="2">
      <t>ツル</t>
    </rPh>
    <rPh sb="2" eb="3">
      <t>ギョク</t>
    </rPh>
    <rPh sb="4" eb="5">
      <t>ボウ</t>
    </rPh>
    <phoneticPr fontId="1"/>
  </si>
  <si>
    <t>相手の防御デッキに知性派が多いほど大ダメージ</t>
    <rPh sb="0" eb="2">
      <t>アイテ</t>
    </rPh>
    <rPh sb="3" eb="5">
      <t>ボウギョ</t>
    </rPh>
    <rPh sb="9" eb="11">
      <t>チセイ</t>
    </rPh>
    <rPh sb="11" eb="12">
      <t>ハ</t>
    </rPh>
    <rPh sb="13" eb="14">
      <t>オオ</t>
    </rPh>
    <rPh sb="17" eb="18">
      <t>ダイ</t>
    </rPh>
    <phoneticPr fontId="1"/>
  </si>
  <si>
    <t>戦技ゲージの上昇割合UP</t>
    <phoneticPr fontId="1"/>
  </si>
  <si>
    <t>(DX)3/1 0:00～3/4 11:59</t>
    <phoneticPr fontId="1"/>
  </si>
  <si>
    <t>防衛戦 遊楽の雛乙女ガチャ</t>
    <rPh sb="4" eb="6">
      <t>ユウラク</t>
    </rPh>
    <rPh sb="7" eb="8">
      <t>ヒナ</t>
    </rPh>
    <rPh sb="8" eb="10">
      <t>オトメ</t>
    </rPh>
    <phoneticPr fontId="1"/>
  </si>
  <si>
    <t>【ひなまつり】京極マリア</t>
    <phoneticPr fontId="1"/>
  </si>
  <si>
    <t>ひなまつりきょうごくまりあ</t>
    <phoneticPr fontId="1"/>
  </si>
  <si>
    <t>聖なる桃節句映え</t>
    <phoneticPr fontId="1"/>
  </si>
  <si>
    <t>タイプ偉人・妖怪の防40％UP　/　タイプ【名物】の防25％UP</t>
    <phoneticPr fontId="1"/>
  </si>
  <si>
    <t>加護・聖母の愛</t>
    <phoneticPr fontId="1"/>
  </si>
  <si>
    <t>一定時間、味方全員に敵の攻撃力を60％DOWNする加護を付与</t>
    <phoneticPr fontId="1"/>
  </si>
  <si>
    <t>【ひなまつり】ラッコ</t>
    <phoneticPr fontId="1"/>
  </si>
  <si>
    <t>ひなまつりらっこ</t>
    <phoneticPr fontId="1"/>
  </si>
  <si>
    <t>ご機嫌十二単</t>
    <phoneticPr fontId="1"/>
  </si>
  <si>
    <t>【ひなまつり】板額御前</t>
    <phoneticPr fontId="1"/>
  </si>
  <si>
    <t>ひなまつりはんがくごぜん</t>
    <phoneticPr fontId="1"/>
  </si>
  <si>
    <t>色香漂うひなまつり</t>
    <phoneticPr fontId="1"/>
  </si>
  <si>
    <t>【ひなまつり】山根敏子</t>
    <phoneticPr fontId="1"/>
  </si>
  <si>
    <t>ひなまつりやまねとしこ</t>
    <phoneticPr fontId="1"/>
  </si>
  <si>
    <t>飾られるだけではない姫</t>
    <phoneticPr fontId="1"/>
  </si>
  <si>
    <t>[新生]【桃の節句】おしずの神さん</t>
    <phoneticPr fontId="1"/>
  </si>
  <si>
    <t>しんせいもものせっくおしずのかみさん</t>
    <phoneticPr fontId="1"/>
  </si>
  <si>
    <t>生命司る水神の神酒</t>
    <phoneticPr fontId="1"/>
  </si>
  <si>
    <t>タイプ知性派・飲食の攻35％UP　/　タイプ【神秘】の攻20％UP</t>
    <phoneticPr fontId="1"/>
  </si>
  <si>
    <t>[新生]津軽辰姫</t>
    <phoneticPr fontId="1"/>
  </si>
  <si>
    <t>しんせいつがるたつひめ</t>
    <phoneticPr fontId="1"/>
  </si>
  <si>
    <t>正室と側室の狭間で</t>
    <phoneticPr fontId="1"/>
  </si>
  <si>
    <t>タイプ武人・伝承の防35％UP　/　タイプ【姫】の防20％UP</t>
    <phoneticPr fontId="1"/>
  </si>
  <si>
    <t>[新生]【桃の節句】鬼切丸</t>
    <phoneticPr fontId="1"/>
  </si>
  <si>
    <t>しんせいもものせっくおにきりまる</t>
    <phoneticPr fontId="1"/>
  </si>
  <si>
    <t>名刀唸らせるご馳走</t>
    <phoneticPr fontId="1"/>
  </si>
  <si>
    <t>[新生]上杉謙信</t>
    <phoneticPr fontId="1"/>
  </si>
  <si>
    <t>しんせいうえすぎけんしん</t>
    <phoneticPr fontId="1"/>
  </si>
  <si>
    <t>毘沙門の宗心</t>
    <phoneticPr fontId="1"/>
  </si>
  <si>
    <t>タイプ姫・伝承の攻25％UP</t>
    <phoneticPr fontId="1"/>
  </si>
  <si>
    <t>[新生]御納杯</t>
    <phoneticPr fontId="1"/>
  </si>
  <si>
    <t>しんせいごのうはい</t>
    <phoneticPr fontId="1"/>
  </si>
  <si>
    <t>寿盃の契</t>
    <phoneticPr fontId="1"/>
  </si>
  <si>
    <t>タイプ神秘・知性派の攻25％UP</t>
    <phoneticPr fontId="1"/>
  </si>
  <si>
    <t>[新生]二宮金次郎</t>
    <phoneticPr fontId="1"/>
  </si>
  <si>
    <t>神奈川</t>
    <phoneticPr fontId="1"/>
  </si>
  <si>
    <t>しんせいにのみやきんじろう</t>
    <phoneticPr fontId="1"/>
  </si>
  <si>
    <t>奉公の鏡</t>
    <phoneticPr fontId="1"/>
  </si>
  <si>
    <t>2/2 12:00～2/3 23:59</t>
    <phoneticPr fontId="1"/>
  </si>
  <si>
    <t>3/3 18:00～3/3 21:59</t>
    <phoneticPr fontId="1"/>
  </si>
  <si>
    <t>3/2 12:00～3/3 23:59</t>
    <phoneticPr fontId="1"/>
  </si>
  <si>
    <t>【アサシンスクール】天魔</t>
    <phoneticPr fontId="1"/>
  </si>
  <si>
    <t>あさしんすくーるてんま</t>
    <phoneticPr fontId="1"/>
  </si>
  <si>
    <t>煩悩操る天魔の刀</t>
    <phoneticPr fontId="1"/>
  </si>
  <si>
    <t>タイプ伝承・武人・姫の攻80％DOWN　/　タイプ神秘・知性派・飲食の防20％UP</t>
    <phoneticPr fontId="1"/>
  </si>
  <si>
    <t>タイプ伝承・武人・姫の攻30％DOWN　/　タイプ知性派・飲食の防15％UP</t>
    <phoneticPr fontId="1"/>
  </si>
  <si>
    <t>タイプ武人・姫の攻15％DOWN　/　タイプ知性派・飲食の防10％UP</t>
    <phoneticPr fontId="1"/>
  </si>
  <si>
    <t>超・不良遊戯ガチャ</t>
    <phoneticPr fontId="1"/>
  </si>
  <si>
    <t>3/2 18:00～3/4 23:59</t>
    <phoneticPr fontId="1"/>
  </si>
  <si>
    <t>薄羽ベルンシュタイン</t>
    <phoneticPr fontId="1"/>
  </si>
  <si>
    <t>うすばべるんしゅたいん</t>
    <phoneticPr fontId="1"/>
  </si>
  <si>
    <t>被験体緊縛</t>
    <phoneticPr fontId="1"/>
  </si>
  <si>
    <t>タイプ神秘・飲食の防35％UP　/　タイプ【知性派】の防20％UP</t>
    <phoneticPr fontId="1"/>
  </si>
  <si>
    <t>[新生]福地桜智</t>
    <phoneticPr fontId="1"/>
  </si>
  <si>
    <t>しんせいふくちおうち</t>
    <phoneticPr fontId="1"/>
  </si>
  <si>
    <t>天下の吾曹</t>
    <phoneticPr fontId="1"/>
  </si>
  <si>
    <t>3/3 11:00～3/5 23:59</t>
    <phoneticPr fontId="1"/>
  </si>
  <si>
    <t>クロノス</t>
    <phoneticPr fontId="1"/>
  </si>
  <si>
    <t>くろのす</t>
    <phoneticPr fontId="1"/>
  </si>
  <si>
    <t>秒針を刻む</t>
    <phoneticPr fontId="1"/>
  </si>
  <si>
    <t>しこみ簪</t>
    <phoneticPr fontId="1"/>
  </si>
  <si>
    <t>防衛戦 猛攻の粉塵ガチャ</t>
    <phoneticPr fontId="1"/>
  </si>
  <si>
    <t>(DX)3/4 12:00～3/8 11:59</t>
    <phoneticPr fontId="1"/>
  </si>
  <si>
    <t>【花粉襲来】蛇骨娘</t>
    <phoneticPr fontId="1"/>
  </si>
  <si>
    <t>かふんしゅうらいじゃこつむすめ</t>
    <phoneticPr fontId="1"/>
  </si>
  <si>
    <t>花粉を操る蛇娘</t>
    <phoneticPr fontId="1"/>
  </si>
  <si>
    <t>[新生]【咲き乱れ】バラ</t>
    <phoneticPr fontId="1"/>
  </si>
  <si>
    <t>しんせいさきみだればら</t>
    <phoneticPr fontId="1"/>
  </si>
  <si>
    <t>人を惑わす茨の女王</t>
    <phoneticPr fontId="1"/>
  </si>
  <si>
    <t>[新生]イヅナヒメノミコト</t>
    <phoneticPr fontId="1"/>
  </si>
  <si>
    <t>しんせいいづなひめのみこと</t>
    <phoneticPr fontId="1"/>
  </si>
  <si>
    <t>永遠一生の守護</t>
    <phoneticPr fontId="1"/>
  </si>
  <si>
    <t>タイプ知性派・飲食の防20％UP</t>
    <phoneticPr fontId="1"/>
  </si>
  <si>
    <t>[新生]河女</t>
    <phoneticPr fontId="1"/>
  </si>
  <si>
    <t>青森</t>
    <phoneticPr fontId="1"/>
  </si>
  <si>
    <t>しんせいかわおなご</t>
    <phoneticPr fontId="1"/>
  </si>
  <si>
    <t>夏夜の呪縛と恋の食欲</t>
    <phoneticPr fontId="1"/>
  </si>
  <si>
    <t>超攻再臨ガチャ</t>
    <phoneticPr fontId="1"/>
  </si>
  <si>
    <t>3/4 18:00～3/6 23:59</t>
    <phoneticPr fontId="1"/>
  </si>
  <si>
    <t>野中千代子</t>
    <phoneticPr fontId="1"/>
  </si>
  <si>
    <t>のなかちよこ</t>
    <phoneticPr fontId="1"/>
  </si>
  <si>
    <t>険き道の氷点観測</t>
    <phoneticPr fontId="1"/>
  </si>
  <si>
    <t>ハッカちゃん</t>
    <phoneticPr fontId="1"/>
  </si>
  <si>
    <t>はっかちゃん</t>
    <phoneticPr fontId="1"/>
  </si>
  <si>
    <t>料理から虫除けまで</t>
    <phoneticPr fontId="1"/>
  </si>
  <si>
    <t>タイプ偉人・妖怪・知性派の攻40％UP　/　タイプ名物・飲食の攻35％UP</t>
    <phoneticPr fontId="1"/>
  </si>
  <si>
    <t>3/5 11:00～3/5 23:59</t>
    <phoneticPr fontId="1"/>
  </si>
  <si>
    <t>天幻来迎ガチャ</t>
    <phoneticPr fontId="1"/>
  </si>
  <si>
    <t>3/5 18:00～3/7 23:59</t>
    <phoneticPr fontId="1"/>
  </si>
  <si>
    <t>煉獄の使者プラテア</t>
    <phoneticPr fontId="1"/>
  </si>
  <si>
    <t>れんごくのししゃぷらてあ</t>
    <phoneticPr fontId="1"/>
  </si>
  <si>
    <t>サジズムサイス</t>
    <phoneticPr fontId="1"/>
  </si>
  <si>
    <t>闇落ち奇兵隊</t>
    <phoneticPr fontId="1"/>
  </si>
  <si>
    <t>【幻獣】アリス・ベーコン</t>
    <phoneticPr fontId="1"/>
  </si>
  <si>
    <t>げんじゅうありす・べーこん</t>
    <phoneticPr fontId="1"/>
  </si>
  <si>
    <t>優雅に振るう教鞭</t>
    <phoneticPr fontId="1"/>
  </si>
  <si>
    <t>タイプ神秘・飲食・名物の防35％UP</t>
    <phoneticPr fontId="1"/>
  </si>
  <si>
    <t>【ミリタリー水着】ミヅハノメ</t>
    <phoneticPr fontId="1"/>
  </si>
  <si>
    <t>みりたりーみずぎみづはのめ</t>
    <phoneticPr fontId="1"/>
  </si>
  <si>
    <t>恵の水がもたらす勝利</t>
    <phoneticPr fontId="1"/>
  </si>
  <si>
    <t>タイプ飲食・知性派・武人の防30％UP</t>
    <phoneticPr fontId="1"/>
  </si>
  <si>
    <t xml:space="preserve">恩結びの狼 </t>
    <phoneticPr fontId="1"/>
  </si>
  <si>
    <t>相手の防御デッキに偉人が多いほど大ダメージ</t>
    <phoneticPr fontId="1"/>
  </si>
  <si>
    <t>3/6 12:00～3/7 11:59</t>
    <phoneticPr fontId="1"/>
  </si>
  <si>
    <t>3/6 20:00～3/6 23:59</t>
    <phoneticPr fontId="1"/>
  </si>
  <si>
    <t>3/7 11:00～3/7 23:59</t>
    <phoneticPr fontId="1"/>
  </si>
  <si>
    <t>5進</t>
    <phoneticPr fontId="1"/>
  </si>
  <si>
    <t>【白衣の天使】ヘビガミ</t>
    <phoneticPr fontId="1"/>
  </si>
  <si>
    <t>はくいのてんしへびがみ</t>
    <phoneticPr fontId="1"/>
  </si>
  <si>
    <t>死と再生を見つめる白蛇</t>
    <phoneticPr fontId="1"/>
  </si>
  <si>
    <t>タイプ武人・姫の攻100％DOWN　/　タイプ姫・伝承の防20％UP</t>
    <phoneticPr fontId="1"/>
  </si>
  <si>
    <t>タイプ武人・姫の攻50％DOWN　/　タイプ姫・伝承の防15％UP</t>
    <phoneticPr fontId="1"/>
  </si>
  <si>
    <t>タイプ【姫】の攻20％DOWN　/　タイプ姫・伝承の防10％UP</t>
    <phoneticPr fontId="1"/>
  </si>
  <si>
    <t>喜多川歌麿</t>
    <phoneticPr fontId="1"/>
  </si>
  <si>
    <t>きたがわうたまろ</t>
    <phoneticPr fontId="1"/>
  </si>
  <si>
    <t>美に対する執念</t>
    <phoneticPr fontId="1"/>
  </si>
  <si>
    <t>タイプ神秘・飲食・伝承の攻40％UP　/　タイプ【知性派】の攻35％UP</t>
    <phoneticPr fontId="1"/>
  </si>
  <si>
    <t>タイプ神秘・飲食・伝承の攻25％UP　/　タイプ【知性派】の攻30％UP</t>
    <phoneticPr fontId="1"/>
  </si>
  <si>
    <t>3/7 18:00～3/9 23:59</t>
    <phoneticPr fontId="1"/>
  </si>
  <si>
    <t>四神戦 突風注意？春風の悪戯ガチャ</t>
    <rPh sb="0" eb="1">
      <t>ヨン</t>
    </rPh>
    <rPh sb="1" eb="2">
      <t>シン</t>
    </rPh>
    <rPh sb="2" eb="3">
      <t>セン</t>
    </rPh>
    <phoneticPr fontId="1"/>
  </si>
  <si>
    <t>(DX)3/8 12:00～3/14 11:59</t>
    <phoneticPr fontId="1"/>
  </si>
  <si>
    <t>【春一番】五龍局</t>
    <phoneticPr fontId="1"/>
  </si>
  <si>
    <t>はるいちばんごりゅうのつぼね</t>
    <phoneticPr fontId="1"/>
  </si>
  <si>
    <t>春一番の小さな悪戯</t>
    <phoneticPr fontId="1"/>
  </si>
  <si>
    <t>[新生]悪禅師の風</t>
    <phoneticPr fontId="1"/>
  </si>
  <si>
    <t>しんせいあくぜんじのかぜ</t>
    <phoneticPr fontId="1"/>
  </si>
  <si>
    <t>破戒僧の咆哮</t>
    <phoneticPr fontId="1"/>
  </si>
  <si>
    <t>タイプ偉人・名物の攻30％UP　/　タイプ【妖怪】の攻10％UP</t>
    <phoneticPr fontId="1"/>
  </si>
  <si>
    <t>[新生]ハスカップティーちゃん</t>
    <phoneticPr fontId="1"/>
  </si>
  <si>
    <t>しんせいはすかっぷてぃーちゃん</t>
    <phoneticPr fontId="1"/>
  </si>
  <si>
    <t>不老長寿の秘薬</t>
    <phoneticPr fontId="1"/>
  </si>
  <si>
    <t>タイプ神秘・知性派の防20％UP</t>
    <phoneticPr fontId="1"/>
  </si>
  <si>
    <t>[新生]陶晴賢</t>
    <phoneticPr fontId="1"/>
  </si>
  <si>
    <t>しんせいすえはるかた</t>
    <phoneticPr fontId="1"/>
  </si>
  <si>
    <t>西国無双の侍大将</t>
    <phoneticPr fontId="1"/>
  </si>
  <si>
    <t>タイプ【伝承】の攻20％UP</t>
    <phoneticPr fontId="1"/>
  </si>
  <si>
    <t>豪華玉手箱ガチャ</t>
    <phoneticPr fontId="1"/>
  </si>
  <si>
    <t>3/8 15:00～3/8 23:59</t>
    <phoneticPr fontId="1"/>
  </si>
  <si>
    <t>ちょうそかべくにちか</t>
    <phoneticPr fontId="1"/>
  </si>
  <si>
    <t>南国を駆けし野の虎</t>
    <phoneticPr fontId="1"/>
  </si>
  <si>
    <t>おおやまいわお</t>
    <phoneticPr fontId="1"/>
  </si>
  <si>
    <t>免許皆伝の弥助砲術</t>
    <phoneticPr fontId="1"/>
  </si>
  <si>
    <t>9/26 12:00～9/28 23:59</t>
    <phoneticPr fontId="1"/>
  </si>
  <si>
    <t>タイプ妖怪・名物の防50％UP　/　タイプ【偉人】の防35％UP</t>
    <phoneticPr fontId="1"/>
  </si>
  <si>
    <t>タイプ妖怪・名物の防30％UP　/　タイプ【偉人】の防20％UP</t>
    <phoneticPr fontId="1"/>
  </si>
  <si>
    <t>相手の防御デッキに神秘が多いほど大ダメージ</t>
    <phoneticPr fontId="1"/>
  </si>
  <si>
    <t>女傑戦将</t>
    <phoneticPr fontId="1"/>
  </si>
  <si>
    <t>【MONSTER】玉手箱</t>
    <phoneticPr fontId="1"/>
  </si>
  <si>
    <t>摩利支天法</t>
    <phoneticPr fontId="1"/>
  </si>
  <si>
    <t>カエルデ</t>
    <phoneticPr fontId="1"/>
  </si>
  <si>
    <t>藍染め</t>
    <phoneticPr fontId="1"/>
  </si>
  <si>
    <t>【カンフー】服部半蔵</t>
    <phoneticPr fontId="1"/>
  </si>
  <si>
    <t>西日本→全国</t>
    <rPh sb="0" eb="1">
      <t>ニシ</t>
    </rPh>
    <rPh sb="1" eb="3">
      <t>ニホン</t>
    </rPh>
    <phoneticPr fontId="1"/>
  </si>
  <si>
    <t>九州・沖縄→全国</t>
    <rPh sb="0" eb="2">
      <t>キュウシュウ</t>
    </rPh>
    <rPh sb="3" eb="5">
      <t>オキナワ</t>
    </rPh>
    <rPh sb="6" eb="8">
      <t>ゼンコク</t>
    </rPh>
    <phoneticPr fontId="1"/>
  </si>
  <si>
    <t>九州・沖縄→全国</t>
    <rPh sb="0" eb="2">
      <t>キュウシュウ</t>
    </rPh>
    <rPh sb="3" eb="5">
      <t>オキナワ</t>
    </rPh>
    <phoneticPr fontId="1"/>
  </si>
  <si>
    <t>【湯けむり】ミヅハノメ</t>
    <phoneticPr fontId="1"/>
  </si>
  <si>
    <t>四神戦 霊験灼然！湯浴みの水神ガチャ</t>
    <rPh sb="0" eb="1">
      <t>ヨン</t>
    </rPh>
    <rPh sb="1" eb="2">
      <t>シン</t>
    </rPh>
    <rPh sb="2" eb="3">
      <t>セン</t>
    </rPh>
    <rPh sb="4" eb="6">
      <t>レイケン</t>
    </rPh>
    <rPh sb="6" eb="7">
      <t>シャク</t>
    </rPh>
    <rPh sb="7" eb="8">
      <t>ゼン</t>
    </rPh>
    <rPh sb="9" eb="11">
      <t>ユア</t>
    </rPh>
    <rPh sb="13" eb="15">
      <t>ミズガミ</t>
    </rPh>
    <phoneticPr fontId="1"/>
  </si>
  <si>
    <t>白蔵主</t>
    <phoneticPr fontId="1"/>
  </si>
  <si>
    <t>紀伊國屋文左衛門</t>
    <phoneticPr fontId="1"/>
  </si>
  <si>
    <t>【エンジェル】村雨丸</t>
    <phoneticPr fontId="1"/>
  </si>
  <si>
    <t>【妖精】一目連</t>
    <phoneticPr fontId="1"/>
  </si>
  <si>
    <t>【スクールライフ】菊姫</t>
    <phoneticPr fontId="1"/>
  </si>
  <si>
    <t>清涼たる季菓</t>
    <rPh sb="0" eb="2">
      <t>セイリョウ</t>
    </rPh>
    <rPh sb="4" eb="5">
      <t>キ</t>
    </rPh>
    <rPh sb="5" eb="6">
      <t>カ</t>
    </rPh>
    <phoneticPr fontId="1"/>
  </si>
  <si>
    <t>【雪の王国】鍋島の化け猫</t>
    <phoneticPr fontId="1"/>
  </si>
  <si>
    <t>ハンナ・リデル</t>
    <phoneticPr fontId="1"/>
  </si>
  <si>
    <t>鬼庭左月斎</t>
    <phoneticPr fontId="1"/>
  </si>
  <si>
    <t>【スチームパンク】送り提灯</t>
    <phoneticPr fontId="1"/>
  </si>
  <si>
    <t>熊野久須毘命</t>
    <phoneticPr fontId="1"/>
  </si>
  <si>
    <t>10/21 12:00～10/25 11:59</t>
    <phoneticPr fontId="1"/>
  </si>
  <si>
    <t>10/22 12:00～10/25 11:59</t>
    <phoneticPr fontId="1"/>
  </si>
  <si>
    <t>合戦矢乙女</t>
    <phoneticPr fontId="1"/>
  </si>
  <si>
    <t>敵の発動中戦技効果を消滅させる</t>
    <phoneticPr fontId="1"/>
  </si>
  <si>
    <t>【世紀末】新島八重</t>
    <phoneticPr fontId="1"/>
  </si>
  <si>
    <t>【バレエ】鶴の恩返し</t>
    <phoneticPr fontId="1"/>
  </si>
  <si>
    <t>レインボーカキ氷ちゃん</t>
    <phoneticPr fontId="1"/>
  </si>
  <si>
    <t>【銃器】藤原清衡</t>
    <phoneticPr fontId="1"/>
  </si>
  <si>
    <t>六奥奇環砲</t>
    <phoneticPr fontId="1"/>
  </si>
  <si>
    <t>【茶屋むすめ】神田祭</t>
    <phoneticPr fontId="1"/>
  </si>
  <si>
    <t>【茶屋むすめ】ワカルヒメノミコト</t>
    <phoneticPr fontId="1"/>
  </si>
  <si>
    <t>ウカノミタマノカミ</t>
    <phoneticPr fontId="1"/>
  </si>
  <si>
    <t>エトピリカ</t>
    <phoneticPr fontId="1"/>
  </si>
  <si>
    <t>百段雛まつり</t>
    <phoneticPr fontId="1"/>
  </si>
  <si>
    <t>ディープ・ブルー</t>
    <phoneticPr fontId="1"/>
  </si>
  <si>
    <t>全ての答え</t>
    <phoneticPr fontId="1"/>
  </si>
  <si>
    <t>【オートクチュール】二十世紀梨ちゃん</t>
    <phoneticPr fontId="1"/>
  </si>
  <si>
    <t>雷門弓手招き</t>
    <phoneticPr fontId="1"/>
  </si>
  <si>
    <t>魚雷エンペラー</t>
    <phoneticPr fontId="1"/>
  </si>
  <si>
    <t>相手の防御デッキに武人が多いほど大ダメージ</t>
    <phoneticPr fontId="1"/>
  </si>
  <si>
    <t>蠱惑ノ行烈</t>
    <phoneticPr fontId="1"/>
  </si>
  <si>
    <t>相手の戦技ゲージを回復できなくする</t>
    <phoneticPr fontId="1"/>
  </si>
  <si>
    <t>3/9 12:00～3/14 11:59</t>
    <phoneticPr fontId="1"/>
  </si>
  <si>
    <t>【アサシンスクール】常山御前</t>
    <phoneticPr fontId="1"/>
  </si>
  <si>
    <t>あさしんすくーるつねやまごぜん</t>
    <phoneticPr fontId="1"/>
  </si>
  <si>
    <t>廃墟に佇む女戦士</t>
    <phoneticPr fontId="1"/>
  </si>
  <si>
    <t>タイプ姫・伝承の防50％UP　/　タイプ【武人】の防35％UP</t>
    <phoneticPr fontId="1"/>
  </si>
  <si>
    <t>3/9 18:00～3/11 23:59</t>
    <phoneticPr fontId="1"/>
  </si>
  <si>
    <t>3/10 11:00～3/10 23:59</t>
    <phoneticPr fontId="1"/>
  </si>
  <si>
    <t>超防再臨ガチャ</t>
    <phoneticPr fontId="1"/>
  </si>
  <si>
    <t>3/10 18:00～3/12 23:59</t>
    <phoneticPr fontId="1"/>
  </si>
  <si>
    <t>【清流めぐり】於大の方</t>
    <phoneticPr fontId="1"/>
  </si>
  <si>
    <t>せいりゅうめぐりおだいのかた</t>
    <phoneticPr fontId="1"/>
  </si>
  <si>
    <t>清流にそよぐ納涼</t>
    <phoneticPr fontId="1"/>
  </si>
  <si>
    <t>タイプ妖怪・名物の防30％UP　/　タイプ神秘・知性派・飲食の防12％UP</t>
    <phoneticPr fontId="1"/>
  </si>
  <si>
    <t>戦神ガチャ</t>
    <phoneticPr fontId="1"/>
  </si>
  <si>
    <t>3/11 11:00～3/13 23:59</t>
    <phoneticPr fontId="1"/>
  </si>
  <si>
    <t>【呪詛】メディア</t>
    <phoneticPr fontId="1"/>
  </si>
  <si>
    <t>じゅそめでぃあ</t>
    <phoneticPr fontId="1"/>
  </si>
  <si>
    <t>愛より堕ちた呪詛</t>
    <phoneticPr fontId="1"/>
  </si>
  <si>
    <t>刹那！最強DOWN隊士ガチャ</t>
    <phoneticPr fontId="1"/>
  </si>
  <si>
    <t>3/11 20:00～3/11 23:59</t>
    <phoneticPr fontId="1"/>
  </si>
  <si>
    <t>白樺</t>
    <phoneticPr fontId="1"/>
  </si>
  <si>
    <t>しらかば</t>
    <phoneticPr fontId="1"/>
  </si>
  <si>
    <t>滴り溢れる生命の雫</t>
    <phoneticPr fontId="1"/>
  </si>
  <si>
    <t>タイプ偉人・妖怪・名物の防35％UP　/　所属が【西日本】と、それに属する地方・県、および【全国】の攻30％DOWN</t>
    <phoneticPr fontId="1"/>
  </si>
  <si>
    <t>乙子狭姫</t>
    <phoneticPr fontId="1"/>
  </si>
  <si>
    <t>おとごさひめ</t>
    <phoneticPr fontId="1"/>
  </si>
  <si>
    <t>小さな拳に握りし生命</t>
    <phoneticPr fontId="1"/>
  </si>
  <si>
    <t>タイプ伝承・武人・姫の防35％UP　/　所属が【東日本】と、それに属する地方・県、および【全国】の攻30％DOWN</t>
    <phoneticPr fontId="1"/>
  </si>
  <si>
    <t>3/12 12:00～3/14 23:59</t>
    <phoneticPr fontId="1"/>
  </si>
  <si>
    <t>3/13 12:00～3/14 11:59</t>
    <phoneticPr fontId="1"/>
  </si>
  <si>
    <t>3/13 18:00～3/15 23:59</t>
    <phoneticPr fontId="1"/>
  </si>
  <si>
    <t>【ブロードウェイ】今川焼</t>
    <phoneticPr fontId="1"/>
  </si>
  <si>
    <t>ぶろーどうぇいいまがわやき</t>
    <phoneticPr fontId="1"/>
  </si>
  <si>
    <t>大舞台で魅せた優しい甘美</t>
    <phoneticPr fontId="1"/>
  </si>
  <si>
    <t>サイコロ行脚 個室で繋がる親愛の贈り物ガチャ</t>
    <rPh sb="4" eb="6">
      <t>アンギャ</t>
    </rPh>
    <phoneticPr fontId="1"/>
  </si>
  <si>
    <t>(DX)3/14 12:00～3/21 11:59</t>
    <phoneticPr fontId="1"/>
  </si>
  <si>
    <t>【ホワイトデー】花子さん</t>
    <phoneticPr fontId="1"/>
  </si>
  <si>
    <t>ほわいとでーはなこさん</t>
    <phoneticPr fontId="1"/>
  </si>
  <si>
    <t>個室で受け取るプレゼント</t>
    <phoneticPr fontId="1"/>
  </si>
  <si>
    <t>タイプ武人・伝承の防90％DOWN　/　タイプ偉人・妖怪・名物の攻15％UP</t>
    <phoneticPr fontId="1"/>
  </si>
  <si>
    <t>[新生]【ホワイトデー】ホワイトチョコちゃん</t>
    <phoneticPr fontId="1"/>
  </si>
  <si>
    <t>しんせいほわいとでーほわいとちょこちゃん</t>
    <phoneticPr fontId="1"/>
  </si>
  <si>
    <t>とろけるホワイトコンチェルト</t>
    <phoneticPr fontId="1"/>
  </si>
  <si>
    <t>[新生]【デート】桑姫</t>
    <phoneticPr fontId="1"/>
  </si>
  <si>
    <t>しんせいでーとくわひめ</t>
    <phoneticPr fontId="1"/>
  </si>
  <si>
    <t>辛酸の先にある幸福</t>
    <phoneticPr fontId="1"/>
  </si>
  <si>
    <t>[新生]【ホワイトデー】ラブレターちゃん</t>
    <phoneticPr fontId="1"/>
  </si>
  <si>
    <t>しんせいほわいとでーらぶれたーちゃん</t>
    <phoneticPr fontId="1"/>
  </si>
  <si>
    <t>青春の甘酸っぱい思い出</t>
    <phoneticPr fontId="1"/>
  </si>
  <si>
    <t>タイプ【妖怪】の防20％UP</t>
    <phoneticPr fontId="1"/>
  </si>
  <si>
    <t>3/14 15:00～3/14 23:59</t>
    <phoneticPr fontId="1"/>
  </si>
  <si>
    <t>3/15 12:00～3/20 22:59</t>
    <phoneticPr fontId="1"/>
  </si>
  <si>
    <t>果実酒のヘーベー</t>
    <phoneticPr fontId="1"/>
  </si>
  <si>
    <t>かじつしゅのへーべー</t>
    <phoneticPr fontId="1"/>
  </si>
  <si>
    <t>神々に捧ぐ愛と青春</t>
    <phoneticPr fontId="1"/>
  </si>
  <si>
    <t>3/15 15:00～3/16 23:59</t>
    <phoneticPr fontId="1"/>
  </si>
  <si>
    <t>【武器】滝夜叉姫</t>
    <phoneticPr fontId="1"/>
  </si>
  <si>
    <t>ぶきたきやしゃひめ</t>
    <phoneticPr fontId="1"/>
  </si>
  <si>
    <t>閃光鋭く闇の切っ先</t>
    <phoneticPr fontId="1"/>
  </si>
  <si>
    <t>【スクールガール】天璋院</t>
    <phoneticPr fontId="1"/>
  </si>
  <si>
    <t>すくーるがーるてんしょういん</t>
    <phoneticPr fontId="1"/>
  </si>
  <si>
    <t>飛び出せリバティ</t>
    <phoneticPr fontId="1"/>
  </si>
  <si>
    <t>【探検隊】山本勘助</t>
    <phoneticPr fontId="1"/>
  </si>
  <si>
    <t>たんけんたいやまもとかんすけ</t>
    <phoneticPr fontId="1"/>
  </si>
  <si>
    <t>勘助の密林戦法</t>
    <phoneticPr fontId="1"/>
  </si>
  <si>
    <t>タイプ姫・伝承・妖怪の攻30％UP</t>
    <phoneticPr fontId="1"/>
  </si>
  <si>
    <t>【すすき狩り】三吉鬼</t>
    <phoneticPr fontId="1"/>
  </si>
  <si>
    <t>さんきちおに</t>
    <phoneticPr fontId="1"/>
  </si>
  <si>
    <t>銀絨毯に願いをかけて</t>
    <phoneticPr fontId="1"/>
  </si>
  <si>
    <t>【音楽祭】九条武子</t>
    <phoneticPr fontId="1"/>
  </si>
  <si>
    <t>おんがくさいくじょうたけこ</t>
    <phoneticPr fontId="1"/>
  </si>
  <si>
    <t>金鈴鳴り響く音色</t>
    <phoneticPr fontId="1"/>
  </si>
  <si>
    <t>タイプ神秘・飲食・伝承の防30％UP　/　タイプ伝承・武人・姫の攻12％DOWN</t>
    <phoneticPr fontId="1"/>
  </si>
  <si>
    <t>【ホワイトデー】花子さん</t>
  </si>
  <si>
    <t>ほわいとでーはなこさん</t>
  </si>
  <si>
    <t>個室で受け取るプレゼント</t>
  </si>
  <si>
    <t>[新生]【ホワイトデー】ホワイトチョコちゃん</t>
  </si>
  <si>
    <t>しんせいほわいとでーほわいとちょこちゃん</t>
  </si>
  <si>
    <t>とろけるホワイトコンチェルト</t>
  </si>
  <si>
    <t>[新生]【デート】桑姫</t>
  </si>
  <si>
    <t>しんせいでーとくわひめ</t>
  </si>
  <si>
    <t>辛酸の先にある幸福</t>
  </si>
  <si>
    <t>[新生]【ホワイトデー】ラブレターちゃん</t>
  </si>
  <si>
    <t>しんせいほわいとでーらぶれたーちゃん</t>
  </si>
  <si>
    <t>青春の甘酸っぱい思い出</t>
  </si>
  <si>
    <t>3/16 11:00～3/16 23:59</t>
    <phoneticPr fontId="1"/>
  </si>
  <si>
    <t>猫又稲荷</t>
    <phoneticPr fontId="1"/>
  </si>
  <si>
    <t>ねこまたいなり</t>
    <phoneticPr fontId="1"/>
  </si>
  <si>
    <t>猫又権現</t>
    <phoneticPr fontId="1"/>
  </si>
  <si>
    <t>タイプ伝承・武人・姫の攻30％UP　/　タイプ名物・知性派・飲食・神秘の防13％DOWN</t>
    <phoneticPr fontId="1"/>
  </si>
  <si>
    <t>3/16 18:00～3/18 23:59</t>
    <phoneticPr fontId="1"/>
  </si>
  <si>
    <t>3/17 11:00～3/19 23:59</t>
    <phoneticPr fontId="1"/>
  </si>
  <si>
    <t>3/17 18:00～3/18 11:59</t>
    <phoneticPr fontId="1"/>
  </si>
  <si>
    <t>3/18 11:00～3/18 23:59</t>
    <phoneticPr fontId="1"/>
  </si>
  <si>
    <t>3/18 18:00～3/18 21:59</t>
    <phoneticPr fontId="1"/>
  </si>
  <si>
    <t>3/19 11:00～3/19 23:59</t>
    <phoneticPr fontId="1"/>
  </si>
  <si>
    <t>オホーツクカレー</t>
    <phoneticPr fontId="1"/>
  </si>
  <si>
    <t>おほーつくかれー</t>
    <phoneticPr fontId="1"/>
  </si>
  <si>
    <t>冴え渡る流氷とスパイス</t>
    <phoneticPr fontId="1"/>
  </si>
  <si>
    <t>【山ガール】篤姫</t>
    <phoneticPr fontId="1"/>
  </si>
  <si>
    <t>やまがーるあつひめ</t>
    <phoneticPr fontId="1"/>
  </si>
  <si>
    <t>試練を与える厳格な山</t>
    <phoneticPr fontId="1"/>
  </si>
  <si>
    <t>タイプ偉人・武人の攻50％UP　/　タイプ姫・伝承の攻30％UP</t>
    <phoneticPr fontId="1"/>
  </si>
  <si>
    <t>【ホワイトデー】牡丹</t>
    <phoneticPr fontId="1"/>
  </si>
  <si>
    <t>ほわいとでーぼたん</t>
    <phoneticPr fontId="1"/>
  </si>
  <si>
    <t>キャンディに愛を込めて</t>
    <phoneticPr fontId="1"/>
  </si>
  <si>
    <t>タイプ偉人・妖怪・名物の防35％UP　/　タイプ偉人・妖怪・名物の攻10％DOWN</t>
    <phoneticPr fontId="1"/>
  </si>
  <si>
    <t>アイヌソッキ</t>
    <phoneticPr fontId="1"/>
  </si>
  <si>
    <t>あいぬそっき</t>
    <phoneticPr fontId="1"/>
  </si>
  <si>
    <t>恐ろしくも美しい永遠の若さ</t>
    <phoneticPr fontId="1"/>
  </si>
  <si>
    <t>タイプ偉人・名物の攻25％UP　/　タイプ【妖怪】の攻20％UP</t>
    <phoneticPr fontId="1"/>
  </si>
  <si>
    <t>【司令官】サファイア</t>
    <phoneticPr fontId="1"/>
  </si>
  <si>
    <t>しれいかんさふぁいあ</t>
    <phoneticPr fontId="1"/>
  </si>
  <si>
    <t>青き美貌の軍師</t>
    <phoneticPr fontId="1"/>
  </si>
  <si>
    <t>古豪戦傑ガチャ</t>
    <phoneticPr fontId="1"/>
  </si>
  <si>
    <t>3/19 18:00～3/21 23:59</t>
    <phoneticPr fontId="1"/>
  </si>
  <si>
    <t>天撃皆伝ガチャ</t>
    <phoneticPr fontId="1"/>
  </si>
  <si>
    <t>3/20 12:00～3/22 23:59</t>
    <phoneticPr fontId="1"/>
  </si>
  <si>
    <t>【初夏の盛装】狆</t>
    <phoneticPr fontId="1"/>
  </si>
  <si>
    <t>しょかのせいそうちん</t>
    <phoneticPr fontId="1"/>
  </si>
  <si>
    <t>華麗に魅せる初夏の装い</t>
    <phoneticPr fontId="1"/>
  </si>
  <si>
    <t>タイプ偉人・妖怪・名物の攻35％UP　/　タイプ伝承・武人・姫の防15％DOWN</t>
    <phoneticPr fontId="1"/>
  </si>
  <si>
    <t>3/20 18:00～3/21 17:59</t>
  </si>
  <si>
    <t>東の聰明演義</t>
  </si>
  <si>
    <t>ひがしのそうめいえんぎ</t>
  </si>
  <si>
    <t>歌子と算聖の対話は続く</t>
  </si>
  <si>
    <t>西の聰明演義</t>
  </si>
  <si>
    <t>にしのそうめいえんぎ</t>
  </si>
  <si>
    <t>二人の軍医は人々とともに</t>
  </si>
  <si>
    <t>五學聰明演義</t>
  </si>
  <si>
    <t>ごがくそうめいえんぎ</t>
  </si>
  <si>
    <t>導く者よ英知を磨け</t>
  </si>
  <si>
    <t>東の舞楽演義</t>
    <phoneticPr fontId="1"/>
  </si>
  <si>
    <t>ひがしのぶがくえんぎ</t>
    <phoneticPr fontId="1"/>
  </si>
  <si>
    <t>江戸文化の極致</t>
    <phoneticPr fontId="1"/>
  </si>
  <si>
    <t>タイプ武人・姫の攻15％UP　/　タイプ神秘・知性派の防10％DOWN</t>
    <phoneticPr fontId="1"/>
  </si>
  <si>
    <t>西の舞楽演義</t>
    <phoneticPr fontId="1"/>
  </si>
  <si>
    <t>にしのぶがくえんぎ</t>
    <phoneticPr fontId="1"/>
  </si>
  <si>
    <t>伝統の誇り高き舞</t>
    <phoneticPr fontId="1"/>
  </si>
  <si>
    <t>明媚舞楽演義</t>
    <phoneticPr fontId="1"/>
  </si>
  <si>
    <t>めいびぶがくえんぎ</t>
    <phoneticPr fontId="1"/>
  </si>
  <si>
    <t>異色の舞人</t>
    <phoneticPr fontId="1"/>
  </si>
  <si>
    <t>タイプ伝承・武人・姫の攻30％UP　/　タイプ神秘・飲食・知性派・妖怪の防10％DOWN</t>
    <phoneticPr fontId="1"/>
  </si>
  <si>
    <t>天クロ演義ガチャ</t>
    <phoneticPr fontId="1"/>
  </si>
  <si>
    <t>3/21 12:00～3/25 11:59</t>
    <phoneticPr fontId="1"/>
  </si>
  <si>
    <t>【始球式】紫式部</t>
    <phoneticPr fontId="1"/>
  </si>
  <si>
    <t>しきゅうしきむらさきしきぶ</t>
    <phoneticPr fontId="1"/>
  </si>
  <si>
    <t>負けられない一球入魂</t>
    <phoneticPr fontId="1"/>
  </si>
  <si>
    <t>タイプ【飲食】の攻75％UP　/　タイプ神秘・知性派の攻30％UP</t>
    <phoneticPr fontId="1"/>
  </si>
  <si>
    <t>田中正造</t>
  </si>
  <si>
    <t>たなかしょうぞう</t>
  </si>
  <si>
    <t>魂ゆさぶりし気迫</t>
  </si>
  <si>
    <t>タイプ名物・妖怪・姫の攻40％UP　/　タイプ伝承・武人・偉人の攻35％UP</t>
  </si>
  <si>
    <t>【旧スク水】立花誾千代</t>
    <phoneticPr fontId="1"/>
  </si>
  <si>
    <t>きゅうすくみずたちばなぎんちよ</t>
    <phoneticPr fontId="1"/>
  </si>
  <si>
    <t>涼水と泡に浮かぶ女城主</t>
    <phoneticPr fontId="1"/>
  </si>
  <si>
    <t>【室内プール】蝶々夫人</t>
  </si>
  <si>
    <t>しつないぷーるちょうちょうふじん</t>
  </si>
  <si>
    <t>室内プールの蝶々</t>
  </si>
  <si>
    <t>タイプ武人・姫の攻30％UP　/　タイプ【伝承】の攻10％UP</t>
  </si>
  <si>
    <t>【かるた】ワカヒルメノミコト</t>
  </si>
  <si>
    <t>かるたわかひるめのみこと</t>
  </si>
  <si>
    <t>太陽の神も花より団子</t>
  </si>
  <si>
    <t>タイプ知性派・飲食の攻30％UP　/　タイプ【神秘】の攻10％UP</t>
  </si>
  <si>
    <t>[新生]【紫陽花】新島八重</t>
  </si>
  <si>
    <t>しんせいあじさいにいじまやえ</t>
  </si>
  <si>
    <t>銃持つその手に花束を</t>
  </si>
  <si>
    <t>祝来！宝船福引ガチャ</t>
    <phoneticPr fontId="1"/>
  </si>
  <si>
    <t>3/21 18:00～3/22 11:59</t>
    <phoneticPr fontId="1"/>
  </si>
  <si>
    <t>合戦矢乙女</t>
  </si>
  <si>
    <t>敵の発動中戦技効果を消滅させる</t>
  </si>
  <si>
    <t>運命の風に舞う桜</t>
  </si>
  <si>
    <t>タイプ武人・伝承の防40％UP　/　タイプ【姫】の防25％UP</t>
  </si>
  <si>
    <t>豆に込めた母の愛</t>
  </si>
  <si>
    <t>タイプ妖怪・名物の攻50％UP　/　タイプ【偉人】の攻40％UP</t>
  </si>
  <si>
    <t>あんこうなべちゃん</t>
  </si>
  <si>
    <t>闇鍋奉行</t>
  </si>
  <si>
    <t>一定割合で、相手の攻撃を回避して県HPを回復</t>
  </si>
  <si>
    <t>超防御ガチャ</t>
    <phoneticPr fontId="1"/>
  </si>
  <si>
    <t>3/22 12:00～3/25 11:59</t>
    <phoneticPr fontId="1"/>
  </si>
  <si>
    <t>【始球式】只野真葛</t>
    <phoneticPr fontId="1"/>
  </si>
  <si>
    <t>しきゅうしきただのまくず</t>
    <phoneticPr fontId="1"/>
  </si>
  <si>
    <t>女流文学者の始球式</t>
    <phoneticPr fontId="1"/>
  </si>
  <si>
    <t>タイプ伝承・武人・姫の攻80％DOWN　/　タイプ妖怪・名物の防25％UP</t>
    <phoneticPr fontId="1"/>
  </si>
  <si>
    <t>島津常磐</t>
    <phoneticPr fontId="1"/>
  </si>
  <si>
    <t>しまづときわ</t>
    <phoneticPr fontId="1"/>
  </si>
  <si>
    <t>島津揺るがす美貌の未亡人</t>
    <phoneticPr fontId="1"/>
  </si>
  <si>
    <t>3/22 18:00～3/24 23:59</t>
    <phoneticPr fontId="1"/>
  </si>
  <si>
    <t>3/23 11:00～3/25 11:59</t>
    <phoneticPr fontId="1"/>
  </si>
  <si>
    <t>桃の剣姫</t>
    <phoneticPr fontId="1"/>
  </si>
  <si>
    <t>もものけんき</t>
    <phoneticPr fontId="1"/>
  </si>
  <si>
    <t>桜桃の秘剣</t>
    <phoneticPr fontId="1"/>
  </si>
  <si>
    <t>3/24 12:00～3/26 23:59</t>
    <phoneticPr fontId="1"/>
  </si>
  <si>
    <t>天下統一戦 荒野の憩いガチャ</t>
    <rPh sb="0" eb="2">
      <t>テンカ</t>
    </rPh>
    <rPh sb="2" eb="4">
      <t>トウイツ</t>
    </rPh>
    <rPh sb="4" eb="5">
      <t>セン</t>
    </rPh>
    <phoneticPr fontId="1"/>
  </si>
  <si>
    <t>(DX)3/25 12:00～3/31 11:59</t>
    <phoneticPr fontId="1"/>
  </si>
  <si>
    <t>【西部劇】仙桃院</t>
    <phoneticPr fontId="1"/>
  </si>
  <si>
    <t>せいぶげきせんとういん</t>
    <phoneticPr fontId="1"/>
  </si>
  <si>
    <t>桃の弾丸</t>
    <phoneticPr fontId="1"/>
  </si>
  <si>
    <t>タイプ【武人】の攻75％UP　/　タイプ姫・伝承の攻30％UP</t>
    <phoneticPr fontId="1"/>
  </si>
  <si>
    <t>[新生]【ウエスタン】本多忠勝</t>
    <phoneticPr fontId="1"/>
  </si>
  <si>
    <t>しんせいうえすたんほんだただかつ</t>
    <phoneticPr fontId="1"/>
  </si>
  <si>
    <t>天下三名槍が一つ</t>
    <phoneticPr fontId="1"/>
  </si>
  <si>
    <t>[新生]ジーンズちゃん</t>
    <phoneticPr fontId="1"/>
  </si>
  <si>
    <t>岡山</t>
    <phoneticPr fontId="1"/>
  </si>
  <si>
    <t>しんせいじーんずちゃん</t>
    <phoneticPr fontId="1"/>
  </si>
  <si>
    <t>丈夫なる藍染服</t>
    <phoneticPr fontId="1"/>
  </si>
  <si>
    <t>[新生]ウィスキーさん</t>
    <phoneticPr fontId="1"/>
  </si>
  <si>
    <t>しんせいうぃすきーさん</t>
    <phoneticPr fontId="1"/>
  </si>
  <si>
    <t>日本を代表する洋酒</t>
    <phoneticPr fontId="1"/>
  </si>
  <si>
    <t>3/25 18:00～3/26 11:59</t>
    <phoneticPr fontId="1"/>
  </si>
  <si>
    <t>【夏遊園地】楠本イネ</t>
    <phoneticPr fontId="1"/>
  </si>
  <si>
    <t>なつゆうえんちくすもといね</t>
    <phoneticPr fontId="1"/>
  </si>
  <si>
    <t>童心に返る産科医</t>
    <phoneticPr fontId="1"/>
  </si>
  <si>
    <t>3/26 11:00～3/28 23:59</t>
    <phoneticPr fontId="1"/>
  </si>
  <si>
    <t>初代西川扇蔵</t>
    <phoneticPr fontId="1"/>
  </si>
  <si>
    <t>しょだいにしかわせんぞう</t>
    <phoneticPr fontId="1"/>
  </si>
  <si>
    <t>悠久の歴史をもつ仙の舞</t>
    <phoneticPr fontId="1"/>
  </si>
  <si>
    <t>小山内薫</t>
    <phoneticPr fontId="1"/>
  </si>
  <si>
    <t>おさないかおる</t>
    <phoneticPr fontId="1"/>
  </si>
  <si>
    <t>日本近代演劇の開拓者</t>
    <phoneticPr fontId="1"/>
  </si>
  <si>
    <t>昌泉院</t>
    <phoneticPr fontId="1"/>
  </si>
  <si>
    <t>しょうせんいん</t>
    <phoneticPr fontId="1"/>
  </si>
  <si>
    <t>嫉妬に狂った薙刀使い</t>
    <phoneticPr fontId="1"/>
  </si>
  <si>
    <t>3/26 18:00～3/26 21:59</t>
    <phoneticPr fontId="1"/>
  </si>
  <si>
    <t>【西部劇】仙桃院</t>
  </si>
  <si>
    <t>せいぶげきせんとういん</t>
  </si>
  <si>
    <t>桃の弾丸</t>
  </si>
  <si>
    <t>タイプ【武人】の攻75％UP　/　タイプ姫・伝承の攻30％UP</t>
  </si>
  <si>
    <t>[新生]【ウエスタン】本多忠勝</t>
  </si>
  <si>
    <t>しんせいうえすたんほんだただかつ</t>
  </si>
  <si>
    <t>天下三名槍が一つ</t>
  </si>
  <si>
    <t>岡山</t>
  </si>
  <si>
    <t>[新生]ジーンズちゃん</t>
  </si>
  <si>
    <t>しんせいじーんずちゃん</t>
  </si>
  <si>
    <t>丈夫なる藍染服</t>
  </si>
  <si>
    <t>タイプ偉人・妖怪の攻20％UP</t>
  </si>
  <si>
    <t>[新生]ウィスキーさん</t>
  </si>
  <si>
    <t>しんせいうぃすきーさん</t>
  </si>
  <si>
    <t>日本を代表する洋酒</t>
  </si>
  <si>
    <t>天下統一戦 英雄ガチャ</t>
    <rPh sb="0" eb="4">
      <t>テンカトウイツ</t>
    </rPh>
    <rPh sb="4" eb="5">
      <t>セン</t>
    </rPh>
    <rPh sb="6" eb="8">
      <t>エイユウ</t>
    </rPh>
    <phoneticPr fontId="1"/>
  </si>
  <si>
    <t>3/27 11:00～3/27 23:59</t>
    <phoneticPr fontId="1"/>
  </si>
  <si>
    <t>3/27 12:00～3/29 11:59</t>
    <phoneticPr fontId="1"/>
  </si>
  <si>
    <t>3/28 20:00～3/28 23:59</t>
    <phoneticPr fontId="1"/>
  </si>
  <si>
    <t>【キューピッド】富主姫</t>
    <rPh sb="8" eb="9">
      <t>トミ</t>
    </rPh>
    <rPh sb="9" eb="10">
      <t>ヌシ</t>
    </rPh>
    <rPh sb="10" eb="11">
      <t>ヒメ</t>
    </rPh>
    <phoneticPr fontId="1"/>
  </si>
  <si>
    <t>きゅーぴっどとみぬしひめ</t>
    <phoneticPr fontId="1"/>
  </si>
  <si>
    <t>琵琶の音色に穿つ恋矢</t>
    <rPh sb="0" eb="2">
      <t>ビワ</t>
    </rPh>
    <rPh sb="3" eb="5">
      <t>ネイロ</t>
    </rPh>
    <rPh sb="6" eb="7">
      <t>ウガ</t>
    </rPh>
    <rPh sb="8" eb="9">
      <t>コイ</t>
    </rPh>
    <rPh sb="9" eb="10">
      <t>ヤ</t>
    </rPh>
    <phoneticPr fontId="1"/>
  </si>
  <si>
    <t>3/29 12:00～3/30 11:59</t>
    <phoneticPr fontId="1"/>
  </si>
  <si>
    <t>奉行の炯眼</t>
    <phoneticPr fontId="1"/>
  </si>
  <si>
    <t>敵単体のセットしている全戦技を味方全体に公開</t>
    <phoneticPr fontId="1"/>
  </si>
  <si>
    <t>3/29 18:00～3/31 23:59</t>
    <phoneticPr fontId="1"/>
  </si>
  <si>
    <t>3/30 12:00～3/31 23:59</t>
    <phoneticPr fontId="1"/>
  </si>
  <si>
    <t>日本三都紀行</t>
    <phoneticPr fontId="1"/>
  </si>
  <si>
    <t>にほんさんときこう</t>
    <phoneticPr fontId="1"/>
  </si>
  <si>
    <t>天高く幸せ運ぶ展望塔</t>
    <phoneticPr fontId="1"/>
  </si>
  <si>
    <t>タイプ偉人・妖怪・名物の攻30％UP　/　タイプ【名物】の防50％DOWN</t>
    <phoneticPr fontId="1"/>
  </si>
  <si>
    <t>ヒョウモンダコ</t>
    <phoneticPr fontId="1"/>
  </si>
  <si>
    <t>ひょうもんだこ</t>
    <phoneticPr fontId="1"/>
  </si>
  <si>
    <t>サイレント・キラークイーン</t>
    <phoneticPr fontId="1"/>
  </si>
  <si>
    <t>タイプ妖怪・知性派の攻50％UP　/　タイプ名物・偉人・神秘・飲食の攻30％UP</t>
    <phoneticPr fontId="1"/>
  </si>
  <si>
    <t>3/30 18:00～3/30 21:59</t>
    <phoneticPr fontId="1"/>
  </si>
  <si>
    <t>3/31 20:00～3/31 23:59</t>
    <phoneticPr fontId="1"/>
  </si>
  <si>
    <t>防衛戦 春を謳う陽姫神ガチャ</t>
    <rPh sb="4" eb="5">
      <t>ハル</t>
    </rPh>
    <rPh sb="6" eb="7">
      <t>ウタ</t>
    </rPh>
    <rPh sb="8" eb="9">
      <t>ヨウ</t>
    </rPh>
    <rPh sb="9" eb="11">
      <t>ヒメガミ</t>
    </rPh>
    <phoneticPr fontId="1"/>
  </si>
  <si>
    <t>(DX)4/1 0:00～4/4 11:59</t>
    <phoneticPr fontId="1"/>
  </si>
  <si>
    <t>【お花見グランピング】富主姫</t>
    <phoneticPr fontId="1"/>
  </si>
  <si>
    <t>おはなみぐらんぴんぐとみぬしひめ</t>
    <phoneticPr fontId="1"/>
  </si>
  <si>
    <t>別世界へ誘う幽玄の音色</t>
    <phoneticPr fontId="1"/>
  </si>
  <si>
    <t>タイプ【飲食】の攻130％UP　/　タイプ神秘・知性派の攻20％UP</t>
    <phoneticPr fontId="1"/>
  </si>
  <si>
    <t>導きの音色</t>
    <phoneticPr fontId="1"/>
  </si>
  <si>
    <t>一定時間、味方全員の戦技ゲージの上昇割合がUPし、敵単体に大ダメージ</t>
    <phoneticPr fontId="1"/>
  </si>
  <si>
    <t>[新生]寒河江雛祭り</t>
    <phoneticPr fontId="1"/>
  </si>
  <si>
    <t>山形</t>
    <rPh sb="0" eb="2">
      <t>ヤマガタ</t>
    </rPh>
    <phoneticPr fontId="1"/>
  </si>
  <si>
    <t>[新生]姫路城観桜会お花見太鼓</t>
    <phoneticPr fontId="1"/>
  </si>
  <si>
    <t>兵庫</t>
    <rPh sb="0" eb="2">
      <t>ヒョウゴ</t>
    </rPh>
    <phoneticPr fontId="1"/>
  </si>
  <si>
    <t>【お花見グランピング】卯</t>
    <phoneticPr fontId="1"/>
  </si>
  <si>
    <t>おはなみぐらんぴんぐう</t>
    <phoneticPr fontId="1"/>
  </si>
  <si>
    <t>配膳はお任せを</t>
    <phoneticPr fontId="1"/>
  </si>
  <si>
    <t>タイプ伝承・武人・姫の攻80％DOWN　/　タイプ神秘・飲食の防25％UP</t>
    <phoneticPr fontId="1"/>
  </si>
  <si>
    <t>【お花見グランピング】衣通姫</t>
    <phoneticPr fontId="1"/>
  </si>
  <si>
    <t>おはなみぐらんぴんぐそとおりひめ</t>
    <phoneticPr fontId="1"/>
  </si>
  <si>
    <t>桜の木の傍で</t>
    <phoneticPr fontId="1"/>
  </si>
  <si>
    <t>タイプ伝承・武人・姫の攻30％UP　/　タイプ神秘・知性派・飲食の防13％DOWN</t>
    <phoneticPr fontId="1"/>
  </si>
  <si>
    <t>【お花見グランピング】海地獄ちゃん</t>
    <phoneticPr fontId="1"/>
  </si>
  <si>
    <t>おはなみぐらんぴんぐうみじごくちゃん</t>
    <phoneticPr fontId="1"/>
  </si>
  <si>
    <t>美味しい海地獄</t>
    <phoneticPr fontId="1"/>
  </si>
  <si>
    <t>[新生]太巻き祭り寿司</t>
    <phoneticPr fontId="1"/>
  </si>
  <si>
    <t>しんせいふとまきまつりずし</t>
    <phoneticPr fontId="1"/>
  </si>
  <si>
    <t>満腹華やか簀巻物</t>
    <phoneticPr fontId="1"/>
  </si>
  <si>
    <t>[新生]【ほろ酔い】池田せん</t>
    <phoneticPr fontId="1"/>
  </si>
  <si>
    <t>しんせいほろよいいけだせん</t>
    <phoneticPr fontId="1"/>
  </si>
  <si>
    <t>鉄の女の泪</t>
    <phoneticPr fontId="1"/>
  </si>
  <si>
    <t>タイプ姫・伝承の攻35％UP　/　タイプ【武人】の攻20％UP</t>
    <phoneticPr fontId="1"/>
  </si>
  <si>
    <t>[新生]いっちくたっちく</t>
    <phoneticPr fontId="1"/>
  </si>
  <si>
    <t>しんせいいっちくたっちく</t>
    <phoneticPr fontId="1"/>
  </si>
  <si>
    <t>いっちくたっちくたえもんどん</t>
    <phoneticPr fontId="1"/>
  </si>
  <si>
    <t>[新生]【キャンプ】若菜姫</t>
    <phoneticPr fontId="1"/>
  </si>
  <si>
    <t>しんせいきゃんぷわかなひめ</t>
    <phoneticPr fontId="1"/>
  </si>
  <si>
    <t>妖術使いのキャンプ術</t>
    <phoneticPr fontId="1"/>
  </si>
  <si>
    <t>[新生]【桜詩】与謝野晶子</t>
    <phoneticPr fontId="1"/>
  </si>
  <si>
    <t>しんせいさくらうたよさのあきこ</t>
    <phoneticPr fontId="1"/>
  </si>
  <si>
    <t>桜月夜に高鳴る鼓動</t>
    <phoneticPr fontId="1"/>
  </si>
  <si>
    <t>タイプ神秘・飲食の攻25％UP</t>
    <phoneticPr fontId="1"/>
  </si>
  <si>
    <t>しんせいひめじじょうかんおうかいおはなみだいこ</t>
    <phoneticPr fontId="1"/>
  </si>
  <si>
    <t>琴と太鼓の協奏曲</t>
    <phoneticPr fontId="1"/>
  </si>
  <si>
    <t>しんせいさがえひなまつり</t>
    <phoneticPr fontId="1"/>
  </si>
  <si>
    <t>紅花染めの衣</t>
    <phoneticPr fontId="1"/>
  </si>
  <si>
    <t>4/2 12:00～4/3 23:59</t>
    <phoneticPr fontId="1"/>
  </si>
  <si>
    <t>タイプ【武人】の防25％UP</t>
    <phoneticPr fontId="1"/>
  </si>
  <si>
    <t>タイプ【妖怪】の攻25％UP</t>
    <phoneticPr fontId="1"/>
  </si>
  <si>
    <t>【ギャル】力持ち幽霊</t>
    <phoneticPr fontId="1"/>
  </si>
  <si>
    <t>ぎゃるちからもちゆうれい</t>
    <phoneticPr fontId="1"/>
  </si>
  <si>
    <t>力持ちギャルの執念</t>
    <phoneticPr fontId="1"/>
  </si>
  <si>
    <t>タイプ偉人・名物の攻70％UP　/　タイプ【妖怪】の攻40％UP</t>
    <phoneticPr fontId="1"/>
  </si>
  <si>
    <t>タイプ偉人・名物の攻15％UP　/　タイプ【妖怪】の攻5％UP</t>
    <phoneticPr fontId="1"/>
  </si>
  <si>
    <t>【入学式】シルバーアクセちゃん</t>
    <phoneticPr fontId="1"/>
  </si>
  <si>
    <t>にゅうがくしきしるばーあくせちゃん</t>
    <phoneticPr fontId="1"/>
  </si>
  <si>
    <t>無垢なる輝き</t>
    <phoneticPr fontId="1"/>
  </si>
  <si>
    <t>4/2 18:00～4/4 23:59</t>
    <phoneticPr fontId="1"/>
  </si>
  <si>
    <t>4/3 18:00～4/3 21:59</t>
    <phoneticPr fontId="1"/>
  </si>
  <si>
    <t>4/3 12:00～4/4 11:59</t>
    <phoneticPr fontId="1"/>
  </si>
  <si>
    <t>防衛戦 喧嘩上等☆荒くれガールズガチャ</t>
    <rPh sb="0" eb="3">
      <t>ボウエイセン</t>
    </rPh>
    <phoneticPr fontId="1"/>
  </si>
  <si>
    <t>(DX)4/4 12:00～4/8 11:59</t>
    <phoneticPr fontId="1"/>
  </si>
  <si>
    <t>【番長】シシリアンライス</t>
    <phoneticPr fontId="1"/>
  </si>
  <si>
    <t>ばんちょうししりあんらいす</t>
    <phoneticPr fontId="1"/>
  </si>
  <si>
    <t>ご当地グルメ番長</t>
    <phoneticPr fontId="1"/>
  </si>
  <si>
    <t>[新生]【入学式】前田利家</t>
    <phoneticPr fontId="1"/>
  </si>
  <si>
    <t>しんせいにゅうがくしきまえだとしいえ</t>
    <phoneticPr fontId="1"/>
  </si>
  <si>
    <t>入学の又左衞門</t>
    <phoneticPr fontId="1"/>
  </si>
  <si>
    <t>[新生]【バンド】出雲阿国</t>
    <phoneticPr fontId="1"/>
  </si>
  <si>
    <t>しんせいばんどいずものおくに</t>
    <phoneticPr fontId="1"/>
  </si>
  <si>
    <t>一世風靡の女性芸能者</t>
    <phoneticPr fontId="1"/>
  </si>
  <si>
    <t>タイプ妖怪・名物の防20％UP</t>
    <phoneticPr fontId="1"/>
  </si>
  <si>
    <t>[新生]お子様ランチ</t>
    <phoneticPr fontId="1"/>
  </si>
  <si>
    <t>東京</t>
    <phoneticPr fontId="1"/>
  </si>
  <si>
    <t>しんせいおこさまらんち</t>
    <phoneticPr fontId="1"/>
  </si>
  <si>
    <t>胸躍るご馳走の世界</t>
    <phoneticPr fontId="1"/>
  </si>
  <si>
    <t>タイプ【神秘】の攻20％UP</t>
    <phoneticPr fontId="1"/>
  </si>
  <si>
    <t>4/4 18:00～4/6 23:59</t>
    <phoneticPr fontId="1"/>
  </si>
  <si>
    <t>【アウトドア】鷹司信子</t>
    <phoneticPr fontId="1"/>
  </si>
  <si>
    <t>あうとどあたかつかさのぶこ</t>
    <phoneticPr fontId="1"/>
  </si>
  <si>
    <t>愛するわんちゃんの癒し効果</t>
    <phoneticPr fontId="1"/>
  </si>
  <si>
    <t>【職業体験】楠本イネ</t>
    <phoneticPr fontId="1"/>
  </si>
  <si>
    <t>しょくぎょうたいけんくすもといね</t>
    <phoneticPr fontId="1"/>
  </si>
  <si>
    <t>アテンションプリーズ</t>
    <phoneticPr fontId="1"/>
  </si>
  <si>
    <t>4/5 11:00～4/5 23:59</t>
    <phoneticPr fontId="1"/>
  </si>
  <si>
    <t>4/5 18:00～4/7 23:59</t>
    <phoneticPr fontId="1"/>
  </si>
  <si>
    <t>【アウトドア】濡髪童子</t>
    <phoneticPr fontId="1"/>
  </si>
  <si>
    <t>大自然の泣き虫白狐</t>
    <phoneticPr fontId="1"/>
  </si>
  <si>
    <t>タイプ知性派・飲食の攻60％DOWN　/　タイプ偉人・妖怪・名物の防20％UP</t>
    <phoneticPr fontId="1"/>
  </si>
  <si>
    <t>4/6 20:00～4/6 23:59</t>
    <phoneticPr fontId="1"/>
  </si>
  <si>
    <t>4/6 11:00～4/8 11:59</t>
    <phoneticPr fontId="1"/>
  </si>
  <si>
    <t>占星術師</t>
    <phoneticPr fontId="1"/>
  </si>
  <si>
    <t>せんせいじゅつし</t>
    <phoneticPr fontId="1"/>
  </si>
  <si>
    <t>星詠</t>
    <phoneticPr fontId="1"/>
  </si>
  <si>
    <t>タイプ【飲食】の防75％UP　/　タイプ神秘・知性派の防30％UP</t>
    <phoneticPr fontId="1"/>
  </si>
  <si>
    <t>【プール】茶々</t>
  </si>
  <si>
    <t>ぷーるちゃちゃ</t>
  </si>
  <si>
    <t>優雅に浮かぶ戦国屈指のスーパーモデル</t>
  </si>
  <si>
    <t>小早川秀秋</t>
    <phoneticPr fontId="1"/>
  </si>
  <si>
    <t>こばやかわひであき</t>
    <phoneticPr fontId="1"/>
  </si>
  <si>
    <t>関ヶ原の反逆者</t>
    <phoneticPr fontId="1"/>
  </si>
  <si>
    <t>タイプ姫・伝承の攻30％UP</t>
    <phoneticPr fontId="1"/>
  </si>
  <si>
    <t>4/7 11:00～4/7 23:59</t>
    <phoneticPr fontId="1"/>
  </si>
  <si>
    <t>4/7 18:00～4/9 23:59</t>
    <phoneticPr fontId="1"/>
  </si>
  <si>
    <t>【サファリパーク】ナキサワメ</t>
    <phoneticPr fontId="1"/>
  </si>
  <si>
    <t>母なる大地を見渡す女神</t>
    <phoneticPr fontId="1"/>
  </si>
  <si>
    <t>タイプ神秘・知性派・飲食の防20％UP　/　タイプ飲食・武人・名物の攻70％DOWN</t>
    <phoneticPr fontId="1"/>
  </si>
  <si>
    <t>さふぁりぱーくなきさわめ</t>
    <phoneticPr fontId="1"/>
  </si>
  <si>
    <t>四神戦 昼下がりのおひるねガチャ</t>
    <rPh sb="0" eb="1">
      <t>ヨン</t>
    </rPh>
    <rPh sb="1" eb="2">
      <t>シン</t>
    </rPh>
    <rPh sb="2" eb="3">
      <t>セン</t>
    </rPh>
    <phoneticPr fontId="1"/>
  </si>
  <si>
    <t>(DX)4/8 12:00～4/14 11:59</t>
    <phoneticPr fontId="1"/>
  </si>
  <si>
    <t>【うたたね】北の方</t>
    <phoneticPr fontId="1"/>
  </si>
  <si>
    <t>うたたねきたのかた</t>
    <phoneticPr fontId="1"/>
  </si>
  <si>
    <t>守りたい寝顔</t>
    <phoneticPr fontId="1"/>
  </si>
  <si>
    <t>[新生]【歌より団子】小野小町</t>
    <phoneticPr fontId="1"/>
  </si>
  <si>
    <t>しんせいうたよりだんごおののこまち</t>
    <phoneticPr fontId="1"/>
  </si>
  <si>
    <t>腹の音を一句に拵ふ</t>
    <phoneticPr fontId="1"/>
  </si>
  <si>
    <t>[新生]酒寿司</t>
    <phoneticPr fontId="1"/>
  </si>
  <si>
    <t>しんせいさけずし</t>
    <phoneticPr fontId="1"/>
  </si>
  <si>
    <t>寿に酔う豪華飯</t>
    <phoneticPr fontId="1"/>
  </si>
  <si>
    <t>[新生]まつ</t>
    <phoneticPr fontId="1"/>
  </si>
  <si>
    <t>石川</t>
    <phoneticPr fontId="1"/>
  </si>
  <si>
    <t>しんせいまつ</t>
    <phoneticPr fontId="1"/>
  </si>
  <si>
    <t>利家の良妻</t>
    <phoneticPr fontId="1"/>
  </si>
  <si>
    <t>4/8 15:00～4/8 23:59</t>
    <phoneticPr fontId="1"/>
  </si>
  <si>
    <t>傀儡師</t>
    <phoneticPr fontId="1"/>
  </si>
  <si>
    <t>くぐつし</t>
    <phoneticPr fontId="1"/>
  </si>
  <si>
    <t>手繰る傀儡の操り糸</t>
    <phoneticPr fontId="1"/>
  </si>
  <si>
    <t>からくり戦封</t>
    <phoneticPr fontId="1"/>
  </si>
  <si>
    <t>相手の戦技を封じる</t>
    <phoneticPr fontId="1"/>
  </si>
  <si>
    <t>4/9 12:00～4/14 11:59</t>
    <phoneticPr fontId="1"/>
  </si>
  <si>
    <t>チェス</t>
    <phoneticPr fontId="1"/>
  </si>
  <si>
    <t>ちぇす</t>
    <phoneticPr fontId="1"/>
  </si>
  <si>
    <t>逆転の一手</t>
    <phoneticPr fontId="1"/>
  </si>
  <si>
    <t>タイプ神秘・飲食の防25％UP　/　タイプ【知性派】の防10％UP</t>
    <phoneticPr fontId="1"/>
  </si>
  <si>
    <t>タイプ神秘・飲食の防12％UP　/　タイプ【知性派】の防10％UP</t>
    <phoneticPr fontId="1"/>
  </si>
  <si>
    <t>タイプ神秘・飲食の防10％UP　/　タイプ【知性派】の防5％UP</t>
    <phoneticPr fontId="1"/>
  </si>
  <si>
    <t>4/9 18:00～4/9 21:59</t>
    <phoneticPr fontId="1"/>
  </si>
  <si>
    <t>4/10 11:00～4/10 23:59</t>
    <phoneticPr fontId="1"/>
  </si>
  <si>
    <t>4/10 18:00～4/12 23:59</t>
    <phoneticPr fontId="1"/>
  </si>
  <si>
    <t>【千福万来】座敷わらし</t>
    <phoneticPr fontId="1"/>
  </si>
  <si>
    <t>せんぷくばんらいざしきわらし</t>
    <phoneticPr fontId="1"/>
  </si>
  <si>
    <t>幸運を招く小さな足音</t>
    <phoneticPr fontId="1"/>
  </si>
  <si>
    <t>タイプ偉人・妖怪の防60％DOWN　/　タイプ妖怪・名物の攻30％UP</t>
    <phoneticPr fontId="1"/>
  </si>
  <si>
    <t>【鍬神】アヂスキタカヒコネ</t>
    <phoneticPr fontId="1"/>
  </si>
  <si>
    <t>くわがみあぢすきたかひこね</t>
    <phoneticPr fontId="1"/>
  </si>
  <si>
    <t>民衆の信を集めし水雷の神</t>
    <phoneticPr fontId="1"/>
  </si>
  <si>
    <t>にらみ鯛</t>
    <phoneticPr fontId="1"/>
  </si>
  <si>
    <t>にらみたい</t>
    <phoneticPr fontId="1"/>
  </si>
  <si>
    <t>３つ過ぎるまで、神に供えて</t>
    <phoneticPr fontId="1"/>
  </si>
  <si>
    <t>タイプ武人・姫の攻100％DOWN　/　タイプ武人・伝承の防20％UP</t>
    <phoneticPr fontId="1"/>
  </si>
  <si>
    <t>南高梅</t>
    <phoneticPr fontId="1"/>
  </si>
  <si>
    <t>なんこううめ</t>
    <phoneticPr fontId="1"/>
  </si>
  <si>
    <t>トルムシャイト</t>
    <phoneticPr fontId="1"/>
  </si>
  <si>
    <t>斜面に漂う甘酸な香り</t>
    <phoneticPr fontId="1"/>
  </si>
  <si>
    <t>タイプ神秘・知性派の防30％UP　/　タイプ偉人・名物の攻20％DOWN</t>
    <phoneticPr fontId="1"/>
  </si>
  <si>
    <t>【大人の遊び】お菊</t>
    <phoneticPr fontId="1"/>
  </si>
  <si>
    <t>おとなのあそびおきく</t>
    <phoneticPr fontId="1"/>
  </si>
  <si>
    <t>播州話題の円盤回し</t>
    <phoneticPr fontId="1"/>
  </si>
  <si>
    <t>タイプ【武人】の攻30％UP　/　タイプ姫・伝承の攻20％UP</t>
    <phoneticPr fontId="1"/>
  </si>
  <si>
    <t>4/11 11:00～4/13 23:59</t>
    <phoneticPr fontId="1"/>
  </si>
  <si>
    <t>博物館のジョゼ</t>
    <phoneticPr fontId="1"/>
  </si>
  <si>
    <t>はくぶつかんのじょぜ</t>
    <phoneticPr fontId="1"/>
  </si>
  <si>
    <t>研究一筋</t>
    <phoneticPr fontId="1"/>
  </si>
  <si>
    <t>タイプ伝承・武人・姫の防40％UP　/　タイプ偉人・妖怪・名物の攻10％DOWN</t>
    <phoneticPr fontId="1"/>
  </si>
  <si>
    <t>4/11 18:00～4/13 23:59</t>
    <phoneticPr fontId="1"/>
  </si>
  <si>
    <t>4/12 11:00～4/12 23:59</t>
    <phoneticPr fontId="1"/>
  </si>
  <si>
    <t>4/13 12:00～4/14 11:59</t>
    <phoneticPr fontId="1"/>
  </si>
  <si>
    <t>4/13 20:00～4/13 23:59</t>
    <phoneticPr fontId="1"/>
  </si>
  <si>
    <t>サイコロ行脚 彩り溢れる復活祭ガチャ</t>
    <rPh sb="4" eb="6">
      <t>アンギャ</t>
    </rPh>
    <phoneticPr fontId="1"/>
  </si>
  <si>
    <t>(DX)4/14 12:00～4/21 11:59</t>
    <phoneticPr fontId="1"/>
  </si>
  <si>
    <t>【復活祭】川島芳子</t>
    <phoneticPr fontId="1"/>
  </si>
  <si>
    <t>ふっかつさいかわしまよしこ</t>
    <phoneticPr fontId="1"/>
  </si>
  <si>
    <t>その手にある笑顔</t>
    <phoneticPr fontId="1"/>
  </si>
  <si>
    <t>[新生]【イースターバニー】山室機恵子</t>
    <phoneticPr fontId="1"/>
  </si>
  <si>
    <t>しんせいいーすたーばにーやまむろきえこ</t>
    <phoneticPr fontId="1"/>
  </si>
  <si>
    <t>[新生]毛利マセンシア</t>
    <phoneticPr fontId="1"/>
  </si>
  <si>
    <t>しんせいもうりませんしあ</t>
    <phoneticPr fontId="1"/>
  </si>
  <si>
    <t>柔肌に浮かぶ十字架</t>
    <phoneticPr fontId="1"/>
  </si>
  <si>
    <t>[新生]【海開き】ユキウサギ</t>
    <phoneticPr fontId="1"/>
  </si>
  <si>
    <t>しんせいうみびらきゆきうさぎ</t>
    <phoneticPr fontId="1"/>
  </si>
  <si>
    <t>赤い瞳と青い海</t>
    <phoneticPr fontId="1"/>
  </si>
  <si>
    <t>4/14 18:00～4/16 23:59</t>
    <phoneticPr fontId="1"/>
  </si>
  <si>
    <t>【池泉】牡丹</t>
    <phoneticPr fontId="1"/>
  </si>
  <si>
    <t>ちせんぼたん</t>
    <phoneticPr fontId="1"/>
  </si>
  <si>
    <t>妖艶に咲く富貴花</t>
    <phoneticPr fontId="1"/>
  </si>
  <si>
    <t>タイプ偉人・妖怪の防45％UP　/　タイプ名物・伝承・姫の防25％UP</t>
    <phoneticPr fontId="1"/>
  </si>
  <si>
    <t>4/15 12:00～4/20 22:59</t>
    <phoneticPr fontId="1"/>
  </si>
  <si>
    <t>電荷研究者ゲンナイ</t>
    <phoneticPr fontId="1"/>
  </si>
  <si>
    <t>でんかけんきゅうしゃげんない</t>
    <phoneticPr fontId="1"/>
  </si>
  <si>
    <t>エレキテル放電</t>
    <phoneticPr fontId="1"/>
  </si>
  <si>
    <t>タイプ【名物】の攻75％UP　/　タイプ偉人・妖怪の攻30％UP</t>
    <phoneticPr fontId="1"/>
  </si>
  <si>
    <t>タイプ【名物】の攻50％UP　/　タイプ偉人・妖怪の攻25％UP</t>
    <phoneticPr fontId="1"/>
  </si>
  <si>
    <t>タイプ【名物】の攻40％UP　/　タイプ偉人・妖怪の攻15％UP</t>
    <phoneticPr fontId="1"/>
  </si>
  <si>
    <t>4/15 15:00～4/16 23:59</t>
    <phoneticPr fontId="1"/>
  </si>
  <si>
    <t>【夜景】オルゴール</t>
    <phoneticPr fontId="1"/>
  </si>
  <si>
    <t>やけいおるごーる</t>
    <phoneticPr fontId="1"/>
  </si>
  <si>
    <t>世界に一つだけの音色</t>
    <phoneticPr fontId="1"/>
  </si>
  <si>
    <t>タイプ偉人・妖怪・名物の防10％UP　/　タイプ武人・姫・伝承・知性派の攻35％DOWN</t>
    <phoneticPr fontId="1"/>
  </si>
  <si>
    <t>【ギリシア神話】藤原時姫</t>
    <phoneticPr fontId="1"/>
  </si>
  <si>
    <t>ぎりしあしんわふじわらときひめ</t>
    <phoneticPr fontId="1"/>
  </si>
  <si>
    <t>振るう剣先に光る守護の心</t>
    <phoneticPr fontId="1"/>
  </si>
  <si>
    <t>【将棋】天宇受賣命</t>
    <phoneticPr fontId="1"/>
  </si>
  <si>
    <t>しょうぎあまのうずめ</t>
    <phoneticPr fontId="1"/>
  </si>
  <si>
    <t>【バレエ】つらら女</t>
    <phoneticPr fontId="1"/>
  </si>
  <si>
    <t>ばれえつららおんな</t>
    <phoneticPr fontId="1"/>
  </si>
  <si>
    <t>熱気に包まれた舞台</t>
    <phoneticPr fontId="1"/>
  </si>
  <si>
    <t>タイプ名物・偉人・神秘の攻30％UP</t>
    <phoneticPr fontId="1"/>
  </si>
  <si>
    <t>4/16 11:00～4/16 23:59</t>
    <phoneticPr fontId="1"/>
  </si>
  <si>
    <t>4/16 18:00～4/18 23:59</t>
    <phoneticPr fontId="1"/>
  </si>
  <si>
    <t>【女給】杉田久女</t>
    <phoneticPr fontId="1"/>
  </si>
  <si>
    <t>じょきゅうすぎたひさじょ</t>
    <phoneticPr fontId="1"/>
  </si>
  <si>
    <t>清艶高華な給仕姿</t>
    <phoneticPr fontId="1"/>
  </si>
  <si>
    <t>【おかし】小野小町</t>
    <phoneticPr fontId="1"/>
  </si>
  <si>
    <t>おかしおののこまち</t>
    <phoneticPr fontId="1"/>
  </si>
  <si>
    <t>艶めく濃厚な恋の味</t>
    <phoneticPr fontId="1"/>
  </si>
  <si>
    <t>タイプ姫・伝承・妖怪の攻40％UP　/　タイプ【武人】の攻35％UP</t>
    <phoneticPr fontId="1"/>
  </si>
  <si>
    <t>七小町</t>
    <phoneticPr fontId="1"/>
  </si>
  <si>
    <t>味方全体の攻Pt全回復 1合戦1回限り使用できる</t>
    <phoneticPr fontId="1"/>
  </si>
  <si>
    <t>4/17 11:00～4/19 23:59</t>
    <phoneticPr fontId="1"/>
  </si>
  <si>
    <t>4/18 11:00～4/18 23:59</t>
    <phoneticPr fontId="1"/>
  </si>
  <si>
    <t>厨子王</t>
    <phoneticPr fontId="1"/>
  </si>
  <si>
    <t>ずしおう</t>
    <phoneticPr fontId="1"/>
  </si>
  <si>
    <t>決して途絶えぬ家族の絆</t>
    <phoneticPr fontId="1"/>
  </si>
  <si>
    <t>タイプ伝承・武人・姫の攻15％UP　/　タイプ神秘・飲食・知性派・武人の防25％DOWN</t>
    <phoneticPr fontId="1"/>
  </si>
  <si>
    <t>タイプ伝承・武人・姫の攻12％UP　/　タイプ神秘・知性派・飲食の防15％DOWN</t>
    <phoneticPr fontId="1"/>
  </si>
  <si>
    <t>タイプ武人・姫の攻10％UP　/　タイプ神秘・飲食の防12％DOWN</t>
    <phoneticPr fontId="1"/>
  </si>
  <si>
    <t>4/18 18:00～4/20 23:59</t>
    <phoneticPr fontId="1"/>
  </si>
  <si>
    <t>[新生]豊竹呂昇</t>
    <phoneticPr fontId="1"/>
  </si>
  <si>
    <t>しんせいとよたけろしょう</t>
    <phoneticPr fontId="1"/>
  </si>
  <si>
    <t>聞きしに勝る美声の弾き語り</t>
    <phoneticPr fontId="1"/>
  </si>
  <si>
    <t>4/19 11:00～4/19 23:59</t>
    <phoneticPr fontId="1"/>
  </si>
  <si>
    <t>【黒騎士】真田幸村</t>
    <phoneticPr fontId="1"/>
  </si>
  <si>
    <t>【魔女王】卑弥呼</t>
    <phoneticPr fontId="1"/>
  </si>
  <si>
    <t>かにめし弁当ちゃん</t>
    <phoneticPr fontId="1"/>
  </si>
  <si>
    <t>かにめしべんとうちゃん</t>
    <phoneticPr fontId="1"/>
  </si>
  <si>
    <t>北海の幸を詰めた逸品</t>
    <phoneticPr fontId="1"/>
  </si>
  <si>
    <t>【七夕】蝶化身</t>
    <phoneticPr fontId="1"/>
  </si>
  <si>
    <t>たなばたちょうけしん</t>
    <phoneticPr fontId="1"/>
  </si>
  <si>
    <t>天の川にかかる胡蝶の夢</t>
    <phoneticPr fontId="1"/>
  </si>
  <si>
    <t>【上杉神社】上杉謙信</t>
    <phoneticPr fontId="1"/>
  </si>
  <si>
    <t>うえすぎじんじゃうえすぎけんしん</t>
    <phoneticPr fontId="1"/>
  </si>
  <si>
    <t>一期の栄華、受け継がれたる信仰</t>
    <phoneticPr fontId="1"/>
  </si>
  <si>
    <t>4/19 18:00～4/21 23:59</t>
    <phoneticPr fontId="1"/>
  </si>
  <si>
    <t>4/20 20:00～4/20 23:59</t>
    <phoneticPr fontId="1"/>
  </si>
  <si>
    <t>【夕涼み】神使・鹿</t>
    <phoneticPr fontId="1"/>
  </si>
  <si>
    <t>ゆうすずみしんししか</t>
    <phoneticPr fontId="1"/>
  </si>
  <si>
    <t>水面上で見守る神の使い</t>
    <phoneticPr fontId="1"/>
  </si>
  <si>
    <t>4/20 12:00～4/21 11:59</t>
    <phoneticPr fontId="1"/>
  </si>
  <si>
    <t>4/21 18:00～4/21 21:59</t>
    <phoneticPr fontId="1"/>
  </si>
  <si>
    <t>【ヴィランズ】豊臣秀頼</t>
    <phoneticPr fontId="1"/>
  </si>
  <si>
    <t>ゔぃらんずとよとみひでより</t>
    <phoneticPr fontId="1"/>
  </si>
  <si>
    <t>君臨する狂気の王子</t>
    <phoneticPr fontId="1"/>
  </si>
  <si>
    <t>[新生]【エンジェル】神名火山</t>
    <phoneticPr fontId="1"/>
  </si>
  <si>
    <t>しんせいえんじぇるかんなびやま</t>
    <phoneticPr fontId="1"/>
  </si>
  <si>
    <t>信仰を護る使者</t>
    <phoneticPr fontId="1"/>
  </si>
  <si>
    <t>【古電車】五色姫</t>
    <phoneticPr fontId="1"/>
  </si>
  <si>
    <t>ふるでんしゃごしきひめ</t>
    <phoneticPr fontId="1"/>
  </si>
  <si>
    <t>懐かしさを感じて</t>
    <phoneticPr fontId="1"/>
  </si>
  <si>
    <t>パヨカカムイ</t>
    <phoneticPr fontId="1"/>
  </si>
  <si>
    <t>ぱよかかむい</t>
    <phoneticPr fontId="1"/>
  </si>
  <si>
    <t>村を救ったユーカラの語り手</t>
    <phoneticPr fontId="1"/>
  </si>
  <si>
    <t>タイプ伝承・武人・姫の防60％DOWN　/　タイプ神秘・知性派・飲食の攻25％UP</t>
    <phoneticPr fontId="1"/>
  </si>
  <si>
    <t>キーウイ</t>
    <phoneticPr fontId="1"/>
  </si>
  <si>
    <t>きいうい</t>
    <phoneticPr fontId="1"/>
  </si>
  <si>
    <t>飛べない鳥は地を駆ける</t>
    <phoneticPr fontId="1"/>
  </si>
  <si>
    <t>超攻撃ガチャ</t>
    <phoneticPr fontId="1"/>
  </si>
  <si>
    <t>4/21 12:00～4/25 11:59</t>
    <phoneticPr fontId="1"/>
  </si>
  <si>
    <t>4/22 11:00～4/23 23:59</t>
    <phoneticPr fontId="1"/>
  </si>
  <si>
    <t>4/22 12:00～4/25 11:59</t>
    <phoneticPr fontId="1"/>
  </si>
  <si>
    <t>【古電車】江</t>
    <phoneticPr fontId="1"/>
  </si>
  <si>
    <t>ふるでんしゃごう</t>
    <phoneticPr fontId="1"/>
  </si>
  <si>
    <t>その姿をまた見たくて</t>
    <phoneticPr fontId="1"/>
  </si>
  <si>
    <t>横山松三郎</t>
    <phoneticPr fontId="1"/>
  </si>
  <si>
    <t>よこやままつさぶろう</t>
    <phoneticPr fontId="1"/>
  </si>
  <si>
    <t>最古の写真術</t>
    <phoneticPr fontId="1"/>
  </si>
  <si>
    <t>【妖精】円信院殿</t>
    <phoneticPr fontId="1"/>
  </si>
  <si>
    <t>ようせいえんしんいんでん</t>
    <phoneticPr fontId="1"/>
  </si>
  <si>
    <t>駆け抜ける森の妖精</t>
    <phoneticPr fontId="1"/>
  </si>
  <si>
    <t>[新生]雷切丸</t>
    <phoneticPr fontId="1"/>
  </si>
  <si>
    <t>しんせいらいきりまる</t>
    <phoneticPr fontId="1"/>
  </si>
  <si>
    <t>轟雷を割く千の鳥</t>
    <phoneticPr fontId="1"/>
  </si>
  <si>
    <t>4/23 11:00～4/23 23:59</t>
    <phoneticPr fontId="1"/>
  </si>
  <si>
    <t>琵琶湖</t>
    <phoneticPr fontId="1"/>
  </si>
  <si>
    <t>八女抹茶</t>
    <phoneticPr fontId="1"/>
  </si>
  <si>
    <t>やめまっちゃ</t>
    <phoneticPr fontId="1"/>
  </si>
  <si>
    <t>霧が育む銘茶をどうぞ♪</t>
    <phoneticPr fontId="1"/>
  </si>
  <si>
    <t>タイプ神秘・知性派の攻30％UP　/　タイプ【飲食】の攻15％UP</t>
    <phoneticPr fontId="1"/>
  </si>
  <si>
    <t>タイプ神秘・知性派の攻15％UP　/　タイプ【飲食】の攻10％UP</t>
    <phoneticPr fontId="1"/>
  </si>
  <si>
    <t>4/23 18:00～4/25 23:59</t>
    <phoneticPr fontId="1"/>
  </si>
  <si>
    <t>池上秀畝</t>
    <phoneticPr fontId="1"/>
  </si>
  <si>
    <t>いけがみしゅうほ</t>
    <phoneticPr fontId="1"/>
  </si>
  <si>
    <t>四季花鳥</t>
    <phoneticPr fontId="1"/>
  </si>
  <si>
    <t>4/24 12:00～4/25 11:59</t>
    <phoneticPr fontId="1"/>
  </si>
  <si>
    <t>全国巡り 頑張る青葉のフレッシャーズガチャ</t>
    <rPh sb="0" eb="2">
      <t>ゼンコク</t>
    </rPh>
    <rPh sb="2" eb="3">
      <t>メグ</t>
    </rPh>
    <phoneticPr fontId="1"/>
  </si>
  <si>
    <t>(DX)4/25 12:00～4/30 19:59</t>
    <phoneticPr fontId="1"/>
  </si>
  <si>
    <t>【新社会人】ブラックパール</t>
    <phoneticPr fontId="1"/>
  </si>
  <si>
    <t>しんしゃかいじんぶらっくぱーる</t>
    <phoneticPr fontId="1"/>
  </si>
  <si>
    <t>急がなきゃ！</t>
    <phoneticPr fontId="1"/>
  </si>
  <si>
    <t>タイプ神秘・飲食の攻55％UP　/　タイプ【知性派】の攻25％UP</t>
    <phoneticPr fontId="1"/>
  </si>
  <si>
    <t>[新生]【OL】赤染衛門</t>
    <phoneticPr fontId="1"/>
  </si>
  <si>
    <t>しんせいおふぃすれでぃあかぞめえもん</t>
    <phoneticPr fontId="1"/>
  </si>
  <si>
    <t>オフィスを彩った才女</t>
    <phoneticPr fontId="1"/>
  </si>
  <si>
    <t>[新生]【レスキュー】井伊直政</t>
    <phoneticPr fontId="1"/>
  </si>
  <si>
    <t>徳川赤備えの救助</t>
    <phoneticPr fontId="1"/>
  </si>
  <si>
    <t>タイプ姫・伝承の攻20％UP</t>
    <phoneticPr fontId="1"/>
  </si>
  <si>
    <t>[新生]【司令官】九条武子</t>
    <phoneticPr fontId="1"/>
  </si>
  <si>
    <t>京都</t>
    <phoneticPr fontId="1"/>
  </si>
  <si>
    <t>しんせいしれいかんくじょうたけこ</t>
    <phoneticPr fontId="1"/>
  </si>
  <si>
    <t>しんせいれすきゅーいいなおまさ</t>
    <phoneticPr fontId="1"/>
  </si>
  <si>
    <t>地図を読む才色兼備</t>
    <phoneticPr fontId="1"/>
  </si>
  <si>
    <t>4/25 18:00～4/27 23:59</t>
    <phoneticPr fontId="1"/>
  </si>
  <si>
    <t>4/26 18:00～4/26 21:59</t>
    <phoneticPr fontId="1"/>
  </si>
  <si>
    <t>4/26 12:00～4/27 11:59</t>
    <phoneticPr fontId="1"/>
  </si>
  <si>
    <t>4/27 11:00～4/27 23:59</t>
    <phoneticPr fontId="1"/>
  </si>
  <si>
    <t>4/27 20:00～4/27 23:59</t>
    <phoneticPr fontId="1"/>
  </si>
  <si>
    <t>4/28 12:00～4/29 11:59</t>
    <phoneticPr fontId="1"/>
  </si>
  <si>
    <t>古豪戦傑ガチャ</t>
    <rPh sb="0" eb="4">
      <t>コゴウセンケツ</t>
    </rPh>
    <phoneticPr fontId="1"/>
  </si>
  <si>
    <t>4/28 18:00～4/30 23:59</t>
    <phoneticPr fontId="1"/>
  </si>
  <si>
    <t>【SHINOBI】仁科大助</t>
    <phoneticPr fontId="1"/>
  </si>
  <si>
    <t>しのびにしなだいすけ</t>
    <phoneticPr fontId="1"/>
  </si>
  <si>
    <t>戸隠流忍術</t>
    <phoneticPr fontId="1"/>
  </si>
  <si>
    <t>【五月病】左京ヶ橋の蛇</t>
    <phoneticPr fontId="1"/>
  </si>
  <si>
    <t>ごがつびょうさきょうがばしのへび</t>
    <phoneticPr fontId="1"/>
  </si>
  <si>
    <t>善悪を判断する橋の番人</t>
    <phoneticPr fontId="1"/>
  </si>
  <si>
    <t>タイプ伝承・武人・姫の攻15％UP　/　タイプ妖怪・名物・偉人・神秘の防25％DOWN</t>
    <phoneticPr fontId="1"/>
  </si>
  <si>
    <t>4/29 11:00～4/29 23:59</t>
    <phoneticPr fontId="1"/>
  </si>
  <si>
    <t>天之冬衣神</t>
    <phoneticPr fontId="1"/>
  </si>
  <si>
    <t>あめのふゆきぬのかみ</t>
    <phoneticPr fontId="1"/>
  </si>
  <si>
    <t>能登平定した守護神</t>
    <phoneticPr fontId="1"/>
  </si>
  <si>
    <t>タイプ伝承・武人・姫の防80％DOWN　/　タイプ神秘・知性派・飲食の攻20％UP</t>
    <phoneticPr fontId="1"/>
  </si>
  <si>
    <t>タイプ伝承・武人・姫の防30％DOWN　/　タイプ知性派・飲食の攻15％UP</t>
    <phoneticPr fontId="1"/>
  </si>
  <si>
    <t>タイプ武人・姫の防15％DOWN　/　タイプ知性派・飲食の攻10％UP</t>
    <phoneticPr fontId="1"/>
  </si>
  <si>
    <t>徳川則子</t>
    <phoneticPr fontId="1"/>
  </si>
  <si>
    <t>とくがわのりこ</t>
    <phoneticPr fontId="1"/>
  </si>
  <si>
    <t>心安らぐ和歌の道</t>
    <phoneticPr fontId="1"/>
  </si>
  <si>
    <t>松下乙女</t>
    <phoneticPr fontId="1"/>
  </si>
  <si>
    <t>4/30 18:00～4/30 23:59</t>
    <phoneticPr fontId="1"/>
  </si>
  <si>
    <t>防衛戦 日の本を染める新緑ガチャ</t>
    <phoneticPr fontId="1"/>
  </si>
  <si>
    <t>(DX)5/1 0:00～5/4 11:59</t>
    <phoneticPr fontId="1"/>
  </si>
  <si>
    <t>[新生]ちまき</t>
    <phoneticPr fontId="1"/>
  </si>
  <si>
    <t>しんせいちまき</t>
    <phoneticPr fontId="1"/>
  </si>
  <si>
    <t>笹の中身はなあに？</t>
    <phoneticPr fontId="1"/>
  </si>
  <si>
    <t>[新生]【探検隊】木の子</t>
    <phoneticPr fontId="1"/>
  </si>
  <si>
    <t>しんせいたんけんたいきのこ</t>
    <phoneticPr fontId="1"/>
  </si>
  <si>
    <t>キノコに群がる木の子</t>
    <phoneticPr fontId="1"/>
  </si>
  <si>
    <t>タイプ【知性派】の攻25％UP</t>
    <phoneticPr fontId="1"/>
  </si>
  <si>
    <t>タイプ【偉人】の防25％UP</t>
    <phoneticPr fontId="1"/>
  </si>
  <si>
    <t>【新緑の季節】アマテラス</t>
    <phoneticPr fontId="1"/>
  </si>
  <si>
    <t>しんりょくのきせつあまてらす</t>
    <phoneticPr fontId="1"/>
  </si>
  <si>
    <t>天照らす新緑の癒し</t>
    <phoneticPr fontId="1"/>
  </si>
  <si>
    <t>タイプ神秘・知性派・飲食の防55％UP　/　タイプ偉人・妖怪・名物の攻15％DOWN</t>
    <phoneticPr fontId="1"/>
  </si>
  <si>
    <t>天照ノ光</t>
    <phoneticPr fontId="1"/>
  </si>
  <si>
    <t>一定時間、味方全員の攻・防を20％UP、ダメージ軽減のバリアを付与する</t>
    <phoneticPr fontId="1"/>
  </si>
  <si>
    <t>【新緑の季節】白滝姫</t>
    <phoneticPr fontId="1"/>
  </si>
  <si>
    <t>しんりょくのきせつしらたきひめ</t>
    <phoneticPr fontId="1"/>
  </si>
  <si>
    <t>新緑に響く白滝の音</t>
    <phoneticPr fontId="1"/>
  </si>
  <si>
    <t>【新緑の季節】ヒスイ</t>
    <phoneticPr fontId="1"/>
  </si>
  <si>
    <t>しんりょくのきせつひすい</t>
    <phoneticPr fontId="1"/>
  </si>
  <si>
    <t>翡翠色した悠久の自然美</t>
    <phoneticPr fontId="1"/>
  </si>
  <si>
    <t>【新緑の季節】メロンパン</t>
    <phoneticPr fontId="1"/>
  </si>
  <si>
    <t>しんりょくのきせつめろんぱん</t>
    <phoneticPr fontId="1"/>
  </si>
  <si>
    <t>甘く薫る新緑のメロンパン</t>
    <phoneticPr fontId="1"/>
  </si>
  <si>
    <t>[新生]【妖精】円信院殿</t>
    <phoneticPr fontId="1"/>
  </si>
  <si>
    <t>しんせいようせいえんしんいんでん</t>
    <phoneticPr fontId="1"/>
  </si>
  <si>
    <t>[新生]最上徳内</t>
    <phoneticPr fontId="1"/>
  </si>
  <si>
    <t>しんせいもがみとくない</t>
    <phoneticPr fontId="1"/>
  </si>
  <si>
    <t>探検冒険北の国</t>
    <phoneticPr fontId="1"/>
  </si>
  <si>
    <t>タイプ妖怪・名物の攻35％UP　/　タイプ【偉人】の攻20％UP</t>
    <phoneticPr fontId="1"/>
  </si>
  <si>
    <t>[新生]【鯉のぼり】出雲阿国</t>
    <phoneticPr fontId="1"/>
  </si>
  <si>
    <t>しんせいこいのぼりいずものおくに</t>
    <phoneticPr fontId="1"/>
  </si>
  <si>
    <t>空に舞う</t>
    <phoneticPr fontId="1"/>
  </si>
  <si>
    <t>[新生]【獣水着】ククノチ</t>
    <phoneticPr fontId="1"/>
  </si>
  <si>
    <t>しんせいけものみずぎくくのち</t>
    <phoneticPr fontId="1"/>
  </si>
  <si>
    <t>憩いの木陰</t>
    <phoneticPr fontId="1"/>
  </si>
  <si>
    <t>タイプ知性派・飲食の攻25％UP</t>
    <phoneticPr fontId="1"/>
  </si>
  <si>
    <t>[新生]【セカンド】鍋島直茂</t>
    <phoneticPr fontId="1"/>
  </si>
  <si>
    <t>しんせいせかんどなべしまなおしげ</t>
    <phoneticPr fontId="1"/>
  </si>
  <si>
    <t>内助の功は勝利への道</t>
    <phoneticPr fontId="1"/>
  </si>
  <si>
    <t>タイプ姫・伝承の防25％UP</t>
    <phoneticPr fontId="1"/>
  </si>
  <si>
    <t>5/2 12:00～5/3 23:59</t>
    <phoneticPr fontId="1"/>
  </si>
  <si>
    <t>【五月病】豪姫</t>
    <phoneticPr fontId="1"/>
  </si>
  <si>
    <t>ごがつびょうごうひめ</t>
    <phoneticPr fontId="1"/>
  </si>
  <si>
    <t>女関白のぐうたら休暇</t>
    <phoneticPr fontId="1"/>
  </si>
  <si>
    <t>タイプ【武人】の攻40％UP　/　タイプ【姫】の攻15％UP</t>
    <phoneticPr fontId="1"/>
  </si>
  <si>
    <t>5/2 18:00～5/4 23:59</t>
    <phoneticPr fontId="1"/>
  </si>
  <si>
    <t>5/3 12:00～5/4 11:59</t>
    <phoneticPr fontId="1"/>
  </si>
  <si>
    <t>5/3 18:00～5/3 21:59</t>
    <phoneticPr fontId="1"/>
  </si>
  <si>
    <t>防衛戦 歓声あがる刃舞姫ガチャ</t>
    <rPh sb="0" eb="3">
      <t>ボウエイセン</t>
    </rPh>
    <phoneticPr fontId="1"/>
  </si>
  <si>
    <t>(DX)5/4 12:00～5/8 11:59</t>
    <phoneticPr fontId="1"/>
  </si>
  <si>
    <t>【サーカス】テンガイハタ</t>
    <phoneticPr fontId="1"/>
  </si>
  <si>
    <t>さーかすてんがいはた</t>
    <phoneticPr fontId="1"/>
  </si>
  <si>
    <t>たなびく銀色のナイフ使い</t>
    <phoneticPr fontId="1"/>
  </si>
  <si>
    <t>タイプ神秘・知性派・飲食の攻20％UP　/　タイプ飲食・武人・名物の防70％DOWN</t>
    <phoneticPr fontId="1"/>
  </si>
  <si>
    <t>【サーカス】阿池姫</t>
    <phoneticPr fontId="1"/>
  </si>
  <si>
    <t>さーかすおちひめ</t>
    <phoneticPr fontId="1"/>
  </si>
  <si>
    <t>宙を舞う</t>
    <phoneticPr fontId="1"/>
  </si>
  <si>
    <t>[新生]送り狼</t>
    <phoneticPr fontId="1"/>
  </si>
  <si>
    <t>しんせいおくりおおかみ</t>
    <phoneticPr fontId="1"/>
  </si>
  <si>
    <t>山中の守護狼</t>
    <phoneticPr fontId="1"/>
  </si>
  <si>
    <t>タイプ偉人・名物の攻20％UP</t>
    <phoneticPr fontId="1"/>
  </si>
  <si>
    <t>[新生]【わんわん】広島風お好み焼きちゃん</t>
    <phoneticPr fontId="1"/>
  </si>
  <si>
    <t>しんせいわんわんひろしまふうおこのみやきちゃん</t>
    <phoneticPr fontId="1"/>
  </si>
  <si>
    <t>わんわん吠える新規客</t>
    <phoneticPr fontId="1"/>
  </si>
  <si>
    <t>タイプ【神秘】の防20％UP</t>
    <phoneticPr fontId="1"/>
  </si>
  <si>
    <t>5/4 18:00～5/6 23:59</t>
    <phoneticPr fontId="1"/>
  </si>
  <si>
    <t>【夜景】三村鶴</t>
    <phoneticPr fontId="1"/>
  </si>
  <si>
    <t>やけいみむらつる</t>
    <phoneticPr fontId="1"/>
  </si>
  <si>
    <t>煌めく夜景と束の間の休息</t>
    <phoneticPr fontId="1"/>
  </si>
  <si>
    <t>[新生]竹の子族ちゃん</t>
    <phoneticPr fontId="1"/>
  </si>
  <si>
    <t>しんせいたけのこぞくちゃん</t>
    <phoneticPr fontId="1"/>
  </si>
  <si>
    <t>奇想天外竹の子の舞</t>
    <phoneticPr fontId="1"/>
  </si>
  <si>
    <t>【肝試しホラー】鏡王女</t>
    <phoneticPr fontId="1"/>
  </si>
  <si>
    <t>きもだめしほらーかがみのおおきみ</t>
    <phoneticPr fontId="1"/>
  </si>
  <si>
    <t>悲恋を嘆く古井戸より現れし歌人</t>
    <phoneticPr fontId="1"/>
  </si>
  <si>
    <t>5/5 11:00～5/5 23:59</t>
    <phoneticPr fontId="1"/>
  </si>
  <si>
    <t>5/5 18:00～5/7 23:59</t>
    <phoneticPr fontId="1"/>
  </si>
  <si>
    <t>アメノオシホミミ</t>
    <phoneticPr fontId="1"/>
  </si>
  <si>
    <t>あめのおしほみみ</t>
    <phoneticPr fontId="1"/>
  </si>
  <si>
    <t>下界絶対拒否</t>
    <phoneticPr fontId="1"/>
  </si>
  <si>
    <t>【かるた】天英院</t>
    <phoneticPr fontId="1"/>
  </si>
  <si>
    <t>かるたてんえいいん</t>
    <phoneticPr fontId="1"/>
  </si>
  <si>
    <t>幸か不幸か思わぬ奇跡</t>
    <phoneticPr fontId="1"/>
  </si>
  <si>
    <t>5/6 11:00～5/8 23:59</t>
    <phoneticPr fontId="1"/>
  </si>
  <si>
    <t>スティールクイーン</t>
    <phoneticPr fontId="1"/>
  </si>
  <si>
    <t>すてぃーるくいーん</t>
    <phoneticPr fontId="1"/>
  </si>
  <si>
    <t>甘味スティール</t>
    <phoneticPr fontId="1"/>
  </si>
  <si>
    <t>清涼たる季菓</t>
    <phoneticPr fontId="1"/>
  </si>
  <si>
    <t>自身の強襲発生割合UP</t>
    <phoneticPr fontId="1"/>
  </si>
  <si>
    <t>5/6 20:00～5/6 23:59</t>
    <phoneticPr fontId="1"/>
  </si>
  <si>
    <t>5/7 11:00～5/7 23:59</t>
    <phoneticPr fontId="1"/>
  </si>
  <si>
    <t>【茶屋むすめ】ワカヒルメノミコト</t>
    <phoneticPr fontId="1"/>
  </si>
  <si>
    <t>ちゃやむすめわかひるめのみこと</t>
    <phoneticPr fontId="1"/>
  </si>
  <si>
    <t>癒し与える太陽の女神</t>
    <phoneticPr fontId="1"/>
  </si>
  <si>
    <t>タイプ【飲食】の攻60％UP　/　タイプ神秘・知性派の攻20％UP</t>
    <phoneticPr fontId="1"/>
  </si>
  <si>
    <t>タイプ【飲食】の攻45％UP　/　タイプ【神秘】の攻15％UP</t>
    <phoneticPr fontId="1"/>
  </si>
  <si>
    <t>山崎片家</t>
    <phoneticPr fontId="1"/>
  </si>
  <si>
    <t>やまざきかたいえ</t>
    <phoneticPr fontId="1"/>
  </si>
  <si>
    <t>時流を読む才覚の将</t>
    <phoneticPr fontId="1"/>
  </si>
  <si>
    <t>蛇の目傘</t>
    <phoneticPr fontId="1"/>
  </si>
  <si>
    <t>じゃのめがさ</t>
    <phoneticPr fontId="1"/>
  </si>
  <si>
    <t>海の底の怪奇</t>
    <phoneticPr fontId="1"/>
  </si>
  <si>
    <t>タイプ武人・姫の攻50％DOWN　/　タイプ偉人・名物の防15％UP</t>
    <phoneticPr fontId="1"/>
  </si>
  <si>
    <t>タイプ【姫】の攻20％DOWN　/　タイプ偉人・名物の防10％UP</t>
    <phoneticPr fontId="1"/>
  </si>
  <si>
    <t>5/7 18:00～5/9 23:59</t>
    <phoneticPr fontId="1"/>
  </si>
  <si>
    <t>【隠遁】木の葉天狗</t>
    <phoneticPr fontId="1"/>
  </si>
  <si>
    <t>いんとんこのはてんぐ</t>
    <phoneticPr fontId="1"/>
  </si>
  <si>
    <t>忍びが惚れる忍術師</t>
    <phoneticPr fontId="1"/>
  </si>
  <si>
    <t>タイプ武人・伝承の防100％DOWN　/　タイプ偉人・名物の攻20％UP</t>
    <phoneticPr fontId="1"/>
  </si>
  <si>
    <t>ささぎつね</t>
    <phoneticPr fontId="1"/>
  </si>
  <si>
    <t>銀狐の恩返し</t>
    <phoneticPr fontId="1"/>
  </si>
  <si>
    <t>四神戦 舞い踊れ！博多どんたくガチャ</t>
    <rPh sb="0" eb="1">
      <t>ヨン</t>
    </rPh>
    <rPh sb="1" eb="2">
      <t>シン</t>
    </rPh>
    <rPh sb="2" eb="3">
      <t>セン</t>
    </rPh>
    <phoneticPr fontId="1"/>
  </si>
  <si>
    <t>【博多どんたく】速水宗青</t>
    <phoneticPr fontId="1"/>
  </si>
  <si>
    <t>福岡</t>
    <rPh sb="0" eb="2">
      <t>フクオカ</t>
    </rPh>
    <phoneticPr fontId="1"/>
  </si>
  <si>
    <t>はかたどんたくはやみそうせい</t>
    <phoneticPr fontId="1"/>
  </si>
  <si>
    <t>楽しい踊り</t>
    <phoneticPr fontId="1"/>
  </si>
  <si>
    <t>タイプ【名物】の防75％UP　/　タイプ偉人・妖怪の防30％UP</t>
    <phoneticPr fontId="1"/>
  </si>
  <si>
    <t>[新生]博多どんたく</t>
    <phoneticPr fontId="1"/>
  </si>
  <si>
    <t>しんせいはかたどんたく</t>
    <phoneticPr fontId="1"/>
  </si>
  <si>
    <t>博多にわかと裏羽織</t>
    <phoneticPr fontId="1"/>
  </si>
  <si>
    <t>[新生]於久の方</t>
    <phoneticPr fontId="1"/>
  </si>
  <si>
    <t>しんせいおくのかた</t>
    <phoneticPr fontId="1"/>
  </si>
  <si>
    <t>大多喜城に響く音色</t>
    <phoneticPr fontId="1"/>
  </si>
  <si>
    <t>[新生]がめ煮くん</t>
    <phoneticPr fontId="1"/>
  </si>
  <si>
    <t>しんせいがめにくん</t>
    <phoneticPr fontId="1"/>
  </si>
  <si>
    <t>がめくりし筑前</t>
    <phoneticPr fontId="1"/>
  </si>
  <si>
    <t>5/8 15:00～5/8 23:59</t>
    <phoneticPr fontId="1"/>
  </si>
  <si>
    <t>5/9 12:00～5/14 11:59</t>
    <phoneticPr fontId="1"/>
  </si>
  <si>
    <t>人魚塚</t>
    <phoneticPr fontId="1"/>
  </si>
  <si>
    <t>にんぎょづか</t>
    <phoneticPr fontId="1"/>
  </si>
  <si>
    <t>最古の人魚伝説</t>
    <phoneticPr fontId="1"/>
  </si>
  <si>
    <t>タイプ伝承・武人・姫の攻25％UP　/　タイプ武人・姫の防60％DOWN</t>
    <phoneticPr fontId="1"/>
  </si>
  <si>
    <t>タイプ伝承・武人・姫の攻15％UP　/　タイプ武人・姫の防40％DOWN</t>
    <phoneticPr fontId="1"/>
  </si>
  <si>
    <t>タイプ武人・姫の攻12％UP　/　タイプ武人・姫の防20％DOWN</t>
    <phoneticPr fontId="1"/>
  </si>
  <si>
    <t>5/9 18:00～5/9 21:59</t>
    <phoneticPr fontId="1"/>
  </si>
  <si>
    <t>5/10 11:00～5/10 23:59</t>
    <phoneticPr fontId="1"/>
  </si>
  <si>
    <t>5/10 18:00～5/12 23:59</t>
    <phoneticPr fontId="1"/>
  </si>
  <si>
    <t>【日本号】母里友信</t>
    <phoneticPr fontId="1"/>
  </si>
  <si>
    <t>にほんごうもりとものぶ</t>
    <phoneticPr fontId="1"/>
  </si>
  <si>
    <t>酒は呑め呑め呑むならば！</t>
    <phoneticPr fontId="1"/>
  </si>
  <si>
    <t>【縁日】南部姫鞠</t>
    <phoneticPr fontId="1"/>
  </si>
  <si>
    <t>えんにちなんぶひめまり</t>
    <phoneticPr fontId="1"/>
  </si>
  <si>
    <t>夏の夜に彩りを</t>
    <phoneticPr fontId="1"/>
  </si>
  <si>
    <t>デカ盛りお好み焼きちゃん</t>
    <phoneticPr fontId="1"/>
  </si>
  <si>
    <t>でかもりおこのみやきちゃん</t>
    <phoneticPr fontId="1"/>
  </si>
  <si>
    <t>お好みマウンテン！</t>
    <phoneticPr fontId="1"/>
  </si>
  <si>
    <t>[新生]アメノウワハルノミコト</t>
    <phoneticPr fontId="1"/>
  </si>
  <si>
    <t>しんせいあめのうわはるのみこと</t>
    <phoneticPr fontId="1"/>
  </si>
  <si>
    <t>農地開拓の作法</t>
    <phoneticPr fontId="1"/>
  </si>
  <si>
    <t>タイプ知性派・飲食の防30％UP　/　タイプ【神秘】の防25％UP</t>
    <phoneticPr fontId="1"/>
  </si>
  <si>
    <t>槐の邪神</t>
    <phoneticPr fontId="1"/>
  </si>
  <si>
    <t>えんじゅのじゃしん</t>
    <phoneticPr fontId="1"/>
  </si>
  <si>
    <t>槐の祟り</t>
    <phoneticPr fontId="1"/>
  </si>
  <si>
    <t>タイプ偉人・名物の攻30％UP　/　タイプ【妖怪】の攻20％UP</t>
    <phoneticPr fontId="1"/>
  </si>
  <si>
    <t>飛騨生きびな祭</t>
    <phoneticPr fontId="1"/>
  </si>
  <si>
    <t>ひだいきびなまつり</t>
    <phoneticPr fontId="1"/>
  </si>
  <si>
    <t>蚕が織り成す白糸</t>
    <phoneticPr fontId="1"/>
  </si>
  <si>
    <t>タイプ名物・武人の攻30％UP</t>
    <phoneticPr fontId="1"/>
  </si>
  <si>
    <t>祝来！宝船福引ガチャ</t>
    <rPh sb="0" eb="1">
      <t>シュク</t>
    </rPh>
    <rPh sb="1" eb="2">
      <t>ライ</t>
    </rPh>
    <rPh sb="3" eb="7">
      <t>タカラブネフクビキ</t>
    </rPh>
    <phoneticPr fontId="1"/>
  </si>
  <si>
    <t>5/11 12:00～5/12 11:59</t>
    <phoneticPr fontId="1"/>
  </si>
  <si>
    <t>【4周年】つらら女</t>
    <phoneticPr fontId="1"/>
  </si>
  <si>
    <t>よんしゅうねんつららおんな</t>
    <phoneticPr fontId="1"/>
  </si>
  <si>
    <t>秘境に舞う氷柱</t>
    <phoneticPr fontId="1"/>
  </si>
  <si>
    <t>タイプ偉人・妖怪・名物の攻25％UP　/　タイプ神秘・知性派・飲食の防50％DOWN</t>
    <phoneticPr fontId="1"/>
  </si>
  <si>
    <t>鋼氷団結</t>
    <phoneticPr fontId="1"/>
  </si>
  <si>
    <t>バトルでコンボに成功した時、コンボ数が2UPする。コンボ＋１</t>
    <phoneticPr fontId="1"/>
  </si>
  <si>
    <t>超攻再臨ガチャ</t>
    <rPh sb="0" eb="4">
      <t>チョウコウサイリン</t>
    </rPh>
    <phoneticPr fontId="1"/>
  </si>
  <si>
    <t>5/11 18:00～5/13 23:59</t>
    <phoneticPr fontId="1"/>
  </si>
  <si>
    <t>5/12 20:00～5/12 23:59</t>
    <phoneticPr fontId="1"/>
  </si>
  <si>
    <t>5/12 11:00～5/14 23:59</t>
    <phoneticPr fontId="1"/>
  </si>
  <si>
    <t>ハリ・ハラ</t>
    <phoneticPr fontId="1"/>
  </si>
  <si>
    <t>はりはら</t>
    <phoneticPr fontId="1"/>
  </si>
  <si>
    <t>二神融合</t>
    <phoneticPr fontId="1"/>
  </si>
  <si>
    <t>タイプ神秘・知性派の攻15％UP　/　タイプ【飲食】の攻30％UP</t>
    <phoneticPr fontId="1"/>
  </si>
  <si>
    <t>策戦 兵站奇襲</t>
    <rPh sb="0" eb="1">
      <t>サク</t>
    </rPh>
    <rPh sb="1" eb="2">
      <t>セン</t>
    </rPh>
    <rPh sb="3" eb="5">
      <t>ヘイタン</t>
    </rPh>
    <rPh sb="5" eb="7">
      <t>キシュウ</t>
    </rPh>
    <phoneticPr fontId="1"/>
  </si>
  <si>
    <t>5/13 15:00～5/13 23:59</t>
    <phoneticPr fontId="1"/>
  </si>
  <si>
    <t>サイコロ行脚 栄光つかむ春の体育祭ガチャ</t>
    <rPh sb="4" eb="6">
      <t>アンギャ</t>
    </rPh>
    <phoneticPr fontId="1"/>
  </si>
  <si>
    <t>(DX)5/14 12:00～5/21 11:59</t>
    <phoneticPr fontId="1"/>
  </si>
  <si>
    <t>5/14 18:00～5/16 23:59</t>
    <phoneticPr fontId="1"/>
  </si>
  <si>
    <t>【春の体育祭】あま姫</t>
    <phoneticPr fontId="1"/>
  </si>
  <si>
    <t>はるのたいいくさいあまひめ</t>
    <phoneticPr fontId="1"/>
  </si>
  <si>
    <t>無敵の親子</t>
    <phoneticPr fontId="1"/>
  </si>
  <si>
    <t>タイプ【武人】の攻95％UP　/　タイプ姫・伝承の攻20％UP</t>
    <phoneticPr fontId="1"/>
  </si>
  <si>
    <t>[新生]【運動会】京扇子ちゃん</t>
    <phoneticPr fontId="1"/>
  </si>
  <si>
    <t>しんせいうんどうかいきょうせんすちゃん</t>
    <phoneticPr fontId="1"/>
  </si>
  <si>
    <t>勝利へ導く一陣の風</t>
    <phoneticPr fontId="1"/>
  </si>
  <si>
    <t>[新生]【二人三脚】サクランボちゃん</t>
    <phoneticPr fontId="1"/>
  </si>
  <si>
    <t>しんせいににんさんきゃくさくらんぼちゃん</t>
    <phoneticPr fontId="1"/>
  </si>
  <si>
    <t>一歩ずつの努力</t>
    <phoneticPr fontId="1"/>
  </si>
  <si>
    <t>[新生]【徒競走】メロス</t>
    <phoneticPr fontId="1"/>
  </si>
  <si>
    <t>しんせいときょうそうめろす</t>
    <phoneticPr fontId="1"/>
  </si>
  <si>
    <t>友に捧げる一等賞</t>
    <phoneticPr fontId="1"/>
  </si>
  <si>
    <t>十和田湖</t>
    <phoneticPr fontId="1"/>
  </si>
  <si>
    <t>とわだこ</t>
    <phoneticPr fontId="1"/>
  </si>
  <si>
    <t>八頭の大蛇棲む湖水</t>
    <phoneticPr fontId="1"/>
  </si>
  <si>
    <t>くろきしさなだゆきむら</t>
    <phoneticPr fontId="1"/>
  </si>
  <si>
    <t>暗黒に染まる赤備え</t>
    <phoneticPr fontId="1"/>
  </si>
  <si>
    <t>タイプ知性派・飲食・姫の防40％UP　/　タイプ【神秘】の防30％UP</t>
    <phoneticPr fontId="1"/>
  </si>
  <si>
    <t>5/15 12:00～5/20 22:59</t>
    <phoneticPr fontId="1"/>
  </si>
  <si>
    <t>イワポソインカラ</t>
    <phoneticPr fontId="1"/>
  </si>
  <si>
    <t>いわぽそいんから</t>
    <phoneticPr fontId="1"/>
  </si>
  <si>
    <t>キミに悪戯してやる！</t>
    <phoneticPr fontId="1"/>
  </si>
  <si>
    <t>タイプ【名物】の防50％UP　/　タイプ偉人・妖怪の防25％UP</t>
    <phoneticPr fontId="1"/>
  </si>
  <si>
    <t>タイプ【名物】の防40％UP　/　タイプ【妖怪】の防15％UP</t>
    <phoneticPr fontId="1"/>
  </si>
  <si>
    <t>5/15 15:00～5/16 23:59</t>
    <phoneticPr fontId="1"/>
  </si>
  <si>
    <t>【執事喫茶】長沢芦雪</t>
    <phoneticPr fontId="1"/>
  </si>
  <si>
    <t>しつじきっさながさわろせつ</t>
    <phoneticPr fontId="1"/>
  </si>
  <si>
    <t>奇想の執事</t>
    <phoneticPr fontId="1"/>
  </si>
  <si>
    <t>[新生]秋月種時</t>
    <phoneticPr fontId="1"/>
  </si>
  <si>
    <t>しんせいあきづきたねとき</t>
    <phoneticPr fontId="1"/>
  </si>
  <si>
    <t>古処山城の城主</t>
    <phoneticPr fontId="1"/>
  </si>
  <si>
    <t>[新生]岡本天明</t>
    <phoneticPr fontId="1"/>
  </si>
  <si>
    <t>しんせいおかもとてんめい</t>
    <phoneticPr fontId="1"/>
  </si>
  <si>
    <t>自動書記『日月神示』</t>
    <phoneticPr fontId="1"/>
  </si>
  <si>
    <t>5/16 11:00～5/16 23:59</t>
    <phoneticPr fontId="1"/>
  </si>
  <si>
    <t>5/16 18:00～5/18 23:59</t>
    <phoneticPr fontId="1"/>
  </si>
  <si>
    <t>【お料理】園部秀雄</t>
    <phoneticPr fontId="1"/>
  </si>
  <si>
    <t>おりょうりそのべひでお</t>
    <phoneticPr fontId="1"/>
  </si>
  <si>
    <t>完璧な間合いで作り上げし</t>
    <phoneticPr fontId="1"/>
  </si>
  <si>
    <t>5/17 18:00～5/17 21:59</t>
    <phoneticPr fontId="1"/>
  </si>
  <si>
    <t>5/17 11:00～5/19 23:59</t>
    <phoneticPr fontId="1"/>
  </si>
  <si>
    <t>恩田の初連</t>
    <phoneticPr fontId="1"/>
  </si>
  <si>
    <t>おんだのはつれん</t>
    <phoneticPr fontId="1"/>
  </si>
  <si>
    <t>復讐に燃える白狐</t>
    <phoneticPr fontId="1"/>
  </si>
  <si>
    <t>タイプ伝承・武人・姫の攻15％UP　/　タイプ妖怪・名物・偉人・知性派の防25％DOWN</t>
    <phoneticPr fontId="1"/>
  </si>
  <si>
    <t>5/18 11:00～5/18 23:59</t>
    <phoneticPr fontId="1"/>
  </si>
  <si>
    <t>まつしたおとめ</t>
    <phoneticPr fontId="1"/>
  </si>
  <si>
    <t>天下の四英傑に添う慈しみ</t>
    <phoneticPr fontId="1"/>
  </si>
  <si>
    <t>5/18 18:00～5/20 23:59</t>
    <phoneticPr fontId="1"/>
  </si>
  <si>
    <t>[新生]胤栄</t>
    <phoneticPr fontId="1"/>
  </si>
  <si>
    <t>しんせいいんえい</t>
    <phoneticPr fontId="1"/>
  </si>
  <si>
    <t>宝蔵院流槍術の祖</t>
    <phoneticPr fontId="1"/>
  </si>
  <si>
    <t>5/19 15:00～5/19 23:59</t>
    <phoneticPr fontId="1"/>
  </si>
  <si>
    <t>5/19 18:00～5/21 23:59</t>
    <phoneticPr fontId="1"/>
  </si>
  <si>
    <t>【サファリパーク】つらら女</t>
    <phoneticPr fontId="1"/>
  </si>
  <si>
    <t>さふぁりぱーくつららおんな</t>
    <phoneticPr fontId="1"/>
  </si>
  <si>
    <t>凍える一突き</t>
    <phoneticPr fontId="1"/>
  </si>
  <si>
    <t>【ねこみみ】ねね</t>
    <phoneticPr fontId="1"/>
  </si>
  <si>
    <t>ねこみみねね</t>
    <phoneticPr fontId="1"/>
  </si>
  <si>
    <t>奔放に振る舞う母性本能</t>
    <phoneticPr fontId="1"/>
  </si>
  <si>
    <t>深泥ヶ池</t>
    <phoneticPr fontId="1"/>
  </si>
  <si>
    <t>みどろがいけ</t>
    <phoneticPr fontId="1"/>
  </si>
  <si>
    <t>女幽霊が彷徨える池</t>
    <phoneticPr fontId="1"/>
  </si>
  <si>
    <t>タイプ神秘・知性派・飲食の防35％UP　/　タイプ伝承・武人・姫の攻10％DOWN</t>
    <phoneticPr fontId="1"/>
  </si>
  <si>
    <t>5/20 12:00～5/21 11:59</t>
    <phoneticPr fontId="1"/>
  </si>
  <si>
    <t>【ハロウィン】立花宗茂</t>
    <phoneticPr fontId="1"/>
  </si>
  <si>
    <t>はろうぃんたちばなむねしげ</t>
    <phoneticPr fontId="1"/>
  </si>
  <si>
    <t>闇に捧げる深紅の葡萄酒</t>
    <phoneticPr fontId="1"/>
  </si>
  <si>
    <t>タイプ姫・伝承の防30％UP　/　タイプ神秘・知性派・飲食の攻12％DOWN</t>
    <phoneticPr fontId="1"/>
  </si>
  <si>
    <t>棺桶シェルター</t>
    <phoneticPr fontId="1"/>
  </si>
  <si>
    <t>5/20 20:00～5/20 23:59</t>
    <phoneticPr fontId="1"/>
  </si>
  <si>
    <t>5/21 11:00～5/23 11:59</t>
    <phoneticPr fontId="1"/>
  </si>
  <si>
    <t>【キャメラ女子】三吉鬼</t>
    <phoneticPr fontId="1"/>
  </si>
  <si>
    <t>きゃめらじょしさんきちおに</t>
    <phoneticPr fontId="1"/>
  </si>
  <si>
    <t>その一瞬を切り取って</t>
    <phoneticPr fontId="1"/>
  </si>
  <si>
    <t>糸姫</t>
    <phoneticPr fontId="1"/>
  </si>
  <si>
    <t>いとひめ</t>
    <phoneticPr fontId="1"/>
  </si>
  <si>
    <t>秀吉支える名参謀の愛娘</t>
    <phoneticPr fontId="1"/>
  </si>
  <si>
    <t>【花魁】アカクラゲ</t>
    <phoneticPr fontId="1"/>
  </si>
  <si>
    <t>おいらんあかくらげ</t>
    <phoneticPr fontId="1"/>
  </si>
  <si>
    <t>触れられぬ美しき毒</t>
    <phoneticPr fontId="1"/>
  </si>
  <si>
    <t>5/21 12:00～5/25 11:59</t>
    <phoneticPr fontId="1"/>
  </si>
  <si>
    <t>5/22 15:00～5/22 23:59</t>
    <phoneticPr fontId="1"/>
  </si>
  <si>
    <t>5/22 12:00～5/25 11:59</t>
    <phoneticPr fontId="1"/>
  </si>
  <si>
    <t>【キャメラ女子】寿桂尼</t>
    <phoneticPr fontId="1"/>
  </si>
  <si>
    <t>きゃめらじょしじゅけいに</t>
    <phoneticPr fontId="1"/>
  </si>
  <si>
    <t>木々の中で</t>
    <phoneticPr fontId="1"/>
  </si>
  <si>
    <t>【将棋】依田勉三</t>
    <phoneticPr fontId="1"/>
  </si>
  <si>
    <t>しょうぎよだべんぞう</t>
    <phoneticPr fontId="1"/>
  </si>
  <si>
    <t>北の盤上で試す智力</t>
    <phoneticPr fontId="1"/>
  </si>
  <si>
    <t>5/23 12:00～5/24 11:59</t>
    <phoneticPr fontId="1"/>
  </si>
  <si>
    <t>天下統一ロボティクスガチャ</t>
    <phoneticPr fontId="1"/>
  </si>
  <si>
    <t>5/24 12:00～5/26 23:59</t>
    <phoneticPr fontId="1"/>
  </si>
  <si>
    <t>5/24 20:00～5/24 23:59</t>
    <phoneticPr fontId="1"/>
  </si>
  <si>
    <t>天下統一戦 魅惑の小悪魔ガチャ</t>
    <rPh sb="0" eb="2">
      <t>テンカ</t>
    </rPh>
    <rPh sb="2" eb="4">
      <t>トウイツ</t>
    </rPh>
    <rPh sb="4" eb="5">
      <t>セン</t>
    </rPh>
    <phoneticPr fontId="1"/>
  </si>
  <si>
    <t>(DX)5/25 12:00～5/31 19:59</t>
    <phoneticPr fontId="1"/>
  </si>
  <si>
    <t>北海道</t>
    <rPh sb="0" eb="3">
      <t>ホッカイドウ</t>
    </rPh>
    <phoneticPr fontId="1"/>
  </si>
  <si>
    <t>【プチデビル】雷切丸</t>
    <phoneticPr fontId="1"/>
  </si>
  <si>
    <t>ぷちでびるらいきりまる</t>
    <phoneticPr fontId="1"/>
  </si>
  <si>
    <t>さまよう刀</t>
    <phoneticPr fontId="1"/>
  </si>
  <si>
    <t>[新生]黒天狗</t>
    <phoneticPr fontId="1"/>
  </si>
  <si>
    <t>しんせいくろてんぐ</t>
    <phoneticPr fontId="1"/>
  </si>
  <si>
    <t>もてなしと悪戯の黒狗</t>
    <phoneticPr fontId="1"/>
  </si>
  <si>
    <t>[新生]【ヴァンパイア】秋山真之</t>
    <phoneticPr fontId="1"/>
  </si>
  <si>
    <t>しんせいばんぱいああきやまさねゆき</t>
    <phoneticPr fontId="1"/>
  </si>
  <si>
    <t>吸血鬼秋山のエリート教育</t>
    <phoneticPr fontId="1"/>
  </si>
  <si>
    <t>[新生]【魔界】イワコシンプ</t>
    <phoneticPr fontId="1"/>
  </si>
  <si>
    <t>しんせいまかいいわこしんぷ</t>
    <phoneticPr fontId="1"/>
  </si>
  <si>
    <t>叶わぬ恋慕の夜</t>
    <phoneticPr fontId="1"/>
  </si>
  <si>
    <t>5/25 18:00～5/27 23:59</t>
    <phoneticPr fontId="1"/>
  </si>
  <si>
    <t>5/26 12:00～5/27 11:59</t>
    <phoneticPr fontId="1"/>
  </si>
  <si>
    <t>東の武双演義</t>
    <phoneticPr fontId="1"/>
  </si>
  <si>
    <t>ひがしのぶそうえんぎ</t>
    <phoneticPr fontId="1"/>
  </si>
  <si>
    <t>火花散る両雄の戦い</t>
    <phoneticPr fontId="1"/>
  </si>
  <si>
    <t>タイプ姫・伝承の攻15％UP</t>
    <phoneticPr fontId="1"/>
  </si>
  <si>
    <t>西の武双演義</t>
    <phoneticPr fontId="1"/>
  </si>
  <si>
    <t>にしのぶそうえんぎ</t>
    <phoneticPr fontId="1"/>
  </si>
  <si>
    <t>両雄はあくなき心で武芸に励む</t>
    <phoneticPr fontId="1"/>
  </si>
  <si>
    <t>連戟武双演義</t>
    <phoneticPr fontId="1"/>
  </si>
  <si>
    <t>れんげきぶそうえんぎ</t>
    <phoneticPr fontId="1"/>
  </si>
  <si>
    <t>猛き四雄の豪快なる演舞</t>
    <phoneticPr fontId="1"/>
  </si>
  <si>
    <t>5/26 18:00～5/26 21:59</t>
    <phoneticPr fontId="1"/>
  </si>
  <si>
    <t>5/27 11:00～5/27 23:59</t>
    <phoneticPr fontId="1"/>
  </si>
  <si>
    <t>5/27 18:00～5/29 23:59</t>
    <phoneticPr fontId="1"/>
  </si>
  <si>
    <t>タイプ知性派・飲食の防25％UP　/　タイプ【神秘】の防10％UP</t>
    <phoneticPr fontId="1"/>
  </si>
  <si>
    <t>5/28 12:00～5/29 11:59</t>
    <phoneticPr fontId="1"/>
  </si>
  <si>
    <t>5/28 18:00～5/30 23:59</t>
    <phoneticPr fontId="1"/>
  </si>
  <si>
    <t>【銀吹雪】雪女郎</t>
    <phoneticPr fontId="1"/>
  </si>
  <si>
    <t>ぎんふぶきゆきじょろう</t>
    <phoneticPr fontId="1"/>
  </si>
  <si>
    <t>凍てつく美貌に酔いしれて</t>
    <phoneticPr fontId="1"/>
  </si>
  <si>
    <t>タイプ伝承・武人・姫の攻15％UP　/　タイプ武人・妖怪・名物・偉人の防25％DOWN</t>
    <phoneticPr fontId="1"/>
  </si>
  <si>
    <t>【アラビアン】ハバネロ</t>
    <phoneticPr fontId="1"/>
  </si>
  <si>
    <t>あらびあんはばねろ</t>
    <phoneticPr fontId="1"/>
  </si>
  <si>
    <t>辛く痺れる舞姫の踊り</t>
    <phoneticPr fontId="1"/>
  </si>
  <si>
    <t>【酒乱忘年会】北原怜子</t>
    <phoneticPr fontId="1"/>
  </si>
  <si>
    <t>しゅらんぼうねんかいきたはらさとこ</t>
    <phoneticPr fontId="1"/>
  </si>
  <si>
    <t>希有な聖母のほろ酔うひと時</t>
    <phoneticPr fontId="1"/>
  </si>
  <si>
    <t>タイプ偉人・妖怪・名物の攻40％UP　/　タイプ伝承・武人・姫の防10％DOWN</t>
    <phoneticPr fontId="1"/>
  </si>
  <si>
    <t>5/29 15:00～5/29 23:59</t>
    <phoneticPr fontId="1"/>
  </si>
  <si>
    <t>5/30 12:00～5/31 23:59</t>
    <phoneticPr fontId="1"/>
  </si>
  <si>
    <t>維新三英傑</t>
    <phoneticPr fontId="1"/>
  </si>
  <si>
    <t>いしんさんえいけつ</t>
    <phoneticPr fontId="1"/>
  </si>
  <si>
    <t>豪傑の革命家</t>
    <phoneticPr fontId="1"/>
  </si>
  <si>
    <t>タイプ偉人・妖怪・名物の防25％UP　/　タイプ【偉人】の攻60％DOWN</t>
    <phoneticPr fontId="1"/>
  </si>
  <si>
    <t>5/30 18:00～5/30 21:59</t>
    <phoneticPr fontId="1"/>
  </si>
  <si>
    <t>5/31 11:00～5/31 23:59</t>
    <phoneticPr fontId="1"/>
  </si>
  <si>
    <t>尊子内親王</t>
    <phoneticPr fontId="1"/>
  </si>
  <si>
    <t>そんしないしんのう</t>
    <phoneticPr fontId="1"/>
  </si>
  <si>
    <t>ひと世広がる炎の哀歌</t>
    <phoneticPr fontId="1"/>
  </si>
  <si>
    <t>タイプ武人・伝承・妖怪の攻40％UP　/　タイプ偉人・姫の攻35％UP</t>
    <phoneticPr fontId="1"/>
  </si>
  <si>
    <t>タイプ武人・伝承の攻25％UP　/　タイプ【姫】の攻20％UP</t>
    <phoneticPr fontId="1"/>
  </si>
  <si>
    <t>狩野永徳</t>
    <phoneticPr fontId="1"/>
  </si>
  <si>
    <t>かのえいとく</t>
    <phoneticPr fontId="1"/>
  </si>
  <si>
    <t>時代を描く力強い一筆</t>
    <phoneticPr fontId="1"/>
  </si>
  <si>
    <t>タイプ神秘・知性派・飲食の防40％UP　/　タイプ偉人・妖怪・名物の攻10％DOWN</t>
    <phoneticPr fontId="1"/>
  </si>
  <si>
    <t>タイプ神秘・知性派・飲食の防30％UP　/　タイプ妖怪・名物の攻10％DOWN</t>
    <phoneticPr fontId="1"/>
  </si>
  <si>
    <t>タイプ神秘・飲食の防15％UP　/　タイプ【名物】の攻10％DOWN</t>
    <phoneticPr fontId="1"/>
  </si>
  <si>
    <t>全国</t>
    <phoneticPr fontId="1"/>
  </si>
  <si>
    <t>でんしゃがーるこうていぺんぎんちゃん</t>
    <phoneticPr fontId="1"/>
  </si>
  <si>
    <t>名物</t>
    <phoneticPr fontId="1"/>
  </si>
  <si>
    <t>華麗なるトラブル対応</t>
    <phoneticPr fontId="1"/>
  </si>
  <si>
    <t>タイプ偉人・妖怪・名物の攻60％UP</t>
    <phoneticPr fontId="1"/>
  </si>
  <si>
    <t>一定時間、敵全体に「攻撃や攻撃系戦技を発動するとダメージを受ける」効果を付与する</t>
    <phoneticPr fontId="1"/>
  </si>
  <si>
    <t>防衛戦 憩いのターミナルステーションガチャ</t>
    <phoneticPr fontId="1"/>
  </si>
  <si>
    <t>北海道・東北</t>
    <phoneticPr fontId="1"/>
  </si>
  <si>
    <t>でんしゃがーるさふぁいあ</t>
    <phoneticPr fontId="1"/>
  </si>
  <si>
    <t>知性派</t>
    <phoneticPr fontId="1"/>
  </si>
  <si>
    <t>ホームを彩る蒼玉駅員</t>
    <phoneticPr fontId="1"/>
  </si>
  <si>
    <t>タイプ神秘・知性派・飲食の防40％UP　/　タイプ神秘・知性派・飲食の攻10％DOWN</t>
    <phoneticPr fontId="1"/>
  </si>
  <si>
    <t>所属一致ボーナス140％UP</t>
    <phoneticPr fontId="1"/>
  </si>
  <si>
    <t>メインデッキの自地方隊士の所属一致ボーナスを140％UP（全国・東西日本所属は除く）</t>
    <phoneticPr fontId="1"/>
  </si>
  <si>
    <t>近畿</t>
    <phoneticPr fontId="1"/>
  </si>
  <si>
    <t>でんしゃがーるずわいがにちゃん</t>
    <phoneticPr fontId="1"/>
  </si>
  <si>
    <t>飲食</t>
    <phoneticPr fontId="1"/>
  </si>
  <si>
    <t>楚蟹の指差喚呼</t>
    <phoneticPr fontId="1"/>
  </si>
  <si>
    <t>タイプ神秘・知性派・飲食の防35％UP</t>
    <phoneticPr fontId="1"/>
  </si>
  <si>
    <t>九州・沖縄</t>
    <phoneticPr fontId="1"/>
  </si>
  <si>
    <t>でんしゃがーるさきょうがばしのへび</t>
    <phoneticPr fontId="1"/>
  </si>
  <si>
    <t>伝承</t>
    <phoneticPr fontId="1"/>
  </si>
  <si>
    <t>ホーム守る大蛇のメガホン</t>
    <phoneticPr fontId="1"/>
  </si>
  <si>
    <t>タイプ伝承・武人・姫の攻30％UP　/　タイプ武人・姫・伝承・飲食の防13％DOWN</t>
    <phoneticPr fontId="1"/>
  </si>
  <si>
    <t>受けたダメージを相手にも与える</t>
    <phoneticPr fontId="1"/>
  </si>
  <si>
    <t>中部</t>
    <phoneticPr fontId="1"/>
  </si>
  <si>
    <t>しんせいだいやもんどふじ</t>
    <phoneticPr fontId="1"/>
  </si>
  <si>
    <t>神秘</t>
    <phoneticPr fontId="1"/>
  </si>
  <si>
    <t>澄んだ空気と湖の奇跡</t>
    <phoneticPr fontId="1"/>
  </si>
  <si>
    <t>タイプ知性派・飲食の攻35％UP　/　タイプ【神秘】の攻20％UP</t>
    <phoneticPr fontId="1"/>
  </si>
  <si>
    <t>関東</t>
    <phoneticPr fontId="1"/>
  </si>
  <si>
    <t>しんせいきぬがわおんせんたまものまえ</t>
    <phoneticPr fontId="1"/>
  </si>
  <si>
    <t>妖怪</t>
    <phoneticPr fontId="1"/>
  </si>
  <si>
    <t>九尾妖狐の鬼怒川巡り</t>
    <phoneticPr fontId="1"/>
  </si>
  <si>
    <t>タイプ偉人・名物の防35％UP　/　タイプ【妖怪】の防20％UP</t>
    <phoneticPr fontId="1"/>
  </si>
  <si>
    <t>中国・四国</t>
    <phoneticPr fontId="1"/>
  </si>
  <si>
    <t>しんせいまつえじょうほりおよしはる</t>
    <phoneticPr fontId="1"/>
  </si>
  <si>
    <t>武人</t>
    <phoneticPr fontId="1"/>
  </si>
  <si>
    <t>松江を守る千鳥城</t>
    <phoneticPr fontId="1"/>
  </si>
  <si>
    <t>タイプ姫・伝承の攻35％UP　/　タイプ【武人】の攻20％UP</t>
    <phoneticPr fontId="1"/>
  </si>
  <si>
    <t>しんせいあさくさちょうしょういん</t>
    <phoneticPr fontId="1"/>
  </si>
  <si>
    <t>姫</t>
    <phoneticPr fontId="1"/>
  </si>
  <si>
    <t>江戸を一望する空の下</t>
    <phoneticPr fontId="1"/>
  </si>
  <si>
    <t>タイプ武人・伝承の防25％UP</t>
    <phoneticPr fontId="1"/>
  </si>
  <si>
    <t>しんせいかげきだんおおうらけい</t>
    <phoneticPr fontId="1"/>
  </si>
  <si>
    <t>偉人</t>
    <phoneticPr fontId="1"/>
  </si>
  <si>
    <t>乙女を虜にする商人</t>
    <phoneticPr fontId="1"/>
  </si>
  <si>
    <t>タイプ妖怪・名物の攻25％UP</t>
    <phoneticPr fontId="1"/>
  </si>
  <si>
    <t>香川</t>
    <phoneticPr fontId="1"/>
  </si>
  <si>
    <t>しんせいあいどるさぬきうどんちゃん</t>
    <phoneticPr fontId="1"/>
  </si>
  <si>
    <t>乱れ舞ういりこ吹雪</t>
    <phoneticPr fontId="1"/>
  </si>
  <si>
    <t>宮崎</t>
    <phoneticPr fontId="1"/>
  </si>
  <si>
    <t>しんせいきはちでんせつ</t>
    <phoneticPr fontId="1"/>
  </si>
  <si>
    <t>不滅の鬼八</t>
    <phoneticPr fontId="1"/>
  </si>
  <si>
    <t>タイプ【知性派】の防25％UP</t>
    <phoneticPr fontId="1"/>
  </si>
  <si>
    <t>タイプ【武人】の攻25％UP</t>
    <phoneticPr fontId="1"/>
  </si>
  <si>
    <t>6/2 12:00～6/3 23:59</t>
    <phoneticPr fontId="1"/>
  </si>
  <si>
    <t>SSR</t>
    <phoneticPr fontId="1"/>
  </si>
  <si>
    <t>SR</t>
    <phoneticPr fontId="1"/>
  </si>
  <si>
    <t>全国</t>
    <rPh sb="0" eb="2">
      <t>ゼンコク</t>
    </rPh>
    <phoneticPr fontId="1"/>
  </si>
  <si>
    <t>東日本</t>
    <rPh sb="0" eb="1">
      <t>ヒガシ</t>
    </rPh>
    <rPh sb="1" eb="3">
      <t>ニホン</t>
    </rPh>
    <phoneticPr fontId="1"/>
  </si>
  <si>
    <t>東日本</t>
    <rPh sb="0" eb="3">
      <t>ヒガシニホン</t>
    </rPh>
    <phoneticPr fontId="1"/>
  </si>
  <si>
    <t>5進</t>
    <rPh sb="1" eb="2">
      <t>シン</t>
    </rPh>
    <phoneticPr fontId="1"/>
  </si>
  <si>
    <t>3進</t>
    <rPh sb="1" eb="2">
      <t>シン</t>
    </rPh>
    <phoneticPr fontId="1"/>
  </si>
  <si>
    <t>1進</t>
    <rPh sb="1" eb="2">
      <t>シン</t>
    </rPh>
    <phoneticPr fontId="1"/>
  </si>
  <si>
    <t>じゅーんぶらいどはにもとこ</t>
    <phoneticPr fontId="1"/>
  </si>
  <si>
    <t>知性派</t>
    <phoneticPr fontId="1"/>
  </si>
  <si>
    <t>読書三昧の花嫁記者</t>
    <phoneticPr fontId="1"/>
  </si>
  <si>
    <t>タイプ神秘・知性派・飲食の攻40％UP　/　タイプ神秘・知性派・飲食の防10％DOWN</t>
    <phoneticPr fontId="1"/>
  </si>
  <si>
    <t>タイプ神秘・知性派・飲食の攻30％UP　/　タイプ神秘・知性派の防10％DOWN</t>
    <phoneticPr fontId="1"/>
  </si>
  <si>
    <t>タイプ神秘・飲食の攻15％UP　/　タイプ【知性派】の防10％DOWN</t>
    <phoneticPr fontId="1"/>
  </si>
  <si>
    <t>超攻再臨ガチャ</t>
    <rPh sb="0" eb="1">
      <t>チョウ</t>
    </rPh>
    <rPh sb="1" eb="2">
      <t>コウ</t>
    </rPh>
    <rPh sb="2" eb="4">
      <t>サイリン</t>
    </rPh>
    <phoneticPr fontId="1"/>
  </si>
  <si>
    <t>6/2 18:00～6/4 23:59</t>
    <phoneticPr fontId="1"/>
  </si>
  <si>
    <t>祝来！宝船福引ガチャ</t>
    <rPh sb="0" eb="1">
      <t>シュク</t>
    </rPh>
    <rPh sb="1" eb="2">
      <t>ライ</t>
    </rPh>
    <rPh sb="3" eb="5">
      <t>タカラブネ</t>
    </rPh>
    <rPh sb="5" eb="7">
      <t>フクビキ</t>
    </rPh>
    <phoneticPr fontId="1"/>
  </si>
  <si>
    <t>6/3 12:00～6/4 11:59</t>
    <phoneticPr fontId="1"/>
  </si>
  <si>
    <t>6/3 18:00～6/3 21:59</t>
    <phoneticPr fontId="1"/>
  </si>
  <si>
    <t>北海道・東北</t>
    <rPh sb="0" eb="3">
      <t>ホッカイドウ</t>
    </rPh>
    <rPh sb="4" eb="6">
      <t>トウホク</t>
    </rPh>
    <phoneticPr fontId="1"/>
  </si>
  <si>
    <t>関東</t>
    <rPh sb="0" eb="2">
      <t>カントウ</t>
    </rPh>
    <phoneticPr fontId="1"/>
  </si>
  <si>
    <t>中部</t>
    <rPh sb="0" eb="2">
      <t>チュウブ</t>
    </rPh>
    <phoneticPr fontId="1"/>
  </si>
  <si>
    <t>近畿</t>
    <rPh sb="0" eb="2">
      <t>キンキ</t>
    </rPh>
    <phoneticPr fontId="1"/>
  </si>
  <si>
    <t>中国・四国</t>
    <rPh sb="0" eb="2">
      <t>チュウゴク</t>
    </rPh>
    <rPh sb="3" eb="5">
      <t>シコク</t>
    </rPh>
    <phoneticPr fontId="1"/>
  </si>
  <si>
    <t>九州・沖縄</t>
    <rPh sb="0" eb="2">
      <t>キュウシュウ</t>
    </rPh>
    <rPh sb="3" eb="5">
      <t>オキナワ</t>
    </rPh>
    <phoneticPr fontId="1"/>
  </si>
  <si>
    <t>えうてるぺー</t>
    <phoneticPr fontId="1"/>
  </si>
  <si>
    <t>神秘</t>
    <rPh sb="0" eb="2">
      <t>シンピ</t>
    </rPh>
    <phoneticPr fontId="1"/>
  </si>
  <si>
    <t>幸福のメロディ</t>
    <rPh sb="0" eb="2">
      <t>コウフク</t>
    </rPh>
    <phoneticPr fontId="1"/>
  </si>
  <si>
    <t>知性派</t>
    <rPh sb="0" eb="2">
      <t>チセイ</t>
    </rPh>
    <rPh sb="2" eb="3">
      <t>ハ</t>
    </rPh>
    <phoneticPr fontId="1"/>
  </si>
  <si>
    <t>紫陽花雨情</t>
    <rPh sb="0" eb="3">
      <t>アジサイ</t>
    </rPh>
    <rPh sb="3" eb="5">
      <t>ウジョウ</t>
    </rPh>
    <phoneticPr fontId="1"/>
  </si>
  <si>
    <t>あじさいきょうごくいちこ</t>
    <phoneticPr fontId="1"/>
  </si>
  <si>
    <t>なのはな</t>
    <phoneticPr fontId="1"/>
  </si>
  <si>
    <t>名物</t>
    <rPh sb="0" eb="2">
      <t>メイブツ</t>
    </rPh>
    <phoneticPr fontId="1"/>
  </si>
  <si>
    <t>春を呼ぶ笛</t>
    <rPh sb="0" eb="1">
      <t>ハル</t>
    </rPh>
    <rPh sb="2" eb="3">
      <t>ヨ</t>
    </rPh>
    <rPh sb="4" eb="5">
      <t>フエ</t>
    </rPh>
    <phoneticPr fontId="1"/>
  </si>
  <si>
    <t>おこごのつぼね</t>
    <phoneticPr fontId="1"/>
  </si>
  <si>
    <t>姫</t>
    <rPh sb="0" eb="1">
      <t>ヒメ</t>
    </rPh>
    <phoneticPr fontId="1"/>
  </si>
  <si>
    <t>孜孜精勤</t>
    <rPh sb="0" eb="2">
      <t>シシ</t>
    </rPh>
    <rPh sb="2" eb="3">
      <t>セイ</t>
    </rPh>
    <rPh sb="3" eb="4">
      <t>キン</t>
    </rPh>
    <phoneticPr fontId="1"/>
  </si>
  <si>
    <t>タイプ神秘・飲食の防40％UP　/　所属が【中国・四国】とそれに属する県、および【全国】【西日本】の防30％UP</t>
    <rPh sb="3" eb="5">
      <t>シンピ</t>
    </rPh>
    <rPh sb="6" eb="8">
      <t>インショク</t>
    </rPh>
    <phoneticPr fontId="1"/>
  </si>
  <si>
    <t>タイプ知性派・飲食の防40％UP　/　所属が【九州・沖縄】とそれに属する県、および【全国】【西日本】の防30％UP</t>
    <rPh sb="3" eb="5">
      <t>チセイ</t>
    </rPh>
    <rPh sb="5" eb="6">
      <t>ハ</t>
    </rPh>
    <rPh sb="7" eb="9">
      <t>インショク</t>
    </rPh>
    <rPh sb="10" eb="11">
      <t>ボウ</t>
    </rPh>
    <rPh sb="51" eb="52">
      <t>ボウ</t>
    </rPh>
    <phoneticPr fontId="1"/>
  </si>
  <si>
    <t>タイプ偉人・妖怪の攻40％UP　/　所属が【近畿】とそれに属する県、および【全国】【西日本】の攻30％UP</t>
    <rPh sb="3" eb="5">
      <t>イジン</t>
    </rPh>
    <rPh sb="6" eb="8">
      <t>ヨウカイ</t>
    </rPh>
    <rPh sb="9" eb="10">
      <t>コウ</t>
    </rPh>
    <rPh sb="47" eb="48">
      <t>コウ</t>
    </rPh>
    <phoneticPr fontId="1"/>
  </si>
  <si>
    <t>タイプ武人・伝承の攻40％UP　/　所属が【中部】とそれに属する県、および【全国】【東日本】の攻30％UP</t>
    <rPh sb="3" eb="5">
      <t>ブジン</t>
    </rPh>
    <rPh sb="6" eb="8">
      <t>デンショウ</t>
    </rPh>
    <rPh sb="47" eb="48">
      <t>コウ</t>
    </rPh>
    <phoneticPr fontId="1"/>
  </si>
  <si>
    <t>おやゆびひめ</t>
    <phoneticPr fontId="1"/>
  </si>
  <si>
    <t>伝承</t>
    <rPh sb="0" eb="2">
      <t>デンショウ</t>
    </rPh>
    <phoneticPr fontId="1"/>
  </si>
  <si>
    <t>小さな姫の大冒険！</t>
    <rPh sb="0" eb="1">
      <t>チイ</t>
    </rPh>
    <rPh sb="3" eb="4">
      <t>ヒメ</t>
    </rPh>
    <rPh sb="5" eb="8">
      <t>ダイボウケン</t>
    </rPh>
    <phoneticPr fontId="1"/>
  </si>
  <si>
    <t>タイプ武人・姫の攻40％UP　/　所属が【関東】とそれに属する県、および【全国】【東日本】の攻30％UP</t>
    <rPh sb="8" eb="9">
      <t>コウ</t>
    </rPh>
    <phoneticPr fontId="1"/>
  </si>
  <si>
    <t>たたりもっけ</t>
    <phoneticPr fontId="1"/>
  </si>
  <si>
    <t>妖怪</t>
    <rPh sb="0" eb="2">
      <t>ヨウカイ</t>
    </rPh>
    <phoneticPr fontId="1"/>
  </si>
  <si>
    <t>迷い家の子供</t>
    <rPh sb="0" eb="1">
      <t>マヨ</t>
    </rPh>
    <rPh sb="2" eb="3">
      <t>イエ</t>
    </rPh>
    <rPh sb="4" eb="6">
      <t>コドモ</t>
    </rPh>
    <phoneticPr fontId="1"/>
  </si>
  <si>
    <t>防衛戦 晴天奪還！太陽求む勇将ガチャ</t>
    <rPh sb="0" eb="3">
      <t>ボウエイセン</t>
    </rPh>
    <phoneticPr fontId="1"/>
  </si>
  <si>
    <t>(DX)6/4 12:00～6/8 11:59</t>
    <phoneticPr fontId="1"/>
  </si>
  <si>
    <t>関東</t>
    <phoneticPr fontId="1"/>
  </si>
  <si>
    <t>あめひめのぎゃくしゅうほうじょうつなたか</t>
    <phoneticPr fontId="1"/>
  </si>
  <si>
    <t>武人</t>
    <phoneticPr fontId="1"/>
  </si>
  <si>
    <t>長雨に負けぬ赤備の勇</t>
    <phoneticPr fontId="1"/>
  </si>
  <si>
    <t>タイプ【姫】の攻30％UP　/　タイプ武人・伝承の攻15％UP</t>
    <phoneticPr fontId="1"/>
  </si>
  <si>
    <t>近畿</t>
    <phoneticPr fontId="1"/>
  </si>
  <si>
    <t>SR</t>
    <phoneticPr fontId="1"/>
  </si>
  <si>
    <t>おくむらしう</t>
    <phoneticPr fontId="1"/>
  </si>
  <si>
    <t>偉人</t>
    <phoneticPr fontId="1"/>
  </si>
  <si>
    <t>雨くだしませ</t>
    <phoneticPr fontId="1"/>
  </si>
  <si>
    <t>タイプ妖怪・名物の防30％UP　/　タイプ【偉人】の防10％UP</t>
    <phoneticPr fontId="1"/>
  </si>
  <si>
    <t>HR</t>
    <phoneticPr fontId="1"/>
  </si>
  <si>
    <t>無所属</t>
    <phoneticPr fontId="1"/>
  </si>
  <si>
    <t>しんせいうんでぃーね</t>
    <phoneticPr fontId="1"/>
  </si>
  <si>
    <t>神秘</t>
    <phoneticPr fontId="1"/>
  </si>
  <si>
    <t>波の乙女と恋模様</t>
    <phoneticPr fontId="1"/>
  </si>
  <si>
    <t>タイプ知性派・飲食の攻20％UP</t>
    <phoneticPr fontId="1"/>
  </si>
  <si>
    <t>宮城</t>
    <phoneticPr fontId="1"/>
  </si>
  <si>
    <t>R</t>
    <phoneticPr fontId="1"/>
  </si>
  <si>
    <t>しんせいだてしげざね</t>
    <phoneticPr fontId="1"/>
  </si>
  <si>
    <t>勇武無双の猛者</t>
    <phoneticPr fontId="1"/>
  </si>
  <si>
    <t>タイプ【姫】の防20％UP</t>
    <phoneticPr fontId="1"/>
  </si>
  <si>
    <t>天幻来迎ガチャ</t>
    <rPh sb="0" eb="1">
      <t>テン</t>
    </rPh>
    <rPh sb="1" eb="2">
      <t>ゲン</t>
    </rPh>
    <rPh sb="2" eb="4">
      <t>ライゴウ</t>
    </rPh>
    <phoneticPr fontId="1"/>
  </si>
  <si>
    <t>6/4 18:00～6/6 23:59</t>
    <phoneticPr fontId="1"/>
  </si>
  <si>
    <t>中国・四国</t>
    <phoneticPr fontId="1"/>
  </si>
  <si>
    <t>ゆうせいきょうごくいちこ</t>
    <phoneticPr fontId="1"/>
  </si>
  <si>
    <t>知性派</t>
    <phoneticPr fontId="1"/>
  </si>
  <si>
    <t>答えはふわりと風の中へ</t>
    <phoneticPr fontId="1"/>
  </si>
  <si>
    <t>タイプ神秘・飲食の防30％UP　/　タイプ【知性派】の防10％UP</t>
    <phoneticPr fontId="1"/>
  </si>
  <si>
    <t>防衛戦 英雄ガチャ</t>
    <rPh sb="0" eb="3">
      <t>ボウエイセン</t>
    </rPh>
    <rPh sb="4" eb="6">
      <t>エイユウ</t>
    </rPh>
    <phoneticPr fontId="1"/>
  </si>
  <si>
    <t>6/5 11:00～6/5 23:59</t>
    <phoneticPr fontId="1"/>
  </si>
  <si>
    <t>超防再臨ガチャ</t>
    <rPh sb="0" eb="1">
      <t>チョウ</t>
    </rPh>
    <rPh sb="1" eb="2">
      <t>ボウ</t>
    </rPh>
    <rPh sb="2" eb="4">
      <t>サイリン</t>
    </rPh>
    <phoneticPr fontId="1"/>
  </si>
  <si>
    <t>6/5 18:00～6/7 23:59</t>
    <phoneticPr fontId="1"/>
  </si>
  <si>
    <t>中部</t>
    <phoneticPr fontId="1"/>
  </si>
  <si>
    <t>そうせいきのかいん</t>
    <phoneticPr fontId="1"/>
  </si>
  <si>
    <t>伝承</t>
    <phoneticPr fontId="1"/>
  </si>
  <si>
    <t>人類最初の兄の嘘</t>
    <phoneticPr fontId="1"/>
  </si>
  <si>
    <t>タイプ伝承・武人・姫の防15％UP　/　タイプ偉人・姫・武人・伝承の攻25％DOWN</t>
    <phoneticPr fontId="1"/>
  </si>
  <si>
    <t>あらびあんぎんこ</t>
  </si>
  <si>
    <t>6/6 20:00～6/6 23:59</t>
    <phoneticPr fontId="1"/>
  </si>
  <si>
    <t>戦神ガチャ</t>
    <phoneticPr fontId="1"/>
  </si>
  <si>
    <t>6/6 11:00～6/8 23:59</t>
    <phoneticPr fontId="1"/>
  </si>
  <si>
    <t>東日本</t>
    <phoneticPr fontId="1"/>
  </si>
  <si>
    <t>きりゅうひめえいれん</t>
    <phoneticPr fontId="1"/>
  </si>
  <si>
    <t>姫</t>
    <phoneticPr fontId="1"/>
  </si>
  <si>
    <t>騎竜姫の嗜み</t>
    <phoneticPr fontId="1"/>
  </si>
  <si>
    <t>タイプ伝承・武人・姫の攻60％DOWN　/　タイプ伝承・武人・姫の防25％UP</t>
    <phoneticPr fontId="1"/>
  </si>
  <si>
    <t>復活！5進化隊士ガチャ</t>
    <phoneticPr fontId="1"/>
  </si>
  <si>
    <t>6/7 11:00～6/7 23:59</t>
    <phoneticPr fontId="1"/>
  </si>
  <si>
    <t>全国</t>
    <rPh sb="0" eb="2">
      <t>ゼンコク</t>
    </rPh>
    <phoneticPr fontId="1"/>
  </si>
  <si>
    <t>東日本</t>
    <rPh sb="0" eb="1">
      <t>ヒガシ</t>
    </rPh>
    <rPh sb="1" eb="3">
      <t>ニホン</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</si>
  <si>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</si>
  <si>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</si>
  <si>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</si>
  <si>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</si>
  <si>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わいしゃつあかいてるこ</t>
    <phoneticPr fontId="1"/>
  </si>
  <si>
    <t>武人</t>
    <phoneticPr fontId="1"/>
  </si>
  <si>
    <t>白き衣の戦乙女</t>
    <phoneticPr fontId="1"/>
  </si>
  <si>
    <t>タイプ伝承・武人・姫の攻20％UP</t>
    <phoneticPr fontId="1"/>
  </si>
  <si>
    <t>タイプ姫・伝承の攻17％UP</t>
    <phoneticPr fontId="1"/>
  </si>
  <si>
    <t>タイプ姫・伝承の攻12％UP</t>
    <phoneticPr fontId="1"/>
  </si>
  <si>
    <t>はくいのてんしおぎのぎんこ</t>
    <phoneticPr fontId="1"/>
  </si>
  <si>
    <t>知性派</t>
    <phoneticPr fontId="1"/>
  </si>
  <si>
    <t>道を拓く天使の信念</t>
    <phoneticPr fontId="1"/>
  </si>
  <si>
    <t>タイプ神秘・飲食の攻25％UP　/　タイプ【知性派】の攻10％UP</t>
    <phoneticPr fontId="1"/>
  </si>
  <si>
    <t>タイプ神秘・飲食の攻12％UP　/　タイプ【知性派】の攻10％UP</t>
    <phoneticPr fontId="1"/>
  </si>
  <si>
    <t>タイプ神秘・飲食の攻10％UP　/　タイプ【知性派】の攻5％UP</t>
    <phoneticPr fontId="1"/>
  </si>
  <si>
    <t>むつむねみつ</t>
    <phoneticPr fontId="1"/>
  </si>
  <si>
    <t>偉人</t>
    <phoneticPr fontId="1"/>
  </si>
  <si>
    <t>電光石火のカミソリ大臣</t>
    <phoneticPr fontId="1"/>
  </si>
  <si>
    <t>タイプ妖怪・名物の攻30％UP　/　タイプ【偉人】の攻20％UP</t>
    <phoneticPr fontId="1"/>
  </si>
  <si>
    <t>タイプ妖怪・名物の攻50％UP　/　タイプ【偉人】の攻35％UP</t>
    <phoneticPr fontId="1"/>
  </si>
  <si>
    <t>タイプ妖怪・名物の攻25％UP　/　タイプ【偉人】の攻10％UP</t>
    <phoneticPr fontId="1"/>
  </si>
  <si>
    <t>天撃皆伝ガチャ</t>
    <rPh sb="0" eb="1">
      <t>テン</t>
    </rPh>
    <rPh sb="1" eb="2">
      <t>ゲキ</t>
    </rPh>
    <rPh sb="2" eb="4">
      <t>カイデン</t>
    </rPh>
    <phoneticPr fontId="1"/>
  </si>
  <si>
    <t>6/7 18:00～6/9 23:59</t>
    <phoneticPr fontId="1"/>
  </si>
  <si>
    <t>(DX)6/8 12:00～6/14 11:59</t>
    <phoneticPr fontId="1"/>
  </si>
  <si>
    <t>四神戦 晴れのち快晴！乙女の天気予報ガチャ</t>
    <rPh sb="0" eb="1">
      <t>ヨン</t>
    </rPh>
    <rPh sb="1" eb="2">
      <t>シン</t>
    </rPh>
    <rPh sb="2" eb="3">
      <t>セン</t>
    </rPh>
    <phoneticPr fontId="1"/>
  </si>
  <si>
    <t>中部</t>
    <phoneticPr fontId="1"/>
  </si>
  <si>
    <t>SSR</t>
    <phoneticPr fontId="1"/>
  </si>
  <si>
    <t>SR</t>
    <phoneticPr fontId="1"/>
  </si>
  <si>
    <t>HR</t>
    <phoneticPr fontId="1"/>
  </si>
  <si>
    <t>R</t>
    <phoneticPr fontId="1"/>
  </si>
  <si>
    <t>おてんきのおねえさんまつしたおとめ</t>
    <phoneticPr fontId="1"/>
  </si>
  <si>
    <t>姫</t>
    <phoneticPr fontId="1"/>
  </si>
  <si>
    <t>無敗に導く天気予報</t>
    <phoneticPr fontId="1"/>
  </si>
  <si>
    <t>タイプ【武人】の攻95％UP　/　タイプ姫・伝承の攻20％UP</t>
    <phoneticPr fontId="1"/>
  </si>
  <si>
    <t>九州・沖縄</t>
    <phoneticPr fontId="1"/>
  </si>
  <si>
    <t>しんせいひのひかりちゃん</t>
    <phoneticPr fontId="1"/>
  </si>
  <si>
    <t>飲食</t>
    <phoneticPr fontId="1"/>
  </si>
  <si>
    <t>艶めく太陽の血統</t>
    <phoneticPr fontId="1"/>
  </si>
  <si>
    <t>タイプ神秘・知性派の防30％UP　/　タイプ【飲食】の防10％UP</t>
    <phoneticPr fontId="1"/>
  </si>
  <si>
    <t>しんせいこくうだいこ</t>
    <phoneticPr fontId="1"/>
  </si>
  <si>
    <t>妖怪</t>
    <phoneticPr fontId="1"/>
  </si>
  <si>
    <t>悲しみの虚空太鼓</t>
    <phoneticPr fontId="1"/>
  </si>
  <si>
    <t>タイプ偉人・名物の攻20％UP</t>
    <phoneticPr fontId="1"/>
  </si>
  <si>
    <t>しんせいあさぎ</t>
    <phoneticPr fontId="1"/>
  </si>
  <si>
    <t>伝承</t>
    <phoneticPr fontId="1"/>
  </si>
  <si>
    <t>長距離飛行の渡り蝶</t>
    <phoneticPr fontId="1"/>
  </si>
  <si>
    <t>タイプ【姫】の防20％UP</t>
    <phoneticPr fontId="1"/>
  </si>
  <si>
    <t>豪華玉手箱ガチャ</t>
    <rPh sb="0" eb="2">
      <t>ゴウカ</t>
    </rPh>
    <rPh sb="2" eb="5">
      <t>タマテバコ</t>
    </rPh>
    <phoneticPr fontId="1"/>
  </si>
  <si>
    <t>6/8 15:00～6/8 23:59</t>
    <phoneticPr fontId="1"/>
  </si>
  <si>
    <t>6/9 12:00～6/14 11:59</t>
    <phoneticPr fontId="1"/>
  </si>
  <si>
    <t>SSR</t>
    <phoneticPr fontId="1"/>
  </si>
  <si>
    <t>SR</t>
    <phoneticPr fontId="1"/>
  </si>
  <si>
    <t>5進</t>
    <rPh sb="1" eb="2">
      <t>シン</t>
    </rPh>
    <phoneticPr fontId="1"/>
  </si>
  <si>
    <t>3進</t>
    <rPh sb="1" eb="2">
      <t>シン</t>
    </rPh>
    <phoneticPr fontId="1"/>
  </si>
  <si>
    <t>1進</t>
    <rPh sb="1" eb="2">
      <t>シン</t>
    </rPh>
    <phoneticPr fontId="1"/>
  </si>
  <si>
    <t>全国</t>
    <rPh sb="0" eb="2">
      <t>ゼンコク</t>
    </rPh>
    <phoneticPr fontId="1"/>
  </si>
  <si>
    <t>西日本</t>
    <rPh sb="0" eb="1">
      <t>ニシ</t>
    </rPh>
    <rPh sb="1" eb="3">
      <t>ニホン</t>
    </rPh>
    <phoneticPr fontId="1"/>
  </si>
  <si>
    <t>せいざしおまねき</t>
    <phoneticPr fontId="1"/>
  </si>
  <si>
    <t>名物</t>
    <phoneticPr fontId="1"/>
  </si>
  <si>
    <t>シザーウェービング</t>
    <phoneticPr fontId="1"/>
  </si>
  <si>
    <t>タイプ偉人・妖怪の攻40％UP　/　タイプ【名物】の攻25％UP</t>
    <phoneticPr fontId="1"/>
  </si>
  <si>
    <t>タイプ偉人・妖怪の攻30％UP　/　タイプ【名物】の攻15％UP</t>
    <phoneticPr fontId="1"/>
  </si>
  <si>
    <t>タイプ偉人・妖怪の攻15％UP　/　タイプ【名物】の攻10％UP</t>
    <phoneticPr fontId="1"/>
  </si>
  <si>
    <t>6/9 18:00～6/9 21:59</t>
    <phoneticPr fontId="1"/>
  </si>
  <si>
    <t>四神戦 英雄ガチャ</t>
    <rPh sb="0" eb="1">
      <t>ヨン</t>
    </rPh>
    <rPh sb="1" eb="2">
      <t>シン</t>
    </rPh>
    <rPh sb="2" eb="3">
      <t>セン</t>
    </rPh>
    <rPh sb="4" eb="6">
      <t>エイユウ</t>
    </rPh>
    <phoneticPr fontId="1"/>
  </si>
  <si>
    <t>6/10 11:00～6/10 23:59</t>
    <phoneticPr fontId="1"/>
  </si>
  <si>
    <t>古豪戦傑ガチャ</t>
    <rPh sb="0" eb="2">
      <t>コゴウ</t>
    </rPh>
    <rPh sb="2" eb="3">
      <t>セン</t>
    </rPh>
    <rPh sb="3" eb="4">
      <t>ケツ</t>
    </rPh>
    <phoneticPr fontId="1"/>
  </si>
  <si>
    <t>6/10 18:00～6/12 23:59</t>
    <phoneticPr fontId="1"/>
  </si>
  <si>
    <t>SSR</t>
    <phoneticPr fontId="1"/>
  </si>
  <si>
    <t>SR</t>
    <phoneticPr fontId="1"/>
  </si>
  <si>
    <t>東日本</t>
    <rPh sb="0" eb="1">
      <t>ヒガシ</t>
    </rPh>
    <rPh sb="1" eb="3">
      <t>ニホン</t>
    </rPh>
    <phoneticPr fontId="1"/>
  </si>
  <si>
    <t>つきみざけなかのたけこ</t>
    <phoneticPr fontId="1"/>
  </si>
  <si>
    <t>武人</t>
    <phoneticPr fontId="1"/>
  </si>
  <si>
    <t>会津の烈女</t>
    <phoneticPr fontId="1"/>
  </si>
  <si>
    <t>タイプ姫・伝承の攻25％UP　/　タイプ【武人】の攻10％UP</t>
    <phoneticPr fontId="1"/>
  </si>
  <si>
    <t>こんじゃくひゃっきしゅういばしょうのせい</t>
    <phoneticPr fontId="1"/>
  </si>
  <si>
    <t>西日本</t>
    <rPh sb="0" eb="1">
      <t>ニシ</t>
    </rPh>
    <rPh sb="1" eb="3">
      <t>ニホン</t>
    </rPh>
    <phoneticPr fontId="1"/>
  </si>
  <si>
    <t>妖怪</t>
    <phoneticPr fontId="1"/>
  </si>
  <si>
    <t>その姿に化かされて</t>
    <phoneticPr fontId="1"/>
  </si>
  <si>
    <t>タイプ偉人・名物の防45％UP　/　タイプ【妖怪】の防15％UP</t>
    <phoneticPr fontId="1"/>
  </si>
  <si>
    <t>いくさわくの</t>
    <phoneticPr fontId="1"/>
  </si>
  <si>
    <t>知性派</t>
    <phoneticPr fontId="1"/>
  </si>
  <si>
    <t>通例を破壊せし女医の開拓者</t>
    <phoneticPr fontId="1"/>
  </si>
  <si>
    <t>タイプ神秘・知性派・飲食の攻40％UP　/　タイプ神秘・知性派・飲食の防10％DOWN</t>
    <phoneticPr fontId="1"/>
  </si>
  <si>
    <t>関東</t>
    <phoneticPr fontId="1"/>
  </si>
  <si>
    <t>あめのふとだまのみこと</t>
    <phoneticPr fontId="1"/>
  </si>
  <si>
    <t>神秘</t>
    <phoneticPr fontId="1"/>
  </si>
  <si>
    <t>天命のままに占いし神</t>
    <phoneticPr fontId="1"/>
  </si>
  <si>
    <t>タイプ【知性派】の攻55％UP　/　タイプ【神秘】の攻15％UP</t>
    <phoneticPr fontId="1"/>
  </si>
  <si>
    <t>みくにぐろほんだただかつ</t>
    <phoneticPr fontId="1"/>
  </si>
  <si>
    <t>戦国最強の人馬一体</t>
    <phoneticPr fontId="1"/>
  </si>
  <si>
    <t>タイプ【姫】の攻45％UP　/　タイプ【武人】の攻15％UP</t>
    <phoneticPr fontId="1"/>
  </si>
  <si>
    <t>かんのんやまこふん</t>
    <phoneticPr fontId="1"/>
  </si>
  <si>
    <t>名物</t>
    <phoneticPr fontId="1"/>
  </si>
  <si>
    <t>東国屈指の豪族が眠りし跡</t>
    <phoneticPr fontId="1"/>
  </si>
  <si>
    <t>タイプ【妖怪】の攻35％UP　/　タイプ知性派・名物の攻25％UP</t>
    <phoneticPr fontId="1"/>
  </si>
  <si>
    <t>祝来！宝船福引ガチャ</t>
    <rPh sb="0" eb="1">
      <t>シュク</t>
    </rPh>
    <rPh sb="1" eb="2">
      <t>ライ</t>
    </rPh>
    <rPh sb="3" eb="5">
      <t>タカラブネ</t>
    </rPh>
    <rPh sb="5" eb="7">
      <t>フクビキ</t>
    </rPh>
    <phoneticPr fontId="1"/>
  </si>
  <si>
    <t>6/11 12:00～6/12 11:59</t>
    <phoneticPr fontId="1"/>
  </si>
  <si>
    <t>超攻再臨ガチャ</t>
    <rPh sb="0" eb="1">
      <t>チョウ</t>
    </rPh>
    <rPh sb="1" eb="2">
      <t>コウ</t>
    </rPh>
    <rPh sb="2" eb="4">
      <t>サイリン</t>
    </rPh>
    <phoneticPr fontId="1"/>
  </si>
  <si>
    <t>6/11 18:00～6/13 23:59</t>
    <phoneticPr fontId="1"/>
  </si>
  <si>
    <t>なだのさけ</t>
    <phoneticPr fontId="1"/>
  </si>
  <si>
    <t>飲食</t>
    <phoneticPr fontId="1"/>
  </si>
  <si>
    <t>江戸っ子愛する灘の酒</t>
    <phoneticPr fontId="1"/>
  </si>
  <si>
    <t>タイプ神秘・知性派の攻40％UP　/　タイプ【飲食】の攻25％UP</t>
    <phoneticPr fontId="1"/>
  </si>
  <si>
    <t>タイプ伝承・武人・姫の攻15％UP　/　タイプ神秘・飲食・知性派・武人の防25％DOWN</t>
    <phoneticPr fontId="1"/>
  </si>
  <si>
    <t>中部</t>
    <phoneticPr fontId="1"/>
  </si>
  <si>
    <t>きゅーぴっどおだいのかた</t>
    <phoneticPr fontId="1"/>
  </si>
  <si>
    <t>偉人</t>
    <phoneticPr fontId="1"/>
  </si>
  <si>
    <t>当たれば恋に落とせし愛の矢</t>
    <phoneticPr fontId="1"/>
  </si>
  <si>
    <t>タイプ偉人・妖怪・名物の攻45％UP</t>
    <phoneticPr fontId="1"/>
  </si>
  <si>
    <t>6/12 20:00～6/12 23:59</t>
    <phoneticPr fontId="1"/>
  </si>
  <si>
    <t>戦神ガチャ</t>
    <rPh sb="0" eb="2">
      <t>センシン</t>
    </rPh>
    <phoneticPr fontId="1"/>
  </si>
  <si>
    <t>6/12 11:00～6/14 23:59</t>
    <phoneticPr fontId="1"/>
  </si>
  <si>
    <t>西日本</t>
    <phoneticPr fontId="1"/>
  </si>
  <si>
    <t>もるがんおゆき</t>
    <phoneticPr fontId="1"/>
  </si>
  <si>
    <t>知性派</t>
    <phoneticPr fontId="1"/>
  </si>
  <si>
    <t>京都を救ったシンデレラ</t>
    <phoneticPr fontId="1"/>
  </si>
  <si>
    <t>タイプ神秘・知性派・飲食の攻30％UP　/　タイプ知性派・飲食の防10％DOWN</t>
    <phoneticPr fontId="1"/>
  </si>
  <si>
    <t>怒涛厳瀑</t>
    <phoneticPr fontId="1"/>
  </si>
  <si>
    <t>敵単体に一定割合で連続攻撃をする</t>
    <phoneticPr fontId="1"/>
  </si>
  <si>
    <t>西日本→全国</t>
    <rPh sb="0" eb="1">
      <t>ニシ</t>
    </rPh>
    <rPh sb="1" eb="3">
      <t>ニホン</t>
    </rPh>
    <phoneticPr fontId="1"/>
  </si>
  <si>
    <t>いがまりあ</t>
    <phoneticPr fontId="1"/>
  </si>
  <si>
    <t>姫</t>
    <phoneticPr fontId="1"/>
  </si>
  <si>
    <t>その祈りは海を越えて</t>
    <phoneticPr fontId="1"/>
  </si>
  <si>
    <t>タイプ飲食・武人の攻60％UP　/　タイプ姫・伝承の攻30％UP</t>
    <phoneticPr fontId="1"/>
  </si>
  <si>
    <t>豪華玉手箱ガチャ</t>
    <rPh sb="0" eb="2">
      <t>ゴウカ</t>
    </rPh>
    <rPh sb="2" eb="5">
      <t>タマテバコ</t>
    </rPh>
    <phoneticPr fontId="1"/>
  </si>
  <si>
    <t>6/13 15:00～6/13 23:59</t>
    <phoneticPr fontId="1"/>
  </si>
  <si>
    <t>6/13 18:00～6/13 21:59</t>
    <phoneticPr fontId="1"/>
  </si>
  <si>
    <t>サイコロ行脚 想いよ届け！父への感謝ガチャ</t>
    <rPh sb="4" eb="6">
      <t>アンギャ</t>
    </rPh>
    <phoneticPr fontId="1"/>
  </si>
  <si>
    <t>(DX)6/14 12:00～6/21 11:59</t>
    <phoneticPr fontId="1"/>
  </si>
  <si>
    <t>SR</t>
    <phoneticPr fontId="1"/>
  </si>
  <si>
    <t>HR</t>
    <phoneticPr fontId="1"/>
  </si>
  <si>
    <t>R</t>
    <phoneticPr fontId="1"/>
  </si>
  <si>
    <t>中国・四国</t>
    <phoneticPr fontId="1"/>
  </si>
  <si>
    <t>ちちのひあかしれじーな</t>
    <phoneticPr fontId="1"/>
  </si>
  <si>
    <t>偉人</t>
    <phoneticPr fontId="1"/>
  </si>
  <si>
    <t>敬虔な父への感謝</t>
    <phoneticPr fontId="1"/>
  </si>
  <si>
    <t>タイプ【名物】の攻75％UP　/　タイプ偉人・妖怪の攻30％UP</t>
    <phoneticPr fontId="1"/>
  </si>
  <si>
    <t>九州・沖縄</t>
    <phoneticPr fontId="1"/>
  </si>
  <si>
    <t>しんせいびあほーるももとふみあがり</t>
    <phoneticPr fontId="1"/>
  </si>
  <si>
    <t>姫</t>
    <phoneticPr fontId="1"/>
  </si>
  <si>
    <t>溢れだす女王の気高さ</t>
    <phoneticPr fontId="1"/>
  </si>
  <si>
    <t>タイプ武人・伝承の防30％UP　/　タイプ【姫】の防10％UP</t>
    <phoneticPr fontId="1"/>
  </si>
  <si>
    <t>無所属</t>
    <phoneticPr fontId="1"/>
  </si>
  <si>
    <t>しんせいちちのひちゃん</t>
    <phoneticPr fontId="1"/>
  </si>
  <si>
    <t>名物</t>
    <phoneticPr fontId="1"/>
  </si>
  <si>
    <t>お父さんありがとう</t>
    <phoneticPr fontId="1"/>
  </si>
  <si>
    <t>タイプ偉人・妖怪の攻20％UP</t>
    <phoneticPr fontId="1"/>
  </si>
  <si>
    <t>山形</t>
    <phoneticPr fontId="1"/>
  </si>
  <si>
    <t>しんせいかれいなるきし</t>
    <phoneticPr fontId="1"/>
  </si>
  <si>
    <t>知性派</t>
    <phoneticPr fontId="1"/>
  </si>
  <si>
    <t>駒と鍵盤の競演</t>
    <phoneticPr fontId="1"/>
  </si>
  <si>
    <t>タイプ【飲食】の防20％UP</t>
    <phoneticPr fontId="1"/>
  </si>
  <si>
    <t>超防再臨ガチャ</t>
    <rPh sb="0" eb="1">
      <t>チョウ</t>
    </rPh>
    <rPh sb="1" eb="2">
      <t>ボウ</t>
    </rPh>
    <rPh sb="2" eb="4">
      <t>サイリン</t>
    </rPh>
    <phoneticPr fontId="1"/>
  </si>
  <si>
    <t>6/14 18:00～6/16 23:59</t>
    <phoneticPr fontId="1"/>
  </si>
  <si>
    <t>近畿</t>
    <phoneticPr fontId="1"/>
  </si>
  <si>
    <t>みなかたくまぐす</t>
    <phoneticPr fontId="1"/>
  </si>
  <si>
    <t>歩く百科事典</t>
    <phoneticPr fontId="1"/>
  </si>
  <si>
    <t>タイプ神秘・知性派・飲食の防40％UP　/　タイプ神秘・知性派・飲食の攻10％DOWN</t>
    <phoneticPr fontId="1"/>
  </si>
  <si>
    <t>6/15 12:00～6/20 22:59</t>
    <phoneticPr fontId="1"/>
  </si>
  <si>
    <t>SSR</t>
    <phoneticPr fontId="1"/>
  </si>
  <si>
    <t>SR</t>
    <phoneticPr fontId="1"/>
  </si>
  <si>
    <t>5進</t>
    <rPh sb="1" eb="2">
      <t>シン</t>
    </rPh>
    <phoneticPr fontId="1"/>
  </si>
  <si>
    <t>3進</t>
    <rPh sb="1" eb="2">
      <t>シン</t>
    </rPh>
    <phoneticPr fontId="1"/>
  </si>
  <si>
    <t>1進</t>
    <rPh sb="1" eb="2">
      <t>シン</t>
    </rPh>
    <phoneticPr fontId="1"/>
  </si>
  <si>
    <t>全国</t>
    <rPh sb="0" eb="2">
      <t>ゼンコク</t>
    </rPh>
    <phoneticPr fontId="1"/>
  </si>
  <si>
    <t>東日本</t>
    <rPh sb="0" eb="1">
      <t>ヒガシ</t>
    </rPh>
    <rPh sb="1" eb="3">
      <t>ニホン</t>
    </rPh>
    <phoneticPr fontId="1"/>
  </si>
  <si>
    <t>べるざんでぃ</t>
    <phoneticPr fontId="1"/>
  </si>
  <si>
    <t>神秘</t>
    <phoneticPr fontId="1"/>
  </si>
  <si>
    <t>定められし運命の糸</t>
    <phoneticPr fontId="1"/>
  </si>
  <si>
    <t>タイプ【飲食】の攻85％UP　/　タイプ神秘・知性派の攻25％UP</t>
    <phoneticPr fontId="1"/>
  </si>
  <si>
    <t>タイプ【飲食】の攻60％UP　/　タイプ神秘・知性派の攻20％UP</t>
    <phoneticPr fontId="1"/>
  </si>
  <si>
    <t>タイプ【飲食】の攻45％UP　/　タイプ【神秘】の攻15％UP</t>
    <phoneticPr fontId="1"/>
  </si>
  <si>
    <t>6/15 15:00～6/16 23:59</t>
    <phoneticPr fontId="1"/>
  </si>
  <si>
    <t>中国・四国</t>
    <phoneticPr fontId="1"/>
  </si>
  <si>
    <t>しんせいゆかたねこだぬき</t>
    <phoneticPr fontId="1"/>
  </si>
  <si>
    <t>妖怪</t>
    <phoneticPr fontId="1"/>
  </si>
  <si>
    <t>屋台に化かされるひととき</t>
    <phoneticPr fontId="1"/>
  </si>
  <si>
    <t>タイプ偉人・名物の攻30％UP　/　タイプ【妖怪】の攻10％UP</t>
    <phoneticPr fontId="1"/>
  </si>
  <si>
    <t>サイコロ行脚 英雄ガチャ</t>
    <rPh sb="4" eb="6">
      <t>アンギャ</t>
    </rPh>
    <rPh sb="7" eb="9">
      <t>エイユウ</t>
    </rPh>
    <phoneticPr fontId="1"/>
  </si>
  <si>
    <t>6/16 11:00～6/16 23:59</t>
    <phoneticPr fontId="1"/>
  </si>
  <si>
    <t>天撃皆伝ガチャ</t>
    <rPh sb="0" eb="4">
      <t>テンゲキカイデン</t>
    </rPh>
    <phoneticPr fontId="1"/>
  </si>
  <si>
    <t>6/16 18:00～6/18 23:59</t>
    <phoneticPr fontId="1"/>
  </si>
  <si>
    <t>6/17 18:00～6/17 21:59</t>
    <phoneticPr fontId="1"/>
  </si>
  <si>
    <t>戦神ガチャ</t>
    <rPh sb="0" eb="2">
      <t>センシン</t>
    </rPh>
    <phoneticPr fontId="1"/>
  </si>
  <si>
    <t>6/17 11:00～6/19 23:59</t>
    <phoneticPr fontId="1"/>
  </si>
  <si>
    <t>復活！5進化隊士ガチャ</t>
    <rPh sb="0" eb="2">
      <t>フッカツ</t>
    </rPh>
    <rPh sb="4" eb="6">
      <t>シンカ</t>
    </rPh>
    <rPh sb="6" eb="8">
      <t>タイシ</t>
    </rPh>
    <phoneticPr fontId="1"/>
  </si>
  <si>
    <t>6/18 11:00～6/18 23:59</t>
    <phoneticPr fontId="1"/>
  </si>
  <si>
    <t>SSR</t>
    <phoneticPr fontId="1"/>
  </si>
  <si>
    <t>SR</t>
    <phoneticPr fontId="1"/>
  </si>
  <si>
    <t>全国</t>
    <rPh sb="0" eb="2">
      <t>ゼンコク</t>
    </rPh>
    <phoneticPr fontId="1"/>
  </si>
  <si>
    <t>東日本</t>
    <rPh sb="0" eb="1">
      <t>ヒガシ</t>
    </rPh>
    <rPh sb="1" eb="3">
      <t>ニホン</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</si>
  <si>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</si>
  <si>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</si>
  <si>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</si>
  <si>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</si>
  <si>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わいしゃつたまごかけごはんちゃん</t>
    <phoneticPr fontId="1"/>
  </si>
  <si>
    <t>飲食</t>
    <phoneticPr fontId="1"/>
  </si>
  <si>
    <t>目覚めの特効薬TKG</t>
    <phoneticPr fontId="1"/>
  </si>
  <si>
    <t>タイプ神秘・知性派の攻25％UP　/　タイプ【飲食】の攻10％UP</t>
    <phoneticPr fontId="1"/>
  </si>
  <si>
    <t>タイプ神秘・知性派の攻12％UP　/　タイプ【飲食】の攻10％UP</t>
    <phoneticPr fontId="1"/>
  </si>
  <si>
    <t>タイプ神秘・知性派の攻10％UP　/　タイプ【飲食】の攻5％UP</t>
    <phoneticPr fontId="1"/>
  </si>
  <si>
    <t>ゆけむりごりゅうのつぼね</t>
    <phoneticPr fontId="1"/>
  </si>
  <si>
    <t>姫</t>
    <phoneticPr fontId="1"/>
  </si>
  <si>
    <t>秘湯とお酒で大開放♪</t>
    <phoneticPr fontId="1"/>
  </si>
  <si>
    <t>タイプ【武人】の防85％UP　/　タイプ姫・伝承の防25％UP</t>
    <phoneticPr fontId="1"/>
  </si>
  <si>
    <t>タイプ【武人】の防60％UP　/　タイプ姫・伝承の防20％UP</t>
    <phoneticPr fontId="1"/>
  </si>
  <si>
    <t>タイプ【武人】の防45％UP　/　タイプ【姫】の防15％UP</t>
    <phoneticPr fontId="1"/>
  </si>
  <si>
    <t>やわたうま</t>
    <phoneticPr fontId="1"/>
  </si>
  <si>
    <t>名物</t>
    <phoneticPr fontId="1"/>
  </si>
  <si>
    <t>込められた愛馬への祈り</t>
    <phoneticPr fontId="1"/>
  </si>
  <si>
    <t>タイプ偉人・妖怪・名物の防25％UP　/　タイプ伝承・武人・姫の攻40％DOWN</t>
    <phoneticPr fontId="1"/>
  </si>
  <si>
    <t>タイプ偉人・妖怪・名物の防15％UP　/　タイプ伝承・武人・姫の攻25％DOWN</t>
    <phoneticPr fontId="1"/>
  </si>
  <si>
    <t>タイプ偉人・妖怪・名物の防10％UP　/　タイプ伝承・武人・姫の攻10％DOWN</t>
    <phoneticPr fontId="1"/>
  </si>
  <si>
    <t>天幻来迎ガチャ</t>
    <phoneticPr fontId="1"/>
  </si>
  <si>
    <t>6/18 18:00～6/20 23:59</t>
    <phoneticPr fontId="1"/>
  </si>
  <si>
    <t>近畿</t>
    <phoneticPr fontId="1"/>
  </si>
  <si>
    <t>きゅーぴっどほいほいび</t>
    <phoneticPr fontId="1"/>
  </si>
  <si>
    <t>妖怪</t>
    <phoneticPr fontId="1"/>
  </si>
  <si>
    <t>アッと驚く恋の始まり</t>
    <phoneticPr fontId="1"/>
  </si>
  <si>
    <t>タイプ偉人・名物の攻30％UP　/　タイプ【妖怪】の攻10％UP</t>
    <phoneticPr fontId="1"/>
  </si>
  <si>
    <t>北海道・東北</t>
    <phoneticPr fontId="1"/>
  </si>
  <si>
    <t>いんとんなんぶつるひめ</t>
    <phoneticPr fontId="1"/>
  </si>
  <si>
    <t>闇夜に溶ける人生の選択</t>
    <phoneticPr fontId="1"/>
  </si>
  <si>
    <t>タイプ武人・伝承の防30％UP　/　タイプ【姫】の防10％UP</t>
    <phoneticPr fontId="1"/>
  </si>
  <si>
    <t>豪華玉手箱ガチャ</t>
    <phoneticPr fontId="1"/>
  </si>
  <si>
    <t>6/19 15:00～6/19 23:59</t>
    <phoneticPr fontId="1"/>
  </si>
  <si>
    <t>古豪戦傑ガチャ</t>
    <rPh sb="0" eb="2">
      <t>コゴウ</t>
    </rPh>
    <rPh sb="2" eb="3">
      <t>セン</t>
    </rPh>
    <rPh sb="3" eb="4">
      <t>ケツ</t>
    </rPh>
    <phoneticPr fontId="1"/>
  </si>
  <si>
    <t>6/19 18:00～6/21 23:59</t>
    <phoneticPr fontId="1"/>
  </si>
  <si>
    <t>関東</t>
    <phoneticPr fontId="1"/>
  </si>
  <si>
    <t>いんろうべんとうちゃん</t>
    <phoneticPr fontId="1"/>
  </si>
  <si>
    <t>飲食</t>
    <phoneticPr fontId="1"/>
  </si>
  <si>
    <t>この重箱が目に入らぬかっ！</t>
    <phoneticPr fontId="1"/>
  </si>
  <si>
    <t>タイプ神秘・知性派の防30％UP　/　タイプ【飲食】の防20％UP</t>
    <phoneticPr fontId="1"/>
  </si>
  <si>
    <t>東日本</t>
    <phoneticPr fontId="1"/>
  </si>
  <si>
    <t>しょくぎょうたいけんりゅうぐうのつかい</t>
    <phoneticPr fontId="1"/>
  </si>
  <si>
    <t>神秘</t>
    <phoneticPr fontId="1"/>
  </si>
  <si>
    <t>ショクギョウタイケンノツカイ</t>
    <phoneticPr fontId="1"/>
  </si>
  <si>
    <t>タイプ知性派・飲食の防50％UP　/　タイプ【神秘】の防35％UP</t>
    <phoneticPr fontId="1"/>
  </si>
  <si>
    <t>西日本</t>
    <phoneticPr fontId="1"/>
  </si>
  <si>
    <t>しがらきやき</t>
    <phoneticPr fontId="1"/>
  </si>
  <si>
    <t>名物</t>
    <phoneticPr fontId="1"/>
  </si>
  <si>
    <t>伝統繋ぐ侘び寂びの趣</t>
    <phoneticPr fontId="1"/>
  </si>
  <si>
    <t>タイプ偉人・妖怪・名物の攻35％UP　/　タイプ偉人・妖怪・名物の防10％DOWN</t>
    <phoneticPr fontId="1"/>
  </si>
  <si>
    <t>くまのじんじゃのかみまい</t>
    <phoneticPr fontId="1"/>
  </si>
  <si>
    <t>伝承</t>
    <phoneticPr fontId="1"/>
  </si>
  <si>
    <t>太神之神楽</t>
    <phoneticPr fontId="1"/>
  </si>
  <si>
    <t>タイプ伝承・武人・姫の防30％UP　/　タイプ武人・姫・伝承・飲食の攻13％DOWN</t>
    <phoneticPr fontId="1"/>
  </si>
  <si>
    <t>6/20 20:00～6/20 23:59</t>
    <phoneticPr fontId="1"/>
  </si>
  <si>
    <t>祝来！宝船福引ガチャ</t>
    <rPh sb="0" eb="1">
      <t>シュク</t>
    </rPh>
    <rPh sb="1" eb="2">
      <t>ライ</t>
    </rPh>
    <rPh sb="3" eb="7">
      <t>タカラブネフクビキ</t>
    </rPh>
    <phoneticPr fontId="1"/>
  </si>
  <si>
    <t>6/20 12:00～6/21 11:59</t>
    <phoneticPr fontId="1"/>
  </si>
  <si>
    <t>戦神ガチャ</t>
    <rPh sb="0" eb="2">
      <t>センシン</t>
    </rPh>
    <phoneticPr fontId="1"/>
  </si>
  <si>
    <t>6/21 11:00～6/23 11:59</t>
    <phoneticPr fontId="1"/>
  </si>
  <si>
    <t>超攻撃ガチャ</t>
    <rPh sb="0" eb="1">
      <t>チョウ</t>
    </rPh>
    <rPh sb="1" eb="3">
      <t>コウゲキ</t>
    </rPh>
    <phoneticPr fontId="1"/>
  </si>
  <si>
    <t>6/21 12:00～6/25 11:59</t>
    <phoneticPr fontId="1"/>
  </si>
  <si>
    <t>九州・沖縄</t>
    <phoneticPr fontId="1"/>
  </si>
  <si>
    <t>つゆろまんたつくちなわ</t>
    <phoneticPr fontId="1"/>
  </si>
  <si>
    <t>妖怪</t>
    <phoneticPr fontId="1"/>
  </si>
  <si>
    <t>雨の小さな期待</t>
    <phoneticPr fontId="1"/>
  </si>
  <si>
    <t>タイプ【名物】の攻30％UP　/　タイプ偉人・妖怪の攻15％UP</t>
    <phoneticPr fontId="1"/>
  </si>
  <si>
    <t>中国・四国</t>
    <phoneticPr fontId="1"/>
  </si>
  <si>
    <t>くまのくすびのみこと</t>
    <phoneticPr fontId="1"/>
  </si>
  <si>
    <t>神秘</t>
    <phoneticPr fontId="1"/>
  </si>
  <si>
    <t>母の物実に祈れば</t>
    <phoneticPr fontId="1"/>
  </si>
  <si>
    <t>タイプ神秘・知性派・飲食の攻30％UP　/　タイプ偉人・妖怪・名物の防50％DOWN</t>
    <phoneticPr fontId="1"/>
  </si>
  <si>
    <t>関東</t>
    <phoneticPr fontId="1"/>
  </si>
  <si>
    <t>ねんまつおおそうじちばえいじろう</t>
    <phoneticPr fontId="1"/>
  </si>
  <si>
    <t>武人</t>
    <phoneticPr fontId="1"/>
  </si>
  <si>
    <t>小天狗の大掃除</t>
    <phoneticPr fontId="1"/>
  </si>
  <si>
    <t>タイプ姫・伝承の攻25％UP　/　タイプ【武人】の攻10％UP</t>
    <phoneticPr fontId="1"/>
  </si>
  <si>
    <t>豪華玉手箱ガチャ</t>
    <rPh sb="0" eb="5">
      <t>ゴウカタマテバコ</t>
    </rPh>
    <phoneticPr fontId="1"/>
  </si>
  <si>
    <t>6/22 15:00～6/22 23:59</t>
    <phoneticPr fontId="1"/>
  </si>
  <si>
    <t>6/22 18:00～6/22 21:59</t>
    <phoneticPr fontId="1"/>
  </si>
  <si>
    <t>超防御ガチャ</t>
    <rPh sb="0" eb="1">
      <t>チョウ</t>
    </rPh>
    <rPh sb="1" eb="3">
      <t>ボウギョ</t>
    </rPh>
    <phoneticPr fontId="1"/>
  </si>
  <si>
    <t>6/22 12:00～6/25 11:59</t>
    <phoneticPr fontId="1"/>
  </si>
  <si>
    <t>近畿</t>
    <phoneticPr fontId="1"/>
  </si>
  <si>
    <t>つゆろまんていきょういん</t>
    <phoneticPr fontId="1"/>
  </si>
  <si>
    <t>姫</t>
    <phoneticPr fontId="1"/>
  </si>
  <si>
    <t>希望の虹</t>
    <phoneticPr fontId="1"/>
  </si>
  <si>
    <t>タイプ【武人】の防85％UP　/　タイプ姫・伝承の防25％UP</t>
    <phoneticPr fontId="1"/>
  </si>
  <si>
    <t>6/23 11:00～6/23 23:59</t>
    <phoneticPr fontId="1"/>
  </si>
  <si>
    <t>SR</t>
    <phoneticPr fontId="1"/>
  </si>
  <si>
    <t>九州・沖縄</t>
    <phoneticPr fontId="1"/>
  </si>
  <si>
    <t>あじさいいくしま</t>
    <phoneticPr fontId="1"/>
  </si>
  <si>
    <t>偉人</t>
    <phoneticPr fontId="1"/>
  </si>
  <si>
    <t>天より降る雨、過去を浮かべて</t>
    <phoneticPr fontId="1"/>
  </si>
  <si>
    <t>タイプ妖怪・名物の攻30％UP　/　タイプ【偉人】の攻10％UP</t>
    <phoneticPr fontId="1"/>
  </si>
  <si>
    <t>HR</t>
    <phoneticPr fontId="1"/>
  </si>
  <si>
    <t>しんせいきたばたけとものり</t>
    <phoneticPr fontId="1"/>
  </si>
  <si>
    <t>武人</t>
    <phoneticPr fontId="1"/>
  </si>
  <si>
    <t>国司流剣豪の一太刀</t>
    <phoneticPr fontId="1"/>
  </si>
  <si>
    <t>タイプ姫・伝承の防20％UP</t>
    <phoneticPr fontId="1"/>
  </si>
  <si>
    <t>R</t>
    <phoneticPr fontId="1"/>
  </si>
  <si>
    <t>東京</t>
    <phoneticPr fontId="1"/>
  </si>
  <si>
    <t>しんせいあめうたたちばなちかげ</t>
    <phoneticPr fontId="1"/>
  </si>
  <si>
    <t>降り落ちる和歌</t>
    <phoneticPr fontId="1"/>
  </si>
  <si>
    <t>タイプ【飲食】の攻20％UP</t>
    <phoneticPr fontId="1"/>
  </si>
  <si>
    <t>祝来！宝船福引ガチャ</t>
    <rPh sb="0" eb="1">
      <t>シュク</t>
    </rPh>
    <rPh sb="1" eb="2">
      <t>ライ</t>
    </rPh>
    <rPh sb="3" eb="7">
      <t>タカラブネフクビキ</t>
    </rPh>
    <phoneticPr fontId="1"/>
  </si>
  <si>
    <t>6/23 12:00～6/24 11:59</t>
    <phoneticPr fontId="1"/>
  </si>
  <si>
    <t>あうとどあぬれがみどうじ</t>
    <phoneticPr fontId="1"/>
  </si>
  <si>
    <t>祝来！宝船福引ガチャ</t>
    <rPh sb="0" eb="2">
      <t>シュクライ</t>
    </rPh>
    <rPh sb="3" eb="7">
      <t>タカラブネフクビキ</t>
    </rPh>
    <phoneticPr fontId="1"/>
  </si>
  <si>
    <t>6/24 12:00～6/26 23:59</t>
    <phoneticPr fontId="1"/>
  </si>
  <si>
    <t>6/24 20:00～6/24 23:59</t>
    <phoneticPr fontId="1"/>
  </si>
  <si>
    <t>6/25 12:00～6/26 11:59</t>
    <phoneticPr fontId="1"/>
  </si>
  <si>
    <t>全国巡り 勝利のスマッシュガチャ</t>
    <rPh sb="0" eb="2">
      <t>ゼンコク</t>
    </rPh>
    <rPh sb="2" eb="3">
      <t>メグ</t>
    </rPh>
    <phoneticPr fontId="1"/>
  </si>
  <si>
    <t>(DX)6/25 12:00～6/30 19:59</t>
    <phoneticPr fontId="1"/>
  </si>
  <si>
    <t>せんりつのすまっしゅこびとかば</t>
    <phoneticPr fontId="1"/>
  </si>
  <si>
    <t>名物</t>
    <phoneticPr fontId="1"/>
  </si>
  <si>
    <t>テニス界に歴史刻む生きた化石</t>
    <phoneticPr fontId="1"/>
  </si>
  <si>
    <t>タイプ伝承・武人・姫の攻80％DOWN　/　タイプ偉人・妖怪の防25％UP</t>
    <phoneticPr fontId="1"/>
  </si>
  <si>
    <t>SR</t>
    <phoneticPr fontId="1"/>
  </si>
  <si>
    <t>関東</t>
    <rPh sb="0" eb="2">
      <t>カントウ</t>
    </rPh>
    <phoneticPr fontId="1"/>
  </si>
  <si>
    <t>しんせいおにでんしょうきじんじんじゃ</t>
    <phoneticPr fontId="1"/>
  </si>
  <si>
    <t>伝承</t>
    <phoneticPr fontId="1"/>
  </si>
  <si>
    <t>鬼よ勝利を我が手に</t>
    <phoneticPr fontId="1"/>
  </si>
  <si>
    <t>タイプ武人・姫の攻30％UP　/　タイプ【伝承】の攻10％UP</t>
    <phoneticPr fontId="1"/>
  </si>
  <si>
    <t>HR</t>
    <phoneticPr fontId="1"/>
  </si>
  <si>
    <t>R</t>
    <phoneticPr fontId="1"/>
  </si>
  <si>
    <t>しんせいしろくまあいすちゃん</t>
    <phoneticPr fontId="1"/>
  </si>
  <si>
    <t>飲食</t>
    <phoneticPr fontId="1"/>
  </si>
  <si>
    <t>タイプ神秘・知性派の防20％UP</t>
    <phoneticPr fontId="1"/>
  </si>
  <si>
    <t>氷菓の女王</t>
    <phoneticPr fontId="1"/>
  </si>
  <si>
    <t>九州・沖縄</t>
    <rPh sb="0" eb="2">
      <t>キュウシュウ</t>
    </rPh>
    <rPh sb="3" eb="5">
      <t>オキナワ</t>
    </rPh>
    <phoneticPr fontId="1"/>
  </si>
  <si>
    <t>愛知</t>
    <rPh sb="0" eb="2">
      <t>アイチ</t>
    </rPh>
    <phoneticPr fontId="1"/>
  </si>
  <si>
    <t>しんせいかきつばた</t>
    <phoneticPr fontId="1"/>
  </si>
  <si>
    <t>群青と緑青の燕子花</t>
    <phoneticPr fontId="1"/>
  </si>
  <si>
    <t>タイプ【妖怪】の攻20％UP</t>
    <phoneticPr fontId="1"/>
  </si>
  <si>
    <t>天幻来迎ガチャ</t>
    <rPh sb="0" eb="1">
      <t>テン</t>
    </rPh>
    <rPh sb="1" eb="2">
      <t>ゲン</t>
    </rPh>
    <rPh sb="2" eb="4">
      <t>ライゴウ</t>
    </rPh>
    <phoneticPr fontId="1"/>
  </si>
  <si>
    <t>6/25 18:00～6/27 23:59</t>
    <phoneticPr fontId="1"/>
  </si>
  <si>
    <t>関東</t>
    <phoneticPr fontId="1"/>
  </si>
  <si>
    <t>しんせいかいぐんいいなおまさ</t>
    <phoneticPr fontId="1"/>
  </si>
  <si>
    <t>赤いオーラは忠義の証</t>
    <phoneticPr fontId="1"/>
  </si>
  <si>
    <t>タイプ姫・伝承の攻30％UP　/　タイプ【武人】の攻10％UP</t>
    <phoneticPr fontId="1"/>
  </si>
  <si>
    <t>中国・四国</t>
    <phoneticPr fontId="1"/>
  </si>
  <si>
    <t>ろりーたかもみーるちゃん</t>
    <phoneticPr fontId="1"/>
  </si>
  <si>
    <t>茶会に招かれし爽涼たる香り</t>
    <phoneticPr fontId="1"/>
  </si>
  <si>
    <t>タイプ神秘・知性派の攻30％UP　/　タイプ【飲食】の攻10％UP</t>
    <phoneticPr fontId="1"/>
  </si>
  <si>
    <t>偉人</t>
    <phoneticPr fontId="1"/>
  </si>
  <si>
    <t>甘い菓子から生まれるメロディー</t>
    <phoneticPr fontId="1"/>
  </si>
  <si>
    <t>タイプ妖怪・名物の防30％UP　/　タイプ【偉人】の防10％UP</t>
    <phoneticPr fontId="1"/>
  </si>
  <si>
    <t>6/26 18:00～6/26 21:59</t>
    <phoneticPr fontId="1"/>
  </si>
  <si>
    <t>戦神ガチャ</t>
    <rPh sb="0" eb="2">
      <t>センシン</t>
    </rPh>
    <phoneticPr fontId="1"/>
  </si>
  <si>
    <t>6/26 11:00～6/28 11:59</t>
    <phoneticPr fontId="1"/>
  </si>
  <si>
    <t>全国巡り 英雄ガチャ</t>
    <rPh sb="0" eb="2">
      <t>ゼンコク</t>
    </rPh>
    <rPh sb="2" eb="3">
      <t>メグ</t>
    </rPh>
    <rPh sb="5" eb="7">
      <t>エイユウ</t>
    </rPh>
    <phoneticPr fontId="1"/>
  </si>
  <si>
    <t>6/5 11:00～6/5 23:59</t>
    <phoneticPr fontId="1"/>
  </si>
  <si>
    <t>天撃皆伝ガチャ</t>
    <rPh sb="0" eb="1">
      <t>テン</t>
    </rPh>
    <rPh sb="1" eb="2">
      <t>ゲキ</t>
    </rPh>
    <rPh sb="2" eb="4">
      <t>カイデン</t>
    </rPh>
    <phoneticPr fontId="1"/>
  </si>
  <si>
    <t>6/27 18:00～6/29 23:59</t>
    <phoneticPr fontId="1"/>
  </si>
  <si>
    <t>古豪戦傑ガチャ</t>
    <rPh sb="0" eb="2">
      <t>コゴウ</t>
    </rPh>
    <rPh sb="2" eb="3">
      <t>セン</t>
    </rPh>
    <rPh sb="3" eb="4">
      <t>ケツ</t>
    </rPh>
    <phoneticPr fontId="1"/>
  </si>
  <si>
    <t>6/28 18:00～6/30 23:59</t>
    <phoneticPr fontId="1"/>
  </si>
  <si>
    <t>香るいちご風味の唇</t>
    <phoneticPr fontId="1"/>
  </si>
  <si>
    <t>タイプ神秘・知性派の攻35％UP　/　タイプ姫・伝承の攻20％UP</t>
    <phoneticPr fontId="1"/>
  </si>
  <si>
    <t>おへやとちおとめちゃん</t>
    <phoneticPr fontId="1"/>
  </si>
  <si>
    <t>西日本</t>
    <phoneticPr fontId="1"/>
  </si>
  <si>
    <t>えいしょうこうたいごう</t>
    <phoneticPr fontId="1"/>
  </si>
  <si>
    <t>姫</t>
    <phoneticPr fontId="1"/>
  </si>
  <si>
    <t>英照の舞</t>
    <phoneticPr fontId="1"/>
  </si>
  <si>
    <t>タイプ【武人】の攻75％UP　/　タイプ姫・伝承の攻30％UP</t>
    <phoneticPr fontId="1"/>
  </si>
  <si>
    <t>東日本</t>
    <phoneticPr fontId="1"/>
  </si>
  <si>
    <t>すきやきちゃん</t>
    <phoneticPr fontId="1"/>
  </si>
  <si>
    <t>飲食</t>
    <phoneticPr fontId="1"/>
  </si>
  <si>
    <t>幕末グルメを召しあがれ</t>
    <phoneticPr fontId="1"/>
  </si>
  <si>
    <t>タイプ神秘・知性派の攻45％UP　/　タイプ【飲食】の攻15％UP</t>
    <phoneticPr fontId="1"/>
  </si>
  <si>
    <t>かいなんほうし</t>
    <phoneticPr fontId="1"/>
  </si>
  <si>
    <t>妖怪</t>
    <phoneticPr fontId="1"/>
  </si>
  <si>
    <t>水難の怨み</t>
    <phoneticPr fontId="1"/>
  </si>
  <si>
    <t>タイプ武人・伝承の防90％DOWN　/　タイプ偉人・名物の攻30％UP</t>
    <phoneticPr fontId="1"/>
  </si>
  <si>
    <t>豪華玉手箱ガチャ</t>
    <rPh sb="0" eb="5">
      <t>ゴウカタマテバコ</t>
    </rPh>
    <phoneticPr fontId="1"/>
  </si>
  <si>
    <t>6/29 15:00～6/29 23:59</t>
    <phoneticPr fontId="1"/>
  </si>
  <si>
    <t>乱世傑士ガチャ</t>
    <phoneticPr fontId="1"/>
  </si>
  <si>
    <t>6/29 12:00～6/30 23:59</t>
    <phoneticPr fontId="1"/>
  </si>
  <si>
    <t>SP</t>
    <phoneticPr fontId="1"/>
  </si>
  <si>
    <t>全国</t>
    <phoneticPr fontId="1"/>
  </si>
  <si>
    <t>じんだいさんこうしん</t>
    <phoneticPr fontId="1"/>
  </si>
  <si>
    <t>伝承</t>
    <phoneticPr fontId="1"/>
  </si>
  <si>
    <t>空を支配し神々－太陽の章－</t>
    <phoneticPr fontId="1"/>
  </si>
  <si>
    <t>タイプ伝承・武人・姫の攻25％UP　/　タイプ【伝承】の防60％DOWN</t>
    <phoneticPr fontId="1"/>
  </si>
  <si>
    <t>復活！5進化隊士ガチャ</t>
    <phoneticPr fontId="1"/>
  </si>
  <si>
    <t>6/30 11:00～6/30 23:59</t>
    <phoneticPr fontId="1"/>
  </si>
  <si>
    <t>5進</t>
    <rPh sb="1" eb="2">
      <t>シン</t>
    </rPh>
    <phoneticPr fontId="1"/>
  </si>
  <si>
    <t>3進</t>
    <rPh sb="1" eb="2">
      <t>シン</t>
    </rPh>
    <phoneticPr fontId="1"/>
  </si>
  <si>
    <t>1進</t>
    <rPh sb="1" eb="2">
      <t>シン</t>
    </rPh>
    <phoneticPr fontId="1"/>
  </si>
  <si>
    <t>みそにこみうどん</t>
    <phoneticPr fontId="1"/>
  </si>
  <si>
    <t>飲食</t>
    <phoneticPr fontId="1"/>
  </si>
  <si>
    <t>豆味噌仕立ての熱～いスープ</t>
    <phoneticPr fontId="1"/>
  </si>
  <si>
    <t>タイプ神秘・知性派の防45％UP　/　タイプ【飲食】の防15％UP</t>
    <phoneticPr fontId="1"/>
  </si>
  <si>
    <t>タイプ神秘・知性派の防30％UP　/　タイプ【飲食】の防10％UP</t>
    <phoneticPr fontId="1"/>
  </si>
  <si>
    <t>タイプ神秘・知性派の防15％UP　/　タイプ【飲食】の防10％UP</t>
    <phoneticPr fontId="1"/>
  </si>
  <si>
    <t>らでん</t>
    <phoneticPr fontId="1"/>
  </si>
  <si>
    <t>名物</t>
    <phoneticPr fontId="1"/>
  </si>
  <si>
    <t>虹色に光る細やかな装飾</t>
    <phoneticPr fontId="1"/>
  </si>
  <si>
    <t>タイプ偉人・妖怪・名物の攻15％UP　/　タイプ偉人・姫・武人・伝承の防30％DOWN</t>
    <phoneticPr fontId="1"/>
  </si>
  <si>
    <t>タイプ偉人・妖怪・名物の攻10％UP　/　タイプ伝承・武人・姫の防20％DOWN</t>
    <phoneticPr fontId="1"/>
  </si>
  <si>
    <t>タイプ偉人・妖怪・名物の攻10％UP　/　タイプ伝承・武人・姫の防12％DOWN</t>
    <phoneticPr fontId="1"/>
  </si>
  <si>
    <t>みみなしほういち</t>
    <phoneticPr fontId="1"/>
  </si>
  <si>
    <t>引き語る壇ノ浦の悲劇</t>
    <phoneticPr fontId="1"/>
  </si>
  <si>
    <t>タイプ伝承・武人・姫の防15％UP　/　タイプ武人・妖怪・名物・偉人の攻25％DOWN</t>
    <phoneticPr fontId="1"/>
  </si>
  <si>
    <t>タイプ伝承・武人・姫の防12％UP　/　タイプ偉人・妖怪・名物の攻15％DOWN</t>
    <phoneticPr fontId="1"/>
  </si>
  <si>
    <t>タイプ武人・姫の防10％UP　/　タイプ妖怪・名物の攻12％DOWN</t>
    <phoneticPr fontId="1"/>
  </si>
  <si>
    <t>防衛戦 夏を満喫！水着美女の遊泳ガチャ</t>
    <rPh sb="0" eb="3">
      <t>ボウエイセン</t>
    </rPh>
    <phoneticPr fontId="1"/>
  </si>
  <si>
    <t>びきにがーるきし</t>
    <phoneticPr fontId="1"/>
  </si>
  <si>
    <t>ナイトプールは頭脳戦</t>
    <phoneticPr fontId="1"/>
  </si>
  <si>
    <t>タイプ伝承・武人・姫の攻30％UP　/　タイプ偉人・妖怪・名物の防80％DOWN</t>
    <phoneticPr fontId="1"/>
  </si>
  <si>
    <t>敵単体に大ダメージを与え、一定時間、味方が使用するダメージ戦技に【絶大ダメージ】の効果値を加算する</t>
    <phoneticPr fontId="1"/>
  </si>
  <si>
    <t>びきにがーるてんえいいん</t>
    <phoneticPr fontId="1"/>
  </si>
  <si>
    <t>太陽浴びる大奥の主</t>
    <phoneticPr fontId="1"/>
  </si>
  <si>
    <t>びきにがーるやしゃりゅうじん</t>
    <phoneticPr fontId="1"/>
  </si>
  <si>
    <t>幻想夜の龍神姫</t>
    <phoneticPr fontId="1"/>
  </si>
  <si>
    <t>プールに浮かぶ絶世の美女</t>
    <phoneticPr fontId="1"/>
  </si>
  <si>
    <t>タイプ伝承・武人・姫の攻30％UP　/　タイプ神秘・知性派・飲食・武人の防13％DOWN</t>
    <phoneticPr fontId="1"/>
  </si>
  <si>
    <t>しんせいすぱりぞーといけだせん</t>
    <phoneticPr fontId="1"/>
  </si>
  <si>
    <t>びきにがーるやがみひめ</t>
    <phoneticPr fontId="1"/>
  </si>
  <si>
    <t>製塩合間の水遊び</t>
    <phoneticPr fontId="1"/>
  </si>
  <si>
    <t>タイプ姫・伝承の防35％UP　/　タイプ【武人】の防20％UP</t>
    <phoneticPr fontId="1"/>
  </si>
  <si>
    <t>しんせいうみのものがたりちょうちょうふじん</t>
    <phoneticPr fontId="1"/>
  </si>
  <si>
    <t>誇り高きプロポーションの民</t>
    <phoneticPr fontId="1"/>
  </si>
  <si>
    <t>タイプ武人・姫の攻35％UP　/　タイプ【伝承】の攻20％UP</t>
    <phoneticPr fontId="1"/>
  </si>
  <si>
    <t>しんせいうみびらきまりひめ</t>
    <phoneticPr fontId="1"/>
  </si>
  <si>
    <t>尾瀬沼を抜けた先には</t>
    <phoneticPr fontId="1"/>
  </si>
  <si>
    <t>しんせいおーすとらりあはりまのばけねこ</t>
    <phoneticPr fontId="1"/>
  </si>
  <si>
    <t>人に連れられて新大陸へ</t>
    <phoneticPr fontId="1"/>
  </si>
  <si>
    <t>タイプ偉人・名物の攻25％UP</t>
    <phoneticPr fontId="1"/>
  </si>
  <si>
    <t>しんせいりゅうきゅうびんがたちゃん</t>
    <phoneticPr fontId="1"/>
  </si>
  <si>
    <t>王朝の紅彩</t>
    <phoneticPr fontId="1"/>
  </si>
  <si>
    <t>タイプ偉人・妖怪の防25％UP</t>
    <phoneticPr fontId="1"/>
  </si>
  <si>
    <t>しんせいせいりゅうめぐりしばそのめ</t>
    <phoneticPr fontId="1"/>
  </si>
  <si>
    <t>清く美しい清流の白菊</t>
    <phoneticPr fontId="1"/>
  </si>
  <si>
    <t>タイプ【名物】の防25％UP</t>
    <phoneticPr fontId="1"/>
  </si>
  <si>
    <t>長野</t>
    <rPh sb="0" eb="2">
      <t>ナガノ</t>
    </rPh>
    <phoneticPr fontId="1"/>
  </si>
  <si>
    <t>しんせいかいせんまつおたせこ</t>
    <phoneticPr fontId="1"/>
  </si>
  <si>
    <t>武人</t>
    <phoneticPr fontId="1"/>
  </si>
  <si>
    <t>視察がてらの日光浴</t>
    <phoneticPr fontId="1"/>
  </si>
  <si>
    <t>タイプ【伝承】の攻25％UP</t>
    <phoneticPr fontId="1"/>
  </si>
  <si>
    <t>三重</t>
    <rPh sb="0" eb="2">
      <t>ミエ</t>
    </rPh>
    <phoneticPr fontId="1"/>
  </si>
  <si>
    <t>7/2 12:00～7/3 23:59</t>
    <phoneticPr fontId="1"/>
  </si>
  <si>
    <t>全国</t>
    <rPh sb="0" eb="2">
      <t>ゼンコク</t>
    </rPh>
    <phoneticPr fontId="1"/>
  </si>
  <si>
    <t>西日本</t>
    <rPh sb="0" eb="1">
      <t>ニシ</t>
    </rPh>
    <rPh sb="1" eb="3">
      <t>ニホン</t>
    </rPh>
    <phoneticPr fontId="1"/>
  </si>
  <si>
    <t>SSR</t>
    <phoneticPr fontId="1"/>
  </si>
  <si>
    <t>SR</t>
    <phoneticPr fontId="1"/>
  </si>
  <si>
    <t>5進</t>
    <rPh sb="1" eb="2">
      <t>シン</t>
    </rPh>
    <phoneticPr fontId="1"/>
  </si>
  <si>
    <t>3進</t>
    <rPh sb="1" eb="2">
      <t>シン</t>
    </rPh>
    <phoneticPr fontId="1"/>
  </si>
  <si>
    <t>1進</t>
    <rPh sb="1" eb="2">
      <t>シン</t>
    </rPh>
    <phoneticPr fontId="1"/>
  </si>
  <si>
    <t>たなばたばんすいそう</t>
    <phoneticPr fontId="1"/>
  </si>
  <si>
    <t>名物</t>
    <phoneticPr fontId="1"/>
  </si>
  <si>
    <t>星に願う愛の浪漫館</t>
    <phoneticPr fontId="1"/>
  </si>
  <si>
    <t>タイプ【妖怪】の防85％UP　/　タイプ偉人・名物の防25％UP</t>
    <phoneticPr fontId="1"/>
  </si>
  <si>
    <t>タイプ【妖怪】の防60％UP　/　タイプ偉人・名物の防20％UP</t>
    <phoneticPr fontId="1"/>
  </si>
  <si>
    <t>タイプ【妖怪】の防45％UP　/　タイプ【名物】の防15％UP</t>
    <phoneticPr fontId="1"/>
  </si>
  <si>
    <t>(DX)7/1 0:00～7/4 11:59</t>
    <phoneticPr fontId="1"/>
  </si>
  <si>
    <t>超攻再臨ガチャ</t>
    <rPh sb="0" eb="1">
      <t>チョウ</t>
    </rPh>
    <rPh sb="1" eb="2">
      <t>コウ</t>
    </rPh>
    <rPh sb="2" eb="4">
      <t>サイリン</t>
    </rPh>
    <phoneticPr fontId="1"/>
  </si>
  <si>
    <t>7/2 18:00～7/4 23:59</t>
    <phoneticPr fontId="1"/>
  </si>
  <si>
    <t>読み方</t>
    <rPh sb="0" eb="1">
      <t>ヨ</t>
    </rPh>
    <rPh sb="2" eb="3">
      <t>カタ</t>
    </rPh>
    <phoneticPr fontId="1"/>
  </si>
  <si>
    <t>祝来！宝船福引ガチャ</t>
    <rPh sb="0" eb="1">
      <t>シュク</t>
    </rPh>
    <rPh sb="1" eb="2">
      <t>ライ</t>
    </rPh>
    <rPh sb="3" eb="7">
      <t>タカラブネフクビキ</t>
    </rPh>
    <phoneticPr fontId="1"/>
  </si>
  <si>
    <t>7/3 12:00～7/4 11:59</t>
    <phoneticPr fontId="1"/>
  </si>
  <si>
    <t>いはらさいかく</t>
    <phoneticPr fontId="1"/>
  </si>
  <si>
    <t>7/3 18:00～7/3 21:59</t>
    <phoneticPr fontId="1"/>
  </si>
  <si>
    <t>防衛戦 希望を架ける天の川ガチャ</t>
    <rPh sb="0" eb="3">
      <t>ボウエイセン</t>
    </rPh>
    <phoneticPr fontId="1"/>
  </si>
  <si>
    <t>(DX)7/4 12:00～7/8 11:59</t>
    <phoneticPr fontId="1"/>
  </si>
  <si>
    <t>SSR</t>
    <phoneticPr fontId="1"/>
  </si>
  <si>
    <t>SR</t>
    <phoneticPr fontId="1"/>
  </si>
  <si>
    <t>HR</t>
    <phoneticPr fontId="1"/>
  </si>
  <si>
    <t>R</t>
    <phoneticPr fontId="1"/>
  </si>
  <si>
    <t>たなばたあきたいぬくん</t>
    <phoneticPr fontId="1"/>
  </si>
  <si>
    <t>名物</t>
    <phoneticPr fontId="1"/>
  </si>
  <si>
    <t>一途に待つ忠犬</t>
    <phoneticPr fontId="1"/>
  </si>
  <si>
    <t>タイプ偉人・妖怪の防25％UP　/　タイプ【名物】の防10％UP</t>
    <phoneticPr fontId="1"/>
  </si>
  <si>
    <t>北海道・東北</t>
    <phoneticPr fontId="1"/>
  </si>
  <si>
    <t>中部</t>
    <phoneticPr fontId="1"/>
  </si>
  <si>
    <t>しんせいいぬわし</t>
    <phoneticPr fontId="1"/>
  </si>
  <si>
    <t>広大な大空の制空権</t>
    <phoneticPr fontId="1"/>
  </si>
  <si>
    <t>タイプ偉人・妖怪の攻30％UP　/　タイプ【名物】の攻10％UP</t>
    <phoneticPr fontId="1"/>
  </si>
  <si>
    <t>中国・四国</t>
    <phoneticPr fontId="1"/>
  </si>
  <si>
    <t>しんせいぬかぶくろ</t>
    <phoneticPr fontId="1"/>
  </si>
  <si>
    <t>伝承</t>
    <phoneticPr fontId="1"/>
  </si>
  <si>
    <t>月明かりの裁縫</t>
    <phoneticPr fontId="1"/>
  </si>
  <si>
    <t>タイプ武人・姫の防20％UP</t>
    <phoneticPr fontId="1"/>
  </si>
  <si>
    <t>無所属</t>
    <phoneticPr fontId="1"/>
  </si>
  <si>
    <t>しんせいおんみょうじ</t>
    <phoneticPr fontId="1"/>
  </si>
  <si>
    <t>知性派</t>
    <phoneticPr fontId="1"/>
  </si>
  <si>
    <t>陰陽五行</t>
    <phoneticPr fontId="1"/>
  </si>
  <si>
    <t>タイプ【飲食】の攻20％UP</t>
    <phoneticPr fontId="1"/>
  </si>
  <si>
    <t>天幻来迎ガチャ</t>
    <rPh sb="0" eb="1">
      <t>テン</t>
    </rPh>
    <rPh sb="1" eb="2">
      <t>ゲン</t>
    </rPh>
    <rPh sb="2" eb="4">
      <t>ライゴウ</t>
    </rPh>
    <phoneticPr fontId="1"/>
  </si>
  <si>
    <t>7/4 18:00～7/6 23:59</t>
    <phoneticPr fontId="1"/>
  </si>
  <si>
    <t>あらびあんほいだもときよ</t>
    <phoneticPr fontId="1"/>
  </si>
  <si>
    <t>武人</t>
    <phoneticPr fontId="1"/>
  </si>
  <si>
    <t>灼熱の大地に一雫の潤い</t>
    <phoneticPr fontId="1"/>
  </si>
  <si>
    <t>タイプ姫・伝承の防30％UP　/　タイプ【武人】の防10％UP</t>
    <phoneticPr fontId="1"/>
  </si>
  <si>
    <t>しんせいれんげそう</t>
    <phoneticPr fontId="1"/>
  </si>
  <si>
    <t>心安らぐ一面レンゲ</t>
    <phoneticPr fontId="1"/>
  </si>
  <si>
    <t>しんせいあきざけちゃん</t>
    <phoneticPr fontId="1"/>
  </si>
  <si>
    <t>飲食</t>
    <phoneticPr fontId="1"/>
  </si>
  <si>
    <t>河川遡上の名人</t>
    <phoneticPr fontId="1"/>
  </si>
  <si>
    <t>タイプ神秘・知性派の攻30％UP　/　タイプ【飲食】の攻10％UP</t>
    <phoneticPr fontId="1"/>
  </si>
  <si>
    <t>防衛戦 英雄ガチャ</t>
    <rPh sb="0" eb="3">
      <t>ボウエイセン</t>
    </rPh>
    <rPh sb="4" eb="6">
      <t>エイユウ</t>
    </rPh>
    <phoneticPr fontId="1"/>
  </si>
  <si>
    <t>7/5 11:00～7/5 23:59</t>
    <phoneticPr fontId="1"/>
  </si>
  <si>
    <t>超防再臨ガチャ</t>
    <rPh sb="0" eb="4">
      <t>チョウボウサイリン</t>
    </rPh>
    <phoneticPr fontId="1"/>
  </si>
  <si>
    <t>7/5 18:00～7/7 23:59</t>
    <phoneticPr fontId="1"/>
  </si>
  <si>
    <t>戦神ガチャ</t>
    <rPh sb="0" eb="2">
      <t>センシン</t>
    </rPh>
    <phoneticPr fontId="1"/>
  </si>
  <si>
    <t>7/6 11:00～7/8 23:59</t>
    <phoneticPr fontId="1"/>
  </si>
  <si>
    <t>西日本</t>
    <phoneticPr fontId="1"/>
  </si>
  <si>
    <t>なべしまながこ</t>
    <phoneticPr fontId="1"/>
  </si>
  <si>
    <t>偉人</t>
    <phoneticPr fontId="1"/>
  </si>
  <si>
    <t>美しく咲く鹿鳴館の華</t>
    <phoneticPr fontId="1"/>
  </si>
  <si>
    <t>タイプ【名物】の攻85％UP　/　タイプ偉人・妖怪の攻25％UP</t>
    <phoneticPr fontId="1"/>
  </si>
  <si>
    <t>戦技ゲージの上昇割合UP</t>
    <phoneticPr fontId="1"/>
  </si>
  <si>
    <t>SSR</t>
    <phoneticPr fontId="1"/>
  </si>
  <si>
    <t>刹那！最強DOWN隊士ガチャ</t>
    <phoneticPr fontId="1"/>
  </si>
  <si>
    <t>7/6 20:00～7/6 23:59</t>
    <phoneticPr fontId="1"/>
  </si>
  <si>
    <t>自身の強襲発生割合を100％にする</t>
    <phoneticPr fontId="1"/>
  </si>
  <si>
    <t>7/7 12:00～7/8 11:59</t>
    <phoneticPr fontId="1"/>
  </si>
  <si>
    <t>祝来！宝船福引ガチャ</t>
    <rPh sb="0" eb="1">
      <t>シュク</t>
    </rPh>
    <rPh sb="1" eb="2">
      <t>ライ</t>
    </rPh>
    <rPh sb="3" eb="7">
      <t>タカラブネフクビキ</t>
    </rPh>
    <phoneticPr fontId="1"/>
  </si>
  <si>
    <t>復活！5進化隊士ガチャ</t>
    <phoneticPr fontId="1"/>
  </si>
  <si>
    <t>7/7 11:00～7/7 23:59</t>
    <phoneticPr fontId="1"/>
  </si>
  <si>
    <t>SSR</t>
    <phoneticPr fontId="1"/>
  </si>
  <si>
    <t>SR</t>
    <phoneticPr fontId="1"/>
  </si>
  <si>
    <t>5進</t>
    <rPh sb="1" eb="2">
      <t>シン</t>
    </rPh>
    <phoneticPr fontId="1"/>
  </si>
  <si>
    <t>3進</t>
    <rPh sb="1" eb="2">
      <t>シン</t>
    </rPh>
    <phoneticPr fontId="1"/>
  </si>
  <si>
    <t>1進</t>
    <rPh sb="1" eb="2">
      <t>シン</t>
    </rPh>
    <phoneticPr fontId="1"/>
  </si>
  <si>
    <t>全国</t>
    <rPh sb="0" eb="2">
      <t>ゼンコク</t>
    </rPh>
    <phoneticPr fontId="1"/>
  </si>
  <si>
    <t>西日本</t>
    <rPh sb="0" eb="3">
      <t>ニシニホン</t>
    </rPh>
    <phoneticPr fontId="1"/>
  </si>
  <si>
    <t>西日本</t>
    <rPh sb="0" eb="1">
      <t>ニシ</t>
    </rPh>
    <rPh sb="1" eb="3">
      <t>ニホン</t>
    </rPh>
    <phoneticPr fontId="1"/>
  </si>
  <si>
    <t>東日本</t>
    <rPh sb="0" eb="1">
      <t>ヒガシ</t>
    </rPh>
    <rPh sb="1" eb="3">
      <t>ニホン</t>
    </rPh>
    <phoneticPr fontId="1"/>
  </si>
  <si>
    <t>きゃびんあてんだんとすけばん</t>
    <phoneticPr fontId="1"/>
  </si>
  <si>
    <t>名物</t>
    <phoneticPr fontId="1"/>
  </si>
  <si>
    <t>女番長の機内サービス</t>
    <phoneticPr fontId="1"/>
  </si>
  <si>
    <t>タイプ偉人・妖怪・名物の防25％UP　/　タイプ武人・伝承の攻60％DOWN</t>
    <phoneticPr fontId="1"/>
  </si>
  <si>
    <t>タイプ偉人・妖怪・名物の防10％UP　/　タイプ武人・伝承の攻15％DOWN</t>
    <phoneticPr fontId="1"/>
  </si>
  <si>
    <t>タイプ偉人・妖怪・名物の防15％UP　/　タイプ武人・伝承の攻35％DOWN</t>
    <phoneticPr fontId="1"/>
  </si>
  <si>
    <t>ようこういん</t>
    <phoneticPr fontId="1"/>
  </si>
  <si>
    <t>姫</t>
    <phoneticPr fontId="1"/>
  </si>
  <si>
    <t>確かに掴んだ幸光とともに</t>
    <phoneticPr fontId="1"/>
  </si>
  <si>
    <t>タイプ【武人】の攻65％UP　/　タイプ姫・伝承の攻35％UP</t>
    <phoneticPr fontId="1"/>
  </si>
  <si>
    <t>タイプ【武人】の攻40％UP　/　タイプ【姫】の攻20％UP</t>
    <phoneticPr fontId="1"/>
  </si>
  <si>
    <t>タイプ【武人】の攻50％UP　/　タイプ姫・伝承の攻25％UP</t>
    <phoneticPr fontId="1"/>
  </si>
  <si>
    <t>むらやまさこん</t>
    <phoneticPr fontId="1"/>
  </si>
  <si>
    <t>知性派</t>
    <phoneticPr fontId="1"/>
  </si>
  <si>
    <t>女方舞踊</t>
    <phoneticPr fontId="1"/>
  </si>
  <si>
    <t>タイプ神秘・知性派・飲食の防40％UP　/　タイプ神秘・知性派・飲食の攻10％DOWN</t>
    <phoneticPr fontId="1"/>
  </si>
  <si>
    <t>タイプ神秘・知性派・飲食の防30％UP　/　タイプ神秘・知性派の攻10％DOWN</t>
    <phoneticPr fontId="1"/>
  </si>
  <si>
    <t>タイプ神秘・飲食の防15％UP　/　タイプ【知性派】の攻10％DOWN</t>
    <phoneticPr fontId="1"/>
  </si>
  <si>
    <t>天撃皆伝ガチャ</t>
    <rPh sb="0" eb="1">
      <t>テン</t>
    </rPh>
    <rPh sb="1" eb="2">
      <t>ゲキ</t>
    </rPh>
    <rPh sb="2" eb="4">
      <t>カイデン</t>
    </rPh>
    <phoneticPr fontId="1"/>
  </si>
  <si>
    <t>7/7 18:00～7/9 23:59</t>
    <phoneticPr fontId="1"/>
  </si>
  <si>
    <t>四神戦 キ～ンとおいしい！真夏の氷菓ガチャ</t>
    <rPh sb="0" eb="1">
      <t>ヨン</t>
    </rPh>
    <rPh sb="1" eb="2">
      <t>シン</t>
    </rPh>
    <rPh sb="2" eb="3">
      <t>セン</t>
    </rPh>
    <phoneticPr fontId="1"/>
  </si>
  <si>
    <t>(DX)7/8 12:00～7/14 11:59</t>
    <phoneticPr fontId="1"/>
  </si>
  <si>
    <t>HR</t>
    <phoneticPr fontId="1"/>
  </si>
  <si>
    <t>R</t>
    <phoneticPr fontId="1"/>
  </si>
  <si>
    <t>九州・沖縄</t>
    <phoneticPr fontId="1"/>
  </si>
  <si>
    <t>ひょうかのきせつみょうりんに</t>
    <phoneticPr fontId="1"/>
  </si>
  <si>
    <t>武人</t>
    <phoneticPr fontId="1"/>
  </si>
  <si>
    <t>涼を愛する女傑</t>
    <phoneticPr fontId="1"/>
  </si>
  <si>
    <t>タイプ【姫】の防30％UP　/　タイプ武人・伝承の防15％UP</t>
    <phoneticPr fontId="1"/>
  </si>
  <si>
    <t>関東</t>
    <phoneticPr fontId="1"/>
  </si>
  <si>
    <t>しんせいめいどききょうひめ</t>
    <phoneticPr fontId="1"/>
  </si>
  <si>
    <t>将門を癒す心遣い</t>
    <phoneticPr fontId="1"/>
  </si>
  <si>
    <t>タイプ武人・伝承の攻30％UP　/　タイプ【姫】の攻10％UP</t>
    <phoneticPr fontId="1"/>
  </si>
  <si>
    <t>中国・四国</t>
    <phoneticPr fontId="1"/>
  </si>
  <si>
    <t>しんせいうみのものがたりつるひめ</t>
    <phoneticPr fontId="1"/>
  </si>
  <si>
    <t>伝承</t>
    <phoneticPr fontId="1"/>
  </si>
  <si>
    <t>砕けぬ心と突き刺さる視線</t>
    <phoneticPr fontId="1"/>
  </si>
  <si>
    <t>タイプ武人・姫の防20％UP</t>
    <phoneticPr fontId="1"/>
  </si>
  <si>
    <t>沖縄</t>
    <phoneticPr fontId="1"/>
  </si>
  <si>
    <t>しんせいぱいんくれーぷ</t>
    <phoneticPr fontId="1"/>
  </si>
  <si>
    <t>飲食</t>
    <phoneticPr fontId="1"/>
  </si>
  <si>
    <t>幸せの黄色い果実</t>
    <phoneticPr fontId="1"/>
  </si>
  <si>
    <t>タイプ【知性派】の攻20％UP</t>
    <phoneticPr fontId="1"/>
  </si>
  <si>
    <t>豪華玉手箱ガチャ</t>
    <rPh sb="0" eb="2">
      <t>ゴウカ</t>
    </rPh>
    <rPh sb="2" eb="5">
      <t>タマテバコ</t>
    </rPh>
    <phoneticPr fontId="1"/>
  </si>
  <si>
    <t>7/8 15:00～7/8 23:59</t>
    <phoneticPr fontId="1"/>
  </si>
  <si>
    <t>7/9 18:00～7/9 21:59</t>
    <phoneticPr fontId="1"/>
  </si>
  <si>
    <t>7/9 12:00～7/14 11:59</t>
    <phoneticPr fontId="1"/>
  </si>
  <si>
    <t>全国</t>
    <rPh sb="0" eb="2">
      <t>ゼンコク</t>
    </rPh>
    <phoneticPr fontId="1"/>
  </si>
  <si>
    <t>東日本</t>
    <rPh sb="0" eb="1">
      <t>ヒガシ</t>
    </rPh>
    <rPh sb="1" eb="3">
      <t>ニホン</t>
    </rPh>
    <phoneticPr fontId="1"/>
  </si>
  <si>
    <t>SR</t>
    <phoneticPr fontId="1"/>
  </si>
  <si>
    <t>めるぶれあ</t>
    <phoneticPr fontId="1"/>
  </si>
  <si>
    <t>武人</t>
    <phoneticPr fontId="1"/>
  </si>
  <si>
    <t>可憐な欲深ハンター</t>
    <phoneticPr fontId="1"/>
  </si>
  <si>
    <t>タイプ姫・伝承の攻50％UP　/　タイプ【武人】の攻35％UP</t>
    <phoneticPr fontId="1"/>
  </si>
  <si>
    <t>タイプ姫・伝承の攻30％UP　/　タイプ【武人】の攻20％UP</t>
    <phoneticPr fontId="1"/>
  </si>
  <si>
    <t>タイプ姫・伝承の攻25％UP　/　タイプ【武人】の攻10％UP</t>
    <phoneticPr fontId="1"/>
  </si>
  <si>
    <t>四神戦 英雄ガチャ</t>
    <rPh sb="0" eb="1">
      <t>ヨン</t>
    </rPh>
    <rPh sb="1" eb="2">
      <t>シン</t>
    </rPh>
    <rPh sb="2" eb="3">
      <t>セン</t>
    </rPh>
    <rPh sb="4" eb="6">
      <t>エイユウ</t>
    </rPh>
    <phoneticPr fontId="1"/>
  </si>
  <si>
    <t>7/10 11:00～7/10 23:59</t>
    <phoneticPr fontId="1"/>
  </si>
  <si>
    <t>古豪戦傑ガチャ</t>
    <rPh sb="0" eb="4">
      <t>コゴウセンケツ</t>
    </rPh>
    <phoneticPr fontId="1"/>
  </si>
  <si>
    <t>7/10 18:00～7/12 23:59</t>
    <phoneticPr fontId="1"/>
  </si>
  <si>
    <t>東日本</t>
    <phoneticPr fontId="1"/>
  </si>
  <si>
    <t>ゆけむりおあいのかた</t>
    <phoneticPr fontId="1"/>
  </si>
  <si>
    <t>姫</t>
    <phoneticPr fontId="1"/>
  </si>
  <si>
    <t>癒しで勝利を手繰り寄せ</t>
    <phoneticPr fontId="1"/>
  </si>
  <si>
    <t>タイプ【武人】の防85％UP　/　タイプ姫・伝承の防25％UP</t>
    <phoneticPr fontId="1"/>
  </si>
  <si>
    <t>西日本</t>
    <phoneticPr fontId="1"/>
  </si>
  <si>
    <t>ひょうどうただし</t>
    <phoneticPr fontId="1"/>
  </si>
  <si>
    <t>知性派</t>
    <phoneticPr fontId="1"/>
  </si>
  <si>
    <t>タイプ神秘・知性派・飲食の攻40％UP　/　タイプ偉人・妖怪・名物の防10％DOWN</t>
    <phoneticPr fontId="1"/>
  </si>
  <si>
    <t>翼よ、我と共に！</t>
    <phoneticPr fontId="1"/>
  </si>
  <si>
    <t>とろいせき</t>
    <phoneticPr fontId="1"/>
  </si>
  <si>
    <t>名物</t>
    <phoneticPr fontId="1"/>
  </si>
  <si>
    <t>大地から蘇りし太古の生き様</t>
    <phoneticPr fontId="1"/>
  </si>
  <si>
    <t>タイプ偉人・妖怪・名物の攻35％UP　/　タイプ偉人・妖怪・名物の防15％DOWN</t>
    <phoneticPr fontId="1"/>
  </si>
  <si>
    <t>九州・沖縄</t>
    <phoneticPr fontId="1"/>
  </si>
  <si>
    <t>でかもりたこらいす</t>
    <phoneticPr fontId="1"/>
  </si>
  <si>
    <t>飲食</t>
    <phoneticPr fontId="1"/>
  </si>
  <si>
    <t>タイプ【神秘】の攻35％UP　/　タイプ姫・飲食の攻25％UP</t>
    <phoneticPr fontId="1"/>
  </si>
  <si>
    <t>おおばんぶるまい！！</t>
    <phoneticPr fontId="1"/>
  </si>
  <si>
    <t>ふねひきかぐら</t>
    <phoneticPr fontId="1"/>
  </si>
  <si>
    <t>伝承</t>
    <phoneticPr fontId="1"/>
  </si>
  <si>
    <t>タイプ【武人】の防35％UP　/　タイプ姫・伝承の防25％UP</t>
    <phoneticPr fontId="1"/>
  </si>
  <si>
    <t>作祈祷神楽</t>
    <phoneticPr fontId="1"/>
  </si>
  <si>
    <t>しんせいめいあんしらぬい</t>
    <phoneticPr fontId="1"/>
  </si>
  <si>
    <t>妖怪</t>
    <phoneticPr fontId="1"/>
  </si>
  <si>
    <t>闇海に漂う火の玉</t>
    <phoneticPr fontId="1"/>
  </si>
  <si>
    <t>タイプ【名物】の攻35％UP　/　タイプ偉人・妖怪の攻25％UP</t>
    <phoneticPr fontId="1"/>
  </si>
  <si>
    <t>ID</t>
    <phoneticPr fontId="1"/>
  </si>
  <si>
    <t>82423_0</t>
    <phoneticPr fontId="1"/>
  </si>
  <si>
    <t>55313_0</t>
    <phoneticPr fontId="1"/>
  </si>
  <si>
    <t>61893_0</t>
    <phoneticPr fontId="1"/>
  </si>
  <si>
    <t>47263_0</t>
    <phoneticPr fontId="1"/>
  </si>
  <si>
    <t>79373_0</t>
    <phoneticPr fontId="1"/>
  </si>
  <si>
    <t>72233_0</t>
    <phoneticPr fontId="1"/>
  </si>
  <si>
    <t>58853_0</t>
    <phoneticPr fontId="1"/>
  </si>
  <si>
    <t>40963_0</t>
    <phoneticPr fontId="1"/>
  </si>
  <si>
    <t>53753_0</t>
    <phoneticPr fontId="1"/>
  </si>
  <si>
    <t>60633_0</t>
  </si>
  <si>
    <t>60633_0</t>
    <phoneticPr fontId="1"/>
  </si>
  <si>
    <t>49193_0</t>
    <phoneticPr fontId="1"/>
  </si>
  <si>
    <t>56223_0</t>
  </si>
  <si>
    <t>56223_0</t>
    <phoneticPr fontId="1"/>
  </si>
  <si>
    <t>57733_0</t>
    <phoneticPr fontId="1"/>
  </si>
  <si>
    <t>44253_0</t>
    <phoneticPr fontId="1"/>
  </si>
  <si>
    <t>59673_0</t>
    <phoneticPr fontId="1"/>
  </si>
  <si>
    <t>63173_0</t>
    <phoneticPr fontId="1"/>
  </si>
  <si>
    <t>81183_0</t>
    <phoneticPr fontId="1"/>
  </si>
  <si>
    <t>67173_0</t>
    <phoneticPr fontId="1"/>
  </si>
  <si>
    <t>51973_0</t>
    <phoneticPr fontId="1"/>
  </si>
  <si>
    <t>49953_0</t>
    <phoneticPr fontId="1"/>
  </si>
  <si>
    <t>65713_0</t>
    <phoneticPr fontId="1"/>
  </si>
  <si>
    <t>64953_0</t>
  </si>
  <si>
    <t>48283_0</t>
  </si>
  <si>
    <t>72963_0</t>
  </si>
  <si>
    <t>46283_0</t>
  </si>
  <si>
    <t>祝来！宝船福引ガチャ</t>
    <rPh sb="0" eb="2">
      <t>シュクライ</t>
    </rPh>
    <rPh sb="3" eb="7">
      <t>タカラブネフクビキ</t>
    </rPh>
    <phoneticPr fontId="1"/>
  </si>
  <si>
    <t>7/11 12:00～7/12 11:59</t>
    <phoneticPr fontId="1"/>
  </si>
  <si>
    <t>67173_0</t>
    <phoneticPr fontId="1"/>
  </si>
  <si>
    <t>超攻再臨ガチャ</t>
    <rPh sb="0" eb="1">
      <t>チョウ</t>
    </rPh>
    <rPh sb="1" eb="2">
      <t>コウ</t>
    </rPh>
    <rPh sb="2" eb="4">
      <t>サイリン</t>
    </rPh>
    <phoneticPr fontId="1"/>
  </si>
  <si>
    <t>7/11 18:00～7/13 23:59</t>
    <phoneticPr fontId="1"/>
  </si>
  <si>
    <t>55313_0</t>
    <phoneticPr fontId="1"/>
  </si>
  <si>
    <t>61893_0</t>
    <phoneticPr fontId="1"/>
  </si>
  <si>
    <t>47263_0</t>
    <phoneticPr fontId="1"/>
  </si>
  <si>
    <t>白狐の大芝居</t>
    <phoneticPr fontId="1"/>
  </si>
  <si>
    <t>不知八幡森</t>
    <phoneticPr fontId="1"/>
  </si>
  <si>
    <t>7/12 20:00～7/12 23:59</t>
    <phoneticPr fontId="1"/>
  </si>
  <si>
    <t>戦神ガチャ</t>
    <rPh sb="0" eb="2">
      <t>センシン</t>
    </rPh>
    <phoneticPr fontId="1"/>
  </si>
  <si>
    <t>7/12 11:00～7/14 23:59</t>
    <phoneticPr fontId="1"/>
  </si>
  <si>
    <t>65713_0</t>
    <phoneticPr fontId="1"/>
  </si>
  <si>
    <t>69593_0</t>
    <phoneticPr fontId="1"/>
  </si>
  <si>
    <t>東日本</t>
    <phoneticPr fontId="1"/>
  </si>
  <si>
    <t>ごしきぬま</t>
    <phoneticPr fontId="1"/>
  </si>
  <si>
    <t>名物</t>
    <phoneticPr fontId="1"/>
  </si>
  <si>
    <t>五色に耀く神秘の湖沼</t>
    <phoneticPr fontId="1"/>
  </si>
  <si>
    <t>タイプ偉人・妖怪・名物の防35％UP　/　タイプ伝承・武人・姫の攻10％DOWN</t>
    <phoneticPr fontId="1"/>
  </si>
  <si>
    <t>豪華玉手箱ガチャ</t>
    <rPh sb="0" eb="5">
      <t>ゴウカタマテバコ</t>
    </rPh>
    <phoneticPr fontId="1"/>
  </si>
  <si>
    <t>7/13 15:00～7/13 23:59</t>
    <phoneticPr fontId="1"/>
  </si>
  <si>
    <t>68033_0</t>
    <phoneticPr fontId="1"/>
  </si>
  <si>
    <t>7/13 18:00～7/13 21:59</t>
    <phoneticPr fontId="1"/>
  </si>
  <si>
    <t>サイコロ行脚 愉快適悦♪大物狙う釣りガールガチ</t>
    <rPh sb="4" eb="6">
      <t>アンギャ</t>
    </rPh>
    <phoneticPr fontId="1"/>
  </si>
  <si>
    <t>(DX)7/14 12:00～7/21 11:59</t>
    <phoneticPr fontId="1"/>
  </si>
  <si>
    <t>SSR</t>
    <phoneticPr fontId="1"/>
  </si>
  <si>
    <t>SR</t>
    <phoneticPr fontId="1"/>
  </si>
  <si>
    <t>HR</t>
    <phoneticPr fontId="1"/>
  </si>
  <si>
    <t>R</t>
    <phoneticPr fontId="1"/>
  </si>
  <si>
    <t>近畿</t>
    <rPh sb="0" eb="2">
      <t>キンキ</t>
    </rPh>
    <phoneticPr fontId="1"/>
  </si>
  <si>
    <t>九州・沖縄</t>
    <rPh sb="0" eb="2">
      <t>キュウシュウ</t>
    </rPh>
    <rPh sb="3" eb="5">
      <t>オキナワ</t>
    </rPh>
    <phoneticPr fontId="1"/>
  </si>
  <si>
    <t>中部</t>
    <rPh sb="0" eb="2">
      <t>チュウブ</t>
    </rPh>
    <phoneticPr fontId="1"/>
  </si>
  <si>
    <t>神奈川</t>
    <rPh sb="0" eb="3">
      <t>カナガワ</t>
    </rPh>
    <phoneticPr fontId="1"/>
  </si>
  <si>
    <t>ふぃっしんぐこしきぶのないし</t>
    <phoneticPr fontId="1"/>
  </si>
  <si>
    <t>高らかに歌う天才釣人</t>
    <phoneticPr fontId="1"/>
  </si>
  <si>
    <t>タイプ神秘・知性派・飲食の攻40％UP　/　タイプ伝承・武人・姫の防10％DOWN</t>
    <phoneticPr fontId="1"/>
  </si>
  <si>
    <t>しんせいあかかなじゃー</t>
    <phoneticPr fontId="1"/>
  </si>
  <si>
    <t>妖怪</t>
    <phoneticPr fontId="1"/>
  </si>
  <si>
    <t>魚の目玉で大漁旗</t>
    <phoneticPr fontId="1"/>
  </si>
  <si>
    <t>タイプ偉人・名物の防30％UP　/　タイプ【妖怪】の防10％UP</t>
    <phoneticPr fontId="1"/>
  </si>
  <si>
    <t>しんせいうみびらきかせきはっくつむすめ</t>
    <phoneticPr fontId="1"/>
  </si>
  <si>
    <t>名物</t>
    <phoneticPr fontId="1"/>
  </si>
  <si>
    <t>タイプ偉人・妖怪の攻20％UP</t>
    <phoneticPr fontId="1"/>
  </si>
  <si>
    <t>海に求めた古代の浪漫</t>
    <phoneticPr fontId="1"/>
  </si>
  <si>
    <t>しんせいわかさぎ</t>
    <phoneticPr fontId="1"/>
  </si>
  <si>
    <t>飲食</t>
    <phoneticPr fontId="1"/>
  </si>
  <si>
    <t>タイプ【神秘】の防20％UP</t>
    <phoneticPr fontId="1"/>
  </si>
  <si>
    <t>湧く湧くワカサギ釣り！</t>
    <phoneticPr fontId="1"/>
  </si>
  <si>
    <t>超防再臨ガチャ</t>
    <rPh sb="0" eb="4">
      <t>チョウボウサイリン</t>
    </rPh>
    <phoneticPr fontId="1"/>
  </si>
  <si>
    <t>7/14 18:00～7/16 23:59</t>
    <phoneticPr fontId="1"/>
  </si>
  <si>
    <t>ちゃんちゃんやき</t>
    <phoneticPr fontId="1"/>
  </si>
  <si>
    <t>北の大地を召しあがれ</t>
    <phoneticPr fontId="1"/>
  </si>
  <si>
    <t>タイプ神秘・知性派の防50％UP　/　タイプ【飲食】の防35％UP</t>
    <phoneticPr fontId="1"/>
  </si>
  <si>
    <t>九州・沖縄</t>
    <phoneticPr fontId="1"/>
  </si>
  <si>
    <t>はいからもみじびーどろざいくちゃん</t>
    <phoneticPr fontId="1"/>
  </si>
  <si>
    <t>深まる秋の音色と色彩</t>
    <phoneticPr fontId="1"/>
  </si>
  <si>
    <t>タイプ偉人・妖怪・名物の防10％UP　/　タイプ神秘・飲食・知性派・伝承の攻35％DOWN</t>
    <phoneticPr fontId="1"/>
  </si>
  <si>
    <t>7/15 12:00～7/20 22:59</t>
    <phoneticPr fontId="1"/>
  </si>
  <si>
    <t>5進</t>
    <rPh sb="1" eb="2">
      <t>シン</t>
    </rPh>
    <phoneticPr fontId="1"/>
  </si>
  <si>
    <t>3進</t>
    <rPh sb="1" eb="2">
      <t>シン</t>
    </rPh>
    <phoneticPr fontId="1"/>
  </si>
  <si>
    <t>1進</t>
    <rPh sb="1" eb="2">
      <t>シン</t>
    </rPh>
    <phoneticPr fontId="1"/>
  </si>
  <si>
    <t>全国</t>
    <rPh sb="0" eb="2">
      <t>ゼンコク</t>
    </rPh>
    <phoneticPr fontId="1"/>
  </si>
  <si>
    <t>西日本</t>
    <rPh sb="0" eb="1">
      <t>ニシ</t>
    </rPh>
    <rPh sb="1" eb="3">
      <t>ニホン</t>
    </rPh>
    <phoneticPr fontId="1"/>
  </si>
  <si>
    <t>りょうりばとるひだるかみ</t>
    <phoneticPr fontId="1"/>
  </si>
  <si>
    <t>タイプ偉人・名物の防25％UP　/　タイプ【妖怪】の防10％UP</t>
    <phoneticPr fontId="1"/>
  </si>
  <si>
    <t>最高の調味料を味方に</t>
    <phoneticPr fontId="1"/>
  </si>
  <si>
    <t>タイプ偉人・名物の防12％UP　/　タイプ【妖怪】の防10％UP</t>
    <phoneticPr fontId="1"/>
  </si>
  <si>
    <t>タイプ偉人・名物の防10％UP　/　タイプ【妖怪】の防5％UP</t>
    <phoneticPr fontId="1"/>
  </si>
  <si>
    <t>7/15 15:00～7/16 23:59</t>
    <phoneticPr fontId="1"/>
  </si>
  <si>
    <t>中国・四国</t>
    <rPh sb="0" eb="2">
      <t>チュウゴク</t>
    </rPh>
    <rPh sb="3" eb="5">
      <t>シコク</t>
    </rPh>
    <phoneticPr fontId="1"/>
  </si>
  <si>
    <t>かいとうきういふるーつちゃん</t>
    <phoneticPr fontId="1"/>
  </si>
  <si>
    <t>鮮やかな宝石と手口</t>
    <phoneticPr fontId="1"/>
  </si>
  <si>
    <t>タイプ神秘・知性派・飲食の防35％UP</t>
    <phoneticPr fontId="1"/>
  </si>
  <si>
    <t>関東</t>
    <rPh sb="0" eb="2">
      <t>カントウ</t>
    </rPh>
    <phoneticPr fontId="1"/>
  </si>
  <si>
    <t>けものみずぎごう</t>
    <phoneticPr fontId="1"/>
  </si>
  <si>
    <t>姫</t>
    <phoneticPr fontId="1"/>
  </si>
  <si>
    <t>乱世に映える花</t>
    <phoneticPr fontId="1"/>
  </si>
  <si>
    <t>タイプ妖怪・武人の攻50％UP　/　タイプ姫・伝承の攻30％UP</t>
    <phoneticPr fontId="1"/>
  </si>
  <si>
    <t>所属一致ボーナス120％UP</t>
    <phoneticPr fontId="1"/>
  </si>
  <si>
    <t>しゅらんぼうねんかいかわひめ</t>
    <phoneticPr fontId="1"/>
  </si>
  <si>
    <t>酒の前では妖も人も同じ</t>
    <phoneticPr fontId="1"/>
  </si>
  <si>
    <t>おーとくちゅーるさほひめ</t>
    <phoneticPr fontId="1"/>
  </si>
  <si>
    <t>神秘</t>
    <phoneticPr fontId="1"/>
  </si>
  <si>
    <t>春の女神の宮殿散歩</t>
    <phoneticPr fontId="1"/>
  </si>
  <si>
    <t>タイプ飲食・知性派・武人の攻35％UP</t>
    <phoneticPr fontId="1"/>
  </si>
  <si>
    <t>なまはげとくひめ</t>
    <phoneticPr fontId="1"/>
  </si>
  <si>
    <t>寒さをも吹き飛ばす圧巻の姿</t>
    <phoneticPr fontId="1"/>
  </si>
  <si>
    <t>タイプ武人・伝承の防30％UP　/　タイプ【姫】の防10％UP</t>
    <phoneticPr fontId="1"/>
  </si>
  <si>
    <t>サイコロ行脚 英雄ガチャ</t>
    <rPh sb="4" eb="6">
      <t>アンギャ</t>
    </rPh>
    <rPh sb="7" eb="9">
      <t>エイユウ</t>
    </rPh>
    <phoneticPr fontId="1"/>
  </si>
  <si>
    <t>7/16 11:00～7/16 23:59</t>
    <phoneticPr fontId="1"/>
  </si>
  <si>
    <t>54523_0</t>
    <phoneticPr fontId="1"/>
  </si>
  <si>
    <t>51973_0</t>
    <phoneticPr fontId="1"/>
  </si>
  <si>
    <t>44283_0</t>
    <phoneticPr fontId="1"/>
  </si>
  <si>
    <t>天撃皆伝ガチャ</t>
    <rPh sb="0" eb="4">
      <t>テンゲキカイデン</t>
    </rPh>
    <phoneticPr fontId="1"/>
  </si>
  <si>
    <t>7/16 18:00～7/18 23:59</t>
    <phoneticPr fontId="1"/>
  </si>
  <si>
    <t>66433_0</t>
    <phoneticPr fontId="1"/>
  </si>
  <si>
    <t>52693_0</t>
    <phoneticPr fontId="1"/>
  </si>
  <si>
    <t>にいろただもと</t>
    <phoneticPr fontId="1"/>
  </si>
  <si>
    <t>武人</t>
    <phoneticPr fontId="1"/>
  </si>
  <si>
    <t>二才咄格式定目</t>
    <phoneticPr fontId="1"/>
  </si>
  <si>
    <t>タイプ【姫】の攻30％UP　/　タイプ武人・伝承の攻15％UP</t>
    <phoneticPr fontId="1"/>
  </si>
  <si>
    <t>7/17 18:00～7/17 21:59</t>
    <phoneticPr fontId="1"/>
  </si>
  <si>
    <t>戦神ガチャ</t>
    <rPh sb="0" eb="2">
      <t>センシン</t>
    </rPh>
    <phoneticPr fontId="1"/>
  </si>
  <si>
    <t>7/17 11:00～7/19 23:59</t>
    <phoneticPr fontId="1"/>
  </si>
  <si>
    <t>78693_0</t>
    <phoneticPr fontId="1"/>
  </si>
  <si>
    <t>74593_0</t>
    <phoneticPr fontId="1"/>
  </si>
  <si>
    <t>りとー</t>
    <phoneticPr fontId="1"/>
  </si>
  <si>
    <t>伝承</t>
    <phoneticPr fontId="1"/>
  </si>
  <si>
    <t>タイプ伝承・武人・姫の攻30％UP　/　タイプ神秘・知性派・飲食・武人の防13％DOWN</t>
    <phoneticPr fontId="1"/>
  </si>
  <si>
    <t>巨大な体に小さな勇気</t>
    <phoneticPr fontId="1"/>
  </si>
  <si>
    <t>自分が攻撃するほど大ダメージ</t>
    <phoneticPr fontId="1"/>
  </si>
  <si>
    <t>西日本→全国</t>
    <rPh sb="0" eb="1">
      <t>ニシ</t>
    </rPh>
    <rPh sb="1" eb="3">
      <t>ニホン</t>
    </rPh>
    <rPh sb="4" eb="6">
      <t>ゼンコク</t>
    </rPh>
    <phoneticPr fontId="1"/>
  </si>
  <si>
    <t>ひゃっきやぎょうえまき</t>
    <phoneticPr fontId="1"/>
  </si>
  <si>
    <t>タイプ【武人】の攻50％UP　/　タイプ姫・伝承・神秘・飲食の攻25％UP</t>
    <phoneticPr fontId="1"/>
  </si>
  <si>
    <t>最古の妖怪図鑑</t>
    <phoneticPr fontId="1"/>
  </si>
  <si>
    <t>ごーやーちゃんぷるー</t>
    <phoneticPr fontId="1"/>
  </si>
  <si>
    <t>タイプ偉人・神秘の攻50％UP　/　タイプ知性派・飲食の攻30％UP</t>
    <phoneticPr fontId="1"/>
  </si>
  <si>
    <t>夏を味わう爽快な苦味</t>
    <phoneticPr fontId="1"/>
  </si>
  <si>
    <t>復活！5進化隊士ガチャ</t>
    <phoneticPr fontId="1"/>
  </si>
  <si>
    <t>7/18 11:00～7/18 23:59</t>
    <phoneticPr fontId="1"/>
  </si>
  <si>
    <t>SSR</t>
    <phoneticPr fontId="1"/>
  </si>
  <si>
    <t>SR</t>
    <phoneticPr fontId="1"/>
  </si>
  <si>
    <t>全国</t>
    <rPh sb="0" eb="2">
      <t>ゼンコク</t>
    </rPh>
    <phoneticPr fontId="1"/>
  </si>
  <si>
    <t>5進</t>
    <rPh sb="1" eb="2">
      <t>シン</t>
    </rPh>
    <phoneticPr fontId="1"/>
  </si>
  <si>
    <t>3進</t>
    <rPh sb="1" eb="2">
      <t>シン</t>
    </rPh>
    <phoneticPr fontId="1"/>
  </si>
  <si>
    <t>1進</t>
    <rPh sb="1" eb="2">
      <t>シン</t>
    </rPh>
    <phoneticPr fontId="1"/>
  </si>
  <si>
    <t>東日本</t>
    <rPh sb="0" eb="1">
      <t>ヒガシ</t>
    </rPh>
    <rPh sb="1" eb="3">
      <t>ニホン</t>
    </rPh>
    <phoneticPr fontId="1"/>
  </si>
  <si>
    <t>西日本</t>
    <rPh sb="0" eb="1">
      <t>ニシ</t>
    </rPh>
    <rPh sb="1" eb="3">
      <t>ニホン</t>
    </rPh>
    <phoneticPr fontId="1"/>
  </si>
  <si>
    <t>きゃびんあてんだんとふくひめ</t>
    <phoneticPr fontId="1"/>
  </si>
  <si>
    <t>姫</t>
    <phoneticPr fontId="1"/>
  </si>
  <si>
    <t>繊細な気配り</t>
    <phoneticPr fontId="1"/>
  </si>
  <si>
    <t>タイプ【武人】の防85％UP　/　タイプ姫・伝承の防25％UP</t>
    <phoneticPr fontId="1"/>
  </si>
  <si>
    <t>タイプ【武人】の防45％UP　/　タイプ【姫】の防15％UP</t>
    <phoneticPr fontId="1"/>
  </si>
  <si>
    <t>タイプ【武人】の防60％UP　/　タイプ姫・伝承の防20％UP</t>
    <phoneticPr fontId="1"/>
  </si>
  <si>
    <t>ちゃやむすめわかひるめのみこと</t>
    <phoneticPr fontId="1"/>
  </si>
  <si>
    <t>神秘</t>
    <phoneticPr fontId="1"/>
  </si>
  <si>
    <t>癒し与える太陽の女神</t>
    <phoneticPr fontId="1"/>
  </si>
  <si>
    <t>タイプ【飲食】の攻85％UP　/　タイプ神秘・知性派の攻25％UP</t>
    <phoneticPr fontId="1"/>
  </si>
  <si>
    <t>タイプ【飲食】の攻45％UP　/　タイプ【神秘】の攻15％UP</t>
    <phoneticPr fontId="1"/>
  </si>
  <si>
    <t>タイプ【飲食】の攻60％UP　/　タイプ神秘・知性派の攻20％UP</t>
    <phoneticPr fontId="1"/>
  </si>
  <si>
    <t>てんぐび</t>
    <phoneticPr fontId="1"/>
  </si>
  <si>
    <t>妖怪</t>
    <phoneticPr fontId="1"/>
  </si>
  <si>
    <t>タイプ偉人・名物の防70％UP　/　タイプ【妖怪】の防40％UP</t>
    <phoneticPr fontId="1"/>
  </si>
  <si>
    <t>暗闇を照らす天狗の炎</t>
    <phoneticPr fontId="1"/>
  </si>
  <si>
    <t>タイプ偉人・名物の防15％UP　/　タイプ【妖怪】の防5％UP</t>
    <phoneticPr fontId="1"/>
  </si>
  <si>
    <t>タイプ偉人・名物の防35％UP　/　タイプ【妖怪】の防20％UP</t>
    <phoneticPr fontId="1"/>
  </si>
  <si>
    <t>天幻来迎ガチャ</t>
    <rPh sb="0" eb="4">
      <t>テンゲンライゴウ</t>
    </rPh>
    <phoneticPr fontId="1"/>
  </si>
  <si>
    <t>7/18 18:00～7/20 23:59</t>
    <phoneticPr fontId="1"/>
  </si>
  <si>
    <t>53753_0</t>
    <phoneticPr fontId="1"/>
  </si>
  <si>
    <t>68783_0</t>
    <phoneticPr fontId="1"/>
  </si>
  <si>
    <t>49193_0</t>
    <phoneticPr fontId="1"/>
  </si>
  <si>
    <t>中部</t>
    <phoneticPr fontId="1"/>
  </si>
  <si>
    <t>しんせいいくまつ</t>
    <phoneticPr fontId="1"/>
  </si>
  <si>
    <t>知性派</t>
    <phoneticPr fontId="1"/>
  </si>
  <si>
    <t>命を懸けた芸妓の舞踊</t>
    <phoneticPr fontId="1"/>
  </si>
  <si>
    <t>タイプ神秘・飲食の攻30％UP　/　タイプ【知性派】の攻10％UP</t>
    <phoneticPr fontId="1"/>
  </si>
  <si>
    <t>豪華玉手箱ガチャ</t>
    <rPh sb="0" eb="5">
      <t>ゴウカタマテバコ</t>
    </rPh>
    <phoneticPr fontId="1"/>
  </si>
  <si>
    <t>7/19 15:00～7/19 23:59</t>
    <phoneticPr fontId="1"/>
  </si>
  <si>
    <t>76303_0</t>
    <phoneticPr fontId="1"/>
  </si>
  <si>
    <t>7/19 18:00～7/21 23:59</t>
    <phoneticPr fontId="1"/>
  </si>
  <si>
    <t>みやこのたわーせとうちれもん</t>
    <phoneticPr fontId="1"/>
  </si>
  <si>
    <t>飲食</t>
    <phoneticPr fontId="1"/>
  </si>
  <si>
    <t>レモンの大阪観光</t>
    <phoneticPr fontId="1"/>
  </si>
  <si>
    <t>タイプ神秘・知性派の防45％UP　/　タイプ【飲食】の防15％UP</t>
    <phoneticPr fontId="1"/>
  </si>
  <si>
    <t>おとまりじょしかいいちじょうみかこ</t>
    <phoneticPr fontId="1"/>
  </si>
  <si>
    <t>偉人</t>
    <phoneticPr fontId="1"/>
  </si>
  <si>
    <t>ひらく恋バナと葵の華</t>
    <phoneticPr fontId="1"/>
  </si>
  <si>
    <t>タイプ偉人・妖怪・名物の防45％UP</t>
    <phoneticPr fontId="1"/>
  </si>
  <si>
    <t>ふなにょうぼう</t>
    <phoneticPr fontId="1"/>
  </si>
  <si>
    <t>伝承</t>
    <phoneticPr fontId="1"/>
  </si>
  <si>
    <t>タイプ伝承・武人・姫の攻30％UP　/　タイプ名物・知性派・飲食・神秘の防13％DOWN</t>
    <phoneticPr fontId="1"/>
  </si>
  <si>
    <t>鮒の毒</t>
    <phoneticPr fontId="1"/>
  </si>
  <si>
    <t>7/20 20:00～7/20 23:59</t>
    <phoneticPr fontId="1"/>
  </si>
  <si>
    <t>祝来！宝船福引ガチャ</t>
    <rPh sb="0" eb="1">
      <t>シュク</t>
    </rPh>
    <rPh sb="1" eb="2">
      <t>ライ</t>
    </rPh>
    <rPh sb="3" eb="7">
      <t>タカラブネフクビキ</t>
    </rPh>
    <phoneticPr fontId="1"/>
  </si>
  <si>
    <t>7/20 12:00～7/21 11:59</t>
    <phoneticPr fontId="1"/>
  </si>
  <si>
    <t>75393_0</t>
    <phoneticPr fontId="1"/>
  </si>
  <si>
    <t>戦神ガチャ</t>
    <rPh sb="0" eb="2">
      <t>センシン</t>
    </rPh>
    <phoneticPr fontId="1"/>
  </si>
  <si>
    <t>7/21 11:00～7/23 11:59</t>
    <phoneticPr fontId="1"/>
  </si>
  <si>
    <t>67173_0</t>
    <phoneticPr fontId="1"/>
  </si>
  <si>
    <t>68033_0</t>
    <phoneticPr fontId="1"/>
  </si>
  <si>
    <t>SSR</t>
    <phoneticPr fontId="1"/>
  </si>
  <si>
    <t>超攻撃ガチャ</t>
    <rPh sb="0" eb="1">
      <t>チョウ</t>
    </rPh>
    <rPh sb="1" eb="3">
      <t>コウゲキ</t>
    </rPh>
    <phoneticPr fontId="1"/>
  </si>
  <si>
    <t>7/21 12:00～7/25 11:59</t>
    <phoneticPr fontId="1"/>
  </si>
  <si>
    <t>中国・四国</t>
    <rPh sb="0" eb="2">
      <t>チュウゴク</t>
    </rPh>
    <rPh sb="3" eb="5">
      <t>シコク</t>
    </rPh>
    <phoneticPr fontId="1"/>
  </si>
  <si>
    <t>かーにばるいずものおくに</t>
    <phoneticPr fontId="1"/>
  </si>
  <si>
    <t>諸国を巡るかぶき踊り</t>
    <phoneticPr fontId="1"/>
  </si>
  <si>
    <t>タイプ妖怪・名物の攻30％UP　/　タイプ神秘・知性派・飲食の攻12％UP</t>
    <phoneticPr fontId="1"/>
  </si>
  <si>
    <t>中部</t>
    <rPh sb="0" eb="2">
      <t>チュウブ</t>
    </rPh>
    <phoneticPr fontId="1"/>
  </si>
  <si>
    <t>なつふぇすやまかわとみこ</t>
    <phoneticPr fontId="1"/>
  </si>
  <si>
    <t>真夏の爆音白百合姫</t>
    <phoneticPr fontId="1"/>
  </si>
  <si>
    <t>タイプ妖怪・名物の攻50％UP　/　タイプ【偉人】の攻35％UP</t>
    <phoneticPr fontId="1"/>
  </si>
  <si>
    <t>48283_0</t>
    <phoneticPr fontId="1"/>
  </si>
  <si>
    <t>65713_0</t>
    <phoneticPr fontId="1"/>
  </si>
  <si>
    <t>71403_0</t>
    <phoneticPr fontId="1"/>
  </si>
  <si>
    <t>豪華玉手箱ガチャ</t>
    <rPh sb="0" eb="2">
      <t>ゴウカ</t>
    </rPh>
    <rPh sb="2" eb="5">
      <t>タマテバコ</t>
    </rPh>
    <phoneticPr fontId="1"/>
  </si>
  <si>
    <t>7/22 15:00～7/22 23:59</t>
    <phoneticPr fontId="1"/>
  </si>
  <si>
    <t>74593_0</t>
    <phoneticPr fontId="1"/>
  </si>
  <si>
    <t>超防御ガチャ</t>
    <rPh sb="0" eb="1">
      <t>チョウ</t>
    </rPh>
    <rPh sb="1" eb="3">
      <t>ボウギョ</t>
    </rPh>
    <phoneticPr fontId="1"/>
  </si>
  <si>
    <t>7/22 12:00～7/25 11:59</t>
    <phoneticPr fontId="1"/>
  </si>
  <si>
    <t>69593_0</t>
    <phoneticPr fontId="1"/>
  </si>
  <si>
    <t>63173_0</t>
    <phoneticPr fontId="1"/>
  </si>
  <si>
    <t>39933_0</t>
    <phoneticPr fontId="1"/>
  </si>
  <si>
    <t>ぶきびーどろざいくちゃん</t>
    <phoneticPr fontId="1"/>
  </si>
  <si>
    <t>暗き曇天に轟く雷鳴</t>
    <phoneticPr fontId="1"/>
  </si>
  <si>
    <t>タイプ【偉人】の防40％UP　/　タイプ妖怪・名物の防15％UP</t>
    <phoneticPr fontId="1"/>
  </si>
  <si>
    <t>しんせいこうげつのわ</t>
    <phoneticPr fontId="1"/>
  </si>
  <si>
    <t>白馬との友愛美</t>
    <phoneticPr fontId="1"/>
  </si>
  <si>
    <t>タイプ武人・姫の防30％UP　/　タイプ【伝承】の防10％UP</t>
    <phoneticPr fontId="1"/>
  </si>
  <si>
    <t>なつふぇすきょうごくいちこ</t>
    <phoneticPr fontId="1"/>
  </si>
  <si>
    <t>知性派</t>
    <phoneticPr fontId="1"/>
  </si>
  <si>
    <t>真夏の夜の涙草</t>
    <phoneticPr fontId="1"/>
  </si>
  <si>
    <t>タイプ神秘・知性派・飲食の防40％UP　/　タイプ伝承・武人・姫の攻10％DOWN</t>
    <phoneticPr fontId="1"/>
  </si>
  <si>
    <t>祝来！宝船福引ガチャ</t>
    <rPh sb="0" eb="2">
      <t>シュクライ</t>
    </rPh>
    <rPh sb="3" eb="7">
      <t>タカラブネフクビキ</t>
    </rPh>
    <phoneticPr fontId="1"/>
  </si>
  <si>
    <t>7/23 12:00～7/24 11:59</t>
    <phoneticPr fontId="1"/>
  </si>
  <si>
    <t>77963_0</t>
    <phoneticPr fontId="1"/>
  </si>
  <si>
    <t>59673_0</t>
    <phoneticPr fontId="1"/>
  </si>
  <si>
    <t>7/24 18:00～7/24 21:59</t>
    <phoneticPr fontId="1"/>
  </si>
  <si>
    <t>むうひめ</t>
    <phoneticPr fontId="1"/>
  </si>
  <si>
    <t>7/24 11:00～7/24 23:59</t>
    <phoneticPr fontId="1"/>
  </si>
  <si>
    <t>72963_0</t>
    <phoneticPr fontId="1"/>
  </si>
  <si>
    <t>49953_0</t>
    <phoneticPr fontId="1"/>
  </si>
  <si>
    <t>SR</t>
    <phoneticPr fontId="1"/>
  </si>
  <si>
    <t>HR</t>
    <phoneticPr fontId="1"/>
  </si>
  <si>
    <t>しんせいすいーとぴー</t>
    <phoneticPr fontId="1"/>
  </si>
  <si>
    <t>色彩豊かな蝶形花</t>
    <phoneticPr fontId="1"/>
  </si>
  <si>
    <t>タイプ偉人・妖怪の防25％UP</t>
    <phoneticPr fontId="1"/>
  </si>
  <si>
    <t>R</t>
    <phoneticPr fontId="1"/>
  </si>
  <si>
    <t>京都</t>
    <rPh sb="0" eb="2">
      <t>キョウト</t>
    </rPh>
    <phoneticPr fontId="1"/>
  </si>
  <si>
    <t>しんせいかわあそびびーだまちゃん</t>
    <phoneticPr fontId="1"/>
  </si>
  <si>
    <t>光と水飛沫の煌めき</t>
    <phoneticPr fontId="1"/>
  </si>
  <si>
    <t>タイプ【武人】の攻20％UP</t>
    <phoneticPr fontId="1"/>
  </si>
  <si>
    <t>7/25 20:00～7/25 23:59</t>
    <phoneticPr fontId="1"/>
  </si>
  <si>
    <t>天下統一戦 芸術家のおすすめミルクガチャ</t>
    <rPh sb="0" eb="2">
      <t>テンカ</t>
    </rPh>
    <rPh sb="2" eb="4">
      <t>トウイツ</t>
    </rPh>
    <rPh sb="4" eb="5">
      <t>セン</t>
    </rPh>
    <phoneticPr fontId="1"/>
  </si>
  <si>
    <t>(DX)7/25 12:00～7/31 19:59</t>
    <phoneticPr fontId="1"/>
  </si>
  <si>
    <t>SSR</t>
    <phoneticPr fontId="1"/>
  </si>
  <si>
    <t>SR</t>
    <phoneticPr fontId="1"/>
  </si>
  <si>
    <t>HR</t>
    <phoneticPr fontId="1"/>
  </si>
  <si>
    <t>R</t>
    <phoneticPr fontId="1"/>
  </si>
  <si>
    <t>関東</t>
    <rPh sb="0" eb="2">
      <t>カントウ</t>
    </rPh>
    <phoneticPr fontId="1"/>
  </si>
  <si>
    <t>中部</t>
    <rPh sb="0" eb="2">
      <t>チュウブ</t>
    </rPh>
    <phoneticPr fontId="1"/>
  </si>
  <si>
    <t>滋賀</t>
    <rPh sb="0" eb="2">
      <t>シガ</t>
    </rPh>
    <phoneticPr fontId="1"/>
  </si>
  <si>
    <t>北海道・東北</t>
    <rPh sb="0" eb="3">
      <t>ホッカイドウ</t>
    </rPh>
    <rPh sb="4" eb="6">
      <t>トウホク</t>
    </rPh>
    <phoneticPr fontId="1"/>
  </si>
  <si>
    <t>ふれっしゅみるくらぐーざたま</t>
    <phoneticPr fontId="1"/>
  </si>
  <si>
    <t>知性派</t>
    <phoneticPr fontId="1"/>
  </si>
  <si>
    <t>芸術的牛乳生活</t>
    <phoneticPr fontId="1"/>
  </si>
  <si>
    <t>タイプ神秘・知性派・飲食の防40％UP　/　タイプ伝承・武人・姫の攻10％DOWN</t>
    <phoneticPr fontId="1"/>
  </si>
  <si>
    <t>しんせいろーどばいくはしもとさない</t>
    <phoneticPr fontId="1"/>
  </si>
  <si>
    <t>偉人</t>
    <phoneticPr fontId="1"/>
  </si>
  <si>
    <t>勝負に挑む先覚者</t>
    <phoneticPr fontId="1"/>
  </si>
  <si>
    <t>タイプ妖怪・名物の攻30％UP　/　タイプ【偉人】の攻10％UP</t>
    <phoneticPr fontId="1"/>
  </si>
  <si>
    <t>しんせいかたしゃりん</t>
    <phoneticPr fontId="1"/>
  </si>
  <si>
    <t>好奇心の代償</t>
    <phoneticPr fontId="1"/>
  </si>
  <si>
    <t>タイプ偉人・名物の防20％UP</t>
    <phoneticPr fontId="1"/>
  </si>
  <si>
    <t>しんせいらうんどがーるほっかいどうぎゅうにゅうちゃん</t>
    <phoneticPr fontId="1"/>
  </si>
  <si>
    <t>飲食</t>
    <phoneticPr fontId="1"/>
  </si>
  <si>
    <t>燃えたぎるような熱き牛乳を</t>
    <phoneticPr fontId="1"/>
  </si>
  <si>
    <t>タイプ【知性派】の攻20％UP</t>
    <phoneticPr fontId="1"/>
  </si>
  <si>
    <t>7/23 18:00～7/25 23:59</t>
    <phoneticPr fontId="1"/>
  </si>
  <si>
    <t>戦神ガチャ</t>
    <rPh sb="0" eb="2">
      <t>センシン</t>
    </rPh>
    <phoneticPr fontId="1"/>
  </si>
  <si>
    <t>7/26 11:00～7/28 11:59</t>
    <phoneticPr fontId="1"/>
  </si>
  <si>
    <t>祝来！宝船福引ガチャ</t>
    <rPh sb="0" eb="1">
      <t>シュク</t>
    </rPh>
    <rPh sb="1" eb="2">
      <t>ライ</t>
    </rPh>
    <rPh sb="3" eb="5">
      <t>タカラブネ</t>
    </rPh>
    <rPh sb="5" eb="7">
      <t>フクビキ</t>
    </rPh>
    <phoneticPr fontId="1"/>
  </si>
  <si>
    <t>7/26 12:00～7/27 11:59</t>
    <phoneticPr fontId="1"/>
  </si>
  <si>
    <t>77173_0</t>
    <phoneticPr fontId="1"/>
  </si>
  <si>
    <t>68783_0</t>
    <phoneticPr fontId="1"/>
  </si>
  <si>
    <t>天下統一戦 英雄ガチャ</t>
    <rPh sb="0" eb="2">
      <t>テンカ</t>
    </rPh>
    <rPh sb="2" eb="4">
      <t>トウイツ</t>
    </rPh>
    <rPh sb="4" eb="5">
      <t>セン</t>
    </rPh>
    <rPh sb="6" eb="8">
      <t>エイユウ</t>
    </rPh>
    <phoneticPr fontId="1"/>
  </si>
  <si>
    <t>7/27 11:00～7/27 23:59</t>
    <phoneticPr fontId="1"/>
  </si>
  <si>
    <t>55313_0</t>
    <phoneticPr fontId="1"/>
  </si>
  <si>
    <t>72233_0</t>
    <phoneticPr fontId="1"/>
  </si>
  <si>
    <t>40913_0</t>
    <phoneticPr fontId="1"/>
  </si>
  <si>
    <t>天撃皆伝ガチャ</t>
    <rPh sb="0" eb="1">
      <t>テン</t>
    </rPh>
    <rPh sb="1" eb="2">
      <t>ゲキ</t>
    </rPh>
    <rPh sb="2" eb="4">
      <t>カイデン</t>
    </rPh>
    <phoneticPr fontId="1"/>
  </si>
  <si>
    <t>73773_0</t>
    <phoneticPr fontId="1"/>
  </si>
  <si>
    <t>7/27 18:00～7/29 23:59</t>
    <phoneticPr fontId="1"/>
  </si>
  <si>
    <t>64953_0</t>
    <phoneticPr fontId="1"/>
  </si>
  <si>
    <t>40343_0</t>
    <phoneticPr fontId="1"/>
  </si>
  <si>
    <t>祝来！宝船福引ガチャ</t>
    <rPh sb="0" eb="2">
      <t>シュクライ</t>
    </rPh>
    <rPh sb="3" eb="7">
      <t>タカラブネフクビキ</t>
    </rPh>
    <phoneticPr fontId="1"/>
  </si>
  <si>
    <t>7/28 12:00～7/29 11:59</t>
    <phoneticPr fontId="1"/>
  </si>
  <si>
    <t>夏休みの友福引ガチャ</t>
    <rPh sb="0" eb="2">
      <t>ナツヤス</t>
    </rPh>
    <rPh sb="4" eb="5">
      <t>トモ</t>
    </rPh>
    <rPh sb="5" eb="7">
      <t>フクビキ</t>
    </rPh>
    <phoneticPr fontId="1"/>
  </si>
  <si>
    <t>無所属</t>
    <rPh sb="0" eb="3">
      <t>ムショゾク</t>
    </rPh>
    <phoneticPr fontId="1"/>
  </si>
  <si>
    <t>なつやすみのともちゃん</t>
    <phoneticPr fontId="1"/>
  </si>
  <si>
    <t>名物</t>
    <rPh sb="0" eb="2">
      <t>メイブツ</t>
    </rPh>
    <phoneticPr fontId="1"/>
  </si>
  <si>
    <t>友達は夏の猛暑とともに</t>
    <phoneticPr fontId="1"/>
  </si>
  <si>
    <t>全タイプの攻30％UP</t>
    <phoneticPr fontId="1"/>
  </si>
  <si>
    <t>せんごくうみびらきるびー</t>
    <phoneticPr fontId="1"/>
  </si>
  <si>
    <t>透明度誇る赤い情熱</t>
    <phoneticPr fontId="1"/>
  </si>
  <si>
    <t>タイプ偉人・妖怪・伝承の攻40％UP　/　タイプ【名物】の攻30％UP</t>
    <phoneticPr fontId="1"/>
  </si>
  <si>
    <t>所属一致ボーナス120％UP</t>
    <phoneticPr fontId="1"/>
  </si>
  <si>
    <t>メインデッキの自地方隊士の所属一致ボーナスを120％UP（全国・東西日本所属は除く）</t>
    <phoneticPr fontId="1"/>
  </si>
  <si>
    <t>せんごくうみびらききんめだい</t>
    <phoneticPr fontId="1"/>
  </si>
  <si>
    <t>金色に輝く大きな瞳</t>
    <phoneticPr fontId="1"/>
  </si>
  <si>
    <t>タイプ偉人・神秘の防50％UP　/　タイプ知性派・飲食の防30％UP</t>
    <phoneticPr fontId="1"/>
  </si>
  <si>
    <t>SR</t>
    <phoneticPr fontId="1"/>
  </si>
  <si>
    <t>うみびらききつねのほうじゅ</t>
    <phoneticPr fontId="1"/>
  </si>
  <si>
    <t>夏を照らす宝珠</t>
    <phoneticPr fontId="1"/>
  </si>
  <si>
    <t>タイプ武人・姫の防35％UP　/　タイプ【伝承】の防20％UP</t>
    <phoneticPr fontId="1"/>
  </si>
  <si>
    <t>なつゆうえんちもものはすい</t>
    <phoneticPr fontId="1"/>
  </si>
  <si>
    <t>名物</t>
    <phoneticPr fontId="1"/>
  </si>
  <si>
    <t>桃色スプラッシュ！！</t>
    <phoneticPr fontId="1"/>
  </si>
  <si>
    <t>タイプ偉人・妖怪の攻35％UP　/　タイプ【名物】の攻20％UP</t>
    <phoneticPr fontId="1"/>
  </si>
  <si>
    <t>ぱわーすぽっとむらさきいもたるとちゃん</t>
    <phoneticPr fontId="1"/>
  </si>
  <si>
    <t>優しい甘さでパワーアップ！</t>
    <phoneticPr fontId="1"/>
  </si>
  <si>
    <t>タイプ【神秘】の防30％UP　/　タイプ飲食・知性派・姫・伝承の防20％UP</t>
    <phoneticPr fontId="1"/>
  </si>
  <si>
    <t>7/28 15:00～7/29 23:59</t>
    <phoneticPr fontId="1"/>
  </si>
  <si>
    <t>豪華玉手箱ガチャ</t>
    <rPh sb="0" eb="2">
      <t>ゴウカ</t>
    </rPh>
    <rPh sb="2" eb="5">
      <t>タマテバコ</t>
    </rPh>
    <phoneticPr fontId="1"/>
  </si>
  <si>
    <t>7/29 15:00～7/29 23:59</t>
    <phoneticPr fontId="1"/>
  </si>
  <si>
    <t>57733_0</t>
    <phoneticPr fontId="1"/>
  </si>
  <si>
    <t>7/29 18:00～7/31 23:59</t>
    <phoneticPr fontId="1"/>
  </si>
  <si>
    <t>古豪戦傑ガチャ</t>
    <rPh sb="0" eb="4">
      <t>コゴウセンケツ</t>
    </rPh>
    <phoneticPr fontId="1"/>
  </si>
  <si>
    <t>知性派</t>
    <phoneticPr fontId="1"/>
  </si>
  <si>
    <t>氷上を舞う文筆女史</t>
    <phoneticPr fontId="1"/>
  </si>
  <si>
    <t>タイプ神秘・知性派・飲食の防40％UP　/　タイプ伝承・武人・姫の攻10％DOWN</t>
    <phoneticPr fontId="1"/>
  </si>
  <si>
    <t>うぃんたーすぽーつきむらあけぼの</t>
    <phoneticPr fontId="1"/>
  </si>
  <si>
    <t>ふらわーぱーくうらしま</t>
    <phoneticPr fontId="1"/>
  </si>
  <si>
    <t>満開のマーガレット</t>
    <phoneticPr fontId="1"/>
  </si>
  <si>
    <t>タイプ偉人・妖怪・名物の攻35％UP　/　タイプ伝承・武人・姫の防15％DOWN</t>
    <phoneticPr fontId="1"/>
  </si>
  <si>
    <t>やまがーるあきあかいてるこ</t>
    <phoneticPr fontId="1"/>
  </si>
  <si>
    <t>武人</t>
    <phoneticPr fontId="1"/>
  </si>
  <si>
    <t>ぐんま百名山制覇</t>
    <phoneticPr fontId="1"/>
  </si>
  <si>
    <t>タイプ【伝承】の防30％UP　/　タイプ武人・姫の防15％UP</t>
    <phoneticPr fontId="1"/>
  </si>
  <si>
    <t>祝来！宝船福引ガチャ</t>
    <rPh sb="0" eb="1">
      <t>シュク</t>
    </rPh>
    <rPh sb="1" eb="2">
      <t>ライ</t>
    </rPh>
    <rPh sb="3" eb="5">
      <t>タカラブネ</t>
    </rPh>
    <rPh sb="5" eb="7">
      <t>フクビキ</t>
    </rPh>
    <phoneticPr fontId="1"/>
  </si>
  <si>
    <t>7/30 12:00～7/31 11:59</t>
    <phoneticPr fontId="1"/>
  </si>
  <si>
    <t>豪華玉手箱ガチャ</t>
    <rPh sb="0" eb="2">
      <t>ゴウカ</t>
    </rPh>
    <rPh sb="2" eb="5">
      <t>タマテバコ</t>
    </rPh>
    <phoneticPr fontId="1"/>
  </si>
  <si>
    <t>7/30 15:00～7/30 23:59</t>
    <phoneticPr fontId="1"/>
  </si>
  <si>
    <t>7/30 18:00～7/30 21:59</t>
    <phoneticPr fontId="1"/>
  </si>
  <si>
    <t>あかした</t>
    <phoneticPr fontId="1"/>
  </si>
  <si>
    <t>復活！5進化隊士ガチャ</t>
    <rPh sb="0" eb="2">
      <t>フッカツ</t>
    </rPh>
    <rPh sb="4" eb="6">
      <t>シンカ</t>
    </rPh>
    <rPh sb="6" eb="8">
      <t>タイシ</t>
    </rPh>
    <phoneticPr fontId="1"/>
  </si>
  <si>
    <t>7/31 11:00～7/31 23:59</t>
    <phoneticPr fontId="1"/>
  </si>
  <si>
    <t>SSR</t>
    <phoneticPr fontId="1"/>
  </si>
  <si>
    <t>SR</t>
    <phoneticPr fontId="1"/>
  </si>
  <si>
    <t>5進</t>
    <rPh sb="1" eb="2">
      <t>シン</t>
    </rPh>
    <phoneticPr fontId="1"/>
  </si>
  <si>
    <t>3進</t>
    <rPh sb="1" eb="2">
      <t>シン</t>
    </rPh>
    <phoneticPr fontId="1"/>
  </si>
  <si>
    <t>1進</t>
    <rPh sb="1" eb="2">
      <t>シン</t>
    </rPh>
    <phoneticPr fontId="1"/>
  </si>
  <si>
    <t>知性派</t>
    <rPh sb="0" eb="2">
      <t>チセイ</t>
    </rPh>
    <rPh sb="2" eb="3">
      <t>ハ</t>
    </rPh>
    <phoneticPr fontId="1"/>
  </si>
  <si>
    <t>恋を載せた銀翼</t>
    <rPh sb="0" eb="1">
      <t>コイ</t>
    </rPh>
    <rPh sb="2" eb="3">
      <t>ノ</t>
    </rPh>
    <rPh sb="5" eb="7">
      <t>ギンヨク</t>
    </rPh>
    <phoneticPr fontId="1"/>
  </si>
  <si>
    <t>(DX)8/1 0:00～8/4 11:59</t>
    <phoneticPr fontId="1"/>
  </si>
  <si>
    <t>82963_0</t>
    <phoneticPr fontId="1"/>
  </si>
  <si>
    <t>ゆかたまつりともかずき</t>
    <phoneticPr fontId="1"/>
  </si>
  <si>
    <t>妖怪</t>
    <phoneticPr fontId="1"/>
  </si>
  <si>
    <t>海妖怪と金魚の真剣勝負</t>
    <phoneticPr fontId="1"/>
  </si>
  <si>
    <t>タイプ偉人・名物の防50％UP　/　タイプ【妖怪】の防45％UP</t>
    <phoneticPr fontId="1"/>
  </si>
  <si>
    <t>一定時間、味方全体の攻撃ptの消費を軽減し、自身に付与されている戦技効果の時間を延長する</t>
    <phoneticPr fontId="1"/>
  </si>
  <si>
    <t>北海道・東北</t>
    <rPh sb="0" eb="3">
      <t>ホッカイドウ</t>
    </rPh>
    <rPh sb="4" eb="6">
      <t>トウホク</t>
    </rPh>
    <phoneticPr fontId="1"/>
  </si>
  <si>
    <t>ゆかたまつりそのべひでお</t>
    <phoneticPr fontId="1"/>
  </si>
  <si>
    <t>偉人</t>
    <phoneticPr fontId="1"/>
  </si>
  <si>
    <t>夏祭りの美人狙撃家</t>
    <phoneticPr fontId="1"/>
  </si>
  <si>
    <t>タイプ【名物】の攻55％UP　/　タイプ偉人・妖怪の攻40％UP</t>
    <phoneticPr fontId="1"/>
  </si>
  <si>
    <t>近畿</t>
    <rPh sb="0" eb="2">
      <t>キンキ</t>
    </rPh>
    <phoneticPr fontId="1"/>
  </si>
  <si>
    <t>ゆかたまつりくじょうたけこ</t>
    <phoneticPr fontId="1"/>
  </si>
  <si>
    <t>知性派</t>
    <phoneticPr fontId="1"/>
  </si>
  <si>
    <t>タイプ神秘・知性派・飲食の防40％UP　/　タイプ伝承・武人・姫の攻10％DOWN</t>
    <phoneticPr fontId="1"/>
  </si>
  <si>
    <t>儚く美しい大正美人の火花</t>
    <phoneticPr fontId="1"/>
  </si>
  <si>
    <t>九州・沖縄</t>
    <rPh sb="0" eb="2">
      <t>キュウシュウ</t>
    </rPh>
    <rPh sb="3" eb="5">
      <t>オキナワ</t>
    </rPh>
    <phoneticPr fontId="1"/>
  </si>
  <si>
    <t>神秘</t>
    <rPh sb="0" eb="2">
      <t>シンピ</t>
    </rPh>
    <phoneticPr fontId="1"/>
  </si>
  <si>
    <t>ゆかたまつりむなかたさんじょじん</t>
    <phoneticPr fontId="1"/>
  </si>
  <si>
    <t>タイプ伝承・武人・姫の防80％DOWN　/　タイプ知性派・飲食の攻25％UP</t>
    <phoneticPr fontId="1"/>
  </si>
  <si>
    <t>三女神の屋台グルメ完全制覇</t>
    <phoneticPr fontId="1"/>
  </si>
  <si>
    <t>関東</t>
    <rPh sb="0" eb="2">
      <t>カントウ</t>
    </rPh>
    <phoneticPr fontId="1"/>
  </si>
  <si>
    <t>姫</t>
    <rPh sb="0" eb="1">
      <t>ヒメ</t>
    </rPh>
    <phoneticPr fontId="1"/>
  </si>
  <si>
    <t>しんせいなつまつりかいひめ</t>
    <phoneticPr fontId="1"/>
  </si>
  <si>
    <t>タイプ武人・伝承の攻35％UP　/　タイプ【姫】の攻20％UP</t>
    <phoneticPr fontId="1"/>
  </si>
  <si>
    <t>忍の浮き屋形船</t>
    <phoneticPr fontId="1"/>
  </si>
  <si>
    <t>中国・四国</t>
    <rPh sb="0" eb="2">
      <t>チュウゴク</t>
    </rPh>
    <rPh sb="3" eb="5">
      <t>シコク</t>
    </rPh>
    <phoneticPr fontId="1"/>
  </si>
  <si>
    <t>飲食</t>
    <rPh sb="0" eb="2">
      <t>インショク</t>
    </rPh>
    <phoneticPr fontId="1"/>
  </si>
  <si>
    <t>しんせいなつまつりかもみーるちゃん</t>
    <phoneticPr fontId="1"/>
  </si>
  <si>
    <t>心癒す灯りと香り</t>
    <phoneticPr fontId="1"/>
  </si>
  <si>
    <t>タイプ神秘・知性派の防35％UP　/　タイプ【飲食】の防20％UP</t>
    <phoneticPr fontId="1"/>
  </si>
  <si>
    <t>中部</t>
    <rPh sb="0" eb="2">
      <t>チュウブ</t>
    </rPh>
    <phoneticPr fontId="1"/>
  </si>
  <si>
    <t>伝承</t>
    <rPh sb="0" eb="2">
      <t>デンショウ</t>
    </rPh>
    <phoneticPr fontId="1"/>
  </si>
  <si>
    <t>しんせいゆかたたまやのつばき</t>
    <phoneticPr fontId="1"/>
  </si>
  <si>
    <t>タイプ武人・姫の攻35％UP　/　タイプ【伝承】の攻20％UP</t>
    <phoneticPr fontId="1"/>
  </si>
  <si>
    <t>金銀輝く椿のオーラ</t>
    <phoneticPr fontId="1"/>
  </si>
  <si>
    <t>無所属</t>
    <rPh sb="0" eb="3">
      <t>ムショゾク</t>
    </rPh>
    <phoneticPr fontId="1"/>
  </si>
  <si>
    <t>名物</t>
    <rPh sb="0" eb="2">
      <t>メイブツ</t>
    </rPh>
    <phoneticPr fontId="1"/>
  </si>
  <si>
    <t>しんせいまつりおこじょ</t>
    <phoneticPr fontId="1"/>
  </si>
  <si>
    <t>タイプ偉人・妖怪の防25％UP</t>
    <phoneticPr fontId="1"/>
  </si>
  <si>
    <t xml:space="preserve">お祭り界の縁の下 </t>
    <phoneticPr fontId="1"/>
  </si>
  <si>
    <t>しんせいなつまつりりょくそうがめ</t>
    <phoneticPr fontId="1"/>
  </si>
  <si>
    <t>タイプ知性派・飲食の攻25％UP</t>
    <phoneticPr fontId="1"/>
  </si>
  <si>
    <t>熱気と高揚の夏祭り</t>
    <phoneticPr fontId="1"/>
  </si>
  <si>
    <t>岐阜</t>
    <rPh sb="0" eb="2">
      <t>ギフ</t>
    </rPh>
    <phoneticPr fontId="1"/>
  </si>
  <si>
    <t>しんせいなつまつりさるぼぼ</t>
    <phoneticPr fontId="1"/>
  </si>
  <si>
    <t>縁日の超目玉商品</t>
    <phoneticPr fontId="1"/>
  </si>
  <si>
    <t>鹿児島</t>
    <rPh sb="0" eb="3">
      <t>カゴシマ</t>
    </rPh>
    <phoneticPr fontId="1"/>
  </si>
  <si>
    <t>しんせいなつまつりたねがしましげとき</t>
    <phoneticPr fontId="1"/>
  </si>
  <si>
    <t>武人</t>
    <rPh sb="0" eb="2">
      <t>ブジン</t>
    </rPh>
    <phoneticPr fontId="1"/>
  </si>
  <si>
    <t>縁日騒がす鉄砲伝来</t>
    <phoneticPr fontId="1"/>
  </si>
  <si>
    <t>タイプ【伝承】の防25％UP</t>
    <phoneticPr fontId="1"/>
  </si>
  <si>
    <t>タイプ【妖怪】の攻25％UP</t>
    <phoneticPr fontId="1"/>
  </si>
  <si>
    <t>防衛戦 華やぐ屋台と夏祭りガチャ</t>
    <rPh sb="0" eb="3">
      <t>ボウエイセン</t>
    </rPh>
    <phoneticPr fontId="1"/>
  </si>
  <si>
    <t>8/2 12:00～8/3 23:59</t>
    <phoneticPr fontId="1"/>
  </si>
  <si>
    <t>きょうふのびょうとうはくつる</t>
    <phoneticPr fontId="1"/>
  </si>
  <si>
    <t>伝承</t>
    <phoneticPr fontId="1"/>
  </si>
  <si>
    <t>タイプ武人・姫の防100％DOWN　/　タイプ武人・伝承の攻20％UP</t>
    <phoneticPr fontId="1"/>
  </si>
  <si>
    <t>廃病院の異類恐怖譚</t>
    <phoneticPr fontId="1"/>
  </si>
  <si>
    <t>東日本</t>
    <rPh sb="0" eb="1">
      <t>ヒガシ</t>
    </rPh>
    <rPh sb="1" eb="3">
      <t>ニホン</t>
    </rPh>
    <phoneticPr fontId="1"/>
  </si>
  <si>
    <t>タイプ【姫】の防20％DOWN　/　タイプ武人・伝承の攻10％UP</t>
    <phoneticPr fontId="1"/>
  </si>
  <si>
    <t>タイプ武人・姫の防50％DOWN　/　タイプ武人・伝承の攻15％UP</t>
    <phoneticPr fontId="1"/>
  </si>
  <si>
    <t>超攻再臨ガチャ</t>
    <rPh sb="0" eb="1">
      <t>チョウ</t>
    </rPh>
    <rPh sb="1" eb="2">
      <t>コウ</t>
    </rPh>
    <rPh sb="2" eb="4">
      <t>サイリン</t>
    </rPh>
    <phoneticPr fontId="1"/>
  </si>
  <si>
    <t>8/2 18:00～8/4 23:59</t>
    <phoneticPr fontId="1"/>
  </si>
  <si>
    <t>55313_0</t>
    <phoneticPr fontId="1"/>
  </si>
  <si>
    <t>8/3 12:00～8/4 11:59</t>
    <phoneticPr fontId="1"/>
  </si>
  <si>
    <t>8/3 18:00～8/3 21:59</t>
    <phoneticPr fontId="1"/>
  </si>
  <si>
    <t>80023_0</t>
    <phoneticPr fontId="1"/>
  </si>
  <si>
    <t>防衛戦 正体を暴け！女神ナースの潜入捜査ガチャ</t>
    <rPh sb="0" eb="3">
      <t>ボウエイセン</t>
    </rPh>
    <rPh sb="4" eb="6">
      <t>ショウタイ</t>
    </rPh>
    <rPh sb="7" eb="8">
      <t>アバ</t>
    </rPh>
    <rPh sb="10" eb="12">
      <t>メガミ</t>
    </rPh>
    <rPh sb="16" eb="18">
      <t>センニュウ</t>
    </rPh>
    <rPh sb="18" eb="20">
      <t>ソウサ</t>
    </rPh>
    <phoneticPr fontId="1"/>
  </si>
  <si>
    <t>(DX)8/4 12:00～8/8 11:59</t>
    <phoneticPr fontId="1"/>
  </si>
  <si>
    <t>SSR</t>
    <phoneticPr fontId="1"/>
  </si>
  <si>
    <t>中国・四国</t>
    <rPh sb="0" eb="2">
      <t>チュウゴク</t>
    </rPh>
    <rPh sb="3" eb="5">
      <t>シコク</t>
    </rPh>
    <phoneticPr fontId="1"/>
  </si>
  <si>
    <t>きょうふのびょうとうすせりびめ</t>
    <phoneticPr fontId="1"/>
  </si>
  <si>
    <t>神秘</t>
    <rPh sb="0" eb="2">
      <t>シンピ</t>
    </rPh>
    <phoneticPr fontId="1"/>
  </si>
  <si>
    <t>恐怖に抗する嫉妬心</t>
    <rPh sb="0" eb="2">
      <t>キョウフ</t>
    </rPh>
    <rPh sb="3" eb="4">
      <t>コウ</t>
    </rPh>
    <rPh sb="6" eb="9">
      <t>シットシン</t>
    </rPh>
    <phoneticPr fontId="1"/>
  </si>
  <si>
    <t>SR</t>
    <phoneticPr fontId="1"/>
  </si>
  <si>
    <t>HR</t>
    <phoneticPr fontId="1"/>
  </si>
  <si>
    <t>R</t>
    <phoneticPr fontId="1"/>
  </si>
  <si>
    <t>しんせいおばけやしきおちひめ</t>
    <phoneticPr fontId="1"/>
  </si>
  <si>
    <t>九州・沖縄</t>
    <rPh sb="0" eb="2">
      <t>キュウシュウ</t>
    </rPh>
    <rPh sb="3" eb="5">
      <t>オキナワ</t>
    </rPh>
    <phoneticPr fontId="1"/>
  </si>
  <si>
    <t>伝承</t>
    <rPh sb="0" eb="2">
      <t>デンショウ</t>
    </rPh>
    <phoneticPr fontId="1"/>
  </si>
  <si>
    <t>廃病院の守り神</t>
    <rPh sb="0" eb="1">
      <t>ハイ</t>
    </rPh>
    <rPh sb="1" eb="3">
      <t>ビョウイン</t>
    </rPh>
    <rPh sb="4" eb="5">
      <t>マモ</t>
    </rPh>
    <rPh sb="6" eb="7">
      <t>ガミ</t>
    </rPh>
    <phoneticPr fontId="1"/>
  </si>
  <si>
    <t>北海道・東北</t>
    <rPh sb="0" eb="3">
      <t>ホッカイドウ</t>
    </rPh>
    <rPh sb="4" eb="6">
      <t>トウホク</t>
    </rPh>
    <phoneticPr fontId="1"/>
  </si>
  <si>
    <t>飲食</t>
    <rPh sb="0" eb="2">
      <t>インショク</t>
    </rPh>
    <phoneticPr fontId="1"/>
  </si>
  <si>
    <t>悪戯好きな双子お化け</t>
    <rPh sb="0" eb="2">
      <t>イタズラ</t>
    </rPh>
    <rPh sb="2" eb="3">
      <t>ス</t>
    </rPh>
    <rPh sb="5" eb="7">
      <t>フタゴ</t>
    </rPh>
    <rPh sb="8" eb="9">
      <t>バ</t>
    </rPh>
    <phoneticPr fontId="1"/>
  </si>
  <si>
    <t>しんせいおばけやしきさくらんぼちゃん</t>
    <phoneticPr fontId="1"/>
  </si>
  <si>
    <t>兵庫</t>
    <rPh sb="0" eb="2">
      <t>ヒョウゴ</t>
    </rPh>
    <phoneticPr fontId="1"/>
  </si>
  <si>
    <t>しんせいもんすたーきのこ</t>
    <phoneticPr fontId="1"/>
  </si>
  <si>
    <t>妖怪</t>
    <rPh sb="0" eb="2">
      <t>ヨウカイ</t>
    </rPh>
    <phoneticPr fontId="1"/>
  </si>
  <si>
    <t>悪戯キノコは蛇使い</t>
    <rPh sb="0" eb="2">
      <t>イタズラ</t>
    </rPh>
    <rPh sb="6" eb="7">
      <t>ヘビ</t>
    </rPh>
    <rPh sb="7" eb="8">
      <t>ツカ</t>
    </rPh>
    <phoneticPr fontId="1"/>
  </si>
  <si>
    <t>天幻来迎ガチャ</t>
    <rPh sb="0" eb="1">
      <t>テン</t>
    </rPh>
    <rPh sb="1" eb="2">
      <t>ゲン</t>
    </rPh>
    <rPh sb="2" eb="4">
      <t>ライゴウ</t>
    </rPh>
    <phoneticPr fontId="1"/>
  </si>
  <si>
    <t>8/4 18:00～8/6 23:59</t>
    <phoneticPr fontId="1"/>
  </si>
  <si>
    <t>68033_0</t>
    <phoneticPr fontId="1"/>
  </si>
  <si>
    <t>中部</t>
    <rPh sb="0" eb="2">
      <t>チュウブ</t>
    </rPh>
    <phoneticPr fontId="1"/>
  </si>
  <si>
    <t>こいのぼりほうせきちゃん</t>
    <phoneticPr fontId="1"/>
  </si>
  <si>
    <t>名物</t>
    <rPh sb="0" eb="2">
      <t>メイブツ</t>
    </rPh>
    <phoneticPr fontId="1"/>
  </si>
  <si>
    <t>大空に舞う透き通りし鯉</t>
    <rPh sb="0" eb="2">
      <t>オオゾラ</t>
    </rPh>
    <rPh sb="3" eb="4">
      <t>マ</t>
    </rPh>
    <rPh sb="5" eb="6">
      <t>ス</t>
    </rPh>
    <rPh sb="7" eb="8">
      <t>トオ</t>
    </rPh>
    <rPh sb="10" eb="11">
      <t>コイ</t>
    </rPh>
    <phoneticPr fontId="1"/>
  </si>
  <si>
    <t>やけいみむらつる</t>
    <phoneticPr fontId="1"/>
  </si>
  <si>
    <t>武人</t>
    <rPh sb="0" eb="2">
      <t>ブジン</t>
    </rPh>
    <phoneticPr fontId="1"/>
  </si>
  <si>
    <t>煌めく夜景と束の間の休息</t>
    <rPh sb="0" eb="1">
      <t>キラ</t>
    </rPh>
    <rPh sb="3" eb="5">
      <t>ヤケイ</t>
    </rPh>
    <rPh sb="6" eb="7">
      <t>ツカ</t>
    </rPh>
    <rPh sb="8" eb="9">
      <t>マ</t>
    </rPh>
    <rPh sb="10" eb="12">
      <t>キュウソク</t>
    </rPh>
    <phoneticPr fontId="1"/>
  </si>
  <si>
    <t>つきみざけはせくらつねなが</t>
    <phoneticPr fontId="1"/>
  </si>
  <si>
    <t>知性派</t>
    <rPh sb="0" eb="2">
      <t>チセイ</t>
    </rPh>
    <rPh sb="2" eb="3">
      <t>ハ</t>
    </rPh>
    <phoneticPr fontId="1"/>
  </si>
  <si>
    <t>独眼の矢十字</t>
    <rPh sb="0" eb="2">
      <t>ドクガン</t>
    </rPh>
    <rPh sb="3" eb="4">
      <t>ヤ</t>
    </rPh>
    <rPh sb="4" eb="6">
      <t>ジュウジ</t>
    </rPh>
    <phoneticPr fontId="1"/>
  </si>
  <si>
    <t>72233_0</t>
    <phoneticPr fontId="1"/>
  </si>
  <si>
    <t>48283_0</t>
    <phoneticPr fontId="1"/>
  </si>
  <si>
    <t>防衛戦 英雄ガチャ</t>
    <rPh sb="0" eb="3">
      <t>ボウエイセン</t>
    </rPh>
    <rPh sb="4" eb="6">
      <t>エイユウ</t>
    </rPh>
    <phoneticPr fontId="1"/>
  </si>
  <si>
    <t>8/5 11:00～8/5 23:59</t>
    <phoneticPr fontId="1"/>
  </si>
  <si>
    <t>超防再臨ガチャ</t>
    <rPh sb="0" eb="4">
      <t>チョウボウサイリン</t>
    </rPh>
    <phoneticPr fontId="1"/>
  </si>
  <si>
    <t>8/5 18:00～8/7 23:59</t>
    <phoneticPr fontId="1"/>
  </si>
  <si>
    <t>中国・四国</t>
    <rPh sb="0" eb="2">
      <t>チュウゴク</t>
    </rPh>
    <rPh sb="3" eb="5">
      <t>シコク</t>
    </rPh>
    <phoneticPr fontId="1"/>
  </si>
  <si>
    <t>SR</t>
    <phoneticPr fontId="1"/>
  </si>
  <si>
    <t>関東</t>
    <rPh sb="0" eb="2">
      <t>カントウ</t>
    </rPh>
    <phoneticPr fontId="1"/>
  </si>
  <si>
    <t>近畿</t>
    <rPh sb="0" eb="2">
      <t>キンキ</t>
    </rPh>
    <phoneticPr fontId="1"/>
  </si>
  <si>
    <t>かるたふたおいじまのやまのかみ</t>
    <phoneticPr fontId="1"/>
  </si>
  <si>
    <t>神秘</t>
    <rPh sb="0" eb="2">
      <t>シンピ</t>
    </rPh>
    <phoneticPr fontId="1"/>
  </si>
  <si>
    <t>楽しいかるた！</t>
    <phoneticPr fontId="1"/>
  </si>
  <si>
    <t>タイプ伝承・武人・姫の攻80％DOWN　/　タイプ知性派・飲食の防25％UP</t>
    <phoneticPr fontId="1"/>
  </si>
  <si>
    <t>しんせいすいこてんのう</t>
    <phoneticPr fontId="1"/>
  </si>
  <si>
    <t>女性天皇の祖</t>
    <phoneticPr fontId="1"/>
  </si>
  <si>
    <t>タイプ妖怪・名物の防30％UP　/　タイプ【偉人】の防10％UP</t>
    <phoneticPr fontId="1"/>
  </si>
  <si>
    <t>おべんとうありすべーこん</t>
    <phoneticPr fontId="1"/>
  </si>
  <si>
    <t>知性派</t>
    <phoneticPr fontId="1"/>
  </si>
  <si>
    <t>小さな箱に詰めし教育指針</t>
    <phoneticPr fontId="1"/>
  </si>
  <si>
    <t>タイプ神秘・飲食の防30％UP　/　タイプ【知性派】の防10％UP</t>
    <phoneticPr fontId="1"/>
  </si>
  <si>
    <t>戦神ガチャ</t>
    <rPh sb="0" eb="2">
      <t>センシン</t>
    </rPh>
    <phoneticPr fontId="1"/>
  </si>
  <si>
    <t>8/6 11:00～8/8 23:59</t>
    <phoneticPr fontId="1"/>
  </si>
  <si>
    <t>8/6 20:00～8/6 23:59</t>
    <phoneticPr fontId="1"/>
  </si>
  <si>
    <t>75393_0</t>
    <phoneticPr fontId="1"/>
  </si>
  <si>
    <t>東日本</t>
    <rPh sb="0" eb="3">
      <t>ヒガシニホン</t>
    </rPh>
    <phoneticPr fontId="1"/>
  </si>
  <si>
    <t>西日本</t>
    <rPh sb="0" eb="3">
      <t>ニシニホン</t>
    </rPh>
    <phoneticPr fontId="1"/>
  </si>
  <si>
    <t>ぶらっくきんぐ</t>
    <phoneticPr fontId="1"/>
  </si>
  <si>
    <t>武人</t>
    <rPh sb="0" eb="2">
      <t>ブジン</t>
    </rPh>
    <phoneticPr fontId="1"/>
  </si>
  <si>
    <t>黒き王</t>
    <phoneticPr fontId="1"/>
  </si>
  <si>
    <t>タイプ姫・伝承の防25％UP　/　タイプ【武人】の防10％UP</t>
    <phoneticPr fontId="1"/>
  </si>
  <si>
    <t>たじひのあやこ</t>
    <phoneticPr fontId="1"/>
  </si>
  <si>
    <t>タイプ伝承・神秘の防60％UP　/　タイプ知性派・飲食の防30％UP</t>
    <phoneticPr fontId="1"/>
  </si>
  <si>
    <t>鳴らす鈴音、響く託宣</t>
    <phoneticPr fontId="1"/>
  </si>
  <si>
    <t>復活！5進化隊士ガチャ</t>
    <rPh sb="0" eb="2">
      <t>フッカツ</t>
    </rPh>
    <rPh sb="4" eb="8">
      <t>シンカタイシ</t>
    </rPh>
    <phoneticPr fontId="1"/>
  </si>
  <si>
    <t>8/7 11:00～8/7 23:59</t>
    <phoneticPr fontId="1"/>
  </si>
  <si>
    <t>SSR</t>
    <phoneticPr fontId="1"/>
  </si>
  <si>
    <t>SR</t>
    <phoneticPr fontId="1"/>
  </si>
  <si>
    <t>全国</t>
    <rPh sb="0" eb="2">
      <t>ゼンコク</t>
    </rPh>
    <phoneticPr fontId="1"/>
  </si>
  <si>
    <t>東日本</t>
    <rPh sb="0" eb="1">
      <t>ヒガシ</t>
    </rPh>
    <rPh sb="1" eb="3">
      <t>ニホン</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</si>
  <si>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</si>
  <si>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</si>
  <si>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</si>
  <si>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</si>
  <si>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あさしんすくーるてんま</t>
    <phoneticPr fontId="1"/>
  </si>
  <si>
    <t>タイプ伝承・武人・姫の攻80％DOWN　/　タイプ神秘・知性派・飲食の防20％UP</t>
    <phoneticPr fontId="1"/>
  </si>
  <si>
    <t>煩悩操る天魔の刀</t>
    <phoneticPr fontId="1"/>
  </si>
  <si>
    <t>神秘</t>
    <rPh sb="0" eb="2">
      <t>シンピ</t>
    </rPh>
    <phoneticPr fontId="1"/>
  </si>
  <si>
    <t>タイプ武人・姫の攻15％DOWN　/　タイプ知性派・飲食の防10％UP</t>
    <phoneticPr fontId="1"/>
  </si>
  <si>
    <t>タイプ伝承・武人・姫の攻30％DOWN　/　タイプ知性派・飲食の防15％UP</t>
    <phoneticPr fontId="1"/>
  </si>
  <si>
    <t>じざいのいんぷ</t>
    <phoneticPr fontId="1"/>
  </si>
  <si>
    <t>お気に召すまま</t>
    <phoneticPr fontId="1"/>
  </si>
  <si>
    <t>タイプ伝承・武人・姫の防80％DOWN　/　タイプ偉人・名物の攻50％UP</t>
    <phoneticPr fontId="1"/>
  </si>
  <si>
    <t>妖怪</t>
    <phoneticPr fontId="1"/>
  </si>
  <si>
    <t>タイプ伝承・武人・姫の防30％DOWN　/　タイプ偉人・名物の攻35％UP</t>
    <phoneticPr fontId="1"/>
  </si>
  <si>
    <t>タイプ武人・姫の防15％DOWN　/　タイプ偉人・名物の攻20％UP</t>
    <phoneticPr fontId="1"/>
  </si>
  <si>
    <t>やまいぬにょうぼう</t>
    <phoneticPr fontId="1"/>
  </si>
  <si>
    <t>タイプ伝承・武人・姫の攻15％UP　/　タイプ名物・武人・姫・伝承の防25％DOWN</t>
    <phoneticPr fontId="1"/>
  </si>
  <si>
    <t>山犬の王</t>
    <phoneticPr fontId="1"/>
  </si>
  <si>
    <t>伝承</t>
    <phoneticPr fontId="1"/>
  </si>
  <si>
    <t>タイプ伝承・武人・姫の攻12％UP　/　タイプ伝承・武人・姫の防15％DOWN</t>
    <phoneticPr fontId="1"/>
  </si>
  <si>
    <t>タイプ武人・姫の攻10％UP　/　タイプ武人・伝承の防12％DOWN</t>
    <phoneticPr fontId="1"/>
  </si>
  <si>
    <t>祝来！宝船福引ガチャ</t>
    <rPh sb="0" eb="1">
      <t>シュク</t>
    </rPh>
    <rPh sb="1" eb="2">
      <t>ライ</t>
    </rPh>
    <rPh sb="3" eb="7">
      <t>タカラブネフクビキ</t>
    </rPh>
    <phoneticPr fontId="1"/>
  </si>
  <si>
    <t>8/7 12:00～8/8 11:59</t>
    <phoneticPr fontId="1"/>
  </si>
  <si>
    <t>78693_0</t>
    <phoneticPr fontId="1"/>
  </si>
  <si>
    <t>8/7 18:00～8/9 23:59</t>
    <phoneticPr fontId="1"/>
  </si>
  <si>
    <t>50693_0</t>
    <phoneticPr fontId="1"/>
  </si>
  <si>
    <t>近畿</t>
    <phoneticPr fontId="1"/>
  </si>
  <si>
    <t>あんさーでーきたのかた</t>
    <phoneticPr fontId="1"/>
  </si>
  <si>
    <t>タイプ【姫】の攻30％UP　/　タイプ武人・伝承の攻15％UP</t>
    <phoneticPr fontId="1"/>
  </si>
  <si>
    <t>お菓子まみれの一日を</t>
    <phoneticPr fontId="1"/>
  </si>
  <si>
    <t>タイプ神秘・知性派・飲食の防40％UP　/　タイプ伝承・武人・姫の攻10％DOWN</t>
    <phoneticPr fontId="1"/>
  </si>
  <si>
    <t>最古の写真術</t>
    <phoneticPr fontId="1"/>
  </si>
  <si>
    <t>よこやままつさぶろう</t>
    <phoneticPr fontId="1"/>
  </si>
  <si>
    <t>ひなまつりらっこ</t>
    <phoneticPr fontId="1"/>
  </si>
  <si>
    <t>タイプ偉人・妖怪・名物の攻35％UP　/　タイプ伝承・武人・姫の防10％DOWN</t>
    <phoneticPr fontId="1"/>
  </si>
  <si>
    <t>ご機嫌十二単</t>
    <phoneticPr fontId="1"/>
  </si>
  <si>
    <t>まっさーじむらかみすいぐん</t>
    <phoneticPr fontId="1"/>
  </si>
  <si>
    <t>武人</t>
    <phoneticPr fontId="1"/>
  </si>
  <si>
    <t>最強海賊が足を伸ばせし安息所</t>
    <phoneticPr fontId="1"/>
  </si>
  <si>
    <t>タイプ姫・伝承の攻30％UP　/　タイプ【武人】の攻10％UP</t>
    <phoneticPr fontId="1"/>
  </si>
  <si>
    <t>おんせんやどそうくろいなり</t>
    <phoneticPr fontId="1"/>
  </si>
  <si>
    <t>神秘</t>
    <phoneticPr fontId="1"/>
  </si>
  <si>
    <t>ネットを挟んで生まれる会話</t>
    <phoneticPr fontId="1"/>
  </si>
  <si>
    <t>タイプ知性派・飲食の攻30％UP　/　タイプ【神秘】の攻10％UP</t>
    <phoneticPr fontId="1"/>
  </si>
  <si>
    <t>豪華玉手箱ガチャ</t>
    <rPh sb="0" eb="5">
      <t>ゴウカタマテバコ</t>
    </rPh>
    <phoneticPr fontId="1"/>
  </si>
  <si>
    <t>8/8 15:00～8/8 23:59</t>
    <phoneticPr fontId="1"/>
  </si>
  <si>
    <t>69593_0</t>
    <phoneticPr fontId="1"/>
  </si>
  <si>
    <t>四神戦 愛嬌たっぷり♪漫画フェスタガチャ</t>
    <rPh sb="0" eb="1">
      <t>ヨン</t>
    </rPh>
    <rPh sb="1" eb="2">
      <t>シン</t>
    </rPh>
    <rPh sb="2" eb="3">
      <t>セン</t>
    </rPh>
    <phoneticPr fontId="1"/>
  </si>
  <si>
    <t>(DX)8/8 12:00～8/14 11:59</t>
    <phoneticPr fontId="1"/>
  </si>
  <si>
    <t>関東</t>
    <rPh sb="0" eb="2">
      <t>カントウ</t>
    </rPh>
    <phoneticPr fontId="1"/>
  </si>
  <si>
    <t>中部</t>
    <rPh sb="0" eb="2">
      <t>チュウブ</t>
    </rPh>
    <phoneticPr fontId="1"/>
  </si>
  <si>
    <t>九州・沖縄</t>
    <rPh sb="0" eb="2">
      <t>キュウシュウ</t>
    </rPh>
    <rPh sb="3" eb="5">
      <t>オキナワ</t>
    </rPh>
    <phoneticPr fontId="1"/>
  </si>
  <si>
    <t>北海道・東北</t>
    <rPh sb="0" eb="3">
      <t>ホッカイドウ</t>
    </rPh>
    <rPh sb="4" eb="6">
      <t>トウホク</t>
    </rPh>
    <phoneticPr fontId="1"/>
  </si>
  <si>
    <t>SSR</t>
    <phoneticPr fontId="1"/>
  </si>
  <si>
    <t>SR</t>
    <phoneticPr fontId="1"/>
  </si>
  <si>
    <t>HR</t>
    <phoneticPr fontId="1"/>
  </si>
  <si>
    <t>R</t>
    <phoneticPr fontId="1"/>
  </si>
  <si>
    <t>まんがまつりふとまきまつりずし</t>
    <phoneticPr fontId="1"/>
  </si>
  <si>
    <t>飲食</t>
    <phoneticPr fontId="1"/>
  </si>
  <si>
    <t>祭り彩る美麗寿司</t>
    <phoneticPr fontId="1"/>
  </si>
  <si>
    <t>タイプ神秘・知性派の攻40％UP　/　タイプ【飲食】の攻25％UP</t>
    <phoneticPr fontId="1"/>
  </si>
  <si>
    <t>しんせいまほうしょうじょさなだおうめ</t>
    <phoneticPr fontId="1"/>
  </si>
  <si>
    <t>姫</t>
    <phoneticPr fontId="1"/>
  </si>
  <si>
    <t>父から託された魔法</t>
    <phoneticPr fontId="1"/>
  </si>
  <si>
    <t>タイプ武人・伝承の防30％UP　/　タイプ【姫】の防10％UP</t>
    <phoneticPr fontId="1"/>
  </si>
  <si>
    <t>しんせいかいぞくおおうらけい</t>
    <phoneticPr fontId="1"/>
  </si>
  <si>
    <t>偉人</t>
    <phoneticPr fontId="1"/>
  </si>
  <si>
    <t>タイプ妖怪・名物の攻20％UP</t>
    <phoneticPr fontId="1"/>
  </si>
  <si>
    <t>夢を掴む大躍進</t>
    <phoneticPr fontId="1"/>
  </si>
  <si>
    <t>しんせいごすろりゆきうさぎちゃん</t>
    <phoneticPr fontId="1"/>
  </si>
  <si>
    <t>名物</t>
    <phoneticPr fontId="1"/>
  </si>
  <si>
    <t>タイプ【妖怪】の防20％UP</t>
    <phoneticPr fontId="1"/>
  </si>
  <si>
    <t>幸運運ぶ純白の雪</t>
    <phoneticPr fontId="1"/>
  </si>
  <si>
    <t>あいすまじしゃん</t>
    <phoneticPr fontId="1"/>
  </si>
  <si>
    <t>フレーバーマジック</t>
    <phoneticPr fontId="1"/>
  </si>
  <si>
    <t>タイプ武人・伝承の攻90％DOWN　/　タイプ神秘・知性派・飲食の防15％UP</t>
    <phoneticPr fontId="1"/>
  </si>
  <si>
    <t>5進</t>
    <rPh sb="1" eb="2">
      <t>シン</t>
    </rPh>
    <phoneticPr fontId="1"/>
  </si>
  <si>
    <t>3進</t>
    <rPh sb="1" eb="2">
      <t>シン</t>
    </rPh>
    <phoneticPr fontId="1"/>
  </si>
  <si>
    <t>1進</t>
    <rPh sb="1" eb="2">
      <t>シン</t>
    </rPh>
    <phoneticPr fontId="1"/>
  </si>
  <si>
    <t>タイプ武人・伝承の攻50％DOWN　/　タイプ神秘・知性派・飲食の防10％UP</t>
    <phoneticPr fontId="1"/>
  </si>
  <si>
    <t>タイプ【武人】の攻20％DOWN　/　タイプ神秘・知性派の防10％UP</t>
    <phoneticPr fontId="1"/>
  </si>
  <si>
    <t>8/9 12:00～8/14 11:59</t>
    <phoneticPr fontId="1"/>
  </si>
  <si>
    <t>8/9 18:00～8/9 21:59</t>
    <phoneticPr fontId="1"/>
  </si>
  <si>
    <t>誤表示・出現しない</t>
    <rPh sb="0" eb="3">
      <t>ゴヒョウジ</t>
    </rPh>
    <rPh sb="4" eb="6">
      <t>シュツゲン</t>
    </rPh>
    <phoneticPr fontId="1"/>
  </si>
  <si>
    <t>四神戦 英雄ガチャ</t>
    <rPh sb="0" eb="3">
      <t>ヨンシンセン</t>
    </rPh>
    <rPh sb="4" eb="6">
      <t>エイユウ</t>
    </rPh>
    <phoneticPr fontId="1"/>
  </si>
  <si>
    <t>8/10 11:00～8/10 23:59</t>
    <phoneticPr fontId="1"/>
  </si>
  <si>
    <t>古豪戦傑ガチャ</t>
    <rPh sb="0" eb="2">
      <t>コゴウ</t>
    </rPh>
    <rPh sb="2" eb="3">
      <t>セン</t>
    </rPh>
    <rPh sb="3" eb="4">
      <t>ケツ</t>
    </rPh>
    <phoneticPr fontId="1"/>
  </si>
  <si>
    <t>8/10 18:00～8/12 23:59</t>
    <phoneticPr fontId="1"/>
  </si>
  <si>
    <t>56493_0</t>
    <phoneticPr fontId="1"/>
  </si>
  <si>
    <t>44283_0</t>
    <phoneticPr fontId="1"/>
  </si>
  <si>
    <t>東日本</t>
    <rPh sb="0" eb="1">
      <t>ヒガシ</t>
    </rPh>
    <rPh sb="1" eb="3">
      <t>ニホン</t>
    </rPh>
    <phoneticPr fontId="1"/>
  </si>
  <si>
    <t>西日本</t>
    <rPh sb="0" eb="1">
      <t>ニシ</t>
    </rPh>
    <rPh sb="1" eb="3">
      <t>ニホン</t>
    </rPh>
    <phoneticPr fontId="1"/>
  </si>
  <si>
    <t>全国</t>
    <rPh sb="0" eb="2">
      <t>ゼンコク</t>
    </rPh>
    <phoneticPr fontId="1"/>
  </si>
  <si>
    <t>中国・四国</t>
    <rPh sb="0" eb="2">
      <t>チュウゴク</t>
    </rPh>
    <rPh sb="3" eb="5">
      <t>シコク</t>
    </rPh>
    <phoneticPr fontId="1"/>
  </si>
  <si>
    <t>びんぼうがみとふくのかみ</t>
    <phoneticPr fontId="1"/>
  </si>
  <si>
    <t>貧富の差を超える神々の戦い</t>
    <phoneticPr fontId="1"/>
  </si>
  <si>
    <t>タイプ伝承・武人・姫の攻30％UP　/　タイプ名物・知性派・飲食・神秘の防13％DOWN</t>
    <phoneticPr fontId="1"/>
  </si>
  <si>
    <t>あめのぬかどのみこと</t>
    <phoneticPr fontId="1"/>
  </si>
  <si>
    <t>神秘</t>
    <phoneticPr fontId="1"/>
  </si>
  <si>
    <t>鏡作の遠祖</t>
    <phoneticPr fontId="1"/>
  </si>
  <si>
    <t>タイプ伝承・武人・姫の攻80％DOWN　/　タイプ知性派・飲食の防25％UP</t>
    <phoneticPr fontId="1"/>
  </si>
  <si>
    <t>せいきまつぬらりひょん</t>
    <phoneticPr fontId="1"/>
  </si>
  <si>
    <t>妖怪</t>
    <phoneticPr fontId="1"/>
  </si>
  <si>
    <t>世紀末百鬼夜行</t>
    <phoneticPr fontId="1"/>
  </si>
  <si>
    <t>タイプ武人・伝承の防90％DOWN　/　タイプ偉人・名物の攻30％UP</t>
    <phoneticPr fontId="1"/>
  </si>
  <si>
    <t>へいけがに</t>
    <phoneticPr fontId="1"/>
  </si>
  <si>
    <t>タイプ【名物】の攻35％UP　/　タイプ偉人・妖怪の攻25％UP</t>
    <phoneticPr fontId="1"/>
  </si>
  <si>
    <t>平家の亡霊</t>
    <phoneticPr fontId="1"/>
  </si>
  <si>
    <t>しんせいきびつひこのみこと</t>
    <phoneticPr fontId="1"/>
  </si>
  <si>
    <t>武人</t>
    <phoneticPr fontId="1"/>
  </si>
  <si>
    <t>タイプ【伝承】の防35％UP　/　タイプ武人・神秘の防25％UP</t>
    <phoneticPr fontId="1"/>
  </si>
  <si>
    <t>山陽道の守護神</t>
    <phoneticPr fontId="1"/>
  </si>
  <si>
    <t>うどんげ</t>
    <phoneticPr fontId="1"/>
  </si>
  <si>
    <t>タイプ知性派・飲食の攻30％UP　/　タイプ【神秘】の攻20％UP</t>
    <phoneticPr fontId="1"/>
  </si>
  <si>
    <t>３０００年に一度の奇跡</t>
    <phoneticPr fontId="1"/>
  </si>
  <si>
    <t>祝来！宝船福引ガチャ</t>
    <rPh sb="0" eb="2">
      <t>シュクライ</t>
    </rPh>
    <rPh sb="3" eb="7">
      <t>タカラブネフクビキ</t>
    </rPh>
    <phoneticPr fontId="1"/>
  </si>
  <si>
    <t>8/11 12:00～8/12 11:59</t>
    <phoneticPr fontId="1"/>
  </si>
  <si>
    <t>72963_0</t>
    <phoneticPr fontId="1"/>
  </si>
  <si>
    <t>超攻再臨ガチャ</t>
    <rPh sb="0" eb="4">
      <t>チョウコウサイリン</t>
    </rPh>
    <phoneticPr fontId="1"/>
  </si>
  <si>
    <t>8/11 18:00～8/13 23:59</t>
    <phoneticPr fontId="1"/>
  </si>
  <si>
    <t>九州・沖縄</t>
    <rPh sb="0" eb="2">
      <t>キュウシュウ</t>
    </rPh>
    <rPh sb="3" eb="5">
      <t>オキナワ</t>
    </rPh>
    <phoneticPr fontId="1"/>
  </si>
  <si>
    <t>しきゅうしきむらさきしきぶ</t>
    <phoneticPr fontId="1"/>
  </si>
  <si>
    <t>知性派</t>
    <phoneticPr fontId="1"/>
  </si>
  <si>
    <t>負けられない一球入魂</t>
    <phoneticPr fontId="1"/>
  </si>
  <si>
    <t>タイプ【飲食】の攻75％UP　/　タイプ神秘・知性派の攻30％UP</t>
    <phoneticPr fontId="1"/>
  </si>
  <si>
    <t>しらずやわたのもり</t>
    <phoneticPr fontId="1"/>
  </si>
  <si>
    <t>伝承</t>
    <phoneticPr fontId="1"/>
  </si>
  <si>
    <t>タイプ伝承・武人・姫の攻15％UP　/　タイプ武人・姫・伝承・知性派の防25％DOWN</t>
    <phoneticPr fontId="1"/>
  </si>
  <si>
    <t>謎多き神隠しの森</t>
    <phoneticPr fontId="1"/>
  </si>
  <si>
    <t>はんなりでる</t>
    <phoneticPr fontId="1"/>
  </si>
  <si>
    <t>偉人</t>
    <phoneticPr fontId="1"/>
  </si>
  <si>
    <t>タイプ偉人・妖怪・名物の攻45％UP</t>
    <phoneticPr fontId="1"/>
  </si>
  <si>
    <t>貴族趣味の宣教師</t>
    <phoneticPr fontId="1"/>
  </si>
  <si>
    <t>8/12 20:00～8/12 23:59</t>
    <phoneticPr fontId="1"/>
  </si>
  <si>
    <t>SR</t>
    <phoneticPr fontId="1"/>
  </si>
  <si>
    <t>北海道・東北</t>
    <rPh sb="0" eb="3">
      <t>ホッカイドウ</t>
    </rPh>
    <rPh sb="4" eb="6">
      <t>トウホク</t>
    </rPh>
    <phoneticPr fontId="1"/>
  </si>
  <si>
    <t>関東</t>
    <rPh sb="0" eb="2">
      <t>カントウ</t>
    </rPh>
    <phoneticPr fontId="1"/>
  </si>
  <si>
    <t>中国・四国</t>
    <rPh sb="0" eb="2">
      <t>チュウゴク</t>
    </rPh>
    <rPh sb="3" eb="5">
      <t>シコク</t>
    </rPh>
    <phoneticPr fontId="1"/>
  </si>
  <si>
    <t>近畿</t>
    <rPh sb="0" eb="2">
      <t>キンキ</t>
    </rPh>
    <phoneticPr fontId="1"/>
  </si>
  <si>
    <t>せっきなんぶつるひめ</t>
    <phoneticPr fontId="1"/>
  </si>
  <si>
    <t>姫</t>
    <phoneticPr fontId="1"/>
  </si>
  <si>
    <t>鶴の逞しき狩り姿</t>
    <phoneticPr fontId="1"/>
  </si>
  <si>
    <t>タイプ武人・伝承の防30％UP　/　タイプ妖怪・名物の攻20％DOWN</t>
    <phoneticPr fontId="1"/>
  </si>
  <si>
    <t>せいりゅうめぐりひぐちいちよう</t>
    <phoneticPr fontId="1"/>
  </si>
  <si>
    <t>偉人</t>
    <phoneticPr fontId="1"/>
  </si>
  <si>
    <t>冴え渡る才能と清流</t>
    <phoneticPr fontId="1"/>
  </si>
  <si>
    <t>タイプ神秘・知性派の攻30％UP　/　タイプ武人・姫の防25％DOWN</t>
    <phoneticPr fontId="1"/>
  </si>
  <si>
    <t>じゅうきたきつひこのみこと</t>
    <phoneticPr fontId="1"/>
  </si>
  <si>
    <t>神秘</t>
    <phoneticPr fontId="1"/>
  </si>
  <si>
    <t>タイプ知性派・飲食の攻30％UP　/　タイプ武人・姫の防20％DOWN</t>
    <phoneticPr fontId="1"/>
  </si>
  <si>
    <t>勝利への祈雨</t>
    <phoneticPr fontId="1"/>
  </si>
  <si>
    <t>ぶるーはわいちゃん</t>
    <phoneticPr fontId="1"/>
  </si>
  <si>
    <t>飲食</t>
    <phoneticPr fontId="1"/>
  </si>
  <si>
    <t>タイプ神秘・知性派の防30％UP　/　タイプ姫・伝承の攻20％DOWN</t>
    <phoneticPr fontId="1"/>
  </si>
  <si>
    <t>懐かしさ誘う青色</t>
    <phoneticPr fontId="1"/>
  </si>
  <si>
    <t>戦神ガチャ</t>
    <rPh sb="0" eb="2">
      <t>センシン</t>
    </rPh>
    <phoneticPr fontId="1"/>
  </si>
  <si>
    <t>8/12 11:00～8/14 23:59</t>
    <phoneticPr fontId="1"/>
  </si>
  <si>
    <t>敵単体に大ダメージ</t>
    <phoneticPr fontId="1"/>
  </si>
  <si>
    <t>タイプ神秘・知性派の攻40％UP　/　タイプ【飲食】の攻25％UP</t>
    <phoneticPr fontId="1"/>
  </si>
  <si>
    <t>春摘のくちづけ</t>
    <phoneticPr fontId="1"/>
  </si>
  <si>
    <t>ゆすらうめ</t>
    <phoneticPr fontId="1"/>
  </si>
  <si>
    <t>豪華玉手箱ガチャ</t>
    <rPh sb="0" eb="5">
      <t>ゴウカタマテバコ</t>
    </rPh>
    <phoneticPr fontId="1"/>
  </si>
  <si>
    <t>8/13 15:00～8/13 23:59</t>
    <phoneticPr fontId="1"/>
  </si>
  <si>
    <t>8/13 18:00～8/13 21:59</t>
    <phoneticPr fontId="1"/>
  </si>
  <si>
    <t>サイコロ行脚 夏夜に咲く打ち上げ花火ガチャ</t>
    <rPh sb="4" eb="6">
      <t>アンギャ</t>
    </rPh>
    <phoneticPr fontId="1"/>
  </si>
  <si>
    <t>(DX)8/14 12:00～8/21 11:59</t>
    <phoneticPr fontId="1"/>
  </si>
  <si>
    <t>SSR</t>
    <phoneticPr fontId="1"/>
  </si>
  <si>
    <t>SR</t>
    <phoneticPr fontId="1"/>
  </si>
  <si>
    <t>HR</t>
    <phoneticPr fontId="1"/>
  </si>
  <si>
    <t>R</t>
    <phoneticPr fontId="1"/>
  </si>
  <si>
    <t>中部</t>
    <rPh sb="0" eb="2">
      <t>チュウブ</t>
    </rPh>
    <phoneticPr fontId="1"/>
  </si>
  <si>
    <t>近畿</t>
    <rPh sb="0" eb="2">
      <t>キンキ</t>
    </rPh>
    <phoneticPr fontId="1"/>
  </si>
  <si>
    <t>九州・沖縄</t>
    <rPh sb="0" eb="2">
      <t>キュウシュウ</t>
    </rPh>
    <rPh sb="3" eb="5">
      <t>オキナワ</t>
    </rPh>
    <phoneticPr fontId="1"/>
  </si>
  <si>
    <t>北海道・東北</t>
    <rPh sb="0" eb="3">
      <t>ホッカイドウ</t>
    </rPh>
    <rPh sb="4" eb="6">
      <t>トウホク</t>
    </rPh>
    <phoneticPr fontId="1"/>
  </si>
  <si>
    <t>愛知</t>
    <rPh sb="0" eb="2">
      <t>アイチ</t>
    </rPh>
    <phoneticPr fontId="1"/>
  </si>
  <si>
    <t>はなびしえちぜんがになべちゃん</t>
    <phoneticPr fontId="1"/>
  </si>
  <si>
    <t>飲食</t>
    <phoneticPr fontId="1"/>
  </si>
  <si>
    <t>タイプ神秘・知性派の防40％UP　/　タイプ【飲食】の防25％UP</t>
    <phoneticPr fontId="1"/>
  </si>
  <si>
    <t>夜空彩る贅沢なひととき</t>
    <phoneticPr fontId="1"/>
  </si>
  <si>
    <t>しんせいなつまつりかぐや</t>
    <phoneticPr fontId="1"/>
  </si>
  <si>
    <t>伝承</t>
    <phoneticPr fontId="1"/>
  </si>
  <si>
    <t>タイプ伝承・武人・姫の防30％UP　/　タイプ神秘・知性派・飲食・武人の攻13％DOWN</t>
    <phoneticPr fontId="1"/>
  </si>
  <si>
    <t>夏に弔う幻想世界</t>
    <phoneticPr fontId="1"/>
  </si>
  <si>
    <t>しんせいはなびきじむなー</t>
    <phoneticPr fontId="1"/>
  </si>
  <si>
    <t>妖怪</t>
    <phoneticPr fontId="1"/>
  </si>
  <si>
    <t>タイプ偉人・名物の攻30％UP　/　タイプ【妖怪】の攻10％UP</t>
    <phoneticPr fontId="1"/>
  </si>
  <si>
    <t>二匹が散らした美貌の火花</t>
    <phoneticPr fontId="1"/>
  </si>
  <si>
    <t>しんせいあさかわのはなびちゃん</t>
    <phoneticPr fontId="1"/>
  </si>
  <si>
    <t>名物</t>
    <phoneticPr fontId="1"/>
  </si>
  <si>
    <t>タイプ偉人・妖怪の防20％UP</t>
    <phoneticPr fontId="1"/>
  </si>
  <si>
    <t>鎮魂の伝統花火</t>
    <phoneticPr fontId="1"/>
  </si>
  <si>
    <t>タイプ【伝承】の攻20％UP</t>
    <phoneticPr fontId="1"/>
  </si>
  <si>
    <t>先駆も殿も金魚すくいも滝川</t>
    <phoneticPr fontId="1"/>
  </si>
  <si>
    <t>武人</t>
    <rPh sb="0" eb="2">
      <t>ブジン</t>
    </rPh>
    <phoneticPr fontId="1"/>
  </si>
  <si>
    <t>しんせいおとこまつりたきがわいちます</t>
    <phoneticPr fontId="1"/>
  </si>
  <si>
    <t>超防再臨ガチャ</t>
    <rPh sb="0" eb="1">
      <t>チョウ</t>
    </rPh>
    <rPh sb="1" eb="2">
      <t>ボウ</t>
    </rPh>
    <rPh sb="2" eb="4">
      <t>サイリン</t>
    </rPh>
    <phoneticPr fontId="1"/>
  </si>
  <si>
    <t>8/14 18:00～8/16 23:59</t>
    <phoneticPr fontId="1"/>
  </si>
  <si>
    <t>8/15 12:00～8/20 22:59</t>
    <phoneticPr fontId="1"/>
  </si>
  <si>
    <t>ぱらけるすてら</t>
    <phoneticPr fontId="1"/>
  </si>
  <si>
    <t>SSR</t>
    <phoneticPr fontId="1"/>
  </si>
  <si>
    <t>SR</t>
    <phoneticPr fontId="1"/>
  </si>
  <si>
    <t>全国</t>
    <rPh sb="0" eb="2">
      <t>ゼンコク</t>
    </rPh>
    <phoneticPr fontId="1"/>
  </si>
  <si>
    <t>東日本</t>
    <rPh sb="0" eb="3">
      <t>ヒガシニホン</t>
    </rPh>
    <phoneticPr fontId="1"/>
  </si>
  <si>
    <t>5進</t>
    <rPh sb="1" eb="2">
      <t>シン</t>
    </rPh>
    <phoneticPr fontId="1"/>
  </si>
  <si>
    <t>3進</t>
    <rPh sb="1" eb="2">
      <t>シン</t>
    </rPh>
    <phoneticPr fontId="1"/>
  </si>
  <si>
    <t>1進</t>
    <rPh sb="1" eb="2">
      <t>シン</t>
    </rPh>
    <phoneticPr fontId="1"/>
  </si>
  <si>
    <t>タイプ妖怪・名物の防50％UP　/　タイプ【偉人】の防35％UP</t>
    <phoneticPr fontId="1"/>
  </si>
  <si>
    <t>書物の世界</t>
    <phoneticPr fontId="1"/>
  </si>
  <si>
    <t>偉人</t>
    <phoneticPr fontId="1"/>
  </si>
  <si>
    <t>タイプ妖怪・名物の防30％UP　/　タイプ【偉人】の防20％UP</t>
    <phoneticPr fontId="1"/>
  </si>
  <si>
    <t>タイプ妖怪・名物の防25％UP　/　タイプ【偉人】の防10％UP</t>
    <phoneticPr fontId="1"/>
  </si>
  <si>
    <t>8/15 15:00～8/16 23:59</t>
    <phoneticPr fontId="1"/>
  </si>
  <si>
    <t>北海道・東北</t>
    <rPh sb="0" eb="3">
      <t>ホッカイドウ</t>
    </rPh>
    <rPh sb="4" eb="6">
      <t>トウホク</t>
    </rPh>
    <phoneticPr fontId="1"/>
  </si>
  <si>
    <t>妖怪</t>
    <rPh sb="0" eb="2">
      <t>ヨウカイ</t>
    </rPh>
    <phoneticPr fontId="1"/>
  </si>
  <si>
    <t>近畿</t>
    <rPh sb="0" eb="2">
      <t>キンキ</t>
    </rPh>
    <phoneticPr fontId="1"/>
  </si>
  <si>
    <t>中国・四国</t>
    <rPh sb="0" eb="2">
      <t>チュウゴク</t>
    </rPh>
    <rPh sb="3" eb="5">
      <t>シコク</t>
    </rPh>
    <phoneticPr fontId="1"/>
  </si>
  <si>
    <t>飲食</t>
    <rPh sb="0" eb="2">
      <t>インショク</t>
    </rPh>
    <phoneticPr fontId="1"/>
  </si>
  <si>
    <t>武人</t>
    <rPh sb="0" eb="2">
      <t>ブジン</t>
    </rPh>
    <phoneticPr fontId="1"/>
  </si>
  <si>
    <t>ばいくうきたひでいえ</t>
    <phoneticPr fontId="1"/>
  </si>
  <si>
    <t>大部隊を纏め上げる機動力</t>
    <phoneticPr fontId="1"/>
  </si>
  <si>
    <t>タイプ姫・伝承・神秘の攻30％UP</t>
    <phoneticPr fontId="1"/>
  </si>
  <si>
    <t>ゆかたぺろぺろきゃんでぃーちゃん</t>
    <phoneticPr fontId="1"/>
  </si>
  <si>
    <t>夜空彩るカラフルキャンディー</t>
    <phoneticPr fontId="1"/>
  </si>
  <si>
    <t>タイプ神秘・知性派の攻35％UP　/　タイプ【飲食】の攻20％UP</t>
    <phoneticPr fontId="1"/>
  </si>
  <si>
    <t>タイプ偉人・名物の攻30％UP　/　タイプ神秘・知性派・飲食の攻12％UP</t>
    <phoneticPr fontId="1"/>
  </si>
  <si>
    <t>手中に収めた夜景と花火</t>
    <phoneticPr fontId="1"/>
  </si>
  <si>
    <t>なつまつりたつこひめ</t>
    <phoneticPr fontId="1"/>
  </si>
  <si>
    <t>サイコロ行脚 英雄ガチャ</t>
    <rPh sb="4" eb="6">
      <t>アンギャ</t>
    </rPh>
    <rPh sb="7" eb="9">
      <t>エイユウ</t>
    </rPh>
    <phoneticPr fontId="1"/>
  </si>
  <si>
    <t>8/16 11:00～8/16 23:59</t>
    <phoneticPr fontId="1"/>
  </si>
  <si>
    <t>ガチャ記録失念のためZR隊士の種類は推定</t>
    <rPh sb="15" eb="17">
      <t>シュルイ</t>
    </rPh>
    <phoneticPr fontId="1"/>
  </si>
  <si>
    <t>天撃皆伝ガチャ</t>
    <rPh sb="0" eb="4">
      <t>テンゲキカイデン</t>
    </rPh>
    <phoneticPr fontId="1"/>
  </si>
  <si>
    <t>8/16 18:00～8/18 23:59</t>
    <phoneticPr fontId="1"/>
  </si>
  <si>
    <t>戦神ガチャ</t>
    <rPh sb="0" eb="2">
      <t>センシン</t>
    </rPh>
    <phoneticPr fontId="1"/>
  </si>
  <si>
    <t>8/17 11:00～8/19 23:59</t>
    <phoneticPr fontId="1"/>
  </si>
  <si>
    <t>8/17 18:00～8/17 21:59</t>
    <phoneticPr fontId="1"/>
  </si>
  <si>
    <t>73773_0</t>
    <phoneticPr fontId="1"/>
  </si>
  <si>
    <t>復活！5進化隊士ガチャ</t>
    <phoneticPr fontId="1"/>
  </si>
  <si>
    <t>8/18 11:00～8/18 23:59</t>
    <phoneticPr fontId="1"/>
  </si>
  <si>
    <t>SSR</t>
    <phoneticPr fontId="1"/>
  </si>
  <si>
    <t>SR</t>
    <phoneticPr fontId="1"/>
  </si>
  <si>
    <t>全国</t>
    <rPh sb="0" eb="2">
      <t>ゼンコク</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</si>
  <si>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</si>
  <si>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</si>
  <si>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</si>
  <si>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</si>
  <si>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東日本</t>
    <rPh sb="0" eb="3">
      <t>ヒガシニホン</t>
    </rPh>
    <phoneticPr fontId="1"/>
  </si>
  <si>
    <t>あさしんすくーるつねやまごぜん</t>
    <phoneticPr fontId="1"/>
  </si>
  <si>
    <t>武人</t>
    <phoneticPr fontId="1"/>
  </si>
  <si>
    <t>タイプ姫・伝承の防50％UP　/　タイプ【武人】の防35％UP</t>
    <phoneticPr fontId="1"/>
  </si>
  <si>
    <t>廃墟に佇む女戦士</t>
    <phoneticPr fontId="1"/>
  </si>
  <si>
    <t>タイプ姫・伝承の防30％UP　/　タイプ【武人】の防20％UP</t>
    <phoneticPr fontId="1"/>
  </si>
  <si>
    <t>タイプ姫・伝承の防25％UP　/　タイプ【武人】の防10％UP</t>
    <phoneticPr fontId="1"/>
  </si>
  <si>
    <t>タイプ神秘・知性派・飲食の防35％UP　/　タイプ伝承・武人・姫の攻15％DOWN</t>
    <phoneticPr fontId="1"/>
  </si>
  <si>
    <t>全国的カリスマ料理神</t>
    <phoneticPr fontId="1"/>
  </si>
  <si>
    <t>神秘</t>
    <phoneticPr fontId="1"/>
  </si>
  <si>
    <t>りょうりばとるうかのみたまのかみ</t>
    <phoneticPr fontId="1"/>
  </si>
  <si>
    <t>タイプ神秘・知性派・飲食の防20％UP　/　タイプ伝承・武人・姫の攻12％DOWN</t>
    <phoneticPr fontId="1"/>
  </si>
  <si>
    <t>タイプ神秘・知性派・飲食の防12％UP　/　タイプ伝承・武人・姫の攻10％DOWN</t>
    <phoneticPr fontId="1"/>
  </si>
  <si>
    <t>タイプ妖怪・名物の攻25％UP　/　タイプ【偉人】の攻10％UP</t>
    <phoneticPr fontId="1"/>
  </si>
  <si>
    <t>出世街道突き進む男爵</t>
    <phoneticPr fontId="1"/>
  </si>
  <si>
    <t>偉人</t>
    <phoneticPr fontId="1"/>
  </si>
  <si>
    <t>ひらやまなりのぶ</t>
    <phoneticPr fontId="1"/>
  </si>
  <si>
    <t>タイプ妖怪・名物の攻12％UP　/　タイプ【偉人】の攻10％UP</t>
    <phoneticPr fontId="1"/>
  </si>
  <si>
    <t>タイプ妖怪・名物の攻10％UP　/　タイプ【偉人】の攻5％UP</t>
    <phoneticPr fontId="1"/>
  </si>
  <si>
    <t>天幻来迎ガチャ</t>
    <phoneticPr fontId="1"/>
  </si>
  <si>
    <t>8/18 18:00～8/20 23:59</t>
    <phoneticPr fontId="1"/>
  </si>
  <si>
    <t>40913_0</t>
    <phoneticPr fontId="1"/>
  </si>
  <si>
    <t>九州・沖縄</t>
    <phoneticPr fontId="1"/>
  </si>
  <si>
    <t>タイプ知性派・飲食の攻30％UP　/　タイプ【神秘】の攻10％UP</t>
    <phoneticPr fontId="1"/>
  </si>
  <si>
    <t>斬雷の大太刀回り</t>
    <phoneticPr fontId="1"/>
  </si>
  <si>
    <t>はんたーらいきりまる</t>
    <phoneticPr fontId="1"/>
  </si>
  <si>
    <t>近畿</t>
    <phoneticPr fontId="1"/>
  </si>
  <si>
    <t>ていきょういん</t>
    <phoneticPr fontId="1"/>
  </si>
  <si>
    <t>姫</t>
    <phoneticPr fontId="1"/>
  </si>
  <si>
    <t>タイプ武人・伝承の攻30％UP　/　タイプ【姫】の攻10％UP</t>
    <phoneticPr fontId="1"/>
  </si>
  <si>
    <t>激動の時流を生きゆく婦人</t>
    <phoneticPr fontId="1"/>
  </si>
  <si>
    <t>豪華玉手箱ガチャ</t>
    <rPh sb="0" eb="5">
      <t>ゴウカタマテバコ</t>
    </rPh>
    <phoneticPr fontId="1"/>
  </si>
  <si>
    <t>8/19 15:00～8/19 23:59</t>
    <phoneticPr fontId="1"/>
  </si>
  <si>
    <t>75393_0</t>
    <phoneticPr fontId="1"/>
  </si>
  <si>
    <t>古豪戦傑ガチャ</t>
    <rPh sb="0" eb="4">
      <t>コゴウセンケツ</t>
    </rPh>
    <phoneticPr fontId="1"/>
  </si>
  <si>
    <t>8/19 18:00～8/21 23:59</t>
    <phoneticPr fontId="1"/>
  </si>
  <si>
    <t>くえびこ</t>
    <phoneticPr fontId="1"/>
  </si>
  <si>
    <t>タイプ伝承・武人・姫の防80％DOWN　/　タイプ知性派・飲食の攻25％UP</t>
    <phoneticPr fontId="1"/>
  </si>
  <si>
    <t>天下の全てを見通す者</t>
    <phoneticPr fontId="1"/>
  </si>
  <si>
    <t>神秘</t>
    <phoneticPr fontId="1"/>
  </si>
  <si>
    <t>タイプ【伝承】の防30％UP　/　タイプ武人・姫の防15％UP</t>
    <phoneticPr fontId="1"/>
  </si>
  <si>
    <t>黄金一錠</t>
    <phoneticPr fontId="1"/>
  </si>
  <si>
    <t>武人</t>
    <phoneticPr fontId="1"/>
  </si>
  <si>
    <t>せんごくひでひさ</t>
    <phoneticPr fontId="1"/>
  </si>
  <si>
    <t>タイプ武人・伝承の攻90％DOWN　/　タイプ偉人・名物の防30％UP</t>
    <phoneticPr fontId="1"/>
  </si>
  <si>
    <t>ふるいになんか負けない！</t>
    <phoneticPr fontId="1"/>
  </si>
  <si>
    <t>妖怪</t>
    <phoneticPr fontId="1"/>
  </si>
  <si>
    <t>ねんまつおおそうじあぷとるやむぺうぇんゆく</t>
    <phoneticPr fontId="1"/>
  </si>
  <si>
    <t>SR</t>
    <phoneticPr fontId="1"/>
  </si>
  <si>
    <t>中部</t>
    <rPh sb="0" eb="2">
      <t>チュウブ</t>
    </rPh>
    <phoneticPr fontId="1"/>
  </si>
  <si>
    <t>関東</t>
    <rPh sb="0" eb="2">
      <t>カントウ</t>
    </rPh>
    <phoneticPr fontId="1"/>
  </si>
  <si>
    <t>近畿</t>
    <rPh sb="0" eb="2">
      <t>キンキ</t>
    </rPh>
    <phoneticPr fontId="1"/>
  </si>
  <si>
    <t>九州・沖縄</t>
    <rPh sb="0" eb="2">
      <t>キュウシュウ</t>
    </rPh>
    <rPh sb="3" eb="5">
      <t>オキナワ</t>
    </rPh>
    <phoneticPr fontId="1"/>
  </si>
  <si>
    <t>8/20 12:00～8/20 11:59</t>
    <phoneticPr fontId="1"/>
  </si>
  <si>
    <t>タイプ武人・姫の防30％UP　/　タイプ偉人・名物の攻20％DOWN</t>
    <phoneticPr fontId="1"/>
  </si>
  <si>
    <t>戦闘型金魚ロイド</t>
    <phoneticPr fontId="1"/>
  </si>
  <si>
    <t>伝承</t>
    <phoneticPr fontId="1"/>
  </si>
  <si>
    <t>あんどろいどきんぎょのうた</t>
    <phoneticPr fontId="1"/>
  </si>
  <si>
    <t>タイプ姫・伝承の防30％UP　/　タイプ偉人・妖怪の攻20％DOWN</t>
    <phoneticPr fontId="1"/>
  </si>
  <si>
    <t>白星続きの三国黒</t>
    <phoneticPr fontId="1"/>
  </si>
  <si>
    <t>武人</t>
    <phoneticPr fontId="1"/>
  </si>
  <si>
    <t>きしゅほんだただかつ</t>
    <phoneticPr fontId="1"/>
  </si>
  <si>
    <t>タイプ武人・伝承の攻30％UP　/　タイプ偉人・妖怪の防20％DOWN</t>
    <phoneticPr fontId="1"/>
  </si>
  <si>
    <t>想いを託す団結の綱</t>
    <phoneticPr fontId="1"/>
  </si>
  <si>
    <t>姫</t>
    <phoneticPr fontId="1"/>
  </si>
  <si>
    <t>うんどうかいきょうごくまりあ</t>
    <phoneticPr fontId="1"/>
  </si>
  <si>
    <t>タイプ知性派・飲食の攻30％UP　/　タイプ姫・伝承の防20％DOWN</t>
    <phoneticPr fontId="1"/>
  </si>
  <si>
    <t>女王の妖艶な笑み</t>
    <phoneticPr fontId="1"/>
  </si>
  <si>
    <t>神秘</t>
    <phoneticPr fontId="1"/>
  </si>
  <si>
    <t>とらんぷあもろうなぐ</t>
    <phoneticPr fontId="1"/>
  </si>
  <si>
    <t>戦神ガチャ</t>
    <rPh sb="0" eb="2">
      <t>センシン</t>
    </rPh>
    <phoneticPr fontId="1"/>
  </si>
  <si>
    <t>8/21 11:00～8/23 11:59</t>
    <phoneticPr fontId="1"/>
  </si>
  <si>
    <t>76303_0</t>
    <phoneticPr fontId="1"/>
  </si>
  <si>
    <t>58853_0</t>
    <phoneticPr fontId="1"/>
  </si>
  <si>
    <t>超攻撃ガチャ</t>
    <rPh sb="0" eb="1">
      <t>チョウ</t>
    </rPh>
    <rPh sb="1" eb="3">
      <t>コウゲキ</t>
    </rPh>
    <phoneticPr fontId="1"/>
  </si>
  <si>
    <t>8/21 12:00～8/25 11:59</t>
    <phoneticPr fontId="1"/>
  </si>
  <si>
    <t>飲食</t>
    <rPh sb="0" eb="2">
      <t>インショク</t>
    </rPh>
    <phoneticPr fontId="1"/>
  </si>
  <si>
    <t>タイプ姫・伝承の攻25％UP　/　タイプ【武人】の攻10％UP</t>
    <phoneticPr fontId="1"/>
  </si>
  <si>
    <t>戦国最強のスイカ割り</t>
    <phoneticPr fontId="1"/>
  </si>
  <si>
    <t>すいかわりほんだただかつ</t>
    <phoneticPr fontId="1"/>
  </si>
  <si>
    <t>タイプ神秘・知性派の攻40％UP　/　タイプ【飲食】の攻25％UP</t>
    <phoneticPr fontId="1"/>
  </si>
  <si>
    <t>江戸っ子愛する灘の酒</t>
    <phoneticPr fontId="1"/>
  </si>
  <si>
    <t>なだのさけ</t>
    <phoneticPr fontId="1"/>
  </si>
  <si>
    <t>タイプ武人・伝承の防90％DOWN　/　タイプ偉人・妖怪・名物の攻15％UP</t>
    <phoneticPr fontId="1"/>
  </si>
  <si>
    <t>幻の岩兎</t>
    <phoneticPr fontId="1"/>
  </si>
  <si>
    <t>いどしいわいせぽ</t>
    <phoneticPr fontId="1"/>
  </si>
  <si>
    <t>66433_0</t>
    <phoneticPr fontId="1"/>
  </si>
  <si>
    <t>8/22 12:00～8/25 11:59</t>
    <phoneticPr fontId="1"/>
  </si>
  <si>
    <t>タイプ神秘・知性派・飲食の防40％UP　/　タイプ伝承・武人・姫の攻10％DOWN</t>
    <phoneticPr fontId="1"/>
  </si>
  <si>
    <t>太陽の下の保母さん</t>
    <phoneticPr fontId="1"/>
  </si>
  <si>
    <t>知性派</t>
    <phoneticPr fontId="1"/>
  </si>
  <si>
    <t>すいかわりえびなりん</t>
    <phoneticPr fontId="1"/>
  </si>
  <si>
    <t>祝来！宝船福引ガチャ</t>
    <rPh sb="0" eb="2">
      <t>シュクライ</t>
    </rPh>
    <rPh sb="3" eb="7">
      <t>タカラブネフクビキ</t>
    </rPh>
    <phoneticPr fontId="1"/>
  </si>
  <si>
    <t>8/23 12:00～8/24 11:59</t>
    <phoneticPr fontId="1"/>
  </si>
  <si>
    <t>天幻来迎ガチャ</t>
    <rPh sb="0" eb="4">
      <t>テンゲンライゴウ</t>
    </rPh>
    <phoneticPr fontId="1"/>
  </si>
  <si>
    <t>8/23 18:00～8/25 23:59</t>
    <phoneticPr fontId="1"/>
  </si>
  <si>
    <t>飲食</t>
    <rPh sb="0" eb="2">
      <t>インショク</t>
    </rPh>
    <phoneticPr fontId="1"/>
  </si>
  <si>
    <t>タイプ神秘・知性派の防30％UP　/　タイプ【飲食】の防10％UP</t>
    <phoneticPr fontId="1"/>
  </si>
  <si>
    <t>香り高い薔薇の貴婦人</t>
    <phoneticPr fontId="1"/>
  </si>
  <si>
    <t>しんせいろーずてぃーちゃん</t>
    <phoneticPr fontId="1"/>
  </si>
  <si>
    <t>中部</t>
    <rPh sb="0" eb="2">
      <t>チュウブ</t>
    </rPh>
    <phoneticPr fontId="1"/>
  </si>
  <si>
    <t>8/24 11:00～8/24 23:59</t>
    <phoneticPr fontId="1"/>
  </si>
  <si>
    <t>HR</t>
    <phoneticPr fontId="1"/>
  </si>
  <si>
    <t>中部</t>
    <rPh sb="0" eb="2">
      <t>チュウブ</t>
    </rPh>
    <phoneticPr fontId="1"/>
  </si>
  <si>
    <t>妖怪</t>
    <rPh sb="0" eb="2">
      <t>ヨウカイ</t>
    </rPh>
    <phoneticPr fontId="1"/>
  </si>
  <si>
    <t>タイプ偉人・名物の防20％UP</t>
    <phoneticPr fontId="1"/>
  </si>
  <si>
    <t>刹那の浴衣花火</t>
    <phoneticPr fontId="1"/>
  </si>
  <si>
    <t>しんせいゆかたふらりび</t>
    <phoneticPr fontId="1"/>
  </si>
  <si>
    <t>R</t>
    <phoneticPr fontId="1"/>
  </si>
  <si>
    <t>滋賀</t>
    <rPh sb="0" eb="2">
      <t>シガ</t>
    </rPh>
    <phoneticPr fontId="1"/>
  </si>
  <si>
    <t>知性派</t>
    <rPh sb="0" eb="2">
      <t>チセイ</t>
    </rPh>
    <rPh sb="2" eb="3">
      <t>ハ</t>
    </rPh>
    <phoneticPr fontId="1"/>
  </si>
  <si>
    <t>タイプ【神秘】の防20％UP</t>
    <phoneticPr fontId="1"/>
  </si>
  <si>
    <t>日々の訓練あればこそ</t>
    <phoneticPr fontId="1"/>
  </si>
  <si>
    <t>しんせいしのびこうがにんじゃ</t>
    <phoneticPr fontId="1"/>
  </si>
  <si>
    <t>8/24 18:00～8/24 21:59</t>
    <phoneticPr fontId="1"/>
  </si>
  <si>
    <t>全国巡り 空に忍ぶくノ一ガチャ</t>
    <rPh sb="0" eb="3">
      <t>ゼンコクメグ</t>
    </rPh>
    <phoneticPr fontId="1"/>
  </si>
  <si>
    <t>SSR</t>
    <phoneticPr fontId="1"/>
  </si>
  <si>
    <t>SR</t>
    <phoneticPr fontId="1"/>
  </si>
  <si>
    <t>HR</t>
    <phoneticPr fontId="1"/>
  </si>
  <si>
    <t>R</t>
    <phoneticPr fontId="1"/>
  </si>
  <si>
    <t>無所属</t>
    <rPh sb="0" eb="3">
      <t>ムショゾク</t>
    </rPh>
    <phoneticPr fontId="1"/>
  </si>
  <si>
    <t>タイプ偉人・妖怪・名物の攻35％UP　/　タイプ飲食・武人・名物の防10％DOWN</t>
    <phoneticPr fontId="1"/>
  </si>
  <si>
    <t>平常心保つ忍びの鍛錬</t>
    <phoneticPr fontId="1"/>
  </si>
  <si>
    <t>くのいちくまのふでちゃん</t>
    <phoneticPr fontId="1"/>
  </si>
  <si>
    <t>タイプ【武人】の防85％UP　/　タイプ姫・伝承の防25％UP</t>
    <phoneticPr fontId="1"/>
  </si>
  <si>
    <t>権力を掌握した女帝</t>
    <phoneticPr fontId="1"/>
  </si>
  <si>
    <t>姫</t>
    <phoneticPr fontId="1"/>
  </si>
  <si>
    <t>しんせいおぎやか</t>
    <phoneticPr fontId="1"/>
  </si>
  <si>
    <t>タイプ武人・伝承の防30％UP　/　タイプ【姫】の防10％UP</t>
    <phoneticPr fontId="1"/>
  </si>
  <si>
    <t>闇夜に溶ける人生の選択</t>
    <phoneticPr fontId="1"/>
  </si>
  <si>
    <t>(DX)8/25 12:00～8/31 19:59</t>
    <phoneticPr fontId="1"/>
  </si>
  <si>
    <t>しんせいいんとんなんぶつるひめ</t>
    <phoneticPr fontId="1"/>
  </si>
  <si>
    <t>しんせいもくとんもちづきちよめ</t>
    <phoneticPr fontId="1"/>
  </si>
  <si>
    <t>タイプ神秘・飲食の攻20％UP</t>
    <phoneticPr fontId="1"/>
  </si>
  <si>
    <t>甲賀衆の偵察風景</t>
    <phoneticPr fontId="1"/>
  </si>
  <si>
    <t>知性派</t>
    <phoneticPr fontId="1"/>
  </si>
  <si>
    <t>タイプ【偉人】の防20％UP</t>
    <phoneticPr fontId="1"/>
  </si>
  <si>
    <t>お手軽ブービートラップ</t>
    <phoneticPr fontId="1"/>
  </si>
  <si>
    <t>名物</t>
    <phoneticPr fontId="1"/>
  </si>
  <si>
    <t>しんせいおとしあな</t>
    <phoneticPr fontId="1"/>
  </si>
  <si>
    <t>豪華玉手箱ガチャ</t>
    <phoneticPr fontId="1"/>
  </si>
  <si>
    <t>8/25 15:00～8/25 23:59</t>
    <phoneticPr fontId="1"/>
  </si>
  <si>
    <t>59673_0</t>
    <phoneticPr fontId="1"/>
  </si>
  <si>
    <t>刹那！最強DOWN隊士ガチャ</t>
    <rPh sb="0" eb="2">
      <t>セツナ</t>
    </rPh>
    <rPh sb="3" eb="5">
      <t>サイキョウ</t>
    </rPh>
    <rPh sb="9" eb="11">
      <t>タイシ</t>
    </rPh>
    <phoneticPr fontId="1"/>
  </si>
  <si>
    <t>8/25 20:00～8/25 23:59</t>
    <phoneticPr fontId="1"/>
  </si>
  <si>
    <t>中部</t>
    <rPh sb="0" eb="2">
      <t>チュウブ</t>
    </rPh>
    <phoneticPr fontId="1"/>
  </si>
  <si>
    <t>妖怪</t>
    <rPh sb="0" eb="2">
      <t>ヨウカイ</t>
    </rPh>
    <phoneticPr fontId="1"/>
  </si>
  <si>
    <t>タイプ偉人・名物の防30％UP　/　タイプ神秘・飲食の攻20％DOWN</t>
    <phoneticPr fontId="1"/>
  </si>
  <si>
    <t>夜の浜辺の主人公</t>
    <phoneticPr fontId="1"/>
  </si>
  <si>
    <t>けものみずぎはまひめ</t>
    <phoneticPr fontId="1"/>
  </si>
  <si>
    <t>戦神ガチャ</t>
    <phoneticPr fontId="1"/>
  </si>
  <si>
    <t>8/26 11:00～8/28 11:59</t>
    <phoneticPr fontId="1"/>
  </si>
  <si>
    <t>71403_0</t>
    <phoneticPr fontId="1"/>
  </si>
  <si>
    <t>57733_0</t>
    <phoneticPr fontId="1"/>
  </si>
  <si>
    <t>祝来！宝船福引ガチャ</t>
    <rPh sb="0" eb="1">
      <t>シュク</t>
    </rPh>
    <rPh sb="1" eb="2">
      <t>ライ</t>
    </rPh>
    <rPh sb="3" eb="5">
      <t>タカラブネ</t>
    </rPh>
    <rPh sb="5" eb="7">
      <t>フクビキ</t>
    </rPh>
    <phoneticPr fontId="1"/>
  </si>
  <si>
    <t>8/26 12:00～8/27 11:59</t>
    <phoneticPr fontId="1"/>
  </si>
  <si>
    <t>81783_0</t>
    <phoneticPr fontId="1"/>
  </si>
  <si>
    <t>8/27 11:00～8/27 23:59</t>
    <phoneticPr fontId="1"/>
  </si>
  <si>
    <t>52693_0</t>
    <phoneticPr fontId="1"/>
  </si>
  <si>
    <t>全国巡り 英雄ガチャ</t>
    <rPh sb="0" eb="2">
      <t>ゼンコク</t>
    </rPh>
    <rPh sb="2" eb="3">
      <t>メグ</t>
    </rPh>
    <rPh sb="5" eb="7">
      <t>エイユウ</t>
    </rPh>
    <phoneticPr fontId="1"/>
  </si>
  <si>
    <t>同盟戦 英雄ガチャ</t>
    <rPh sb="0" eb="2">
      <t>ドウメイ</t>
    </rPh>
    <rPh sb="2" eb="3">
      <t>セン</t>
    </rPh>
    <rPh sb="4" eb="6">
      <t>エイユウ</t>
    </rPh>
    <phoneticPr fontId="1"/>
  </si>
  <si>
    <t>同盟戦 英雄ガチャ</t>
    <rPh sb="4" eb="6">
      <t>エイユウ</t>
    </rPh>
    <phoneticPr fontId="1"/>
  </si>
  <si>
    <t>天撃皆伝ガチャ</t>
    <rPh sb="0" eb="1">
      <t>テン</t>
    </rPh>
    <rPh sb="1" eb="2">
      <t>ゲキ</t>
    </rPh>
    <rPh sb="2" eb="4">
      <t>カイデン</t>
    </rPh>
    <phoneticPr fontId="1"/>
  </si>
  <si>
    <t>8/27 18:00～8/29 23:59</t>
    <phoneticPr fontId="1"/>
  </si>
  <si>
    <t>74593_0</t>
    <phoneticPr fontId="1"/>
  </si>
  <si>
    <t>8/28 11:00～8/28 23:59</t>
    <phoneticPr fontId="1"/>
  </si>
  <si>
    <t>九州・沖縄</t>
    <phoneticPr fontId="1"/>
  </si>
  <si>
    <t>50693_0</t>
    <phoneticPr fontId="1"/>
  </si>
  <si>
    <t>祝来！宝船福引ガチャ</t>
    <rPh sb="0" eb="1">
      <t>シュク</t>
    </rPh>
    <rPh sb="1" eb="2">
      <t>ライ</t>
    </rPh>
    <rPh sb="3" eb="5">
      <t>タカラブネ</t>
    </rPh>
    <rPh sb="5" eb="7">
      <t>フクビキ</t>
    </rPh>
    <phoneticPr fontId="1"/>
  </si>
  <si>
    <t>8/28 12:00～8/29 11:59</t>
    <phoneticPr fontId="1"/>
  </si>
  <si>
    <t>豪華玉手箱ガチャ</t>
    <phoneticPr fontId="1"/>
  </si>
  <si>
    <t>8/29 15:00～8/29 23:59</t>
    <phoneticPr fontId="1"/>
  </si>
  <si>
    <t>ゆけむりあわもりちゃん</t>
    <phoneticPr fontId="1"/>
  </si>
  <si>
    <t>67173_0</t>
    <phoneticPr fontId="1"/>
  </si>
  <si>
    <t>8/29 18:00～8/31 23:59</t>
    <phoneticPr fontId="1"/>
  </si>
  <si>
    <t>タイプ偉人・妖怪・名物の防35％UP　/　タイプ伝承・武人・姫の攻15％DOWN</t>
    <phoneticPr fontId="1"/>
  </si>
  <si>
    <t>赤く燃える情熱</t>
    <phoneticPr fontId="1"/>
  </si>
  <si>
    <t>名物</t>
    <rPh sb="0" eb="2">
      <t>メイブツ</t>
    </rPh>
    <phoneticPr fontId="1"/>
  </si>
  <si>
    <t>うぃんたーすぽーつるびー</t>
    <phoneticPr fontId="1"/>
  </si>
  <si>
    <t>タイプ神秘・知性派・飲食の攻40％UP　/　タイプ伝承・武人・姫の防10％DOWN</t>
    <phoneticPr fontId="1"/>
  </si>
  <si>
    <t>冬空に響く美しき歌声</t>
    <phoneticPr fontId="1"/>
  </si>
  <si>
    <t>ゆきのうたはせがわしぐれ</t>
    <phoneticPr fontId="1"/>
  </si>
  <si>
    <t>タイプ姫・伝承の攻25％UP　/　タイプ【武人】の攻10％UP</t>
    <phoneticPr fontId="1"/>
  </si>
  <si>
    <t>大虎となった赤鬼</t>
    <phoneticPr fontId="1"/>
  </si>
  <si>
    <t>武人</t>
    <phoneticPr fontId="1"/>
  </si>
  <si>
    <t>ぼうねんかいいいなおまさ</t>
    <phoneticPr fontId="1"/>
  </si>
  <si>
    <t>古豪戦傑ガチャ</t>
    <phoneticPr fontId="1"/>
  </si>
  <si>
    <t>乱世傑士ガチャ</t>
    <phoneticPr fontId="1"/>
  </si>
  <si>
    <t>8/30 12:00～8/31 23:59</t>
    <phoneticPr fontId="1"/>
  </si>
  <si>
    <t>65413_0</t>
    <phoneticPr fontId="1"/>
  </si>
  <si>
    <t>63173_0</t>
    <phoneticPr fontId="1"/>
  </si>
  <si>
    <t>復活！5進化隊士ガチャ</t>
    <rPh sb="0" eb="2">
      <t>フッカツ</t>
    </rPh>
    <rPh sb="4" eb="6">
      <t>シンカ</t>
    </rPh>
    <rPh sb="6" eb="8">
      <t>タイシ</t>
    </rPh>
    <phoneticPr fontId="1"/>
  </si>
  <si>
    <t>8/31 11:00～8/31 23:59</t>
    <phoneticPr fontId="1"/>
  </si>
  <si>
    <t>全国</t>
    <rPh sb="0" eb="2">
      <t>ゼンコク</t>
    </rPh>
    <phoneticPr fontId="1"/>
  </si>
  <si>
    <t>東日本</t>
    <rPh sb="0" eb="3">
      <t>ヒガシニホン</t>
    </rPh>
    <phoneticPr fontId="1"/>
  </si>
  <si>
    <t>西日本</t>
    <rPh sb="0" eb="3">
      <t>ニシニホン</t>
    </rPh>
    <phoneticPr fontId="1"/>
  </si>
  <si>
    <t>SSR</t>
    <phoneticPr fontId="1"/>
  </si>
  <si>
    <t>SR</t>
    <phoneticPr fontId="1"/>
  </si>
  <si>
    <t>5進</t>
    <rPh sb="1" eb="2">
      <t>シン</t>
    </rPh>
    <phoneticPr fontId="1"/>
  </si>
  <si>
    <t>3進</t>
    <rPh sb="1" eb="2">
      <t>シン</t>
    </rPh>
    <phoneticPr fontId="1"/>
  </si>
  <si>
    <t>1進</t>
    <rPh sb="1" eb="2">
      <t>シン</t>
    </rPh>
    <phoneticPr fontId="1"/>
  </si>
  <si>
    <t>飲食</t>
    <rPh sb="0" eb="2">
      <t>インショク</t>
    </rPh>
    <phoneticPr fontId="1"/>
  </si>
  <si>
    <t>武人</t>
    <rPh sb="0" eb="2">
      <t>ブジン</t>
    </rPh>
    <phoneticPr fontId="1"/>
  </si>
  <si>
    <t>名物</t>
    <rPh sb="0" eb="2">
      <t>メイブツ</t>
    </rPh>
    <phoneticPr fontId="1"/>
  </si>
  <si>
    <t>かじつしゅのへーべー</t>
    <phoneticPr fontId="1"/>
  </si>
  <si>
    <t>タイプ神秘・知性派の防45％UP　/　タイプ【飲食】の防20％UP</t>
    <phoneticPr fontId="1"/>
  </si>
  <si>
    <t>神々に捧ぐ愛と青春</t>
    <phoneticPr fontId="1"/>
  </si>
  <si>
    <t>タイプ神秘・知性派の防30％UP　/　タイプ【飲食】の防10％UP</t>
    <phoneticPr fontId="1"/>
  </si>
  <si>
    <t>タイプ神秘・知性派の防15％UP　/　タイプ【飲食】の防10％UP</t>
    <phoneticPr fontId="1"/>
  </si>
  <si>
    <t>わいしゃつあかいてるこ</t>
    <phoneticPr fontId="1"/>
  </si>
  <si>
    <t>白き衣の戦乙女</t>
    <phoneticPr fontId="1"/>
  </si>
  <si>
    <t>タイプ伝承・武人・姫の攻20％UP</t>
    <phoneticPr fontId="1"/>
  </si>
  <si>
    <t>タイプ姫・伝承の攻17％UP</t>
    <phoneticPr fontId="1"/>
  </si>
  <si>
    <t>タイプ姫・伝承の攻12％UP</t>
    <phoneticPr fontId="1"/>
  </si>
  <si>
    <t>タイプ偉人・妖怪・名物の攻35％UP　/　タイプ神秘・知性派・飲食の防15％DOWN</t>
    <phoneticPr fontId="1"/>
  </si>
  <si>
    <t>風光明媚な日本一の湖</t>
    <phoneticPr fontId="1"/>
  </si>
  <si>
    <t>びわこ</t>
    <phoneticPr fontId="1"/>
  </si>
  <si>
    <t>タイプ偉人・妖怪・名物の攻20％UP　/　タイプ神秘・知性派・飲食の防12％DOWN</t>
    <phoneticPr fontId="1"/>
  </si>
  <si>
    <t>タイプ偉人・妖怪・名物の攻12％UP　/　タイプ神秘・知性派・飲食の防10％DOWN</t>
    <phoneticPr fontId="1"/>
  </si>
  <si>
    <t>8/30 18:00～8/30 21:59</t>
    <phoneticPr fontId="1"/>
  </si>
  <si>
    <t>8/22 15:00～8/22 23:59</t>
    <phoneticPr fontId="1"/>
  </si>
  <si>
    <t>(DX)9/1 0:00～9/4 11:59</t>
    <phoneticPr fontId="1"/>
  </si>
  <si>
    <t>近畿</t>
    <phoneticPr fontId="1"/>
  </si>
  <si>
    <t>タイプ偉人・名物の攻25％UP</t>
    <phoneticPr fontId="1"/>
  </si>
  <si>
    <t>飢餓を救った天の恵み</t>
    <phoneticPr fontId="1"/>
  </si>
  <si>
    <t>妖怪</t>
    <phoneticPr fontId="1"/>
  </si>
  <si>
    <t>しんせいくさびらがみ</t>
    <phoneticPr fontId="1"/>
  </si>
  <si>
    <t>中国・四国</t>
    <phoneticPr fontId="1"/>
  </si>
  <si>
    <t>タイプ知性派・飲食の防25％UP</t>
    <phoneticPr fontId="1"/>
  </si>
  <si>
    <t>鏡池のご縁占い</t>
    <phoneticPr fontId="1"/>
  </si>
  <si>
    <t>神秘</t>
    <phoneticPr fontId="1"/>
  </si>
  <si>
    <t>しんせいやえがきじんじゃのかがみのいけ</t>
    <phoneticPr fontId="1"/>
  </si>
  <si>
    <t>関東</t>
    <phoneticPr fontId="1"/>
  </si>
  <si>
    <t>酒宴に駆け回る実り</t>
    <phoneticPr fontId="1"/>
  </si>
  <si>
    <t>飲食</t>
    <phoneticPr fontId="1"/>
  </si>
  <si>
    <t>しんせいばーれすくぶるーべりーちゃん</t>
    <phoneticPr fontId="1"/>
  </si>
  <si>
    <t>徳島</t>
    <phoneticPr fontId="1"/>
  </si>
  <si>
    <t>美しい蝶には毒がある</t>
    <phoneticPr fontId="1"/>
  </si>
  <si>
    <t>名物</t>
    <phoneticPr fontId="1"/>
  </si>
  <si>
    <t>しんせいつまべにちょう</t>
    <phoneticPr fontId="1"/>
  </si>
  <si>
    <t>タイプ【神秘】の攻25％UP</t>
    <phoneticPr fontId="1"/>
  </si>
  <si>
    <t>タイプ【妖怪】の防25％UP</t>
    <phoneticPr fontId="1"/>
  </si>
  <si>
    <t>タイプ神秘・知性派・飲食の防55％UP　/　タイプ伝承・武人・姫の攻15％DOWN</t>
    <phoneticPr fontId="1"/>
  </si>
  <si>
    <t>天女が誘う魅惑の芳香</t>
    <phoneticPr fontId="1"/>
  </si>
  <si>
    <t>?</t>
    <phoneticPr fontId="1"/>
  </si>
  <si>
    <t>かじゅえんあもろうなぐ</t>
    <phoneticPr fontId="1"/>
  </si>
  <si>
    <t>83553_0</t>
    <phoneticPr fontId="1"/>
  </si>
  <si>
    <t>敵全体の戦技ゲージを吸収して攻・防20％DOWN</t>
    <phoneticPr fontId="1"/>
  </si>
  <si>
    <t>タイプ【伝承】の攻40％UP　/　タイプ武人・姫の攻10％UP</t>
    <phoneticPr fontId="1"/>
  </si>
  <si>
    <t>甘く芳醇な戦いの舞台</t>
    <phoneticPr fontId="1"/>
  </si>
  <si>
    <t>武人</t>
    <phoneticPr fontId="1"/>
  </si>
  <si>
    <t>かじゅえんみむらつる</t>
    <phoneticPr fontId="1"/>
  </si>
  <si>
    <t>タイプ武人・伝承の攻90％DOWN　/　タイプ偉人・妖怪・名物の防15％UP</t>
    <phoneticPr fontId="1"/>
  </si>
  <si>
    <t>果実の恵みと美貌の古椿</t>
    <phoneticPr fontId="1"/>
  </si>
  <si>
    <t>かじゅえんふるつばきのれい</t>
    <phoneticPr fontId="1"/>
  </si>
  <si>
    <t>中部</t>
    <phoneticPr fontId="1"/>
  </si>
  <si>
    <t>タイプ伝承・武人・姫の攻30％UP　/　タイプ武人・姫・伝承・飲食の防13％DOWN</t>
    <phoneticPr fontId="1"/>
  </si>
  <si>
    <t>甘酸っぱい恋の収穫</t>
    <phoneticPr fontId="1"/>
  </si>
  <si>
    <t>伝承</t>
    <phoneticPr fontId="1"/>
  </si>
  <si>
    <t>かじゅえんくろひめ</t>
    <phoneticPr fontId="1"/>
  </si>
  <si>
    <t>近畿</t>
    <rPh sb="0" eb="2">
      <t>キンキ</t>
    </rPh>
    <phoneticPr fontId="1"/>
  </si>
  <si>
    <t>タイプ神秘・知性派の防35％UP　/　タイプ【飲食】の防20％UP</t>
    <phoneticPr fontId="1"/>
  </si>
  <si>
    <t>繊維の豊富なコリコリ食感</t>
    <phoneticPr fontId="1"/>
  </si>
  <si>
    <t>しんせいなたでここ</t>
    <phoneticPr fontId="1"/>
  </si>
  <si>
    <t>九州・沖縄</t>
    <phoneticPr fontId="1"/>
  </si>
  <si>
    <t>タイプ偉人・妖怪の攻35％UP　/　タイプ【名物】の攻20％UP</t>
    <phoneticPr fontId="1"/>
  </si>
  <si>
    <t>朱に交われば赤くなる</t>
    <phoneticPr fontId="1"/>
  </si>
  <si>
    <t>しんせいべにとんぼ</t>
    <phoneticPr fontId="1"/>
  </si>
  <si>
    <t>北海道・東北</t>
    <phoneticPr fontId="1"/>
  </si>
  <si>
    <t>タイプ妖怪・名物の防35％UP　/　タイプ【偉人】の防20％UP</t>
    <phoneticPr fontId="1"/>
  </si>
  <si>
    <t>恋に落ちた妖精の女王</t>
    <phoneticPr fontId="1"/>
  </si>
  <si>
    <t>偉人</t>
    <phoneticPr fontId="1"/>
  </si>
  <si>
    <t>しんせいなつのよるのゆめやまむろきえこ</t>
    <phoneticPr fontId="1"/>
  </si>
  <si>
    <t>ゆうえんちはざーどえひめのみこと</t>
    <phoneticPr fontId="1"/>
  </si>
  <si>
    <t>タイプ【飲食】の攻55％UP　/　タイプ【神秘】の攻10％UP</t>
    <phoneticPr fontId="1"/>
  </si>
  <si>
    <t>遊園地から愛を込めて</t>
    <phoneticPr fontId="1"/>
  </si>
  <si>
    <t>神秘</t>
    <phoneticPr fontId="1"/>
  </si>
  <si>
    <t>タイプ【飲食】の攻70％UP　/　タイプ神秘・知性派の攻15％UP</t>
    <phoneticPr fontId="1"/>
  </si>
  <si>
    <t>全国</t>
    <rPh sb="0" eb="2">
      <t>ゼンコク</t>
    </rPh>
    <phoneticPr fontId="1"/>
  </si>
  <si>
    <t>西日本</t>
    <rPh sb="0" eb="1">
      <t>ニシ</t>
    </rPh>
    <rPh sb="1" eb="3">
      <t>ニホン</t>
    </rPh>
    <phoneticPr fontId="1"/>
  </si>
  <si>
    <t>SSR</t>
    <phoneticPr fontId="1"/>
  </si>
  <si>
    <t>SR</t>
    <phoneticPr fontId="1"/>
  </si>
  <si>
    <t>タイプ【飲食】の攻95％UP　/　タイプ神秘・知性派の攻20％UP</t>
    <phoneticPr fontId="1"/>
  </si>
  <si>
    <t>9/2 12:00～9/3 23:59</t>
    <phoneticPr fontId="1"/>
  </si>
  <si>
    <t>超攻再臨ガチャ</t>
    <rPh sb="0" eb="4">
      <t>チョウコウサイリン</t>
    </rPh>
    <phoneticPr fontId="1"/>
  </si>
  <si>
    <t>9/2 18:00～9/4 23:59</t>
    <phoneticPr fontId="1"/>
  </si>
  <si>
    <t>近畿</t>
    <rPh sb="0" eb="2">
      <t>キンキ</t>
    </rPh>
    <phoneticPr fontId="1"/>
  </si>
  <si>
    <t>タイプ伝承・武人・姫の攻30％UP　/　タイプ武人・妖怪・名物・偉人の防13％DOWN</t>
    <phoneticPr fontId="1"/>
  </si>
  <si>
    <t>嫉妬深いハシの姫</t>
    <phoneticPr fontId="1"/>
  </si>
  <si>
    <t>伝承</t>
    <rPh sb="0" eb="2">
      <t>デンショウ</t>
    </rPh>
    <phoneticPr fontId="1"/>
  </si>
  <si>
    <t>どうぶつのしまはしひめ</t>
    <phoneticPr fontId="1"/>
  </si>
  <si>
    <t>中国・四国</t>
    <phoneticPr fontId="1"/>
  </si>
  <si>
    <t>タイプ神秘・知性派・飲食の攻30％UP　/　タイプ偉人・妖怪・名物の防50％DOWN</t>
    <phoneticPr fontId="1"/>
  </si>
  <si>
    <t>母の物実に祈れば</t>
    <phoneticPr fontId="1"/>
  </si>
  <si>
    <t>くまのくすびのみこと</t>
    <phoneticPr fontId="1"/>
  </si>
  <si>
    <t>タイプ偉人・妖怪・名物の攻40％UP　/　タイプ偉人・妖怪・名物の防10％DOWN</t>
    <phoneticPr fontId="1"/>
  </si>
  <si>
    <t>風に乗せて歌う恋</t>
    <phoneticPr fontId="1"/>
  </si>
  <si>
    <t>じょうばやまかわとみこ</t>
    <phoneticPr fontId="1"/>
  </si>
  <si>
    <t>関東</t>
    <rPh sb="0" eb="2">
      <t>カントウ</t>
    </rPh>
    <phoneticPr fontId="1"/>
  </si>
  <si>
    <t>タイプ偉人・妖怪の攻30％UP　/　タイプ【名物】の攻10％UP</t>
    <phoneticPr fontId="1"/>
  </si>
  <si>
    <t>人を惑わす茨の女王</t>
    <phoneticPr fontId="1"/>
  </si>
  <si>
    <t>名物</t>
    <rPh sb="0" eb="2">
      <t>メイブツ</t>
    </rPh>
    <phoneticPr fontId="1"/>
  </si>
  <si>
    <t>しんせいさきみだればら</t>
    <phoneticPr fontId="1"/>
  </si>
  <si>
    <t>九州・沖縄</t>
    <rPh sb="0" eb="2">
      <t>キュウシュウ</t>
    </rPh>
    <rPh sb="3" eb="5">
      <t>オキナワ</t>
    </rPh>
    <phoneticPr fontId="1"/>
  </si>
  <si>
    <t>タイプ知性派・飲食の攻30％UP　/　タイプ【神秘】の攻10％UP</t>
    <phoneticPr fontId="1"/>
  </si>
  <si>
    <t>戦場に沸く勇壮たる歓声</t>
    <phoneticPr fontId="1"/>
  </si>
  <si>
    <t>しんせいしょうぎあまのうずめ</t>
    <phoneticPr fontId="1"/>
  </si>
  <si>
    <t>タイプ武人・姫の攻30％UP　/　タイプ【伝承】の攻10％UP</t>
    <phoneticPr fontId="1"/>
  </si>
  <si>
    <t>菅原道真公の想いと共に</t>
    <phoneticPr fontId="1"/>
  </si>
  <si>
    <t>しんせいうしかえしんじ</t>
    <phoneticPr fontId="1"/>
  </si>
  <si>
    <t>防衛戦 夢を運ぶアトラクションガチャ</t>
    <rPh sb="0" eb="3">
      <t>ボウエイセン</t>
    </rPh>
    <phoneticPr fontId="1"/>
  </si>
  <si>
    <t>(DX)9/4 12:00～9/8 11:59</t>
    <phoneticPr fontId="1"/>
  </si>
  <si>
    <t>九州・沖縄</t>
    <phoneticPr fontId="1"/>
  </si>
  <si>
    <t>タイプ妖怪・名物の防55％UP　/　タイプ【偉人】の防25％UP</t>
    <phoneticPr fontId="1"/>
  </si>
  <si>
    <t>子供の夢守る戦う聖母</t>
    <phoneticPr fontId="1"/>
  </si>
  <si>
    <t>偉人</t>
    <phoneticPr fontId="1"/>
  </si>
  <si>
    <t>ゆうえんちはざーどじんぐうこうごう</t>
    <phoneticPr fontId="1"/>
  </si>
  <si>
    <t>タイプ武人・伝承の攻30％UP　/　タイプ【姫】の攻10％UP</t>
    <phoneticPr fontId="1"/>
  </si>
  <si>
    <t>受け継がれてゆく血筋</t>
    <phoneticPr fontId="1"/>
  </si>
  <si>
    <t>姫</t>
    <phoneticPr fontId="1"/>
  </si>
  <si>
    <t>しんせいでーとゆらみょういんに</t>
    <phoneticPr fontId="1"/>
  </si>
  <si>
    <t>HR</t>
    <phoneticPr fontId="1"/>
  </si>
  <si>
    <t>R</t>
    <phoneticPr fontId="1"/>
  </si>
  <si>
    <t>タイプ神秘・飲食の防20％UP</t>
    <phoneticPr fontId="1"/>
  </si>
  <si>
    <t>家なき武子の放浪記</t>
    <phoneticPr fontId="1"/>
  </si>
  <si>
    <t>知性派</t>
    <rPh sb="0" eb="2">
      <t>チセイ</t>
    </rPh>
    <rPh sb="2" eb="3">
      <t>ハ</t>
    </rPh>
    <phoneticPr fontId="1"/>
  </si>
  <si>
    <t>しんせいよあそびくじょうたけこ</t>
    <phoneticPr fontId="1"/>
  </si>
  <si>
    <t>愛知</t>
    <rPh sb="0" eb="2">
      <t>アイチ</t>
    </rPh>
    <phoneticPr fontId="1"/>
  </si>
  <si>
    <t>タイプ【神秘】の攻20％UP</t>
    <phoneticPr fontId="1"/>
  </si>
  <si>
    <t>ういろうと魂が震える時</t>
    <phoneticPr fontId="1"/>
  </si>
  <si>
    <t>飲食</t>
    <rPh sb="0" eb="2">
      <t>インショク</t>
    </rPh>
    <phoneticPr fontId="1"/>
  </si>
  <si>
    <t>しんせいこうらくういろうさん</t>
    <phoneticPr fontId="1"/>
  </si>
  <si>
    <t>天幻来迎ガチャ</t>
    <rPh sb="0" eb="1">
      <t>テン</t>
    </rPh>
    <rPh sb="1" eb="2">
      <t>ゲン</t>
    </rPh>
    <rPh sb="2" eb="4">
      <t>ライゴウ</t>
    </rPh>
    <phoneticPr fontId="1"/>
  </si>
  <si>
    <t>9/4 18:00～9/6 23:59</t>
    <phoneticPr fontId="1"/>
  </si>
  <si>
    <t>東日本</t>
    <phoneticPr fontId="1"/>
  </si>
  <si>
    <t>タイプ神秘・知性派・飲食の防40％UP　/　タイプ伝承・武人・姫の攻10％DOWN</t>
    <phoneticPr fontId="1"/>
  </si>
  <si>
    <t>知性派</t>
    <phoneticPr fontId="1"/>
  </si>
  <si>
    <t>魔女見習い</t>
    <phoneticPr fontId="1"/>
  </si>
  <si>
    <t>えれめんたらー</t>
    <phoneticPr fontId="1"/>
  </si>
  <si>
    <t>近畿</t>
    <phoneticPr fontId="1"/>
  </si>
  <si>
    <t>タイプ姫・伝承の防30％UP　/　タイプ【武人】の防10％UP</t>
    <phoneticPr fontId="1"/>
  </si>
  <si>
    <t>自らを断ち天命に応ず</t>
    <phoneticPr fontId="1"/>
  </si>
  <si>
    <t>武人</t>
    <phoneticPr fontId="1"/>
  </si>
  <si>
    <t>しんせいそがのはたやす</t>
    <phoneticPr fontId="1"/>
  </si>
  <si>
    <t>タイプ妖怪・名物の攻30％UP　/　タイプ【偉人】の攻10％UP</t>
    <phoneticPr fontId="1"/>
  </si>
  <si>
    <t>体躯を活かした柔らかな踊り</t>
    <phoneticPr fontId="1"/>
  </si>
  <si>
    <t>ぶろーどうぇいるいすふろいす</t>
    <phoneticPr fontId="1"/>
  </si>
  <si>
    <t>中部</t>
    <phoneticPr fontId="1"/>
  </si>
  <si>
    <t>タイプ神秘・飲食の防30％UP　/　タイプ【知性派】の防10％UP</t>
    <phoneticPr fontId="1"/>
  </si>
  <si>
    <t>死してなお咲き誇る</t>
    <phoneticPr fontId="1"/>
  </si>
  <si>
    <t>まじゅつしじゅけいに</t>
    <phoneticPr fontId="1"/>
  </si>
  <si>
    <t>祝来！宝船福引ガチャ</t>
    <rPh sb="0" eb="2">
      <t>シュクライ</t>
    </rPh>
    <rPh sb="3" eb="5">
      <t>タカラブネ</t>
    </rPh>
    <rPh sb="5" eb="7">
      <t>フクビキ</t>
    </rPh>
    <phoneticPr fontId="1"/>
  </si>
  <si>
    <t>9/3 12:00～9/4 11:59</t>
    <phoneticPr fontId="1"/>
  </si>
  <si>
    <t>9/3 18:00～9/3 21:59</t>
    <phoneticPr fontId="1"/>
  </si>
  <si>
    <t>ねこきしいるろす</t>
    <phoneticPr fontId="1"/>
  </si>
  <si>
    <t>猫騎士参上！</t>
    <rPh sb="0" eb="1">
      <t>ネコ</t>
    </rPh>
    <rPh sb="1" eb="3">
      <t>キシ</t>
    </rPh>
    <rPh sb="3" eb="5">
      <t>サンジョウ</t>
    </rPh>
    <phoneticPr fontId="1"/>
  </si>
  <si>
    <t>りゅうじんすい</t>
    <phoneticPr fontId="1"/>
  </si>
  <si>
    <t>神秘</t>
    <rPh sb="0" eb="2">
      <t>シンピ</t>
    </rPh>
    <phoneticPr fontId="1"/>
  </si>
  <si>
    <t>九頭龍神水</t>
    <rPh sb="0" eb="2">
      <t>クズ</t>
    </rPh>
    <rPh sb="2" eb="3">
      <t>リュウ</t>
    </rPh>
    <rPh sb="3" eb="4">
      <t>カミ</t>
    </rPh>
    <rPh sb="4" eb="5">
      <t>ミズ</t>
    </rPh>
    <phoneticPr fontId="1"/>
  </si>
  <si>
    <t>タイプ武人・姫の防40％UP　/　所属が【中部】とそれに属する県、および【全国】【東日本】の防30％UP</t>
    <phoneticPr fontId="1"/>
  </si>
  <si>
    <t>タイプ偉人・妖怪の攻40％UP　/　所属が【九州・沖縄】とそれに属する県、および【全国】【西日本】の攻30％UP</t>
    <phoneticPr fontId="1"/>
  </si>
  <si>
    <t>タイプ神秘・飲食の防40％UP　/　所属が【関東】とそれに属する県、および【全国】【東日本】の防30％UP</t>
    <phoneticPr fontId="1"/>
  </si>
  <si>
    <t>タイプ姫・伝承の防40％UP　/　所属が【近畿】とそれに属する県、および【全国】【西日本】の防30％UP</t>
    <phoneticPr fontId="1"/>
  </si>
  <si>
    <t>タイプ妖怪・名物の攻40％UP　/　所属が【中国・四国】とそれに属する県、および【全国】【西日本】の攻30％UP</t>
    <phoneticPr fontId="1"/>
  </si>
  <si>
    <t>タイプ武人・姫の防40％UP　/　所属が【中部】とそれに属する県、および【全国】【東日本】の防30％UP</t>
    <rPh sb="3" eb="5">
      <t>ブジン</t>
    </rPh>
    <rPh sb="6" eb="7">
      <t>ヒメ</t>
    </rPh>
    <rPh sb="8" eb="9">
      <t>ボウ</t>
    </rPh>
    <rPh sb="46" eb="47">
      <t>ボウ</t>
    </rPh>
    <phoneticPr fontId="1"/>
  </si>
  <si>
    <t>タイプ偉人・妖怪の攻40％UP　/　所属が【九州・沖縄】とそれに属する県、および【全国】【西日本】の攻30％UP</t>
    <rPh sb="3" eb="5">
      <t>イジン</t>
    </rPh>
    <rPh sb="6" eb="8">
      <t>ヨウカイ</t>
    </rPh>
    <phoneticPr fontId="1"/>
  </si>
  <si>
    <t>タイプ神秘・飲食の防40％UP　/　所属が【関東】とそれに属する県、および【全国】【東日本】の防30％UP</t>
    <rPh sb="3" eb="5">
      <t>シンピ</t>
    </rPh>
    <rPh sb="6" eb="8">
      <t>インショク</t>
    </rPh>
    <phoneticPr fontId="1"/>
  </si>
  <si>
    <t>タイプ姫・伝承の防40％UP　/　所属が【近畿】とそれに属する県、および【全国】【西日本】の防30％UP</t>
    <rPh sb="3" eb="4">
      <t>ヒメ</t>
    </rPh>
    <phoneticPr fontId="1"/>
  </si>
  <si>
    <t>タイプ妖怪・名物の攻40％UP　/　所属が【中国・四国】とそれに属する県、および【全国】【西日本】の攻30％UP</t>
    <rPh sb="3" eb="5">
      <t>ヨウカイ</t>
    </rPh>
    <rPh sb="6" eb="8">
      <t>メイブツ</t>
    </rPh>
    <rPh sb="9" eb="10">
      <t>コウ</t>
    </rPh>
    <rPh sb="22" eb="24">
      <t>チュウゴク</t>
    </rPh>
    <rPh sb="25" eb="27">
      <t>シコク</t>
    </rPh>
    <rPh sb="50" eb="51">
      <t>コウ</t>
    </rPh>
    <phoneticPr fontId="1"/>
  </si>
  <si>
    <t>タイプ知性派・飲食の防40％UP　/　所属が【関東】とそれに属する県、および【全国】【東日本】の防30％UP</t>
    <rPh sb="3" eb="5">
      <t>チセイ</t>
    </rPh>
    <rPh sb="5" eb="6">
      <t>ハ</t>
    </rPh>
    <phoneticPr fontId="1"/>
  </si>
  <si>
    <t>えんじぇるうずらのたまごちゃん</t>
    <phoneticPr fontId="1"/>
  </si>
  <si>
    <t>慈愛の卵</t>
    <rPh sb="0" eb="2">
      <t>ジアイ</t>
    </rPh>
    <rPh sb="3" eb="4">
      <t>タマゴ</t>
    </rPh>
    <phoneticPr fontId="1"/>
  </si>
  <si>
    <t>タイプ神秘・知性派の防40％UP　/　所属が【中部】とそれに属する県、および【全国】【東日本】の防30％UP</t>
    <rPh sb="3" eb="5">
      <t>シンピ</t>
    </rPh>
    <rPh sb="6" eb="8">
      <t>チセイ</t>
    </rPh>
    <rPh sb="8" eb="9">
      <t>ハ</t>
    </rPh>
    <phoneticPr fontId="1"/>
  </si>
  <si>
    <t>すころぺんどら</t>
    <phoneticPr fontId="1"/>
  </si>
  <si>
    <t>妖怪</t>
    <rPh sb="0" eb="2">
      <t>ヨウカイ</t>
    </rPh>
    <phoneticPr fontId="1"/>
  </si>
  <si>
    <t>海に潜む伝説</t>
    <rPh sb="0" eb="1">
      <t>ウミ</t>
    </rPh>
    <rPh sb="2" eb="3">
      <t>ヒソ</t>
    </rPh>
    <rPh sb="4" eb="6">
      <t>デンセツ</t>
    </rPh>
    <phoneticPr fontId="1"/>
  </si>
  <si>
    <t>タイプ偉人・名物の攻40％UP　/　所属が【近畿】とそれに属する県、および【全国】【西日本】の攻30％UP</t>
    <rPh sb="3" eb="5">
      <t>イジン</t>
    </rPh>
    <rPh sb="6" eb="8">
      <t>メイブツ</t>
    </rPh>
    <rPh sb="9" eb="10">
      <t>コウ</t>
    </rPh>
    <rPh sb="47" eb="48">
      <t>コウ</t>
    </rPh>
    <phoneticPr fontId="1"/>
  </si>
  <si>
    <t>ねいきっど</t>
    <phoneticPr fontId="1"/>
  </si>
  <si>
    <t>武人</t>
    <rPh sb="0" eb="2">
      <t>ブジン</t>
    </rPh>
    <phoneticPr fontId="1"/>
  </si>
  <si>
    <t>空翔ける英雄</t>
    <rPh sb="0" eb="1">
      <t>ソラ</t>
    </rPh>
    <rPh sb="1" eb="2">
      <t>カ</t>
    </rPh>
    <rPh sb="4" eb="6">
      <t>エイユウ</t>
    </rPh>
    <phoneticPr fontId="1"/>
  </si>
  <si>
    <t>タイプ姫・伝承の防40％UP　/　所属が【中国・四国】とそれに属する県、および【全国】【西日本】の防30％UP</t>
    <rPh sb="3" eb="4">
      <t>ヒメ</t>
    </rPh>
    <rPh sb="5" eb="7">
      <t>デンショウ</t>
    </rPh>
    <rPh sb="8" eb="9">
      <t>ボウ</t>
    </rPh>
    <rPh sb="49" eb="50">
      <t>ボウ</t>
    </rPh>
    <phoneticPr fontId="1"/>
  </si>
  <si>
    <t>もんすたーなべしまけいぎんに</t>
    <phoneticPr fontId="1"/>
  </si>
  <si>
    <t>姫</t>
    <rPh sb="0" eb="1">
      <t>ヒメ</t>
    </rPh>
    <phoneticPr fontId="1"/>
  </si>
  <si>
    <t>命運操る魂の管理母</t>
    <rPh sb="0" eb="2">
      <t>メイウン</t>
    </rPh>
    <rPh sb="2" eb="3">
      <t>アヤツ</t>
    </rPh>
    <rPh sb="4" eb="5">
      <t>タマシイ</t>
    </rPh>
    <rPh sb="6" eb="8">
      <t>カンリ</t>
    </rPh>
    <rPh sb="8" eb="9">
      <t>ハハ</t>
    </rPh>
    <phoneticPr fontId="1"/>
  </si>
  <si>
    <t>タイプ武人・伝承の攻40％UP　/　所属が【九州・沖縄】とそれに属する県、および【全国】【西日本】の攻30％UP</t>
    <rPh sb="3" eb="5">
      <t>ブジン</t>
    </rPh>
    <rPh sb="6" eb="8">
      <t>デンショウ</t>
    </rPh>
    <phoneticPr fontId="1"/>
  </si>
  <si>
    <t>防衛戦 英雄ガチャ</t>
    <rPh sb="0" eb="3">
      <t>ボウエイセン</t>
    </rPh>
    <rPh sb="4" eb="6">
      <t>エイユウ</t>
    </rPh>
    <phoneticPr fontId="1"/>
  </si>
  <si>
    <t>9/5 11:00～9/5 23:59</t>
    <phoneticPr fontId="1"/>
  </si>
  <si>
    <t>刹那！最強DOWN隊士ガチャ</t>
    <phoneticPr fontId="1"/>
  </si>
  <si>
    <t>9/6 20:00～9/6 23:59</t>
    <phoneticPr fontId="1"/>
  </si>
  <si>
    <t>SR</t>
    <phoneticPr fontId="1"/>
  </si>
  <si>
    <t>じゅうきまつ</t>
    <phoneticPr fontId="1"/>
  </si>
  <si>
    <t>危険を顧みない良妻賢母</t>
    <phoneticPr fontId="1"/>
  </si>
  <si>
    <t>タイプ武人・伝承の防30％UP　/　タイプ知性派・飲食の攻20％DOWN</t>
    <phoneticPr fontId="1"/>
  </si>
  <si>
    <t>タイプ妖怪・名物の攻30％UP　/　タイプ知性派・飲食の防20％DOWN</t>
    <phoneticPr fontId="1"/>
  </si>
  <si>
    <t>ほとばしる水しぶきと才能</t>
    <phoneticPr fontId="1"/>
  </si>
  <si>
    <t>かわあそびかねこみすず</t>
    <phoneticPr fontId="1"/>
  </si>
  <si>
    <t>タイプ武人・姫の防30％UP　/　タイプ知性派・飲食の攻20％DOWN</t>
    <phoneticPr fontId="1"/>
  </si>
  <si>
    <t>神さながらの宝刀の舞</t>
    <phoneticPr fontId="1"/>
  </si>
  <si>
    <t>えくそしすとぽいやんぺ</t>
    <phoneticPr fontId="1"/>
  </si>
  <si>
    <t>近畿</t>
    <phoneticPr fontId="1"/>
  </si>
  <si>
    <t>タイプ神秘・知性派の防30％UP　/　タイプ偉人・名物の攻20％DOWN</t>
    <phoneticPr fontId="1"/>
  </si>
  <si>
    <t>斜面に漂う甘酸な香り</t>
    <phoneticPr fontId="1"/>
  </si>
  <si>
    <t>なんこううめ</t>
    <phoneticPr fontId="1"/>
  </si>
  <si>
    <t>超防再臨ガチャ</t>
    <rPh sb="0" eb="1">
      <t>チョウ</t>
    </rPh>
    <rPh sb="1" eb="2">
      <t>ボウ</t>
    </rPh>
    <rPh sb="2" eb="4">
      <t>サイリン</t>
    </rPh>
    <phoneticPr fontId="1"/>
  </si>
  <si>
    <t>9/5 18:00～9/7 23:59</t>
    <phoneticPr fontId="1"/>
  </si>
  <si>
    <t>タイプ神秘・知性派・飲食の防40％UP　/　タイプ偉人・妖怪・名物の攻10％DOWN</t>
    <phoneticPr fontId="1"/>
  </si>
  <si>
    <t>蘭学のすすめ</t>
    <phoneticPr fontId="1"/>
  </si>
  <si>
    <t>いとうげんぼく</t>
    <phoneticPr fontId="1"/>
  </si>
  <si>
    <t>戦神ガチャ</t>
    <rPh sb="0" eb="2">
      <t>センシン</t>
    </rPh>
    <phoneticPr fontId="1"/>
  </si>
  <si>
    <t>9/6 11:00～9/8 23:59</t>
    <phoneticPr fontId="1"/>
  </si>
  <si>
    <t>あーくびしょっぷ</t>
    <phoneticPr fontId="1"/>
  </si>
  <si>
    <t>タイプ妖怪・名物の攻60％UP　/　タイプ【偉人】の攻15％UP</t>
    <phoneticPr fontId="1"/>
  </si>
  <si>
    <t>穢れなき浄化</t>
    <phoneticPr fontId="1"/>
  </si>
  <si>
    <t>祝来！宝船福引ガチャ</t>
    <rPh sb="0" eb="1">
      <t>シュク</t>
    </rPh>
    <rPh sb="1" eb="2">
      <t>ライ</t>
    </rPh>
    <rPh sb="3" eb="5">
      <t>タカラブネ</t>
    </rPh>
    <rPh sb="5" eb="7">
      <t>フクビキ</t>
    </rPh>
    <phoneticPr fontId="1"/>
  </si>
  <si>
    <t>9/7 12:00～9/8 11:59</t>
    <phoneticPr fontId="1"/>
  </si>
  <si>
    <t>天撃皆伝ガチャ</t>
    <rPh sb="0" eb="4">
      <t>テンゲキカイデン</t>
    </rPh>
    <phoneticPr fontId="1"/>
  </si>
  <si>
    <t>9/7 18:00～9/9 23:59</t>
    <phoneticPr fontId="1"/>
  </si>
  <si>
    <t>75393_0</t>
    <phoneticPr fontId="1"/>
  </si>
  <si>
    <t>豪華玉手箱ガチャ</t>
    <phoneticPr fontId="1"/>
  </si>
  <si>
    <t>9/8 15:00～9/8 23:59</t>
    <phoneticPr fontId="1"/>
  </si>
  <si>
    <t>四神戦 お月見ウサギと月夜の晩餐ガチャ</t>
    <rPh sb="0" eb="1">
      <t>ヨン</t>
    </rPh>
    <rPh sb="1" eb="2">
      <t>シン</t>
    </rPh>
    <rPh sb="2" eb="3">
      <t>セン</t>
    </rPh>
    <phoneticPr fontId="1"/>
  </si>
  <si>
    <t>(DX)9/8 12:00～9/14 11:59</t>
    <phoneticPr fontId="1"/>
  </si>
  <si>
    <t>SSR</t>
    <phoneticPr fontId="1"/>
  </si>
  <si>
    <t>SR</t>
    <phoneticPr fontId="1"/>
  </si>
  <si>
    <t>HR</t>
    <phoneticPr fontId="1"/>
  </si>
  <si>
    <t>R</t>
    <phoneticPr fontId="1"/>
  </si>
  <si>
    <t>近畿</t>
    <rPh sb="0" eb="2">
      <t>キンキ</t>
    </rPh>
    <phoneticPr fontId="1"/>
  </si>
  <si>
    <t>北海道・東北</t>
    <rPh sb="0" eb="3">
      <t>ホッカイドウ</t>
    </rPh>
    <rPh sb="4" eb="6">
      <t>トウホク</t>
    </rPh>
    <phoneticPr fontId="1"/>
  </si>
  <si>
    <t>中部</t>
    <rPh sb="0" eb="2">
      <t>チュウブ</t>
    </rPh>
    <phoneticPr fontId="1"/>
  </si>
  <si>
    <t>無所属</t>
    <rPh sb="0" eb="3">
      <t>ムショゾク</t>
    </rPh>
    <phoneticPr fontId="1"/>
  </si>
  <si>
    <t>タイプ飲食・武人・名物の攻80％DOWN　/　タイプ知性派・飲食の防25％UP</t>
    <phoneticPr fontId="1"/>
  </si>
  <si>
    <t>地上に降りた幻想の月世界</t>
    <phoneticPr fontId="1"/>
  </si>
  <si>
    <t>うさぎのさとさほひめ</t>
    <phoneticPr fontId="1"/>
  </si>
  <si>
    <t>タイプ武人・姫の攻30％UP　/　タイプ【伝承】の攻10％UP</t>
    <phoneticPr fontId="1"/>
  </si>
  <si>
    <t>月から眺める献身兎</t>
    <phoneticPr fontId="1"/>
  </si>
  <si>
    <t>しんせいおつきさまにいったうさぎ</t>
    <phoneticPr fontId="1"/>
  </si>
  <si>
    <t>タイプ偉人・妖怪の防20％UP</t>
    <phoneticPr fontId="1"/>
  </si>
  <si>
    <t>風流な多年草</t>
    <phoneticPr fontId="1"/>
  </si>
  <si>
    <t>名物</t>
    <phoneticPr fontId="1"/>
  </si>
  <si>
    <t>しんせいふじばかま</t>
    <phoneticPr fontId="1"/>
  </si>
  <si>
    <t>タイプ【神秘】の攻20％UP</t>
    <phoneticPr fontId="1"/>
  </si>
  <si>
    <t>月夜のお団子</t>
    <phoneticPr fontId="1"/>
  </si>
  <si>
    <t>飲食</t>
    <phoneticPr fontId="1"/>
  </si>
  <si>
    <t>しんせいおつきみだんごちゃん</t>
    <phoneticPr fontId="1"/>
  </si>
  <si>
    <t>9/9 12:00～9/14 11:59</t>
    <phoneticPr fontId="1"/>
  </si>
  <si>
    <t>5進</t>
    <rPh sb="1" eb="2">
      <t>シン</t>
    </rPh>
    <phoneticPr fontId="1"/>
  </si>
  <si>
    <t>3進</t>
    <rPh sb="1" eb="2">
      <t>シン</t>
    </rPh>
    <phoneticPr fontId="1"/>
  </si>
  <si>
    <t>1進</t>
    <rPh sb="1" eb="2">
      <t>シン</t>
    </rPh>
    <phoneticPr fontId="1"/>
  </si>
  <si>
    <t>全国</t>
    <rPh sb="0" eb="2">
      <t>ゼンコク</t>
    </rPh>
    <phoneticPr fontId="1"/>
  </si>
  <si>
    <t>東日本</t>
    <rPh sb="0" eb="3">
      <t>ヒガシニホン</t>
    </rPh>
    <phoneticPr fontId="1"/>
  </si>
  <si>
    <t>タイプ【武人】の攻75％UP　/　タイプ姫・伝承の攻15％UP</t>
    <phoneticPr fontId="1"/>
  </si>
  <si>
    <t>蝶々凝聚</t>
    <phoneticPr fontId="1"/>
  </si>
  <si>
    <t>姫</t>
    <rPh sb="0" eb="1">
      <t>ヒメ</t>
    </rPh>
    <phoneticPr fontId="1"/>
  </si>
  <si>
    <t>まだむばたふらい</t>
    <phoneticPr fontId="1"/>
  </si>
  <si>
    <t>タイプ【武人】の攻50％UP　/　タイプ姫・伝承の攻10％UP</t>
    <phoneticPr fontId="1"/>
  </si>
  <si>
    <t>タイプ【武人】の攻40％UP　/　タイプ姫・伝承の攻5％UP</t>
    <phoneticPr fontId="1"/>
  </si>
  <si>
    <t>9/9 18:00～9/9 21:59</t>
    <phoneticPr fontId="1"/>
  </si>
  <si>
    <t>四神戦 英雄ガチャ</t>
    <rPh sb="0" eb="1">
      <t>ヨン</t>
    </rPh>
    <rPh sb="1" eb="2">
      <t>シン</t>
    </rPh>
    <rPh sb="2" eb="3">
      <t>セン</t>
    </rPh>
    <rPh sb="4" eb="6">
      <t>エイユウ</t>
    </rPh>
    <phoneticPr fontId="1"/>
  </si>
  <si>
    <t>9/10 11:00～9/10 23:59</t>
    <phoneticPr fontId="1"/>
  </si>
  <si>
    <t>古豪戦傑ガチャ</t>
    <rPh sb="0" eb="2">
      <t>コゴウ</t>
    </rPh>
    <rPh sb="2" eb="3">
      <t>セン</t>
    </rPh>
    <rPh sb="3" eb="4">
      <t>ケツ</t>
    </rPh>
    <phoneticPr fontId="1"/>
  </si>
  <si>
    <t>9/10 18:00～9/12 23:59</t>
    <phoneticPr fontId="1"/>
  </si>
  <si>
    <t>SSR</t>
    <phoneticPr fontId="1"/>
  </si>
  <si>
    <t>SR</t>
    <phoneticPr fontId="1"/>
  </si>
  <si>
    <t>タイプ神秘・知性派の攻30％UP　/　タイプ【飲食】の攻20％UP</t>
    <phoneticPr fontId="1"/>
  </si>
  <si>
    <t>九死に一生の楚蟹</t>
    <phoneticPr fontId="1"/>
  </si>
  <si>
    <t>しんせいずわいがにちゃん</t>
    <phoneticPr fontId="1"/>
  </si>
  <si>
    <t>タイプ武人・姫の防30％UP　/　タイプ【伝承】の防20％UP</t>
    <phoneticPr fontId="1"/>
  </si>
  <si>
    <t>額縁の中の美人嫁</t>
    <phoneticPr fontId="1"/>
  </si>
  <si>
    <t>しんせいにしきえのあねさま</t>
    <phoneticPr fontId="1"/>
  </si>
  <si>
    <t>タイプ偉人・妖怪の攻30％UP　/　タイプ【名物】の攻20％UP</t>
    <phoneticPr fontId="1"/>
  </si>
  <si>
    <t>自然と暮らしの共存</t>
    <phoneticPr fontId="1"/>
  </si>
  <si>
    <t>しんせいしらかわごうちゃん</t>
    <phoneticPr fontId="1"/>
  </si>
  <si>
    <t>東日本</t>
    <rPh sb="0" eb="3">
      <t>ヒガシニホン</t>
    </rPh>
    <phoneticPr fontId="1"/>
  </si>
  <si>
    <t>西日本</t>
    <rPh sb="0" eb="3">
      <t>ニシニホン</t>
    </rPh>
    <phoneticPr fontId="1"/>
  </si>
  <si>
    <t>全国</t>
    <rPh sb="0" eb="2">
      <t>ゼンコク</t>
    </rPh>
    <phoneticPr fontId="1"/>
  </si>
  <si>
    <t>タイプ伝承・武人・姫の防90％DOWN　/　タイプ知性派・飲食の攻20％UP</t>
    <phoneticPr fontId="1"/>
  </si>
  <si>
    <t>荒々しく豊穣もたらす水神</t>
    <phoneticPr fontId="1"/>
  </si>
  <si>
    <t>しちふくじんわかうかのめのみこと</t>
    <phoneticPr fontId="1"/>
  </si>
  <si>
    <t>タイプ伝承・武人・姫の防40％UP　/　タイプ伝承・武人・姫の攻10％DOWN</t>
    <phoneticPr fontId="1"/>
  </si>
  <si>
    <t>琵琶の音が結ぶ相棒</t>
    <phoneticPr fontId="1"/>
  </si>
  <si>
    <t>いどしみみなしほういち</t>
    <phoneticPr fontId="1"/>
  </si>
  <si>
    <t>タイプ偉人・妖怪・名物の防35％UP　/　タイプ武人・伝承の攻15％DOWN</t>
    <phoneticPr fontId="1"/>
  </si>
  <si>
    <t>スカート捲る春一番</t>
    <phoneticPr fontId="1"/>
  </si>
  <si>
    <t>はるいちばんはらじゅくろりーたちゃん</t>
    <phoneticPr fontId="1"/>
  </si>
  <si>
    <t>祝来！宝船福引ガチャ</t>
    <rPh sb="0" eb="2">
      <t>シュクライ</t>
    </rPh>
    <rPh sb="3" eb="7">
      <t>タカラブネフクビキ</t>
    </rPh>
    <phoneticPr fontId="1"/>
  </si>
  <si>
    <t>9/11 12:00～9/12 11:59</t>
    <phoneticPr fontId="1"/>
  </si>
  <si>
    <t>超攻再臨ガチャ</t>
    <rPh sb="0" eb="4">
      <t>チョウコウサイリン</t>
    </rPh>
    <phoneticPr fontId="1"/>
  </si>
  <si>
    <t>9/11 18:00～9/13 23:59</t>
    <phoneticPr fontId="1"/>
  </si>
  <si>
    <t>タイプ神秘・知性派・飲食の攻35％UP</t>
    <phoneticPr fontId="1"/>
  </si>
  <si>
    <t>氷上の酒仙乙女</t>
    <phoneticPr fontId="1"/>
  </si>
  <si>
    <t>うぃんたーすぽーつつきみざけちゃん</t>
    <phoneticPr fontId="1"/>
  </si>
  <si>
    <t>タイプ偉人・妖怪の攻20％UP　/　タイプ【名物】の攻15％UP</t>
    <phoneticPr fontId="1"/>
  </si>
  <si>
    <t>悪魔が奏でる魅惑の音色</t>
    <phoneticPr fontId="1"/>
  </si>
  <si>
    <t>あむどぅすきあす</t>
    <phoneticPr fontId="1"/>
  </si>
  <si>
    <t>タイプ姫・伝承の攻25％UP　/　タイプ【武人】の攻10％UP</t>
    <phoneticPr fontId="1"/>
  </si>
  <si>
    <t>豪快カジノプレイ</t>
    <phoneticPr fontId="1"/>
  </si>
  <si>
    <t>かじのいけだせん</t>
    <phoneticPr fontId="1"/>
  </si>
  <si>
    <t>9/12 11:00～9/14 23:59</t>
    <phoneticPr fontId="1"/>
  </si>
  <si>
    <t>戦神ガチャ</t>
    <rPh sb="0" eb="2">
      <t>センシン</t>
    </rPh>
    <phoneticPr fontId="1"/>
  </si>
  <si>
    <t>タイプ武人・伝承の攻25％UP　/　タイプ【姫】の攻10％UP</t>
    <phoneticPr fontId="1"/>
  </si>
  <si>
    <t>渦中の王位継承</t>
    <phoneticPr fontId="1"/>
  </si>
  <si>
    <t>りかやおうじょ</t>
    <phoneticPr fontId="1"/>
  </si>
  <si>
    <t>9/12 20:00～9/12 23:59</t>
    <phoneticPr fontId="1"/>
  </si>
  <si>
    <t>刹那！最強DOWN隊士ガチャ</t>
    <phoneticPr fontId="1"/>
  </si>
  <si>
    <t>豪華玉手箱ガチャ</t>
    <rPh sb="0" eb="5">
      <t>ゴウカタマテバコ</t>
    </rPh>
    <phoneticPr fontId="1"/>
  </si>
  <si>
    <t>9/13 15:00～9/13 23:59</t>
    <phoneticPr fontId="1"/>
  </si>
  <si>
    <t>9/13 18:00～9/13 21:59</t>
    <phoneticPr fontId="1"/>
  </si>
  <si>
    <t>サイコロ行脚 怒涛の猛進！だんじり祭りガチャ</t>
    <rPh sb="4" eb="6">
      <t>アンギャ</t>
    </rPh>
    <phoneticPr fontId="1"/>
  </si>
  <si>
    <t>SSR</t>
    <phoneticPr fontId="1"/>
  </si>
  <si>
    <t>SR</t>
    <phoneticPr fontId="1"/>
  </si>
  <si>
    <t>HR</t>
    <phoneticPr fontId="1"/>
  </si>
  <si>
    <t>R</t>
    <phoneticPr fontId="1"/>
  </si>
  <si>
    <t>北海道・東北</t>
    <rPh sb="0" eb="3">
      <t>ホッカイドウ</t>
    </rPh>
    <rPh sb="4" eb="6">
      <t>トウホク</t>
    </rPh>
    <phoneticPr fontId="1"/>
  </si>
  <si>
    <t>中国・四国</t>
    <rPh sb="0" eb="2">
      <t>チュウゴク</t>
    </rPh>
    <rPh sb="3" eb="5">
      <t>シコク</t>
    </rPh>
    <phoneticPr fontId="1"/>
  </si>
  <si>
    <t>中部</t>
    <rPh sb="0" eb="2">
      <t>チュウブ</t>
    </rPh>
    <phoneticPr fontId="1"/>
  </si>
  <si>
    <t>近畿</t>
    <rPh sb="0" eb="2">
      <t>キンキ</t>
    </rPh>
    <phoneticPr fontId="1"/>
  </si>
  <si>
    <t>広島</t>
    <rPh sb="0" eb="2">
      <t>ヒロシマ</t>
    </rPh>
    <phoneticPr fontId="1"/>
  </si>
  <si>
    <t>タイプ神秘・知性派の防40％UP　/　タイプ【飲食】の防25％UP</t>
    <phoneticPr fontId="1"/>
  </si>
  <si>
    <t>赤い宝石輝く走る芸術品</t>
    <phoneticPr fontId="1"/>
  </si>
  <si>
    <t>飲食</t>
    <phoneticPr fontId="1"/>
  </si>
  <si>
    <t>だんじりさくらんぼちゃん</t>
    <phoneticPr fontId="1"/>
  </si>
  <si>
    <t>タイプ伝承・武人・姫の攻30％UP　/　タイプ神秘・知性派・飲食・武人の防13％DOWN</t>
    <phoneticPr fontId="1"/>
  </si>
  <si>
    <t>星神流星拳</t>
    <phoneticPr fontId="1"/>
  </si>
  <si>
    <t>しんせいぶじゅつかほしがみさま</t>
    <phoneticPr fontId="1"/>
  </si>
  <si>
    <t>タイプ姫・伝承の攻30％UP　/　タイプ【武人】の攻10％UP</t>
    <phoneticPr fontId="1"/>
  </si>
  <si>
    <t>民衆とだんじりの上に立つ男</t>
    <phoneticPr fontId="1"/>
  </si>
  <si>
    <t>しんせいおとこまつりはしばひでよし</t>
    <phoneticPr fontId="1"/>
  </si>
  <si>
    <t>タイプ偉人・妖怪の防20％UP</t>
    <phoneticPr fontId="1"/>
  </si>
  <si>
    <t>動き輝く絢爛山車</t>
    <phoneticPr fontId="1"/>
  </si>
  <si>
    <t>しんせいながはまひきやま</t>
    <phoneticPr fontId="1"/>
  </si>
  <si>
    <t>タイプ【飲食】の攻20％UP</t>
    <phoneticPr fontId="1"/>
  </si>
  <si>
    <t>鳳凰見守る困難との対峙</t>
    <phoneticPr fontId="1"/>
  </si>
  <si>
    <t>しんせいみやびわがっきじゅりあ・かろざーす</t>
    <phoneticPr fontId="1"/>
  </si>
  <si>
    <t>超防再臨ガチャ</t>
    <rPh sb="0" eb="4">
      <t>チョウボウサイリン</t>
    </rPh>
    <phoneticPr fontId="1"/>
  </si>
  <si>
    <t>9/14 18:00～9/16 23:59</t>
    <phoneticPr fontId="1"/>
  </si>
  <si>
    <t>しんせいあきづきたねとき</t>
    <phoneticPr fontId="1"/>
  </si>
  <si>
    <t>タイプ姫・伝承の防30％UP　/　タイプ【武人】の防10％UP</t>
    <phoneticPr fontId="1"/>
  </si>
  <si>
    <t>古処山城の城主</t>
    <phoneticPr fontId="1"/>
  </si>
  <si>
    <t>タイプ妖怪・名物の防30％UP　/　タイプ【偉人】の防10％UP</t>
    <phoneticPr fontId="1"/>
  </si>
  <si>
    <t>オフィスを彩った才女</t>
    <phoneticPr fontId="1"/>
  </si>
  <si>
    <t>しんせいおふぃすれでぃあかぞめえもん</t>
    <phoneticPr fontId="1"/>
  </si>
  <si>
    <t>タイプ神秘・知性派の攻100％DOWN　/　タイプ偉人・名物の防20％UP</t>
    <phoneticPr fontId="1"/>
  </si>
  <si>
    <t>怨みも忘れる恍惚の温もり</t>
    <phoneticPr fontId="1"/>
  </si>
  <si>
    <t>おんせんやどもうりょう</t>
    <phoneticPr fontId="1"/>
  </si>
  <si>
    <t>タイプ伝承・武人・姫の攻80％DOWN　/　タイプ知性派・飲食の防25％UP</t>
    <phoneticPr fontId="1"/>
  </si>
  <si>
    <t>お洒落大好き！</t>
    <phoneticPr fontId="1"/>
  </si>
  <si>
    <t>どうぶつのしまたくはたちぢひめ</t>
    <phoneticPr fontId="1"/>
  </si>
  <si>
    <t>武人</t>
    <phoneticPr fontId="1"/>
  </si>
  <si>
    <t>タイプ伝承・武人・姫の防15％UP</t>
    <phoneticPr fontId="1"/>
  </si>
  <si>
    <t>その想いは海を越えて</t>
    <phoneticPr fontId="1"/>
  </si>
  <si>
    <t>そうよしとし</t>
    <phoneticPr fontId="1"/>
  </si>
  <si>
    <t>祝来！宝船福引ガチャ</t>
    <rPh sb="0" eb="2">
      <t>シュクライ</t>
    </rPh>
    <rPh sb="3" eb="7">
      <t>タカラブネフクビキ</t>
    </rPh>
    <phoneticPr fontId="1"/>
  </si>
  <si>
    <t>9/15 12:00～9/16 11:59</t>
    <phoneticPr fontId="1"/>
  </si>
  <si>
    <t>80623_0</t>
    <phoneticPr fontId="1"/>
  </si>
  <si>
    <t>SSR</t>
    <phoneticPr fontId="1"/>
  </si>
  <si>
    <t>SR</t>
    <phoneticPr fontId="1"/>
  </si>
  <si>
    <t>全国</t>
    <rPh sb="0" eb="2">
      <t>ゼンコク</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</si>
  <si>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</si>
  <si>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</si>
  <si>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</si>
  <si>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</si>
  <si>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知性派</t>
    <rPh sb="0" eb="2">
      <t>チセイ</t>
    </rPh>
    <rPh sb="2" eb="3">
      <t>ハ</t>
    </rPh>
    <phoneticPr fontId="1"/>
  </si>
  <si>
    <t>雨上がりの虹</t>
    <phoneticPr fontId="1"/>
  </si>
  <si>
    <t>タイプ神秘・飲食の攻25％UP　/　タイプ【知性派】の攻10％UP</t>
    <phoneticPr fontId="1"/>
  </si>
  <si>
    <t>にじいろのまじゅつしてんちゃ</t>
    <phoneticPr fontId="1"/>
  </si>
  <si>
    <t>タイプ神秘・飲食の攻12％UP　/　タイプ【知性派】の攻10％UP</t>
    <phoneticPr fontId="1"/>
  </si>
  <si>
    <t>タイプ神秘・飲食の攻10％UP　/　タイプ【知性派】の攻5％UP</t>
    <phoneticPr fontId="1"/>
  </si>
  <si>
    <t>9/15 12:00～9/20 22:59</t>
    <phoneticPr fontId="1"/>
  </si>
  <si>
    <t>9/15 15:00～9/16 23:59</t>
    <phoneticPr fontId="1"/>
  </si>
  <si>
    <t>タイプ伝承・武人・姫の攻30％UP　/　タイプ武人・妖怪・名物・偉人の防13％DOWN</t>
    <phoneticPr fontId="1"/>
  </si>
  <si>
    <t>幸せ分けるほろ酔い観音</t>
    <phoneticPr fontId="1"/>
  </si>
  <si>
    <t>伝承</t>
    <phoneticPr fontId="1"/>
  </si>
  <si>
    <t>タイプ神秘・知性派・飲食の攻35％UP</t>
    <phoneticPr fontId="1"/>
  </si>
  <si>
    <t>豪華絢爛こけら寿司</t>
    <phoneticPr fontId="1"/>
  </si>
  <si>
    <t>タイプ妖怪・武人の攻55％UP　/　タイプ偉人・名物の攻30％UP</t>
    <phoneticPr fontId="1"/>
  </si>
  <si>
    <t>来世へ還る澄清の羽</t>
    <phoneticPr fontId="1"/>
  </si>
  <si>
    <t>妖怪</t>
    <phoneticPr fontId="1"/>
  </si>
  <si>
    <t>タイプ妖怪・名物の攻35％UP　/　タイプ【偉人】の攻20％UP</t>
    <phoneticPr fontId="1"/>
  </si>
  <si>
    <t>真剣勝負に華を添えて</t>
    <phoneticPr fontId="1"/>
  </si>
  <si>
    <t>偉人</t>
    <phoneticPr fontId="1"/>
  </si>
  <si>
    <t>タイプ武人・姫の防35％UP　/　タイプ【伝承】の防20％UP</t>
    <phoneticPr fontId="1"/>
  </si>
  <si>
    <t>夏が来た！</t>
    <phoneticPr fontId="1"/>
  </si>
  <si>
    <t>タイプ知性派・飲食の防30％UP　/　タイプ【神秘】の防10％UP</t>
    <phoneticPr fontId="1"/>
  </si>
  <si>
    <t>轟雷を割く千の鳥</t>
    <phoneticPr fontId="1"/>
  </si>
  <si>
    <t>おみきかんのん</t>
    <phoneticPr fontId="1"/>
  </si>
  <si>
    <t>こけらずしちゃん</t>
    <phoneticPr fontId="1"/>
  </si>
  <si>
    <t>ぱわーすぽっとちょうけしん</t>
    <phoneticPr fontId="1"/>
  </si>
  <si>
    <t>れーすくいーんじんぼゆき</t>
    <phoneticPr fontId="1"/>
  </si>
  <si>
    <t>なつゆうえんちたまやのつばき</t>
    <phoneticPr fontId="1"/>
  </si>
  <si>
    <t>しんせいらいきりまる</t>
    <phoneticPr fontId="1"/>
  </si>
  <si>
    <t>サイコロ行脚 英雄ガチャ</t>
    <rPh sb="4" eb="6">
      <t>アンギャ</t>
    </rPh>
    <rPh sb="7" eb="9">
      <t>エイユウ</t>
    </rPh>
    <phoneticPr fontId="1"/>
  </si>
  <si>
    <t>9/16 11:00～9/16 23:59</t>
    <phoneticPr fontId="1"/>
  </si>
  <si>
    <t>天撃皆伝ガチャ</t>
    <rPh sb="0" eb="4">
      <t>テンゲキカイデン</t>
    </rPh>
    <phoneticPr fontId="1"/>
  </si>
  <si>
    <t>9/16 18:00～9/18 23:59</t>
    <phoneticPr fontId="1"/>
  </si>
  <si>
    <t>タイプ【武人】の攻75％UP　/　タイプ姫・伝承の攻30％UP</t>
    <phoneticPr fontId="1"/>
  </si>
  <si>
    <t>裏切りの輪舞曲</t>
    <phoneticPr fontId="1"/>
  </si>
  <si>
    <t>ぶんめいかいかはつめのつぼね</t>
    <phoneticPr fontId="1"/>
  </si>
  <si>
    <t>タイプ妖怪・名物の防55％UP　/　タイプ【偉人】の防25％UP</t>
    <phoneticPr fontId="1"/>
  </si>
  <si>
    <t>凛として響く歌声</t>
    <phoneticPr fontId="1"/>
  </si>
  <si>
    <t>ひびきわたるねいろそのべひでお</t>
    <phoneticPr fontId="1"/>
  </si>
  <si>
    <t>戦神ガチャ</t>
    <rPh sb="0" eb="2">
      <t>センシン</t>
    </rPh>
    <phoneticPr fontId="1"/>
  </si>
  <si>
    <t>9/17 11:00～9/19 23:59</t>
    <phoneticPr fontId="1"/>
  </si>
  <si>
    <t>そる</t>
    <phoneticPr fontId="1"/>
  </si>
  <si>
    <t>タイプ【飲食】の防85％UP　/　タイプ神秘・知性派の防25％UP</t>
    <phoneticPr fontId="1"/>
  </si>
  <si>
    <t>優しき眼差し</t>
    <phoneticPr fontId="1"/>
  </si>
  <si>
    <t>えどからかみちゃん</t>
    <phoneticPr fontId="1"/>
  </si>
  <si>
    <t>9/17 18:00～9/17 21:59</t>
    <phoneticPr fontId="1"/>
  </si>
  <si>
    <t>祝来！宝船福引ガチャ</t>
    <rPh sb="0" eb="1">
      <t>シュク</t>
    </rPh>
    <rPh sb="1" eb="2">
      <t>ライ</t>
    </rPh>
    <rPh sb="3" eb="7">
      <t>タカラブネフクビキ</t>
    </rPh>
    <phoneticPr fontId="1"/>
  </si>
  <si>
    <t>9/18 12:00～9/19 11:59</t>
    <phoneticPr fontId="1"/>
  </si>
  <si>
    <t>天幻来迎ガチャ</t>
    <rPh sb="0" eb="4">
      <t>テンゲンライゴウ</t>
    </rPh>
    <phoneticPr fontId="1"/>
  </si>
  <si>
    <t>9/18 18:00～9/20 23:59</t>
    <phoneticPr fontId="1"/>
  </si>
  <si>
    <t>81183_0</t>
    <phoneticPr fontId="1"/>
  </si>
  <si>
    <t>タイプ神秘・知性派の攻40％UP　/　タイプ【飲食】の攻25％UP</t>
    <phoneticPr fontId="1"/>
  </si>
  <si>
    <t>おかわり！</t>
    <phoneticPr fontId="1"/>
  </si>
  <si>
    <t>ぐーら</t>
    <phoneticPr fontId="1"/>
  </si>
  <si>
    <t>サイコロ行脚 英雄ガチャ</t>
    <rPh sb="4" eb="6">
      <t>アンギャ</t>
    </rPh>
    <rPh sb="7" eb="9">
      <t>エイユウ</t>
    </rPh>
    <phoneticPr fontId="1"/>
  </si>
  <si>
    <t>9/19 11:00～9/19 23:59</t>
    <phoneticPr fontId="1"/>
  </si>
  <si>
    <t>古豪戦傑ガチャ</t>
    <rPh sb="0" eb="4">
      <t>コゴウセンケツ</t>
    </rPh>
    <phoneticPr fontId="1"/>
  </si>
  <si>
    <t>9/19 18:00～9/21 23:59</t>
    <phoneticPr fontId="1"/>
  </si>
  <si>
    <t>なべぱーてぃたかばおさむ</t>
    <phoneticPr fontId="1"/>
  </si>
  <si>
    <t>幸せな時間</t>
    <phoneticPr fontId="1"/>
  </si>
  <si>
    <t>タイプ神秘・知性派・飲食の防40％UP　/　タイプ伝承・武人・姫の攻10％DOWN</t>
    <phoneticPr fontId="1"/>
  </si>
  <si>
    <t>ひびきわたるねいろまつおたせこ</t>
    <phoneticPr fontId="1"/>
  </si>
  <si>
    <t>ときめきメロディ</t>
    <phoneticPr fontId="1"/>
  </si>
  <si>
    <t>タイプ【伝承】の攻30％UP　/　タイプ武人・姫の攻15％UP</t>
    <phoneticPr fontId="1"/>
  </si>
  <si>
    <t>しょうぎからくりぎえもん</t>
    <phoneticPr fontId="1"/>
  </si>
  <si>
    <t>卓越した頭脳による名勝負</t>
    <phoneticPr fontId="1"/>
  </si>
  <si>
    <t>タイプ偉人・妖怪・名物の防45％UP</t>
    <phoneticPr fontId="1"/>
  </si>
  <si>
    <t>9/20 20:00～9/20 23:59</t>
    <phoneticPr fontId="1"/>
  </si>
  <si>
    <t>刹那！最強DOWN隊士ガチャ</t>
    <phoneticPr fontId="1"/>
  </si>
  <si>
    <t>豪華玉手箱ガチャ</t>
    <rPh sb="0" eb="2">
      <t>ゴウカ</t>
    </rPh>
    <rPh sb="2" eb="5">
      <t>タマテバコ</t>
    </rPh>
    <phoneticPr fontId="1"/>
  </si>
  <si>
    <t>9/20 15:00～9/20 23:59</t>
    <phoneticPr fontId="1"/>
  </si>
  <si>
    <t>超攻撃ガチャ</t>
    <rPh sb="0" eb="1">
      <t>チョウ</t>
    </rPh>
    <rPh sb="1" eb="3">
      <t>コウゲキ</t>
    </rPh>
    <phoneticPr fontId="1"/>
  </si>
  <si>
    <t>9/21 12:00～9/25 11:59</t>
    <phoneticPr fontId="1"/>
  </si>
  <si>
    <t>東日本</t>
    <rPh sb="0" eb="1">
      <t>ヒガシ</t>
    </rPh>
    <rPh sb="1" eb="3">
      <t>ニホン</t>
    </rPh>
    <phoneticPr fontId="1"/>
  </si>
  <si>
    <t>中国・四国</t>
    <rPh sb="0" eb="2">
      <t>チュウゴク</t>
    </rPh>
    <rPh sb="3" eb="5">
      <t>シコク</t>
    </rPh>
    <phoneticPr fontId="1"/>
  </si>
  <si>
    <t>北海道・東北</t>
    <rPh sb="0" eb="3">
      <t>ホッカイドウ</t>
    </rPh>
    <rPh sb="4" eb="6">
      <t>トウホク</t>
    </rPh>
    <phoneticPr fontId="1"/>
  </si>
  <si>
    <t>タイプ偉人・妖怪・名物の攻45％UP</t>
    <phoneticPr fontId="1"/>
  </si>
  <si>
    <t>完璧な間合いで作り上げし料理</t>
    <phoneticPr fontId="1"/>
  </si>
  <si>
    <t>偉人</t>
    <phoneticPr fontId="1"/>
  </si>
  <si>
    <t>おりょうりそのべひでお</t>
    <phoneticPr fontId="1"/>
  </si>
  <si>
    <t>タイプ伝承・武人・姫の攻30％UP　/　タイプ武人・妖怪・名物・偉人の防13％DOWN</t>
    <phoneticPr fontId="1"/>
  </si>
  <si>
    <t>懐かしさを感じて</t>
    <phoneticPr fontId="1"/>
  </si>
  <si>
    <t>伝承</t>
    <phoneticPr fontId="1"/>
  </si>
  <si>
    <t>ふるでんしゃごしきひめ</t>
    <phoneticPr fontId="1"/>
  </si>
  <si>
    <t>タイプ神秘・知性派の攻25％UP　/　タイプ【飲食】の攻10％UP</t>
    <phoneticPr fontId="1"/>
  </si>
  <si>
    <t>勇敢な消防士の栄養源</t>
    <phoneticPr fontId="1"/>
  </si>
  <si>
    <t>飲食</t>
    <phoneticPr fontId="1"/>
  </si>
  <si>
    <t>しょうぼうしゆべし</t>
    <phoneticPr fontId="1"/>
  </si>
  <si>
    <t>天クロ7thアニバーサリーガチャ</t>
    <phoneticPr fontId="1"/>
  </si>
  <si>
    <t>(DX)9/21 15:00～9/23 23:59</t>
    <phoneticPr fontId="1"/>
  </si>
  <si>
    <t>SSR</t>
    <phoneticPr fontId="1"/>
  </si>
  <si>
    <t>タイプ武人・伝承の攻55％UP　/　タイプ【姫】の攻25％UP</t>
    <phoneticPr fontId="1"/>
  </si>
  <si>
    <t>めでたい７周年！</t>
    <phoneticPr fontId="1"/>
  </si>
  <si>
    <t>姫</t>
    <phoneticPr fontId="1"/>
  </si>
  <si>
    <t>しゅくてんさぽちゅん</t>
    <phoneticPr fontId="1"/>
  </si>
  <si>
    <t>SR</t>
    <phoneticPr fontId="1"/>
  </si>
  <si>
    <t>関東</t>
    <rPh sb="0" eb="2">
      <t>カントウ</t>
    </rPh>
    <phoneticPr fontId="1"/>
  </si>
  <si>
    <t>中部</t>
    <rPh sb="0" eb="2">
      <t>チュウブ</t>
    </rPh>
    <phoneticPr fontId="1"/>
  </si>
  <si>
    <t>近畿</t>
    <rPh sb="0" eb="2">
      <t>キンキ</t>
    </rPh>
    <phoneticPr fontId="1"/>
  </si>
  <si>
    <t>九州・沖縄</t>
    <rPh sb="0" eb="2">
      <t>キュウシュウ</t>
    </rPh>
    <rPh sb="3" eb="5">
      <t>オキナワ</t>
    </rPh>
    <phoneticPr fontId="1"/>
  </si>
  <si>
    <t>タイプ武人・姫の攻30％UP　/　タイプ【伝承】の攻10％UP</t>
    <phoneticPr fontId="1"/>
  </si>
  <si>
    <t>常勝不敗の義賊</t>
    <phoneticPr fontId="1"/>
  </si>
  <si>
    <t>かいとうぽいやんぺ</t>
    <phoneticPr fontId="1"/>
  </si>
  <si>
    <t>タイプ姫・伝承の攻35％UP　/　タイプ【武人】の攻20％UP</t>
    <phoneticPr fontId="1"/>
  </si>
  <si>
    <t>新年の英明たる一噛み</t>
    <phoneticPr fontId="1"/>
  </si>
  <si>
    <t>がんたんいいなおまさ</t>
    <phoneticPr fontId="1"/>
  </si>
  <si>
    <t>うえでぃんぐこしひかりちゃん</t>
    <phoneticPr fontId="1"/>
  </si>
  <si>
    <t>タイプ神秘・知性派・偉人の攻30％UP</t>
    <phoneticPr fontId="1"/>
  </si>
  <si>
    <t>契りのライスシャワー</t>
    <phoneticPr fontId="1"/>
  </si>
  <si>
    <t>タイプ偉人・名物の攻35％UP　/　タイプ知性派・飲食の攻20％UP</t>
    <phoneticPr fontId="1"/>
  </si>
  <si>
    <t>水も滴る美白狐の誓い</t>
    <phoneticPr fontId="1"/>
  </si>
  <si>
    <t>妖怪</t>
    <phoneticPr fontId="1"/>
  </si>
  <si>
    <t>おにきりしゅうぬれがみどうじ</t>
    <phoneticPr fontId="1"/>
  </si>
  <si>
    <t>タイプ【神秘】の攻30％UP　/　タイプ知性派・飲食の攻20％UP</t>
    <phoneticPr fontId="1"/>
  </si>
  <si>
    <t>絵画的豪華チョコレート</t>
    <phoneticPr fontId="1"/>
  </si>
  <si>
    <t>知性派</t>
    <phoneticPr fontId="1"/>
  </si>
  <si>
    <t>ちょこのぐちしょうひん</t>
    <phoneticPr fontId="1"/>
  </si>
  <si>
    <t>タイプ偉人・妖怪の攻35％UP　/　タイプ【名物】の攻20％UP</t>
    <phoneticPr fontId="1"/>
  </si>
  <si>
    <t>賑わいに跳ねる黒ウサギ</t>
    <phoneticPr fontId="1"/>
  </si>
  <si>
    <t>名物</t>
    <phoneticPr fontId="1"/>
  </si>
  <si>
    <t>ゆかたあまみのくろうさぎちゃん</t>
    <phoneticPr fontId="1"/>
  </si>
  <si>
    <t>9/22 15:00～9/22 23:59</t>
    <phoneticPr fontId="1"/>
  </si>
  <si>
    <t>豪華玉手箱ガチャ</t>
    <phoneticPr fontId="1"/>
  </si>
  <si>
    <t>超防御ガチャ</t>
    <rPh sb="0" eb="1">
      <t>チョウ</t>
    </rPh>
    <rPh sb="1" eb="3">
      <t>ボウギョ</t>
    </rPh>
    <phoneticPr fontId="1"/>
  </si>
  <si>
    <t>9/22 12:00～9/25 11:59</t>
    <phoneticPr fontId="1"/>
  </si>
  <si>
    <t>西日本</t>
    <rPh sb="0" eb="1">
      <t>ニシ</t>
    </rPh>
    <rPh sb="1" eb="3">
      <t>ニホン</t>
    </rPh>
    <phoneticPr fontId="1"/>
  </si>
  <si>
    <t>関東</t>
    <rPh sb="0" eb="2">
      <t>カントウ</t>
    </rPh>
    <phoneticPr fontId="1"/>
  </si>
  <si>
    <t>近畿</t>
    <rPh sb="0" eb="2">
      <t>キンキ</t>
    </rPh>
    <phoneticPr fontId="1"/>
  </si>
  <si>
    <t>タイプ神秘・知性派・飲食の防20％UP　/　タイプ飲食・武人・名物の攻70％DOWN</t>
    <phoneticPr fontId="1"/>
  </si>
  <si>
    <t>母なる大地を見渡す女神</t>
    <phoneticPr fontId="1"/>
  </si>
  <si>
    <t>さふぁりぱーくなきさわめ</t>
    <phoneticPr fontId="1"/>
  </si>
  <si>
    <t>タイプ【武人】の防85％UP　/　タイプ姫・伝承の防25％UP</t>
    <phoneticPr fontId="1"/>
  </si>
  <si>
    <t>その姿をまた見たくて</t>
    <phoneticPr fontId="1"/>
  </si>
  <si>
    <t>ふるでんしゃごう</t>
    <phoneticPr fontId="1"/>
  </si>
  <si>
    <t>タイプ偉人・妖怪・名物の防35％UP　/　タイプ伝承・武人・姫の攻10％DOWN</t>
    <phoneticPr fontId="1"/>
  </si>
  <si>
    <t>勇敢な情熱のチムドンドン</t>
    <phoneticPr fontId="1"/>
  </si>
  <si>
    <t>名物</t>
    <phoneticPr fontId="1"/>
  </si>
  <si>
    <t>しょうぼうしおきなわぜんとうえいさーまつり</t>
    <phoneticPr fontId="1"/>
  </si>
  <si>
    <t>祝来！宝船福引ガチャ</t>
    <rPh sb="0" eb="1">
      <t>シュク</t>
    </rPh>
    <rPh sb="1" eb="2">
      <t>ライ</t>
    </rPh>
    <rPh sb="3" eb="7">
      <t>タカラブネフクビキ</t>
    </rPh>
    <phoneticPr fontId="1"/>
  </si>
  <si>
    <t>9/23 12:00～9/24 11:59</t>
    <phoneticPr fontId="1"/>
  </si>
  <si>
    <t>天幻来迎ガチャ</t>
    <rPh sb="0" eb="1">
      <t>テン</t>
    </rPh>
    <rPh sb="1" eb="2">
      <t>ゲン</t>
    </rPh>
    <rPh sb="2" eb="4">
      <t>ライゴウ</t>
    </rPh>
    <phoneticPr fontId="1"/>
  </si>
  <si>
    <t>9/23 18:00～9/25 23:59</t>
    <phoneticPr fontId="1"/>
  </si>
  <si>
    <t>同盟戦 英雄ガチャ</t>
    <rPh sb="0" eb="2">
      <t>ドウメイ</t>
    </rPh>
    <rPh sb="2" eb="3">
      <t>セン</t>
    </rPh>
    <rPh sb="4" eb="6">
      <t>エイユウ</t>
    </rPh>
    <phoneticPr fontId="1"/>
  </si>
  <si>
    <t>9/24 11:00～9/24 23:59</t>
    <phoneticPr fontId="1"/>
  </si>
  <si>
    <t>HR</t>
    <phoneticPr fontId="1"/>
  </si>
  <si>
    <t>九州・沖縄</t>
    <rPh sb="0" eb="2">
      <t>キュウシュウ</t>
    </rPh>
    <rPh sb="3" eb="5">
      <t>オキナワ</t>
    </rPh>
    <phoneticPr fontId="1"/>
  </si>
  <si>
    <t>タイプ知性派・飲食の攻20％UP</t>
    <phoneticPr fontId="1"/>
  </si>
  <si>
    <t>澄み渡る巫女の水舞</t>
    <phoneticPr fontId="1"/>
  </si>
  <si>
    <t>しんせいみこわだつみ</t>
    <phoneticPr fontId="1"/>
  </si>
  <si>
    <t>9/24 18:00～9/24 21:59</t>
    <phoneticPr fontId="1"/>
  </si>
  <si>
    <t>8/20 20:00～8/20 23:59</t>
    <phoneticPr fontId="1"/>
  </si>
  <si>
    <t>9/25 20:00～9/25 23:59</t>
    <phoneticPr fontId="1"/>
  </si>
  <si>
    <t>天下統一戦 幸福の招き猫ガチャ</t>
    <rPh sb="0" eb="2">
      <t>テンカ</t>
    </rPh>
    <rPh sb="2" eb="4">
      <t>トウイツ</t>
    </rPh>
    <rPh sb="4" eb="5">
      <t>セン</t>
    </rPh>
    <phoneticPr fontId="1"/>
  </si>
  <si>
    <t>(DX)9/25 12:00～9/30 19:59</t>
    <phoneticPr fontId="1"/>
  </si>
  <si>
    <t>SSR</t>
    <phoneticPr fontId="1"/>
  </si>
  <si>
    <t>SR</t>
    <phoneticPr fontId="1"/>
  </si>
  <si>
    <t>HR</t>
    <phoneticPr fontId="1"/>
  </si>
  <si>
    <t>R</t>
    <phoneticPr fontId="1"/>
  </si>
  <si>
    <t>北海道・東北</t>
    <rPh sb="0" eb="3">
      <t>ホッカイドウ</t>
    </rPh>
    <rPh sb="4" eb="6">
      <t>トウホク</t>
    </rPh>
    <phoneticPr fontId="1"/>
  </si>
  <si>
    <t>中部</t>
    <rPh sb="0" eb="2">
      <t>チュウブ</t>
    </rPh>
    <phoneticPr fontId="1"/>
  </si>
  <si>
    <t>関東</t>
    <rPh sb="0" eb="2">
      <t>カントウ</t>
    </rPh>
    <phoneticPr fontId="1"/>
  </si>
  <si>
    <t>中国・四国</t>
    <rPh sb="0" eb="2">
      <t>チュウゴク</t>
    </rPh>
    <rPh sb="3" eb="5">
      <t>シコク</t>
    </rPh>
    <phoneticPr fontId="1"/>
  </si>
  <si>
    <t>石川</t>
    <rPh sb="0" eb="2">
      <t>イシカワ</t>
    </rPh>
    <phoneticPr fontId="1"/>
  </si>
  <si>
    <t>タイプ伝承・武人・姫の攻30％UP　/　タイプ武人・姫・伝承・飲食の防13％DOWN</t>
    <phoneticPr fontId="1"/>
  </si>
  <si>
    <t>福招く猫と鶴の奇跡</t>
    <phoneticPr fontId="1"/>
  </si>
  <si>
    <t>まねきねこおつるみょうじん</t>
    <phoneticPr fontId="1"/>
  </si>
  <si>
    <t>タイプ妖怪・名物の防60％UP　/　タイプ【偉人】の防15％UP</t>
    <phoneticPr fontId="1"/>
  </si>
  <si>
    <t>当たれば恋に落とせし愛の矢</t>
    <phoneticPr fontId="1"/>
  </si>
  <si>
    <t>しんせいきゅーぴっどおだいのかた</t>
    <phoneticPr fontId="1"/>
  </si>
  <si>
    <t>タイプ知性派・飲食の防30％UP　/　タイプ【神秘】の防10％UP</t>
    <phoneticPr fontId="1"/>
  </si>
  <si>
    <t>梅と猫の温かな香り</t>
    <phoneticPr fontId="1"/>
  </si>
  <si>
    <t>しんせいうめおいらんあずさみてんじんのこまねこ</t>
    <phoneticPr fontId="1"/>
  </si>
  <si>
    <t>タイプ偉人・名物の攻20％UP</t>
    <phoneticPr fontId="1"/>
  </si>
  <si>
    <t>危険な猫パーカー</t>
    <phoneticPr fontId="1"/>
  </si>
  <si>
    <t>しんせいふりょうようかいねこだぬき</t>
    <phoneticPr fontId="1"/>
  </si>
  <si>
    <t>タイプ【武人】の防20％UP</t>
    <phoneticPr fontId="1"/>
  </si>
  <si>
    <t>ハートを奪う攻撃力</t>
    <phoneticPr fontId="1"/>
  </si>
  <si>
    <t>しんせいねこみみたまひめ</t>
    <phoneticPr fontId="1"/>
  </si>
  <si>
    <t>戦神ガチャ</t>
    <rPh sb="0" eb="2">
      <t>センシン</t>
    </rPh>
    <phoneticPr fontId="1"/>
  </si>
  <si>
    <t>9/26 11:00～9/28 11:59</t>
    <phoneticPr fontId="1"/>
  </si>
  <si>
    <t>タイプ神秘・飲食の攻100％DOWN　/　タイプ偉人・名物の防20％UP</t>
    <phoneticPr fontId="1"/>
  </si>
  <si>
    <t>高まる獣性</t>
    <phoneticPr fontId="1"/>
  </si>
  <si>
    <t>じゅうわんのねふぇるふぃと</t>
    <phoneticPr fontId="1"/>
  </si>
  <si>
    <t>受けたダメージを相手にも与える</t>
    <phoneticPr fontId="1"/>
  </si>
  <si>
    <t>天撃皆伝ガチャ</t>
    <rPh sb="0" eb="1">
      <t>テン</t>
    </rPh>
    <rPh sb="1" eb="2">
      <t>ゲキ</t>
    </rPh>
    <rPh sb="2" eb="4">
      <t>カイデン</t>
    </rPh>
    <phoneticPr fontId="1"/>
  </si>
  <si>
    <t>9/26 18:00～9/28 23:59</t>
    <phoneticPr fontId="1"/>
  </si>
  <si>
    <t>SR</t>
    <phoneticPr fontId="1"/>
  </si>
  <si>
    <t>タイプ武人・伝承の攻30％UP　/　タイプ【姫】の攻10％UP</t>
    <phoneticPr fontId="1"/>
  </si>
  <si>
    <t>神の恵みの洗礼</t>
    <phoneticPr fontId="1"/>
  </si>
  <si>
    <t>姫</t>
    <phoneticPr fontId="1"/>
  </si>
  <si>
    <t>しんせいほそかわがらしゃ</t>
    <phoneticPr fontId="1"/>
  </si>
  <si>
    <t>タイプ妖怪・名物の攻30％UP　/　タイプ【偉人】の攻10％UP</t>
    <phoneticPr fontId="1"/>
  </si>
  <si>
    <t>天より降る雨、過去を浮かべて</t>
    <phoneticPr fontId="1"/>
  </si>
  <si>
    <t>あじさいいくしま</t>
    <phoneticPr fontId="1"/>
  </si>
  <si>
    <t>タイプ神秘・知性派の防30％UP　/　タイプ【飲食】の防10％UP</t>
    <phoneticPr fontId="1"/>
  </si>
  <si>
    <t>ましゅまろ☆ほわいと</t>
    <phoneticPr fontId="1"/>
  </si>
  <si>
    <t>あんさーでーましゅまろちゃん</t>
    <phoneticPr fontId="1"/>
  </si>
  <si>
    <t>天下統一戦 英雄ガチャ</t>
    <rPh sb="0" eb="5">
      <t>テンカトウイツセン</t>
    </rPh>
    <rPh sb="6" eb="8">
      <t>エイユウ</t>
    </rPh>
    <phoneticPr fontId="1"/>
  </si>
  <si>
    <t>9/27 11:00～9/27 23:59</t>
    <phoneticPr fontId="1"/>
  </si>
  <si>
    <t>豪華玉手箱ガチャ</t>
    <rPh sb="0" eb="2">
      <t>ゴウカ</t>
    </rPh>
    <rPh sb="2" eb="5">
      <t>タマテバコ</t>
    </rPh>
    <phoneticPr fontId="1"/>
  </si>
  <si>
    <t>9/27 15:00～9/27 23:59</t>
    <phoneticPr fontId="1"/>
  </si>
  <si>
    <t>9/29 11:00～9/29 23:59</t>
    <phoneticPr fontId="1"/>
  </si>
  <si>
    <t>9/29 18:00～9/29 21:59</t>
    <phoneticPr fontId="1"/>
  </si>
  <si>
    <t>9/29 12:00～9/29 11:59</t>
    <phoneticPr fontId="1"/>
  </si>
  <si>
    <t>祝来！宝船福引ガチャ</t>
    <rPh sb="0" eb="1">
      <t>シュク</t>
    </rPh>
    <rPh sb="1" eb="2">
      <t>ライ</t>
    </rPh>
    <rPh sb="3" eb="5">
      <t>タカラブネ</t>
    </rPh>
    <rPh sb="5" eb="7">
      <t>フクビキ</t>
    </rPh>
    <phoneticPr fontId="1"/>
  </si>
  <si>
    <t>9/29 12:00～9/30 11:59</t>
    <phoneticPr fontId="1"/>
  </si>
  <si>
    <t>乱世傑士ガチャ</t>
    <phoneticPr fontId="1"/>
  </si>
  <si>
    <t>9/29 12:00～9/30 23:59</t>
    <phoneticPr fontId="1"/>
  </si>
  <si>
    <t>76913_0</t>
    <phoneticPr fontId="1"/>
  </si>
  <si>
    <t>復活！5進化隊士ガチャ</t>
    <rPh sb="0" eb="2">
      <t>フッカツ</t>
    </rPh>
    <rPh sb="4" eb="6">
      <t>シンカ</t>
    </rPh>
    <rPh sb="6" eb="8">
      <t>タイシ</t>
    </rPh>
    <phoneticPr fontId="1"/>
  </si>
  <si>
    <t>SSR</t>
    <phoneticPr fontId="1"/>
  </si>
  <si>
    <t>SR</t>
    <phoneticPr fontId="1"/>
  </si>
  <si>
    <t>5進</t>
    <rPh sb="1" eb="2">
      <t>シン</t>
    </rPh>
    <phoneticPr fontId="1"/>
  </si>
  <si>
    <t>3進</t>
    <rPh sb="1" eb="2">
      <t>シン</t>
    </rPh>
    <phoneticPr fontId="1"/>
  </si>
  <si>
    <t>1進</t>
    <rPh sb="1" eb="2">
      <t>シン</t>
    </rPh>
    <phoneticPr fontId="1"/>
  </si>
  <si>
    <t>全国</t>
    <rPh sb="0" eb="2">
      <t>ゼンコク</t>
    </rPh>
    <phoneticPr fontId="1"/>
  </si>
  <si>
    <t>東日本</t>
    <rPh sb="0" eb="1">
      <t>ヒガシ</t>
    </rPh>
    <rPh sb="1" eb="3">
      <t>ニホン</t>
    </rPh>
    <phoneticPr fontId="1"/>
  </si>
  <si>
    <t>西日本</t>
    <rPh sb="0" eb="1">
      <t>ニシ</t>
    </rPh>
    <rPh sb="1" eb="3">
      <t>ニホン</t>
    </rPh>
    <phoneticPr fontId="1"/>
  </si>
  <si>
    <t>妖怪</t>
    <rPh sb="0" eb="2">
      <t>ヨウカイ</t>
    </rPh>
    <phoneticPr fontId="1"/>
  </si>
  <si>
    <t>知性派</t>
    <rPh sb="0" eb="2">
      <t>チセイ</t>
    </rPh>
    <rPh sb="2" eb="3">
      <t>ハ</t>
    </rPh>
    <phoneticPr fontId="1"/>
  </si>
  <si>
    <t>偉人</t>
    <rPh sb="0" eb="2">
      <t>イジン</t>
    </rPh>
    <phoneticPr fontId="1"/>
  </si>
  <si>
    <t>タイプ偉人・名物の攻70％UP　/　タイプ【妖怪】の攻40％UP</t>
    <phoneticPr fontId="1"/>
  </si>
  <si>
    <t>力持ちギャルの執念</t>
    <phoneticPr fontId="1"/>
  </si>
  <si>
    <t>ぎゃるちからもちゆうれい</t>
    <phoneticPr fontId="1"/>
  </si>
  <si>
    <t>タイプ偉人・名物の攻35％UP　/　タイプ【妖怪】の攻20％UP</t>
    <phoneticPr fontId="1"/>
  </si>
  <si>
    <t>タイプ偉人・名物の攻15％UP　/　タイプ【妖怪】の攻5％UP</t>
    <phoneticPr fontId="1"/>
  </si>
  <si>
    <t>タイプ神秘・飲食の防25％UP　/　タイプ【知性派】の防10％UP</t>
    <phoneticPr fontId="1"/>
  </si>
  <si>
    <t>逆転の一手</t>
    <phoneticPr fontId="1"/>
  </si>
  <si>
    <t>ちぇす</t>
    <phoneticPr fontId="1"/>
  </si>
  <si>
    <t>タイプ神秘・飲食の防12％UP　/　タイプ【知性派】の防10％UP</t>
    <phoneticPr fontId="1"/>
  </si>
  <si>
    <t>タイプ神秘・飲食の防10％UP　/　タイプ【知性派】の防5％UP</t>
    <phoneticPr fontId="1"/>
  </si>
  <si>
    <t>タイプ【名物】の攻75％UP　/　タイプ偉人・妖怪の攻30％UP</t>
    <phoneticPr fontId="1"/>
  </si>
  <si>
    <t>エレキテル放電</t>
    <phoneticPr fontId="1"/>
  </si>
  <si>
    <t>でんかけんきゅうしゃげんない</t>
    <phoneticPr fontId="1"/>
  </si>
  <si>
    <t>タイプ【名物】の攻50％UP　/　タイプ偉人・妖怪の攻25％UP</t>
    <phoneticPr fontId="1"/>
  </si>
  <si>
    <t>タイプ【名物】の攻40％UP　/　タイプ偉人・妖怪の攻15％UP</t>
    <phoneticPr fontId="1"/>
  </si>
  <si>
    <t>(DX)10/1 0:00～10/4 11:59</t>
    <phoneticPr fontId="1"/>
  </si>
  <si>
    <t>84203_0</t>
    <phoneticPr fontId="1"/>
  </si>
  <si>
    <t>タイプ妖怪・名物の攻45％UP　/　タイプ【偉人】の攻20％UP</t>
    <phoneticPr fontId="1"/>
  </si>
  <si>
    <t>崇高なる純潔の后</t>
    <phoneticPr fontId="1"/>
  </si>
  <si>
    <t>たろっとふじわらのしょうし</t>
    <phoneticPr fontId="1"/>
  </si>
  <si>
    <t>一定時間、味方全体に「攻撃するたびに県HPを回復する効果」と「追加ダメージの効果」を付与する</t>
    <phoneticPr fontId="1"/>
  </si>
  <si>
    <t>たろっととよとみひでより</t>
    <phoneticPr fontId="1"/>
  </si>
  <si>
    <t>ＴＨＥ　ＳＵＮ</t>
    <phoneticPr fontId="1"/>
  </si>
  <si>
    <t>たろっとよしひめ</t>
    <phoneticPr fontId="1"/>
  </si>
  <si>
    <t>タイプ【武人】の防95％UP　/　タイプ姫・伝承の防20％UP</t>
    <phoneticPr fontId="1"/>
  </si>
  <si>
    <t>母性示す奥羽の鬼女帝</t>
    <phoneticPr fontId="1"/>
  </si>
  <si>
    <t>タイプ神秘・知性派・飲食の防40％UP　/　タイプ飲食・武人・名物の攻10％DOWN</t>
    <phoneticPr fontId="1"/>
  </si>
  <si>
    <t>天真爛漫に描く裁判の女神</t>
    <phoneticPr fontId="1"/>
  </si>
  <si>
    <t>たろっとかめいしょうきん</t>
    <phoneticPr fontId="1"/>
  </si>
  <si>
    <t>兄弟の宿命を占う札</t>
    <phoneticPr fontId="1"/>
  </si>
  <si>
    <t>しんせいあらびあんないとやまのてどの</t>
    <phoneticPr fontId="1"/>
  </si>
  <si>
    <t>しんせいあめのふとだまのみこと</t>
    <phoneticPr fontId="1"/>
  </si>
  <si>
    <t>タイプ知性派・飲食の防35％UP　/　タイプ【神秘】の防20％UP</t>
    <phoneticPr fontId="1"/>
  </si>
  <si>
    <t>しんせいきびのまきび</t>
    <phoneticPr fontId="1"/>
  </si>
  <si>
    <t>唐よりもたらした最先端の文化と学問</t>
    <phoneticPr fontId="1"/>
  </si>
  <si>
    <t>しんせいきゅーぴっどるるこしんぷ</t>
    <phoneticPr fontId="1"/>
  </si>
  <si>
    <t>幸運を運ぶ憑き神</t>
    <phoneticPr fontId="1"/>
  </si>
  <si>
    <t>しんせいまじゅつしるびー</t>
    <phoneticPr fontId="1"/>
  </si>
  <si>
    <t>真紅の煌き</t>
    <phoneticPr fontId="1"/>
  </si>
  <si>
    <t>防衛戦 命運を握るタロットカードガチャ</t>
    <phoneticPr fontId="1"/>
  </si>
  <si>
    <t>石川</t>
    <phoneticPr fontId="1"/>
  </si>
  <si>
    <t>しんせいことぶきせんべい</t>
    <phoneticPr fontId="1"/>
  </si>
  <si>
    <t>飲食</t>
    <rPh sb="0" eb="2">
      <t>インショク</t>
    </rPh>
    <phoneticPr fontId="1"/>
  </si>
  <si>
    <t>絢爛な祝祭せんべい</t>
    <phoneticPr fontId="1"/>
  </si>
  <si>
    <t>タイプ【神秘】の攻25％UP</t>
    <phoneticPr fontId="1"/>
  </si>
  <si>
    <t>熊本</t>
    <phoneticPr fontId="1"/>
  </si>
  <si>
    <t>しんせいおうきゅうあぶらすまし</t>
    <phoneticPr fontId="1"/>
  </si>
  <si>
    <t>王宮の妖怪譚</t>
    <phoneticPr fontId="1"/>
  </si>
  <si>
    <t>妖怪</t>
    <rPh sb="0" eb="2">
      <t>ヨウカイ</t>
    </rPh>
    <phoneticPr fontId="1"/>
  </si>
  <si>
    <t>SSR</t>
    <phoneticPr fontId="1"/>
  </si>
  <si>
    <t>SR</t>
    <phoneticPr fontId="1"/>
  </si>
  <si>
    <t>5進</t>
    <rPh sb="1" eb="2">
      <t>シン</t>
    </rPh>
    <phoneticPr fontId="1"/>
  </si>
  <si>
    <t>3進</t>
    <rPh sb="1" eb="2">
      <t>シン</t>
    </rPh>
    <phoneticPr fontId="1"/>
  </si>
  <si>
    <t>1進</t>
    <rPh sb="1" eb="2">
      <t>シン</t>
    </rPh>
    <phoneticPr fontId="1"/>
  </si>
  <si>
    <t>タイプ神秘・知性派の攻40％UP　/　タイプ【飲食】の攻25％UP</t>
    <phoneticPr fontId="1"/>
  </si>
  <si>
    <t>甘い色香で惑わす傾国の大妖怪</t>
    <phoneticPr fontId="1"/>
  </si>
  <si>
    <t>ようかいたいせんまかろん</t>
    <phoneticPr fontId="1"/>
  </si>
  <si>
    <t>全国</t>
    <rPh sb="0" eb="2">
      <t>ゼンコク</t>
    </rPh>
    <phoneticPr fontId="1"/>
  </si>
  <si>
    <t>東日本</t>
    <rPh sb="0" eb="1">
      <t>ヒガシ</t>
    </rPh>
    <rPh sb="1" eb="3">
      <t>ニホン</t>
    </rPh>
    <phoneticPr fontId="1"/>
  </si>
  <si>
    <t>東日本</t>
    <rPh sb="0" eb="3">
      <t>ヒガシニホン</t>
    </rPh>
    <phoneticPr fontId="1"/>
  </si>
  <si>
    <t>タイプ神秘・知性派の攻25％UP　/　タイプ【飲食】の攻20％UP</t>
    <phoneticPr fontId="1"/>
  </si>
  <si>
    <t>タイプ神秘・知性派の攻10％UP　/　タイプ【飲食】の攻20％UP</t>
    <phoneticPr fontId="1"/>
  </si>
  <si>
    <t>超攻再臨ガチャ</t>
    <rPh sb="0" eb="1">
      <t>チョウ</t>
    </rPh>
    <rPh sb="1" eb="2">
      <t>コウ</t>
    </rPh>
    <rPh sb="2" eb="4">
      <t>サイリン</t>
    </rPh>
    <phoneticPr fontId="1"/>
  </si>
  <si>
    <t>10/2 18:00～10/4 23:59</t>
    <phoneticPr fontId="1"/>
  </si>
  <si>
    <t>九州・沖縄</t>
    <rPh sb="0" eb="2">
      <t>キュウシュウ</t>
    </rPh>
    <rPh sb="3" eb="5">
      <t>オキナワ</t>
    </rPh>
    <phoneticPr fontId="1"/>
  </si>
  <si>
    <t>武人</t>
    <rPh sb="0" eb="2">
      <t>ブジン</t>
    </rPh>
    <phoneticPr fontId="1"/>
  </si>
  <si>
    <t>タイプ姫・伝承の攻30％UP　/　タイプ【武人】の攻10％UP</t>
    <phoneticPr fontId="1"/>
  </si>
  <si>
    <t>点いては消ゆる戦の灯火</t>
    <phoneticPr fontId="1"/>
  </si>
  <si>
    <t>ゆうすずみみょうりんに</t>
    <phoneticPr fontId="1"/>
  </si>
  <si>
    <t>タイプ神秘・知性派の攻30％UP　/　タイプ【飲食】の攻10％UP</t>
    <phoneticPr fontId="1"/>
  </si>
  <si>
    <t>しんせいあきざけちゃん</t>
    <phoneticPr fontId="1"/>
  </si>
  <si>
    <t>北海道・東北</t>
    <rPh sb="0" eb="3">
      <t>ホッカイドウ</t>
    </rPh>
    <rPh sb="4" eb="6">
      <t>トウホク</t>
    </rPh>
    <phoneticPr fontId="1"/>
  </si>
  <si>
    <t>中部</t>
    <rPh sb="0" eb="2">
      <t>チュウブ</t>
    </rPh>
    <phoneticPr fontId="1"/>
  </si>
  <si>
    <t>偉人</t>
    <rPh sb="0" eb="2">
      <t>イジン</t>
    </rPh>
    <phoneticPr fontId="1"/>
  </si>
  <si>
    <t>タイプ妖怪・名物の攻30％UP　/　タイプ【偉人】の攻10％UP</t>
    <phoneticPr fontId="1"/>
  </si>
  <si>
    <t>聞きしに勝る美声の弾き語り</t>
    <phoneticPr fontId="1"/>
  </si>
  <si>
    <t>しんせいとよたけろしょう</t>
    <phoneticPr fontId="1"/>
  </si>
  <si>
    <t>中国・四国</t>
    <rPh sb="0" eb="2">
      <t>チュウゴク</t>
    </rPh>
    <rPh sb="3" eb="5">
      <t>シコク</t>
    </rPh>
    <phoneticPr fontId="1"/>
  </si>
  <si>
    <t>関東</t>
    <rPh sb="0" eb="2">
      <t>カントウ</t>
    </rPh>
    <phoneticPr fontId="1"/>
  </si>
  <si>
    <t>タイプ伝承・武人・姫の防60％DOWN　/　タイプ神秘・知性派・飲食の攻25％UP</t>
    <phoneticPr fontId="1"/>
  </si>
  <si>
    <t>村を救ったユーカラの語り手</t>
    <phoneticPr fontId="1"/>
  </si>
  <si>
    <t>神秘</t>
    <rPh sb="0" eb="2">
      <t>シンピ</t>
    </rPh>
    <phoneticPr fontId="1"/>
  </si>
  <si>
    <t>ぱよかかむい</t>
    <phoneticPr fontId="1"/>
  </si>
  <si>
    <t>タイプ伝承・武人・姫の攻45％UP</t>
    <phoneticPr fontId="1"/>
  </si>
  <si>
    <t>転戦する盲目の大将</t>
    <phoneticPr fontId="1"/>
  </si>
  <si>
    <t>こうざいよしきよ</t>
    <phoneticPr fontId="1"/>
  </si>
  <si>
    <t>タイプ偉人・妖怪・名物の攻35％UP　/　タイプ伝承・武人・姫の防10％DOWN</t>
    <phoneticPr fontId="1"/>
  </si>
  <si>
    <t>茶屋に咲く江戸の華</t>
    <phoneticPr fontId="1"/>
  </si>
  <si>
    <t>ちゃやむすめかんだまつり</t>
    <phoneticPr fontId="1"/>
  </si>
  <si>
    <t>名物</t>
    <rPh sb="0" eb="2">
      <t>メイブツ</t>
    </rPh>
    <phoneticPr fontId="1"/>
  </si>
  <si>
    <t>祝来！宝船福引ガチャ</t>
    <rPh sb="0" eb="1">
      <t>シュク</t>
    </rPh>
    <rPh sb="1" eb="2">
      <t>ライ</t>
    </rPh>
    <rPh sb="3" eb="5">
      <t>タカラブネ</t>
    </rPh>
    <rPh sb="5" eb="7">
      <t>フクビキ</t>
    </rPh>
    <phoneticPr fontId="1"/>
  </si>
  <si>
    <t>10/3 12:00～10/4 11:59</t>
    <phoneticPr fontId="1"/>
  </si>
  <si>
    <t>10/3 18:00～10/3 21:59</t>
    <phoneticPr fontId="1"/>
  </si>
  <si>
    <t>戦神ガチャ</t>
    <rPh sb="0" eb="2">
      <t>センシン</t>
    </rPh>
    <phoneticPr fontId="1"/>
  </si>
  <si>
    <t>10/4 11:00～10/6 23:59</t>
    <phoneticPr fontId="1"/>
  </si>
  <si>
    <t>防衛戦 集結！日本妖怪連合ガチャ</t>
    <rPh sb="0" eb="3">
      <t>ボウエイセン</t>
    </rPh>
    <phoneticPr fontId="1"/>
  </si>
  <si>
    <t>(DX)10/4 12:00～10/8 11:59</t>
    <phoneticPr fontId="1"/>
  </si>
  <si>
    <t>SSR</t>
    <phoneticPr fontId="1"/>
  </si>
  <si>
    <t>SR</t>
    <phoneticPr fontId="1"/>
  </si>
  <si>
    <t>HR</t>
    <phoneticPr fontId="1"/>
  </si>
  <si>
    <t>R</t>
    <phoneticPr fontId="1"/>
  </si>
  <si>
    <t>関東</t>
    <rPh sb="0" eb="2">
      <t>カントウ</t>
    </rPh>
    <phoneticPr fontId="1"/>
  </si>
  <si>
    <t>中部</t>
    <rPh sb="0" eb="2">
      <t>チュウブ</t>
    </rPh>
    <phoneticPr fontId="1"/>
  </si>
  <si>
    <t>九州・沖縄</t>
    <rPh sb="0" eb="2">
      <t>キュウシュウ</t>
    </rPh>
    <rPh sb="3" eb="5">
      <t>オキナワ</t>
    </rPh>
    <phoneticPr fontId="1"/>
  </si>
  <si>
    <t>無所属</t>
    <rPh sb="0" eb="3">
      <t>ムショゾク</t>
    </rPh>
    <phoneticPr fontId="1"/>
  </si>
  <si>
    <t>防衛戦 英雄ガチャ</t>
    <rPh sb="0" eb="3">
      <t>ボウエイセン</t>
    </rPh>
    <rPh sb="4" eb="6">
      <t>エイユウ</t>
    </rPh>
    <phoneticPr fontId="1"/>
  </si>
  <si>
    <t>ようかいたいせんくしなだひめ</t>
    <phoneticPr fontId="1"/>
  </si>
  <si>
    <t>神秘</t>
    <phoneticPr fontId="1"/>
  </si>
  <si>
    <t>漆黒の翼に忍ばす守護の櫛</t>
    <phoneticPr fontId="1"/>
  </si>
  <si>
    <t>タイプ飲食・武人・名物の防80％DOWN　/　タイプ知性派・飲食の攻25％UP</t>
    <phoneticPr fontId="1"/>
  </si>
  <si>
    <t>タイプ偉人・名物の防30％UP　/　タイプ【妖怪】の防10％UP</t>
    <phoneticPr fontId="1"/>
  </si>
  <si>
    <t>磯海天狗の怪現象</t>
    <phoneticPr fontId="1"/>
  </si>
  <si>
    <t>妖怪</t>
    <phoneticPr fontId="1"/>
  </si>
  <si>
    <t>しんせいいそてんぐ</t>
    <phoneticPr fontId="1"/>
  </si>
  <si>
    <t>タイプ武人・姫の攻20％UP</t>
    <phoneticPr fontId="1"/>
  </si>
  <si>
    <t>紅腕の肝試し</t>
    <phoneticPr fontId="1"/>
  </si>
  <si>
    <t>伝承</t>
    <rPh sb="0" eb="2">
      <t>デンショウ</t>
    </rPh>
    <phoneticPr fontId="1"/>
  </si>
  <si>
    <t>しんせいあかうで</t>
    <phoneticPr fontId="1"/>
  </si>
  <si>
    <t>タイプ【飲食】の防20％UP</t>
    <phoneticPr fontId="1"/>
  </si>
  <si>
    <t>滅せよ怪異！</t>
    <phoneticPr fontId="1"/>
  </si>
  <si>
    <t>知性派</t>
    <rPh sb="0" eb="2">
      <t>チセイ</t>
    </rPh>
    <rPh sb="2" eb="3">
      <t>ハ</t>
    </rPh>
    <phoneticPr fontId="1"/>
  </si>
  <si>
    <t>しんせいたいましがーる</t>
    <phoneticPr fontId="1"/>
  </si>
  <si>
    <t>超防再臨ガチャ</t>
    <rPh sb="0" eb="4">
      <t>チョウボウサイリン</t>
    </rPh>
    <phoneticPr fontId="1"/>
  </si>
  <si>
    <t>10/5 11:00～10/5 23:59</t>
    <phoneticPr fontId="1"/>
  </si>
  <si>
    <t>10/5 18:00～10/7 23:59</t>
    <phoneticPr fontId="1"/>
  </si>
  <si>
    <t>姫</t>
    <rPh sb="0" eb="1">
      <t>ヒメ</t>
    </rPh>
    <phoneticPr fontId="1"/>
  </si>
  <si>
    <t>タイプ【武人】の防85％UP　/　タイプ姫・伝承の防25％UP</t>
    <phoneticPr fontId="1"/>
  </si>
  <si>
    <t>希望の虹</t>
    <phoneticPr fontId="1"/>
  </si>
  <si>
    <t>つゆろまんていきょういん</t>
    <phoneticPr fontId="1"/>
  </si>
  <si>
    <t>タイプ神秘・知性派・飲食の防30％UP　/　タイプ神秘・知性派・飲食の攻50％DOWN</t>
    <phoneticPr fontId="1"/>
  </si>
  <si>
    <t>水平線の彼方から</t>
    <phoneticPr fontId="1"/>
  </si>
  <si>
    <t>しらみきよ</t>
    <phoneticPr fontId="1"/>
  </si>
  <si>
    <t>タイプ武人・伝承の攻90％DOWN　/　タイプ偉人・妖怪・名物の防15％UP</t>
    <phoneticPr fontId="1"/>
  </si>
  <si>
    <t>付喪神の東京観光</t>
    <phoneticPr fontId="1"/>
  </si>
  <si>
    <t>みやこのたわーすずひこひめ</t>
    <phoneticPr fontId="1"/>
  </si>
  <si>
    <t>タイプ知性派・飲食の防30％UP　/　タイプ【神秘】の防10％UP</t>
    <phoneticPr fontId="1"/>
  </si>
  <si>
    <t>強火で炒める輝く焼き飯</t>
    <phoneticPr fontId="1"/>
  </si>
  <si>
    <t>おりょうりえひめのみこと</t>
    <phoneticPr fontId="1"/>
  </si>
  <si>
    <t>関東</t>
    <phoneticPr fontId="1"/>
  </si>
  <si>
    <t>タイプ偉人・妖怪の防30％UP　/　タイプ【名物】の防10％UP</t>
    <phoneticPr fontId="1"/>
  </si>
  <si>
    <t>奇想天外竹の子の舞</t>
    <phoneticPr fontId="1"/>
  </si>
  <si>
    <t>名物</t>
    <phoneticPr fontId="1"/>
  </si>
  <si>
    <t>しんせいたけのこぞくちゃん</t>
    <phoneticPr fontId="1"/>
  </si>
  <si>
    <t>タイプ武人・伝承の防30％UP　/　タイプ【姫】の防10％UP</t>
    <phoneticPr fontId="1"/>
  </si>
  <si>
    <t>駆け抜ける森の妖精</t>
    <phoneticPr fontId="1"/>
  </si>
  <si>
    <t>ようせいえんしんいんでん</t>
    <phoneticPr fontId="1"/>
  </si>
  <si>
    <t>九州・沖縄</t>
    <phoneticPr fontId="1"/>
  </si>
  <si>
    <t>西日本</t>
    <rPh sb="0" eb="1">
      <t>ニシ</t>
    </rPh>
    <rPh sb="1" eb="3">
      <t>ニホン</t>
    </rPh>
    <phoneticPr fontId="1"/>
  </si>
  <si>
    <t>タイプ伝承・武人・姫の攻35％UP　/　タイプ伝承・武人・姫の防10％DOWN</t>
    <phoneticPr fontId="1"/>
  </si>
  <si>
    <t>西の白虎</t>
    <phoneticPr fontId="1"/>
  </si>
  <si>
    <t>かぎづめびゃっこ</t>
    <phoneticPr fontId="1"/>
  </si>
  <si>
    <t>10/6 15:00～10/6 23:59</t>
    <phoneticPr fontId="1"/>
  </si>
  <si>
    <t>刹那！最強DOWN隊士ガチャ</t>
    <rPh sb="0" eb="2">
      <t>セツナ</t>
    </rPh>
    <rPh sb="3" eb="5">
      <t>サイキョウ</t>
    </rPh>
    <rPh sb="9" eb="11">
      <t>タイシ</t>
    </rPh>
    <phoneticPr fontId="1"/>
  </si>
  <si>
    <t>10/6 20:00～10/6 23:59</t>
    <phoneticPr fontId="1"/>
  </si>
  <si>
    <t>SSR</t>
    <phoneticPr fontId="1"/>
  </si>
  <si>
    <t>東日本</t>
    <rPh sb="0" eb="1">
      <t>ヒガシ</t>
    </rPh>
    <rPh sb="1" eb="3">
      <t>ニホン</t>
    </rPh>
    <phoneticPr fontId="1"/>
  </si>
  <si>
    <t>西日本</t>
    <rPh sb="0" eb="1">
      <t>ニシ</t>
    </rPh>
    <rPh sb="1" eb="3">
      <t>ニホン</t>
    </rPh>
    <phoneticPr fontId="1"/>
  </si>
  <si>
    <t>神秘</t>
    <rPh sb="0" eb="2">
      <t>シンピ</t>
    </rPh>
    <phoneticPr fontId="1"/>
  </si>
  <si>
    <t>妖怪</t>
    <rPh sb="0" eb="2">
      <t>ヨウカイ</t>
    </rPh>
    <phoneticPr fontId="1"/>
  </si>
  <si>
    <t>まーだーどーる</t>
    <phoneticPr fontId="1"/>
  </si>
  <si>
    <t>りんねのにゅんぺー</t>
    <phoneticPr fontId="1"/>
  </si>
  <si>
    <t>タイプ偉人・妖怪・名物の攻40％UP　/　所属が【西日本】と、それに属する地方・県、および【全国】の防40％DOWN</t>
    <phoneticPr fontId="1"/>
  </si>
  <si>
    <t>呪縛からの解放</t>
    <phoneticPr fontId="1"/>
  </si>
  <si>
    <t>魂の行方</t>
    <phoneticPr fontId="1"/>
  </si>
  <si>
    <t>タイプ神秘・知性派・飲食の攻40％UP　/　所属が【東日本】と、それに属する地方・県、および【全国】の防40％DOWN</t>
    <phoneticPr fontId="1"/>
  </si>
  <si>
    <t>祝来！宝船福引ガチャ</t>
    <rPh sb="0" eb="1">
      <t>シュク</t>
    </rPh>
    <rPh sb="1" eb="2">
      <t>ライ</t>
    </rPh>
    <rPh sb="3" eb="5">
      <t>タカラブネ</t>
    </rPh>
    <rPh sb="5" eb="7">
      <t>フクビキ</t>
    </rPh>
    <phoneticPr fontId="1"/>
  </si>
  <si>
    <t>10/7 12:00～10/8 11:59</t>
    <phoneticPr fontId="1"/>
  </si>
  <si>
    <t>敬虔な父への感謝</t>
    <phoneticPr fontId="1"/>
  </si>
  <si>
    <t>タイプ【名物】の攻75％UP　/　タイプ偉人・妖怪の攻30％UP</t>
    <phoneticPr fontId="1"/>
  </si>
  <si>
    <t>ちちのひあかしれじーな</t>
    <phoneticPr fontId="1"/>
  </si>
  <si>
    <t>天撃皆伝ガチャ</t>
    <rPh sb="0" eb="1">
      <t>テン</t>
    </rPh>
    <rPh sb="1" eb="2">
      <t>ゲキ</t>
    </rPh>
    <rPh sb="2" eb="4">
      <t>カイデン</t>
    </rPh>
    <phoneticPr fontId="1"/>
  </si>
  <si>
    <t>10/7 18:00～10/9 23:59</t>
    <phoneticPr fontId="1"/>
  </si>
  <si>
    <t>タイプ【名物】の防25％UP</t>
    <rPh sb="4" eb="6">
      <t>メイブツ</t>
    </rPh>
    <rPh sb="8" eb="9">
      <t>ボウ</t>
    </rPh>
    <phoneticPr fontId="1"/>
  </si>
  <si>
    <t>SR</t>
    <phoneticPr fontId="1"/>
  </si>
  <si>
    <t>タイプ神秘・知性派・飲食の防35％UP　/　タイプ伝承・武人・姫の攻10％DOWN</t>
    <phoneticPr fontId="1"/>
  </si>
  <si>
    <t>東大七博士</t>
    <phoneticPr fontId="1"/>
  </si>
  <si>
    <t>かないのぶる</t>
    <phoneticPr fontId="1"/>
  </si>
  <si>
    <t>タイプ伝承・武人・姫の攻30％UP　/　タイプ神秘・飲食・知性派・妖怪の防13％DOWN</t>
    <phoneticPr fontId="1"/>
  </si>
  <si>
    <t>転がるどんぐり</t>
    <phoneticPr fontId="1"/>
  </si>
  <si>
    <t>くりすますだいさくせんどんぐりころころ</t>
    <phoneticPr fontId="1"/>
  </si>
  <si>
    <t>タイプ神秘・知性派の攻30％UP　/　タイプ【飲食】の攻10％UP</t>
    <phoneticPr fontId="1"/>
  </si>
  <si>
    <t>エメラルドの果実</t>
    <phoneticPr fontId="1"/>
  </si>
  <si>
    <t>飲食</t>
    <phoneticPr fontId="1"/>
  </si>
  <si>
    <t>しんせいきういふるーつちゃん</t>
    <phoneticPr fontId="1"/>
  </si>
  <si>
    <t>タイプ武人・姫の防30％UP　/　タイプ【伝承】の防10％UP</t>
    <phoneticPr fontId="1"/>
  </si>
  <si>
    <t>宙を舞う</t>
    <phoneticPr fontId="1"/>
  </si>
  <si>
    <t>さーかすおちひめ</t>
    <phoneticPr fontId="1"/>
  </si>
  <si>
    <t>タイプ妖怪・名物の攻30％UP　/　タイプ【偉人】の攻10％UP</t>
    <phoneticPr fontId="1"/>
  </si>
  <si>
    <t>無血開城の誓約</t>
    <phoneticPr fontId="1"/>
  </si>
  <si>
    <t>しんせいとくがわよしかつ</t>
    <phoneticPr fontId="1"/>
  </si>
  <si>
    <t>四神戦 恋うつつな読書時間ガチャ</t>
    <rPh sb="0" eb="1">
      <t>ヨン</t>
    </rPh>
    <rPh sb="1" eb="2">
      <t>シン</t>
    </rPh>
    <rPh sb="2" eb="3">
      <t>セン</t>
    </rPh>
    <phoneticPr fontId="1"/>
  </si>
  <si>
    <t>(DX)10/8 12:00～10/14 11:59</t>
    <phoneticPr fontId="1"/>
  </si>
  <si>
    <t>SSR</t>
    <phoneticPr fontId="1"/>
  </si>
  <si>
    <t>タイプ武人・伝承の防90％DOWN　/　タイプ妖怪・名物の攻30％UP</t>
    <phoneticPr fontId="1"/>
  </si>
  <si>
    <t>刻まれた強い想い</t>
    <phoneticPr fontId="1"/>
  </si>
  <si>
    <t>どくしょのきせつへいけがに</t>
    <phoneticPr fontId="1"/>
  </si>
  <si>
    <t>HR</t>
    <phoneticPr fontId="1"/>
  </si>
  <si>
    <t>R</t>
    <phoneticPr fontId="1"/>
  </si>
  <si>
    <t>タイプ神秘・飲食の防60％UP　/　タイプ偉人・妖怪・名物の攻10％DOWN</t>
    <phoneticPr fontId="1"/>
  </si>
  <si>
    <t>四季花鳥</t>
    <phoneticPr fontId="1"/>
  </si>
  <si>
    <t>しんせいいけがみしゅうほ</t>
    <phoneticPr fontId="1"/>
  </si>
  <si>
    <t>タイプ神秘・飲食の攻30％UP　/　タイプ【知性派】の攻10％UP</t>
    <phoneticPr fontId="1"/>
  </si>
  <si>
    <t>言文一致のおもひで</t>
    <phoneticPr fontId="1"/>
  </si>
  <si>
    <t>しんせいわかまつしずこ</t>
    <phoneticPr fontId="1"/>
  </si>
  <si>
    <t>タイプ武人・伝承の防20％UP</t>
    <phoneticPr fontId="1"/>
  </si>
  <si>
    <t>学びなおしは形から</t>
    <phoneticPr fontId="1"/>
  </si>
  <si>
    <t>姫</t>
    <rPh sb="0" eb="1">
      <t>ヒメ</t>
    </rPh>
    <phoneticPr fontId="1"/>
  </si>
  <si>
    <t>しんせいすくーるらいふありまるちあ</t>
    <phoneticPr fontId="1"/>
  </si>
  <si>
    <t>タイプ【伝承】の攻20％UP</t>
    <phoneticPr fontId="1"/>
  </si>
  <si>
    <t>智謀如湧</t>
    <phoneticPr fontId="1"/>
  </si>
  <si>
    <t>しんせいあきやまさねゆき</t>
    <phoneticPr fontId="1"/>
  </si>
  <si>
    <t>超攻再臨ガチャ</t>
    <rPh sb="0" eb="1">
      <t>チョウ</t>
    </rPh>
    <rPh sb="1" eb="2">
      <t>コウ</t>
    </rPh>
    <rPh sb="2" eb="4">
      <t>サイリン</t>
    </rPh>
    <phoneticPr fontId="1"/>
  </si>
  <si>
    <t>10/8 18:00～10/10 23:59</t>
    <phoneticPr fontId="1"/>
  </si>
  <si>
    <t>愛媛</t>
    <rPh sb="0" eb="2">
      <t>エヒメ</t>
    </rPh>
    <phoneticPr fontId="1"/>
  </si>
  <si>
    <t>中部</t>
    <rPh sb="0" eb="2">
      <t>チュウブ</t>
    </rPh>
    <phoneticPr fontId="1"/>
  </si>
  <si>
    <t>近畿</t>
    <rPh sb="0" eb="2">
      <t>キンキ</t>
    </rPh>
    <phoneticPr fontId="1"/>
  </si>
  <si>
    <t>九州・沖縄</t>
    <rPh sb="0" eb="2">
      <t>キュウシュウ</t>
    </rPh>
    <rPh sb="3" eb="5">
      <t>オキナワ</t>
    </rPh>
    <phoneticPr fontId="1"/>
  </si>
  <si>
    <t>タイプ【妖怪】の攻90％UP　/　タイプ偉人・名物の攻20％UP</t>
    <phoneticPr fontId="1"/>
  </si>
  <si>
    <t>恋を巡る恐ろしき絶壁</t>
    <phoneticPr fontId="1"/>
  </si>
  <si>
    <t>名物</t>
    <rPh sb="0" eb="2">
      <t>メイブツ</t>
    </rPh>
    <phoneticPr fontId="1"/>
  </si>
  <si>
    <t>とうじんぼう</t>
    <phoneticPr fontId="1"/>
  </si>
  <si>
    <t>タイプ神秘・知性派の攻40％UP　/　タイプ【飲食】の攻25％UP</t>
    <phoneticPr fontId="1"/>
  </si>
  <si>
    <t>江戸っ子愛する灘の酒</t>
    <phoneticPr fontId="1"/>
  </si>
  <si>
    <t>飲食</t>
    <phoneticPr fontId="1"/>
  </si>
  <si>
    <t>なだのさけ</t>
    <phoneticPr fontId="1"/>
  </si>
  <si>
    <t>タイプ【武人】の攻95％UP　/　タイプ姫・伝承の攻20％UP</t>
    <phoneticPr fontId="1"/>
  </si>
  <si>
    <t>無敵の親子</t>
    <phoneticPr fontId="1"/>
  </si>
  <si>
    <t>はるのたいいくさいあまひめ</t>
    <phoneticPr fontId="1"/>
  </si>
  <si>
    <t>全国</t>
    <rPh sb="0" eb="2">
      <t>ゼンコク</t>
    </rPh>
    <phoneticPr fontId="1"/>
  </si>
  <si>
    <t>西日本</t>
    <rPh sb="0" eb="1">
      <t>ニシ</t>
    </rPh>
    <rPh sb="1" eb="3">
      <t>ニホン</t>
    </rPh>
    <phoneticPr fontId="1"/>
  </si>
  <si>
    <t>SSR</t>
    <phoneticPr fontId="1"/>
  </si>
  <si>
    <t>SR</t>
    <phoneticPr fontId="1"/>
  </si>
  <si>
    <t>5進</t>
    <rPh sb="1" eb="2">
      <t>シン</t>
    </rPh>
    <phoneticPr fontId="1"/>
  </si>
  <si>
    <t>3進</t>
    <rPh sb="1" eb="2">
      <t>シン</t>
    </rPh>
    <phoneticPr fontId="1"/>
  </si>
  <si>
    <t>1進</t>
    <rPh sb="1" eb="2">
      <t>シン</t>
    </rPh>
    <phoneticPr fontId="1"/>
  </si>
  <si>
    <t>タイプ姫・伝承の攻50％UP　/　タイプ【武人】の攻35％UP</t>
    <phoneticPr fontId="1"/>
  </si>
  <si>
    <t>両拳に宿す竜の力</t>
    <phoneticPr fontId="1"/>
  </si>
  <si>
    <t>りゅうけんしすくら</t>
    <phoneticPr fontId="1"/>
  </si>
  <si>
    <t>タイプ姫・伝承の攻30％UP　/　タイプ【武人】の攻20％UP</t>
    <phoneticPr fontId="1"/>
  </si>
  <si>
    <t>タイプ姫・伝承の攻25％UP　/　タイプ【武人】の攻10％UP</t>
    <phoneticPr fontId="1"/>
  </si>
  <si>
    <t>10/9 12:00～10/14 11:59</t>
    <phoneticPr fontId="1"/>
  </si>
  <si>
    <t>10/9 18:00～10/9 21:59</t>
    <phoneticPr fontId="1"/>
  </si>
  <si>
    <t>四神戦 英雄ガチャ</t>
    <rPh sb="0" eb="1">
      <t>ヨン</t>
    </rPh>
    <rPh sb="1" eb="2">
      <t>シン</t>
    </rPh>
    <rPh sb="2" eb="3">
      <t>セン</t>
    </rPh>
    <rPh sb="4" eb="6">
      <t>エイユウ</t>
    </rPh>
    <phoneticPr fontId="1"/>
  </si>
  <si>
    <t>10/10 11:00～10/10 23:59</t>
    <phoneticPr fontId="1"/>
  </si>
  <si>
    <t>豪華玉手箱ガチャ</t>
    <phoneticPr fontId="1"/>
  </si>
  <si>
    <t>10/10 15:00～10/10 23:59</t>
    <phoneticPr fontId="1"/>
  </si>
  <si>
    <t>祝来！宝船福引ガチャ</t>
    <rPh sb="0" eb="1">
      <t>シュク</t>
    </rPh>
    <rPh sb="1" eb="2">
      <t>ライ</t>
    </rPh>
    <rPh sb="3" eb="5">
      <t>タカラブネ</t>
    </rPh>
    <rPh sb="5" eb="7">
      <t>フクビキ</t>
    </rPh>
    <phoneticPr fontId="1"/>
  </si>
  <si>
    <t>10/11 12:00～10/12 11:59</t>
    <phoneticPr fontId="1"/>
  </si>
  <si>
    <t>超防再臨ガチャ</t>
    <rPh sb="0" eb="1">
      <t>チョウ</t>
    </rPh>
    <rPh sb="1" eb="2">
      <t>ボウ</t>
    </rPh>
    <rPh sb="2" eb="4">
      <t>サイリン</t>
    </rPh>
    <phoneticPr fontId="1"/>
  </si>
  <si>
    <t>10/11 18:00～10/13 23:59</t>
    <phoneticPr fontId="1"/>
  </si>
  <si>
    <t>タイプ姫・伝承の防25％UP　/　タイプ【武人】の防10％UP</t>
    <phoneticPr fontId="1"/>
  </si>
  <si>
    <t>難攻不落の天霧城</t>
    <phoneticPr fontId="1"/>
  </si>
  <si>
    <t>かがわゆきかげ</t>
    <phoneticPr fontId="1"/>
  </si>
  <si>
    <t>タイプ神秘・知性派の防50％UP　/　タイプ【飲食】の防35％UP</t>
    <phoneticPr fontId="1"/>
  </si>
  <si>
    <t>北の大地を召しあがれ</t>
    <phoneticPr fontId="1"/>
  </si>
  <si>
    <t>ちゃんちゃんやき</t>
    <phoneticPr fontId="1"/>
  </si>
  <si>
    <t>タイプ偉人・妖怪・名物の防40％UP　/　タイプ神秘・知性派・飲食の攻10％DOWN</t>
    <phoneticPr fontId="1"/>
  </si>
  <si>
    <t>幸か不幸か思わぬ奇跡</t>
    <phoneticPr fontId="1"/>
  </si>
  <si>
    <t>かるたてんえいいん</t>
    <phoneticPr fontId="1"/>
  </si>
  <si>
    <t>10/12 11:00～10/12 23:59</t>
    <phoneticPr fontId="1"/>
  </si>
  <si>
    <t>戦神ガチャ</t>
    <rPh sb="0" eb="2">
      <t>センシン</t>
    </rPh>
    <phoneticPr fontId="1"/>
  </si>
  <si>
    <t>10/12 11:00～10/14 23:59</t>
    <phoneticPr fontId="1"/>
  </si>
  <si>
    <t>SSR</t>
    <phoneticPr fontId="1"/>
  </si>
  <si>
    <t>東日本</t>
    <rPh sb="0" eb="3">
      <t>ヒガシニホン</t>
    </rPh>
    <phoneticPr fontId="1"/>
  </si>
  <si>
    <t>タイプ【飲食】の攻75％UP　/　タイプ神秘・知性派の攻30％UP</t>
    <phoneticPr fontId="1"/>
  </si>
  <si>
    <t>攻撃システム展開</t>
    <phoneticPr fontId="1"/>
  </si>
  <si>
    <t>知性派</t>
    <phoneticPr fontId="1"/>
  </si>
  <si>
    <t>おとめてぃあ</t>
    <phoneticPr fontId="1"/>
  </si>
  <si>
    <t>相手の防御デッキに妖怪が多いほど大ダメージ</t>
    <phoneticPr fontId="1"/>
  </si>
  <si>
    <t>戦極ガチャ</t>
    <rPh sb="0" eb="1">
      <t>セン</t>
    </rPh>
    <rPh sb="1" eb="2">
      <t>ゴク</t>
    </rPh>
    <phoneticPr fontId="1"/>
  </si>
  <si>
    <t>(戦技チャンス)10/12 15:00～10/14 23:59</t>
    <rPh sb="1" eb="3">
      <t>センギ</t>
    </rPh>
    <phoneticPr fontId="1"/>
  </si>
  <si>
    <t>(高コスト)10/12 15:00～10/14 23:59</t>
    <rPh sb="1" eb="2">
      <t>コウ</t>
    </rPh>
    <phoneticPr fontId="1"/>
  </si>
  <si>
    <t>関東</t>
    <rPh sb="0" eb="2">
      <t>カントウ</t>
    </rPh>
    <phoneticPr fontId="1"/>
  </si>
  <si>
    <t>知性派</t>
    <rPh sb="0" eb="2">
      <t>チセイ</t>
    </rPh>
    <rPh sb="2" eb="3">
      <t>ハ</t>
    </rPh>
    <phoneticPr fontId="1"/>
  </si>
  <si>
    <t>タイプ神秘・知性派・飲食の攻40％UP　/　タイプ偉人・妖怪・名物の防10％DOWN</t>
    <phoneticPr fontId="1"/>
  </si>
  <si>
    <t>溺れた酒滴から生まれる言の葉</t>
    <phoneticPr fontId="1"/>
  </si>
  <si>
    <t>しゅらんぼうねんかいはやしふみこ</t>
    <phoneticPr fontId="1"/>
  </si>
  <si>
    <t>豪華玉手箱ガチャ(3回引けるのは初)</t>
    <rPh sb="0" eb="2">
      <t>ゴウカ</t>
    </rPh>
    <rPh sb="2" eb="5">
      <t>タマテバコ</t>
    </rPh>
    <rPh sb="10" eb="11">
      <t>カイ</t>
    </rPh>
    <rPh sb="11" eb="12">
      <t>ヒ</t>
    </rPh>
    <rPh sb="16" eb="17">
      <t>ハツ</t>
    </rPh>
    <phoneticPr fontId="1"/>
  </si>
  <si>
    <t>豪華玉手箱ガチャ</t>
    <rPh sb="0" eb="2">
      <t>ゴウカ</t>
    </rPh>
    <rPh sb="2" eb="5">
      <t>タマテバコ</t>
    </rPh>
    <phoneticPr fontId="1"/>
  </si>
  <si>
    <t>10/13 15:00～10/13 23:59</t>
    <phoneticPr fontId="1"/>
  </si>
  <si>
    <t>10/13 18:00～10/13 21:59</t>
    <phoneticPr fontId="1"/>
  </si>
  <si>
    <t>サイコロ行脚 秋風そよぐ爽快ジョギングガチャ</t>
    <rPh sb="4" eb="6">
      <t>アンギャ</t>
    </rPh>
    <phoneticPr fontId="1"/>
  </si>
  <si>
    <t>(DX)10/14 12:00～10/21 11:59</t>
    <phoneticPr fontId="1"/>
  </si>
  <si>
    <t>SSR</t>
    <phoneticPr fontId="1"/>
  </si>
  <si>
    <t>関東</t>
    <rPh sb="0" eb="2">
      <t>カントウ</t>
    </rPh>
    <phoneticPr fontId="1"/>
  </si>
  <si>
    <t>名物</t>
    <rPh sb="0" eb="2">
      <t>メイブツ</t>
    </rPh>
    <phoneticPr fontId="1"/>
  </si>
  <si>
    <t>SR</t>
    <phoneticPr fontId="1"/>
  </si>
  <si>
    <t>HR</t>
    <phoneticPr fontId="1"/>
  </si>
  <si>
    <t>R</t>
    <phoneticPr fontId="1"/>
  </si>
  <si>
    <t>北海道・東北</t>
    <rPh sb="0" eb="3">
      <t>ホッカイドウ</t>
    </rPh>
    <rPh sb="4" eb="6">
      <t>トウホク</t>
    </rPh>
    <phoneticPr fontId="1"/>
  </si>
  <si>
    <t>中国・四国</t>
    <rPh sb="0" eb="2">
      <t>チュウゴク</t>
    </rPh>
    <rPh sb="3" eb="5">
      <t>シコク</t>
    </rPh>
    <phoneticPr fontId="1"/>
  </si>
  <si>
    <t>九州・沖縄</t>
    <rPh sb="0" eb="2">
      <t>キュウシュウ</t>
    </rPh>
    <rPh sb="3" eb="5">
      <t>オキナワ</t>
    </rPh>
    <phoneticPr fontId="1"/>
  </si>
  <si>
    <t>無所属</t>
    <rPh sb="0" eb="3">
      <t>ムショゾク</t>
    </rPh>
    <phoneticPr fontId="1"/>
  </si>
  <si>
    <t>タイプ偉人・妖怪・名物の防35％UP　/　タイプ飲食・武人・名物の攻10％DOWN</t>
    <phoneticPr fontId="1"/>
  </si>
  <si>
    <t>澄み渡る１日の始まり</t>
    <phoneticPr fontId="1"/>
  </si>
  <si>
    <t>じょぎんぐあさくさのかみなりもん</t>
    <phoneticPr fontId="1"/>
  </si>
  <si>
    <t>タイプ【名物】の攻75％UP　/　タイプ偉人・妖怪の攻30％UP</t>
    <phoneticPr fontId="1"/>
  </si>
  <si>
    <t>北の盤上で試す智力</t>
    <phoneticPr fontId="1"/>
  </si>
  <si>
    <t>しんせいしょうぎよだべんぞう</t>
    <phoneticPr fontId="1"/>
  </si>
  <si>
    <t>タイプ武人・伝承の防30％UP　/　タイプ【姫】の防10％UP</t>
    <phoneticPr fontId="1"/>
  </si>
  <si>
    <t>発汗と行水の姫君</t>
    <phoneticPr fontId="1"/>
  </si>
  <si>
    <t>しんせいじむみょうきゅう</t>
    <phoneticPr fontId="1"/>
  </si>
  <si>
    <t>タイプ偉人・名物の攻20％UP</t>
    <phoneticPr fontId="1"/>
  </si>
  <si>
    <t>腹筋に滑る鬼雫</t>
    <phoneticPr fontId="1"/>
  </si>
  <si>
    <t>妖怪</t>
    <phoneticPr fontId="1"/>
  </si>
  <si>
    <t>しんせいきんとれしらぬい</t>
    <phoneticPr fontId="1"/>
  </si>
  <si>
    <t>タイプ【武人】の防20％UP</t>
    <phoneticPr fontId="1"/>
  </si>
  <si>
    <t>信実の走り</t>
    <phoneticPr fontId="1"/>
  </si>
  <si>
    <t>伝承</t>
    <phoneticPr fontId="1"/>
  </si>
  <si>
    <t>しんせいめろす</t>
    <phoneticPr fontId="1"/>
  </si>
  <si>
    <t>超攻再臨ガチャ</t>
    <rPh sb="0" eb="1">
      <t>チョウ</t>
    </rPh>
    <rPh sb="1" eb="2">
      <t>コウ</t>
    </rPh>
    <rPh sb="2" eb="4">
      <t>サイリン</t>
    </rPh>
    <phoneticPr fontId="1"/>
  </si>
  <si>
    <t>10/14 18:00～10/16 23:59</t>
    <phoneticPr fontId="1"/>
  </si>
  <si>
    <t>タイプ【武人】の攻85％UP　/　タイプ姫・伝承の攻25％UP</t>
    <phoneticPr fontId="1"/>
  </si>
  <si>
    <t>大衆酒場にて</t>
    <phoneticPr fontId="1"/>
  </si>
  <si>
    <t>えんたくのきしたかつかさのぶこ</t>
    <phoneticPr fontId="1"/>
  </si>
  <si>
    <t>タイプ姫・伝承の防100％DOWN　/　タイプ偉人・名物の攻20％UP</t>
    <phoneticPr fontId="1"/>
  </si>
  <si>
    <t>その一瞬を切り取って</t>
    <phoneticPr fontId="1"/>
  </si>
  <si>
    <t>きゃめらじょしさんきちおに</t>
    <phoneticPr fontId="1"/>
  </si>
  <si>
    <t>タイプ神秘・知性派・飲食の攻20％UP</t>
    <phoneticPr fontId="1"/>
  </si>
  <si>
    <t>伝家のデミグラス</t>
    <phoneticPr fontId="1"/>
  </si>
  <si>
    <t>でみかつどん</t>
    <phoneticPr fontId="1"/>
  </si>
  <si>
    <t>10/15 12:00～10/20 22:59</t>
    <phoneticPr fontId="1"/>
  </si>
  <si>
    <t>SSR</t>
    <phoneticPr fontId="1"/>
  </si>
  <si>
    <t>SR</t>
    <phoneticPr fontId="1"/>
  </si>
  <si>
    <t>全国</t>
    <rPh sb="0" eb="2">
      <t>ゼンコク</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</si>
  <si>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</si>
  <si>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</si>
  <si>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</si>
  <si>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</si>
  <si>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伝承</t>
    <rPh sb="0" eb="2">
      <t>デンショウ</t>
    </rPh>
    <phoneticPr fontId="1"/>
  </si>
  <si>
    <t>タイプ伝承・武人・姫の防40％UP　/　タイプ伝承・武人・姫の攻10％DOWN</t>
    <phoneticPr fontId="1"/>
  </si>
  <si>
    <t>至高の貴石</t>
    <phoneticPr fontId="1"/>
  </si>
  <si>
    <t>こいぬーる</t>
    <phoneticPr fontId="1"/>
  </si>
  <si>
    <t>タイプ伝承・武人・姫の防30％UP　/　タイプ武人・伝承の攻10％DOWN</t>
    <phoneticPr fontId="1"/>
  </si>
  <si>
    <t>タイプ武人・伝承の防15％UP　/　タイプ【武人】の攻10％DOWN</t>
    <phoneticPr fontId="1"/>
  </si>
  <si>
    <t>10/15 15:00～10/16 23:59</t>
    <phoneticPr fontId="1"/>
  </si>
  <si>
    <t>東日本</t>
    <rPh sb="0" eb="3">
      <t>ヒガシニホン</t>
    </rPh>
    <phoneticPr fontId="1"/>
  </si>
  <si>
    <t>中国・四国</t>
    <rPh sb="0" eb="2">
      <t>チュウゴク</t>
    </rPh>
    <rPh sb="3" eb="5">
      <t>シコク</t>
    </rPh>
    <phoneticPr fontId="1"/>
  </si>
  <si>
    <t>中部</t>
    <rPh sb="0" eb="2">
      <t>チュウブ</t>
    </rPh>
    <phoneticPr fontId="1"/>
  </si>
  <si>
    <t>近畿</t>
    <rPh sb="0" eb="2">
      <t>キンキ</t>
    </rPh>
    <phoneticPr fontId="1"/>
  </si>
  <si>
    <t>関東</t>
    <rPh sb="0" eb="2">
      <t>カントウ</t>
    </rPh>
    <phoneticPr fontId="1"/>
  </si>
  <si>
    <t>タイプ偉人・妖怪の防40％UP　/　タイプ飲食・知性派・名物の防35％UP</t>
    <phoneticPr fontId="1"/>
  </si>
  <si>
    <t>宮殿に佇むスノー・レパード</t>
    <phoneticPr fontId="1"/>
  </si>
  <si>
    <t>名物</t>
    <rPh sb="0" eb="2">
      <t>メイブツ</t>
    </rPh>
    <phoneticPr fontId="1"/>
  </si>
  <si>
    <t>おーとくちゅーるゆきひょう</t>
    <phoneticPr fontId="1"/>
  </si>
  <si>
    <t>タイプ名物・妖怪・飲食の攻40％UP　/　タイプ【偉人】の攻35％UP</t>
    <phoneticPr fontId="1"/>
  </si>
  <si>
    <t>波瀾万丈の清流下り</t>
    <phoneticPr fontId="1"/>
  </si>
  <si>
    <t>せいりゅうめぐりあかしれじーな</t>
    <phoneticPr fontId="1"/>
  </si>
  <si>
    <t>タイプ姫・伝承の攻35％UP　/　タイプ【武人】の攻20％UP</t>
    <phoneticPr fontId="1"/>
  </si>
  <si>
    <t>はろうぃんの母</t>
    <phoneticPr fontId="1"/>
  </si>
  <si>
    <t>武人</t>
    <phoneticPr fontId="1"/>
  </si>
  <si>
    <t>はろうぃんまつおたせこ</t>
    <phoneticPr fontId="1"/>
  </si>
  <si>
    <t>タイプ【武人】の攻30％UP　/　タイプ姫・伝承の攻20％UP</t>
    <phoneticPr fontId="1"/>
  </si>
  <si>
    <t>播州話題の円盤回し</t>
    <phoneticPr fontId="1"/>
  </si>
  <si>
    <t>伝承</t>
    <phoneticPr fontId="1"/>
  </si>
  <si>
    <t>おとなのあそびおきく</t>
    <phoneticPr fontId="1"/>
  </si>
  <si>
    <t>タイプ知性派・飲食の攻35％UP　/　タイプ【妖怪】の攻50％UP</t>
    <phoneticPr fontId="1"/>
  </si>
  <si>
    <t>妖怪斬りの神雷斬</t>
    <phoneticPr fontId="1"/>
  </si>
  <si>
    <t>神秘</t>
    <phoneticPr fontId="1"/>
  </si>
  <si>
    <t>とうまねねきりまる</t>
    <phoneticPr fontId="1"/>
  </si>
  <si>
    <t>サイコロ行脚 英雄ガチャ</t>
    <rPh sb="4" eb="6">
      <t>アンギャ</t>
    </rPh>
    <rPh sb="7" eb="9">
      <t>エイユウ</t>
    </rPh>
    <phoneticPr fontId="1"/>
  </si>
  <si>
    <t>10/16 11:00～10/16 23:59</t>
    <phoneticPr fontId="1"/>
  </si>
  <si>
    <t>天撃皆伝ガチャ</t>
    <rPh sb="0" eb="1">
      <t>テン</t>
    </rPh>
    <rPh sb="1" eb="2">
      <t>ゲキ</t>
    </rPh>
    <rPh sb="2" eb="4">
      <t>カイデン</t>
    </rPh>
    <phoneticPr fontId="1"/>
  </si>
  <si>
    <t>10/16 18:00～10/18 23:59</t>
    <phoneticPr fontId="1"/>
  </si>
  <si>
    <t>戦神ガチャ</t>
    <rPh sb="0" eb="2">
      <t>センシン</t>
    </rPh>
    <phoneticPr fontId="1"/>
  </si>
  <si>
    <t>10/17 11:00～10/19 23:59</t>
    <phoneticPr fontId="1"/>
  </si>
  <si>
    <t>SSR</t>
    <phoneticPr fontId="1"/>
  </si>
  <si>
    <t>西日本</t>
    <rPh sb="0" eb="1">
      <t>ニシ</t>
    </rPh>
    <rPh sb="1" eb="3">
      <t>ニホン</t>
    </rPh>
    <phoneticPr fontId="1"/>
  </si>
  <si>
    <t>一定ダメージ身代わりする。</t>
    <phoneticPr fontId="1"/>
  </si>
  <si>
    <t>タイプ姫・伝承の防25％UP　/　タイプ【武人】の防10％UP</t>
    <phoneticPr fontId="1"/>
  </si>
  <si>
    <t>絶対なる統率</t>
    <phoneticPr fontId="1"/>
  </si>
  <si>
    <t>武人</t>
    <phoneticPr fontId="1"/>
  </si>
  <si>
    <t>すかるねたいさ</t>
    <phoneticPr fontId="1"/>
  </si>
  <si>
    <t>超防再臨ガチャ</t>
    <rPh sb="0" eb="1">
      <t>チョウ</t>
    </rPh>
    <rPh sb="1" eb="2">
      <t>ボウ</t>
    </rPh>
    <rPh sb="2" eb="4">
      <t>サイリン</t>
    </rPh>
    <phoneticPr fontId="1"/>
  </si>
  <si>
    <t>10/17 18:00～10/19 23:59</t>
    <phoneticPr fontId="1"/>
  </si>
  <si>
    <t>タイプ【神秘】の防75％UP　/　タイプ知性派・飲食の防30％UP</t>
    <phoneticPr fontId="1"/>
  </si>
  <si>
    <t>木々の中で</t>
    <phoneticPr fontId="1"/>
  </si>
  <si>
    <t>きゃめらじょしじゅけいに</t>
    <phoneticPr fontId="1"/>
  </si>
  <si>
    <t>お着替えタイム</t>
    <phoneticPr fontId="1"/>
  </si>
  <si>
    <t>えんたくのきしみょうりんに</t>
    <phoneticPr fontId="1"/>
  </si>
  <si>
    <t>タイプ【名物】の防75％UP　/　タイプ偉人・妖怪の防30％UP</t>
    <phoneticPr fontId="1"/>
  </si>
  <si>
    <t>楽しい踊り</t>
    <phoneticPr fontId="1"/>
  </si>
  <si>
    <t>偉人</t>
    <phoneticPr fontId="1"/>
  </si>
  <si>
    <t>はかたどんたくはやみそうせい</t>
    <phoneticPr fontId="1"/>
  </si>
  <si>
    <t>豪華玉手箱ガチャ</t>
    <rPh sb="0" eb="2">
      <t>ゴウカ</t>
    </rPh>
    <rPh sb="2" eb="5">
      <t>タマテバコ</t>
    </rPh>
    <phoneticPr fontId="1"/>
  </si>
  <si>
    <t>10/18 15:00～10/18 23:59</t>
    <phoneticPr fontId="1"/>
  </si>
  <si>
    <t>祝来！宝船福引ガチャ</t>
    <rPh sb="0" eb="1">
      <t>シュク</t>
    </rPh>
    <rPh sb="1" eb="2">
      <t>ライ</t>
    </rPh>
    <rPh sb="3" eb="5">
      <t>タカラブネ</t>
    </rPh>
    <rPh sb="5" eb="7">
      <t>フクビキ</t>
    </rPh>
    <phoneticPr fontId="1"/>
  </si>
  <si>
    <t>10/18 12:00～10/19 11:59</t>
    <phoneticPr fontId="1"/>
  </si>
  <si>
    <t>サイコロ行脚 英雄ガチャ</t>
    <rPh sb="4" eb="6">
      <t>アンギャ</t>
    </rPh>
    <rPh sb="7" eb="9">
      <t>エイユウ</t>
    </rPh>
    <phoneticPr fontId="1"/>
  </si>
  <si>
    <t>10/19 11:00～10/19 23:59</t>
    <phoneticPr fontId="1"/>
  </si>
  <si>
    <t>10/19 18:00～10/19 21:59</t>
    <phoneticPr fontId="1"/>
  </si>
  <si>
    <t>10/20 11:00～10/22 23:59</t>
    <phoneticPr fontId="1"/>
  </si>
  <si>
    <t>戦神ガチャ</t>
    <rPh sb="0" eb="2">
      <t>センシン</t>
    </rPh>
    <phoneticPr fontId="1"/>
  </si>
  <si>
    <t>刹那！最強DOWN隊士ガチャ</t>
    <rPh sb="0" eb="2">
      <t>セツナ</t>
    </rPh>
    <rPh sb="3" eb="5">
      <t>サイキョウ</t>
    </rPh>
    <rPh sb="9" eb="11">
      <t>タイシ</t>
    </rPh>
    <phoneticPr fontId="1"/>
  </si>
  <si>
    <t>10/20 20:00～10/20 23:59</t>
    <phoneticPr fontId="1"/>
  </si>
  <si>
    <t>超攻撃ガチャ</t>
    <rPh sb="0" eb="1">
      <t>チョウ</t>
    </rPh>
    <rPh sb="1" eb="3">
      <t>コウゲキ</t>
    </rPh>
    <phoneticPr fontId="1"/>
  </si>
  <si>
    <t>10/21 12:00～10/25 11:59</t>
    <phoneticPr fontId="1"/>
  </si>
  <si>
    <t>タイプ伝承・武人・姫の防80％DOWN　/　タイプ知性派・飲食の攻25％UP</t>
    <phoneticPr fontId="1"/>
  </si>
  <si>
    <t>小悪魔キャンディ</t>
    <phoneticPr fontId="1"/>
  </si>
  <si>
    <t>はろうぃんあぺふちかむい</t>
    <phoneticPr fontId="1"/>
  </si>
  <si>
    <t>タイプ神秘・知性派の攻40％UP　/　タイプ【飲食】の攻25％UP</t>
    <phoneticPr fontId="1"/>
  </si>
  <si>
    <t>甘い誘惑</t>
    <phoneticPr fontId="1"/>
  </si>
  <si>
    <t>はろうぃんぱんぷきんくいーん</t>
    <phoneticPr fontId="1"/>
  </si>
  <si>
    <t>SR</t>
    <phoneticPr fontId="1"/>
  </si>
  <si>
    <t>タイプ神秘・飲食の攻30％UP　/　タイプ【知性派】の攻10％UP</t>
    <phoneticPr fontId="1"/>
  </si>
  <si>
    <t>アテンションプリーズ</t>
    <phoneticPr fontId="1"/>
  </si>
  <si>
    <t>しょくぎょうたいけんくすもといね</t>
    <phoneticPr fontId="1"/>
  </si>
  <si>
    <t>タイプ姫・伝承の攻30％UP　/　タイプ【武人】の攻10％UP</t>
    <phoneticPr fontId="1"/>
  </si>
  <si>
    <t>入学の又左衞門</t>
    <phoneticPr fontId="1"/>
  </si>
  <si>
    <t>しんせいにゅうがくしきまえだとしいえ</t>
    <phoneticPr fontId="1"/>
  </si>
  <si>
    <t>豪華玉手箱ガチャ</t>
    <rPh sb="0" eb="2">
      <t>ゴウカ</t>
    </rPh>
    <rPh sb="2" eb="5">
      <t>タマテバコ</t>
    </rPh>
    <phoneticPr fontId="1"/>
  </si>
  <si>
    <t>10/21 15:00～10/21 23:59</t>
    <phoneticPr fontId="1"/>
  </si>
  <si>
    <t>慶祝！特別記念ガチャ</t>
    <rPh sb="0" eb="2">
      <t>ケイシュク</t>
    </rPh>
    <rPh sb="3" eb="5">
      <t>トクベツ</t>
    </rPh>
    <rPh sb="5" eb="7">
      <t>キネン</t>
    </rPh>
    <phoneticPr fontId="1"/>
  </si>
  <si>
    <t>(ZRチャンス)10/21 15:00～10/23 23:59</t>
    <phoneticPr fontId="1"/>
  </si>
  <si>
    <t>(高コスト)10/21 15:00～10/23 23:59</t>
    <rPh sb="1" eb="2">
      <t>コウ</t>
    </rPh>
    <phoneticPr fontId="1"/>
  </si>
  <si>
    <t>SSR</t>
    <phoneticPr fontId="1"/>
  </si>
  <si>
    <t>タイプ神秘・知性派・飲食の攻40％UP　/　タイプ神秘・知性派・飲食の防10％DOWN</t>
    <phoneticPr fontId="1"/>
  </si>
  <si>
    <t>明治の教育者</t>
    <phoneticPr fontId="1"/>
  </si>
  <si>
    <t>やまかわふたば</t>
    <phoneticPr fontId="1"/>
  </si>
  <si>
    <t>タイプ【姫】の攻30％UP　/　タイプ武人・伝承の攻15％UP</t>
    <phoneticPr fontId="1"/>
  </si>
  <si>
    <t>長雨に負けぬ赤備の勇</t>
    <phoneticPr fontId="1"/>
  </si>
  <si>
    <t>あめひめのぎゃくしゅうほうじょうつなたか</t>
    <phoneticPr fontId="1"/>
  </si>
  <si>
    <t>タイプ偉人・妖怪・名物の攻35％UP　/　タイプ伝承・武人・姫の防10％DOWN</t>
    <phoneticPr fontId="1"/>
  </si>
  <si>
    <t>照らされた銀世界</t>
    <phoneticPr fontId="1"/>
  </si>
  <si>
    <t>ゆきのさいてんぼでぃこんちゃん</t>
    <phoneticPr fontId="1"/>
  </si>
  <si>
    <t>タイプ妖怪・名物の攻55％UP　/　タイプ【偉人】の攻25％UP</t>
    <phoneticPr fontId="1"/>
  </si>
  <si>
    <t>駄菓子のあらし、見る暇もなし</t>
    <phoneticPr fontId="1"/>
  </si>
  <si>
    <t>偉人</t>
    <phoneticPr fontId="1"/>
  </si>
  <si>
    <t>しょうわれとろぽっぷしばのそのめ</t>
    <phoneticPr fontId="1"/>
  </si>
  <si>
    <t>タイプ【武人】の攻85％UP　/　タイプ姫・伝承の攻25％UP</t>
    <phoneticPr fontId="1"/>
  </si>
  <si>
    <t>復活祭のバニーちゃん</t>
    <phoneticPr fontId="1"/>
  </si>
  <si>
    <t>姫</t>
    <phoneticPr fontId="1"/>
  </si>
  <si>
    <t>いーすたーばにーごうひめ</t>
    <phoneticPr fontId="1"/>
  </si>
  <si>
    <t>タイプ【神秘】の攻50％UP　/　タイプ知性派・飲食の攻20％UP</t>
    <phoneticPr fontId="1"/>
  </si>
  <si>
    <t>鮮やかシシリア島の風情</t>
    <phoneticPr fontId="1"/>
  </si>
  <si>
    <t>ししりあんらいす</t>
    <phoneticPr fontId="1"/>
  </si>
  <si>
    <t>超防御ガチャ</t>
    <rPh sb="0" eb="1">
      <t>チョウ</t>
    </rPh>
    <rPh sb="1" eb="3">
      <t>ボウギョ</t>
    </rPh>
    <phoneticPr fontId="1"/>
  </si>
  <si>
    <t>10/22 12:00～10/25 11:59</t>
    <phoneticPr fontId="1"/>
  </si>
  <si>
    <t>SSR</t>
    <phoneticPr fontId="1"/>
  </si>
  <si>
    <t>SR</t>
    <phoneticPr fontId="1"/>
  </si>
  <si>
    <t>関東</t>
    <rPh sb="0" eb="2">
      <t>カントウ</t>
    </rPh>
    <phoneticPr fontId="1"/>
  </si>
  <si>
    <t>九州・沖縄</t>
    <rPh sb="0" eb="2">
      <t>キュウシュウ</t>
    </rPh>
    <rPh sb="3" eb="5">
      <t>オキナワ</t>
    </rPh>
    <phoneticPr fontId="1"/>
  </si>
  <si>
    <t>北海道・東北</t>
    <rPh sb="0" eb="3">
      <t>ホッカイドウ</t>
    </rPh>
    <rPh sb="4" eb="6">
      <t>トウホク</t>
    </rPh>
    <phoneticPr fontId="1"/>
  </si>
  <si>
    <t>中部</t>
    <rPh sb="0" eb="2">
      <t>チュウブ</t>
    </rPh>
    <phoneticPr fontId="1"/>
  </si>
  <si>
    <t>タイプ【名物】の防30％UP　/　タイプ偉人・妖怪の防15％UP</t>
    <phoneticPr fontId="1"/>
  </si>
  <si>
    <t>包帯に包まれて</t>
    <phoneticPr fontId="1"/>
  </si>
  <si>
    <t>はろうぃんほいほいび</t>
    <phoneticPr fontId="1"/>
  </si>
  <si>
    <t>タイプ神秘・飲食の防60％UP　/　タイプ伝承・武人・姫の攻10％DOWN</t>
    <phoneticPr fontId="1"/>
  </si>
  <si>
    <t>とりっくおあとりーと</t>
    <phoneticPr fontId="1"/>
  </si>
  <si>
    <t>はろうぃんまじょでよね</t>
    <phoneticPr fontId="1"/>
  </si>
  <si>
    <t>タイプ【武人】の防85％UP　/　タイプ姫・伝承の防25％UP</t>
    <phoneticPr fontId="1"/>
  </si>
  <si>
    <t>島津揺るがす美貌の未亡人</t>
    <phoneticPr fontId="1"/>
  </si>
  <si>
    <t>しまづときわ</t>
    <phoneticPr fontId="1"/>
  </si>
  <si>
    <t>タイプ姫・伝承の防30％UP　/　タイプ【武人】の防10％UP</t>
    <phoneticPr fontId="1"/>
  </si>
  <si>
    <t>その気力は雪前にも負けじ</t>
    <phoneticPr fontId="1"/>
  </si>
  <si>
    <t>すのーぐらびあなかのたけこ</t>
    <phoneticPr fontId="1"/>
  </si>
  <si>
    <t>タイプ偉人・妖怪の防30％UP　/　タイプ【名物】の防10％UP</t>
    <phoneticPr fontId="1"/>
  </si>
  <si>
    <t>一代一主の忠犬</t>
    <phoneticPr fontId="1"/>
  </si>
  <si>
    <t>しんせいかいいぬ</t>
    <phoneticPr fontId="1"/>
  </si>
  <si>
    <t>タイプ神秘・知性派の防30％UP　/　タイプ【飲食】の防10％UP</t>
    <phoneticPr fontId="1"/>
  </si>
  <si>
    <t>艶めく太陽の血統</t>
    <phoneticPr fontId="1"/>
  </si>
  <si>
    <t>しんせいひのひかりちゃん</t>
    <phoneticPr fontId="1"/>
  </si>
  <si>
    <t>祝来！宝船福引ガチャ</t>
    <rPh sb="0" eb="2">
      <t>シュクライ</t>
    </rPh>
    <rPh sb="3" eb="7">
      <t>タカラブネフクビキ</t>
    </rPh>
    <phoneticPr fontId="1"/>
  </si>
  <si>
    <t>10/22 12:00～10/23 11:59</t>
    <phoneticPr fontId="1"/>
  </si>
  <si>
    <t>古豪戦傑ガチャ</t>
    <rPh sb="0" eb="4">
      <t>コゴウセンケツ</t>
    </rPh>
    <phoneticPr fontId="1"/>
  </si>
  <si>
    <t>10/22 18:00～10/24 23:59</t>
    <phoneticPr fontId="1"/>
  </si>
  <si>
    <t>東日本</t>
    <rPh sb="0" eb="1">
      <t>ヒガシ</t>
    </rPh>
    <rPh sb="1" eb="3">
      <t>ニホン</t>
    </rPh>
    <phoneticPr fontId="1"/>
  </si>
  <si>
    <t>西日本</t>
    <rPh sb="0" eb="1">
      <t>ニシ</t>
    </rPh>
    <rPh sb="1" eb="3">
      <t>ニホン</t>
    </rPh>
    <phoneticPr fontId="1"/>
  </si>
  <si>
    <t>全国</t>
    <rPh sb="0" eb="2">
      <t>ゼンコク</t>
    </rPh>
    <phoneticPr fontId="1"/>
  </si>
  <si>
    <t>中国・四国</t>
    <rPh sb="0" eb="2">
      <t>チュウゴク</t>
    </rPh>
    <rPh sb="3" eb="5">
      <t>シコク</t>
    </rPh>
    <phoneticPr fontId="1"/>
  </si>
  <si>
    <t>タイプ偉人・妖怪・名物の攻45％UP</t>
    <phoneticPr fontId="1"/>
  </si>
  <si>
    <t>徳川最後のカウボーイ</t>
    <phoneticPr fontId="1"/>
  </si>
  <si>
    <t>せいぶげきとくがわよしのぶ</t>
    <phoneticPr fontId="1"/>
  </si>
  <si>
    <t>タイプ神秘・知性派の攻40％UP　/　タイプ【飲食】の攻25％UP</t>
    <phoneticPr fontId="1"/>
  </si>
  <si>
    <t>ホワイトは豚骨の白！</t>
    <phoneticPr fontId="1"/>
  </si>
  <si>
    <t>ほわいとでーとんこつらーめん</t>
    <phoneticPr fontId="1"/>
  </si>
  <si>
    <t>タイプ伝承・武人・姫の攻80％DOWN　/　タイプ武人・姫の防25％UP</t>
    <phoneticPr fontId="1"/>
  </si>
  <si>
    <t>流星操りし脅威の光</t>
    <phoneticPr fontId="1"/>
  </si>
  <si>
    <t>伝承</t>
    <phoneticPr fontId="1"/>
  </si>
  <si>
    <t>かふんしゅうらいほしがみさま</t>
    <phoneticPr fontId="1"/>
  </si>
  <si>
    <t>タイプ【伝承】の攻35％UP　/　タイプ武人・姫の攻25％UP</t>
    <phoneticPr fontId="1"/>
  </si>
  <si>
    <t>経済と文化の発展を支えた威光</t>
    <phoneticPr fontId="1"/>
  </si>
  <si>
    <t>しんせいつきやまじんじゃおおうちよしたか</t>
    <phoneticPr fontId="1"/>
  </si>
  <si>
    <t>タイプ知性派・飲食の攻30％UP　/　タイプ【神秘】の攻20％UP</t>
    <phoneticPr fontId="1"/>
  </si>
  <si>
    <t>煌煌たる陽光の女神</t>
    <phoneticPr fontId="1"/>
  </si>
  <si>
    <t>しんせいぺけれちゅぷかむい</t>
    <phoneticPr fontId="1"/>
  </si>
  <si>
    <t>タイプ偉人・妖怪の防35％UP　/　タイプ【名物】の防10％UP</t>
    <phoneticPr fontId="1"/>
  </si>
  <si>
    <t>途絶えることなき春の息吹を</t>
    <phoneticPr fontId="1"/>
  </si>
  <si>
    <t>しんせいにほんさんだいざくらやまたかじんだいざくら</t>
    <phoneticPr fontId="1"/>
  </si>
  <si>
    <t>同盟戦 英雄ガチャ</t>
    <rPh sb="0" eb="2">
      <t>ドウメイ</t>
    </rPh>
    <rPh sb="2" eb="3">
      <t>セン</t>
    </rPh>
    <rPh sb="4" eb="6">
      <t>エイユウ</t>
    </rPh>
    <phoneticPr fontId="1"/>
  </si>
  <si>
    <t>10/23 11:00～10/23 23:59</t>
    <phoneticPr fontId="1"/>
  </si>
  <si>
    <t>HR</t>
    <phoneticPr fontId="1"/>
  </si>
  <si>
    <t>R</t>
    <phoneticPr fontId="1"/>
  </si>
  <si>
    <t>タイプ神秘・飲食の攻30％UP　/　タイプ【知性派】の攻10％UP</t>
    <phoneticPr fontId="1"/>
  </si>
  <si>
    <t>悲恋を嘆く古井戸より現れし歌人</t>
    <phoneticPr fontId="1"/>
  </si>
  <si>
    <t>きもだめしほらーかがみのおおきみ</t>
    <phoneticPr fontId="1"/>
  </si>
  <si>
    <t>タイプ姫・伝承の防25％UP</t>
    <phoneticPr fontId="1"/>
  </si>
  <si>
    <t>宵闇照らす不穏な灯</t>
    <phoneticPr fontId="1"/>
  </si>
  <si>
    <t>しんせいおくりちょうちん</t>
    <phoneticPr fontId="1"/>
  </si>
  <si>
    <t>北海道</t>
    <rPh sb="0" eb="3">
      <t>ホッカイドウ</t>
    </rPh>
    <phoneticPr fontId="1"/>
  </si>
  <si>
    <t>タイプ【飲食】の攻20％UP</t>
    <phoneticPr fontId="1"/>
  </si>
  <si>
    <t>叶わぬ恋慕の夜</t>
    <phoneticPr fontId="1"/>
  </si>
  <si>
    <t>しんせいまかいいわこしんぷ</t>
    <phoneticPr fontId="1"/>
  </si>
  <si>
    <t>9/30 11:00～9/30 23:59</t>
    <phoneticPr fontId="1"/>
  </si>
  <si>
    <t>10/23 18:00～10/23 21:59</t>
    <phoneticPr fontId="1"/>
  </si>
  <si>
    <t>戦神ガチャ</t>
    <rPh sb="0" eb="2">
      <t>センシン</t>
    </rPh>
    <phoneticPr fontId="1"/>
  </si>
  <si>
    <t>10/24 11:00～10/26 23:59</t>
    <phoneticPr fontId="1"/>
  </si>
  <si>
    <t>豪華玉手箱ガチャ</t>
    <rPh sb="0" eb="5">
      <t>ゴウカタマテバコ</t>
    </rPh>
    <phoneticPr fontId="1"/>
  </si>
  <si>
    <t>10/24 11:00～10/26 23:59</t>
    <phoneticPr fontId="1"/>
  </si>
  <si>
    <t>全国巡り 満員御礼！小さな役者の大舞台ガチャ</t>
    <rPh sb="0" eb="2">
      <t>ゼンコク</t>
    </rPh>
    <rPh sb="2" eb="3">
      <t>メグ</t>
    </rPh>
    <phoneticPr fontId="1"/>
  </si>
  <si>
    <t>(Lvアップ)10/25 12:00～10/31 19:59</t>
    <phoneticPr fontId="1"/>
  </si>
  <si>
    <t>(DX)10/25 12:00～10/31 19:59</t>
    <phoneticPr fontId="1"/>
  </si>
  <si>
    <t>(Lvアップ)10/14 12:00～10/21 11:59</t>
    <phoneticPr fontId="1"/>
  </si>
  <si>
    <t>(Lvアップ)10/8 12:00～10/14 11:59</t>
    <phoneticPr fontId="1"/>
  </si>
  <si>
    <t>(Lvアップ)10/4 12:00～10/8 11:59</t>
    <phoneticPr fontId="1"/>
  </si>
  <si>
    <t>(Lvアップ)10/1 0:00～10/8 11:59</t>
    <phoneticPr fontId="1"/>
  </si>
  <si>
    <t>(Lvアップ)9/25 12:00～9/30 19:59</t>
    <phoneticPr fontId="1"/>
  </si>
  <si>
    <t>(Lvアップ)9/14 12:00～9/21 11:59</t>
    <phoneticPr fontId="1"/>
  </si>
  <si>
    <t>(DX)9/14 12:00～9/21 11:59</t>
    <phoneticPr fontId="1"/>
  </si>
  <si>
    <t>(Lvアップ)9/8 12:00～9/14 11:59</t>
    <phoneticPr fontId="1"/>
  </si>
  <si>
    <t>(Lvアップ)9/4 12:00～9/8 11:59</t>
    <phoneticPr fontId="1"/>
  </si>
  <si>
    <t>(Lvアップ)9/1 0:00～9/8 11:59</t>
    <phoneticPr fontId="1"/>
  </si>
  <si>
    <t>(Lvアップ)8/25 12:00～8/31 19:59</t>
    <phoneticPr fontId="1"/>
  </si>
  <si>
    <t>(Lvアップ)8/14 12:00～8/21 11:59</t>
    <phoneticPr fontId="1"/>
  </si>
  <si>
    <t>(Lvアップ)8/8 12:00～8/14 11:59</t>
    <phoneticPr fontId="1"/>
  </si>
  <si>
    <t>(Lvアップ)8/4 12:00～8/8 11:59</t>
    <phoneticPr fontId="1"/>
  </si>
  <si>
    <t>(Lvアップ)8/1 0:00～8/8 11:59</t>
    <phoneticPr fontId="1"/>
  </si>
  <si>
    <t>(Lvアップ)7/25 12:00～7/31 19:59</t>
    <phoneticPr fontId="1"/>
  </si>
  <si>
    <t>(Lvアップ)7/14 12:00～7/21 11:59</t>
    <phoneticPr fontId="1"/>
  </si>
  <si>
    <t>(Lvアップ)7/8 12:00～7/14 11:59</t>
    <phoneticPr fontId="1"/>
  </si>
  <si>
    <t>(Lvアップ)7/4 12:00～7/8 11:59</t>
    <phoneticPr fontId="1"/>
  </si>
  <si>
    <t>(Lvアップ)7/1 0:00～7/8 11:59</t>
    <phoneticPr fontId="1"/>
  </si>
  <si>
    <t>SSR</t>
    <phoneticPr fontId="1"/>
  </si>
  <si>
    <t>SR</t>
    <phoneticPr fontId="1"/>
  </si>
  <si>
    <t>HR</t>
    <phoneticPr fontId="1"/>
  </si>
  <si>
    <t>R</t>
    <phoneticPr fontId="1"/>
  </si>
  <si>
    <t>中部</t>
    <rPh sb="0" eb="2">
      <t>チュウブ</t>
    </rPh>
    <phoneticPr fontId="1"/>
  </si>
  <si>
    <t>九州・沖縄</t>
    <rPh sb="0" eb="2">
      <t>キュウシュウ</t>
    </rPh>
    <rPh sb="3" eb="5">
      <t>オキナワ</t>
    </rPh>
    <phoneticPr fontId="1"/>
  </si>
  <si>
    <t>関東</t>
    <rPh sb="0" eb="2">
      <t>カントウ</t>
    </rPh>
    <phoneticPr fontId="1"/>
  </si>
  <si>
    <t>中国・四国</t>
    <rPh sb="0" eb="2">
      <t>チュウゴク</t>
    </rPh>
    <rPh sb="3" eb="5">
      <t>シコク</t>
    </rPh>
    <phoneticPr fontId="1"/>
  </si>
  <si>
    <t>岐阜</t>
    <rPh sb="0" eb="2">
      <t>ギフ</t>
    </rPh>
    <phoneticPr fontId="1"/>
  </si>
  <si>
    <t>武人</t>
    <rPh sb="0" eb="2">
      <t>ブジン</t>
    </rPh>
    <phoneticPr fontId="1"/>
  </si>
  <si>
    <t>伝承</t>
    <rPh sb="0" eb="2">
      <t>デンショウ</t>
    </rPh>
    <phoneticPr fontId="1"/>
  </si>
  <si>
    <t>妖怪</t>
    <rPh sb="0" eb="2">
      <t>ヨウカイ</t>
    </rPh>
    <phoneticPr fontId="1"/>
  </si>
  <si>
    <t>名物</t>
    <rPh sb="0" eb="2">
      <t>メイブツ</t>
    </rPh>
    <phoneticPr fontId="1"/>
  </si>
  <si>
    <t>タイプ姫・伝承の防25％UP　/　タイプ【武人】の防10％UP</t>
    <phoneticPr fontId="1"/>
  </si>
  <si>
    <t>猿回し界の天下統一</t>
    <phoneticPr fontId="1"/>
  </si>
  <si>
    <t>さるぐんだんはしばひでよし</t>
    <phoneticPr fontId="1"/>
  </si>
  <si>
    <t>タイプ武人・姫の攻45％UP　/　タイプ飲食・武人の防30％DOWN</t>
    <phoneticPr fontId="1"/>
  </si>
  <si>
    <t>宝産む猫の本気</t>
    <phoneticPr fontId="1"/>
  </si>
  <si>
    <t>しんせいうんどうかいりゅうぐうねこ</t>
    <phoneticPr fontId="1"/>
  </si>
  <si>
    <t>タイプ偉人・名物の防30％UP　/　タイプ【妖怪】の防10％UP</t>
    <phoneticPr fontId="1"/>
  </si>
  <si>
    <t>風狸の御魂返り</t>
    <phoneticPr fontId="1"/>
  </si>
  <si>
    <t>しんせいふうり</t>
    <phoneticPr fontId="1"/>
  </si>
  <si>
    <t>タイプ武人・姫の攻20％UP</t>
    <phoneticPr fontId="1"/>
  </si>
  <si>
    <t>鬼退治準備中！</t>
    <phoneticPr fontId="1"/>
  </si>
  <si>
    <t>しんせいようしょうももたろう</t>
    <phoneticPr fontId="1"/>
  </si>
  <si>
    <t>タイプ【妖怪】の防20％UP</t>
    <phoneticPr fontId="1"/>
  </si>
  <si>
    <t>悪霊祓いの赤色</t>
    <phoneticPr fontId="1"/>
  </si>
  <si>
    <t>しんせいさるぼぼ</t>
    <phoneticPr fontId="1"/>
  </si>
  <si>
    <t>超攻再臨ガチャ</t>
    <rPh sb="0" eb="1">
      <t>チョウ</t>
    </rPh>
    <rPh sb="1" eb="2">
      <t>コウ</t>
    </rPh>
    <rPh sb="2" eb="4">
      <t>サイリン</t>
    </rPh>
    <phoneticPr fontId="1"/>
  </si>
  <si>
    <t>10/25 18:00～10/27 23:59</t>
    <phoneticPr fontId="1"/>
  </si>
  <si>
    <t>九州・沖縄</t>
    <rPh sb="0" eb="2">
      <t>キュウシュウ</t>
    </rPh>
    <rPh sb="3" eb="5">
      <t>オキナワ</t>
    </rPh>
    <phoneticPr fontId="1"/>
  </si>
  <si>
    <t>妖怪</t>
    <rPh sb="0" eb="2">
      <t>ヨウカイ</t>
    </rPh>
    <phoneticPr fontId="1"/>
  </si>
  <si>
    <t>近畿</t>
    <rPh sb="0" eb="2">
      <t>キンキ</t>
    </rPh>
    <phoneticPr fontId="1"/>
  </si>
  <si>
    <t>武人</t>
    <rPh sb="0" eb="2">
      <t>ブジン</t>
    </rPh>
    <phoneticPr fontId="1"/>
  </si>
  <si>
    <t>中部</t>
    <rPh sb="0" eb="2">
      <t>チュウブ</t>
    </rPh>
    <phoneticPr fontId="1"/>
  </si>
  <si>
    <t>知性派</t>
    <rPh sb="0" eb="2">
      <t>チセイ</t>
    </rPh>
    <rPh sb="2" eb="3">
      <t>ハ</t>
    </rPh>
    <phoneticPr fontId="1"/>
  </si>
  <si>
    <t>タイプ【名物】の攻30％UP　/　タイプ偉人・妖怪の攻15％UP</t>
    <phoneticPr fontId="1"/>
  </si>
  <si>
    <t>雨の小さな期待</t>
    <phoneticPr fontId="1"/>
  </si>
  <si>
    <t>つゆろまんたつくちなわ</t>
    <phoneticPr fontId="1"/>
  </si>
  <si>
    <t>タイプ伝承・武人・姫の攻45％UP</t>
    <phoneticPr fontId="1"/>
  </si>
  <si>
    <t>8万石の誓い</t>
    <phoneticPr fontId="1"/>
  </si>
  <si>
    <t>てらざわひろたか</t>
    <phoneticPr fontId="1"/>
  </si>
  <si>
    <t>タイプ神秘・知性派・飲食の攻40％UP　/　タイプ伝承・武人・姫の防10％DOWN</t>
    <phoneticPr fontId="1"/>
  </si>
  <si>
    <t>発明大抽出</t>
    <phoneticPr fontId="1"/>
  </si>
  <si>
    <t>たかみねじょうきち</t>
    <phoneticPr fontId="1"/>
  </si>
  <si>
    <t>祝来！宝船福引ガチャ</t>
    <rPh sb="0" eb="1">
      <t>シュク</t>
    </rPh>
    <rPh sb="1" eb="2">
      <t>ライ</t>
    </rPh>
    <rPh sb="3" eb="7">
      <t>タカラブネフクビキ</t>
    </rPh>
    <phoneticPr fontId="1"/>
  </si>
  <si>
    <t>天撃皆伝ガチャ</t>
    <rPh sb="0" eb="1">
      <t>テン</t>
    </rPh>
    <rPh sb="1" eb="2">
      <t>ゲキ</t>
    </rPh>
    <rPh sb="2" eb="4">
      <t>カイデン</t>
    </rPh>
    <phoneticPr fontId="1"/>
  </si>
  <si>
    <t>10/26 18:00～10/28 23:59</t>
    <phoneticPr fontId="1"/>
  </si>
  <si>
    <t>SR</t>
    <phoneticPr fontId="1"/>
  </si>
  <si>
    <t>近畿</t>
    <rPh sb="0" eb="2">
      <t>キンキ</t>
    </rPh>
    <phoneticPr fontId="1"/>
  </si>
  <si>
    <t>中部</t>
    <rPh sb="0" eb="2">
      <t>チュウブ</t>
    </rPh>
    <phoneticPr fontId="1"/>
  </si>
  <si>
    <t>北海道・東北</t>
    <rPh sb="0" eb="3">
      <t>ホッカイドウ</t>
    </rPh>
    <rPh sb="4" eb="6">
      <t>トウホク</t>
    </rPh>
    <phoneticPr fontId="1"/>
  </si>
  <si>
    <t>タイプ偉人・妖怪の防30％UP　/　タイプ【名物】の防10％UP</t>
    <phoneticPr fontId="1"/>
  </si>
  <si>
    <t>勝利へ導く一陣の風</t>
    <phoneticPr fontId="1"/>
  </si>
  <si>
    <t>しんせいうんどうかいきょうせんすちゃん</t>
    <phoneticPr fontId="1"/>
  </si>
  <si>
    <t>タイプ神秘・飲食の攻30％UP　/　タイプ【知性派】の攻10％UP</t>
    <phoneticPr fontId="1"/>
  </si>
  <si>
    <t>命を懸けた芸妓の舞踊</t>
    <phoneticPr fontId="1"/>
  </si>
  <si>
    <t>しんせいいくまつ</t>
    <phoneticPr fontId="1"/>
  </si>
  <si>
    <t>タイプ武人・伝承の攻30％UP　/　タイプ【姫】の攻10％UP</t>
    <phoneticPr fontId="1"/>
  </si>
  <si>
    <t>無邪気に飛び跳ねる鶴</t>
    <phoneticPr fontId="1"/>
  </si>
  <si>
    <t>さふぁりぱーくなんぶつるひめ</t>
    <phoneticPr fontId="1"/>
  </si>
  <si>
    <t>全国巡り 英雄ガチャ</t>
    <rPh sb="0" eb="2">
      <t>ゼンコク</t>
    </rPh>
    <rPh sb="2" eb="3">
      <t>メグ</t>
    </rPh>
    <rPh sb="5" eb="7">
      <t>エイユウ</t>
    </rPh>
    <phoneticPr fontId="1"/>
  </si>
  <si>
    <t>10/27 11:00～10/27 23:59</t>
    <phoneticPr fontId="1"/>
  </si>
  <si>
    <t>10/27 15:00～10/27 23:59</t>
    <phoneticPr fontId="1"/>
  </si>
  <si>
    <t>豪華玉手箱ガチャ</t>
    <rPh sb="0" eb="2">
      <t>ゴウカ</t>
    </rPh>
    <rPh sb="2" eb="5">
      <t>タマテバコ</t>
    </rPh>
    <phoneticPr fontId="1"/>
  </si>
  <si>
    <t>全国巡り 英雄ガチャ</t>
    <rPh sb="0" eb="2">
      <t>ゼンコク</t>
    </rPh>
    <rPh sb="2" eb="3">
      <t>メグ</t>
    </rPh>
    <rPh sb="5" eb="7">
      <t>エイユウ</t>
    </rPh>
    <phoneticPr fontId="1"/>
  </si>
  <si>
    <t>10/28 11:00～10/28 23:59</t>
    <phoneticPr fontId="1"/>
  </si>
  <si>
    <t>超防再臨ガチャ</t>
    <rPh sb="0" eb="1">
      <t>チョウ</t>
    </rPh>
    <rPh sb="1" eb="2">
      <t>ボウ</t>
    </rPh>
    <rPh sb="2" eb="4">
      <t>サイリン</t>
    </rPh>
    <phoneticPr fontId="1"/>
  </si>
  <si>
    <t>10/28 18:00～10/30 23:59</t>
    <phoneticPr fontId="1"/>
  </si>
  <si>
    <t>タイプ伝承・武人・姫の攻80％DOWN　/　タイプ妖怪・名物の防25％UP</t>
    <phoneticPr fontId="1"/>
  </si>
  <si>
    <t>女流文学者の始球式</t>
    <phoneticPr fontId="1"/>
  </si>
  <si>
    <t>しきゅうしきただのまくず</t>
    <phoneticPr fontId="1"/>
  </si>
  <si>
    <t>タイプ姫・伝承の防40％UP　/　タイプ【武人】の防25％UP</t>
    <phoneticPr fontId="1"/>
  </si>
  <si>
    <t>氷穴の守護者と小さな相棒</t>
    <phoneticPr fontId="1"/>
  </si>
  <si>
    <t>ひょうけつのにくすとぱとろーる</t>
    <phoneticPr fontId="1"/>
  </si>
  <si>
    <t>タイプ神秘・知性派・飲食の防35％UP</t>
    <phoneticPr fontId="1"/>
  </si>
  <si>
    <t>鮮やかな宝石と手口</t>
    <phoneticPr fontId="1"/>
  </si>
  <si>
    <t>かいとうきういふるーつちゃん</t>
    <phoneticPr fontId="1"/>
  </si>
  <si>
    <t>戦神ガチャ</t>
    <rPh sb="0" eb="2">
      <t>センシン</t>
    </rPh>
    <phoneticPr fontId="1"/>
  </si>
  <si>
    <t>10/29 11:00～10/31 23:59</t>
    <phoneticPr fontId="1"/>
  </si>
  <si>
    <t>乱世傑士ガチャ</t>
    <phoneticPr fontId="1"/>
  </si>
  <si>
    <t>10/30 12:00～10/31 23:59</t>
    <phoneticPr fontId="1"/>
  </si>
  <si>
    <t>69283_0</t>
    <phoneticPr fontId="1"/>
  </si>
  <si>
    <t>SP</t>
    <phoneticPr fontId="1"/>
  </si>
  <si>
    <t>タイプ伝承・武人・姫の防30％UP　/　タイプ【伝承】の攻15％DOWN</t>
    <phoneticPr fontId="1"/>
  </si>
  <si>
    <t>いと高く見目麗しき富士の山</t>
    <phoneticPr fontId="1"/>
  </si>
  <si>
    <t>さんごくしんせんきょう</t>
    <phoneticPr fontId="1"/>
  </si>
  <si>
    <t>祝来！宝船福引ガチャ</t>
    <rPh sb="0" eb="1">
      <t>シュク</t>
    </rPh>
    <rPh sb="1" eb="2">
      <t>ライ</t>
    </rPh>
    <rPh sb="3" eb="5">
      <t>タカラブネ</t>
    </rPh>
    <rPh sb="5" eb="7">
      <t>フクビキ</t>
    </rPh>
    <phoneticPr fontId="1"/>
  </si>
  <si>
    <t>10/30 12:00～10/31 11:59</t>
    <phoneticPr fontId="1"/>
  </si>
  <si>
    <t>10/29 18:00～10/29 21:59</t>
    <phoneticPr fontId="1"/>
  </si>
  <si>
    <t>復活！5進化隊士ガチャ</t>
    <rPh sb="0" eb="2">
      <t>フッカツ</t>
    </rPh>
    <rPh sb="4" eb="6">
      <t>シンカ</t>
    </rPh>
    <rPh sb="6" eb="8">
      <t>タイシ</t>
    </rPh>
    <phoneticPr fontId="1"/>
  </si>
  <si>
    <t>SSR</t>
    <phoneticPr fontId="1"/>
  </si>
  <si>
    <t>SR</t>
    <phoneticPr fontId="1"/>
  </si>
  <si>
    <t>全国</t>
    <rPh sb="0" eb="2">
      <t>ゼンコク</t>
    </rPh>
    <phoneticPr fontId="1"/>
  </si>
  <si>
    <t>10/31 11:00～10/31 23:59</t>
    <phoneticPr fontId="1"/>
  </si>
  <si>
    <t>西日本</t>
    <rPh sb="0" eb="1">
      <t>ニシ</t>
    </rPh>
    <rPh sb="1" eb="3">
      <t>ニホン</t>
    </rPh>
    <phoneticPr fontId="1"/>
  </si>
  <si>
    <t>東日本</t>
    <rPh sb="0" eb="3">
      <t>ヒガシニホン</t>
    </rPh>
    <phoneticPr fontId="1"/>
  </si>
  <si>
    <t>伝承</t>
    <rPh sb="0" eb="2">
      <t>デンショウ</t>
    </rPh>
    <phoneticPr fontId="1"/>
  </si>
  <si>
    <t>知性派</t>
    <rPh sb="0" eb="2">
      <t>チセイ</t>
    </rPh>
    <rPh sb="2" eb="3">
      <t>ハ</t>
    </rPh>
    <phoneticPr fontId="1"/>
  </si>
  <si>
    <t>妖怪</t>
    <rPh sb="0" eb="2">
      <t>ヨウカイ</t>
    </rPh>
    <phoneticPr fontId="1"/>
  </si>
  <si>
    <t>タイプ【名物】の防75％UP　/　タイプ偉人・妖怪の防30％UP</t>
    <phoneticPr fontId="1"/>
  </si>
  <si>
    <t>キミに悪戯してやる！</t>
    <phoneticPr fontId="1"/>
  </si>
  <si>
    <t>いわぽそいんから</t>
    <phoneticPr fontId="1"/>
  </si>
  <si>
    <t>タイプ【名物】の防50％UP　/　タイプ偉人・妖怪の防25％UP</t>
    <phoneticPr fontId="1"/>
  </si>
  <si>
    <t>タイプ【名物】の防40％UP　/　タイプ【妖怪】の防15％UP</t>
    <phoneticPr fontId="1"/>
  </si>
  <si>
    <t>タイプ神秘・知性派・飲食の攻40％UP　/　タイプ神秘・知性派・飲食の防10％DOWN</t>
    <phoneticPr fontId="1"/>
  </si>
  <si>
    <t>読書三昧の花嫁記者</t>
    <phoneticPr fontId="1"/>
  </si>
  <si>
    <t>じゅーんぶらいどはにもとこ</t>
    <phoneticPr fontId="1"/>
  </si>
  <si>
    <t>5進</t>
    <rPh sb="1" eb="2">
      <t>シン</t>
    </rPh>
    <phoneticPr fontId="1"/>
  </si>
  <si>
    <t>3進</t>
    <rPh sb="1" eb="2">
      <t>シン</t>
    </rPh>
    <phoneticPr fontId="1"/>
  </si>
  <si>
    <t>1進</t>
    <rPh sb="1" eb="2">
      <t>シン</t>
    </rPh>
    <phoneticPr fontId="1"/>
  </si>
  <si>
    <t>タイプ神秘・知性派・飲食の攻30％UP　/　タイプ神秘・知性派の防10％DOWN</t>
    <phoneticPr fontId="1"/>
  </si>
  <si>
    <t>タイプ神秘・飲食の攻15％UP　/　タイプ【知性派】の防10％DOWN</t>
    <phoneticPr fontId="1"/>
  </si>
  <si>
    <t>タイプ伝承・武人・姫の攻25％UP　/　タイプ武人・姫の防60％DOWN</t>
    <phoneticPr fontId="1"/>
  </si>
  <si>
    <t>最古の人魚伝説</t>
    <phoneticPr fontId="1"/>
  </si>
  <si>
    <t>にんぎょづか</t>
    <phoneticPr fontId="1"/>
  </si>
  <si>
    <t>タイプ伝承・武人・姫の攻15％UP　/　タイプ武人・姫の防40％DOWN</t>
    <phoneticPr fontId="1"/>
  </si>
  <si>
    <t>タイプ武人・姫の攻12％UP　/　タイプ武人・姫の防20％DOWN</t>
    <phoneticPr fontId="1"/>
  </si>
  <si>
    <t>(DX)11/1 0:00～11/4 11:59</t>
    <phoneticPr fontId="1"/>
  </si>
  <si>
    <t>(Lvアップ)11/1 0:00～11/8 11:59</t>
    <phoneticPr fontId="1"/>
  </si>
  <si>
    <t>防衛戦 湯気立ち上る温泉街ガチャ</t>
    <rPh sb="0" eb="3">
      <t>ボウエイセン</t>
    </rPh>
    <phoneticPr fontId="1"/>
  </si>
  <si>
    <t>しんせいありまおんせんちゃん</t>
    <phoneticPr fontId="1"/>
  </si>
  <si>
    <t>しんせいいわこしんぷ</t>
    <phoneticPr fontId="1"/>
  </si>
  <si>
    <t>84923_0</t>
    <phoneticPr fontId="1"/>
  </si>
  <si>
    <t>タイプ伝承・武人・姫の防40％UP　/　全タイプの攻20％DOWN</t>
    <phoneticPr fontId="1"/>
  </si>
  <si>
    <t>温泉目指し集結する八犬士</t>
    <phoneticPr fontId="1"/>
  </si>
  <si>
    <t>おんせんがいなんそうさとみはっけんでん</t>
    <phoneticPr fontId="1"/>
  </si>
  <si>
    <t>敵全体の戦技効果時間を短縮して攻20％DOWN、自身の強襲発生割合を100％</t>
    <phoneticPr fontId="1"/>
  </si>
  <si>
    <t>タイプ神秘・知性派・飲食の攻40％UP　/　タイプ飲食・武人・名物の防10％DOWN</t>
    <phoneticPr fontId="1"/>
  </si>
  <si>
    <t>温泉卓球で文化交流</t>
    <phoneticPr fontId="1"/>
  </si>
  <si>
    <t>おんせんがいありすべーこん</t>
    <phoneticPr fontId="1"/>
  </si>
  <si>
    <t>タイプ偉人・妖怪・名物の攻35％UP</t>
    <phoneticPr fontId="1"/>
  </si>
  <si>
    <t>妖美な湯けむり美人</t>
    <phoneticPr fontId="1"/>
  </si>
  <si>
    <t>おんせんがいはまひめ</t>
    <phoneticPr fontId="1"/>
  </si>
  <si>
    <t>浴衣姿で温泉グルメ天国</t>
    <phoneticPr fontId="1"/>
  </si>
  <si>
    <t>おんせんがいえんゆういん</t>
    <phoneticPr fontId="1"/>
  </si>
  <si>
    <t>山奥に広がる光景</t>
    <phoneticPr fontId="1"/>
  </si>
  <si>
    <t>しんせいひとうきむんかむい</t>
    <phoneticPr fontId="1"/>
  </si>
  <si>
    <t>蒸らし熟成の丸ごと調理</t>
    <phoneticPr fontId="1"/>
  </si>
  <si>
    <t>しんせいごくらくおんけい</t>
    <phoneticPr fontId="1"/>
  </si>
  <si>
    <t>目を奪われる潜水者</t>
    <phoneticPr fontId="1"/>
  </si>
  <si>
    <t>しんせいひとうともかずき</t>
    <phoneticPr fontId="1"/>
  </si>
  <si>
    <t>タイプ武人・伝承の攻25％UP</t>
    <phoneticPr fontId="1"/>
  </si>
  <si>
    <t>清泰院の泉質比べ</t>
    <phoneticPr fontId="1"/>
  </si>
  <si>
    <t>しんせいおふろせいたいいん</t>
    <phoneticPr fontId="1"/>
  </si>
  <si>
    <t>草津の湯もみ唄</t>
    <phoneticPr fontId="1"/>
  </si>
  <si>
    <t>しんせいくさつおんせんゆもみちゃん</t>
    <phoneticPr fontId="1"/>
  </si>
  <si>
    <t>山林の恵み</t>
    <phoneticPr fontId="1"/>
  </si>
  <si>
    <t>11/2 12:00～11/3 23:59</t>
    <phoneticPr fontId="1"/>
  </si>
  <si>
    <t>5進</t>
    <rPh sb="1" eb="2">
      <t>シン</t>
    </rPh>
    <phoneticPr fontId="1"/>
  </si>
  <si>
    <t>3進</t>
    <rPh sb="1" eb="2">
      <t>シン</t>
    </rPh>
    <phoneticPr fontId="1"/>
  </si>
  <si>
    <t>1進</t>
    <rPh sb="1" eb="2">
      <t>シン</t>
    </rPh>
    <phoneticPr fontId="1"/>
  </si>
  <si>
    <t>全国</t>
    <rPh sb="0" eb="2">
      <t>ゼンコク</t>
    </rPh>
    <phoneticPr fontId="1"/>
  </si>
  <si>
    <t>東日本</t>
    <rPh sb="0" eb="1">
      <t>ヒガシ</t>
    </rPh>
    <rPh sb="1" eb="3">
      <t>ニホン</t>
    </rPh>
    <phoneticPr fontId="1"/>
  </si>
  <si>
    <t>SSR</t>
    <phoneticPr fontId="1"/>
  </si>
  <si>
    <t>タイプ【名物】の攻40％UP　/　タイプ【妖怪】の攻20％UP</t>
    <phoneticPr fontId="1"/>
  </si>
  <si>
    <t>偉人</t>
    <phoneticPr fontId="1"/>
  </si>
  <si>
    <t>ゆきもみじふじわらのきよひら</t>
    <phoneticPr fontId="1"/>
  </si>
  <si>
    <t>金色の秋の支配者</t>
    <phoneticPr fontId="1"/>
  </si>
  <si>
    <t>タイプ【名物】の攻22％UP　/　タイプ【妖怪】の攻12％UP</t>
    <phoneticPr fontId="1"/>
  </si>
  <si>
    <t>タイプ【名物】の攻10％UP　/　タイプ【妖怪】の攻5％UP</t>
    <phoneticPr fontId="1"/>
  </si>
  <si>
    <t>超攻再臨ガチャ</t>
    <rPh sb="0" eb="1">
      <t>チョウ</t>
    </rPh>
    <rPh sb="1" eb="2">
      <t>コウ</t>
    </rPh>
    <rPh sb="2" eb="4">
      <t>サイリン</t>
    </rPh>
    <phoneticPr fontId="1"/>
  </si>
  <si>
    <t>11/2 18:00～11/4 23:59</t>
    <phoneticPr fontId="1"/>
  </si>
  <si>
    <t>SSR</t>
    <phoneticPr fontId="1"/>
  </si>
  <si>
    <t>関東</t>
    <rPh sb="0" eb="2">
      <t>カントウ</t>
    </rPh>
    <phoneticPr fontId="1"/>
  </si>
  <si>
    <t>タイプ神秘・知性派・飲食の防60％DOWN　/　タイプ神秘・知性派・飲食の攻25％UP</t>
    <phoneticPr fontId="1"/>
  </si>
  <si>
    <t>麻の神が織りし白羽</t>
    <phoneticPr fontId="1"/>
  </si>
  <si>
    <t>ながしらはのかみ</t>
    <phoneticPr fontId="1"/>
  </si>
  <si>
    <t>祝来！宝船福引ガチャ</t>
    <rPh sb="0" eb="1">
      <t>シュク</t>
    </rPh>
    <rPh sb="1" eb="2">
      <t>ライ</t>
    </rPh>
    <rPh sb="3" eb="5">
      <t>タカラブネ</t>
    </rPh>
    <rPh sb="5" eb="7">
      <t>フクビキ</t>
    </rPh>
    <phoneticPr fontId="1"/>
  </si>
  <si>
    <t>11/3 12:00～11/4 11:59</t>
    <phoneticPr fontId="1"/>
  </si>
  <si>
    <t>11/3 18:00～11/3 21:59</t>
    <phoneticPr fontId="1"/>
  </si>
  <si>
    <t>11/4 11:00～11/6 23:59</t>
    <phoneticPr fontId="1"/>
  </si>
  <si>
    <t>戦神ガチャ</t>
    <rPh sb="0" eb="2">
      <t>センシン</t>
    </rPh>
    <phoneticPr fontId="1"/>
  </si>
  <si>
    <t>SSR</t>
    <phoneticPr fontId="1"/>
  </si>
  <si>
    <t>タイプ神秘・知性派の攻40％UP　/　タイプ【飲食】の攻25％UP</t>
    <phoneticPr fontId="1"/>
  </si>
  <si>
    <t>イチゴでつながる世界</t>
    <phoneticPr fontId="1"/>
  </si>
  <si>
    <t>飲食</t>
    <phoneticPr fontId="1"/>
  </si>
  <si>
    <t>すとろべりーれっど</t>
    <phoneticPr fontId="1"/>
  </si>
  <si>
    <t>防衛戦 団結！夢叶小槌と森の仲間たちガチャ</t>
    <rPh sb="0" eb="3">
      <t>ボウエイセン</t>
    </rPh>
    <phoneticPr fontId="1"/>
  </si>
  <si>
    <t>(DX)11/4 12:00～11/8 11:59</t>
    <phoneticPr fontId="1"/>
  </si>
  <si>
    <t>(Lvアップ)11/4 12:00～11/8 11:59</t>
    <phoneticPr fontId="1"/>
  </si>
  <si>
    <t>タイプ伝承・武人・姫の攻35％UP　/　タイプ飲食・武人・名物の防10％DOWN</t>
    <phoneticPr fontId="1"/>
  </si>
  <si>
    <t>紅葉守る福呼ぶ小槌</t>
    <phoneticPr fontId="1"/>
  </si>
  <si>
    <t>ゆきもみじうちでのこづち</t>
    <phoneticPr fontId="1"/>
  </si>
  <si>
    <t>SR</t>
    <phoneticPr fontId="1"/>
  </si>
  <si>
    <t>HR</t>
    <phoneticPr fontId="1"/>
  </si>
  <si>
    <t>R</t>
    <phoneticPr fontId="1"/>
  </si>
  <si>
    <t>中部</t>
    <rPh sb="0" eb="2">
      <t>チュウブ</t>
    </rPh>
    <phoneticPr fontId="1"/>
  </si>
  <si>
    <t>無所属</t>
    <rPh sb="0" eb="3">
      <t>ムショゾク</t>
    </rPh>
    <phoneticPr fontId="1"/>
  </si>
  <si>
    <t>長崎</t>
    <rPh sb="0" eb="2">
      <t>ナガサキ</t>
    </rPh>
    <phoneticPr fontId="1"/>
  </si>
  <si>
    <t>タイプ武人・伝承の防30％UP　/　タイプ【姫】の防10％UP</t>
    <phoneticPr fontId="1"/>
  </si>
  <si>
    <t>紅葉狩りに深まる愛</t>
    <phoneticPr fontId="1"/>
  </si>
  <si>
    <t>しんせいはいからもみじにしごおりのつぼね</t>
    <phoneticPr fontId="1"/>
  </si>
  <si>
    <t>タイプ知性派・飲食の攻20％UP</t>
    <phoneticPr fontId="1"/>
  </si>
  <si>
    <t>秋から冬へ</t>
    <phoneticPr fontId="1"/>
  </si>
  <si>
    <t>しんせいたつたひめ</t>
    <phoneticPr fontId="1"/>
  </si>
  <si>
    <t>タイプ【神秘】の防20％UP</t>
    <phoneticPr fontId="1"/>
  </si>
  <si>
    <t>さくさく乙女の昼下がり</t>
    <phoneticPr fontId="1"/>
  </si>
  <si>
    <t>しんせいこうらくくっきーちゃん</t>
    <phoneticPr fontId="1"/>
  </si>
  <si>
    <t>防衛戦 英雄ガチャ</t>
    <rPh sb="0" eb="3">
      <t>ボウエイセン</t>
    </rPh>
    <rPh sb="4" eb="6">
      <t>エイユウ</t>
    </rPh>
    <phoneticPr fontId="1"/>
  </si>
  <si>
    <t>11/5 11:00～11/5 23:59</t>
    <phoneticPr fontId="1"/>
  </si>
  <si>
    <t>超防再臨ガチャ</t>
    <rPh sb="0" eb="1">
      <t>チョウ</t>
    </rPh>
    <rPh sb="1" eb="2">
      <t>ボウ</t>
    </rPh>
    <rPh sb="2" eb="4">
      <t>サイリン</t>
    </rPh>
    <phoneticPr fontId="1"/>
  </si>
  <si>
    <t>11/5 18:00～11/7 23:59</t>
    <phoneticPr fontId="1"/>
  </si>
  <si>
    <t>豪華玉手箱ガチャ</t>
    <rPh sb="0" eb="2">
      <t>ゴウカ</t>
    </rPh>
    <rPh sb="2" eb="5">
      <t>タマテバコ</t>
    </rPh>
    <phoneticPr fontId="1"/>
  </si>
  <si>
    <t>11/6 15:00～11/6 23:59</t>
    <phoneticPr fontId="1"/>
  </si>
  <si>
    <t>11/6 20:00～11/6 23:59</t>
    <phoneticPr fontId="1"/>
  </si>
  <si>
    <t>祝来！宝船福引ガチャ</t>
    <rPh sb="0" eb="1">
      <t>シュク</t>
    </rPh>
    <rPh sb="1" eb="2">
      <t>ライ</t>
    </rPh>
    <rPh sb="3" eb="5">
      <t>タカラブネ</t>
    </rPh>
    <rPh sb="5" eb="7">
      <t>フクビキ</t>
    </rPh>
    <phoneticPr fontId="1"/>
  </si>
  <si>
    <t>11/7 12:00～11/8 11:59</t>
    <phoneticPr fontId="1"/>
  </si>
  <si>
    <t>天撃皆伝ガチャ</t>
    <rPh sb="0" eb="1">
      <t>テン</t>
    </rPh>
    <rPh sb="1" eb="2">
      <t>ゲキ</t>
    </rPh>
    <rPh sb="2" eb="4">
      <t>カイデン</t>
    </rPh>
    <phoneticPr fontId="1"/>
  </si>
  <si>
    <t>11/7 18:00～11/9 23:59</t>
    <phoneticPr fontId="1"/>
  </si>
  <si>
    <t>SR</t>
    <phoneticPr fontId="1"/>
  </si>
  <si>
    <t>タイプ妖怪・名物の防30％UP　/　タイプ【偉人】の防10％UP</t>
    <phoneticPr fontId="1"/>
  </si>
  <si>
    <t>神聖なる文学少女</t>
    <phoneticPr fontId="1"/>
  </si>
  <si>
    <t>しんせいにほんしんわすがわらのたかすえのむすめ</t>
    <phoneticPr fontId="1"/>
  </si>
  <si>
    <t>タイプ知性派・飲食の攻30％UP　/　タイプ【神秘】の攻10％UP</t>
    <phoneticPr fontId="1"/>
  </si>
  <si>
    <t>信仰を護る使者</t>
    <phoneticPr fontId="1"/>
  </si>
  <si>
    <t>しんせいえんじぇるかんなびやま</t>
    <phoneticPr fontId="1"/>
  </si>
  <si>
    <t>四神戦 心が踊る学園祭ガチャ</t>
    <rPh sb="0" eb="1">
      <t>ヨン</t>
    </rPh>
    <rPh sb="1" eb="2">
      <t>シン</t>
    </rPh>
    <rPh sb="2" eb="3">
      <t>セン</t>
    </rPh>
    <phoneticPr fontId="1"/>
  </si>
  <si>
    <t>(Lvアップ)11/8 12:00～11/14 11:59</t>
    <phoneticPr fontId="1"/>
  </si>
  <si>
    <t>(DX)11/8 12:00～11/14 11:59</t>
    <phoneticPr fontId="1"/>
  </si>
  <si>
    <t>SSR</t>
    <phoneticPr fontId="1"/>
  </si>
  <si>
    <t>SR</t>
    <phoneticPr fontId="1"/>
  </si>
  <si>
    <t>HR</t>
    <phoneticPr fontId="1"/>
  </si>
  <si>
    <t>R</t>
    <phoneticPr fontId="1"/>
  </si>
  <si>
    <t>北海道・東北</t>
    <rPh sb="0" eb="3">
      <t>ホッカイドウ</t>
    </rPh>
    <rPh sb="4" eb="6">
      <t>トウホク</t>
    </rPh>
    <phoneticPr fontId="1"/>
  </si>
  <si>
    <t>中国・四国</t>
    <rPh sb="0" eb="2">
      <t>チュウゴク</t>
    </rPh>
    <rPh sb="3" eb="5">
      <t>シコク</t>
    </rPh>
    <phoneticPr fontId="1"/>
  </si>
  <si>
    <t>中部</t>
    <rPh sb="0" eb="2">
      <t>チュウブ</t>
    </rPh>
    <phoneticPr fontId="1"/>
  </si>
  <si>
    <t>無所属</t>
    <rPh sb="0" eb="3">
      <t>ムショゾク</t>
    </rPh>
    <phoneticPr fontId="1"/>
  </si>
  <si>
    <t>広島</t>
    <rPh sb="0" eb="2">
      <t>ヒロシマ</t>
    </rPh>
    <phoneticPr fontId="1"/>
  </si>
  <si>
    <t>武人</t>
    <rPh sb="0" eb="2">
      <t>ブジン</t>
    </rPh>
    <phoneticPr fontId="1"/>
  </si>
  <si>
    <t>偉人</t>
    <rPh sb="0" eb="2">
      <t>イジン</t>
    </rPh>
    <phoneticPr fontId="1"/>
  </si>
  <si>
    <t>神秘</t>
    <rPh sb="0" eb="2">
      <t>シンピ</t>
    </rPh>
    <phoneticPr fontId="1"/>
  </si>
  <si>
    <t>名物</t>
    <rPh sb="0" eb="2">
      <t>メイブツ</t>
    </rPh>
    <phoneticPr fontId="1"/>
  </si>
  <si>
    <t>タイプ【姫】の攻30％UP　/　タイプ武人・伝承の攻15％UP</t>
    <phoneticPr fontId="1"/>
  </si>
  <si>
    <t>采配振るう名執政</t>
    <phoneticPr fontId="1"/>
  </si>
  <si>
    <t>がくえんさいなおえかねつぐ</t>
    <phoneticPr fontId="1"/>
  </si>
  <si>
    <t>タイプ飲食・武人・名物の攻80％DOWN　/　タイプ妖怪・名物の防25％UP</t>
    <phoneticPr fontId="1"/>
  </si>
  <si>
    <t>士気高揚のトロンボーン</t>
    <phoneticPr fontId="1"/>
  </si>
  <si>
    <t>しんせいぶらばんかつらこごろう</t>
    <phoneticPr fontId="1"/>
  </si>
  <si>
    <t>タイプ姫・伝承の攻30％UP　/　タイプ【武人】の攻10％UP</t>
    <phoneticPr fontId="1"/>
  </si>
  <si>
    <t>我が身弾雨に踊る</t>
    <phoneticPr fontId="1"/>
  </si>
  <si>
    <t>しんせいすくーるがーるいけだせん</t>
    <phoneticPr fontId="1"/>
  </si>
  <si>
    <t>タイプ知性派・飲食の防20％UP</t>
    <phoneticPr fontId="1"/>
  </si>
  <si>
    <t>靴直し小人さん</t>
    <phoneticPr fontId="1"/>
  </si>
  <si>
    <t>しんせいぶらうにー</t>
    <phoneticPr fontId="1"/>
  </si>
  <si>
    <t>タイプ【妖怪】の攻20％UP</t>
    <phoneticPr fontId="1"/>
  </si>
  <si>
    <t>筆の都より愛を込めて</t>
    <phoneticPr fontId="1"/>
  </si>
  <si>
    <t>しんせいせいおうがくえんくまのふでちゃん</t>
    <phoneticPr fontId="1"/>
  </si>
  <si>
    <t>超攻再臨ガチャ</t>
    <rPh sb="0" eb="1">
      <t>チョウ</t>
    </rPh>
    <rPh sb="1" eb="2">
      <t>コウ</t>
    </rPh>
    <rPh sb="2" eb="4">
      <t>サイリン</t>
    </rPh>
    <phoneticPr fontId="1"/>
  </si>
  <si>
    <t>11/8 18:00～11/10 23:59</t>
    <phoneticPr fontId="1"/>
  </si>
  <si>
    <t>11/9 12:00～11/14 11:59</t>
    <phoneticPr fontId="1"/>
  </si>
  <si>
    <t>SSR</t>
    <phoneticPr fontId="1"/>
  </si>
  <si>
    <t>SR</t>
    <phoneticPr fontId="1"/>
  </si>
  <si>
    <t>全国</t>
    <rPh sb="0" eb="2">
      <t>ゼンコク</t>
    </rPh>
    <phoneticPr fontId="1"/>
  </si>
  <si>
    <t>東日本</t>
    <rPh sb="0" eb="1">
      <t>ヒガシ</t>
    </rPh>
    <rPh sb="1" eb="3">
      <t>ニホン</t>
    </rPh>
    <phoneticPr fontId="1"/>
  </si>
  <si>
    <t>やたいあらしのべぜ</t>
    <phoneticPr fontId="1"/>
  </si>
  <si>
    <t>名物</t>
    <phoneticPr fontId="1"/>
  </si>
  <si>
    <t>俊速の手捌き</t>
    <phoneticPr fontId="1"/>
  </si>
  <si>
    <t>タイプ【偉人】の攻85％UP　/　タイプ妖怪・名物の攻25％UP</t>
    <phoneticPr fontId="1"/>
  </si>
  <si>
    <t>タイプ【偉人】の攻60％UP　/　タイプ妖怪・名物の攻20％UP</t>
    <phoneticPr fontId="1"/>
  </si>
  <si>
    <t>タイプ【偉人】の攻45％UP　/　タイプ【名物】の攻15％UP</t>
    <phoneticPr fontId="1"/>
  </si>
  <si>
    <t>5進</t>
    <rPh sb="1" eb="2">
      <t>シン</t>
    </rPh>
    <phoneticPr fontId="1"/>
  </si>
  <si>
    <t>3進</t>
    <rPh sb="1" eb="2">
      <t>シン</t>
    </rPh>
    <phoneticPr fontId="1"/>
  </si>
  <si>
    <t>1進</t>
    <rPh sb="1" eb="2">
      <t>シン</t>
    </rPh>
    <phoneticPr fontId="1"/>
  </si>
  <si>
    <t>(高コスト)11/9 15:00～11/11 23:59</t>
    <rPh sb="1" eb="2">
      <t>コウ</t>
    </rPh>
    <phoneticPr fontId="1"/>
  </si>
  <si>
    <t>(戦技チャンス)11/9 15:00～11/11 23:59</t>
    <rPh sb="1" eb="3">
      <t>センギ</t>
    </rPh>
    <phoneticPr fontId="1"/>
  </si>
  <si>
    <t>四神戦 英雄ガチャ</t>
    <rPh sb="0" eb="1">
      <t>ヨン</t>
    </rPh>
    <rPh sb="1" eb="2">
      <t>シン</t>
    </rPh>
    <rPh sb="2" eb="3">
      <t>セン</t>
    </rPh>
    <rPh sb="4" eb="6">
      <t>エイユウ</t>
    </rPh>
    <phoneticPr fontId="1"/>
  </si>
  <si>
    <t>11/10 11:00～11/10 23:59</t>
    <phoneticPr fontId="1"/>
  </si>
  <si>
    <t>豪華玉手箱ガチャ</t>
    <rPh sb="0" eb="2">
      <t>ゴウカ</t>
    </rPh>
    <rPh sb="2" eb="5">
      <t>タマテバコ</t>
    </rPh>
    <phoneticPr fontId="1"/>
  </si>
  <si>
    <t>11/10 15:00～11/10 23:59</t>
    <phoneticPr fontId="1"/>
  </si>
  <si>
    <t>11/9 18:00～11/9 21:59</t>
    <phoneticPr fontId="1"/>
  </si>
  <si>
    <t>SR</t>
    <phoneticPr fontId="1"/>
  </si>
  <si>
    <t>神秘</t>
    <rPh sb="0" eb="2">
      <t>シンピ</t>
    </rPh>
    <phoneticPr fontId="1"/>
  </si>
  <si>
    <t>武人</t>
    <rPh sb="0" eb="2">
      <t>ブジン</t>
    </rPh>
    <phoneticPr fontId="1"/>
  </si>
  <si>
    <t>おんせんやどそうくろいなり</t>
    <phoneticPr fontId="1"/>
  </si>
  <si>
    <t>ゆきのおうこくたけなかはんべえ</t>
    <phoneticPr fontId="1"/>
  </si>
  <si>
    <t>祝来！宝船福引ガチャ</t>
    <rPh sb="0" eb="1">
      <t>シュク</t>
    </rPh>
    <rPh sb="1" eb="2">
      <t>ライ</t>
    </rPh>
    <rPh sb="3" eb="5">
      <t>タカラブネ</t>
    </rPh>
    <rPh sb="5" eb="7">
      <t>フクビキ</t>
    </rPh>
    <phoneticPr fontId="1"/>
  </si>
  <si>
    <t>11/11 12:00～11/12 11:59</t>
    <phoneticPr fontId="1"/>
  </si>
  <si>
    <t>超防再臨ガチャ</t>
    <rPh sb="0" eb="1">
      <t>チョウ</t>
    </rPh>
    <rPh sb="1" eb="2">
      <t>ボウ</t>
    </rPh>
    <rPh sb="2" eb="4">
      <t>サイリン</t>
    </rPh>
    <phoneticPr fontId="1"/>
  </si>
  <si>
    <t>11/11 18:00～11/13 23:59</t>
    <phoneticPr fontId="1"/>
  </si>
  <si>
    <t>関東</t>
    <rPh sb="0" eb="2">
      <t>カントウ</t>
    </rPh>
    <phoneticPr fontId="1"/>
  </si>
  <si>
    <t>中国・四国</t>
    <rPh sb="0" eb="2">
      <t>チュウゴク</t>
    </rPh>
    <rPh sb="3" eb="5">
      <t>シコク</t>
    </rPh>
    <phoneticPr fontId="1"/>
  </si>
  <si>
    <t>北海道・東北</t>
    <rPh sb="0" eb="3">
      <t>ホッカイドウ</t>
    </rPh>
    <rPh sb="4" eb="6">
      <t>トウホク</t>
    </rPh>
    <phoneticPr fontId="1"/>
  </si>
  <si>
    <t>飲食</t>
    <rPh sb="0" eb="2">
      <t>インショク</t>
    </rPh>
    <phoneticPr fontId="1"/>
  </si>
  <si>
    <t>名物</t>
    <rPh sb="0" eb="2">
      <t>メイブツ</t>
    </rPh>
    <phoneticPr fontId="1"/>
  </si>
  <si>
    <t>武人</t>
    <rPh sb="0" eb="2">
      <t>ブジン</t>
    </rPh>
    <phoneticPr fontId="1"/>
  </si>
  <si>
    <t>タイプ神秘・知性派の防50％UP　/　タイプ【飲食】の防35％UP</t>
    <phoneticPr fontId="1"/>
  </si>
  <si>
    <t>賭場の乙女</t>
    <phoneticPr fontId="1"/>
  </si>
  <si>
    <t>かじのとちおとめちゃん</t>
    <phoneticPr fontId="1"/>
  </si>
  <si>
    <t>タイプ偉人・妖怪・名物の防35％UP</t>
    <phoneticPr fontId="1"/>
  </si>
  <si>
    <t>名工による石垣の城</t>
    <phoneticPr fontId="1"/>
  </si>
  <si>
    <t>まるかめじょう</t>
    <phoneticPr fontId="1"/>
  </si>
  <si>
    <t>タイプ姫・伝承の防25％UP　/　タイプ【武人】の防10％UP</t>
    <phoneticPr fontId="1"/>
  </si>
  <si>
    <t>北松斎手控</t>
    <phoneticPr fontId="1"/>
  </si>
  <si>
    <t>きたのぶちか</t>
    <phoneticPr fontId="1"/>
  </si>
  <si>
    <t>戦神ガチャ</t>
    <rPh sb="0" eb="2">
      <t>センシン</t>
    </rPh>
    <phoneticPr fontId="1"/>
  </si>
  <si>
    <t>11/12 11:00～11/14 23:59</t>
    <phoneticPr fontId="1"/>
  </si>
  <si>
    <t>SSR</t>
    <phoneticPr fontId="1"/>
  </si>
  <si>
    <t>西日本</t>
    <rPh sb="0" eb="1">
      <t>ニシ</t>
    </rPh>
    <rPh sb="1" eb="3">
      <t>ニホン</t>
    </rPh>
    <phoneticPr fontId="1"/>
  </si>
  <si>
    <t>味方全体の攻Pt全回復 1合戦1回限り使用できる</t>
    <phoneticPr fontId="1"/>
  </si>
  <si>
    <t>神秘</t>
    <rPh sb="0" eb="2">
      <t>シンピ</t>
    </rPh>
    <phoneticPr fontId="1"/>
  </si>
  <si>
    <t>タイプ神秘・知性派・飲食の防70％DOWN　/　タイプ知性派・飲食の攻30％UP</t>
    <phoneticPr fontId="1"/>
  </si>
  <si>
    <t>五穀豊穣の点呼</t>
    <phoneticPr fontId="1"/>
  </si>
  <si>
    <t>へいでぃるむ</t>
    <phoneticPr fontId="1"/>
  </si>
  <si>
    <t>四神戦 英雄ガチャ</t>
    <rPh sb="0" eb="1">
      <t>ヨン</t>
    </rPh>
    <rPh sb="1" eb="2">
      <t>シン</t>
    </rPh>
    <rPh sb="2" eb="3">
      <t>セン</t>
    </rPh>
    <rPh sb="4" eb="6">
      <t>エイユウ</t>
    </rPh>
    <phoneticPr fontId="1"/>
  </si>
  <si>
    <t>11/12 11:00～11/12 23:59</t>
    <phoneticPr fontId="1"/>
  </si>
  <si>
    <t>超・不良遊戯ガチャ</t>
    <phoneticPr fontId="1"/>
  </si>
  <si>
    <t>11/12 18:00～11/14 23:59</t>
    <phoneticPr fontId="1"/>
  </si>
  <si>
    <t>SR</t>
    <phoneticPr fontId="1"/>
  </si>
  <si>
    <t>関東</t>
    <rPh sb="0" eb="2">
      <t>カントウ</t>
    </rPh>
    <phoneticPr fontId="1"/>
  </si>
  <si>
    <t>中部</t>
    <rPh sb="0" eb="2">
      <t>チュウブ</t>
    </rPh>
    <phoneticPr fontId="1"/>
  </si>
  <si>
    <t>近畿</t>
    <rPh sb="0" eb="2">
      <t>キンキ</t>
    </rPh>
    <phoneticPr fontId="1"/>
  </si>
  <si>
    <t>九州・沖縄</t>
    <rPh sb="0" eb="2">
      <t>キュウシュウ</t>
    </rPh>
    <rPh sb="3" eb="5">
      <t>オキナワ</t>
    </rPh>
    <phoneticPr fontId="1"/>
  </si>
  <si>
    <t>姫</t>
    <rPh sb="0" eb="1">
      <t>ヒメ</t>
    </rPh>
    <phoneticPr fontId="1"/>
  </si>
  <si>
    <t>名物</t>
    <rPh sb="0" eb="2">
      <t>メイブツ</t>
    </rPh>
    <phoneticPr fontId="1"/>
  </si>
  <si>
    <t>飲食</t>
    <rPh sb="0" eb="2">
      <t>インショク</t>
    </rPh>
    <phoneticPr fontId="1"/>
  </si>
  <si>
    <t>知性派</t>
    <rPh sb="0" eb="2">
      <t>チセイ</t>
    </rPh>
    <rPh sb="2" eb="3">
      <t>ハ</t>
    </rPh>
    <phoneticPr fontId="1"/>
  </si>
  <si>
    <t>偉人</t>
    <rPh sb="0" eb="2">
      <t>イジン</t>
    </rPh>
    <phoneticPr fontId="1"/>
  </si>
  <si>
    <t>タイプ【武人】の攻95％UP　/　タイプ姫・伝承の攻20％UP</t>
    <phoneticPr fontId="1"/>
  </si>
  <si>
    <t>欲望のままに我侭に</t>
    <phoneticPr fontId="1"/>
  </si>
  <si>
    <t>たかつかさきさき</t>
    <phoneticPr fontId="1"/>
  </si>
  <si>
    <t>タイプ偉人・妖怪・名物の防35％UP　/　タイプ伝承・武人・姫の攻10％DOWN</t>
    <phoneticPr fontId="1"/>
  </si>
  <si>
    <t>暴虐女帝の君臨</t>
    <phoneticPr fontId="1"/>
  </si>
  <si>
    <t>おうじょうよい</t>
    <phoneticPr fontId="1"/>
  </si>
  <si>
    <t>タイプ神秘・知性派の防55％UP　/　タイプ【飲食】の防25％UP</t>
    <phoneticPr fontId="1"/>
  </si>
  <si>
    <t>特権階級の号令</t>
    <phoneticPr fontId="1"/>
  </si>
  <si>
    <t>さめじまあきら</t>
    <phoneticPr fontId="1"/>
  </si>
  <si>
    <t>タイプ神秘・飲食の防30％UP　/　タイプ【知性派】の防10％UP</t>
    <phoneticPr fontId="1"/>
  </si>
  <si>
    <t>死してなお咲き誇る</t>
    <phoneticPr fontId="1"/>
  </si>
  <si>
    <t>まじゅつしじゅけいに</t>
    <phoneticPr fontId="1"/>
  </si>
  <si>
    <t>タイプ妖怪・名物の防30％UP　/　タイプ【偉人】の防10％UP</t>
    <phoneticPr fontId="1"/>
  </si>
  <si>
    <t>甘い菓子から生まれるメロディー</t>
    <phoneticPr fontId="1"/>
  </si>
  <si>
    <t>タイプ武人・伝承の防30％UP　/　タイプ【姫】の防10％UP</t>
    <phoneticPr fontId="1"/>
  </si>
  <si>
    <t>溢れだす女王の気高さ</t>
    <phoneticPr fontId="1"/>
  </si>
  <si>
    <t>しんせいびあほーるももとふみあがり</t>
    <phoneticPr fontId="1"/>
  </si>
  <si>
    <t>豪華玉手箱ガチャ</t>
    <rPh sb="0" eb="5">
      <t>ゴウカタマテバコ</t>
    </rPh>
    <phoneticPr fontId="1"/>
  </si>
  <si>
    <t>11/13 15:00～11/13 23:59</t>
    <phoneticPr fontId="1"/>
  </si>
  <si>
    <t>11/13 18:00～11/13 21:59</t>
    <phoneticPr fontId="1"/>
  </si>
  <si>
    <t>サイコロ行脚 おめかし撮影♪着物の日ガチャ</t>
    <rPh sb="4" eb="6">
      <t>アンギャ</t>
    </rPh>
    <phoneticPr fontId="1"/>
  </si>
  <si>
    <t>(Lvアップ)11/14 12:00～11/21 11:59</t>
    <phoneticPr fontId="1"/>
  </si>
  <si>
    <t>(DX)11/14 12:00～11/21 11:59</t>
    <phoneticPr fontId="1"/>
  </si>
  <si>
    <t>SSR</t>
    <phoneticPr fontId="1"/>
  </si>
  <si>
    <t>SR</t>
    <phoneticPr fontId="1"/>
  </si>
  <si>
    <t>HR</t>
    <phoneticPr fontId="1"/>
  </si>
  <si>
    <t>R</t>
    <phoneticPr fontId="1"/>
  </si>
  <si>
    <t>九州・沖縄</t>
    <rPh sb="0" eb="2">
      <t>キュウシュウ</t>
    </rPh>
    <rPh sb="3" eb="5">
      <t>オキナワ</t>
    </rPh>
    <phoneticPr fontId="1"/>
  </si>
  <si>
    <t>中国・四国</t>
    <rPh sb="0" eb="2">
      <t>チュウゴク</t>
    </rPh>
    <rPh sb="3" eb="5">
      <t>シコク</t>
    </rPh>
    <phoneticPr fontId="1"/>
  </si>
  <si>
    <t>中部</t>
    <rPh sb="0" eb="2">
      <t>チュウブ</t>
    </rPh>
    <phoneticPr fontId="1"/>
  </si>
  <si>
    <t>近畿</t>
    <rPh sb="0" eb="2">
      <t>キンキ</t>
    </rPh>
    <phoneticPr fontId="1"/>
  </si>
  <si>
    <t>宮城</t>
    <rPh sb="0" eb="2">
      <t>ミヤギ</t>
    </rPh>
    <phoneticPr fontId="1"/>
  </si>
  <si>
    <t>飲食</t>
    <rPh sb="0" eb="2">
      <t>インショク</t>
    </rPh>
    <phoneticPr fontId="1"/>
  </si>
  <si>
    <t>知性派</t>
    <rPh sb="0" eb="2">
      <t>チセイ</t>
    </rPh>
    <rPh sb="2" eb="3">
      <t>ハ</t>
    </rPh>
    <phoneticPr fontId="1"/>
  </si>
  <si>
    <t>伝承</t>
    <rPh sb="0" eb="2">
      <t>デンショウ</t>
    </rPh>
    <phoneticPr fontId="1"/>
  </si>
  <si>
    <t>名物</t>
    <rPh sb="0" eb="2">
      <t>メイブツ</t>
    </rPh>
    <phoneticPr fontId="1"/>
  </si>
  <si>
    <t>タイプ神秘・知性派・飲食の攻20％UP</t>
    <phoneticPr fontId="1"/>
  </si>
  <si>
    <t>花魁なりきり団子ちゃん</t>
    <phoneticPr fontId="1"/>
  </si>
  <si>
    <t>きもののひいきなりだんごちゃん</t>
    <phoneticPr fontId="1"/>
  </si>
  <si>
    <t>タイプ神秘・飲食の防60％UP　/　タイプ偉人・妖怪・名物の攻10％DOWN</t>
    <phoneticPr fontId="1"/>
  </si>
  <si>
    <t>海外より伝えたる刀技</t>
    <phoneticPr fontId="1"/>
  </si>
  <si>
    <t>しんせいめいこうこいずみやくも</t>
    <phoneticPr fontId="1"/>
  </si>
  <si>
    <t>タイプ武人・姫の攻30％UP　/　タイプ【伝承】の攻10％UP</t>
    <phoneticPr fontId="1"/>
  </si>
  <si>
    <t>黒百合の寿ぎ</t>
    <phoneticPr fontId="1"/>
  </si>
  <si>
    <t>しんせいふりそでくろゆりでんせつ</t>
    <phoneticPr fontId="1"/>
  </si>
  <si>
    <t>タイプ偉人・妖怪の防20％UP</t>
    <phoneticPr fontId="1"/>
  </si>
  <si>
    <t>美と高雅の京言葉</t>
    <phoneticPr fontId="1"/>
  </si>
  <si>
    <t>しんせいきょうびじん</t>
    <phoneticPr fontId="1"/>
  </si>
  <si>
    <t>タイプ【飲食】の攻20％UP</t>
    <phoneticPr fontId="1"/>
  </si>
  <si>
    <t>８７首目の僧侶</t>
    <phoneticPr fontId="1"/>
  </si>
  <si>
    <t>しんせいじゃくれんほうし</t>
    <phoneticPr fontId="1"/>
  </si>
  <si>
    <t>祝来！宝船福引ガチャ</t>
    <rPh sb="0" eb="1">
      <t>シュク</t>
    </rPh>
    <rPh sb="1" eb="2">
      <t>ライ</t>
    </rPh>
    <rPh sb="3" eb="5">
      <t>タカラブネ</t>
    </rPh>
    <rPh sb="5" eb="7">
      <t>フクビキ</t>
    </rPh>
    <phoneticPr fontId="1"/>
  </si>
  <si>
    <t>11/14 12:00～11/15 11:59</t>
    <phoneticPr fontId="1"/>
  </si>
  <si>
    <t>超攻再臨ガチャ</t>
    <rPh sb="0" eb="1">
      <t>チョウ</t>
    </rPh>
    <rPh sb="1" eb="2">
      <t>コウ</t>
    </rPh>
    <rPh sb="2" eb="4">
      <t>サイリン</t>
    </rPh>
    <phoneticPr fontId="1"/>
  </si>
  <si>
    <t>11/14 18:00～11/16 23:59</t>
    <phoneticPr fontId="1"/>
  </si>
  <si>
    <t>北海道・東北</t>
    <rPh sb="0" eb="3">
      <t>ホッカイドウ</t>
    </rPh>
    <rPh sb="4" eb="6">
      <t>トウホク</t>
    </rPh>
    <phoneticPr fontId="1"/>
  </si>
  <si>
    <t>タイプ姫・伝承の攻25％UP　/　タイプ【武人】の攻10％UP</t>
    <phoneticPr fontId="1"/>
  </si>
  <si>
    <t>真剣勝負！</t>
    <phoneticPr fontId="1"/>
  </si>
  <si>
    <t>武人</t>
    <rPh sb="0" eb="2">
      <t>ブジン</t>
    </rPh>
    <phoneticPr fontId="1"/>
  </si>
  <si>
    <t>偉人</t>
    <rPh sb="0" eb="2">
      <t>イジン</t>
    </rPh>
    <phoneticPr fontId="1"/>
  </si>
  <si>
    <t>タイプ【名物】の攻75％UP　/　タイプ偉人・妖怪の攻30％UP</t>
    <phoneticPr fontId="1"/>
  </si>
  <si>
    <t>敬虔な父への感謝</t>
    <phoneticPr fontId="1"/>
  </si>
  <si>
    <t>ちちのひあかしれじーな</t>
    <phoneticPr fontId="1"/>
  </si>
  <si>
    <t>タイプ神秘・知性派・飲食の攻40％UP　/　タイプ神秘・知性派・飲食の防10％DOWN</t>
    <phoneticPr fontId="1"/>
  </si>
  <si>
    <t>舞台で魅せる、不動の申し子</t>
    <phoneticPr fontId="1"/>
  </si>
  <si>
    <t>にだいめいちかわだんじゅうろう</t>
    <phoneticPr fontId="1"/>
  </si>
  <si>
    <t>かるたおなみひめ</t>
    <phoneticPr fontId="1"/>
  </si>
  <si>
    <t>11/15 12:00～11/20 22:59</t>
    <phoneticPr fontId="1"/>
  </si>
  <si>
    <t>全国</t>
    <rPh sb="0" eb="2">
      <t>ゼンコク</t>
    </rPh>
    <phoneticPr fontId="1"/>
  </si>
  <si>
    <t>西日本</t>
    <rPh sb="0" eb="1">
      <t>ニシ</t>
    </rPh>
    <rPh sb="1" eb="3">
      <t>ニホン</t>
    </rPh>
    <phoneticPr fontId="1"/>
  </si>
  <si>
    <t>SSR</t>
    <phoneticPr fontId="1"/>
  </si>
  <si>
    <t>SR</t>
    <phoneticPr fontId="1"/>
  </si>
  <si>
    <t>5進</t>
    <rPh sb="1" eb="2">
      <t>シン</t>
    </rPh>
    <phoneticPr fontId="1"/>
  </si>
  <si>
    <t>3進</t>
    <rPh sb="1" eb="2">
      <t>シン</t>
    </rPh>
    <phoneticPr fontId="1"/>
  </si>
  <si>
    <t>1進</t>
    <rPh sb="1" eb="2">
      <t>シン</t>
    </rPh>
    <phoneticPr fontId="1"/>
  </si>
  <si>
    <t>伝承</t>
    <rPh sb="0" eb="2">
      <t>デンショウ</t>
    </rPh>
    <phoneticPr fontId="1"/>
  </si>
  <si>
    <t>着物が映える中秋の名月</t>
    <phoneticPr fontId="1"/>
  </si>
  <si>
    <t>きもののひかぐや</t>
    <phoneticPr fontId="1"/>
  </si>
  <si>
    <t>タイプ偉人・妖怪・名物の防80％DOWN　/　タイプ武人・姫の攻25％UP</t>
    <phoneticPr fontId="1"/>
  </si>
  <si>
    <t>タイプ偉人・妖怪・名物の防30％DOWN　/　タイプ武人・姫の攻15％UP</t>
    <phoneticPr fontId="1"/>
  </si>
  <si>
    <t>タイプ偉人・妖怪の防15％DOWN　/　タイプ武人・姫の攻10％UP</t>
    <phoneticPr fontId="1"/>
  </si>
  <si>
    <t>11/15 15:00～11/16 23:59</t>
    <phoneticPr fontId="1"/>
  </si>
  <si>
    <t>関東</t>
    <rPh sb="0" eb="2">
      <t>カントウ</t>
    </rPh>
    <phoneticPr fontId="1"/>
  </si>
  <si>
    <t>北海道・東北</t>
    <rPh sb="0" eb="3">
      <t>ホッカイドウ</t>
    </rPh>
    <rPh sb="4" eb="6">
      <t>トウホク</t>
    </rPh>
    <phoneticPr fontId="1"/>
  </si>
  <si>
    <t>九州・沖縄</t>
    <rPh sb="0" eb="2">
      <t>キュウシュウ</t>
    </rPh>
    <rPh sb="3" eb="5">
      <t>オキナワ</t>
    </rPh>
    <phoneticPr fontId="1"/>
  </si>
  <si>
    <t>中国・四国</t>
    <rPh sb="0" eb="2">
      <t>チュウゴク</t>
    </rPh>
    <rPh sb="3" eb="5">
      <t>シコク</t>
    </rPh>
    <phoneticPr fontId="1"/>
  </si>
  <si>
    <t>飲食</t>
    <rPh sb="0" eb="2">
      <t>インショク</t>
    </rPh>
    <phoneticPr fontId="1"/>
  </si>
  <si>
    <t>知性派</t>
    <rPh sb="0" eb="2">
      <t>チセイ</t>
    </rPh>
    <rPh sb="2" eb="3">
      <t>ハ</t>
    </rPh>
    <phoneticPr fontId="1"/>
  </si>
  <si>
    <t>タイプ神秘・知性派の防40％UP　/　タイプ【飲食】の防25％UP</t>
    <phoneticPr fontId="1"/>
  </si>
  <si>
    <t>大舞台で魅せた優しい甘美</t>
    <phoneticPr fontId="1"/>
  </si>
  <si>
    <t>ぶろーどうぇいいまがわやき</t>
    <phoneticPr fontId="1"/>
  </si>
  <si>
    <t>タイプ伝承・武人・姫の防30％UP　/　タイプ名物・知性派・飲食・神秘の攻13％DOWN</t>
    <phoneticPr fontId="1"/>
  </si>
  <si>
    <t>蛇が子であっても</t>
    <phoneticPr fontId="1"/>
  </si>
  <si>
    <t>けじょぬまでんせつ</t>
    <phoneticPr fontId="1"/>
  </si>
  <si>
    <t>タイプ神秘・飲食の攻35％UP　/　タイプ【知性派】の攻25％UP</t>
    <phoneticPr fontId="1"/>
  </si>
  <si>
    <t>文豪の愛した画家</t>
    <phoneticPr fontId="1"/>
  </si>
  <si>
    <t>はしぐちごよう</t>
    <phoneticPr fontId="1"/>
  </si>
  <si>
    <t>タイプ【神秘】の攻45％UP　/　タイプ【飲食】の攻15％UP</t>
    <phoneticPr fontId="1"/>
  </si>
  <si>
    <t>湯で梳きしおめでた魚</t>
    <phoneticPr fontId="1"/>
  </si>
  <si>
    <t>しんせいたいしゃぶちゃん</t>
    <phoneticPr fontId="1"/>
  </si>
  <si>
    <t>タイプ【神秘】の防30％UP　/　タイプ飲食・知性派・姫・伝承の防20％UP</t>
    <phoneticPr fontId="1"/>
  </si>
  <si>
    <t>優しい甘さでパワーアップ！</t>
    <phoneticPr fontId="1"/>
  </si>
  <si>
    <t>ぱわーすぽっとむらさきいもたるとちゃん</t>
    <phoneticPr fontId="1"/>
  </si>
  <si>
    <t>タイプ神秘・知性派・偉人の攻35％UP</t>
    <phoneticPr fontId="1"/>
  </si>
  <si>
    <t>響くハープと嵐海のオリーブ</t>
    <phoneticPr fontId="1"/>
  </si>
  <si>
    <t>げんじゅうおりーぶちゃん</t>
    <phoneticPr fontId="1"/>
  </si>
  <si>
    <t>天クロ333万人突破記念ガチャ</t>
    <rPh sb="0" eb="1">
      <t>テン</t>
    </rPh>
    <rPh sb="6" eb="8">
      <t>マンニン</t>
    </rPh>
    <rPh sb="8" eb="10">
      <t>トッパ</t>
    </rPh>
    <rPh sb="10" eb="12">
      <t>キネン</t>
    </rPh>
    <phoneticPr fontId="1"/>
  </si>
  <si>
    <t>11/15 18:00～11/19 23:59</t>
    <phoneticPr fontId="1"/>
  </si>
  <si>
    <t>SP</t>
    <phoneticPr fontId="1"/>
  </si>
  <si>
    <t>中部</t>
    <rPh sb="0" eb="2">
      <t>チュウブ</t>
    </rPh>
    <phoneticPr fontId="1"/>
  </si>
  <si>
    <t>近畿</t>
    <rPh sb="0" eb="2">
      <t>キンキ</t>
    </rPh>
    <phoneticPr fontId="1"/>
  </si>
  <si>
    <t>姫</t>
    <rPh sb="0" eb="1">
      <t>ヒメ</t>
    </rPh>
    <phoneticPr fontId="1"/>
  </si>
  <si>
    <t>偉人</t>
    <rPh sb="0" eb="2">
      <t>イジン</t>
    </rPh>
    <phoneticPr fontId="1"/>
  </si>
  <si>
    <t>神秘</t>
    <rPh sb="0" eb="2">
      <t>シンピ</t>
    </rPh>
    <phoneticPr fontId="1"/>
  </si>
  <si>
    <t>名物</t>
    <rPh sb="0" eb="2">
      <t>メイブツ</t>
    </rPh>
    <phoneticPr fontId="1"/>
  </si>
  <si>
    <t>武人</t>
    <rPh sb="0" eb="2">
      <t>ブジン</t>
    </rPh>
    <phoneticPr fontId="1"/>
  </si>
  <si>
    <t>86013_0</t>
    <phoneticPr fontId="1"/>
  </si>
  <si>
    <t>タイプ【武人】の攻100％UP　/　タイプ姫・伝承の攻40％UP</t>
    <phoneticPr fontId="1"/>
  </si>
  <si>
    <t>江戸を染める紫</t>
    <phoneticPr fontId="1"/>
  </si>
  <si>
    <t>そめものさんさいしき</t>
    <phoneticPr fontId="1"/>
  </si>
  <si>
    <t>ゆけむりつぼふりし</t>
    <phoneticPr fontId="1"/>
  </si>
  <si>
    <t>火照る刺青にご用心</t>
    <phoneticPr fontId="1"/>
  </si>
  <si>
    <t>タイプ姫・伝承の攻30％UP　/　タイプ【武人】の攻10％UP</t>
    <phoneticPr fontId="1"/>
  </si>
  <si>
    <t>最強海賊が足を伸ばせし安息所</t>
    <phoneticPr fontId="1"/>
  </si>
  <si>
    <t>まっさーじむらかみすいぐん</t>
    <phoneticPr fontId="1"/>
  </si>
  <si>
    <t>タイプ武人・姫の防30％UP　/　タイプ【伝承】の防10％UP</t>
    <phoneticPr fontId="1"/>
  </si>
  <si>
    <t>爽やかな香りの虜になって？</t>
    <phoneticPr fontId="1"/>
  </si>
  <si>
    <t>よいごこちきんぎょのうた</t>
    <phoneticPr fontId="1"/>
  </si>
  <si>
    <t>タイプ妖怪・名物の攻55％UP　/　タイプ【偉人】の攻25％UP</t>
    <phoneticPr fontId="1"/>
  </si>
  <si>
    <t>無慈悲な一撃</t>
    <phoneticPr fontId="1"/>
  </si>
  <si>
    <t>せいきまつにいじまやえ</t>
    <phoneticPr fontId="1"/>
  </si>
  <si>
    <t>タイプ神秘・知性派・飲食の防80％DOWN　/　タイプ知性派・飲食の攻25％UP</t>
    <phoneticPr fontId="1"/>
  </si>
  <si>
    <t>芸能神の暴年会</t>
    <phoneticPr fontId="1"/>
  </si>
  <si>
    <t>ぼうねんかいみょうおんべんざいてん</t>
    <phoneticPr fontId="1"/>
  </si>
  <si>
    <t>タイプ【武人】の攻95％UP　/　タイプ姫・伝承の攻20％UP</t>
    <phoneticPr fontId="1"/>
  </si>
  <si>
    <t>無敗に導く天気予報</t>
    <phoneticPr fontId="1"/>
  </si>
  <si>
    <t>おてんきのおねえさんまつしたおとめ</t>
    <phoneticPr fontId="1"/>
  </si>
  <si>
    <t>タイプ【武人】の攻85％UP　/　タイプ姫・伝承の攻25％UP</t>
    <phoneticPr fontId="1"/>
  </si>
  <si>
    <t>山間に並べたる魚群</t>
    <phoneticPr fontId="1"/>
  </si>
  <si>
    <t>こいのぼりひのとみこ</t>
    <phoneticPr fontId="1"/>
  </si>
  <si>
    <t>タイプ偉人・妖怪・名物の攻20％UP　/　タイプ神秘・飮食・知性派・姫の防25％DOWN</t>
    <phoneticPr fontId="1"/>
  </si>
  <si>
    <t>雪原に際立つ、しろがねの美貌</t>
    <phoneticPr fontId="1"/>
  </si>
  <si>
    <t>すのーぐらびあしるばーあくせちゃん</t>
    <phoneticPr fontId="1"/>
  </si>
  <si>
    <t>タイプ【姫】の攻30％UP　/　タイプ武人・伝承の攻15％UP</t>
    <phoneticPr fontId="1"/>
  </si>
  <si>
    <t>二才咄格式定目</t>
    <phoneticPr fontId="1"/>
  </si>
  <si>
    <t>にいろただもと</t>
    <phoneticPr fontId="1"/>
  </si>
  <si>
    <t>サイコロ行脚 英雄ガチャ</t>
    <rPh sb="4" eb="6">
      <t>アンギャ</t>
    </rPh>
    <rPh sb="7" eb="9">
      <t>エイユウ</t>
    </rPh>
    <phoneticPr fontId="1"/>
  </si>
  <si>
    <t>11/16 11:00～11/16 23:59</t>
    <phoneticPr fontId="1"/>
  </si>
  <si>
    <t>戦神ガチャ</t>
    <rPh sb="0" eb="2">
      <t>センシン</t>
    </rPh>
    <phoneticPr fontId="1"/>
  </si>
  <si>
    <t>11/17 11:00～11/19 23:59</t>
    <phoneticPr fontId="1"/>
  </si>
  <si>
    <t>11/17 18:00～11/19 23:59</t>
    <phoneticPr fontId="1"/>
  </si>
  <si>
    <t>超防再臨ガチャ</t>
    <rPh sb="0" eb="1">
      <t>チョウ</t>
    </rPh>
    <rPh sb="1" eb="2">
      <t>ボウ</t>
    </rPh>
    <rPh sb="2" eb="4">
      <t>サイリン</t>
    </rPh>
    <phoneticPr fontId="1"/>
  </si>
  <si>
    <t>タイプ偉人・妖怪・名物の防35％UP　/　タイプ伝承・武人・姫の攻10％DOWN</t>
    <phoneticPr fontId="1"/>
  </si>
  <si>
    <t>妖艶音楽家</t>
    <phoneticPr fontId="1"/>
  </si>
  <si>
    <t>しんねんおんがくかいはかたびじん</t>
    <phoneticPr fontId="1"/>
  </si>
  <si>
    <t>タイプ伝承・武人・姫の防15％UP　/　タイプ偉人・姫・武人・伝承の攻25％DOWN</t>
    <phoneticPr fontId="1"/>
  </si>
  <si>
    <t>人類最初の兄の嘘</t>
    <phoneticPr fontId="1"/>
  </si>
  <si>
    <t>そうせいきのかいん</t>
    <phoneticPr fontId="1"/>
  </si>
  <si>
    <t>タイプ神秘・知性派の防50％UP　/　タイプ【飲食】の防35％UP</t>
    <phoneticPr fontId="1"/>
  </si>
  <si>
    <t>歯ごたえ抜群の極上食感</t>
    <phoneticPr fontId="1"/>
  </si>
  <si>
    <t>あわびちゃん</t>
    <phoneticPr fontId="1"/>
  </si>
  <si>
    <t>祝来！宝船福引ガチャ</t>
    <rPh sb="0" eb="1">
      <t>シュク</t>
    </rPh>
    <rPh sb="1" eb="2">
      <t>ライ</t>
    </rPh>
    <rPh sb="3" eb="5">
      <t>タカラブネ</t>
    </rPh>
    <rPh sb="5" eb="7">
      <t>フクビキ</t>
    </rPh>
    <phoneticPr fontId="1"/>
  </si>
  <si>
    <t>11/18 12:00～11/19 11:59</t>
    <phoneticPr fontId="1"/>
  </si>
  <si>
    <t>11/18 15:00～11/18 23:59</t>
    <phoneticPr fontId="1"/>
  </si>
  <si>
    <t>豪華玉手箱ガチャ</t>
    <rPh sb="0" eb="2">
      <t>ゴウカ</t>
    </rPh>
    <rPh sb="2" eb="5">
      <t>タマテバコ</t>
    </rPh>
    <phoneticPr fontId="1"/>
  </si>
  <si>
    <t>サイコロ行脚 英雄ガチャ(ZR失念)</t>
    <rPh sb="4" eb="6">
      <t>アンギャ</t>
    </rPh>
    <rPh sb="7" eb="9">
      <t>エイユウ</t>
    </rPh>
    <rPh sb="15" eb="17">
      <t>シツネン</t>
    </rPh>
    <phoneticPr fontId="1"/>
  </si>
  <si>
    <t>11/19 18:00～11/19 21:59</t>
    <phoneticPr fontId="1"/>
  </si>
  <si>
    <t>11/20 20:00～11/20 23:59</t>
    <phoneticPr fontId="1"/>
  </si>
  <si>
    <t>超攻撃ガチャ</t>
    <rPh sb="0" eb="1">
      <t>チョウ</t>
    </rPh>
    <rPh sb="1" eb="3">
      <t>コウゲキ</t>
    </rPh>
    <phoneticPr fontId="1"/>
  </si>
  <si>
    <t>11/21 12:00～11/25 11:59</t>
    <phoneticPr fontId="1"/>
  </si>
  <si>
    <t>伝承</t>
    <rPh sb="0" eb="2">
      <t>デンショウ</t>
    </rPh>
    <phoneticPr fontId="1"/>
  </si>
  <si>
    <t>偉人</t>
    <rPh sb="0" eb="2">
      <t>イジン</t>
    </rPh>
    <phoneticPr fontId="1"/>
  </si>
  <si>
    <t>神秘</t>
    <rPh sb="0" eb="2">
      <t>シンピ</t>
    </rPh>
    <phoneticPr fontId="1"/>
  </si>
  <si>
    <t>タイプ武人・姫の攻60％UP　/　タイプ偉人・妖怪・名物の防10％DOWN</t>
    <phoneticPr fontId="1"/>
  </si>
  <si>
    <t>迎え撃つ金色の海軍姫</t>
    <phoneticPr fontId="1"/>
  </si>
  <si>
    <t>だいこうかいじだいこんじきひめ</t>
    <phoneticPr fontId="1"/>
  </si>
  <si>
    <t>タイプ【名物】の攻85％UP　/　タイプ偉人・妖怪の攻25％UP</t>
    <phoneticPr fontId="1"/>
  </si>
  <si>
    <t>時を超える財宝</t>
    <phoneticPr fontId="1"/>
  </si>
  <si>
    <t>まくしりおん</t>
    <phoneticPr fontId="1"/>
  </si>
  <si>
    <t>タイプ伝承・武人・姫の防60％DOWN　/　タイプ神秘・知性派・飲食の攻25％UP</t>
    <phoneticPr fontId="1"/>
  </si>
  <si>
    <t>村を救ったユーカラの語り手</t>
    <phoneticPr fontId="1"/>
  </si>
  <si>
    <t>ぱよかかむい</t>
    <phoneticPr fontId="1"/>
  </si>
  <si>
    <t>戦極ガチャ</t>
    <rPh sb="0" eb="1">
      <t>セン</t>
    </rPh>
    <rPh sb="1" eb="2">
      <t>ゴク</t>
    </rPh>
    <phoneticPr fontId="1"/>
  </si>
  <si>
    <t>(戦技チャンス)11/20 15:00～11/22 23:59</t>
    <rPh sb="1" eb="3">
      <t>センギ</t>
    </rPh>
    <phoneticPr fontId="1"/>
  </si>
  <si>
    <t>(高コスト)11/20 15:00～11/22 23:59</t>
    <rPh sb="1" eb="2">
      <t>コウ</t>
    </rPh>
    <phoneticPr fontId="1"/>
  </si>
  <si>
    <t>SR</t>
    <phoneticPr fontId="1"/>
  </si>
  <si>
    <t>姫</t>
    <rPh sb="0" eb="1">
      <t>ヒメ</t>
    </rPh>
    <phoneticPr fontId="1"/>
  </si>
  <si>
    <t>近畿</t>
    <rPh sb="0" eb="2">
      <t>キンキ</t>
    </rPh>
    <phoneticPr fontId="1"/>
  </si>
  <si>
    <t>しんせいたかむらちえこ</t>
    <phoneticPr fontId="1"/>
  </si>
  <si>
    <t>愛を届ける紙絵</t>
    <phoneticPr fontId="1"/>
  </si>
  <si>
    <t>タイプ姫・伝承の防30％UP　/　タイプ【武人】の防10％UP</t>
    <phoneticPr fontId="1"/>
  </si>
  <si>
    <t>しんせいてんしょういん</t>
    <phoneticPr fontId="1"/>
  </si>
  <si>
    <t>タイプ妖怪・名物の攻30％UP　/　タイプ【偉人】の攻10％UP</t>
    <phoneticPr fontId="1"/>
  </si>
  <si>
    <t>運命を拓く薩摩の姫</t>
    <phoneticPr fontId="1"/>
  </si>
  <si>
    <t>豪華玉手箱ガチャ</t>
    <rPh sb="0" eb="2">
      <t>ゴウカ</t>
    </rPh>
    <rPh sb="2" eb="5">
      <t>タマテバコ</t>
    </rPh>
    <phoneticPr fontId="1"/>
  </si>
  <si>
    <t>11/21 15:00～11/21 23:59</t>
    <phoneticPr fontId="1"/>
  </si>
  <si>
    <t>祝来！宝船福引ガチャ</t>
    <rPh sb="0" eb="1">
      <t>シュク</t>
    </rPh>
    <rPh sb="1" eb="2">
      <t>ライ</t>
    </rPh>
    <rPh sb="3" eb="5">
      <t>タカラブネ</t>
    </rPh>
    <rPh sb="5" eb="7">
      <t>フクビキ</t>
    </rPh>
    <phoneticPr fontId="1"/>
  </si>
  <si>
    <t>11/22 12:00～11/23 11:59</t>
    <phoneticPr fontId="1"/>
  </si>
  <si>
    <t>超防御ガチャ</t>
    <rPh sb="0" eb="1">
      <t>チョウ</t>
    </rPh>
    <rPh sb="1" eb="3">
      <t>ボウギョ</t>
    </rPh>
    <phoneticPr fontId="1"/>
  </si>
  <si>
    <t>11/22 12:00～11/25 11:59</t>
    <phoneticPr fontId="1"/>
  </si>
  <si>
    <t>九州・沖縄</t>
    <rPh sb="0" eb="2">
      <t>キュウシュウ</t>
    </rPh>
    <rPh sb="3" eb="5">
      <t>オキナワ</t>
    </rPh>
    <phoneticPr fontId="1"/>
  </si>
  <si>
    <t>中部</t>
    <rPh sb="0" eb="2">
      <t>チュウブ</t>
    </rPh>
    <phoneticPr fontId="1"/>
  </si>
  <si>
    <t>中国・四国</t>
    <rPh sb="0" eb="2">
      <t>チュウゴク</t>
    </rPh>
    <rPh sb="3" eb="5">
      <t>シコク</t>
    </rPh>
    <phoneticPr fontId="1"/>
  </si>
  <si>
    <t>タイプ伝承・武人・姫の攻80％DOWN　/　タイプ知性派・飲食の防25％UP</t>
    <phoneticPr fontId="1"/>
  </si>
  <si>
    <t>楽しいかるた！</t>
    <phoneticPr fontId="1"/>
  </si>
  <si>
    <t>かるたふたおいじまのやまのかみ</t>
    <phoneticPr fontId="1"/>
  </si>
  <si>
    <t>タイプ【武人】の防95％UP　/　タイプ姫・伝承の防20％UP</t>
    <phoneticPr fontId="1"/>
  </si>
  <si>
    <t>惑わす歌声</t>
    <phoneticPr fontId="1"/>
  </si>
  <si>
    <t>りくりる</t>
    <phoneticPr fontId="1"/>
  </si>
  <si>
    <t>タイプ偉人・妖怪・名物の防35％UP</t>
    <phoneticPr fontId="1"/>
  </si>
  <si>
    <t>秩序守る港の軍師</t>
    <phoneticPr fontId="1"/>
  </si>
  <si>
    <t>だいこうかいじだいへしきりはせべ</t>
    <phoneticPr fontId="1"/>
  </si>
  <si>
    <t>古豪戦傑ガチャ</t>
    <rPh sb="0" eb="2">
      <t>コゴウ</t>
    </rPh>
    <rPh sb="2" eb="3">
      <t>セン</t>
    </rPh>
    <rPh sb="3" eb="4">
      <t>ケツ</t>
    </rPh>
    <phoneticPr fontId="1"/>
  </si>
  <si>
    <t>11/22 18:00～11/24 23:59</t>
    <phoneticPr fontId="1"/>
  </si>
  <si>
    <t>SSR</t>
    <phoneticPr fontId="1"/>
  </si>
  <si>
    <t>SR</t>
    <phoneticPr fontId="1"/>
  </si>
  <si>
    <t>東日本</t>
    <rPh sb="0" eb="1">
      <t>ヒガシ</t>
    </rPh>
    <rPh sb="1" eb="3">
      <t>ニホン</t>
    </rPh>
    <phoneticPr fontId="1"/>
  </si>
  <si>
    <t>西日本</t>
    <rPh sb="0" eb="1">
      <t>ニシ</t>
    </rPh>
    <rPh sb="1" eb="3">
      <t>ニホン</t>
    </rPh>
    <phoneticPr fontId="1"/>
  </si>
  <si>
    <t>全国</t>
    <rPh sb="0" eb="2">
      <t>ゼンコク</t>
    </rPh>
    <phoneticPr fontId="1"/>
  </si>
  <si>
    <t>妖怪</t>
    <rPh sb="0" eb="2">
      <t>ヨウカイ</t>
    </rPh>
    <phoneticPr fontId="1"/>
  </si>
  <si>
    <t>姫</t>
    <rPh sb="0" eb="1">
      <t>ヒメ</t>
    </rPh>
    <phoneticPr fontId="1"/>
  </si>
  <si>
    <t>知性派</t>
    <rPh sb="0" eb="2">
      <t>チセイ</t>
    </rPh>
    <rPh sb="2" eb="3">
      <t>ハ</t>
    </rPh>
    <phoneticPr fontId="1"/>
  </si>
  <si>
    <t>伝承</t>
    <rPh sb="0" eb="2">
      <t>デンショウ</t>
    </rPh>
    <phoneticPr fontId="1"/>
  </si>
  <si>
    <t>タイプ神秘・飲食の攻30％UP　/　タイプ【知性派】の攻20％UP</t>
    <phoneticPr fontId="1"/>
  </si>
  <si>
    <t>画流忍術</t>
    <phoneticPr fontId="1"/>
  </si>
  <si>
    <t>しのぶいけのぎょくらん</t>
    <phoneticPr fontId="1"/>
  </si>
  <si>
    <t>タイプ偉人・名物の攻30％UP　/　タイプ【妖怪】の攻20％UP</t>
    <phoneticPr fontId="1"/>
  </si>
  <si>
    <t>飯綱の呪術</t>
    <phoneticPr fontId="1"/>
  </si>
  <si>
    <t>しんせいこううんくだぎつね</t>
    <phoneticPr fontId="1"/>
  </si>
  <si>
    <t>タイプ武人・姫の攻30％UP　/　タイプ【伝承】の攻20％UP</t>
    <phoneticPr fontId="1"/>
  </si>
  <si>
    <t>無常の敦盛討ち</t>
    <phoneticPr fontId="1"/>
  </si>
  <si>
    <t>しんせいこうわかまい</t>
    <phoneticPr fontId="1"/>
  </si>
  <si>
    <t>タイプ神秘・知性派・飲食の防40％UP　/　タイプ武人・伝承の攻15％DOWN</t>
    <phoneticPr fontId="1"/>
  </si>
  <si>
    <t>叩き斬る正義の生き様</t>
    <phoneticPr fontId="1"/>
  </si>
  <si>
    <t>ばんちょうこてつ</t>
    <phoneticPr fontId="1"/>
  </si>
  <si>
    <t>タイプ【武人】の防85％UP　/　タイプ姫・伝承の防25％UP</t>
    <phoneticPr fontId="1"/>
  </si>
  <si>
    <t>木漏れ日に包まれて</t>
    <phoneticPr fontId="1"/>
  </si>
  <si>
    <t>うたたねよどどの</t>
    <phoneticPr fontId="1"/>
  </si>
  <si>
    <t>タイプ武人・伝承の防90％DOWN　/　タイプ偉人・名物の攻30％UP</t>
    <phoneticPr fontId="1"/>
  </si>
  <si>
    <t>西洋の文化に触れて</t>
    <phoneticPr fontId="1"/>
  </si>
  <si>
    <t>ふっかつさいくびれおに</t>
    <phoneticPr fontId="1"/>
  </si>
  <si>
    <t>11/23 18:00～11/23 21:59</t>
    <phoneticPr fontId="1"/>
  </si>
  <si>
    <t>11/23 11:00～11/23 23:59</t>
    <phoneticPr fontId="1"/>
  </si>
  <si>
    <t>同盟戦 英雄ガチャ</t>
    <rPh sb="0" eb="2">
      <t>ドウメイ</t>
    </rPh>
    <rPh sb="2" eb="3">
      <t>セン</t>
    </rPh>
    <rPh sb="4" eb="6">
      <t>エイユウ</t>
    </rPh>
    <phoneticPr fontId="1"/>
  </si>
  <si>
    <t>関東</t>
    <rPh sb="0" eb="2">
      <t>カントウ</t>
    </rPh>
    <phoneticPr fontId="1"/>
  </si>
  <si>
    <t>HR</t>
    <phoneticPr fontId="1"/>
  </si>
  <si>
    <t>R</t>
    <phoneticPr fontId="1"/>
  </si>
  <si>
    <t>タイプ武人・姫の防20％UP</t>
    <phoneticPr fontId="1"/>
  </si>
  <si>
    <t>色褪せぬ冒険心</t>
    <phoneticPr fontId="1"/>
  </si>
  <si>
    <t>しんせいとむそーやーのぼうけん</t>
    <phoneticPr fontId="1"/>
  </si>
  <si>
    <t>近畿</t>
    <rPh sb="0" eb="2">
      <t>キンキ</t>
    </rPh>
    <phoneticPr fontId="1"/>
  </si>
  <si>
    <t>飲食</t>
    <rPh sb="0" eb="2">
      <t>インショク</t>
    </rPh>
    <phoneticPr fontId="1"/>
  </si>
  <si>
    <t>タイプ【知性派】の攻20％UP</t>
    <phoneticPr fontId="1"/>
  </si>
  <si>
    <t>日本を代表する洋酒</t>
    <phoneticPr fontId="1"/>
  </si>
  <si>
    <t>しんせいうぃすきーさん</t>
    <phoneticPr fontId="1"/>
  </si>
  <si>
    <t>天クロウィークガチャ</t>
    <phoneticPr fontId="1"/>
  </si>
  <si>
    <t>SP</t>
    <phoneticPr fontId="1"/>
  </si>
  <si>
    <t>86053_0</t>
    <phoneticPr fontId="1"/>
  </si>
  <si>
    <t>タイプ知性派・飲食の攻25％UP　/　タイプ偉人・妖怪の防55％DOWN</t>
    <phoneticPr fontId="1"/>
  </si>
  <si>
    <t>魅了する宴</t>
    <phoneticPr fontId="1"/>
  </si>
  <si>
    <t>てんくろぱーてぃたいむ</t>
    <phoneticPr fontId="1"/>
  </si>
  <si>
    <t>豪華玉手箱ガチャ</t>
    <rPh sb="0" eb="2">
      <t>ゴウカ</t>
    </rPh>
    <rPh sb="2" eb="5">
      <t>タマテバコ</t>
    </rPh>
    <phoneticPr fontId="1"/>
  </si>
  <si>
    <t>11/24 15:00～11/24 23:59</t>
    <phoneticPr fontId="1"/>
  </si>
  <si>
    <t>戦神ガチャ</t>
    <rPh sb="0" eb="2">
      <t>センシン</t>
    </rPh>
    <phoneticPr fontId="1"/>
  </si>
  <si>
    <t>11/24 11:00～11/26 23:59</t>
    <phoneticPr fontId="1"/>
  </si>
  <si>
    <t>東日本→全国</t>
    <rPh sb="0" eb="1">
      <t>ヒガシ</t>
    </rPh>
    <rPh sb="1" eb="3">
      <t>ニホン</t>
    </rPh>
    <rPh sb="4" eb="6">
      <t>ゼンコク</t>
    </rPh>
    <phoneticPr fontId="1"/>
  </si>
  <si>
    <t>タイプ名物・妖怪・姫の防35％UP　/　タイプ【偉人】の防30％UP</t>
    <phoneticPr fontId="1"/>
  </si>
  <si>
    <t>平民宰相の大演説</t>
    <phoneticPr fontId="1"/>
  </si>
  <si>
    <t>はらたかし</t>
    <phoneticPr fontId="1"/>
  </si>
  <si>
    <t>天下統一戦 保護飲店！戦うチャイナ娘ガチャ</t>
    <rPh sb="0" eb="2">
      <t>テンカ</t>
    </rPh>
    <rPh sb="2" eb="4">
      <t>トウイツ</t>
    </rPh>
    <rPh sb="4" eb="5">
      <t>セン</t>
    </rPh>
    <phoneticPr fontId="1"/>
  </si>
  <si>
    <t>(Lvアップ)11/25 12:00～11/30 19:59</t>
    <phoneticPr fontId="1"/>
  </si>
  <si>
    <t>(DX)11/25 12:00～11/30 19:59</t>
    <phoneticPr fontId="1"/>
  </si>
  <si>
    <t>SSR</t>
    <phoneticPr fontId="1"/>
  </si>
  <si>
    <t>SR</t>
    <phoneticPr fontId="1"/>
  </si>
  <si>
    <t>HR</t>
    <phoneticPr fontId="1"/>
  </si>
  <si>
    <t>R</t>
    <phoneticPr fontId="1"/>
  </si>
  <si>
    <t>姫</t>
    <rPh sb="0" eb="1">
      <t>ヒメ</t>
    </rPh>
    <phoneticPr fontId="1"/>
  </si>
  <si>
    <t>神秘</t>
    <rPh sb="0" eb="2">
      <t>シンピ</t>
    </rPh>
    <phoneticPr fontId="1"/>
  </si>
  <si>
    <t>飲食</t>
    <rPh sb="0" eb="2">
      <t>インショク</t>
    </rPh>
    <phoneticPr fontId="1"/>
  </si>
  <si>
    <t>妖怪</t>
    <rPh sb="0" eb="2">
      <t>ヨウカイ</t>
    </rPh>
    <phoneticPr fontId="1"/>
  </si>
  <si>
    <t>九州・沖縄</t>
    <rPh sb="0" eb="2">
      <t>キュウシュウ</t>
    </rPh>
    <rPh sb="3" eb="5">
      <t>オキナワ</t>
    </rPh>
    <phoneticPr fontId="1"/>
  </si>
  <si>
    <t>北海道・東北</t>
    <rPh sb="0" eb="3">
      <t>ホッカイドウ</t>
    </rPh>
    <rPh sb="4" eb="6">
      <t>トウホク</t>
    </rPh>
    <phoneticPr fontId="1"/>
  </si>
  <si>
    <t>中国・四国</t>
    <rPh sb="0" eb="2">
      <t>チュウゴク</t>
    </rPh>
    <rPh sb="3" eb="5">
      <t>シコク</t>
    </rPh>
    <phoneticPr fontId="1"/>
  </si>
  <si>
    <t>中部</t>
    <rPh sb="0" eb="2">
      <t>チュウブ</t>
    </rPh>
    <phoneticPr fontId="1"/>
  </si>
  <si>
    <t>無所属</t>
    <rPh sb="0" eb="3">
      <t>ムショゾク</t>
    </rPh>
    <phoneticPr fontId="1"/>
  </si>
  <si>
    <t>タイプ【武人】の攻95％UP　/　タイプ【姫】の攻40％UP</t>
    <phoneticPr fontId="1"/>
  </si>
  <si>
    <t>ちゅうかはんてんたちばなぎんちよ</t>
    <phoneticPr fontId="1"/>
  </si>
  <si>
    <t>タイプ飲食・武人・名物の攻80％DOWN　/　タイプ知性派・飲食の防25％UP</t>
    <phoneticPr fontId="1"/>
  </si>
  <si>
    <t>赤壁を舞う鳥</t>
    <phoneticPr fontId="1"/>
  </si>
  <si>
    <t>しんせいさんごくしかりょうびんが</t>
    <phoneticPr fontId="1"/>
  </si>
  <si>
    <t>タイプ知性派・飲食の攻30％UP　/　タイプ【神秘】の攻10％UP</t>
    <phoneticPr fontId="1"/>
  </si>
  <si>
    <t>強火で炒める輝く焼き飯</t>
    <phoneticPr fontId="1"/>
  </si>
  <si>
    <t>しんせいおりょうりえひめのみこと</t>
    <phoneticPr fontId="1"/>
  </si>
  <si>
    <t>タイプ神秘・知性派の防20％UP</t>
    <phoneticPr fontId="1"/>
  </si>
  <si>
    <t>桃饅頭に詰めた夢</t>
    <phoneticPr fontId="1"/>
  </si>
  <si>
    <t>しんせいちゅうごくちゃももちゃん</t>
    <phoneticPr fontId="1"/>
  </si>
  <si>
    <t>タイプ【偉人】の攻20％UP</t>
    <phoneticPr fontId="1"/>
  </si>
  <si>
    <t>つむじ風の悪神</t>
    <phoneticPr fontId="1"/>
  </si>
  <si>
    <t>しんせいかまいたち</t>
    <phoneticPr fontId="1"/>
  </si>
  <si>
    <t>11/25 18:00～11/27 23:59</t>
    <phoneticPr fontId="1"/>
  </si>
  <si>
    <t>偉人</t>
    <rPh sb="0" eb="2">
      <t>イジン</t>
    </rPh>
    <phoneticPr fontId="1"/>
  </si>
  <si>
    <t>武人</t>
    <rPh sb="0" eb="2">
      <t>ブジン</t>
    </rPh>
    <phoneticPr fontId="1"/>
  </si>
  <si>
    <t>タイプ神秘・知性派の攻40％UP　/　タイプ【飲食】の攻25％UP</t>
    <phoneticPr fontId="1"/>
  </si>
  <si>
    <t>神話の息づく名物そば</t>
    <phoneticPr fontId="1"/>
  </si>
  <si>
    <t>とがくしそば</t>
    <phoneticPr fontId="1"/>
  </si>
  <si>
    <t>タイプ妖怪・名物の攻50％UP　/　タイプ【偉人】の攻35％UP</t>
    <phoneticPr fontId="1"/>
  </si>
  <si>
    <t>天性の商才と熱意</t>
    <phoneticPr fontId="1"/>
  </si>
  <si>
    <t>みきもとこうきち</t>
    <phoneticPr fontId="1"/>
  </si>
  <si>
    <t>タイプ姫・伝承の攻30％UP　/　タイプ神秘・知性派・飲食の防12％DOWN</t>
    <phoneticPr fontId="1"/>
  </si>
  <si>
    <t>機械の信仰心</t>
    <phoneticPr fontId="1"/>
  </si>
  <si>
    <t>あんどろいどおおともそうりん</t>
    <phoneticPr fontId="1"/>
  </si>
  <si>
    <t>祝来！宝船福引ガチャ</t>
    <rPh sb="0" eb="2">
      <t>シュクライ</t>
    </rPh>
    <rPh sb="3" eb="7">
      <t>タカラブネフクビキ</t>
    </rPh>
    <phoneticPr fontId="1"/>
  </si>
  <si>
    <t>11/26 12:00～11/27 11:59</t>
    <phoneticPr fontId="1"/>
  </si>
  <si>
    <t>天下統一戦 英雄ガチャ</t>
    <rPh sb="0" eb="2">
      <t>テンカ</t>
    </rPh>
    <rPh sb="2" eb="4">
      <t>トウイツ</t>
    </rPh>
    <rPh sb="4" eb="5">
      <t>セン</t>
    </rPh>
    <rPh sb="6" eb="8">
      <t>エイユウ</t>
    </rPh>
    <phoneticPr fontId="1"/>
  </si>
  <si>
    <t>11/27 11:00～11/27 23:59</t>
    <phoneticPr fontId="1"/>
  </si>
  <si>
    <t>祝来！宝船福引ガチャ</t>
    <phoneticPr fontId="1"/>
  </si>
  <si>
    <t>11/27 12:00～11/28 11:59</t>
    <phoneticPr fontId="1"/>
  </si>
  <si>
    <t>豪華玉手箱ガチャ</t>
    <phoneticPr fontId="1"/>
  </si>
  <si>
    <t>11/27 15:00～11/27 23:59</t>
    <phoneticPr fontId="1"/>
  </si>
  <si>
    <t>超防再臨ガチャ</t>
    <rPh sb="0" eb="1">
      <t>チョウ</t>
    </rPh>
    <rPh sb="1" eb="2">
      <t>ボウ</t>
    </rPh>
    <rPh sb="2" eb="4">
      <t>サイリン</t>
    </rPh>
    <phoneticPr fontId="1"/>
  </si>
  <si>
    <t>逮捕します！</t>
    <phoneticPr fontId="1"/>
  </si>
  <si>
    <t>タイプ姫・伝承の防25％UP　/　タイプ【武人】の防10％UP</t>
    <phoneticPr fontId="1"/>
  </si>
  <si>
    <t>偉人</t>
    <rPh sb="0" eb="2">
      <t>イジン</t>
    </rPh>
    <phoneticPr fontId="1"/>
  </si>
  <si>
    <t>神秘</t>
    <rPh sb="0" eb="2">
      <t>シンピ</t>
    </rPh>
    <phoneticPr fontId="1"/>
  </si>
  <si>
    <t>タイプ偉人・妖怪・名物の防45％UP</t>
    <phoneticPr fontId="1"/>
  </si>
  <si>
    <t>詩豪の志を一筆に込めて</t>
    <phoneticPr fontId="1"/>
  </si>
  <si>
    <t>らいしゅんすい</t>
    <phoneticPr fontId="1"/>
  </si>
  <si>
    <t>タイプ神秘・知性派・飲食の攻80％DOWN　/　タイプ知性派・飲食の防25％UP</t>
    <phoneticPr fontId="1"/>
  </si>
  <si>
    <t>鬼も恐るる三ツ石の神</t>
    <phoneticPr fontId="1"/>
  </si>
  <si>
    <t>みついしのかみ</t>
    <phoneticPr fontId="1"/>
  </si>
  <si>
    <t>11/28 18:00～11/30 23:59</t>
    <phoneticPr fontId="1"/>
  </si>
  <si>
    <t>戦神ガチャ</t>
    <rPh sb="0" eb="2">
      <t>センシン</t>
    </rPh>
    <phoneticPr fontId="1"/>
  </si>
  <si>
    <t>11/29 11:00～11/30 23:59</t>
    <phoneticPr fontId="1"/>
  </si>
  <si>
    <t>祝来！宝船福引ガチャ</t>
    <rPh sb="0" eb="1">
      <t>シュク</t>
    </rPh>
    <rPh sb="1" eb="2">
      <t>ライ</t>
    </rPh>
    <rPh sb="3" eb="7">
      <t>タカラブネフクビキ</t>
    </rPh>
    <phoneticPr fontId="1"/>
  </si>
  <si>
    <t>11/29 12:00～11/30 11:59</t>
    <phoneticPr fontId="1"/>
  </si>
  <si>
    <t>(Lvアップ)12/1 0:00～12/8 11:59</t>
    <phoneticPr fontId="1"/>
  </si>
  <si>
    <t>復活！5進化隊士ガチャ</t>
    <phoneticPr fontId="1"/>
  </si>
  <si>
    <t>11/30 11:00～11/30 23:59</t>
    <phoneticPr fontId="1"/>
  </si>
  <si>
    <t>SSR</t>
    <phoneticPr fontId="1"/>
  </si>
  <si>
    <t>SR</t>
    <phoneticPr fontId="1"/>
  </si>
  <si>
    <t>全国</t>
    <rPh sb="0" eb="2">
      <t>ゼンコク</t>
    </rPh>
    <phoneticPr fontId="1"/>
  </si>
  <si>
    <t>5進</t>
    <rPh sb="1" eb="2">
      <t>シン</t>
    </rPh>
    <phoneticPr fontId="1"/>
  </si>
  <si>
    <t>3進</t>
    <rPh sb="1" eb="2">
      <t>シン</t>
    </rPh>
    <phoneticPr fontId="1"/>
  </si>
  <si>
    <t>1進</t>
    <rPh sb="1" eb="2">
      <t>シン</t>
    </rPh>
    <phoneticPr fontId="1"/>
  </si>
  <si>
    <t>東日本</t>
    <rPh sb="0" eb="1">
      <t>ヒガシ</t>
    </rPh>
    <rPh sb="1" eb="3">
      <t>ニホン</t>
    </rPh>
    <phoneticPr fontId="1"/>
  </si>
  <si>
    <t>西日本</t>
    <rPh sb="0" eb="1">
      <t>ニシ</t>
    </rPh>
    <rPh sb="1" eb="3">
      <t>ニホン</t>
    </rPh>
    <phoneticPr fontId="1"/>
  </si>
  <si>
    <t>神秘</t>
    <rPh sb="0" eb="2">
      <t>シンピ</t>
    </rPh>
    <phoneticPr fontId="1"/>
  </si>
  <si>
    <t>姫</t>
    <rPh sb="0" eb="1">
      <t>ヒメ</t>
    </rPh>
    <phoneticPr fontId="1"/>
  </si>
  <si>
    <t>名物</t>
    <rPh sb="0" eb="2">
      <t>メイブツ</t>
    </rPh>
    <phoneticPr fontId="1"/>
  </si>
  <si>
    <t>女関白のぐうたら休暇</t>
    <phoneticPr fontId="1"/>
  </si>
  <si>
    <t>タイプ【武人】の攻75％UP　/　タイプ姫・伝承の攻30％UP</t>
    <phoneticPr fontId="1"/>
  </si>
  <si>
    <t>ごがつびょうごうひめ</t>
    <phoneticPr fontId="1"/>
  </si>
  <si>
    <t>タイプ【武人】の攻50％UP　/　タイプ姫・伝承の攻25％UP</t>
    <phoneticPr fontId="1"/>
  </si>
  <si>
    <t>タイプ【武人】の攻40％UP　/　タイプ【姫】の攻15％UP</t>
    <phoneticPr fontId="1"/>
  </si>
  <si>
    <t>タイプ【妖怪】の防85％UP　/　タイプ偉人・名物の防25％UP</t>
    <phoneticPr fontId="1"/>
  </si>
  <si>
    <t>星に願う愛の浪漫館</t>
    <phoneticPr fontId="1"/>
  </si>
  <si>
    <t>たなばたばんすいそう</t>
    <phoneticPr fontId="1"/>
  </si>
  <si>
    <t>タイプ【妖怪】の防60％UP　/　タイプ偉人・名物の防20％UP</t>
    <phoneticPr fontId="1"/>
  </si>
  <si>
    <t>タイプ【妖怪】の防45％UP　/　タイプ【名物】の防15％UP</t>
    <phoneticPr fontId="1"/>
  </si>
  <si>
    <t>タイプ【飲食】の攻85％UP　/　タイプ神秘・知性派の攻25％UP</t>
    <phoneticPr fontId="1"/>
  </si>
  <si>
    <t>定められし運命の糸</t>
    <phoneticPr fontId="1"/>
  </si>
  <si>
    <t>べるざんでぃ</t>
    <phoneticPr fontId="1"/>
  </si>
  <si>
    <t>タイプ【飲食】の攻60％UP　/　タイプ神秘・知性派の攻20％UP</t>
    <phoneticPr fontId="1"/>
  </si>
  <si>
    <t>タイプ【飲食】の攻45％UP　/　タイプ【神秘】の攻15％UP</t>
    <phoneticPr fontId="1"/>
  </si>
  <si>
    <t>12/2 12:00～12/3 23:59</t>
    <phoneticPr fontId="1"/>
  </si>
  <si>
    <t>SSR</t>
    <phoneticPr fontId="1"/>
  </si>
  <si>
    <t>SR</t>
    <phoneticPr fontId="1"/>
  </si>
  <si>
    <t>武人</t>
    <rPh sb="0" eb="2">
      <t>ブジン</t>
    </rPh>
    <phoneticPr fontId="1"/>
  </si>
  <si>
    <t>全国</t>
    <rPh sb="0" eb="2">
      <t>ゼンコク</t>
    </rPh>
    <phoneticPr fontId="1"/>
  </si>
  <si>
    <t>東日本</t>
    <rPh sb="0" eb="1">
      <t>ヒガシ</t>
    </rPh>
    <rPh sb="1" eb="3">
      <t>ニホン</t>
    </rPh>
    <phoneticPr fontId="1"/>
  </si>
  <si>
    <t>タイプ姫・伝承の防40％UP　/　タイプ【武人】の防25％UP</t>
    <phoneticPr fontId="1"/>
  </si>
  <si>
    <t>聖夜に舞う一騎当千の美しき兵</t>
    <phoneticPr fontId="1"/>
  </si>
  <si>
    <t>くりすますうぉーともえごぜん</t>
    <phoneticPr fontId="1"/>
  </si>
  <si>
    <t>5進</t>
    <rPh sb="1" eb="2">
      <t>シン</t>
    </rPh>
    <phoneticPr fontId="1"/>
  </si>
  <si>
    <t>3進</t>
    <rPh sb="1" eb="2">
      <t>シン</t>
    </rPh>
    <phoneticPr fontId="1"/>
  </si>
  <si>
    <t>1進</t>
    <rPh sb="1" eb="2">
      <t>シン</t>
    </rPh>
    <phoneticPr fontId="1"/>
  </si>
  <si>
    <t>タイプ姫・伝承の防10％UP　/　タイプ【武人】の防20％UP</t>
    <phoneticPr fontId="1"/>
  </si>
  <si>
    <t>タイプ姫・伝承の防25％UP　/　タイプ【武人】の防20％UP</t>
    <phoneticPr fontId="1"/>
  </si>
  <si>
    <t>超攻再臨ガチャ</t>
    <rPh sb="0" eb="1">
      <t>チョウ</t>
    </rPh>
    <rPh sb="1" eb="2">
      <t>コウ</t>
    </rPh>
    <rPh sb="2" eb="4">
      <t>サイリン</t>
    </rPh>
    <phoneticPr fontId="1"/>
  </si>
  <si>
    <t>12/2 18:00～12/4 23:59</t>
    <phoneticPr fontId="1"/>
  </si>
  <si>
    <t>(DX)12/1 0:00～12/8 11:59</t>
    <phoneticPr fontId="1"/>
  </si>
  <si>
    <t>12/3 18:00～12/3 21:59</t>
    <phoneticPr fontId="1"/>
  </si>
  <si>
    <t>タイプ妖怪・名物の防40％UP　/　所属が【北海道・東北】とそれに属する県、および【全国】【東日本】の防30％UP</t>
    <phoneticPr fontId="1"/>
  </si>
  <si>
    <t>機械仕掛けの金時計</t>
    <rPh sb="0" eb="2">
      <t>キカイ</t>
    </rPh>
    <rPh sb="2" eb="4">
      <t>ジカ</t>
    </rPh>
    <rPh sb="6" eb="7">
      <t>キン</t>
    </rPh>
    <rPh sb="7" eb="9">
      <t>ドケイ</t>
    </rPh>
    <phoneticPr fontId="1"/>
  </si>
  <si>
    <t>うぉっちめいかー</t>
    <phoneticPr fontId="1"/>
  </si>
  <si>
    <t>タイプ武人・姫の防40％UP　/　所属が【関東】とそれに属する県、および【全国】【東日本】の防30％UP</t>
    <phoneticPr fontId="1"/>
  </si>
  <si>
    <t>狂ったお茶会</t>
    <rPh sb="0" eb="1">
      <t>クル</t>
    </rPh>
    <rPh sb="4" eb="6">
      <t>チャカイ</t>
    </rPh>
    <phoneticPr fontId="1"/>
  </si>
  <si>
    <t>まっどはったー</t>
    <phoneticPr fontId="1"/>
  </si>
  <si>
    <t>名物</t>
    <rPh sb="0" eb="2">
      <t>メイブツ</t>
    </rPh>
    <phoneticPr fontId="1"/>
  </si>
  <si>
    <t>タイプ偉人・妖怪の攻40％UP　/　所属が【中部】とそれに属する県、および【全国】【東日本】の攻30％UP</t>
    <phoneticPr fontId="1"/>
  </si>
  <si>
    <t>珠玉の美酒</t>
    <phoneticPr fontId="1"/>
  </si>
  <si>
    <t>けいえいのちょうじょめるろ</t>
    <phoneticPr fontId="1"/>
  </si>
  <si>
    <t>タイプ姫・伝承の攻40％UP　/　所属が【近畿】とそれに属する県、および【全国】【西日本】の攻30％UP</t>
    <phoneticPr fontId="1"/>
  </si>
  <si>
    <t>天賦の弓馬術</t>
    <phoneticPr fontId="1"/>
  </si>
  <si>
    <t>武人</t>
    <rPh sb="0" eb="2">
      <t>ブジン</t>
    </rPh>
    <phoneticPr fontId="1"/>
  </si>
  <si>
    <t>みなもとのよしみつ</t>
    <phoneticPr fontId="1"/>
  </si>
  <si>
    <t>タイプ知性派・飲食の攻40％UP　/　所属が【中国・四国】とそれに属する県、および【全国】【西日本】の攻30％UP</t>
    <phoneticPr fontId="1"/>
  </si>
  <si>
    <t>変化の術</t>
    <phoneticPr fontId="1"/>
  </si>
  <si>
    <t>神秘</t>
    <rPh sb="0" eb="2">
      <t>シンピ</t>
    </rPh>
    <phoneticPr fontId="1"/>
  </si>
  <si>
    <t>おまつだいみょうじん</t>
    <phoneticPr fontId="1"/>
  </si>
  <si>
    <t>タイプ神秘・飲食の防40％UP　/　所属が【九州・沖縄】とそれに属する県、および【全国】【西日本】の防30％UP</t>
    <phoneticPr fontId="1"/>
  </si>
  <si>
    <t>神々の女王</t>
    <phoneticPr fontId="1"/>
  </si>
  <si>
    <t>知性派</t>
    <rPh sb="0" eb="2">
      <t>チセイ</t>
    </rPh>
    <rPh sb="2" eb="3">
      <t>ハ</t>
    </rPh>
    <phoneticPr fontId="1"/>
  </si>
  <si>
    <t>ゆーのー</t>
    <phoneticPr fontId="1"/>
  </si>
  <si>
    <t>祝来！宝船福引ガチャ</t>
    <phoneticPr fontId="1"/>
  </si>
  <si>
    <t>12/3 12:00～12/4 11:59</t>
    <phoneticPr fontId="1"/>
  </si>
  <si>
    <t>40343_0</t>
    <phoneticPr fontId="1"/>
  </si>
  <si>
    <t>防衛戦 英雄ガチャ</t>
    <rPh sb="0" eb="3">
      <t>ボウエイセン</t>
    </rPh>
    <rPh sb="4" eb="6">
      <t>エイユウ</t>
    </rPh>
    <phoneticPr fontId="1"/>
  </si>
  <si>
    <t>12/5 11:00～12/5 23:59</t>
    <phoneticPr fontId="1"/>
  </si>
  <si>
    <t>SSR</t>
    <phoneticPr fontId="1"/>
  </si>
  <si>
    <t>SR</t>
    <phoneticPr fontId="1"/>
  </si>
  <si>
    <t>HR</t>
    <phoneticPr fontId="1"/>
  </si>
  <si>
    <t>R</t>
    <phoneticPr fontId="1"/>
  </si>
  <si>
    <t>中部</t>
    <rPh sb="0" eb="2">
      <t>チュウブ</t>
    </rPh>
    <phoneticPr fontId="1"/>
  </si>
  <si>
    <t>近畿</t>
    <rPh sb="0" eb="2">
      <t>キンキ</t>
    </rPh>
    <phoneticPr fontId="1"/>
  </si>
  <si>
    <t>九州・沖縄</t>
    <rPh sb="0" eb="2">
      <t>キュウシュウ</t>
    </rPh>
    <rPh sb="3" eb="5">
      <t>オキナワ</t>
    </rPh>
    <phoneticPr fontId="1"/>
  </si>
  <si>
    <t>青森</t>
    <rPh sb="0" eb="2">
      <t>アオモリ</t>
    </rPh>
    <phoneticPr fontId="1"/>
  </si>
  <si>
    <t>妖怪</t>
    <rPh sb="0" eb="2">
      <t>ヨウカイ</t>
    </rPh>
    <phoneticPr fontId="1"/>
  </si>
  <si>
    <t>タイプ偉人・妖怪・名物の防35％UP　/　タイプ飲食・武人・名物の攻10％DOWN</t>
    <phoneticPr fontId="1"/>
  </si>
  <si>
    <t>聖夜に昇る火柱</t>
    <phoneticPr fontId="1"/>
  </si>
  <si>
    <t>くりすますうぉーてづつはなびさん</t>
    <phoneticPr fontId="1"/>
  </si>
  <si>
    <t>タイプ【妖怪】の攻20％UP</t>
    <phoneticPr fontId="1"/>
  </si>
  <si>
    <t>しんせいすのーまん</t>
    <phoneticPr fontId="1"/>
  </si>
  <si>
    <t>タイプ偉人・名物の防20％UP</t>
    <phoneticPr fontId="1"/>
  </si>
  <si>
    <t>聖夜のカップルには吉兆</t>
    <phoneticPr fontId="1"/>
  </si>
  <si>
    <t>日本一の大雪だるま</t>
    <phoneticPr fontId="1"/>
  </si>
  <si>
    <t>しんせいみずぎくりすますいねんび</t>
    <phoneticPr fontId="1"/>
  </si>
  <si>
    <t>タイプ姫・伝承の攻30％UP　/　タイプ【武人】の攻10％UP</t>
    <phoneticPr fontId="1"/>
  </si>
  <si>
    <t>トナカイ姿の愛しき妻</t>
    <phoneticPr fontId="1"/>
  </si>
  <si>
    <t>しんせいぽっぷくりすますきたのかた</t>
    <phoneticPr fontId="1"/>
  </si>
  <si>
    <t>戦神ガチャ</t>
    <rPh sb="0" eb="2">
      <t>センシン</t>
    </rPh>
    <phoneticPr fontId="1"/>
  </si>
  <si>
    <t>12/4 18:00～12/6 23:59</t>
    <phoneticPr fontId="1"/>
  </si>
  <si>
    <t>東日本</t>
    <rPh sb="0" eb="1">
      <t>ヒガシ</t>
    </rPh>
    <rPh sb="1" eb="3">
      <t>ニホン</t>
    </rPh>
    <phoneticPr fontId="1"/>
  </si>
  <si>
    <t>タイプ【妖怪】の攻90％UP　/　タイプ偉人・名物の攻20％UP</t>
    <phoneticPr fontId="1"/>
  </si>
  <si>
    <t>輝かしき宝石魔術</t>
    <phoneticPr fontId="1"/>
  </si>
  <si>
    <t>名物</t>
    <phoneticPr fontId="1"/>
  </si>
  <si>
    <t>ほうせきしょう</t>
    <phoneticPr fontId="1"/>
  </si>
  <si>
    <t>受けたダメージを相手にも与える</t>
    <phoneticPr fontId="1"/>
  </si>
  <si>
    <t>超防再臨ガチャ</t>
    <rPh sb="0" eb="1">
      <t>チョウ</t>
    </rPh>
    <rPh sb="1" eb="2">
      <t>ボウ</t>
    </rPh>
    <rPh sb="2" eb="4">
      <t>サイリン</t>
    </rPh>
    <phoneticPr fontId="1"/>
  </si>
  <si>
    <t>12/5 18:00～12/7 23:59</t>
    <phoneticPr fontId="1"/>
  </si>
  <si>
    <t>タイプ武人・姫の防30％UP　/　タイプ【伝承】の防10％UP</t>
    <phoneticPr fontId="1"/>
  </si>
  <si>
    <t>色彩豊かに輝く宝石</t>
    <phoneticPr fontId="1"/>
  </si>
  <si>
    <t>伝承</t>
    <rPh sb="0" eb="2">
      <t>デンショウ</t>
    </rPh>
    <phoneticPr fontId="1"/>
  </si>
  <si>
    <t>しょうわれとろぽっぷさるかにがっせん</t>
    <phoneticPr fontId="1"/>
  </si>
  <si>
    <t>タイプ知性派・飲食の防30％UP　/　タイプ【神秘】の防10％UP</t>
    <phoneticPr fontId="1"/>
  </si>
  <si>
    <t>恋とでるか、愛へ育つか</t>
    <phoneticPr fontId="1"/>
  </si>
  <si>
    <t>きゅーぴっどはやあきつひめのみこと</t>
    <phoneticPr fontId="1"/>
  </si>
  <si>
    <t>タイプ偉人・名物の防30％UP　/　タイプ【妖怪】の防10％UP</t>
    <phoneticPr fontId="1"/>
  </si>
  <si>
    <t>化け猫の技巧派ブラックスミス</t>
    <phoneticPr fontId="1"/>
  </si>
  <si>
    <t>めいこうあざぶのおおねこ</t>
    <phoneticPr fontId="1"/>
  </si>
  <si>
    <t>防衛戦 願いを守る優しき勇猛サンタガチャ</t>
    <rPh sb="0" eb="3">
      <t>ボウエイセン</t>
    </rPh>
    <phoneticPr fontId="1"/>
  </si>
  <si>
    <t>(Lvアップ)12/4 12:00～12/8 11:59</t>
    <phoneticPr fontId="1"/>
  </si>
  <si>
    <t>(DX)12/4 12:00～12/8 11:59</t>
    <phoneticPr fontId="1"/>
  </si>
  <si>
    <t>85523_0</t>
    <phoneticPr fontId="1"/>
  </si>
  <si>
    <t>ZR</t>
    <phoneticPr fontId="1"/>
  </si>
  <si>
    <t>タイプ伝承・武人・姫の攻65％UP</t>
    <phoneticPr fontId="1"/>
  </si>
  <si>
    <t>せいたんくろにくるくすもといね</t>
    <phoneticPr fontId="1"/>
  </si>
  <si>
    <t>発動するほど大ダメージを与え、敵の攻撃を必ず反射する効果を付与する</t>
    <phoneticPr fontId="1"/>
  </si>
  <si>
    <t>全国</t>
    <rPh sb="0" eb="2">
      <t>ゼンコク</t>
    </rPh>
    <phoneticPr fontId="1"/>
  </si>
  <si>
    <t>タイプ伝承・武人・姫の防60％DOWN　/　タイプ偉人・妖怪・名物の攻20％UP</t>
    <phoneticPr fontId="1"/>
  </si>
  <si>
    <t>クリスマスドリーム</t>
    <phoneticPr fontId="1"/>
  </si>
  <si>
    <t>せいたんくろにくるりりむ</t>
    <phoneticPr fontId="1"/>
  </si>
  <si>
    <t>ゴットハンド作るお菓子の家</t>
    <phoneticPr fontId="1"/>
  </si>
  <si>
    <t>北海道・東北</t>
    <rPh sb="0" eb="3">
      <t>ホッカイドウ</t>
    </rPh>
    <rPh sb="4" eb="6">
      <t>トウホク</t>
    </rPh>
    <phoneticPr fontId="1"/>
  </si>
  <si>
    <t>中国・四国</t>
    <rPh sb="0" eb="2">
      <t>チュウゴク</t>
    </rPh>
    <rPh sb="3" eb="5">
      <t>シコク</t>
    </rPh>
    <phoneticPr fontId="1"/>
  </si>
  <si>
    <t>関東</t>
    <rPh sb="0" eb="2">
      <t>カントウ</t>
    </rPh>
    <phoneticPr fontId="1"/>
  </si>
  <si>
    <t>偉人</t>
    <rPh sb="0" eb="2">
      <t>イジン</t>
    </rPh>
    <phoneticPr fontId="1"/>
  </si>
  <si>
    <t>飲食</t>
    <rPh sb="0" eb="2">
      <t>インショク</t>
    </rPh>
    <phoneticPr fontId="1"/>
  </si>
  <si>
    <t>無所属</t>
    <rPh sb="0" eb="3">
      <t>ムショゾク</t>
    </rPh>
    <phoneticPr fontId="1"/>
  </si>
  <si>
    <t>タイプ【飲食】の防25％UP</t>
    <phoneticPr fontId="1"/>
  </si>
  <si>
    <t>賛美歌の大合唱</t>
    <phoneticPr fontId="1"/>
  </si>
  <si>
    <t>しんせいせいかたい</t>
    <phoneticPr fontId="1"/>
  </si>
  <si>
    <t>兵庫</t>
    <rPh sb="0" eb="2">
      <t>ヒョウゴ</t>
    </rPh>
    <phoneticPr fontId="1"/>
  </si>
  <si>
    <t>しんせいせいやなんきんまちちゃん</t>
    <phoneticPr fontId="1"/>
  </si>
  <si>
    <t>タイプ【武人】の攻95％UP　/　タイプ姫・伝承の攻20％UP</t>
    <phoneticPr fontId="1"/>
  </si>
  <si>
    <t>聖母への贈り物</t>
    <phoneticPr fontId="1"/>
  </si>
  <si>
    <t>せいたんくろにくるないとうじゅりあ</t>
    <phoneticPr fontId="1"/>
  </si>
  <si>
    <t>タイプ【名物】の防75％UP　/　タイプ偉人・妖怪の防30％UP</t>
    <phoneticPr fontId="1"/>
  </si>
  <si>
    <t>聖夜に降る雪の愛</t>
    <phoneticPr fontId="1"/>
  </si>
  <si>
    <t>せいたんくろにくるじんぼゆき</t>
    <phoneticPr fontId="1"/>
  </si>
  <si>
    <t>タイプ知性派・飲食の防35％UP　/　タイプ【神秘】の防20％UP</t>
    <phoneticPr fontId="1"/>
  </si>
  <si>
    <t>良妻からの贈り物</t>
    <phoneticPr fontId="1"/>
  </si>
  <si>
    <t>しんせいらっぴんぐすせりびめ</t>
    <phoneticPr fontId="1"/>
  </si>
  <si>
    <t>タイプ武人・姫の防35％UP　/　タイプ【伝承】の防20％UP</t>
    <phoneticPr fontId="1"/>
  </si>
  <si>
    <t>晴天聖夜の嫁入り</t>
    <phoneticPr fontId="1"/>
  </si>
  <si>
    <t>しんせいくりすますきつねのよめいり</t>
    <phoneticPr fontId="1"/>
  </si>
  <si>
    <t>タイプ偉人・妖怪の攻35％UP　/　タイプ【名物】の攻20％UP</t>
    <phoneticPr fontId="1"/>
  </si>
  <si>
    <t>星空のスカーレットジャンパー</t>
    <phoneticPr fontId="1"/>
  </si>
  <si>
    <t>しんせいくりすますすかじゃんむすめ</t>
    <phoneticPr fontId="1"/>
  </si>
  <si>
    <t>タイプ神秘・知性派の攻25％UP</t>
    <phoneticPr fontId="1"/>
  </si>
  <si>
    <t>聖夜の主役はざらめで決まり</t>
    <phoneticPr fontId="1"/>
  </si>
  <si>
    <t>しんせいくりすますかすてらちゃん</t>
    <phoneticPr fontId="1"/>
  </si>
  <si>
    <t>タイプ偉人・妖怪の防25％UP</t>
    <phoneticPr fontId="1"/>
  </si>
  <si>
    <t>しんせいみずぎくりすますあじさい</t>
    <phoneticPr fontId="1"/>
  </si>
  <si>
    <t>豪華玉手箱ガチャ</t>
    <rPh sb="0" eb="2">
      <t>ゴウカ</t>
    </rPh>
    <rPh sb="2" eb="5">
      <t>タマテバコ</t>
    </rPh>
    <phoneticPr fontId="1"/>
  </si>
  <si>
    <t>12/6 15:00～12/6 23:59</t>
    <phoneticPr fontId="1"/>
  </si>
  <si>
    <t>刹那！最強DOWN隊士ガチャ(ガチャ紹介ページの冒頭でシヴァージーのセットを紹介＆シートボーナスの無い不具合)</t>
    <rPh sb="0" eb="2">
      <t>セツナ</t>
    </rPh>
    <rPh sb="3" eb="5">
      <t>サイキョウ</t>
    </rPh>
    <rPh sb="9" eb="11">
      <t>タイシ</t>
    </rPh>
    <rPh sb="18" eb="20">
      <t>ショウカイ</t>
    </rPh>
    <rPh sb="24" eb="26">
      <t>ボウトウ</t>
    </rPh>
    <rPh sb="38" eb="40">
      <t>ショウカイ</t>
    </rPh>
    <rPh sb="49" eb="50">
      <t>ナ</t>
    </rPh>
    <rPh sb="51" eb="54">
      <t>フグアイ</t>
    </rPh>
    <phoneticPr fontId="1"/>
  </si>
  <si>
    <t>祝来！宝船福引ガチャ</t>
    <rPh sb="0" eb="1">
      <t>シュク</t>
    </rPh>
    <rPh sb="1" eb="2">
      <t>ライ</t>
    </rPh>
    <rPh sb="3" eb="5">
      <t>タカラブネ</t>
    </rPh>
    <rPh sb="5" eb="7">
      <t>フクビキ</t>
    </rPh>
    <phoneticPr fontId="1"/>
  </si>
  <si>
    <t>12/7 12:00～12/8 11:59</t>
    <phoneticPr fontId="1"/>
  </si>
  <si>
    <t>天撃皆伝ガチャ</t>
    <rPh sb="0" eb="4">
      <t>テンゲキカイデン</t>
    </rPh>
    <phoneticPr fontId="1"/>
  </si>
  <si>
    <t>四神戦 無病祈願の健康診断ガチャ</t>
    <rPh sb="0" eb="1">
      <t>ヨン</t>
    </rPh>
    <rPh sb="1" eb="2">
      <t>シン</t>
    </rPh>
    <rPh sb="2" eb="3">
      <t>セン</t>
    </rPh>
    <phoneticPr fontId="1"/>
  </si>
  <si>
    <t>(Lvアップ)12/8 12:00～12/14 11:59</t>
    <phoneticPr fontId="1"/>
  </si>
  <si>
    <t>(DX)12/8 12:00～12/14 11:59</t>
    <phoneticPr fontId="1"/>
  </si>
  <si>
    <t>SSR</t>
    <phoneticPr fontId="1"/>
  </si>
  <si>
    <t>SR</t>
    <phoneticPr fontId="1"/>
  </si>
  <si>
    <t>HR</t>
    <phoneticPr fontId="1"/>
  </si>
  <si>
    <t>R</t>
    <phoneticPr fontId="1"/>
  </si>
  <si>
    <t>無所属</t>
    <rPh sb="0" eb="3">
      <t>ムショゾク</t>
    </rPh>
    <phoneticPr fontId="1"/>
  </si>
  <si>
    <t>中部</t>
    <rPh sb="0" eb="2">
      <t>チュウブ</t>
    </rPh>
    <phoneticPr fontId="1"/>
  </si>
  <si>
    <t>宮城</t>
    <rPh sb="0" eb="2">
      <t>ミヤギ</t>
    </rPh>
    <phoneticPr fontId="1"/>
  </si>
  <si>
    <t>武人</t>
    <rPh sb="0" eb="2">
      <t>ブジン</t>
    </rPh>
    <phoneticPr fontId="1"/>
  </si>
  <si>
    <t>名物</t>
    <rPh sb="0" eb="2">
      <t>メイブツ</t>
    </rPh>
    <phoneticPr fontId="1"/>
  </si>
  <si>
    <t>偉人</t>
    <rPh sb="0" eb="2">
      <t>イジン</t>
    </rPh>
    <phoneticPr fontId="1"/>
  </si>
  <si>
    <t>飲食</t>
    <rPh sb="0" eb="2">
      <t>インショク</t>
    </rPh>
    <phoneticPr fontId="1"/>
  </si>
  <si>
    <t>姫</t>
    <rPh sb="0" eb="1">
      <t>ヒメ</t>
    </rPh>
    <phoneticPr fontId="1"/>
  </si>
  <si>
    <t>タイプ伝承・武人・姫の攻40％UP　/　タイプ伝承・武人・姫の防10％DOWN</t>
    <phoneticPr fontId="1"/>
  </si>
  <si>
    <t>視力検査との真剣勝負</t>
    <phoneticPr fontId="1"/>
  </si>
  <si>
    <t>ねんまつけんこうしんだんみょうりんに</t>
    <phoneticPr fontId="1"/>
  </si>
  <si>
    <t>タイプ偉人・妖怪・名物の攻35％UP　/　タイプ伝承・武人・姫の防10％DOWN</t>
    <phoneticPr fontId="1"/>
  </si>
  <si>
    <t>料理から虫除けまで</t>
    <phoneticPr fontId="1"/>
  </si>
  <si>
    <t>しんせいはっかちゃん</t>
    <phoneticPr fontId="1"/>
  </si>
  <si>
    <t>タイプ妖怪・名物の防30％UP　/　タイプ【偉人】の防10％UP</t>
    <phoneticPr fontId="1"/>
  </si>
  <si>
    <t>クリミアの医療天使</t>
    <phoneticPr fontId="1"/>
  </si>
  <si>
    <t>しんせいないちんげーる</t>
    <phoneticPr fontId="1"/>
  </si>
  <si>
    <t>タイプ神秘・知性派の攻20％UP</t>
    <phoneticPr fontId="1"/>
  </si>
  <si>
    <t>稀なる仙人きのこ</t>
    <phoneticPr fontId="1"/>
  </si>
  <si>
    <t>しんせいれいし</t>
    <phoneticPr fontId="1"/>
  </si>
  <si>
    <t>タイプ【武人】の防20％UP</t>
    <phoneticPr fontId="1"/>
  </si>
  <si>
    <t>武術のいろはを叩き込む</t>
    <phoneticPr fontId="1"/>
  </si>
  <si>
    <t>しんせいじむいろはひめ</t>
    <phoneticPr fontId="1"/>
  </si>
  <si>
    <t>12/8 18:00～12/10 23:59</t>
    <phoneticPr fontId="1"/>
  </si>
  <si>
    <t>伝承</t>
    <rPh sb="0" eb="2">
      <t>デンショウ</t>
    </rPh>
    <phoneticPr fontId="1"/>
  </si>
  <si>
    <t>知性派</t>
    <rPh sb="0" eb="2">
      <t>チセイ</t>
    </rPh>
    <rPh sb="2" eb="3">
      <t>ハ</t>
    </rPh>
    <phoneticPr fontId="1"/>
  </si>
  <si>
    <t>タイプ偉人・妖怪・名物の攻45％UP</t>
    <phoneticPr fontId="1"/>
  </si>
  <si>
    <t>当たれば恋に落とせし愛の矢</t>
    <phoneticPr fontId="1"/>
  </si>
  <si>
    <t>きゅーぴっどおだいのかた</t>
    <phoneticPr fontId="1"/>
  </si>
  <si>
    <t>タイプ【飲食】の攻75％UP　/　タイプ神秘・知性派の攻30％UP</t>
    <phoneticPr fontId="1"/>
  </si>
  <si>
    <t>負けられない一球入魂</t>
    <phoneticPr fontId="1"/>
  </si>
  <si>
    <t>しきゅうしきむらさきしきぶ</t>
    <phoneticPr fontId="1"/>
  </si>
  <si>
    <t>タイプ伝承・武人・姫の攻30％UP　/　タイプ妖怪・名物・偉人・飲食の防13％DOWN</t>
    <phoneticPr fontId="1"/>
  </si>
  <si>
    <t>葛の葉</t>
    <phoneticPr fontId="1"/>
  </si>
  <si>
    <t>しろきつねのおおしばい</t>
    <phoneticPr fontId="1"/>
  </si>
  <si>
    <t>12/9 18:00～12/9 21:59</t>
    <phoneticPr fontId="1"/>
  </si>
  <si>
    <t>12/9 12:00～12/14 11:59</t>
    <phoneticPr fontId="1"/>
  </si>
  <si>
    <t>全国</t>
    <rPh sb="0" eb="2">
      <t>ゼンコク</t>
    </rPh>
    <phoneticPr fontId="1"/>
  </si>
  <si>
    <t>西日本</t>
    <rPh sb="0" eb="1">
      <t>ニシ</t>
    </rPh>
    <rPh sb="1" eb="3">
      <t>ニホン</t>
    </rPh>
    <phoneticPr fontId="1"/>
  </si>
  <si>
    <t>SSR</t>
    <phoneticPr fontId="1"/>
  </si>
  <si>
    <t>SR</t>
    <phoneticPr fontId="1"/>
  </si>
  <si>
    <t>5進</t>
    <rPh sb="1" eb="2">
      <t>シン</t>
    </rPh>
    <phoneticPr fontId="1"/>
  </si>
  <si>
    <t>3進</t>
    <rPh sb="1" eb="2">
      <t>シン</t>
    </rPh>
    <phoneticPr fontId="1"/>
  </si>
  <si>
    <t>1進</t>
    <rPh sb="1" eb="2">
      <t>シン</t>
    </rPh>
    <phoneticPr fontId="1"/>
  </si>
  <si>
    <t>タイプ神秘・知性派・飲食の防40％UP　/　タイプ神秘・知性派・飲食の攻10％DOWN</t>
    <phoneticPr fontId="1"/>
  </si>
  <si>
    <t>笑顔の満ちた対応</t>
    <phoneticPr fontId="1"/>
  </si>
  <si>
    <t>知性派</t>
    <phoneticPr fontId="1"/>
  </si>
  <si>
    <t>しかじょしゅのもりー</t>
    <phoneticPr fontId="1"/>
  </si>
  <si>
    <t>タイプ神秘・知性派・飲食の防30％UP　/　タイプ神秘・飲食の攻10％DOWN</t>
    <phoneticPr fontId="1"/>
  </si>
  <si>
    <t>タイプ神秘・飲食の防15％UP　/　タイプ【飲食】の攻10％DOWN</t>
    <phoneticPr fontId="1"/>
  </si>
  <si>
    <t>戦極ガチャ</t>
    <rPh sb="0" eb="1">
      <t>セン</t>
    </rPh>
    <rPh sb="1" eb="2">
      <t>ゴク</t>
    </rPh>
    <phoneticPr fontId="1"/>
  </si>
  <si>
    <t>(戦技チャンス)12/9 15:00～12/11 23:59</t>
    <rPh sb="1" eb="3">
      <t>センギ</t>
    </rPh>
    <phoneticPr fontId="1"/>
  </si>
  <si>
    <t>(高コスト)12/9 15:00～12/11 23:59</t>
    <rPh sb="1" eb="2">
      <t>コウ</t>
    </rPh>
    <phoneticPr fontId="1"/>
  </si>
  <si>
    <t>中部</t>
    <rPh sb="0" eb="2">
      <t>チュウブ</t>
    </rPh>
    <phoneticPr fontId="1"/>
  </si>
  <si>
    <t>すすきがりきつねのよめいり</t>
    <phoneticPr fontId="1"/>
  </si>
  <si>
    <t>伝承</t>
    <rPh sb="0" eb="2">
      <t>デンショウ</t>
    </rPh>
    <phoneticPr fontId="1"/>
  </si>
  <si>
    <t>銀に輝く尾花を摘んで</t>
    <phoneticPr fontId="1"/>
  </si>
  <si>
    <t>四神戦 英雄ガチャ</t>
    <rPh sb="0" eb="1">
      <t>ヨン</t>
    </rPh>
    <rPh sb="1" eb="2">
      <t>シン</t>
    </rPh>
    <rPh sb="2" eb="3">
      <t>セン</t>
    </rPh>
    <rPh sb="4" eb="6">
      <t>エイユウ</t>
    </rPh>
    <phoneticPr fontId="1"/>
  </si>
  <si>
    <t>12/10 11:00～12/10 23:59</t>
    <phoneticPr fontId="1"/>
  </si>
  <si>
    <t>豪華玉手箱ガチャ</t>
    <rPh sb="0" eb="2">
      <t>ゴウカ</t>
    </rPh>
    <rPh sb="2" eb="5">
      <t>タマテバコ</t>
    </rPh>
    <phoneticPr fontId="1"/>
  </si>
  <si>
    <t>12/10 15:00～12/10 23:59</t>
    <phoneticPr fontId="1"/>
  </si>
  <si>
    <t>祝来！宝船福引ガチャ</t>
    <phoneticPr fontId="1"/>
  </si>
  <si>
    <t>12/11 12:00～12/12 11:59</t>
    <phoneticPr fontId="1"/>
  </si>
  <si>
    <t>四神戦 英雄ガチャ</t>
    <rPh sb="0" eb="1">
      <t>ヨン</t>
    </rPh>
    <rPh sb="1" eb="2">
      <t>シン</t>
    </rPh>
    <rPh sb="2" eb="3">
      <t>セン</t>
    </rPh>
    <rPh sb="4" eb="6">
      <t>エイユウ</t>
    </rPh>
    <phoneticPr fontId="1"/>
  </si>
  <si>
    <t>12/12 11:00～12/12 23:59</t>
    <phoneticPr fontId="1"/>
  </si>
  <si>
    <t>12/11 18:00～12/13 23:59</t>
    <phoneticPr fontId="1"/>
  </si>
  <si>
    <t>タイプ神秘・知性派の防30％UP　/　タイプ【飲食】の防10％UP</t>
    <phoneticPr fontId="1"/>
  </si>
  <si>
    <t>アーリーサマースイート</t>
    <phoneticPr fontId="1"/>
  </si>
  <si>
    <t>飲食</t>
    <phoneticPr fontId="1"/>
  </si>
  <si>
    <t>しょかのせいそうまどれーぬちゃん</t>
    <phoneticPr fontId="1"/>
  </si>
  <si>
    <t>名物</t>
    <rPh sb="0" eb="2">
      <t>メイブツ</t>
    </rPh>
    <phoneticPr fontId="1"/>
  </si>
  <si>
    <t>姫</t>
    <rPh sb="0" eb="1">
      <t>ヒメ</t>
    </rPh>
    <phoneticPr fontId="1"/>
  </si>
  <si>
    <t>武人</t>
    <rPh sb="0" eb="2">
      <t>ブジン</t>
    </rPh>
    <phoneticPr fontId="1"/>
  </si>
  <si>
    <t>偉人</t>
    <rPh sb="0" eb="2">
      <t>イジン</t>
    </rPh>
    <phoneticPr fontId="1"/>
  </si>
  <si>
    <t>知性派</t>
    <rPh sb="0" eb="2">
      <t>チセイ</t>
    </rPh>
    <rPh sb="2" eb="3">
      <t>ハ</t>
    </rPh>
    <phoneticPr fontId="1"/>
  </si>
  <si>
    <t>タイプ神秘・知性派・飲食の防40％UP　/　タイプ伝承・武人・姫の攻10％DOWN</t>
    <phoneticPr fontId="1"/>
  </si>
  <si>
    <t>太陽の下の保母さん</t>
    <phoneticPr fontId="1"/>
  </si>
  <si>
    <t>すいかわりえびなりん</t>
    <phoneticPr fontId="1"/>
  </si>
  <si>
    <t>タイプ偉人・妖怪・名物の攻70％DOWN　/　タイプ妖怪・名物の防30％UP</t>
    <phoneticPr fontId="1"/>
  </si>
  <si>
    <t>本質見抜く天才</t>
    <phoneticPr fontId="1"/>
  </si>
  <si>
    <t>てらだとらひこ</t>
    <phoneticPr fontId="1"/>
  </si>
  <si>
    <t>タイプ伝承・武人・姫の防35％UP　/　タイプ偉人・妖怪・名物の攻10％DOWN</t>
    <phoneticPr fontId="1"/>
  </si>
  <si>
    <t>父の仇と進む道</t>
    <phoneticPr fontId="1"/>
  </si>
  <si>
    <t>うらがみまさむね</t>
    <phoneticPr fontId="1"/>
  </si>
  <si>
    <t>タイプ武人・伝承の防30％UP　/　タイプ【姫】の防10％UP</t>
    <phoneticPr fontId="1"/>
  </si>
  <si>
    <t>知られざる姫の遊び</t>
    <phoneticPr fontId="1"/>
  </si>
  <si>
    <t>じょうばあまひめ</t>
    <phoneticPr fontId="1"/>
  </si>
  <si>
    <t>タイプ偉人・妖怪の防30％UP　/　タイプ【名物】の防10％UP</t>
    <phoneticPr fontId="1"/>
  </si>
  <si>
    <t>大空に舞う透き通りし鯉</t>
    <phoneticPr fontId="1"/>
  </si>
  <si>
    <t>こいのぼりほうせきちゃん</t>
    <phoneticPr fontId="1"/>
  </si>
  <si>
    <t>12/12 20:00～12/12 23:59</t>
    <phoneticPr fontId="1"/>
  </si>
  <si>
    <t>12/12 11:00～12/14 23:59</t>
    <phoneticPr fontId="1"/>
  </si>
  <si>
    <t>戦神ガチャ(シートボーナス付きは初・もしくは前回からだったか)</t>
    <rPh sb="0" eb="2">
      <t>センシン</t>
    </rPh>
    <rPh sb="13" eb="14">
      <t>ツ</t>
    </rPh>
    <rPh sb="16" eb="17">
      <t>ハツ</t>
    </rPh>
    <rPh sb="22" eb="24">
      <t>ゼンカイ</t>
    </rPh>
    <phoneticPr fontId="1"/>
  </si>
  <si>
    <t>SSR</t>
    <phoneticPr fontId="1"/>
  </si>
  <si>
    <t>タイプ神秘・知性派の防40％UP　/　タイプ【飲食】の防25％UP</t>
    <phoneticPr fontId="1"/>
  </si>
  <si>
    <t>世界一の料理</t>
    <phoneticPr fontId="1"/>
  </si>
  <si>
    <t>おーなーしぇふみづの</t>
    <phoneticPr fontId="1"/>
  </si>
  <si>
    <t>タイプ伝承・武人・姫の攻25％UP　/　タイプ神秘・知性派・飲食の防12％DOWN</t>
    <phoneticPr fontId="1"/>
  </si>
  <si>
    <t>血に飢えし宵闇の虎剣</t>
    <phoneticPr fontId="1"/>
  </si>
  <si>
    <t>こんどういさみ</t>
    <phoneticPr fontId="1"/>
  </si>
  <si>
    <t>12/13 15:00～12/13 23:59</t>
    <phoneticPr fontId="1"/>
  </si>
  <si>
    <t>豪華玉手箱ガチャ</t>
    <phoneticPr fontId="1"/>
  </si>
  <si>
    <t>12/13 18:00～12/13 21:59</t>
    <phoneticPr fontId="1"/>
  </si>
  <si>
    <t>祝来！宝船福引ガチャ</t>
    <phoneticPr fontId="1"/>
  </si>
  <si>
    <t>12/14 12:00～12/15 11:59</t>
    <phoneticPr fontId="1"/>
  </si>
  <si>
    <t>12/14 18:00～12/16 23:59</t>
    <phoneticPr fontId="1"/>
  </si>
  <si>
    <t>タイプ妖怪・名物の攻30％UP　/　タイプ【偉人】の攻10％UP</t>
    <phoneticPr fontId="1"/>
  </si>
  <si>
    <t>銃持つその手に花束を</t>
    <phoneticPr fontId="1"/>
  </si>
  <si>
    <t>しんせいあじさいにいじまやえ</t>
    <phoneticPr fontId="1"/>
  </si>
  <si>
    <t>タイプ神秘・知性派・飲食の攻40％UP　/　タイプ偉人・妖怪・名物の防10％DOWN</t>
    <phoneticPr fontId="1"/>
  </si>
  <si>
    <t>廻る宝石箱で微笑む淑女</t>
    <phoneticPr fontId="1"/>
  </si>
  <si>
    <t>ゆうえんちらぐーざたま</t>
    <phoneticPr fontId="1"/>
  </si>
  <si>
    <t>タイプ偉人・妖怪・名物の攻10％UP　/　タイプ妖怪・名物・偉人・神秘の防35％DOWN</t>
    <phoneticPr fontId="1"/>
  </si>
  <si>
    <t>みずうみヴォルケイノ</t>
    <phoneticPr fontId="1"/>
  </si>
  <si>
    <t>とうやこ</t>
    <phoneticPr fontId="1"/>
  </si>
  <si>
    <t>タイプ【武人】の攻85％UP　/　タイプ姫・伝承の攻25％UP</t>
    <phoneticPr fontId="1"/>
  </si>
  <si>
    <t>幼き当主への母の護り</t>
    <phoneticPr fontId="1"/>
  </si>
  <si>
    <t>てんゆうえいじゅ</t>
    <phoneticPr fontId="1"/>
  </si>
  <si>
    <t>(Lvアップ)12/14 12:00～12/21 11:59</t>
    <phoneticPr fontId="1"/>
  </si>
  <si>
    <t>(DX)12/14 12:00～12/21 11:59</t>
    <phoneticPr fontId="1"/>
  </si>
  <si>
    <t>サイコロ行脚 寒さ吹き飛ぶ熱情展覧会ガチャ</t>
    <rPh sb="4" eb="6">
      <t>アンギャ</t>
    </rPh>
    <phoneticPr fontId="1"/>
  </si>
  <si>
    <t>SSR</t>
    <phoneticPr fontId="1"/>
  </si>
  <si>
    <t>SR</t>
    <phoneticPr fontId="1"/>
  </si>
  <si>
    <t>HR</t>
    <phoneticPr fontId="1"/>
  </si>
  <si>
    <t>R</t>
    <phoneticPr fontId="1"/>
  </si>
  <si>
    <t>中国・四国</t>
    <rPh sb="0" eb="2">
      <t>チュウゴク</t>
    </rPh>
    <rPh sb="3" eb="5">
      <t>シコク</t>
    </rPh>
    <phoneticPr fontId="1"/>
  </si>
  <si>
    <t>関東</t>
    <rPh sb="0" eb="2">
      <t>カントウ</t>
    </rPh>
    <phoneticPr fontId="1"/>
  </si>
  <si>
    <t>九州・沖縄</t>
    <rPh sb="0" eb="2">
      <t>キュウシュウ</t>
    </rPh>
    <rPh sb="3" eb="5">
      <t>オキナワ</t>
    </rPh>
    <phoneticPr fontId="1"/>
  </si>
  <si>
    <t>北海道・東北</t>
    <rPh sb="0" eb="3">
      <t>ホッカイドウ</t>
    </rPh>
    <rPh sb="4" eb="6">
      <t>トウホク</t>
    </rPh>
    <phoneticPr fontId="1"/>
  </si>
  <si>
    <t>石川</t>
    <rPh sb="0" eb="2">
      <t>イシカワ</t>
    </rPh>
    <phoneticPr fontId="1"/>
  </si>
  <si>
    <t>タイプ【伝承】の攻20％UP</t>
    <phoneticPr fontId="1"/>
  </si>
  <si>
    <t>容赦ない無敵の幼妻</t>
    <phoneticPr fontId="1"/>
  </si>
  <si>
    <t>しんせいあめこみたまひめ</t>
    <phoneticPr fontId="1"/>
  </si>
  <si>
    <t>タイプ偉人・妖怪の防20％UP</t>
    <phoneticPr fontId="1"/>
  </si>
  <si>
    <t>木真面目な交通指導</t>
    <phoneticPr fontId="1"/>
  </si>
  <si>
    <t>しんせいぽりすこけしちゃん</t>
    <phoneticPr fontId="1"/>
  </si>
  <si>
    <t>タイプ知性派・飲食の攻30％UP　/　タイプ【神秘】の攻10％UP</t>
    <phoneticPr fontId="1"/>
  </si>
  <si>
    <t>神技と忍びの技の競演</t>
    <phoneticPr fontId="1"/>
  </si>
  <si>
    <t>しんせいいんとんわだつみ</t>
    <phoneticPr fontId="1"/>
  </si>
  <si>
    <t>タイプ【姫】の防30％UP　/　タイプ武人・伝承の防15％UP</t>
    <phoneticPr fontId="1"/>
  </si>
  <si>
    <t>異国のマントを翻し</t>
    <phoneticPr fontId="1"/>
  </si>
  <si>
    <t>しんせいもんすたーあしかがたかうじ</t>
    <phoneticPr fontId="1"/>
  </si>
  <si>
    <t>タイプ神秘・知性派の攻45％UP　/　タイプ【飲食】の攻15％UP</t>
    <phoneticPr fontId="1"/>
  </si>
  <si>
    <t>甘く誘うホクホクブース</t>
    <phoneticPr fontId="1"/>
  </si>
  <si>
    <t>ふゆこみなるときんとき</t>
    <phoneticPr fontId="1"/>
  </si>
  <si>
    <t>SSR</t>
    <phoneticPr fontId="1"/>
  </si>
  <si>
    <t>SR</t>
    <phoneticPr fontId="1"/>
  </si>
  <si>
    <t>近畿</t>
    <rPh sb="0" eb="2">
      <t>キンキ</t>
    </rPh>
    <phoneticPr fontId="1"/>
  </si>
  <si>
    <t>東日本</t>
    <rPh sb="0" eb="1">
      <t>ヒガシ</t>
    </rPh>
    <rPh sb="1" eb="3">
      <t>ニホン</t>
    </rPh>
    <phoneticPr fontId="1"/>
  </si>
  <si>
    <t>中国・四国</t>
    <rPh sb="0" eb="2">
      <t>チュウゴク</t>
    </rPh>
    <rPh sb="3" eb="5">
      <t>シコク</t>
    </rPh>
    <phoneticPr fontId="1"/>
  </si>
  <si>
    <t>北海道・東北</t>
    <rPh sb="0" eb="3">
      <t>ホッカイドウ</t>
    </rPh>
    <rPh sb="4" eb="6">
      <t>トウホク</t>
    </rPh>
    <phoneticPr fontId="1"/>
  </si>
  <si>
    <t>九州・沖縄</t>
    <rPh sb="0" eb="2">
      <t>キュウシュウ</t>
    </rPh>
    <rPh sb="3" eb="5">
      <t>オキナワ</t>
    </rPh>
    <phoneticPr fontId="1"/>
  </si>
  <si>
    <t>中部</t>
    <rPh sb="0" eb="2">
      <t>チュウブ</t>
    </rPh>
    <phoneticPr fontId="1"/>
  </si>
  <si>
    <t>飲食</t>
    <rPh sb="0" eb="2">
      <t>インショク</t>
    </rPh>
    <phoneticPr fontId="1"/>
  </si>
  <si>
    <t>神秘</t>
    <rPh sb="0" eb="2">
      <t>シンピ</t>
    </rPh>
    <phoneticPr fontId="1"/>
  </si>
  <si>
    <t>伝承</t>
    <rPh sb="0" eb="2">
      <t>デンショウ</t>
    </rPh>
    <phoneticPr fontId="1"/>
  </si>
  <si>
    <t>姫</t>
    <rPh sb="0" eb="1">
      <t>ヒメ</t>
    </rPh>
    <phoneticPr fontId="1"/>
  </si>
  <si>
    <t>名物</t>
    <rPh sb="0" eb="2">
      <t>メイブツ</t>
    </rPh>
    <phoneticPr fontId="1"/>
  </si>
  <si>
    <t>きんぎょくちゃん</t>
    <phoneticPr fontId="1"/>
  </si>
  <si>
    <t>清涼の上生琥珀</t>
    <rPh sb="0" eb="2">
      <t>セイリョウ</t>
    </rPh>
    <rPh sb="3" eb="4">
      <t>ウエ</t>
    </rPh>
    <rPh sb="4" eb="5">
      <t>ウ</t>
    </rPh>
    <rPh sb="5" eb="7">
      <t>コハク</t>
    </rPh>
    <phoneticPr fontId="1"/>
  </si>
  <si>
    <t>ぴよぴよばく</t>
    <phoneticPr fontId="1"/>
  </si>
  <si>
    <t>卵から孵る癒しの夢</t>
    <rPh sb="0" eb="1">
      <t>タマゴ</t>
    </rPh>
    <rPh sb="3" eb="4">
      <t>カエ</t>
    </rPh>
    <rPh sb="5" eb="6">
      <t>イヤ</t>
    </rPh>
    <rPh sb="8" eb="9">
      <t>ユメ</t>
    </rPh>
    <phoneticPr fontId="1"/>
  </si>
  <si>
    <t>一石二鳥の鬼退治</t>
    <rPh sb="0" eb="4">
      <t>イッセキニチョウ</t>
    </rPh>
    <rPh sb="5" eb="6">
      <t>オニ</t>
    </rPh>
    <rPh sb="6" eb="8">
      <t>タイジ</t>
    </rPh>
    <phoneticPr fontId="1"/>
  </si>
  <si>
    <t>くりすますぱーてぃほわいとちょこちゃん</t>
    <phoneticPr fontId="1"/>
  </si>
  <si>
    <t>寒い季節に舞い降りた白き少女</t>
    <rPh sb="0" eb="1">
      <t>サム</t>
    </rPh>
    <rPh sb="2" eb="4">
      <t>キセツ</t>
    </rPh>
    <rPh sb="5" eb="6">
      <t>マ</t>
    </rPh>
    <rPh sb="7" eb="8">
      <t>オ</t>
    </rPh>
    <rPh sb="10" eb="11">
      <t>シロ</t>
    </rPh>
    <rPh sb="12" eb="14">
      <t>ショウジョ</t>
    </rPh>
    <phoneticPr fontId="1"/>
  </si>
  <si>
    <t>タイプ神秘・知性派の攻35％UP　/　タイプ【飲食】の攻2０％UP</t>
    <rPh sb="3" eb="5">
      <t>シンピ</t>
    </rPh>
    <rPh sb="6" eb="8">
      <t>チセイ</t>
    </rPh>
    <rPh sb="8" eb="9">
      <t>ハ</t>
    </rPh>
    <rPh sb="10" eb="11">
      <t>コウ</t>
    </rPh>
    <rPh sb="23" eb="25">
      <t>インショク</t>
    </rPh>
    <rPh sb="27" eb="28">
      <t>コウ</t>
    </rPh>
    <phoneticPr fontId="1"/>
  </si>
  <si>
    <t>くりすますぱーてぃわかなひめ</t>
    <phoneticPr fontId="1"/>
  </si>
  <si>
    <t>雪球に封じられし怪しき力</t>
    <rPh sb="0" eb="1">
      <t>ユキ</t>
    </rPh>
    <rPh sb="1" eb="2">
      <t>ダマ</t>
    </rPh>
    <rPh sb="3" eb="4">
      <t>フウ</t>
    </rPh>
    <rPh sb="8" eb="9">
      <t>アヤ</t>
    </rPh>
    <rPh sb="11" eb="12">
      <t>チカラ</t>
    </rPh>
    <phoneticPr fontId="1"/>
  </si>
  <si>
    <t>くりすますぱーてぃこうていぺんぎんちゃん</t>
    <phoneticPr fontId="1"/>
  </si>
  <si>
    <t>夜空へ響く鐘と共に</t>
    <rPh sb="0" eb="2">
      <t>ヨゾラ</t>
    </rPh>
    <rPh sb="3" eb="4">
      <t>ヒビ</t>
    </rPh>
    <rPh sb="5" eb="6">
      <t>カネ</t>
    </rPh>
    <rPh sb="7" eb="8">
      <t>トモ</t>
    </rPh>
    <phoneticPr fontId="1"/>
  </si>
  <si>
    <t>12/15 12:00～12/20 22:59</t>
    <phoneticPr fontId="1"/>
  </si>
  <si>
    <t>5進</t>
    <rPh sb="1" eb="2">
      <t>シン</t>
    </rPh>
    <phoneticPr fontId="1"/>
  </si>
  <si>
    <t>3進</t>
    <rPh sb="1" eb="2">
      <t>シン</t>
    </rPh>
    <phoneticPr fontId="1"/>
  </si>
  <si>
    <t>1進</t>
    <rPh sb="1" eb="2">
      <t>シン</t>
    </rPh>
    <phoneticPr fontId="1"/>
  </si>
  <si>
    <t>妖怪</t>
    <rPh sb="0" eb="2">
      <t>ヨウカイ</t>
    </rPh>
    <phoneticPr fontId="1"/>
  </si>
  <si>
    <t>タイプ【名物】の攻75％UP　/　タイプ偉人・妖怪の攻30％UP</t>
    <phoneticPr fontId="1"/>
  </si>
  <si>
    <t>ウィオラ・カテーラ</t>
    <phoneticPr fontId="1"/>
  </si>
  <si>
    <t>すぺるびあ</t>
    <phoneticPr fontId="1"/>
  </si>
  <si>
    <t>全国</t>
    <rPh sb="0" eb="2">
      <t>ゼンコク</t>
    </rPh>
    <phoneticPr fontId="1"/>
  </si>
  <si>
    <t>タイプ【名物】の攻50％UP　/　タイプ偉人・妖怪の攻25％UP</t>
    <phoneticPr fontId="1"/>
  </si>
  <si>
    <t>タイプ【名物】の攻40％UP　/　タイプ【妖怪】の攻15％UP</t>
    <phoneticPr fontId="1"/>
  </si>
  <si>
    <t>栄冠輝く！総選挙記念ガチャ</t>
    <phoneticPr fontId="1"/>
  </si>
  <si>
    <t>SP</t>
    <phoneticPr fontId="1"/>
  </si>
  <si>
    <t>全タイプの攻35％UP　/　全タイプの防20％DOWN</t>
    <phoneticPr fontId="1"/>
  </si>
  <si>
    <t>国民的人気いちご</t>
    <phoneticPr fontId="1"/>
  </si>
  <si>
    <t>にんきしゅいとちおとめちゃん</t>
    <phoneticPr fontId="1"/>
  </si>
  <si>
    <t>戦神ガチャ</t>
    <rPh sb="0" eb="2">
      <t>センシン</t>
    </rPh>
    <phoneticPr fontId="1"/>
  </si>
  <si>
    <t>12/17 11:00～12/19 23:59</t>
    <phoneticPr fontId="1"/>
  </si>
  <si>
    <t>12/17 18:00～12/19 23:59</t>
    <phoneticPr fontId="1"/>
  </si>
  <si>
    <t>タイプ神秘・知性派の防30％UP　/　タイプ【飲食】の防10％UP</t>
    <phoneticPr fontId="1"/>
  </si>
  <si>
    <t>アーリーサマースイート</t>
    <phoneticPr fontId="1"/>
  </si>
  <si>
    <t>しょかのせいそうまどれーぬちゃん</t>
    <phoneticPr fontId="1"/>
  </si>
  <si>
    <t>タイプ名物・妖怪・知性派の防40％UP　/　タイプ【偉人】の防35％UP</t>
    <phoneticPr fontId="1"/>
  </si>
  <si>
    <t>琉球王国の産業革命家</t>
    <phoneticPr fontId="1"/>
  </si>
  <si>
    <t>ぎましんじょう</t>
    <phoneticPr fontId="1"/>
  </si>
  <si>
    <t>タイプ伝承・武人・姫の防15％UP　/　タイプ神秘・飲食・知性派・武人の攻25％DOWN</t>
    <phoneticPr fontId="1"/>
  </si>
  <si>
    <t>大成へ通ずる握り占めた一本の藁</t>
    <phoneticPr fontId="1"/>
  </si>
  <si>
    <t>わらしべちょうじゃ</t>
    <phoneticPr fontId="1"/>
  </si>
  <si>
    <t>タイプ神秘・知性派・飲食の防40％UP　/　タイプ神秘・知性派・飲食の攻10％DOWN</t>
    <phoneticPr fontId="1"/>
  </si>
  <si>
    <t>プールサイドくノ一</t>
    <phoneticPr fontId="1"/>
  </si>
  <si>
    <t>しつないぷーるもちづきちよめ</t>
    <phoneticPr fontId="1"/>
  </si>
  <si>
    <t>タイプ武人・伝承の防30％UP　/　タイプ【姫】の防10％UP</t>
    <phoneticPr fontId="1"/>
  </si>
  <si>
    <t>知られざる姫の遊び</t>
    <phoneticPr fontId="1"/>
  </si>
  <si>
    <t>じょうばあまひめ</t>
    <phoneticPr fontId="1"/>
  </si>
  <si>
    <t>タイプ偉人・妖怪の防30％UP　/　タイプ【名物】の防10％UP</t>
    <phoneticPr fontId="1"/>
  </si>
  <si>
    <t>大空に舞う透き通りし鯉</t>
    <phoneticPr fontId="1"/>
  </si>
  <si>
    <t>こいのぼりほうせきちゃん</t>
    <phoneticPr fontId="1"/>
  </si>
  <si>
    <t>サイコロ行脚 英雄ガチャ(Amebaサーバー障害による影響あり)</t>
    <rPh sb="4" eb="6">
      <t>アンギャ</t>
    </rPh>
    <rPh sb="7" eb="9">
      <t>エイユウ</t>
    </rPh>
    <rPh sb="22" eb="24">
      <t>ショウガイ</t>
    </rPh>
    <rPh sb="27" eb="29">
      <t>エイキョウ</t>
    </rPh>
    <phoneticPr fontId="1"/>
  </si>
  <si>
    <t>サイコロ行脚 英雄ガチャ(Amebaサーバー障害による影響のため再販)</t>
    <rPh sb="4" eb="6">
      <t>アンギャ</t>
    </rPh>
    <rPh sb="7" eb="9">
      <t>エイユウ</t>
    </rPh>
    <rPh sb="22" eb="24">
      <t>ショウガイ</t>
    </rPh>
    <rPh sb="27" eb="29">
      <t>エイキョウ</t>
    </rPh>
    <rPh sb="32" eb="34">
      <t>サイハン</t>
    </rPh>
    <phoneticPr fontId="1"/>
  </si>
  <si>
    <t>祝来！宝船福引ガチャ</t>
    <rPh sb="0" eb="2">
      <t>シュクライ</t>
    </rPh>
    <rPh sb="3" eb="7">
      <t>タカラブネフクビキ</t>
    </rPh>
    <phoneticPr fontId="1"/>
  </si>
  <si>
    <t>12/18 12:00～12/19 11:59</t>
    <phoneticPr fontId="1"/>
  </si>
  <si>
    <t>豪華玉手箱ガチャ</t>
    <rPh sb="0" eb="5">
      <t>ゴウカタマテバコ</t>
    </rPh>
    <phoneticPr fontId="1"/>
  </si>
  <si>
    <t>12/18 15:00～12/18 23:59</t>
    <phoneticPr fontId="1"/>
  </si>
  <si>
    <t>サイコロ行脚 英雄ガチャ</t>
    <rPh sb="4" eb="6">
      <t>アンギャ</t>
    </rPh>
    <rPh sb="7" eb="9">
      <t>エイユウ</t>
    </rPh>
    <phoneticPr fontId="1"/>
  </si>
  <si>
    <t>12/19 18:00～12/19 21:59</t>
    <phoneticPr fontId="1"/>
  </si>
  <si>
    <t>12/20 20:00～12/20 23:59</t>
    <phoneticPr fontId="1"/>
  </si>
  <si>
    <t>戦神ガチャ</t>
    <rPh sb="0" eb="2">
      <t>センシン</t>
    </rPh>
    <phoneticPr fontId="1"/>
  </si>
  <si>
    <t>12/20 12:00～12/22 23:59</t>
    <phoneticPr fontId="1"/>
  </si>
  <si>
    <t>豪華玉手箱ガチャ</t>
    <rPh sb="0" eb="5">
      <t>ゴウカタマテバコ</t>
    </rPh>
    <phoneticPr fontId="1"/>
  </si>
  <si>
    <t>12/21 15:00～12/21 23:59</t>
    <phoneticPr fontId="1"/>
  </si>
  <si>
    <t>12/21 15:00～12/22 23:59</t>
    <phoneticPr fontId="1"/>
  </si>
  <si>
    <t>2019 天クロ星降る聖夜の福引ガチャ(12/15 23:59におけるガチャ消滅の不具合のため再販)</t>
    <rPh sb="5" eb="6">
      <t>テン</t>
    </rPh>
    <rPh sb="8" eb="9">
      <t>ホシ</t>
    </rPh>
    <rPh sb="9" eb="10">
      <t>フ</t>
    </rPh>
    <rPh sb="11" eb="13">
      <t>セイヤ</t>
    </rPh>
    <rPh sb="14" eb="16">
      <t>フクビキ</t>
    </rPh>
    <rPh sb="38" eb="40">
      <t>ショウメツ</t>
    </rPh>
    <rPh sb="41" eb="44">
      <t>フグアイ</t>
    </rPh>
    <rPh sb="47" eb="49">
      <t>サイハン</t>
    </rPh>
    <phoneticPr fontId="1"/>
  </si>
  <si>
    <t>タイプ神秘・飲食の攻25％UP　/　タイプ【知性派】の攻10％UP</t>
    <phoneticPr fontId="1"/>
  </si>
  <si>
    <t>おもちゃの世界に潜入成功</t>
    <phoneticPr fontId="1"/>
  </si>
  <si>
    <t>おもちゃもちづきちよめ</t>
    <phoneticPr fontId="1"/>
  </si>
  <si>
    <t>タイプ妖怪・名物の攻50％UP　/　タイプ【偉人】の攻35％UP</t>
    <phoneticPr fontId="1"/>
  </si>
  <si>
    <t>磨かれた技術</t>
    <phoneticPr fontId="1"/>
  </si>
  <si>
    <t>おもちゃぱぺっとますたー</t>
    <phoneticPr fontId="1"/>
  </si>
  <si>
    <t>タイプ【武人】の攻85％UP　/　タイプ姫・伝承の攻25％UP</t>
    <phoneticPr fontId="1"/>
  </si>
  <si>
    <t>大衆酒場にて</t>
    <phoneticPr fontId="1"/>
  </si>
  <si>
    <t>えんたくのきしたかつかさのぶこ</t>
    <phoneticPr fontId="1"/>
  </si>
  <si>
    <t>祝来！宝船福引ガチャ</t>
    <rPh sb="0" eb="1">
      <t>シュク</t>
    </rPh>
    <rPh sb="1" eb="2">
      <t>ライ</t>
    </rPh>
    <rPh sb="3" eb="5">
      <t>タカラブネ</t>
    </rPh>
    <rPh sb="5" eb="7">
      <t>フクビキ</t>
    </rPh>
    <phoneticPr fontId="1"/>
  </si>
  <si>
    <t>12/22 12:00～12/23 11:59</t>
    <phoneticPr fontId="1"/>
  </si>
  <si>
    <t>偉人</t>
    <rPh sb="0" eb="2">
      <t>イジン</t>
    </rPh>
    <phoneticPr fontId="1"/>
  </si>
  <si>
    <t>姫</t>
    <rPh sb="0" eb="1">
      <t>ヒメ</t>
    </rPh>
    <phoneticPr fontId="1"/>
  </si>
  <si>
    <t>飲食</t>
    <rPh sb="0" eb="2">
      <t>インショク</t>
    </rPh>
    <phoneticPr fontId="1"/>
  </si>
  <si>
    <t>タイプ伝承・武人・姫の攻80％DOWN　/　タイプ妖怪・名物の防25％UP</t>
    <phoneticPr fontId="1"/>
  </si>
  <si>
    <t>厳島の美麗人形</t>
    <phoneticPr fontId="1"/>
  </si>
  <si>
    <t>おもちゃいつくしまのないじ</t>
    <phoneticPr fontId="1"/>
  </si>
  <si>
    <t>タイプ【武人】の防95％UP　/　タイプ姫・伝承の防20％UP</t>
    <phoneticPr fontId="1"/>
  </si>
  <si>
    <t>無垢な強欲</t>
    <phoneticPr fontId="1"/>
  </si>
  <si>
    <t>おもちゃあわりてぃあ</t>
    <phoneticPr fontId="1"/>
  </si>
  <si>
    <t>タイプ神秘・知性派の防50％UP　/　タイプ【飲食】の防35％UP</t>
    <phoneticPr fontId="1"/>
  </si>
  <si>
    <t>歯ごたえ抜群の極上食感</t>
    <phoneticPr fontId="1"/>
  </si>
  <si>
    <t>あわびちゃん</t>
    <phoneticPr fontId="1"/>
  </si>
  <si>
    <t>天クロウィークガチャ</t>
    <rPh sb="0" eb="1">
      <t>テン</t>
    </rPh>
    <phoneticPr fontId="1"/>
  </si>
  <si>
    <t>12/22 15:00～12/24 23:59</t>
    <phoneticPr fontId="1"/>
  </si>
  <si>
    <t>SP</t>
    <phoneticPr fontId="1"/>
  </si>
  <si>
    <t>全国</t>
    <rPh sb="0" eb="2">
      <t>ゼンコク</t>
    </rPh>
    <phoneticPr fontId="1"/>
  </si>
  <si>
    <t>近畿</t>
    <rPh sb="0" eb="2">
      <t>キンキ</t>
    </rPh>
    <phoneticPr fontId="1"/>
  </si>
  <si>
    <t>同盟戦 英雄ガチャ</t>
    <rPh sb="0" eb="2">
      <t>ドウメイ</t>
    </rPh>
    <rPh sb="2" eb="3">
      <t>セン</t>
    </rPh>
    <rPh sb="4" eb="6">
      <t>エイユウ</t>
    </rPh>
    <phoneticPr fontId="1"/>
  </si>
  <si>
    <t>12/23 11:00～12/23 23:59</t>
    <phoneticPr fontId="1"/>
  </si>
  <si>
    <t>HR</t>
    <phoneticPr fontId="1"/>
  </si>
  <si>
    <t>R</t>
    <phoneticPr fontId="1"/>
  </si>
  <si>
    <t>妖怪</t>
    <rPh sb="0" eb="2">
      <t>ヨウカイ</t>
    </rPh>
    <phoneticPr fontId="1"/>
  </si>
  <si>
    <t>しんせいおかしどろぼうてっそ</t>
    <phoneticPr fontId="1"/>
  </si>
  <si>
    <t>甘いもの好きな妖怪鼠</t>
    <rPh sb="0" eb="1">
      <t>アマ</t>
    </rPh>
    <rPh sb="4" eb="5">
      <t>ス</t>
    </rPh>
    <rPh sb="7" eb="9">
      <t>ヨウカイ</t>
    </rPh>
    <rPh sb="9" eb="10">
      <t>ネズミ</t>
    </rPh>
    <phoneticPr fontId="1"/>
  </si>
  <si>
    <t>宮城</t>
    <rPh sb="0" eb="2">
      <t>ミヤギ</t>
    </rPh>
    <phoneticPr fontId="1"/>
  </si>
  <si>
    <t>多彩なる隠れた銘菓</t>
    <rPh sb="0" eb="2">
      <t>タサイ</t>
    </rPh>
    <rPh sb="4" eb="5">
      <t>カク</t>
    </rPh>
    <rPh sb="7" eb="9">
      <t>メイカ</t>
    </rPh>
    <phoneticPr fontId="1"/>
  </si>
  <si>
    <t>しんせいせんだいだがしちゃん</t>
    <phoneticPr fontId="1"/>
  </si>
  <si>
    <t>12/23 18:00～12/23 21:59</t>
    <phoneticPr fontId="1"/>
  </si>
  <si>
    <t>86713_0</t>
    <phoneticPr fontId="1"/>
  </si>
  <si>
    <t>タイプ武人・姫の防25％UP　/　タイプ妖怪・名物の攻55％DOWN</t>
    <phoneticPr fontId="1"/>
  </si>
  <si>
    <t>厳格な翼</t>
    <phoneticPr fontId="1"/>
  </si>
  <si>
    <t>てんくろえんじぇるず</t>
    <phoneticPr fontId="1"/>
  </si>
  <si>
    <t>戦神ガチャ</t>
    <rPh sb="0" eb="2">
      <t>センシン</t>
    </rPh>
    <phoneticPr fontId="1"/>
  </si>
  <si>
    <t>12/24 12:00～12/26 23:59</t>
    <phoneticPr fontId="1"/>
  </si>
  <si>
    <t>豪華玉手箱ガチャ</t>
    <rPh sb="0" eb="2">
      <t>ゴウカ</t>
    </rPh>
    <rPh sb="2" eb="5">
      <t>タマテバコ</t>
    </rPh>
    <phoneticPr fontId="1"/>
  </si>
  <si>
    <t>12/24 15:00～12/24 23:59</t>
    <phoneticPr fontId="1"/>
  </si>
  <si>
    <t>SSR</t>
    <phoneticPr fontId="1"/>
  </si>
  <si>
    <t>SR</t>
    <phoneticPr fontId="1"/>
  </si>
  <si>
    <t>HR</t>
    <phoneticPr fontId="1"/>
  </si>
  <si>
    <t>R</t>
    <phoneticPr fontId="1"/>
  </si>
  <si>
    <t>関東</t>
    <rPh sb="0" eb="2">
      <t>カントウ</t>
    </rPh>
    <phoneticPr fontId="1"/>
  </si>
  <si>
    <t>近畿</t>
    <rPh sb="0" eb="2">
      <t>キンキ</t>
    </rPh>
    <phoneticPr fontId="1"/>
  </si>
  <si>
    <t>中部</t>
    <rPh sb="0" eb="2">
      <t>チュウブ</t>
    </rPh>
    <phoneticPr fontId="1"/>
  </si>
  <si>
    <t>中国・四国</t>
    <rPh sb="0" eb="2">
      <t>チュウゴク</t>
    </rPh>
    <rPh sb="3" eb="5">
      <t>シコク</t>
    </rPh>
    <phoneticPr fontId="1"/>
  </si>
  <si>
    <t>熊本</t>
    <rPh sb="0" eb="2">
      <t>クマモト</t>
    </rPh>
    <phoneticPr fontId="1"/>
  </si>
  <si>
    <t>名物</t>
    <rPh sb="0" eb="2">
      <t>メイブツ</t>
    </rPh>
    <phoneticPr fontId="1"/>
  </si>
  <si>
    <t>姫</t>
    <rPh sb="0" eb="1">
      <t>ヒメ</t>
    </rPh>
    <phoneticPr fontId="1"/>
  </si>
  <si>
    <t>飲食</t>
    <rPh sb="0" eb="2">
      <t>インショク</t>
    </rPh>
    <phoneticPr fontId="1"/>
  </si>
  <si>
    <t>武人</t>
    <rPh sb="0" eb="2">
      <t>ブジン</t>
    </rPh>
    <phoneticPr fontId="1"/>
  </si>
  <si>
    <t>タイプ【姫】の防20％UP</t>
    <phoneticPr fontId="1"/>
  </si>
  <si>
    <t>古今伝授</t>
    <phoneticPr fontId="1"/>
  </si>
  <si>
    <t>しんせいほそかわゆうさい</t>
    <phoneticPr fontId="1"/>
  </si>
  <si>
    <t>タイプ神秘・知性派の攻20％UP</t>
    <phoneticPr fontId="1"/>
  </si>
  <si>
    <t>やわらか麺とほんわか出汁</t>
    <phoneticPr fontId="1"/>
  </si>
  <si>
    <t>しんせいなべやきうどんちゃん</t>
    <phoneticPr fontId="1"/>
  </si>
  <si>
    <t>タイプ武人・伝承の防30％UP　/　タイプ【姫】の防10％UP</t>
    <phoneticPr fontId="1"/>
  </si>
  <si>
    <t>異国の酒場に漂う香り</t>
    <phoneticPr fontId="1"/>
  </si>
  <si>
    <t>しんせいわいんあさひひめ</t>
    <phoneticPr fontId="1"/>
  </si>
  <si>
    <t>タイプ偉人・妖怪・名物の攻35％UP　/　タイプ飲食・武人・名物の防10％DOWN</t>
    <phoneticPr fontId="1"/>
  </si>
  <si>
    <t>通天閣の愛され者</t>
    <phoneticPr fontId="1"/>
  </si>
  <si>
    <t>しんせいびりけんちゃん</t>
    <phoneticPr fontId="1"/>
  </si>
  <si>
    <t>タイプ【武人】の防95％UP　/　タイプ姫・伝承の防20％UP</t>
    <phoneticPr fontId="1"/>
  </si>
  <si>
    <t>除夜の鐘つく丑の刻参り</t>
    <phoneticPr fontId="1"/>
  </si>
  <si>
    <t>としこしたきやしゃひめ</t>
    <phoneticPr fontId="1"/>
  </si>
  <si>
    <t>12/25 18:00～12/27 23:59</t>
    <phoneticPr fontId="1"/>
  </si>
  <si>
    <t>祝来！宝船福引ガチャ</t>
    <rPh sb="0" eb="2">
      <t>シュクライ</t>
    </rPh>
    <rPh sb="3" eb="7">
      <t>タカラブネフクビキ</t>
    </rPh>
    <phoneticPr fontId="1"/>
  </si>
  <si>
    <t>2019大感謝祭！年末特別ガチャ</t>
    <phoneticPr fontId="1"/>
  </si>
  <si>
    <t>12/26 12:00～12/31 23:59</t>
    <phoneticPr fontId="1"/>
  </si>
  <si>
    <t>12/26 12:00～12/27 11:59</t>
    <phoneticPr fontId="1"/>
  </si>
  <si>
    <t>12/27 15:00～12/27 23:59</t>
    <phoneticPr fontId="1"/>
  </si>
  <si>
    <t>豪華玉手箱ガチャ(SSR失念)</t>
    <rPh sb="0" eb="2">
      <t>ゴウカ</t>
    </rPh>
    <rPh sb="2" eb="5">
      <t>タマテバコ</t>
    </rPh>
    <rPh sb="12" eb="14">
      <t>シツネン</t>
    </rPh>
    <phoneticPr fontId="1"/>
  </si>
  <si>
    <t>SSR</t>
    <phoneticPr fontId="1"/>
  </si>
  <si>
    <t>全国巡り 英雄ガチャ</t>
    <rPh sb="0" eb="2">
      <t>ゼンコク</t>
    </rPh>
    <rPh sb="2" eb="3">
      <t>メグ</t>
    </rPh>
    <rPh sb="5" eb="7">
      <t>エイユウ</t>
    </rPh>
    <phoneticPr fontId="1"/>
  </si>
  <si>
    <t>ZR</t>
    <phoneticPr fontId="1"/>
  </si>
  <si>
    <t>全国巡り 英雄ガチャ(ZR失念)</t>
    <rPh sb="0" eb="2">
      <t>ゼンコク</t>
    </rPh>
    <rPh sb="2" eb="3">
      <t>メグ</t>
    </rPh>
    <rPh sb="5" eb="7">
      <t>エイユウ</t>
    </rPh>
    <rPh sb="13" eb="15">
      <t>シツネン</t>
    </rPh>
    <phoneticPr fontId="1"/>
  </si>
  <si>
    <t>タイプ偉人・妖怪の防15％UP　/　タイプ【名物】の防12％UP</t>
    <phoneticPr fontId="1"/>
  </si>
  <si>
    <t>12/28 11:00～12/28 23:59</t>
    <phoneticPr fontId="1"/>
  </si>
  <si>
    <t>タイプ伝承・武人・姫の防25％UP　/　タイプ神秘・知性派・飲食の攻12％DOWN</t>
    <phoneticPr fontId="1"/>
  </si>
  <si>
    <t>常勝無敗の刀槍勇術</t>
    <phoneticPr fontId="1"/>
  </si>
  <si>
    <t>みずのやはんりゅうさい</t>
    <phoneticPr fontId="1"/>
  </si>
  <si>
    <t>タイプ伝承・武人・姫の攻80％DOWN　/　タイプ知性派・飲食の防25％UP</t>
    <phoneticPr fontId="1"/>
  </si>
  <si>
    <t>下界絶対拒否</t>
    <phoneticPr fontId="1"/>
  </si>
  <si>
    <t>あめのおしほみみ</t>
    <phoneticPr fontId="1"/>
  </si>
  <si>
    <t>タイプ妖怪・名物の防55％UP　/　タイプ【偉人】の防25％UP</t>
    <phoneticPr fontId="1"/>
  </si>
  <si>
    <t>奇想の執事</t>
    <phoneticPr fontId="1"/>
  </si>
  <si>
    <t>しつじきっさながさわろせつ</t>
    <phoneticPr fontId="1"/>
  </si>
  <si>
    <t>12/28 18:00～12/30 23:59</t>
    <phoneticPr fontId="1"/>
  </si>
  <si>
    <t>超防再臨ガチャ</t>
    <phoneticPr fontId="1"/>
  </si>
  <si>
    <t>12/28 18:00～12/28 21:59</t>
    <phoneticPr fontId="1"/>
  </si>
  <si>
    <t>戦神ガチャ</t>
    <rPh sb="0" eb="2">
      <t>センシン</t>
    </rPh>
    <phoneticPr fontId="1"/>
  </si>
  <si>
    <t>12/29 12:00～12/31 23:59</t>
    <phoneticPr fontId="1"/>
  </si>
  <si>
    <t>12/30 12:00～12/31 11:59</t>
    <phoneticPr fontId="1"/>
  </si>
  <si>
    <t>タイプ姫・伝承の攻50％UP　/　タイプ【武人】の攻35％UP</t>
    <phoneticPr fontId="1"/>
  </si>
  <si>
    <t>可憐な欲深ハンター</t>
    <phoneticPr fontId="1"/>
  </si>
  <si>
    <t>めるぶれあ</t>
    <phoneticPr fontId="1"/>
  </si>
  <si>
    <t>タイプ姫・伝承の攻30％UP　/　タイプ【武人】の攻20％UP</t>
    <phoneticPr fontId="1"/>
  </si>
  <si>
    <t>タイプ姫・伝承の攻25％UP　/　タイプ【武人】の攻10％UP</t>
    <phoneticPr fontId="1"/>
  </si>
  <si>
    <t>タイプ偉人・妖怪の攻40％UP　/　タイプ【名物】の攻25％UP</t>
    <phoneticPr fontId="1"/>
  </si>
  <si>
    <t>シザーウェービング</t>
    <phoneticPr fontId="1"/>
  </si>
  <si>
    <t>せいざしおまねき</t>
    <phoneticPr fontId="1"/>
  </si>
  <si>
    <t>タイプ偉人・妖怪の攻30％UP　/　タイプ【名物】の攻15％UP</t>
    <phoneticPr fontId="1"/>
  </si>
  <si>
    <t>タイプ偉人・妖怪の攻15％UP　/　タイプ【名物】の攻10％UP</t>
    <phoneticPr fontId="1"/>
  </si>
  <si>
    <t>タイプ武人・伝承の攻90％DOWN　/　タイプ神秘・知性派・飲食の防15％UP</t>
    <phoneticPr fontId="1"/>
  </si>
  <si>
    <t>フレーバーマジック</t>
    <phoneticPr fontId="1"/>
  </si>
  <si>
    <t>あいすまじしゃん</t>
    <phoneticPr fontId="1"/>
  </si>
  <si>
    <t>タイプ武人・伝承の攻50％DOWN　/　タイプ神秘・知性派・飲食の防10％UP</t>
    <phoneticPr fontId="1"/>
  </si>
  <si>
    <t>タイプ【武人】の攻20％DOWN　/　タイプ神秘・知性派の防10％UP</t>
    <phoneticPr fontId="1"/>
  </si>
  <si>
    <t>(Lvアップ)1/1 0:00～1/8 11:59</t>
    <phoneticPr fontId="1"/>
  </si>
  <si>
    <t>(DX)1/1 0:00～1/8 11:59</t>
    <phoneticPr fontId="1"/>
  </si>
  <si>
    <t>偉人</t>
    <rPh sb="0" eb="2">
      <t>イジン</t>
    </rPh>
    <phoneticPr fontId="1"/>
  </si>
  <si>
    <t>中部</t>
    <rPh sb="0" eb="2">
      <t>チュウブ</t>
    </rPh>
    <phoneticPr fontId="1"/>
  </si>
  <si>
    <t>関東</t>
    <rPh sb="0" eb="2">
      <t>カントウ</t>
    </rPh>
    <phoneticPr fontId="1"/>
  </si>
  <si>
    <t>中国・四国</t>
    <rPh sb="0" eb="2">
      <t>チュウゴク</t>
    </rPh>
    <rPh sb="3" eb="5">
      <t>シコク</t>
    </rPh>
    <phoneticPr fontId="1"/>
  </si>
  <si>
    <t>巫女となった会津の巴御前</t>
    <rPh sb="0" eb="2">
      <t>ミコ</t>
    </rPh>
    <rPh sb="6" eb="8">
      <t>アイズ</t>
    </rPh>
    <rPh sb="9" eb="12">
      <t>トモエゴゼン</t>
    </rPh>
    <phoneticPr fontId="1"/>
  </si>
  <si>
    <t>おしょうがつにいじまやえ</t>
    <phoneticPr fontId="1"/>
  </si>
  <si>
    <t>86273_0</t>
    <phoneticPr fontId="1"/>
  </si>
  <si>
    <t>おしょうがつこいずみやくも</t>
    <phoneticPr fontId="1"/>
  </si>
  <si>
    <t>おしょうがつうしごぜん</t>
    <phoneticPr fontId="1"/>
  </si>
  <si>
    <t>姫</t>
    <rPh sb="0" eb="1">
      <t>ヒメ</t>
    </rPh>
    <phoneticPr fontId="1"/>
  </si>
  <si>
    <t>伝承</t>
    <rPh sb="0" eb="2">
      <t>デンショウ</t>
    </rPh>
    <phoneticPr fontId="1"/>
  </si>
  <si>
    <t>知性派</t>
    <rPh sb="0" eb="2">
      <t>チセイ</t>
    </rPh>
    <rPh sb="2" eb="3">
      <t>ハ</t>
    </rPh>
    <phoneticPr fontId="1"/>
  </si>
  <si>
    <t>運命の初おみくじ</t>
    <rPh sb="0" eb="2">
      <t>ウンメイ</t>
    </rPh>
    <rPh sb="3" eb="4">
      <t>ハツ</t>
    </rPh>
    <phoneticPr fontId="1"/>
  </si>
  <si>
    <t>牛鬼姫の神頼み</t>
    <rPh sb="0" eb="1">
      <t>ウシ</t>
    </rPh>
    <rPh sb="1" eb="2">
      <t>オニ</t>
    </rPh>
    <rPh sb="2" eb="3">
      <t>ヒメ</t>
    </rPh>
    <rPh sb="4" eb="6">
      <t>カミダノ</t>
    </rPh>
    <phoneticPr fontId="1"/>
  </si>
  <si>
    <t>八雲立つ魂込めた年賀状</t>
    <rPh sb="0" eb="2">
      <t>ヤクモ</t>
    </rPh>
    <rPh sb="2" eb="3">
      <t>タ</t>
    </rPh>
    <rPh sb="4" eb="5">
      <t>タマシイ</t>
    </rPh>
    <rPh sb="5" eb="6">
      <t>コ</t>
    </rPh>
    <rPh sb="8" eb="11">
      <t>ネンガジョウ</t>
    </rPh>
    <phoneticPr fontId="1"/>
  </si>
  <si>
    <t>タイプ神秘・知性派・飲食の攻45％UP</t>
    <phoneticPr fontId="1"/>
  </si>
  <si>
    <t>タイプ伝承・武人・姫の攻30％UP　/　タイプ偉人・飲食・武人・名物の防13％DOWN</t>
    <phoneticPr fontId="1"/>
  </si>
  <si>
    <t>北海道・東北</t>
    <phoneticPr fontId="1"/>
  </si>
  <si>
    <t>しんせいげいしゅんごまふあざらしちゃん</t>
    <phoneticPr fontId="1"/>
  </si>
  <si>
    <t>名物</t>
    <phoneticPr fontId="1"/>
  </si>
  <si>
    <t>小豆の海に浮かぶ餅</t>
    <phoneticPr fontId="1"/>
  </si>
  <si>
    <t>近畿</t>
    <phoneticPr fontId="1"/>
  </si>
  <si>
    <t>飲食</t>
    <phoneticPr fontId="1"/>
  </si>
  <si>
    <t>西正月の儀</t>
    <phoneticPr fontId="1"/>
  </si>
  <si>
    <t>しんせいにしのおせちちゃん</t>
    <phoneticPr fontId="1"/>
  </si>
  <si>
    <t>知性派</t>
    <phoneticPr fontId="1"/>
  </si>
  <si>
    <t>九州・沖縄</t>
    <phoneticPr fontId="1"/>
  </si>
  <si>
    <t>伝統を重んじる勝負</t>
    <phoneticPr fontId="1"/>
  </si>
  <si>
    <t>しんせいげいしゅんたまぐすくせいじゅう</t>
    <phoneticPr fontId="1"/>
  </si>
  <si>
    <t>山口</t>
    <rPh sb="0" eb="2">
      <t>ヤマグチ</t>
    </rPh>
    <phoneticPr fontId="1"/>
  </si>
  <si>
    <t>しんせいかんぬしたかすぎしんさく</t>
    <phoneticPr fontId="1"/>
  </si>
  <si>
    <t>武人</t>
    <rPh sb="0" eb="2">
      <t>ブジン</t>
    </rPh>
    <phoneticPr fontId="1"/>
  </si>
  <si>
    <t>入り込む視線と神前の一奏</t>
    <rPh sb="0" eb="1">
      <t>ハイ</t>
    </rPh>
    <rPh sb="2" eb="3">
      <t>コ</t>
    </rPh>
    <rPh sb="4" eb="6">
      <t>シセン</t>
    </rPh>
    <rPh sb="7" eb="8">
      <t>カミ</t>
    </rPh>
    <rPh sb="8" eb="9">
      <t>マエ</t>
    </rPh>
    <rPh sb="10" eb="11">
      <t>イチ</t>
    </rPh>
    <rPh sb="11" eb="12">
      <t>ソウ</t>
    </rPh>
    <phoneticPr fontId="1"/>
  </si>
  <si>
    <t>福岡</t>
    <rPh sb="0" eb="2">
      <t>フクオカ</t>
    </rPh>
    <phoneticPr fontId="1"/>
  </si>
  <si>
    <t>しんせいえま</t>
    <phoneticPr fontId="1"/>
  </si>
  <si>
    <t>名物</t>
    <rPh sb="0" eb="2">
      <t>メイブツ</t>
    </rPh>
    <phoneticPr fontId="1"/>
  </si>
  <si>
    <t>描かれし飛翔馬</t>
    <rPh sb="0" eb="1">
      <t>エガ</t>
    </rPh>
    <rPh sb="4" eb="6">
      <t>ヒショウ</t>
    </rPh>
    <rPh sb="6" eb="7">
      <t>ウマ</t>
    </rPh>
    <phoneticPr fontId="1"/>
  </si>
  <si>
    <t>敵・味方全体の県HPを30％減少させ、一定時間、味方全体に「ダメージ軽減のバリア効果」と「追加ダメージの効果」を付与する</t>
    <phoneticPr fontId="1"/>
  </si>
  <si>
    <t>おしょうがつみよしの</t>
    <phoneticPr fontId="1"/>
  </si>
  <si>
    <t>タイプ武人・姫の攻25％UP</t>
    <phoneticPr fontId="1"/>
  </si>
  <si>
    <t>巨象を引く正義の荒武者</t>
    <phoneticPr fontId="1"/>
  </si>
  <si>
    <t>しんせいぞうひき</t>
    <phoneticPr fontId="1"/>
  </si>
  <si>
    <t>タイプ神秘・知性派の防25％UP</t>
    <phoneticPr fontId="1"/>
  </si>
  <si>
    <t>重陽の節句</t>
    <phoneticPr fontId="1"/>
  </si>
  <si>
    <t>しんせいくりきんとんちゃん</t>
    <phoneticPr fontId="1"/>
  </si>
  <si>
    <t>1/2 12:00～1/3 23:59</t>
    <phoneticPr fontId="1"/>
  </si>
  <si>
    <t>西日本</t>
    <rPh sb="0" eb="1">
      <t>ニシ</t>
    </rPh>
    <rPh sb="1" eb="3">
      <t>ニホン</t>
    </rPh>
    <phoneticPr fontId="1"/>
  </si>
  <si>
    <t>はごいたたいせんひのとみこ</t>
    <phoneticPr fontId="1"/>
  </si>
  <si>
    <t>タイプ【武人】の防95％UP　/　タイプ姫・伝承の防20％UP</t>
    <phoneticPr fontId="1"/>
  </si>
  <si>
    <t>正月の一戦</t>
    <phoneticPr fontId="1"/>
  </si>
  <si>
    <t>タイプ【武人】の防70％UP　/　タイプ姫・伝承の防15％UP</t>
    <phoneticPr fontId="1"/>
  </si>
  <si>
    <t>タイプ【武人】の防45％UP　/　タイプ【姫】の防10％UP</t>
    <phoneticPr fontId="1"/>
  </si>
  <si>
    <t>1/2 18:00～1/4 23:59</t>
    <phoneticPr fontId="1"/>
  </si>
  <si>
    <t>戦地を彩る一輪の白花</t>
    <phoneticPr fontId="1"/>
  </si>
  <si>
    <t>みりたりーみずぎしろつばきのせい</t>
    <phoneticPr fontId="1"/>
  </si>
  <si>
    <t>タイプ名物・妖怪・姫の攻30％UP</t>
    <phoneticPr fontId="1"/>
  </si>
  <si>
    <t>武術極めし維新の勇</t>
    <phoneticPr fontId="1"/>
  </si>
  <si>
    <t>かんふーかつらこごろう</t>
    <phoneticPr fontId="1"/>
  </si>
  <si>
    <t>祝来！宝船福引ガチャ</t>
    <rPh sb="0" eb="1">
      <t>シュク</t>
    </rPh>
    <rPh sb="1" eb="2">
      <t>ライ</t>
    </rPh>
    <rPh sb="3" eb="7">
      <t>タカラブネフクビキ</t>
    </rPh>
    <phoneticPr fontId="1"/>
  </si>
  <si>
    <t>1/3 12:00～1/4 11:59</t>
    <phoneticPr fontId="1"/>
  </si>
  <si>
    <t>1/3 18:00～1/3 21:59</t>
    <phoneticPr fontId="1"/>
  </si>
  <si>
    <t>戦神ガチャ(シートボーナス無し)</t>
    <rPh sb="0" eb="2">
      <t>センシン</t>
    </rPh>
    <rPh sb="13" eb="14">
      <t>ナ</t>
    </rPh>
    <phoneticPr fontId="1"/>
  </si>
  <si>
    <t>1/4 11:00～1/6 23:59</t>
    <phoneticPr fontId="1"/>
  </si>
  <si>
    <t>防衛戦 対抗！災厄砕く会心の一撃ガチャ</t>
    <rPh sb="0" eb="3">
      <t>ボウエイセン</t>
    </rPh>
    <phoneticPr fontId="1"/>
  </si>
  <si>
    <t>(Lvアップ)1/4 12:00～1/8 11:59</t>
    <phoneticPr fontId="1"/>
  </si>
  <si>
    <t>(DX)1/4 12:00～1/8 11:59</t>
    <phoneticPr fontId="1"/>
  </si>
  <si>
    <t>SSR</t>
    <phoneticPr fontId="1"/>
  </si>
  <si>
    <t>SR</t>
    <phoneticPr fontId="1"/>
  </si>
  <si>
    <t>HR</t>
    <phoneticPr fontId="1"/>
  </si>
  <si>
    <t>R</t>
    <phoneticPr fontId="1"/>
  </si>
  <si>
    <t>北海道・東北</t>
    <rPh sb="0" eb="3">
      <t>ホッカイドウ</t>
    </rPh>
    <rPh sb="4" eb="6">
      <t>トウホク</t>
    </rPh>
    <phoneticPr fontId="1"/>
  </si>
  <si>
    <t>関東</t>
    <rPh sb="0" eb="2">
      <t>カントウ</t>
    </rPh>
    <phoneticPr fontId="1"/>
  </si>
  <si>
    <t>中国・四国</t>
    <rPh sb="0" eb="2">
      <t>チュウゴク</t>
    </rPh>
    <rPh sb="3" eb="5">
      <t>シコク</t>
    </rPh>
    <phoneticPr fontId="1"/>
  </si>
  <si>
    <t>大阪</t>
    <rPh sb="0" eb="2">
      <t>オオサカ</t>
    </rPh>
    <phoneticPr fontId="1"/>
  </si>
  <si>
    <t>タイプ【名物】の攻30％UP　/　タイプ偉人・妖怪の攻15％UP</t>
    <phoneticPr fontId="1"/>
  </si>
  <si>
    <t>本気の羽子板</t>
    <phoneticPr fontId="1"/>
  </si>
  <si>
    <t>はごいたたいせんまつかわひめ</t>
    <phoneticPr fontId="1"/>
  </si>
  <si>
    <t>タイプ偉人・妖怪の防30％UP　/　タイプ【名物】の防10％UP</t>
    <phoneticPr fontId="1"/>
  </si>
  <si>
    <t>横須賀からの縁起物</t>
    <phoneticPr fontId="1"/>
  </si>
  <si>
    <t>しんせいげいしゅんすかじゃんむすめ</t>
    <phoneticPr fontId="1"/>
  </si>
  <si>
    <t>タイプ神秘・飲食の攻20％UP</t>
    <phoneticPr fontId="1"/>
  </si>
  <si>
    <t>30日のゆとり旅行</t>
    <phoneticPr fontId="1"/>
  </si>
  <si>
    <t>しんせいほったきちこ</t>
    <phoneticPr fontId="1"/>
  </si>
  <si>
    <t>タイプ【武人】の防20％UP</t>
    <phoneticPr fontId="1"/>
  </si>
  <si>
    <t>可憐狐の初詣</t>
    <phoneticPr fontId="1"/>
  </si>
  <si>
    <t>しんせいふりそでかごいけのきつね</t>
    <phoneticPr fontId="1"/>
  </si>
  <si>
    <t>防衛戦 英雄ガチャ</t>
    <rPh sb="0" eb="3">
      <t>ボウエイセン</t>
    </rPh>
    <rPh sb="4" eb="6">
      <t>エイユウ</t>
    </rPh>
    <phoneticPr fontId="1"/>
  </si>
  <si>
    <t>1/5 11:00～1/5 23:59</t>
    <phoneticPr fontId="1"/>
  </si>
  <si>
    <t>超防再臨ガチャ</t>
    <rPh sb="0" eb="1">
      <t>チョウ</t>
    </rPh>
    <rPh sb="1" eb="2">
      <t>ボウ</t>
    </rPh>
    <rPh sb="2" eb="4">
      <t>サイリン</t>
    </rPh>
    <phoneticPr fontId="1"/>
  </si>
  <si>
    <t>1/5 18:00～1/7 23:59</t>
    <phoneticPr fontId="1"/>
  </si>
  <si>
    <t>39933_0</t>
    <phoneticPr fontId="1"/>
  </si>
  <si>
    <t>豪華玉手箱ガチャ</t>
    <rPh sb="0" eb="2">
      <t>ゴウカ</t>
    </rPh>
    <rPh sb="2" eb="5">
      <t>タマテバコ</t>
    </rPh>
    <phoneticPr fontId="1"/>
  </si>
  <si>
    <t>1/6 15:00～1/6 23:59</t>
    <phoneticPr fontId="1"/>
  </si>
  <si>
    <t>刹那！最強DOWN隊士ガチャ</t>
    <rPh sb="0" eb="2">
      <t>セツナ</t>
    </rPh>
    <rPh sb="3" eb="5">
      <t>サイキョウ</t>
    </rPh>
    <rPh sb="9" eb="11">
      <t>タイシ</t>
    </rPh>
    <phoneticPr fontId="1"/>
  </si>
  <si>
    <t>1/6 20:00～1/6 23:59</t>
    <phoneticPr fontId="1"/>
  </si>
  <si>
    <t>天撃皆伝ガチャ</t>
    <rPh sb="0" eb="1">
      <t>テン</t>
    </rPh>
    <rPh sb="1" eb="2">
      <t>ゲキ</t>
    </rPh>
    <rPh sb="2" eb="4">
      <t>カイデン</t>
    </rPh>
    <phoneticPr fontId="1"/>
  </si>
  <si>
    <t>1/7 18:00～1/9 23:59</t>
    <phoneticPr fontId="1"/>
  </si>
  <si>
    <t>九州・沖縄</t>
    <rPh sb="0" eb="2">
      <t>キュウシュウ</t>
    </rPh>
    <rPh sb="3" eb="5">
      <t>オキナワ</t>
    </rPh>
    <phoneticPr fontId="1"/>
  </si>
  <si>
    <t>武人</t>
    <rPh sb="0" eb="2">
      <t>ブジン</t>
    </rPh>
    <phoneticPr fontId="1"/>
  </si>
  <si>
    <t>タイプ【姫】の攻30％UP　/　タイプ伝承・武人・神秘・飲食の攻20％UP</t>
    <phoneticPr fontId="1"/>
  </si>
  <si>
    <t>刃に契りし安らぎの斬撃</t>
    <phoneticPr fontId="1"/>
  </si>
  <si>
    <t>そらのもりびとしまづとよひさ</t>
    <phoneticPr fontId="1"/>
  </si>
  <si>
    <t>タイプ名物・偉人・武人の攻30％UP</t>
    <phoneticPr fontId="1"/>
  </si>
  <si>
    <t>揺れる影は歌う</t>
    <phoneticPr fontId="1"/>
  </si>
  <si>
    <t>へびめたかげおんな</t>
    <phoneticPr fontId="1"/>
  </si>
  <si>
    <t>タイプ神秘・飲食の防30％UP　/　タイプ伝承・武人・姫の防15％UP</t>
    <phoneticPr fontId="1"/>
  </si>
  <si>
    <t>裏切ることなき経験</t>
    <phoneticPr fontId="1"/>
  </si>
  <si>
    <t>ばにーやまねとしこ</t>
    <phoneticPr fontId="1"/>
  </si>
  <si>
    <t>祝来！宝船福引ガチャ</t>
    <rPh sb="0" eb="2">
      <t>シュクライ</t>
    </rPh>
    <rPh sb="3" eb="7">
      <t>タカラブネフクビキ</t>
    </rPh>
    <phoneticPr fontId="1"/>
  </si>
  <si>
    <t>1/7 12:00～1/8 11:59</t>
    <phoneticPr fontId="1"/>
  </si>
  <si>
    <t>豪華玉手箱ガチャ</t>
    <rPh sb="0" eb="2">
      <t>ゴウカ</t>
    </rPh>
    <rPh sb="2" eb="5">
      <t>タマテバコ</t>
    </rPh>
    <phoneticPr fontId="1"/>
  </si>
  <si>
    <t>1/8 15:00～1/8 23:59</t>
    <phoneticPr fontId="1"/>
  </si>
  <si>
    <t>超攻再臨ガチャ</t>
    <rPh sb="0" eb="1">
      <t>チョウ</t>
    </rPh>
    <rPh sb="1" eb="2">
      <t>コウ</t>
    </rPh>
    <rPh sb="2" eb="4">
      <t>サイリン</t>
    </rPh>
    <phoneticPr fontId="1"/>
  </si>
  <si>
    <t>1/8 18:00～1/10 23:59</t>
    <phoneticPr fontId="1"/>
  </si>
  <si>
    <t>SSR</t>
    <phoneticPr fontId="1"/>
  </si>
  <si>
    <t>SR</t>
    <phoneticPr fontId="1"/>
  </si>
  <si>
    <t>HR</t>
    <phoneticPr fontId="1"/>
  </si>
  <si>
    <t>R</t>
    <phoneticPr fontId="1"/>
  </si>
  <si>
    <t>(DX)1/8 12:00～1/14 11:59</t>
    <phoneticPr fontId="1"/>
  </si>
  <si>
    <t>四神戦 紅白に染まる祝福餅ガチャ</t>
    <rPh sb="0" eb="1">
      <t>ヨン</t>
    </rPh>
    <rPh sb="1" eb="2">
      <t>シン</t>
    </rPh>
    <rPh sb="2" eb="3">
      <t>セン</t>
    </rPh>
    <phoneticPr fontId="1"/>
  </si>
  <si>
    <t>(Lvアップ)1/8 12:00～1/14 11:59</t>
    <phoneticPr fontId="1"/>
  </si>
  <si>
    <t>中部</t>
    <rPh sb="0" eb="2">
      <t>チュウブ</t>
    </rPh>
    <phoneticPr fontId="1"/>
  </si>
  <si>
    <t>関東</t>
    <rPh sb="0" eb="2">
      <t>カントウ</t>
    </rPh>
    <phoneticPr fontId="1"/>
  </si>
  <si>
    <t>中国・四国</t>
    <rPh sb="0" eb="2">
      <t>チュウゴク</t>
    </rPh>
    <rPh sb="3" eb="5">
      <t>シコク</t>
    </rPh>
    <phoneticPr fontId="1"/>
  </si>
  <si>
    <t>近畿</t>
    <rPh sb="0" eb="2">
      <t>キンキ</t>
    </rPh>
    <phoneticPr fontId="1"/>
  </si>
  <si>
    <t>熊本</t>
    <rPh sb="0" eb="2">
      <t>クマモト</t>
    </rPh>
    <phoneticPr fontId="1"/>
  </si>
  <si>
    <t>タイプ神秘・知性派・飲食の防20％UP　/　タイプ飲食・武人・名物の攻70％DOWN</t>
    <phoneticPr fontId="1"/>
  </si>
  <si>
    <t>授けられし神剣と神餅</t>
    <phoneticPr fontId="1"/>
  </si>
  <si>
    <t>もちまきみやずひめ</t>
    <phoneticPr fontId="1"/>
  </si>
  <si>
    <t>タイプ姫・伝承の攻40％UP　/　タイプ【武人】の攻25％UP</t>
    <phoneticPr fontId="1"/>
  </si>
  <si>
    <t>基盤を築く迎春</t>
    <phoneticPr fontId="1"/>
  </si>
  <si>
    <t>タイプ偉人・妖怪の防30％UP　/　タイプ【名物】の防10％UP</t>
    <phoneticPr fontId="1"/>
  </si>
  <si>
    <t>白き餅は白桃の如し</t>
    <phoneticPr fontId="1"/>
  </si>
  <si>
    <t>しんせいがんたんもものはすい</t>
    <phoneticPr fontId="1"/>
  </si>
  <si>
    <t>しんせいげいしゅんとくがわひでただ</t>
    <phoneticPr fontId="1"/>
  </si>
  <si>
    <t>タイプ偉人・名物の攻20％UP</t>
    <phoneticPr fontId="1"/>
  </si>
  <si>
    <t>成人の日・鉄鼠の神助</t>
    <phoneticPr fontId="1"/>
  </si>
  <si>
    <t>しんせいせいじんしきてっそ</t>
    <phoneticPr fontId="1"/>
  </si>
  <si>
    <t>タイプ【知性派】の防20％UP</t>
    <phoneticPr fontId="1"/>
  </si>
  <si>
    <t>平たく味わう郷愁汁</t>
    <phoneticPr fontId="1"/>
  </si>
  <si>
    <t>しんせいだごじるちゃん</t>
    <phoneticPr fontId="1"/>
  </si>
  <si>
    <t>1/9 12:00～1/14 11:59</t>
    <phoneticPr fontId="1"/>
  </si>
  <si>
    <t>ばっかす</t>
    <phoneticPr fontId="1"/>
  </si>
  <si>
    <t>ドランクネス</t>
    <phoneticPr fontId="1"/>
  </si>
  <si>
    <t>1/9 18:00～1/9 21:59</t>
    <phoneticPr fontId="1"/>
  </si>
  <si>
    <t>タイプ【飲食】の防45％UP　/　タイプ【神秘】の防15％UP</t>
    <phoneticPr fontId="1"/>
  </si>
  <si>
    <t>タイプ【飲食】の防60％UP　/　タイプ神秘・知性派の防20％UP</t>
    <phoneticPr fontId="1"/>
  </si>
  <si>
    <t>タイプ【飲食】の防85％UP　/　タイプ神秘・知性派の防25％UP</t>
    <phoneticPr fontId="1"/>
  </si>
  <si>
    <t>四神戦 英雄ガチャ</t>
    <rPh sb="0" eb="1">
      <t>ヨン</t>
    </rPh>
    <rPh sb="1" eb="2">
      <t>シン</t>
    </rPh>
    <rPh sb="2" eb="3">
      <t>セン</t>
    </rPh>
    <rPh sb="4" eb="6">
      <t>エイユウ</t>
    </rPh>
    <phoneticPr fontId="1"/>
  </si>
  <si>
    <t>1/10 11:00～1/10 23:59</t>
    <phoneticPr fontId="1"/>
  </si>
  <si>
    <t>豪華玉手箱ガチャ</t>
    <rPh sb="0" eb="2">
      <t>ゴウカ</t>
    </rPh>
    <rPh sb="2" eb="5">
      <t>タマテバコ</t>
    </rPh>
    <phoneticPr fontId="1"/>
  </si>
  <si>
    <t>1/10 15:00～1/10 23:59</t>
    <phoneticPr fontId="1"/>
  </si>
  <si>
    <t>祝来！宝船福引ガチャ</t>
    <rPh sb="0" eb="1">
      <t>シュク</t>
    </rPh>
    <rPh sb="1" eb="2">
      <t>ライ</t>
    </rPh>
    <rPh sb="3" eb="5">
      <t>タカラブネ</t>
    </rPh>
    <rPh sb="5" eb="7">
      <t>フクビキ</t>
    </rPh>
    <phoneticPr fontId="1"/>
  </si>
  <si>
    <t>1/11 12:00～1/12 11:59</t>
    <phoneticPr fontId="1"/>
  </si>
  <si>
    <t>1/11 18:00～1/13 23:59</t>
    <phoneticPr fontId="1"/>
  </si>
  <si>
    <t>タイプ姫・伝承の防25％UP　/　タイプ【武人】の防10％UP</t>
    <phoneticPr fontId="1"/>
  </si>
  <si>
    <t>天の華</t>
    <phoneticPr fontId="1"/>
  </si>
  <si>
    <t>神秘</t>
    <phoneticPr fontId="1"/>
  </si>
  <si>
    <t>タイプ伝承・武人・姫の攻80％DOWN　/　タイプ知性派・飲食の防25％UP</t>
    <phoneticPr fontId="1"/>
  </si>
  <si>
    <t>楽しいかるた！</t>
    <phoneticPr fontId="1"/>
  </si>
  <si>
    <t>かるたふたおいじまのやまのかみ</t>
    <phoneticPr fontId="1"/>
  </si>
  <si>
    <t>タイプ偉人・妖怪・名物の防35％UP　/　タイプ伝承・武人・姫の攻10％DOWN</t>
    <phoneticPr fontId="1"/>
  </si>
  <si>
    <t>八頭の大蛇棲む湖水</t>
    <phoneticPr fontId="1"/>
  </si>
  <si>
    <t>とわだこ</t>
    <phoneticPr fontId="1"/>
  </si>
  <si>
    <t>なつまつりなすのよいち</t>
    <phoneticPr fontId="1"/>
  </si>
  <si>
    <t>戦神ガチャ</t>
    <rPh sb="0" eb="2">
      <t>センシン</t>
    </rPh>
    <phoneticPr fontId="1"/>
  </si>
  <si>
    <t>1/12 11:00～1/14 23:59</t>
    <phoneticPr fontId="1"/>
  </si>
  <si>
    <t>豪華玉手箱ガチャ</t>
    <rPh sb="0" eb="2">
      <t>ゴウカ</t>
    </rPh>
    <rPh sb="2" eb="5">
      <t>タマテバコ</t>
    </rPh>
    <phoneticPr fontId="1"/>
  </si>
  <si>
    <t>1/13 15:00～1/13 23:59</t>
    <phoneticPr fontId="1"/>
  </si>
  <si>
    <t>1/13 18:00～1/13 21:59</t>
    <phoneticPr fontId="1"/>
  </si>
  <si>
    <t>サイコロ行脚 危機回避！業火蹴散らす英雄ガチャ</t>
    <rPh sb="4" eb="6">
      <t>アンギャ</t>
    </rPh>
    <phoneticPr fontId="1"/>
  </si>
  <si>
    <t>(Lvアップ)1/14 12:00～1/21 11:59</t>
    <phoneticPr fontId="1"/>
  </si>
  <si>
    <t>(DX)1/14 12:00～1/21 11:59</t>
    <phoneticPr fontId="1"/>
  </si>
  <si>
    <t>SSR</t>
    <phoneticPr fontId="1"/>
  </si>
  <si>
    <t>SR</t>
    <phoneticPr fontId="1"/>
  </si>
  <si>
    <t>HR</t>
    <phoneticPr fontId="1"/>
  </si>
  <si>
    <t>R</t>
    <phoneticPr fontId="1"/>
  </si>
  <si>
    <t>近畿</t>
    <rPh sb="0" eb="2">
      <t>キンキ</t>
    </rPh>
    <phoneticPr fontId="1"/>
  </si>
  <si>
    <t>九州・沖縄</t>
    <rPh sb="0" eb="2">
      <t>キュウシュウ</t>
    </rPh>
    <rPh sb="3" eb="5">
      <t>オキナワ</t>
    </rPh>
    <phoneticPr fontId="1"/>
  </si>
  <si>
    <t>北海道・東北</t>
    <rPh sb="0" eb="3">
      <t>ホッカイドウ</t>
    </rPh>
    <rPh sb="4" eb="6">
      <t>トウホク</t>
    </rPh>
    <phoneticPr fontId="1"/>
  </si>
  <si>
    <t>中国・四国</t>
    <rPh sb="0" eb="2">
      <t>チュウゴク</t>
    </rPh>
    <rPh sb="3" eb="5">
      <t>シコク</t>
    </rPh>
    <phoneticPr fontId="1"/>
  </si>
  <si>
    <t>群馬</t>
    <rPh sb="0" eb="2">
      <t>グンマ</t>
    </rPh>
    <phoneticPr fontId="1"/>
  </si>
  <si>
    <t>偉人</t>
    <rPh sb="0" eb="2">
      <t>イジン</t>
    </rPh>
    <phoneticPr fontId="1"/>
  </si>
  <si>
    <t>飲食</t>
    <rPh sb="0" eb="2">
      <t>インショク</t>
    </rPh>
    <phoneticPr fontId="1"/>
  </si>
  <si>
    <t>武人</t>
    <rPh sb="0" eb="2">
      <t>ブジン</t>
    </rPh>
    <phoneticPr fontId="1"/>
  </si>
  <si>
    <t>タイプ妖怪・名物の攻60％UP　/　タイプ【偉人】の攻15％UP</t>
    <phoneticPr fontId="1"/>
  </si>
  <si>
    <t>神憑りの超人女帝</t>
    <phoneticPr fontId="1"/>
  </si>
  <si>
    <t>すーぱーひーろーさいめいてんのう</t>
    <phoneticPr fontId="1"/>
  </si>
  <si>
    <t>タイプ神秘・知性派・飲食の防35％UP　/　タイプ飲食・武人・名物の攻10％DOWN</t>
    <phoneticPr fontId="1"/>
  </si>
  <si>
    <t>必殺ねじねじ攻撃</t>
    <phoneticPr fontId="1"/>
  </si>
  <si>
    <t>しんせいおにきりしゅうよりよりちゃん</t>
    <phoneticPr fontId="1"/>
  </si>
  <si>
    <t>タイプ妖怪・名物の攻30％UP　/　タイプ【偉人】の攻10％UP</t>
    <phoneticPr fontId="1"/>
  </si>
  <si>
    <t>女刑事、秀雄の事件簿</t>
    <phoneticPr fontId="1"/>
  </si>
  <si>
    <t>しんせいけいじそのべひでお</t>
    <phoneticPr fontId="1"/>
  </si>
  <si>
    <t>タイプ神秘・知性派の防20％UP</t>
    <phoneticPr fontId="1"/>
  </si>
  <si>
    <t>神宿る善哉の特殊能力</t>
    <phoneticPr fontId="1"/>
  </si>
  <si>
    <t>しんせいあめこみいずもぜんざいちゃん</t>
    <phoneticPr fontId="1"/>
  </si>
  <si>
    <t>タイプ【姫】の攻20％UP</t>
    <phoneticPr fontId="1"/>
  </si>
  <si>
    <t>鋼の信念を持った女傑</t>
    <phoneticPr fontId="1"/>
  </si>
  <si>
    <t>しんせいうちゅうせんそうあかいてるこ</t>
    <phoneticPr fontId="1"/>
  </si>
  <si>
    <t>祝来！宝船福引ガチャ</t>
    <rPh sb="0" eb="1">
      <t>シュク</t>
    </rPh>
    <rPh sb="1" eb="2">
      <t>ライ</t>
    </rPh>
    <rPh sb="3" eb="7">
      <t>タカラブネフクビキ</t>
    </rPh>
    <phoneticPr fontId="1"/>
  </si>
  <si>
    <t>1/14 12:00～1/15 11:59</t>
    <phoneticPr fontId="1"/>
  </si>
  <si>
    <t>1/14 18:00～1/16 23:59</t>
    <phoneticPr fontId="1"/>
  </si>
  <si>
    <t>タイプ神秘・知性派・飲食の防60％DOWN　/　タイプ神秘・知性派・飲食の攻25％UP</t>
    <phoneticPr fontId="1"/>
  </si>
  <si>
    <t>麻の神が織りし白羽</t>
    <phoneticPr fontId="1"/>
  </si>
  <si>
    <t>ながしらはのかみ</t>
    <phoneticPr fontId="1"/>
  </si>
  <si>
    <t>タイプ姫・伝承の攻30％UP　/　タイプ偉人・妖怪・名物の防12％DOWN</t>
    <phoneticPr fontId="1"/>
  </si>
  <si>
    <t>十河家最後の当主</t>
    <phoneticPr fontId="1"/>
  </si>
  <si>
    <t>そごうまさやす</t>
    <phoneticPr fontId="1"/>
  </si>
  <si>
    <t>タイプ【名物】の攻75％UP　/　タイプ偉人・妖怪の攻30％UP</t>
    <phoneticPr fontId="1"/>
  </si>
  <si>
    <t>北の盤上で試す智力</t>
    <phoneticPr fontId="1"/>
  </si>
  <si>
    <t>しんせいしょうぎよだべんぞう</t>
    <phoneticPr fontId="1"/>
  </si>
  <si>
    <t>1/15 12:00～1/20 22:59</t>
    <phoneticPr fontId="1"/>
  </si>
  <si>
    <t>SSR</t>
    <phoneticPr fontId="1"/>
  </si>
  <si>
    <t>SR</t>
    <phoneticPr fontId="1"/>
  </si>
  <si>
    <t>全国</t>
    <rPh sb="0" eb="2">
      <t>ゼンコク</t>
    </rPh>
    <phoneticPr fontId="1"/>
  </si>
  <si>
    <t>西日本</t>
    <rPh sb="0" eb="1">
      <t>ニシ</t>
    </rPh>
    <rPh sb="1" eb="3">
      <t>ニホン</t>
    </rPh>
    <phoneticPr fontId="1"/>
  </si>
  <si>
    <t>5進</t>
    <rPh sb="1" eb="2">
      <t>シン</t>
    </rPh>
    <phoneticPr fontId="1"/>
  </si>
  <si>
    <t>3進</t>
    <rPh sb="1" eb="2">
      <t>シン</t>
    </rPh>
    <phoneticPr fontId="1"/>
  </si>
  <si>
    <t>1進</t>
    <rPh sb="1" eb="2">
      <t>シン</t>
    </rPh>
    <phoneticPr fontId="1"/>
  </si>
  <si>
    <t>タイプ【名物】の防40％UP　/　タイプ【妖怪】の防20％UP</t>
    <phoneticPr fontId="1"/>
  </si>
  <si>
    <t>契約の代償</t>
    <phoneticPr fontId="1"/>
  </si>
  <si>
    <t>じるどれい</t>
    <phoneticPr fontId="1"/>
  </si>
  <si>
    <t>タイプ【名物】の防22％UP　/　タイプ【妖怪】の防12％UP</t>
    <phoneticPr fontId="1"/>
  </si>
  <si>
    <t>タイプ【名物】の防10％UP　/　タイプ【妖怪】の防5％UP</t>
    <phoneticPr fontId="1"/>
  </si>
  <si>
    <t>中部</t>
    <rPh sb="0" eb="2">
      <t>チュウブ</t>
    </rPh>
    <phoneticPr fontId="1"/>
  </si>
  <si>
    <t>関東</t>
    <rPh sb="0" eb="2">
      <t>カントウ</t>
    </rPh>
    <phoneticPr fontId="1"/>
  </si>
  <si>
    <t>北海道・東北</t>
    <rPh sb="0" eb="3">
      <t>ホッカイドウ</t>
    </rPh>
    <rPh sb="4" eb="6">
      <t>トウホク</t>
    </rPh>
    <phoneticPr fontId="1"/>
  </si>
  <si>
    <t>九州・沖縄</t>
    <rPh sb="0" eb="2">
      <t>キュウシュウ</t>
    </rPh>
    <rPh sb="3" eb="5">
      <t>オキナワ</t>
    </rPh>
    <phoneticPr fontId="1"/>
  </si>
  <si>
    <t>近畿</t>
    <rPh sb="0" eb="2">
      <t>キンキ</t>
    </rPh>
    <phoneticPr fontId="1"/>
  </si>
  <si>
    <t>武人</t>
    <rPh sb="0" eb="2">
      <t>ブジン</t>
    </rPh>
    <phoneticPr fontId="1"/>
  </si>
  <si>
    <t>伝承</t>
    <rPh sb="0" eb="2">
      <t>デンショウ</t>
    </rPh>
    <phoneticPr fontId="1"/>
  </si>
  <si>
    <t>神秘</t>
    <rPh sb="0" eb="2">
      <t>シンピ</t>
    </rPh>
    <phoneticPr fontId="1"/>
  </si>
  <si>
    <t>姫</t>
    <rPh sb="0" eb="1">
      <t>ヒメ</t>
    </rPh>
    <phoneticPr fontId="1"/>
  </si>
  <si>
    <t>名物</t>
    <rPh sb="0" eb="2">
      <t>メイブツ</t>
    </rPh>
    <phoneticPr fontId="1"/>
  </si>
  <si>
    <t>タイプ姫・伝承の攻12％UP</t>
    <phoneticPr fontId="1"/>
  </si>
  <si>
    <t>爆走！天下布武漢</t>
    <phoneticPr fontId="1"/>
  </si>
  <si>
    <t>ばいくおだのぶなが</t>
    <phoneticPr fontId="1"/>
  </si>
  <si>
    <t>タイプ【武人】の攻50％UP　/　タイプ姫・伝承の攻25％UP</t>
    <phoneticPr fontId="1"/>
  </si>
  <si>
    <t>美を表した月の名称</t>
    <phoneticPr fontId="1"/>
  </si>
  <si>
    <t>めいげつひめ</t>
    <phoneticPr fontId="1"/>
  </si>
  <si>
    <t>タイプ神秘・知性派・飲食の防25％UP　/　タイプ伝承・武人・姫の攻50％DOWN</t>
    <phoneticPr fontId="1"/>
  </si>
  <si>
    <t>欲望と誘惑の根源</t>
    <phoneticPr fontId="1"/>
  </si>
  <si>
    <t>てんま</t>
    <phoneticPr fontId="1"/>
  </si>
  <si>
    <t>タイプ知性派・飲食・伝承の攻30％UP</t>
    <phoneticPr fontId="1"/>
  </si>
  <si>
    <t>冴え月の舞踏</t>
    <phoneticPr fontId="1"/>
  </si>
  <si>
    <t>おうきゅうひょうりん</t>
    <phoneticPr fontId="1"/>
  </si>
  <si>
    <t>タイプ武人・伝承の防30％UP　/　タイプ【姫】の防10％UP</t>
    <phoneticPr fontId="1"/>
  </si>
  <si>
    <t>駆け抜ける森の妖精</t>
    <phoneticPr fontId="1"/>
  </si>
  <si>
    <t>ようせいえんしんいんでん</t>
    <phoneticPr fontId="1"/>
  </si>
  <si>
    <t>タイプ【妖怪】の防55％UP　/　タイプ【名物】の防15％UP</t>
    <phoneticPr fontId="1"/>
  </si>
  <si>
    <t>祖を形に残す密林の守り人</t>
    <phoneticPr fontId="1"/>
  </si>
  <si>
    <t>こびとかば</t>
    <phoneticPr fontId="1"/>
  </si>
  <si>
    <t>1/16 11:00～1/16 23:59</t>
    <phoneticPr fontId="1"/>
  </si>
  <si>
    <t>祝来！宝船福引ガチャ</t>
    <rPh sb="0" eb="1">
      <t>シュク</t>
    </rPh>
    <rPh sb="1" eb="2">
      <t>ライ</t>
    </rPh>
    <rPh sb="3" eb="5">
      <t>タカラブネ</t>
    </rPh>
    <rPh sb="5" eb="7">
      <t>フクビキ</t>
    </rPh>
    <phoneticPr fontId="1"/>
  </si>
  <si>
    <t>1/16 12:00～1/17 11:59</t>
    <phoneticPr fontId="1"/>
  </si>
  <si>
    <t>1/16 18:00～1/16 21:59</t>
    <phoneticPr fontId="1"/>
  </si>
  <si>
    <t>1/17 20:00～1/17 23:59</t>
    <phoneticPr fontId="1"/>
  </si>
  <si>
    <t>1/17 18:00～1/19 23:59</t>
    <phoneticPr fontId="1"/>
  </si>
  <si>
    <t>タイプ【名物】の防75％UP　/　タイプ偉人・妖怪の防30％UP</t>
    <phoneticPr fontId="1"/>
  </si>
  <si>
    <t>楽しい踊り</t>
    <phoneticPr fontId="1"/>
  </si>
  <si>
    <t>偉人</t>
    <phoneticPr fontId="1"/>
  </si>
  <si>
    <t>はかたどんたくはやみそうせい</t>
    <phoneticPr fontId="1"/>
  </si>
  <si>
    <t>タイプ伝承・武人・姫の防15％UP</t>
    <phoneticPr fontId="1"/>
  </si>
  <si>
    <t>その想いは海を越えて</t>
    <phoneticPr fontId="1"/>
  </si>
  <si>
    <t>そうよしとし</t>
    <phoneticPr fontId="1"/>
  </si>
  <si>
    <t>タイプ【神秘】の防75％UP　/　タイプ知性派・飲食の防30％UP</t>
    <phoneticPr fontId="1"/>
  </si>
  <si>
    <t>木々の中で</t>
    <phoneticPr fontId="1"/>
  </si>
  <si>
    <t>きゃめらじょしじゅけいに</t>
    <phoneticPr fontId="1"/>
  </si>
  <si>
    <t>豪華玉手箱ガチャ</t>
    <rPh sb="0" eb="5">
      <t>ゴウカタマテバコ</t>
    </rPh>
    <phoneticPr fontId="1"/>
  </si>
  <si>
    <t>1/18 15:00～1/18 23:59</t>
    <phoneticPr fontId="1"/>
  </si>
  <si>
    <t>(高コスト)1/18 15:00～1/20 23:59</t>
    <rPh sb="1" eb="2">
      <t>コウ</t>
    </rPh>
    <phoneticPr fontId="1"/>
  </si>
  <si>
    <t>(戦技チャンス)1/18 15:00～1/20 23:59</t>
    <rPh sb="1" eb="3">
      <t>センギ</t>
    </rPh>
    <phoneticPr fontId="1"/>
  </si>
  <si>
    <t>SR</t>
    <phoneticPr fontId="1"/>
  </si>
  <si>
    <t>北海道・東北</t>
    <rPh sb="0" eb="3">
      <t>ホッカイドウ</t>
    </rPh>
    <rPh sb="4" eb="6">
      <t>トウホク</t>
    </rPh>
    <phoneticPr fontId="1"/>
  </si>
  <si>
    <t>関東</t>
    <rPh sb="0" eb="2">
      <t>カントウ</t>
    </rPh>
    <phoneticPr fontId="1"/>
  </si>
  <si>
    <t>近畿</t>
    <rPh sb="0" eb="2">
      <t>キンキ</t>
    </rPh>
    <phoneticPr fontId="1"/>
  </si>
  <si>
    <t>伝承</t>
    <rPh sb="0" eb="2">
      <t>デンショウ</t>
    </rPh>
    <phoneticPr fontId="1"/>
  </si>
  <si>
    <t>名物</t>
    <rPh sb="0" eb="2">
      <t>メイブツ</t>
    </rPh>
    <phoneticPr fontId="1"/>
  </si>
  <si>
    <t>飲食</t>
    <rPh sb="0" eb="2">
      <t>インショク</t>
    </rPh>
    <phoneticPr fontId="1"/>
  </si>
  <si>
    <t>元気を与える電気石</t>
    <phoneticPr fontId="1"/>
  </si>
  <si>
    <t>ないとぱーてぃとるまりん</t>
    <phoneticPr fontId="1"/>
  </si>
  <si>
    <t>せいざとかちのらいじん</t>
    <phoneticPr fontId="1"/>
  </si>
  <si>
    <t>タイプ偉人・妖怪の防25％UP　/　タイプ伝承・武人・姫の防12％UP</t>
    <phoneticPr fontId="1"/>
  </si>
  <si>
    <t>?</t>
    <phoneticPr fontId="1"/>
  </si>
  <si>
    <t>サイコロ行脚 英雄ガチャ</t>
    <rPh sb="4" eb="6">
      <t>アンギャ</t>
    </rPh>
    <rPh sb="7" eb="9">
      <t>エイユウ</t>
    </rPh>
    <phoneticPr fontId="1"/>
  </si>
  <si>
    <t>1/19 11:00～1/19 23:59</t>
    <phoneticPr fontId="1"/>
  </si>
  <si>
    <t>1/19 18:00～1/19 21:59</t>
    <phoneticPr fontId="1"/>
  </si>
  <si>
    <t>1/20 20:00～1/20 23:59</t>
    <phoneticPr fontId="1"/>
  </si>
  <si>
    <t>祝来！宝船福引ガチャ</t>
    <rPh sb="0" eb="1">
      <t>シュク</t>
    </rPh>
    <rPh sb="1" eb="2">
      <t>ライ</t>
    </rPh>
    <rPh sb="3" eb="5">
      <t>タカラブネ</t>
    </rPh>
    <rPh sb="5" eb="7">
      <t>フクビキ</t>
    </rPh>
    <phoneticPr fontId="1"/>
  </si>
  <si>
    <t>1/20 12:00～1/21 11:59</t>
    <phoneticPr fontId="1"/>
  </si>
  <si>
    <t>豪華玉手箱ガチャ</t>
    <rPh sb="0" eb="2">
      <t>ゴウカ</t>
    </rPh>
    <rPh sb="2" eb="5">
      <t>タマテバコ</t>
    </rPh>
    <phoneticPr fontId="1"/>
  </si>
  <si>
    <t>1/21 15:00～1/21 23:59</t>
    <phoneticPr fontId="1"/>
  </si>
  <si>
    <t>7周年記念不良遊戯ガチャ</t>
    <phoneticPr fontId="1"/>
  </si>
  <si>
    <t>1/21 12:00～1/24 23:59</t>
    <phoneticPr fontId="1"/>
  </si>
  <si>
    <t>北海道・東北</t>
    <rPh sb="0" eb="3">
      <t>ホッカイドウ</t>
    </rPh>
    <rPh sb="4" eb="6">
      <t>トウホク</t>
    </rPh>
    <phoneticPr fontId="1"/>
  </si>
  <si>
    <t>関東</t>
    <rPh sb="0" eb="2">
      <t>カントウ</t>
    </rPh>
    <phoneticPr fontId="1"/>
  </si>
  <si>
    <t>中部</t>
    <rPh sb="0" eb="2">
      <t>チュウブ</t>
    </rPh>
    <phoneticPr fontId="1"/>
  </si>
  <si>
    <t>近畿</t>
    <rPh sb="0" eb="2">
      <t>キンキ</t>
    </rPh>
    <phoneticPr fontId="1"/>
  </si>
  <si>
    <t>中国・四国</t>
    <rPh sb="0" eb="2">
      <t>チュウゴク</t>
    </rPh>
    <rPh sb="3" eb="5">
      <t>シコク</t>
    </rPh>
    <phoneticPr fontId="1"/>
  </si>
  <si>
    <t>九州・沖縄</t>
    <rPh sb="0" eb="2">
      <t>キュウシュウ</t>
    </rPh>
    <rPh sb="3" eb="5">
      <t>オキナワ</t>
    </rPh>
    <phoneticPr fontId="1"/>
  </si>
  <si>
    <t>神秘</t>
    <rPh sb="0" eb="2">
      <t>シンピ</t>
    </rPh>
    <phoneticPr fontId="1"/>
  </si>
  <si>
    <t>偉人</t>
    <rPh sb="0" eb="2">
      <t>イジン</t>
    </rPh>
    <phoneticPr fontId="1"/>
  </si>
  <si>
    <t>飲食</t>
    <rPh sb="0" eb="2">
      <t>インショク</t>
    </rPh>
    <phoneticPr fontId="1"/>
  </si>
  <si>
    <t>姫</t>
    <rPh sb="0" eb="1">
      <t>ヒメ</t>
    </rPh>
    <phoneticPr fontId="1"/>
  </si>
  <si>
    <t>知性派</t>
    <rPh sb="0" eb="2">
      <t>チセイ</t>
    </rPh>
    <rPh sb="2" eb="3">
      <t>ハ</t>
    </rPh>
    <phoneticPr fontId="1"/>
  </si>
  <si>
    <t>タイプ神秘・知性派・飲食の攻25％UP　/　所属が【北海道・東北】とそれに属する県、および【全国】【東日本】の攻30％UP</t>
    <phoneticPr fontId="1"/>
  </si>
  <si>
    <t>敬虔なる湯治</t>
    <phoneticPr fontId="1"/>
  </si>
  <si>
    <t>しふるみどうしうん</t>
    <phoneticPr fontId="1"/>
  </si>
  <si>
    <t>タイプ偉人・妖怪・名物の攻25％UP　/　所属が【関東】とそれに属する県、および【全国】【東日本】の攻30％UP</t>
    <phoneticPr fontId="1"/>
  </si>
  <si>
    <t>豪雪ホットパトロール</t>
    <phoneticPr fontId="1"/>
  </si>
  <si>
    <t>ほえんじょうじけいと</t>
    <phoneticPr fontId="1"/>
  </si>
  <si>
    <t>タイプ神秘・知性派・飲食の攻25％UP　/　所属が【中部】とそれに属する県、および【全国】【東日本】の攻30％UP</t>
    <phoneticPr fontId="1"/>
  </si>
  <si>
    <t>幽霊屋敷のおもてなし</t>
    <phoneticPr fontId="1"/>
  </si>
  <si>
    <t>きょうゆのかーらいる</t>
    <phoneticPr fontId="1"/>
  </si>
  <si>
    <t>タイプ神秘・知性派・飲食の攻25％UP　/　所属が【近畿】とそれに属する県、および【全国】【西日本】の攻30％UP</t>
    <phoneticPr fontId="1"/>
  </si>
  <si>
    <t>大天使の慈愛</t>
    <phoneticPr fontId="1"/>
  </si>
  <si>
    <t>きりゅうあぎと</t>
    <phoneticPr fontId="1"/>
  </si>
  <si>
    <t>タイプ伝承・武人・姫の攻25％UP　/　所属が【中国・四国】とそれに属する県、および【全国】【西日本】の攻30％UP</t>
    <phoneticPr fontId="1"/>
  </si>
  <si>
    <t>愛玩ラゴス</t>
    <phoneticPr fontId="1"/>
  </si>
  <si>
    <t>いあぜみちかりん</t>
    <phoneticPr fontId="1"/>
  </si>
  <si>
    <t>タイプ神秘・知性派・飲食の攻25％UP　/　所属が【九州・沖縄】とそれに属する県、および【全国】【西日本】の攻30％UP</t>
    <phoneticPr fontId="1"/>
  </si>
  <si>
    <t>開眼のジ・アビス</t>
    <phoneticPr fontId="1"/>
  </si>
  <si>
    <t>かいあまもりくずは</t>
    <phoneticPr fontId="1"/>
  </si>
  <si>
    <t>80021_0</t>
    <phoneticPr fontId="1"/>
  </si>
  <si>
    <t>―</t>
  </si>
  <si>
    <t>タイプ【飲食】の攻25％UP</t>
    <phoneticPr fontId="1"/>
  </si>
  <si>
    <t>タイプ【神秘】の防25％UP</t>
    <phoneticPr fontId="1"/>
  </si>
  <si>
    <t>タイプ【偉人】の攻25％UP</t>
    <phoneticPr fontId="1"/>
  </si>
  <si>
    <t>タイプ【名物】の攻25％UP</t>
    <phoneticPr fontId="1"/>
  </si>
  <si>
    <t>1/23 18:00～1/23 21:59</t>
    <phoneticPr fontId="1"/>
  </si>
  <si>
    <t>同盟戦 英雄ガチャ</t>
    <rPh sb="0" eb="2">
      <t>ドウメイ</t>
    </rPh>
    <rPh sb="2" eb="3">
      <t>セン</t>
    </rPh>
    <rPh sb="4" eb="6">
      <t>エイユウ</t>
    </rPh>
    <phoneticPr fontId="1"/>
  </si>
  <si>
    <t>1/23 11:00～1/23 23:59</t>
    <phoneticPr fontId="1"/>
  </si>
  <si>
    <t>R</t>
    <phoneticPr fontId="1"/>
  </si>
  <si>
    <t>栃木</t>
    <rPh sb="0" eb="2">
      <t>トチギ</t>
    </rPh>
    <phoneticPr fontId="1"/>
  </si>
  <si>
    <t>タイプ【偉人】の防20％UP</t>
    <phoneticPr fontId="1"/>
  </si>
  <si>
    <t>隠れ里の米搗き</t>
    <phoneticPr fontId="1"/>
  </si>
  <si>
    <t>しんせいしずかもち</t>
    <phoneticPr fontId="1"/>
  </si>
  <si>
    <t>天クロウィークガチャ</t>
    <phoneticPr fontId="1"/>
  </si>
  <si>
    <t>1/22 15:00～1/24 23:59</t>
    <phoneticPr fontId="1"/>
  </si>
  <si>
    <t>全国</t>
    <phoneticPr fontId="1"/>
  </si>
  <si>
    <t>SP</t>
    <phoneticPr fontId="1"/>
  </si>
  <si>
    <t>てんくろいのしかちょう</t>
    <phoneticPr fontId="1"/>
  </si>
  <si>
    <t>知性派</t>
    <phoneticPr fontId="1"/>
  </si>
  <si>
    <t>乱舞する猪鹿蝶</t>
    <phoneticPr fontId="1"/>
  </si>
  <si>
    <t>タイプ神秘・飲食の攻25％UP　/　タイプ武人・伝承の防55％DOWN</t>
    <phoneticPr fontId="1"/>
  </si>
  <si>
    <t>タイプ伝承・神秘の防50％UP　/　タイプ知性派・飲食の防30％UP</t>
    <phoneticPr fontId="1"/>
  </si>
  <si>
    <t>風魔の科学力</t>
    <phoneticPr fontId="1"/>
  </si>
  <si>
    <t>知性派</t>
    <rPh sb="0" eb="2">
      <t>チセイ</t>
    </rPh>
    <rPh sb="2" eb="3">
      <t>ハ</t>
    </rPh>
    <phoneticPr fontId="1"/>
  </si>
  <si>
    <t>姫</t>
    <rPh sb="0" eb="1">
      <t>ヒメ</t>
    </rPh>
    <phoneticPr fontId="1"/>
  </si>
  <si>
    <t>神秘</t>
    <rPh sb="0" eb="2">
      <t>シンピ</t>
    </rPh>
    <phoneticPr fontId="1"/>
  </si>
  <si>
    <t>妖怪</t>
    <rPh sb="0" eb="2">
      <t>ヨウカイ</t>
    </rPh>
    <phoneticPr fontId="1"/>
  </si>
  <si>
    <t>偉人</t>
    <rPh sb="0" eb="2">
      <t>イジン</t>
    </rPh>
    <phoneticPr fontId="1"/>
  </si>
  <si>
    <t>中部</t>
    <rPh sb="0" eb="2">
      <t>チュウブ</t>
    </rPh>
    <phoneticPr fontId="1"/>
  </si>
  <si>
    <t>近畿</t>
    <rPh sb="0" eb="2">
      <t>キンキ</t>
    </rPh>
    <phoneticPr fontId="1"/>
  </si>
  <si>
    <t>中国・四国</t>
    <rPh sb="0" eb="2">
      <t>チュウゴク</t>
    </rPh>
    <rPh sb="3" eb="5">
      <t>シコク</t>
    </rPh>
    <phoneticPr fontId="1"/>
  </si>
  <si>
    <t>九州・沖縄</t>
    <rPh sb="0" eb="2">
      <t>キュウシュウ</t>
    </rPh>
    <rPh sb="3" eb="5">
      <t>オキナワ</t>
    </rPh>
    <phoneticPr fontId="1"/>
  </si>
  <si>
    <t>あんどろいどふうまこたろう</t>
    <phoneticPr fontId="1"/>
  </si>
  <si>
    <t>タイプ【武人】の防85％UP　/　タイプ姫・伝承の防25％UP</t>
    <phoneticPr fontId="1"/>
  </si>
  <si>
    <t>梅の枝に祈りを込めて</t>
    <phoneticPr fontId="1"/>
  </si>
  <si>
    <t>さかきばらみちこ</t>
    <phoneticPr fontId="1"/>
  </si>
  <si>
    <t>タイプ神秘・知性派・飲食の防20％UP　/　タイプ飲食・武人・名物の攻70％DOWN</t>
    <phoneticPr fontId="1"/>
  </si>
  <si>
    <t>母なる大地を見渡す女神</t>
    <phoneticPr fontId="1"/>
  </si>
  <si>
    <t>さふぁりぱーくなきさわめ</t>
    <phoneticPr fontId="1"/>
  </si>
  <si>
    <t>タイプ神秘・知性派の攻100％DOWN　/　タイプ偉人・名物の防20％UP</t>
    <phoneticPr fontId="1"/>
  </si>
  <si>
    <t>怨みも忘れる恍惚の温もり</t>
    <phoneticPr fontId="1"/>
  </si>
  <si>
    <t>おんせんやどもうりょう</t>
    <phoneticPr fontId="1"/>
  </si>
  <si>
    <t>タイプ名物・妖怪・飲食の防40％UP　/　タイプ【偉人】の防15％UP</t>
    <phoneticPr fontId="1"/>
  </si>
  <si>
    <t>文官染まらぬ武人の魂</t>
    <phoneticPr fontId="1"/>
  </si>
  <si>
    <t>えとうしんぺい</t>
    <phoneticPr fontId="1"/>
  </si>
  <si>
    <t>古豪戦傑ガチャ</t>
    <rPh sb="0" eb="2">
      <t>コゴウ</t>
    </rPh>
    <rPh sb="2" eb="3">
      <t>セン</t>
    </rPh>
    <rPh sb="3" eb="4">
      <t>ケツ</t>
    </rPh>
    <phoneticPr fontId="1"/>
  </si>
  <si>
    <t>1/22 18:00～1/24 23:59</t>
    <phoneticPr fontId="1"/>
  </si>
  <si>
    <t>SSR</t>
    <phoneticPr fontId="1"/>
  </si>
  <si>
    <t>東日本</t>
    <rPh sb="0" eb="1">
      <t>ヒガシ</t>
    </rPh>
    <rPh sb="1" eb="3">
      <t>ニホン</t>
    </rPh>
    <phoneticPr fontId="1"/>
  </si>
  <si>
    <t>西日本</t>
    <rPh sb="0" eb="1">
      <t>ニシ</t>
    </rPh>
    <rPh sb="1" eb="3">
      <t>ニホン</t>
    </rPh>
    <phoneticPr fontId="1"/>
  </si>
  <si>
    <t>全国</t>
    <rPh sb="0" eb="2">
      <t>ゼンコク</t>
    </rPh>
    <phoneticPr fontId="1"/>
  </si>
  <si>
    <t>伝承</t>
    <rPh sb="0" eb="2">
      <t>デンショウ</t>
    </rPh>
    <phoneticPr fontId="1"/>
  </si>
  <si>
    <t>名物</t>
    <rPh sb="0" eb="2">
      <t>メイブツ</t>
    </rPh>
    <phoneticPr fontId="1"/>
  </si>
  <si>
    <t>SR</t>
    <phoneticPr fontId="1"/>
  </si>
  <si>
    <t>飲食</t>
    <rPh sb="0" eb="2">
      <t>インショク</t>
    </rPh>
    <phoneticPr fontId="1"/>
  </si>
  <si>
    <t>武人</t>
    <rPh sb="0" eb="2">
      <t>ブジン</t>
    </rPh>
    <phoneticPr fontId="1"/>
  </si>
  <si>
    <t>タイプ伝承・武人・姫の攻80％DOWN　/　タイプ知性派・飲食の防25％UP</t>
    <phoneticPr fontId="1"/>
  </si>
  <si>
    <t>一刀両断、氷対応</t>
    <phoneticPr fontId="1"/>
  </si>
  <si>
    <t>ちゃやむすめむらさめまる</t>
    <phoneticPr fontId="1"/>
  </si>
  <si>
    <t>タイプ伝承・武人・姫の攻40％UP　/　タイプ伝承・武人・姫の防10％DOWN</t>
    <phoneticPr fontId="1"/>
  </si>
  <si>
    <t>曲がらぬ正義感</t>
    <phoneticPr fontId="1"/>
  </si>
  <si>
    <t>しんしゃかいじんぼっちゃん</t>
    <phoneticPr fontId="1"/>
  </si>
  <si>
    <t>タイプ偉人・妖怪・名物の攻35％UP　/　タイプ伝承・武人・姫の防10％DOWN</t>
    <phoneticPr fontId="1"/>
  </si>
  <si>
    <t>君臨するヤンキー団長</t>
    <phoneticPr fontId="1"/>
  </si>
  <si>
    <t>さーかすいばらきやんきー</t>
    <phoneticPr fontId="1"/>
  </si>
  <si>
    <t>タイプ神秘・知性派の防30％UP　/　タイプ【飲食】の防20％UP</t>
    <phoneticPr fontId="1"/>
  </si>
  <si>
    <t>明石の秘密兵器</t>
    <phoneticPr fontId="1"/>
  </si>
  <si>
    <t>あかしやきちゃん</t>
    <phoneticPr fontId="1"/>
  </si>
  <si>
    <t>タイプ姫・伝承の攻30％UP　/　タイプ【武人】の攻20％UP</t>
    <phoneticPr fontId="1"/>
  </si>
  <si>
    <t>戦場を駈ける十文字の槍さばき</t>
    <phoneticPr fontId="1"/>
  </si>
  <si>
    <t>もりよしなり</t>
    <phoneticPr fontId="1"/>
  </si>
  <si>
    <t>タイプ【名物】の攻35％UP　/　タイプ妖怪・武人の攻25％UP</t>
    <phoneticPr fontId="1"/>
  </si>
  <si>
    <t>九州天狗の頭領</t>
    <phoneticPr fontId="1"/>
  </si>
  <si>
    <t>しんせいひこさんぶぜんぼう</t>
    <phoneticPr fontId="1"/>
  </si>
  <si>
    <t>豪華玉手箱ガチャ</t>
    <rPh sb="0" eb="5">
      <t>ゴウカタマテバコ</t>
    </rPh>
    <phoneticPr fontId="1"/>
  </si>
  <si>
    <t>1/24 15:00～1/24 23:59</t>
    <phoneticPr fontId="1"/>
  </si>
  <si>
    <t>戦神ガチャ</t>
    <rPh sb="0" eb="2">
      <t>センシン</t>
    </rPh>
    <phoneticPr fontId="1"/>
  </si>
  <si>
    <t>1/24 11:00～1/26 23:59</t>
    <phoneticPr fontId="1"/>
  </si>
  <si>
    <t>東日本→全国</t>
    <rPh sb="0" eb="1">
      <t>ヒガシ</t>
    </rPh>
    <rPh sb="1" eb="3">
      <t>ニホン</t>
    </rPh>
    <rPh sb="4" eb="6">
      <t>ゼンコク</t>
    </rPh>
    <phoneticPr fontId="1"/>
  </si>
  <si>
    <t>タイプ【武人】の防50％UP　/　タイプ姫・伝承・妖怪・偉人の防30％UP</t>
    <phoneticPr fontId="1"/>
  </si>
  <si>
    <t>威厳に満ちた女王の真意</t>
    <phoneticPr fontId="1"/>
  </si>
  <si>
    <t>じょていせなひめ</t>
    <phoneticPr fontId="1"/>
  </si>
  <si>
    <t>全国巡り 盃酒彩る厄除達磨ガチャ</t>
    <rPh sb="0" eb="2">
      <t>ゼンコク</t>
    </rPh>
    <rPh sb="2" eb="3">
      <t>メグ</t>
    </rPh>
    <phoneticPr fontId="1"/>
  </si>
  <si>
    <t>(Lvアップ)1/25 12:00～1/31 19:59</t>
    <phoneticPr fontId="1"/>
  </si>
  <si>
    <t>(DX)1/25 12:00～1/31 19:59</t>
    <phoneticPr fontId="1"/>
  </si>
  <si>
    <t>SSR</t>
    <phoneticPr fontId="1"/>
  </si>
  <si>
    <t>SR</t>
    <phoneticPr fontId="1"/>
  </si>
  <si>
    <t>HR</t>
    <phoneticPr fontId="1"/>
  </si>
  <si>
    <t>R</t>
    <phoneticPr fontId="1"/>
  </si>
  <si>
    <t>近畿</t>
    <rPh sb="0" eb="2">
      <t>キンキ</t>
    </rPh>
    <phoneticPr fontId="1"/>
  </si>
  <si>
    <t>中部</t>
    <rPh sb="0" eb="2">
      <t>チュウブ</t>
    </rPh>
    <phoneticPr fontId="1"/>
  </si>
  <si>
    <t>関東</t>
    <rPh sb="0" eb="2">
      <t>カントウ</t>
    </rPh>
    <phoneticPr fontId="1"/>
  </si>
  <si>
    <t>九州・沖縄</t>
    <rPh sb="0" eb="2">
      <t>キュウシュウ</t>
    </rPh>
    <rPh sb="3" eb="5">
      <t>オキナワ</t>
    </rPh>
    <phoneticPr fontId="1"/>
  </si>
  <si>
    <t>広島</t>
    <rPh sb="0" eb="2">
      <t>ヒロシマ</t>
    </rPh>
    <phoneticPr fontId="1"/>
  </si>
  <si>
    <t>飲食</t>
    <rPh sb="0" eb="2">
      <t>インショク</t>
    </rPh>
    <phoneticPr fontId="1"/>
  </si>
  <si>
    <t>偉人</t>
    <rPh sb="0" eb="2">
      <t>イジン</t>
    </rPh>
    <phoneticPr fontId="1"/>
  </si>
  <si>
    <t>神秘</t>
    <rPh sb="0" eb="2">
      <t>シンピ</t>
    </rPh>
    <phoneticPr fontId="1"/>
  </si>
  <si>
    <t>名物</t>
    <rPh sb="0" eb="2">
      <t>メイブツ</t>
    </rPh>
    <phoneticPr fontId="1"/>
  </si>
  <si>
    <t>タイプ神秘・知性派・飲食の防35％UP</t>
    <phoneticPr fontId="1"/>
  </si>
  <si>
    <t>月夜のだるま見酒</t>
    <phoneticPr fontId="1"/>
  </si>
  <si>
    <t>だるまいちつきみざけちゃん</t>
    <phoneticPr fontId="1"/>
  </si>
  <si>
    <t>タイプ妖怪・名物の攻60％UP　/　タイプ【偉人】の攻15％UP</t>
    <phoneticPr fontId="1"/>
  </si>
  <si>
    <t>白百合の恋占い</t>
    <phoneticPr fontId="1"/>
  </si>
  <si>
    <t>しんせいげいしゅんやまかわとみこ</t>
    <phoneticPr fontId="1"/>
  </si>
  <si>
    <t>タイプ武人・伝承の防30％UP　/　タイプ【姫】の防10％UP</t>
    <phoneticPr fontId="1"/>
  </si>
  <si>
    <t>人望から生まれた女神</t>
    <phoneticPr fontId="1"/>
  </si>
  <si>
    <t>しんせいたかおだいみょうじん</t>
    <phoneticPr fontId="1"/>
  </si>
  <si>
    <t>タイプ知性派・飲食の攻20％UP</t>
    <phoneticPr fontId="1"/>
  </si>
  <si>
    <t>潮支配の宝珠</t>
    <phoneticPr fontId="1"/>
  </si>
  <si>
    <t>しんせいあづみのいそら</t>
    <phoneticPr fontId="1"/>
  </si>
  <si>
    <t>タイプ【偉人】の防20％UP</t>
    <phoneticPr fontId="1"/>
  </si>
  <si>
    <t>生まれ還りの筆供養</t>
    <phoneticPr fontId="1"/>
  </si>
  <si>
    <t>しんせいふでまつり</t>
    <phoneticPr fontId="1"/>
  </si>
  <si>
    <t>妖怪</t>
    <rPh sb="0" eb="2">
      <t>ヨウカイ</t>
    </rPh>
    <phoneticPr fontId="1"/>
  </si>
  <si>
    <t>タイプ【名物】の攻30％UP　/　タイプ偉人・妖怪の攻15％UP</t>
    <phoneticPr fontId="1"/>
  </si>
  <si>
    <t>雨の小さな期待</t>
    <phoneticPr fontId="1"/>
  </si>
  <si>
    <t>つゆろまんたつくちなわ</t>
    <phoneticPr fontId="1"/>
  </si>
  <si>
    <t>タイプ神秘・知性派・飲食の攻40％UP　/　タイプ偉人・妖怪・名物の防10％DOWN</t>
    <phoneticPr fontId="1"/>
  </si>
  <si>
    <t>険き道の氷点観測</t>
    <phoneticPr fontId="1"/>
  </si>
  <si>
    <t>のなかちよこ</t>
    <phoneticPr fontId="1"/>
  </si>
  <si>
    <t>タイプ【武人】の攻75％UP　/　タイプ姫・伝承の攻30％UP</t>
    <phoneticPr fontId="1"/>
  </si>
  <si>
    <t>裏切りの輪舞曲</t>
    <phoneticPr fontId="1"/>
  </si>
  <si>
    <t>ぶんめいかいかはつめのつぼね</t>
    <phoneticPr fontId="1"/>
  </si>
  <si>
    <t>祝来！宝船福引ガチャ</t>
    <phoneticPr fontId="1"/>
  </si>
  <si>
    <t>1/26 12:00～1/27 11:59</t>
    <phoneticPr fontId="1"/>
  </si>
  <si>
    <t>全国巡り 英雄ガチャ</t>
    <rPh sb="0" eb="3">
      <t>ゼンコクメグ</t>
    </rPh>
    <rPh sb="5" eb="7">
      <t>エイユウ</t>
    </rPh>
    <phoneticPr fontId="1"/>
  </si>
  <si>
    <t>豪華玉手箱ガチャ</t>
    <rPh sb="0" eb="2">
      <t>ゴウカ</t>
    </rPh>
    <rPh sb="2" eb="5">
      <t>タマテバコ</t>
    </rPh>
    <phoneticPr fontId="1"/>
  </si>
  <si>
    <t>1/27 15:00～1/27 23:59</t>
    <phoneticPr fontId="1"/>
  </si>
  <si>
    <t>1/28 11:00～1/28 23:59</t>
    <phoneticPr fontId="1"/>
  </si>
  <si>
    <t>1/28 18:00～1/30 23:59</t>
    <phoneticPr fontId="1"/>
  </si>
  <si>
    <t>神秘</t>
    <rPh sb="0" eb="2">
      <t>シンピ</t>
    </rPh>
    <phoneticPr fontId="1"/>
  </si>
  <si>
    <t>姫</t>
    <rPh sb="0" eb="1">
      <t>ヒメ</t>
    </rPh>
    <phoneticPr fontId="1"/>
  </si>
  <si>
    <t>名物</t>
    <rPh sb="0" eb="2">
      <t>メイブツ</t>
    </rPh>
    <phoneticPr fontId="1"/>
  </si>
  <si>
    <t>タイプ飲食・知性派・武人の防40％UP　/　タイプ【神秘】の防35％UP</t>
    <phoneticPr fontId="1"/>
  </si>
  <si>
    <t>海神キラーウェイル</t>
    <phoneticPr fontId="1"/>
  </si>
  <si>
    <t>れぷんかむい</t>
    <phoneticPr fontId="1"/>
  </si>
  <si>
    <t>タイプ武人・伝承の防45％UP　/　タイプ偉人・姫の防35％UP</t>
    <phoneticPr fontId="1"/>
  </si>
  <si>
    <t>沙羅双樹の華を射て</t>
    <phoneticPr fontId="1"/>
  </si>
  <si>
    <t>しょうとういん</t>
    <phoneticPr fontId="1"/>
  </si>
  <si>
    <t>タイプ偉人・妖怪・名物の防35％UP　/　タイプ伝承・武人・姫の攻10％DOWN</t>
    <phoneticPr fontId="1"/>
  </si>
  <si>
    <t>同じ阿呆なら踊らな損</t>
    <phoneticPr fontId="1"/>
  </si>
  <si>
    <t>ゆきのうたあわおどり</t>
    <phoneticPr fontId="1"/>
  </si>
  <si>
    <t>1/29 18:00～1/29 21:59</t>
    <phoneticPr fontId="1"/>
  </si>
  <si>
    <t>戦神ガチャ</t>
    <rPh sb="0" eb="2">
      <t>センシン</t>
    </rPh>
    <phoneticPr fontId="1"/>
  </si>
  <si>
    <t>1/29 11:00～1/31 23:59</t>
    <phoneticPr fontId="1"/>
  </si>
  <si>
    <t>1/30 12:00～1/31 11:59</t>
    <phoneticPr fontId="1"/>
  </si>
  <si>
    <t>祝来！宝船福引ガチャ</t>
    <phoneticPr fontId="1"/>
  </si>
  <si>
    <t>タイプ偉人・名物の防25％UP　/　タイプ【妖怪】の防10％UP</t>
    <phoneticPr fontId="1"/>
  </si>
  <si>
    <t>最高の調味料を味方に</t>
    <phoneticPr fontId="1"/>
  </si>
  <si>
    <t>りょうりばとるひだるかみ</t>
    <phoneticPr fontId="1"/>
  </si>
  <si>
    <t>タイプ偉人・名物の防12％UP　/　タイプ【妖怪】の防10％UP</t>
    <phoneticPr fontId="1"/>
  </si>
  <si>
    <t>タイプ偉人・名物の防10％UP　/　タイプ【妖怪】の防5％UP</t>
    <phoneticPr fontId="1"/>
  </si>
  <si>
    <t>タイプ【飲食】の攻95％UP　/　タイプ神秘・知性派の攻20％UP</t>
    <phoneticPr fontId="1"/>
  </si>
  <si>
    <t>遊園地から愛を込めて</t>
    <phoneticPr fontId="1"/>
  </si>
  <si>
    <t>ゆうえんちはざーどえひめのみこと</t>
    <phoneticPr fontId="1"/>
  </si>
  <si>
    <t>タイプ【飲食】の攻70％UP　/　タイプ神秘・知性派の攻15％UP</t>
    <phoneticPr fontId="1"/>
  </si>
  <si>
    <t>タイプ【飲食】の攻55％UP　/　タイプ【神秘】の攻10％UP</t>
    <phoneticPr fontId="1"/>
  </si>
  <si>
    <t>1/31 11:00～1/31 23:59</t>
    <phoneticPr fontId="1"/>
  </si>
  <si>
    <t>良妻賢母の鬼退治</t>
    <phoneticPr fontId="1"/>
  </si>
  <si>
    <t>せつぶんかめじゅひめ</t>
    <phoneticPr fontId="1"/>
  </si>
  <si>
    <t>タイプ【武人】の攻70％UP　/　タイプ姫・伝承の攻15％UP</t>
    <phoneticPr fontId="1"/>
  </si>
  <si>
    <t>タイプ【武人】の攻45％UP　/　タイプ【姫】の攻10％UP</t>
    <phoneticPr fontId="1"/>
  </si>
  <si>
    <t>2/3 12:00～2/4 11:59</t>
    <phoneticPr fontId="1"/>
  </si>
  <si>
    <t>防衛戦 想い伝える恋情の贈り物ガチャ</t>
    <rPh sb="0" eb="3">
      <t>ボウエイセン</t>
    </rPh>
    <phoneticPr fontId="1"/>
  </si>
  <si>
    <t>(Lvアップ)2/1 0:00～2/8 11:59</t>
    <phoneticPr fontId="1"/>
  </si>
  <si>
    <t>(DX)2/1 0:00～2/8 11:59</t>
    <phoneticPr fontId="1"/>
  </si>
  <si>
    <t>一定時間、戦技ゲージ上昇割合がUPし、自身が戦技を発動すると敵軍に固定ダメージ</t>
    <phoneticPr fontId="1"/>
  </si>
  <si>
    <t>86893_0</t>
    <phoneticPr fontId="1"/>
  </si>
  <si>
    <t>慈愛溢れる北条の獅子</t>
    <phoneticPr fontId="1"/>
  </si>
  <si>
    <t>しんせいばれんたいんほうじょううじやす</t>
    <phoneticPr fontId="1"/>
  </si>
  <si>
    <t>恋愛成就の贈り物</t>
    <phoneticPr fontId="1"/>
  </si>
  <si>
    <t>しんせいしょこらてぃえ</t>
    <phoneticPr fontId="1"/>
  </si>
  <si>
    <t>ほろ苦ツンデレ愛</t>
    <rPh sb="2" eb="3">
      <t>ク</t>
    </rPh>
    <rPh sb="7" eb="8">
      <t>アイ</t>
    </rPh>
    <phoneticPr fontId="1"/>
  </si>
  <si>
    <t>タイプ武人・伝承の攻70％UP　/　タイプ【姫】の攻35％UP</t>
    <rPh sb="3" eb="5">
      <t>ブジン</t>
    </rPh>
    <rPh sb="6" eb="8">
      <t>デンショウ</t>
    </rPh>
    <rPh sb="9" eb="10">
      <t>コウ</t>
    </rPh>
    <rPh sb="22" eb="23">
      <t>ヒメ</t>
    </rPh>
    <rPh sb="25" eb="26">
      <t>コウ</t>
    </rPh>
    <phoneticPr fontId="1"/>
  </si>
  <si>
    <t>ちょこのひすけばん</t>
  </si>
  <si>
    <t>タイプ偉人・妖怪・名物の防40％UP　/　タイプ飲食・武人・名物の攻10％DOWN</t>
    <phoneticPr fontId="1"/>
  </si>
  <si>
    <t>北海道愛溢れる告白</t>
    <phoneticPr fontId="1"/>
  </si>
  <si>
    <t>ちょこのひどさんこちゃん</t>
    <phoneticPr fontId="1"/>
  </si>
  <si>
    <t>心に響け愛の歌</t>
    <phoneticPr fontId="1"/>
  </si>
  <si>
    <t>ちょこのひとよたけろしょう</t>
    <phoneticPr fontId="1"/>
  </si>
  <si>
    <t>タイプ伝承・武人・姫の防30％UP　/　タイプ名物・武人・飲食・知性派の攻13％DOWN</t>
    <phoneticPr fontId="1"/>
  </si>
  <si>
    <t>恋に染まる天使肌</t>
    <phoneticPr fontId="1"/>
  </si>
  <si>
    <t>ちょこのひさんごいろ</t>
    <phoneticPr fontId="1"/>
  </si>
  <si>
    <t>褐色の絶対引力</t>
    <phoneticPr fontId="1"/>
  </si>
  <si>
    <t>しんせいちょこれーとけーき</t>
    <phoneticPr fontId="1"/>
  </si>
  <si>
    <t>層になった軽い食感</t>
    <phoneticPr fontId="1"/>
  </si>
  <si>
    <t>しんせいうえはーすちゃん</t>
    <phoneticPr fontId="1"/>
  </si>
  <si>
    <t>ご主人様への愛をこめて</t>
    <phoneticPr fontId="1"/>
  </si>
  <si>
    <t>しんせいばれんたいんあきばめいど</t>
    <phoneticPr fontId="1"/>
  </si>
  <si>
    <t>タイプ妖怪・名物の防25％UP</t>
    <phoneticPr fontId="1"/>
  </si>
  <si>
    <t>維新の中のやすらぎ</t>
    <phoneticPr fontId="1"/>
  </si>
  <si>
    <t>しんせいばれんたいんさかもとりょうま</t>
    <phoneticPr fontId="1"/>
  </si>
  <si>
    <t>心臓に宿る切なき甘さ</t>
    <phoneticPr fontId="1"/>
  </si>
  <si>
    <t>しんせいばれんたいんうえすぎようざん</t>
    <phoneticPr fontId="1"/>
  </si>
  <si>
    <t>防衛戦 鬼打ち払う福豆ガチャ</t>
    <rPh sb="0" eb="3">
      <t>ボウエイセン</t>
    </rPh>
    <phoneticPr fontId="1"/>
  </si>
  <si>
    <t>(Lvアップ)2/4 12:00～2/8 11:59</t>
    <phoneticPr fontId="1"/>
  </si>
  <si>
    <t>神の手に宿りし魔滅豆</t>
    <phoneticPr fontId="1"/>
  </si>
  <si>
    <t>せつぶんはにやす</t>
    <phoneticPr fontId="1"/>
  </si>
  <si>
    <t>石段を駆ける厄落とし</t>
    <phoneticPr fontId="1"/>
  </si>
  <si>
    <t>しんせいせつぶんぱにっくくのひさ</t>
    <phoneticPr fontId="1"/>
  </si>
  <si>
    <t>鬼を呼び込み福と成す</t>
    <phoneticPr fontId="1"/>
  </si>
  <si>
    <t>しんせいおにもうちおにこいせつぶんさい</t>
    <phoneticPr fontId="1"/>
  </si>
  <si>
    <t>鬼払いの落花生</t>
    <phoneticPr fontId="1"/>
  </si>
  <si>
    <t>しんせいおにはそとらっかせいちゃん</t>
    <phoneticPr fontId="1"/>
  </si>
  <si>
    <t>(高コスト)2/4 18:00～2/6 23:59</t>
    <rPh sb="1" eb="2">
      <t>コウ</t>
    </rPh>
    <phoneticPr fontId="1"/>
  </si>
  <si>
    <t>(戦技チャンス)2/4 18:00～2/6 23:59</t>
    <rPh sb="1" eb="3">
      <t>センギ</t>
    </rPh>
    <phoneticPr fontId="1"/>
  </si>
  <si>
    <t>聖火広がる平穏への祈り</t>
    <phoneticPr fontId="1"/>
  </si>
  <si>
    <t>いるみねーしょんきたはらさとこ</t>
    <phoneticPr fontId="1"/>
  </si>
  <si>
    <t>浄瑠璃の革新</t>
    <phoneticPr fontId="1"/>
  </si>
  <si>
    <t>そねざきしんじゅう</t>
    <phoneticPr fontId="1"/>
  </si>
  <si>
    <t>タイプ姫・武人・名物の防30％UP</t>
    <phoneticPr fontId="1"/>
  </si>
  <si>
    <t>タイプ【妖怪】の攻30％UP　/　タイプ名物・偉人・神秘・知性派の攻20％UP</t>
    <phoneticPr fontId="1"/>
  </si>
  <si>
    <t>防衛戦 英雄ガチャ</t>
    <rPh sb="0" eb="3">
      <t>ボウエイセン</t>
    </rPh>
    <rPh sb="4" eb="6">
      <t>エイユウ</t>
    </rPh>
    <phoneticPr fontId="1"/>
  </si>
  <si>
    <t>2/5 11:00～2/5 23:59</t>
    <phoneticPr fontId="1"/>
  </si>
  <si>
    <t>超防再臨ガチャ</t>
    <rPh sb="0" eb="1">
      <t>チョウ</t>
    </rPh>
    <rPh sb="1" eb="2">
      <t>ボウ</t>
    </rPh>
    <rPh sb="2" eb="4">
      <t>サイリン</t>
    </rPh>
    <phoneticPr fontId="1"/>
  </si>
  <si>
    <t>2/5 18:00～2/7 23:59</t>
    <phoneticPr fontId="1"/>
  </si>
  <si>
    <t>豪華玉手箱ガチャ</t>
    <rPh sb="0" eb="2">
      <t>ゴウカ</t>
    </rPh>
    <rPh sb="2" eb="5">
      <t>タマテバコ</t>
    </rPh>
    <phoneticPr fontId="1"/>
  </si>
  <si>
    <t>2/6 15:00～2/6 23:59</t>
    <phoneticPr fontId="1"/>
  </si>
  <si>
    <t>祝来！宝船福引ガチャ</t>
    <rPh sb="0" eb="1">
      <t>シュク</t>
    </rPh>
    <rPh sb="1" eb="2">
      <t>ライ</t>
    </rPh>
    <rPh sb="3" eb="5">
      <t>タカラブネ</t>
    </rPh>
    <rPh sb="5" eb="7">
      <t>フクビキ</t>
    </rPh>
    <phoneticPr fontId="1"/>
  </si>
  <si>
    <t>2/7 12:00～2/8 11:59</t>
    <phoneticPr fontId="1"/>
  </si>
  <si>
    <t>天撃皆伝ガチャ</t>
    <rPh sb="0" eb="1">
      <t>テン</t>
    </rPh>
    <rPh sb="1" eb="2">
      <t>ゲキ</t>
    </rPh>
    <rPh sb="2" eb="4">
      <t>カイデン</t>
    </rPh>
    <phoneticPr fontId="1"/>
  </si>
  <si>
    <t>2/7 18:00～2/9 23:59</t>
    <phoneticPr fontId="1"/>
  </si>
  <si>
    <t>SR</t>
    <phoneticPr fontId="1"/>
  </si>
  <si>
    <t>タイプ名物・偉人・武人の攻25％UP</t>
    <phoneticPr fontId="1"/>
  </si>
  <si>
    <t>謎に包まれた神犬</t>
    <phoneticPr fontId="1"/>
  </si>
  <si>
    <t>おぼ</t>
    <phoneticPr fontId="1"/>
  </si>
  <si>
    <t>タイプ姫・武人・名物の攻25％UP</t>
    <phoneticPr fontId="1"/>
  </si>
  <si>
    <t>夢叶の瞬間</t>
    <phoneticPr fontId="1"/>
  </si>
  <si>
    <t>ねこどうじょ</t>
    <phoneticPr fontId="1"/>
  </si>
  <si>
    <t>タイプ知性派・飲食・伝承の防30％UP</t>
    <phoneticPr fontId="1"/>
  </si>
  <si>
    <t>王朝の栄華の痕跡</t>
    <phoneticPr fontId="1"/>
  </si>
  <si>
    <t>いせきとみぬしひめ</t>
    <phoneticPr fontId="1"/>
  </si>
  <si>
    <t>四神戦 力を示せ！剛腕の武神ガチャ</t>
    <rPh sb="0" eb="1">
      <t>ヨン</t>
    </rPh>
    <rPh sb="1" eb="2">
      <t>シン</t>
    </rPh>
    <rPh sb="2" eb="3">
      <t>セン</t>
    </rPh>
    <phoneticPr fontId="1"/>
  </si>
  <si>
    <t>(Lvアップ)2/8 12:00～2/14 11:59</t>
    <phoneticPr fontId="1"/>
  </si>
  <si>
    <t>(DX)2/8 12:00～2/14 11:59</t>
    <phoneticPr fontId="1"/>
  </si>
  <si>
    <t>SSR</t>
    <phoneticPr fontId="1"/>
  </si>
  <si>
    <t>HR</t>
    <phoneticPr fontId="1"/>
  </si>
  <si>
    <t>R</t>
    <phoneticPr fontId="1"/>
  </si>
  <si>
    <t>関東</t>
    <rPh sb="0" eb="2">
      <t>カントウ</t>
    </rPh>
    <phoneticPr fontId="1"/>
  </si>
  <si>
    <t>近畿</t>
    <rPh sb="0" eb="2">
      <t>キンキ</t>
    </rPh>
    <phoneticPr fontId="1"/>
  </si>
  <si>
    <t>北海道・東北</t>
    <rPh sb="0" eb="3">
      <t>ホッカイドウ</t>
    </rPh>
    <rPh sb="4" eb="6">
      <t>トウホク</t>
    </rPh>
    <phoneticPr fontId="1"/>
  </si>
  <si>
    <t>中部</t>
    <rPh sb="0" eb="2">
      <t>チュウブ</t>
    </rPh>
    <phoneticPr fontId="1"/>
  </si>
  <si>
    <t>鳥取</t>
    <rPh sb="0" eb="2">
      <t>トットリ</t>
    </rPh>
    <phoneticPr fontId="1"/>
  </si>
  <si>
    <t>伝承</t>
    <rPh sb="0" eb="2">
      <t>デンショウ</t>
    </rPh>
    <phoneticPr fontId="1"/>
  </si>
  <si>
    <t>神秘</t>
    <rPh sb="0" eb="2">
      <t>シンピ</t>
    </rPh>
    <phoneticPr fontId="1"/>
  </si>
  <si>
    <t>知性派</t>
    <rPh sb="0" eb="2">
      <t>チセイ</t>
    </rPh>
    <rPh sb="2" eb="3">
      <t>ハ</t>
    </rPh>
    <phoneticPr fontId="1"/>
  </si>
  <si>
    <t>妖怪</t>
    <rPh sb="0" eb="2">
      <t>ヨウカイ</t>
    </rPh>
    <phoneticPr fontId="1"/>
  </si>
  <si>
    <t>名物</t>
    <rPh sb="0" eb="2">
      <t>メイブツ</t>
    </rPh>
    <phoneticPr fontId="1"/>
  </si>
  <si>
    <t>タイプ伝承・武人・姫の攻35％UP　/　タイプ飲食・武人・名物の防10％DOWN</t>
    <phoneticPr fontId="1"/>
  </si>
  <si>
    <t>ジャイアントブレイク</t>
    <phoneticPr fontId="1"/>
  </si>
  <si>
    <t>とうぎじょうせすたす</t>
    <phoneticPr fontId="1"/>
  </si>
  <si>
    <t>タイプ飲食・武人・名物の防80％DOWN　/　タイプ知性派・飲食の攻25％UP</t>
    <phoneticPr fontId="1"/>
  </si>
  <si>
    <t>人と神を繋ぐ役目</t>
    <phoneticPr fontId="1"/>
  </si>
  <si>
    <t>しんせいもんすたーなきさわめ</t>
    <phoneticPr fontId="1"/>
  </si>
  <si>
    <t>タイプ神秘・飲食の防30％UP　/　タイプ【知性派】の防10％UP</t>
    <phoneticPr fontId="1"/>
  </si>
  <si>
    <t>純白の騎士道精神</t>
    <phoneticPr fontId="1"/>
  </si>
  <si>
    <t>しんせいしろきしはせくらつねなが</t>
    <phoneticPr fontId="1"/>
  </si>
  <si>
    <t>タイプ偉人・名物の攻20％UP</t>
    <phoneticPr fontId="1"/>
  </si>
  <si>
    <t>軋む歯車と奇妙な笑い声</t>
    <phoneticPr fontId="1"/>
  </si>
  <si>
    <t>しんせいすちーむぱんくひひ</t>
    <phoneticPr fontId="1"/>
  </si>
  <si>
    <t>タイプ【妖怪】の防20％UP</t>
    <phoneticPr fontId="1"/>
  </si>
  <si>
    <t>天の神への願い幟</t>
    <phoneticPr fontId="1"/>
  </si>
  <si>
    <t>しんせいむしゃえのぼり</t>
    <phoneticPr fontId="1"/>
  </si>
  <si>
    <t>進化の秘竜チャンスガチャ</t>
    <rPh sb="0" eb="2">
      <t>シンカ</t>
    </rPh>
    <rPh sb="3" eb="4">
      <t>ヒ</t>
    </rPh>
    <rPh sb="4" eb="5">
      <t>リュウ</t>
    </rPh>
    <phoneticPr fontId="1"/>
  </si>
  <si>
    <t>(3連)2/8 15:00～2/11 23:59</t>
    <rPh sb="2" eb="3">
      <t>レン</t>
    </rPh>
    <phoneticPr fontId="1"/>
  </si>
  <si>
    <t>(20連)2/8 15:00～2/11 23:59</t>
    <rPh sb="3" eb="4">
      <t>レン</t>
    </rPh>
    <phoneticPr fontId="1"/>
  </si>
  <si>
    <t>1/15 15:00～1/16 23:59</t>
    <phoneticPr fontId="1"/>
  </si>
  <si>
    <t>全国巡り 年の瀬奏でる除夜の鐘ガチャ</t>
    <rPh sb="0" eb="2">
      <t>ゼンコク</t>
    </rPh>
    <rPh sb="2" eb="3">
      <t>メグ</t>
    </rPh>
    <phoneticPr fontId="1"/>
  </si>
  <si>
    <t>(DX)12/25 12:00～12/31 19:59</t>
    <phoneticPr fontId="1"/>
  </si>
  <si>
    <t>(Lvアップ)12/25 12:00～12/31 19:59</t>
    <phoneticPr fontId="1"/>
  </si>
  <si>
    <t>(DX)6/1 0:00～6/4 11:59</t>
    <phoneticPr fontId="1"/>
  </si>
  <si>
    <t>(Lvアップ)6/1 0:00～6/8 11:59</t>
    <phoneticPr fontId="1"/>
  </si>
  <si>
    <t>81783_0</t>
    <phoneticPr fontId="1"/>
  </si>
  <si>
    <t>71403_0</t>
    <phoneticPr fontId="1"/>
  </si>
  <si>
    <t>53753_0</t>
    <phoneticPr fontId="1"/>
  </si>
  <si>
    <t>40963_0</t>
    <phoneticPr fontId="1"/>
  </si>
  <si>
    <t>78693_0</t>
    <phoneticPr fontId="1"/>
  </si>
  <si>
    <t>(Lvアップ)6/25 12:00～6/30 19:59</t>
    <phoneticPr fontId="1"/>
  </si>
  <si>
    <t>(Lvアップ)6/14 12:00～6/21 11:59</t>
    <phoneticPr fontId="1"/>
  </si>
  <si>
    <t>(Lvアップ)6/8 12:00～6/14 11:59</t>
    <phoneticPr fontId="1"/>
  </si>
  <si>
    <t>(Lvアップ)6/4 12:00～6/8 11:59</t>
    <phoneticPr fontId="1"/>
  </si>
  <si>
    <t>51973_0</t>
    <phoneticPr fontId="1"/>
  </si>
  <si>
    <t>57733_0</t>
    <phoneticPr fontId="1"/>
  </si>
  <si>
    <t>超攻再臨ガチャ</t>
    <rPh sb="0" eb="1">
      <t>チョウ</t>
    </rPh>
    <rPh sb="1" eb="2">
      <t>コウ</t>
    </rPh>
    <rPh sb="2" eb="4">
      <t>サイリン</t>
    </rPh>
    <phoneticPr fontId="1"/>
  </si>
  <si>
    <t>2/8 18:00～2/10 23:59</t>
    <phoneticPr fontId="1"/>
  </si>
  <si>
    <t>(3連)9/21 15:00～9/23 23:59</t>
    <rPh sb="2" eb="3">
      <t>レン</t>
    </rPh>
    <phoneticPr fontId="1"/>
  </si>
  <si>
    <t>2/9 12:00～2/14 11:59</t>
    <phoneticPr fontId="1"/>
  </si>
  <si>
    <t>5進</t>
    <rPh sb="1" eb="2">
      <t>シン</t>
    </rPh>
    <phoneticPr fontId="1"/>
  </si>
  <si>
    <t>3進</t>
    <rPh sb="1" eb="2">
      <t>シン</t>
    </rPh>
    <phoneticPr fontId="1"/>
  </si>
  <si>
    <t>1進</t>
    <rPh sb="1" eb="2">
      <t>シン</t>
    </rPh>
    <phoneticPr fontId="1"/>
  </si>
  <si>
    <t>全国</t>
    <rPh sb="0" eb="2">
      <t>ゼンコク</t>
    </rPh>
    <phoneticPr fontId="1"/>
  </si>
  <si>
    <t>西日本</t>
    <rPh sb="0" eb="1">
      <t>ニシ</t>
    </rPh>
    <rPh sb="1" eb="3">
      <t>ニホン</t>
    </rPh>
    <phoneticPr fontId="1"/>
  </si>
  <si>
    <t>タイプ【妖怪】の攻85％UP　/　タイプ偉人・名物の攻25％UP</t>
    <phoneticPr fontId="1"/>
  </si>
  <si>
    <t>牡丹紅雷</t>
    <phoneticPr fontId="1"/>
  </si>
  <si>
    <t>やーいー</t>
    <phoneticPr fontId="1"/>
  </si>
  <si>
    <t>タイプ【妖怪】の攻60％UP　/　タイプ偉人・名物の攻20％UP</t>
    <phoneticPr fontId="1"/>
  </si>
  <si>
    <t>タイプ【妖怪】の攻45％UP　/　タイプ【名物】の攻15％UP</t>
    <phoneticPr fontId="1"/>
  </si>
  <si>
    <t>53753_0</t>
    <phoneticPr fontId="1"/>
  </si>
  <si>
    <t>49953_0</t>
    <phoneticPr fontId="1"/>
  </si>
  <si>
    <t>49193_0</t>
    <phoneticPr fontId="1"/>
  </si>
  <si>
    <t>66433_0</t>
    <phoneticPr fontId="1"/>
  </si>
  <si>
    <t>59673_0</t>
    <phoneticPr fontId="1"/>
  </si>
  <si>
    <t>40913_0</t>
    <phoneticPr fontId="1"/>
  </si>
  <si>
    <t>68783_0</t>
    <phoneticPr fontId="1"/>
  </si>
  <si>
    <t>75393_0</t>
    <phoneticPr fontId="1"/>
  </si>
  <si>
    <t>四神戦 英雄ガチャ</t>
    <rPh sb="0" eb="1">
      <t>ヨン</t>
    </rPh>
    <rPh sb="1" eb="2">
      <t>シン</t>
    </rPh>
    <rPh sb="2" eb="3">
      <t>セン</t>
    </rPh>
    <rPh sb="4" eb="6">
      <t>エイユウ</t>
    </rPh>
    <phoneticPr fontId="1"/>
  </si>
  <si>
    <t>2/10 11:00～2/10 23:59</t>
    <phoneticPr fontId="1"/>
  </si>
  <si>
    <t>豪華玉手箱ガチャ</t>
    <rPh sb="0" eb="2">
      <t>ゴウカ</t>
    </rPh>
    <rPh sb="2" eb="5">
      <t>タマテバコ</t>
    </rPh>
    <phoneticPr fontId="1"/>
  </si>
  <si>
    <t>2/10 15:00～2/10 23:59</t>
    <phoneticPr fontId="1"/>
  </si>
  <si>
    <t>56223_0</t>
    <phoneticPr fontId="1"/>
  </si>
  <si>
    <t>76303_0</t>
    <phoneticPr fontId="1"/>
  </si>
  <si>
    <t>47263_0</t>
    <phoneticPr fontId="1"/>
  </si>
  <si>
    <t>81783_0</t>
    <phoneticPr fontId="1"/>
  </si>
  <si>
    <t>67173_0</t>
    <phoneticPr fontId="1"/>
  </si>
  <si>
    <t>55313_0</t>
    <phoneticPr fontId="1"/>
  </si>
  <si>
    <t>46283_0</t>
    <phoneticPr fontId="1"/>
  </si>
  <si>
    <t>48283_0</t>
    <phoneticPr fontId="1"/>
  </si>
  <si>
    <t>74593_0</t>
    <phoneticPr fontId="1"/>
  </si>
  <si>
    <t>56493_0</t>
    <phoneticPr fontId="1"/>
  </si>
  <si>
    <t>44283_0</t>
    <phoneticPr fontId="1"/>
  </si>
  <si>
    <t>72963_0</t>
    <phoneticPr fontId="1"/>
  </si>
  <si>
    <t>71403_0</t>
    <phoneticPr fontId="1"/>
  </si>
  <si>
    <t>40963_0</t>
    <phoneticPr fontId="1"/>
  </si>
  <si>
    <t>58853_0</t>
    <phoneticPr fontId="1"/>
  </si>
  <si>
    <t>63173_0</t>
    <phoneticPr fontId="1"/>
  </si>
  <si>
    <t>64953_0</t>
    <phoneticPr fontId="1"/>
  </si>
  <si>
    <t>40343_0</t>
    <phoneticPr fontId="1"/>
  </si>
  <si>
    <t>72233_0</t>
    <phoneticPr fontId="1"/>
  </si>
  <si>
    <t>65713_0</t>
    <phoneticPr fontId="1"/>
  </si>
  <si>
    <t>44253_0</t>
    <phoneticPr fontId="1"/>
  </si>
  <si>
    <t>61893_0</t>
    <phoneticPr fontId="1"/>
  </si>
  <si>
    <t>68033_0</t>
    <phoneticPr fontId="1"/>
  </si>
  <si>
    <t>39933_0</t>
    <phoneticPr fontId="1"/>
  </si>
  <si>
    <t>73773_0</t>
    <phoneticPr fontId="1"/>
  </si>
  <si>
    <t>57733_0</t>
    <phoneticPr fontId="1"/>
  </si>
  <si>
    <t>77963_0</t>
    <phoneticPr fontId="1"/>
  </si>
  <si>
    <t>80623_0</t>
    <phoneticPr fontId="1"/>
  </si>
  <si>
    <t>52693_0</t>
    <phoneticPr fontId="1"/>
  </si>
  <si>
    <t>50693_0</t>
    <phoneticPr fontId="1"/>
  </si>
  <si>
    <t>68523_0</t>
    <phoneticPr fontId="1"/>
  </si>
  <si>
    <t>祝来！宝船福引ガチャ</t>
    <rPh sb="0" eb="1">
      <t>シュク</t>
    </rPh>
    <rPh sb="1" eb="2">
      <t>ライ</t>
    </rPh>
    <rPh sb="3" eb="5">
      <t>タカラブネ</t>
    </rPh>
    <rPh sb="5" eb="7">
      <t>フクビキ</t>
    </rPh>
    <phoneticPr fontId="1"/>
  </si>
  <si>
    <t>2/11 12:00～2/12 11:59</t>
    <phoneticPr fontId="1"/>
  </si>
  <si>
    <t>2/11 18:00～2/13 23:59</t>
    <phoneticPr fontId="1"/>
  </si>
  <si>
    <t>知性派</t>
    <rPh sb="0" eb="2">
      <t>チセイ</t>
    </rPh>
    <rPh sb="2" eb="3">
      <t>ハ</t>
    </rPh>
    <phoneticPr fontId="1"/>
  </si>
  <si>
    <t>姫</t>
    <rPh sb="0" eb="1">
      <t>ヒメ</t>
    </rPh>
    <phoneticPr fontId="1"/>
  </si>
  <si>
    <t>偉人</t>
    <rPh sb="0" eb="2">
      <t>イジン</t>
    </rPh>
    <phoneticPr fontId="1"/>
  </si>
  <si>
    <t>タイプ妖怪・名物の防55％UP　/　タイプ【偉人】の防25％UP</t>
    <phoneticPr fontId="1"/>
  </si>
  <si>
    <t>凛として響く歌声</t>
    <phoneticPr fontId="1"/>
  </si>
  <si>
    <t>ひびきわたるねいろそのべひでお</t>
    <phoneticPr fontId="1"/>
  </si>
  <si>
    <t>タイプ【武人】の防85％UP　/　タイプ姫・伝承の防25％UP</t>
    <phoneticPr fontId="1"/>
  </si>
  <si>
    <t>その姿をまた見たくて</t>
    <phoneticPr fontId="1"/>
  </si>
  <si>
    <t>ふるでんしゃごう</t>
    <phoneticPr fontId="1"/>
  </si>
  <si>
    <t>タイプ神秘・知性派・飲食の防40％UP　/　タイプ伝承・武人・姫の攻10％DOWN</t>
    <phoneticPr fontId="1"/>
  </si>
  <si>
    <t>真夏の夜の涙草</t>
    <phoneticPr fontId="1"/>
  </si>
  <si>
    <t>なつふぇすきょうごくいちこ</t>
    <phoneticPr fontId="1"/>
  </si>
  <si>
    <t>2/12 20:00～2/12 23:59</t>
    <phoneticPr fontId="1"/>
  </si>
  <si>
    <t>2/12 11:00～2/12 23:59</t>
    <phoneticPr fontId="1"/>
  </si>
  <si>
    <t>四神戦 英雄ガチャ</t>
    <rPh sb="0" eb="1">
      <t>ヨン</t>
    </rPh>
    <rPh sb="1" eb="2">
      <t>シン</t>
    </rPh>
    <rPh sb="2" eb="3">
      <t>セン</t>
    </rPh>
    <rPh sb="4" eb="6">
      <t>エイユウ</t>
    </rPh>
    <phoneticPr fontId="1"/>
  </si>
  <si>
    <t>豪華玉手箱ガチャ</t>
    <rPh sb="0" eb="2">
      <t>ゴウカ</t>
    </rPh>
    <rPh sb="2" eb="5">
      <t>タマテバコ</t>
    </rPh>
    <phoneticPr fontId="1"/>
  </si>
  <si>
    <t>2/13 15:00～2/13 23:59</t>
    <phoneticPr fontId="1"/>
  </si>
  <si>
    <t>2/13 18:00～2/13 21:59</t>
    <phoneticPr fontId="1"/>
  </si>
  <si>
    <t>サイコロ行脚 天翔ける水晶竜ガチャ</t>
    <rPh sb="4" eb="6">
      <t>アンギャ</t>
    </rPh>
    <phoneticPr fontId="1"/>
  </si>
  <si>
    <t>(Lvアップ)2/14 12:00～2/21 11:59</t>
    <phoneticPr fontId="1"/>
  </si>
  <si>
    <t>(DX)2/14 12:00～2/21 11:59</t>
    <phoneticPr fontId="1"/>
  </si>
  <si>
    <t>中部</t>
    <rPh sb="0" eb="2">
      <t>チュウブ</t>
    </rPh>
    <phoneticPr fontId="1"/>
  </si>
  <si>
    <t>中国・四国</t>
    <rPh sb="0" eb="2">
      <t>チュウゴク</t>
    </rPh>
    <rPh sb="3" eb="5">
      <t>シコク</t>
    </rPh>
    <phoneticPr fontId="1"/>
  </si>
  <si>
    <t>関東</t>
    <rPh sb="0" eb="2">
      <t>カントウ</t>
    </rPh>
    <phoneticPr fontId="1"/>
  </si>
  <si>
    <t>近畿</t>
    <rPh sb="0" eb="2">
      <t>キンキ</t>
    </rPh>
    <phoneticPr fontId="1"/>
  </si>
  <si>
    <t>佐賀</t>
    <rPh sb="0" eb="2">
      <t>サガ</t>
    </rPh>
    <phoneticPr fontId="1"/>
  </si>
  <si>
    <t>SSR</t>
    <phoneticPr fontId="1"/>
  </si>
  <si>
    <t>SR</t>
    <phoneticPr fontId="1"/>
  </si>
  <si>
    <t>HR</t>
    <phoneticPr fontId="1"/>
  </si>
  <si>
    <t>R</t>
    <phoneticPr fontId="1"/>
  </si>
  <si>
    <t>武人</t>
    <rPh sb="0" eb="2">
      <t>ブジン</t>
    </rPh>
    <phoneticPr fontId="1"/>
  </si>
  <si>
    <t>姫</t>
    <rPh sb="0" eb="1">
      <t>ヒメ</t>
    </rPh>
    <phoneticPr fontId="1"/>
  </si>
  <si>
    <t>神秘</t>
    <rPh sb="0" eb="2">
      <t>シンピ</t>
    </rPh>
    <phoneticPr fontId="1"/>
  </si>
  <si>
    <t>名物</t>
    <rPh sb="0" eb="2">
      <t>メイブツ</t>
    </rPh>
    <phoneticPr fontId="1"/>
  </si>
  <si>
    <t>タイプ【偉人】の防20％UP</t>
    <phoneticPr fontId="1"/>
  </si>
  <si>
    <t>豪華なり漆の大曳山</t>
    <phoneticPr fontId="1"/>
  </si>
  <si>
    <t>しんせいからつくんち</t>
    <phoneticPr fontId="1"/>
  </si>
  <si>
    <t>タイプ妖怪・名物の攻20％UP</t>
    <phoneticPr fontId="1"/>
  </si>
  <si>
    <t>地史を語る巨大な神</t>
    <phoneticPr fontId="1"/>
  </si>
  <si>
    <t>しんせいとばりゅう</t>
    <phoneticPr fontId="1"/>
  </si>
  <si>
    <t>タイプ知性派・飲食の防30％UP　/　タイプ【神秘】の防10％UP</t>
    <phoneticPr fontId="1"/>
  </si>
  <si>
    <t>九頭竜権現の伝説</t>
    <phoneticPr fontId="1"/>
  </si>
  <si>
    <t>しんせいくずりゅう</t>
    <phoneticPr fontId="1"/>
  </si>
  <si>
    <t>タイプ【武人】の攻85％UP　/　タイプ姫・伝承の攻25％UP</t>
    <phoneticPr fontId="1"/>
  </si>
  <si>
    <t>口に含む神聖な神酒</t>
    <phoneticPr fontId="1"/>
  </si>
  <si>
    <t>しんせいみなづきこんごりゅうのつぼね</t>
    <phoneticPr fontId="1"/>
  </si>
  <si>
    <t>タイプ【姫】の攻30％UP　/　タイプ武人・伝承の攻15％UP</t>
    <phoneticPr fontId="1"/>
  </si>
  <si>
    <t>リトルファング</t>
    <phoneticPr fontId="1"/>
  </si>
  <si>
    <t>どらごんていまーりゃんだ</t>
    <phoneticPr fontId="1"/>
  </si>
  <si>
    <t>聖恋祭！バレンタイン特別ガチャ</t>
    <phoneticPr fontId="1"/>
  </si>
  <si>
    <t>2/14 15:00～2/18 23:59</t>
    <phoneticPr fontId="1"/>
  </si>
  <si>
    <t>SP</t>
    <phoneticPr fontId="1"/>
  </si>
  <si>
    <t>2/14 18:00～2/16 23:59</t>
    <phoneticPr fontId="1"/>
  </si>
  <si>
    <t>タイプ神秘・知性派・飲食の攻35％UP</t>
    <phoneticPr fontId="1"/>
  </si>
  <si>
    <t>氷上の酒仙乙女</t>
    <phoneticPr fontId="1"/>
  </si>
  <si>
    <t>妖怪</t>
    <rPh sb="0" eb="2">
      <t>ヨウカイ</t>
    </rPh>
    <phoneticPr fontId="1"/>
  </si>
  <si>
    <t>飲食</t>
    <rPh sb="0" eb="2">
      <t>インショク</t>
    </rPh>
    <phoneticPr fontId="1"/>
  </si>
  <si>
    <t>うぃんたーすぽーつつきみざけちゃん</t>
    <phoneticPr fontId="1"/>
  </si>
  <si>
    <t>タイプ偉人・妖怪の攻20％UP　/　タイプ【名物】の攻15％UP</t>
    <phoneticPr fontId="1"/>
  </si>
  <si>
    <t>悪魔が奏でる魅惑の音色</t>
    <phoneticPr fontId="1"/>
  </si>
  <si>
    <t>あむどぅすきあす</t>
    <phoneticPr fontId="1"/>
  </si>
  <si>
    <t>大衆酒場にて</t>
    <phoneticPr fontId="1"/>
  </si>
  <si>
    <t>えんたくのきしたかつかさのぶこ</t>
    <phoneticPr fontId="1"/>
  </si>
  <si>
    <t>一定時間、味方全員の攻・防を25％UP、ダメージ軽減のバリアを付与する</t>
    <phoneticPr fontId="1"/>
  </si>
  <si>
    <t>3進</t>
    <rPh sb="1" eb="2">
      <t>シン</t>
    </rPh>
    <phoneticPr fontId="1"/>
  </si>
  <si>
    <t>2進</t>
    <rPh sb="1" eb="2">
      <t>シン</t>
    </rPh>
    <phoneticPr fontId="1"/>
  </si>
  <si>
    <t>1進</t>
    <rPh sb="1" eb="2">
      <t>シン</t>
    </rPh>
    <phoneticPr fontId="1"/>
  </si>
  <si>
    <t>88083_0</t>
    <phoneticPr fontId="1"/>
  </si>
  <si>
    <t>88082_0</t>
    <phoneticPr fontId="1"/>
  </si>
  <si>
    <t>88081_0</t>
    <phoneticPr fontId="1"/>
  </si>
  <si>
    <t>タイプ神秘・知性派・飲食の防50％UP　/　タイプ神秘・知性派・飲食の攻20％DOWN</t>
    <phoneticPr fontId="1"/>
  </si>
  <si>
    <t>聖なる恋の魔女</t>
    <phoneticPr fontId="1"/>
  </si>
  <si>
    <t>せいれんのさんめがみ</t>
    <phoneticPr fontId="1"/>
  </si>
  <si>
    <t>タイプ神秘・知性派・飲食の防40％UP　/　タイプ神秘・知性派・飲食の攻15％DOWN</t>
    <phoneticPr fontId="1"/>
  </si>
  <si>
    <t>タイプ神秘・知性派・飲食の防30％UP　/　タイプ神秘・知性派・飲食の攻10％DOWN</t>
    <phoneticPr fontId="1"/>
  </si>
  <si>
    <t>北海道・東北</t>
    <rPh sb="0" eb="3">
      <t>ホッカイドウ</t>
    </rPh>
    <rPh sb="4" eb="6">
      <t>トウホク</t>
    </rPh>
    <phoneticPr fontId="1"/>
  </si>
  <si>
    <t>九州・沖縄</t>
    <rPh sb="0" eb="2">
      <t>キュウシュウ</t>
    </rPh>
    <rPh sb="3" eb="5">
      <t>オキナワ</t>
    </rPh>
    <phoneticPr fontId="1"/>
  </si>
  <si>
    <t>伝承</t>
    <rPh sb="0" eb="2">
      <t>デンショウ</t>
    </rPh>
    <phoneticPr fontId="1"/>
  </si>
  <si>
    <t>ささぎつね</t>
    <phoneticPr fontId="1"/>
  </si>
  <si>
    <t>タイプ伝承・武人・姫の防30％UP　/　タイプ妖怪・名物・偉人・飲食の攻13％DOWN</t>
    <phoneticPr fontId="1"/>
  </si>
  <si>
    <t>銀狐の恩返し</t>
    <phoneticPr fontId="1"/>
  </si>
  <si>
    <t>タイプ【武人】の防85％UP　/　タイプ姫・伝承の防25％UP</t>
    <phoneticPr fontId="1"/>
  </si>
  <si>
    <t>春一番の小さな悪戯</t>
    <phoneticPr fontId="1"/>
  </si>
  <si>
    <t>はるいちばんごりゅうのつぼね</t>
    <phoneticPr fontId="1"/>
  </si>
  <si>
    <t>タイプ伝承・武人・姫の攻80％DOWN　/　タイプ偉人・妖怪の防25％UP</t>
    <phoneticPr fontId="1"/>
  </si>
  <si>
    <t>テニス界に歴史刻む生きた化石</t>
    <phoneticPr fontId="1"/>
  </si>
  <si>
    <t>せんりつのすまっしゅこびとかば</t>
    <phoneticPr fontId="1"/>
  </si>
  <si>
    <t>タイプ姫・伝承の防25％UP　/　タイプ【武人】の防10％UP</t>
    <phoneticPr fontId="1"/>
  </si>
  <si>
    <t>猿回し界の天下統一</t>
    <phoneticPr fontId="1"/>
  </si>
  <si>
    <t>さるぐんだんはしばひでよし</t>
    <phoneticPr fontId="1"/>
  </si>
  <si>
    <t>タイプ伝承・武人・姫の攻80％DOWN　/　タイプ知性派・飲食の防25％UP</t>
    <phoneticPr fontId="1"/>
  </si>
  <si>
    <t>楽しい食事</t>
    <phoneticPr fontId="1"/>
  </si>
  <si>
    <t>なべぱーてぃほのいかづちのおおかみ</t>
    <phoneticPr fontId="1"/>
  </si>
  <si>
    <t>タイプ武人・伝承の攻90％DOWN　/　タイプ偉人・妖怪・名物の防15％UP</t>
    <phoneticPr fontId="1"/>
  </si>
  <si>
    <t>花粉を操る蛇娘</t>
    <phoneticPr fontId="1"/>
  </si>
  <si>
    <t>かふんしゅうらいじゃこつむすめ</t>
    <phoneticPr fontId="1"/>
  </si>
  <si>
    <t>55311_0</t>
    <phoneticPr fontId="1"/>
  </si>
  <si>
    <t>53751_0</t>
    <phoneticPr fontId="1"/>
  </si>
  <si>
    <t>51971_0</t>
    <phoneticPr fontId="1"/>
  </si>
  <si>
    <t>59671_0</t>
    <phoneticPr fontId="1"/>
  </si>
  <si>
    <t>56221_0</t>
    <phoneticPr fontId="1"/>
  </si>
  <si>
    <t>52691_0</t>
    <phoneticPr fontId="1"/>
  </si>
  <si>
    <t>60631_0</t>
    <phoneticPr fontId="1"/>
  </si>
  <si>
    <t>63171_0</t>
    <phoneticPr fontId="1"/>
  </si>
  <si>
    <t>64951_0</t>
    <phoneticPr fontId="1"/>
  </si>
  <si>
    <t>65711_0</t>
    <phoneticPr fontId="1"/>
  </si>
  <si>
    <t>68781_0</t>
    <phoneticPr fontId="1"/>
  </si>
  <si>
    <t>67171_0</t>
    <phoneticPr fontId="1"/>
  </si>
  <si>
    <t>75391_0</t>
    <phoneticPr fontId="1"/>
  </si>
  <si>
    <t>80621_0</t>
    <phoneticPr fontId="1"/>
  </si>
  <si>
    <t>78691_0</t>
    <phoneticPr fontId="1"/>
  </si>
  <si>
    <t>77961_0</t>
    <phoneticPr fontId="1"/>
  </si>
  <si>
    <t>79371_0</t>
    <phoneticPr fontId="1"/>
  </si>
  <si>
    <t>44251_0</t>
    <phoneticPr fontId="1"/>
  </si>
  <si>
    <t>40911_0</t>
    <phoneticPr fontId="1"/>
  </si>
  <si>
    <t>39931_0</t>
    <phoneticPr fontId="1"/>
  </si>
  <si>
    <t>40961_0</t>
    <phoneticPr fontId="1"/>
  </si>
  <si>
    <t>44281_0</t>
    <phoneticPr fontId="1"/>
  </si>
  <si>
    <t>40341_0</t>
    <phoneticPr fontId="1"/>
  </si>
  <si>
    <t>49951_0</t>
    <phoneticPr fontId="1"/>
  </si>
  <si>
    <t>48281_0</t>
    <phoneticPr fontId="1"/>
  </si>
  <si>
    <t>46281_0</t>
    <phoneticPr fontId="1"/>
  </si>
  <si>
    <t>49191_0</t>
    <phoneticPr fontId="1"/>
  </si>
  <si>
    <t>50691_0</t>
    <phoneticPr fontId="1"/>
  </si>
  <si>
    <t>47261_0</t>
    <phoneticPr fontId="1"/>
  </si>
  <si>
    <t>2/15 12:00～2/20 22:59</t>
    <phoneticPr fontId="1"/>
  </si>
  <si>
    <t>SSR</t>
    <phoneticPr fontId="1"/>
  </si>
  <si>
    <t>SR</t>
    <phoneticPr fontId="1"/>
  </si>
  <si>
    <t>全国</t>
    <rPh sb="0" eb="2">
      <t>ゼンコク</t>
    </rPh>
    <phoneticPr fontId="1"/>
  </si>
  <si>
    <t>東日本</t>
    <rPh sb="0" eb="1">
      <t>ヒガシ</t>
    </rPh>
    <rPh sb="1" eb="3">
      <t>ニホン</t>
    </rPh>
    <phoneticPr fontId="1"/>
  </si>
  <si>
    <t>伝承</t>
    <rPh sb="0" eb="2">
      <t>デンショウ</t>
    </rPh>
    <phoneticPr fontId="1"/>
  </si>
  <si>
    <t>タイプ武人・姫の攻100％DOWN　/　タイプ武人・伝承の防20％UP</t>
    <phoneticPr fontId="1"/>
  </si>
  <si>
    <t>マルメラーデマギ</t>
    <phoneticPr fontId="1"/>
  </si>
  <si>
    <t>おかしのくにぐれーてる</t>
    <phoneticPr fontId="1"/>
  </si>
  <si>
    <t>5進</t>
    <rPh sb="1" eb="2">
      <t>シン</t>
    </rPh>
    <phoneticPr fontId="1"/>
  </si>
  <si>
    <t>3進</t>
    <rPh sb="1" eb="2">
      <t>シン</t>
    </rPh>
    <phoneticPr fontId="1"/>
  </si>
  <si>
    <t>1進</t>
    <rPh sb="1" eb="2">
      <t>シン</t>
    </rPh>
    <phoneticPr fontId="1"/>
  </si>
  <si>
    <t>タイプ武人・姫の攻50％DOWN　/　タイプ武人・伝承の防15％UP</t>
    <phoneticPr fontId="1"/>
  </si>
  <si>
    <t>タイプ【姫】の攻20％DOWN　/　タイプ武人・伝承の防10％UP</t>
    <phoneticPr fontId="1"/>
  </si>
  <si>
    <t>祝来！宝船福引ガチャ</t>
    <rPh sb="0" eb="1">
      <t>シュク</t>
    </rPh>
    <rPh sb="1" eb="2">
      <t>ライ</t>
    </rPh>
    <rPh sb="3" eb="5">
      <t>タカラブネ</t>
    </rPh>
    <rPh sb="5" eb="7">
      <t>フクビキ</t>
    </rPh>
    <phoneticPr fontId="1"/>
  </si>
  <si>
    <t>サイコロ行脚 英雄ガチャ</t>
    <rPh sb="7" eb="9">
      <t>エイユウ</t>
    </rPh>
    <phoneticPr fontId="1"/>
  </si>
  <si>
    <t>2/16 11:00～2/16 23:59</t>
    <phoneticPr fontId="1"/>
  </si>
  <si>
    <t>02/16 15:00～02/17 23:59</t>
    <phoneticPr fontId="1"/>
  </si>
  <si>
    <t>九州・沖縄</t>
    <rPh sb="0" eb="2">
      <t>キュウシュウ</t>
    </rPh>
    <rPh sb="3" eb="5">
      <t>オキナワ</t>
    </rPh>
    <phoneticPr fontId="1"/>
  </si>
  <si>
    <t>東日本</t>
    <rPh sb="0" eb="1">
      <t>ヒガシ</t>
    </rPh>
    <rPh sb="1" eb="3">
      <t>ニホン</t>
    </rPh>
    <phoneticPr fontId="1"/>
  </si>
  <si>
    <t>中国・四国</t>
    <rPh sb="0" eb="2">
      <t>チュウゴク</t>
    </rPh>
    <rPh sb="3" eb="5">
      <t>シコク</t>
    </rPh>
    <phoneticPr fontId="1"/>
  </si>
  <si>
    <t>関東</t>
    <rPh sb="0" eb="2">
      <t>カントウ</t>
    </rPh>
    <phoneticPr fontId="1"/>
  </si>
  <si>
    <t>中部</t>
    <rPh sb="0" eb="2">
      <t>チュウブ</t>
    </rPh>
    <phoneticPr fontId="1"/>
  </si>
  <si>
    <t>北海道・東北</t>
    <rPh sb="0" eb="3">
      <t>ホッカイドウ</t>
    </rPh>
    <rPh sb="4" eb="6">
      <t>トウホク</t>
    </rPh>
    <phoneticPr fontId="1"/>
  </si>
  <si>
    <t>飲食</t>
    <rPh sb="0" eb="2">
      <t>インショク</t>
    </rPh>
    <phoneticPr fontId="1"/>
  </si>
  <si>
    <t>名物</t>
    <rPh sb="0" eb="2">
      <t>メイブツ</t>
    </rPh>
    <phoneticPr fontId="1"/>
  </si>
  <si>
    <t>知性派</t>
    <rPh sb="0" eb="2">
      <t>チセイ</t>
    </rPh>
    <rPh sb="2" eb="3">
      <t>ハ</t>
    </rPh>
    <phoneticPr fontId="1"/>
  </si>
  <si>
    <t>姫</t>
    <rPh sb="0" eb="1">
      <t>ヒメ</t>
    </rPh>
    <phoneticPr fontId="1"/>
  </si>
  <si>
    <t>偉人</t>
    <rPh sb="0" eb="2">
      <t>イジン</t>
    </rPh>
    <phoneticPr fontId="1"/>
  </si>
  <si>
    <t>タイプ名物・妖怪・姫の攻30％UP</t>
    <phoneticPr fontId="1"/>
  </si>
  <si>
    <t>恋に落ちた妖精の女王</t>
    <phoneticPr fontId="1"/>
  </si>
  <si>
    <t>なつのよるのゆめやまむろきえこ</t>
    <phoneticPr fontId="1"/>
  </si>
  <si>
    <t>タイプ武人・伝承の攻25％UP　/　タイプ偉人・妖怪・名物の攻15％UP</t>
    <phoneticPr fontId="1"/>
  </si>
  <si>
    <t>愛され女子の定番菓子</t>
    <phoneticPr fontId="1"/>
  </si>
  <si>
    <t>おかしにしごおりのつぼね</t>
    <phoneticPr fontId="1"/>
  </si>
  <si>
    <t>タイプ神秘・飲食・名物の防30％UP</t>
    <phoneticPr fontId="1"/>
  </si>
  <si>
    <t>揺蕩う泡の美神</t>
    <phoneticPr fontId="1"/>
  </si>
  <si>
    <t>あふろでぃーてあぜのいらつめ</t>
    <phoneticPr fontId="1"/>
  </si>
  <si>
    <t>タイプ偉人・妖怪・知性派の防40％UP　/　タイプ【名物】の防30％UP</t>
    <phoneticPr fontId="1"/>
  </si>
  <si>
    <t>金比羅参りの海水浴</t>
    <phoneticPr fontId="1"/>
  </si>
  <si>
    <t>けものみずぎことひらぐうちゃん</t>
    <phoneticPr fontId="1"/>
  </si>
  <si>
    <t>タイプ【神秘】の攻25％UP</t>
    <phoneticPr fontId="1"/>
  </si>
  <si>
    <t>虎見酒にて虎と化す</t>
    <phoneticPr fontId="1"/>
  </si>
  <si>
    <t>とらみざけからくちにほんしゅちゃん</t>
    <phoneticPr fontId="1"/>
  </si>
  <si>
    <t>タイプ名物・妖怪・姫の防40％UP　/　タイプ【偉人】の防12％UP</t>
    <phoneticPr fontId="1"/>
  </si>
  <si>
    <t>徳川存続の大結婚</t>
    <phoneticPr fontId="1"/>
  </si>
  <si>
    <t>うえでぃんぐてんしょういんあつひめ</t>
    <phoneticPr fontId="1"/>
  </si>
  <si>
    <t>天撃皆伝ガチャ</t>
    <rPh sb="0" eb="1">
      <t>テン</t>
    </rPh>
    <rPh sb="1" eb="2">
      <t>ゲキ</t>
    </rPh>
    <rPh sb="2" eb="4">
      <t>カイデン</t>
    </rPh>
    <phoneticPr fontId="1"/>
  </si>
  <si>
    <t>2/17 12:00～2/19 23:59</t>
    <phoneticPr fontId="1"/>
  </si>
  <si>
    <t>SR</t>
    <phoneticPr fontId="1"/>
  </si>
  <si>
    <t>伝承</t>
    <rPh sb="0" eb="2">
      <t>デンショウ</t>
    </rPh>
    <phoneticPr fontId="1"/>
  </si>
  <si>
    <t>タイプ神秘・知性派の防25％UP　/　タイプ【飲食】の防20％UP</t>
    <phoneticPr fontId="1"/>
  </si>
  <si>
    <t>ほろ苦リンゴは毒蜜の味</t>
    <phoneticPr fontId="1"/>
  </si>
  <si>
    <t>しらゆきひめちょこれーとけーき</t>
    <phoneticPr fontId="1"/>
  </si>
  <si>
    <t>タイプ武人・姫の攻30％UP　/　タイプ【伝承】の攻10％UP</t>
    <phoneticPr fontId="1"/>
  </si>
  <si>
    <t>常勝不敗の義賊</t>
    <phoneticPr fontId="1"/>
  </si>
  <si>
    <t>かいとうぽいやんぺ</t>
    <phoneticPr fontId="1"/>
  </si>
  <si>
    <t>タイプ偉人・妖怪の攻30％UP　/　タイプ【名物】の攻10％UP</t>
    <phoneticPr fontId="1"/>
  </si>
  <si>
    <t>ゲンゲの花が咲く店で</t>
    <phoneticPr fontId="1"/>
  </si>
  <si>
    <t>じょきゅうれんげそう</t>
    <phoneticPr fontId="1"/>
  </si>
  <si>
    <t>タイプ偉人・妖怪の防30％UP　/　タイプ【名物】の防10％UP</t>
    <phoneticPr fontId="1"/>
  </si>
  <si>
    <t>投げるはドングリから手裏剣へ</t>
    <phoneticPr fontId="1"/>
  </si>
  <si>
    <t>ひえいにほんりすちゃん</t>
    <phoneticPr fontId="1"/>
  </si>
  <si>
    <t>2/17 18:00～2/19 23:59</t>
    <phoneticPr fontId="1"/>
  </si>
  <si>
    <t>祝来！宝船福引ガチャ</t>
    <rPh sb="0" eb="2">
      <t>シュクライ</t>
    </rPh>
    <rPh sb="3" eb="7">
      <t>タカラブネフクビキ</t>
    </rPh>
    <phoneticPr fontId="1"/>
  </si>
  <si>
    <t>2/18 12:00～2/19 11:59</t>
    <phoneticPr fontId="1"/>
  </si>
  <si>
    <t>豪華玉手箱ガチャ</t>
    <rPh sb="0" eb="5">
      <t>ゴウカタマテバコ</t>
    </rPh>
    <phoneticPr fontId="1"/>
  </si>
  <si>
    <t>2/18 15:00～2/18 23:59</t>
    <phoneticPr fontId="1"/>
  </si>
  <si>
    <t>サイコロ行脚 英雄ガチャ</t>
    <rPh sb="4" eb="6">
      <t>アンギャ</t>
    </rPh>
    <rPh sb="7" eb="9">
      <t>エイユウ</t>
    </rPh>
    <phoneticPr fontId="1"/>
  </si>
  <si>
    <t>2/19 11:00～2/19 23:59</t>
    <phoneticPr fontId="1"/>
  </si>
  <si>
    <t>2/19 18:00～2/19 21:59</t>
    <phoneticPr fontId="1"/>
  </si>
  <si>
    <t>古豪戦傑ガチャ</t>
    <rPh sb="0" eb="2">
      <t>コゴウ</t>
    </rPh>
    <rPh sb="2" eb="3">
      <t>セン</t>
    </rPh>
    <rPh sb="3" eb="4">
      <t>ケツ</t>
    </rPh>
    <phoneticPr fontId="1"/>
  </si>
  <si>
    <t>2/20 12:00～2/22 23:59</t>
    <phoneticPr fontId="1"/>
  </si>
  <si>
    <t>68033_0</t>
    <phoneticPr fontId="1"/>
  </si>
  <si>
    <t>SSR</t>
    <phoneticPr fontId="1"/>
  </si>
  <si>
    <t>西日本</t>
    <rPh sb="0" eb="1">
      <t>ニシ</t>
    </rPh>
    <rPh sb="1" eb="3">
      <t>ニホン</t>
    </rPh>
    <phoneticPr fontId="1"/>
  </si>
  <si>
    <t>名物</t>
    <rPh sb="0" eb="2">
      <t>メイブツ</t>
    </rPh>
    <phoneticPr fontId="1"/>
  </si>
  <si>
    <t>SR</t>
    <phoneticPr fontId="1"/>
  </si>
  <si>
    <t>東日本</t>
    <rPh sb="0" eb="1">
      <t>ヒガシ</t>
    </rPh>
    <rPh sb="1" eb="3">
      <t>ニホン</t>
    </rPh>
    <phoneticPr fontId="1"/>
  </si>
  <si>
    <t>伝承</t>
    <rPh sb="0" eb="2">
      <t>デンショウ</t>
    </rPh>
    <phoneticPr fontId="1"/>
  </si>
  <si>
    <t>飲食</t>
    <rPh sb="0" eb="2">
      <t>インショク</t>
    </rPh>
    <phoneticPr fontId="1"/>
  </si>
  <si>
    <t>武人</t>
    <rPh sb="0" eb="2">
      <t>ブジン</t>
    </rPh>
    <phoneticPr fontId="1"/>
  </si>
  <si>
    <t>知性派</t>
    <rPh sb="0" eb="2">
      <t>チセイ</t>
    </rPh>
    <rPh sb="2" eb="3">
      <t>ハ</t>
    </rPh>
    <phoneticPr fontId="1"/>
  </si>
  <si>
    <t>近畿</t>
    <rPh sb="0" eb="2">
      <t>キンキ</t>
    </rPh>
    <phoneticPr fontId="1"/>
  </si>
  <si>
    <t>関東</t>
    <rPh sb="0" eb="2">
      <t>カントウ</t>
    </rPh>
    <phoneticPr fontId="1"/>
  </si>
  <si>
    <t>中部</t>
    <rPh sb="0" eb="2">
      <t>チュウブ</t>
    </rPh>
    <phoneticPr fontId="1"/>
  </si>
  <si>
    <t>タイプ偉人・妖怪・名物の防35％UP　/　タイプ飲食・武人の攻15％DOWN</t>
    <phoneticPr fontId="1"/>
  </si>
  <si>
    <t>犬と共に</t>
    <phoneticPr fontId="1"/>
  </si>
  <si>
    <t>じょぎんぐきんいんちゃん</t>
    <phoneticPr fontId="1"/>
  </si>
  <si>
    <t>タイプ伝承・武人・姫の防30％UP　/　タイプ神秘・知性派・飲食・武人の攻13％DOWN</t>
    <phoneticPr fontId="1"/>
  </si>
  <si>
    <t>気配りと心配り</t>
    <phoneticPr fontId="1"/>
  </si>
  <si>
    <t>ふれっしゅみるくよくぶかにょうぼう</t>
    <phoneticPr fontId="1"/>
  </si>
  <si>
    <t>タイプ神秘・知性派の攻40％UP　/　タイプ【飲食】の攻25％UP</t>
    <phoneticPr fontId="1"/>
  </si>
  <si>
    <t>カロリーの小悪魔</t>
    <phoneticPr fontId="1"/>
  </si>
  <si>
    <t>ぷちでびるほっかいどうばたーちゃん</t>
    <phoneticPr fontId="1"/>
  </si>
  <si>
    <t>タイプ姫・伝承の防30％UP　/　タイプ【武人】の防20％UP</t>
    <phoneticPr fontId="1"/>
  </si>
  <si>
    <t>刀を収め世を治める</t>
    <phoneticPr fontId="1"/>
  </si>
  <si>
    <t>しんせいやぎゅうむねよし</t>
    <phoneticPr fontId="1"/>
  </si>
  <si>
    <t>タイプ神秘・飲食の攻30％UP　/　タイプ【知性派】の攻20％UP</t>
    <phoneticPr fontId="1"/>
  </si>
  <si>
    <t>イタリアに眠る愛</t>
    <phoneticPr fontId="1"/>
  </si>
  <si>
    <t>しんせいらぐーざたま</t>
    <phoneticPr fontId="1"/>
  </si>
  <si>
    <t>タイプ偉人・妖怪の攻30％UP　/　タイプ【名物】の攻20％UP</t>
    <phoneticPr fontId="1"/>
  </si>
  <si>
    <t>自然と暮らしの共存</t>
    <phoneticPr fontId="1"/>
  </si>
  <si>
    <t>しんせいしらかわごうちゃん</t>
    <phoneticPr fontId="1"/>
  </si>
  <si>
    <t>2/20 15:00～2/22 23:59</t>
    <phoneticPr fontId="1"/>
  </si>
  <si>
    <t>2/20 20:00～2/20 23:59</t>
    <phoneticPr fontId="1"/>
  </si>
  <si>
    <t>祝来！宝船福引ガチャ</t>
    <rPh sb="0" eb="1">
      <t>シュク</t>
    </rPh>
    <rPh sb="1" eb="2">
      <t>ライ</t>
    </rPh>
    <rPh sb="3" eb="5">
      <t>タカラブネ</t>
    </rPh>
    <rPh sb="5" eb="7">
      <t>フクビキ</t>
    </rPh>
    <phoneticPr fontId="1"/>
  </si>
  <si>
    <t>2/21 15:00～2/22 14:59</t>
    <phoneticPr fontId="1"/>
  </si>
  <si>
    <t>超攻撃ガチャ</t>
    <rPh sb="0" eb="1">
      <t>チョウ</t>
    </rPh>
    <rPh sb="1" eb="3">
      <t>コウゲキ</t>
    </rPh>
    <phoneticPr fontId="1"/>
  </si>
  <si>
    <t>2/21 12:00～2/25 11:59</t>
    <phoneticPr fontId="1"/>
  </si>
  <si>
    <t>SSR</t>
    <phoneticPr fontId="1"/>
  </si>
  <si>
    <t>伝承</t>
    <rPh sb="0" eb="2">
      <t>デンショウ</t>
    </rPh>
    <phoneticPr fontId="1"/>
  </si>
  <si>
    <t>武人</t>
    <rPh sb="0" eb="2">
      <t>ブジン</t>
    </rPh>
    <phoneticPr fontId="1"/>
  </si>
  <si>
    <t>飲食</t>
    <rPh sb="0" eb="2">
      <t>インショク</t>
    </rPh>
    <phoneticPr fontId="1"/>
  </si>
  <si>
    <t>九州・沖縄</t>
    <rPh sb="0" eb="2">
      <t>キュウシュウ</t>
    </rPh>
    <rPh sb="3" eb="5">
      <t>オキナワ</t>
    </rPh>
    <phoneticPr fontId="1"/>
  </si>
  <si>
    <t>北海道・東北</t>
    <rPh sb="0" eb="3">
      <t>ホッカイドウ</t>
    </rPh>
    <rPh sb="4" eb="6">
      <t>トウホク</t>
    </rPh>
    <phoneticPr fontId="1"/>
  </si>
  <si>
    <t>東日本</t>
    <rPh sb="0" eb="1">
      <t>ヒガシ</t>
    </rPh>
    <rPh sb="1" eb="3">
      <t>ニホン</t>
    </rPh>
    <phoneticPr fontId="1"/>
  </si>
  <si>
    <t>タイプ神秘・知性派の攻25％UP　/　タイプ【飲食】の攻10％UP</t>
    <phoneticPr fontId="1"/>
  </si>
  <si>
    <t>勇敢な消防士の栄養源</t>
    <phoneticPr fontId="1"/>
  </si>
  <si>
    <t>しょうぼうしゆべし</t>
    <phoneticPr fontId="1"/>
  </si>
  <si>
    <t>タイプ伝承・武人・姫の攻45％UP</t>
    <phoneticPr fontId="1"/>
  </si>
  <si>
    <t>ドゥエスパーダ</t>
    <phoneticPr fontId="1"/>
  </si>
  <si>
    <t>しゅゔぁりえ</t>
    <phoneticPr fontId="1"/>
  </si>
  <si>
    <t>タイプ【武人】の攻85％UP　/　タイプ姫・伝承の攻25％UP</t>
    <phoneticPr fontId="1"/>
  </si>
  <si>
    <t>静と動を制する２種目競技</t>
    <phoneticPr fontId="1"/>
  </si>
  <si>
    <t>うぃんたーすぽーつまつらさよひめでんせつ</t>
    <phoneticPr fontId="1"/>
  </si>
  <si>
    <t>関東</t>
    <rPh sb="0" eb="2">
      <t>カントウ</t>
    </rPh>
    <phoneticPr fontId="1"/>
  </si>
  <si>
    <t>近畿</t>
    <rPh sb="0" eb="2">
      <t>キンキ</t>
    </rPh>
    <phoneticPr fontId="1"/>
  </si>
  <si>
    <t>中部</t>
    <rPh sb="0" eb="2">
      <t>チュウブ</t>
    </rPh>
    <phoneticPr fontId="1"/>
  </si>
  <si>
    <t>偉人</t>
    <rPh sb="0" eb="2">
      <t>イジン</t>
    </rPh>
    <phoneticPr fontId="1"/>
  </si>
  <si>
    <t>知性派</t>
    <rPh sb="0" eb="2">
      <t>チセイ</t>
    </rPh>
    <rPh sb="2" eb="3">
      <t>ハ</t>
    </rPh>
    <phoneticPr fontId="1"/>
  </si>
  <si>
    <t>伝承</t>
    <rPh sb="0" eb="2">
      <t>デンショウ</t>
    </rPh>
    <phoneticPr fontId="1"/>
  </si>
  <si>
    <t>タイプ伝承・武人・姫の防15％UP　/　タイプ偉人・姫・武人・伝承の攻25％DOWN</t>
    <phoneticPr fontId="1"/>
  </si>
  <si>
    <t>人類最初の兄の嘘</t>
    <phoneticPr fontId="1"/>
  </si>
  <si>
    <t>そうせいきのかいん</t>
    <phoneticPr fontId="1"/>
  </si>
  <si>
    <t>タイプ神秘・知性派・飲食の防40％UP　/　タイプ伝承・武人・姫の攻10％DOWN</t>
    <phoneticPr fontId="1"/>
  </si>
  <si>
    <t>ウィンバントライン</t>
    <phoneticPr fontId="1"/>
  </si>
  <si>
    <t>らりー</t>
    <phoneticPr fontId="1"/>
  </si>
  <si>
    <t>タイプ【妖怪】の防85％UP　/　タイプ偉人・名物の防25％UP</t>
    <phoneticPr fontId="1"/>
  </si>
  <si>
    <t>ゲレンデに咲く一葉</t>
    <phoneticPr fontId="1"/>
  </si>
  <si>
    <t>うぃんたーすぽーつかすたにいちよう</t>
    <phoneticPr fontId="1"/>
  </si>
  <si>
    <t>天クロウィークガチャ</t>
    <phoneticPr fontId="1"/>
  </si>
  <si>
    <t>2/22 15:00～2/24 23:59</t>
    <phoneticPr fontId="1"/>
  </si>
  <si>
    <t>88093_0</t>
    <phoneticPr fontId="1"/>
  </si>
  <si>
    <t>SP</t>
    <phoneticPr fontId="1"/>
  </si>
  <si>
    <t>全国</t>
    <rPh sb="0" eb="2">
      <t>ゼンコク</t>
    </rPh>
    <phoneticPr fontId="1"/>
  </si>
  <si>
    <t>タイプ知性派・飲食の防25％UP　/　タイプ武人・伝承の攻55％DOWN</t>
    <phoneticPr fontId="1"/>
  </si>
  <si>
    <t>如月彩る迎春花</t>
    <phoneticPr fontId="1"/>
  </si>
  <si>
    <t>神秘</t>
    <rPh sb="0" eb="2">
      <t>シンピ</t>
    </rPh>
    <phoneticPr fontId="1"/>
  </si>
  <si>
    <t>てんくろりっしゅんか</t>
    <phoneticPr fontId="1"/>
  </si>
  <si>
    <t>同盟戦 英雄ガチャ</t>
    <rPh sb="0" eb="2">
      <t>ドウメイ</t>
    </rPh>
    <rPh sb="2" eb="3">
      <t>セン</t>
    </rPh>
    <rPh sb="4" eb="6">
      <t>エイユウ</t>
    </rPh>
    <phoneticPr fontId="1"/>
  </si>
  <si>
    <t>2/23 11:00～2/23 23:59</t>
    <phoneticPr fontId="1"/>
  </si>
  <si>
    <t>HR</t>
    <phoneticPr fontId="1"/>
  </si>
  <si>
    <t>R</t>
    <phoneticPr fontId="1"/>
  </si>
  <si>
    <t>名物</t>
    <rPh sb="0" eb="2">
      <t>メイブツ</t>
    </rPh>
    <phoneticPr fontId="1"/>
  </si>
  <si>
    <t>飲食</t>
    <rPh sb="0" eb="2">
      <t>インショク</t>
    </rPh>
    <phoneticPr fontId="1"/>
  </si>
  <si>
    <t>タイプ偉人・妖怪の攻20％UP</t>
    <phoneticPr fontId="1"/>
  </si>
  <si>
    <t>光を失わぬ黄金箔</t>
    <phoneticPr fontId="1"/>
  </si>
  <si>
    <t>しんせいかなざわはくちゃん</t>
    <phoneticPr fontId="1"/>
  </si>
  <si>
    <t>タイプ【知性派】の攻20％UP</t>
    <phoneticPr fontId="1"/>
  </si>
  <si>
    <t>日本を代表する洋酒</t>
    <phoneticPr fontId="1"/>
  </si>
  <si>
    <t>しんせいうぃすきーさん</t>
    <phoneticPr fontId="1"/>
  </si>
  <si>
    <t>2/23 18:00～2/23 21:59</t>
    <phoneticPr fontId="1"/>
  </si>
  <si>
    <t>豪華玉手箱ガチャ</t>
    <rPh sb="0" eb="2">
      <t>ゴウカ</t>
    </rPh>
    <rPh sb="2" eb="5">
      <t>タマテバコ</t>
    </rPh>
    <phoneticPr fontId="1"/>
  </si>
  <si>
    <t>2/24 15:00～2/24 23:59</t>
    <phoneticPr fontId="1"/>
  </si>
  <si>
    <t>中部</t>
    <rPh sb="0" eb="2">
      <t>チュウブ</t>
    </rPh>
    <phoneticPr fontId="1"/>
  </si>
  <si>
    <t>近畿</t>
    <rPh sb="0" eb="2">
      <t>キンキ</t>
    </rPh>
    <phoneticPr fontId="1"/>
  </si>
  <si>
    <t>中国・四国</t>
    <rPh sb="0" eb="2">
      <t>チュウゴク</t>
    </rPh>
    <rPh sb="3" eb="5">
      <t>シコク</t>
    </rPh>
    <phoneticPr fontId="1"/>
  </si>
  <si>
    <t>名物</t>
    <rPh sb="0" eb="2">
      <t>メイブツ</t>
    </rPh>
    <phoneticPr fontId="1"/>
  </si>
  <si>
    <t>飲食</t>
    <rPh sb="0" eb="2">
      <t>インショク</t>
    </rPh>
    <phoneticPr fontId="1"/>
  </si>
  <si>
    <t>武人</t>
    <rPh sb="0" eb="2">
      <t>ブジン</t>
    </rPh>
    <phoneticPr fontId="1"/>
  </si>
  <si>
    <t>タイプ姫・伝承の攻25％UP　/　タイプ【武人】の攻10％UP</t>
    <phoneticPr fontId="1"/>
  </si>
  <si>
    <t>土佐七雄</t>
    <phoneticPr fontId="1"/>
  </si>
  <si>
    <t>あきくにとら</t>
    <phoneticPr fontId="1"/>
  </si>
  <si>
    <t>タイプ神秘・知性派の攻40％UP　/　タイプ【飲食】の攻25％UP</t>
    <phoneticPr fontId="1"/>
  </si>
  <si>
    <t>江戸っ子愛する灘の酒</t>
    <phoneticPr fontId="1"/>
  </si>
  <si>
    <t>なだのさけ</t>
    <phoneticPr fontId="1"/>
  </si>
  <si>
    <t>タイプ【妖怪】の攻90％UP　/　タイプ偉人・名物の攻20％UP</t>
    <phoneticPr fontId="1"/>
  </si>
  <si>
    <t>恋を巡る恐ろしき絶壁</t>
    <phoneticPr fontId="1"/>
  </si>
  <si>
    <t>とうじんぼう</t>
    <phoneticPr fontId="1"/>
  </si>
  <si>
    <t>全国巡り 美味しい！楽しい！タコパガチャ</t>
    <rPh sb="0" eb="2">
      <t>ゼンコク</t>
    </rPh>
    <rPh sb="2" eb="3">
      <t>メグ</t>
    </rPh>
    <phoneticPr fontId="1"/>
  </si>
  <si>
    <t>(Lvアップ)2/25 12:00～2/29 19:59</t>
    <phoneticPr fontId="1"/>
  </si>
  <si>
    <t>(DX)2/25 12:00～2/29 19:59</t>
    <phoneticPr fontId="1"/>
  </si>
  <si>
    <t>SSR</t>
    <phoneticPr fontId="1"/>
  </si>
  <si>
    <t>SR</t>
    <phoneticPr fontId="1"/>
  </si>
  <si>
    <t>HR</t>
    <phoneticPr fontId="1"/>
  </si>
  <si>
    <t>R</t>
    <phoneticPr fontId="1"/>
  </si>
  <si>
    <t>北海道・東北</t>
    <rPh sb="0" eb="3">
      <t>ホッカイドウ</t>
    </rPh>
    <rPh sb="4" eb="6">
      <t>トウホク</t>
    </rPh>
    <phoneticPr fontId="1"/>
  </si>
  <si>
    <t>埼玉</t>
    <rPh sb="0" eb="2">
      <t>サイタマ</t>
    </rPh>
    <phoneticPr fontId="1"/>
  </si>
  <si>
    <t>神秘</t>
    <rPh sb="0" eb="2">
      <t>シンピ</t>
    </rPh>
    <phoneticPr fontId="1"/>
  </si>
  <si>
    <t>タイプ【名物】の攻20％UP</t>
    <phoneticPr fontId="1"/>
  </si>
  <si>
    <t>小昼飯の定番</t>
    <phoneticPr fontId="1"/>
  </si>
  <si>
    <t>しんせいみそぽてとちゃん</t>
    <phoneticPr fontId="1"/>
  </si>
  <si>
    <t>タイプ知性派・飲食の防20％UP</t>
    <phoneticPr fontId="1"/>
  </si>
  <si>
    <t>困った時の女神頼み</t>
    <phoneticPr fontId="1"/>
  </si>
  <si>
    <t>しんせいおうきゅうえひめのみこと</t>
    <phoneticPr fontId="1"/>
  </si>
  <si>
    <t>タイプ偉人・妖怪の攻30％UP　/　タイプ【名物】の攻10％UP</t>
    <phoneticPr fontId="1"/>
  </si>
  <si>
    <t>ゲンゲの花が咲く店で</t>
    <phoneticPr fontId="1"/>
  </si>
  <si>
    <t>しんせいじょきゅうれんげそう</t>
    <phoneticPr fontId="1"/>
  </si>
  <si>
    <t>タイプ神秘・知性派・飲食の防20％UP</t>
    <phoneticPr fontId="1"/>
  </si>
  <si>
    <t>新鮮秋刀魚の豪快丼</t>
    <phoneticPr fontId="1"/>
  </si>
  <si>
    <t>しんせいさんまどん</t>
    <phoneticPr fontId="1"/>
  </si>
  <si>
    <t>タイプ偉人・妖怪・名物の防35％UP　/　タイプ飲食・武人・名物の攻10％DOWN</t>
    <phoneticPr fontId="1"/>
  </si>
  <si>
    <t>食道楽にかける大阪魂</t>
    <phoneticPr fontId="1"/>
  </si>
  <si>
    <t>たこぱくいだおれちゃん</t>
    <phoneticPr fontId="1"/>
  </si>
  <si>
    <t>祝来！宝船福引ガチャ</t>
    <phoneticPr fontId="1"/>
  </si>
  <si>
    <t>2/25 18:00～2/26 17:59</t>
    <phoneticPr fontId="1"/>
  </si>
  <si>
    <t>2/26 12:00～2/28 23:59</t>
    <phoneticPr fontId="1"/>
  </si>
  <si>
    <t>タイプ偉人・妖怪の防30％UP　/　タイプ【名物】の防10％UP</t>
    <phoneticPr fontId="1"/>
  </si>
  <si>
    <t>投げるはドングリから手裏剣へ</t>
    <phoneticPr fontId="1"/>
  </si>
  <si>
    <t>ひえいにほんりすちゃん</t>
    <phoneticPr fontId="1"/>
  </si>
  <si>
    <t>神秘</t>
    <rPh sb="0" eb="2">
      <t>シンピ</t>
    </rPh>
    <phoneticPr fontId="1"/>
  </si>
  <si>
    <t>妖怪</t>
    <rPh sb="0" eb="2">
      <t>ヨウカイ</t>
    </rPh>
    <phoneticPr fontId="1"/>
  </si>
  <si>
    <t>姫</t>
    <rPh sb="0" eb="1">
      <t>ヒメ</t>
    </rPh>
    <phoneticPr fontId="1"/>
  </si>
  <si>
    <t>タイプ知性派・飲食の防25％UP　/　タイプ【神秘】の防10％UP</t>
    <phoneticPr fontId="1"/>
  </si>
  <si>
    <t>さまよう刀</t>
    <phoneticPr fontId="1"/>
  </si>
  <si>
    <t>ぷちでびるらいきりまる</t>
    <phoneticPr fontId="1"/>
  </si>
  <si>
    <t>タイプ伝承・武人・姫の攻60％DOWN　/　タイプ偉人・妖怪・名物の防20％UP</t>
    <phoneticPr fontId="1"/>
  </si>
  <si>
    <t>後悔の二口</t>
    <phoneticPr fontId="1"/>
  </si>
  <si>
    <t>ふたくちおんな</t>
    <phoneticPr fontId="1"/>
  </si>
  <si>
    <t>タイプ【武人】の防85％UP　/　タイプ姫・伝承の防25％UP</t>
    <phoneticPr fontId="1"/>
  </si>
  <si>
    <t>希望の虹</t>
    <phoneticPr fontId="1"/>
  </si>
  <si>
    <t>つゆろまんていきょういん</t>
    <phoneticPr fontId="1"/>
  </si>
  <si>
    <t>全国巡り 英雄ガチャ</t>
    <rPh sb="0" eb="2">
      <t>ゼンコク</t>
    </rPh>
    <rPh sb="2" eb="3">
      <t>メグ</t>
    </rPh>
    <rPh sb="5" eb="7">
      <t>エイユウ</t>
    </rPh>
    <phoneticPr fontId="1"/>
  </si>
  <si>
    <t>2/26 11:00～2/26 23:59</t>
    <phoneticPr fontId="1"/>
  </si>
  <si>
    <t>【ハロウィン】北の方</t>
    <phoneticPr fontId="1"/>
  </si>
  <si>
    <t>【ハロウィン】タツクチナワ</t>
    <phoneticPr fontId="1"/>
  </si>
  <si>
    <t>【湯けむり】神田明神</t>
    <phoneticPr fontId="1"/>
  </si>
  <si>
    <t>【湯けむり】瑤泉院</t>
    <phoneticPr fontId="1"/>
  </si>
  <si>
    <t>【迎春】幾松</t>
    <phoneticPr fontId="1"/>
  </si>
  <si>
    <t>【迎春】バケダヌキ</t>
    <phoneticPr fontId="1"/>
  </si>
  <si>
    <t>豪華玉手箱ガチャ</t>
    <phoneticPr fontId="1"/>
  </si>
  <si>
    <t>2/27 15:00～2/27 23:59</t>
    <phoneticPr fontId="1"/>
  </si>
  <si>
    <t>2/27 11:00～2/27 23:59</t>
    <phoneticPr fontId="1"/>
  </si>
  <si>
    <t>戦神ガチャ</t>
    <rPh sb="0" eb="2">
      <t>センシン</t>
    </rPh>
    <phoneticPr fontId="1"/>
  </si>
  <si>
    <t>2/28 11:00～2/29 23:59</t>
    <phoneticPr fontId="1"/>
  </si>
  <si>
    <t>SSR</t>
    <phoneticPr fontId="1"/>
  </si>
  <si>
    <t>西日本</t>
    <rPh sb="0" eb="1">
      <t>ニシ</t>
    </rPh>
    <rPh sb="1" eb="3">
      <t>ニホン</t>
    </rPh>
    <phoneticPr fontId="1"/>
  </si>
  <si>
    <t>―</t>
    <phoneticPr fontId="1"/>
  </si>
  <si>
    <t>一定ダメージ身代わりする。</t>
    <phoneticPr fontId="1"/>
  </si>
  <si>
    <t>武人</t>
    <rPh sb="0" eb="2">
      <t>ブジン</t>
    </rPh>
    <phoneticPr fontId="1"/>
  </si>
  <si>
    <t>タイプ姫・伝承の防25％UP　/　タイプ【武人】の防10％UP</t>
    <phoneticPr fontId="1"/>
  </si>
  <si>
    <t>すかるねたいさ</t>
    <phoneticPr fontId="1"/>
  </si>
  <si>
    <t>絶対なる統率</t>
    <phoneticPr fontId="1"/>
  </si>
  <si>
    <t>祝来！宝船福引ガチャ</t>
    <rPh sb="0" eb="1">
      <t>シュク</t>
    </rPh>
    <rPh sb="1" eb="2">
      <t>ライ</t>
    </rPh>
    <rPh sb="3" eb="5">
      <t>タカラブネ</t>
    </rPh>
    <rPh sb="5" eb="7">
      <t>フクビキ</t>
    </rPh>
    <phoneticPr fontId="1"/>
  </si>
  <si>
    <t>2/28 12:00～2/29 11:59</t>
    <phoneticPr fontId="1"/>
  </si>
  <si>
    <t>2/29 11:00～2/29 23:59</t>
    <phoneticPr fontId="1"/>
  </si>
  <si>
    <t>タイプ神秘・飲食の攻25％UP　/　タイプ【知性派】の攻10％UP</t>
    <phoneticPr fontId="1"/>
  </si>
  <si>
    <t>雨上がりの虹</t>
    <phoneticPr fontId="1"/>
  </si>
  <si>
    <t>にじいろのまじゅつしてんちゃ</t>
    <phoneticPr fontId="1"/>
  </si>
  <si>
    <t>タイプ神秘・飲食の攻12％UP　/　タイプ【知性派】の攻10％UP</t>
    <phoneticPr fontId="1"/>
  </si>
  <si>
    <t>タイプ神秘・飲食の攻10％UP　/　タイプ【知性派】の攻5％UP</t>
    <phoneticPr fontId="1"/>
  </si>
  <si>
    <t>タイプ【名物】の攻40％UP　/　タイプ【妖怪】の攻20％UP</t>
    <phoneticPr fontId="1"/>
  </si>
  <si>
    <t>金色の秋の支配者</t>
    <phoneticPr fontId="1"/>
  </si>
  <si>
    <t>ゆきもみじふじわらのきよひら</t>
    <phoneticPr fontId="1"/>
  </si>
  <si>
    <t>タイプ【名物】の攻22％UP　/　タイプ【妖怪】の攻12％UP</t>
    <phoneticPr fontId="1"/>
  </si>
  <si>
    <t>タイプ【名物】の攻10％UP　/　タイプ【妖怪】の攻5％UP</t>
    <phoneticPr fontId="1"/>
  </si>
  <si>
    <t>タイプ【武人】の攻75％UP　/　タイプ姫・伝承の攻15％UP</t>
    <phoneticPr fontId="1"/>
  </si>
  <si>
    <t>蝶々凝聚</t>
    <phoneticPr fontId="1"/>
  </si>
  <si>
    <t>まだむばたふらい</t>
    <phoneticPr fontId="1"/>
  </si>
  <si>
    <t>タイプ【武人】の攻50％UP　/　タイプ姫・伝承の攻10％UP</t>
    <phoneticPr fontId="1"/>
  </si>
  <si>
    <t>タイプ【武人】の攻40％UP　/　タイプ姫・伝承の攻5％UP</t>
    <phoneticPr fontId="1"/>
  </si>
  <si>
    <t xml:space="preserve">防衛戦 </t>
    <rPh sb="0" eb="3">
      <t>ボウエイセン</t>
    </rPh>
    <phoneticPr fontId="1"/>
  </si>
  <si>
    <t>(DX)3/1 0:00～3/8 11:59</t>
    <phoneticPr fontId="1"/>
  </si>
  <si>
    <t>(Lvアップ)3/1 0:00～3/8 11:59</t>
    <phoneticPr fontId="1"/>
  </si>
  <si>
    <t>87643_0</t>
    <phoneticPr fontId="1"/>
  </si>
  <si>
    <t>タイプ姫・伝承の防40％UP　/　所属が【関東】とそれに属する県、および【全国】【東日本】の防30％UP</t>
  </si>
  <si>
    <t>タイプ妖怪・名物の攻40％UP　/　所属が【中部】とそれに属する県、および【全国】【東日本】の攻30％UP</t>
  </si>
  <si>
    <t>タイプ武人・伝承の防40％UP　/　所属が【近畿】とそれに属する県、および【全国】【西日本】の防30％UP</t>
  </si>
  <si>
    <t>タイプ知性派・飲食の防40％UP　/　所属が【中国・四国】とそれに属する県、および【全国】【西日本】の防30％UP</t>
    <rPh sb="10" eb="11">
      <t>ボウ</t>
    </rPh>
    <rPh sb="23" eb="25">
      <t>チュウゴク</t>
    </rPh>
    <rPh sb="26" eb="28">
      <t>シコク</t>
    </rPh>
    <rPh sb="51" eb="52">
      <t>ボウ</t>
    </rPh>
    <phoneticPr fontId="1"/>
  </si>
  <si>
    <t>タイプ神秘・知性派の攻40％UP　/　所属が【九州・沖縄】とそれに属する県、および【全国】【西日本】の攻30％UP</t>
  </si>
  <si>
    <t>タイプ妖怪・名物の攻40％UP　/　所属が【関東】とそれに属する県、および【全国】【東日本】の攻30％UP</t>
    <rPh sb="22" eb="24">
      <t>カントウ</t>
    </rPh>
    <phoneticPr fontId="1"/>
  </si>
  <si>
    <t>タイプ神秘・知性派の攻40％UP　/　所属が【中部】とそれに属する県、および【全国】【東日本】の攻30％UP</t>
    <rPh sb="23" eb="25">
      <t>チュウブ</t>
    </rPh>
    <rPh sb="43" eb="44">
      <t>ヒガシ</t>
    </rPh>
    <phoneticPr fontId="1"/>
  </si>
  <si>
    <t>タイプ知性派・飲食の防40％UP　/　所属が【近畿】とそれに属する県、および【全国】【西日本】の防30％UP</t>
    <rPh sb="10" eb="11">
      <t>ボウ</t>
    </rPh>
    <rPh sb="23" eb="25">
      <t>キンキ</t>
    </rPh>
    <rPh sb="48" eb="49">
      <t>ボウ</t>
    </rPh>
    <phoneticPr fontId="1"/>
  </si>
  <si>
    <t>タイプ偉人・妖怪の防40％UP　/　所属が【中国・四国】とそれに属する県、および【全国】【西日本】の防30％UP</t>
    <rPh sb="22" eb="24">
      <t>チュウゴク</t>
    </rPh>
    <rPh sb="25" eb="27">
      <t>シコク</t>
    </rPh>
    <rPh sb="45" eb="46">
      <t>ニシ</t>
    </rPh>
    <phoneticPr fontId="1"/>
  </si>
  <si>
    <t>タイプ武人・姫の攻40％UP　/　所属が【九州・沖縄】とそれに属する県、および【全国】【西日本】の攻30％UP</t>
    <rPh sb="21" eb="23">
      <t>キュウシュウ</t>
    </rPh>
    <rPh sb="24" eb="26">
      <t>オキナワ</t>
    </rPh>
    <rPh sb="44" eb="45">
      <t>ニシ</t>
    </rPh>
    <phoneticPr fontId="1"/>
  </si>
  <si>
    <t>タイプ神秘・飲食の攻40％UP　/　所属が【北海道・東北】とそれに属する県、および【全国】【東日本】の攻30％UP</t>
    <rPh sb="22" eb="25">
      <t>ホッカイドウ</t>
    </rPh>
    <rPh sb="26" eb="28">
      <t>トウホク</t>
    </rPh>
    <phoneticPr fontId="3"/>
  </si>
  <si>
    <t>タイプ偉人・妖怪の攻40％UP　/　所属が【関東】とそれに属する県、および【全国】【東日本】の攻30％UP</t>
    <rPh sb="9" eb="10">
      <t>コウ</t>
    </rPh>
    <rPh sb="47" eb="48">
      <t>コウ</t>
    </rPh>
    <phoneticPr fontId="3"/>
  </si>
  <si>
    <t>タイプ知性派・飲食の防40％UP　/　所属が【中部】とそれに属する県、および【全国】【東日本】の防30％UP</t>
    <rPh sb="10" eb="11">
      <t>ボウ</t>
    </rPh>
    <rPh sb="23" eb="25">
      <t>チュウブ</t>
    </rPh>
    <rPh sb="43" eb="44">
      <t>ヒガシ</t>
    </rPh>
    <rPh sb="48" eb="49">
      <t>ボウ</t>
    </rPh>
    <phoneticPr fontId="3"/>
  </si>
  <si>
    <t>タイプ武人・姫の防40％UP　/　所属が【近畿】とそれに属する県、および【全国】【西日本】の防30％UP</t>
    <rPh sb="8" eb="9">
      <t>ボウ</t>
    </rPh>
    <rPh sb="21" eb="23">
      <t>キンキ</t>
    </rPh>
    <rPh sb="41" eb="42">
      <t>ニシ</t>
    </rPh>
    <rPh sb="46" eb="47">
      <t>ボウ</t>
    </rPh>
    <phoneticPr fontId="3"/>
  </si>
  <si>
    <t>タイプ偉人・名物の攻40％UP　/　所属が【中国・四国】とそれに属する県、および【全国】【西日本】の攻30％UP</t>
    <rPh sb="9" eb="10">
      <t>コウ</t>
    </rPh>
    <rPh sb="22" eb="24">
      <t>チュウゴク</t>
    </rPh>
    <rPh sb="25" eb="27">
      <t>シコク</t>
    </rPh>
    <rPh sb="45" eb="46">
      <t>ニシ</t>
    </rPh>
    <rPh sb="50" eb="51">
      <t>コウ</t>
    </rPh>
    <phoneticPr fontId="3"/>
  </si>
  <si>
    <t>タイプ武人・伝承の防40％UP　/　所属が【九州・沖縄】とそれに属する県、および【全国】【西日本】の防30％UP</t>
    <rPh sb="22" eb="24">
      <t>キュウシュウ</t>
    </rPh>
    <rPh sb="25" eb="27">
      <t>オキナワ</t>
    </rPh>
    <phoneticPr fontId="3"/>
  </si>
  <si>
    <t>タイプ武人・姫の攻40％UP　/　所属が【北海道・東北】とそれに属する県、および【全国】【東日本】の攻30％UP</t>
  </si>
  <si>
    <t>タイプ偉人・妖怪の防40％UP　/　所属が【関東】とそれに属する県、および【全国】【東日本】の防30％UP</t>
  </si>
  <si>
    <t>タイプ神秘・飲食の攻40％UP　/　所属が【中部】とそれに属する県、および【全国】【東日本】の攻30％UP</t>
  </si>
  <si>
    <t>タイプ妖怪・名物の防40％UP　/　所属が【近畿】とそれに属する県、および【全国】【西日本】の防30％UP</t>
  </si>
  <si>
    <t>タイプ武人・伝承の防40％UP　/　所属が【中国・四国】とそれに属する県、および【全国】【西日本】の防30％UP</t>
  </si>
  <si>
    <t>タイプ知性派・飲食の攻40％UP　/　所属が【九州・沖縄】とそれに属する県、および【全国】【西日本】の攻30％UP</t>
  </si>
  <si>
    <t>タイプ姫・伝承の防40％UP　/　所属が【北海道・東北】とそれに属する県、および【全国】【東日本】の防30％UP</t>
  </si>
  <si>
    <t>タイプ武人・伝承の攻40％UP　/　所属が【関東】とそれに属する県、および【全国】【東日本】の攻30％UP</t>
  </si>
  <si>
    <t>タイプ偉人・名物の防40％UP　/　所属が【中部】とそれに属する県、および【全国】【東日本】の防30％UP</t>
  </si>
  <si>
    <t>タイプ神秘・知性派の攻40％UP　/　所属が【近畿】とそれに属する県、および【全国】【西日本】の攻30％UP</t>
  </si>
  <si>
    <t>タイプ神秘・飲食の攻40％UP　/　所属が【中国・四国】とそれに属する県、および【全国】【西日本】の攻30％UP</t>
  </si>
  <si>
    <t>タイプ妖怪・名物の防40％UP　/　所属が【九州・沖縄】とそれに属する県、および【全国】【西日本】の防30％UP</t>
  </si>
  <si>
    <t>タイプ【武人】の攻40％UP　/　タイプ【姫】の攻20％UP</t>
  </si>
  <si>
    <t>タイプ神秘・知性派の防35％UP　/　タイプ【飲食】の防20％UP</t>
  </si>
  <si>
    <t>タイプ【武人】の攻65％UP　/　タイプ姫・伝承の攻35％UP</t>
  </si>
  <si>
    <t>タイプ【武人】の攻50％UP　/　タイプ姫・伝承の攻25％UP</t>
  </si>
  <si>
    <t>タイプ武人・伝承の攻35％UP　/　タイプ【姫】の攻20％UP</t>
  </si>
  <si>
    <t>タイプ【武人】の防75％UP　/　タイプ姫・伝承の防30％UP</t>
  </si>
  <si>
    <t>タイプ【武人】の防40％UP　/　タイプ姫・伝承の防15％UP</t>
  </si>
  <si>
    <t>タイプ神秘・知性派・飲食の攻40％UP　/　タイプ飲食・武人・名物の防10％DOWN</t>
  </si>
  <si>
    <t>おうえんだんおとひめ</t>
    <phoneticPr fontId="1"/>
  </si>
  <si>
    <t>おうえんだんいせ</t>
    <phoneticPr fontId="1"/>
  </si>
  <si>
    <t>おうえんだんあんみつちゃん</t>
    <phoneticPr fontId="1"/>
  </si>
  <si>
    <t>おうえんだんるいすふろいす</t>
    <phoneticPr fontId="1"/>
  </si>
  <si>
    <t>竜宮仕込みのチアリーダー</t>
    <phoneticPr fontId="1"/>
  </si>
  <si>
    <t>タイプ伝承・武人・姫の防65％UP</t>
    <phoneticPr fontId="1"/>
  </si>
  <si>
    <t>魂揺さぶる応援歌</t>
    <phoneticPr fontId="1"/>
  </si>
  <si>
    <t>和を尊ぶ応援団長</t>
    <phoneticPr fontId="1"/>
  </si>
  <si>
    <t>熱心な応援活動行う宣教師</t>
    <phoneticPr fontId="1"/>
  </si>
  <si>
    <t>土色香る紅葉乱舞</t>
    <phoneticPr fontId="1"/>
  </si>
  <si>
    <t>しんせいちあもみじまんじゅうちゃん</t>
    <phoneticPr fontId="1"/>
  </si>
  <si>
    <t>メガホンによる勝負の采配</t>
    <phoneticPr fontId="1"/>
  </si>
  <si>
    <t>しんせいうんどうかいおせんのかた</t>
    <phoneticPr fontId="1"/>
  </si>
  <si>
    <t>しんせいまーちんぐばんどまどうぐしゃ</t>
    <phoneticPr fontId="1"/>
  </si>
  <si>
    <t>旗振り演舞の惑い猫</t>
    <phoneticPr fontId="1"/>
  </si>
  <si>
    <t>タイプ【神秘】の防85％UP　/　タイプ知性派・飲食の防25％UP</t>
  </si>
  <si>
    <t>一定時間、敵全体の戦技ゲージの上昇割合がDOWNし、敵軍の人数に応じて一定ダメージを身代わりする</t>
    <phoneticPr fontId="1"/>
  </si>
  <si>
    <t>防衛戦 声援響く蒼穹の応援団ガチャ</t>
    <rPh sb="0" eb="3">
      <t>ボウエイセン</t>
    </rPh>
    <phoneticPr fontId="1"/>
  </si>
  <si>
    <t>幼き少女の大きな願い</t>
    <phoneticPr fontId="1"/>
  </si>
  <si>
    <t>しんせいおうえんしょうじょ</t>
    <phoneticPr fontId="1"/>
  </si>
  <si>
    <t>舞踊は身を助ける</t>
    <phoneticPr fontId="1"/>
  </si>
  <si>
    <t>しんせいおどりこあざいつるちよ</t>
    <phoneticPr fontId="1"/>
  </si>
  <si>
    <t>しんせいおどりこせんきくひめ</t>
    <phoneticPr fontId="1"/>
  </si>
  <si>
    <t>奈良</t>
    <rPh sb="0" eb="2">
      <t>ナラ</t>
    </rPh>
    <phoneticPr fontId="1"/>
  </si>
  <si>
    <t>いんせいちあならじかちゃん</t>
    <phoneticPr fontId="1"/>
  </si>
  <si>
    <t>タイプ神秘・知性派・飲食の攻35％UP　/　タイプ神秘・知性派・飲食の防10％DOWN</t>
    <phoneticPr fontId="1"/>
  </si>
  <si>
    <t>四大鶏鍋陰陽師の火加減</t>
    <phoneticPr fontId="1"/>
  </si>
  <si>
    <t>せいかそうだつせんみずたきさん</t>
    <phoneticPr fontId="1"/>
  </si>
  <si>
    <t>タイプ神秘・知性派・飲食の攻20％UP　/　タイプ神秘・知性派・飲食の防10％DOWN</t>
    <phoneticPr fontId="1"/>
  </si>
  <si>
    <t>タイプ神秘・知性派・飲食の攻12％UP　/　タイプ神秘・知性派・飲食の防5％DOWN</t>
    <phoneticPr fontId="1"/>
  </si>
  <si>
    <t>2/15 15:00～2/16 11:59</t>
    <phoneticPr fontId="1"/>
  </si>
  <si>
    <t>3/3 12:00～3/4 11:59</t>
    <phoneticPr fontId="1"/>
  </si>
  <si>
    <t>すのうふぇありー</t>
    <phoneticPr fontId="1"/>
  </si>
  <si>
    <t>粉雪の舞踏会</t>
    <rPh sb="0" eb="2">
      <t>コナユキ</t>
    </rPh>
    <rPh sb="3" eb="6">
      <t>ブトウカイ</t>
    </rPh>
    <phoneticPr fontId="1"/>
  </si>
  <si>
    <t>タイプ知性派・飲食の攻40％UP　/　所属が【北海道・東北】とそれに属する県、および【全国】【東日本】の攻30％UP</t>
    <rPh sb="10" eb="11">
      <t>コウ</t>
    </rPh>
    <rPh sb="52" eb="53">
      <t>コウ</t>
    </rPh>
    <phoneticPr fontId="1"/>
  </si>
  <si>
    <t>しつじたんていまぎー</t>
    <phoneticPr fontId="1"/>
  </si>
  <si>
    <t>超論理的推理</t>
    <rPh sb="0" eb="1">
      <t>チョウ</t>
    </rPh>
    <rPh sb="1" eb="4">
      <t>ロンリテキ</t>
    </rPh>
    <rPh sb="4" eb="6">
      <t>スイリ</t>
    </rPh>
    <phoneticPr fontId="1"/>
  </si>
  <si>
    <t>タイプ神秘・飲食の攻40％UP　/　所属が【関東】とそれに属する県、および【全国】【東日本】の攻30％UP</t>
    <rPh sb="9" eb="10">
      <t>コウ</t>
    </rPh>
    <rPh sb="47" eb="48">
      <t>コウ</t>
    </rPh>
    <phoneticPr fontId="1"/>
  </si>
  <si>
    <t>ぴーちぷりんせす</t>
    <phoneticPr fontId="1"/>
  </si>
  <si>
    <t>桃源郷の一輪花</t>
    <rPh sb="0" eb="3">
      <t>トウゲンキョウ</t>
    </rPh>
    <rPh sb="4" eb="6">
      <t>イチリン</t>
    </rPh>
    <rPh sb="6" eb="7">
      <t>カ</t>
    </rPh>
    <phoneticPr fontId="1"/>
  </si>
  <si>
    <t>タイプ武人・伝承の防40％UP　/　所属が【中部】とそれに属する県、および【全国】【東日本】の防30％UP</t>
    <rPh sb="3" eb="5">
      <t>ブジン</t>
    </rPh>
    <rPh sb="6" eb="8">
      <t>デンショウ</t>
    </rPh>
    <rPh sb="9" eb="10">
      <t>ボウ</t>
    </rPh>
    <rPh sb="47" eb="48">
      <t>ボウ</t>
    </rPh>
    <phoneticPr fontId="1"/>
  </si>
  <si>
    <t>さいきりんぐがーる</t>
    <phoneticPr fontId="1"/>
  </si>
  <si>
    <t>鎮魂の大鎌</t>
    <rPh sb="0" eb="2">
      <t>チンコン</t>
    </rPh>
    <rPh sb="3" eb="5">
      <t>オオガマ</t>
    </rPh>
    <phoneticPr fontId="1"/>
  </si>
  <si>
    <t>タイプ偉人・名物の防40％UP　/　所属が【近畿】とそれに属する県、および【全国】【西日本】の防30％UP</t>
    <rPh sb="3" eb="5">
      <t>イジン</t>
    </rPh>
    <rPh sb="6" eb="8">
      <t>メイブツ</t>
    </rPh>
    <rPh sb="9" eb="10">
      <t>ボウ</t>
    </rPh>
    <rPh sb="47" eb="48">
      <t>ボウ</t>
    </rPh>
    <phoneticPr fontId="1"/>
  </si>
  <si>
    <t>さーかすのまじょ</t>
    <phoneticPr fontId="1"/>
  </si>
  <si>
    <t>タイプ武人・姫の防40％UP　/　所属が【中国・四国】とそれに属する県、および【全国】【西日本】の防30％UP</t>
    <rPh sb="3" eb="5">
      <t>ブジン</t>
    </rPh>
    <rPh sb="6" eb="7">
      <t>ヒメ</t>
    </rPh>
    <rPh sb="8" eb="9">
      <t>ボウ</t>
    </rPh>
    <rPh sb="49" eb="50">
      <t>ボウ</t>
    </rPh>
    <phoneticPr fontId="1"/>
  </si>
  <si>
    <t>神宿る天性の裁縫術</t>
    <rPh sb="0" eb="1">
      <t>カミ</t>
    </rPh>
    <rPh sb="1" eb="2">
      <t>ヤド</t>
    </rPh>
    <rPh sb="3" eb="5">
      <t>テンセイ</t>
    </rPh>
    <rPh sb="6" eb="8">
      <t>サイホウ</t>
    </rPh>
    <rPh sb="8" eb="9">
      <t>ジュツ</t>
    </rPh>
    <phoneticPr fontId="1"/>
  </si>
  <si>
    <t>タイプ妖怪・名物の攻40％UP　/　所属が【九州・沖縄】とそれに属する県、および【全国】【西日本】の攻30％UP</t>
    <rPh sb="3" eb="5">
      <t>ヨウカイ</t>
    </rPh>
    <rPh sb="6" eb="8">
      <t>メイブツ</t>
    </rPh>
    <rPh sb="9" eb="10">
      <t>コウ</t>
    </rPh>
    <rPh sb="50" eb="51">
      <t>コウ</t>
    </rPh>
    <phoneticPr fontId="1"/>
  </si>
  <si>
    <t>そーいんぐますたー</t>
    <phoneticPr fontId="1"/>
  </si>
  <si>
    <t>真夜中煌めく曲芸の魔女</t>
    <rPh sb="0" eb="3">
      <t>マヨナカ</t>
    </rPh>
    <rPh sb="3" eb="4">
      <t>キラ</t>
    </rPh>
    <rPh sb="6" eb="8">
      <t>キョクゲイ</t>
    </rPh>
    <rPh sb="9" eb="11">
      <t>マジョ</t>
    </rPh>
    <phoneticPr fontId="1"/>
  </si>
  <si>
    <t>【応援団】乙姫</t>
    <phoneticPr fontId="1"/>
  </si>
  <si>
    <t>[新生]【踊り子】千菊姫</t>
    <phoneticPr fontId="1"/>
  </si>
  <si>
    <t>[新生]【チア】奈良鹿ちゃん</t>
    <phoneticPr fontId="1"/>
  </si>
  <si>
    <t>【応援団】伊勢</t>
    <phoneticPr fontId="1"/>
  </si>
  <si>
    <t>【応援団】あんみつちゃん</t>
    <phoneticPr fontId="1"/>
  </si>
  <si>
    <t>【応援団】ルイス・フロイス</t>
    <phoneticPr fontId="1"/>
  </si>
  <si>
    <t>[新生]【チア】もみじまんじゅうちゃん</t>
    <phoneticPr fontId="1"/>
  </si>
  <si>
    <t>[新生]【運動会】お船の方</t>
    <phoneticPr fontId="1"/>
  </si>
  <si>
    <t>[新生]【マーチングバンド】マドウグシャ</t>
    <phoneticPr fontId="1"/>
  </si>
  <si>
    <t>[新生]応援少女</t>
    <phoneticPr fontId="1"/>
  </si>
  <si>
    <t>[新生]【踊り子】浅井鶴千代</t>
    <phoneticPr fontId="1"/>
  </si>
  <si>
    <t>常世ノ理想郷</t>
    <phoneticPr fontId="1"/>
  </si>
  <si>
    <t>七小町</t>
    <phoneticPr fontId="1"/>
  </si>
  <si>
    <t>雷門弓手招き</t>
    <phoneticPr fontId="1"/>
  </si>
  <si>
    <t>破邪征伐刃</t>
    <phoneticPr fontId="1"/>
  </si>
  <si>
    <t>降雪舞踊</t>
    <phoneticPr fontId="1"/>
  </si>
  <si>
    <t>蠱惑ノ行烈</t>
    <phoneticPr fontId="1"/>
  </si>
  <si>
    <t>神威請願</t>
    <phoneticPr fontId="1"/>
  </si>
  <si>
    <t>策戦 敵陣突破</t>
    <phoneticPr fontId="1"/>
  </si>
  <si>
    <t>【聖火争奪戦】水炊きさん</t>
    <phoneticPr fontId="1"/>
  </si>
  <si>
    <t>【POPクリスマス】生駒吉乃</t>
    <phoneticPr fontId="1"/>
  </si>
  <si>
    <t>【元旦】桃太郎</t>
    <phoneticPr fontId="1"/>
  </si>
  <si>
    <t>【聖獣】真神</t>
    <phoneticPr fontId="1"/>
  </si>
  <si>
    <t>【キャメラ女子】三吉鬼</t>
    <phoneticPr fontId="1"/>
  </si>
  <si>
    <t>二代目市川團十郎</t>
    <phoneticPr fontId="1"/>
  </si>
  <si>
    <t>【アンドロイド】大友宗麟</t>
    <phoneticPr fontId="1"/>
  </si>
  <si>
    <t>[新生]【デート】由良妙印尼</t>
    <phoneticPr fontId="1"/>
  </si>
  <si>
    <t>[新生]【花火】キジムナー</t>
    <phoneticPr fontId="1"/>
  </si>
  <si>
    <t>【肝試しホラー】鏡王女</t>
    <phoneticPr fontId="1"/>
  </si>
  <si>
    <t>【電車ガール】コウテイペンギンちゃん</t>
    <phoneticPr fontId="1"/>
  </si>
  <si>
    <t>カーニバルクイーン</t>
    <phoneticPr fontId="1"/>
  </si>
  <si>
    <t>シトゥンペカムイ</t>
    <phoneticPr fontId="1"/>
  </si>
  <si>
    <t>魔弾のティルソルシエール</t>
    <phoneticPr fontId="1"/>
  </si>
  <si>
    <t>スノウフェアリー</t>
    <phoneticPr fontId="1"/>
  </si>
  <si>
    <t>執事探偵マギー</t>
    <phoneticPr fontId="1"/>
  </si>
  <si>
    <t>ピーチプリンセス</t>
    <phoneticPr fontId="1"/>
  </si>
  <si>
    <t>サイキリングガール</t>
    <phoneticPr fontId="1"/>
  </si>
  <si>
    <t>サーカスの魔女</t>
    <phoneticPr fontId="1"/>
  </si>
  <si>
    <t>ソーイングマスター</t>
    <phoneticPr fontId="1"/>
  </si>
  <si>
    <t>豪華玉手箱ガチャ</t>
    <rPh sb="0" eb="2">
      <t>ゴウカ</t>
    </rPh>
    <rPh sb="2" eb="5">
      <t>タマテバコ</t>
    </rPh>
    <phoneticPr fontId="1"/>
  </si>
  <si>
    <t>3/4 15:00～3/4 23:59</t>
    <phoneticPr fontId="1"/>
  </si>
  <si>
    <t>【節分】雪女</t>
    <phoneticPr fontId="1"/>
  </si>
  <si>
    <t>【ビキニガール】夜叉龍神</t>
    <phoneticPr fontId="1"/>
  </si>
  <si>
    <t>【X’masパーティ】金子みすず</t>
    <phoneticPr fontId="1"/>
  </si>
  <si>
    <t>【雨の花嫁】妙林尼</t>
    <phoneticPr fontId="1"/>
  </si>
  <si>
    <t>狂い吹雪</t>
    <phoneticPr fontId="1"/>
  </si>
  <si>
    <t>怒涛厳瀑</t>
    <phoneticPr fontId="1"/>
  </si>
  <si>
    <t>星と樹の歌</t>
    <phoneticPr fontId="1"/>
  </si>
  <si>
    <t>策戦 兵站奇襲</t>
    <phoneticPr fontId="1"/>
  </si>
  <si>
    <t>防衛戦 魔を穿つ聖火の守護者ガチャ</t>
    <rPh sb="0" eb="3">
      <t>ボウエイセン</t>
    </rPh>
    <rPh sb="4" eb="5">
      <t>マ</t>
    </rPh>
    <rPh sb="6" eb="7">
      <t>ウガ</t>
    </rPh>
    <rPh sb="8" eb="10">
      <t>セイカ</t>
    </rPh>
    <rPh sb="11" eb="14">
      <t>シュゴシャ</t>
    </rPh>
    <phoneticPr fontId="1"/>
  </si>
  <si>
    <t>(Lvアップ)3/4 12:00～3/8 11:59</t>
    <phoneticPr fontId="1"/>
  </si>
  <si>
    <t>SSR</t>
    <phoneticPr fontId="1"/>
  </si>
  <si>
    <t>SR</t>
    <phoneticPr fontId="1"/>
  </si>
  <si>
    <t>HR</t>
    <phoneticPr fontId="1"/>
  </si>
  <si>
    <t>R</t>
    <phoneticPr fontId="1"/>
  </si>
  <si>
    <t>中国・四国</t>
    <rPh sb="0" eb="2">
      <t>チュウゴク</t>
    </rPh>
    <rPh sb="3" eb="5">
      <t>シコク</t>
    </rPh>
    <phoneticPr fontId="1"/>
  </si>
  <si>
    <t>無所属</t>
    <rPh sb="0" eb="3">
      <t>ムショゾク</t>
    </rPh>
    <phoneticPr fontId="1"/>
  </si>
  <si>
    <t>京都</t>
    <rPh sb="0" eb="2">
      <t>キョウト</t>
    </rPh>
    <phoneticPr fontId="1"/>
  </si>
  <si>
    <t>名物</t>
    <rPh sb="0" eb="2">
      <t>メイブツ</t>
    </rPh>
    <phoneticPr fontId="1"/>
  </si>
  <si>
    <t>偉人</t>
    <rPh sb="0" eb="2">
      <t>イジン</t>
    </rPh>
    <phoneticPr fontId="1"/>
  </si>
  <si>
    <t>神秘</t>
    <rPh sb="0" eb="2">
      <t>シンピ</t>
    </rPh>
    <phoneticPr fontId="1"/>
  </si>
  <si>
    <t>【聖火争奪戦】出雲大社</t>
    <rPh sb="1" eb="3">
      <t>セイカ</t>
    </rPh>
    <rPh sb="3" eb="6">
      <t>ソウダツセン</t>
    </rPh>
    <rPh sb="7" eb="11">
      <t>イズモタイシャ</t>
    </rPh>
    <phoneticPr fontId="1"/>
  </si>
  <si>
    <t>せいかそうだつせんいずもたいしゃ</t>
    <phoneticPr fontId="1"/>
  </si>
  <si>
    <t>堅固なる八百万の守護</t>
    <rPh sb="0" eb="2">
      <t>ケンゴ</t>
    </rPh>
    <rPh sb="4" eb="7">
      <t>ヤオヨロズ</t>
    </rPh>
    <rPh sb="8" eb="10">
      <t>シュゴ</t>
    </rPh>
    <phoneticPr fontId="1"/>
  </si>
  <si>
    <t>[新生]安倍晴明</t>
    <rPh sb="1" eb="3">
      <t>シンセイ</t>
    </rPh>
    <rPh sb="4" eb="8">
      <t>アベノセイメイ</t>
    </rPh>
    <phoneticPr fontId="1"/>
  </si>
  <si>
    <t>しんせいあべのせいめい</t>
    <phoneticPr fontId="1"/>
  </si>
  <si>
    <t>九字真言</t>
    <rPh sb="0" eb="2">
      <t>クジ</t>
    </rPh>
    <rPh sb="2" eb="4">
      <t>シンゴン</t>
    </rPh>
    <phoneticPr fontId="1"/>
  </si>
  <si>
    <t>[新生]式神</t>
    <rPh sb="1" eb="3">
      <t>シンセイ</t>
    </rPh>
    <rPh sb="4" eb="5">
      <t>シキ</t>
    </rPh>
    <rPh sb="5" eb="6">
      <t>ガミ</t>
    </rPh>
    <phoneticPr fontId="1"/>
  </si>
  <si>
    <t>しんせいしきがみ</t>
    <phoneticPr fontId="1"/>
  </si>
  <si>
    <t>変幻自在の力</t>
    <rPh sb="0" eb="2">
      <t>ヘンゲン</t>
    </rPh>
    <rPh sb="2" eb="4">
      <t>ジザイ</t>
    </rPh>
    <rPh sb="5" eb="6">
      <t>チカラ</t>
    </rPh>
    <phoneticPr fontId="1"/>
  </si>
  <si>
    <t>[新生]桔梗ちゃん</t>
    <rPh sb="1" eb="3">
      <t>シンセイ</t>
    </rPh>
    <rPh sb="4" eb="6">
      <t>キキョウ</t>
    </rPh>
    <phoneticPr fontId="1"/>
  </si>
  <si>
    <t>しんせいききょうちゃん</t>
    <phoneticPr fontId="1"/>
  </si>
  <si>
    <t>生薬の桔梗印</t>
    <rPh sb="0" eb="2">
      <t>ショウヤク</t>
    </rPh>
    <rPh sb="3" eb="5">
      <t>キキョウ</t>
    </rPh>
    <rPh sb="5" eb="6">
      <t>イン</t>
    </rPh>
    <phoneticPr fontId="1"/>
  </si>
  <si>
    <t>餅搗月兎</t>
    <phoneticPr fontId="1"/>
  </si>
  <si>
    <t>葵神紋</t>
    <phoneticPr fontId="1"/>
  </si>
  <si>
    <t>軍計 獅子身中</t>
    <phoneticPr fontId="1"/>
  </si>
  <si>
    <t>迅火三尺</t>
    <phoneticPr fontId="1"/>
  </si>
  <si>
    <t>気勢 天之利</t>
    <phoneticPr fontId="1"/>
  </si>
  <si>
    <t>過ぎたる炎風</t>
    <phoneticPr fontId="1"/>
  </si>
  <si>
    <t>策戦 旺氣発破</t>
    <phoneticPr fontId="1"/>
  </si>
  <si>
    <t>酒呑山門</t>
    <phoneticPr fontId="1"/>
  </si>
  <si>
    <t>霞雷鳥</t>
    <phoneticPr fontId="1"/>
  </si>
  <si>
    <t>十勇士推参</t>
    <phoneticPr fontId="1"/>
  </si>
  <si>
    <t>駆け付け三杯</t>
    <phoneticPr fontId="1"/>
  </si>
  <si>
    <t>藤ノ独楽衝</t>
    <phoneticPr fontId="1"/>
  </si>
  <si>
    <t>天草先陣</t>
    <phoneticPr fontId="1"/>
  </si>
  <si>
    <t>痺れ祟り刀</t>
    <phoneticPr fontId="1"/>
  </si>
  <si>
    <t>怨切</t>
    <phoneticPr fontId="1"/>
  </si>
  <si>
    <t>黒紫の花びら</t>
    <phoneticPr fontId="1"/>
  </si>
  <si>
    <t>恋神ノ誘惑</t>
    <phoneticPr fontId="1"/>
  </si>
  <si>
    <t>オキクルミ</t>
    <phoneticPr fontId="1"/>
  </si>
  <si>
    <t>全軍躍動</t>
  </si>
  <si>
    <t>怒涛厳瀑</t>
  </si>
  <si>
    <t>二天一流</t>
  </si>
  <si>
    <t>麗天ノ強撃</t>
  </si>
  <si>
    <t>魚雷エンペラー</t>
  </si>
  <si>
    <t>軍計 獅子身中</t>
  </si>
  <si>
    <t>霞雷鳥</t>
  </si>
  <si>
    <t>葵神紋</t>
  </si>
  <si>
    <t>天草先陣</t>
  </si>
  <si>
    <t>酒呑山門</t>
  </si>
  <si>
    <t>籠城仕掛け櫓</t>
  </si>
  <si>
    <t>逢魔怪境</t>
  </si>
  <si>
    <t>奉行の炯眼</t>
  </si>
  <si>
    <t>気勢 天之利</t>
  </si>
  <si>
    <t>天照ノ光</t>
  </si>
  <si>
    <t>清涼たる季菓</t>
  </si>
  <si>
    <t>七小町</t>
  </si>
  <si>
    <t>星と樹の歌</t>
  </si>
  <si>
    <t>駆け付け三杯</t>
  </si>
  <si>
    <t>黒紫の花びら</t>
  </si>
  <si>
    <t>鋼氷団結</t>
  </si>
  <si>
    <t>策戦 旺氣発破</t>
  </si>
  <si>
    <t>怨切</t>
  </si>
  <si>
    <t>鬼鶴玉砕棒</t>
  </si>
  <si>
    <t>丹生活神水</t>
  </si>
  <si>
    <t>琵琶霊弓</t>
  </si>
  <si>
    <t>藤ノ独楽衝</t>
  </si>
  <si>
    <t>神威請願</t>
  </si>
  <si>
    <t>恋神ノ誘惑</t>
  </si>
  <si>
    <t>改新撃</t>
  </si>
  <si>
    <t>破邪征伐刃</t>
  </si>
  <si>
    <t>恩結びの狼</t>
  </si>
  <si>
    <t>餅搗月兎</t>
  </si>
  <si>
    <t>迅火三尺</t>
  </si>
  <si>
    <t>蠱惑ノ行烈</t>
  </si>
  <si>
    <t>十勇士推参</t>
  </si>
  <si>
    <t>三番目の個室</t>
  </si>
  <si>
    <t>鬼人丹後守</t>
  </si>
  <si>
    <t>聖夜の贈り物</t>
  </si>
  <si>
    <t>過ぎたる炎風</t>
  </si>
  <si>
    <t>秘し隠し</t>
  </si>
  <si>
    <t>王献扇舞</t>
  </si>
  <si>
    <t>天竺輪舞</t>
  </si>
  <si>
    <t>痺れ祟り刀</t>
  </si>
  <si>
    <t>からくり戦封</t>
  </si>
  <si>
    <t>渾身ノ合掌</t>
  </si>
  <si>
    <t>潜水刻々</t>
  </si>
  <si>
    <t>加護・聖母の愛</t>
  </si>
  <si>
    <t>全ての答え</t>
  </si>
  <si>
    <t>恩結びの狼</t>
    <phoneticPr fontId="1"/>
  </si>
  <si>
    <t>聖なる舞踊</t>
  </si>
  <si>
    <t>雷門弓手招き</t>
  </si>
  <si>
    <t>仁義八行玉</t>
  </si>
  <si>
    <t>闇落ち奇兵隊</t>
  </si>
  <si>
    <t>六奥奇環砲</t>
  </si>
  <si>
    <t>降雪舞踊</t>
  </si>
  <si>
    <t>妖艶奪気</t>
  </si>
  <si>
    <t>導きの音色</t>
  </si>
  <si>
    <t>七歳ノ祝典</t>
  </si>
  <si>
    <t>攻癒ノ書</t>
  </si>
  <si>
    <t>妖艶業火宮</t>
  </si>
  <si>
    <t>棺桶シェルター</t>
  </si>
  <si>
    <t>仁義賢士</t>
  </si>
  <si>
    <t>染彩</t>
  </si>
  <si>
    <t>才色兼備の神技</t>
  </si>
  <si>
    <t>絶対砲火</t>
  </si>
  <si>
    <t>女傑戦将</t>
  </si>
  <si>
    <t>天下無双の覇気</t>
  </si>
  <si>
    <t>甘美なる恋獄</t>
  </si>
  <si>
    <t>75393_0</t>
    <phoneticPr fontId="1"/>
  </si>
  <si>
    <t>47263_0</t>
  </si>
  <si>
    <t>47263_0</t>
    <phoneticPr fontId="1"/>
  </si>
  <si>
    <t>40913_0</t>
    <phoneticPr fontId="1"/>
  </si>
  <si>
    <t>44253_0</t>
  </si>
  <si>
    <t>44253_0</t>
    <phoneticPr fontId="1"/>
  </si>
  <si>
    <t>52693_0</t>
    <phoneticPr fontId="1"/>
  </si>
  <si>
    <t>53753_0</t>
    <phoneticPr fontId="1"/>
  </si>
  <si>
    <t>63173_0</t>
    <phoneticPr fontId="1"/>
  </si>
  <si>
    <t>76913_0</t>
    <phoneticPr fontId="1"/>
  </si>
  <si>
    <t>64953_0</t>
    <phoneticPr fontId="1"/>
  </si>
  <si>
    <t>54523_0</t>
    <phoneticPr fontId="1"/>
  </si>
  <si>
    <t>68033_0</t>
    <phoneticPr fontId="1"/>
  </si>
  <si>
    <t>67173_0</t>
  </si>
  <si>
    <t>防衛戦 満月照らす万霊節！魅惑のハロウィンガチャ</t>
    <rPh sb="0" eb="3">
      <t>ボウエイセン</t>
    </rPh>
    <phoneticPr fontId="1"/>
  </si>
  <si>
    <t>10/2 12:00～10/3 23:59</t>
    <phoneticPr fontId="1"/>
  </si>
  <si>
    <t>10/3 11:00～10/5 23:59</t>
    <phoneticPr fontId="1"/>
  </si>
  <si>
    <t>10/3 20:00～10/3 23:59</t>
    <phoneticPr fontId="1"/>
  </si>
  <si>
    <t>(DX)9/25 12:00～9/30 11:59</t>
    <phoneticPr fontId="1"/>
  </si>
  <si>
    <t>(Lvアップ)9/25 12:00～9/30 11:59</t>
    <phoneticPr fontId="1"/>
  </si>
  <si>
    <t>11/10 20:00～11/12 23:59</t>
    <phoneticPr fontId="1"/>
  </si>
  <si>
    <t>2018天クロハロウィン祭福引ガチャ</t>
    <phoneticPr fontId="1"/>
  </si>
  <si>
    <t>(Lvアップ)11/25 12:00～11/30 11:59</t>
    <phoneticPr fontId="1"/>
  </si>
  <si>
    <t>防衛戦 Xmas大作戦♪聖夜のジングルベルガチャ</t>
    <rPh sb="0" eb="3">
      <t>ボウエイセン</t>
    </rPh>
    <rPh sb="8" eb="11">
      <t>ダイサクセン</t>
    </rPh>
    <rPh sb="12" eb="14">
      <t>セイヤ</t>
    </rPh>
    <phoneticPr fontId="1"/>
  </si>
  <si>
    <t>南京玉すだれ</t>
    <phoneticPr fontId="1"/>
  </si>
  <si>
    <t>72733_0</t>
    <phoneticPr fontId="1"/>
  </si>
  <si>
    <t>2018天クロ星降る聖夜の福引ガチャ</t>
    <rPh sb="4" eb="5">
      <t>テン</t>
    </rPh>
    <rPh sb="7" eb="8">
      <t>ホシ</t>
    </rPh>
    <rPh sb="8" eb="9">
      <t>フ</t>
    </rPh>
    <rPh sb="10" eb="12">
      <t>セイヤ</t>
    </rPh>
    <rPh sb="13" eb="15">
      <t>フクビキ</t>
    </rPh>
    <phoneticPr fontId="1"/>
  </si>
  <si>
    <t>(DX)1/1 0:00～1/4 11:59</t>
    <phoneticPr fontId="1"/>
  </si>
  <si>
    <t>防衛戦 ガチャ名失念</t>
    <rPh sb="0" eb="3">
      <t>ボウエイセン</t>
    </rPh>
    <rPh sb="7" eb="8">
      <t>メイ</t>
    </rPh>
    <rPh sb="8" eb="10">
      <t>シツネン</t>
    </rPh>
    <phoneticPr fontId="1"/>
  </si>
  <si>
    <t>(Lvアップ)1/25 12:00～1/31 11:59</t>
    <phoneticPr fontId="1"/>
  </si>
  <si>
    <t>【電車ガール】コウテイペンギンちゃん</t>
  </si>
  <si>
    <t>【電車ガール】サファイア</t>
  </si>
  <si>
    <t>【電車ガール】ズワイガニちゃん</t>
  </si>
  <si>
    <t>【電車ガール】左京ヶ橋の蛇</t>
  </si>
  <si>
    <t>[新生]ダイヤモンド富士</t>
  </si>
  <si>
    <t>[新生]【鬼怒川温泉】玉藻前</t>
  </si>
  <si>
    <t>[新生]【松江城】堀尾吉晴</t>
  </si>
  <si>
    <t>[新生]【浅草】長勝院</t>
  </si>
  <si>
    <t>[新生]【歌劇団】大浦慶</t>
  </si>
  <si>
    <t>[新生]【アイドル】讃岐うどんちゃん</t>
  </si>
  <si>
    <t>[新生]鬼八伝説</t>
  </si>
  <si>
    <t>【ジューンブライド】羽仁もと子</t>
  </si>
  <si>
    <t>香西佳清</t>
  </si>
  <si>
    <t>【山ガール秋】野村望東尼</t>
  </si>
  <si>
    <t>【幻獣】島左近</t>
  </si>
  <si>
    <t>【X’masパーティ】金子みすず</t>
  </si>
  <si>
    <t>幸田延</t>
  </si>
  <si>
    <t>たたりもっけ</t>
  </si>
  <si>
    <t>おやゆび姫</t>
  </si>
  <si>
    <t>阿古御局</t>
  </si>
  <si>
    <t>菜の花</t>
  </si>
  <si>
    <t>【紫陽花】京極伊知子</t>
  </si>
  <si>
    <t>エウテルペー</t>
  </si>
  <si>
    <t>【雨姫の逆襲】北条綱高</t>
  </si>
  <si>
    <t>奥村志宇</t>
  </si>
  <si>
    <t>[新生]ウンディーネ</t>
  </si>
  <si>
    <t>[新生]伊達成実</t>
  </si>
  <si>
    <t>【闘牛】トレロ・カモミロ</t>
  </si>
  <si>
    <t>【幽精】京極伊知子</t>
  </si>
  <si>
    <t>創世記のカイン</t>
  </si>
  <si>
    <t>三ツ石神</t>
  </si>
  <si>
    <t>【温泉宿】魍魎</t>
  </si>
  <si>
    <t>騎竜姫エイレン</t>
  </si>
  <si>
    <t>皿うどんちゃん</t>
  </si>
  <si>
    <t>九谷焼</t>
  </si>
  <si>
    <t>太宰治</t>
  </si>
  <si>
    <t>【アラビアン】銀狐</t>
  </si>
  <si>
    <t>【お泊り女子会】たい焼きちゃん</t>
  </si>
  <si>
    <t>【お天気のお姉さん】松下乙女</t>
  </si>
  <si>
    <t>[新生]ヒノヒカリちゃん</t>
  </si>
  <si>
    <t>[新生]虚空太鼓</t>
  </si>
  <si>
    <t>[新生]浅葱</t>
  </si>
  <si>
    <t>【節分パニック】三村鶴</t>
  </si>
  <si>
    <t>【星座】シオマネキ</t>
  </si>
  <si>
    <t>木村芥舟</t>
  </si>
  <si>
    <t>飛騨和牛</t>
  </si>
  <si>
    <t>猿田彦大神</t>
  </si>
  <si>
    <t>銭形砂絵</t>
  </si>
  <si>
    <t>天狗のかくれみの</t>
  </si>
  <si>
    <t>【POPクリスマス】生駒吉乃</t>
  </si>
  <si>
    <t>【三国黒】本多忠勝</t>
  </si>
  <si>
    <t>観音山古墳</t>
  </si>
  <si>
    <t>祝祭の王女ホリデー</t>
  </si>
  <si>
    <t>原宿ロリータちゃん</t>
  </si>
  <si>
    <t>灘の酒</t>
  </si>
  <si>
    <t>【キューピッド】於大の方</t>
  </si>
  <si>
    <t>モルガンお雪</t>
  </si>
  <si>
    <t>伊賀マリア</t>
  </si>
  <si>
    <t>天野康景</t>
  </si>
  <si>
    <t>神野悪五郎</t>
  </si>
  <si>
    <t>ササニシキ</t>
  </si>
  <si>
    <t>孝謙天皇</t>
  </si>
  <si>
    <t>【雪の王国】鍋島の化け猫</t>
  </si>
  <si>
    <t>傀儡師</t>
  </si>
  <si>
    <t>マヨイガ</t>
  </si>
  <si>
    <t>丹生比売大神</t>
  </si>
  <si>
    <t>赤舌</t>
  </si>
  <si>
    <t>相楽総三</t>
  </si>
  <si>
    <t>早川徳次</t>
  </si>
  <si>
    <t>松の丸殿</t>
  </si>
  <si>
    <t>大神実命</t>
  </si>
  <si>
    <t>アグー豚ちゃん</t>
  </si>
  <si>
    <t>【父の日】明石レジーナ</t>
  </si>
  <si>
    <t>[新生]【ビアホール】百十踏揚</t>
  </si>
  <si>
    <t>[新生]父の日ちゃん</t>
  </si>
  <si>
    <t>[新生]【華麗なる】棋士</t>
  </si>
  <si>
    <t>【円卓の騎士】妙林尼</t>
  </si>
  <si>
    <t>南方熊楠</t>
  </si>
  <si>
    <t>ヴェルザンディ</t>
  </si>
  <si>
    <t>ハンナ・リデル</t>
  </si>
  <si>
    <t>【縁日】金魚の歌</t>
  </si>
  <si>
    <t>キーウイ</t>
  </si>
  <si>
    <t>[新生]【浴衣】猫狸</t>
  </si>
  <si>
    <t>【アウトドア】鷹司信子</t>
  </si>
  <si>
    <t>【スノーグラビア】シルバーアクセちゃん</t>
  </si>
  <si>
    <t>あんこう鍋ちゃん</t>
  </si>
  <si>
    <t>細谷十太夫</t>
  </si>
  <si>
    <t>亡者船</t>
  </si>
  <si>
    <t>藤原鎌足</t>
  </si>
  <si>
    <t>藤壺宮</t>
  </si>
  <si>
    <t>提琴のフィーレ</t>
  </si>
  <si>
    <t>【氷吹】氷柱使いヤーマ</t>
  </si>
  <si>
    <t>【キューピッド】ほいほい火</t>
  </si>
  <si>
    <t>【隠遁】南部鶴姫</t>
  </si>
  <si>
    <t>華厳滝</t>
  </si>
  <si>
    <t>【ハロウィン】辛口日本酒ちゃん</t>
  </si>
  <si>
    <t>印籠弁当ちゃん</t>
  </si>
  <si>
    <t>染殿后</t>
  </si>
  <si>
    <t>北辰妙見菩薩</t>
  </si>
  <si>
    <t>【お部屋】ダリア</t>
  </si>
  <si>
    <t>【白銀】ジャンヌ・ダルク</t>
  </si>
  <si>
    <t>【紫陽花】クシナダヒメ</t>
  </si>
  <si>
    <t>龍の寵児</t>
  </si>
  <si>
    <t>そばめし</t>
  </si>
  <si>
    <t>累</t>
  </si>
  <si>
    <t>縁切榎</t>
  </si>
  <si>
    <t>桃の剣姫</t>
  </si>
  <si>
    <t>【梅雨ロマン】タツクチナワ</t>
  </si>
  <si>
    <t>熊野久須毘命</t>
  </si>
  <si>
    <t>【年末大掃除】千葉栄次郎</t>
  </si>
  <si>
    <t>【ヴィランズ】豊臣秀頼</t>
  </si>
  <si>
    <t>[新生]【エンジェル】神名火山</t>
  </si>
  <si>
    <t>【梅雨ロマン】貞鏡院</t>
  </si>
  <si>
    <t>【執事喫茶】長沢芦雪</t>
  </si>
  <si>
    <t>【旧スク水】つらら女</t>
  </si>
  <si>
    <t>[新生]雷切丸</t>
  </si>
  <si>
    <t>【大航海時代】南総里見八犬伝</t>
  </si>
  <si>
    <t>カーニバルクイーン</t>
  </si>
  <si>
    <t>由井正雪</t>
  </si>
  <si>
    <t>【戦国海開き】狐の宝珠</t>
  </si>
  <si>
    <t>【紫陽花】幾島</t>
  </si>
  <si>
    <t>[新生]北畠具教</t>
  </si>
  <si>
    <t>[新生]【雨詩】橘千蔭</t>
  </si>
  <si>
    <t>【Xmas大作戦】滝夜叉姫</t>
  </si>
  <si>
    <t>【海開き】巴御前</t>
  </si>
  <si>
    <t>【キューピッド】富主姫</t>
  </si>
  <si>
    <t>【アウトドア】濡髪童子</t>
  </si>
  <si>
    <t>【戦慄のスマッシュ】コビトカバ</t>
  </si>
  <si>
    <t>[新生]【鬼伝承】鬼鎮神社</t>
  </si>
  <si>
    <t>[新生]白くまアイスちゃん</t>
  </si>
  <si>
    <t>[新生]カキツバタ</t>
  </si>
  <si>
    <t>【お花見グランピング】富主姫</t>
  </si>
  <si>
    <t>【夏祭り】幾松</t>
  </si>
  <si>
    <t>【お花見グランピング】衣通姫</t>
  </si>
  <si>
    <t>星読みの天文学者</t>
  </si>
  <si>
    <t>自由の女神マリアンヌ</t>
  </si>
  <si>
    <t>[新生]【海軍】井伊直政</t>
  </si>
  <si>
    <t>【ロリータ】カモミールちゃん</t>
  </si>
  <si>
    <t>【遊園地】宜秋門院丹後</t>
  </si>
  <si>
    <t>紀伊國屋文左衛門</t>
  </si>
  <si>
    <t>【命の雨】小林一茶</t>
  </si>
  <si>
    <t>紫極のアシュラト</t>
  </si>
  <si>
    <t>【暴年会】妙音弁財天</t>
  </si>
  <si>
    <t>【旧スク水】立花誾千代</t>
  </si>
  <si>
    <t>神代三光神</t>
  </si>
  <si>
    <t>赤ずきん</t>
  </si>
  <si>
    <t>【POPクリスマス】出雲阿国</t>
  </si>
  <si>
    <t>味噌煮込みうどん</t>
  </si>
  <si>
    <t>螺鈿</t>
  </si>
  <si>
    <t>耳なし芳一</t>
  </si>
  <si>
    <t>【ビキニガール】棋士</t>
  </si>
  <si>
    <t>【ビキニガール】天英院</t>
  </si>
  <si>
    <t>【ビキニガール】夜叉龍神</t>
  </si>
  <si>
    <t>【ビキニガール】八上姫</t>
  </si>
  <si>
    <t>[新生]【スパリゾート】池田せん</t>
  </si>
  <si>
    <t>[新生]【海の物語】蝶々夫人</t>
  </si>
  <si>
    <t>[新生]【海開き】万里姫</t>
  </si>
  <si>
    <t>[新生]【オーストラリア】播磨の化け猫</t>
  </si>
  <si>
    <t>[新生]琉球びんがたちゃん</t>
  </si>
  <si>
    <t>[新生]【海戦】松尾多勢子</t>
  </si>
  <si>
    <t>[新生]【清流めぐり】斯波園女</t>
  </si>
  <si>
    <t>【七夕】萬翠荘</t>
  </si>
  <si>
    <t>【円卓の騎士】鷹司信子</t>
  </si>
  <si>
    <t>【マーチングバンド】金鵄</t>
  </si>
  <si>
    <t>【本命チョコ】天女姫</t>
  </si>
  <si>
    <t>【温泉パニック】コウテイペンギンちゃん</t>
  </si>
  <si>
    <t>【本命チョコ】伊達政宗</t>
  </si>
  <si>
    <t>【七夕】アキタイヌくん</t>
  </si>
  <si>
    <t>[新生]イヌワシ</t>
  </si>
  <si>
    <t>[新生]糖袋</t>
  </si>
  <si>
    <t>[新生]陰陽師</t>
  </si>
  <si>
    <t>【アラビアン】穂井田元清</t>
  </si>
  <si>
    <t>[新生]蓮華草</t>
  </si>
  <si>
    <t>あわびちゃん</t>
  </si>
  <si>
    <t>鍋島榮子</t>
  </si>
  <si>
    <t>白樺</t>
  </si>
  <si>
    <t>乙子狭姫</t>
  </si>
  <si>
    <t>【CA】スケバン</t>
  </si>
  <si>
    <t>容光院</t>
  </si>
  <si>
    <t>村山左近</t>
  </si>
  <si>
    <t>【新緑の季節】アマテラス</t>
  </si>
  <si>
    <t>スティールクイーン</t>
  </si>
  <si>
    <t>【おかし】小野小町</t>
  </si>
  <si>
    <t>【サンタ王国】レディ・サンタ</t>
  </si>
  <si>
    <t>【新年音楽会】博多美人</t>
  </si>
  <si>
    <t>デミカツ丼</t>
  </si>
  <si>
    <t>【氷菓の季節】妙林尼</t>
  </si>
  <si>
    <t>[新生]【メイド】桔梗姫</t>
  </si>
  <si>
    <t>[新生]【海の物語】鶴姫</t>
  </si>
  <si>
    <t>[新生]パインクレープ</t>
  </si>
  <si>
    <t>【4周年】つらら女</t>
  </si>
  <si>
    <t>メルブレア</t>
  </si>
  <si>
    <t>デカ盛りタコライス</t>
  </si>
  <si>
    <t>船引神楽</t>
  </si>
  <si>
    <t>[新生]【冥暗】不知火</t>
  </si>
  <si>
    <t>白狐の大芝居</t>
  </si>
  <si>
    <t>犯罪王パーカー・バロウ</t>
  </si>
  <si>
    <t>【初夏の盛装】狆</t>
  </si>
  <si>
    <t>五色沼</t>
  </si>
  <si>
    <t>【MONSTER】明石レジーナ</t>
  </si>
  <si>
    <t>【フィッシング】小式部内侍</t>
  </si>
  <si>
    <t>[新生]アカカナジャー</t>
  </si>
  <si>
    <t>[新生]【海開き】化石発掘娘</t>
  </si>
  <si>
    <t>[新生]ワカサギ</t>
  </si>
  <si>
    <t>ちゃんちゃん焼き</t>
  </si>
  <si>
    <t>【ハイカラ紅葉】ビードロ細工ちゃん</t>
  </si>
  <si>
    <t>【料理バトル】ひだる神</t>
  </si>
  <si>
    <t>【怪盗】キウイフルーツちゃん</t>
  </si>
  <si>
    <t>【獣水着】江</t>
  </si>
  <si>
    <t>【酒乱忘年会】川姫</t>
  </si>
  <si>
    <t>【なまはげ】徳姫</t>
  </si>
  <si>
    <t>【4周年】鳰姫</t>
  </si>
  <si>
    <t>新納忠元</t>
  </si>
  <si>
    <t>リトー</t>
  </si>
  <si>
    <t>百鬼夜行絵巻</t>
  </si>
  <si>
    <t>ゴーヤーチャンプルー</t>
  </si>
  <si>
    <t>【CA】福姫</t>
  </si>
  <si>
    <t>【茶屋むすめ】ワカヒルメノミコト</t>
  </si>
  <si>
    <t>グレーテル</t>
  </si>
  <si>
    <t>[新生]幾松</t>
  </si>
  <si>
    <t>黒八大明神と狼</t>
  </si>
  <si>
    <t>【夏遊園地】楠本イネ</t>
  </si>
  <si>
    <t>【呪詛】メディア</t>
  </si>
  <si>
    <t>クロノス</t>
  </si>
  <si>
    <t>【夏フェス】山川登美子</t>
  </si>
  <si>
    <t>【動物の島】橋姫</t>
  </si>
  <si>
    <t>【将棋】天宇受賣命</t>
  </si>
  <si>
    <t>【カーニバル】出雲阿国</t>
  </si>
  <si>
    <t>【夏フェス】京極伊知子</t>
  </si>
  <si>
    <t>【始球式】只野真葛</t>
  </si>
  <si>
    <t>[新生]【水着X’mas】祐子内親王</t>
  </si>
  <si>
    <t>【武器】ビードロ細工ちゃん</t>
  </si>
  <si>
    <t>[新生]咬月の輪</t>
  </si>
  <si>
    <t>【スク水】花子さん</t>
  </si>
  <si>
    <t>北条景広</t>
  </si>
  <si>
    <t>反魂香</t>
  </si>
  <si>
    <t>スーザフォニア</t>
  </si>
  <si>
    <t>【Xmas大作戦】どんぐりころころ</t>
  </si>
  <si>
    <t>【サンタ王国】サンタクイーン</t>
  </si>
  <si>
    <t>【ミリタリー水着】ミヅハノメ</t>
  </si>
  <si>
    <t>[新生]スイートピー</t>
  </si>
  <si>
    <t>[新生]【川あそび】ビー玉ちゃん</t>
  </si>
  <si>
    <t>【フレッシュミルク】ラグーザ玉</t>
  </si>
  <si>
    <t>[新生]【ロードバイク】橋本左内</t>
  </si>
  <si>
    <t>[新生]片車輪</t>
  </si>
  <si>
    <t>[新生]【ラウンドガール】北海道牛乳ちゃん</t>
  </si>
  <si>
    <t>占星術師</t>
  </si>
  <si>
    <t>チキン南蛮</t>
  </si>
  <si>
    <t>鳥居元忠</t>
  </si>
  <si>
    <t>【神鬼道】卑弥呼</t>
  </si>
  <si>
    <t>【節分】於大の方</t>
  </si>
  <si>
    <t>【新緑の季節】メロンパン</t>
  </si>
  <si>
    <t>藤原景清</t>
  </si>
  <si>
    <t>【隠遁】木の葉天狗</t>
  </si>
  <si>
    <t>【サファリパーク】ナキサワメ</t>
  </si>
  <si>
    <t>乃美大方</t>
  </si>
  <si>
    <t>【湯けむり】イヅナ</t>
  </si>
  <si>
    <t>夏休みの友ちゃん</t>
  </si>
  <si>
    <t>【戦国海開き】ルビー</t>
  </si>
  <si>
    <t>【戦国海開き】キンメダイ</t>
  </si>
  <si>
    <t>【海開き】狐の宝珠</t>
  </si>
  <si>
    <t>【夏遊園地】桃の葉水</t>
  </si>
  <si>
    <t>【パワースポット】紫芋タルトちゃん</t>
  </si>
  <si>
    <t>【CA】黒比売</t>
  </si>
  <si>
    <t>木曽義仲</t>
  </si>
  <si>
    <t>2019天クロ太陽と海の福引ガチャ</t>
    <rPh sb="4" eb="5">
      <t>テン</t>
    </rPh>
    <rPh sb="7" eb="9">
      <t>タイヨウ</t>
    </rPh>
    <rPh sb="10" eb="11">
      <t>ウミ</t>
    </rPh>
    <rPh sb="12" eb="14">
      <t>フクビキ</t>
    </rPh>
    <phoneticPr fontId="1"/>
  </si>
  <si>
    <t>2019夏目前！梅雨の福引ガチャ</t>
    <rPh sb="4" eb="5">
      <t>ナツ</t>
    </rPh>
    <rPh sb="5" eb="7">
      <t>モクゼン</t>
    </rPh>
    <rPh sb="8" eb="10">
      <t>ツユ</t>
    </rPh>
    <rPh sb="11" eb="13">
      <t>フクビキ</t>
    </rPh>
    <phoneticPr fontId="1"/>
  </si>
  <si>
    <t>2019風薫る五月福引ガチャ</t>
    <rPh sb="4" eb="6">
      <t>カゼカオ</t>
    </rPh>
    <rPh sb="7" eb="9">
      <t>ゴガツ</t>
    </rPh>
    <rPh sb="9" eb="11">
      <t>フクビキ</t>
    </rPh>
    <phoneticPr fontId="1"/>
  </si>
  <si>
    <t>2019フラワーフェス福引ガチャ</t>
    <rPh sb="11" eb="13">
      <t>フクビキ</t>
    </rPh>
    <phoneticPr fontId="1"/>
  </si>
  <si>
    <t>2019春爛漫の福引ガチャ</t>
    <rPh sb="4" eb="7">
      <t>ハルランマン</t>
    </rPh>
    <rPh sb="8" eb="10">
      <t>フクビキ</t>
    </rPh>
    <phoneticPr fontId="1"/>
  </si>
  <si>
    <t>【浴衣祭】トモカズキ</t>
  </si>
  <si>
    <t>【浴衣祭】園部秀雄</t>
  </si>
  <si>
    <t>【浴衣祭】九条武子</t>
  </si>
  <si>
    <t>【浴衣祭】宗像三女神</t>
  </si>
  <si>
    <t>[新生]【夏祭り】甲斐姫</t>
  </si>
  <si>
    <t>[新生]【夏祭り】カモミールちゃん</t>
  </si>
  <si>
    <t>[新生]【浴衣】玉屋の椿</t>
  </si>
  <si>
    <t>[新生]祭りオコジョ</t>
  </si>
  <si>
    <t>[新生]【夏祭り】緑藻亀</t>
  </si>
  <si>
    <t>[新生]【夏祭り】種子島恵時</t>
  </si>
  <si>
    <t>[新生]【夏祭り】さるぼぼ</t>
  </si>
  <si>
    <t>【恐怖の病棟】白鶴</t>
  </si>
  <si>
    <t>【かるた】阿南姫</t>
  </si>
  <si>
    <t>戸隠そば</t>
  </si>
  <si>
    <t>[新生]神戸ワインちゃん</t>
  </si>
  <si>
    <t>【ひなまつり】京極マリア</t>
  </si>
  <si>
    <t>【恐怖の病棟】スセリビメ</t>
  </si>
  <si>
    <t>[新生]【お化け屋敷】阿池姫</t>
  </si>
  <si>
    <t>[新生]【お化け屋敷】サクランボちゃん</t>
  </si>
  <si>
    <t>[新生]【MONSTER】木の子</t>
  </si>
  <si>
    <t>【羅盤】陰陽のジオマンサー</t>
  </si>
  <si>
    <t>【サンタ王国】ナイトメア</t>
  </si>
  <si>
    <t>【鯉のぼり】宝石ちゃん</t>
  </si>
  <si>
    <t>【夜景】三村鶴</t>
  </si>
  <si>
    <t>【月見酒】支倉常長</t>
  </si>
  <si>
    <t>【かるた】蓋井島の山ノ神</t>
  </si>
  <si>
    <t>氷穴のニクスとパトロール</t>
  </si>
  <si>
    <t>【スクールガール】天璋院</t>
  </si>
  <si>
    <t>[新生]推古天皇</t>
  </si>
  <si>
    <t>【お弁当】アリス・ベーコン</t>
  </si>
  <si>
    <t>【ダイビング】左京ヶ橋の蛇</t>
  </si>
  <si>
    <t>ブラックキング</t>
  </si>
  <si>
    <t>多治比文子</t>
  </si>
  <si>
    <t>【MONSTER】富主姫</t>
  </si>
  <si>
    <t>【アサシンスクール】天魔</t>
  </si>
  <si>
    <t>自在のインプ</t>
  </si>
  <si>
    <t>山犬女房</t>
  </si>
  <si>
    <t>【アンサーデー】北の方</t>
  </si>
  <si>
    <t>横山松三郎</t>
  </si>
  <si>
    <t>【ひなまつり】ラッコ</t>
  </si>
  <si>
    <t>【マッサージ】村上水軍</t>
  </si>
  <si>
    <t>【温泉宿】尊久老稲荷</t>
  </si>
  <si>
    <t>【漫画祭り】太巻き祭り寿司</t>
  </si>
  <si>
    <t>[新生]【魔法少女】真田阿梅</t>
  </si>
  <si>
    <t>[新生]【海賊】大浦慶</t>
  </si>
  <si>
    <t>[新生]【ゴスロリ】ユキウサギちゃん</t>
  </si>
  <si>
    <t>アイスマジシャン</t>
  </si>
  <si>
    <t>貧乏神と福の神</t>
  </si>
  <si>
    <t>平家蟹</t>
  </si>
  <si>
    <t>[新生]吉備津彦命</t>
  </si>
  <si>
    <t>優曇華</t>
  </si>
  <si>
    <t>【始球式】紫式部</t>
  </si>
  <si>
    <t>ユスラウメ</t>
  </si>
  <si>
    <t>【石器】南部鶴姫</t>
  </si>
  <si>
    <t>【清流めぐり】樋口一葉</t>
  </si>
  <si>
    <t>【銃器】タキツヒコノミコト</t>
  </si>
  <si>
    <t>ブルーハワイちゃん</t>
  </si>
  <si>
    <t>【花火師】越前蟹鍋ちゃん</t>
  </si>
  <si>
    <t>[新生]【夏祭り】カグヤ</t>
  </si>
  <si>
    <t>[新生]【花火】キジムナー</t>
  </si>
  <si>
    <t>[新生]浅川の花火ちゃん</t>
  </si>
  <si>
    <t>[新生]【男祭り】滝川一益</t>
  </si>
  <si>
    <t>【カジノ】とちおとめちゃん</t>
  </si>
  <si>
    <t>【将棋】狸の恩返し</t>
  </si>
  <si>
    <t>パラケルステラ</t>
  </si>
  <si>
    <t>【肝試しホラー】浜姫</t>
  </si>
  <si>
    <t>【大人の遊び】巨峰</t>
  </si>
  <si>
    <t>【夏祭り】辰子姫</t>
  </si>
  <si>
    <t>【浴衣】ぺろぺろキャンディーちゃん</t>
  </si>
  <si>
    <t>【バイク】宇喜多秀家</t>
  </si>
  <si>
    <t>【入学式】シルバーアクセちゃん</t>
  </si>
  <si>
    <t>【肝試しホラー】鏡王女</t>
  </si>
  <si>
    <t>【スノーグラビア】中野竹子</t>
  </si>
  <si>
    <t>ハリ・ハラ</t>
  </si>
  <si>
    <t>【アサシンスクール】常山御前</t>
  </si>
  <si>
    <t>【料理バトル】ウカノミタマノカミ</t>
  </si>
  <si>
    <t>貞鏡院</t>
  </si>
  <si>
    <t>【ハンター】雷切丸</t>
  </si>
  <si>
    <t>【アンドロイド】金魚の歌</t>
  </si>
  <si>
    <t>【騎手】本多忠勝</t>
  </si>
  <si>
    <t>【運動会】京極マリア</t>
  </si>
  <si>
    <t>【トランプ】天降女子</t>
  </si>
  <si>
    <t>【甘い夢】茶々</t>
  </si>
  <si>
    <t>【スイカ割り】本多忠勝</t>
  </si>
  <si>
    <t>【スイカ割り】海老名りん</t>
  </si>
  <si>
    <t>榊原禮子</t>
  </si>
  <si>
    <t>博物館のジョゼ</t>
  </si>
  <si>
    <t>煉獄の使者プラテア</t>
  </si>
  <si>
    <t>[新生]呉の乙女椿</t>
  </si>
  <si>
    <t>[新生]通天閣</t>
  </si>
  <si>
    <t>[新生]ローズティーちゃん</t>
  </si>
  <si>
    <t>【銃器】藤原清衡</t>
  </si>
  <si>
    <t>[新生]【浴衣】ふらり火</t>
  </si>
  <si>
    <t>[新生]【SHINOBI】甲賀忍者</t>
  </si>
  <si>
    <t>【くノ一】熊野筆ちゃん</t>
  </si>
  <si>
    <t>[新生]宇喜也嘉</t>
  </si>
  <si>
    <t>[新生]【隠遁】南部鶴姫</t>
  </si>
  <si>
    <t>[新生]【木遁】望月千代女</t>
  </si>
  <si>
    <t>[新生]落とし穴</t>
  </si>
  <si>
    <t>秩父夜祭</t>
  </si>
  <si>
    <t>【獣水着】浜姫</t>
  </si>
  <si>
    <t>【将棋】白蔵主</t>
  </si>
  <si>
    <t>【番長】シシリアンライス</t>
  </si>
  <si>
    <t>【うたたね】北の方</t>
  </si>
  <si>
    <t>[新生]【ブラバン】北原怜子</t>
  </si>
  <si>
    <t>【職業体験】楠本イネ</t>
  </si>
  <si>
    <t>【お花見】満天姫</t>
  </si>
  <si>
    <t>戦国三英傑</t>
  </si>
  <si>
    <t>果実酒のヘーベー</t>
  </si>
  <si>
    <t>琵琶湖</t>
  </si>
  <si>
    <t>2019天クロ納涼祭福引ガチャ</t>
    <rPh sb="4" eb="5">
      <t>テン</t>
    </rPh>
    <rPh sb="7" eb="10">
      <t>ノウリョウサイ</t>
    </rPh>
    <rPh sb="10" eb="12">
      <t>フクビキ</t>
    </rPh>
    <phoneticPr fontId="1"/>
  </si>
  <si>
    <t>2019天クロ7周年ログイン福引ガチャ</t>
    <rPh sb="4" eb="5">
      <t>テン</t>
    </rPh>
    <rPh sb="8" eb="10">
      <t>シュウネン</t>
    </rPh>
    <rPh sb="14" eb="16">
      <t>フクビキ</t>
    </rPh>
    <phoneticPr fontId="1"/>
  </si>
  <si>
    <t>2019天クロハロウィン福引ガチャ</t>
    <rPh sb="4" eb="5">
      <t>テン</t>
    </rPh>
    <rPh sb="12" eb="14">
      <t>フクビキ</t>
    </rPh>
    <phoneticPr fontId="1"/>
  </si>
  <si>
    <t>2019天クロ秋の大感謝祭福引ガチャ</t>
    <rPh sb="4" eb="5">
      <t>テン</t>
    </rPh>
    <rPh sb="7" eb="8">
      <t>アキ</t>
    </rPh>
    <rPh sb="9" eb="13">
      <t>ダイカンシャサイ</t>
    </rPh>
    <rPh sb="13" eb="15">
      <t>フクビキ</t>
    </rPh>
    <phoneticPr fontId="1"/>
  </si>
  <si>
    <t>2019天クロ星降る聖夜の福引ガチャ(12/15 23:59でガチャ消滅の不具合)</t>
    <rPh sb="4" eb="5">
      <t>テン</t>
    </rPh>
    <rPh sb="7" eb="8">
      <t>ホシ</t>
    </rPh>
    <rPh sb="8" eb="9">
      <t>フ</t>
    </rPh>
    <rPh sb="10" eb="12">
      <t>セイヤ</t>
    </rPh>
    <rPh sb="13" eb="15">
      <t>フクビキ</t>
    </rPh>
    <rPh sb="34" eb="36">
      <t>ショウメツ</t>
    </rPh>
    <rPh sb="37" eb="40">
      <t>フグアイ</t>
    </rPh>
    <phoneticPr fontId="1"/>
  </si>
  <si>
    <t>2020新春福引ガチャ</t>
    <rPh sb="4" eb="6">
      <t>シンシュン</t>
    </rPh>
    <rPh sb="6" eb="8">
      <t>フクビキ</t>
    </rPh>
    <phoneticPr fontId="1"/>
  </si>
  <si>
    <t>2020恋の季節の福引ガチャ</t>
    <rPh sb="4" eb="5">
      <t>コイ</t>
    </rPh>
    <rPh sb="6" eb="8">
      <t>キセツ</t>
    </rPh>
    <rPh sb="9" eb="11">
      <t>フクビキ</t>
    </rPh>
    <phoneticPr fontId="1"/>
  </si>
  <si>
    <t>【果樹園】天降女子</t>
  </si>
  <si>
    <t>【果樹園】三村鶴</t>
  </si>
  <si>
    <t>【果樹園】古椿の霊</t>
  </si>
  <si>
    <t>【果樹園】黒姫</t>
  </si>
  <si>
    <t>[新生]ナタデココ</t>
  </si>
  <si>
    <t>[新生]ベニトンボ</t>
  </si>
  <si>
    <t>[新生]【夏の夜の夢】山室機恵子</t>
  </si>
  <si>
    <t>[新生]クサビラ神</t>
  </si>
  <si>
    <t>[新生]八重垣神社の鏡の池</t>
  </si>
  <si>
    <t>[新生]【バーレスク】ブルーベリーちゃん</t>
  </si>
  <si>
    <t>[新生]褄紅蝶</t>
  </si>
  <si>
    <t>【遊園地ハザード】エヒメノミコト</t>
  </si>
  <si>
    <t>[新生]【咲き乱れ】バラ</t>
  </si>
  <si>
    <t>[新生]【将棋】天宇受賣命</t>
  </si>
  <si>
    <t>[新生]牛替神事</t>
  </si>
  <si>
    <t>猫騎士イルロス</t>
  </si>
  <si>
    <t>龍神水</t>
  </si>
  <si>
    <t>【エンジェル】うずらの卵ちゃん</t>
  </si>
  <si>
    <t>スコロペンドラ</t>
  </si>
  <si>
    <t>ネイキッド</t>
  </si>
  <si>
    <t>【MONSTER】鍋島慶誾尼</t>
  </si>
  <si>
    <t>【遊園地ハザード】神功皇后</t>
  </si>
  <si>
    <t>[新生]【デート】由良妙印尼</t>
  </si>
  <si>
    <t>[新生]【夜遊び】九条武子</t>
  </si>
  <si>
    <t>[新生]【行楽】ういろうさん</t>
  </si>
  <si>
    <t>エレメンタラー</t>
  </si>
  <si>
    <t>[新生]蘇我果安</t>
  </si>
  <si>
    <t>【魔術師】寿桂尼</t>
  </si>
  <si>
    <t>【古電車】江</t>
  </si>
  <si>
    <t>伊東玄朴</t>
  </si>
  <si>
    <t>[新生]平等院鳳凰堂</t>
  </si>
  <si>
    <t>アークビショップ</t>
  </si>
  <si>
    <t>【銃器】まつ</t>
  </si>
  <si>
    <t>【川あそび】金子みすず</t>
  </si>
  <si>
    <t>【エクソシスト】ポイヤンペ</t>
  </si>
  <si>
    <t>南高梅</t>
  </si>
  <si>
    <t>【雪の唄】阿波踊り</t>
  </si>
  <si>
    <t>【鍋パーティ】火雷大神</t>
  </si>
  <si>
    <t>[新生] おいり</t>
  </si>
  <si>
    <t>[新生]博多どんたく</t>
  </si>
  <si>
    <t>【ウサギの里】佐保姫</t>
  </si>
  <si>
    <t>[新生]お月様に行ったうさぎ</t>
  </si>
  <si>
    <t>[新生]フジバカマ</t>
  </si>
  <si>
    <t>[新生]お月見団子ちゃん</t>
  </si>
  <si>
    <t>マダム・バタフライ</t>
  </si>
  <si>
    <t>[新生]ズワイガニちゃん</t>
  </si>
  <si>
    <t>[新生]錦絵の姉様</t>
  </si>
  <si>
    <t>[新生]白川郷ちゃん</t>
  </si>
  <si>
    <t>【カジノ】池田せん</t>
  </si>
  <si>
    <t>アムドゥスキアス</t>
  </si>
  <si>
    <t>リカヤ王女</t>
  </si>
  <si>
    <t>【だんじり】サクランボちゃん</t>
  </si>
  <si>
    <t>[新生]【武術家】星神様</t>
  </si>
  <si>
    <t>[新生]【男祭り】羽柴秀吉</t>
  </si>
  <si>
    <t>[新生]長浜曳山</t>
  </si>
  <si>
    <t>[新生]【雅和楽器】ジュリア・カロザース</t>
  </si>
  <si>
    <t>【動物の島】タクハタチヂヒメ</t>
  </si>
  <si>
    <t>[新生]【OL】赤染衛門</t>
  </si>
  <si>
    <t>[新生]秋月種時</t>
  </si>
  <si>
    <t>ディープ・ブルー</t>
  </si>
  <si>
    <t>虹色の魔術師テンチャ</t>
  </si>
  <si>
    <t>御酒観音</t>
  </si>
  <si>
    <t>こけら寿司ちゃん</t>
  </si>
  <si>
    <t>【パワースポット】蝶化身</t>
  </si>
  <si>
    <t>【レースクイーン】神保雪</t>
  </si>
  <si>
    <t>【夏遊園地】玉屋の椿</t>
  </si>
  <si>
    <t>【文明開化】初芽局</t>
  </si>
  <si>
    <t>【響き渡る音色】園部秀雄</t>
  </si>
  <si>
    <t>[新生]【歌より団子】小野小町</t>
  </si>
  <si>
    <t>[新生]胤栄</t>
  </si>
  <si>
    <t>【隠遁】ワダツミ</t>
  </si>
  <si>
    <t>ソル</t>
  </si>
  <si>
    <t>グーラ</t>
  </si>
  <si>
    <t>[新生]悪禅師の風</t>
  </si>
  <si>
    <t>【消防士】ゆべし</t>
  </si>
  <si>
    <t>【古電車】五色姫</t>
  </si>
  <si>
    <t>【お料理】園部秀雄</t>
  </si>
  <si>
    <t>【祝典】さぽちゅん</t>
  </si>
  <si>
    <t>【怪盗】ポイヤンペ</t>
  </si>
  <si>
    <t>【元旦】井伊直政</t>
  </si>
  <si>
    <t>【ウエディング】コシヒカリちゃん</t>
  </si>
  <si>
    <t>【チョコ】野口小蘋</t>
  </si>
  <si>
    <t>【浴衣】アマミノクロウサギちゃん</t>
  </si>
  <si>
    <t>【消防士】沖縄全島エイサー祭り</t>
  </si>
  <si>
    <t>[新生]稲妻雷五郎</t>
  </si>
  <si>
    <t>[新生]出雲大社</t>
  </si>
  <si>
    <t>[新生]【巫女】ワダツミ</t>
  </si>
  <si>
    <t>[新生]北条氏康</t>
  </si>
  <si>
    <t>【招き猫】お鶴明神</t>
  </si>
  <si>
    <t>[新生]【キューピッド】於大の方</t>
  </si>
  <si>
    <t>[新生]【梅花魁】阿豆佐味天神の狛猫</t>
  </si>
  <si>
    <t>[新生]【不良妖怪】猫狸</t>
  </si>
  <si>
    <t>[新生]【ねこみみ】珠姫</t>
  </si>
  <si>
    <t>獣腕のネフェルフィト</t>
  </si>
  <si>
    <t>【女給】杉田久女</t>
  </si>
  <si>
    <t>【アンサーデー】マシュマロちゃん</t>
  </si>
  <si>
    <t>【インド神話】クリオネちゃん</t>
  </si>
  <si>
    <t>日本三種神宝</t>
  </si>
  <si>
    <t>【ギャル】力持ち幽霊</t>
  </si>
  <si>
    <t>チェス</t>
  </si>
  <si>
    <t>電荷研究者ゲンナイ</t>
  </si>
  <si>
    <t>【タロット】藤原彰子</t>
  </si>
  <si>
    <t>【タロット】義姫</t>
  </si>
  <si>
    <t>【タロット】豊臣秀頼</t>
  </si>
  <si>
    <t>[新生]【アラビアンナイト】山手殿</t>
  </si>
  <si>
    <t>[新生]アメノフトダマノミコト</t>
  </si>
  <si>
    <t>[新生]吉備真備</t>
  </si>
  <si>
    <t>[新生]【キューピッド】ルルコシンプ</t>
  </si>
  <si>
    <t>[新生]【魔術師】ルビー</t>
  </si>
  <si>
    <t>[新生]【王宮】油すまし</t>
  </si>
  <si>
    <t>[新生]寿せんべい</t>
  </si>
  <si>
    <t>【妖怪大戦】マカロン</t>
  </si>
  <si>
    <t>【夕涼み】妙林尼</t>
  </si>
  <si>
    <t>[新生]豊竹呂昇</t>
  </si>
  <si>
    <t>【鉤爪】白虎</t>
  </si>
  <si>
    <t>【妖怪大戦】クシナダヒメ</t>
  </si>
  <si>
    <t>[新生]磯天狗</t>
  </si>
  <si>
    <t>[新生]赤うで</t>
  </si>
  <si>
    <t>[新生]退魔師ガール</t>
  </si>
  <si>
    <t>【みやこのタワー】鈴彦姫</t>
  </si>
  <si>
    <t>[新生]竹の子族ちゃん</t>
  </si>
  <si>
    <t>【妖精】円信院殿</t>
  </si>
  <si>
    <t>マーダードール</t>
  </si>
  <si>
    <t>輪廻のニュンペー</t>
  </si>
  <si>
    <t>金井延</t>
  </si>
  <si>
    <t>[新生]キウイフルーツちゃん</t>
  </si>
  <si>
    <t>【サーカス】阿池姫</t>
  </si>
  <si>
    <t>【読書の季節】平家蟹</t>
  </si>
  <si>
    <t>[新生]池上秀畝</t>
  </si>
  <si>
    <t>[新生]若松賎子</t>
  </si>
  <si>
    <t>[新生]【スクールライフ】有馬ルチア</t>
  </si>
  <si>
    <t>[新生]秋山真之</t>
  </si>
  <si>
    <t>東尋坊</t>
  </si>
  <si>
    <t>【春の体育祭】あま姫</t>
  </si>
  <si>
    <t>竜拳士スクラ</t>
  </si>
  <si>
    <t>香川之景</t>
  </si>
  <si>
    <t>【かるた】天英院</t>
  </si>
  <si>
    <t>オトメティア</t>
  </si>
  <si>
    <t>【酒乱忘年会】林芙美子</t>
  </si>
  <si>
    <t>【ギリシア神話】藤原時姫</t>
  </si>
  <si>
    <t>【ジョギング】浅草の雷門</t>
  </si>
  <si>
    <t>[新生]【将棋】依田勉三</t>
  </si>
  <si>
    <t>[新生]【ジム】妙玖</t>
  </si>
  <si>
    <t>[新生]【筋トレ】不知火</t>
  </si>
  <si>
    <t>[新生]メロス</t>
  </si>
  <si>
    <t>【キャメラ女子】三吉鬼</t>
  </si>
  <si>
    <t>コ・イ・ヌール</t>
  </si>
  <si>
    <t>【ハロウィン】タツクチナワ</t>
  </si>
  <si>
    <t>【オートクチュール】ユキヒョウ</t>
  </si>
  <si>
    <t>【清流めぐり】明石レジーナ</t>
  </si>
  <si>
    <t>【大人の遊び】お菊</t>
  </si>
  <si>
    <t>【討魔】祢々切丸</t>
  </si>
  <si>
    <t>【新社会人】ブラックパール</t>
  </si>
  <si>
    <t>スカルネ大佐</t>
  </si>
  <si>
    <t>【キャメラ女子】寿桂尼</t>
  </si>
  <si>
    <t>【博多どんたく】速水宗青</t>
  </si>
  <si>
    <t>【ハロウィン】アペフチカムイ</t>
  </si>
  <si>
    <t>【ハロウィン】パンプキンクイーン</t>
  </si>
  <si>
    <t>猫又稲荷</t>
  </si>
  <si>
    <t>[新生]黒天狗</t>
  </si>
  <si>
    <t>[新生]【入学式】前田利家</t>
  </si>
  <si>
    <t>山川二葉</t>
  </si>
  <si>
    <t>【雪の祭典】ボディコンちゃん</t>
  </si>
  <si>
    <t>【イースターバニー】豪姫</t>
  </si>
  <si>
    <t>シシリアンライス</t>
  </si>
  <si>
    <t>【ハロウィン】ほいほい火</t>
  </si>
  <si>
    <t>【ハロウィン】魔女デヨネ</t>
  </si>
  <si>
    <t>島津常磐</t>
  </si>
  <si>
    <t>[新生]【築山神社】大内義隆</t>
  </si>
  <si>
    <t>【ハロウィン】立花宗茂</t>
  </si>
  <si>
    <t>[新生]送り提灯</t>
  </si>
  <si>
    <t>[新生]【魔界】イワコシンプ</t>
  </si>
  <si>
    <t>【猿軍団】羽柴秀吉</t>
  </si>
  <si>
    <t>[新生]【運動会】竜宮猫</t>
  </si>
  <si>
    <t>[新生]風狸</t>
  </si>
  <si>
    <t>[新生]【幼少】桃太郎</t>
  </si>
  <si>
    <t>[新生]さるぼぼ</t>
  </si>
  <si>
    <t>寺沢広高</t>
  </si>
  <si>
    <t>高峰譲吉</t>
  </si>
  <si>
    <t>【サーカス】テンガイハタ</t>
  </si>
  <si>
    <t>【花粉襲来】蛇骨娘</t>
  </si>
  <si>
    <t>[新生]【運動会】京扇子ちゃん</t>
  </si>
  <si>
    <t>【サファリパーク】南部鶴姫</t>
  </si>
  <si>
    <t>三嶽神仙境</t>
  </si>
  <si>
    <t>人魚塚</t>
  </si>
  <si>
    <t>イワポソインカラ</t>
  </si>
  <si>
    <t>【温泉街】南総里見八犬伝</t>
  </si>
  <si>
    <t>【温泉街】アリス・ベーコン</t>
  </si>
  <si>
    <t>【温泉街】円融院</t>
  </si>
  <si>
    <t>[新生]【秘湯】キムンカムイ</t>
  </si>
  <si>
    <t>[新生]極楽温鶏</t>
  </si>
  <si>
    <t>[新生]【秘湯】トモカズキ</t>
  </si>
  <si>
    <t>[新生]【お風呂】清泰院</t>
  </si>
  <si>
    <t>[新生]草津温泉湯もみちゃん</t>
  </si>
  <si>
    <t>[新生]有馬温泉ちゃん</t>
  </si>
  <si>
    <t>[新生]イワコシンプ</t>
  </si>
  <si>
    <t>【雪紅葉】藤原清衡</t>
  </si>
  <si>
    <t>ストロベリーレッド</t>
  </si>
  <si>
    <t>【雪紅葉】打ち出の小槌</t>
  </si>
  <si>
    <t>[新生]【ハイカラ紅葉】西郡局</t>
  </si>
  <si>
    <t>[新生]竜田姫</t>
  </si>
  <si>
    <t>[新生]【行楽】クッキーちゃん</t>
  </si>
  <si>
    <t>【すすき狩り】三吉鬼</t>
  </si>
  <si>
    <t>【復活祭】川島芳子</t>
  </si>
  <si>
    <t>[新生]【日本神話】菅原孝標女</t>
  </si>
  <si>
    <t>【学園祭】直江兼続</t>
  </si>
  <si>
    <t>[新生]【ブラバン】桂小五郎</t>
  </si>
  <si>
    <t>[新生]【スクールガール】池田せん</t>
  </si>
  <si>
    <t>[新生]ブラウニー</t>
  </si>
  <si>
    <t>[新生]【聖櫻学園】熊野筆ちゃん</t>
  </si>
  <si>
    <t>屋台荒らしのベゼ</t>
  </si>
  <si>
    <t>安芸国虎</t>
  </si>
  <si>
    <t>北信愛</t>
  </si>
  <si>
    <t>ヘイディルム</t>
  </si>
  <si>
    <t>鷹司妃</t>
  </si>
  <si>
    <t>王城宵</t>
  </si>
  <si>
    <t>鮫島晶</t>
  </si>
  <si>
    <t>【着物の日】いきなり団子ちゃん</t>
  </si>
  <si>
    <t>[新生]【名工】小泉八雲</t>
  </si>
  <si>
    <t>[新生]【振袖】黒百合伝説</t>
  </si>
  <si>
    <t>[新生]京美人</t>
  </si>
  <si>
    <t>[新生]寂蓮法師</t>
  </si>
  <si>
    <t>二代目市川團十郎</t>
  </si>
  <si>
    <t>【着物の日】カグヤ</t>
  </si>
  <si>
    <t>【ブロードウェイ】今川焼</t>
  </si>
  <si>
    <t>化女沼伝説</t>
  </si>
  <si>
    <t>橋口五葉</t>
  </si>
  <si>
    <t>[新生]鯛しゃぶちゃん</t>
  </si>
  <si>
    <t>【幻獣】オリーブちゃん</t>
  </si>
  <si>
    <t>染物三彩色</t>
  </si>
  <si>
    <t>【鯉のぼり】日野富子</t>
  </si>
  <si>
    <t>【酔心地】金魚の歌</t>
  </si>
  <si>
    <t>【湯けむり】壺ふり師</t>
  </si>
  <si>
    <t>[新生]高村智恵子</t>
  </si>
  <si>
    <t>[新生]天璋院</t>
  </si>
  <si>
    <t>【大航海時代】金色姫</t>
  </si>
  <si>
    <t>マクシリオン</t>
  </si>
  <si>
    <t>【大航海時代】へし切り長谷部</t>
  </si>
  <si>
    <t>リクリル</t>
  </si>
  <si>
    <t>天クロパーティタイム</t>
  </si>
  <si>
    <t>[新生]トム・ソーヤーの冒険</t>
  </si>
  <si>
    <t>原敬</t>
  </si>
  <si>
    <t>【中華飯店】立花誾千代</t>
  </si>
  <si>
    <t>[新生]【三国志】迦陵頻伽</t>
  </si>
  <si>
    <t>[新生]【お料理】エヒメノミコト</t>
  </si>
  <si>
    <t>[新生]【中国茶】モモちゃん</t>
  </si>
  <si>
    <t>[新生]鎌鼬</t>
  </si>
  <si>
    <t>【アンドロイド】大友宗麟</t>
  </si>
  <si>
    <t>頼春水</t>
  </si>
  <si>
    <t>【職業体験】赤井輝子</t>
  </si>
  <si>
    <t>【五月病】豪姫</t>
  </si>
  <si>
    <t>【聖誕クロニクル】楠本イネ</t>
  </si>
  <si>
    <t>【聖誕クロニクル】リリム</t>
  </si>
  <si>
    <t>【聖誕クロニクル】内藤ジュリア</t>
  </si>
  <si>
    <t>【聖誕クロニクル】神保雪</t>
  </si>
  <si>
    <t>[新生]【ラッピング】スセリビメ</t>
  </si>
  <si>
    <t>[新生]【クリスマス】スカジャン娘</t>
  </si>
  <si>
    <t>[新生]【クリスマス】狐の嫁入り</t>
  </si>
  <si>
    <t>[新生]【クリスマス】カステラちゃん</t>
  </si>
  <si>
    <t>[新生]【水着X’mas】アジサイ</t>
  </si>
  <si>
    <t>[新生]【聖夜】南京町ちゃん</t>
  </si>
  <si>
    <t>[新生]聖歌隊</t>
  </si>
  <si>
    <t>【クリスマスウォー】巴御前</t>
  </si>
  <si>
    <t>ウォッチメイカー</t>
  </si>
  <si>
    <t>マッドハッター</t>
  </si>
  <si>
    <t>経営の長女メルロ</t>
  </si>
  <si>
    <t>源義光</t>
  </si>
  <si>
    <t>お松大明神</t>
  </si>
  <si>
    <t>ユーノー</t>
  </si>
  <si>
    <t>【クリスマスウォー】手筒花火さん</t>
  </si>
  <si>
    <t>[新生]【POPクリスマス】北の方</t>
  </si>
  <si>
    <t>[新生]【水着X’mas】遺念火</t>
  </si>
  <si>
    <t>[新生]スノーマン</t>
  </si>
  <si>
    <t>宝石商</t>
  </si>
  <si>
    <t>松阪牛</t>
  </si>
  <si>
    <t>【昭和レトロポップ】さるかに合戦</t>
  </si>
  <si>
    <t>【キューピッド】ハヤアキツヒメノミコト</t>
  </si>
  <si>
    <t>【名工】麻布の大猫</t>
  </si>
  <si>
    <t>【将棋】依田勉三</t>
  </si>
  <si>
    <t>【夕涼み】神使・鹿</t>
  </si>
  <si>
    <t>【年末健康診断】妙林尼</t>
  </si>
  <si>
    <t>[新生]ハッカちゃん</t>
  </si>
  <si>
    <t>[新生]ナイチンゲール</t>
  </si>
  <si>
    <t>[新生]霊芝</t>
  </si>
  <si>
    <t>[新生]【ジム】五郎八姫</t>
  </si>
  <si>
    <t>歯科助手のモリー</t>
  </si>
  <si>
    <t>【卒業式】棋士</t>
  </si>
  <si>
    <t>【飛影】江</t>
  </si>
  <si>
    <t>【すすき狩り】狐の嫁入り</t>
  </si>
  <si>
    <t>【なまはげ】よりよりちゃん</t>
  </si>
  <si>
    <t>【乗馬】あま姫</t>
  </si>
  <si>
    <t>オーナーシェフ美津乃</t>
  </si>
  <si>
    <t>フレンチトースト</t>
  </si>
  <si>
    <t>ヒョウモンダコ</t>
  </si>
  <si>
    <t>近藤勇</t>
  </si>
  <si>
    <t>【冬コミ】鳴門金時</t>
  </si>
  <si>
    <t>[新生]【MONSTER】足利尊氏</t>
  </si>
  <si>
    <t>[新生]【隠遁】ワダツミ</t>
  </si>
  <si>
    <t>[新生]【ポリス】こけしちゃん</t>
  </si>
  <si>
    <t>[新生]【アメコミ】珠姫</t>
  </si>
  <si>
    <t>天遊永寿</t>
  </si>
  <si>
    <t>スペルビア</t>
  </si>
  <si>
    <t>【人気首位】とちおとめちゃん</t>
  </si>
  <si>
    <t>錦玉ちゃん</t>
  </si>
  <si>
    <t>【トレジャー】桃太郎</t>
  </si>
  <si>
    <t>【X'maxパーティ】ホワイトチョコちゃん</t>
  </si>
  <si>
    <t>【X'maxパーティ】若菜姫</t>
  </si>
  <si>
    <t>【X'maxパーティ】コウテイペンギンちゃん</t>
  </si>
  <si>
    <t>儀間真常</t>
  </si>
  <si>
    <t>わらしべ長者</t>
  </si>
  <si>
    <t>【おもちゃ】望月千代女</t>
  </si>
  <si>
    <t>【おもちゃ】パペットマスター</t>
  </si>
  <si>
    <t>【おもちゃ】厳島内侍</t>
  </si>
  <si>
    <t>【おもちゃ】アワリティア</t>
  </si>
  <si>
    <t>天クロエンジェルズ</t>
  </si>
  <si>
    <t>[新生]【お菓子どろぼう】鉄鼠</t>
  </si>
  <si>
    <t>[新生]仙台駄菓子ちゃん</t>
  </si>
  <si>
    <t>【年越し】滝夜叉姫</t>
  </si>
  <si>
    <t>[新生]ビリケンちゃん</t>
  </si>
  <si>
    <t>[新生]【ワイン】朝日姫</t>
  </si>
  <si>
    <t>[新生]鍋焼きうどんちゃん</t>
  </si>
  <si>
    <t>[新生]細川幽斎</t>
  </si>
  <si>
    <t>池上秀畝</t>
  </si>
  <si>
    <t>【武器】滝夜叉姫</t>
  </si>
  <si>
    <t>アメノオシホミミ</t>
  </si>
  <si>
    <t>【お正月】新島八重</t>
  </si>
  <si>
    <t>【お正月】深芳野</t>
  </si>
  <si>
    <t>【お正月】牛御前</t>
  </si>
  <si>
    <t>【お正月】小泉八雲</t>
  </si>
  <si>
    <t>[新生]【迎春】ゴマフアザラシちゃん</t>
  </si>
  <si>
    <t>[新生]西のお節ちゃん</t>
  </si>
  <si>
    <t>[新生]【迎春】玉城盛重</t>
  </si>
  <si>
    <t>[新生]象引</t>
  </si>
  <si>
    <t>[新生]栗きんとんちゃん</t>
  </si>
  <si>
    <t>[新生]【神主】高杉晋作</t>
  </si>
  <si>
    <t>[新生]絵馬</t>
  </si>
  <si>
    <t>【羽子板大戦】日野富子</t>
  </si>
  <si>
    <t>【酔心地】出雲阿国</t>
  </si>
  <si>
    <t>【ミリタリー水着】白椿の精</t>
  </si>
  <si>
    <t>【カンフー】桂小五郎</t>
  </si>
  <si>
    <t>【羽子板大戦】松川姫</t>
  </si>
  <si>
    <t>[新生]【迎春】スカジャン娘</t>
  </si>
  <si>
    <t>[新生]堀田吉子</t>
  </si>
  <si>
    <t>[新生]【振袖】籠池の狐</t>
  </si>
  <si>
    <t>【音楽祭】九条武子</t>
  </si>
  <si>
    <t>【飛影】ニホンリスちゃん</t>
  </si>
  <si>
    <t>【空の護人】島津豊久</t>
  </si>
  <si>
    <t>【ヘビメタ】影女</t>
  </si>
  <si>
    <t>【餅まき】ミヤズヒメ</t>
  </si>
  <si>
    <t>[新生]【迎春】徳川秀忠</t>
  </si>
  <si>
    <t>[新生]【元旦】桃の葉水</t>
  </si>
  <si>
    <t>[新生]【成人式】鉄鼠</t>
  </si>
  <si>
    <t>[新生]だご汁ちゃん</t>
  </si>
  <si>
    <t>【浴衣】阿南姫</t>
  </si>
  <si>
    <t>糸姫</t>
  </si>
  <si>
    <t>バッカス</t>
  </si>
  <si>
    <t>十和田湖</t>
  </si>
  <si>
    <t>【スーパーヒーロー】斉明天皇</t>
  </si>
  <si>
    <t>[新生]【鬼切衆】よりよりちゃん</t>
  </si>
  <si>
    <t>[新生]【刑事】園部秀雄</t>
  </si>
  <si>
    <t>[新生]【アメコミ】出雲ぜんざいちゃん</t>
  </si>
  <si>
    <t>[新生]【宇宙戦争】赤井輝子</t>
  </si>
  <si>
    <t>十河存保</t>
  </si>
  <si>
    <t>ジル・ド・レイ</t>
  </si>
  <si>
    <t>【王宮】氷輪</t>
  </si>
  <si>
    <t>コビトカバ</t>
  </si>
  <si>
    <t>【ナイトパーティ】トルマリン</t>
  </si>
  <si>
    <t>【元旦】福姫</t>
  </si>
  <si>
    <t>【刺】古御堂紫雲</t>
  </si>
  <si>
    <t>【捕】円城寺ケイト</t>
  </si>
  <si>
    <t>【恐】ユノ カーライル</t>
  </si>
  <si>
    <t>鬼柳アギト</t>
  </si>
  <si>
    <t>【囲】畔道カリン</t>
  </si>
  <si>
    <t>【開】雨漏樟葉</t>
  </si>
  <si>
    <t>早乙女麗一</t>
  </si>
  <si>
    <t>龍王院五月雨</t>
  </si>
  <si>
    <t>永洞亜由美</t>
  </si>
  <si>
    <t>天クロ猪鹿蝶</t>
  </si>
  <si>
    <t>【アンドロイド】風魔小太郎</t>
  </si>
  <si>
    <t>江藤新平</t>
  </si>
  <si>
    <t>森可成</t>
  </si>
  <si>
    <t>[新生]毛利元就</t>
  </si>
  <si>
    <t>[新生]静か餅</t>
  </si>
  <si>
    <t>【女帝】瀬名姫</t>
  </si>
  <si>
    <t>【だるま市】月見酒ちゃん</t>
  </si>
  <si>
    <t>[新生]【迎春】山川登美子</t>
  </si>
  <si>
    <t>[新生]高尾大明神</t>
  </si>
  <si>
    <t>[新生]アヅミノイソラ</t>
  </si>
  <si>
    <t>[新生]筆まつり</t>
  </si>
  <si>
    <t>野中千代子</t>
  </si>
  <si>
    <t>レプンカムイ</t>
  </si>
  <si>
    <t>正洞院</t>
  </si>
  <si>
    <t>【ちょこの日】スケバン</t>
  </si>
  <si>
    <t>【ちょこの日】豊竹呂昇</t>
  </si>
  <si>
    <t>【ちょこの日】珊瑚色</t>
  </si>
  <si>
    <t>[新生]チョコレートケーキ</t>
  </si>
  <si>
    <t>[新生]ウエハースちゃん</t>
  </si>
  <si>
    <t>[新生]【バレンタイン】アキバメイド</t>
  </si>
  <si>
    <t>[新生]【バレンタイン】坂本龍馬</t>
  </si>
  <si>
    <t>[新生]【バレンタイン】上杉鷹山</t>
  </si>
  <si>
    <t>[新生]【バレンタイン】北条氏康</t>
  </si>
  <si>
    <t>[新生]ショコラティエ</t>
  </si>
  <si>
    <t>【節分】亀寿姫</t>
  </si>
  <si>
    <t>【節分】ハニヤス</t>
  </si>
  <si>
    <t>[新生]【節分パニック】久野久</t>
  </si>
  <si>
    <t>[新生]【鬼も内】鬼恋節分祭</t>
  </si>
  <si>
    <t>[新生]【鬼は外】落花生ちゃん</t>
  </si>
  <si>
    <t>【イルミネーション】北原怜子</t>
  </si>
  <si>
    <t>曽根崎心中</t>
  </si>
  <si>
    <t>オボ</t>
  </si>
  <si>
    <t>猫童女</t>
  </si>
  <si>
    <t>【遺跡】富主姫</t>
  </si>
  <si>
    <t>【闘技場】セスタス</t>
  </si>
  <si>
    <t>[新生]【MONSTER】ナキサワメ</t>
  </si>
  <si>
    <t>[新生]【白騎士】支倉常長</t>
  </si>
  <si>
    <t>[新生]【スチームパンク】狒々</t>
  </si>
  <si>
    <t>[新生]武者絵のぼり</t>
  </si>
  <si>
    <t>ヤーイー</t>
  </si>
  <si>
    <t>【ドラゴンテイマー】リャンダ</t>
  </si>
  <si>
    <t>[新生]【水無月婚】五龍局</t>
  </si>
  <si>
    <t>[新生]九頭竜</t>
  </si>
  <si>
    <t>[新生]トバリュウ</t>
  </si>
  <si>
    <t>[新生]唐津くんち</t>
  </si>
  <si>
    <t>聖恋の三女神</t>
  </si>
  <si>
    <t>【春一番】五龍局</t>
  </si>
  <si>
    <t>ささぎつね</t>
  </si>
  <si>
    <t>【お菓子の国】グレーテル</t>
  </si>
  <si>
    <t>【ウエディング】天璋院篤姫</t>
  </si>
  <si>
    <t>【虎見酒】辛口日本酒ちゃん</t>
  </si>
  <si>
    <t>【獣水着】金刀比羅宮ちゃん</t>
  </si>
  <si>
    <t>【アフロディーテ】アゼノイラツメ</t>
  </si>
  <si>
    <t>【おかし】西郡局</t>
  </si>
  <si>
    <t>【夏の夜の夢】山室機恵子</t>
  </si>
  <si>
    <t>【白雪姫】チョコレートケーキ</t>
  </si>
  <si>
    <t>【ウィンタースポーツ】松浦佐用姫伝説</t>
  </si>
  <si>
    <t>シュヴァリエ</t>
  </si>
  <si>
    <t>【ウィンタースポーツ】粕谷一葉</t>
  </si>
  <si>
    <t>ラリー</t>
  </si>
  <si>
    <t>天クロ立春花</t>
  </si>
  <si>
    <t>[新生]金沢箔ちゃん</t>
  </si>
  <si>
    <t>【タコパ】くいだおれちゃん</t>
  </si>
  <si>
    <t>[新生]秋刀魚丼</t>
  </si>
  <si>
    <t>[新生]【女給】蓮華草</t>
  </si>
  <si>
    <t>[新生]【王宮】エヒメノミコト</t>
  </si>
  <si>
    <t>[新生]みそポテトちゃん</t>
  </si>
  <si>
    <t>二口女</t>
  </si>
  <si>
    <t>【プチデビル】雷切丸</t>
  </si>
  <si>
    <t>防衛戦 英雄ガチャ</t>
    <rPh sb="0" eb="3">
      <t>ボウエイセン</t>
    </rPh>
    <rPh sb="4" eb="6">
      <t>エイユウ</t>
    </rPh>
    <phoneticPr fontId="1"/>
  </si>
  <si>
    <t>3/5 11:00～3/5 23:59</t>
    <phoneticPr fontId="1"/>
  </si>
  <si>
    <t>【春舞】阿南姫</t>
    <phoneticPr fontId="1"/>
  </si>
  <si>
    <t>【鬼切衆】ゴールド</t>
    <phoneticPr fontId="1"/>
  </si>
  <si>
    <t>【大航海時代】望月千代女</t>
    <phoneticPr fontId="1"/>
  </si>
  <si>
    <t>【春舞】妓王</t>
    <phoneticPr fontId="1"/>
  </si>
  <si>
    <t>【浴衣】スセリビメ</t>
    <phoneticPr fontId="1"/>
  </si>
  <si>
    <t>【お部屋】龍造寺玉鶴</t>
    <phoneticPr fontId="1"/>
  </si>
  <si>
    <t>タイプ【武人】の防85％UP　/　タイプ姫・伝承の防25％UP</t>
    <phoneticPr fontId="1"/>
  </si>
  <si>
    <t>熊譲りのツインテール</t>
    <phoneticPr fontId="1"/>
  </si>
  <si>
    <t>おへやりゅうぞうじたまつる</t>
    <phoneticPr fontId="1"/>
  </si>
  <si>
    <t>タイプ神秘・知性派・飲食の攻80％DOWN　/　タイプ知性派・飲食の防25％UP</t>
    <phoneticPr fontId="1"/>
  </si>
  <si>
    <t>惚れ直す浴衣美人</t>
    <phoneticPr fontId="1"/>
  </si>
  <si>
    <t>ゆかたすせりびめ</t>
    <phoneticPr fontId="1"/>
  </si>
  <si>
    <t>タイプ偉人・妖怪・名物の防45％UP</t>
    <phoneticPr fontId="1"/>
  </si>
  <si>
    <t>華やぐ巫女の魅力</t>
    <phoneticPr fontId="1"/>
  </si>
  <si>
    <t>はるまいぎおう</t>
    <phoneticPr fontId="1"/>
  </si>
  <si>
    <t>タイプ神秘・知性派・飲食の防40％UP　/　タイプ伝承・武人・姫の攻10％DOWN</t>
    <phoneticPr fontId="1"/>
  </si>
  <si>
    <t>甲冑に隠されぬ色香</t>
    <phoneticPr fontId="1"/>
  </si>
  <si>
    <t>だいこうかいじだいもちづきちよめ</t>
    <phoneticPr fontId="1"/>
  </si>
  <si>
    <t>タイプ偉人・妖怪・名物の防10％UP　/　タイプ名物・武人・姫・伝承の攻35％DOWN</t>
    <phoneticPr fontId="1"/>
  </si>
  <si>
    <t>圧倒する王者の威厳</t>
    <phoneticPr fontId="1"/>
  </si>
  <si>
    <t>おにきりしゅうごーるど</t>
    <phoneticPr fontId="1"/>
  </si>
  <si>
    <t>タイプ姫・伝承の防25％UP　/　タイプ【武人】の防10％UP</t>
    <phoneticPr fontId="1"/>
  </si>
  <si>
    <t>心掴む気丈な女城主</t>
    <phoneticPr fontId="1"/>
  </si>
  <si>
    <t>はるまいおなみひめ</t>
    <phoneticPr fontId="1"/>
  </si>
  <si>
    <t>(20連)12/15 12:00～12/18 23:59</t>
    <rPh sb="3" eb="4">
      <t>レン</t>
    </rPh>
    <phoneticPr fontId="1"/>
  </si>
  <si>
    <t>(20連)3/5 15:00～3/7 23:59</t>
    <rPh sb="3" eb="4">
      <t>レン</t>
    </rPh>
    <phoneticPr fontId="1"/>
  </si>
  <si>
    <t>(3連)3/5 15:00～3/7 23:59</t>
    <rPh sb="2" eb="3">
      <t>レン</t>
    </rPh>
    <phoneticPr fontId="1"/>
  </si>
  <si>
    <t>(3連)12/15 12:00～12/18 23:59</t>
    <rPh sb="2" eb="3">
      <t>レン</t>
    </rPh>
    <phoneticPr fontId="1"/>
  </si>
  <si>
    <t>3/5 18:00～3/7 23:59</t>
    <phoneticPr fontId="1"/>
  </si>
  <si>
    <t>44253_0</t>
    <phoneticPr fontId="1"/>
  </si>
  <si>
    <t>酒井忠次</t>
    <phoneticPr fontId="1"/>
  </si>
  <si>
    <t>タイプ姫・伝承・妖怪の防30％UP　/　タイプ【武人】の防20％UP</t>
    <phoneticPr fontId="1"/>
  </si>
  <si>
    <t>江戸幕府の兄貴分</t>
    <phoneticPr fontId="1"/>
  </si>
  <si>
    <t>さかいただつぐ</t>
    <phoneticPr fontId="1"/>
  </si>
  <si>
    <t>山椒</t>
    <phoneticPr fontId="1"/>
  </si>
  <si>
    <t>タイプ神秘・知性派・姫の防30％UP</t>
    <phoneticPr fontId="1"/>
  </si>
  <si>
    <t>辛き実と芳香の葉</t>
    <phoneticPr fontId="1"/>
  </si>
  <si>
    <t>さんしょう</t>
    <phoneticPr fontId="1"/>
  </si>
  <si>
    <t>祝来！宝船福引ガチャ</t>
    <rPh sb="0" eb="1">
      <t>シュク</t>
    </rPh>
    <rPh sb="1" eb="2">
      <t>ライ</t>
    </rPh>
    <rPh sb="3" eb="5">
      <t>タカラブネ</t>
    </rPh>
    <rPh sb="5" eb="7">
      <t>フクビキ</t>
    </rPh>
    <phoneticPr fontId="1"/>
  </si>
  <si>
    <t>3/6 12:00～3/7 11:59</t>
    <phoneticPr fontId="1"/>
  </si>
  <si>
    <t>(DX)2/1 0:00～2/4 11:59</t>
  </si>
  <si>
    <t>ほんめいちょこてんにょひめ</t>
  </si>
  <si>
    <t>甘々な天女の本命</t>
  </si>
  <si>
    <t>タイプ神秘・知性派の攻45％UP　/　タイプ妖怪・名物の防110％DOWN</t>
  </si>
  <si>
    <t>敵単体に極大ダメージを与え、自軍に反動ダメージ</t>
  </si>
  <si>
    <t>ほんめいちょこだてまさむね</t>
  </si>
  <si>
    <t>独眼竜の本命は？</t>
  </si>
  <si>
    <t>【本命チョコ】のっぺらぼう</t>
  </si>
  <si>
    <t>ほんめいちょこのっぺらぼう</t>
  </si>
  <si>
    <t>照れ隠しの仮面</t>
  </si>
  <si>
    <t>【本命チョコ】チョコレートケーキ</t>
  </si>
  <si>
    <t>ほんめいちょこちょこれーとけーき</t>
  </si>
  <si>
    <t>その想いが本命チョコ</t>
  </si>
  <si>
    <t>タイプ神秘・知性派の防45％UP　/　タイプ【飲食】の防15％UP</t>
  </si>
  <si>
    <t>[新生]【バレンタイン】乙姫</t>
  </si>
  <si>
    <t>しんせいばれんたいんおとひめ</t>
  </si>
  <si>
    <t>玉手箱に込めた想い</t>
  </si>
  <si>
    <t>[新生]【バレンタイン】辛口日本酒ちゃん</t>
  </si>
  <si>
    <t>しんせいばれんたいんからくちにほんしゅちゃん</t>
  </si>
  <si>
    <t>辛口の台詞とは裏腹に</t>
  </si>
  <si>
    <t>[新生]【チョコ】野口小蘋</t>
  </si>
  <si>
    <t>しんせいちょこのぐちしょうひん</t>
  </si>
  <si>
    <t>絵画的豪華チョコレート</t>
  </si>
  <si>
    <t>[新生]八重垣姫</t>
  </si>
  <si>
    <t>しんせいやえがきひめ</t>
  </si>
  <si>
    <t>兜に願った一途な愛</t>
  </si>
  <si>
    <t>タイプ武人・姫の攻25％UP</t>
  </si>
  <si>
    <t>[新生]【バレンタイン】瑞渓院</t>
  </si>
  <si>
    <t>しんせいばれんたいんずいけいいん</t>
  </si>
  <si>
    <t>関係を造る甘味の所業</t>
  </si>
  <si>
    <t>タイプ武人・伝承の防25％UP</t>
  </si>
  <si>
    <t>[新生]【バレンタイン】直江兼続</t>
  </si>
  <si>
    <t>しんせいばれんたいんなおえかねつぐ</t>
  </si>
  <si>
    <t>愛は前立とともに</t>
  </si>
  <si>
    <t>タイプ【伝承】の攻25％UP</t>
  </si>
  <si>
    <t>[新生]【バレンタイン】雲照院</t>
  </si>
  <si>
    <t>しんせいばれんたいんうんしょういん</t>
  </si>
  <si>
    <t>褪せることなき雲照らし</t>
  </si>
  <si>
    <t>タイプ【武人】の防25％UP</t>
  </si>
  <si>
    <t>2/2 12:00～2/3 23:59</t>
  </si>
  <si>
    <t>きゃびんあてんだんとくろひめ</t>
  </si>
  <si>
    <t>恋を載せた銀翼</t>
  </si>
  <si>
    <t>タイプ神秘・知性派・飲食の防30％UP　/　タイプ武人・姫の攻10％DOWN</t>
  </si>
  <si>
    <t>タイプ神秘・飲食の防15％UP　/　タイプ【武人】の攻10％DOWN</t>
  </si>
  <si>
    <t>2/2 18:00～2/4 23:59</t>
  </si>
  <si>
    <t>さおとめれいいち</t>
  </si>
  <si>
    <t>爆走乙女</t>
  </si>
  <si>
    <t>りゅうおういんさみだれ</t>
  </si>
  <si>
    <t>悪魔のレシピ</t>
  </si>
  <si>
    <t>タイプ姫・伝承の防100％DOWN　/　タイプ偉人・名物の攻20％UP</t>
  </si>
  <si>
    <t>ながどうあゆみ</t>
  </si>
  <si>
    <t>恋の行方</t>
  </si>
  <si>
    <t>2/3 11:00～2/5 11:59</t>
  </si>
  <si>
    <t>すーざふぉにあ</t>
  </si>
  <si>
    <t>圧倒する低音の魅力</t>
  </si>
  <si>
    <t>だざいおさむ</t>
  </si>
  <si>
    <t>人間失格</t>
  </si>
  <si>
    <t>タイプ伝承・神秘の攻50％UP　/　タイプ飲食・知性派・妖怪・偉人の攻30％UP</t>
  </si>
  <si>
    <t>まつさかうし</t>
  </si>
  <si>
    <t>世界に誇る特選牛肉</t>
  </si>
  <si>
    <t>タイプ神秘・姫の防50％UP　/　タイプ知性派・飲食の防30％UP</t>
  </si>
  <si>
    <t>はらじゅくろりいたちゃん</t>
  </si>
  <si>
    <t>聖地に集うロリータ少女</t>
  </si>
  <si>
    <t>タイプ偉人・妖怪・名物の防35％UP　/　タイプ伝承・武人・姫の攻5％DOWN</t>
  </si>
  <si>
    <t>2/3 18:00～2/3 21:59</t>
  </si>
  <si>
    <t>タイプ武人・姫の防40％UP　/　所属が【中部】とそれに属する県、および【全国】【東日本】の防30％UP</t>
  </si>
  <si>
    <t>タイプ偉人・妖怪の攻40％UP　/　所属が【九州・沖縄】とそれに属する県、および【全国】【西日本】の攻30％UP</t>
  </si>
  <si>
    <t>タイプ神秘・飲食の防40％UP　/　所属が【関東】とそれに属する県、および【全国】【東日本】の防30％UP</t>
  </si>
  <si>
    <t>タイプ姫・伝承の防40％UP　/　所属が【近畿】とそれに属する県、および【全国】【西日本】の防30％UP</t>
  </si>
  <si>
    <t>タイプ妖怪・名物の攻40％UP　/　所属が【中国・四国】とそれに属する県、および【全国】【西日本】の攻30％UP</t>
  </si>
  <si>
    <t>(DX)2/4 12:00～2/8 11:59</t>
  </si>
  <si>
    <t>しょうぎたぬきのおんがえし</t>
  </si>
  <si>
    <t>対局中の腹太鼓</t>
  </si>
  <si>
    <t>タイプ伝承・武人・姫の防30％UP　/　タイプ武人・姫・伝承・飲食の攻13％DOWN</t>
  </si>
  <si>
    <t>しんせいしょうぎあまのうずめ</t>
  </si>
  <si>
    <t>戦場に沸く勇壮たる歓声</t>
  </si>
  <si>
    <t>[新生]野球拳</t>
  </si>
  <si>
    <t>しんせいやきゅうけん</t>
  </si>
  <si>
    <t>投打走の三すくみ</t>
  </si>
  <si>
    <t>タイプ偉人・妖怪の防20％UP</t>
  </si>
  <si>
    <t>[新生]雪ン坊</t>
  </si>
  <si>
    <t>しんせいゆきんぼう</t>
  </si>
  <si>
    <t>二十日の飛び跳ね</t>
  </si>
  <si>
    <t>タイプ【武人】の攻20％UP</t>
  </si>
  <si>
    <t>2/4 18:00～2/6 23:59</t>
  </si>
  <si>
    <t>はんざいおうぱーかーばろう</t>
  </si>
  <si>
    <t>犯罪王の説く美学</t>
  </si>
  <si>
    <t>ひえいごう</t>
  </si>
  <si>
    <t>逞しく生きる忍びの道</t>
  </si>
  <si>
    <t>2/5 11:00～2/5 23:59</t>
  </si>
  <si>
    <t>2/5 18:00～2/7 23:59</t>
  </si>
  <si>
    <t>とれろかもみろ</t>
  </si>
  <si>
    <t>パソドブレ</t>
  </si>
  <si>
    <t>タイプ偉人・妖怪・名物の攻20％UP</t>
  </si>
  <si>
    <t>【カンフー】滝夜叉姫</t>
  </si>
  <si>
    <t>かんふーたきやしゃひめ</t>
  </si>
  <si>
    <t>燃え盛る復讐の剣</t>
  </si>
  <si>
    <t>タイプ伝承・武人・偉人の防30％UP</t>
  </si>
  <si>
    <t>【ヘラ】和泉式部</t>
  </si>
  <si>
    <t>へらいずみしきぶ</t>
  </si>
  <si>
    <t>情熱と愛ゆえの嫉妬心</t>
  </si>
  <si>
    <t>タイプ神秘・飲食・伝承の攻30％UP</t>
  </si>
  <si>
    <t>【人魚姫】アカカナジャー</t>
  </si>
  <si>
    <t>にんぎょひめあかかなじゃー</t>
  </si>
  <si>
    <t>結ばれぬ純粋な想い</t>
  </si>
  <si>
    <t>タイプ名物・偉人・武人の防30％UP</t>
  </si>
  <si>
    <t>2/6 12:00～2/7 11:59</t>
  </si>
  <si>
    <t>のみのおおかた</t>
  </si>
  <si>
    <t>2/6 20:00～2/6 23:59</t>
  </si>
  <si>
    <t>ささにしき</t>
  </si>
  <si>
    <t>心地よくほどける幻の米</t>
  </si>
  <si>
    <t>タイプ神秘・知性派・飲食の攻35％UP　/　所属が【西日本】と、それに属する地方・県、および【全国】の防35％DOWN</t>
  </si>
  <si>
    <t>こうけんてんのう</t>
  </si>
  <si>
    <t>玉座におわす篤き女帝</t>
  </si>
  <si>
    <t>タイプ伝承・武人・姫の攻35％UP　/　所属が【東日本】と、それに属する地方・県、および【全国】の防35％DOWN</t>
  </si>
  <si>
    <t>きもだめしほらーはまひめ</t>
  </si>
  <si>
    <t>まっさーじうえのぱんだちゃん</t>
  </si>
  <si>
    <t>2/7 12:00～2/8 11:59</t>
  </si>
  <si>
    <t>東の月光演義</t>
  </si>
  <si>
    <t>ひがしのげっこうえんぎ</t>
  </si>
  <si>
    <t>月の乙女たちの語らい</t>
  </si>
  <si>
    <t>タイプ神秘・知性派の防30％DOWN　/　タイプ知性派・飲食の攻10％UP</t>
  </si>
  <si>
    <t>西の月光演義</t>
  </si>
  <si>
    <t>にしのげっこうえんぎ</t>
  </si>
  <si>
    <t>天下一品！月のうさぎのお餅</t>
  </si>
  <si>
    <t>タイプ神秘・飲食の防30％DOWN　/　タイプ知性派・飲食の攻10％UP</t>
  </si>
  <si>
    <t>清澄月光演義</t>
  </si>
  <si>
    <t>せいちょうげっこうえんぎ</t>
  </si>
  <si>
    <t>地球を見守る乙女たち</t>
  </si>
  <si>
    <t>東の翔天演義</t>
  </si>
  <si>
    <t>ひがしのしょうてんえんぎ</t>
  </si>
  <si>
    <t>無敵の航海術</t>
  </si>
  <si>
    <t>タイプ妖怪・名物の防35％UP</t>
  </si>
  <si>
    <t>西の翔天演義</t>
  </si>
  <si>
    <t>にしのしょうてんえんぎ</t>
  </si>
  <si>
    <t>世界に羽ばたく構想</t>
  </si>
  <si>
    <t>快援翔天演義</t>
  </si>
  <si>
    <t>かいえんしょうてんえんぎ</t>
  </si>
  <si>
    <t>天を翔ける鶴のように</t>
  </si>
  <si>
    <t>タイプ妖怪・名物の防60％UP　/　タイプ【偉人】の防15％UP</t>
  </si>
  <si>
    <t>2/7 18:00～2/9 23:59</t>
  </si>
  <si>
    <t>【星座】パール</t>
  </si>
  <si>
    <t>せいざぱーる</t>
  </si>
  <si>
    <t>星々輝く水辺の雫</t>
  </si>
  <si>
    <t>タイプ偉人・妖怪・伝承の防40％UP　/　タイプ【名物】の防35％UP</t>
  </si>
  <si>
    <t>【球技】とちおとめちゃん</t>
  </si>
  <si>
    <t>きゅうぎとちおとめちゃん</t>
  </si>
  <si>
    <t>心射抜くパワフルショット</t>
  </si>
  <si>
    <t>せんごくうみびらききつねのほうじゅ</t>
  </si>
  <si>
    <t>太陽に輝く不思議な宝珠</t>
  </si>
  <si>
    <t>タイプ名物・武人の攻50％UP　/　タイプ姫・伝承の攻30％UP</t>
  </si>
  <si>
    <t>誘惑の油揚げ</t>
  </si>
  <si>
    <t>(DX)2/8 12:00～2/14 11:59</t>
  </si>
  <si>
    <t>なべぱーてぃほのいかづちのおおかみ</t>
  </si>
  <si>
    <t>楽しい食事</t>
  </si>
  <si>
    <t>しんせいうしかえしんじ</t>
  </si>
  <si>
    <t>菅原道真公の想いと共に</t>
  </si>
  <si>
    <t>[新生]奥飛騨温泉ちゃん</t>
  </si>
  <si>
    <t>しんせいおくひだおんせんちゃん</t>
  </si>
  <si>
    <t>巡る効能と広がりし山岳</t>
  </si>
  <si>
    <t>[新生]万里姫</t>
  </si>
  <si>
    <t>しんせいまりひめ</t>
  </si>
  <si>
    <t>諌めの抱擁</t>
  </si>
  <si>
    <t>2/8 15:00～2/8 23:59</t>
  </si>
  <si>
    <t>よんしゅうねんにおのひめ</t>
  </si>
  <si>
    <t>大蛇と白鷺の遭遇</t>
  </si>
  <si>
    <t>タイプ姫・武人・知性派の防50％UP　/　タイプ【伝承】の防25％UP</t>
  </si>
  <si>
    <t>【5周年】アニバーサリーケーキちゃん</t>
  </si>
  <si>
    <t>ごしゅうねんあにばーさりーけーきちゃん</t>
  </si>
  <si>
    <t>５周年の甘ーいパーティ♪</t>
  </si>
  <si>
    <t>五歳ノ祝典</t>
  </si>
  <si>
    <t>自然が造りし超名瀑の飛沫</t>
  </si>
  <si>
    <t>タイプ偉人・妖怪・名物の攻10％UP　/　タイプ妖怪・名物・偉人・姫の防35％DOWN</t>
  </si>
  <si>
    <t>2/9 12:00～2/14 11:59</t>
  </si>
  <si>
    <t>きゃびんあてんだんとすけばん</t>
  </si>
  <si>
    <t>女番長の機内サービス</t>
  </si>
  <si>
    <t>タイプ偉人・妖怪・名物の防25％UP　/　タイプ武人・伝承の攻60％DOWN</t>
  </si>
  <si>
    <t>タイプ偉人・妖怪・名物の防15％UP　/　タイプ武人・伝承の攻35％DOWN</t>
  </si>
  <si>
    <t>タイプ偉人・妖怪・名物の防10％UP　/　タイプ武人・伝承の攻15％DOWN</t>
  </si>
  <si>
    <t>2/9 18:00～2/11 23:59</t>
  </si>
  <si>
    <t>弦城遊</t>
  </si>
  <si>
    <t>つるぎゆう</t>
  </si>
  <si>
    <t>あやかしの戯れ</t>
  </si>
  <si>
    <t>タイプ伝承・武人・姫の防60％DOWN　/　タイプ偉人・妖怪・名物の攻25％UP</t>
  </si>
  <si>
    <t>相手の防御デッキに妖怪が多いほど大ダメージ</t>
  </si>
  <si>
    <t>畔道カリン</t>
  </si>
  <si>
    <t>あぜみちかりん</t>
  </si>
  <si>
    <t>幻惑フラワーガーデン</t>
  </si>
  <si>
    <t>タイプ伝承・武人・姫の防30％UP　/　タイプ神秘・知性派・飲食の攻40％DOWN</t>
  </si>
  <si>
    <t>夜見</t>
  </si>
  <si>
    <t>2/10 11:00～2/10 23:59</t>
  </si>
  <si>
    <t>2/10 18:00～2/12 23:59</t>
  </si>
  <si>
    <t>魍魎</t>
  </si>
  <si>
    <t>もうりょう</t>
  </si>
  <si>
    <t>紅に染まりし瞳</t>
  </si>
  <si>
    <t>タイプ偉人・妖怪・名物の防35％UP　/　タイプ伝承・武人・姫の攻15％DOWN</t>
  </si>
  <si>
    <t>わらしべちょうじゃ</t>
  </si>
  <si>
    <t>大成へ通ずる握り占めた一本の藁</t>
  </si>
  <si>
    <t>タイプ伝承・武人・姫の防15％UP　/　タイプ神秘・飲食・知性派・武人の攻25％DOWN</t>
  </si>
  <si>
    <t>あじさいくしなだひめ</t>
  </si>
  <si>
    <t>番傘の隙間から、覗きたる紫陽花</t>
  </si>
  <si>
    <t>2/11 11:00～2/13 23:59</t>
  </si>
  <si>
    <t>くりすますだいさくせんたきやしゃひめ</t>
  </si>
  <si>
    <t>聖夜に贈る妖術師</t>
  </si>
  <si>
    <t>タイプ伝承・武人・姫の攻35％UP　/　タイプ知性派・飲食・神秘・妖怪・名物・偉人の防15％DOWN</t>
  </si>
  <si>
    <t>発動するほど大ダメージ</t>
  </si>
  <si>
    <t>しきょくのあしゅらと</t>
  </si>
  <si>
    <t>畏れ多き高潔な神々の母</t>
  </si>
  <si>
    <t>食欲そそる香ばしい芳醇ソース</t>
  </si>
  <si>
    <t>いのちのあめこばやしいっさ</t>
  </si>
  <si>
    <t>親なき雀</t>
  </si>
  <si>
    <t>名刀・あざ丸</t>
  </si>
  <si>
    <t>2/12 12:00～2/14 23:59</t>
  </si>
  <si>
    <t>2/13 12:00～2/14 11:59</t>
  </si>
  <si>
    <t>あかずきん</t>
  </si>
  <si>
    <t>あなたは、だあれ？</t>
  </si>
  <si>
    <t>2/13 18:00～2/15 23:59</t>
  </si>
  <si>
    <t>【バニー】淀殿</t>
  </si>
  <si>
    <t>ばにーよどどの</t>
  </si>
  <si>
    <t>血が味方する勝負運</t>
  </si>
  <si>
    <t>タイプ伝承・武人・飲食の攻40％UP　/　タイプ【姫】の攻35％UP</t>
  </si>
  <si>
    <t>【音楽祭】死神</t>
  </si>
  <si>
    <t>おんがくさいしにがみ</t>
  </si>
  <si>
    <t>終わりない死へ誘う調べ</t>
  </si>
  <si>
    <t>タイプ【名物】の攻50％UP　/　タイプ妖怪・偉人・神秘・知性派の攻30％UP</t>
  </si>
  <si>
    <t>【獣水着】高千穂峰</t>
  </si>
  <si>
    <t>天上に輝く水着</t>
  </si>
  <si>
    <t>天逆鉾</t>
  </si>
  <si>
    <t>(DX)2/14 12:00～2/20 11:59</t>
  </si>
  <si>
    <t>ひびきわたるねいろそのべひでお</t>
  </si>
  <si>
    <t>凛として響く歌声</t>
  </si>
  <si>
    <t>しんせいおいり</t>
  </si>
  <si>
    <t>幸福の虹色菓子</t>
  </si>
  <si>
    <t>山梨</t>
  </si>
  <si>
    <t>[新生]黒駒勝蔵</t>
  </si>
  <si>
    <t>しんせいくろこまのかつぞう</t>
  </si>
  <si>
    <t>甲州博徒の大親分</t>
  </si>
  <si>
    <t>長崎</t>
  </si>
  <si>
    <t>[新生]飴買い幽霊</t>
  </si>
  <si>
    <t>しんせいあめかいゆうれい</t>
  </si>
  <si>
    <t>我が子を案じた子育て幽霊</t>
  </si>
  <si>
    <t>タイプ【名物】の攻20％UP</t>
  </si>
  <si>
    <t>2/14 15:00～2/14 23:59</t>
  </si>
  <si>
    <t>タイプ伝承・武人・姫の攻80％DOWN　/　タイプ神秘・知性派の防25％UP</t>
  </si>
  <si>
    <t>敵全体の戦技効果時間を短縮</t>
  </si>
  <si>
    <t>おへやだりあ</t>
  </si>
  <si>
    <t>移り気女子の寛ぎ</t>
  </si>
  <si>
    <t>タイプ偉人・妖怪・名物の攻10％UP　/　タイプ武人・姫・伝承・知性派の防35％DOWN</t>
  </si>
  <si>
    <t>相手の防御デッキに姫が多いほど大ダメージ</t>
  </si>
  <si>
    <t>2/15 11:00～2/15 23:59</t>
  </si>
  <si>
    <t>2/15 12:00～2/19 22:59</t>
  </si>
  <si>
    <t>きゃびんあてんだんとふくひめ</t>
  </si>
  <si>
    <t>繊細な気配り</t>
  </si>
  <si>
    <t>2/16 15:00～2/17 23:59</t>
  </si>
  <si>
    <t>あんさーでーきたのかた</t>
  </si>
  <si>
    <t>お菓子まみれの一日を</t>
  </si>
  <si>
    <t>タイプ【姫】の攻30％UP　/　タイプ武人・伝承の攻15％UP</t>
  </si>
  <si>
    <t>はいからもみじびーどろざいくちゃん</t>
  </si>
  <si>
    <t>深まる秋の音色と色彩</t>
  </si>
  <si>
    <t>タイプ偉人・妖怪・名物の防10％UP　/　タイプ神秘・飲食・知性派・伝承の攻35％DOWN</t>
  </si>
  <si>
    <t>【ウィンタースポーツ】菱田春草</t>
  </si>
  <si>
    <t>うぃんたーすぽーつひしだしゅんそう</t>
  </si>
  <si>
    <t>天才画家の大ジャンプ</t>
  </si>
  <si>
    <t>ちちぶよまつり</t>
  </si>
  <si>
    <t>祭りを祝う冬花火</t>
  </si>
  <si>
    <t>タイプ武人・姫の攻30％UP　/　タイプ妖怪・名物の防20％DOWN</t>
  </si>
  <si>
    <t>【不良妖怪】海座頭</t>
  </si>
  <si>
    <t>ふりょうようかいうみざとう</t>
  </si>
  <si>
    <t>若気の至りの悪行三昧</t>
  </si>
  <si>
    <t>タイプ偉人・名物・伝承の攻30％UP</t>
  </si>
  <si>
    <t>【ラッピング】スセリビメ</t>
  </si>
  <si>
    <t>らっぴんぐすせりびめ</t>
  </si>
  <si>
    <t>良妻からの贈り物</t>
  </si>
  <si>
    <t>タイプ知性派・飲食の防25％UP　/　タイプ名物・妖怪・神秘の防20％UP</t>
  </si>
  <si>
    <t>2/16 18:00～2/18 23:59</t>
  </si>
  <si>
    <t>こうざいよしきよ</t>
  </si>
  <si>
    <t>転戦する盲目の大将</t>
  </si>
  <si>
    <t>タイプ伝承・武人・姫の攻45％UP</t>
  </si>
  <si>
    <t>【白雪姫】小野小町</t>
  </si>
  <si>
    <t>しらゆきひめおののこまち</t>
  </si>
  <si>
    <t>林檎に咲きし白雪の花</t>
  </si>
  <si>
    <t>タイプ妖怪・名物の攻40％UP　/　タイプ【偉人】の攻35％UP</t>
  </si>
  <si>
    <t>2/17 11:00～2/17 23:59</t>
  </si>
  <si>
    <t>だいこうかいじだいなんそうさとみはっけんでん</t>
  </si>
  <si>
    <t>ほとばしる海の村雨丸</t>
  </si>
  <si>
    <t>タイプ伝承・武人・姫の防15％UP　/　タイプ妖怪・名物・偉人・知性派の攻25％DOWN</t>
  </si>
  <si>
    <t>なつまつりいくまつ</t>
  </si>
  <si>
    <t>永遠に散らぬ花火</t>
  </si>
  <si>
    <t>タイプ伝承・神秘の防50％UP　/　タイプ知性派・飲食の防30％UP</t>
  </si>
  <si>
    <t>味方単体を攻撃対象から除外</t>
  </si>
  <si>
    <t>りゅうのちょうじ</t>
  </si>
  <si>
    <t>龍と人を絆ぐ力</t>
  </si>
  <si>
    <t>タイプ神秘・飲食の防100％DOWN　/　タイプ偉人・名物の攻20％UP</t>
  </si>
  <si>
    <t>2/17 20:00～2/17 23:59</t>
  </si>
  <si>
    <t>まーちんぐばんどきんし</t>
  </si>
  <si>
    <t>金色のバトン回しをとくと見よ！</t>
  </si>
  <si>
    <t>おんせんやどもうりょう</t>
  </si>
  <si>
    <t>怨みも忘れる恍惚の温もり</t>
  </si>
  <si>
    <t>タイプ神秘・知性派の攻100％DOWN　/　タイプ偉人・名物の防20％UP</t>
  </si>
  <si>
    <t>2/18 11:00～2/20 23:59</t>
  </si>
  <si>
    <t>受けたダメージの一部を相手にも与える</t>
  </si>
  <si>
    <t>きたじょうかげひろ</t>
  </si>
  <si>
    <t>中核なす鬼弥五郎</t>
  </si>
  <si>
    <t>しんきどうひみこ</t>
  </si>
  <si>
    <t>未来を我が手に</t>
  </si>
  <si>
    <t>とりいもとただ</t>
  </si>
  <si>
    <t>徳川の礎</t>
  </si>
  <si>
    <t>2/18 18:00～2/18 21:59</t>
  </si>
  <si>
    <t>復活！5進化隊士ガチャ</t>
  </si>
  <si>
    <t>2/19 11:00～2/19 23:59</t>
  </si>
  <si>
    <t>きそよしなか</t>
  </si>
  <si>
    <t>盛者必衰の理</t>
  </si>
  <si>
    <t>タイプ姫・伝承の攻12％UP　/　タイプ【武人】の攻10％UP</t>
  </si>
  <si>
    <t>タイプ姫・伝承の攻10％UP　/　タイプ【武人】の攻5％UP</t>
  </si>
  <si>
    <t>じざいのいんぷ</t>
  </si>
  <si>
    <t>お気に召すまま</t>
  </si>
  <si>
    <t>タイプ伝承・武人・姫の防80％DOWN　/　タイプ偉人・名物の攻50％UP</t>
  </si>
  <si>
    <t>タイプ伝承・武人・姫の防30％DOWN　/　タイプ偉人・名物の攻35％UP</t>
  </si>
  <si>
    <t>タイプ武人・姫の防15％DOWN　/　タイプ偉人・名物の攻20％UP</t>
  </si>
  <si>
    <t>ユッコルカムイ</t>
  </si>
  <si>
    <t>ゆっこるかむい</t>
  </si>
  <si>
    <t>カムイからの贈り物</t>
  </si>
  <si>
    <t>タイプ【飲食】の防85％UP　/　タイプ神秘・知性派の防25％UP</t>
  </si>
  <si>
    <t>タイプ【飲食】の防60％UP　/　タイプ神秘・知性派の防20％UP</t>
  </si>
  <si>
    <t>タイプ【飲食】の防45％UP　/　タイプ【神秘】の防15％UP</t>
  </si>
  <si>
    <t>2/19 11:00～2/20 11:59</t>
  </si>
  <si>
    <t>味方全体が相手の攻撃を確率で回避する</t>
  </si>
  <si>
    <t>ほくしんみょうけんぼさつ</t>
  </si>
  <si>
    <t>妙見天部神</t>
  </si>
  <si>
    <t>タイプ知性派・飲食の攻25％UP　/　タイプ【神秘】の攻10％UP</t>
  </si>
  <si>
    <t>相手の防御デッキに飲食が多いほど大ダメージ</t>
  </si>
  <si>
    <t>2/19 18:00～2/21 23:59</t>
  </si>
  <si>
    <t>二代目島津源蔵</t>
  </si>
  <si>
    <t>にだいめしまづげんぞう</t>
  </si>
  <si>
    <t>十指に入る近代発明</t>
  </si>
  <si>
    <t>火闌降命</t>
  </si>
  <si>
    <t>ほのすそりのみこと</t>
  </si>
  <si>
    <t>溢れる炎より出でし神</t>
  </si>
  <si>
    <t>【キューピッド】三村鶴</t>
  </si>
  <si>
    <t>きゅーぴっどみむらつる</t>
  </si>
  <si>
    <t>放つ矢に想いをのせて</t>
  </si>
  <si>
    <t>タイプ【伝承】の攻30％UP　/　タイプ武人・姫の攻15％UP</t>
  </si>
  <si>
    <t>2/20 11:00～2/20 23:59</t>
  </si>
  <si>
    <t>縁に感謝する初詣</t>
  </si>
  <si>
    <t>濃厚旨味は通ごのみ</t>
  </si>
  <si>
    <t>絢爛たるかぶき者</t>
  </si>
  <si>
    <t>タイプ妖怪・名物の防45％UP　/　タイプ伝承・姫・飲食・偉人の防30％UP</t>
  </si>
  <si>
    <t>相手の攻撃を確率で回避する</t>
  </si>
  <si>
    <t>2/20 12:00～2/24 11:59</t>
  </si>
  <si>
    <t>味方全体の強襲発生割合UP</t>
  </si>
  <si>
    <t>えんたくのきしたかつかさのぶこ</t>
  </si>
  <si>
    <t>大衆酒場にて</t>
  </si>
  <si>
    <t>【四十八天狗】彦山豊前坊</t>
  </si>
  <si>
    <t>しじゅうはちてんぐひこざんぶぜんぼう</t>
  </si>
  <si>
    <t>律する大天狗</t>
  </si>
  <si>
    <t>2/21 12:00～2/24 11:59</t>
  </si>
  <si>
    <t>えんたくのきしみょうりんに</t>
  </si>
  <si>
    <t>お着替えタイム</t>
  </si>
  <si>
    <t>きゅーぴっどはやあきつひめのみこと</t>
  </si>
  <si>
    <t>恋とでるか、愛へ育つか</t>
  </si>
  <si>
    <t>めいこうあざぶのおおねこ</t>
  </si>
  <si>
    <t>化け猫の技巧派ブラックスミス</t>
  </si>
  <si>
    <t>タイプ偉人・名物の防30％UP　/　タイプ【妖怪】の防10％UP</t>
  </si>
  <si>
    <t>すのーぐらびあなかのたけこ</t>
  </si>
  <si>
    <t>その気力は雪前にも負けじ</t>
  </si>
  <si>
    <t>2/21 18:00～2/22 17:59</t>
  </si>
  <si>
    <t>2/23 11:00～2/25 23:59</t>
  </si>
  <si>
    <t>もんすたーあかしれじーな</t>
  </si>
  <si>
    <t>聖母レジーナの甘い誘惑</t>
  </si>
  <si>
    <t>タイプ偉人・妖怪の防30％UP　/　タイプ【名物】の防75％UP</t>
  </si>
  <si>
    <t>敵単体の身代わり効果を一定時間無効化</t>
  </si>
  <si>
    <t>2/23 12:00～2/24 11:59</t>
  </si>
  <si>
    <t>そめどののきさき</t>
  </si>
  <si>
    <t>2/23 20:00～2/23 23:59</t>
  </si>
  <si>
    <t>2/24 11:00～2/24 23:59</t>
  </si>
  <si>
    <t>江川英龍</t>
  </si>
  <si>
    <t>えがわひでたつ</t>
  </si>
  <si>
    <t>水平線に向ける鉄壁の砲術</t>
  </si>
  <si>
    <t>タイプ妖怪・名物の防25％UP　/　タイプ【偉人】の防10％UP</t>
  </si>
  <si>
    <t>タイプ妖怪・名物の防12％UP　/　タイプ【偉人】の防10％UP</t>
  </si>
  <si>
    <t>タイプ妖怪・名物の防10％UP　/　タイプ【偉人】の防5％UP</t>
  </si>
  <si>
    <t>(DX)2/24 12:00～2/28 23:59</t>
  </si>
  <si>
    <t>ゆきのさいてんぼでぃこんちゃん</t>
  </si>
  <si>
    <t>照らされた銀世界</t>
  </si>
  <si>
    <t>しんせいいなづまらいごろう</t>
  </si>
  <si>
    <t>稲妻のごとき昇進</t>
  </si>
  <si>
    <t>徳島</t>
  </si>
  <si>
    <t>[新生]芋焼酎ちゃん</t>
  </si>
  <si>
    <t>しんせいいもじょうちゅうちゃん</t>
  </si>
  <si>
    <t>芋香る深い味わい</t>
  </si>
  <si>
    <t>北海道</t>
  </si>
  <si>
    <t>[新生]フロストフラワー</t>
  </si>
  <si>
    <t>しんせいふろすとふらわー</t>
  </si>
  <si>
    <t>陽光に輝く氷の華</t>
  </si>
  <si>
    <t>タイプ【飲食】の防20％UP</t>
  </si>
  <si>
    <t>2/24 18:00～2/26 23:59</t>
  </si>
  <si>
    <t>2/25 11:00～2/25 23:59</t>
  </si>
  <si>
    <t>2/25 18:00～2/27 23:59</t>
  </si>
  <si>
    <t>ハバネロ</t>
  </si>
  <si>
    <t>はばねろ</t>
  </si>
  <si>
    <t>刺激的な体験をあなたに</t>
  </si>
  <si>
    <t>いんどしんわこんじきひめ</t>
  </si>
  <si>
    <t>無垢なる美を司る神</t>
  </si>
  <si>
    <t>タイプ伝承・武人・姫の防30％UP　/　タイプ名物・知性派・飲食・神秘の攻13％DOWN</t>
  </si>
  <si>
    <t>しょうぎはくぞうす</t>
  </si>
  <si>
    <t>永久に眺めし王の生き様</t>
  </si>
  <si>
    <t>タイプ偉人・妖怪の防100％DOWN　/　タイプ偉人・名物の攻20％UP</t>
  </si>
  <si>
    <t>2/26 18:00～2/26 21:59</t>
  </si>
  <si>
    <t>2/27 11:00～2/28 23:59</t>
  </si>
  <si>
    <t>2/27 12:00～2/28 11:59</t>
  </si>
  <si>
    <t>くりすますぱーてぃかねこみすず</t>
  </si>
  <si>
    <t>光輝く個性とオーナメント</t>
  </si>
  <si>
    <t>タイプ偉人・妖怪・名物の攻40％UP　/　タイプ神秘・知性派・飲食の防25％DOWN</t>
  </si>
  <si>
    <t>自身の強襲発生割合を100％にする</t>
  </si>
  <si>
    <t>えんきりえのき</t>
  </si>
  <si>
    <t>離縁成就の古木</t>
  </si>
  <si>
    <t>2/28 11:00～2/28 23:59</t>
  </si>
  <si>
    <t>せつぶんぱにっくみむらつる</t>
  </si>
  <si>
    <t>金棒振るう鬼女の舞</t>
  </si>
  <si>
    <t>2/28 18:00～2/28 23:59</t>
  </si>
  <si>
    <t>逢魔時</t>
  </si>
  <si>
    <t>おうまがとき</t>
  </si>
  <si>
    <t>神域と葦原を分かつ頃</t>
  </si>
  <si>
    <t>タイプ神秘・知性派の防100％DOWN　/　タイプ偉人・名物の攻20％UP</t>
  </si>
  <si>
    <t>戦技ゲージの上昇割合UP</t>
  </si>
  <si>
    <t>タイプ神秘・知性派の防50％DOWN　/　タイプ偉人・名物の攻15％UP</t>
  </si>
  <si>
    <t>タイプ【知性派】の防20％DOWN　/　タイプ偉人・名物の攻10％UP</t>
  </si>
  <si>
    <t>ようこういん</t>
  </si>
  <si>
    <t>確かに掴んだ幸光とともに</t>
  </si>
  <si>
    <t>みそにこみうどん</t>
  </si>
  <si>
    <t>豆味噌仕立ての熱～いスープ</t>
  </si>
  <si>
    <t>(Lvアップ)2/14 12:00～2/20 11:59</t>
    <phoneticPr fontId="1"/>
  </si>
  <si>
    <t>2019恋の季節の福引ガチャ</t>
    <rPh sb="4" eb="5">
      <t>コイ</t>
    </rPh>
    <rPh sb="6" eb="8">
      <t>キセツ</t>
    </rPh>
    <rPh sb="9" eb="11">
      <t>フクビキ</t>
    </rPh>
    <phoneticPr fontId="1"/>
  </si>
  <si>
    <t>2/21 18:00～2/23 23:59</t>
    <phoneticPr fontId="1"/>
  </si>
  <si>
    <t>(Lvアップ)2/24 12:00～2/28 23:59</t>
    <phoneticPr fontId="1"/>
  </si>
  <si>
    <t>72233_0</t>
  </si>
  <si>
    <t>(Lvアップ)3/8 12:00～3/14 11:59</t>
    <phoneticPr fontId="1"/>
  </si>
  <si>
    <t>(Lvアップ)3/14 12:00～3/21 11:59</t>
    <phoneticPr fontId="1"/>
  </si>
  <si>
    <t>(Lvアップ)3/25 12:00～3/31 11:59</t>
    <phoneticPr fontId="1"/>
  </si>
  <si>
    <t>(Lvアップ)4/1 0:00～4/8 11:59</t>
    <phoneticPr fontId="1"/>
  </si>
  <si>
    <t>(Lvアップ)4/4 12:00～4/8 11:59</t>
    <phoneticPr fontId="1"/>
  </si>
  <si>
    <t>(Lvアップ)4/8 12:00～4/14 11:59</t>
    <phoneticPr fontId="1"/>
  </si>
  <si>
    <t>(Lvアップ)4/14 12:00～4/21 11:59</t>
    <phoneticPr fontId="1"/>
  </si>
  <si>
    <t>(Lvアップ)4/25 12:00～4/30 19:59</t>
    <phoneticPr fontId="1"/>
  </si>
  <si>
    <t>(Lvアップ)5/1 0:00～5/8 11:59</t>
    <phoneticPr fontId="1"/>
  </si>
  <si>
    <t>(Lvアップ)5/4 12:00～5/8 11:59</t>
    <phoneticPr fontId="1"/>
  </si>
  <si>
    <t>(Lvアップ)5/8 12:00～5/14 11:59</t>
    <phoneticPr fontId="1"/>
  </si>
  <si>
    <t>(DX)5/8 12:00～5/14 11:59</t>
    <phoneticPr fontId="1"/>
  </si>
  <si>
    <t>(Lvアップ)5/14 12:00～5/21 11:59</t>
    <phoneticPr fontId="1"/>
  </si>
  <si>
    <t>(Lvアップ)5/25 12:00～5/31 19:59</t>
    <phoneticPr fontId="1"/>
  </si>
  <si>
    <t>3/7 18:00～3/7 21:59</t>
    <phoneticPr fontId="1"/>
  </si>
  <si>
    <t>(20連)3/7 12:00～3/9 23:59</t>
    <phoneticPr fontId="1"/>
  </si>
  <si>
    <t>(3連)3/7 12:00～3/9 23:59</t>
    <rPh sb="2" eb="3">
      <t>レン</t>
    </rPh>
    <phoneticPr fontId="1"/>
  </si>
  <si>
    <t>【果樹園】天降女子</t>
    <phoneticPr fontId="1"/>
  </si>
  <si>
    <t>1進</t>
    <rPh sb="1" eb="2">
      <t>シン</t>
    </rPh>
    <phoneticPr fontId="1"/>
  </si>
  <si>
    <t>タイプ【武人】の防45％UP　/　タイプ姫・伝承の防20％UP</t>
    <phoneticPr fontId="1"/>
  </si>
  <si>
    <t>タイプ姫・伝承の防12％UP　/　タイプ【武人】の防5％UP</t>
    <phoneticPr fontId="1"/>
  </si>
  <si>
    <t>タイプ知性派・飲食の攻10％UP　/　タイプ飲食・武人・名物の防25％DOWN</t>
    <phoneticPr fontId="1"/>
  </si>
  <si>
    <t>タイプ妖怪・名物の防35％UP　/　タイプ【偉人】の防5％UP</t>
    <phoneticPr fontId="1"/>
  </si>
  <si>
    <t>タイプ姫・伝承の攻12％UP　/　タイプ【武人】の攻5％UP</t>
    <phoneticPr fontId="1"/>
  </si>
  <si>
    <t>タイプ神秘・知性派の防25％UP　/　タイプ【飲食】の防10％UP</t>
    <phoneticPr fontId="1"/>
  </si>
  <si>
    <t>豪華玉手箱ガチャ(SSR失念)</t>
    <rPh sb="12" eb="14">
      <t>シツネン</t>
    </rPh>
    <phoneticPr fontId="1"/>
  </si>
  <si>
    <t>天下統一戦 英雄ガチャ(ZR失念)</t>
    <rPh sb="0" eb="2">
      <t>テンカ</t>
    </rPh>
    <rPh sb="2" eb="4">
      <t>トウイツ</t>
    </rPh>
    <rPh sb="4" eb="5">
      <t>セン</t>
    </rPh>
    <rPh sb="6" eb="8">
      <t>エイユウ</t>
    </rPh>
    <rPh sb="14" eb="16">
      <t>シツネン</t>
    </rPh>
    <phoneticPr fontId="1"/>
  </si>
  <si>
    <t>超攻撃ガチャ(SSR一部失念)</t>
    <rPh sb="0" eb="1">
      <t>チョウ</t>
    </rPh>
    <rPh sb="1" eb="3">
      <t>コウゲキ</t>
    </rPh>
    <rPh sb="10" eb="12">
      <t>イチブ</t>
    </rPh>
    <rPh sb="12" eb="14">
      <t>シツネン</t>
    </rPh>
    <phoneticPr fontId="1"/>
  </si>
  <si>
    <t>70133_0</t>
    <phoneticPr fontId="1"/>
  </si>
  <si>
    <t>66933_0</t>
    <phoneticPr fontId="1"/>
  </si>
  <si>
    <t>四神戦 伝承紡ぐ絶世の麗人ガチャ</t>
    <rPh sb="0" eb="1">
      <t>ヨン</t>
    </rPh>
    <rPh sb="1" eb="2">
      <t>シン</t>
    </rPh>
    <rPh sb="2" eb="3">
      <t>セン</t>
    </rPh>
    <rPh sb="4" eb="6">
      <t>デンショウ</t>
    </rPh>
    <rPh sb="6" eb="7">
      <t>ツム</t>
    </rPh>
    <rPh sb="8" eb="10">
      <t>ゼッセイ</t>
    </rPh>
    <rPh sb="11" eb="13">
      <t>レイジン</t>
    </rPh>
    <phoneticPr fontId="1"/>
  </si>
  <si>
    <t>中部</t>
    <rPh sb="0" eb="2">
      <t>チュウブ</t>
    </rPh>
    <phoneticPr fontId="1"/>
  </si>
  <si>
    <t>九州・沖縄</t>
    <rPh sb="0" eb="2">
      <t>キュウシュウ</t>
    </rPh>
    <rPh sb="3" eb="5">
      <t>オキナワ</t>
    </rPh>
    <phoneticPr fontId="1"/>
  </si>
  <si>
    <t>北海道・東北</t>
    <rPh sb="0" eb="3">
      <t>ホッカイドウ</t>
    </rPh>
    <rPh sb="4" eb="6">
      <t>トウホク</t>
    </rPh>
    <phoneticPr fontId="1"/>
  </si>
  <si>
    <t>関東</t>
    <rPh sb="0" eb="2">
      <t>カントウ</t>
    </rPh>
    <phoneticPr fontId="1"/>
  </si>
  <si>
    <t>近畿</t>
    <rPh sb="0" eb="2">
      <t>キンキ</t>
    </rPh>
    <phoneticPr fontId="1"/>
  </si>
  <si>
    <t>神秘</t>
    <rPh sb="0" eb="2">
      <t>シンピ</t>
    </rPh>
    <phoneticPr fontId="1"/>
  </si>
  <si>
    <t>名物</t>
    <rPh sb="0" eb="2">
      <t>メイブツ</t>
    </rPh>
    <phoneticPr fontId="1"/>
  </si>
  <si>
    <t>妖怪</t>
    <rPh sb="0" eb="2">
      <t>ヨウカイ</t>
    </rPh>
    <phoneticPr fontId="1"/>
  </si>
  <si>
    <t>知性派</t>
    <rPh sb="0" eb="2">
      <t>チセイ</t>
    </rPh>
    <rPh sb="2" eb="3">
      <t>ハ</t>
    </rPh>
    <phoneticPr fontId="1"/>
  </si>
  <si>
    <t>伝承</t>
    <rPh sb="0" eb="2">
      <t>デンショウ</t>
    </rPh>
    <phoneticPr fontId="1"/>
  </si>
  <si>
    <t>SSR</t>
    <phoneticPr fontId="1"/>
  </si>
  <si>
    <t>SR</t>
    <phoneticPr fontId="1"/>
  </si>
  <si>
    <t>HR</t>
    <phoneticPr fontId="1"/>
  </si>
  <si>
    <t>R</t>
    <phoneticPr fontId="1"/>
  </si>
  <si>
    <t>【吟遊詩人】オレイリア</t>
    <rPh sb="1" eb="3">
      <t>ギンユウ</t>
    </rPh>
    <rPh sb="3" eb="5">
      <t>シジン</t>
    </rPh>
    <phoneticPr fontId="1"/>
  </si>
  <si>
    <t>ぎんゆうしじんおれいりあ</t>
    <phoneticPr fontId="1"/>
  </si>
  <si>
    <t>オレイリアの詩</t>
    <rPh sb="6" eb="7">
      <t>ウタ</t>
    </rPh>
    <phoneticPr fontId="1"/>
  </si>
  <si>
    <t>しんせいおどりこびーどろざいくちゃん</t>
    <phoneticPr fontId="1"/>
  </si>
  <si>
    <t>魅惑のビードロダンス</t>
    <rPh sb="0" eb="2">
      <t>ミワク</t>
    </rPh>
    <phoneticPr fontId="1"/>
  </si>
  <si>
    <t>[新生]【吟遊詩人】海座頭</t>
    <rPh sb="1" eb="3">
      <t>シンセイ</t>
    </rPh>
    <rPh sb="5" eb="7">
      <t>ギンユウ</t>
    </rPh>
    <rPh sb="7" eb="9">
      <t>シジン</t>
    </rPh>
    <rPh sb="10" eb="11">
      <t>ウミ</t>
    </rPh>
    <rPh sb="11" eb="13">
      <t>ザトウ</t>
    </rPh>
    <phoneticPr fontId="1"/>
  </si>
  <si>
    <t>しんせいぎんゆうしじんうみざとう</t>
    <phoneticPr fontId="1"/>
  </si>
  <si>
    <t>秘された妖怪歌</t>
    <rPh sb="0" eb="1">
      <t>ヒ</t>
    </rPh>
    <rPh sb="4" eb="6">
      <t>ヨウカイ</t>
    </rPh>
    <rPh sb="6" eb="7">
      <t>ウタ</t>
    </rPh>
    <phoneticPr fontId="1"/>
  </si>
  <si>
    <t>[新生]春日局</t>
    <rPh sb="1" eb="3">
      <t>シンセイ</t>
    </rPh>
    <rPh sb="4" eb="7">
      <t>カスガノツボネ</t>
    </rPh>
    <phoneticPr fontId="1"/>
  </si>
  <si>
    <t>しんせいかすがのつぼね</t>
    <phoneticPr fontId="1"/>
  </si>
  <si>
    <t>家光政権の実権者</t>
    <rPh sb="0" eb="2">
      <t>イエミツ</t>
    </rPh>
    <rPh sb="2" eb="4">
      <t>セイケン</t>
    </rPh>
    <rPh sb="5" eb="7">
      <t>ジッケン</t>
    </rPh>
    <rPh sb="7" eb="8">
      <t>シャ</t>
    </rPh>
    <phoneticPr fontId="1"/>
  </si>
  <si>
    <t>[新生]嵯峨天皇</t>
    <rPh sb="1" eb="3">
      <t>シンセイ</t>
    </rPh>
    <rPh sb="4" eb="6">
      <t>サガ</t>
    </rPh>
    <rPh sb="6" eb="8">
      <t>テンノウ</t>
    </rPh>
    <phoneticPr fontId="1"/>
  </si>
  <si>
    <t>しんせいさがてんのう</t>
    <phoneticPr fontId="1"/>
  </si>
  <si>
    <t>月人に恋した男</t>
    <rPh sb="0" eb="1">
      <t>ツキ</t>
    </rPh>
    <rPh sb="1" eb="2">
      <t>ヒト</t>
    </rPh>
    <rPh sb="3" eb="4">
      <t>コイ</t>
    </rPh>
    <rPh sb="6" eb="7">
      <t>オトコ</t>
    </rPh>
    <phoneticPr fontId="1"/>
  </si>
  <si>
    <t>【ややこ踊り】出雲阿国</t>
    <phoneticPr fontId="1"/>
  </si>
  <si>
    <t>超攻再臨ガチャ</t>
    <rPh sb="0" eb="1">
      <t>チョウ</t>
    </rPh>
    <rPh sb="1" eb="2">
      <t>コウ</t>
    </rPh>
    <rPh sb="2" eb="4">
      <t>サイリン</t>
    </rPh>
    <phoneticPr fontId="1"/>
  </si>
  <si>
    <t>3/8 18:00～3/10 23:59</t>
    <phoneticPr fontId="1"/>
  </si>
  <si>
    <t>香西佳清</t>
    <phoneticPr fontId="1"/>
  </si>
  <si>
    <t>全国</t>
    <rPh sb="0" eb="2">
      <t>ゼンコク</t>
    </rPh>
    <phoneticPr fontId="1"/>
  </si>
  <si>
    <t>西日本</t>
    <rPh sb="0" eb="1">
      <t>ニシ</t>
    </rPh>
    <rPh sb="1" eb="3">
      <t>ニホン</t>
    </rPh>
    <phoneticPr fontId="1"/>
  </si>
  <si>
    <t>神秘</t>
    <rPh sb="0" eb="2">
      <t>シンピ</t>
    </rPh>
    <phoneticPr fontId="1"/>
  </si>
  <si>
    <t>六弦金弾奏</t>
    <rPh sb="0" eb="1">
      <t>ロク</t>
    </rPh>
    <rPh sb="1" eb="2">
      <t>ゲン</t>
    </rPh>
    <rPh sb="2" eb="3">
      <t>キン</t>
    </rPh>
    <rPh sb="3" eb="4">
      <t>ダン</t>
    </rPh>
    <phoneticPr fontId="1"/>
  </si>
  <si>
    <t>ぎんゆうしじんれい</t>
    <phoneticPr fontId="1"/>
  </si>
  <si>
    <t>【吟遊詩人】レイ</t>
    <rPh sb="1" eb="3">
      <t>ギンユウ</t>
    </rPh>
    <rPh sb="3" eb="5">
      <t>シジン</t>
    </rPh>
    <phoneticPr fontId="1"/>
  </si>
  <si>
    <t>SSR</t>
    <phoneticPr fontId="1"/>
  </si>
  <si>
    <t>SR</t>
    <phoneticPr fontId="1"/>
  </si>
  <si>
    <t>5進</t>
    <rPh sb="1" eb="2">
      <t>シン</t>
    </rPh>
    <phoneticPr fontId="1"/>
  </si>
  <si>
    <t>3進</t>
    <rPh sb="1" eb="2">
      <t>シン</t>
    </rPh>
    <phoneticPr fontId="1"/>
  </si>
  <si>
    <t>1進</t>
    <rPh sb="1" eb="2">
      <t>シン</t>
    </rPh>
    <phoneticPr fontId="1"/>
  </si>
  <si>
    <t>豪華玉手箱ガチャ</t>
    <rPh sb="0" eb="2">
      <t>ゴウカ</t>
    </rPh>
    <rPh sb="2" eb="5">
      <t>タマテバコ</t>
    </rPh>
    <phoneticPr fontId="1"/>
  </si>
  <si>
    <t>3/9 15:00～3/9 23:59</t>
    <phoneticPr fontId="1"/>
  </si>
  <si>
    <t>四神戦 英雄ガチャ</t>
    <rPh sb="0" eb="1">
      <t>ヨン</t>
    </rPh>
    <rPh sb="1" eb="2">
      <t>シン</t>
    </rPh>
    <rPh sb="2" eb="3">
      <t>セン</t>
    </rPh>
    <rPh sb="4" eb="6">
      <t>エイユウ</t>
    </rPh>
    <phoneticPr fontId="1"/>
  </si>
  <si>
    <t>祝来！宝船福引ガチャ</t>
    <rPh sb="0" eb="1">
      <t>シュク</t>
    </rPh>
    <rPh sb="1" eb="2">
      <t>ライ</t>
    </rPh>
    <rPh sb="3" eb="5">
      <t>タカラブネ</t>
    </rPh>
    <rPh sb="5" eb="7">
      <t>フクビキ</t>
    </rPh>
    <phoneticPr fontId="1"/>
  </si>
  <si>
    <t>3/10 15:00～3/11 14:59</t>
    <phoneticPr fontId="1"/>
  </si>
  <si>
    <t>3/11 18:00～3/13 23:59</t>
    <phoneticPr fontId="1"/>
  </si>
  <si>
    <t>3/12 11:00～3/12 23:59</t>
    <phoneticPr fontId="1"/>
  </si>
  <si>
    <t>豪華玉手箱ガチャ</t>
    <rPh sb="0" eb="2">
      <t>ゴウカ</t>
    </rPh>
    <rPh sb="2" eb="5">
      <t>タマテバコ</t>
    </rPh>
    <phoneticPr fontId="1"/>
  </si>
  <si>
    <t>3/12 15:00～3/12 23:59</t>
    <phoneticPr fontId="1"/>
  </si>
  <si>
    <t>ホワイトデーガチャ</t>
    <phoneticPr fontId="1"/>
  </si>
  <si>
    <t>(20連)3/13 15:00～3/15 23:59</t>
    <rPh sb="3" eb="4">
      <t>レン</t>
    </rPh>
    <phoneticPr fontId="1"/>
  </si>
  <si>
    <t>(3連)3/13 15:00～3/15 23:59</t>
    <rPh sb="2" eb="3">
      <t>レン</t>
    </rPh>
    <phoneticPr fontId="1"/>
  </si>
  <si>
    <t>SP</t>
    <phoneticPr fontId="1"/>
  </si>
  <si>
    <t>全国</t>
    <rPh sb="0" eb="2">
      <t>ゼンコク</t>
    </rPh>
    <phoneticPr fontId="1"/>
  </si>
  <si>
    <t>返礼三甘味</t>
    <rPh sb="0" eb="2">
      <t>ヘンレイ</t>
    </rPh>
    <rPh sb="2" eb="3">
      <t>サン</t>
    </rPh>
    <rPh sb="3" eb="5">
      <t>カンミ</t>
    </rPh>
    <phoneticPr fontId="1"/>
  </si>
  <si>
    <t>飲食</t>
    <rPh sb="0" eb="2">
      <t>インショク</t>
    </rPh>
    <phoneticPr fontId="1"/>
  </si>
  <si>
    <t>華やぐ洋菓の返礼</t>
    <rPh sb="0" eb="1">
      <t>ハナ</t>
    </rPh>
    <rPh sb="3" eb="4">
      <t>ヨウ</t>
    </rPh>
    <rPh sb="4" eb="5">
      <t>カ</t>
    </rPh>
    <rPh sb="6" eb="8">
      <t>ヘンレイ</t>
    </rPh>
    <phoneticPr fontId="1"/>
  </si>
  <si>
    <t>ホワイトギフト</t>
    <phoneticPr fontId="1"/>
  </si>
  <si>
    <t>敵に発動中の戦技効果を消滅させる</t>
    <rPh sb="0" eb="1">
      <t>テキ</t>
    </rPh>
    <rPh sb="2" eb="5">
      <t>ハツドウチュウ</t>
    </rPh>
    <rPh sb="6" eb="8">
      <t>センギ</t>
    </rPh>
    <rPh sb="8" eb="10">
      <t>コウカ</t>
    </rPh>
    <rPh sb="11" eb="13">
      <t>ショウメツ</t>
    </rPh>
    <phoneticPr fontId="1"/>
  </si>
  <si>
    <t>へんれいさんかんみ</t>
    <phoneticPr fontId="1"/>
  </si>
  <si>
    <t>88133_0</t>
    <phoneticPr fontId="1"/>
  </si>
  <si>
    <t>88131_0</t>
    <phoneticPr fontId="1"/>
  </si>
  <si>
    <t>88132_0</t>
    <phoneticPr fontId="1"/>
  </si>
  <si>
    <t>3/13 18:00～3/13 21:59</t>
    <phoneticPr fontId="1"/>
  </si>
  <si>
    <t>2/9 18:00～2/9 21:59</t>
    <phoneticPr fontId="1"/>
  </si>
  <si>
    <t>やまがーるあきのむらぼうとうに</t>
    <phoneticPr fontId="1"/>
  </si>
  <si>
    <t>祝来！宝船福引ガチャ</t>
    <rPh sb="0" eb="1">
      <t>シュク</t>
    </rPh>
    <rPh sb="1" eb="2">
      <t>ライ</t>
    </rPh>
    <rPh sb="3" eb="5">
      <t>タカラブネ</t>
    </rPh>
    <rPh sb="5" eb="7">
      <t>フクビキ</t>
    </rPh>
    <phoneticPr fontId="1"/>
  </si>
  <si>
    <t>3/14 18:00～3/15 17:59</t>
    <phoneticPr fontId="1"/>
  </si>
  <si>
    <t>【湯けむり】巴御前</t>
    <phoneticPr fontId="1"/>
  </si>
  <si>
    <t>サイコロ行脚 感謝を届ける純白の製菓職人ガチャ</t>
    <rPh sb="4" eb="6">
      <t>アンギャ</t>
    </rPh>
    <rPh sb="7" eb="9">
      <t>カンシャ</t>
    </rPh>
    <rPh sb="10" eb="11">
      <t>トド</t>
    </rPh>
    <rPh sb="13" eb="15">
      <t>ジュンパク</t>
    </rPh>
    <rPh sb="16" eb="18">
      <t>セイカ</t>
    </rPh>
    <rPh sb="18" eb="20">
      <t>ショクニン</t>
    </rPh>
    <phoneticPr fontId="1"/>
  </si>
  <si>
    <t>近畿</t>
    <rPh sb="0" eb="2">
      <t>キンキ</t>
    </rPh>
    <phoneticPr fontId="1"/>
  </si>
  <si>
    <t>北海道・東北</t>
    <rPh sb="0" eb="3">
      <t>ホッカイドウ</t>
    </rPh>
    <rPh sb="4" eb="6">
      <t>トウホク</t>
    </rPh>
    <phoneticPr fontId="1"/>
  </si>
  <si>
    <t>中部</t>
    <rPh sb="0" eb="2">
      <t>チュウブ</t>
    </rPh>
    <phoneticPr fontId="1"/>
  </si>
  <si>
    <t>九州・沖縄</t>
    <rPh sb="0" eb="2">
      <t>キュウシュウ</t>
    </rPh>
    <rPh sb="3" eb="5">
      <t>オキナワ</t>
    </rPh>
    <phoneticPr fontId="1"/>
  </si>
  <si>
    <t>中国・四国</t>
    <rPh sb="0" eb="2">
      <t>チュウゴク</t>
    </rPh>
    <rPh sb="3" eb="5">
      <t>シコク</t>
    </rPh>
    <phoneticPr fontId="1"/>
  </si>
  <si>
    <t>飲食</t>
    <rPh sb="0" eb="2">
      <t>インショク</t>
    </rPh>
    <phoneticPr fontId="1"/>
  </si>
  <si>
    <t>神秘</t>
    <rPh sb="0" eb="2">
      <t>シンピ</t>
    </rPh>
    <phoneticPr fontId="1"/>
  </si>
  <si>
    <t>妖怪</t>
    <rPh sb="0" eb="2">
      <t>ヨウカイ</t>
    </rPh>
    <phoneticPr fontId="1"/>
  </si>
  <si>
    <t>ホワイトデーパティシエール</t>
    <phoneticPr fontId="1"/>
  </si>
  <si>
    <t>ほわいとでーぱてぃしえーる</t>
    <phoneticPr fontId="1"/>
  </si>
  <si>
    <t>こちらをどうぞ</t>
    <phoneticPr fontId="1"/>
  </si>
  <si>
    <t>[新生]【キューピッド】富主姫</t>
    <rPh sb="1" eb="3">
      <t>シンセイ</t>
    </rPh>
    <rPh sb="12" eb="13">
      <t>トミ</t>
    </rPh>
    <rPh sb="13" eb="14">
      <t>ヌシ</t>
    </rPh>
    <rPh sb="14" eb="15">
      <t>ヒメ</t>
    </rPh>
    <phoneticPr fontId="1"/>
  </si>
  <si>
    <t>しんせいきゅーぴっどとみぬしひめ</t>
    <phoneticPr fontId="1"/>
  </si>
  <si>
    <t>琵琶の音色に穿つ恋矢</t>
    <rPh sb="0" eb="2">
      <t>ビワ</t>
    </rPh>
    <rPh sb="3" eb="5">
      <t>ネイロ</t>
    </rPh>
    <rPh sb="6" eb="7">
      <t>ウガ</t>
    </rPh>
    <rPh sb="8" eb="9">
      <t>コイ</t>
    </rPh>
    <rPh sb="9" eb="10">
      <t>ヤ</t>
    </rPh>
    <phoneticPr fontId="1"/>
  </si>
  <si>
    <t>[新生]ワインちゃん</t>
    <rPh sb="1" eb="3">
      <t>シンセイ</t>
    </rPh>
    <phoneticPr fontId="1"/>
  </si>
  <si>
    <t>[新生]【ホワイトデー】クッキーちゃん</t>
    <rPh sb="1" eb="3">
      <t>シンセイ</t>
    </rPh>
    <phoneticPr fontId="1"/>
  </si>
  <si>
    <t>[新生]赤しゃぐま</t>
    <rPh sb="1" eb="3">
      <t>シンセイ</t>
    </rPh>
    <rPh sb="4" eb="5">
      <t>アカ</t>
    </rPh>
    <phoneticPr fontId="1"/>
  </si>
  <si>
    <t>しんせいわいんちゃん</t>
    <phoneticPr fontId="1"/>
  </si>
  <si>
    <t>深みのある赤</t>
    <rPh sb="0" eb="1">
      <t>フカ</t>
    </rPh>
    <rPh sb="5" eb="6">
      <t>アカ</t>
    </rPh>
    <phoneticPr fontId="1"/>
  </si>
  <si>
    <t>しんせいほわいとでーくっきーちゃん</t>
    <phoneticPr fontId="1"/>
  </si>
  <si>
    <t>多彩に魅せるお菓子の定番</t>
    <rPh sb="0" eb="2">
      <t>タサイ</t>
    </rPh>
    <rPh sb="3" eb="4">
      <t>ミ</t>
    </rPh>
    <rPh sb="7" eb="9">
      <t>カシ</t>
    </rPh>
    <rPh sb="10" eb="12">
      <t>テイバン</t>
    </rPh>
    <phoneticPr fontId="1"/>
  </si>
  <si>
    <t>しんせいあかしゃぐま</t>
    <phoneticPr fontId="1"/>
  </si>
  <si>
    <t>繁栄の申し子</t>
    <rPh sb="0" eb="2">
      <t>ハンエイ</t>
    </rPh>
    <rPh sb="3" eb="4">
      <t>モウ</t>
    </rPh>
    <rPh sb="5" eb="6">
      <t>ゴ</t>
    </rPh>
    <phoneticPr fontId="1"/>
  </si>
  <si>
    <t>名月姫</t>
    <phoneticPr fontId="1"/>
  </si>
  <si>
    <t>【バイク】織田信長</t>
    <phoneticPr fontId="1"/>
  </si>
  <si>
    <t>とれじゃーももたろう</t>
    <phoneticPr fontId="1"/>
  </si>
  <si>
    <t>所属一致ボーナス140％UP</t>
    <phoneticPr fontId="1"/>
  </si>
  <si>
    <t>全国</t>
    <rPh sb="0" eb="2">
      <t>ゼンコク</t>
    </rPh>
    <phoneticPr fontId="1"/>
  </si>
  <si>
    <t>東日本</t>
    <rPh sb="0" eb="1">
      <t>ヒガシ</t>
    </rPh>
    <rPh sb="1" eb="3">
      <t>ニホン</t>
    </rPh>
    <phoneticPr fontId="1"/>
  </si>
  <si>
    <t>SSR</t>
    <phoneticPr fontId="1"/>
  </si>
  <si>
    <t>SR</t>
    <phoneticPr fontId="1"/>
  </si>
  <si>
    <t>プリンセスショコラ</t>
    <phoneticPr fontId="1"/>
  </si>
  <si>
    <t>ぷりんせすしょこら</t>
    <phoneticPr fontId="1"/>
  </si>
  <si>
    <t>飲食</t>
    <rPh sb="0" eb="2">
      <t>インショク</t>
    </rPh>
    <phoneticPr fontId="1"/>
  </si>
  <si>
    <t>ショコラティエ</t>
    <phoneticPr fontId="1"/>
  </si>
  <si>
    <t>5進</t>
    <rPh sb="1" eb="2">
      <t>シン</t>
    </rPh>
    <phoneticPr fontId="1"/>
  </si>
  <si>
    <t>3進</t>
    <rPh sb="1" eb="2">
      <t>シン</t>
    </rPh>
    <phoneticPr fontId="1"/>
  </si>
  <si>
    <t>1進</t>
    <rPh sb="1" eb="2">
      <t>シン</t>
    </rPh>
    <phoneticPr fontId="1"/>
  </si>
  <si>
    <t>2020春爛漫の福引ガチャ</t>
    <rPh sb="4" eb="7">
      <t>ハルランマン</t>
    </rPh>
    <rPh sb="8" eb="10">
      <t>フクビキ</t>
    </rPh>
    <phoneticPr fontId="1"/>
  </si>
  <si>
    <t>西日本</t>
    <rPh sb="0" eb="1">
      <t>ニシ</t>
    </rPh>
    <rPh sb="1" eb="3">
      <t>ニホン</t>
    </rPh>
    <phoneticPr fontId="1"/>
  </si>
  <si>
    <t>九州・沖縄</t>
    <rPh sb="0" eb="2">
      <t>キュウシュウ</t>
    </rPh>
    <rPh sb="3" eb="5">
      <t>オキナワ</t>
    </rPh>
    <phoneticPr fontId="1"/>
  </si>
  <si>
    <t>中部</t>
    <rPh sb="0" eb="2">
      <t>チュウブ</t>
    </rPh>
    <phoneticPr fontId="1"/>
  </si>
  <si>
    <t>【ヴィランズ】春日局</t>
    <phoneticPr fontId="1"/>
  </si>
  <si>
    <t>服部半蔵</t>
    <rPh sb="0" eb="2">
      <t>ハットリ</t>
    </rPh>
    <rPh sb="2" eb="4">
      <t>ハンゾウ</t>
    </rPh>
    <phoneticPr fontId="1"/>
  </si>
  <si>
    <t>はっとりはんぞう</t>
    <phoneticPr fontId="1"/>
  </si>
  <si>
    <t>知性派</t>
    <rPh sb="0" eb="2">
      <t>チセイ</t>
    </rPh>
    <rPh sb="2" eb="3">
      <t>ハ</t>
    </rPh>
    <phoneticPr fontId="1"/>
  </si>
  <si>
    <t>初代服部半蔵保長</t>
    <rPh sb="0" eb="2">
      <t>ショダイ</t>
    </rPh>
    <rPh sb="2" eb="4">
      <t>ハットリ</t>
    </rPh>
    <rPh sb="4" eb="6">
      <t>ハンゾウ</t>
    </rPh>
    <rPh sb="6" eb="7">
      <t>タモツ</t>
    </rPh>
    <rPh sb="7" eb="8">
      <t>ナガ</t>
    </rPh>
    <phoneticPr fontId="1"/>
  </si>
  <si>
    <t>【鳥武人】後藤又兵衛</t>
    <rPh sb="1" eb="2">
      <t>トリ</t>
    </rPh>
    <rPh sb="2" eb="4">
      <t>ブジン</t>
    </rPh>
    <rPh sb="5" eb="7">
      <t>ゴトウ</t>
    </rPh>
    <rPh sb="7" eb="10">
      <t>マタベエ</t>
    </rPh>
    <phoneticPr fontId="1"/>
  </si>
  <si>
    <t>とりぶじんごとうまたべえ</t>
    <phoneticPr fontId="1"/>
  </si>
  <si>
    <t>武人</t>
    <rPh sb="0" eb="2">
      <t>ブジン</t>
    </rPh>
    <phoneticPr fontId="1"/>
  </si>
  <si>
    <t>智略と武勇の翼</t>
    <rPh sb="0" eb="2">
      <t>チリャク</t>
    </rPh>
    <rPh sb="3" eb="5">
      <t>ブユウ</t>
    </rPh>
    <rPh sb="6" eb="7">
      <t>ツバサ</t>
    </rPh>
    <phoneticPr fontId="1"/>
  </si>
  <si>
    <t>インベーダー</t>
    <phoneticPr fontId="1"/>
  </si>
  <si>
    <t>いんべーだー</t>
    <phoneticPr fontId="1"/>
  </si>
  <si>
    <t>名物</t>
    <rPh sb="0" eb="2">
      <t>メイブツ</t>
    </rPh>
    <phoneticPr fontId="1"/>
  </si>
  <si>
    <t>100円で打ち砕く侵略</t>
    <rPh sb="3" eb="4">
      <t>エン</t>
    </rPh>
    <rPh sb="5" eb="6">
      <t>ウ</t>
    </rPh>
    <rPh sb="7" eb="8">
      <t>クダ</t>
    </rPh>
    <rPh sb="9" eb="11">
      <t>シンリャク</t>
    </rPh>
    <phoneticPr fontId="1"/>
  </si>
  <si>
    <t>サイコロ行脚 英雄ガチャ</t>
    <rPh sb="4" eb="6">
      <t>アンギャ</t>
    </rPh>
    <rPh sb="7" eb="9">
      <t>エイユウ</t>
    </rPh>
    <phoneticPr fontId="1"/>
  </si>
  <si>
    <t>天撃皆伝ガチャ</t>
    <rPh sb="0" eb="1">
      <t>テン</t>
    </rPh>
    <rPh sb="1" eb="2">
      <t>ゲキ</t>
    </rPh>
    <rPh sb="2" eb="4">
      <t>カイデン</t>
    </rPh>
    <phoneticPr fontId="1"/>
  </si>
  <si>
    <t>3/17 12:00～3/19 23:59</t>
    <phoneticPr fontId="1"/>
  </si>
  <si>
    <t>戦神ガチャ</t>
    <rPh sb="0" eb="2">
      <t>センシン</t>
    </rPh>
    <phoneticPr fontId="1"/>
  </si>
  <si>
    <t>3/17 15:00～3/21 23:59</t>
    <phoneticPr fontId="1"/>
  </si>
  <si>
    <t>86012_0</t>
    <phoneticPr fontId="1"/>
  </si>
  <si>
    <t>86011_0</t>
    <phoneticPr fontId="1"/>
  </si>
  <si>
    <t>3進</t>
    <rPh sb="1" eb="2">
      <t>シン</t>
    </rPh>
    <phoneticPr fontId="1"/>
  </si>
  <si>
    <t>2進</t>
    <rPh sb="1" eb="2">
      <t>シン</t>
    </rPh>
    <phoneticPr fontId="1"/>
  </si>
  <si>
    <t>1進</t>
    <rPh sb="1" eb="2">
      <t>シン</t>
    </rPh>
    <phoneticPr fontId="1"/>
  </si>
  <si>
    <t>3/17 18:00～3/19 23:59</t>
    <phoneticPr fontId="1"/>
  </si>
  <si>
    <t>京舞</t>
    <phoneticPr fontId="1"/>
  </si>
  <si>
    <t>豪華玉手箱ガチャ</t>
    <rPh sb="0" eb="5">
      <t>ゴウカタマテバコ</t>
    </rPh>
    <phoneticPr fontId="1"/>
  </si>
  <si>
    <t>3/18 15:00～3/18 23:59</t>
    <phoneticPr fontId="1"/>
  </si>
  <si>
    <t>祝来！宝船福引ガチャ</t>
    <rPh sb="0" eb="2">
      <t>シュクライ</t>
    </rPh>
    <rPh sb="3" eb="5">
      <t>タカラブネ</t>
    </rPh>
    <rPh sb="5" eb="7">
      <t>フクビキ</t>
    </rPh>
    <phoneticPr fontId="1"/>
  </si>
  <si>
    <t>3/18 12:00～3/19 11:59</t>
    <phoneticPr fontId="1"/>
  </si>
  <si>
    <t>【王宮】篤姫</t>
    <phoneticPr fontId="1"/>
  </si>
  <si>
    <t>【ホワイトデー】黒百合伝説</t>
    <phoneticPr fontId="1"/>
  </si>
  <si>
    <t>[新生]原宿竹下通りちゃん</t>
    <rPh sb="1" eb="3">
      <t>シンセイ</t>
    </rPh>
    <rPh sb="4" eb="6">
      <t>ハラジュク</t>
    </rPh>
    <rPh sb="6" eb="8">
      <t>タケシタ</t>
    </rPh>
    <rPh sb="8" eb="9">
      <t>ドオ</t>
    </rPh>
    <phoneticPr fontId="1"/>
  </si>
  <si>
    <t>[新生]【エンジェル】佐保姫</t>
    <phoneticPr fontId="1"/>
  </si>
  <si>
    <t>中部</t>
    <rPh sb="0" eb="2">
      <t>チュウブ</t>
    </rPh>
    <phoneticPr fontId="1"/>
  </si>
  <si>
    <t>関東</t>
    <rPh sb="0" eb="2">
      <t>カントウ</t>
    </rPh>
    <phoneticPr fontId="1"/>
  </si>
  <si>
    <t>近畿</t>
    <rPh sb="0" eb="2">
      <t>キンキ</t>
    </rPh>
    <phoneticPr fontId="1"/>
  </si>
  <si>
    <t>西日本</t>
    <rPh sb="0" eb="1">
      <t>ニシ</t>
    </rPh>
    <rPh sb="1" eb="3">
      <t>ニホン</t>
    </rPh>
    <phoneticPr fontId="1"/>
  </si>
  <si>
    <t>東日本</t>
    <rPh sb="0" eb="1">
      <t>ヒガシ</t>
    </rPh>
    <rPh sb="1" eb="3">
      <t>ニホン</t>
    </rPh>
    <phoneticPr fontId="1"/>
  </si>
  <si>
    <t>全国</t>
    <rPh sb="0" eb="2">
      <t>ゼンコク</t>
    </rPh>
    <phoneticPr fontId="1"/>
  </si>
  <si>
    <t>妖怪</t>
    <rPh sb="0" eb="2">
      <t>ヨウカイ</t>
    </rPh>
    <phoneticPr fontId="1"/>
  </si>
  <si>
    <t>神秘</t>
    <rPh sb="0" eb="2">
      <t>シンピ</t>
    </rPh>
    <phoneticPr fontId="1"/>
  </si>
  <si>
    <t>姫</t>
    <rPh sb="0" eb="1">
      <t>ヒメ</t>
    </rPh>
    <phoneticPr fontId="1"/>
  </si>
  <si>
    <t>伝承</t>
    <rPh sb="0" eb="2">
      <t>デンショウ</t>
    </rPh>
    <phoneticPr fontId="1"/>
  </si>
  <si>
    <t>名物</t>
    <rPh sb="0" eb="2">
      <t>メイブツ</t>
    </rPh>
    <phoneticPr fontId="1"/>
  </si>
  <si>
    <t>SSR</t>
    <phoneticPr fontId="1"/>
  </si>
  <si>
    <t>【お天気のお姉さん】猫狸</t>
    <rPh sb="2" eb="4">
      <t>テンキ</t>
    </rPh>
    <rPh sb="6" eb="7">
      <t>ネエ</t>
    </rPh>
    <rPh sb="10" eb="11">
      <t>ネコ</t>
    </rPh>
    <rPh sb="11" eb="12">
      <t>ダヌキ</t>
    </rPh>
    <phoneticPr fontId="1"/>
  </si>
  <si>
    <t>2019/06四神戦</t>
    <phoneticPr fontId="1"/>
  </si>
  <si>
    <t>【漫画祭り】両面宿儺</t>
    <rPh sb="1" eb="3">
      <t>マンガ</t>
    </rPh>
    <rPh sb="3" eb="4">
      <t>マツ</t>
    </rPh>
    <rPh sb="6" eb="8">
      <t>リョウメン</t>
    </rPh>
    <rPh sb="8" eb="10">
      <t>スクナ</t>
    </rPh>
    <phoneticPr fontId="1"/>
  </si>
  <si>
    <t>2019/08四神戦</t>
    <phoneticPr fontId="1"/>
  </si>
  <si>
    <t>欲望のままに</t>
    <phoneticPr fontId="1"/>
  </si>
  <si>
    <t>タイプ神秘・知性派・飲食の防80％DOWN　/　タイプ神秘・飲食の攻25％UP</t>
  </si>
  <si>
    <t>まんがまつりりょうめんすくな</t>
    <phoneticPr fontId="1"/>
  </si>
  <si>
    <t>おてんきのおねえさんねこだぬき</t>
    <phoneticPr fontId="1"/>
  </si>
  <si>
    <t>どんな天気でも！</t>
    <phoneticPr fontId="1"/>
  </si>
  <si>
    <t>タイプ神秘・飲食の防90％DOWN　/　タイプ妖怪・名物の攻30％UP</t>
  </si>
  <si>
    <t>【雨姫の逆襲】濃姫</t>
    <rPh sb="1" eb="2">
      <t>アメ</t>
    </rPh>
    <rPh sb="2" eb="3">
      <t>ヒメ</t>
    </rPh>
    <rPh sb="4" eb="6">
      <t>ギャクシュウ</t>
    </rPh>
    <rPh sb="7" eb="9">
      <t>ノウヒメ</t>
    </rPh>
    <phoneticPr fontId="1"/>
  </si>
  <si>
    <t>2019/06防衛戦</t>
    <rPh sb="7" eb="10">
      <t>ボウエイセン</t>
    </rPh>
    <phoneticPr fontId="1"/>
  </si>
  <si>
    <t>雨乞い姫</t>
    <phoneticPr fontId="1"/>
  </si>
  <si>
    <t>あめひめのぎゃくしゅうのうひめ</t>
    <phoneticPr fontId="1"/>
  </si>
  <si>
    <t>2019/07四神戦</t>
    <phoneticPr fontId="1"/>
  </si>
  <si>
    <t>流行と文化の発信源</t>
    <phoneticPr fontId="1"/>
  </si>
  <si>
    <t>タイプ偉人・妖怪の防30％UP　/　タイプ【名物】の防20％UP</t>
  </si>
  <si>
    <t>しんせいはらじゅくたけしたどおりちゃん</t>
    <phoneticPr fontId="1"/>
  </si>
  <si>
    <t>2019/03四神戦</t>
    <phoneticPr fontId="1"/>
  </si>
  <si>
    <t>柔らかな春霞の天使</t>
    <phoneticPr fontId="1"/>
  </si>
  <si>
    <t>タイプ知性派・飲食の攻30％UP　/　タイプ【神秘】の攻20％UP</t>
  </si>
  <si>
    <t>しんせいえんじぇるさほひめ</t>
    <phoneticPr fontId="1"/>
  </si>
  <si>
    <t>2018/03サイコロ</t>
    <phoneticPr fontId="1"/>
  </si>
  <si>
    <t>恋愛分岐点は形とともに</t>
    <phoneticPr fontId="1"/>
  </si>
  <si>
    <t>タイプ武人・姫の攻30％UP　/　タイプ【伝承】の攻20％UP</t>
  </si>
  <si>
    <t>ほわいとでーくろゆりでんせつ</t>
    <phoneticPr fontId="1"/>
  </si>
  <si>
    <t>春分！天幻来迎ガチャ</t>
    <rPh sb="0" eb="2">
      <t>シュンブン</t>
    </rPh>
    <rPh sb="3" eb="4">
      <t>テン</t>
    </rPh>
    <rPh sb="4" eb="5">
      <t>ゲン</t>
    </rPh>
    <rPh sb="5" eb="7">
      <t>ライゴウ</t>
    </rPh>
    <phoneticPr fontId="1"/>
  </si>
  <si>
    <t>3/19 20:00～3/19 23:59</t>
    <phoneticPr fontId="1"/>
  </si>
  <si>
    <t>(10連)3/20 15:00～3/22 23:59</t>
    <rPh sb="3" eb="4">
      <t>レン</t>
    </rPh>
    <phoneticPr fontId="1"/>
  </si>
  <si>
    <t>(7連)3/20 15:00～3/22 23:59</t>
    <rPh sb="2" eb="3">
      <t>レン</t>
    </rPh>
    <phoneticPr fontId="1"/>
  </si>
  <si>
    <t>北海道・東北</t>
    <rPh sb="0" eb="3">
      <t>ホッカイドウ</t>
    </rPh>
    <rPh sb="4" eb="6">
      <t>トウホク</t>
    </rPh>
    <phoneticPr fontId="1"/>
  </si>
  <si>
    <t>中国・四国</t>
    <rPh sb="0" eb="2">
      <t>チュウゴク</t>
    </rPh>
    <rPh sb="3" eb="5">
      <t>シコク</t>
    </rPh>
    <phoneticPr fontId="1"/>
  </si>
  <si>
    <t>九州・沖縄</t>
    <rPh sb="0" eb="2">
      <t>キュウシュウ</t>
    </rPh>
    <rPh sb="3" eb="5">
      <t>オキナワ</t>
    </rPh>
    <phoneticPr fontId="1"/>
  </si>
  <si>
    <t>武人</t>
    <rPh sb="0" eb="2">
      <t>ブジン</t>
    </rPh>
    <phoneticPr fontId="1"/>
  </si>
  <si>
    <t>知性派</t>
    <rPh sb="0" eb="2">
      <t>チセイ</t>
    </rPh>
    <rPh sb="2" eb="3">
      <t>ハ</t>
    </rPh>
    <phoneticPr fontId="1"/>
  </si>
  <si>
    <t>【春分】アストレア</t>
    <rPh sb="1" eb="3">
      <t>シュンブン</t>
    </rPh>
    <phoneticPr fontId="1"/>
  </si>
  <si>
    <t>【春分】アグライアー</t>
    <rPh sb="1" eb="3">
      <t>シュンブン</t>
    </rPh>
    <phoneticPr fontId="1"/>
  </si>
  <si>
    <t>【春分】ジャターユ</t>
    <rPh sb="1" eb="3">
      <t>シュンブン</t>
    </rPh>
    <phoneticPr fontId="1"/>
  </si>
  <si>
    <t>【春分】クロリアンヌ</t>
    <rPh sb="1" eb="3">
      <t>シュンブン</t>
    </rPh>
    <phoneticPr fontId="1"/>
  </si>
  <si>
    <t>【春分】ヴィスナー</t>
    <rPh sb="1" eb="3">
      <t>シュンブン</t>
    </rPh>
    <phoneticPr fontId="1"/>
  </si>
  <si>
    <t>【春分】ラドゥンマ</t>
    <rPh sb="1" eb="3">
      <t>シュンブン</t>
    </rPh>
    <phoneticPr fontId="1"/>
  </si>
  <si>
    <t>しゅんぶんあすとれあ</t>
    <phoneticPr fontId="1"/>
  </si>
  <si>
    <t>しゅんぶんあぐらいあー</t>
    <phoneticPr fontId="1"/>
  </si>
  <si>
    <t>しゅんぶんじゃたーゆ</t>
    <phoneticPr fontId="1"/>
  </si>
  <si>
    <t>しゅんぶんくろりあんぬ</t>
    <phoneticPr fontId="1"/>
  </si>
  <si>
    <t>しゅんぶんびすなー</t>
    <phoneticPr fontId="1"/>
  </si>
  <si>
    <t>しゅんぶんらどぅんま</t>
    <phoneticPr fontId="1"/>
  </si>
  <si>
    <t>春謳う正義の女神</t>
    <rPh sb="0" eb="1">
      <t>ハル</t>
    </rPh>
    <rPh sb="1" eb="2">
      <t>ウタ</t>
    </rPh>
    <rPh sb="3" eb="5">
      <t>セイギ</t>
    </rPh>
    <rPh sb="6" eb="8">
      <t>メガミ</t>
    </rPh>
    <phoneticPr fontId="1"/>
  </si>
  <si>
    <t>春照らす優美の輝き</t>
    <rPh sb="0" eb="1">
      <t>ハル</t>
    </rPh>
    <rPh sb="1" eb="2">
      <t>テ</t>
    </rPh>
    <rPh sb="4" eb="6">
      <t>ユウビ</t>
    </rPh>
    <rPh sb="7" eb="8">
      <t>カガヤ</t>
    </rPh>
    <phoneticPr fontId="1"/>
  </si>
  <si>
    <t>春翔る王者の翼</t>
    <rPh sb="0" eb="1">
      <t>ハル</t>
    </rPh>
    <rPh sb="1" eb="2">
      <t>カケ</t>
    </rPh>
    <rPh sb="3" eb="5">
      <t>オウジャ</t>
    </rPh>
    <rPh sb="6" eb="7">
      <t>ツバサ</t>
    </rPh>
    <phoneticPr fontId="1"/>
  </si>
  <si>
    <t>春彩る声援の踊り子</t>
    <rPh sb="0" eb="1">
      <t>ハル</t>
    </rPh>
    <rPh sb="1" eb="2">
      <t>イロド</t>
    </rPh>
    <rPh sb="3" eb="5">
      <t>セイエン</t>
    </rPh>
    <rPh sb="6" eb="7">
      <t>オド</t>
    </rPh>
    <rPh sb="8" eb="9">
      <t>コ</t>
    </rPh>
    <phoneticPr fontId="1"/>
  </si>
  <si>
    <t>春誘う雪解けの精</t>
    <rPh sb="0" eb="1">
      <t>ハル</t>
    </rPh>
    <rPh sb="1" eb="2">
      <t>サソ</t>
    </rPh>
    <rPh sb="3" eb="5">
      <t>ユキド</t>
    </rPh>
    <rPh sb="7" eb="8">
      <t>セイ</t>
    </rPh>
    <phoneticPr fontId="1"/>
  </si>
  <si>
    <t>春奏でる胡蝶の舞</t>
    <rPh sb="0" eb="1">
      <t>ハル</t>
    </rPh>
    <rPh sb="1" eb="2">
      <t>カナ</t>
    </rPh>
    <rPh sb="4" eb="6">
      <t>コチョウ</t>
    </rPh>
    <rPh sb="7" eb="8">
      <t>マイ</t>
    </rPh>
    <phoneticPr fontId="1"/>
  </si>
  <si>
    <t>3/20 18:00～3/20 21:59</t>
    <phoneticPr fontId="1"/>
  </si>
  <si>
    <t>2017/03サイコロ</t>
    <phoneticPr fontId="1"/>
  </si>
  <si>
    <t>2017/03全国巡り</t>
    <phoneticPr fontId="1"/>
  </si>
  <si>
    <t>【山ガール】篤姫</t>
    <phoneticPr fontId="1"/>
  </si>
  <si>
    <t>2016/06全国巡り</t>
    <rPh sb="7" eb="9">
      <t>ゼンコク</t>
    </rPh>
    <rPh sb="9" eb="10">
      <t>メグ</t>
    </rPh>
    <phoneticPr fontId="1"/>
  </si>
  <si>
    <t>2016/07全国巡り</t>
    <rPh sb="7" eb="9">
      <t>ゼンコク</t>
    </rPh>
    <rPh sb="9" eb="10">
      <t>メグ</t>
    </rPh>
    <phoneticPr fontId="1"/>
  </si>
  <si>
    <t>2016/06龍神杯</t>
    <rPh sb="7" eb="9">
      <t>リュウジン</t>
    </rPh>
    <rPh sb="9" eb="10">
      <t>ハイ</t>
    </rPh>
    <phoneticPr fontId="1"/>
  </si>
  <si>
    <t>2016/07龍神杯</t>
    <rPh sb="7" eb="9">
      <t>リュウジン</t>
    </rPh>
    <rPh sb="9" eb="10">
      <t>ハイ</t>
    </rPh>
    <phoneticPr fontId="1"/>
  </si>
  <si>
    <t>2017/02天下統一戦</t>
    <rPh sb="7" eb="9">
      <t>テンカ</t>
    </rPh>
    <rPh sb="9" eb="11">
      <t>トウイツ</t>
    </rPh>
    <rPh sb="11" eb="12">
      <t>セン</t>
    </rPh>
    <phoneticPr fontId="1"/>
  </si>
  <si>
    <t>2017/03龍神杯</t>
    <rPh sb="7" eb="9">
      <t>リュウジン</t>
    </rPh>
    <rPh sb="9" eb="10">
      <t>ハイ</t>
    </rPh>
    <phoneticPr fontId="1"/>
  </si>
  <si>
    <t>―</t>
    <phoneticPr fontId="1"/>
  </si>
  <si>
    <t>2017/03防衛戦</t>
    <rPh sb="7" eb="10">
      <t>ボウエイセン</t>
    </rPh>
    <phoneticPr fontId="1"/>
  </si>
  <si>
    <t>2016/10龍神杯二部</t>
    <rPh sb="7" eb="9">
      <t>リュウジン</t>
    </rPh>
    <rPh sb="9" eb="10">
      <t>ハイ</t>
    </rPh>
    <phoneticPr fontId="1"/>
  </si>
  <si>
    <t>2017/01サイコロ</t>
    <phoneticPr fontId="1"/>
  </si>
  <si>
    <t>2017/04龍神杯</t>
    <rPh sb="7" eb="9">
      <t>リュウジン</t>
    </rPh>
    <rPh sb="9" eb="10">
      <t>ハイ</t>
    </rPh>
    <phoneticPr fontId="1"/>
  </si>
  <si>
    <t>2016/08天下統一戦</t>
    <rPh sb="7" eb="9">
      <t>テンカ</t>
    </rPh>
    <rPh sb="9" eb="11">
      <t>トウイツ</t>
    </rPh>
    <rPh sb="11" eb="12">
      <t>セン</t>
    </rPh>
    <phoneticPr fontId="1"/>
  </si>
  <si>
    <t>2016/12サイコロ</t>
    <phoneticPr fontId="1"/>
  </si>
  <si>
    <t>2017/11防衛戦</t>
    <rPh sb="7" eb="10">
      <t>ボウエイセン</t>
    </rPh>
    <phoneticPr fontId="1"/>
  </si>
  <si>
    <t>2017/12防衛戦</t>
    <rPh sb="7" eb="10">
      <t>ボウエイセン</t>
    </rPh>
    <phoneticPr fontId="1"/>
  </si>
  <si>
    <t>粕谷一葉</t>
    <phoneticPr fontId="1"/>
  </si>
  <si>
    <t>かすたにいちよう</t>
    <phoneticPr fontId="1"/>
  </si>
  <si>
    <t>2017/01防衛戦</t>
    <rPh sb="7" eb="10">
      <t>ボウエイセン</t>
    </rPh>
    <phoneticPr fontId="1"/>
  </si>
  <si>
    <t>2016/12防衛戦</t>
    <rPh sb="7" eb="10">
      <t>ボウエイセン</t>
    </rPh>
    <phoneticPr fontId="1"/>
  </si>
  <si>
    <t>2017/01全国巡り</t>
    <phoneticPr fontId="1"/>
  </si>
  <si>
    <t>2017/01龍神杯</t>
    <rPh sb="7" eb="9">
      <t>リュウジン</t>
    </rPh>
    <rPh sb="9" eb="10">
      <t>ハイ</t>
    </rPh>
    <phoneticPr fontId="1"/>
  </si>
  <si>
    <t>2018/02同盟戦</t>
    <rPh sb="7" eb="9">
      <t>ドウメイ</t>
    </rPh>
    <rPh sb="9" eb="10">
      <t>セン</t>
    </rPh>
    <phoneticPr fontId="1"/>
  </si>
  <si>
    <t>2017/01同盟戦</t>
    <rPh sb="7" eb="9">
      <t>ドウメイ</t>
    </rPh>
    <rPh sb="9" eb="10">
      <t>セン</t>
    </rPh>
    <phoneticPr fontId="1"/>
  </si>
  <si>
    <t>2018/02サイコロ</t>
    <phoneticPr fontId="1"/>
  </si>
  <si>
    <t>2017/09防衛戦</t>
    <rPh sb="7" eb="10">
      <t>ボウエイセン</t>
    </rPh>
    <phoneticPr fontId="1"/>
  </si>
  <si>
    <t>2017/08防衛戦</t>
    <rPh sb="7" eb="10">
      <t>ボウエイセン</t>
    </rPh>
    <phoneticPr fontId="1"/>
  </si>
  <si>
    <t>2017/10サイコロ</t>
    <phoneticPr fontId="1"/>
  </si>
  <si>
    <t>【インド神話】金色姫</t>
    <phoneticPr fontId="1"/>
  </si>
  <si>
    <t>2018/03四神戦</t>
    <rPh sb="7" eb="8">
      <t>ヨン</t>
    </rPh>
    <rPh sb="8" eb="9">
      <t>シン</t>
    </rPh>
    <rPh sb="9" eb="10">
      <t>セン</t>
    </rPh>
    <phoneticPr fontId="1"/>
  </si>
  <si>
    <t>2016/11防衛戦</t>
    <rPh sb="7" eb="10">
      <t>ボウエイセン</t>
    </rPh>
    <phoneticPr fontId="1"/>
  </si>
  <si>
    <t>2017/07防衛戦</t>
    <rPh sb="7" eb="10">
      <t>ボウエイセン</t>
    </rPh>
    <phoneticPr fontId="1"/>
  </si>
  <si>
    <t>2018/03サイコロ</t>
    <phoneticPr fontId="1"/>
  </si>
  <si>
    <t>2017/10全国巡り</t>
    <rPh sb="7" eb="9">
      <t>ゼンコク</t>
    </rPh>
    <rPh sb="9" eb="10">
      <t>メグ</t>
    </rPh>
    <phoneticPr fontId="1"/>
  </si>
  <si>
    <t>2017/09全国巡り</t>
    <rPh sb="7" eb="9">
      <t>ゼンコク</t>
    </rPh>
    <rPh sb="9" eb="10">
      <t>メグ</t>
    </rPh>
    <phoneticPr fontId="1"/>
  </si>
  <si>
    <t>2018/02防衛戦</t>
    <rPh sb="7" eb="10">
      <t>ボウエイセン</t>
    </rPh>
    <phoneticPr fontId="1"/>
  </si>
  <si>
    <t>2018/01四神戦</t>
    <rPh sb="7" eb="8">
      <t>ヨン</t>
    </rPh>
    <rPh sb="8" eb="9">
      <t>シン</t>
    </rPh>
    <rPh sb="9" eb="10">
      <t>セン</t>
    </rPh>
    <phoneticPr fontId="1"/>
  </si>
  <si>
    <t>2017/12龍神杯</t>
    <rPh sb="7" eb="9">
      <t>リュウジン</t>
    </rPh>
    <rPh sb="9" eb="10">
      <t>ハイ</t>
    </rPh>
    <phoneticPr fontId="1"/>
  </si>
  <si>
    <t>2018/01龍神杯</t>
    <rPh sb="7" eb="9">
      <t>リュウジン</t>
    </rPh>
    <rPh sb="9" eb="10">
      <t>ハイ</t>
    </rPh>
    <phoneticPr fontId="1"/>
  </si>
  <si>
    <t>2017/10龍神杯</t>
    <rPh sb="7" eb="9">
      <t>リュウジン</t>
    </rPh>
    <rPh sb="9" eb="10">
      <t>ハイ</t>
    </rPh>
    <phoneticPr fontId="1"/>
  </si>
  <si>
    <t>2017/10防衛戦</t>
    <rPh sb="7" eb="10">
      <t>ボウエイセン</t>
    </rPh>
    <phoneticPr fontId="1"/>
  </si>
  <si>
    <t>2018/07龍神杯</t>
    <rPh sb="7" eb="9">
      <t>リュウジン</t>
    </rPh>
    <rPh sb="9" eb="10">
      <t>ハイ</t>
    </rPh>
    <phoneticPr fontId="1"/>
  </si>
  <si>
    <t>2017/05天下統一戦</t>
    <rPh sb="7" eb="9">
      <t>テンカ</t>
    </rPh>
    <rPh sb="9" eb="11">
      <t>トウイツ</t>
    </rPh>
    <rPh sb="11" eb="12">
      <t>セン</t>
    </rPh>
    <phoneticPr fontId="1"/>
  </si>
  <si>
    <t>2018/10防衛戦</t>
    <rPh sb="7" eb="10">
      <t>ボウエイセン</t>
    </rPh>
    <phoneticPr fontId="1"/>
  </si>
  <si>
    <t>2017/09サイコロ</t>
    <phoneticPr fontId="1"/>
  </si>
  <si>
    <t>2017/12サイコロ</t>
    <phoneticPr fontId="1"/>
  </si>
  <si>
    <t>2018/08全国巡り</t>
    <rPh sb="7" eb="9">
      <t>ゼンコク</t>
    </rPh>
    <rPh sb="9" eb="10">
      <t>メグ</t>
    </rPh>
    <phoneticPr fontId="1"/>
  </si>
  <si>
    <t>2018/03防衛戦</t>
    <rPh sb="7" eb="10">
      <t>ボウエイセン</t>
    </rPh>
    <phoneticPr fontId="1"/>
  </si>
  <si>
    <t>2018/05防衛戦</t>
    <rPh sb="7" eb="10">
      <t>ボウエイセン</t>
    </rPh>
    <phoneticPr fontId="1"/>
  </si>
  <si>
    <t>2018/08サイコロ</t>
    <phoneticPr fontId="1"/>
  </si>
  <si>
    <t>2018/04防衛戦</t>
    <rPh sb="7" eb="10">
      <t>ボウエイセン</t>
    </rPh>
    <phoneticPr fontId="1"/>
  </si>
  <si>
    <t>2018/05サイコロ</t>
    <phoneticPr fontId="1"/>
  </si>
  <si>
    <t>2017/09龍神杯</t>
    <rPh sb="7" eb="9">
      <t>リュウジン</t>
    </rPh>
    <rPh sb="9" eb="10">
      <t>ハイ</t>
    </rPh>
    <phoneticPr fontId="1"/>
  </si>
  <si>
    <t>2018/07防衛戦</t>
    <rPh sb="7" eb="10">
      <t>ボウエイセン</t>
    </rPh>
    <phoneticPr fontId="1"/>
  </si>
  <si>
    <t>【お部屋】とちおとめちゃん</t>
    <phoneticPr fontId="1"/>
  </si>
  <si>
    <t>【三国黒】本多忠勝</t>
    <phoneticPr fontId="1"/>
  </si>
  <si>
    <t>観音山古墳</t>
    <phoneticPr fontId="1"/>
  </si>
  <si>
    <t>2018/01防衛戦</t>
    <rPh sb="7" eb="10">
      <t>ボウエイセン</t>
    </rPh>
    <phoneticPr fontId="1"/>
  </si>
  <si>
    <t>アメノフトダマノミコト</t>
    <phoneticPr fontId="1"/>
  </si>
  <si>
    <t>【月見酒】中野竹子</t>
    <phoneticPr fontId="1"/>
  </si>
  <si>
    <t>2018/09天下統一戦</t>
    <rPh sb="7" eb="9">
      <t>テンカ</t>
    </rPh>
    <rPh sb="9" eb="11">
      <t>トウイツ</t>
    </rPh>
    <rPh sb="11" eb="12">
      <t>セン</t>
    </rPh>
    <phoneticPr fontId="1"/>
  </si>
  <si>
    <t>【今昔百鬼拾遺】芭蕉精</t>
    <phoneticPr fontId="1"/>
  </si>
  <si>
    <t>生沢クノ</t>
    <phoneticPr fontId="1"/>
  </si>
  <si>
    <t>【職業体験】リュウグウノツカイ</t>
    <phoneticPr fontId="1"/>
  </si>
  <si>
    <t>2018/04サイコロ</t>
    <phoneticPr fontId="1"/>
  </si>
  <si>
    <t>信楽焼</t>
    <phoneticPr fontId="1"/>
  </si>
  <si>
    <t>2018/06四神戦</t>
    <rPh sb="7" eb="8">
      <t>ヨン</t>
    </rPh>
    <rPh sb="8" eb="9">
      <t>シン</t>
    </rPh>
    <rPh sb="9" eb="10">
      <t>セン</t>
    </rPh>
    <phoneticPr fontId="1"/>
  </si>
  <si>
    <t>熊野神社の神舞</t>
    <phoneticPr fontId="1"/>
  </si>
  <si>
    <t>2018/09防衛戦</t>
    <rPh sb="7" eb="10">
      <t>ボウエイセン</t>
    </rPh>
    <phoneticPr fontId="1"/>
  </si>
  <si>
    <t>英照皇太后</t>
    <phoneticPr fontId="1"/>
  </si>
  <si>
    <t>2018/03龍神杯</t>
    <rPh sb="7" eb="9">
      <t>リュウジン</t>
    </rPh>
    <rPh sb="9" eb="10">
      <t>ハイ</t>
    </rPh>
    <phoneticPr fontId="1"/>
  </si>
  <si>
    <t>すき焼きちゃん</t>
    <phoneticPr fontId="1"/>
  </si>
  <si>
    <t>2018/06サイコロ</t>
    <phoneticPr fontId="1"/>
  </si>
  <si>
    <t>海難法師</t>
    <phoneticPr fontId="1"/>
  </si>
  <si>
    <t>2018/08防衛戦</t>
    <rPh sb="7" eb="10">
      <t>ボウエイセン</t>
    </rPh>
    <phoneticPr fontId="1"/>
  </si>
  <si>
    <t>【みやこのタワー】瀬戸内レモン</t>
    <phoneticPr fontId="1"/>
  </si>
  <si>
    <t>2018/11天下統一戦</t>
    <rPh sb="7" eb="9">
      <t>テンカ</t>
    </rPh>
    <rPh sb="9" eb="11">
      <t>トウイツ</t>
    </rPh>
    <rPh sb="11" eb="12">
      <t>セン</t>
    </rPh>
    <phoneticPr fontId="1"/>
  </si>
  <si>
    <t>【お泊り女子会】一条美賀子</t>
    <phoneticPr fontId="1"/>
  </si>
  <si>
    <t>2018/12四神戦</t>
    <rPh sb="7" eb="8">
      <t>ヨン</t>
    </rPh>
    <rPh sb="8" eb="9">
      <t>シン</t>
    </rPh>
    <rPh sb="9" eb="10">
      <t>セン</t>
    </rPh>
    <phoneticPr fontId="1"/>
  </si>
  <si>
    <t>鮒女房</t>
    <phoneticPr fontId="1"/>
  </si>
  <si>
    <t>2018/10全国巡り</t>
    <rPh sb="7" eb="9">
      <t>ゼンコク</t>
    </rPh>
    <rPh sb="9" eb="10">
      <t>メグ</t>
    </rPh>
    <phoneticPr fontId="1"/>
  </si>
  <si>
    <t>デカ盛りタコライス</t>
    <phoneticPr fontId="1"/>
  </si>
  <si>
    <t>船引神楽</t>
    <phoneticPr fontId="1"/>
  </si>
  <si>
    <t>[新生]【冥暗】不知火</t>
    <phoneticPr fontId="1"/>
  </si>
  <si>
    <t>2018/11防衛戦</t>
    <rPh sb="7" eb="10">
      <t>ボウエイセン</t>
    </rPh>
    <phoneticPr fontId="1"/>
  </si>
  <si>
    <t>【湯けむり】お愛の方</t>
    <phoneticPr fontId="1"/>
  </si>
  <si>
    <t>2018/10四神戦</t>
    <rPh sb="7" eb="8">
      <t>ヨン</t>
    </rPh>
    <rPh sb="8" eb="9">
      <t>シン</t>
    </rPh>
    <rPh sb="9" eb="10">
      <t>セン</t>
    </rPh>
    <phoneticPr fontId="1"/>
  </si>
  <si>
    <t>兵頭精</t>
    <phoneticPr fontId="1"/>
  </si>
  <si>
    <t>2018/08四神戦</t>
    <rPh sb="7" eb="8">
      <t>ヨン</t>
    </rPh>
    <rPh sb="8" eb="9">
      <t>シン</t>
    </rPh>
    <rPh sb="9" eb="10">
      <t>セン</t>
    </rPh>
    <phoneticPr fontId="1"/>
  </si>
  <si>
    <t>登呂遺跡</t>
    <phoneticPr fontId="1"/>
  </si>
  <si>
    <t>【ウィンタースポーツ】木村曙</t>
    <phoneticPr fontId="1"/>
  </si>
  <si>
    <t>2018/01サイコロ</t>
    <phoneticPr fontId="1"/>
  </si>
  <si>
    <t>フラワーパーク浦島</t>
    <phoneticPr fontId="1"/>
  </si>
  <si>
    <t>2018/10サイコロ</t>
    <phoneticPr fontId="1"/>
  </si>
  <si>
    <t>【山ガール秋】赤井輝子</t>
    <phoneticPr fontId="1"/>
  </si>
  <si>
    <t>2018/11サイコロ</t>
    <phoneticPr fontId="1"/>
  </si>
  <si>
    <t>平家蟹</t>
    <phoneticPr fontId="1"/>
  </si>
  <si>
    <t>[新生]吉備津彦命</t>
    <phoneticPr fontId="1"/>
  </si>
  <si>
    <t>2018/06龍神杯</t>
    <rPh sb="7" eb="9">
      <t>リュウジン</t>
    </rPh>
    <rPh sb="9" eb="10">
      <t>ハイ</t>
    </rPh>
    <phoneticPr fontId="1"/>
  </si>
  <si>
    <t>優曇華</t>
    <phoneticPr fontId="1"/>
  </si>
  <si>
    <t>2017/11天下統一戦</t>
    <rPh sb="7" eb="9">
      <t>テンカ</t>
    </rPh>
    <rPh sb="9" eb="11">
      <t>トウイツ</t>
    </rPh>
    <rPh sb="11" eb="12">
      <t>セン</t>
    </rPh>
    <phoneticPr fontId="1"/>
  </si>
  <si>
    <t>2018/07四神戦</t>
    <rPh sb="7" eb="8">
      <t>ヨン</t>
    </rPh>
    <rPh sb="8" eb="9">
      <t>シン</t>
    </rPh>
    <rPh sb="9" eb="10">
      <t>セン</t>
    </rPh>
    <phoneticPr fontId="1"/>
  </si>
  <si>
    <t>天糠戸命</t>
    <phoneticPr fontId="1"/>
  </si>
  <si>
    <t>【世紀末】ぬらりひょん</t>
    <phoneticPr fontId="1"/>
  </si>
  <si>
    <t>【年末大掃除】アプトルヤムペウェンユク</t>
    <phoneticPr fontId="1"/>
  </si>
  <si>
    <t>2018/12全国巡り</t>
    <rPh sb="7" eb="9">
      <t>ゼンコク</t>
    </rPh>
    <rPh sb="9" eb="10">
      <t>メグ</t>
    </rPh>
    <phoneticPr fontId="1"/>
  </si>
  <si>
    <t>仙石秀久</t>
    <phoneticPr fontId="1"/>
  </si>
  <si>
    <t>久延毘古</t>
    <phoneticPr fontId="1"/>
  </si>
  <si>
    <t>2018/09サイコロ</t>
    <phoneticPr fontId="1"/>
  </si>
  <si>
    <t>【ウィンタースポーツ】ルビー</t>
    <phoneticPr fontId="1"/>
  </si>
  <si>
    <t>2019/01サイコロ</t>
    <phoneticPr fontId="1"/>
  </si>
  <si>
    <t>【雪の唄】長谷川時雨</t>
    <phoneticPr fontId="1"/>
  </si>
  <si>
    <t>2018/12サイコロ</t>
    <phoneticPr fontId="1"/>
  </si>
  <si>
    <t>【暴年会】井伊直政</t>
    <phoneticPr fontId="1"/>
  </si>
  <si>
    <t>2018/12防衛戦</t>
    <rPh sb="7" eb="10">
      <t>ボウエイセン</t>
    </rPh>
    <phoneticPr fontId="1"/>
  </si>
  <si>
    <t>[新生]ズワイガニちゃん</t>
    <phoneticPr fontId="1"/>
  </si>
  <si>
    <t>2018/05龍神杯</t>
    <rPh sb="7" eb="9">
      <t>リュウジン</t>
    </rPh>
    <rPh sb="9" eb="10">
      <t>ハイ</t>
    </rPh>
    <phoneticPr fontId="1"/>
  </si>
  <si>
    <t>[新生]錦絵の姉様</t>
    <phoneticPr fontId="1"/>
  </si>
  <si>
    <t>[新生]白川郷ちゃん</t>
    <phoneticPr fontId="1"/>
  </si>
  <si>
    <t>2018/09四神戦</t>
    <rPh sb="7" eb="8">
      <t>ヨン</t>
    </rPh>
    <rPh sb="8" eb="9">
      <t>シン</t>
    </rPh>
    <rPh sb="9" eb="10">
      <t>セン</t>
    </rPh>
    <phoneticPr fontId="1"/>
  </si>
  <si>
    <t>【春一番】原宿ロリータちゃん</t>
    <phoneticPr fontId="1"/>
  </si>
  <si>
    <t>2019/03四神戦</t>
    <rPh sb="7" eb="8">
      <t>ヨン</t>
    </rPh>
    <rPh sb="8" eb="9">
      <t>シン</t>
    </rPh>
    <rPh sb="9" eb="10">
      <t>セン</t>
    </rPh>
    <phoneticPr fontId="1"/>
  </si>
  <si>
    <t>【亥年】耳なし芳一</t>
    <phoneticPr fontId="1"/>
  </si>
  <si>
    <t>2019/01四神戦</t>
    <rPh sb="7" eb="8">
      <t>ヨン</t>
    </rPh>
    <rPh sb="8" eb="9">
      <t>シン</t>
    </rPh>
    <rPh sb="9" eb="10">
      <t>セン</t>
    </rPh>
    <phoneticPr fontId="1"/>
  </si>
  <si>
    <t>【七福神】ワカウカノメノミコト</t>
    <phoneticPr fontId="1"/>
  </si>
  <si>
    <t>2019/01防衛戦</t>
    <rPh sb="7" eb="10">
      <t>ボウエイセン</t>
    </rPh>
    <phoneticPr fontId="1"/>
  </si>
  <si>
    <t>【鍋パーティ】高場乱</t>
    <phoneticPr fontId="1"/>
  </si>
  <si>
    <t>2019/02四神戦</t>
    <rPh sb="7" eb="8">
      <t>ヨン</t>
    </rPh>
    <rPh sb="8" eb="9">
      <t>シン</t>
    </rPh>
    <rPh sb="9" eb="10">
      <t>セン</t>
    </rPh>
    <phoneticPr fontId="1"/>
  </si>
  <si>
    <t>【響き渡る音色】松尾多勢子</t>
    <phoneticPr fontId="1"/>
  </si>
  <si>
    <t>2019/02サイコロ</t>
    <phoneticPr fontId="1"/>
  </si>
  <si>
    <t>【将棋】からくり儀右衛門</t>
    <phoneticPr fontId="1"/>
  </si>
  <si>
    <t>2019/02防衛戦</t>
    <rPh sb="7" eb="10">
      <t>ボウエイセン</t>
    </rPh>
    <phoneticPr fontId="1"/>
  </si>
  <si>
    <t>[新生]ペケレチュプカムイ</t>
    <phoneticPr fontId="1"/>
  </si>
  <si>
    <t>[新生]【日本三大桜】山高神代桜</t>
    <phoneticPr fontId="1"/>
  </si>
  <si>
    <t>2019/04四神戦</t>
    <rPh sb="7" eb="8">
      <t>ヨン</t>
    </rPh>
    <rPh sb="8" eb="9">
      <t>シン</t>
    </rPh>
    <rPh sb="9" eb="10">
      <t>セン</t>
    </rPh>
    <phoneticPr fontId="1"/>
  </si>
  <si>
    <t>【西部劇】徳川慶喜</t>
    <phoneticPr fontId="1"/>
  </si>
  <si>
    <t>2019/03天下統一戦</t>
    <rPh sb="7" eb="9">
      <t>テンカ</t>
    </rPh>
    <rPh sb="9" eb="11">
      <t>トウイツ</t>
    </rPh>
    <rPh sb="11" eb="12">
      <t>セン</t>
    </rPh>
    <phoneticPr fontId="1"/>
  </si>
  <si>
    <t>【ホワイトデー】とんこつラーメン</t>
    <phoneticPr fontId="1"/>
  </si>
  <si>
    <t>2019/03サイコロ</t>
    <phoneticPr fontId="1"/>
  </si>
  <si>
    <t>【花粉襲来】星神様</t>
    <phoneticPr fontId="1"/>
  </si>
  <si>
    <t>2019/03防衛戦</t>
    <rPh sb="7" eb="10">
      <t>ボウエイセン</t>
    </rPh>
    <phoneticPr fontId="1"/>
  </si>
  <si>
    <t>[新生]幸若舞</t>
    <phoneticPr fontId="1"/>
  </si>
  <si>
    <t>[新生]【幸運】管狐</t>
    <phoneticPr fontId="1"/>
  </si>
  <si>
    <t>【SHINOBI】池玉瀾</t>
    <phoneticPr fontId="1"/>
  </si>
  <si>
    <t>【復活祭】縊鬼</t>
    <phoneticPr fontId="1"/>
  </si>
  <si>
    <t>2019/04サイコロ</t>
    <phoneticPr fontId="1"/>
  </si>
  <si>
    <t>【うたたね】淀殿</t>
    <phoneticPr fontId="1"/>
  </si>
  <si>
    <t>【番長】虎徹</t>
    <phoneticPr fontId="1"/>
  </si>
  <si>
    <t>2019/04防衛戦</t>
    <rPh sb="7" eb="10">
      <t>ボウエイセン</t>
    </rPh>
    <phoneticPr fontId="1"/>
  </si>
  <si>
    <t>明石焼きちゃん</t>
    <phoneticPr fontId="1"/>
  </si>
  <si>
    <t>2018/06同盟戦</t>
    <rPh sb="7" eb="9">
      <t>ドウメイ</t>
    </rPh>
    <rPh sb="9" eb="10">
      <t>セン</t>
    </rPh>
    <phoneticPr fontId="1"/>
  </si>
  <si>
    <t>2017/08同盟戦</t>
    <rPh sb="7" eb="9">
      <t>ドウメイ</t>
    </rPh>
    <rPh sb="9" eb="10">
      <t>セン</t>
    </rPh>
    <phoneticPr fontId="1"/>
  </si>
  <si>
    <t>[新生]彦山豊前坊</t>
    <phoneticPr fontId="1"/>
  </si>
  <si>
    <t>【茶屋むすめ】村雨丸</t>
    <phoneticPr fontId="1"/>
  </si>
  <si>
    <t>2018/11四神戦</t>
    <rPh sb="7" eb="8">
      <t>ヨン</t>
    </rPh>
    <rPh sb="8" eb="9">
      <t>シン</t>
    </rPh>
    <rPh sb="9" eb="10">
      <t>セン</t>
    </rPh>
    <phoneticPr fontId="1"/>
  </si>
  <si>
    <t>【新社会人】坊っちゃん</t>
    <phoneticPr fontId="1"/>
  </si>
  <si>
    <t>2019/04全国巡り</t>
    <rPh sb="7" eb="9">
      <t>ゼンコク</t>
    </rPh>
    <rPh sb="9" eb="10">
      <t>メグ</t>
    </rPh>
    <phoneticPr fontId="1"/>
  </si>
  <si>
    <t>【サーカス】イバラキヤンキー</t>
    <phoneticPr fontId="1"/>
  </si>
  <si>
    <t>2019/05防衛戦</t>
    <rPh sb="7" eb="10">
      <t>ボウエイセン</t>
    </rPh>
    <phoneticPr fontId="1"/>
  </si>
  <si>
    <t>[新生]柳生宗厳</t>
    <phoneticPr fontId="1"/>
  </si>
  <si>
    <t>2018/09天下統一戦</t>
    <rPh sb="7" eb="12">
      <t>テンカトウイツセン</t>
    </rPh>
    <phoneticPr fontId="1"/>
  </si>
  <si>
    <t>[新生]ラグーザ玉</t>
    <phoneticPr fontId="1"/>
  </si>
  <si>
    <t>【ジョギング】金印ちゃん</t>
    <phoneticPr fontId="1"/>
  </si>
  <si>
    <t>2019/10サイコロ</t>
    <phoneticPr fontId="1"/>
  </si>
  <si>
    <t>【フレッシュミルク】欲深女房</t>
    <phoneticPr fontId="1"/>
  </si>
  <si>
    <t>2019/07天下統一戦</t>
    <rPh sb="7" eb="12">
      <t>テンカトウイツセン</t>
    </rPh>
    <phoneticPr fontId="1"/>
  </si>
  <si>
    <t>【プチデビル】北海道バターちゃん</t>
    <phoneticPr fontId="1"/>
  </si>
  <si>
    <t>2019/05天下統一戦</t>
    <rPh sb="7" eb="12">
      <t>テンカトウイツセン</t>
    </rPh>
    <phoneticPr fontId="1"/>
  </si>
  <si>
    <t>祝来！宝船福引ガチャ</t>
    <rPh sb="0" eb="1">
      <t>シュク</t>
    </rPh>
    <rPh sb="1" eb="2">
      <t>ライ</t>
    </rPh>
    <rPh sb="3" eb="7">
      <t>タカラブネフクビキ</t>
    </rPh>
    <phoneticPr fontId="1"/>
  </si>
  <si>
    <t>3/21 15:00～3/22 14:59</t>
    <phoneticPr fontId="1"/>
  </si>
  <si>
    <t>超攻撃ガチャ</t>
    <rPh sb="0" eb="1">
      <t>チョウ</t>
    </rPh>
    <rPh sb="1" eb="3">
      <t>コウゲキ</t>
    </rPh>
    <phoneticPr fontId="1"/>
  </si>
  <si>
    <t>中国・四国</t>
    <rPh sb="0" eb="2">
      <t>チュウゴク</t>
    </rPh>
    <rPh sb="3" eb="5">
      <t>シコク</t>
    </rPh>
    <phoneticPr fontId="1"/>
  </si>
  <si>
    <t>関東</t>
    <rPh sb="0" eb="2">
      <t>カントウ</t>
    </rPh>
    <phoneticPr fontId="1"/>
  </si>
  <si>
    <t>神秘</t>
    <rPh sb="0" eb="2">
      <t>シンピ</t>
    </rPh>
    <phoneticPr fontId="1"/>
  </si>
  <si>
    <t>知性派</t>
    <rPh sb="0" eb="2">
      <t>チセイ</t>
    </rPh>
    <rPh sb="2" eb="3">
      <t>ハ</t>
    </rPh>
    <phoneticPr fontId="1"/>
  </si>
  <si>
    <t>まふぃああっかえっか</t>
    <phoneticPr fontId="1"/>
  </si>
  <si>
    <t>狂気の双子</t>
    <rPh sb="0" eb="2">
      <t>キョウキ</t>
    </rPh>
    <rPh sb="3" eb="5">
      <t>フタゴ</t>
    </rPh>
    <phoneticPr fontId="1"/>
  </si>
  <si>
    <t>【マフィア】アッカエッカ</t>
    <phoneticPr fontId="1"/>
  </si>
  <si>
    <t>【マフィア】エリス</t>
    <phoneticPr fontId="1"/>
  </si>
  <si>
    <t>まふぃあえりす</t>
    <phoneticPr fontId="1"/>
  </si>
  <si>
    <t>狂乱と独裁の鞭</t>
    <rPh sb="0" eb="2">
      <t>キョウラン</t>
    </rPh>
    <rPh sb="3" eb="5">
      <t>ドクサイ</t>
    </rPh>
    <rPh sb="6" eb="7">
      <t>ムチ</t>
    </rPh>
    <phoneticPr fontId="1"/>
  </si>
  <si>
    <t>復活ZRチケ・セットC</t>
    <phoneticPr fontId="1"/>
  </si>
  <si>
    <t>復活ZRチケ・セットB</t>
  </si>
  <si>
    <t>復活ZRチケ・セットA</t>
  </si>
  <si>
    <t>復活ZRチケ・セットB(なぜか1進表示)</t>
    <rPh sb="16" eb="17">
      <t>シン</t>
    </rPh>
    <rPh sb="17" eb="19">
      <t>ヒョウジ</t>
    </rPh>
    <phoneticPr fontId="1"/>
  </si>
  <si>
    <t>セットBの富主姫→コシヒカリちゃん</t>
    <phoneticPr fontId="1"/>
  </si>
  <si>
    <t>復活ZRチケ・セットB(なぜか1進表示)</t>
    <phoneticPr fontId="1"/>
  </si>
  <si>
    <t>1進数値を参考値として残すために一応記録</t>
    <rPh sb="1" eb="2">
      <t>シン</t>
    </rPh>
    <rPh sb="2" eb="4">
      <t>スウチ</t>
    </rPh>
    <rPh sb="5" eb="7">
      <t>サンコウ</t>
    </rPh>
    <rPh sb="7" eb="8">
      <t>アタイ</t>
    </rPh>
    <rPh sb="11" eb="12">
      <t>ノコ</t>
    </rPh>
    <rPh sb="16" eb="18">
      <t>イチオウ</t>
    </rPh>
    <rPh sb="18" eb="20">
      <t>キロク</t>
    </rPh>
    <phoneticPr fontId="1"/>
  </si>
  <si>
    <t>偉人</t>
    <rPh sb="0" eb="2">
      <t>イジン</t>
    </rPh>
    <phoneticPr fontId="1"/>
  </si>
  <si>
    <t>北海道・東北</t>
    <rPh sb="0" eb="3">
      <t>ホッカイドウ</t>
    </rPh>
    <rPh sb="4" eb="6">
      <t>トウホク</t>
    </rPh>
    <phoneticPr fontId="1"/>
  </si>
  <si>
    <t>中部</t>
    <rPh sb="0" eb="2">
      <t>チュウブ</t>
    </rPh>
    <phoneticPr fontId="1"/>
  </si>
  <si>
    <t>まふぃあどなろれんつぁ</t>
    <phoneticPr fontId="1"/>
  </si>
  <si>
    <t>まふぃあびりか</t>
    <phoneticPr fontId="1"/>
  </si>
  <si>
    <t>【マフィア】ドナ・ロレンツァ</t>
    <phoneticPr fontId="1"/>
  </si>
  <si>
    <t>【マフィア】ヴィリカ</t>
    <phoneticPr fontId="1"/>
  </si>
  <si>
    <t>組織を束ねるカリスマ</t>
    <rPh sb="0" eb="2">
      <t>ソシキ</t>
    </rPh>
    <rPh sb="3" eb="4">
      <t>タバ</t>
    </rPh>
    <phoneticPr fontId="1"/>
  </si>
  <si>
    <t>孤高のスナイパー</t>
    <rPh sb="0" eb="2">
      <t>ココウ</t>
    </rPh>
    <phoneticPr fontId="1"/>
  </si>
  <si>
    <t>超防御ガチャ</t>
    <rPh sb="0" eb="1">
      <t>チョウ</t>
    </rPh>
    <rPh sb="1" eb="3">
      <t>ボウギョ</t>
    </rPh>
    <phoneticPr fontId="1"/>
  </si>
  <si>
    <t>天クロウィークガチャ</t>
    <rPh sb="0" eb="1">
      <t>テン</t>
    </rPh>
    <phoneticPr fontId="1"/>
  </si>
  <si>
    <t>SP</t>
    <phoneticPr fontId="1"/>
  </si>
  <si>
    <t>全国</t>
    <phoneticPr fontId="1"/>
  </si>
  <si>
    <t>天クロ伝統工芸</t>
    <rPh sb="0" eb="1">
      <t>テン</t>
    </rPh>
    <rPh sb="3" eb="5">
      <t>デントウ</t>
    </rPh>
    <rPh sb="5" eb="7">
      <t>コウゲイ</t>
    </rPh>
    <phoneticPr fontId="1"/>
  </si>
  <si>
    <t>てんくろでんとうこうげい</t>
    <phoneticPr fontId="1"/>
  </si>
  <si>
    <t>名物</t>
    <phoneticPr fontId="1"/>
  </si>
  <si>
    <t>受け継がれし木彫りの工芸</t>
    <rPh sb="0" eb="1">
      <t>ウ</t>
    </rPh>
    <rPh sb="2" eb="3">
      <t>ツ</t>
    </rPh>
    <rPh sb="6" eb="7">
      <t>キ</t>
    </rPh>
    <rPh sb="7" eb="8">
      <t>ボ</t>
    </rPh>
    <rPh sb="10" eb="12">
      <t>コウゲイ</t>
    </rPh>
    <phoneticPr fontId="1"/>
  </si>
  <si>
    <t>(10連)3/22 15:00～3/24 23:59</t>
    <rPh sb="3" eb="4">
      <t>レン</t>
    </rPh>
    <phoneticPr fontId="1"/>
  </si>
  <si>
    <t>(3連)3/22 15:00～3/24 23:59</t>
    <phoneticPr fontId="1"/>
  </si>
  <si>
    <t>88143_0</t>
    <phoneticPr fontId="1"/>
  </si>
  <si>
    <t>87453_0</t>
    <phoneticPr fontId="1"/>
  </si>
  <si>
    <t>同盟戦 英雄ガチャ</t>
    <rPh sb="0" eb="2">
      <t>ドウメイ</t>
    </rPh>
    <rPh sb="2" eb="3">
      <t>セン</t>
    </rPh>
    <rPh sb="4" eb="6">
      <t>エイユウ</t>
    </rPh>
    <phoneticPr fontId="1"/>
  </si>
  <si>
    <t>しんせいなりわあたごおおはなびちゃん</t>
    <phoneticPr fontId="1"/>
  </si>
  <si>
    <t>名物</t>
    <rPh sb="0" eb="2">
      <t>メイブツ</t>
    </rPh>
    <phoneticPr fontId="1"/>
  </si>
  <si>
    <t>伝統的からくり花火</t>
    <rPh sb="0" eb="3">
      <t>デントウテキ</t>
    </rPh>
    <rPh sb="7" eb="9">
      <t>ハナビ</t>
    </rPh>
    <phoneticPr fontId="1"/>
  </si>
  <si>
    <t>[新生]成羽愛宕大花火ちゃん</t>
    <rPh sb="1" eb="3">
      <t>シンセイ</t>
    </rPh>
    <rPh sb="4" eb="6">
      <t>ナリワ</t>
    </rPh>
    <rPh sb="6" eb="8">
      <t>アタゴ</t>
    </rPh>
    <rPh sb="8" eb="9">
      <t>オオ</t>
    </rPh>
    <rPh sb="9" eb="11">
      <t>ハナビ</t>
    </rPh>
    <phoneticPr fontId="1"/>
  </si>
  <si>
    <t>R</t>
    <phoneticPr fontId="1"/>
  </si>
  <si>
    <t>岡山</t>
    <rPh sb="0" eb="2">
      <t>オカヤマ</t>
    </rPh>
    <phoneticPr fontId="1"/>
  </si>
  <si>
    <t>3/23 11:00～3/23 23:59</t>
    <phoneticPr fontId="1"/>
  </si>
  <si>
    <t>―</t>
    <phoneticPr fontId="1"/>
  </si>
  <si>
    <t>豪華玉手箱ガチャ</t>
    <rPh sb="0" eb="5">
      <t>ゴウカタマテバコ</t>
    </rPh>
    <phoneticPr fontId="1"/>
  </si>
  <si>
    <t>3/23 15:00～3/23 23:59</t>
    <phoneticPr fontId="1"/>
  </si>
  <si>
    <t>3/24 11:00～3/24 23:59</t>
    <phoneticPr fontId="1"/>
  </si>
  <si>
    <t>HR</t>
    <phoneticPr fontId="1"/>
  </si>
  <si>
    <t>九州・沖縄</t>
    <rPh sb="0" eb="2">
      <t>キュウシュウ</t>
    </rPh>
    <rPh sb="3" eb="5">
      <t>オキナワ</t>
    </rPh>
    <phoneticPr fontId="1"/>
  </si>
  <si>
    <t>[新生]【薙刀】幾島</t>
    <rPh sb="1" eb="3">
      <t>シンセイ</t>
    </rPh>
    <rPh sb="5" eb="7">
      <t>ナギナタ</t>
    </rPh>
    <rPh sb="8" eb="10">
      <t>イクシマ</t>
    </rPh>
    <phoneticPr fontId="1"/>
  </si>
  <si>
    <t>しんせいなぎなたいくしま</t>
    <phoneticPr fontId="1"/>
  </si>
  <si>
    <t>偉人</t>
    <rPh sb="0" eb="2">
      <t>イジン</t>
    </rPh>
    <phoneticPr fontId="1"/>
  </si>
  <si>
    <t>形なき贈り物</t>
    <rPh sb="0" eb="1">
      <t>カタチ</t>
    </rPh>
    <rPh sb="3" eb="4">
      <t>オク</t>
    </rPh>
    <rPh sb="5" eb="6">
      <t>モノ</t>
    </rPh>
    <phoneticPr fontId="1"/>
  </si>
  <si>
    <t>天クロ演義ガチャ(なぜかZR万里姫が1進表示)</t>
    <rPh sb="0" eb="1">
      <t>テン</t>
    </rPh>
    <rPh sb="3" eb="5">
      <t>エンギ</t>
    </rPh>
    <rPh sb="14" eb="16">
      <t>マリ</t>
    </rPh>
    <rPh sb="16" eb="17">
      <t>ヒメ</t>
    </rPh>
    <rPh sb="19" eb="20">
      <t>シン</t>
    </rPh>
    <rPh sb="20" eb="22">
      <t>ヒョウジ</t>
    </rPh>
    <phoneticPr fontId="1"/>
  </si>
  <si>
    <t>3/24 20:00～3/24 23:59</t>
    <phoneticPr fontId="1"/>
  </si>
  <si>
    <t>―</t>
    <phoneticPr fontId="1"/>
  </si>
  <si>
    <t>蠱惑ノ行烈</t>
    <phoneticPr fontId="1"/>
  </si>
  <si>
    <t>一定時間、敵が多いほど自軍のダメージ軽減</t>
    <phoneticPr fontId="1"/>
  </si>
  <si>
    <t>降雪舞踊</t>
    <phoneticPr fontId="1"/>
  </si>
  <si>
    <t>召喚アビ効果</t>
    <rPh sb="0" eb="2">
      <t>ショウカン</t>
    </rPh>
    <rPh sb="4" eb="6">
      <t>コウカ</t>
    </rPh>
    <phoneticPr fontId="1"/>
  </si>
  <si>
    <t>戦技効果</t>
    <rPh sb="0" eb="2">
      <t>センギ</t>
    </rPh>
    <rPh sb="2" eb="4">
      <t>コウカ</t>
    </rPh>
    <phoneticPr fontId="1"/>
  </si>
  <si>
    <t>スキル効果</t>
    <rPh sb="3" eb="5">
      <t>コウカ</t>
    </rPh>
    <phoneticPr fontId="1"/>
  </si>
  <si>
    <t>3/25 18:00～3/27 23:59</t>
    <phoneticPr fontId="1"/>
  </si>
  <si>
    <t>全国巡り 星空貫く弓弩の女神ガチャ</t>
    <rPh sb="0" eb="2">
      <t>ゼンコク</t>
    </rPh>
    <rPh sb="2" eb="3">
      <t>メグ</t>
    </rPh>
    <rPh sb="5" eb="7">
      <t>ホシゾラ</t>
    </rPh>
    <rPh sb="7" eb="8">
      <t>ツラヌ</t>
    </rPh>
    <rPh sb="9" eb="10">
      <t>ユミ</t>
    </rPh>
    <rPh sb="10" eb="11">
      <t>ド</t>
    </rPh>
    <rPh sb="12" eb="14">
      <t>メガミ</t>
    </rPh>
    <phoneticPr fontId="1"/>
  </si>
  <si>
    <t>(DX)3/25 12:00～3/31 19:59</t>
    <phoneticPr fontId="1"/>
  </si>
  <si>
    <t>(Lvアップ)3/25 12:00～3/31 19:59</t>
    <phoneticPr fontId="1"/>
  </si>
  <si>
    <t>SSR</t>
    <phoneticPr fontId="1"/>
  </si>
  <si>
    <t>SR</t>
    <phoneticPr fontId="1"/>
  </si>
  <si>
    <t>HR</t>
    <phoneticPr fontId="1"/>
  </si>
  <si>
    <t>R</t>
    <phoneticPr fontId="1"/>
  </si>
  <si>
    <t>中国・四国</t>
    <rPh sb="0" eb="2">
      <t>チュウゴク</t>
    </rPh>
    <rPh sb="3" eb="5">
      <t>シコク</t>
    </rPh>
    <phoneticPr fontId="1"/>
  </si>
  <si>
    <t>中部</t>
    <rPh sb="0" eb="2">
      <t>チュウブ</t>
    </rPh>
    <phoneticPr fontId="1"/>
  </si>
  <si>
    <t>北海道・東北</t>
    <rPh sb="0" eb="3">
      <t>ホッカイドウ</t>
    </rPh>
    <rPh sb="4" eb="6">
      <t>トウホク</t>
    </rPh>
    <phoneticPr fontId="1"/>
  </si>
  <si>
    <t>無所属</t>
    <rPh sb="0" eb="3">
      <t>ムショゾク</t>
    </rPh>
    <phoneticPr fontId="1"/>
  </si>
  <si>
    <t>姫</t>
    <rPh sb="0" eb="1">
      <t>ヒメ</t>
    </rPh>
    <phoneticPr fontId="1"/>
  </si>
  <si>
    <t>武人</t>
    <rPh sb="0" eb="2">
      <t>ブジン</t>
    </rPh>
    <phoneticPr fontId="1"/>
  </si>
  <si>
    <t>伝承</t>
    <rPh sb="0" eb="2">
      <t>デンショウ</t>
    </rPh>
    <phoneticPr fontId="1"/>
  </si>
  <si>
    <t>神秘</t>
    <rPh sb="0" eb="2">
      <t>シンピ</t>
    </rPh>
    <phoneticPr fontId="1"/>
  </si>
  <si>
    <t>【名手】アンドルディース</t>
    <rPh sb="1" eb="3">
      <t>メイシュ</t>
    </rPh>
    <phoneticPr fontId="1"/>
  </si>
  <si>
    <t>めいしゅあんどるでぃーす</t>
    <phoneticPr fontId="1"/>
  </si>
  <si>
    <t>閃光の魔弓</t>
    <rPh sb="0" eb="2">
      <t>センコウ</t>
    </rPh>
    <rPh sb="3" eb="4">
      <t>マ</t>
    </rPh>
    <rPh sb="4" eb="5">
      <t>キュウ</t>
    </rPh>
    <phoneticPr fontId="1"/>
  </si>
  <si>
    <t>[新生]【海道一の弓取り】今川義元</t>
    <rPh sb="1" eb="3">
      <t>シンセイ</t>
    </rPh>
    <rPh sb="5" eb="7">
      <t>カイドウ</t>
    </rPh>
    <rPh sb="7" eb="8">
      <t>イチ</t>
    </rPh>
    <rPh sb="9" eb="11">
      <t>ユミト</t>
    </rPh>
    <rPh sb="13" eb="15">
      <t>イマガワ</t>
    </rPh>
    <rPh sb="15" eb="17">
      <t>ヨシモト</t>
    </rPh>
    <phoneticPr fontId="1"/>
  </si>
  <si>
    <t>しんせいかいどういちのゆみとりいまがわよしもと</t>
    <phoneticPr fontId="1"/>
  </si>
  <si>
    <t>駿河屈指の栄華</t>
    <rPh sb="0" eb="2">
      <t>スルガ</t>
    </rPh>
    <rPh sb="2" eb="4">
      <t>クッシ</t>
    </rPh>
    <rPh sb="5" eb="7">
      <t>エイガ</t>
    </rPh>
    <phoneticPr fontId="1"/>
  </si>
  <si>
    <t>[新生]【星座】十勝の雷神</t>
    <rPh sb="1" eb="3">
      <t>シンセイ</t>
    </rPh>
    <rPh sb="5" eb="7">
      <t>セイザ</t>
    </rPh>
    <rPh sb="8" eb="10">
      <t>トカチ</t>
    </rPh>
    <rPh sb="11" eb="13">
      <t>ライジン</t>
    </rPh>
    <phoneticPr fontId="1"/>
  </si>
  <si>
    <t>しんせいせいざとかちのらいじん</t>
    <phoneticPr fontId="1"/>
  </si>
  <si>
    <t>奪還すべし雷神の角</t>
    <rPh sb="0" eb="2">
      <t>ダッカン</t>
    </rPh>
    <rPh sb="5" eb="7">
      <t>ライジン</t>
    </rPh>
    <rPh sb="8" eb="9">
      <t>ツノ</t>
    </rPh>
    <phoneticPr fontId="1"/>
  </si>
  <si>
    <t>[新生]【キューピッド】犬神使い</t>
    <rPh sb="12" eb="14">
      <t>イヌガミ</t>
    </rPh>
    <rPh sb="14" eb="15">
      <t>ツカ</t>
    </rPh>
    <phoneticPr fontId="1"/>
  </si>
  <si>
    <t>しんせいきゅーぴっどいぬがみつかい</t>
    <phoneticPr fontId="1"/>
  </si>
  <si>
    <t>ハートを撃ち抜く呪術師</t>
    <rPh sb="4" eb="5">
      <t>ウ</t>
    </rPh>
    <rPh sb="6" eb="7">
      <t>ヌ</t>
    </rPh>
    <rPh sb="8" eb="11">
      <t>ジュジュツシ</t>
    </rPh>
    <phoneticPr fontId="1"/>
  </si>
  <si>
    <t>[新生]キューピッド</t>
    <phoneticPr fontId="1"/>
  </si>
  <si>
    <t>しんせいきゅーぴっど</t>
    <phoneticPr fontId="1"/>
  </si>
  <si>
    <t>恋愛なら任せて！</t>
    <rPh sb="0" eb="2">
      <t>レンアイ</t>
    </rPh>
    <rPh sb="4" eb="5">
      <t>マカ</t>
    </rPh>
    <phoneticPr fontId="1"/>
  </si>
  <si>
    <t>祝来！宝船福引ガチャ</t>
    <rPh sb="0" eb="2">
      <t>シュクライ</t>
    </rPh>
    <rPh sb="3" eb="7">
      <t>タカラブネフクビキ</t>
    </rPh>
    <phoneticPr fontId="1"/>
  </si>
  <si>
    <t>3/26 12:00～3/27 11:59</t>
    <phoneticPr fontId="1"/>
  </si>
  <si>
    <t>豪華玉手箱ガチャ</t>
    <rPh sb="0" eb="5">
      <t>ゴウカタマテバコ</t>
    </rPh>
    <phoneticPr fontId="1"/>
  </si>
  <si>
    <t>3/26 15:00～3/26 23:59</t>
    <phoneticPr fontId="1"/>
  </si>
  <si>
    <t>3/27 18:00～3/27 21:59</t>
    <phoneticPr fontId="1"/>
  </si>
  <si>
    <t>全国巡り 英雄ガチャ</t>
    <rPh sb="0" eb="2">
      <t>ゼンコク</t>
    </rPh>
    <rPh sb="2" eb="3">
      <t>メグ</t>
    </rPh>
    <rPh sb="5" eb="7">
      <t>エイユウ</t>
    </rPh>
    <phoneticPr fontId="1"/>
  </si>
  <si>
    <t>3/28 18:00～3/30 23:59</t>
    <phoneticPr fontId="1"/>
  </si>
  <si>
    <t>全国巡り 英雄ガチャ</t>
    <rPh sb="0" eb="2">
      <t>ゼンコク</t>
    </rPh>
    <rPh sb="2" eb="3">
      <t>メグ</t>
    </rPh>
    <rPh sb="5" eb="7">
      <t>エイユウ</t>
    </rPh>
    <phoneticPr fontId="1"/>
  </si>
  <si>
    <t>祝来！宝船福引ガチャ</t>
    <rPh sb="0" eb="2">
      <t>シュクライ</t>
    </rPh>
    <rPh sb="3" eb="7">
      <t>タカラブネフクビキ</t>
    </rPh>
    <phoneticPr fontId="1"/>
  </si>
  <si>
    <t>3/28 11:00～3/28 23:59</t>
    <phoneticPr fontId="1"/>
  </si>
  <si>
    <t>3/28 12:00～3/29 11:59</t>
    <phoneticPr fontId="1"/>
  </si>
  <si>
    <t>戦神ガチャ</t>
    <rPh sb="0" eb="2">
      <t>センシン</t>
    </rPh>
    <phoneticPr fontId="1"/>
  </si>
  <si>
    <t>3/29 15:00～3/31 23:59</t>
    <phoneticPr fontId="1"/>
  </si>
  <si>
    <t>豪華玉手箱ガチャ</t>
    <rPh sb="0" eb="2">
      <t>ゴウカ</t>
    </rPh>
    <rPh sb="2" eb="5">
      <t>タマテバコ</t>
    </rPh>
    <phoneticPr fontId="1"/>
  </si>
  <si>
    <t>3/30 15:00～3/30 23:59</t>
    <phoneticPr fontId="1"/>
  </si>
  <si>
    <t>防衛戦 桜舞い春薫る歓迎祭ガチャ</t>
    <rPh sb="0" eb="3">
      <t>ボウエイセン</t>
    </rPh>
    <rPh sb="4" eb="5">
      <t>サクラ</t>
    </rPh>
    <rPh sb="5" eb="6">
      <t>マ</t>
    </rPh>
    <rPh sb="7" eb="8">
      <t>ハル</t>
    </rPh>
    <rPh sb="8" eb="9">
      <t>カオ</t>
    </rPh>
    <rPh sb="10" eb="12">
      <t>カンゲイ</t>
    </rPh>
    <rPh sb="12" eb="13">
      <t>サイ</t>
    </rPh>
    <phoneticPr fontId="1"/>
  </si>
  <si>
    <t>(DX)4/1 0:00～4/8 23:59</t>
    <phoneticPr fontId="1"/>
  </si>
  <si>
    <t>(Lvアップ)4/1 0:00～4/8 23:59</t>
    <phoneticPr fontId="1"/>
  </si>
  <si>
    <t>88363_0</t>
    <phoneticPr fontId="1"/>
  </si>
  <si>
    <t>【花見】神功皇后</t>
    <phoneticPr fontId="1"/>
  </si>
  <si>
    <t>はなみじんぐうこうごう</t>
    <phoneticPr fontId="1"/>
  </si>
  <si>
    <t>宴彩る酒豪の聖母</t>
    <phoneticPr fontId="1"/>
  </si>
  <si>
    <t>タイプ偉人・妖怪・名物の攻70％UP</t>
    <phoneticPr fontId="1"/>
  </si>
  <si>
    <t>覇者ノ証</t>
    <phoneticPr fontId="1"/>
  </si>
  <si>
    <t>一定時間、敵が多いほど自分の攻撃時に大きな追加ダメージが発生し、敵の攻撃ptを吸収する</t>
    <phoneticPr fontId="1"/>
  </si>
  <si>
    <t>【花見】バケダヌキ</t>
    <phoneticPr fontId="1"/>
  </si>
  <si>
    <t>はなみばけだぬき</t>
    <phoneticPr fontId="1"/>
  </si>
  <si>
    <t>花より団子の真剣勝負</t>
    <phoneticPr fontId="1"/>
  </si>
  <si>
    <t>タイプ飲食・武人の攻95％DOWN　/　タイプ偉人・名物の防40％UP</t>
    <phoneticPr fontId="1"/>
  </si>
  <si>
    <t>【花見】土方歳三</t>
    <phoneticPr fontId="1"/>
  </si>
  <si>
    <t>はなみひじかたとしぞう</t>
    <phoneticPr fontId="1"/>
  </si>
  <si>
    <t>華に酔う鬼モテ副長</t>
    <phoneticPr fontId="1"/>
  </si>
  <si>
    <t>タイプ姫・伝承の防30％UP　/　タイプ【武人】の防15％UP</t>
    <phoneticPr fontId="1"/>
  </si>
  <si>
    <t>【花見】ククリヒメノカミ</t>
    <phoneticPr fontId="1"/>
  </si>
  <si>
    <t>はなみくくりひめのかみ</t>
    <phoneticPr fontId="1"/>
  </si>
  <si>
    <t>縁結ぶ華酔いヒメカミ</t>
    <phoneticPr fontId="1"/>
  </si>
  <si>
    <t>タイプ武人・飲食・妖怪の防85％DOWN　/　タイプ知性派・飲食の攻30％UP</t>
    <phoneticPr fontId="1"/>
  </si>
  <si>
    <t>[新生]【ロードバイク】斯波園女</t>
    <phoneticPr fontId="1"/>
  </si>
  <si>
    <t>しんせいろーどばいくしばそのめ</t>
    <phoneticPr fontId="1"/>
  </si>
  <si>
    <t>美しき白菊の疾走</t>
    <phoneticPr fontId="1"/>
  </si>
  <si>
    <t>[新生]【お花見】平塚らいてう</t>
    <phoneticPr fontId="1"/>
  </si>
  <si>
    <t>しんせいおはなみひらつからいてう</t>
    <phoneticPr fontId="1"/>
  </si>
  <si>
    <t>太陽に輝く麦酒とともに</t>
    <phoneticPr fontId="1"/>
  </si>
  <si>
    <t>しんせいはなみむなかたさんじょじん</t>
    <phoneticPr fontId="1"/>
  </si>
  <si>
    <t>三女神の休息</t>
    <phoneticPr fontId="1"/>
  </si>
  <si>
    <t>タイプ知性派・飲食の攻35％UP　/　タイプ【神秘】の攻20％UP</t>
  </si>
  <si>
    <t>[新生]【花見】小沢の桜</t>
    <phoneticPr fontId="1"/>
  </si>
  <si>
    <t>しんせいはなみおざわのさくら</t>
    <phoneticPr fontId="1"/>
  </si>
  <si>
    <t>長寿桜の風情</t>
    <phoneticPr fontId="1"/>
  </si>
  <si>
    <t>[新生]【花見】三村鶴</t>
    <phoneticPr fontId="1"/>
  </si>
  <si>
    <t>しんせいはなみみむらつる</t>
    <phoneticPr fontId="1"/>
  </si>
  <si>
    <t>静かに眠る武女桜</t>
    <phoneticPr fontId="1"/>
  </si>
  <si>
    <t>福井</t>
    <rPh sb="0" eb="2">
      <t>フクイ</t>
    </rPh>
    <phoneticPr fontId="1"/>
  </si>
  <si>
    <t>[新生]花換まつり</t>
    <rPh sb="1" eb="3">
      <t>シンセイ</t>
    </rPh>
    <rPh sb="4" eb="5">
      <t>ハナ</t>
    </rPh>
    <rPh sb="5" eb="6">
      <t>カ</t>
    </rPh>
    <phoneticPr fontId="1"/>
  </si>
  <si>
    <t>しんせいはなかえまつり</t>
    <phoneticPr fontId="1"/>
  </si>
  <si>
    <t>[新生]【花見】前田利家</t>
    <rPh sb="1" eb="3">
      <t>シンセイ</t>
    </rPh>
    <rPh sb="5" eb="7">
      <t>ハナミ</t>
    </rPh>
    <rPh sb="8" eb="10">
      <t>マエダ</t>
    </rPh>
    <rPh sb="10" eb="12">
      <t>トシイエ</t>
    </rPh>
    <phoneticPr fontId="1"/>
  </si>
  <si>
    <t>しんせいはなみまえだとしいえ</t>
    <phoneticPr fontId="1"/>
  </si>
  <si>
    <t>3/31 11:00～3/31 23:59</t>
    <phoneticPr fontId="1"/>
  </si>
  <si>
    <t>【妖怪大戦】マカロン</t>
    <phoneticPr fontId="1"/>
  </si>
  <si>
    <t>竜拳士スクラ</t>
    <phoneticPr fontId="1"/>
  </si>
  <si>
    <t>パラケルステラ</t>
    <phoneticPr fontId="1"/>
  </si>
  <si>
    <t>東日本</t>
    <rPh sb="0" eb="1">
      <t>ヒガシ</t>
    </rPh>
    <rPh sb="1" eb="3">
      <t>ニホン</t>
    </rPh>
    <phoneticPr fontId="1"/>
  </si>
  <si>
    <t>【プロレス】不動明王</t>
    <phoneticPr fontId="1"/>
  </si>
  <si>
    <t>ぷろれすふどうみょうおう</t>
    <phoneticPr fontId="1"/>
  </si>
  <si>
    <t>闇断つ揺るがぬ守護神</t>
    <phoneticPr fontId="1"/>
  </si>
  <si>
    <t>神秘</t>
    <phoneticPr fontId="1"/>
  </si>
  <si>
    <t>タイプ伝承・武人・姫の防85％DOWN　/　タイプ知性派・飲食の攻30％UP</t>
    <phoneticPr fontId="1"/>
  </si>
  <si>
    <t>タイプ伝承・武人・姫の防35％DOWN　/　タイプ知性派・飲食の攻20％UP</t>
    <phoneticPr fontId="1"/>
  </si>
  <si>
    <t>タイプ武人・姫の防20％DOWN　/　タイプ知性派・飲食の攻15％UP</t>
    <phoneticPr fontId="1"/>
  </si>
  <si>
    <t>どんどん焼き</t>
    <phoneticPr fontId="1"/>
  </si>
  <si>
    <t>祝来！宝船福引ガチャ</t>
    <rPh sb="0" eb="2">
      <t>シュクライ</t>
    </rPh>
    <rPh sb="3" eb="7">
      <t>タカラブネフクビキ</t>
    </rPh>
    <phoneticPr fontId="1"/>
  </si>
  <si>
    <t>【プロレス】江</t>
    <phoneticPr fontId="1"/>
  </si>
  <si>
    <t>関東</t>
    <rPh sb="0" eb="2">
      <t>カントウ</t>
    </rPh>
    <phoneticPr fontId="1"/>
  </si>
  <si>
    <t>中国・四国</t>
    <rPh sb="0" eb="2">
      <t>チュウゴク</t>
    </rPh>
    <rPh sb="3" eb="5">
      <t>シコク</t>
    </rPh>
    <phoneticPr fontId="1"/>
  </si>
  <si>
    <t>近畿</t>
    <rPh sb="0" eb="2">
      <t>キンキ</t>
    </rPh>
    <phoneticPr fontId="1"/>
  </si>
  <si>
    <t>岐阜</t>
    <rPh sb="0" eb="2">
      <t>ギフ</t>
    </rPh>
    <phoneticPr fontId="1"/>
  </si>
  <si>
    <t>SSR</t>
    <phoneticPr fontId="1"/>
  </si>
  <si>
    <t>SR</t>
    <phoneticPr fontId="1"/>
  </si>
  <si>
    <t>HR</t>
    <phoneticPr fontId="1"/>
  </si>
  <si>
    <t>R</t>
    <phoneticPr fontId="1"/>
  </si>
  <si>
    <t>姫</t>
    <rPh sb="0" eb="1">
      <t>ヒメ</t>
    </rPh>
    <phoneticPr fontId="1"/>
  </si>
  <si>
    <t>名物</t>
    <rPh sb="0" eb="2">
      <t>メイブツ</t>
    </rPh>
    <phoneticPr fontId="1"/>
  </si>
  <si>
    <t>伝承</t>
    <rPh sb="0" eb="2">
      <t>デンショウ</t>
    </rPh>
    <phoneticPr fontId="1"/>
  </si>
  <si>
    <t>武人</t>
    <rPh sb="0" eb="2">
      <t>ブジン</t>
    </rPh>
    <phoneticPr fontId="1"/>
  </si>
  <si>
    <t>[新生]【プロレス】ニホンリスちゃん</t>
    <phoneticPr fontId="1"/>
  </si>
  <si>
    <t>[新生]【プロレス】籠池の狐</t>
    <phoneticPr fontId="1"/>
  </si>
  <si>
    <t>[新生]平塚為広</t>
    <phoneticPr fontId="1"/>
  </si>
  <si>
    <t>タイプ【武人】の攻90％UP　/　タイプ姫・伝承の攻30％UP</t>
    <phoneticPr fontId="1"/>
  </si>
  <si>
    <t>プロレス乱世戦う浅井姫</t>
    <phoneticPr fontId="1"/>
  </si>
  <si>
    <t>ぷろれすごう</t>
    <phoneticPr fontId="1"/>
  </si>
  <si>
    <t>タイプ偉人・妖怪の防30％UP　/　タイプ【名物】の防10％UP</t>
    <phoneticPr fontId="1"/>
  </si>
  <si>
    <t>木上とリング状の覇者</t>
    <phoneticPr fontId="1"/>
  </si>
  <si>
    <t>しんせいぷろれすにほんりすちゃん</t>
    <phoneticPr fontId="1"/>
  </si>
  <si>
    <t>タイプ武人・姫の攻20％UP</t>
    <phoneticPr fontId="1"/>
  </si>
  <si>
    <t>感謝を胸に戦う可憐な狐</t>
    <phoneticPr fontId="1"/>
  </si>
  <si>
    <t>しんせいぷろれすかごいけのきつね</t>
    <phoneticPr fontId="1"/>
  </si>
  <si>
    <t>タイプ【伝承】の防20％UP</t>
    <phoneticPr fontId="1"/>
  </si>
  <si>
    <t>思慮深き薙刀の名手</t>
    <phoneticPr fontId="1"/>
  </si>
  <si>
    <t>しんせいひらつかためひろ</t>
    <phoneticPr fontId="1"/>
  </si>
  <si>
    <t>豪華玉手箱ガチャ</t>
    <rPh sb="0" eb="2">
      <t>ゴウカ</t>
    </rPh>
    <rPh sb="2" eb="5">
      <t>タマテバコ</t>
    </rPh>
    <phoneticPr fontId="1"/>
  </si>
  <si>
    <t>4/4 15:00～4/4 23:59</t>
    <phoneticPr fontId="1"/>
  </si>
  <si>
    <t>防衛戦 英雄ガチャ</t>
    <rPh sb="0" eb="3">
      <t>ボウエイセン</t>
    </rPh>
    <rPh sb="4" eb="6">
      <t>エイユウ</t>
    </rPh>
    <phoneticPr fontId="1"/>
  </si>
  <si>
    <t>4/5 11:00～4/5 23:59</t>
    <phoneticPr fontId="1"/>
  </si>
  <si>
    <t>【勇者】万里姫</t>
    <phoneticPr fontId="1"/>
  </si>
  <si>
    <t>超防再臨ガチャ</t>
    <rPh sb="0" eb="1">
      <t>チョウ</t>
    </rPh>
    <rPh sb="1" eb="2">
      <t>ボウ</t>
    </rPh>
    <rPh sb="2" eb="4">
      <t>サイリン</t>
    </rPh>
    <phoneticPr fontId="1"/>
  </si>
  <si>
    <t>4/5 18:00～4/7 23:59</t>
    <phoneticPr fontId="1"/>
  </si>
  <si>
    <t>祝来！宝船福引ガチャ</t>
    <phoneticPr fontId="1"/>
  </si>
  <si>
    <t>4/6 12:00～4/7 11:59</t>
    <phoneticPr fontId="1"/>
  </si>
  <si>
    <t xml:space="preserve">ｄa-do-ru </t>
    <phoneticPr fontId="1"/>
  </si>
  <si>
    <t>4/7 15:00～4/9 23:59</t>
    <phoneticPr fontId="1"/>
  </si>
  <si>
    <t>4/7 18:00～4/7 21:59</t>
    <phoneticPr fontId="1"/>
  </si>
  <si>
    <t>豪華玉手箱ガチャ</t>
    <phoneticPr fontId="1"/>
  </si>
  <si>
    <t>4/8 15:00～4/8 23:59</t>
    <phoneticPr fontId="1"/>
  </si>
  <si>
    <t>花咲き誇る庭園ガチャ</t>
    <phoneticPr fontId="1"/>
  </si>
  <si>
    <t>【フラワーガーデン】リシェル</t>
    <phoneticPr fontId="1"/>
  </si>
  <si>
    <t>SSR</t>
    <phoneticPr fontId="1"/>
  </si>
  <si>
    <t>SR</t>
    <phoneticPr fontId="1"/>
  </si>
  <si>
    <t>HR</t>
    <phoneticPr fontId="1"/>
  </si>
  <si>
    <t>R</t>
    <phoneticPr fontId="1"/>
  </si>
  <si>
    <t>近畿</t>
    <rPh sb="0" eb="2">
      <t>キンキ</t>
    </rPh>
    <phoneticPr fontId="1"/>
  </si>
  <si>
    <t>北海道・東北</t>
    <rPh sb="0" eb="3">
      <t>ホッカイドウ</t>
    </rPh>
    <rPh sb="4" eb="6">
      <t>トウホク</t>
    </rPh>
    <phoneticPr fontId="1"/>
  </si>
  <si>
    <t>関東</t>
    <rPh sb="0" eb="2">
      <t>カントウ</t>
    </rPh>
    <phoneticPr fontId="1"/>
  </si>
  <si>
    <t>九州・沖縄</t>
    <rPh sb="0" eb="2">
      <t>キュウシュウ</t>
    </rPh>
    <rPh sb="3" eb="5">
      <t>オキナワ</t>
    </rPh>
    <phoneticPr fontId="1"/>
  </si>
  <si>
    <t>中国・四国</t>
    <rPh sb="0" eb="2">
      <t>チュウゴク</t>
    </rPh>
    <rPh sb="3" eb="5">
      <t>シコク</t>
    </rPh>
    <phoneticPr fontId="1"/>
  </si>
  <si>
    <t>姫</t>
    <rPh sb="0" eb="1">
      <t>ヒメ</t>
    </rPh>
    <phoneticPr fontId="1"/>
  </si>
  <si>
    <t>伝承</t>
    <rPh sb="0" eb="2">
      <t>デンショウ</t>
    </rPh>
    <phoneticPr fontId="1"/>
  </si>
  <si>
    <t>知性派</t>
    <rPh sb="0" eb="2">
      <t>チセイ</t>
    </rPh>
    <rPh sb="2" eb="3">
      <t>ハ</t>
    </rPh>
    <phoneticPr fontId="1"/>
  </si>
  <si>
    <t>妖怪</t>
    <rPh sb="0" eb="2">
      <t>ヨウカイ</t>
    </rPh>
    <phoneticPr fontId="1"/>
  </si>
  <si>
    <t>名物</t>
    <rPh sb="0" eb="2">
      <t>メイブツ</t>
    </rPh>
    <phoneticPr fontId="1"/>
  </si>
  <si>
    <t>[新生]コスモスちゃん</t>
    <phoneticPr fontId="1"/>
  </si>
  <si>
    <t>[新生]百足姫</t>
    <phoneticPr fontId="1"/>
  </si>
  <si>
    <t>[新生]【桜詩】岡本かの子</t>
    <phoneticPr fontId="1"/>
  </si>
  <si>
    <t>[新生]芭蕉精</t>
    <phoneticPr fontId="1"/>
  </si>
  <si>
    <t>タイプ【妖怪】の攻20％UP</t>
    <phoneticPr fontId="1"/>
  </si>
  <si>
    <t>秋桜の純真</t>
    <phoneticPr fontId="1"/>
  </si>
  <si>
    <t>しんせいこすもすちゃん</t>
    <phoneticPr fontId="1"/>
  </si>
  <si>
    <t>タイプ偉人・名物の防20％UP</t>
    <phoneticPr fontId="1"/>
  </si>
  <si>
    <t>変幻自在の芭蕉霊</t>
    <phoneticPr fontId="1"/>
  </si>
  <si>
    <t>しんせいばしょうのせい</t>
    <phoneticPr fontId="1"/>
  </si>
  <si>
    <t>タイプ神秘・飲食の攻30％UP　/　タイプ【知性派】の攻10％UP</t>
    <phoneticPr fontId="1"/>
  </si>
  <si>
    <t>共鳴する命の桜花</t>
    <phoneticPr fontId="1"/>
  </si>
  <si>
    <t>しんせいさくらうたおかもとかのこ</t>
    <phoneticPr fontId="1"/>
  </si>
  <si>
    <t>タイプ伝承・武人・姫の防45％UP　/　タイプ飲食・武人・名物の攻10％DOWN</t>
    <phoneticPr fontId="1"/>
  </si>
  <si>
    <t>代々伝わる家宝の因縁</t>
    <phoneticPr fontId="1"/>
  </si>
  <si>
    <t>しんせいむかでひめ</t>
    <phoneticPr fontId="1"/>
  </si>
  <si>
    <t>タイプ【武人】の防90％UP　/　タイプ姫・伝承の防30％UP</t>
    <phoneticPr fontId="1"/>
  </si>
  <si>
    <t>花々と共に</t>
    <phoneticPr fontId="1"/>
  </si>
  <si>
    <t>ふらわーがーでんりしぇる</t>
    <phoneticPr fontId="1"/>
  </si>
  <si>
    <t>超攻再臨ガチャ</t>
    <rPh sb="0" eb="1">
      <t>チョウ</t>
    </rPh>
    <rPh sb="1" eb="2">
      <t>コウ</t>
    </rPh>
    <rPh sb="2" eb="4">
      <t>サイリン</t>
    </rPh>
    <phoneticPr fontId="1"/>
  </si>
  <si>
    <t>4/8 18:00～4/10 23:59</t>
    <phoneticPr fontId="1"/>
  </si>
  <si>
    <t>4/9 12:00～4/14 11:59</t>
    <phoneticPr fontId="1"/>
  </si>
  <si>
    <t>争闘のアルベビラ</t>
    <phoneticPr fontId="1"/>
  </si>
  <si>
    <t>全国</t>
    <rPh sb="0" eb="2">
      <t>ゼンコク</t>
    </rPh>
    <phoneticPr fontId="1"/>
  </si>
  <si>
    <t>西日本</t>
    <rPh sb="0" eb="1">
      <t>ニシ</t>
    </rPh>
    <rPh sb="1" eb="3">
      <t>ニホン</t>
    </rPh>
    <phoneticPr fontId="1"/>
  </si>
  <si>
    <t>SSR</t>
    <phoneticPr fontId="1"/>
  </si>
  <si>
    <t>SR</t>
    <phoneticPr fontId="1"/>
  </si>
  <si>
    <t>5進</t>
    <rPh sb="1" eb="2">
      <t>シン</t>
    </rPh>
    <phoneticPr fontId="1"/>
  </si>
  <si>
    <t>3進</t>
    <rPh sb="1" eb="2">
      <t>シン</t>
    </rPh>
    <phoneticPr fontId="1"/>
  </si>
  <si>
    <t>1進</t>
    <rPh sb="1" eb="2">
      <t>シン</t>
    </rPh>
    <phoneticPr fontId="1"/>
  </si>
  <si>
    <t>タイプ【姫】の攻35％UP　/　タイプ武人・伝承の攻20％UP</t>
    <phoneticPr fontId="1"/>
  </si>
  <si>
    <t>争闘一閃</t>
    <phoneticPr fontId="1"/>
  </si>
  <si>
    <t>武人</t>
    <phoneticPr fontId="1"/>
  </si>
  <si>
    <t>そうとうのあるべびら</t>
    <phoneticPr fontId="1"/>
  </si>
  <si>
    <t>タイプ【姫】の攻20％UP　/　タイプ武人・伝承の攻10％UP</t>
    <phoneticPr fontId="1"/>
  </si>
  <si>
    <t>タイプ【姫】の攻10％UP　/　タイプ武人・伝承の攻5％UP</t>
    <phoneticPr fontId="1"/>
  </si>
  <si>
    <t>4/9 18:00～4/11 23:59</t>
    <phoneticPr fontId="1"/>
  </si>
  <si>
    <t>復活ZRチケ・セットD</t>
    <phoneticPr fontId="1"/>
  </si>
  <si>
    <t>復活ZRチケ・セットD</t>
    <phoneticPr fontId="1"/>
  </si>
  <si>
    <t>【独眼竜】伊達政宗</t>
    <phoneticPr fontId="1"/>
  </si>
  <si>
    <t>【迎春】コイノミコト</t>
    <phoneticPr fontId="1"/>
  </si>
  <si>
    <t>【本命チョコ】天女姫</t>
    <phoneticPr fontId="1"/>
  </si>
  <si>
    <t>あくまでここで紹介するZR隊士は、『全30種復活ZR確定チケ』の中身であって、ガチャごとの『ピックアップZR』についてはすでにガチャごとに紹介してあるので除外する。</t>
    <rPh sb="7" eb="9">
      <t>ショウカイ</t>
    </rPh>
    <rPh sb="13" eb="15">
      <t>タイシ</t>
    </rPh>
    <rPh sb="18" eb="19">
      <t>ゼン</t>
    </rPh>
    <rPh sb="21" eb="22">
      <t>シュ</t>
    </rPh>
    <rPh sb="22" eb="24">
      <t>フッカツ</t>
    </rPh>
    <rPh sb="26" eb="28">
      <t>カクテイ</t>
    </rPh>
    <rPh sb="32" eb="34">
      <t>ナカミ</t>
    </rPh>
    <rPh sb="69" eb="71">
      <t>ショウカイ</t>
    </rPh>
    <rPh sb="77" eb="79">
      <t>ジョガイ</t>
    </rPh>
    <phoneticPr fontId="1"/>
  </si>
  <si>
    <t>四神戦 英雄ガチャ</t>
    <rPh sb="0" eb="1">
      <t>ヨン</t>
    </rPh>
    <rPh sb="1" eb="2">
      <t>シン</t>
    </rPh>
    <rPh sb="2" eb="3">
      <t>セン</t>
    </rPh>
    <rPh sb="4" eb="6">
      <t>エイユウ</t>
    </rPh>
    <phoneticPr fontId="1"/>
  </si>
  <si>
    <t>祝来！宝船福引ガチャ</t>
    <rPh sb="0" eb="1">
      <t>シュク</t>
    </rPh>
    <rPh sb="1" eb="2">
      <t>ライ</t>
    </rPh>
    <rPh sb="3" eb="5">
      <t>タカラブネ</t>
    </rPh>
    <rPh sb="5" eb="7">
      <t>フクビキ</t>
    </rPh>
    <phoneticPr fontId="1"/>
  </si>
  <si>
    <t>4/10 15:00～4/11 14:59</t>
    <phoneticPr fontId="1"/>
  </si>
  <si>
    <t>4/11 20:00～4/11 23:59</t>
    <phoneticPr fontId="1"/>
  </si>
  <si>
    <t>超防再臨ガチャ</t>
    <rPh sb="0" eb="1">
      <t>チョウ</t>
    </rPh>
    <rPh sb="1" eb="2">
      <t>ボウ</t>
    </rPh>
    <rPh sb="2" eb="4">
      <t>サイリン</t>
    </rPh>
    <phoneticPr fontId="1"/>
  </si>
  <si>
    <t>春のパレードガチャ</t>
    <rPh sb="0" eb="1">
      <t>ハル</t>
    </rPh>
    <phoneticPr fontId="1"/>
  </si>
  <si>
    <t>(20連)4/11 15:00～4/15 23:59</t>
    <rPh sb="3" eb="4">
      <t>レン</t>
    </rPh>
    <phoneticPr fontId="1"/>
  </si>
  <si>
    <t>(3連)4/11 15:00～4/15 23:59</t>
    <rPh sb="2" eb="3">
      <t>レン</t>
    </rPh>
    <phoneticPr fontId="1"/>
  </si>
  <si>
    <t>全国</t>
    <rPh sb="0" eb="2">
      <t>ゼンコク</t>
    </rPh>
    <phoneticPr fontId="1"/>
  </si>
  <si>
    <t>SP</t>
    <phoneticPr fontId="1"/>
  </si>
  <si>
    <t>神秘</t>
    <rPh sb="0" eb="2">
      <t>シンピ</t>
    </rPh>
    <phoneticPr fontId="1"/>
  </si>
  <si>
    <t>春風三楽団</t>
    <phoneticPr fontId="1"/>
  </si>
  <si>
    <t>89533_0</t>
    <phoneticPr fontId="1"/>
  </si>
  <si>
    <t>89532_0</t>
    <phoneticPr fontId="1"/>
  </si>
  <si>
    <t>89531_0</t>
    <phoneticPr fontId="1"/>
  </si>
  <si>
    <t>タイプ神秘・知性派・飲食の攻45％UP　/　タイプ偉人・妖怪・名物の防40％DOWN</t>
    <phoneticPr fontId="1"/>
  </si>
  <si>
    <t>春風起こすカラーガード</t>
    <phoneticPr fontId="1"/>
  </si>
  <si>
    <t>はるかぜさんがくだん</t>
    <phoneticPr fontId="1"/>
  </si>
  <si>
    <t>タイプ神秘・知性派・飲食の攻30％UP　/　タイプ偉人・妖怪・名物の防30％DOWN</t>
    <phoneticPr fontId="1"/>
  </si>
  <si>
    <t>タイプ神秘・知性派・飲食の攻20％UP　/　タイプ偉人・妖怪・名物の防25％DOWN</t>
    <phoneticPr fontId="1"/>
  </si>
  <si>
    <t>赤撃</t>
    <phoneticPr fontId="1"/>
  </si>
  <si>
    <t>相手の戦技ゲージを吸収して絶大ダメージ</t>
    <phoneticPr fontId="1"/>
  </si>
  <si>
    <t>四神戦 英雄ガチャ</t>
    <rPh sb="0" eb="1">
      <t>ヨン</t>
    </rPh>
    <rPh sb="1" eb="2">
      <t>シン</t>
    </rPh>
    <rPh sb="2" eb="3">
      <t>セン</t>
    </rPh>
    <rPh sb="4" eb="6">
      <t>エイユウ</t>
    </rPh>
    <phoneticPr fontId="1"/>
  </si>
  <si>
    <t>4/12 18:00～4/12 21:59</t>
    <phoneticPr fontId="1"/>
  </si>
  <si>
    <t>4/12 11:00～4/12 23:59</t>
    <phoneticPr fontId="1"/>
  </si>
  <si>
    <t>豪華玉手箱ガチャ</t>
    <phoneticPr fontId="1"/>
  </si>
  <si>
    <t>4/13 15:00～4/13 23:59</t>
    <phoneticPr fontId="1"/>
  </si>
  <si>
    <t>祝来！宝船福引ガチャ</t>
    <phoneticPr fontId="1"/>
  </si>
  <si>
    <t>4/14 18:00～4/15 17:59</t>
    <phoneticPr fontId="1"/>
  </si>
  <si>
    <t>関東</t>
    <rPh sb="0" eb="2">
      <t>カントウ</t>
    </rPh>
    <phoneticPr fontId="1"/>
  </si>
  <si>
    <t>中国・四国</t>
    <rPh sb="0" eb="2">
      <t>チュウゴク</t>
    </rPh>
    <rPh sb="3" eb="5">
      <t>シコク</t>
    </rPh>
    <phoneticPr fontId="1"/>
  </si>
  <si>
    <t>近畿</t>
    <rPh sb="0" eb="2">
      <t>キンキ</t>
    </rPh>
    <phoneticPr fontId="1"/>
  </si>
  <si>
    <t>中部</t>
    <rPh sb="0" eb="2">
      <t>チュウブ</t>
    </rPh>
    <phoneticPr fontId="1"/>
  </si>
  <si>
    <t>福島</t>
    <rPh sb="0" eb="2">
      <t>フクシマ</t>
    </rPh>
    <phoneticPr fontId="1"/>
  </si>
  <si>
    <t>SSR</t>
    <phoneticPr fontId="1"/>
  </si>
  <si>
    <t>SR</t>
    <phoneticPr fontId="1"/>
  </si>
  <si>
    <t>HR</t>
    <phoneticPr fontId="1"/>
  </si>
  <si>
    <t>R</t>
    <phoneticPr fontId="1"/>
  </si>
  <si>
    <t>【遊園地】ローラーコースター</t>
    <phoneticPr fontId="1"/>
  </si>
  <si>
    <t>ゆうえんちろーらーこーすたー</t>
    <phoneticPr fontId="1"/>
  </si>
  <si>
    <t>名物</t>
    <phoneticPr fontId="1"/>
  </si>
  <si>
    <t>空を駆ける少女</t>
    <phoneticPr fontId="1"/>
  </si>
  <si>
    <t>タイプ偉人・妖怪・名物の攻40％UP　/　タイプ飲食・武人・名物の防10％DOWN</t>
    <phoneticPr fontId="1"/>
  </si>
  <si>
    <t>[新生]【お弁当】猫狸</t>
    <phoneticPr fontId="1"/>
  </si>
  <si>
    <t>しんせいおべんとうねこだぬき</t>
    <phoneticPr fontId="1"/>
  </si>
  <si>
    <t>タイプ【名物】の攻90％UP　/　タイプ偉人・妖怪の攻30％UP</t>
    <phoneticPr fontId="1"/>
  </si>
  <si>
    <t>ほら、食べて食べて～！</t>
    <phoneticPr fontId="1"/>
  </si>
  <si>
    <t>妖怪</t>
    <phoneticPr fontId="1"/>
  </si>
  <si>
    <t>[新生]【遊園地】宜秋門院丹後</t>
    <phoneticPr fontId="1"/>
  </si>
  <si>
    <t>しんせいゆうえんちぎしゅうもんいんのたんご</t>
    <phoneticPr fontId="1"/>
  </si>
  <si>
    <t>タイプ妖怪・名物の防30％UP　/　タイプ【偉人】の防10％UP</t>
    <phoneticPr fontId="1"/>
  </si>
  <si>
    <t>甘い菓子から生まれるメロディー</t>
    <phoneticPr fontId="1"/>
  </si>
  <si>
    <t>偉人</t>
    <phoneticPr fontId="1"/>
  </si>
  <si>
    <t>[新生]【カーニバル】マドウグシャ</t>
    <phoneticPr fontId="1"/>
  </si>
  <si>
    <t>しんせいかーにばるまどうぐしゃ</t>
    <phoneticPr fontId="1"/>
  </si>
  <si>
    <t>タイプ偉人・名物の攻20％UP</t>
    <phoneticPr fontId="1"/>
  </si>
  <si>
    <t>煌びやかに輝く火の車</t>
    <phoneticPr fontId="1"/>
  </si>
  <si>
    <t>[新生]【馬術】阿南姫</t>
    <phoneticPr fontId="1"/>
  </si>
  <si>
    <t>しんせいばじゅつおなみひめ</t>
    <phoneticPr fontId="1"/>
  </si>
  <si>
    <t>タイプ【伝承】の防20％UP</t>
    <phoneticPr fontId="1"/>
  </si>
  <si>
    <t>須賀川を守った伊達女</t>
    <phoneticPr fontId="1"/>
  </si>
  <si>
    <t>武人</t>
    <phoneticPr fontId="1"/>
  </si>
  <si>
    <t>4/15 12:00～4/20 22:59</t>
    <phoneticPr fontId="1"/>
  </si>
  <si>
    <t>04/15 15:00～04/16 23:59</t>
    <phoneticPr fontId="1"/>
  </si>
  <si>
    <t>2020フラワーフェス福引ガチャ</t>
    <rPh sb="11" eb="13">
      <t>フクビキ</t>
    </rPh>
    <phoneticPr fontId="1"/>
  </si>
  <si>
    <t>ルーズソックス</t>
    <phoneticPr fontId="1"/>
  </si>
  <si>
    <t>るーずそっくす</t>
    <phoneticPr fontId="1"/>
  </si>
  <si>
    <t>東日本</t>
    <phoneticPr fontId="1"/>
  </si>
  <si>
    <t>【バーレスク】和泉式部</t>
    <phoneticPr fontId="1"/>
  </si>
  <si>
    <t>近畿</t>
    <phoneticPr fontId="1"/>
  </si>
  <si>
    <t>ばーれすくいずみしきぶ</t>
    <phoneticPr fontId="1"/>
  </si>
  <si>
    <t>タイプ神秘・飲食・名物の防40％UP　/　タイプ【知性派】の防12％UP</t>
    <phoneticPr fontId="1"/>
  </si>
  <si>
    <t>奔放なる愛のダンサー</t>
    <phoneticPr fontId="1"/>
  </si>
  <si>
    <t>知性派</t>
    <phoneticPr fontId="1"/>
  </si>
  <si>
    <t>タイプ偉人・妖怪の攻30％UP　/　タイプ【名物】の攻12％UP</t>
    <phoneticPr fontId="1"/>
  </si>
  <si>
    <t>だらしなさと可愛さの絶対的融合</t>
    <phoneticPr fontId="1"/>
  </si>
  <si>
    <t>名物</t>
    <phoneticPr fontId="1"/>
  </si>
  <si>
    <t>SR</t>
    <phoneticPr fontId="1"/>
  </si>
  <si>
    <t>エスカロップ</t>
    <phoneticPr fontId="1"/>
  </si>
  <si>
    <t>北海道・東北</t>
    <phoneticPr fontId="1"/>
  </si>
  <si>
    <t>えすかろっぷ</t>
    <phoneticPr fontId="1"/>
  </si>
  <si>
    <t>タイプ神秘・知性派・偉人の防30％UP</t>
    <phoneticPr fontId="1"/>
  </si>
  <si>
    <t>根室名物ワンプレート</t>
    <phoneticPr fontId="1"/>
  </si>
  <si>
    <t>飲食</t>
    <phoneticPr fontId="1"/>
  </si>
  <si>
    <t>【極姫】五龍局</t>
    <phoneticPr fontId="1"/>
  </si>
  <si>
    <t>中国・四国</t>
    <phoneticPr fontId="1"/>
  </si>
  <si>
    <t>タイプ伝承・武人・名物の攻30％UP</t>
    <phoneticPr fontId="1"/>
  </si>
  <si>
    <t>五龍が如く</t>
    <phoneticPr fontId="1"/>
  </si>
  <si>
    <t>姫</t>
    <phoneticPr fontId="1"/>
  </si>
  <si>
    <t>ごくひめごりゅうのつぼね</t>
    <phoneticPr fontId="1"/>
  </si>
  <si>
    <t>【剣闘】武田耕雲斎</t>
    <phoneticPr fontId="1"/>
  </si>
  <si>
    <t>関東</t>
    <phoneticPr fontId="1"/>
  </si>
  <si>
    <t>けんとうたけだこううんさい</t>
    <phoneticPr fontId="1"/>
  </si>
  <si>
    <t>偉人</t>
    <phoneticPr fontId="1"/>
  </si>
  <si>
    <t>党首天狗の一振り</t>
    <phoneticPr fontId="1"/>
  </si>
  <si>
    <t>タイプ名物・妖怪・飲食の攻25％UP</t>
    <phoneticPr fontId="1"/>
  </si>
  <si>
    <t>【バイオリニスト】センツァ</t>
    <phoneticPr fontId="1"/>
  </si>
  <si>
    <t>ばいおりにすとせんつぁ</t>
    <phoneticPr fontId="1"/>
  </si>
  <si>
    <t>女神の音色</t>
    <phoneticPr fontId="1"/>
  </si>
  <si>
    <t>妖怪</t>
    <phoneticPr fontId="1"/>
  </si>
  <si>
    <t>5進</t>
    <rPh sb="1" eb="2">
      <t>シン</t>
    </rPh>
    <phoneticPr fontId="1"/>
  </si>
  <si>
    <t>3進</t>
    <rPh sb="1" eb="2">
      <t>シン</t>
    </rPh>
    <phoneticPr fontId="1"/>
  </si>
  <si>
    <t>1進</t>
    <rPh sb="1" eb="2">
      <t>シン</t>
    </rPh>
    <phoneticPr fontId="1"/>
  </si>
  <si>
    <t>タイプ偉人・妖怪・名物の防40％UP</t>
    <phoneticPr fontId="1"/>
  </si>
  <si>
    <t>タイプ偉人・妖怪・名物の防25％UP</t>
    <phoneticPr fontId="1"/>
  </si>
  <si>
    <t>タイプ偉人・妖怪・名物の防15％UP</t>
    <phoneticPr fontId="1"/>
  </si>
  <si>
    <t>超攻再臨ガチャ</t>
    <phoneticPr fontId="1"/>
  </si>
  <si>
    <t>4/16 18:00～4/18 23:59</t>
    <phoneticPr fontId="1"/>
  </si>
  <si>
    <t>4/16 11:00～4/16 23:59</t>
    <phoneticPr fontId="1"/>
  </si>
  <si>
    <t>戦神ガチャ</t>
    <phoneticPr fontId="1"/>
  </si>
  <si>
    <t>4/17 15:00～4/19 23:59</t>
    <phoneticPr fontId="1"/>
  </si>
  <si>
    <t>超防再臨ガチャ</t>
    <phoneticPr fontId="1"/>
  </si>
  <si>
    <t>4/17 18:00～4/19 23:59</t>
    <phoneticPr fontId="1"/>
  </si>
  <si>
    <t>祝来！宝船福引ガチャ</t>
    <phoneticPr fontId="1"/>
  </si>
  <si>
    <t>4/18 12:00～4/19 11:59</t>
    <phoneticPr fontId="1"/>
  </si>
  <si>
    <t>豪華玉手箱ガチャ</t>
    <phoneticPr fontId="1"/>
  </si>
  <si>
    <t>4/18 15:00～4/18 23:59</t>
    <phoneticPr fontId="1"/>
  </si>
  <si>
    <t>4/19 11:00～4/19 23:59</t>
    <phoneticPr fontId="1"/>
  </si>
  <si>
    <t>4/19 20:00～4/19 23:59</t>
    <phoneticPr fontId="1"/>
  </si>
  <si>
    <t>古豪戦傑ガチャ</t>
    <phoneticPr fontId="1"/>
  </si>
  <si>
    <t>4/20 12:00～4/22 23:59</t>
    <phoneticPr fontId="1"/>
  </si>
  <si>
    <t>【父の日】朱雀</t>
    <phoneticPr fontId="1"/>
  </si>
  <si>
    <t>ちちのひすざく</t>
    <phoneticPr fontId="1"/>
  </si>
  <si>
    <t>SSR</t>
    <phoneticPr fontId="1"/>
  </si>
  <si>
    <t>SR</t>
    <phoneticPr fontId="1"/>
  </si>
  <si>
    <t>西日本</t>
    <phoneticPr fontId="1"/>
  </si>
  <si>
    <t>神秘</t>
    <phoneticPr fontId="1"/>
  </si>
  <si>
    <t>いつもありがとう</t>
    <phoneticPr fontId="1"/>
  </si>
  <si>
    <t>タイプ神秘・知性派・飲食の攻80％DOWN　/　タイプ神秘・飲食の防25％UP</t>
    <phoneticPr fontId="1"/>
  </si>
  <si>
    <t>【氷菓の季節】香の前</t>
    <phoneticPr fontId="1"/>
  </si>
  <si>
    <t>東日本</t>
    <phoneticPr fontId="1"/>
  </si>
  <si>
    <t>ひょうかのきせつこうのまえ</t>
    <phoneticPr fontId="1"/>
  </si>
  <si>
    <t>姫</t>
    <phoneticPr fontId="1"/>
  </si>
  <si>
    <t>美しい氷菓</t>
    <phoneticPr fontId="1"/>
  </si>
  <si>
    <t>タイプ【武人】の攻85％UP　/　タイプ姫・伝承の攻25％UP</t>
    <phoneticPr fontId="1"/>
  </si>
  <si>
    <t>【七夕】富山ブラック</t>
    <phoneticPr fontId="1"/>
  </si>
  <si>
    <t>全国</t>
    <phoneticPr fontId="1"/>
  </si>
  <si>
    <t>たなばたとやまぶらっく</t>
    <phoneticPr fontId="1"/>
  </si>
  <si>
    <t>飲食</t>
    <phoneticPr fontId="1"/>
  </si>
  <si>
    <t>一人ぼっちの七夕流し</t>
    <phoneticPr fontId="1"/>
  </si>
  <si>
    <t>タイプ神秘・知性派・飲食の攻35％UP</t>
    <phoneticPr fontId="1"/>
  </si>
  <si>
    <t>[新生]【スクールライフ】於久の方</t>
    <phoneticPr fontId="1"/>
  </si>
  <si>
    <t>関東</t>
    <phoneticPr fontId="1"/>
  </si>
  <si>
    <t>しんせいすくーるらいふおくのかた</t>
    <phoneticPr fontId="1"/>
  </si>
  <si>
    <t>タイプ武人・伝承の攻30％UP　/　タイプ【姫】の攻20％UP</t>
    <phoneticPr fontId="1"/>
  </si>
  <si>
    <t>図書室の奥方様</t>
    <phoneticPr fontId="1"/>
  </si>
  <si>
    <t>[新生]【誘惑】山姫</t>
    <phoneticPr fontId="1"/>
  </si>
  <si>
    <t>九州・沖縄</t>
    <phoneticPr fontId="1"/>
  </si>
  <si>
    <t>しんせいゆうわくやまひめ</t>
    <phoneticPr fontId="1"/>
  </si>
  <si>
    <t>吸い尽くす妖艶の声</t>
    <phoneticPr fontId="1"/>
  </si>
  <si>
    <t>妖怪</t>
    <phoneticPr fontId="1"/>
  </si>
  <si>
    <t>タイプ【名物】の防35％UP　/　タイプ偉人・妖怪の防25％UP</t>
    <phoneticPr fontId="1"/>
  </si>
  <si>
    <t>[新生]台湾ラーメン</t>
    <phoneticPr fontId="1"/>
  </si>
  <si>
    <t>しんせいたいわんらーめん</t>
    <phoneticPr fontId="1"/>
  </si>
  <si>
    <t>中部</t>
    <phoneticPr fontId="1"/>
  </si>
  <si>
    <t>襲いかかる激辛トウガラシ</t>
    <phoneticPr fontId="1"/>
  </si>
  <si>
    <t>タイプ【神秘】の攻35％UP　/　タイプ知性派・飲食の攻25％UP</t>
    <phoneticPr fontId="1"/>
  </si>
  <si>
    <t>2019/06サイコロ</t>
    <phoneticPr fontId="1"/>
  </si>
  <si>
    <t>2019/07四神戦</t>
    <rPh sb="7" eb="8">
      <t>ヨン</t>
    </rPh>
    <rPh sb="8" eb="9">
      <t>シン</t>
    </rPh>
    <rPh sb="9" eb="10">
      <t>セン</t>
    </rPh>
    <phoneticPr fontId="1"/>
  </si>
  <si>
    <t>2019/07防衛戦</t>
    <rPh sb="7" eb="10">
      <t>ボウエイセン</t>
    </rPh>
    <phoneticPr fontId="1"/>
  </si>
  <si>
    <t>2019/10四神戦</t>
    <rPh sb="7" eb="8">
      <t>ヨン</t>
    </rPh>
    <rPh sb="8" eb="9">
      <t>シン</t>
    </rPh>
    <rPh sb="9" eb="10">
      <t>セン</t>
    </rPh>
    <phoneticPr fontId="1"/>
  </si>
  <si>
    <t>2019/08防衛戦</t>
    <rPh sb="7" eb="10">
      <t>ボウエイセン</t>
    </rPh>
    <phoneticPr fontId="1"/>
  </si>
  <si>
    <t>豪華玉手箱ガチャ</t>
    <phoneticPr fontId="1"/>
  </si>
  <si>
    <t>4/20 15:00～4/20 23:59</t>
    <phoneticPr fontId="1"/>
  </si>
  <si>
    <t>4/20 18:00～4/20 21:59</t>
    <phoneticPr fontId="1"/>
  </si>
  <si>
    <t>超攻撃ガチャ</t>
    <phoneticPr fontId="1"/>
  </si>
  <si>
    <t>4/21 12:00～4/25 11:59</t>
    <phoneticPr fontId="1"/>
  </si>
  <si>
    <t>4/21 15:00～4/22 14:59</t>
    <phoneticPr fontId="1"/>
  </si>
  <si>
    <t>【パン祭り】ベーコンエピ</t>
    <phoneticPr fontId="1"/>
  </si>
  <si>
    <t>近畿</t>
    <phoneticPr fontId="1"/>
  </si>
  <si>
    <t>ぱんまつりべーこんえぴ</t>
    <phoneticPr fontId="1"/>
  </si>
  <si>
    <t>至極のベーコンエピ</t>
    <phoneticPr fontId="1"/>
  </si>
  <si>
    <t>飲食</t>
    <phoneticPr fontId="1"/>
  </si>
  <si>
    <t>タイプ神秘・知性派・飲食の攻50％UP</t>
    <phoneticPr fontId="1"/>
  </si>
  <si>
    <t>タイプ神秘・知性派・飲食の攻40％UP</t>
    <phoneticPr fontId="1"/>
  </si>
  <si>
    <t>タイプ神秘・知性派・飲食の攻35％UP</t>
    <phoneticPr fontId="1"/>
  </si>
  <si>
    <t>【パン祭り】レーズンブレド</t>
    <phoneticPr fontId="1"/>
  </si>
  <si>
    <t>ぱんまつりれーずんぶれど</t>
    <phoneticPr fontId="1"/>
  </si>
  <si>
    <t>中部</t>
    <phoneticPr fontId="1"/>
  </si>
  <si>
    <t>タイプ【武人】の攻90％UP　/　タイプ姫・伝承の攻30％UP</t>
    <phoneticPr fontId="1"/>
  </si>
  <si>
    <t>芳醇なレーズンブレド</t>
    <phoneticPr fontId="1"/>
  </si>
  <si>
    <t>タイプ【武人】の攻65％UP　/　タイプ姫・伝承の攻25％UP</t>
    <phoneticPr fontId="1"/>
  </si>
  <si>
    <t>姫</t>
    <phoneticPr fontId="1"/>
  </si>
  <si>
    <t>タイプ【武人】の攻50％UP　/　タイプ姫・伝承の攻25％UP</t>
    <phoneticPr fontId="1"/>
  </si>
  <si>
    <t>超防御ガチャ</t>
    <phoneticPr fontId="1"/>
  </si>
  <si>
    <t>4/22 12:00～4/25 11:59</t>
    <phoneticPr fontId="1"/>
  </si>
  <si>
    <t>【パン祭り】フィグナッツ</t>
    <phoneticPr fontId="1"/>
  </si>
  <si>
    <t>中国・四国</t>
    <phoneticPr fontId="1"/>
  </si>
  <si>
    <t>ぱんまつりふぃぐなっつ</t>
    <phoneticPr fontId="1"/>
  </si>
  <si>
    <t>素敵なフィグナッツ</t>
    <phoneticPr fontId="1"/>
  </si>
  <si>
    <t>タイプ神秘・知性派の防30％UP　/　タイプ【飲食】の防15％UP</t>
    <phoneticPr fontId="1"/>
  </si>
  <si>
    <t>飲食</t>
    <phoneticPr fontId="1"/>
  </si>
  <si>
    <t>九州・沖縄</t>
    <phoneticPr fontId="1"/>
  </si>
  <si>
    <t>ぱんまつりくれっせんと</t>
    <phoneticPr fontId="1"/>
  </si>
  <si>
    <t>【パン祭り】クレッセント</t>
    <phoneticPr fontId="1"/>
  </si>
  <si>
    <t>タイプ【姫】の防35％UP　/　タイプ武人・伝承の防20％UP</t>
    <phoneticPr fontId="1"/>
  </si>
  <si>
    <t>勇敢なるクレッセント</t>
    <phoneticPr fontId="1"/>
  </si>
  <si>
    <t>武人</t>
    <phoneticPr fontId="1"/>
  </si>
  <si>
    <t>タイプ【姫】の防10％UP　/　タイプ武人・伝承の防15％UP</t>
    <phoneticPr fontId="1"/>
  </si>
  <si>
    <t>タイプ【姫】の防20％UP　/　タイプ武人・伝承の防15％UP</t>
    <phoneticPr fontId="1"/>
  </si>
  <si>
    <t>(3連)4/22 15:00～4/24 23:59</t>
    <phoneticPr fontId="1"/>
  </si>
  <si>
    <t>(10連)4/22 15:00～4/24 23:59</t>
    <phoneticPr fontId="1"/>
  </si>
  <si>
    <t>天クロウィークガチャ</t>
    <phoneticPr fontId="1"/>
  </si>
  <si>
    <t>天クロ看板娘</t>
    <phoneticPr fontId="1"/>
  </si>
  <si>
    <t>全国</t>
    <phoneticPr fontId="1"/>
  </si>
  <si>
    <t>SP</t>
    <phoneticPr fontId="1"/>
  </si>
  <si>
    <t>89543_0</t>
    <phoneticPr fontId="1"/>
  </si>
  <si>
    <t>神秘</t>
    <phoneticPr fontId="1"/>
  </si>
  <si>
    <t>てんくろかんばんむすめ</t>
    <phoneticPr fontId="1"/>
  </si>
  <si>
    <t>陽光煌めく看板娘</t>
    <phoneticPr fontId="1"/>
  </si>
  <si>
    <t>タイプ神秘・飲食の防20％UP　/　タイプ姫・伝承の攻60％DOWN</t>
    <phoneticPr fontId="1"/>
  </si>
  <si>
    <t>4/23 11:00～4/23 23:59</t>
    <phoneticPr fontId="1"/>
  </si>
  <si>
    <t>八つ橋クレープ</t>
    <phoneticPr fontId="1"/>
  </si>
  <si>
    <t>HR</t>
    <phoneticPr fontId="1"/>
  </si>
  <si>
    <t>やつはしくれーぷ</t>
    <phoneticPr fontId="1"/>
  </si>
  <si>
    <t>タイプ【偉人】の防25％UP</t>
    <phoneticPr fontId="1"/>
  </si>
  <si>
    <t>飲食</t>
    <phoneticPr fontId="1"/>
  </si>
  <si>
    <t>八橋の琴音</t>
    <phoneticPr fontId="1"/>
  </si>
  <si>
    <t>[新生]因幡の白兎</t>
    <phoneticPr fontId="1"/>
  </si>
  <si>
    <t>R</t>
    <phoneticPr fontId="1"/>
  </si>
  <si>
    <t>鳥取</t>
    <phoneticPr fontId="1"/>
  </si>
  <si>
    <t>タイプ【姫】の防20％UP</t>
    <phoneticPr fontId="1"/>
  </si>
  <si>
    <t>縁結びの兎</t>
    <phoneticPr fontId="1"/>
  </si>
  <si>
    <t>しんせいいなばのしろうさぎ</t>
    <phoneticPr fontId="1"/>
  </si>
  <si>
    <t>豪華玉手箱ガチャ</t>
    <phoneticPr fontId="1"/>
  </si>
  <si>
    <t>4/23 15:00～4/23 23:59</t>
    <phoneticPr fontId="1"/>
  </si>
  <si>
    <t>4/24 11:00～4/24 23:59</t>
    <phoneticPr fontId="1"/>
  </si>
  <si>
    <t>[新生]糖袋</t>
    <phoneticPr fontId="1"/>
  </si>
  <si>
    <t>[新生]チョココロネ</t>
    <phoneticPr fontId="1"/>
  </si>
  <si>
    <t>兵庫</t>
    <phoneticPr fontId="1"/>
  </si>
  <si>
    <t>しんせいちょこころね</t>
    <phoneticPr fontId="1"/>
  </si>
  <si>
    <t>みずみずしさが人気の秘密</t>
    <phoneticPr fontId="1"/>
  </si>
  <si>
    <t>4/24 20:00～4/24 23:59</t>
    <phoneticPr fontId="1"/>
  </si>
  <si>
    <t>4/24 15:00～4/26 23:59</t>
    <phoneticPr fontId="1"/>
  </si>
  <si>
    <t>しかし、このガチャにおいて得られる『全30種復活ZR確定チケ』には、楠本イネ・天降女子・トモカズキは含まれていない。</t>
    <rPh sb="13" eb="14">
      <t>エ</t>
    </rPh>
    <rPh sb="50" eb="51">
      <t>フク</t>
    </rPh>
    <phoneticPr fontId="1"/>
  </si>
  <si>
    <t>2020/4/24の進化の秘竜チャンスガチャにて、公式の復活ZRについてのお知らせページでは、ZR入りもしくはZR確定チケから出現する全国ZR隊士藤原彰子・コウテイペンギンちゃん・アマテラスが含まれている。</t>
    <rPh sb="25" eb="27">
      <t>コウシキ</t>
    </rPh>
    <rPh sb="28" eb="30">
      <t>フッカツ</t>
    </rPh>
    <rPh sb="38" eb="39">
      <t>シ</t>
    </rPh>
    <rPh sb="49" eb="50">
      <t>イ</t>
    </rPh>
    <rPh sb="57" eb="59">
      <t>カクテイ</t>
    </rPh>
    <rPh sb="63" eb="65">
      <t>シュツゲン</t>
    </rPh>
    <rPh sb="67" eb="69">
      <t>ゼンコク</t>
    </rPh>
    <rPh sb="71" eb="73">
      <t>タイシ</t>
    </rPh>
    <rPh sb="96" eb="97">
      <t>フク</t>
    </rPh>
    <phoneticPr fontId="1"/>
  </si>
  <si>
    <t>しかし、このガチャにおいて得られる『全30種復活ZR確定チケ』には、藤原彰子・コウテイペンギンちゃん・アマテラスは含まれていない。</t>
    <rPh sb="13" eb="14">
      <t>エ</t>
    </rPh>
    <rPh sb="57" eb="58">
      <t>フク</t>
    </rPh>
    <phoneticPr fontId="1"/>
  </si>
  <si>
    <t>全国巡り 春告げる祝祭のパン娘ガチャ</t>
    <rPh sb="0" eb="2">
      <t>ゼンコク</t>
    </rPh>
    <rPh sb="2" eb="3">
      <t>メグ</t>
    </rPh>
    <phoneticPr fontId="1"/>
  </si>
  <si>
    <t>【いちご狩り】屋久島ちゃん</t>
    <phoneticPr fontId="1"/>
  </si>
  <si>
    <t>九州・沖縄</t>
    <phoneticPr fontId="1"/>
  </si>
  <si>
    <t>SR</t>
    <phoneticPr fontId="1"/>
  </si>
  <si>
    <t>HR</t>
    <phoneticPr fontId="1"/>
  </si>
  <si>
    <t>R</t>
    <phoneticPr fontId="1"/>
  </si>
  <si>
    <t>名物</t>
    <phoneticPr fontId="1"/>
  </si>
  <si>
    <t>タイプ偉人・妖怪・名物の防40％UP　/　タイプ神秘・知性派・飲食の攻10％DOWN</t>
    <phoneticPr fontId="1"/>
  </si>
  <si>
    <t>世界遺産的イチゴスイーツ</t>
    <phoneticPr fontId="1"/>
  </si>
  <si>
    <t>いちごがりやくしまちゃん</t>
    <phoneticPr fontId="1"/>
  </si>
  <si>
    <t>[新生]ブルーベリーティーちゃん</t>
    <phoneticPr fontId="1"/>
  </si>
  <si>
    <t>関東</t>
    <phoneticPr fontId="1"/>
  </si>
  <si>
    <t>タイプ神秘・知性派・飲食の攻45％UP　/　タイプ伝承・武人・姫の防10％DOWN</t>
    <phoneticPr fontId="1"/>
  </si>
  <si>
    <t>甘酸っぱい香りの紅茶</t>
    <phoneticPr fontId="1"/>
  </si>
  <si>
    <t>飲食</t>
    <phoneticPr fontId="1"/>
  </si>
  <si>
    <t>しんせいぶるーべりーてぃーちゃん</t>
    <phoneticPr fontId="1"/>
  </si>
  <si>
    <t>[新生]【農業】千姫</t>
    <phoneticPr fontId="1"/>
  </si>
  <si>
    <t>近畿</t>
    <phoneticPr fontId="1"/>
  </si>
  <si>
    <t>タイプ武人・伝承の防30％UP　/　タイプ【姫】の防10％UP</t>
    <phoneticPr fontId="1"/>
  </si>
  <si>
    <t>千の独占禁止法</t>
    <phoneticPr fontId="1"/>
  </si>
  <si>
    <t>姫</t>
    <phoneticPr fontId="1"/>
  </si>
  <si>
    <t>しんせいのうぎょうせんひめ</t>
    <phoneticPr fontId="1"/>
  </si>
  <si>
    <t>タイプ偉人・妖怪の攻20％UP</t>
    <phoneticPr fontId="1"/>
  </si>
  <si>
    <t>秋の味覚発掘中</t>
    <phoneticPr fontId="1"/>
  </si>
  <si>
    <t>しんせいこうらくかせきはっくつむすめ</t>
    <phoneticPr fontId="1"/>
  </si>
  <si>
    <t>[新生]【行楽】化石発掘娘</t>
    <phoneticPr fontId="1"/>
  </si>
  <si>
    <t>中部</t>
    <phoneticPr fontId="1"/>
  </si>
  <si>
    <t>タイプ【神秘】の防20％UP</t>
    <phoneticPr fontId="1"/>
  </si>
  <si>
    <t>秋に実りしお盆のお馬</t>
    <phoneticPr fontId="1"/>
  </si>
  <si>
    <t>しんせいあきなすさん</t>
    <phoneticPr fontId="1"/>
  </si>
  <si>
    <t>[新生]秋茄子さん</t>
    <phoneticPr fontId="1"/>
  </si>
  <si>
    <t>高知</t>
    <phoneticPr fontId="1"/>
  </si>
  <si>
    <t>4/25 18:00～4/27 23:59</t>
    <phoneticPr fontId="1"/>
  </si>
  <si>
    <t>超攻再臨ガチャ</t>
    <phoneticPr fontId="1"/>
  </si>
  <si>
    <t>【梅雨ロマン】タツクチナワ</t>
    <phoneticPr fontId="1"/>
  </si>
  <si>
    <t>【古電車】五色姫</t>
    <phoneticPr fontId="1"/>
  </si>
  <si>
    <t>天才画家の大ジャンプ</t>
    <phoneticPr fontId="1"/>
  </si>
  <si>
    <t>うぃんたーすぽーつひしだしゅんそう</t>
    <phoneticPr fontId="1"/>
  </si>
  <si>
    <t>【ウィンタースポーツ】菱田春草</t>
    <phoneticPr fontId="1"/>
  </si>
  <si>
    <t>祝来！宝船福引ガチャ</t>
    <phoneticPr fontId="1"/>
  </si>
  <si>
    <t>4/26 12:00～4/27 11:59</t>
    <phoneticPr fontId="1"/>
  </si>
  <si>
    <t>【お伽話】雪女</t>
    <phoneticPr fontId="1"/>
  </si>
  <si>
    <t>ひとめぼれちゃん</t>
    <phoneticPr fontId="1"/>
  </si>
  <si>
    <t>火消娘</t>
    <phoneticPr fontId="1"/>
  </si>
  <si>
    <t>さくらんぼクレープ</t>
    <phoneticPr fontId="1"/>
  </si>
  <si>
    <t>上遠野広秀</t>
    <phoneticPr fontId="1"/>
  </si>
  <si>
    <t>中島歌子</t>
    <phoneticPr fontId="1"/>
  </si>
  <si>
    <t>小笠原諸島</t>
    <phoneticPr fontId="1"/>
  </si>
  <si>
    <t>鸞</t>
    <phoneticPr fontId="1"/>
  </si>
  <si>
    <t>鬼瓦</t>
    <phoneticPr fontId="1"/>
  </si>
  <si>
    <t>証城寺の狸囃子</t>
    <phoneticPr fontId="1"/>
  </si>
  <si>
    <t>【美女神】妙音弁財天</t>
    <phoneticPr fontId="1"/>
  </si>
  <si>
    <t>【男祭り】羽柴秀吉</t>
    <phoneticPr fontId="1"/>
  </si>
  <si>
    <t>【夕涼み】小松姫</t>
    <phoneticPr fontId="1"/>
  </si>
  <si>
    <t>桜えびちゃん</t>
    <phoneticPr fontId="1"/>
  </si>
  <si>
    <t>【ドクター】杉田玄白</t>
    <phoneticPr fontId="1"/>
  </si>
  <si>
    <t>甲斐犬</t>
    <phoneticPr fontId="1"/>
  </si>
  <si>
    <t>名古屋城</t>
    <phoneticPr fontId="1"/>
  </si>
  <si>
    <t>かちかち山</t>
    <phoneticPr fontId="1"/>
  </si>
  <si>
    <t>【踊り子】まつ</t>
    <phoneticPr fontId="1"/>
  </si>
  <si>
    <t>黒部ダム</t>
    <phoneticPr fontId="1"/>
  </si>
  <si>
    <t>西陣織</t>
    <phoneticPr fontId="1"/>
  </si>
  <si>
    <t>かちわりちゃん</t>
    <phoneticPr fontId="1"/>
  </si>
  <si>
    <t>鳰姫</t>
    <phoneticPr fontId="1"/>
  </si>
  <si>
    <t>日輪天女</t>
    <phoneticPr fontId="1"/>
  </si>
  <si>
    <t>大台ケ原の蛇女</t>
    <phoneticPr fontId="1"/>
  </si>
  <si>
    <t>与謝蕪村</t>
    <phoneticPr fontId="1"/>
  </si>
  <si>
    <t>【白狐】大山伯耆坊</t>
    <phoneticPr fontId="1"/>
  </si>
  <si>
    <t>五色そうめんちゃん</t>
    <phoneticPr fontId="1"/>
  </si>
  <si>
    <t>【オーケストラ】猫狸</t>
    <phoneticPr fontId="1"/>
  </si>
  <si>
    <t>【桃太郎】お供三人衆</t>
    <phoneticPr fontId="1"/>
  </si>
  <si>
    <t>吉田稔麿</t>
    <phoneticPr fontId="1"/>
  </si>
  <si>
    <t>伊藤宗看</t>
    <phoneticPr fontId="1"/>
  </si>
  <si>
    <t>徳島丼</t>
    <phoneticPr fontId="1"/>
  </si>
  <si>
    <t>宮島の暗闘</t>
    <phoneticPr fontId="1"/>
  </si>
  <si>
    <t>カツオ</t>
    <phoneticPr fontId="1"/>
  </si>
  <si>
    <t>【鬼石曼子】島津義弘</t>
    <phoneticPr fontId="1"/>
  </si>
  <si>
    <t>【カピバラ】海地獄ちゃん</t>
    <phoneticPr fontId="1"/>
  </si>
  <si>
    <t>【夕涼み】あま姫</t>
    <phoneticPr fontId="1"/>
  </si>
  <si>
    <t>ヒノヒカリちゃん</t>
    <phoneticPr fontId="1"/>
  </si>
  <si>
    <t>チョコレートケーキ</t>
    <phoneticPr fontId="1"/>
  </si>
  <si>
    <t>マチヌシュラウヤサメー</t>
    <phoneticPr fontId="1"/>
  </si>
  <si>
    <t>大隈重信</t>
    <phoneticPr fontId="1"/>
  </si>
  <si>
    <t>尺八</t>
    <phoneticPr fontId="1"/>
  </si>
  <si>
    <t>後藤新平</t>
    <phoneticPr fontId="1"/>
  </si>
  <si>
    <t>塚原ト伝</t>
    <phoneticPr fontId="1"/>
  </si>
  <si>
    <t>津田算長</t>
    <phoneticPr fontId="1"/>
  </si>
  <si>
    <t>豪華玉手箱ガチャ</t>
    <phoneticPr fontId="1"/>
  </si>
  <si>
    <t>4/26 15:00～4/26 23:59</t>
    <phoneticPr fontId="1"/>
  </si>
  <si>
    <t>4/27 18:00～4/27 21:59</t>
    <phoneticPr fontId="1"/>
  </si>
  <si>
    <t>全国巡り 英雄ガチャ</t>
    <rPh sb="0" eb="2">
      <t>ゼンコク</t>
    </rPh>
    <rPh sb="2" eb="3">
      <t>メグ</t>
    </rPh>
    <rPh sb="5" eb="7">
      <t>エイユウ</t>
    </rPh>
    <phoneticPr fontId="1"/>
  </si>
  <si>
    <t>4/27 11:00～4/27 23:59</t>
    <phoneticPr fontId="1"/>
  </si>
  <si>
    <t>全国巡り 英雄ガチャ</t>
    <rPh sb="0" eb="2">
      <t>ゼンコク</t>
    </rPh>
    <rPh sb="2" eb="3">
      <t>メグ</t>
    </rPh>
    <rPh sb="5" eb="7">
      <t>エイユウ</t>
    </rPh>
    <phoneticPr fontId="1"/>
  </si>
  <si>
    <t>4/28 11:00～4/28 23:59</t>
    <phoneticPr fontId="1"/>
  </si>
  <si>
    <t>超防再臨ガチャ</t>
    <rPh sb="0" eb="1">
      <t>チョウ</t>
    </rPh>
    <rPh sb="1" eb="2">
      <t>ボウ</t>
    </rPh>
    <rPh sb="2" eb="4">
      <t>サイリン</t>
    </rPh>
    <phoneticPr fontId="1"/>
  </si>
  <si>
    <t>4/28 18:00～4/30 23:59</t>
    <phoneticPr fontId="1"/>
  </si>
  <si>
    <t>祝来！宝船福引ガチャ</t>
    <phoneticPr fontId="1"/>
  </si>
  <si>
    <t>4/29 12:00～4/30 11:59</t>
    <phoneticPr fontId="1"/>
  </si>
  <si>
    <t>戦神ガチャ</t>
    <phoneticPr fontId="1"/>
  </si>
  <si>
    <t>4/29 15:00～4/30 23:59</t>
    <phoneticPr fontId="1"/>
  </si>
  <si>
    <t>4/30 11:00～4/30 23:59</t>
    <phoneticPr fontId="1"/>
  </si>
  <si>
    <t>復活！5進化隊士ガチャ</t>
    <rPh sb="0" eb="2">
      <t>フッカツ</t>
    </rPh>
    <rPh sb="4" eb="6">
      <t>シンカ</t>
    </rPh>
    <rPh sb="6" eb="8">
      <t>タイシ</t>
    </rPh>
    <phoneticPr fontId="1"/>
  </si>
  <si>
    <t>【クリスマスウォー】巴御前</t>
    <phoneticPr fontId="1"/>
  </si>
  <si>
    <t>くりすますうぉーともえごぜん</t>
    <phoneticPr fontId="1"/>
  </si>
  <si>
    <t>聖夜に舞う一騎当千の美しき兵</t>
    <phoneticPr fontId="1"/>
  </si>
  <si>
    <t>タイプ姫・伝承の防40％UP　/　タイプ【武人】の防25％UP</t>
    <phoneticPr fontId="1"/>
  </si>
  <si>
    <t>武人</t>
    <phoneticPr fontId="1"/>
  </si>
  <si>
    <t>タイプ姫・伝承の防25％UP　/　タイプ【武人】の防20％UP</t>
    <phoneticPr fontId="1"/>
  </si>
  <si>
    <t>タイプ姫・伝承の防10％UP　/　タイプ【武人】の防20％UP</t>
    <phoneticPr fontId="1"/>
  </si>
  <si>
    <t>歯科助手のモリー</t>
    <phoneticPr fontId="1"/>
  </si>
  <si>
    <t>しかじょしゅのもりー</t>
    <phoneticPr fontId="1"/>
  </si>
  <si>
    <t>知性派</t>
    <phoneticPr fontId="1"/>
  </si>
  <si>
    <t>笑顔の満ちた対応</t>
    <phoneticPr fontId="1"/>
  </si>
  <si>
    <t>タイプ神秘・知性派・飲食の防40％UP　/　タイプ神秘・知性派・飲食の攻10％DOWN</t>
    <phoneticPr fontId="1"/>
  </si>
  <si>
    <t>タイプ神秘・知性派・飲食の防30％UP　/　タイプ神秘・飲食の攻10％DOWN</t>
    <phoneticPr fontId="1"/>
  </si>
  <si>
    <t>タイプ神秘・飲食の防15％UP　/　タイプ【飲食】の攻10％DOWN</t>
    <phoneticPr fontId="1"/>
  </si>
  <si>
    <t>屋台荒らしのベゼ</t>
    <phoneticPr fontId="1"/>
  </si>
  <si>
    <t>やたいあらしのべぜ</t>
    <phoneticPr fontId="1"/>
  </si>
  <si>
    <t>俊速の手捌き</t>
    <phoneticPr fontId="1"/>
  </si>
  <si>
    <t>タイプ【偉人】の攻85％UP　/　タイプ妖怪・名物の攻25％UP</t>
    <phoneticPr fontId="1"/>
  </si>
  <si>
    <t>名物</t>
    <phoneticPr fontId="1"/>
  </si>
  <si>
    <t>タイプ【偉人】の攻45％UP　/　タイプ【名物】の攻15％UP</t>
    <phoneticPr fontId="1"/>
  </si>
  <si>
    <t>タイプ【偉人】の攻60％UP　/　タイプ妖怪・名物の攻20％UP</t>
    <phoneticPr fontId="1"/>
  </si>
  <si>
    <t>豪華玉手箱ガチャ</t>
    <phoneticPr fontId="1"/>
  </si>
  <si>
    <t>4/30 15:00～4/30 23:59</t>
    <phoneticPr fontId="1"/>
  </si>
  <si>
    <t>【F1レース】横浜セーラーちゃん</t>
    <phoneticPr fontId="1"/>
  </si>
  <si>
    <t>えふわんれーすよこはませーらーちゃん</t>
    <phoneticPr fontId="1"/>
  </si>
  <si>
    <t>サーキットのかもめ</t>
    <phoneticPr fontId="1"/>
  </si>
  <si>
    <t>タイプ偉人・妖怪・名物の防70％UP</t>
    <phoneticPr fontId="1"/>
  </si>
  <si>
    <t>89073_0</t>
    <phoneticPr fontId="1"/>
  </si>
  <si>
    <t>荒海飛鴎</t>
    <phoneticPr fontId="1"/>
  </si>
  <si>
    <t>一定時間、敵・味方全体の与えるダメージが上昇し、味方全体が一定割合で、相手の攻撃を回避する</t>
    <phoneticPr fontId="1"/>
  </si>
  <si>
    <t>防衛戦 勝利を呼び込むレースクイーンガチャ</t>
    <rPh sb="0" eb="3">
      <t>ボウエイセン</t>
    </rPh>
    <phoneticPr fontId="1"/>
  </si>
  <si>
    <t>(Lvアップ)5/1 0:00～5/8 23:59</t>
    <phoneticPr fontId="1"/>
  </si>
  <si>
    <t>(DX)5/1 0:00～5/8 23:59</t>
    <phoneticPr fontId="1"/>
  </si>
  <si>
    <t>【F1レース】徳川家康</t>
    <phoneticPr fontId="1"/>
  </si>
  <si>
    <t>えふわんれーすとくがわいえやす</t>
    <phoneticPr fontId="1"/>
  </si>
  <si>
    <t>F１界の東照大権現</t>
    <phoneticPr fontId="1"/>
  </si>
  <si>
    <t>【F1レース】速水宗青</t>
    <phoneticPr fontId="1"/>
  </si>
  <si>
    <t>えふわんれーすはやみそうせい</t>
    <phoneticPr fontId="1"/>
  </si>
  <si>
    <t>レース支える和敬清寂のおもてなし</t>
    <phoneticPr fontId="1"/>
  </si>
  <si>
    <t>【F1レース】楠本高子</t>
    <phoneticPr fontId="1"/>
  </si>
  <si>
    <t>えふわんれーすくすもとたかこ</t>
    <phoneticPr fontId="1"/>
  </si>
  <si>
    <t>サーキット賑わす才女</t>
    <phoneticPr fontId="1"/>
  </si>
  <si>
    <t>タイプ神秘・知性派・飲食の攻45％UP　/　タイプ偉人・姫・知性派の防10％DOWN</t>
    <phoneticPr fontId="1"/>
  </si>
  <si>
    <t>[新生]【レースクイーン】徳姫</t>
    <phoneticPr fontId="1"/>
  </si>
  <si>
    <t>しんせいれーすくいーんとくひめ</t>
    <phoneticPr fontId="1"/>
  </si>
  <si>
    <t>妖艶が誘う大歓声</t>
    <phoneticPr fontId="1"/>
  </si>
  <si>
    <t>[新生]【レースクイーン】神保雪</t>
    <phoneticPr fontId="1"/>
  </si>
  <si>
    <t>しんせいれーすくいーんじんぼゆき</t>
    <phoneticPr fontId="1"/>
  </si>
  <si>
    <t>[新生]【レースクイーン】大蛇の巫女</t>
    <phoneticPr fontId="1"/>
  </si>
  <si>
    <t>しんせいれーすくいーんおろちのみこ</t>
    <phoneticPr fontId="1"/>
  </si>
  <si>
    <t>蛇鞭の妙技</t>
    <phoneticPr fontId="1"/>
  </si>
  <si>
    <t>[新生]【レースクイーン】龍造寺玉鶴</t>
    <phoneticPr fontId="1"/>
  </si>
  <si>
    <t>しんせいれーすくいーんりゅうぞうじたまつる</t>
    <phoneticPr fontId="1"/>
  </si>
  <si>
    <t>疲れを癒す祭典を求めて</t>
    <phoneticPr fontId="1"/>
  </si>
  <si>
    <t>[新生]【レースクイーン】浅井鶴千代</t>
    <phoneticPr fontId="1"/>
  </si>
  <si>
    <t>しんせいれーすくいーんあざいつるちよ</t>
    <phoneticPr fontId="1"/>
  </si>
  <si>
    <t>誰もが狙うご褒美</t>
    <phoneticPr fontId="1"/>
  </si>
  <si>
    <t>[新生]【レースクイーン】若菜姫</t>
    <phoneticPr fontId="1"/>
  </si>
  <si>
    <t>大分</t>
    <phoneticPr fontId="1"/>
  </si>
  <si>
    <t>[新生]【レースクイーン】千代</t>
    <phoneticPr fontId="1"/>
  </si>
  <si>
    <t>岐阜</t>
    <phoneticPr fontId="1"/>
  </si>
  <si>
    <t>しんせいれーすくいーんちよ</t>
    <phoneticPr fontId="1"/>
  </si>
  <si>
    <t>しんせいれーすくいーんわかなひめ</t>
    <phoneticPr fontId="1"/>
  </si>
  <si>
    <t>目指せ金銀財宝！GWの大冒険ガチャ</t>
    <phoneticPr fontId="1"/>
  </si>
  <si>
    <t>5/2 15:00～5/6 23:59</t>
    <phoneticPr fontId="1"/>
  </si>
  <si>
    <t>【宇宙戦争】堀田吉子</t>
    <phoneticPr fontId="1"/>
  </si>
  <si>
    <t>うちゅうせんそうほったきちこ</t>
    <phoneticPr fontId="1"/>
  </si>
  <si>
    <t>知性派</t>
    <phoneticPr fontId="1"/>
  </si>
  <si>
    <t>幼きブレインの戦略</t>
    <phoneticPr fontId="1"/>
  </si>
  <si>
    <t>タイプ神秘・知性派・飲食の攻45％UP　/　タイプ伝承・武人・姫の防10％DOWN</t>
    <phoneticPr fontId="1"/>
  </si>
  <si>
    <t>タイプ神秘・知性派・飲食の攻30％UP　/　タイプ武人・姫の防10％DOWN</t>
    <phoneticPr fontId="1"/>
  </si>
  <si>
    <t>西日本</t>
    <phoneticPr fontId="1"/>
  </si>
  <si>
    <t>タイプ神秘・飲食の攻20％UP　/　タイプ【武人】の防10％DOWN</t>
    <phoneticPr fontId="1"/>
  </si>
  <si>
    <t>【黄金週間】GWの大冒険</t>
    <phoneticPr fontId="1"/>
  </si>
  <si>
    <t>全国</t>
    <phoneticPr fontId="1"/>
  </si>
  <si>
    <t>おうごんしゅうかんごーるでんうぃーくのだいぼうけん</t>
    <phoneticPr fontId="1"/>
  </si>
  <si>
    <t>名物</t>
    <phoneticPr fontId="1"/>
  </si>
  <si>
    <t>輝く思い出</t>
    <phoneticPr fontId="1"/>
  </si>
  <si>
    <t>タイプ知性派・飲食・神秘・妖怪・名物・偉人の防30％UP　/　タイプ神秘・知性派・飲食の攻20％DOWN</t>
    <phoneticPr fontId="1"/>
  </si>
  <si>
    <t>軍計 獅子身中</t>
    <phoneticPr fontId="1"/>
  </si>
  <si>
    <t>敵全体の攻20％DOWN</t>
    <phoneticPr fontId="1"/>
  </si>
  <si>
    <t>祝来！宝船福引ガチャ</t>
    <phoneticPr fontId="1"/>
  </si>
  <si>
    <t>5/3 12:00～5/4 11:59</t>
    <phoneticPr fontId="1"/>
  </si>
  <si>
    <t>防衛戦 宇宙駆ける反撃の戦艦ガチャ</t>
    <rPh sb="0" eb="3">
      <t>ボウエイセン</t>
    </rPh>
    <phoneticPr fontId="1"/>
  </si>
  <si>
    <t>(Lvアップ)5/4 12:00～5/8 11:59</t>
    <phoneticPr fontId="1"/>
  </si>
  <si>
    <t>(DX)5/4 12:00～5/8 11:59</t>
    <phoneticPr fontId="1"/>
  </si>
  <si>
    <t>【宇宙戦争】夜叉龍神</t>
    <phoneticPr fontId="1"/>
  </si>
  <si>
    <t>中部</t>
    <phoneticPr fontId="1"/>
  </si>
  <si>
    <t>SR</t>
    <phoneticPr fontId="1"/>
  </si>
  <si>
    <t>HR</t>
    <phoneticPr fontId="1"/>
  </si>
  <si>
    <t>R</t>
    <phoneticPr fontId="1"/>
  </si>
  <si>
    <t>うちゅうせんそうやしゃりゅうじん</t>
    <phoneticPr fontId="1"/>
  </si>
  <si>
    <t>神秘</t>
    <phoneticPr fontId="1"/>
  </si>
  <si>
    <t>龍神の水際作戦</t>
    <phoneticPr fontId="1"/>
  </si>
  <si>
    <t>タイプ【飲食】の防90％UP　/　タイプ神秘・知性派の防30％UP</t>
    <phoneticPr fontId="1"/>
  </si>
  <si>
    <t>[新生]【宇宙戦争】秋山好古</t>
    <phoneticPr fontId="1"/>
  </si>
  <si>
    <t>中国・四国</t>
    <phoneticPr fontId="1"/>
  </si>
  <si>
    <t>しんせいうちゅうせんそうあきやまよしふる</t>
    <phoneticPr fontId="1"/>
  </si>
  <si>
    <t>武人</t>
    <phoneticPr fontId="1"/>
  </si>
  <si>
    <t>天翔ける騎兵隊</t>
    <phoneticPr fontId="1"/>
  </si>
  <si>
    <t>タイプ姫・伝承の攻30％UP　/　タイプ【武人】の攻10％UP</t>
    <phoneticPr fontId="1"/>
  </si>
  <si>
    <t>[新生]【アンドロイド】ペケレチュプカムイ</t>
    <phoneticPr fontId="1"/>
  </si>
  <si>
    <t>北海道・東北</t>
    <phoneticPr fontId="1"/>
  </si>
  <si>
    <t>しんせいあんどろいどぺけれちゅぷかむい</t>
    <phoneticPr fontId="1"/>
  </si>
  <si>
    <t>ペケレチュプ光発電</t>
    <phoneticPr fontId="1"/>
  </si>
  <si>
    <t>タイプ知性派・飲食の防20％UP</t>
    <phoneticPr fontId="1"/>
  </si>
  <si>
    <t>[新生]【アルテミス】亀井少琹</t>
    <phoneticPr fontId="1"/>
  </si>
  <si>
    <t>しんせいあるてみすかめいしょうきん</t>
    <phoneticPr fontId="1"/>
  </si>
  <si>
    <t>福岡</t>
    <phoneticPr fontId="1"/>
  </si>
  <si>
    <t>容赦ない純潔の誓い</t>
    <phoneticPr fontId="1"/>
  </si>
  <si>
    <t>知性派</t>
    <phoneticPr fontId="1"/>
  </si>
  <si>
    <t>タイプ【神秘】の攻20％UP</t>
    <phoneticPr fontId="1"/>
  </si>
  <si>
    <t>豪華玉手箱ガチャ</t>
    <phoneticPr fontId="1"/>
  </si>
  <si>
    <t>5/4 15:00～5/4 23:59</t>
    <phoneticPr fontId="1"/>
  </si>
  <si>
    <t>【ちょこの日】どさんこちゃん</t>
    <phoneticPr fontId="1"/>
  </si>
  <si>
    <t>防衛戦 英雄ガチャ</t>
    <rPh sb="0" eb="3">
      <t>ボウエイセン</t>
    </rPh>
    <rPh sb="4" eb="6">
      <t>エイユウ</t>
    </rPh>
    <phoneticPr fontId="1"/>
  </si>
  <si>
    <t>戦神ガチャ</t>
    <rPh sb="0" eb="2">
      <t>センシン</t>
    </rPh>
    <phoneticPr fontId="1"/>
  </si>
  <si>
    <t>超防再臨ガチャ</t>
    <rPh sb="0" eb="1">
      <t>チョウ</t>
    </rPh>
    <rPh sb="1" eb="2">
      <t>ボウ</t>
    </rPh>
    <rPh sb="2" eb="4">
      <t>サイリン</t>
    </rPh>
    <phoneticPr fontId="1"/>
  </si>
  <si>
    <t>5/5 18:00～5/7 23:59</t>
    <phoneticPr fontId="1"/>
  </si>
  <si>
    <t>5/5 15:00～5/7 23:59</t>
    <phoneticPr fontId="1"/>
  </si>
  <si>
    <t>5/5 11:00～5/5 23:59</t>
    <phoneticPr fontId="1"/>
  </si>
  <si>
    <t>祝来！宝船福引ガチャ</t>
    <phoneticPr fontId="1"/>
  </si>
  <si>
    <t>5/6 12:00～5/7 11:59</t>
    <phoneticPr fontId="1"/>
  </si>
  <si>
    <t>刹那！最強DOWN隊士ガチャ</t>
    <phoneticPr fontId="1"/>
  </si>
  <si>
    <t>5/6 20:00～5/6 23:59</t>
    <phoneticPr fontId="1"/>
  </si>
  <si>
    <t>進化の秘竜チャンスガチャ</t>
    <phoneticPr fontId="1"/>
  </si>
  <si>
    <t>5/7 12:00～5/9 23:59</t>
    <phoneticPr fontId="1"/>
  </si>
  <si>
    <t>2020/4/9及び5/7の進化の秘竜チャンスガチャにて、公式の復活ZRについてのお知らせページでは、ZR入りもしくはZR確定チケから出現する全国ZR隊士楠本イネ・天降女子・トモカズキが含まれている。</t>
    <rPh sb="8" eb="9">
      <t>オヨ</t>
    </rPh>
    <rPh sb="29" eb="31">
      <t>コウシキ</t>
    </rPh>
    <rPh sb="32" eb="34">
      <t>フッカツ</t>
    </rPh>
    <rPh sb="42" eb="43">
      <t>シ</t>
    </rPh>
    <rPh sb="53" eb="54">
      <t>イ</t>
    </rPh>
    <rPh sb="61" eb="63">
      <t>カクテイ</t>
    </rPh>
    <rPh sb="67" eb="69">
      <t>シュツゲン</t>
    </rPh>
    <rPh sb="71" eb="73">
      <t>ゼンコク</t>
    </rPh>
    <rPh sb="75" eb="77">
      <t>タイシ</t>
    </rPh>
    <rPh sb="93" eb="94">
      <t>フク</t>
    </rPh>
    <phoneticPr fontId="1"/>
  </si>
  <si>
    <t>2020/5/7の進化の秘竜チャンスガチャにて、公式の復活ZRについてのお知らせページでは、ZR入りもしくはZR確定チケから出現する全国ZR隊士新島八重・楠本イネ・巴御前が含まれている。</t>
    <rPh sb="24" eb="26">
      <t>コウシキ</t>
    </rPh>
    <rPh sb="27" eb="29">
      <t>フッカツ</t>
    </rPh>
    <rPh sb="37" eb="38">
      <t>シ</t>
    </rPh>
    <rPh sb="48" eb="49">
      <t>イ</t>
    </rPh>
    <rPh sb="56" eb="58">
      <t>カクテイ</t>
    </rPh>
    <rPh sb="62" eb="64">
      <t>シュツゲン</t>
    </rPh>
    <rPh sb="66" eb="68">
      <t>ゼンコク</t>
    </rPh>
    <rPh sb="70" eb="72">
      <t>タイシ</t>
    </rPh>
    <rPh sb="85" eb="86">
      <t>フク</t>
    </rPh>
    <phoneticPr fontId="1"/>
  </si>
  <si>
    <t>しかし、このガチャにおいて得られる『全30種復活ZR確定チケ』には、新島八重・楠本イネ・巴御前は含まれていない。</t>
    <rPh sb="13" eb="14">
      <t>エ</t>
    </rPh>
    <rPh sb="48" eb="49">
      <t>フク</t>
    </rPh>
    <phoneticPr fontId="1"/>
  </si>
  <si>
    <t>また、隊士の種類もほぼ代り映えないにも関わらず、隊士の並び順が一貫していないために一見して混乱するため、『全30種復活ZR確定チケ』を特定のパターンとして提供するならちゃんと一貫性を貫いて隊士の並び順を統一してほしい。</t>
    <rPh sb="3" eb="5">
      <t>タイシ</t>
    </rPh>
    <rPh sb="6" eb="8">
      <t>シュルイ</t>
    </rPh>
    <rPh sb="11" eb="12">
      <t>カワ</t>
    </rPh>
    <rPh sb="13" eb="14">
      <t>バ</t>
    </rPh>
    <rPh sb="19" eb="20">
      <t>カカ</t>
    </rPh>
    <rPh sb="24" eb="26">
      <t>タイシ</t>
    </rPh>
    <rPh sb="27" eb="28">
      <t>ナラ</t>
    </rPh>
    <rPh sb="29" eb="30">
      <t>ジュン</t>
    </rPh>
    <rPh sb="31" eb="33">
      <t>イッカン</t>
    </rPh>
    <rPh sb="41" eb="43">
      <t>イッケン</t>
    </rPh>
    <rPh sb="67" eb="69">
      <t>トクテイ</t>
    </rPh>
    <rPh sb="77" eb="79">
      <t>テイキョウ</t>
    </rPh>
    <rPh sb="87" eb="90">
      <t>イッカンセイ</t>
    </rPh>
    <rPh sb="91" eb="92">
      <t>ツラヌ</t>
    </rPh>
    <rPh sb="94" eb="96">
      <t>タイシ</t>
    </rPh>
    <rPh sb="97" eb="98">
      <t>ナラ</t>
    </rPh>
    <rPh sb="99" eb="100">
      <t>ジュン</t>
    </rPh>
    <rPh sb="101" eb="103">
      <t>トウイツ</t>
    </rPh>
    <phoneticPr fontId="1"/>
  </si>
  <si>
    <t>公式のお知らせページで別途ZR隊士を紹介するケースでは、これまで『全30種復活ZR確定チケ』の中身だけを紹介していた。混乱するので別途お知らせページで紹介する形式を取るなら『全30種復活ZR確定チケ』の中身だけで内容を一貫してほしい。</t>
    <rPh sb="0" eb="2">
      <t>コウシキ</t>
    </rPh>
    <rPh sb="4" eb="5">
      <t>シ</t>
    </rPh>
    <rPh sb="11" eb="13">
      <t>ベット</t>
    </rPh>
    <rPh sb="15" eb="17">
      <t>タイシ</t>
    </rPh>
    <rPh sb="18" eb="20">
      <t>ショウカイ</t>
    </rPh>
    <rPh sb="47" eb="49">
      <t>ナカミ</t>
    </rPh>
    <rPh sb="52" eb="54">
      <t>ショウカイ</t>
    </rPh>
    <rPh sb="59" eb="61">
      <t>コンラン</t>
    </rPh>
    <rPh sb="65" eb="67">
      <t>ベット</t>
    </rPh>
    <rPh sb="68" eb="69">
      <t>シ</t>
    </rPh>
    <rPh sb="75" eb="77">
      <t>ショウカイ</t>
    </rPh>
    <rPh sb="79" eb="81">
      <t>ケイシキ</t>
    </rPh>
    <rPh sb="82" eb="83">
      <t>ト</t>
    </rPh>
    <rPh sb="106" eb="108">
      <t>ナイヨウ</t>
    </rPh>
    <rPh sb="109" eb="111">
      <t>イッカン</t>
    </rPh>
    <phoneticPr fontId="1"/>
  </si>
  <si>
    <t>5/7 18:00～5/7 21:59</t>
    <phoneticPr fontId="1"/>
  </si>
  <si>
    <t>(DX)5/8 12:00～5/14 11:59</t>
    <phoneticPr fontId="1"/>
  </si>
  <si>
    <t>(Lvアップ)5/8 12:00～5/14 11:59</t>
    <phoneticPr fontId="1"/>
  </si>
  <si>
    <t>5/8 18:00～5/10 23:59</t>
    <phoneticPr fontId="1"/>
  </si>
  <si>
    <t>超攻再臨ガチャ</t>
    <phoneticPr fontId="1"/>
  </si>
  <si>
    <t>四神戦 一攫千金！伝説の賭博女王ガチャ</t>
    <rPh sb="0" eb="1">
      <t>ヨン</t>
    </rPh>
    <rPh sb="1" eb="2">
      <t>シン</t>
    </rPh>
    <rPh sb="2" eb="3">
      <t>セン</t>
    </rPh>
    <phoneticPr fontId="1"/>
  </si>
  <si>
    <t>【カジノ】ウィノナ</t>
    <phoneticPr fontId="1"/>
  </si>
  <si>
    <t>中国・四国</t>
    <phoneticPr fontId="1"/>
  </si>
  <si>
    <t>HR</t>
    <phoneticPr fontId="1"/>
  </si>
  <si>
    <t>R</t>
    <phoneticPr fontId="1"/>
  </si>
  <si>
    <t>かじのうぃのな</t>
    <phoneticPr fontId="1"/>
  </si>
  <si>
    <t>タイプ妖怪・名物の攻60％UP　/　タイプ【偉人】の攻30％UP</t>
    <phoneticPr fontId="1"/>
  </si>
  <si>
    <t>美しき勝負師</t>
    <phoneticPr fontId="1"/>
  </si>
  <si>
    <t>偉人</t>
    <phoneticPr fontId="1"/>
  </si>
  <si>
    <t>[新生]後神</t>
    <phoneticPr fontId="1"/>
  </si>
  <si>
    <t>近畿</t>
    <phoneticPr fontId="1"/>
  </si>
  <si>
    <t>しんせいうしろがみ</t>
    <phoneticPr fontId="1"/>
  </si>
  <si>
    <t>妖怪</t>
    <phoneticPr fontId="1"/>
  </si>
  <si>
    <t>後ろ髪引く臆病神</t>
    <phoneticPr fontId="1"/>
  </si>
  <si>
    <t>タイプ飲食・武人・名物の攻85％DOWN　/　タイプ偉人・名物の防30％UP</t>
    <phoneticPr fontId="1"/>
  </si>
  <si>
    <t>[新生]【クラブ】雷切丸</t>
    <phoneticPr fontId="1"/>
  </si>
  <si>
    <t>九州・沖縄</t>
    <phoneticPr fontId="1"/>
  </si>
  <si>
    <t>しんせいくらぶらいきりまる</t>
    <phoneticPr fontId="1"/>
  </si>
  <si>
    <t>神秘</t>
    <phoneticPr fontId="1"/>
  </si>
  <si>
    <t>雷切の太客切り</t>
    <phoneticPr fontId="1"/>
  </si>
  <si>
    <t>タイプ知性派・飲食の攻30％UP　/　タイプ【神秘】の攻10％UP</t>
    <phoneticPr fontId="1"/>
  </si>
  <si>
    <t>[新生]【カジノ】火消娘</t>
    <phoneticPr fontId="1"/>
  </si>
  <si>
    <t>北海道・東北</t>
    <phoneticPr fontId="1"/>
  </si>
  <si>
    <t>しんせいかじのひけしむすめ</t>
    <phoneticPr fontId="1"/>
  </si>
  <si>
    <t>消せないハートの炎</t>
    <phoneticPr fontId="1"/>
  </si>
  <si>
    <t>タイプ偉人・名物の防20％UP</t>
    <phoneticPr fontId="1"/>
  </si>
  <si>
    <t>[新生]【王宮】チューリップちゃん</t>
    <phoneticPr fontId="1"/>
  </si>
  <si>
    <t>富山</t>
    <phoneticPr fontId="1"/>
  </si>
  <si>
    <t>しんせいおうきゅうちゅーりっぷちゃん</t>
    <phoneticPr fontId="1"/>
  </si>
  <si>
    <t>名物</t>
    <phoneticPr fontId="1"/>
  </si>
  <si>
    <t>春咲くテーブルコーデ</t>
    <phoneticPr fontId="1"/>
  </si>
  <si>
    <t>タイプ【妖怪】の攻20％UP</t>
    <phoneticPr fontId="1"/>
  </si>
  <si>
    <t>5/9 12:00～5/14 11:59</t>
    <phoneticPr fontId="1"/>
  </si>
  <si>
    <t>SSR</t>
    <phoneticPr fontId="1"/>
  </si>
  <si>
    <t>SR</t>
    <phoneticPr fontId="1"/>
  </si>
  <si>
    <t>全国</t>
    <rPh sb="0" eb="2">
      <t>ゼンコク</t>
    </rPh>
    <phoneticPr fontId="1"/>
  </si>
  <si>
    <t>東日本</t>
    <rPh sb="0" eb="1">
      <t>ヒガシ</t>
    </rPh>
    <rPh sb="1" eb="3">
      <t>ニホン</t>
    </rPh>
    <phoneticPr fontId="1"/>
  </si>
  <si>
    <t>5進</t>
    <rPh sb="1" eb="2">
      <t>シン</t>
    </rPh>
    <phoneticPr fontId="1"/>
  </si>
  <si>
    <t>3進</t>
    <rPh sb="1" eb="2">
      <t>シン</t>
    </rPh>
    <phoneticPr fontId="1"/>
  </si>
  <si>
    <t>1進</t>
    <rPh sb="1" eb="2">
      <t>シン</t>
    </rPh>
    <phoneticPr fontId="1"/>
  </si>
  <si>
    <t>ゆあみむーまん</t>
    <phoneticPr fontId="1"/>
  </si>
  <si>
    <t>【湯浴み】ムーマン</t>
    <phoneticPr fontId="1"/>
  </si>
  <si>
    <t>隠された美しき花</t>
    <phoneticPr fontId="1"/>
  </si>
  <si>
    <t>タイプ妖怪・名物の防50％UP　/　タイプ【偉人】の防20％UP</t>
    <phoneticPr fontId="1"/>
  </si>
  <si>
    <t>偉人</t>
    <phoneticPr fontId="1"/>
  </si>
  <si>
    <t>タイプ妖怪・名物の防40％UP　/　タイプ【偉人】の防10％UP</t>
    <phoneticPr fontId="1"/>
  </si>
  <si>
    <t>タイプ妖怪・名物の防25％UP　/　タイプ【偉人】の防5％UP</t>
    <phoneticPr fontId="1"/>
  </si>
  <si>
    <t>豪華玉手箱ガチャ</t>
    <phoneticPr fontId="1"/>
  </si>
  <si>
    <t>5/9 15:00～5/9 23:59</t>
    <phoneticPr fontId="1"/>
  </si>
  <si>
    <t>四神戦 英雄ガチャ</t>
    <rPh sb="0" eb="1">
      <t>ヨン</t>
    </rPh>
    <rPh sb="1" eb="2">
      <t>シン</t>
    </rPh>
    <rPh sb="2" eb="3">
      <t>セン</t>
    </rPh>
    <rPh sb="4" eb="6">
      <t>エイユウ</t>
    </rPh>
    <phoneticPr fontId="1"/>
  </si>
  <si>
    <t>5/10 11:00～5/10 23:59</t>
    <phoneticPr fontId="1"/>
  </si>
  <si>
    <t>祝来！宝船福引ガチャ</t>
    <rPh sb="0" eb="2">
      <t>シュクライ</t>
    </rPh>
    <rPh sb="3" eb="7">
      <t>タカラブネフクビキ</t>
    </rPh>
    <phoneticPr fontId="1"/>
  </si>
  <si>
    <t>5/10 15:00～5/11 14:59</t>
    <phoneticPr fontId="1"/>
  </si>
  <si>
    <t>超防再臨ガチャ</t>
    <phoneticPr fontId="1"/>
  </si>
  <si>
    <t>5/11 18:00～5/13 23:59</t>
    <phoneticPr fontId="1"/>
  </si>
  <si>
    <t>刹那！最強DOWN隊士ガチャ</t>
    <phoneticPr fontId="1"/>
  </si>
  <si>
    <t>5/11 20:00～5/11 23:59</t>
    <phoneticPr fontId="1"/>
  </si>
  <si>
    <t>5/12 11:00～5/12 23:59</t>
    <phoneticPr fontId="1"/>
  </si>
  <si>
    <t>5/12 18:00～5/12 21:59</t>
    <phoneticPr fontId="1"/>
  </si>
  <si>
    <t>超攻再臨ガチャ</t>
    <phoneticPr fontId="1"/>
  </si>
  <si>
    <t>5/13 18:00～5/15 23:59</t>
    <phoneticPr fontId="1"/>
  </si>
  <si>
    <t>サイコロ行脚 大地を涸らす邪神の槍撃ガチャ</t>
    <rPh sb="4" eb="6">
      <t>アンギャ</t>
    </rPh>
    <phoneticPr fontId="1"/>
  </si>
  <si>
    <t>(Lvアップ)5/14 12:00～5/21 11:59</t>
    <phoneticPr fontId="1"/>
  </si>
  <si>
    <t>(DX)5/14 12:00～5/21 11:59</t>
    <phoneticPr fontId="1"/>
  </si>
  <si>
    <t>【ランサー】アパオシャ</t>
    <phoneticPr fontId="1"/>
  </si>
  <si>
    <t>SSR</t>
    <phoneticPr fontId="1"/>
  </si>
  <si>
    <t>SR</t>
    <phoneticPr fontId="1"/>
  </si>
  <si>
    <t>HR</t>
    <phoneticPr fontId="1"/>
  </si>
  <si>
    <t>R</t>
    <phoneticPr fontId="1"/>
  </si>
  <si>
    <t>中部</t>
    <phoneticPr fontId="1"/>
  </si>
  <si>
    <t>らんさーあぱおしゃ</t>
    <phoneticPr fontId="1"/>
  </si>
  <si>
    <t>伝承</t>
    <phoneticPr fontId="1"/>
  </si>
  <si>
    <t>渇きの豪風</t>
    <phoneticPr fontId="1"/>
  </si>
  <si>
    <t>タイプ伝承・武人・姫の攻40％UP　/　タイプ神秘・知性派・飲食の防10％DOWN</t>
    <phoneticPr fontId="1"/>
  </si>
  <si>
    <t>[新生]【ハンター】日忌様</t>
    <phoneticPr fontId="1"/>
  </si>
  <si>
    <t>関東</t>
    <phoneticPr fontId="1"/>
  </si>
  <si>
    <t>しんせいはんたーひいみさま</t>
    <phoneticPr fontId="1"/>
  </si>
  <si>
    <t>妖怪</t>
    <phoneticPr fontId="1"/>
  </si>
  <si>
    <t>ランスで突くは亡き人がため</t>
    <phoneticPr fontId="1"/>
  </si>
  <si>
    <t>タイプ【名物】の防35％UP　/　タイプ偉人・妖怪の防20％UP</t>
    <phoneticPr fontId="1"/>
  </si>
  <si>
    <t>[新生]【鳥武人】北の方</t>
    <phoneticPr fontId="1"/>
  </si>
  <si>
    <t>近畿</t>
    <phoneticPr fontId="1"/>
  </si>
  <si>
    <t>しんせいとりぶじんきたのかた</t>
    <phoneticPr fontId="1"/>
  </si>
  <si>
    <t>翼の生えた緋縅の甲冑</t>
    <phoneticPr fontId="1"/>
  </si>
  <si>
    <t>タイプ姫・伝承の攻30％UP　/　タイプ【武人】の攻10％UP</t>
    <phoneticPr fontId="1"/>
  </si>
  <si>
    <t>武人</t>
    <phoneticPr fontId="1"/>
  </si>
  <si>
    <t>[新生]【石器】栄姫</t>
    <phoneticPr fontId="1"/>
  </si>
  <si>
    <t>九州・沖縄</t>
    <phoneticPr fontId="1"/>
  </si>
  <si>
    <t>しんせいせっきえいひめ</t>
    <phoneticPr fontId="1"/>
  </si>
  <si>
    <t>華麗なる石槍さばき</t>
    <phoneticPr fontId="1"/>
  </si>
  <si>
    <t>タイプ武人・伝承の防20％UP</t>
    <phoneticPr fontId="1"/>
  </si>
  <si>
    <t>姫</t>
    <phoneticPr fontId="1"/>
  </si>
  <si>
    <t>[新生]福島正則</t>
    <phoneticPr fontId="1"/>
  </si>
  <si>
    <t>広島</t>
    <phoneticPr fontId="1"/>
  </si>
  <si>
    <t>しんせいふくしままさのり</t>
    <phoneticPr fontId="1"/>
  </si>
  <si>
    <t>一番槍</t>
    <phoneticPr fontId="1"/>
  </si>
  <si>
    <t>タイプ【姫】の攻20％UP</t>
    <phoneticPr fontId="1"/>
  </si>
  <si>
    <t>超・不良遊戯ガチャ</t>
    <phoneticPr fontId="1"/>
  </si>
  <si>
    <t>(10連)5/14 15:00～5/17 23:59</t>
    <rPh sb="3" eb="4">
      <t>レン</t>
    </rPh>
    <phoneticPr fontId="1"/>
  </si>
  <si>
    <t>(3連)5/14 15:00～5/17 23:59</t>
    <rPh sb="2" eb="3">
      <t>レン</t>
    </rPh>
    <phoneticPr fontId="1"/>
  </si>
  <si>
    <t>復活ZRチケ・セットB</t>
    <phoneticPr fontId="1"/>
  </si>
  <si>
    <t>小山田勇音</t>
    <phoneticPr fontId="1"/>
  </si>
  <si>
    <t>宝塚まりも</t>
    <phoneticPr fontId="1"/>
  </si>
  <si>
    <t>早乙女麗一</t>
    <phoneticPr fontId="1"/>
  </si>
  <si>
    <t>龍王院五月雨</t>
    <phoneticPr fontId="1"/>
  </si>
  <si>
    <t>クレスティル玲奈</t>
    <phoneticPr fontId="1"/>
  </si>
  <si>
    <t>5/14 18:00～5/15 17:59</t>
    <phoneticPr fontId="1"/>
  </si>
  <si>
    <t>祝来！宝船福引ガチャ</t>
    <phoneticPr fontId="1"/>
  </si>
  <si>
    <t>5/15 12:00～5/20 22:59</t>
    <phoneticPr fontId="1"/>
  </si>
  <si>
    <t>【粉砕】メタルロッド</t>
    <phoneticPr fontId="1"/>
  </si>
  <si>
    <t>ふんさいめたるろっど</t>
    <phoneticPr fontId="1"/>
  </si>
  <si>
    <t>5進</t>
    <rPh sb="1" eb="2">
      <t>シン</t>
    </rPh>
    <phoneticPr fontId="1"/>
  </si>
  <si>
    <t>3進</t>
    <rPh sb="1" eb="2">
      <t>シン</t>
    </rPh>
    <phoneticPr fontId="1"/>
  </si>
  <si>
    <t>1進</t>
    <rPh sb="1" eb="2">
      <t>シン</t>
    </rPh>
    <phoneticPr fontId="1"/>
  </si>
  <si>
    <t>タイプ伝承・武人・姫の防45％UP　/　タイプ飲食・武人・名物の攻10％DOWN</t>
    <phoneticPr fontId="1"/>
  </si>
  <si>
    <t>鋼鉄の一撃</t>
    <phoneticPr fontId="1"/>
  </si>
  <si>
    <t>伝承</t>
    <phoneticPr fontId="1"/>
  </si>
  <si>
    <t>全国</t>
    <phoneticPr fontId="1"/>
  </si>
  <si>
    <t>SR</t>
    <phoneticPr fontId="1"/>
  </si>
  <si>
    <t>タイプ伝承・武人・姫の防30％UP　/　タイプ飲食・武人の攻10％DOWN</t>
    <phoneticPr fontId="1"/>
  </si>
  <si>
    <t>タイプ武人・姫の防15％UP　/　タイプ【武人】の攻10％DOWN</t>
    <phoneticPr fontId="1"/>
  </si>
  <si>
    <t>05/15 15:00～05/16 23:59</t>
    <phoneticPr fontId="1"/>
  </si>
  <si>
    <t>2020風薫る五月福引ガチャ</t>
    <rPh sb="4" eb="6">
      <t>カゼカオ</t>
    </rPh>
    <rPh sb="7" eb="9">
      <t>ゴガツ</t>
    </rPh>
    <rPh sb="9" eb="11">
      <t>フクビキ</t>
    </rPh>
    <phoneticPr fontId="1"/>
  </si>
  <si>
    <t>SSR</t>
    <phoneticPr fontId="1"/>
  </si>
  <si>
    <t>【妖美】川姫</t>
    <phoneticPr fontId="1"/>
  </si>
  <si>
    <t>西日本</t>
    <phoneticPr fontId="1"/>
  </si>
  <si>
    <t>ようびかわひめ</t>
    <phoneticPr fontId="1"/>
  </si>
  <si>
    <t>妖怪</t>
    <phoneticPr fontId="1"/>
  </si>
  <si>
    <t>妖美の流れに身を任せ</t>
    <phoneticPr fontId="1"/>
  </si>
  <si>
    <t>タイプ【名物】の攻25％UP</t>
    <phoneticPr fontId="1"/>
  </si>
  <si>
    <t>榊原禮子</t>
    <phoneticPr fontId="1"/>
  </si>
  <si>
    <t>中部</t>
    <phoneticPr fontId="1"/>
  </si>
  <si>
    <t>さかきばらみちこ</t>
    <phoneticPr fontId="1"/>
  </si>
  <si>
    <t>姫</t>
    <phoneticPr fontId="1"/>
  </si>
  <si>
    <t>梅の枝に祈りを込めて</t>
    <phoneticPr fontId="1"/>
  </si>
  <si>
    <t>タイプ【武人】の防85％UP　/　タイプ姫・伝承の防25％UP</t>
    <phoneticPr fontId="1"/>
  </si>
  <si>
    <t>北信愛</t>
    <phoneticPr fontId="1"/>
  </si>
  <si>
    <t>北海道・東北</t>
    <phoneticPr fontId="1"/>
  </si>
  <si>
    <t>きたのぶちか</t>
    <phoneticPr fontId="1"/>
  </si>
  <si>
    <t>武人</t>
    <phoneticPr fontId="1"/>
  </si>
  <si>
    <t>北松斎手控</t>
    <phoneticPr fontId="1"/>
  </si>
  <si>
    <t>タイプ姫・伝承の防25％UP　/　タイプ【武人】の防10％UP</t>
    <phoneticPr fontId="1"/>
  </si>
  <si>
    <t>【黒騎士】ナガタチカマス</t>
    <phoneticPr fontId="1"/>
  </si>
  <si>
    <t>九州・沖縄</t>
    <phoneticPr fontId="1"/>
  </si>
  <si>
    <t>くろきしながたちかます</t>
    <phoneticPr fontId="1"/>
  </si>
  <si>
    <t>神秘</t>
    <phoneticPr fontId="1"/>
  </si>
  <si>
    <t>鋭い牙剥く深海の怪物</t>
    <phoneticPr fontId="1"/>
  </si>
  <si>
    <t>タイプ知性派・飲食の攻30％UP　/　タイプ伝承・武人・姫の攻15％UP</t>
    <phoneticPr fontId="1"/>
  </si>
  <si>
    <t>関東</t>
    <phoneticPr fontId="1"/>
  </si>
  <si>
    <t>モンブランクレープ</t>
    <phoneticPr fontId="1"/>
  </si>
  <si>
    <t>もんぶらんくれーぷ</t>
    <phoneticPr fontId="1"/>
  </si>
  <si>
    <t>飲食</t>
    <phoneticPr fontId="1"/>
  </si>
  <si>
    <t>なめらかマウンテン</t>
    <phoneticPr fontId="1"/>
  </si>
  <si>
    <t>タイプ神秘・知性派・姫の攻25％UP</t>
    <phoneticPr fontId="1"/>
  </si>
  <si>
    <t>【スチームパンク】猫狸</t>
    <phoneticPr fontId="1"/>
  </si>
  <si>
    <t>中国・四国</t>
    <phoneticPr fontId="1"/>
  </si>
  <si>
    <t>すちーむぱんくねこだぬき</t>
    <phoneticPr fontId="1"/>
  </si>
  <si>
    <t>煤けた街の鬼ごっこ</t>
    <phoneticPr fontId="1"/>
  </si>
  <si>
    <t>タイプ偉人・名物・姫の防30％UP</t>
    <phoneticPr fontId="1"/>
  </si>
  <si>
    <t>サイコロ行脚 英雄ガチャ</t>
    <rPh sb="4" eb="6">
      <t>アンギャ</t>
    </rPh>
    <rPh sb="7" eb="9">
      <t>エイユウ</t>
    </rPh>
    <phoneticPr fontId="1"/>
  </si>
  <si>
    <t>5/16 11:00～5/16 23:59</t>
    <phoneticPr fontId="1"/>
  </si>
  <si>
    <t>自由奔放！猫の楽園ガチャ</t>
    <rPh sb="0" eb="2">
      <t>ジユウ</t>
    </rPh>
    <rPh sb="2" eb="4">
      <t>ホンポウ</t>
    </rPh>
    <rPh sb="5" eb="6">
      <t>ネコ</t>
    </rPh>
    <rPh sb="7" eb="9">
      <t>ラクエン</t>
    </rPh>
    <phoneticPr fontId="1"/>
  </si>
  <si>
    <t>SP</t>
    <phoneticPr fontId="1"/>
  </si>
  <si>
    <t>奔放裂爪</t>
    <phoneticPr fontId="1"/>
  </si>
  <si>
    <t>自分が攻撃するほど大ダメージ</t>
    <phoneticPr fontId="1"/>
  </si>
  <si>
    <t>遊楽猫娘</t>
    <phoneticPr fontId="1"/>
  </si>
  <si>
    <t>全国</t>
    <phoneticPr fontId="1"/>
  </si>
  <si>
    <t>90173_0</t>
    <phoneticPr fontId="1"/>
  </si>
  <si>
    <t>ゆうらくねこむすめ</t>
    <phoneticPr fontId="1"/>
  </si>
  <si>
    <t>伝承</t>
    <phoneticPr fontId="1"/>
  </si>
  <si>
    <t>福きたる猫</t>
    <phoneticPr fontId="1"/>
  </si>
  <si>
    <t>タイプ伝承・武人・姫の攻45％UP　/　タイプ姫・妖怪・神秘の防40％DOWN</t>
    <phoneticPr fontId="1"/>
  </si>
  <si>
    <t>吾輩は猫である</t>
    <phoneticPr fontId="1"/>
  </si>
  <si>
    <t>わがはいはねこである</t>
    <phoneticPr fontId="1"/>
  </si>
  <si>
    <t>西日本</t>
    <phoneticPr fontId="1"/>
  </si>
  <si>
    <t>人間とは奇なるもの</t>
    <phoneticPr fontId="1"/>
  </si>
  <si>
    <t>タイプ【武人】の攻50％UP　/　タイプ姫・伝承・名物・偉人の攻25％UP</t>
    <phoneticPr fontId="1"/>
  </si>
  <si>
    <t>【お天気のお姉さん】猫狸</t>
    <phoneticPr fontId="1"/>
  </si>
  <si>
    <t>おてんきのおねえさんねこだぬき</t>
    <phoneticPr fontId="1"/>
  </si>
  <si>
    <t>どんな天気でも！</t>
    <phoneticPr fontId="1"/>
  </si>
  <si>
    <t>タイプ神秘・飲食の防90％DOWN　/　タイプ妖怪・名物の攻30％UP</t>
    <phoneticPr fontId="1"/>
  </si>
  <si>
    <t>妖怪</t>
    <phoneticPr fontId="1"/>
  </si>
  <si>
    <t>(20連)5/16 12:00～5/20 23:59</t>
    <rPh sb="3" eb="4">
      <t>レン</t>
    </rPh>
    <phoneticPr fontId="1"/>
  </si>
  <si>
    <t>(10連)5/16 12:00～5/20 23:59</t>
    <rPh sb="3" eb="4">
      <t>レン</t>
    </rPh>
    <phoneticPr fontId="1"/>
  </si>
  <si>
    <t>戦神ガチャ</t>
    <rPh sb="0" eb="2">
      <t>センシン</t>
    </rPh>
    <phoneticPr fontId="1"/>
  </si>
  <si>
    <t>5/17 15:00～5/19 23:59</t>
    <phoneticPr fontId="1"/>
  </si>
  <si>
    <t>5/17 18:00～5/19 23:59</t>
    <phoneticPr fontId="1"/>
  </si>
  <si>
    <t>祝来！宝船福引ガチャ</t>
    <phoneticPr fontId="1"/>
  </si>
  <si>
    <t>5/18 12:00～5/19 11:59</t>
    <phoneticPr fontId="1"/>
  </si>
  <si>
    <t>豪華玉手箱ガチャ</t>
    <phoneticPr fontId="1"/>
  </si>
  <si>
    <t>5/18 15:00～5/18 23:59</t>
    <phoneticPr fontId="1"/>
  </si>
  <si>
    <t>9/27 11:00～9/26 23:59</t>
    <phoneticPr fontId="1"/>
  </si>
  <si>
    <t>9/27 12:00～9/29 23:59</t>
    <phoneticPr fontId="1"/>
  </si>
  <si>
    <t>9/27 18:00～9/29 23:59</t>
    <phoneticPr fontId="1"/>
  </si>
  <si>
    <t>9/28 12:00～9/30 23:59</t>
    <phoneticPr fontId="1"/>
  </si>
  <si>
    <t>9/28 18:00～9/28 23:59</t>
    <phoneticPr fontId="1"/>
  </si>
  <si>
    <t>9/30 12:00～9/30 23:59</t>
    <phoneticPr fontId="1"/>
  </si>
  <si>
    <t>9/30 20:00～9/30 23:59</t>
    <phoneticPr fontId="1"/>
  </si>
  <si>
    <t>5/19 11:00～5/19 23:59</t>
    <phoneticPr fontId="1"/>
  </si>
  <si>
    <t>5/19 20:00～5/19 23:59</t>
    <phoneticPr fontId="1"/>
  </si>
  <si>
    <t>古豪戦傑ガチャ</t>
    <phoneticPr fontId="1"/>
  </si>
  <si>
    <t>豪華玉手箱ガチャ</t>
    <phoneticPr fontId="1"/>
  </si>
  <si>
    <t>5/20 12:00～5/22 23:59</t>
    <phoneticPr fontId="1"/>
  </si>
  <si>
    <t>5/20 15:00～5/20 23:59</t>
    <phoneticPr fontId="1"/>
  </si>
  <si>
    <t>SSR</t>
    <phoneticPr fontId="1"/>
  </si>
  <si>
    <t>SR</t>
    <phoneticPr fontId="1"/>
  </si>
  <si>
    <t>【恐怖の病棟】海座頭</t>
    <phoneticPr fontId="1"/>
  </si>
  <si>
    <t>全国</t>
    <phoneticPr fontId="1"/>
  </si>
  <si>
    <t>西日本</t>
    <phoneticPr fontId="1"/>
  </si>
  <si>
    <t>東日本</t>
    <phoneticPr fontId="1"/>
  </si>
  <si>
    <t>北海道・東北</t>
    <phoneticPr fontId="1"/>
  </si>
  <si>
    <t>中国・四国</t>
    <phoneticPr fontId="1"/>
  </si>
  <si>
    <t>近畿</t>
    <phoneticPr fontId="1"/>
  </si>
  <si>
    <t>妖怪</t>
    <phoneticPr fontId="1"/>
  </si>
  <si>
    <t>きょうふのびょうとううみざとう</t>
    <phoneticPr fontId="1"/>
  </si>
  <si>
    <t>嘘吐き病</t>
    <phoneticPr fontId="1"/>
  </si>
  <si>
    <t>タイプ飲食・武人の攻90％DOWN　/　タイプ偉人・名物の防30％UP</t>
    <phoneticPr fontId="1"/>
  </si>
  <si>
    <t>【春の体育祭】村上水軍</t>
    <phoneticPr fontId="1"/>
  </si>
  <si>
    <t>はるのたいいくさいむらかみすいぐん</t>
    <phoneticPr fontId="1"/>
  </si>
  <si>
    <t>武人</t>
    <phoneticPr fontId="1"/>
  </si>
  <si>
    <t>陸の海賊</t>
    <phoneticPr fontId="1"/>
  </si>
  <si>
    <t>タイプ姫・伝承の攻25％UP　/　タイプ【武人】の攻10％UP</t>
    <phoneticPr fontId="1"/>
  </si>
  <si>
    <t>【雪の祭典】シトゥンペカムイ</t>
    <phoneticPr fontId="1"/>
  </si>
  <si>
    <t>ゆきのさいてんしとぅんぺかむい</t>
    <phoneticPr fontId="1"/>
  </si>
  <si>
    <t>神秘</t>
    <phoneticPr fontId="1"/>
  </si>
  <si>
    <t>雪像世界の黒狐</t>
    <phoneticPr fontId="1"/>
  </si>
  <si>
    <t>タイプ伝承・武人・姫の防80％DOWN　/　タイプ知性派・飲食の攻25％UP</t>
    <phoneticPr fontId="1"/>
  </si>
  <si>
    <t>[新生]松平照</t>
    <phoneticPr fontId="1"/>
  </si>
  <si>
    <t>しんせいまつだいらてる</t>
    <phoneticPr fontId="1"/>
  </si>
  <si>
    <t>会津若松の守護姫</t>
    <phoneticPr fontId="1"/>
  </si>
  <si>
    <t>姫</t>
    <phoneticPr fontId="1"/>
  </si>
  <si>
    <t>タイプ【武人】の防35％UP　/　タイプ姫・伝承の防25％UP</t>
    <phoneticPr fontId="1"/>
  </si>
  <si>
    <t>[新生]【オーケストラ】猫狸</t>
    <phoneticPr fontId="1"/>
  </si>
  <si>
    <t>しんせいおーけすとらねこだぬき</t>
    <phoneticPr fontId="1"/>
  </si>
  <si>
    <t>速弾きコントラバスまっしぐら</t>
    <phoneticPr fontId="1"/>
  </si>
  <si>
    <t>タイプ偉人・名物の攻35％UP　/　タイプ【妖怪】の攻10％UP</t>
    <phoneticPr fontId="1"/>
  </si>
  <si>
    <t>しんせいすいえいくじょうたけこ</t>
    <phoneticPr fontId="1"/>
  </si>
  <si>
    <t>[新生]【水泳】九条武子</t>
    <phoneticPr fontId="1"/>
  </si>
  <si>
    <t>知性派</t>
    <phoneticPr fontId="1"/>
  </si>
  <si>
    <t>たゆたう情操の恋歌</t>
    <phoneticPr fontId="1"/>
  </si>
  <si>
    <t>タイプ【飲食】の防35％UP　/　タイプ神秘・知性派の防25％UP</t>
    <phoneticPr fontId="1"/>
  </si>
  <si>
    <t>2019/05サイコロ</t>
    <phoneticPr fontId="1"/>
  </si>
  <si>
    <t>2019/02全国巡り</t>
    <rPh sb="7" eb="9">
      <t>ゼンコク</t>
    </rPh>
    <rPh sb="9" eb="10">
      <t>メグ</t>
    </rPh>
    <phoneticPr fontId="1"/>
  </si>
  <si>
    <t>2019/11四神戦</t>
    <rPh sb="7" eb="8">
      <t>ヨン</t>
    </rPh>
    <rPh sb="8" eb="9">
      <t>シン</t>
    </rPh>
    <rPh sb="9" eb="10">
      <t>セン</t>
    </rPh>
    <phoneticPr fontId="1"/>
  </si>
  <si>
    <t>5/20 18:00～5/20 21:59</t>
    <phoneticPr fontId="1"/>
  </si>
  <si>
    <t>超攻撃ガチャ</t>
    <phoneticPr fontId="1"/>
  </si>
  <si>
    <t>5/21 12:00～5/25 11:59</t>
    <phoneticPr fontId="1"/>
  </si>
  <si>
    <t>【見習い魔女】プリエスタ</t>
    <phoneticPr fontId="1"/>
  </si>
  <si>
    <t>九州・沖縄</t>
    <phoneticPr fontId="1"/>
  </si>
  <si>
    <t>姫</t>
    <phoneticPr fontId="1"/>
  </si>
  <si>
    <t>弛まぬ努力</t>
    <phoneticPr fontId="1"/>
  </si>
  <si>
    <t>タイプ【武人】の攻90％UP　/　タイプ姫・伝承の攻30％UP</t>
    <phoneticPr fontId="1"/>
  </si>
  <si>
    <t>みならいまじょぷりえすた</t>
    <phoneticPr fontId="1"/>
  </si>
  <si>
    <t>タイプ【武人】の攻65％UP　/　タイプ姫・伝承の攻25％UP</t>
    <phoneticPr fontId="1"/>
  </si>
  <si>
    <t>タイプ【武人】の攻50％UP　/　タイプ姫・伝承の攻25％UP</t>
    <phoneticPr fontId="1"/>
  </si>
  <si>
    <t>【見習い魔女】ザウィ</t>
    <phoneticPr fontId="1"/>
  </si>
  <si>
    <t>北海道・東北</t>
    <phoneticPr fontId="1"/>
  </si>
  <si>
    <t>みならいまじょざうぃ</t>
    <phoneticPr fontId="1"/>
  </si>
  <si>
    <t>知性派</t>
    <phoneticPr fontId="1"/>
  </si>
  <si>
    <t>鼓舞する魔法</t>
    <phoneticPr fontId="1"/>
  </si>
  <si>
    <t>タイプ【飲食】の攻35％UP　/　タイプ神秘・知性派の攻20％UP</t>
    <phoneticPr fontId="1"/>
  </si>
  <si>
    <t>タイプ【飲食】の攻20％UP　/　タイプ神秘・知性派の攻15％UP</t>
    <phoneticPr fontId="1"/>
  </si>
  <si>
    <t>タイプ【飲食】の攻10％UP　/　タイプ神秘・知性派の攻15％UP</t>
    <phoneticPr fontId="1"/>
  </si>
  <si>
    <r>
      <t>【タロット】亀井少</t>
    </r>
    <r>
      <rPr>
        <sz val="11"/>
        <color theme="1"/>
        <rFont val="ＭＳ 明朝"/>
        <family val="1"/>
        <charset val="128"/>
      </rPr>
      <t>琹</t>
    </r>
    <phoneticPr fontId="1"/>
  </si>
  <si>
    <t>祝来！宝船福引ガチャ</t>
    <phoneticPr fontId="1"/>
  </si>
  <si>
    <t>5/21 15:00～5/22 14:59</t>
    <phoneticPr fontId="1"/>
  </si>
  <si>
    <t>82423_0</t>
    <phoneticPr fontId="1"/>
  </si>
  <si>
    <t>超防御ガチャ</t>
    <phoneticPr fontId="1"/>
  </si>
  <si>
    <t>5/22 12:00～5/25 11:59</t>
    <phoneticPr fontId="1"/>
  </si>
  <si>
    <t>【見習い魔女】アンリ</t>
    <phoneticPr fontId="1"/>
  </si>
  <si>
    <t>関東</t>
    <phoneticPr fontId="1"/>
  </si>
  <si>
    <t>みならいまじょあんり</t>
    <phoneticPr fontId="1"/>
  </si>
  <si>
    <t>偉人</t>
    <phoneticPr fontId="1"/>
  </si>
  <si>
    <t>可愛く素敵な魔法</t>
    <phoneticPr fontId="1"/>
  </si>
  <si>
    <t>タイプ妖怪・名物の防60％UP　/　タイプ【偉人】の防30％UP</t>
    <phoneticPr fontId="1"/>
  </si>
  <si>
    <t>タイプ妖怪・名物の防40％UP　/　タイプ【偉人】の防20％UP</t>
    <phoneticPr fontId="1"/>
  </si>
  <si>
    <t>タイプ妖怪・名物の防25％UP　/　タイプ【偉人】の防15％UP</t>
    <phoneticPr fontId="1"/>
  </si>
  <si>
    <t>近畿</t>
    <phoneticPr fontId="1"/>
  </si>
  <si>
    <t>【見習い魔女】モクレン</t>
    <phoneticPr fontId="1"/>
  </si>
  <si>
    <t>みならいまじょもくれん</t>
    <phoneticPr fontId="1"/>
  </si>
  <si>
    <t>伝承</t>
    <phoneticPr fontId="1"/>
  </si>
  <si>
    <t>笑顔の魔法</t>
    <phoneticPr fontId="1"/>
  </si>
  <si>
    <t>タイプ武人・姫の防45％UP　/　タイプ【伝承】の防30％UP</t>
    <phoneticPr fontId="1"/>
  </si>
  <si>
    <t>タイプ武人・姫の防35％UP　/　タイプ【伝承】の防20％UP</t>
    <phoneticPr fontId="1"/>
  </si>
  <si>
    <t>タイプ武人・姫の防30％UP　/　タイプ【伝承】の防15％UP</t>
    <phoneticPr fontId="1"/>
  </si>
  <si>
    <t>南京玉すだれ</t>
    <phoneticPr fontId="1"/>
  </si>
  <si>
    <t>征服まーちんぐ♡</t>
    <phoneticPr fontId="1"/>
  </si>
  <si>
    <t>リリースイベント不明</t>
    <rPh sb="8" eb="10">
      <t>フメイ</t>
    </rPh>
    <phoneticPr fontId="1"/>
  </si>
  <si>
    <t>リリースイベント不明</t>
    <phoneticPr fontId="1"/>
  </si>
  <si>
    <t>2015/01？同盟戦</t>
    <rPh sb="8" eb="10">
      <t>ドウメイ</t>
    </rPh>
    <rPh sb="10" eb="11">
      <t>セン</t>
    </rPh>
    <phoneticPr fontId="1"/>
  </si>
  <si>
    <t>2016/01？同盟戦</t>
    <rPh sb="8" eb="10">
      <t>ドウメイ</t>
    </rPh>
    <rPh sb="10" eb="11">
      <t>セン</t>
    </rPh>
    <phoneticPr fontId="1"/>
  </si>
  <si>
    <t>2015/03？同盟戦</t>
    <rPh sb="8" eb="10">
      <t>ドウメイ</t>
    </rPh>
    <rPh sb="10" eb="11">
      <t>セン</t>
    </rPh>
    <phoneticPr fontId="1"/>
  </si>
  <si>
    <t>？</t>
    <phoneticPr fontId="1"/>
  </si>
  <si>
    <t>天クロウィークガチャ</t>
    <phoneticPr fontId="1"/>
  </si>
  <si>
    <t>(10連)5/22 15:00～5/24 23:59</t>
    <rPh sb="3" eb="4">
      <t>レン</t>
    </rPh>
    <phoneticPr fontId="1"/>
  </si>
  <si>
    <t>(3連)5/22 15:00～5/24 23:59</t>
    <rPh sb="2" eb="3">
      <t>レン</t>
    </rPh>
    <phoneticPr fontId="1"/>
  </si>
  <si>
    <t>天クロ運動会</t>
    <phoneticPr fontId="1"/>
  </si>
  <si>
    <t>SP</t>
    <phoneticPr fontId="1"/>
  </si>
  <si>
    <t>全国</t>
    <phoneticPr fontId="1"/>
  </si>
  <si>
    <t>てんくろうんどうかい</t>
    <phoneticPr fontId="1"/>
  </si>
  <si>
    <t>武人</t>
    <phoneticPr fontId="1"/>
  </si>
  <si>
    <t>疾走の大運動会</t>
    <phoneticPr fontId="1"/>
  </si>
  <si>
    <t>タイプ伝承・武人・姫の攻15％UP　/　タイプ妖怪・名物の防75％DOWN</t>
    <phoneticPr fontId="1"/>
  </si>
  <si>
    <t>89523_0</t>
    <phoneticPr fontId="1"/>
  </si>
  <si>
    <t>同盟戦 英雄ガチャ</t>
    <rPh sb="0" eb="2">
      <t>ドウメイ</t>
    </rPh>
    <rPh sb="2" eb="3">
      <t>セン</t>
    </rPh>
    <rPh sb="4" eb="6">
      <t>エイユウ</t>
    </rPh>
    <phoneticPr fontId="1"/>
  </si>
  <si>
    <t>5/23 11:00～5/23 23:59</t>
    <phoneticPr fontId="1"/>
  </si>
  <si>
    <t>【トランプ】豊臣秀頼</t>
    <phoneticPr fontId="1"/>
  </si>
  <si>
    <t>近畿</t>
    <phoneticPr fontId="1"/>
  </si>
  <si>
    <t>HR</t>
    <phoneticPr fontId="1"/>
  </si>
  <si>
    <t>とらんぷとよとみひでより</t>
    <phoneticPr fontId="1"/>
  </si>
  <si>
    <t>武人</t>
    <phoneticPr fontId="1"/>
  </si>
  <si>
    <t>剣を振るうクラブの王</t>
    <phoneticPr fontId="1"/>
  </si>
  <si>
    <t>タイプ偉人・伝承の防25％UP</t>
    <phoneticPr fontId="1"/>
  </si>
  <si>
    <t>[新生]伊香保温泉ちゃん</t>
    <phoneticPr fontId="1"/>
  </si>
  <si>
    <t>群馬</t>
    <phoneticPr fontId="1"/>
  </si>
  <si>
    <t>R</t>
    <phoneticPr fontId="1"/>
  </si>
  <si>
    <t>しんせいいかほおんせんちゃん</t>
    <phoneticPr fontId="1"/>
  </si>
  <si>
    <t>名物</t>
    <phoneticPr fontId="1"/>
  </si>
  <si>
    <t>文化人に愛されし子宝泉</t>
    <phoneticPr fontId="1"/>
  </si>
  <si>
    <t>タイプ【偉人】の攻20％UP</t>
    <phoneticPr fontId="1"/>
  </si>
  <si>
    <t>3進後隊士名変更？北の街のニェーヴェ→【氷閉夢】北の街のニェーヴェ？</t>
    <rPh sb="1" eb="2">
      <t>シン</t>
    </rPh>
    <rPh sb="2" eb="3">
      <t>ゴ</t>
    </rPh>
    <rPh sb="3" eb="5">
      <t>タイシ</t>
    </rPh>
    <rPh sb="5" eb="6">
      <t>メイ</t>
    </rPh>
    <rPh sb="6" eb="8">
      <t>ヘンコウ</t>
    </rPh>
    <phoneticPr fontId="1"/>
  </si>
  <si>
    <t>MAX攻防値エラー・ガチャ開催時の表示…攻134940/防117520</t>
    <rPh sb="3" eb="4">
      <t>コウ</t>
    </rPh>
    <rPh sb="4" eb="5">
      <t>ボウ</t>
    </rPh>
    <rPh sb="5" eb="6">
      <t>チ</t>
    </rPh>
    <rPh sb="13" eb="15">
      <t>カイサイ</t>
    </rPh>
    <rPh sb="15" eb="16">
      <t>ジ</t>
    </rPh>
    <rPh sb="17" eb="19">
      <t>ヒョウジ</t>
    </rPh>
    <rPh sb="20" eb="21">
      <t>コウ</t>
    </rPh>
    <rPh sb="28" eb="29">
      <t>ボウ</t>
    </rPh>
    <phoneticPr fontId="1"/>
  </si>
  <si>
    <t>隊士備考</t>
    <rPh sb="0" eb="2">
      <t>タイシ</t>
    </rPh>
    <rPh sb="2" eb="4">
      <t>ビコウ</t>
    </rPh>
    <phoneticPr fontId="1"/>
  </si>
  <si>
    <t>ガチャ備考</t>
    <rPh sb="3" eb="5">
      <t>ビコウ</t>
    </rPh>
    <phoneticPr fontId="1"/>
  </si>
  <si>
    <t>戦神ガチャ</t>
    <phoneticPr fontId="1"/>
  </si>
  <si>
    <t>5/23 15:00～5/25 23:59</t>
    <phoneticPr fontId="1"/>
  </si>
  <si>
    <t>天クロ演義ガチャ(なぜかZR三村鶴が1進表示)</t>
    <rPh sb="0" eb="1">
      <t>テン</t>
    </rPh>
    <rPh sb="3" eb="5">
      <t>エンギ</t>
    </rPh>
    <phoneticPr fontId="1"/>
  </si>
  <si>
    <t>天撃皆伝ガチャ(なぜかSRが1進表示)</t>
    <rPh sb="0" eb="4">
      <t>テンゲキカイデン</t>
    </rPh>
    <phoneticPr fontId="1"/>
  </si>
  <si>
    <t>【雪の王国】竹中半兵衛</t>
    <phoneticPr fontId="1"/>
  </si>
  <si>
    <t>同盟戦 英雄ガチャ</t>
    <rPh sb="0" eb="2">
      <t>ドウメイ</t>
    </rPh>
    <rPh sb="2" eb="3">
      <t>セン</t>
    </rPh>
    <rPh sb="4" eb="6">
      <t>エイユウ</t>
    </rPh>
    <phoneticPr fontId="1"/>
  </si>
  <si>
    <t>5/24 11:00～5/24 23:59</t>
    <phoneticPr fontId="1"/>
  </si>
  <si>
    <t>[新生]【洗礼】北原怜子</t>
    <phoneticPr fontId="1"/>
  </si>
  <si>
    <t>関東</t>
    <phoneticPr fontId="1"/>
  </si>
  <si>
    <t>HR</t>
    <phoneticPr fontId="1"/>
  </si>
  <si>
    <t>しんせいせんれいきたはらさとこ</t>
    <phoneticPr fontId="1"/>
  </si>
  <si>
    <t>偉人</t>
    <phoneticPr fontId="1"/>
  </si>
  <si>
    <t>蟻の街エリザベスの祈念</t>
    <phoneticPr fontId="1"/>
  </si>
  <si>
    <t>タイプ妖怪・名物の防20％UP</t>
    <phoneticPr fontId="1"/>
  </si>
  <si>
    <t>[新生]【繚乱】赤染衛門</t>
    <phoneticPr fontId="1"/>
  </si>
  <si>
    <t>愛知</t>
    <phoneticPr fontId="1"/>
  </si>
  <si>
    <t>R</t>
    <phoneticPr fontId="1"/>
  </si>
  <si>
    <t>しんせいりょうらんあかぞめえもん</t>
    <phoneticPr fontId="1"/>
  </si>
  <si>
    <t>歌仙も見とれる大自然</t>
    <phoneticPr fontId="1"/>
  </si>
  <si>
    <t>タイプ【妖怪】の防20％UP</t>
    <phoneticPr fontId="1"/>
  </si>
  <si>
    <t>復活ZRチケ・セットC(なぜか京極マリアが1進表示)</t>
    <rPh sb="22" eb="23">
      <t>シン</t>
    </rPh>
    <rPh sb="23" eb="25">
      <t>ヒョウジ</t>
    </rPh>
    <phoneticPr fontId="1"/>
  </si>
  <si>
    <t>進化の秘竜チャンスガチャ(なぜかSSRが1進表示)</t>
    <rPh sb="21" eb="22">
      <t>シン</t>
    </rPh>
    <rPh sb="22" eb="24">
      <t>ヒョウジ</t>
    </rPh>
    <phoneticPr fontId="1"/>
  </si>
  <si>
    <t>刹那！最強DOWN隊士ガチャ</t>
    <phoneticPr fontId="1"/>
  </si>
  <si>
    <t>5/24 20:00～5/24 23:59</t>
    <phoneticPr fontId="1"/>
  </si>
  <si>
    <t>全国巡り 名所を巡る乙女の旅路ガチャ</t>
    <rPh sb="0" eb="2">
      <t>ゼンコク</t>
    </rPh>
    <rPh sb="2" eb="3">
      <t>メグ</t>
    </rPh>
    <phoneticPr fontId="1"/>
  </si>
  <si>
    <t>【列車の旅】笠地蔵</t>
    <phoneticPr fontId="1"/>
  </si>
  <si>
    <t>北海道・東北</t>
    <phoneticPr fontId="1"/>
  </si>
  <si>
    <t>SSR</t>
    <phoneticPr fontId="1"/>
  </si>
  <si>
    <t>SR</t>
    <phoneticPr fontId="1"/>
  </si>
  <si>
    <t>れっしゃのたびかさじぞう</t>
    <phoneticPr fontId="1"/>
  </si>
  <si>
    <t>伝承</t>
    <phoneticPr fontId="1"/>
  </si>
  <si>
    <t>幸せ運ぶ旅の醍醐味</t>
    <phoneticPr fontId="1"/>
  </si>
  <si>
    <t>タイプ偉人・妖怪・名物の防85％DOWN　/　タイプ武人・姫の攻30％UP</t>
    <phoneticPr fontId="1"/>
  </si>
  <si>
    <t>[新生]天遊永寿</t>
    <phoneticPr fontId="1"/>
  </si>
  <si>
    <t>中国・四国</t>
    <phoneticPr fontId="1"/>
  </si>
  <si>
    <t>HR</t>
    <phoneticPr fontId="1"/>
  </si>
  <si>
    <t>R</t>
    <phoneticPr fontId="1"/>
  </si>
  <si>
    <t>しんせいてんゆうえいじゅ</t>
    <phoneticPr fontId="1"/>
  </si>
  <si>
    <t>姫</t>
    <phoneticPr fontId="1"/>
  </si>
  <si>
    <t>幼き当主への母の護り</t>
    <phoneticPr fontId="1"/>
  </si>
  <si>
    <t>タイプ【武人】の攻90％UP　/　タイプ姫・伝承の攻30％UP</t>
    <phoneticPr fontId="1"/>
  </si>
  <si>
    <t>[新生]富士五湖</t>
    <phoneticPr fontId="1"/>
  </si>
  <si>
    <t>中部</t>
    <phoneticPr fontId="1"/>
  </si>
  <si>
    <t>しんせいふじごこ</t>
    <phoneticPr fontId="1"/>
  </si>
  <si>
    <t>名物</t>
    <phoneticPr fontId="1"/>
  </si>
  <si>
    <t>富士の恵の五つの煌き</t>
    <phoneticPr fontId="1"/>
  </si>
  <si>
    <t>タイプ偉人・妖怪の防30％UP　/　タイプ【名物】の防10％UP</t>
    <phoneticPr fontId="1"/>
  </si>
  <si>
    <t>[新生]環水平アークちゃん</t>
    <phoneticPr fontId="1"/>
  </si>
  <si>
    <t>関東</t>
    <phoneticPr fontId="1"/>
  </si>
  <si>
    <t>しんせいかんすいへいあーくちゃん</t>
    <phoneticPr fontId="1"/>
  </si>
  <si>
    <t>神秘</t>
    <phoneticPr fontId="1"/>
  </si>
  <si>
    <t>七色の水平線</t>
    <phoneticPr fontId="1"/>
  </si>
  <si>
    <t>タイプ知性派・飲食の攻20％UP</t>
    <phoneticPr fontId="1"/>
  </si>
  <si>
    <t>[新生]アメリカ村ちゃん</t>
    <phoneticPr fontId="1"/>
  </si>
  <si>
    <t>大阪</t>
    <phoneticPr fontId="1"/>
  </si>
  <si>
    <t>しんせいあめりかむらちゃん</t>
    <phoneticPr fontId="1"/>
  </si>
  <si>
    <t>大阪ミナミ若者の聖地</t>
    <phoneticPr fontId="1"/>
  </si>
  <si>
    <t>タイプ【偉人】の防20％UP</t>
    <phoneticPr fontId="1"/>
  </si>
  <si>
    <t>タイプ伝承・武人・飲食の攻40％UP　/　タイプ【姫】の攻20％UP</t>
    <phoneticPr fontId="1"/>
  </si>
  <si>
    <t>タイプ姫・伝承・神秘の防40％UP　/　タイプ【武人】の防20％UP</t>
    <phoneticPr fontId="1"/>
  </si>
  <si>
    <t>タイプ姫・伝承・神秘の防40％UP　/　タイプ【武人】の防20％UP</t>
    <phoneticPr fontId="1"/>
  </si>
  <si>
    <t>超攻再臨ガチャ</t>
    <phoneticPr fontId="1"/>
  </si>
  <si>
    <t>5/25 18:00～5/27 23:59</t>
    <phoneticPr fontId="1"/>
  </si>
  <si>
    <t>【おもちゃ】望月千代女</t>
    <phoneticPr fontId="1"/>
  </si>
  <si>
    <t>祝来！宝船福引ガチャ</t>
    <phoneticPr fontId="1"/>
  </si>
  <si>
    <t>5/26 12:00～5/27 11:59</t>
    <phoneticPr fontId="1"/>
  </si>
  <si>
    <t>豪華玉手箱ガチャ</t>
    <phoneticPr fontId="1"/>
  </si>
  <si>
    <t>5/26 15:00～5/26 23:59</t>
    <phoneticPr fontId="1"/>
  </si>
  <si>
    <t>全国巡り 英雄ガチャ</t>
    <rPh sb="0" eb="3">
      <t>ゼンコクメグ</t>
    </rPh>
    <rPh sb="5" eb="7">
      <t>エイユウ</t>
    </rPh>
    <phoneticPr fontId="1"/>
  </si>
  <si>
    <t>5/27 11:00～5/27 23:59</t>
    <phoneticPr fontId="1"/>
  </si>
  <si>
    <t>5/27 18:00～5/27 21:59</t>
    <phoneticPr fontId="1"/>
  </si>
  <si>
    <t>超防再臨ガチャ</t>
    <phoneticPr fontId="1"/>
  </si>
  <si>
    <t>5/28 18:00～5/30 23:59</t>
    <phoneticPr fontId="1"/>
  </si>
  <si>
    <t>5/28 18:00～5/28 21:59</t>
    <phoneticPr fontId="1"/>
  </si>
  <si>
    <t>[新生]【花見】宗像三女神</t>
    <phoneticPr fontId="1"/>
  </si>
  <si>
    <t>5/29 11:00～5/29 23:59</t>
    <phoneticPr fontId="1"/>
  </si>
  <si>
    <t>全国巡り 英雄ガチャ</t>
    <rPh sb="0" eb="2">
      <t>ゼンコク</t>
    </rPh>
    <rPh sb="2" eb="3">
      <t>メグ</t>
    </rPh>
    <rPh sb="5" eb="7">
      <t>エイユウ</t>
    </rPh>
    <phoneticPr fontId="1"/>
  </si>
  <si>
    <t>戦神ガチャ</t>
    <phoneticPr fontId="1"/>
  </si>
  <si>
    <t>5/29 15:00～5/31 23:59</t>
    <phoneticPr fontId="1"/>
  </si>
  <si>
    <t>祝来！宝船福引ガチャ</t>
    <phoneticPr fontId="1"/>
  </si>
  <si>
    <t>5/30 12:00～5/31 11:59</t>
    <phoneticPr fontId="1"/>
  </si>
  <si>
    <t>豪華玉手箱ガチャ</t>
    <phoneticPr fontId="1"/>
  </si>
  <si>
    <t>5/30 15:00～5/30 23:59</t>
    <phoneticPr fontId="1"/>
  </si>
  <si>
    <t>復活！5進化隊士ガチャ</t>
    <phoneticPr fontId="1"/>
  </si>
  <si>
    <t>5/31 11:00～5/31 23:59</t>
    <phoneticPr fontId="1"/>
  </si>
  <si>
    <t>【羽子板大戦】日野富子</t>
    <phoneticPr fontId="1"/>
  </si>
  <si>
    <t>SSR</t>
    <phoneticPr fontId="1"/>
  </si>
  <si>
    <t>SR</t>
    <phoneticPr fontId="1"/>
  </si>
  <si>
    <t>5進</t>
    <rPh sb="1" eb="2">
      <t>シン</t>
    </rPh>
    <phoneticPr fontId="1"/>
  </si>
  <si>
    <t>3進</t>
    <rPh sb="1" eb="2">
      <t>シン</t>
    </rPh>
    <phoneticPr fontId="1"/>
  </si>
  <si>
    <t>1進</t>
    <rPh sb="1" eb="2">
      <t>シン</t>
    </rPh>
    <phoneticPr fontId="1"/>
  </si>
  <si>
    <t>全国</t>
    <rPh sb="0" eb="2">
      <t>ゼンコク</t>
    </rPh>
    <phoneticPr fontId="1"/>
  </si>
  <si>
    <t>西日本</t>
    <rPh sb="0" eb="1">
      <t>ニシ</t>
    </rPh>
    <rPh sb="1" eb="3">
      <t>ニホン</t>
    </rPh>
    <phoneticPr fontId="1"/>
  </si>
  <si>
    <t>西日本</t>
    <rPh sb="0" eb="3">
      <t>ニシニホン</t>
    </rPh>
    <phoneticPr fontId="1"/>
  </si>
  <si>
    <t>東日本</t>
    <rPh sb="0" eb="3">
      <t>ヒガシニホン</t>
    </rPh>
    <phoneticPr fontId="1"/>
  </si>
  <si>
    <t>はごいたたいせんひのとみこ</t>
    <phoneticPr fontId="1"/>
  </si>
  <si>
    <t>正月の一戦</t>
    <phoneticPr fontId="1"/>
  </si>
  <si>
    <t>姫</t>
    <phoneticPr fontId="1"/>
  </si>
  <si>
    <t>タイプ【武人】の防95％UP　/　タイプ姫・伝承の防20％UP</t>
    <phoneticPr fontId="1"/>
  </si>
  <si>
    <t>タイプ【武人】の防70％UP　/　タイプ姫・伝承の防15％UP</t>
    <phoneticPr fontId="1"/>
  </si>
  <si>
    <t>タイプ【武人】の防45％UP　/　タイプ【姫】の防10％UP</t>
    <phoneticPr fontId="1"/>
  </si>
  <si>
    <t>スペルビア</t>
    <phoneticPr fontId="1"/>
  </si>
  <si>
    <t>すぺるびあ</t>
    <phoneticPr fontId="1"/>
  </si>
  <si>
    <t>ウィオラ・カテーラ</t>
    <phoneticPr fontId="1"/>
  </si>
  <si>
    <t>妖怪</t>
    <phoneticPr fontId="1"/>
  </si>
  <si>
    <t>タイプ【名物】の攻75％UP　/　タイプ偉人・妖怪の攻30％UP</t>
    <phoneticPr fontId="1"/>
  </si>
  <si>
    <t>タイプ【名物】の攻50％UP　/　タイプ偉人・妖怪の攻25％UP</t>
    <phoneticPr fontId="1"/>
  </si>
  <si>
    <t>タイプ【名物】の攻40％UP　/　タイプ【妖怪】の攻15％UP</t>
    <phoneticPr fontId="1"/>
  </si>
  <si>
    <t>バッカス</t>
    <phoneticPr fontId="1"/>
  </si>
  <si>
    <t>ばっかす</t>
    <phoneticPr fontId="1"/>
  </si>
  <si>
    <t>神秘</t>
    <phoneticPr fontId="1"/>
  </si>
  <si>
    <t>ドランクネス</t>
    <phoneticPr fontId="1"/>
  </si>
  <si>
    <t>タイプ【飲食】の防85％UP　/　タイプ神秘・知性派の防25％UP</t>
    <phoneticPr fontId="1"/>
  </si>
  <si>
    <t>タイプ【飲食】の防60％UP　/　タイプ神秘・知性派の防20％UP</t>
    <phoneticPr fontId="1"/>
  </si>
  <si>
    <t>タイプ【飲食】の防45％UP　/　タイプ【神秘】の防15％UP</t>
    <phoneticPr fontId="1"/>
  </si>
  <si>
    <t>[新生]【ウエディング】狆</t>
    <phoneticPr fontId="1"/>
  </si>
  <si>
    <t>しんせいうえでぃんぐちん</t>
    <phoneticPr fontId="1"/>
  </si>
  <si>
    <t>ジャパニーズパグの祝福</t>
    <phoneticPr fontId="1"/>
  </si>
  <si>
    <t>【ジューンブライド】卑弥呼</t>
    <phoneticPr fontId="1"/>
  </si>
  <si>
    <t>じゅーんぶらいどひみこ</t>
    <phoneticPr fontId="1"/>
  </si>
  <si>
    <t>89703_0</t>
    <phoneticPr fontId="1"/>
  </si>
  <si>
    <t>絶対的権力花嫁</t>
    <phoneticPr fontId="1"/>
  </si>
  <si>
    <t>鬼道双陣</t>
    <phoneticPr fontId="1"/>
  </si>
  <si>
    <t>一定時間、戦技発動時の県HPに応じて、攻撃系か県HP回復系の効果が発動する</t>
    <phoneticPr fontId="1"/>
  </si>
  <si>
    <t>【ジューンブライド】ちゃっかりお雑煮ちゃん</t>
    <phoneticPr fontId="1"/>
  </si>
  <si>
    <t>じゅーんぶらいどちゃっかりおぞうにちゃん</t>
    <phoneticPr fontId="1"/>
  </si>
  <si>
    <t>幸福に満ちたちゃっかり花嫁</t>
    <phoneticPr fontId="1"/>
  </si>
  <si>
    <t>タイプ神秘・知性派の攻45％UP　/　タイプ【飲食】の攻30％UP</t>
    <phoneticPr fontId="1"/>
  </si>
  <si>
    <t>じゅーんぶらいどかげおんな</t>
    <phoneticPr fontId="1"/>
  </si>
  <si>
    <t>影浮かぶケーキと花嫁</t>
    <phoneticPr fontId="1"/>
  </si>
  <si>
    <t>タイプ偉人・名物の防45％UP　/　タイプ【妖怪】の防30％UP</t>
    <phoneticPr fontId="1"/>
  </si>
  <si>
    <t>【ジューンブライド】褄紅蝶</t>
    <phoneticPr fontId="1"/>
  </si>
  <si>
    <t>【ジューンブライド】影女</t>
    <phoneticPr fontId="1"/>
  </si>
  <si>
    <t>じゅーんぶらいどつまべにちょう</t>
    <phoneticPr fontId="1"/>
  </si>
  <si>
    <t>幸せを呼ぶチョウ</t>
    <phoneticPr fontId="1"/>
  </si>
  <si>
    <t>タイプ偉人・妖怪・名物の攻40％UP　/　タイプ武人・飲食・妖怪の防10％DOWN</t>
    <phoneticPr fontId="1"/>
  </si>
  <si>
    <t>[新生]【ウエディング】薩摩切子</t>
    <phoneticPr fontId="1"/>
  </si>
  <si>
    <t>しんせいうえでぃんぐさつまきりこ</t>
    <phoneticPr fontId="1"/>
  </si>
  <si>
    <t>薩摩で誓いの杯を</t>
    <phoneticPr fontId="1"/>
  </si>
  <si>
    <t>[新生]【水無月婚】キンメダイ</t>
    <phoneticPr fontId="1"/>
  </si>
  <si>
    <t>しんせいみなづきこんきんめだい</t>
    <phoneticPr fontId="1"/>
  </si>
  <si>
    <t>幸福に輝く金色の瞳</t>
    <phoneticPr fontId="1"/>
  </si>
  <si>
    <t>[新生]【水無月婚】衣通姫</t>
    <phoneticPr fontId="1"/>
  </si>
  <si>
    <t>しんせいみなづきこんそとおりひめ</t>
    <phoneticPr fontId="1"/>
  </si>
  <si>
    <t>降り注ぐ愛の芳香</t>
    <phoneticPr fontId="1"/>
  </si>
  <si>
    <t>[新生]【ウエディング】園部秀雄</t>
    <phoneticPr fontId="1"/>
  </si>
  <si>
    <t>しんせいうえでぃんぐそのべひでお</t>
    <phoneticPr fontId="1"/>
  </si>
  <si>
    <t>酸いも甘いも薙刀捌き</t>
    <phoneticPr fontId="1"/>
  </si>
  <si>
    <t>[新生]【エンジェル】ハニヤス</t>
    <phoneticPr fontId="1"/>
  </si>
  <si>
    <t>[新生]うぶめ</t>
    <phoneticPr fontId="1"/>
  </si>
  <si>
    <t>しんせいえんじぇるはにやす</t>
    <phoneticPr fontId="1"/>
  </si>
  <si>
    <t>しんせいうぶめ</t>
    <phoneticPr fontId="1"/>
  </si>
  <si>
    <t>(DX)6/1 0:00～6/8 23:59</t>
    <phoneticPr fontId="1"/>
  </si>
  <si>
    <t>(Lvアップ)6/1 0:00～6/8 23:59</t>
    <phoneticPr fontId="1"/>
  </si>
  <si>
    <t>130％→140％(3進)</t>
    <rPh sb="11" eb="12">
      <t>シン</t>
    </rPh>
    <phoneticPr fontId="1"/>
  </si>
  <si>
    <t>敵全体の防30％DOWN</t>
  </si>
  <si>
    <t>敵の防30％DOWNして攻撃する</t>
  </si>
  <si>
    <t>敵の攻撃30％DOWNして攻撃する</t>
  </si>
  <si>
    <t>味方全体の攻20％UP</t>
  </si>
  <si>
    <t>タイプ伝承・武人・姫の防40％UP　/　所属が【西日本】と、それに属する地方・県、および【全国】の攻30％DOWN</t>
    <rPh sb="3" eb="5">
      <t>デンショウ</t>
    </rPh>
    <rPh sb="6" eb="8">
      <t>ブジン</t>
    </rPh>
    <rPh sb="9" eb="10">
      <t>ヒメ</t>
    </rPh>
    <rPh sb="11" eb="12">
      <t>ボウ</t>
    </rPh>
    <rPh sb="49" eb="50">
      <t>コウ</t>
    </rPh>
    <phoneticPr fontId="1"/>
  </si>
  <si>
    <t>タイプ神秘・知性派・飲食の攻25％UP　/　タイプ伝承・武人・姫の防50％DOWN</t>
    <rPh sb="3" eb="5">
      <t>シンピ</t>
    </rPh>
    <rPh sb="6" eb="8">
      <t>チセイ</t>
    </rPh>
    <rPh sb="8" eb="9">
      <t>ハ</t>
    </rPh>
    <rPh sb="10" eb="12">
      <t>インショク</t>
    </rPh>
    <rPh sb="13" eb="14">
      <t>コウ</t>
    </rPh>
    <rPh sb="25" eb="27">
      <t>デンショウ</t>
    </rPh>
    <rPh sb="28" eb="30">
      <t>ブジン</t>
    </rPh>
    <rPh sb="31" eb="32">
      <t>ヒメ</t>
    </rPh>
    <rPh sb="33" eb="34">
      <t>ボウ</t>
    </rPh>
    <phoneticPr fontId="1"/>
  </si>
  <si>
    <t>タイプ【妖怪】の攻30％UP　/　タイプ【神秘】の防25％DOWN</t>
    <rPh sb="4" eb="6">
      <t>ヨウカイ</t>
    </rPh>
    <rPh sb="8" eb="9">
      <t>コウ</t>
    </rPh>
    <rPh sb="21" eb="23">
      <t>シンピ</t>
    </rPh>
    <rPh sb="25" eb="26">
      <t>ボウ</t>
    </rPh>
    <phoneticPr fontId="1"/>
  </si>
  <si>
    <t>敵全体の防20％DOWN</t>
  </si>
  <si>
    <t>タイプ神秘・知性派の攻40％UP　/　所属が【北海道・東北】とそれに属する県、および【全国】【東日本】の攻30％UP</t>
  </si>
  <si>
    <t>所属一致ボーナス140％UP</t>
    <rPh sb="0" eb="2">
      <t>ショゾク</t>
    </rPh>
    <rPh sb="2" eb="4">
      <t>イッチ</t>
    </rPh>
    <phoneticPr fontId="1"/>
  </si>
  <si>
    <t>所属一致ボーナス130％UP</t>
    <rPh sb="0" eb="2">
      <t>ショゾク</t>
    </rPh>
    <rPh sb="2" eb="4">
      <t>イッチ</t>
    </rPh>
    <phoneticPr fontId="1"/>
  </si>
  <si>
    <t>タイプ武人・伝承の防40％UP　/　タイプ【姫】の防25％UP</t>
    <rPh sb="3" eb="5">
      <t>ブジン</t>
    </rPh>
    <rPh sb="6" eb="8">
      <t>デンショウ</t>
    </rPh>
    <rPh sb="9" eb="10">
      <t>ボウ</t>
    </rPh>
    <rPh sb="22" eb="23">
      <t>ヒメ</t>
    </rPh>
    <rPh sb="25" eb="26">
      <t>ボウ</t>
    </rPh>
    <phoneticPr fontId="1"/>
  </si>
  <si>
    <t>タイプ神秘・知性派・飲食の防40％UP　/　タイプ伝承・武人・姫の攻10％DOWN</t>
    <rPh sb="3" eb="5">
      <t>シンピ</t>
    </rPh>
    <rPh sb="6" eb="8">
      <t>チセイ</t>
    </rPh>
    <rPh sb="8" eb="9">
      <t>ハ</t>
    </rPh>
    <rPh sb="10" eb="12">
      <t>インショク</t>
    </rPh>
    <rPh sb="13" eb="14">
      <t>ボウ</t>
    </rPh>
    <rPh sb="25" eb="27">
      <t>デンショウ</t>
    </rPh>
    <rPh sb="28" eb="30">
      <t>ブジン</t>
    </rPh>
    <rPh sb="31" eb="32">
      <t>ヒメ</t>
    </rPh>
    <rPh sb="33" eb="34">
      <t>コウ</t>
    </rPh>
    <phoneticPr fontId="1"/>
  </si>
  <si>
    <t>タイプ妖怪・名物の攻50％UP　/　タイプ【偉人】の攻40％UP</t>
    <rPh sb="3" eb="5">
      <t>ヨウカイ</t>
    </rPh>
    <rPh sb="6" eb="8">
      <t>メイブツ</t>
    </rPh>
    <rPh sb="9" eb="10">
      <t>コウ</t>
    </rPh>
    <rPh sb="22" eb="24">
      <t>イジン</t>
    </rPh>
    <rPh sb="26" eb="27">
      <t>コウ</t>
    </rPh>
    <phoneticPr fontId="1"/>
  </si>
  <si>
    <t>タイプ伝承・武人・姫の攻40％UP　/　所属が【西日本】と、それに属する地方・県、および【全国】の防30％DOWN</t>
    <rPh sb="3" eb="5">
      <t>デンショウ</t>
    </rPh>
    <rPh sb="6" eb="8">
      <t>ブジン</t>
    </rPh>
    <rPh sb="9" eb="10">
      <t>ヒメ</t>
    </rPh>
    <rPh sb="11" eb="12">
      <t>コウ</t>
    </rPh>
    <rPh sb="20" eb="22">
      <t>ショゾク</t>
    </rPh>
    <rPh sb="24" eb="25">
      <t>ニシ</t>
    </rPh>
    <rPh sb="25" eb="27">
      <t>ニホン</t>
    </rPh>
    <rPh sb="33" eb="34">
      <t>ゾク</t>
    </rPh>
    <rPh sb="36" eb="38">
      <t>チホウ</t>
    </rPh>
    <rPh sb="39" eb="40">
      <t>ケン</t>
    </rPh>
    <rPh sb="45" eb="47">
      <t>ゼンコク</t>
    </rPh>
    <rPh sb="49" eb="50">
      <t>ボウ</t>
    </rPh>
    <phoneticPr fontId="1"/>
  </si>
  <si>
    <t>タイプ偉人・妖怪・名物の攻40％UP　/　所属が【東日本】と、それに属する地方・県、および【全国】の防30％DOWN</t>
    <rPh sb="3" eb="5">
      <t>イジン</t>
    </rPh>
    <rPh sb="6" eb="8">
      <t>ヨウカイ</t>
    </rPh>
    <rPh sb="9" eb="11">
      <t>メイブツ</t>
    </rPh>
    <rPh sb="12" eb="13">
      <t>コウ</t>
    </rPh>
    <rPh sb="21" eb="23">
      <t>ショゾク</t>
    </rPh>
    <rPh sb="25" eb="26">
      <t>ヒガシ</t>
    </rPh>
    <rPh sb="26" eb="28">
      <t>ニホン</t>
    </rPh>
    <rPh sb="34" eb="35">
      <t>ゾク</t>
    </rPh>
    <rPh sb="37" eb="39">
      <t>チホウ</t>
    </rPh>
    <rPh sb="40" eb="41">
      <t>ケン</t>
    </rPh>
    <rPh sb="46" eb="48">
      <t>ゼンコク</t>
    </rPh>
    <phoneticPr fontId="1"/>
  </si>
  <si>
    <t>タイプ妖怪・名物の防30％UP　/　タイプ【妖怪】の攻30％DOWN</t>
  </si>
  <si>
    <t>タイプ偉人・妖怪・名物の攻40％UP　/　タイプ偉人・妖怪・名物の防10％DOWN</t>
  </si>
  <si>
    <t>自身の防御力を20％DOWNして攻撃力40％UP</t>
  </si>
  <si>
    <t>タイプ偉人・名物の攻40％UP　/　所属が【北海道・東北】とそれに属する県、および【全国】【東日本】の攻30％UP</t>
    <rPh sb="3" eb="5">
      <t>イジン</t>
    </rPh>
    <rPh sb="6" eb="8">
      <t>メイブツ</t>
    </rPh>
    <rPh sb="9" eb="10">
      <t>コウ</t>
    </rPh>
    <rPh sb="18" eb="20">
      <t>ショゾク</t>
    </rPh>
    <rPh sb="22" eb="25">
      <t>ホッカイドウ</t>
    </rPh>
    <rPh sb="26" eb="28">
      <t>トウホク</t>
    </rPh>
    <rPh sb="33" eb="34">
      <t>ゾク</t>
    </rPh>
    <rPh sb="36" eb="37">
      <t>ケン</t>
    </rPh>
    <rPh sb="42" eb="44">
      <t>ゼンコク</t>
    </rPh>
    <rPh sb="46" eb="47">
      <t>ヒガシ</t>
    </rPh>
    <rPh sb="47" eb="49">
      <t>ニホン</t>
    </rPh>
    <rPh sb="51" eb="52">
      <t>コウ</t>
    </rPh>
    <phoneticPr fontId="1"/>
  </si>
  <si>
    <t>タイプ妖怪・名物の攻65％UP　/　タイプ【偉人】の攻35％UP</t>
    <rPh sb="3" eb="5">
      <t>ヨウカイ</t>
    </rPh>
    <rPh sb="6" eb="8">
      <t>メイブツ</t>
    </rPh>
    <rPh sb="9" eb="10">
      <t>コウ</t>
    </rPh>
    <rPh sb="22" eb="24">
      <t>イジン</t>
    </rPh>
    <rPh sb="26" eb="27">
      <t>コウ</t>
    </rPh>
    <phoneticPr fontId="1"/>
  </si>
  <si>
    <t>タイプ【武人】の防85％UP　/　タイプ姫・伝承の防25％UP</t>
    <rPh sb="4" eb="6">
      <t>ブジン</t>
    </rPh>
    <rPh sb="8" eb="9">
      <t>ボウ</t>
    </rPh>
    <rPh sb="20" eb="21">
      <t>ヒメ</t>
    </rPh>
    <rPh sb="22" eb="24">
      <t>デンショウ</t>
    </rPh>
    <rPh sb="25" eb="26">
      <t>ボウ</t>
    </rPh>
    <phoneticPr fontId="1"/>
  </si>
  <si>
    <t>タイプ偉人・妖怪・名物の攻10％UP　/　タイプ妖怪・名物・偉人・姫の防35％DOWN</t>
    <rPh sb="3" eb="5">
      <t>イジン</t>
    </rPh>
    <rPh sb="6" eb="8">
      <t>ヨウカイ</t>
    </rPh>
    <rPh sb="9" eb="11">
      <t>メイブツ</t>
    </rPh>
    <rPh sb="12" eb="13">
      <t>コウ</t>
    </rPh>
    <rPh sb="24" eb="26">
      <t>ヨウカイ</t>
    </rPh>
    <rPh sb="27" eb="29">
      <t>メイブツ</t>
    </rPh>
    <rPh sb="30" eb="32">
      <t>イジン</t>
    </rPh>
    <rPh sb="33" eb="34">
      <t>ヒメ</t>
    </rPh>
    <rPh sb="35" eb="36">
      <t>ボウ</t>
    </rPh>
    <phoneticPr fontId="1"/>
  </si>
  <si>
    <t>タイプ神秘・知性派・飲食の防25％UP　/　タイプ神秘・知性派・飲食の攻50％DOWN</t>
    <rPh sb="3" eb="5">
      <t>シンピ</t>
    </rPh>
    <rPh sb="6" eb="8">
      <t>チセイ</t>
    </rPh>
    <rPh sb="8" eb="9">
      <t>ハ</t>
    </rPh>
    <rPh sb="10" eb="12">
      <t>インショク</t>
    </rPh>
    <rPh sb="13" eb="14">
      <t>ボウ</t>
    </rPh>
    <rPh sb="25" eb="27">
      <t>シンピ</t>
    </rPh>
    <rPh sb="28" eb="30">
      <t>チセイ</t>
    </rPh>
    <rPh sb="30" eb="31">
      <t>ハ</t>
    </rPh>
    <rPh sb="32" eb="34">
      <t>インショク</t>
    </rPh>
    <rPh sb="35" eb="36">
      <t>コウ</t>
    </rPh>
    <phoneticPr fontId="1"/>
  </si>
  <si>
    <t>味方全体の防20％UP</t>
  </si>
  <si>
    <t>タイプ偉人・妖怪・名物の防10％UP　/　タイプ名物・武人・姫・伝承の攻35％DOWN</t>
    <rPh sb="3" eb="5">
      <t>イジン</t>
    </rPh>
    <rPh sb="6" eb="8">
      <t>ヨウカイ</t>
    </rPh>
    <rPh sb="9" eb="11">
      <t>メイブツ</t>
    </rPh>
    <rPh sb="12" eb="13">
      <t>ボウ</t>
    </rPh>
    <rPh sb="24" eb="26">
      <t>メイブツ</t>
    </rPh>
    <rPh sb="27" eb="29">
      <t>ブジン</t>
    </rPh>
    <rPh sb="30" eb="31">
      <t>ヒメ</t>
    </rPh>
    <rPh sb="32" eb="34">
      <t>デンショウ</t>
    </rPh>
    <rPh sb="35" eb="36">
      <t>コウ</t>
    </rPh>
    <phoneticPr fontId="1"/>
  </si>
  <si>
    <t>タイプ偉人・名物の防40％UP　/　タイプ【妖怪】の防25％UP</t>
    <rPh sb="3" eb="5">
      <t>イジン</t>
    </rPh>
    <rPh sb="6" eb="8">
      <t>メイブツ</t>
    </rPh>
    <rPh sb="9" eb="10">
      <t>ボウ</t>
    </rPh>
    <rPh sb="22" eb="24">
      <t>ヨウカイ</t>
    </rPh>
    <rPh sb="26" eb="27">
      <t>ボウ</t>
    </rPh>
    <phoneticPr fontId="1"/>
  </si>
  <si>
    <t>タイプ偉人・妖怪・名物の防80％DOWN　/　タイプ知性派・飲食の攻25％UP</t>
    <rPh sb="3" eb="5">
      <t>イジン</t>
    </rPh>
    <rPh sb="6" eb="8">
      <t>ヨウカイ</t>
    </rPh>
    <rPh sb="9" eb="11">
      <t>メイブツ</t>
    </rPh>
    <rPh sb="12" eb="13">
      <t>ボウ</t>
    </rPh>
    <rPh sb="26" eb="28">
      <t>チセイ</t>
    </rPh>
    <rPh sb="28" eb="29">
      <t>ハ</t>
    </rPh>
    <rPh sb="30" eb="32">
      <t>インショク</t>
    </rPh>
    <rPh sb="33" eb="34">
      <t>コウ</t>
    </rPh>
    <phoneticPr fontId="1"/>
  </si>
  <si>
    <t>タイプ伝承・武人・姫の防15％UP　/　タイプ妖怪・名物・偉人・知性派の攻25％DOWN</t>
    <rPh sb="3" eb="5">
      <t>デンショウ</t>
    </rPh>
    <rPh sb="6" eb="8">
      <t>ブジン</t>
    </rPh>
    <rPh sb="9" eb="10">
      <t>ヒメ</t>
    </rPh>
    <rPh sb="11" eb="12">
      <t>ボウ</t>
    </rPh>
    <rPh sb="23" eb="25">
      <t>ヨウカイ</t>
    </rPh>
    <rPh sb="26" eb="28">
      <t>メイブツ</t>
    </rPh>
    <rPh sb="29" eb="31">
      <t>イジン</t>
    </rPh>
    <rPh sb="32" eb="34">
      <t>チセイ</t>
    </rPh>
    <rPh sb="34" eb="35">
      <t>ハ</t>
    </rPh>
    <rPh sb="36" eb="37">
      <t>コウ</t>
    </rPh>
    <phoneticPr fontId="1"/>
  </si>
  <si>
    <t>敵の攻撃30％DOWNして確率で戦技封じ</t>
  </si>
  <si>
    <t>所属一致ボーナス130％UP</t>
    <rPh sb="0" eb="2">
      <t>ショゾク</t>
    </rPh>
    <rPh sb="2" eb="4">
      <t>イッチ</t>
    </rPh>
    <phoneticPr fontId="3"/>
  </si>
  <si>
    <t>タイプ伝承・武人・姫の防40％UP　/　所属が【西日本】と、それに属する地方・県、および【全国】の攻30％DOWN</t>
    <rPh sb="3" eb="5">
      <t>デンショウ</t>
    </rPh>
    <rPh sb="6" eb="8">
      <t>ブジン</t>
    </rPh>
    <rPh sb="9" eb="10">
      <t>ヒメ</t>
    </rPh>
    <rPh sb="11" eb="12">
      <t>ボウ</t>
    </rPh>
    <rPh sb="49" eb="50">
      <t>コウ</t>
    </rPh>
    <phoneticPr fontId="3"/>
  </si>
  <si>
    <t>タイプ神秘・知性派・飲食の防35％UP</t>
    <rPh sb="3" eb="5">
      <t>シンピ</t>
    </rPh>
    <rPh sb="6" eb="8">
      <t>チセイ</t>
    </rPh>
    <rPh sb="8" eb="9">
      <t>ハ</t>
    </rPh>
    <rPh sb="10" eb="12">
      <t>インショク</t>
    </rPh>
    <rPh sb="13" eb="14">
      <t>ボウ</t>
    </rPh>
    <phoneticPr fontId="1"/>
  </si>
  <si>
    <t>タイプ偉人・妖怪・名物の攻40％UP　/　タイプ神秘・知性派・飲食の防25％DOWN</t>
    <rPh sb="3" eb="5">
      <t>イジン</t>
    </rPh>
    <rPh sb="6" eb="8">
      <t>ヨウカイ</t>
    </rPh>
    <rPh sb="9" eb="11">
      <t>メイブツ</t>
    </rPh>
    <rPh sb="12" eb="13">
      <t>コウ</t>
    </rPh>
    <rPh sb="24" eb="26">
      <t>シンピ</t>
    </rPh>
    <rPh sb="27" eb="29">
      <t>チセイ</t>
    </rPh>
    <rPh sb="29" eb="30">
      <t>ハ</t>
    </rPh>
    <rPh sb="31" eb="33">
      <t>インショク</t>
    </rPh>
    <rPh sb="34" eb="35">
      <t>ボウ</t>
    </rPh>
    <phoneticPr fontId="1"/>
  </si>
  <si>
    <t>タイプ姫・伝承の攻25％UP　/　タイプ【武人】の攻10％UP</t>
    <rPh sb="3" eb="4">
      <t>ヒメ</t>
    </rPh>
    <rPh sb="5" eb="7">
      <t>デンショウ</t>
    </rPh>
    <rPh sb="8" eb="9">
      <t>コウ</t>
    </rPh>
    <rPh sb="21" eb="23">
      <t>ブジン</t>
    </rPh>
    <rPh sb="25" eb="26">
      <t>コウ</t>
    </rPh>
    <phoneticPr fontId="1"/>
  </si>
  <si>
    <t>所属一致ボーナス120％UP</t>
    <rPh sb="0" eb="2">
      <t>ショゾク</t>
    </rPh>
    <rPh sb="2" eb="4">
      <t>イッチ</t>
    </rPh>
    <phoneticPr fontId="3"/>
  </si>
  <si>
    <t>タイプ神秘・知性派の攻40％UP　/　所属が【北海道・東北】とそれに属する県、および【全国】【東日本】の攻30％UP</t>
    <rPh sb="3" eb="5">
      <t>シンピ</t>
    </rPh>
    <rPh sb="6" eb="8">
      <t>チセイ</t>
    </rPh>
    <rPh sb="8" eb="9">
      <t>ハ</t>
    </rPh>
    <rPh sb="10" eb="11">
      <t>コウ</t>
    </rPh>
    <rPh sb="19" eb="21">
      <t>ショゾク</t>
    </rPh>
    <rPh sb="23" eb="26">
      <t>ホッカイドウ</t>
    </rPh>
    <rPh sb="27" eb="29">
      <t>トウホク</t>
    </rPh>
    <rPh sb="34" eb="35">
      <t>ゾク</t>
    </rPh>
    <rPh sb="37" eb="38">
      <t>ケン</t>
    </rPh>
    <rPh sb="43" eb="45">
      <t>ゼンコク</t>
    </rPh>
    <rPh sb="47" eb="48">
      <t>ヒガシ</t>
    </rPh>
    <rPh sb="48" eb="50">
      <t>ニホン</t>
    </rPh>
    <rPh sb="52" eb="53">
      <t>コウ</t>
    </rPh>
    <phoneticPr fontId="1"/>
  </si>
  <si>
    <t>所属一致ボーナス140％UP</t>
    <rPh sb="0" eb="2">
      <t>ショゾク</t>
    </rPh>
    <rPh sb="2" eb="4">
      <t>イッチ</t>
    </rPh>
    <phoneticPr fontId="3"/>
  </si>
  <si>
    <t>タイプ神秘・知性派・飲食の攻40％UP　/　タイプ偉人・妖怪・名物の防10％DOWN</t>
    <rPh sb="3" eb="5">
      <t>シンピ</t>
    </rPh>
    <rPh sb="6" eb="8">
      <t>チセイ</t>
    </rPh>
    <rPh sb="8" eb="9">
      <t>ハ</t>
    </rPh>
    <rPh sb="10" eb="12">
      <t>インショク</t>
    </rPh>
    <rPh sb="13" eb="14">
      <t>コウ</t>
    </rPh>
    <rPh sb="25" eb="27">
      <t>イジン</t>
    </rPh>
    <rPh sb="28" eb="30">
      <t>ヨウカイ</t>
    </rPh>
    <rPh sb="31" eb="33">
      <t>メイブツ</t>
    </rPh>
    <rPh sb="34" eb="35">
      <t>ボウ</t>
    </rPh>
    <phoneticPr fontId="1"/>
  </si>
  <si>
    <t>タイプ姫・伝承の防25％UP　/　タイプ【武人】の防10％UP</t>
    <rPh sb="3" eb="4">
      <t>ヒメ</t>
    </rPh>
    <rPh sb="5" eb="7">
      <t>デンショウ</t>
    </rPh>
    <rPh sb="8" eb="9">
      <t>ボウ</t>
    </rPh>
    <rPh sb="21" eb="23">
      <t>ブジン</t>
    </rPh>
    <rPh sb="25" eb="26">
      <t>ボウ</t>
    </rPh>
    <phoneticPr fontId="1"/>
  </si>
  <si>
    <t>タイプ妖怪・名物の防45％UP　/　タイプ伝承・姫・飲食・偉人の防30％UP</t>
    <rPh sb="3" eb="5">
      <t>ヨウカイ</t>
    </rPh>
    <rPh sb="6" eb="8">
      <t>メイブツ</t>
    </rPh>
    <rPh sb="9" eb="10">
      <t>ボウ</t>
    </rPh>
    <rPh sb="21" eb="23">
      <t>デンショウ</t>
    </rPh>
    <rPh sb="24" eb="25">
      <t>ヒメ</t>
    </rPh>
    <rPh sb="26" eb="28">
      <t>インショク</t>
    </rPh>
    <rPh sb="29" eb="31">
      <t>イジン</t>
    </rPh>
    <rPh sb="32" eb="33">
      <t>ボウ</t>
    </rPh>
    <phoneticPr fontId="1"/>
  </si>
  <si>
    <t>タイプ伝承・武人・姫の攻15％UP　/　タイプ神秘・飲食・知性派・武人の防25％DOWN</t>
    <rPh sb="3" eb="5">
      <t>デンショウ</t>
    </rPh>
    <rPh sb="6" eb="8">
      <t>ブジン</t>
    </rPh>
    <rPh sb="9" eb="10">
      <t>ヒメ</t>
    </rPh>
    <rPh sb="11" eb="12">
      <t>コウ</t>
    </rPh>
    <rPh sb="23" eb="25">
      <t>シンピ</t>
    </rPh>
    <rPh sb="26" eb="28">
      <t>インショク</t>
    </rPh>
    <rPh sb="29" eb="31">
      <t>チセイ</t>
    </rPh>
    <rPh sb="31" eb="32">
      <t>ハ</t>
    </rPh>
    <rPh sb="33" eb="35">
      <t>ブジン</t>
    </rPh>
    <rPh sb="36" eb="37">
      <t>ボウ</t>
    </rPh>
    <phoneticPr fontId="1"/>
  </si>
  <si>
    <t>タイプ伝承・武人・姫の攻15％UP　/　タイプ妖怪・名物・偉人・姫の防25％DOWN</t>
    <rPh sb="3" eb="5">
      <t>デンショウ</t>
    </rPh>
    <rPh sb="6" eb="8">
      <t>ブジン</t>
    </rPh>
    <rPh sb="9" eb="10">
      <t>ヒメ</t>
    </rPh>
    <rPh sb="11" eb="12">
      <t>コウ</t>
    </rPh>
    <rPh sb="23" eb="25">
      <t>ヨウカイ</t>
    </rPh>
    <rPh sb="26" eb="28">
      <t>メイブツ</t>
    </rPh>
    <rPh sb="29" eb="31">
      <t>イジン</t>
    </rPh>
    <rPh sb="32" eb="33">
      <t>ヒメ</t>
    </rPh>
    <rPh sb="34" eb="35">
      <t>ボウ</t>
    </rPh>
    <phoneticPr fontId="1"/>
  </si>
  <si>
    <t>タイプ偉人・妖怪・名物の攻55％UP</t>
    <rPh sb="3" eb="5">
      <t>イジン</t>
    </rPh>
    <rPh sb="6" eb="8">
      <t>ヨウカイ</t>
    </rPh>
    <rPh sb="9" eb="11">
      <t>メイブツ</t>
    </rPh>
    <rPh sb="12" eb="13">
      <t>コウ</t>
    </rPh>
    <phoneticPr fontId="1"/>
  </si>
  <si>
    <t>タイプ偉人・妖怪・名物の攻35％UP　/　タイプ神秘・知性派・飲食の防10％DOWN</t>
    <rPh sb="3" eb="5">
      <t>イジン</t>
    </rPh>
    <rPh sb="6" eb="8">
      <t>ヨウカイ</t>
    </rPh>
    <rPh sb="9" eb="11">
      <t>メイブツ</t>
    </rPh>
    <rPh sb="12" eb="13">
      <t>コウ</t>
    </rPh>
    <rPh sb="24" eb="26">
      <t>シンピ</t>
    </rPh>
    <rPh sb="27" eb="29">
      <t>チセイ</t>
    </rPh>
    <rPh sb="29" eb="30">
      <t>ハ</t>
    </rPh>
    <rPh sb="31" eb="33">
      <t>インショク</t>
    </rPh>
    <rPh sb="34" eb="35">
      <t>ボウ</t>
    </rPh>
    <phoneticPr fontId="1"/>
  </si>
  <si>
    <t>タイプ伝承・武人・姫の攻80％DOWN　/　タイプ神秘・知性派の防25％UP</t>
    <rPh sb="3" eb="5">
      <t>デンショウ</t>
    </rPh>
    <rPh sb="6" eb="8">
      <t>ブジン</t>
    </rPh>
    <rPh sb="9" eb="10">
      <t>ヒメ</t>
    </rPh>
    <rPh sb="11" eb="12">
      <t>コウ</t>
    </rPh>
    <rPh sb="25" eb="27">
      <t>シンピ</t>
    </rPh>
    <rPh sb="28" eb="30">
      <t>チセイ</t>
    </rPh>
    <rPh sb="30" eb="31">
      <t>ハ</t>
    </rPh>
    <rPh sb="32" eb="33">
      <t>ボウ</t>
    </rPh>
    <phoneticPr fontId="1"/>
  </si>
  <si>
    <t>タイプ伝承・武人・姫の攻40％UP　/　タイプ偉人・妖怪・名物の防10％DOWN</t>
    <rPh sb="3" eb="5">
      <t>デンショウ</t>
    </rPh>
    <rPh sb="6" eb="8">
      <t>ブジン</t>
    </rPh>
    <rPh sb="9" eb="10">
      <t>ヒメ</t>
    </rPh>
    <rPh sb="11" eb="12">
      <t>コウ</t>
    </rPh>
    <rPh sb="23" eb="25">
      <t>イジン</t>
    </rPh>
    <rPh sb="26" eb="28">
      <t>ヨウカイ</t>
    </rPh>
    <rPh sb="29" eb="31">
      <t>メイブツ</t>
    </rPh>
    <rPh sb="32" eb="33">
      <t>ボウ</t>
    </rPh>
    <phoneticPr fontId="1"/>
  </si>
  <si>
    <t>敵全体の攻30％DOWN</t>
  </si>
  <si>
    <t>所属一致ボーナス120％UP</t>
    <rPh sb="0" eb="2">
      <t>ショゾク</t>
    </rPh>
    <rPh sb="2" eb="4">
      <t>イッチ</t>
    </rPh>
    <phoneticPr fontId="1"/>
  </si>
  <si>
    <t>タイプ偉人・妖怪・伝承の攻40％UP　/　タイプ名物・姫の攻30％UP</t>
    <rPh sb="3" eb="5">
      <t>イジン</t>
    </rPh>
    <rPh sb="6" eb="8">
      <t>ヨウカイ</t>
    </rPh>
    <rPh sb="9" eb="11">
      <t>デンショウ</t>
    </rPh>
    <rPh sb="12" eb="13">
      <t>コウ</t>
    </rPh>
    <rPh sb="24" eb="26">
      <t>メイブツ</t>
    </rPh>
    <rPh sb="27" eb="28">
      <t>ヒメ</t>
    </rPh>
    <rPh sb="29" eb="30">
      <t>コウ</t>
    </rPh>
    <phoneticPr fontId="1"/>
  </si>
  <si>
    <t>タイプ姫・伝承の攻40％UP　/　タイプ【武人】の攻25％UP</t>
    <rPh sb="3" eb="4">
      <t>ヒメ</t>
    </rPh>
    <rPh sb="5" eb="7">
      <t>デンショウ</t>
    </rPh>
    <rPh sb="8" eb="9">
      <t>コウ</t>
    </rPh>
    <rPh sb="21" eb="23">
      <t>ブジン</t>
    </rPh>
    <rPh sb="25" eb="26">
      <t>コウ</t>
    </rPh>
    <phoneticPr fontId="1"/>
  </si>
  <si>
    <t>味方全体の攻30％UP</t>
  </si>
  <si>
    <t>敵の攻撃30％DOWNして攻撃する</t>
    <rPh sb="0" eb="1">
      <t>テキ</t>
    </rPh>
    <rPh sb="2" eb="4">
      <t>コウゲキ</t>
    </rPh>
    <rPh sb="13" eb="15">
      <t>コウゲキ</t>
    </rPh>
    <phoneticPr fontId="1"/>
  </si>
  <si>
    <t>タイプ伝承・武人・姫の攻35％UP　/　タイプ妖怪・名物・偉人・知性派の防20％DOWN</t>
    <rPh sb="3" eb="5">
      <t>デンショウ</t>
    </rPh>
    <rPh sb="6" eb="8">
      <t>ブジン</t>
    </rPh>
    <rPh sb="9" eb="10">
      <t>ヒメ</t>
    </rPh>
    <rPh sb="11" eb="12">
      <t>コウ</t>
    </rPh>
    <rPh sb="23" eb="25">
      <t>ヨウカイ</t>
    </rPh>
    <rPh sb="26" eb="28">
      <t>メイブツ</t>
    </rPh>
    <rPh sb="29" eb="31">
      <t>イジン</t>
    </rPh>
    <rPh sb="32" eb="34">
      <t>チセイ</t>
    </rPh>
    <rPh sb="34" eb="35">
      <t>ハ</t>
    </rPh>
    <rPh sb="36" eb="37">
      <t>ボウ</t>
    </rPh>
    <phoneticPr fontId="1"/>
  </si>
  <si>
    <t>タイプ伝承・武人・姫の攻15％UP　/　タイプ神秘・飲食・知性派・伝承の防25％DOWN</t>
    <rPh sb="3" eb="5">
      <t>デンショウ</t>
    </rPh>
    <rPh sb="6" eb="8">
      <t>ブジン</t>
    </rPh>
    <rPh sb="9" eb="10">
      <t>ヒメ</t>
    </rPh>
    <rPh sb="11" eb="12">
      <t>コウ</t>
    </rPh>
    <rPh sb="23" eb="25">
      <t>シンピ</t>
    </rPh>
    <rPh sb="26" eb="28">
      <t>インショク</t>
    </rPh>
    <rPh sb="29" eb="31">
      <t>チセイ</t>
    </rPh>
    <rPh sb="31" eb="32">
      <t>ハ</t>
    </rPh>
    <rPh sb="33" eb="35">
      <t>デンショウ</t>
    </rPh>
    <rPh sb="36" eb="37">
      <t>ボウ</t>
    </rPh>
    <phoneticPr fontId="1"/>
  </si>
  <si>
    <t>タイプ神秘・知性派の防40％UP　/　タイプ【飲食】の防25％UP</t>
    <rPh sb="3" eb="5">
      <t>シンピ</t>
    </rPh>
    <rPh sb="6" eb="8">
      <t>チセイ</t>
    </rPh>
    <rPh sb="8" eb="9">
      <t>ハ</t>
    </rPh>
    <rPh sb="10" eb="11">
      <t>ボウ</t>
    </rPh>
    <rPh sb="23" eb="25">
      <t>インショク</t>
    </rPh>
    <rPh sb="27" eb="28">
      <t>ボウ</t>
    </rPh>
    <phoneticPr fontId="1"/>
  </si>
  <si>
    <t>敵全体の攻15％DOWN</t>
  </si>
  <si>
    <t>タイプ神秘・知性派の攻30％UP　/　タイプ【飲食】の攻10％UP</t>
    <rPh sb="3" eb="5">
      <t>シンピ</t>
    </rPh>
    <rPh sb="6" eb="8">
      <t>チセイ</t>
    </rPh>
    <rPh sb="8" eb="9">
      <t>ハ</t>
    </rPh>
    <rPh sb="10" eb="11">
      <t>コウ</t>
    </rPh>
    <rPh sb="23" eb="25">
      <t>インショク</t>
    </rPh>
    <rPh sb="27" eb="28">
      <t>コウ</t>
    </rPh>
    <phoneticPr fontId="1"/>
  </si>
  <si>
    <t>タイプ神秘・飲食・名物の攻60％UP　/　タイプ【知性派】の攻30％UP</t>
    <rPh sb="3" eb="5">
      <t>シンピ</t>
    </rPh>
    <rPh sb="6" eb="8">
      <t>インショク</t>
    </rPh>
    <rPh sb="9" eb="11">
      <t>メイブツ</t>
    </rPh>
    <rPh sb="12" eb="13">
      <t>コウ</t>
    </rPh>
    <rPh sb="25" eb="27">
      <t>チセイ</t>
    </rPh>
    <rPh sb="27" eb="28">
      <t>ハ</t>
    </rPh>
    <rPh sb="30" eb="31">
      <t>コウ</t>
    </rPh>
    <phoneticPr fontId="1"/>
  </si>
  <si>
    <t>タイプ偉人・妖怪・名物の攻10％UP　/　タイプ武人・姫・伝承・知性派の防35％DOWN</t>
    <rPh sb="3" eb="5">
      <t>イジン</t>
    </rPh>
    <rPh sb="6" eb="8">
      <t>ヨウカイ</t>
    </rPh>
    <rPh sb="9" eb="11">
      <t>メイブツ</t>
    </rPh>
    <rPh sb="12" eb="13">
      <t>コウ</t>
    </rPh>
    <rPh sb="24" eb="26">
      <t>ブジン</t>
    </rPh>
    <rPh sb="27" eb="28">
      <t>ヒメ</t>
    </rPh>
    <rPh sb="29" eb="31">
      <t>デンショウ</t>
    </rPh>
    <rPh sb="32" eb="34">
      <t>チセイ</t>
    </rPh>
    <rPh sb="34" eb="35">
      <t>ハ</t>
    </rPh>
    <rPh sb="36" eb="37">
      <t>ボウ</t>
    </rPh>
    <phoneticPr fontId="1"/>
  </si>
  <si>
    <t>タイプ神秘・知性派・飲食の防30％UP　/　タイプ偉人・妖怪・名物の攻80％DOWN</t>
    <rPh sb="3" eb="5">
      <t>シンピ</t>
    </rPh>
    <rPh sb="6" eb="8">
      <t>チセイ</t>
    </rPh>
    <rPh sb="8" eb="9">
      <t>ハ</t>
    </rPh>
    <rPh sb="10" eb="12">
      <t>インショク</t>
    </rPh>
    <rPh sb="13" eb="14">
      <t>ボウ</t>
    </rPh>
    <rPh sb="25" eb="27">
      <t>イジン</t>
    </rPh>
    <rPh sb="28" eb="30">
      <t>ヨウカイ</t>
    </rPh>
    <rPh sb="31" eb="33">
      <t>メイブツ</t>
    </rPh>
    <rPh sb="34" eb="35">
      <t>コウ</t>
    </rPh>
    <phoneticPr fontId="1"/>
  </si>
  <si>
    <t>タイプ神秘・知性派・飲食の攻30％UP　/　タイプ知性派・飲食の防10％DOWN</t>
    <rPh sb="3" eb="5">
      <t>シンピ</t>
    </rPh>
    <rPh sb="6" eb="8">
      <t>チセイ</t>
    </rPh>
    <rPh sb="8" eb="9">
      <t>ハ</t>
    </rPh>
    <rPh sb="10" eb="12">
      <t>インショク</t>
    </rPh>
    <rPh sb="13" eb="14">
      <t>コウ</t>
    </rPh>
    <rPh sb="25" eb="27">
      <t>チセイ</t>
    </rPh>
    <rPh sb="27" eb="28">
      <t>ハ</t>
    </rPh>
    <rPh sb="29" eb="31">
      <t>インショク</t>
    </rPh>
    <rPh sb="32" eb="33">
      <t>ボウ</t>
    </rPh>
    <phoneticPr fontId="1"/>
  </si>
  <si>
    <t>タイプ妖怪・名物の攻50％UP　/　タイプ【偉人】の攻35％UP</t>
    <rPh sb="3" eb="5">
      <t>ヨウカイ</t>
    </rPh>
    <rPh sb="6" eb="8">
      <t>メイブツ</t>
    </rPh>
    <rPh sb="9" eb="10">
      <t>コウ</t>
    </rPh>
    <rPh sb="22" eb="24">
      <t>イジン</t>
    </rPh>
    <rPh sb="26" eb="27">
      <t>コウ</t>
    </rPh>
    <phoneticPr fontId="1"/>
  </si>
  <si>
    <t>タイプ神秘・知性派・飲食の攻35％UP</t>
    <rPh sb="3" eb="5">
      <t>シンピ</t>
    </rPh>
    <rPh sb="6" eb="8">
      <t>チセイ</t>
    </rPh>
    <rPh sb="8" eb="9">
      <t>ハ</t>
    </rPh>
    <rPh sb="10" eb="12">
      <t>インショク</t>
    </rPh>
    <rPh sb="13" eb="14">
      <t>コウ</t>
    </rPh>
    <phoneticPr fontId="1"/>
  </si>
  <si>
    <t>タイプ偉人・名物の攻100％DOWN　/　タイプ妖怪・名物の防15％UP</t>
    <rPh sb="3" eb="5">
      <t>イジン</t>
    </rPh>
    <rPh sb="6" eb="8">
      <t>メイブツ</t>
    </rPh>
    <rPh sb="9" eb="10">
      <t>コウ</t>
    </rPh>
    <rPh sb="24" eb="26">
      <t>ヨウカイ</t>
    </rPh>
    <rPh sb="27" eb="29">
      <t>メイブツ</t>
    </rPh>
    <rPh sb="30" eb="31">
      <t>ボウ</t>
    </rPh>
    <phoneticPr fontId="1"/>
  </si>
  <si>
    <t>タイプ偉人・妖怪・名物の防35％UP　/　タイプ神秘・知性派・飲食の攻15％DOWN</t>
    <rPh sb="3" eb="5">
      <t>イジン</t>
    </rPh>
    <rPh sb="6" eb="8">
      <t>ヨウカイ</t>
    </rPh>
    <rPh sb="9" eb="11">
      <t>メイブツ</t>
    </rPh>
    <rPh sb="12" eb="13">
      <t>ボウ</t>
    </rPh>
    <rPh sb="24" eb="26">
      <t>シンピ</t>
    </rPh>
    <rPh sb="27" eb="29">
      <t>チセイ</t>
    </rPh>
    <rPh sb="29" eb="30">
      <t>ハ</t>
    </rPh>
    <rPh sb="31" eb="33">
      <t>インショク</t>
    </rPh>
    <rPh sb="34" eb="35">
      <t>コウ</t>
    </rPh>
    <phoneticPr fontId="1"/>
  </si>
  <si>
    <t>タイプ伝承・武人・姫の攻60％DOWN　/　タイプ伝承・武人・姫の防25％UP</t>
    <rPh sb="3" eb="5">
      <t>デンショウ</t>
    </rPh>
    <rPh sb="6" eb="8">
      <t>ブジン</t>
    </rPh>
    <rPh sb="9" eb="10">
      <t>ヒメ</t>
    </rPh>
    <rPh sb="11" eb="12">
      <t>コウ</t>
    </rPh>
    <rPh sb="25" eb="27">
      <t>デンショウ</t>
    </rPh>
    <rPh sb="28" eb="30">
      <t>ブジン</t>
    </rPh>
    <rPh sb="31" eb="32">
      <t>ヒメ</t>
    </rPh>
    <rPh sb="33" eb="34">
      <t>ボウ</t>
    </rPh>
    <phoneticPr fontId="1"/>
  </si>
  <si>
    <t>タイプ武人・姫の防100％DOWN　/　タイプ偉人・名物の攻20％UP</t>
    <rPh sb="3" eb="5">
      <t>ブジン</t>
    </rPh>
    <rPh sb="6" eb="7">
      <t>ヒメ</t>
    </rPh>
    <rPh sb="8" eb="9">
      <t>ボウ</t>
    </rPh>
    <rPh sb="23" eb="25">
      <t>イジン</t>
    </rPh>
    <rPh sb="26" eb="28">
      <t>メイブツ</t>
    </rPh>
    <rPh sb="29" eb="30">
      <t>コウ</t>
    </rPh>
    <phoneticPr fontId="1"/>
  </si>
  <si>
    <t>敵全体の攻10％DOWN</t>
  </si>
  <si>
    <t>タイプ神秘・知性派・飲食の攻70％DOWN　/　タイプ知性派・飲食の防30％UP</t>
    <rPh sb="3" eb="5">
      <t>シンピ</t>
    </rPh>
    <rPh sb="6" eb="8">
      <t>チセイ</t>
    </rPh>
    <rPh sb="8" eb="9">
      <t>ハ</t>
    </rPh>
    <rPh sb="10" eb="12">
      <t>インショク</t>
    </rPh>
    <rPh sb="13" eb="14">
      <t>コウ</t>
    </rPh>
    <rPh sb="27" eb="29">
      <t>チセイ</t>
    </rPh>
    <rPh sb="29" eb="30">
      <t>ハ</t>
    </rPh>
    <rPh sb="31" eb="33">
      <t>インショク</t>
    </rPh>
    <rPh sb="34" eb="35">
      <t>ボウ</t>
    </rPh>
    <phoneticPr fontId="1"/>
  </si>
  <si>
    <t>タイプ偉人・名物の防40％UP　/　所属が【北海道・東北】とそれに属する県、および【全国】【東日本】の防30％UP</t>
    <rPh sb="3" eb="5">
      <t>イジン</t>
    </rPh>
    <rPh sb="6" eb="8">
      <t>メイブツ</t>
    </rPh>
    <rPh sb="9" eb="10">
      <t>ボウ</t>
    </rPh>
    <rPh sb="51" eb="52">
      <t>ボウ</t>
    </rPh>
    <phoneticPr fontId="1"/>
  </si>
  <si>
    <t>100％→120％(3進)</t>
  </si>
  <si>
    <t>100％→120％(3進)</t>
    <rPh sb="11" eb="12">
      <t>シン</t>
    </rPh>
    <phoneticPr fontId="1"/>
  </si>
  <si>
    <t>タイプ神秘・知性派・飲食の防20％UP　/　タイプ飲食・武人・名物の攻70％DOWN</t>
    <rPh sb="3" eb="5">
      <t>シンピ</t>
    </rPh>
    <rPh sb="6" eb="8">
      <t>チセイ</t>
    </rPh>
    <rPh sb="8" eb="9">
      <t>ハ</t>
    </rPh>
    <rPh sb="10" eb="12">
      <t>インショク</t>
    </rPh>
    <rPh sb="13" eb="14">
      <t>ボウ</t>
    </rPh>
    <rPh sb="25" eb="27">
      <t>インショク</t>
    </rPh>
    <rPh sb="28" eb="30">
      <t>ブジン</t>
    </rPh>
    <rPh sb="31" eb="33">
      <t>メイブツ</t>
    </rPh>
    <rPh sb="34" eb="35">
      <t>コウ</t>
    </rPh>
    <phoneticPr fontId="1"/>
  </si>
  <si>
    <t>タイプ武人・姫の攻30％UP　/　タイプ【伝承】の攻10％UP</t>
    <rPh sb="3" eb="5">
      <t>ブジン</t>
    </rPh>
    <rPh sb="6" eb="7">
      <t>ヒメ</t>
    </rPh>
    <rPh sb="8" eb="9">
      <t>コウ</t>
    </rPh>
    <rPh sb="21" eb="23">
      <t>デンショウ</t>
    </rPh>
    <rPh sb="25" eb="26">
      <t>コウ</t>
    </rPh>
    <phoneticPr fontId="1"/>
  </si>
  <si>
    <t>タイプ神秘・知性派の防20％UP</t>
    <rPh sb="3" eb="5">
      <t>シンピ</t>
    </rPh>
    <rPh sb="6" eb="8">
      <t>チセイ</t>
    </rPh>
    <rPh sb="8" eb="9">
      <t>ハ</t>
    </rPh>
    <rPh sb="10" eb="11">
      <t>ボウ</t>
    </rPh>
    <phoneticPr fontId="1"/>
  </si>
  <si>
    <t>タイプ【名物】の攻20％UP</t>
    <rPh sb="4" eb="6">
      <t>メイブツ</t>
    </rPh>
    <rPh sb="8" eb="9">
      <t>コウ</t>
    </rPh>
    <phoneticPr fontId="1"/>
  </si>
  <si>
    <t>タイプ偉人・妖怪の防30％UP　/　タイプ【名物】の防10％UP</t>
    <rPh sb="3" eb="5">
      <t>イジン</t>
    </rPh>
    <rPh sb="6" eb="8">
      <t>ヨウカイ</t>
    </rPh>
    <rPh sb="9" eb="10">
      <t>ボウ</t>
    </rPh>
    <rPh sb="22" eb="24">
      <t>メイブツ</t>
    </rPh>
    <rPh sb="26" eb="27">
      <t>ボウ</t>
    </rPh>
    <phoneticPr fontId="1"/>
  </si>
  <si>
    <t>タイプ姫・伝承の攻30％UP　/　タイプ【武人】の攻10％UP</t>
    <rPh sb="3" eb="4">
      <t>ヒメ</t>
    </rPh>
    <rPh sb="5" eb="7">
      <t>デンショウ</t>
    </rPh>
    <rPh sb="8" eb="9">
      <t>コウ</t>
    </rPh>
    <rPh sb="21" eb="23">
      <t>ブジン</t>
    </rPh>
    <rPh sb="25" eb="26">
      <t>コウ</t>
    </rPh>
    <phoneticPr fontId="1"/>
  </si>
  <si>
    <t>タイプ神秘・飲食の攻30％UP　/　タイプ【知性派】の攻10％UP</t>
    <rPh sb="3" eb="5">
      <t>シンピ</t>
    </rPh>
    <rPh sb="6" eb="8">
      <t>インショク</t>
    </rPh>
    <rPh sb="9" eb="10">
      <t>コウ</t>
    </rPh>
    <rPh sb="22" eb="24">
      <t>チセイ</t>
    </rPh>
    <rPh sb="24" eb="25">
      <t>ハ</t>
    </rPh>
    <rPh sb="27" eb="28">
      <t>コウ</t>
    </rPh>
    <phoneticPr fontId="1"/>
  </si>
  <si>
    <t>タイプ偉人・妖怪の攻40％UP　/　所属が【北海道・東北】とそれに属する県、および【全国】【東日本】の攻30％UP</t>
  </si>
  <si>
    <t>タイプ偉人・妖怪の攻40％UP　/　所属が【北海道・東北】とそれに属する県、および【全国】【東日本】の攻30％UP</t>
    <rPh sb="3" eb="5">
      <t>イジン</t>
    </rPh>
    <rPh sb="6" eb="8">
      <t>ヨウカイ</t>
    </rPh>
    <phoneticPr fontId="1"/>
  </si>
  <si>
    <t>敵単体にダメージ与えて味方全体の攻20％UP</t>
  </si>
  <si>
    <t>タイプ【神秘】の防50％UP　/　タイプ知性派・飲食の防20％UP</t>
    <rPh sb="4" eb="6">
      <t>シンピ</t>
    </rPh>
    <rPh sb="8" eb="9">
      <t>ボウ</t>
    </rPh>
    <rPh sb="20" eb="22">
      <t>チセイ</t>
    </rPh>
    <rPh sb="22" eb="23">
      <t>ハ</t>
    </rPh>
    <rPh sb="24" eb="26">
      <t>インショク</t>
    </rPh>
    <rPh sb="27" eb="28">
      <t>ボウ</t>
    </rPh>
    <phoneticPr fontId="1"/>
  </si>
  <si>
    <t>タイプ神秘・知性派・飲食の防30％UP　/　タイプ伝承・武人・姫の攻50％DOWN</t>
    <rPh sb="3" eb="5">
      <t>シンピ</t>
    </rPh>
    <rPh sb="6" eb="8">
      <t>チセイ</t>
    </rPh>
    <rPh sb="8" eb="9">
      <t>ハ</t>
    </rPh>
    <rPh sb="10" eb="12">
      <t>インショク</t>
    </rPh>
    <rPh sb="13" eb="14">
      <t>ボウ</t>
    </rPh>
    <rPh sb="25" eb="27">
      <t>デンショウ</t>
    </rPh>
    <rPh sb="28" eb="30">
      <t>ブジン</t>
    </rPh>
    <rPh sb="31" eb="32">
      <t>ヒメ</t>
    </rPh>
    <rPh sb="33" eb="34">
      <t>コウ</t>
    </rPh>
    <phoneticPr fontId="1"/>
  </si>
  <si>
    <t>タイプ武人・姫・名物の攻40％UP　/　タイプ【伝承】の攻12％UP</t>
    <rPh sb="3" eb="5">
      <t>ブジン</t>
    </rPh>
    <rPh sb="6" eb="7">
      <t>ヒメ</t>
    </rPh>
    <rPh sb="8" eb="10">
      <t>メイブツ</t>
    </rPh>
    <rPh sb="11" eb="12">
      <t>コウ</t>
    </rPh>
    <rPh sb="24" eb="26">
      <t>デンショウ</t>
    </rPh>
    <rPh sb="28" eb="29">
      <t>コウ</t>
    </rPh>
    <phoneticPr fontId="1"/>
  </si>
  <si>
    <t>タイプ武人・伝承の攻35％UP　/　タイプ【姫】の攻20％UP</t>
    <rPh sb="3" eb="5">
      <t>ブジン</t>
    </rPh>
    <rPh sb="6" eb="8">
      <t>デンショウ</t>
    </rPh>
    <rPh sb="9" eb="10">
      <t>コウ</t>
    </rPh>
    <rPh sb="22" eb="23">
      <t>ヒメ</t>
    </rPh>
    <rPh sb="25" eb="26">
      <t>コウ</t>
    </rPh>
    <phoneticPr fontId="1"/>
  </si>
  <si>
    <t>タイプ偉人・妖怪の防35％UP　/　タイプ【名物】の防20％UP</t>
    <rPh sb="3" eb="5">
      <t>イジン</t>
    </rPh>
    <rPh sb="6" eb="8">
      <t>ヨウカイ</t>
    </rPh>
    <rPh sb="9" eb="10">
      <t>ボウ</t>
    </rPh>
    <rPh sb="22" eb="24">
      <t>メイブツ</t>
    </rPh>
    <rPh sb="26" eb="27">
      <t>ボウ</t>
    </rPh>
    <phoneticPr fontId="1"/>
  </si>
  <si>
    <t>タイプ偉人・名物の防20％UP</t>
    <rPh sb="3" eb="5">
      <t>イジン</t>
    </rPh>
    <rPh sb="6" eb="8">
      <t>メイブツ</t>
    </rPh>
    <rPh sb="9" eb="10">
      <t>ボウ</t>
    </rPh>
    <phoneticPr fontId="1"/>
  </si>
  <si>
    <t>タイプ【知性派】の攻20％UP</t>
    <rPh sb="4" eb="6">
      <t>チセイ</t>
    </rPh>
    <rPh sb="6" eb="7">
      <t>ハ</t>
    </rPh>
    <rPh sb="9" eb="10">
      <t>コウ</t>
    </rPh>
    <phoneticPr fontId="1"/>
  </si>
  <si>
    <t>タイプ偉人・妖怪・名物の防65％UP</t>
    <rPh sb="3" eb="5">
      <t>イジン</t>
    </rPh>
    <rPh sb="6" eb="8">
      <t>ヨウカイ</t>
    </rPh>
    <rPh sb="9" eb="11">
      <t>メイブツ</t>
    </rPh>
    <rPh sb="12" eb="13">
      <t>ボウ</t>
    </rPh>
    <phoneticPr fontId="1"/>
  </si>
  <si>
    <t>タイプ【武人】の防95％UP　/　タイプ姫・伝承の防20％UP</t>
    <rPh sb="4" eb="6">
      <t>ブジン</t>
    </rPh>
    <rPh sb="8" eb="9">
      <t>ボウ</t>
    </rPh>
    <rPh sb="20" eb="21">
      <t>ヒメ</t>
    </rPh>
    <rPh sb="22" eb="24">
      <t>デンショウ</t>
    </rPh>
    <rPh sb="25" eb="26">
      <t>ボウ</t>
    </rPh>
    <phoneticPr fontId="1"/>
  </si>
  <si>
    <t>タイプ【姫】の攻25％UP</t>
    <rPh sb="4" eb="5">
      <t>ヒメ</t>
    </rPh>
    <rPh sb="7" eb="8">
      <t>コウ</t>
    </rPh>
    <phoneticPr fontId="1"/>
  </si>
  <si>
    <t>タイプ【偉人】の防25％UP</t>
    <rPh sb="4" eb="6">
      <t>イジン</t>
    </rPh>
    <rPh sb="8" eb="9">
      <t>ボウ</t>
    </rPh>
    <phoneticPr fontId="1"/>
  </si>
  <si>
    <t>タイプ偉人・妖怪・名物の防35％UP　/　タイプ飲食・武人・名物の攻10％DOWN</t>
    <rPh sb="3" eb="5">
      <t>イジン</t>
    </rPh>
    <rPh sb="6" eb="8">
      <t>ヨウカイ</t>
    </rPh>
    <rPh sb="9" eb="11">
      <t>メイブツ</t>
    </rPh>
    <rPh sb="12" eb="13">
      <t>ボウ</t>
    </rPh>
    <rPh sb="24" eb="26">
      <t>インショク</t>
    </rPh>
    <rPh sb="27" eb="29">
      <t>ブジン</t>
    </rPh>
    <rPh sb="30" eb="32">
      <t>メイブツ</t>
    </rPh>
    <rPh sb="33" eb="34">
      <t>コウ</t>
    </rPh>
    <phoneticPr fontId="1"/>
  </si>
  <si>
    <t>タイプ妖怪・名物の攻30％UP　/　タイプ【偉人】の攻10％UP</t>
    <rPh sb="3" eb="5">
      <t>ヨウカイ</t>
    </rPh>
    <rPh sb="6" eb="8">
      <t>メイブツ</t>
    </rPh>
    <rPh sb="9" eb="10">
      <t>コウ</t>
    </rPh>
    <rPh sb="22" eb="24">
      <t>イジン</t>
    </rPh>
    <rPh sb="26" eb="27">
      <t>コウ</t>
    </rPh>
    <phoneticPr fontId="1"/>
  </si>
  <si>
    <t>タイプ知性派・飲食の防20％UP</t>
    <rPh sb="3" eb="5">
      <t>チセイ</t>
    </rPh>
    <rPh sb="5" eb="6">
      <t>ハ</t>
    </rPh>
    <rPh sb="7" eb="9">
      <t>インショク</t>
    </rPh>
    <rPh sb="10" eb="11">
      <t>ボウ</t>
    </rPh>
    <phoneticPr fontId="1"/>
  </si>
  <si>
    <t>タイプ【偉人】の攻20％UP</t>
    <rPh sb="4" eb="6">
      <t>イジン</t>
    </rPh>
    <rPh sb="8" eb="9">
      <t>コウ</t>
    </rPh>
    <phoneticPr fontId="1"/>
  </si>
  <si>
    <t>タイプ飲食・武人・名物の防80％DOWN　/　タイプ知性派・飲食の攻25％UP</t>
    <rPh sb="3" eb="5">
      <t>インショク</t>
    </rPh>
    <rPh sb="6" eb="8">
      <t>ブジン</t>
    </rPh>
    <rPh sb="9" eb="11">
      <t>メイブツ</t>
    </rPh>
    <rPh sb="12" eb="13">
      <t>ボウ</t>
    </rPh>
    <rPh sb="26" eb="28">
      <t>チセイ</t>
    </rPh>
    <rPh sb="28" eb="29">
      <t>ハ</t>
    </rPh>
    <rPh sb="30" eb="32">
      <t>インショク</t>
    </rPh>
    <rPh sb="33" eb="34">
      <t>コウ</t>
    </rPh>
    <phoneticPr fontId="1"/>
  </si>
  <si>
    <t>タイプ【偉人】の攻85％UP　/　タイプ妖怪・名物の攻25％UP</t>
    <rPh sb="4" eb="6">
      <t>イジン</t>
    </rPh>
    <rPh sb="8" eb="9">
      <t>コウ</t>
    </rPh>
    <rPh sb="20" eb="22">
      <t>ヨウカイ</t>
    </rPh>
    <rPh sb="23" eb="25">
      <t>メイブツ</t>
    </rPh>
    <rPh sb="26" eb="27">
      <t>コウ</t>
    </rPh>
    <phoneticPr fontId="1"/>
  </si>
  <si>
    <t>タイプ偉人・名物の防30％UP　/　タイプ【妖怪】の防10％UP</t>
    <rPh sb="3" eb="5">
      <t>イジン</t>
    </rPh>
    <rPh sb="6" eb="8">
      <t>メイブツ</t>
    </rPh>
    <rPh sb="9" eb="10">
      <t>ボウ</t>
    </rPh>
    <rPh sb="22" eb="24">
      <t>ヨウカイ</t>
    </rPh>
    <rPh sb="26" eb="27">
      <t>ボウ</t>
    </rPh>
    <phoneticPr fontId="1"/>
  </si>
  <si>
    <t>タイプ神秘・飲食の攻20％UP</t>
    <rPh sb="3" eb="5">
      <t>シンピ</t>
    </rPh>
    <rPh sb="6" eb="8">
      <t>インショク</t>
    </rPh>
    <rPh sb="9" eb="10">
      <t>コウ</t>
    </rPh>
    <phoneticPr fontId="1"/>
  </si>
  <si>
    <t>タイプ【武人】の防20％UP</t>
    <rPh sb="4" eb="6">
      <t>ブジン</t>
    </rPh>
    <rPh sb="8" eb="9">
      <t>ボウ</t>
    </rPh>
    <phoneticPr fontId="1"/>
  </si>
  <si>
    <t>タイプ【飲食】の防95％UP　/　タイプ神秘・知性派の防20％UP</t>
    <rPh sb="4" eb="6">
      <t>インショク</t>
    </rPh>
    <rPh sb="8" eb="9">
      <t>ボウ</t>
    </rPh>
    <rPh sb="20" eb="22">
      <t>シンピ</t>
    </rPh>
    <rPh sb="23" eb="25">
      <t>チセイ</t>
    </rPh>
    <rPh sb="25" eb="26">
      <t>ハ</t>
    </rPh>
    <rPh sb="27" eb="28">
      <t>ボウ</t>
    </rPh>
    <phoneticPr fontId="1"/>
  </si>
  <si>
    <t>タイプ【飲食】の防70％UP　/　タイプ神秘・知性派の防15％UP</t>
    <rPh sb="4" eb="6">
      <t>インショク</t>
    </rPh>
    <rPh sb="8" eb="9">
      <t>ボウ</t>
    </rPh>
    <rPh sb="20" eb="22">
      <t>シンピ</t>
    </rPh>
    <rPh sb="23" eb="25">
      <t>チセイ</t>
    </rPh>
    <rPh sb="25" eb="26">
      <t>ハ</t>
    </rPh>
    <rPh sb="27" eb="28">
      <t>ボウ</t>
    </rPh>
    <phoneticPr fontId="1"/>
  </si>
  <si>
    <t>タイプ【飲食】の防55％UP　/　タイプ【神秘】の防10％UP</t>
    <rPh sb="4" eb="6">
      <t>インショク</t>
    </rPh>
    <rPh sb="8" eb="9">
      <t>ボウ</t>
    </rPh>
    <rPh sb="21" eb="23">
      <t>シンピ</t>
    </rPh>
    <rPh sb="25" eb="26">
      <t>ボウ</t>
    </rPh>
    <phoneticPr fontId="1"/>
  </si>
  <si>
    <t>タイプ神秘・知性派・飲食の攻45％UP　/　タイプ伝承・武人・姫の防30％DOWN</t>
    <rPh sb="3" eb="5">
      <t>シンピ</t>
    </rPh>
    <rPh sb="6" eb="8">
      <t>チセイ</t>
    </rPh>
    <rPh sb="8" eb="9">
      <t>ハ</t>
    </rPh>
    <rPh sb="10" eb="12">
      <t>インショク</t>
    </rPh>
    <rPh sb="13" eb="14">
      <t>コウ</t>
    </rPh>
    <rPh sb="25" eb="27">
      <t>デンショウ</t>
    </rPh>
    <rPh sb="28" eb="30">
      <t>ブジン</t>
    </rPh>
    <rPh sb="31" eb="32">
      <t>ヒメ</t>
    </rPh>
    <rPh sb="33" eb="34">
      <t>ボウ</t>
    </rPh>
    <phoneticPr fontId="1"/>
  </si>
  <si>
    <t>タイプ神秘・知性派・飲食の攻30％UP　/　タイプ伝承・武人・姫の防20％DOWN</t>
    <rPh sb="3" eb="5">
      <t>シンピ</t>
    </rPh>
    <rPh sb="6" eb="8">
      <t>チセイ</t>
    </rPh>
    <rPh sb="8" eb="9">
      <t>ハ</t>
    </rPh>
    <rPh sb="10" eb="12">
      <t>インショク</t>
    </rPh>
    <rPh sb="13" eb="14">
      <t>コウ</t>
    </rPh>
    <rPh sb="25" eb="27">
      <t>デンショウ</t>
    </rPh>
    <rPh sb="28" eb="30">
      <t>ブジン</t>
    </rPh>
    <rPh sb="31" eb="32">
      <t>ヒメ</t>
    </rPh>
    <rPh sb="33" eb="34">
      <t>ボウ</t>
    </rPh>
    <phoneticPr fontId="1"/>
  </si>
  <si>
    <t>タイプ神秘・知性派・飲食の攻20％UP　/　タイプ伝承・武人・姫の防15％DOWN</t>
    <rPh sb="3" eb="5">
      <t>シンピ</t>
    </rPh>
    <rPh sb="6" eb="8">
      <t>チセイ</t>
    </rPh>
    <rPh sb="8" eb="9">
      <t>ハ</t>
    </rPh>
    <rPh sb="10" eb="12">
      <t>インショク</t>
    </rPh>
    <rPh sb="13" eb="14">
      <t>コウ</t>
    </rPh>
    <rPh sb="25" eb="27">
      <t>デンショウ</t>
    </rPh>
    <rPh sb="28" eb="30">
      <t>ブジン</t>
    </rPh>
    <rPh sb="31" eb="32">
      <t>ヒメ</t>
    </rPh>
    <rPh sb="33" eb="34">
      <t>ボウ</t>
    </rPh>
    <phoneticPr fontId="1"/>
  </si>
  <si>
    <t>タイプ【神秘】の攻30％UP　/　タイプ知性派・飲食の攻15％UP</t>
    <rPh sb="4" eb="6">
      <t>シンピ</t>
    </rPh>
    <rPh sb="8" eb="9">
      <t>コウ</t>
    </rPh>
    <rPh sb="20" eb="22">
      <t>チセイ</t>
    </rPh>
    <rPh sb="22" eb="23">
      <t>ハ</t>
    </rPh>
    <rPh sb="24" eb="26">
      <t>インショク</t>
    </rPh>
    <rPh sb="27" eb="28">
      <t>コウ</t>
    </rPh>
    <phoneticPr fontId="1"/>
  </si>
  <si>
    <t>タイプ伝承・武人・姫の防80％DOWN　/　タイプ知性派・飲食の攻25％UP</t>
    <rPh sb="3" eb="5">
      <t>デンショウ</t>
    </rPh>
    <rPh sb="6" eb="8">
      <t>ブジン</t>
    </rPh>
    <rPh sb="9" eb="10">
      <t>ヒメ</t>
    </rPh>
    <rPh sb="11" eb="12">
      <t>ボウ</t>
    </rPh>
    <rPh sb="25" eb="27">
      <t>チセイ</t>
    </rPh>
    <rPh sb="27" eb="28">
      <t>ハ</t>
    </rPh>
    <rPh sb="29" eb="31">
      <t>インショク</t>
    </rPh>
    <rPh sb="32" eb="33">
      <t>コウ</t>
    </rPh>
    <phoneticPr fontId="1"/>
  </si>
  <si>
    <t>タイプ神秘・知性派の防30％UP　/　タイプ【飲食】の防10％UP</t>
    <rPh sb="3" eb="5">
      <t>シンピ</t>
    </rPh>
    <rPh sb="6" eb="8">
      <t>チセイ</t>
    </rPh>
    <rPh sb="8" eb="9">
      <t>ハ</t>
    </rPh>
    <rPh sb="10" eb="11">
      <t>ボウ</t>
    </rPh>
    <rPh sb="23" eb="25">
      <t>インショク</t>
    </rPh>
    <rPh sb="27" eb="28">
      <t>ボウ</t>
    </rPh>
    <phoneticPr fontId="1"/>
  </si>
  <si>
    <t>タイプ神秘・知性派の攻20％UP</t>
    <rPh sb="3" eb="5">
      <t>シンピ</t>
    </rPh>
    <rPh sb="6" eb="8">
      <t>チセイ</t>
    </rPh>
    <rPh sb="8" eb="9">
      <t>ハ</t>
    </rPh>
    <rPh sb="10" eb="11">
      <t>コウ</t>
    </rPh>
    <phoneticPr fontId="1"/>
  </si>
  <si>
    <t>タイプ【名物】の防20％UP</t>
    <rPh sb="4" eb="6">
      <t>メイブツ</t>
    </rPh>
    <rPh sb="8" eb="9">
      <t>ボウ</t>
    </rPh>
    <phoneticPr fontId="1"/>
  </si>
  <si>
    <t>タイプ飲食・武人の攻100％DOWN　/　タイプ神秘・知性派の防30％UP</t>
    <rPh sb="3" eb="5">
      <t>インショク</t>
    </rPh>
    <rPh sb="6" eb="8">
      <t>ブジン</t>
    </rPh>
    <rPh sb="9" eb="10">
      <t>コウ</t>
    </rPh>
    <rPh sb="24" eb="26">
      <t>シンピ</t>
    </rPh>
    <rPh sb="27" eb="29">
      <t>チセイ</t>
    </rPh>
    <rPh sb="29" eb="30">
      <t>ハ</t>
    </rPh>
    <rPh sb="31" eb="32">
      <t>ボウ</t>
    </rPh>
    <phoneticPr fontId="1"/>
  </si>
  <si>
    <t>タイプ飲食・武人の攻50％DOWN　/　タイプ神秘・知性派の防15％UP</t>
    <rPh sb="3" eb="5">
      <t>インショク</t>
    </rPh>
    <rPh sb="6" eb="8">
      <t>ブジン</t>
    </rPh>
    <rPh sb="9" eb="10">
      <t>コウ</t>
    </rPh>
    <rPh sb="23" eb="25">
      <t>シンピ</t>
    </rPh>
    <rPh sb="26" eb="28">
      <t>チセイ</t>
    </rPh>
    <rPh sb="28" eb="29">
      <t>ハ</t>
    </rPh>
    <rPh sb="30" eb="31">
      <t>ボウ</t>
    </rPh>
    <phoneticPr fontId="1"/>
  </si>
  <si>
    <t>タイプ【武人】の攻20％DOWN　/　タイプ神秘・知性派の防10％UP</t>
    <rPh sb="4" eb="6">
      <t>ブジン</t>
    </rPh>
    <rPh sb="8" eb="9">
      <t>コウ</t>
    </rPh>
    <rPh sb="22" eb="24">
      <t>シンピ</t>
    </rPh>
    <rPh sb="25" eb="27">
      <t>チセイ</t>
    </rPh>
    <rPh sb="27" eb="28">
      <t>ハ</t>
    </rPh>
    <rPh sb="29" eb="30">
      <t>ボウ</t>
    </rPh>
    <phoneticPr fontId="1"/>
  </si>
  <si>
    <t>タイプ【神秘】の防25％UP</t>
    <rPh sb="4" eb="6">
      <t>シンピ</t>
    </rPh>
    <rPh sb="8" eb="9">
      <t>ボウ</t>
    </rPh>
    <phoneticPr fontId="1"/>
  </si>
  <si>
    <t>タイプ姫・伝承・神秘の攻30％UP</t>
    <rPh sb="3" eb="4">
      <t>ヒメ</t>
    </rPh>
    <rPh sb="5" eb="7">
      <t>デンショウ</t>
    </rPh>
    <rPh sb="8" eb="10">
      <t>シンピ</t>
    </rPh>
    <rPh sb="11" eb="12">
      <t>コウ</t>
    </rPh>
    <phoneticPr fontId="1"/>
  </si>
  <si>
    <t>タイプ偉人・妖怪の攻25％UP</t>
    <rPh sb="3" eb="5">
      <t>イジン</t>
    </rPh>
    <rPh sb="6" eb="8">
      <t>ヨウカイ</t>
    </rPh>
    <rPh sb="9" eb="10">
      <t>コウ</t>
    </rPh>
    <phoneticPr fontId="1"/>
  </si>
  <si>
    <t>タイプ伝承・武人・姫の防25％UP　/　所属が【北海道・東北】とそれに属する県、および【全国】【東日本】の防30％UP</t>
    <rPh sb="3" eb="5">
      <t>デンショウ</t>
    </rPh>
    <rPh sb="6" eb="8">
      <t>ブジン</t>
    </rPh>
    <rPh sb="9" eb="10">
      <t>ヒメ</t>
    </rPh>
    <rPh sb="11" eb="12">
      <t>ボウ</t>
    </rPh>
    <rPh sb="20" eb="22">
      <t>ショゾク</t>
    </rPh>
    <rPh sb="24" eb="27">
      <t>ホッカイドウ</t>
    </rPh>
    <rPh sb="28" eb="30">
      <t>トウホク</t>
    </rPh>
    <rPh sb="35" eb="36">
      <t>ゾク</t>
    </rPh>
    <rPh sb="38" eb="39">
      <t>ケン</t>
    </rPh>
    <rPh sb="44" eb="46">
      <t>ゼンコク</t>
    </rPh>
    <rPh sb="48" eb="49">
      <t>ヒガシ</t>
    </rPh>
    <rPh sb="49" eb="51">
      <t>ニホン</t>
    </rPh>
    <rPh sb="53" eb="54">
      <t>ボウ</t>
    </rPh>
    <phoneticPr fontId="1"/>
  </si>
  <si>
    <t>タイプ神秘・知性派・飲食の防25％UP　/　所属が【関東】とそれに属する県、および【全国】【東日本】の防30％UP</t>
    <rPh sb="3" eb="5">
      <t>シンピ</t>
    </rPh>
    <rPh sb="6" eb="8">
      <t>チセイ</t>
    </rPh>
    <rPh sb="8" eb="9">
      <t>ハ</t>
    </rPh>
    <rPh sb="10" eb="12">
      <t>インショク</t>
    </rPh>
    <rPh sb="13" eb="14">
      <t>ボウ</t>
    </rPh>
    <rPh sb="22" eb="24">
      <t>ショゾク</t>
    </rPh>
    <rPh sb="26" eb="28">
      <t>カントウ</t>
    </rPh>
    <rPh sb="33" eb="34">
      <t>ゾク</t>
    </rPh>
    <rPh sb="36" eb="37">
      <t>ケン</t>
    </rPh>
    <rPh sb="42" eb="44">
      <t>ゼンコク</t>
    </rPh>
    <rPh sb="46" eb="47">
      <t>ヒガシ</t>
    </rPh>
    <rPh sb="47" eb="49">
      <t>ニホン</t>
    </rPh>
    <rPh sb="51" eb="52">
      <t>ボウ</t>
    </rPh>
    <phoneticPr fontId="1"/>
  </si>
  <si>
    <t>タイプ偉人・妖怪・名物の防25％UP　/　所属が【中部】とそれに属する県、および【全国】【東日本】の防30％UP</t>
    <rPh sb="3" eb="5">
      <t>イジン</t>
    </rPh>
    <rPh sb="6" eb="8">
      <t>ヨウカイ</t>
    </rPh>
    <rPh sb="9" eb="11">
      <t>メイブツ</t>
    </rPh>
    <rPh sb="12" eb="13">
      <t>ボウ</t>
    </rPh>
    <rPh sb="21" eb="23">
      <t>ショゾク</t>
    </rPh>
    <rPh sb="25" eb="27">
      <t>チュウブ</t>
    </rPh>
    <rPh sb="32" eb="33">
      <t>ゾク</t>
    </rPh>
    <rPh sb="35" eb="36">
      <t>ケン</t>
    </rPh>
    <rPh sb="41" eb="43">
      <t>ゼンコク</t>
    </rPh>
    <rPh sb="45" eb="46">
      <t>ヒガシ</t>
    </rPh>
    <rPh sb="46" eb="48">
      <t>ニホン</t>
    </rPh>
    <rPh sb="50" eb="51">
      <t>ボウ</t>
    </rPh>
    <phoneticPr fontId="1"/>
  </si>
  <si>
    <t>タイプ伝承・武人・姫の防25％UP　/　所属が【近畿】とそれに属する県、および【全国】【西日本】の防30％UP</t>
    <rPh sb="3" eb="5">
      <t>デンショウ</t>
    </rPh>
    <rPh sb="6" eb="8">
      <t>ブジン</t>
    </rPh>
    <rPh sb="9" eb="10">
      <t>ヒメ</t>
    </rPh>
    <rPh sb="11" eb="12">
      <t>ボウ</t>
    </rPh>
    <rPh sb="20" eb="22">
      <t>ショゾク</t>
    </rPh>
    <rPh sb="24" eb="26">
      <t>キンキ</t>
    </rPh>
    <rPh sb="31" eb="32">
      <t>ゾク</t>
    </rPh>
    <rPh sb="34" eb="35">
      <t>ケン</t>
    </rPh>
    <rPh sb="40" eb="42">
      <t>ゼンコク</t>
    </rPh>
    <rPh sb="44" eb="45">
      <t>ニシ</t>
    </rPh>
    <rPh sb="45" eb="47">
      <t>ニホン</t>
    </rPh>
    <rPh sb="49" eb="50">
      <t>ボウ</t>
    </rPh>
    <phoneticPr fontId="1"/>
  </si>
  <si>
    <t>タイプ神秘・知性派・飲食の防25％UP　/　所属が【中国・四国】とそれに属する県、および【全国】【西日本】の防30％UP</t>
    <rPh sb="3" eb="5">
      <t>シンピ</t>
    </rPh>
    <rPh sb="6" eb="8">
      <t>チセイ</t>
    </rPh>
    <rPh sb="8" eb="9">
      <t>ハ</t>
    </rPh>
    <rPh sb="10" eb="12">
      <t>インショク</t>
    </rPh>
    <rPh sb="13" eb="14">
      <t>ボウ</t>
    </rPh>
    <rPh sb="22" eb="24">
      <t>ショゾク</t>
    </rPh>
    <rPh sb="26" eb="28">
      <t>チュウゴク</t>
    </rPh>
    <rPh sb="29" eb="31">
      <t>シコク</t>
    </rPh>
    <rPh sb="36" eb="37">
      <t>ゾク</t>
    </rPh>
    <rPh sb="39" eb="40">
      <t>ケン</t>
    </rPh>
    <rPh sb="45" eb="47">
      <t>ゼンコク</t>
    </rPh>
    <rPh sb="49" eb="50">
      <t>ニシ</t>
    </rPh>
    <rPh sb="50" eb="52">
      <t>ニホン</t>
    </rPh>
    <rPh sb="54" eb="55">
      <t>ボウ</t>
    </rPh>
    <phoneticPr fontId="1"/>
  </si>
  <si>
    <t>タイプ伝承・武人・姫の防25％UP　/　所属が【九州・沖縄】とそれに属する県、および【全国】【西日本】の防30％UP</t>
    <rPh sb="3" eb="5">
      <t>デンショウ</t>
    </rPh>
    <rPh sb="6" eb="8">
      <t>ブジン</t>
    </rPh>
    <rPh sb="9" eb="10">
      <t>ヒメ</t>
    </rPh>
    <rPh sb="11" eb="12">
      <t>ボウ</t>
    </rPh>
    <rPh sb="20" eb="22">
      <t>ショゾク</t>
    </rPh>
    <rPh sb="24" eb="26">
      <t>キュウシュウ</t>
    </rPh>
    <rPh sb="27" eb="29">
      <t>オキナワ</t>
    </rPh>
    <rPh sb="34" eb="35">
      <t>ゾク</t>
    </rPh>
    <rPh sb="37" eb="38">
      <t>ケン</t>
    </rPh>
    <rPh sb="43" eb="45">
      <t>ゼンコク</t>
    </rPh>
    <rPh sb="47" eb="48">
      <t>ニシ</t>
    </rPh>
    <rPh sb="48" eb="50">
      <t>ニホン</t>
    </rPh>
    <rPh sb="52" eb="53">
      <t>ボウ</t>
    </rPh>
    <phoneticPr fontId="1"/>
  </si>
  <si>
    <t>タイプ神秘・知性派・飲食の攻40％UP　/　タイプ飲食・武人・名物の防10％DOWN</t>
    <rPh sb="3" eb="5">
      <t>シンピ</t>
    </rPh>
    <rPh sb="6" eb="8">
      <t>チセイ</t>
    </rPh>
    <rPh sb="8" eb="9">
      <t>ハ</t>
    </rPh>
    <rPh sb="10" eb="12">
      <t>インショク</t>
    </rPh>
    <rPh sb="13" eb="14">
      <t>コウ</t>
    </rPh>
    <rPh sb="25" eb="27">
      <t>インショク</t>
    </rPh>
    <rPh sb="28" eb="30">
      <t>ブジン</t>
    </rPh>
    <rPh sb="31" eb="33">
      <t>メイブツ</t>
    </rPh>
    <rPh sb="34" eb="35">
      <t>ボウ</t>
    </rPh>
    <phoneticPr fontId="1"/>
  </si>
  <si>
    <t>タイプ妖怪・名物の防25％UP　/　タイプ【偉人】の防10％UP</t>
    <rPh sb="3" eb="5">
      <t>ヨウカイ</t>
    </rPh>
    <rPh sb="6" eb="8">
      <t>メイブツ</t>
    </rPh>
    <rPh sb="9" eb="10">
      <t>ボウ</t>
    </rPh>
    <rPh sb="22" eb="24">
      <t>イジン</t>
    </rPh>
    <rPh sb="26" eb="27">
      <t>ボウ</t>
    </rPh>
    <phoneticPr fontId="1"/>
  </si>
  <si>
    <t>タイプ武人・姫の防40％UP　/　タイプ【伝承】の防25％UP</t>
    <rPh sb="3" eb="5">
      <t>ブジン</t>
    </rPh>
    <rPh sb="6" eb="7">
      <t>ヒメ</t>
    </rPh>
    <rPh sb="8" eb="9">
      <t>ボウ</t>
    </rPh>
    <rPh sb="21" eb="23">
      <t>デンショウ</t>
    </rPh>
    <rPh sb="25" eb="26">
      <t>ボウ</t>
    </rPh>
    <phoneticPr fontId="1"/>
  </si>
  <si>
    <t>タイプ偉人・妖怪の攻20％UP　/　タイプ武人・姫の防60％DOWN</t>
    <rPh sb="3" eb="5">
      <t>イジン</t>
    </rPh>
    <rPh sb="6" eb="8">
      <t>ヨウカイ</t>
    </rPh>
    <rPh sb="9" eb="10">
      <t>コウ</t>
    </rPh>
    <rPh sb="21" eb="23">
      <t>ブジン</t>
    </rPh>
    <rPh sb="24" eb="25">
      <t>ヒメ</t>
    </rPh>
    <rPh sb="26" eb="27">
      <t>ボウ</t>
    </rPh>
    <phoneticPr fontId="1"/>
  </si>
  <si>
    <t>タイプ妖怪・名物の攻20％UP</t>
    <rPh sb="3" eb="5">
      <t>ヨウカイ</t>
    </rPh>
    <rPh sb="6" eb="8">
      <t>メイブツ</t>
    </rPh>
    <rPh sb="9" eb="10">
      <t>コウ</t>
    </rPh>
    <phoneticPr fontId="1"/>
  </si>
  <si>
    <t>タイプ【武人】の防95％UP　/　タイプ【姫】の防40％UP</t>
    <rPh sb="4" eb="6">
      <t>ブジン</t>
    </rPh>
    <rPh sb="8" eb="9">
      <t>ボウ</t>
    </rPh>
    <rPh sb="21" eb="22">
      <t>ヒメ</t>
    </rPh>
    <rPh sb="24" eb="25">
      <t>ボウ</t>
    </rPh>
    <phoneticPr fontId="1"/>
  </si>
  <si>
    <t>タイプ【姫】の防30％UP　/　タイプ武人・伝承の防15％UP</t>
    <rPh sb="4" eb="5">
      <t>ヒメ</t>
    </rPh>
    <rPh sb="7" eb="8">
      <t>ボウ</t>
    </rPh>
    <rPh sb="19" eb="21">
      <t>ブジン</t>
    </rPh>
    <rPh sb="22" eb="24">
      <t>デンショウ</t>
    </rPh>
    <rPh sb="25" eb="26">
      <t>ボウ</t>
    </rPh>
    <phoneticPr fontId="1"/>
  </si>
  <si>
    <t>タイプ【飲食】の攻20％UP</t>
    <rPh sb="4" eb="6">
      <t>インショク</t>
    </rPh>
    <rPh sb="8" eb="9">
      <t>コウ</t>
    </rPh>
    <phoneticPr fontId="1"/>
  </si>
  <si>
    <t>西日本</t>
    <rPh sb="0" eb="1">
      <t>ニシ</t>
    </rPh>
    <rPh sb="1" eb="3">
      <t>ニホン</t>
    </rPh>
    <phoneticPr fontId="1"/>
  </si>
  <si>
    <t>【潜入捜査】瑤泉院</t>
    <phoneticPr fontId="1"/>
  </si>
  <si>
    <t>せんにゅうそうさようぜんいん</t>
    <phoneticPr fontId="1"/>
  </si>
  <si>
    <t>姫</t>
    <phoneticPr fontId="1"/>
  </si>
  <si>
    <t>四十七士と共に</t>
    <phoneticPr fontId="1"/>
  </si>
  <si>
    <t>タイプ【武人】の攻90％UP　/　タイプ姫・伝承の攻30％UP</t>
    <phoneticPr fontId="1"/>
  </si>
  <si>
    <t>6/2 15:00～6/7 23:59</t>
    <phoneticPr fontId="1"/>
  </si>
  <si>
    <t>栄冠輝く！総選挙記念ガチャ</t>
    <phoneticPr fontId="1"/>
  </si>
  <si>
    <t>6/3 18:00～6/3 21:59</t>
    <phoneticPr fontId="1"/>
  </si>
  <si>
    <t>新雪の女王</t>
    <phoneticPr fontId="1"/>
  </si>
  <si>
    <t>神秘</t>
    <phoneticPr fontId="1"/>
  </si>
  <si>
    <t>柔雪の檻</t>
    <phoneticPr fontId="1"/>
  </si>
  <si>
    <t>しんせつのじょおう</t>
    <phoneticPr fontId="1"/>
  </si>
  <si>
    <t>所属一致ボーナス140％UP</t>
    <phoneticPr fontId="1"/>
  </si>
  <si>
    <t>メインデッキの自地方隊士の所属一致ボーナスを140％UP（全国・東西日本所属は除く）</t>
    <phoneticPr fontId="1"/>
  </si>
  <si>
    <t>所属一致ボーナス130％UP</t>
    <phoneticPr fontId="1"/>
  </si>
  <si>
    <t>メインデッキの自地方隊士の所属一致ボーナスを130％UP（全国・東西日本所属は除く）</t>
    <phoneticPr fontId="1"/>
  </si>
  <si>
    <t>タイプ知性派・飲食の防45％UP　/　所属が【北海道・東北】とそれに属する県、および【全国】【東日本】の防30％UP</t>
    <phoneticPr fontId="1"/>
  </si>
  <si>
    <t>プチデビルバニー</t>
    <phoneticPr fontId="1"/>
  </si>
  <si>
    <t>ぷちでびるばにー</t>
    <phoneticPr fontId="1"/>
  </si>
  <si>
    <t>妖怪</t>
    <phoneticPr fontId="1"/>
  </si>
  <si>
    <t>タイプ偉人・名物の防45％UP　/　所属が【関東】とそれに属する県、および【全国】【東日本】の防30％UP</t>
    <phoneticPr fontId="1"/>
  </si>
  <si>
    <t>スーベニアアップル</t>
    <phoneticPr fontId="1"/>
  </si>
  <si>
    <t>宮廷画家デュメル</t>
    <phoneticPr fontId="1"/>
  </si>
  <si>
    <t>きゅうていがかでゅめる</t>
    <phoneticPr fontId="1"/>
  </si>
  <si>
    <t>偉人</t>
    <phoneticPr fontId="1"/>
  </si>
  <si>
    <t>麗しの宮廷画家</t>
    <phoneticPr fontId="1"/>
  </si>
  <si>
    <t>タイプ妖怪・名物の防45％UP　/　所属が【中部】とそれに属する県、および【全国】【東日本】の防30％UP</t>
    <phoneticPr fontId="1"/>
  </si>
  <si>
    <t>研究士のマルヨ</t>
    <phoneticPr fontId="1"/>
  </si>
  <si>
    <t>けんきゅうしのまるよ</t>
    <phoneticPr fontId="1"/>
  </si>
  <si>
    <t>知性派</t>
    <phoneticPr fontId="1"/>
  </si>
  <si>
    <t>ラナラルアリヨス</t>
    <phoneticPr fontId="1"/>
  </si>
  <si>
    <t>タイプ神秘・飲食の攻45％UP　/　所属が【近畿】とそれに属する県、および【全国】【西日本】の攻30％UP</t>
    <phoneticPr fontId="1"/>
  </si>
  <si>
    <t>カルネ・プリンシペ</t>
    <phoneticPr fontId="1"/>
  </si>
  <si>
    <t>かるね・ぷりんしぺ</t>
    <phoneticPr fontId="1"/>
  </si>
  <si>
    <t>飲食</t>
    <phoneticPr fontId="1"/>
  </si>
  <si>
    <t>デルガスト</t>
    <phoneticPr fontId="1"/>
  </si>
  <si>
    <t>タイプ神秘・知性派の攻45％UP　/　所属が【中国・四国】とそれに属する県、および【全国】【西日本】の攻30％UP</t>
    <phoneticPr fontId="1"/>
  </si>
  <si>
    <t>格闘家ファンテ</t>
    <phoneticPr fontId="1"/>
  </si>
  <si>
    <t>かくとうかふぁんて</t>
    <phoneticPr fontId="1"/>
  </si>
  <si>
    <t>武人</t>
    <phoneticPr fontId="1"/>
  </si>
  <si>
    <t>私の一撃</t>
    <phoneticPr fontId="1"/>
  </si>
  <si>
    <t>タイプ姫・伝承の攻45％UP　/　所属が【九州・沖縄】とそれに属する県、および【全国】【西日本】の攻30％UP</t>
    <phoneticPr fontId="1"/>
  </si>
  <si>
    <t>祝来！宝船福引ガチャ</t>
    <phoneticPr fontId="1"/>
  </si>
  <si>
    <t>6/3 12:00～6/4 11:59</t>
    <phoneticPr fontId="1"/>
  </si>
  <si>
    <t>6/4 15:00～6/4 23:59</t>
    <phoneticPr fontId="1"/>
  </si>
  <si>
    <t>豪華玉手箱ガチャ(ZR・SSR失念)</t>
    <rPh sb="15" eb="17">
      <t>シツネン</t>
    </rPh>
    <phoneticPr fontId="1"/>
  </si>
  <si>
    <t>【潜入捜査】額田王</t>
    <phoneticPr fontId="1"/>
  </si>
  <si>
    <t>近畿</t>
    <phoneticPr fontId="1"/>
  </si>
  <si>
    <t>せんにゅうそうさぬかたのおおきみ</t>
    <phoneticPr fontId="1"/>
  </si>
  <si>
    <t>タイプ【飲食】の防90％UP　/　タイプ神秘・知性派の防30％UP</t>
    <phoneticPr fontId="1"/>
  </si>
  <si>
    <t>美しき万葉の抵抗者</t>
    <phoneticPr fontId="1"/>
  </si>
  <si>
    <t>知性派</t>
    <phoneticPr fontId="1"/>
  </si>
  <si>
    <t>タイプ知性派・飲食の攻30％UP　/　タイプ【神秘】の攻10％UP</t>
    <phoneticPr fontId="1"/>
  </si>
  <si>
    <t>妖怪斬りの神雷斬</t>
    <phoneticPr fontId="1"/>
  </si>
  <si>
    <t>神秘</t>
    <phoneticPr fontId="1"/>
  </si>
  <si>
    <t>しんせいとうまねねきりまる</t>
    <phoneticPr fontId="1"/>
  </si>
  <si>
    <t>[新生]【討魔】祢々切丸</t>
    <phoneticPr fontId="1"/>
  </si>
  <si>
    <t>関東</t>
    <phoneticPr fontId="1"/>
  </si>
  <si>
    <t>タイプ偉人・妖怪の防20％UP</t>
    <phoneticPr fontId="1"/>
  </si>
  <si>
    <t>神聖なる化石と聖句</t>
    <phoneticPr fontId="1"/>
  </si>
  <si>
    <t>名物</t>
    <phoneticPr fontId="1"/>
  </si>
  <si>
    <t>しんせいえくそしすとかせきはっくつむすめ</t>
    <phoneticPr fontId="1"/>
  </si>
  <si>
    <t>[新生]【エクソシスト】化石発掘娘</t>
    <phoneticPr fontId="1"/>
  </si>
  <si>
    <t>中部</t>
    <phoneticPr fontId="1"/>
  </si>
  <si>
    <t>タイプ【妖怪】の攻20％UP</t>
    <phoneticPr fontId="1"/>
  </si>
  <si>
    <t>恐れ知らぬ大奥の肝っ魂</t>
    <phoneticPr fontId="1"/>
  </si>
  <si>
    <t>偉人</t>
    <phoneticPr fontId="1"/>
  </si>
  <si>
    <t>しんせいえくそしすとてんえいいん</t>
    <phoneticPr fontId="1"/>
  </si>
  <si>
    <t>[新生]【エクソシスト】天英院</t>
    <phoneticPr fontId="1"/>
  </si>
  <si>
    <t>東京</t>
    <phoneticPr fontId="1"/>
  </si>
  <si>
    <t>ゲリラガチャ</t>
  </si>
  <si>
    <t>ゲリラガチャ</t>
    <phoneticPr fontId="1"/>
  </si>
  <si>
    <t>ゲリラガチャ(Amebaサーバー障害による影響あり)</t>
    <phoneticPr fontId="1"/>
  </si>
  <si>
    <t>防衛戦5進化隊士 木馬へ込めた祈りガチャ</t>
    <rPh sb="0" eb="3">
      <t>ボウエイセン</t>
    </rPh>
    <phoneticPr fontId="1"/>
  </si>
  <si>
    <t>四神戦5進化隊士 いい湯だな♪露天で一杯ガチャ</t>
    <rPh sb="0" eb="1">
      <t>ヨン</t>
    </rPh>
    <rPh sb="1" eb="2">
      <t>シン</t>
    </rPh>
    <rPh sb="2" eb="3">
      <t>セン</t>
    </rPh>
    <rPh sb="11" eb="12">
      <t>ユ</t>
    </rPh>
    <rPh sb="15" eb="17">
      <t>ロテン</t>
    </rPh>
    <rPh sb="18" eb="20">
      <t>イッパイ</t>
    </rPh>
    <phoneticPr fontId="1"/>
  </si>
  <si>
    <t>サイコロ行脚5進化隊士 津軽名物♪ふるさとの味はイカが！？ガチャ</t>
  </si>
  <si>
    <t>防衛戦5進化隊士 あわてんぼうな白衣の天使ガチャ</t>
    <rPh sb="0" eb="3">
      <t>ボウエイセン</t>
    </rPh>
    <rPh sb="16" eb="18">
      <t>ハクイ</t>
    </rPh>
    <rPh sb="19" eb="21">
      <t>テンシ</t>
    </rPh>
    <phoneticPr fontId="1"/>
  </si>
  <si>
    <t>四神戦5進化隊士 まるで太陽♪評判の看板娘ガチャ</t>
    <rPh sb="0" eb="1">
      <t>ヨン</t>
    </rPh>
    <rPh sb="1" eb="2">
      <t>シン</t>
    </rPh>
    <rPh sb="2" eb="3">
      <t>セン</t>
    </rPh>
    <rPh sb="12" eb="14">
      <t>タイヨウ</t>
    </rPh>
    <rPh sb="15" eb="17">
      <t>ヒョウバン</t>
    </rPh>
    <rPh sb="18" eb="20">
      <t>カンバン</t>
    </rPh>
    <rPh sb="20" eb="21">
      <t>ムスメ</t>
    </rPh>
    <phoneticPr fontId="1"/>
  </si>
  <si>
    <t>サイコロ行脚5進化隊士 死と再生のシンボル白衣の天使ガチャ</t>
    <rPh sb="4" eb="6">
      <t>アンギャ</t>
    </rPh>
    <rPh sb="12" eb="13">
      <t>シ</t>
    </rPh>
    <rPh sb="14" eb="16">
      <t>サイセイ</t>
    </rPh>
    <rPh sb="21" eb="23">
      <t>ハクイ</t>
    </rPh>
    <rPh sb="24" eb="26">
      <t>テンシ</t>
    </rPh>
    <phoneticPr fontId="1"/>
  </si>
  <si>
    <t>防衛戦5進化隊士 コックリコックの料理バトルガチャ</t>
    <phoneticPr fontId="1"/>
  </si>
  <si>
    <t>四神戦5進化隊士 もののふ竹子の料理バトルガチャ</t>
    <rPh sb="0" eb="1">
      <t>ヨン</t>
    </rPh>
    <rPh sb="1" eb="2">
      <t>シン</t>
    </rPh>
    <rPh sb="2" eb="3">
      <t>セン</t>
    </rPh>
    <rPh sb="13" eb="15">
      <t>タケコ</t>
    </rPh>
    <rPh sb="16" eb="18">
      <t>リョウリ</t>
    </rPh>
    <phoneticPr fontId="1"/>
  </si>
  <si>
    <t>サイコロ行脚5進化隊士 変幻自在の小悪魔ガチャ</t>
    <rPh sb="4" eb="6">
      <t>アンギャ</t>
    </rPh>
    <rPh sb="12" eb="14">
      <t>ヘンゲン</t>
    </rPh>
    <rPh sb="14" eb="16">
      <t>ジザイ</t>
    </rPh>
    <rPh sb="17" eb="20">
      <t>コアクマ</t>
    </rPh>
    <phoneticPr fontId="1"/>
  </si>
  <si>
    <t>防衛戦5進化隊士  ガチャ名失念</t>
  </si>
  <si>
    <t>四神戦5進化隊士 三大美女の切ない恋の歌ガチャ</t>
    <rPh sb="0" eb="1">
      <t>ヨン</t>
    </rPh>
    <rPh sb="1" eb="2">
      <t>シン</t>
    </rPh>
    <rPh sb="2" eb="3">
      <t>セン</t>
    </rPh>
    <rPh sb="9" eb="11">
      <t>サンダイ</t>
    </rPh>
    <rPh sb="11" eb="13">
      <t>ビジョ</t>
    </rPh>
    <rPh sb="14" eb="15">
      <t>セツ</t>
    </rPh>
    <rPh sb="17" eb="18">
      <t>コイ</t>
    </rPh>
    <rPh sb="19" eb="20">
      <t>ウタ</t>
    </rPh>
    <phoneticPr fontId="1"/>
  </si>
  <si>
    <t>サイコロ行脚5進化隊士 食欲高まる黄金の食卓ガチャ</t>
    <rPh sb="4" eb="6">
      <t>アンギャ</t>
    </rPh>
    <rPh sb="12" eb="14">
      <t>ショクヨク</t>
    </rPh>
    <rPh sb="14" eb="15">
      <t>タカ</t>
    </rPh>
    <rPh sb="17" eb="19">
      <t>オウゴン</t>
    </rPh>
    <rPh sb="20" eb="22">
      <t>ショクタク</t>
    </rPh>
    <phoneticPr fontId="1"/>
  </si>
  <si>
    <t>防衛戦5進化隊士 快適！？ドキドキ！？空の旅ガチャ</t>
    <rPh sb="0" eb="3">
      <t>ボウエイセン</t>
    </rPh>
    <rPh sb="9" eb="11">
      <t>カイテキ</t>
    </rPh>
    <rPh sb="19" eb="20">
      <t>ソラ</t>
    </rPh>
    <rPh sb="21" eb="22">
      <t>タビ</t>
    </rPh>
    <phoneticPr fontId="1"/>
  </si>
  <si>
    <t>四神戦5進化隊士 女番長と快適な空の旅ガチャ</t>
    <rPh sb="0" eb="1">
      <t>ヨン</t>
    </rPh>
    <rPh sb="1" eb="2">
      <t>シン</t>
    </rPh>
    <rPh sb="2" eb="3">
      <t>セン</t>
    </rPh>
    <rPh sb="9" eb="10">
      <t>オンナ</t>
    </rPh>
    <rPh sb="10" eb="12">
      <t>バンチョウ</t>
    </rPh>
    <rPh sb="13" eb="15">
      <t>カイテキ</t>
    </rPh>
    <rPh sb="16" eb="17">
      <t>ソラ</t>
    </rPh>
    <rPh sb="18" eb="19">
      <t>タビ</t>
    </rPh>
    <phoneticPr fontId="1"/>
  </si>
  <si>
    <t>サイコロ行脚5進化隊士 空の上でも皆を支える内助の功ガチャ</t>
    <rPh sb="4" eb="6">
      <t>アンギャ</t>
    </rPh>
    <rPh sb="12" eb="13">
      <t>ソラ</t>
    </rPh>
    <rPh sb="14" eb="15">
      <t>ウエ</t>
    </rPh>
    <rPh sb="17" eb="18">
      <t>ミナ</t>
    </rPh>
    <rPh sb="19" eb="20">
      <t>ササ</t>
    </rPh>
    <rPh sb="22" eb="24">
      <t>ナイジョ</t>
    </rPh>
    <rPh sb="25" eb="26">
      <t>コウ</t>
    </rPh>
    <phoneticPr fontId="1"/>
  </si>
  <si>
    <t>防衛戦5進化隊士 剣撃響く廃校舎ガチャ</t>
    <rPh sb="0" eb="3">
      <t>ボウエイセン</t>
    </rPh>
    <phoneticPr fontId="1"/>
  </si>
  <si>
    <t>四神戦5進化隊士 剣撃響く廃校舎ガチャ</t>
    <rPh sb="0" eb="1">
      <t>ヨン</t>
    </rPh>
    <rPh sb="1" eb="2">
      <t>シン</t>
    </rPh>
    <rPh sb="2" eb="3">
      <t>セン</t>
    </rPh>
    <phoneticPr fontId="1"/>
  </si>
  <si>
    <t>サイコロ行脚5進化隊士 春の宴の給仕乙女ガチャ</t>
    <rPh sb="4" eb="6">
      <t>アンギャ</t>
    </rPh>
    <phoneticPr fontId="1"/>
  </si>
  <si>
    <t>防衛戦5進化隊士 渋谷降臨！奔放GALSガチャ</t>
    <rPh sb="0" eb="3">
      <t>ボウエイセン</t>
    </rPh>
    <phoneticPr fontId="1"/>
  </si>
  <si>
    <t>四神戦5進化隊士 偉大なるグランドマスターガチャ</t>
    <rPh sb="0" eb="1">
      <t>ヨン</t>
    </rPh>
    <rPh sb="1" eb="2">
      <t>シン</t>
    </rPh>
    <rPh sb="2" eb="3">
      <t>セン</t>
    </rPh>
    <phoneticPr fontId="1"/>
  </si>
  <si>
    <t>サイコロ行脚5進化隊士 ビリリと痺れる科学の力ガチャ</t>
    <rPh sb="4" eb="6">
      <t>アンギャ</t>
    </rPh>
    <phoneticPr fontId="1"/>
  </si>
  <si>
    <t>防衛戦5進化隊士 五月の病？お部屋でごろごろガチャ</t>
    <rPh sb="0" eb="3">
      <t>ボウエイセン</t>
    </rPh>
    <phoneticPr fontId="1"/>
  </si>
  <si>
    <t>四神戦5進化隊士 幻の人魚伝説ガチャ</t>
    <rPh sb="0" eb="1">
      <t>ヨン</t>
    </rPh>
    <rPh sb="1" eb="2">
      <t>シン</t>
    </rPh>
    <rPh sb="2" eb="3">
      <t>セン</t>
    </rPh>
    <phoneticPr fontId="1"/>
  </si>
  <si>
    <t>サイコロ行脚5進化隊士 岩の中に隠れてビックリ！可憐妖怪ガチャ</t>
    <rPh sb="4" eb="6">
      <t>アンギャ</t>
    </rPh>
    <phoneticPr fontId="1"/>
  </si>
  <si>
    <t>防衛戦5進化隊士 夢心地？幸せの花嫁ガチャ</t>
    <rPh sb="0" eb="3">
      <t>ボウエイセン</t>
    </rPh>
    <phoneticPr fontId="1"/>
  </si>
  <si>
    <t>四神戦5進化隊士 夜空を飾る蟹の星座ガチャ</t>
    <rPh sb="0" eb="1">
      <t>ヨン</t>
    </rPh>
    <rPh sb="1" eb="2">
      <t>シン</t>
    </rPh>
    <rPh sb="2" eb="3">
      <t>セン</t>
    </rPh>
    <phoneticPr fontId="1"/>
  </si>
  <si>
    <t>サイコロ行脚5進化隊士 ガチャ名失念</t>
    <rPh sb="4" eb="6">
      <t>アンギャ</t>
    </rPh>
    <rPh sb="15" eb="16">
      <t>メイ</t>
    </rPh>
    <rPh sb="16" eb="18">
      <t>シツネン</t>
    </rPh>
    <phoneticPr fontId="1"/>
  </si>
  <si>
    <t>防衛戦5進化隊士 機織り姫の願い星ガチャ</t>
    <rPh sb="0" eb="3">
      <t>ボウエイセン</t>
    </rPh>
    <phoneticPr fontId="1"/>
  </si>
  <si>
    <t>四神戦5進化隊士 飛動の珍獣ハンターガチャ</t>
    <rPh sb="0" eb="1">
      <t>ヨン</t>
    </rPh>
    <rPh sb="1" eb="2">
      <t>シン</t>
    </rPh>
    <rPh sb="2" eb="3">
      <t>セン</t>
    </rPh>
    <phoneticPr fontId="1"/>
  </si>
  <si>
    <t>サイコロ行脚5進化隊士 はらぺこ神様の料理バトルガチャ</t>
    <rPh sb="4" eb="6">
      <t>アンギャ</t>
    </rPh>
    <phoneticPr fontId="1"/>
  </si>
  <si>
    <t>防衛戦5進化隊士 恐怖に怯える白衣の天使ガチャ</t>
    <rPh sb="0" eb="3">
      <t>ボウエイセン</t>
    </rPh>
    <phoneticPr fontId="1"/>
  </si>
  <si>
    <t>四神戦5進化隊士 甘美なスイートマジックガチャ</t>
    <rPh sb="0" eb="3">
      <t>ヨンシンセン</t>
    </rPh>
    <phoneticPr fontId="1"/>
  </si>
  <si>
    <t>サイコロ行脚5進化隊士 考究の天地万象ガチャ</t>
    <rPh sb="4" eb="6">
      <t>アンギャ</t>
    </rPh>
    <phoneticPr fontId="1"/>
  </si>
  <si>
    <t>防衛戦5進化隊士 闇を照らす愛媛神ガチャ</t>
    <rPh sb="0" eb="3">
      <t>ボウエイセン</t>
    </rPh>
    <phoneticPr fontId="1"/>
  </si>
  <si>
    <t>四神戦5進化隊士 蝶舞う庭園の美令嬢ガチャ</t>
    <rPh sb="0" eb="1">
      <t>ヨン</t>
    </rPh>
    <rPh sb="1" eb="2">
      <t>シン</t>
    </rPh>
    <rPh sb="2" eb="3">
      <t>セン</t>
    </rPh>
    <phoneticPr fontId="1"/>
  </si>
  <si>
    <t>サイコロ行脚5進化隊士 煌めく虹色魔術ガチャ</t>
    <rPh sb="4" eb="6">
      <t>アンギャ</t>
    </rPh>
    <phoneticPr fontId="1"/>
  </si>
  <si>
    <t>防衛戦5進化隊士 砂糖菓子の甘い妖術ガチャ</t>
    <rPh sb="0" eb="3">
      <t>ボウエイセン</t>
    </rPh>
    <phoneticPr fontId="1"/>
  </si>
  <si>
    <t>四神戦5進化隊士 闘志を燃やす武道少女ガチャ</t>
    <rPh sb="0" eb="1">
      <t>ヨン</t>
    </rPh>
    <rPh sb="1" eb="2">
      <t>シン</t>
    </rPh>
    <rPh sb="2" eb="3">
      <t>セン</t>
    </rPh>
    <phoneticPr fontId="1"/>
  </si>
  <si>
    <t>サイコロ行脚5進化隊士 輝き満ちる秘密の結晶ガチャ</t>
    <rPh sb="4" eb="6">
      <t>アンギャ</t>
    </rPh>
    <phoneticPr fontId="1"/>
  </si>
  <si>
    <t>防衛戦5進化隊士 不屈の武将魂ガチャ</t>
    <rPh sb="0" eb="3">
      <t>ボウエイセン</t>
    </rPh>
    <phoneticPr fontId="1"/>
  </si>
  <si>
    <t>四神戦5進化隊士 おてんば娘と熱狂屋台ガチャ</t>
    <rPh sb="0" eb="1">
      <t>ヨン</t>
    </rPh>
    <rPh sb="1" eb="2">
      <t>シン</t>
    </rPh>
    <rPh sb="2" eb="3">
      <t>セン</t>
    </rPh>
    <phoneticPr fontId="1"/>
  </si>
  <si>
    <t>サイコロ行脚5進化隊士 月光照らす美麗姫ガチャ</t>
    <rPh sb="4" eb="6">
      <t>アンギャ</t>
    </rPh>
    <phoneticPr fontId="1"/>
  </si>
  <si>
    <t>防衛戦5進化隊士 夢の贈り物と幸せトナカイガチャ</t>
    <rPh sb="0" eb="3">
      <t>ボウエイセン</t>
    </rPh>
    <phoneticPr fontId="1"/>
  </si>
  <si>
    <t>四神戦5進化隊士 美人助手の歯科医院ガチャ</t>
    <rPh sb="0" eb="1">
      <t>ヨン</t>
    </rPh>
    <rPh sb="1" eb="2">
      <t>シン</t>
    </rPh>
    <rPh sb="2" eb="3">
      <t>セン</t>
    </rPh>
    <phoneticPr fontId="1"/>
  </si>
  <si>
    <t>サイコロ行脚5進化隊士 秀麗魔導師の黒魔術ガチャ</t>
    <rPh sb="4" eb="6">
      <t>アンギャ</t>
    </rPh>
    <phoneticPr fontId="1"/>
  </si>
  <si>
    <t>防衛戦5進化隊士 ガチャ</t>
    <rPh sb="0" eb="3">
      <t>ボウエイセン</t>
    </rPh>
    <phoneticPr fontId="1"/>
  </si>
  <si>
    <t>四神戦5進化隊士 祝いを称える美酒晩酌ガチャ</t>
    <rPh sb="0" eb="1">
      <t>ヨン</t>
    </rPh>
    <rPh sb="1" eb="2">
      <t>シン</t>
    </rPh>
    <rPh sb="2" eb="3">
      <t>セン</t>
    </rPh>
    <rPh sb="9" eb="10">
      <t>イワ</t>
    </rPh>
    <rPh sb="12" eb="13">
      <t>タタ</t>
    </rPh>
    <rPh sb="15" eb="17">
      <t>ビシュ</t>
    </rPh>
    <rPh sb="17" eb="19">
      <t>バンシャク</t>
    </rPh>
    <phoneticPr fontId="1"/>
  </si>
  <si>
    <t>防衛戦5進化隊士 邪を払う強撃の豆弾ガチャ</t>
    <rPh sb="0" eb="3">
      <t>ボウエイセン</t>
    </rPh>
    <phoneticPr fontId="1"/>
  </si>
  <si>
    <t>四神戦5進化隊士 天高く響く爆竹祭ガチャ</t>
    <rPh sb="0" eb="1">
      <t>ヨン</t>
    </rPh>
    <rPh sb="1" eb="2">
      <t>シン</t>
    </rPh>
    <rPh sb="2" eb="3">
      <t>セン</t>
    </rPh>
    <phoneticPr fontId="1"/>
  </si>
  <si>
    <t>サイコロ行脚5進化隊士 お菓子の国の泣き虫少女ガチャ</t>
    <rPh sb="4" eb="6">
      <t>アンギャ</t>
    </rPh>
    <phoneticPr fontId="1"/>
  </si>
  <si>
    <t>防衛戦5進化隊士 闇祓い遍く照らす聖炎ガチャ</t>
    <rPh sb="0" eb="3">
      <t>ボウエイセン</t>
    </rPh>
    <phoneticPr fontId="1"/>
  </si>
  <si>
    <t>四神戦5進化隊士 玲瓏たる旋律の奏者ガチャ</t>
    <rPh sb="16" eb="18">
      <t>ソウシャ</t>
    </rPh>
    <phoneticPr fontId="1"/>
  </si>
  <si>
    <t>サイコロ行脚5進化隊士 おてんば姫の手作りスイーツガチャ</t>
    <rPh sb="4" eb="6">
      <t>アンギャ</t>
    </rPh>
    <rPh sb="16" eb="17">
      <t>ヒメ</t>
    </rPh>
    <rPh sb="18" eb="20">
      <t>テヅク</t>
    </rPh>
    <phoneticPr fontId="1"/>
  </si>
  <si>
    <t>防衛戦5進化隊士 徹底抗戦！不撓不屈の闘士ガチャ</t>
    <rPh sb="0" eb="3">
      <t>ボウエイセン</t>
    </rPh>
    <phoneticPr fontId="1"/>
  </si>
  <si>
    <t>四神戦5進化隊士 乱世揺るがす抜刀の令嬢ガチャ</t>
    <rPh sb="0" eb="1">
      <t>ヨン</t>
    </rPh>
    <rPh sb="1" eb="2">
      <t>シン</t>
    </rPh>
    <rPh sb="2" eb="3">
      <t>セン</t>
    </rPh>
    <phoneticPr fontId="1"/>
  </si>
  <si>
    <t>サイコロ行脚5進化隊士 薔薇と奏でる極彩の演奏家ガチャ</t>
    <rPh sb="4" eb="6">
      <t>アンギャ</t>
    </rPh>
    <phoneticPr fontId="1"/>
  </si>
  <si>
    <t>防衛戦5進化隊士 誇り高き地球防衛軍ガチャ</t>
    <rPh sb="0" eb="3">
      <t>ボウエイセン</t>
    </rPh>
    <phoneticPr fontId="1"/>
  </si>
  <si>
    <t>四神戦5進化隊士 泡沫夢幻の理想郷ガチャ</t>
    <rPh sb="0" eb="1">
      <t>ヨン</t>
    </rPh>
    <rPh sb="1" eb="2">
      <t>シン</t>
    </rPh>
    <rPh sb="2" eb="3">
      <t>セン</t>
    </rPh>
    <phoneticPr fontId="1"/>
  </si>
  <si>
    <t>防衛戦5進化隊士 解き明かせ！真実の軌跡ガチャ</t>
    <rPh sb="0" eb="3">
      <t>ボウエイセン</t>
    </rPh>
    <phoneticPr fontId="1"/>
  </si>
  <si>
    <t xml:space="preserve">防衛戦5進化隊士 </t>
    <rPh sb="0" eb="3">
      <t>ボウエイセン</t>
    </rPh>
    <phoneticPr fontId="1"/>
  </si>
  <si>
    <t>サイコロ行脚5進化隊士 暴悪魔女の禁断呪術ガチャ</t>
    <rPh sb="4" eb="6">
      <t>アンギャ</t>
    </rPh>
    <phoneticPr fontId="1"/>
  </si>
  <si>
    <t>6/5 11:00～6/5 23:59</t>
    <phoneticPr fontId="1"/>
  </si>
  <si>
    <t>戦神ガチャ</t>
    <phoneticPr fontId="1"/>
  </si>
  <si>
    <t>6/5 15:00～6/7 23:59</t>
    <phoneticPr fontId="1"/>
  </si>
  <si>
    <t>超防再臨ガチャ</t>
    <phoneticPr fontId="1"/>
  </si>
  <si>
    <t>6/5 18:00～6/7 23:59</t>
    <phoneticPr fontId="1"/>
  </si>
  <si>
    <t>祝来！宝船福引ガチャ</t>
    <phoneticPr fontId="1"/>
  </si>
  <si>
    <t>6/6 12:00～6/7 11:59</t>
    <phoneticPr fontId="1"/>
  </si>
  <si>
    <t>刹那！最強DOWN隊士ガチャ</t>
    <phoneticPr fontId="1"/>
  </si>
  <si>
    <t>6/6 20:00～6/6 23:59</t>
    <phoneticPr fontId="1"/>
  </si>
  <si>
    <t>進化の秘竜チャンスガチャ</t>
    <phoneticPr fontId="1"/>
  </si>
  <si>
    <t>6/7 12:00～6/9 23:59</t>
    <phoneticPr fontId="1"/>
  </si>
  <si>
    <t>復活ZRチケ・セットA</t>
    <phoneticPr fontId="1"/>
  </si>
  <si>
    <t>進化の秘竜チャンスガチャ(20連と3連で別々に表記されていた開催期間が1つに変更)</t>
    <rPh sb="15" eb="16">
      <t>レン</t>
    </rPh>
    <rPh sb="18" eb="19">
      <t>レン</t>
    </rPh>
    <rPh sb="20" eb="22">
      <t>ベツベツ</t>
    </rPh>
    <rPh sb="23" eb="25">
      <t>ヒョウキ</t>
    </rPh>
    <rPh sb="30" eb="32">
      <t>カイサイ</t>
    </rPh>
    <rPh sb="32" eb="34">
      <t>キカン</t>
    </rPh>
    <rPh sb="38" eb="40">
      <t>ヘンコウ</t>
    </rPh>
    <phoneticPr fontId="1"/>
  </si>
  <si>
    <t>6/7 18:00～6/7 21:59</t>
    <phoneticPr fontId="1"/>
  </si>
  <si>
    <t>侍女ヴェリテー</t>
    <phoneticPr fontId="1"/>
  </si>
  <si>
    <t>じじょゔぇりてー</t>
    <phoneticPr fontId="1"/>
  </si>
  <si>
    <t>揺るがぬ忠誠</t>
    <phoneticPr fontId="1"/>
  </si>
  <si>
    <t>タイプ妖怪・名物の攻30％UP　/　タイプ【偉人】の攻15％UP</t>
    <phoneticPr fontId="1"/>
  </si>
  <si>
    <t>タイプ妖怪・名物の攻15％UP　/　タイプ【偉人】の攻10％UP</t>
    <phoneticPr fontId="1"/>
  </si>
  <si>
    <t>サイコロ行脚5進化SR ガチャ名失念</t>
    <rPh sb="4" eb="6">
      <t>アンギャ</t>
    </rPh>
    <rPh sb="15" eb="16">
      <t>メイ</t>
    </rPh>
    <rPh sb="16" eb="18">
      <t>シツネン</t>
    </rPh>
    <phoneticPr fontId="1"/>
  </si>
  <si>
    <t>2020天クロ太陽と海の福引ガチャ</t>
    <rPh sb="4" eb="5">
      <t>テン</t>
    </rPh>
    <rPh sb="7" eb="9">
      <t>タイヨウ</t>
    </rPh>
    <rPh sb="10" eb="11">
      <t>ウミ</t>
    </rPh>
    <rPh sb="12" eb="14">
      <t>フクビキ</t>
    </rPh>
    <phoneticPr fontId="1"/>
  </si>
  <si>
    <t>07/15 15:00～07/16 23:59</t>
    <phoneticPr fontId="1"/>
  </si>
  <si>
    <t>【鬼無里の郷】鬼女紅葉</t>
    <phoneticPr fontId="1"/>
  </si>
  <si>
    <t>きなさのさときじょもみじ</t>
    <phoneticPr fontId="1"/>
  </si>
  <si>
    <t>紅葉狩</t>
    <phoneticPr fontId="1"/>
  </si>
  <si>
    <t>【花水着】厳島内侍</t>
    <phoneticPr fontId="1"/>
  </si>
  <si>
    <t>はなみずぎいつくしまのないじ</t>
    <phoneticPr fontId="1"/>
  </si>
  <si>
    <t>ハイビスカス彩る景勝地</t>
    <phoneticPr fontId="1"/>
  </si>
  <si>
    <t>柚子胡椒</t>
    <phoneticPr fontId="1"/>
  </si>
  <si>
    <t>ゆずこしょう</t>
    <phoneticPr fontId="1"/>
  </si>
  <si>
    <t>柚子と唐辛子の融合</t>
    <phoneticPr fontId="1"/>
  </si>
  <si>
    <t>タイプ神秘・知性派・伝承の攻30％UP</t>
    <phoneticPr fontId="1"/>
  </si>
  <si>
    <t>【華の太夫】中野竹子</t>
    <phoneticPr fontId="1"/>
  </si>
  <si>
    <t>はなのだゆうなかのたけこ</t>
    <phoneticPr fontId="1"/>
  </si>
  <si>
    <t>もののふの猛き心にくらぶれば</t>
    <phoneticPr fontId="1"/>
  </si>
  <si>
    <t>【水着マネージャー】雪鬼</t>
    <phoneticPr fontId="1"/>
  </si>
  <si>
    <t>愛深き鬼マネージャー</t>
    <phoneticPr fontId="1"/>
  </si>
  <si>
    <t>タイプ飲食・武人・名物の防85％DOWN　/　タイプ武人・姫の攻30％UP</t>
    <phoneticPr fontId="1"/>
  </si>
  <si>
    <t>東日本</t>
    <rPh sb="0" eb="3">
      <t>インショクブジンメイブツボウブジンヒメコウ</t>
    </rPh>
    <phoneticPr fontId="1"/>
  </si>
  <si>
    <t>タイプ飲食・武人・名物の防35％DOWN　/　タイプ武人・姫の攻20％UP</t>
    <phoneticPr fontId="1"/>
  </si>
  <si>
    <t>タイプ飲食・武人の防20％DOWN　/　タイプ武人・姫の攻15％UP</t>
    <phoneticPr fontId="1"/>
  </si>
  <si>
    <t>戦極ガチャ</t>
    <phoneticPr fontId="1"/>
  </si>
  <si>
    <t>8/2 15:00～8/7 23:59</t>
    <phoneticPr fontId="1"/>
  </si>
  <si>
    <t>みずぎまねーじゃーゆきおに</t>
    <phoneticPr fontId="1"/>
  </si>
  <si>
    <t>【水着アイドル】さるかに合戦</t>
    <phoneticPr fontId="1"/>
  </si>
  <si>
    <t>91073_0</t>
    <phoneticPr fontId="1"/>
  </si>
  <si>
    <t>みずぎあいどるさるかにがっせん</t>
    <phoneticPr fontId="1"/>
  </si>
  <si>
    <t>アイドルの絆</t>
    <phoneticPr fontId="1"/>
  </si>
  <si>
    <t>タイプ伝承・武人・姫の攻75％UP</t>
    <phoneticPr fontId="1"/>
  </si>
  <si>
    <t>怨讐ノ鋏</t>
    <phoneticPr fontId="1"/>
  </si>
  <si>
    <t>敵単体に極大ダメージを与え、一定時間、戦技を封じる</t>
    <phoneticPr fontId="1"/>
  </si>
  <si>
    <t>【南国バカンス】讃岐うどんちゃん</t>
    <phoneticPr fontId="1"/>
  </si>
  <si>
    <t>90393_0</t>
    <phoneticPr fontId="1"/>
  </si>
  <si>
    <t>なんごくばかんすさぬきうどんちゃん</t>
    <phoneticPr fontId="1"/>
  </si>
  <si>
    <t>トロピカルに染まる白肌</t>
    <phoneticPr fontId="1"/>
  </si>
  <si>
    <t>タイプ神秘・知性派・飲食の防70％UP</t>
    <phoneticPr fontId="1"/>
  </si>
  <si>
    <t>手打ノ匠技</t>
    <phoneticPr fontId="1"/>
  </si>
  <si>
    <t>一定時間、味方全体に極大の反射効果を付与し、攻撃を受けたときの戦技ゲージ上昇割合が大UP</t>
    <phoneticPr fontId="1"/>
  </si>
  <si>
    <t>(DX)7/1 0:00～7/8 23:59</t>
    <phoneticPr fontId="1"/>
  </si>
  <si>
    <t>(Lvアップ)7/1 0:00～7/8 23:59</t>
    <phoneticPr fontId="1"/>
  </si>
  <si>
    <t>防衛戦 目指せNo1！アイドル水泳大会ガチャ</t>
    <rPh sb="0" eb="3">
      <t>ボウエイセン</t>
    </rPh>
    <phoneticPr fontId="1"/>
  </si>
  <si>
    <t>【水着アイドル】サクランボちゃん</t>
    <phoneticPr fontId="1"/>
  </si>
  <si>
    <t>みずぎあいどるさくらんぼちゃん</t>
    <phoneticPr fontId="1"/>
  </si>
  <si>
    <t>敵の防30%DOWNして攻撃する</t>
    <phoneticPr fontId="1"/>
  </si>
  <si>
    <t>赤い宝石の飛躍</t>
    <phoneticPr fontId="1"/>
  </si>
  <si>
    <t>【水着アイドル】板額御前</t>
    <phoneticPr fontId="1"/>
  </si>
  <si>
    <t>みずぎあいどるはんがくごぜん</t>
    <phoneticPr fontId="1"/>
  </si>
  <si>
    <t>百発百中のアイドルスマイル</t>
    <phoneticPr fontId="1"/>
  </si>
  <si>
    <t>【水着アイドル】けん玉</t>
    <phoneticPr fontId="1"/>
  </si>
  <si>
    <t>みずぎあいどるけんだま</t>
    <phoneticPr fontId="1"/>
  </si>
  <si>
    <t>タイプ伝承・武人・姫の攻40％UP</t>
    <phoneticPr fontId="1"/>
  </si>
  <si>
    <t>元祖けん玉アイドル</t>
    <phoneticPr fontId="1"/>
  </si>
  <si>
    <t>[新生]【アイドル】とちおとめちゃん</t>
    <phoneticPr fontId="1"/>
  </si>
  <si>
    <t>しんせいあいどるとちおとめちゃん</t>
    <phoneticPr fontId="1"/>
  </si>
  <si>
    <t>いちご界のトップアイドル</t>
    <phoneticPr fontId="1"/>
  </si>
  <si>
    <t>[新生]トモカズキ</t>
    <phoneticPr fontId="1"/>
  </si>
  <si>
    <t>しんせいともかずき</t>
    <phoneticPr fontId="1"/>
  </si>
  <si>
    <t>魂を狙う生き写し</t>
    <phoneticPr fontId="1"/>
  </si>
  <si>
    <t>[新生]【花水着】竜宮猫</t>
    <phoneticPr fontId="1"/>
  </si>
  <si>
    <t>しんせいはなみずぎりゅうぐうねこ</t>
    <phoneticPr fontId="1"/>
  </si>
  <si>
    <t>豊かな彩りの宝猫</t>
    <phoneticPr fontId="1"/>
  </si>
  <si>
    <t>[新生]【海開き】フグ刺しちゃん</t>
    <phoneticPr fontId="1"/>
  </si>
  <si>
    <t>しんせいうみびらきふぐさしちゃん</t>
    <phoneticPr fontId="1"/>
  </si>
  <si>
    <t>目に毒な薄水着</t>
    <phoneticPr fontId="1"/>
  </si>
  <si>
    <t>[新生]【戦国海開き】シッケンケン</t>
    <phoneticPr fontId="1"/>
  </si>
  <si>
    <t>しんせいせんごくうみびらきしっけんけん</t>
    <phoneticPr fontId="1"/>
  </si>
  <si>
    <t>心捕える夏の縄</t>
    <phoneticPr fontId="1"/>
  </si>
  <si>
    <t>豪華玉手箱ガチャ</t>
    <phoneticPr fontId="1"/>
  </si>
  <si>
    <t>8/13 15:00～8/13 23:59</t>
    <phoneticPr fontId="1"/>
  </si>
  <si>
    <t>超防再臨ガチャ</t>
    <phoneticPr fontId="1"/>
  </si>
  <si>
    <t>8/13 18:00～8/15 23:59</t>
    <phoneticPr fontId="1"/>
  </si>
  <si>
    <t>(DX)8/1 0:00～8/8 23:59</t>
    <phoneticPr fontId="1"/>
  </si>
  <si>
    <t>(Lvアップ)8/1 0:00～8/8 23:59</t>
    <phoneticPr fontId="1"/>
  </si>
  <si>
    <t>防衛戦5進化隊士 手放せない！心躍る双眼鬼ガチャ</t>
    <rPh sb="0" eb="3">
      <t>ボウエイセン</t>
    </rPh>
    <rPh sb="4" eb="6">
      <t>シンカ</t>
    </rPh>
    <phoneticPr fontId="1"/>
  </si>
  <si>
    <t>サイコロ行脚5進化隊士 友誼を結ぶ館の守護者ガチャ</t>
    <rPh sb="4" eb="6">
      <t>アンギャ</t>
    </rPh>
    <phoneticPr fontId="1"/>
  </si>
  <si>
    <t>サイコロ行脚 紅の貴婦人ガチャ</t>
    <rPh sb="4" eb="6">
      <t>アンギャ</t>
    </rPh>
    <phoneticPr fontId="1"/>
  </si>
  <si>
    <t>(Lvアップ)8/14 12:00～8/21 11:59</t>
    <phoneticPr fontId="1"/>
  </si>
  <si>
    <t>(DX)8/14 12:00～8/21 11:59</t>
    <phoneticPr fontId="1"/>
  </si>
  <si>
    <t>ミルヒェ</t>
    <phoneticPr fontId="1"/>
  </si>
  <si>
    <t>姫</t>
    <phoneticPr fontId="1"/>
  </si>
  <si>
    <t>お転婆姫</t>
    <phoneticPr fontId="1"/>
  </si>
  <si>
    <t>タイプ武人・伝承の攻65％UP　/　タイプ【姫】の攻20％UP</t>
    <phoneticPr fontId="1"/>
  </si>
  <si>
    <t>みるひぇ</t>
    <phoneticPr fontId="1"/>
  </si>
  <si>
    <t>中国・四国</t>
    <phoneticPr fontId="1"/>
  </si>
  <si>
    <t>[新生]永姫</t>
    <phoneticPr fontId="1"/>
  </si>
  <si>
    <t>中部</t>
    <phoneticPr fontId="1"/>
  </si>
  <si>
    <t>しんせいながひめ</t>
    <phoneticPr fontId="1"/>
  </si>
  <si>
    <t>跡継ぎへの真摯な想い</t>
    <phoneticPr fontId="1"/>
  </si>
  <si>
    <t>タイプ【武人】の防90％UP　/　タイプ姫・伝承の防30％UP</t>
    <phoneticPr fontId="1"/>
  </si>
  <si>
    <t>SR</t>
    <phoneticPr fontId="1"/>
  </si>
  <si>
    <t>HR</t>
    <phoneticPr fontId="1"/>
  </si>
  <si>
    <t>[新生]【水無月婚】バラ</t>
    <phoneticPr fontId="1"/>
  </si>
  <si>
    <t>しんせいみなづきこんばら</t>
    <phoneticPr fontId="1"/>
  </si>
  <si>
    <t>関東</t>
    <phoneticPr fontId="1"/>
  </si>
  <si>
    <t>名物</t>
    <phoneticPr fontId="1"/>
  </si>
  <si>
    <t>放たれる愛の象徴</t>
    <phoneticPr fontId="1"/>
  </si>
  <si>
    <t>タイプ偉人・妖怪の攻30％UP　/　タイプ【名物】の攻10％UP</t>
    <phoneticPr fontId="1"/>
  </si>
  <si>
    <t>[新生]【極姫】仙桃院</t>
    <phoneticPr fontId="1"/>
  </si>
  <si>
    <t>北海道・東北</t>
    <phoneticPr fontId="1"/>
  </si>
  <si>
    <t>しんせいごくひめせんとういん</t>
    <phoneticPr fontId="1"/>
  </si>
  <si>
    <t>越後に咲いた桃の華</t>
    <phoneticPr fontId="1"/>
  </si>
  <si>
    <t>タイプ武人・伝承の防20％UP</t>
    <phoneticPr fontId="1"/>
  </si>
  <si>
    <t>[新生]【日本三大美人】衣通姫</t>
    <phoneticPr fontId="1"/>
  </si>
  <si>
    <t>近畿</t>
    <phoneticPr fontId="1"/>
  </si>
  <si>
    <t>しんせいにほんさんだいびじんそとおりひめ</t>
    <phoneticPr fontId="1"/>
  </si>
  <si>
    <t>伝承</t>
    <phoneticPr fontId="1"/>
  </si>
  <si>
    <t>禁断を生む美しい肌</t>
    <phoneticPr fontId="1"/>
  </si>
  <si>
    <t>タイプ武人・姫の攻20％UP</t>
    <phoneticPr fontId="1"/>
  </si>
  <si>
    <t>祝来！宝船福引ガチャ</t>
    <phoneticPr fontId="1"/>
  </si>
  <si>
    <t>8/14 18:00～8/15 17:59</t>
    <phoneticPr fontId="1"/>
  </si>
  <si>
    <t>サイコロ行脚5進化隊士 魂騒ぐ憑依乱舞ガチャ</t>
    <rPh sb="4" eb="6">
      <t>アンギャ</t>
    </rPh>
    <rPh sb="7" eb="9">
      <t>シンカ</t>
    </rPh>
    <rPh sb="9" eb="11">
      <t>タイシ</t>
    </rPh>
    <rPh sb="12" eb="13">
      <t>タマシイ</t>
    </rPh>
    <phoneticPr fontId="1"/>
  </si>
  <si>
    <t>8/15 12:00～8/20 22:59</t>
    <phoneticPr fontId="1"/>
  </si>
  <si>
    <t>ヴァルネル</t>
    <phoneticPr fontId="1"/>
  </si>
  <si>
    <t>ゔぁるねる</t>
    <phoneticPr fontId="1"/>
  </si>
  <si>
    <t>武人</t>
    <phoneticPr fontId="1"/>
  </si>
  <si>
    <t>憑依</t>
    <phoneticPr fontId="1"/>
  </si>
  <si>
    <t>タイプ【姫】の防35％UP　/　タイプ武人・伝承の防20％UP</t>
    <phoneticPr fontId="1"/>
  </si>
  <si>
    <t>タイプ【姫】の防20％UP　/　タイプ武人・伝承の防10％UP</t>
    <phoneticPr fontId="1"/>
  </si>
  <si>
    <t>タイプ【姫】の防10％UP　/　タイプ武人・伝承の防5％UP</t>
    <phoneticPr fontId="1"/>
  </si>
  <si>
    <t>08/15 15:00～08/16 23:59</t>
    <phoneticPr fontId="1"/>
  </si>
  <si>
    <t>2020天クロ納涼祭福引ガチャ</t>
    <rPh sb="4" eb="5">
      <t>テン</t>
    </rPh>
    <rPh sb="7" eb="10">
      <t>ノウリョウサイ</t>
    </rPh>
    <rPh sb="10" eb="12">
      <t>フクビキ</t>
    </rPh>
    <phoneticPr fontId="1"/>
  </si>
  <si>
    <t>東日本</t>
    <phoneticPr fontId="1"/>
  </si>
  <si>
    <t>かいなんほうし</t>
    <phoneticPr fontId="1"/>
  </si>
  <si>
    <t>妖怪</t>
    <phoneticPr fontId="1"/>
  </si>
  <si>
    <t>水難の怨み</t>
    <phoneticPr fontId="1"/>
  </si>
  <si>
    <t>タイプ武人・伝承の防90％DOWN　/　タイプ偉人・名物の攻30％UP</t>
    <phoneticPr fontId="1"/>
  </si>
  <si>
    <t>【ヘビメタ】酒呑童子</t>
    <phoneticPr fontId="1"/>
  </si>
  <si>
    <t>近畿</t>
    <phoneticPr fontId="1"/>
  </si>
  <si>
    <t>へびめたしゅてんどうじ</t>
    <phoneticPr fontId="1"/>
  </si>
  <si>
    <t>怨獄の赤き炎曲</t>
    <phoneticPr fontId="1"/>
  </si>
  <si>
    <t>タイプ名物・偉人・神秘の防30％UP</t>
    <phoneticPr fontId="1"/>
  </si>
  <si>
    <t>天地震わす雷鳴ガチャ</t>
    <phoneticPr fontId="1"/>
  </si>
  <si>
    <t>(20連)8/15 18:00～8/21 23:59</t>
    <rPh sb="3" eb="4">
      <t>レン</t>
    </rPh>
    <phoneticPr fontId="1"/>
  </si>
  <si>
    <t>(10連)8/15 18:00～8/21 23:59</t>
    <rPh sb="3" eb="4">
      <t>レン</t>
    </rPh>
    <phoneticPr fontId="1"/>
  </si>
  <si>
    <t>SP</t>
    <phoneticPr fontId="1"/>
  </si>
  <si>
    <t>迅雷三姫</t>
    <phoneticPr fontId="1"/>
  </si>
  <si>
    <t>全国</t>
    <phoneticPr fontId="1"/>
  </si>
  <si>
    <t>92163_0</t>
    <phoneticPr fontId="1"/>
  </si>
  <si>
    <t>じんらいさんき</t>
    <phoneticPr fontId="1"/>
  </si>
  <si>
    <t>神秘</t>
    <phoneticPr fontId="1"/>
  </si>
  <si>
    <t>真夏に響く迅雷</t>
    <phoneticPr fontId="1"/>
  </si>
  <si>
    <t>タイプ姫・妖怪・神秘の攻40％UP　/　タイプ飲食・伝承・名物の防50％DOWN</t>
    <phoneticPr fontId="1"/>
  </si>
  <si>
    <t>天空迅雷</t>
    <phoneticPr fontId="1"/>
  </si>
  <si>
    <t>敵単体に大ダメージを与え、一定時間、味方が使用するダメージ戦技に【絶大ダメージ】の効果値を加算する</t>
    <phoneticPr fontId="1"/>
  </si>
  <si>
    <t>サイコロ行脚 英雄ガチャ</t>
    <rPh sb="4" eb="6">
      <t>アンギャ</t>
    </rPh>
    <rPh sb="7" eb="9">
      <t>エイユウ</t>
    </rPh>
    <phoneticPr fontId="1"/>
  </si>
  <si>
    <t>8/16 11:00～8/16 23:59</t>
    <phoneticPr fontId="1"/>
  </si>
  <si>
    <t>超攻再臨ガチャ</t>
    <phoneticPr fontId="1"/>
  </si>
  <si>
    <t>8/16 18:00～8/18 23:59</t>
    <phoneticPr fontId="1"/>
  </si>
  <si>
    <t>祝来！宝船福引ガチャ</t>
    <phoneticPr fontId="1"/>
  </si>
  <si>
    <t>8/3 12:00～8/4 11:59</t>
    <phoneticPr fontId="1"/>
  </si>
  <si>
    <t>祝来！宝船福引ガチャ</t>
    <phoneticPr fontId="1"/>
  </si>
  <si>
    <t>8/17 12:00～8/18 11:59</t>
    <phoneticPr fontId="1"/>
  </si>
  <si>
    <t>8/17 20:00～8/17 23:59</t>
    <phoneticPr fontId="1"/>
  </si>
  <si>
    <t>防衛戦 声援響く真夏のプールサイドガチャ</t>
    <rPh sb="0" eb="3">
      <t>ボウエイセン</t>
    </rPh>
    <phoneticPr fontId="1"/>
  </si>
  <si>
    <t>(DX)8/4 12:00～8/8 11:59</t>
    <phoneticPr fontId="1"/>
  </si>
  <si>
    <t>(Lvアップ)8/4 12:00～8/8 11:59</t>
    <phoneticPr fontId="1"/>
  </si>
  <si>
    <t>【水着アイドル】塗壁</t>
    <phoneticPr fontId="1"/>
  </si>
  <si>
    <t>九州・沖縄</t>
    <phoneticPr fontId="1"/>
  </si>
  <si>
    <t>SSR</t>
    <phoneticPr fontId="1"/>
  </si>
  <si>
    <t>みずぎあいどるぬりかべ</t>
    <phoneticPr fontId="1"/>
  </si>
  <si>
    <t>妖怪</t>
    <phoneticPr fontId="1"/>
  </si>
  <si>
    <t>見えない障壁</t>
    <phoneticPr fontId="1"/>
  </si>
  <si>
    <t>タイプ【名物】の防35％UP　/　タイプ偉人・妖怪の防20％UP</t>
    <phoneticPr fontId="1"/>
  </si>
  <si>
    <t>SR</t>
    <phoneticPr fontId="1"/>
  </si>
  <si>
    <t>HR</t>
    <phoneticPr fontId="1"/>
  </si>
  <si>
    <t>[新生]【海水浴】村上水軍</t>
    <phoneticPr fontId="1"/>
  </si>
  <si>
    <t>中国・四国</t>
    <phoneticPr fontId="1"/>
  </si>
  <si>
    <t>しんせいかいすいよくむらかみすいぐん</t>
    <phoneticPr fontId="1"/>
  </si>
  <si>
    <t>名物</t>
    <phoneticPr fontId="1"/>
  </si>
  <si>
    <t>瀬戸内海最大の海賊</t>
    <phoneticPr fontId="1"/>
  </si>
  <si>
    <t>タイプ偉人・妖怪の攻30％UP　/　タイプ【名物】の攻10％UP</t>
    <phoneticPr fontId="1"/>
  </si>
  <si>
    <t>[新生]【海開き】アキバメイド</t>
    <phoneticPr fontId="1"/>
  </si>
  <si>
    <t>関東</t>
    <phoneticPr fontId="1"/>
  </si>
  <si>
    <t>しんせいうみびらきあきばめいど</t>
    <phoneticPr fontId="1"/>
  </si>
  <si>
    <t>萌え萌え練乳ビーム</t>
    <phoneticPr fontId="1"/>
  </si>
  <si>
    <t>タイプ偉人・妖怪の防20％UP</t>
    <phoneticPr fontId="1"/>
  </si>
  <si>
    <t>[新生]否哉</t>
    <phoneticPr fontId="1"/>
  </si>
  <si>
    <t>宮城</t>
    <phoneticPr fontId="1"/>
  </si>
  <si>
    <t>しんせいいやや</t>
    <phoneticPr fontId="1"/>
  </si>
  <si>
    <t>美背面の悪戯</t>
    <phoneticPr fontId="1"/>
  </si>
  <si>
    <t>タイプ偉人・名物の攻20％UP</t>
    <phoneticPr fontId="1"/>
  </si>
  <si>
    <t>豪華玉手箱ガチャ</t>
    <phoneticPr fontId="1"/>
  </si>
  <si>
    <t>8/4 15:00～8/4 23:59</t>
    <phoneticPr fontId="1"/>
  </si>
  <si>
    <t>防衛戦 英雄ガチャ</t>
    <rPh sb="0" eb="3">
      <t>ボウエイセン</t>
    </rPh>
    <rPh sb="4" eb="6">
      <t>エイユウ</t>
    </rPh>
    <phoneticPr fontId="1"/>
  </si>
  <si>
    <t>8/5 11:00～8/5 23:59</t>
    <phoneticPr fontId="1"/>
  </si>
  <si>
    <t>戦神ガチャ</t>
    <phoneticPr fontId="1"/>
  </si>
  <si>
    <t>8/5 15:00～8/7 23:59</t>
    <phoneticPr fontId="1"/>
  </si>
  <si>
    <t>8/6 12:00～8/7 11:59</t>
    <phoneticPr fontId="1"/>
  </si>
  <si>
    <t>刹那！最強DOWN隊士ガチャ</t>
    <phoneticPr fontId="1"/>
  </si>
  <si>
    <t>8/6 20:00～8/6 23:59</t>
    <phoneticPr fontId="1"/>
  </si>
  <si>
    <t>進化の秘竜チャンスガチャ</t>
    <phoneticPr fontId="1"/>
  </si>
  <si>
    <t>8/7 12:00～8/9 23:59</t>
    <phoneticPr fontId="1"/>
  </si>
  <si>
    <t>復活ZRチケ・セットA</t>
    <phoneticPr fontId="1"/>
  </si>
  <si>
    <t>8/7 18:00～8/7 21:59</t>
    <phoneticPr fontId="1"/>
  </si>
  <si>
    <t>四神戦 神の鉄槌！聖職者バトルガチャ</t>
    <rPh sb="0" eb="1">
      <t>ヨン</t>
    </rPh>
    <rPh sb="1" eb="2">
      <t>シン</t>
    </rPh>
    <rPh sb="2" eb="3">
      <t>セン</t>
    </rPh>
    <phoneticPr fontId="1"/>
  </si>
  <si>
    <t>(DX)8/8 12:00～8/14 11:59</t>
    <phoneticPr fontId="1"/>
  </si>
  <si>
    <t>(Lvアップ)8/8 12:00～8/14 11:59</t>
    <phoneticPr fontId="1"/>
  </si>
  <si>
    <t>ルミス</t>
    <phoneticPr fontId="1"/>
  </si>
  <si>
    <t>近畿</t>
    <phoneticPr fontId="1"/>
  </si>
  <si>
    <t>るみす</t>
    <phoneticPr fontId="1"/>
  </si>
  <si>
    <t>姫</t>
    <phoneticPr fontId="1"/>
  </si>
  <si>
    <t>正義の執行官</t>
    <phoneticPr fontId="1"/>
  </si>
  <si>
    <t>タイプ武人・伝承の防65％UP　/　タイプ【姫】の防20％UP</t>
    <phoneticPr fontId="1"/>
  </si>
  <si>
    <t>[新生]鳥居元忠</t>
    <phoneticPr fontId="1"/>
  </si>
  <si>
    <t>しんせいとりいもとただ</t>
    <phoneticPr fontId="1"/>
  </si>
  <si>
    <t>武人</t>
    <phoneticPr fontId="1"/>
  </si>
  <si>
    <t>徳川の礎</t>
    <phoneticPr fontId="1"/>
  </si>
  <si>
    <t>タイプ【姫】の防35％UP　/　タイプ武人・伝承の防20％UP</t>
    <phoneticPr fontId="1"/>
  </si>
  <si>
    <t>[新生]仙台ステンドグラス</t>
    <phoneticPr fontId="1"/>
  </si>
  <si>
    <t>北海道・東北</t>
    <phoneticPr fontId="1"/>
  </si>
  <si>
    <t>しんせいせんだいすてんどぐらす</t>
    <phoneticPr fontId="1"/>
  </si>
  <si>
    <t>ほら、はやぐあばい！</t>
    <phoneticPr fontId="1"/>
  </si>
  <si>
    <t>[新生]天草四郎</t>
    <phoneticPr fontId="1"/>
  </si>
  <si>
    <t>しんせいあまくさしろう</t>
    <phoneticPr fontId="1"/>
  </si>
  <si>
    <t>奇跡の人</t>
    <phoneticPr fontId="1"/>
  </si>
  <si>
    <t>偉人</t>
    <phoneticPr fontId="1"/>
  </si>
  <si>
    <t>タイプ妖怪・名物の防20％UP</t>
    <phoneticPr fontId="1"/>
  </si>
  <si>
    <t>[新生]太原雪斎</t>
    <phoneticPr fontId="1"/>
  </si>
  <si>
    <t>中部</t>
    <phoneticPr fontId="1"/>
  </si>
  <si>
    <t>しんせいたいげんせっさい</t>
    <phoneticPr fontId="1"/>
  </si>
  <si>
    <t>知性派</t>
    <phoneticPr fontId="1"/>
  </si>
  <si>
    <t>稀代の名参謀</t>
    <phoneticPr fontId="1"/>
  </si>
  <si>
    <t>タイプ神秘・飲食の攻20％UP</t>
    <phoneticPr fontId="1"/>
  </si>
  <si>
    <t>8/8 18:00～8/10 23:59</t>
    <phoneticPr fontId="1"/>
  </si>
  <si>
    <t>四神戦5進化隊士 闇夜を照らす月の女神ガチャ</t>
    <phoneticPr fontId="1"/>
  </si>
  <si>
    <t>8/9 12:00～8/14 11:59</t>
    <phoneticPr fontId="1"/>
  </si>
  <si>
    <t>ミエシャツ</t>
    <phoneticPr fontId="1"/>
  </si>
  <si>
    <t>みえしゃつ</t>
    <phoneticPr fontId="1"/>
  </si>
  <si>
    <t>全国</t>
    <phoneticPr fontId="1"/>
  </si>
  <si>
    <t>神秘</t>
    <phoneticPr fontId="1"/>
  </si>
  <si>
    <t>ディザスタームーン</t>
    <phoneticPr fontId="1"/>
  </si>
  <si>
    <t>タイプ飲食・武人・名物の防85％DOWN　/　タイプ知性派・飲食の攻30％UP</t>
    <phoneticPr fontId="1"/>
  </si>
  <si>
    <t>西日本</t>
    <phoneticPr fontId="1"/>
  </si>
  <si>
    <t>タイプ飲食・武人の防20％DOWN　/　タイプ知性派・飲食の攻15％UP</t>
    <phoneticPr fontId="1"/>
  </si>
  <si>
    <t>タイプ飲食・武人・名物の防35％DOWN　/　タイプ知性派・飲食の攻20％UP</t>
    <phoneticPr fontId="1"/>
  </si>
  <si>
    <t>8/9 15:00～8/9 23:59</t>
    <phoneticPr fontId="1"/>
  </si>
  <si>
    <t>8/10 11:00～8/10 23:59</t>
    <phoneticPr fontId="1"/>
  </si>
  <si>
    <t>8/10 15:00～8/12 23:59</t>
    <phoneticPr fontId="1"/>
  </si>
  <si>
    <t>8/11 12:00～8/12 11:59</t>
    <phoneticPr fontId="1"/>
  </si>
  <si>
    <t>超攻再臨ガチャ</t>
    <phoneticPr fontId="1"/>
  </si>
  <si>
    <t>8/11 18:00～8/13 23:59</t>
    <phoneticPr fontId="1"/>
  </si>
  <si>
    <t>8/11 20:00～8/11 23:59</t>
    <phoneticPr fontId="1"/>
  </si>
  <si>
    <t>8/12 11:00～8/12 23:59</t>
    <phoneticPr fontId="1"/>
  </si>
  <si>
    <t>四神戦 英雄ガチャ</t>
    <rPh sb="0" eb="1">
      <t>ヨン</t>
    </rPh>
    <rPh sb="1" eb="2">
      <t>シン</t>
    </rPh>
    <rPh sb="2" eb="3">
      <t>セン</t>
    </rPh>
    <rPh sb="4" eb="6">
      <t>エイユウ</t>
    </rPh>
    <phoneticPr fontId="1"/>
  </si>
  <si>
    <t>四神戦 英雄ガチャ</t>
    <rPh sb="0" eb="3">
      <t>ヨンシンセン</t>
    </rPh>
    <rPh sb="4" eb="6">
      <t>エイユウ</t>
    </rPh>
    <phoneticPr fontId="1"/>
  </si>
  <si>
    <t>8/12 18:00～8/12 21:59</t>
    <phoneticPr fontId="1"/>
  </si>
  <si>
    <t>【南国バカンス】妙林尼</t>
    <phoneticPr fontId="1"/>
  </si>
  <si>
    <t>九州・沖縄</t>
    <phoneticPr fontId="1"/>
  </si>
  <si>
    <t>なんごくばかんすみょうりんに</t>
    <phoneticPr fontId="1"/>
  </si>
  <si>
    <t>武人</t>
    <phoneticPr fontId="1"/>
  </si>
  <si>
    <t>女丈夫の有意義なバカンス</t>
    <phoneticPr fontId="1"/>
  </si>
  <si>
    <t>タイプ姫・伝承の攻30％UP　/　タイプ【武人】の攻15％UP</t>
    <phoneticPr fontId="1"/>
  </si>
  <si>
    <t>【南国バカンス】アメリカ村ちゃん</t>
    <phoneticPr fontId="1"/>
  </si>
  <si>
    <t>近畿</t>
    <phoneticPr fontId="1"/>
  </si>
  <si>
    <t>なんごくばかんすあめりかむらちゃん</t>
    <phoneticPr fontId="1"/>
  </si>
  <si>
    <t>名物</t>
    <phoneticPr fontId="1"/>
  </si>
  <si>
    <t>ルーツを辿る旅</t>
    <phoneticPr fontId="1"/>
  </si>
  <si>
    <t>タイプ偉人・妖怪・名物の攻40％UP　/　タイプ飲食・武人・名物の防10％DOWN</t>
    <phoneticPr fontId="1"/>
  </si>
  <si>
    <t>【南国バカンス】山下りん</t>
    <phoneticPr fontId="1"/>
  </si>
  <si>
    <t>関東</t>
    <phoneticPr fontId="1"/>
  </si>
  <si>
    <t>なんごくばかんすやましたりん</t>
    <phoneticPr fontId="1"/>
  </si>
  <si>
    <t>南国に浮かび上がる聖像</t>
    <phoneticPr fontId="1"/>
  </si>
  <si>
    <t>知性派</t>
    <phoneticPr fontId="1"/>
  </si>
  <si>
    <t>タイプ神秘・知性派・飲食の防45％UP　/　タイプ伝承・妖怪・神秘の攻10％DOWN</t>
    <phoneticPr fontId="1"/>
  </si>
  <si>
    <t>[新生]【海開き】赤しゃぐま</t>
    <phoneticPr fontId="1"/>
  </si>
  <si>
    <t>中国・四国</t>
    <phoneticPr fontId="1"/>
  </si>
  <si>
    <t>しんせいうみびらきあかしゃぐま</t>
    <phoneticPr fontId="1"/>
  </si>
  <si>
    <t>妖怪</t>
    <phoneticPr fontId="1"/>
  </si>
  <si>
    <t>砂浜でのいたずら遊び</t>
    <phoneticPr fontId="1"/>
  </si>
  <si>
    <t>タイプ偉人・名物の攻35％UP　/　タイプ【妖怪】の攻20％UP</t>
    <phoneticPr fontId="1"/>
  </si>
  <si>
    <t>[新生]【海開き】生駒吉乃</t>
    <phoneticPr fontId="1"/>
  </si>
  <si>
    <t>中部</t>
    <phoneticPr fontId="1"/>
  </si>
  <si>
    <t>しんせいうみびらきいこまきつの</t>
    <phoneticPr fontId="1"/>
  </si>
  <si>
    <t>姫</t>
    <phoneticPr fontId="1"/>
  </si>
  <si>
    <t>慎ましくそれでいて大胆に</t>
    <phoneticPr fontId="1"/>
  </si>
  <si>
    <t>タイプ武人・伝承の防35％UP　/　タイプ【姫】の防20％UP</t>
    <phoneticPr fontId="1"/>
  </si>
  <si>
    <t>[新生]富主姫</t>
    <phoneticPr fontId="1"/>
  </si>
  <si>
    <t>北海道・東北</t>
    <phoneticPr fontId="1"/>
  </si>
  <si>
    <t>しんせいとみぬしひめ</t>
    <phoneticPr fontId="1"/>
  </si>
  <si>
    <t>神秘</t>
    <phoneticPr fontId="1"/>
  </si>
  <si>
    <t>海難からの救出</t>
    <phoneticPr fontId="1"/>
  </si>
  <si>
    <t>タイプ知性派・飲食の攻35％UP　/　タイプ【神秘】の攻20％UP</t>
    <phoneticPr fontId="1"/>
  </si>
  <si>
    <t>[新生]【荒波の鯱】湘南サーファー</t>
    <phoneticPr fontId="1"/>
  </si>
  <si>
    <t>しんせいあらなみのしゃちしょうなんさーふぁー</t>
    <phoneticPr fontId="1"/>
  </si>
  <si>
    <t>伝説と呼ばれた鯱男</t>
    <phoneticPr fontId="1"/>
  </si>
  <si>
    <t>タイプ偉人・妖怪の防25％UP</t>
    <phoneticPr fontId="1"/>
  </si>
  <si>
    <t>[新生]ハイビスカスティーちゃん</t>
    <phoneticPr fontId="1"/>
  </si>
  <si>
    <t>しんせいはいびすかすてぃーちゃん</t>
    <phoneticPr fontId="1"/>
  </si>
  <si>
    <t>飲食</t>
    <phoneticPr fontId="1"/>
  </si>
  <si>
    <t>赤く染まる南国の花</t>
    <phoneticPr fontId="1"/>
  </si>
  <si>
    <t>タイプ神秘・知性派の攻25％UP</t>
    <phoneticPr fontId="1"/>
  </si>
  <si>
    <t>[新生]【戦国海開き】北海道牛乳ちゃん</t>
    <phoneticPr fontId="1"/>
  </si>
  <si>
    <t>北海道</t>
    <phoneticPr fontId="1"/>
  </si>
  <si>
    <t>[新生]【レスキュー】種子島恵時</t>
    <phoneticPr fontId="1"/>
  </si>
  <si>
    <t>鹿児島</t>
    <phoneticPr fontId="1"/>
  </si>
  <si>
    <t>しんせいせんごくうみびらきほっかいどうぎゅうにゅうちゃん</t>
    <phoneticPr fontId="1"/>
  </si>
  <si>
    <t>しんせいれすきゅーたねがしましげとき</t>
    <phoneticPr fontId="1"/>
  </si>
  <si>
    <t>[新生]【海開き】瑤泉院</t>
    <phoneticPr fontId="1"/>
  </si>
  <si>
    <t>広島</t>
    <phoneticPr fontId="1"/>
  </si>
  <si>
    <t>[新生]【花水着】亀寿姫</t>
    <phoneticPr fontId="1"/>
  </si>
  <si>
    <t>ゆけむりようぜんいん</t>
    <phoneticPr fontId="1"/>
  </si>
  <si>
    <t>しんせいうみびらきようぜんいん</t>
    <phoneticPr fontId="1"/>
  </si>
  <si>
    <t>しんせいはなみずぎかめじゅひめ</t>
    <phoneticPr fontId="1"/>
  </si>
  <si>
    <t>豪華玉手箱ガチャ</t>
    <phoneticPr fontId="1"/>
  </si>
  <si>
    <t>8/18 15:00～8/18 23:59</t>
    <phoneticPr fontId="1"/>
  </si>
  <si>
    <t>8/18 18:00～8/18 21:59</t>
    <phoneticPr fontId="1"/>
  </si>
  <si>
    <t>8/19 11:00～8/19 23:59</t>
    <phoneticPr fontId="1"/>
  </si>
  <si>
    <t>古豪戦傑ガチャ</t>
    <phoneticPr fontId="1"/>
  </si>
  <si>
    <t>8/19 12:00～8/21 23:59</t>
    <phoneticPr fontId="1"/>
  </si>
  <si>
    <t>【X’masパーティ】神田明神</t>
    <phoneticPr fontId="1"/>
  </si>
  <si>
    <t>【クリスマスウォー】人影花</t>
    <phoneticPr fontId="1"/>
  </si>
  <si>
    <t>全国</t>
    <phoneticPr fontId="1"/>
  </si>
  <si>
    <t>くりすますうぉーひとかげはな</t>
    <phoneticPr fontId="1"/>
  </si>
  <si>
    <t>タイプ伝承・武人・姫の攻35％UP　/　タイプ伝承・武人・姫の防10％DOWN</t>
    <phoneticPr fontId="1"/>
  </si>
  <si>
    <t>聖夜への呪言</t>
    <phoneticPr fontId="1"/>
  </si>
  <si>
    <t>伝承</t>
    <phoneticPr fontId="1"/>
  </si>
  <si>
    <t>【くノ一】バスバーガー</t>
    <phoneticPr fontId="1"/>
  </si>
  <si>
    <t>西日本</t>
    <phoneticPr fontId="1"/>
  </si>
  <si>
    <t>くのいちばすばーがー</t>
    <phoneticPr fontId="1"/>
  </si>
  <si>
    <t>タイプ神秘・知性派・飲食の防35％UP</t>
    <phoneticPr fontId="1"/>
  </si>
  <si>
    <t>自慢の手裏剣</t>
    <phoneticPr fontId="1"/>
  </si>
  <si>
    <t>飲食</t>
    <phoneticPr fontId="1"/>
  </si>
  <si>
    <t>タイプ飲食・武人の攻90％DOWN　/　タイプ偉人・名物の防30％UP</t>
    <phoneticPr fontId="1"/>
  </si>
  <si>
    <t>招き猫の戯れ</t>
    <phoneticPr fontId="1"/>
  </si>
  <si>
    <t>妖怪</t>
    <phoneticPr fontId="1"/>
  </si>
  <si>
    <t>まねきねこあぷとるやむぺうぇんゆく</t>
    <phoneticPr fontId="1"/>
  </si>
  <si>
    <t>【招き猫】アプトルヤムペウェンユク</t>
    <phoneticPr fontId="1"/>
  </si>
  <si>
    <t>東日本</t>
    <phoneticPr fontId="1"/>
  </si>
  <si>
    <t>タイプ【名物】の攻35％UP　/　タイプ偉人・妖怪の攻25％UP</t>
    <phoneticPr fontId="1"/>
  </si>
  <si>
    <t>ふらり迷う心火</t>
    <phoneticPr fontId="1"/>
  </si>
  <si>
    <t>しんせいくらぶふらりび</t>
    <phoneticPr fontId="1"/>
  </si>
  <si>
    <t>[新生]【クラブ】ふらり火</t>
    <phoneticPr fontId="1"/>
  </si>
  <si>
    <t>中部</t>
    <phoneticPr fontId="1"/>
  </si>
  <si>
    <t>タイプ神秘・飲食の攻30％UP　/　タイプ【知性派】の攻20％UP</t>
    <phoneticPr fontId="1"/>
  </si>
  <si>
    <t>小さき球に想いを込めて</t>
    <phoneticPr fontId="1"/>
  </si>
  <si>
    <t>知性派</t>
    <phoneticPr fontId="1"/>
  </si>
  <si>
    <t>しんせいたっきゅうやまのうえのおくら</t>
    <phoneticPr fontId="1"/>
  </si>
  <si>
    <t>[新生]【卓球】山上憶良</t>
    <phoneticPr fontId="1"/>
  </si>
  <si>
    <t>九州・沖縄</t>
    <phoneticPr fontId="1"/>
  </si>
  <si>
    <t>タイプ武人・姫の防30％UP　/　タイプ【伝承】の防20％UP</t>
    <phoneticPr fontId="1"/>
  </si>
  <si>
    <t>極寒の哀情歌</t>
    <phoneticPr fontId="1"/>
  </si>
  <si>
    <t>しんせいげんじゅうそではぎ</t>
    <phoneticPr fontId="1"/>
  </si>
  <si>
    <t>[新生]【幻獣】袖萩</t>
    <phoneticPr fontId="1"/>
  </si>
  <si>
    <t>北海道・東北</t>
    <phoneticPr fontId="1"/>
  </si>
  <si>
    <t>2019/12防衛戦</t>
    <phoneticPr fontId="1"/>
  </si>
  <si>
    <t>2019/08全国巡り</t>
    <rPh sb="7" eb="9">
      <t>ゼンコク</t>
    </rPh>
    <rPh sb="9" eb="10">
      <t>メグ</t>
    </rPh>
    <phoneticPr fontId="1"/>
  </si>
  <si>
    <t>2019/09天下統一戦</t>
    <rPh sb="7" eb="9">
      <t>テンカ</t>
    </rPh>
    <rPh sb="9" eb="11">
      <t>トウイツ</t>
    </rPh>
    <rPh sb="11" eb="12">
      <t>セン</t>
    </rPh>
    <phoneticPr fontId="1"/>
  </si>
  <si>
    <t>2020/03防衛戦</t>
    <rPh sb="7" eb="10">
      <t>ボウエイセン</t>
    </rPh>
    <phoneticPr fontId="1"/>
  </si>
  <si>
    <t>2019/04防衛戦</t>
    <rPh sb="7" eb="10">
      <t>ボウエイセン</t>
    </rPh>
    <phoneticPr fontId="1"/>
  </si>
  <si>
    <t>2019/12防衛戦</t>
    <rPh sb="7" eb="10">
      <t>ボウエイセン</t>
    </rPh>
    <phoneticPr fontId="1"/>
  </si>
  <si>
    <t>2018/08防衛戦</t>
    <rPh sb="7" eb="10">
      <t>ボウエイセン</t>
    </rPh>
    <phoneticPr fontId="1"/>
  </si>
  <si>
    <t>【読書の季節】平家蟹</t>
    <phoneticPr fontId="1"/>
  </si>
  <si>
    <t>防衛戦5進化隊士 目指せお宝！パイレーツガチャ</t>
    <rPh sb="0" eb="3">
      <t>ボウエイセン</t>
    </rPh>
    <phoneticPr fontId="1"/>
  </si>
  <si>
    <t>【大海賊の亡霊】かまいたち</t>
    <phoneticPr fontId="1"/>
  </si>
  <si>
    <t>西日本</t>
    <rPh sb="0" eb="1">
      <t>ニシ</t>
    </rPh>
    <rPh sb="1" eb="3">
      <t>ニホン</t>
    </rPh>
    <phoneticPr fontId="1"/>
  </si>
  <si>
    <t>だいかいぞくのぼうれいかまいたち</t>
    <phoneticPr fontId="1"/>
  </si>
  <si>
    <t>タイプ【名物】の攻35％UP　/　タイプ偉人・妖怪の攻20％UP</t>
    <phoneticPr fontId="1"/>
  </si>
  <si>
    <t>海賊斬る旋風の一撃</t>
    <phoneticPr fontId="1"/>
  </si>
  <si>
    <t>妖怪</t>
    <phoneticPr fontId="1"/>
  </si>
  <si>
    <t>タイプ【名物】の攻20％UP　/　タイプ偉人・妖怪の攻10％UP</t>
    <phoneticPr fontId="1"/>
  </si>
  <si>
    <t>タイプ【名物】の攻10％UP　/　タイプ偉人・妖怪の攻5％UP</t>
    <phoneticPr fontId="1"/>
  </si>
  <si>
    <t>戦極ガチャ</t>
    <phoneticPr fontId="1"/>
  </si>
  <si>
    <t>7/2 15:00～7/7 23:59</t>
    <phoneticPr fontId="1"/>
  </si>
  <si>
    <t>祝来！宝船福引ガチャ</t>
    <phoneticPr fontId="1"/>
  </si>
  <si>
    <t>7/3 12:00～7/4 11:59</t>
    <phoneticPr fontId="1"/>
  </si>
  <si>
    <t>2018/09防衛戦</t>
    <rPh sb="7" eb="10">
      <t>ボウエイセン</t>
    </rPh>
    <phoneticPr fontId="1"/>
  </si>
  <si>
    <t>シシリアンライス</t>
    <phoneticPr fontId="1"/>
  </si>
  <si>
    <t>四神戦 可憐なる妖術士ガチャ</t>
    <rPh sb="0" eb="1">
      <t>ヨン</t>
    </rPh>
    <rPh sb="1" eb="2">
      <t>シン</t>
    </rPh>
    <rPh sb="2" eb="3">
      <t>セン</t>
    </rPh>
    <phoneticPr fontId="1"/>
  </si>
  <si>
    <t>(Lvアップ)6/8 12:00～6/14 11:59</t>
    <phoneticPr fontId="1"/>
  </si>
  <si>
    <t>(DX)6/8 12:00～6/14 11:59</t>
    <phoneticPr fontId="1"/>
  </si>
  <si>
    <t>SSR</t>
    <phoneticPr fontId="1"/>
  </si>
  <si>
    <t>SR</t>
    <phoneticPr fontId="1"/>
  </si>
  <si>
    <t>HR</t>
    <phoneticPr fontId="1"/>
  </si>
  <si>
    <t>R</t>
    <phoneticPr fontId="1"/>
  </si>
  <si>
    <t>超攻再臨ガチャ</t>
    <phoneticPr fontId="1"/>
  </si>
  <si>
    <t>6/8 18:00～6/10 23:59</t>
    <phoneticPr fontId="1"/>
  </si>
  <si>
    <t>不動の雅城ガチャ</t>
    <phoneticPr fontId="1"/>
  </si>
  <si>
    <t>(10連)6/13 12:00～6/20 23:59</t>
    <rPh sb="3" eb="4">
      <t>レン</t>
    </rPh>
    <phoneticPr fontId="1"/>
  </si>
  <si>
    <t>(20連)6/13 12:00～6/20 23:59</t>
    <phoneticPr fontId="1"/>
  </si>
  <si>
    <t>6/13 18:00～6/15 23:59</t>
    <phoneticPr fontId="1"/>
  </si>
  <si>
    <t>名城三姫</t>
    <phoneticPr fontId="1"/>
  </si>
  <si>
    <t>全国</t>
    <phoneticPr fontId="1"/>
  </si>
  <si>
    <t>SP</t>
    <phoneticPr fontId="1"/>
  </si>
  <si>
    <t>90853_0</t>
    <phoneticPr fontId="1"/>
  </si>
  <si>
    <t>めいじょうさんき</t>
    <phoneticPr fontId="1"/>
  </si>
  <si>
    <t>名物</t>
    <phoneticPr fontId="1"/>
  </si>
  <si>
    <t>天下を照らす城</t>
    <phoneticPr fontId="1"/>
  </si>
  <si>
    <t>タイプ偉人・妖怪・名物の防45％UP　/　タイプ姫・妖怪・知性派の攻40％DOWN</t>
    <phoneticPr fontId="1"/>
  </si>
  <si>
    <t>錦城鉄壁</t>
    <phoneticPr fontId="1"/>
  </si>
  <si>
    <t>一定時間、敵が多いほど自軍のダメージ軽減</t>
    <phoneticPr fontId="1"/>
  </si>
  <si>
    <t>【阿久利黒】坂上田村麻呂</t>
    <phoneticPr fontId="1"/>
  </si>
  <si>
    <t>北海道・東北</t>
    <phoneticPr fontId="1"/>
  </si>
  <si>
    <t>あくりぐろさかのうえのたむらまろ</t>
    <phoneticPr fontId="1"/>
  </si>
  <si>
    <t>武人</t>
    <phoneticPr fontId="1"/>
  </si>
  <si>
    <t>駆け巡る運命共同体</t>
    <phoneticPr fontId="1"/>
  </si>
  <si>
    <t>タイプ姫・伝承の攻25％UP　/　タイプ【武人】の攻10％UP</t>
    <phoneticPr fontId="1"/>
  </si>
  <si>
    <t>サイコロ行脚 目指せエレメンタルマスター！ガチャ</t>
    <rPh sb="4" eb="6">
      <t>アンギャ</t>
    </rPh>
    <phoneticPr fontId="1"/>
  </si>
  <si>
    <t>(Lvアップ)6/14 12:00～6/21 11:59</t>
    <phoneticPr fontId="1"/>
  </si>
  <si>
    <t>(DX)6/14 12:00～6/21 11:59</t>
    <phoneticPr fontId="1"/>
  </si>
  <si>
    <t>【エレメンタル】ムルル</t>
    <phoneticPr fontId="1"/>
  </si>
  <si>
    <t>九州・沖縄</t>
    <phoneticPr fontId="1"/>
  </si>
  <si>
    <t>えれめんたるむるる</t>
    <phoneticPr fontId="1"/>
  </si>
  <si>
    <t>タイプ偉人・妖怪・名物の攻85％DOWN　/　タイプ知性派・飲食の防30％UP</t>
    <phoneticPr fontId="1"/>
  </si>
  <si>
    <t>素敵な相談役</t>
    <phoneticPr fontId="1"/>
  </si>
  <si>
    <t>神秘</t>
    <phoneticPr fontId="1"/>
  </si>
  <si>
    <t>タイプ【武人】の攻90％UP　/　タイプ姫・伝承の攻30％UP</t>
    <phoneticPr fontId="1"/>
  </si>
  <si>
    <t>山間に並べたる魚群</t>
    <phoneticPr fontId="1"/>
  </si>
  <si>
    <t>姫</t>
    <phoneticPr fontId="1"/>
  </si>
  <si>
    <t>しんせいこいのぼりひのとみこ</t>
    <phoneticPr fontId="1"/>
  </si>
  <si>
    <t>[新生]【鯉のぼり】日野富子</t>
    <phoneticPr fontId="1"/>
  </si>
  <si>
    <t>近畿</t>
    <phoneticPr fontId="1"/>
  </si>
  <si>
    <t>タイプ武人・伝承の防30％UP　/　タイプ【姫】の防10％UP</t>
    <phoneticPr fontId="1"/>
  </si>
  <si>
    <t>敵を惑わす守護魔法</t>
    <phoneticPr fontId="1"/>
  </si>
  <si>
    <t>しんせいまほうしょうじょききょうひめ</t>
    <phoneticPr fontId="1"/>
  </si>
  <si>
    <t>[新生]【魔法少女】桔梗姫</t>
    <phoneticPr fontId="1"/>
  </si>
  <si>
    <t>関東</t>
    <phoneticPr fontId="1"/>
  </si>
  <si>
    <t>タイプ武人・伝承の攻20％UP</t>
    <phoneticPr fontId="1"/>
  </si>
  <si>
    <t>遠距離を埋める愛の箒</t>
    <phoneticPr fontId="1"/>
  </si>
  <si>
    <t>しんせいまほうしょうじょごうひめ</t>
    <phoneticPr fontId="1"/>
  </si>
  <si>
    <t>[新生]【魔法少女】豪姫</t>
    <phoneticPr fontId="1"/>
  </si>
  <si>
    <t>中国・四国</t>
    <phoneticPr fontId="1"/>
  </si>
  <si>
    <t>タイプ【偉人】の防20％UP</t>
    <phoneticPr fontId="1"/>
  </si>
  <si>
    <t>魔法という名の悪戯</t>
    <phoneticPr fontId="1"/>
  </si>
  <si>
    <t>妖怪</t>
    <phoneticPr fontId="1"/>
  </si>
  <si>
    <t>しんせいまほうつかいきのこ</t>
    <phoneticPr fontId="1"/>
  </si>
  <si>
    <t>[新生]【魔法使い】木の子</t>
    <phoneticPr fontId="1"/>
  </si>
  <si>
    <t>兵庫</t>
    <phoneticPr fontId="1"/>
  </si>
  <si>
    <t>豪華玉手箱ガチャ</t>
    <phoneticPr fontId="1"/>
  </si>
  <si>
    <t>6/14 15:00～6/14 23:59</t>
    <phoneticPr fontId="1"/>
  </si>
  <si>
    <t>祝来！宝船福引ガチャ</t>
    <phoneticPr fontId="1"/>
  </si>
  <si>
    <t>6/14 18:00～6/15 17:59</t>
    <phoneticPr fontId="1"/>
  </si>
  <si>
    <t>しんせいゆけむりきょうごくまりあ</t>
    <phoneticPr fontId="1"/>
  </si>
  <si>
    <t>しんせいとくがわよしかつ</t>
    <phoneticPr fontId="1"/>
  </si>
  <si>
    <t>【妖術】クリオズナ</t>
    <phoneticPr fontId="1"/>
  </si>
  <si>
    <t>ようじゅつくりおずな</t>
    <phoneticPr fontId="1"/>
  </si>
  <si>
    <t>タイプ伝承・武人・姫の防40％UP　/　タイプ飲食・武人・名物の攻10％DOWN</t>
    <phoneticPr fontId="1"/>
  </si>
  <si>
    <t>森の妖術使い</t>
    <phoneticPr fontId="1"/>
  </si>
  <si>
    <t>伝承</t>
    <phoneticPr fontId="1"/>
  </si>
  <si>
    <t>[新生]【四十八天狗】彦山豊前坊</t>
    <phoneticPr fontId="1"/>
  </si>
  <si>
    <t>タイプ【名物】の攻35％UP　/　タイプ偉人・妖怪の攻20％UP</t>
    <phoneticPr fontId="1"/>
  </si>
  <si>
    <t>律する大天狗</t>
    <phoneticPr fontId="1"/>
  </si>
  <si>
    <t>しんせいしじゅうはちてんぐひこざんぶぜんぼう</t>
    <phoneticPr fontId="1"/>
  </si>
  <si>
    <t>タイプ知性派・飲食の防30％UP　/　タイプ【神秘】の防10％UP</t>
    <phoneticPr fontId="1"/>
  </si>
  <si>
    <t>闇に浮かぶ狐火</t>
    <phoneticPr fontId="1"/>
  </si>
  <si>
    <t>しんせいしじゅうはちまがりとうげのきつねび</t>
    <phoneticPr fontId="1"/>
  </si>
  <si>
    <t>[新生]四十八曲峠の狐火</t>
    <phoneticPr fontId="1"/>
  </si>
  <si>
    <t>中部</t>
    <phoneticPr fontId="1"/>
  </si>
  <si>
    <t>タイプ偉人・名物の攻20％UP</t>
    <phoneticPr fontId="1"/>
  </si>
  <si>
    <t>夜道を照らす月草の光</t>
    <phoneticPr fontId="1"/>
  </si>
  <si>
    <t>しんせいきつねのちょうちん</t>
    <phoneticPr fontId="1"/>
  </si>
  <si>
    <t>[新生]きつねの提灯</t>
    <phoneticPr fontId="1"/>
  </si>
  <si>
    <t>タイプ【名物】の防20％UP</t>
    <phoneticPr fontId="1"/>
  </si>
  <si>
    <t>白面金毛の妖狐</t>
    <phoneticPr fontId="1"/>
  </si>
  <si>
    <t>しんせいきゅうびのきつね</t>
    <phoneticPr fontId="1"/>
  </si>
  <si>
    <t>[新生]九尾の狐</t>
    <phoneticPr fontId="1"/>
  </si>
  <si>
    <t>無所属</t>
    <phoneticPr fontId="1"/>
  </si>
  <si>
    <t>チェリーパイ</t>
    <phoneticPr fontId="1"/>
  </si>
  <si>
    <t>ちぇりーぱい</t>
    <phoneticPr fontId="1"/>
  </si>
  <si>
    <t>美味しいチェリーパイ</t>
    <phoneticPr fontId="1"/>
  </si>
  <si>
    <t>飲食</t>
    <phoneticPr fontId="1"/>
  </si>
  <si>
    <t>タイプ神秘・知性派の攻30％UP　/　タイプ【飲食】の攻15％UP</t>
    <phoneticPr fontId="1"/>
  </si>
  <si>
    <t>四神戦5進化隊士 優しさ香る洋菓子ガチャ</t>
    <rPh sb="0" eb="1">
      <t>ヨン</t>
    </rPh>
    <rPh sb="1" eb="2">
      <t>シン</t>
    </rPh>
    <rPh sb="2" eb="3">
      <t>セン</t>
    </rPh>
    <rPh sb="4" eb="6">
      <t>シンカ</t>
    </rPh>
    <rPh sb="6" eb="8">
      <t>タイシ</t>
    </rPh>
    <phoneticPr fontId="1"/>
  </si>
  <si>
    <t>6/9 12:00～6/14 11:59</t>
    <phoneticPr fontId="1"/>
  </si>
  <si>
    <t>タイプ神秘・知性派の攻20％UP　/　タイプ【飲食】の攻10％UP</t>
    <phoneticPr fontId="1"/>
  </si>
  <si>
    <t>タイプ神秘・知性派の攻10％UP　/　タイプ【飲食】の攻5％UP</t>
    <phoneticPr fontId="1"/>
  </si>
  <si>
    <t>6/9 15:00～6/9 23:59</t>
    <phoneticPr fontId="1"/>
  </si>
  <si>
    <t>四神戦 英雄ガチャ</t>
    <rPh sb="0" eb="1">
      <t>ヨン</t>
    </rPh>
    <rPh sb="1" eb="2">
      <t>シン</t>
    </rPh>
    <rPh sb="2" eb="3">
      <t>セン</t>
    </rPh>
    <rPh sb="4" eb="6">
      <t>エイユウ</t>
    </rPh>
    <phoneticPr fontId="1"/>
  </si>
  <si>
    <t>6/10 11:00～6/10 23:59</t>
    <phoneticPr fontId="1"/>
  </si>
  <si>
    <t>6/10 15:00～6/11 14:59</t>
    <phoneticPr fontId="1"/>
  </si>
  <si>
    <t>超防再臨ガチャ</t>
    <phoneticPr fontId="1"/>
  </si>
  <si>
    <t>6/11 18:00～6/13 23:59</t>
    <phoneticPr fontId="1"/>
  </si>
  <si>
    <t>刹那！最強DOWN隊士ガチャ</t>
    <phoneticPr fontId="1"/>
  </si>
  <si>
    <t>6/11 20:00～6/11 23:59</t>
    <phoneticPr fontId="1"/>
  </si>
  <si>
    <t>6/12 11:00～6/12 23:59</t>
    <phoneticPr fontId="1"/>
  </si>
  <si>
    <t>6/12 18:00～6/12 21:59</t>
    <phoneticPr fontId="1"/>
  </si>
  <si>
    <t>サイコロ行脚5進化隊士 純白の麗装ガチャ</t>
    <rPh sb="4" eb="6">
      <t>アンギャ</t>
    </rPh>
    <rPh sb="7" eb="9">
      <t>シンカ</t>
    </rPh>
    <rPh sb="9" eb="11">
      <t>タイシ</t>
    </rPh>
    <phoneticPr fontId="1"/>
  </si>
  <si>
    <t>6/15 12:00～6/20 22:59</t>
    <phoneticPr fontId="1"/>
  </si>
  <si>
    <t>2020夏目前！梅雨の福引ガチャ</t>
    <rPh sb="4" eb="5">
      <t>ナツ</t>
    </rPh>
    <rPh sb="5" eb="7">
      <t>モクゼン</t>
    </rPh>
    <rPh sb="8" eb="10">
      <t>ツユ</t>
    </rPh>
    <rPh sb="11" eb="13">
      <t>フクビキ</t>
    </rPh>
    <phoneticPr fontId="1"/>
  </si>
  <si>
    <t>06/15 15:00～06/16 23:59</t>
    <phoneticPr fontId="1"/>
  </si>
  <si>
    <t>【武家の花嫁】クチナシ</t>
    <phoneticPr fontId="1"/>
  </si>
  <si>
    <t>ぶけのはなよめくちなし</t>
    <phoneticPr fontId="1"/>
  </si>
  <si>
    <t>美しき姫君</t>
    <phoneticPr fontId="1"/>
  </si>
  <si>
    <t>タイプ偉人・妖怪・名物の防45％UP　/　タイプ名物・武人・知性派の攻10％DOWN</t>
    <phoneticPr fontId="1"/>
  </si>
  <si>
    <t>タイプ偉人・妖怪・名物の防30％UP　/　タイプ名物・武人の攻10％DOWN</t>
    <phoneticPr fontId="1"/>
  </si>
  <si>
    <t>タイプ偉人・妖怪の防20％UP　/　タイプ【武人】の攻10％DOWN</t>
    <phoneticPr fontId="1"/>
  </si>
  <si>
    <t>【紙幣】樋口一葉</t>
    <phoneticPr fontId="1"/>
  </si>
  <si>
    <t>しへいひぐちいちよう</t>
    <phoneticPr fontId="1"/>
  </si>
  <si>
    <t>東日本</t>
    <phoneticPr fontId="1"/>
  </si>
  <si>
    <t>タイプ妖怪・名物の防22％UP</t>
    <phoneticPr fontId="1"/>
  </si>
  <si>
    <t>幾千もの名作を称えて</t>
    <phoneticPr fontId="1"/>
  </si>
  <si>
    <t>偉人</t>
    <phoneticPr fontId="1"/>
  </si>
  <si>
    <t>ポン酢</t>
    <phoneticPr fontId="1"/>
  </si>
  <si>
    <t>ぽんず</t>
    <phoneticPr fontId="1"/>
  </si>
  <si>
    <t>タイプ神秘・知性派・名物の攻30％UP</t>
    <phoneticPr fontId="1"/>
  </si>
  <si>
    <t>柑橘の酢酸作用</t>
    <phoneticPr fontId="1"/>
  </si>
  <si>
    <t>【華麗なる】アゼノイラツメ</t>
    <phoneticPr fontId="1"/>
  </si>
  <si>
    <t>かれいなるあぜのいらつめ</t>
    <phoneticPr fontId="1"/>
  </si>
  <si>
    <t>異国を詠い故郷を思う</t>
    <phoneticPr fontId="1"/>
  </si>
  <si>
    <t>知性派</t>
    <phoneticPr fontId="1"/>
  </si>
  <si>
    <t>サイコロ行脚 英雄ガチャ</t>
    <rPh sb="7" eb="9">
      <t>エイユウ</t>
    </rPh>
    <phoneticPr fontId="1"/>
  </si>
  <si>
    <t>6/16 11:00～6/16 23:59</t>
    <phoneticPr fontId="1"/>
  </si>
  <si>
    <t>6/16 18:00～6/18 23:59</t>
    <phoneticPr fontId="1"/>
  </si>
  <si>
    <t>戦神ガチャ</t>
    <phoneticPr fontId="1"/>
  </si>
  <si>
    <t>6/17 15:00～6/19 23:59</t>
    <phoneticPr fontId="1"/>
  </si>
  <si>
    <t>陽煌の祭典ガチャ</t>
    <phoneticPr fontId="1"/>
  </si>
  <si>
    <t>6/17 18:00～6/22 23:59</t>
    <phoneticPr fontId="1"/>
  </si>
  <si>
    <t>【陽光の祭典】ヘルメース</t>
    <phoneticPr fontId="1"/>
  </si>
  <si>
    <t>タイプ伝承・武人・姫の攻25％UP　/　所属が【北海道・東北】とそれに属する県、および【全国】【東日本】の攻30％UP</t>
    <phoneticPr fontId="1"/>
  </si>
  <si>
    <t>天駆ける靴音</t>
    <phoneticPr fontId="1"/>
  </si>
  <si>
    <t>ようこうのさいてんへるめーす</t>
    <phoneticPr fontId="1"/>
  </si>
  <si>
    <t>タイプ神秘・知性派・飲食の攻25％UP　/　所属が【関東】とそれに属する県、および【全国】【東日本】の攻30％UP</t>
    <phoneticPr fontId="1"/>
  </si>
  <si>
    <t>美味しさと美しさの追求</t>
    <phoneticPr fontId="1"/>
  </si>
  <si>
    <t>ようこうのさいてんろーずぱふぇ</t>
    <phoneticPr fontId="1"/>
  </si>
  <si>
    <t>【陽光の祭典】ローズパフェ</t>
    <phoneticPr fontId="1"/>
  </si>
  <si>
    <t>タイプ偉人・妖怪・名物の攻25％UP　/　所属が【中部】とそれに属する県、および【全国】【東日本】の攻30％UP</t>
    <phoneticPr fontId="1"/>
  </si>
  <si>
    <t>安心のための備え</t>
    <phoneticPr fontId="1"/>
  </si>
  <si>
    <t>ようこうのさいてんくすりうりちゃん</t>
    <phoneticPr fontId="1"/>
  </si>
  <si>
    <t>【陽光の祭典】薬売りちゃん</t>
    <phoneticPr fontId="1"/>
  </si>
  <si>
    <t>タイプ偉人・妖怪・名物の攻25％UP　/　所属が【近畿】とそれに属する県、および【全国】【西日本】の攻30％UP</t>
    <phoneticPr fontId="1"/>
  </si>
  <si>
    <t>守るための牙</t>
    <phoneticPr fontId="1"/>
  </si>
  <si>
    <t>ようこうのさいてんおくりおおかみ</t>
    <phoneticPr fontId="1"/>
  </si>
  <si>
    <t>【陽光の祭典】送り狼</t>
    <phoneticPr fontId="1"/>
  </si>
  <si>
    <t>タイプ神秘・知性派・飲食の攻25％UP　/　所属が【中国・四国】とそれに属する県、および【全国】【西日本】の攻30％UP</t>
    <phoneticPr fontId="1"/>
  </si>
  <si>
    <t>憧れる世界</t>
    <phoneticPr fontId="1"/>
  </si>
  <si>
    <t>ようこうのさいてんせふぃろと</t>
    <phoneticPr fontId="1"/>
  </si>
  <si>
    <t>【陽光の祭典】セフィロト</t>
    <phoneticPr fontId="1"/>
  </si>
  <si>
    <t>タイプ伝承・武人・姫の攻25％UP　/　所属が【九州・沖縄】とそれに属する県、および【全国】【西日本】の攻30％UP</t>
    <phoneticPr fontId="1"/>
  </si>
  <si>
    <t>聡明な妻</t>
    <phoneticPr fontId="1"/>
  </si>
  <si>
    <t>ようこうのさいてんおりょう</t>
    <phoneticPr fontId="1"/>
  </si>
  <si>
    <t>【陽光の祭典】おりょう</t>
    <phoneticPr fontId="1"/>
  </si>
  <si>
    <t>6/18 12:00～6/19 11:59</t>
    <phoneticPr fontId="1"/>
  </si>
  <si>
    <t>6/18 15:00～6/18 23:59</t>
    <phoneticPr fontId="1"/>
  </si>
  <si>
    <t>6/19 11:00～6/19 23:59</t>
    <phoneticPr fontId="1"/>
  </si>
  <si>
    <t>古豪戦傑ガチャ</t>
    <phoneticPr fontId="1"/>
  </si>
  <si>
    <t>6/19 12:00～6/21 23:59</t>
    <phoneticPr fontId="1"/>
  </si>
  <si>
    <t>【遊園地ハザード】宗義智</t>
    <phoneticPr fontId="1"/>
  </si>
  <si>
    <t>タイプ姫・伝承の防25％UP　/　タイプ【武人】の防10％UP</t>
    <phoneticPr fontId="1"/>
  </si>
  <si>
    <t>闇のテーマパーク</t>
    <phoneticPr fontId="1"/>
  </si>
  <si>
    <t>ゆうえんちはざーどそうよしとし</t>
    <phoneticPr fontId="1"/>
  </si>
  <si>
    <t>タイプ神秘・知性派・飲食の攻40％UP　/　タイプ神秘・知性派・飲食の防10％DOWN</t>
    <phoneticPr fontId="1"/>
  </si>
  <si>
    <t>平安ロック</t>
    <phoneticPr fontId="1"/>
  </si>
  <si>
    <t>なつふぇすいずみしきぶ</t>
    <phoneticPr fontId="1"/>
  </si>
  <si>
    <t>西日本</t>
    <phoneticPr fontId="1"/>
  </si>
  <si>
    <t>【夏フェス】和泉式部</t>
    <phoneticPr fontId="1"/>
  </si>
  <si>
    <t>タイプ偉人・妖怪・名物の攻35％UP　/　タイプ神秘・知性派・飲食の防10％DOWN</t>
    <phoneticPr fontId="1"/>
  </si>
  <si>
    <t>一球入魂</t>
    <phoneticPr fontId="1"/>
  </si>
  <si>
    <t>せんりつのすまっしゅごりょうかくさん</t>
    <phoneticPr fontId="1"/>
  </si>
  <si>
    <t>【戦慄のスマッシュ】五稜郭さん</t>
    <phoneticPr fontId="1"/>
  </si>
  <si>
    <t>タイプ【妖怪】の防35％UP　/　タイプ偉人・名物の防25％UP</t>
    <phoneticPr fontId="1"/>
  </si>
  <si>
    <t>コバルトブルーの魔女っこ</t>
    <phoneticPr fontId="1"/>
  </si>
  <si>
    <t>しんせいまじょっこうみじごくちゃん</t>
    <phoneticPr fontId="1"/>
  </si>
  <si>
    <t>[新生]【魔女っこ】海地獄ちゃん</t>
    <phoneticPr fontId="1"/>
  </si>
  <si>
    <t>タイプ神秘・飲食の攻30％UP　/　タイプ【知性派】の攻20％UP</t>
    <phoneticPr fontId="1"/>
  </si>
  <si>
    <t>青き美貌の軍師</t>
    <phoneticPr fontId="1"/>
  </si>
  <si>
    <t>しんせいしれいかんさふぁいあ</t>
    <phoneticPr fontId="1"/>
  </si>
  <si>
    <t>[新生]【司令官】サファイア</t>
    <phoneticPr fontId="1"/>
  </si>
  <si>
    <t>タイプ神秘・知性派の防30％UP　/　タイプ【飲食】の防25％UP</t>
    <phoneticPr fontId="1"/>
  </si>
  <si>
    <t>笹の香りとサクラマス</t>
    <phoneticPr fontId="1"/>
  </si>
  <si>
    <t>しんせいますのすしちゃん</t>
    <phoneticPr fontId="1"/>
  </si>
  <si>
    <t>[新生]ますの寿司ちゃん</t>
    <phoneticPr fontId="1"/>
  </si>
  <si>
    <t>2019/09防衛戦</t>
    <rPh sb="7" eb="10">
      <t>ボウエイセン</t>
    </rPh>
    <phoneticPr fontId="1"/>
  </si>
  <si>
    <t>2019/06全国巡り</t>
    <rPh sb="7" eb="9">
      <t>ゼンコク</t>
    </rPh>
    <rPh sb="9" eb="10">
      <t>メグ</t>
    </rPh>
    <phoneticPr fontId="1"/>
  </si>
  <si>
    <t>2019/10防衛戦</t>
    <rPh sb="7" eb="10">
      <t>ボウエイセン</t>
    </rPh>
    <phoneticPr fontId="1"/>
  </si>
  <si>
    <t>2019/08四神戦</t>
    <rPh sb="7" eb="8">
      <t>ヨン</t>
    </rPh>
    <rPh sb="8" eb="9">
      <t>シン</t>
    </rPh>
    <rPh sb="9" eb="10">
      <t>セン</t>
    </rPh>
    <phoneticPr fontId="1"/>
  </si>
  <si>
    <t>2019/08全国巡り</t>
    <rPh sb="7" eb="9">
      <t>ゼンコク</t>
    </rPh>
    <rPh sb="9" eb="10">
      <t>メグ</t>
    </rPh>
    <phoneticPr fontId="1"/>
  </si>
  <si>
    <t>6/20 15:00～6/20 23:59</t>
    <phoneticPr fontId="1"/>
  </si>
  <si>
    <t>6/20 20:00～6/20 23:59</t>
    <phoneticPr fontId="1"/>
  </si>
  <si>
    <t>超攻撃ガチャ</t>
    <phoneticPr fontId="1"/>
  </si>
  <si>
    <t>6/21 12:00～6/25 11:59</t>
    <phoneticPr fontId="1"/>
  </si>
  <si>
    <t>6/21 15:00～6/22 14:59</t>
    <phoneticPr fontId="1"/>
  </si>
  <si>
    <t>6/21 18:00～6/21 21:59</t>
    <phoneticPr fontId="1"/>
  </si>
  <si>
    <t>【ヴィランズ】マリソンデモニア</t>
    <phoneticPr fontId="1"/>
  </si>
  <si>
    <t>ゔぃらんずまりそんでもにあ</t>
    <phoneticPr fontId="1"/>
  </si>
  <si>
    <t>ヘルシャウト</t>
    <phoneticPr fontId="1"/>
  </si>
  <si>
    <t>タイプ偉人・妖怪の攻45％UP　/　タイプ【名物】の攻30％UP</t>
    <phoneticPr fontId="1"/>
  </si>
  <si>
    <t>タイプ偉人・妖怪の攻35％UP　/　タイプ【名物】の攻25％UP</t>
    <phoneticPr fontId="1"/>
  </si>
  <si>
    <t>タイプ偉人・妖怪の攻30％UP　/　タイプ【名物】の攻20％UP</t>
    <phoneticPr fontId="1"/>
  </si>
  <si>
    <t>タイプ【姫】の攻35％UP　/　タイプ武人・伝承の攻20％UP</t>
    <phoneticPr fontId="1"/>
  </si>
  <si>
    <t>クロスファイア</t>
    <phoneticPr fontId="1"/>
  </si>
  <si>
    <t>ゔぃらんずあまでぃあ</t>
    <phoneticPr fontId="1"/>
  </si>
  <si>
    <t>【ヴィランズ】アマディア</t>
    <phoneticPr fontId="1"/>
  </si>
  <si>
    <t>タイプ【姫】の攻20％UP　/　タイプ武人・伝承の攻15％UP</t>
    <phoneticPr fontId="1"/>
  </si>
  <si>
    <t>タイプ【姫】の攻10％UP　/　タイプ武人・伝承の攻15％UP</t>
    <phoneticPr fontId="1"/>
  </si>
  <si>
    <t>超防御ガチャ</t>
    <phoneticPr fontId="1"/>
  </si>
  <si>
    <t>6/22 12:00～6/25 11:59</t>
    <phoneticPr fontId="1"/>
  </si>
  <si>
    <t>タイプ【飲食】の防90％UP　/　タイプ神秘・知性派の防30％UP</t>
    <phoneticPr fontId="1"/>
  </si>
  <si>
    <t>七色の電撃</t>
    <phoneticPr fontId="1"/>
  </si>
  <si>
    <t>ゔぃらんずこーどねーむえる</t>
    <phoneticPr fontId="1"/>
  </si>
  <si>
    <t>【ヴィランズ】コードネームＬ</t>
    <phoneticPr fontId="1"/>
  </si>
  <si>
    <t>タイプ【飲食】の防65％UP　/　タイプ神秘・知性派の防25％UP</t>
    <phoneticPr fontId="1"/>
  </si>
  <si>
    <t>タイプ【飲食】の防50％UP　/　タイプ神秘・知性派の防25％UP</t>
    <phoneticPr fontId="1"/>
  </si>
  <si>
    <t>タイプ偉人・妖怪・名物の防40％UP　/　タイプ姫・妖怪・神秘の攻10％DOWN</t>
    <phoneticPr fontId="1"/>
  </si>
  <si>
    <t>悲哀の力</t>
    <phoneticPr fontId="1"/>
  </si>
  <si>
    <t>ゔぃらんずれでぃーふらんけん</t>
    <phoneticPr fontId="1"/>
  </si>
  <si>
    <t>【ヴィランズ】レディーフランケン</t>
    <phoneticPr fontId="1"/>
  </si>
  <si>
    <t>タイプ偉人・妖怪・名物の防30％UP　/　タイプ姫・妖怪・神秘の攻10％DOWN</t>
    <phoneticPr fontId="1"/>
  </si>
  <si>
    <t>タイプ偉人・妖怪・名物の防25％UP　/　タイプ姫・妖怪・神秘の攻10％DOWN</t>
    <phoneticPr fontId="1"/>
  </si>
  <si>
    <t>天クロウィークガチャ</t>
    <phoneticPr fontId="1"/>
  </si>
  <si>
    <t>(3連)6/22 15:00～6/24 23:59</t>
    <rPh sb="2" eb="3">
      <t>レン</t>
    </rPh>
    <phoneticPr fontId="1"/>
  </si>
  <si>
    <t>(10連)6/22 15:00～6/24 23:59</t>
    <rPh sb="3" eb="4">
      <t>レン</t>
    </rPh>
    <phoneticPr fontId="1"/>
  </si>
  <si>
    <t>天クロファイターズ</t>
    <phoneticPr fontId="1"/>
  </si>
  <si>
    <t>90163_0</t>
    <phoneticPr fontId="1"/>
  </si>
  <si>
    <t>タイプ神秘・知性派・飲食の防15％UP　/　タイプ妖怪・名物の攻75％DOWN</t>
    <phoneticPr fontId="1"/>
  </si>
  <si>
    <t>てんくろふぁいたーず</t>
    <phoneticPr fontId="1"/>
  </si>
  <si>
    <t>悪を打ち払う拳</t>
    <phoneticPr fontId="1"/>
  </si>
  <si>
    <t>武術極めし雷神の娘</t>
    <phoneticPr fontId="1"/>
  </si>
  <si>
    <t>【中華飯店】立花誾千代</t>
    <phoneticPr fontId="1"/>
  </si>
  <si>
    <t>6/23 15:00～6/25 23:59</t>
    <phoneticPr fontId="1"/>
  </si>
  <si>
    <t>6/23 11:00～6/23 23:59</t>
    <phoneticPr fontId="1"/>
  </si>
  <si>
    <t>化かし狐と騙され男</t>
    <phoneticPr fontId="1"/>
  </si>
  <si>
    <t>しんせいようびおさんきつね</t>
    <phoneticPr fontId="1"/>
  </si>
  <si>
    <t>[新生]【妖美】お三狐</t>
    <phoneticPr fontId="1"/>
  </si>
  <si>
    <t>タイプ【伝承】の攻20％UP</t>
    <phoneticPr fontId="1"/>
  </si>
  <si>
    <t>竜馬の育て親</t>
    <phoneticPr fontId="1"/>
  </si>
  <si>
    <t>しんせいさかもとおとめ</t>
    <phoneticPr fontId="1"/>
  </si>
  <si>
    <t>[新生]坂本乙女</t>
    <phoneticPr fontId="1"/>
  </si>
  <si>
    <t>高知</t>
    <phoneticPr fontId="1"/>
  </si>
  <si>
    <t>6/24 11:00～6/24 23:59</t>
    <phoneticPr fontId="1"/>
  </si>
  <si>
    <t>同盟戦 英雄ガチャ</t>
    <rPh sb="0" eb="2">
      <t>ドウメイ</t>
    </rPh>
    <rPh sb="2" eb="3">
      <t>セン</t>
    </rPh>
    <rPh sb="4" eb="6">
      <t>エイユウ</t>
    </rPh>
    <phoneticPr fontId="1"/>
  </si>
  <si>
    <t>同盟戦 英雄ガチャ</t>
    <rPh sb="4" eb="6">
      <t>エイユウ</t>
    </rPh>
    <phoneticPr fontId="1"/>
  </si>
  <si>
    <t>6/24 20:00～6/24 23:59</t>
    <phoneticPr fontId="1"/>
  </si>
  <si>
    <t>タイプ【飲食】の防20％UP</t>
    <phoneticPr fontId="1"/>
  </si>
  <si>
    <t>動乱の歌人</t>
    <phoneticPr fontId="1"/>
  </si>
  <si>
    <t>しんせいきたばたけちかふさ</t>
    <phoneticPr fontId="1"/>
  </si>
  <si>
    <t>[新生]北畠親房</t>
    <phoneticPr fontId="1"/>
  </si>
  <si>
    <t>茨城</t>
    <phoneticPr fontId="1"/>
  </si>
  <si>
    <t>タイプ知性派・飲食の防20％UP</t>
    <phoneticPr fontId="1"/>
  </si>
  <si>
    <t>神の授けし土産の化身</t>
    <phoneticPr fontId="1"/>
  </si>
  <si>
    <t>しんせいきむんかむい</t>
    <phoneticPr fontId="1"/>
  </si>
  <si>
    <t>[新生]キムンカムイ</t>
    <phoneticPr fontId="1"/>
  </si>
  <si>
    <t>(DX)6/25 12:00～6/30 19:59</t>
    <phoneticPr fontId="1"/>
  </si>
  <si>
    <t>(Lvアップ)6/25 12:00～6/30 19:59</t>
    <phoneticPr fontId="1"/>
  </si>
  <si>
    <t>全国巡り 夏夜が香る蛍火ガチャ</t>
    <rPh sb="0" eb="2">
      <t>ゼンコク</t>
    </rPh>
    <rPh sb="2" eb="3">
      <t>メグ</t>
    </rPh>
    <phoneticPr fontId="1"/>
  </si>
  <si>
    <t>6/25 18:00～6/27 23:59</t>
    <phoneticPr fontId="1"/>
  </si>
  <si>
    <t>タイプ【武人】の防20％UP</t>
    <phoneticPr fontId="1"/>
  </si>
  <si>
    <t>龍の知らせ</t>
    <phoneticPr fontId="1"/>
  </si>
  <si>
    <t>しんせいおとみーさん</t>
    <phoneticPr fontId="1"/>
  </si>
  <si>
    <t>[新生]おとみーさん</t>
    <phoneticPr fontId="1"/>
  </si>
  <si>
    <t>島根</t>
    <phoneticPr fontId="1"/>
  </si>
  <si>
    <t>タイプ神秘・飲食・武人の攻85％DOWN　/　タイプ知性派・飲食の防30％UP</t>
    <phoneticPr fontId="1"/>
  </si>
  <si>
    <t>琵琶の音色響く幻想の夜</t>
    <phoneticPr fontId="1"/>
  </si>
  <si>
    <t>ほたるまつりべんざいてん</t>
    <phoneticPr fontId="1"/>
  </si>
  <si>
    <t>【ほたる祭り】弁財天</t>
    <phoneticPr fontId="1"/>
  </si>
  <si>
    <t>タイプ神秘・飲食の攻65％UP　/　タイプ【知性派】の攻20％UP</t>
    <phoneticPr fontId="1"/>
  </si>
  <si>
    <t>蛙に学んだ惜しまぬ努力</t>
    <phoneticPr fontId="1"/>
  </si>
  <si>
    <t>しんせいおののみちかぜ</t>
    <phoneticPr fontId="1"/>
  </si>
  <si>
    <t>[新生]小野道風</t>
    <phoneticPr fontId="1"/>
  </si>
  <si>
    <t>タイプ姫・伝承の防30％UP　/　タイプ【武人】の防10％UP</t>
    <phoneticPr fontId="1"/>
  </si>
  <si>
    <t>点いては消ゆる戦の灯火</t>
    <phoneticPr fontId="1"/>
  </si>
  <si>
    <t>しんせいゆうすずみみょうりんに</t>
    <phoneticPr fontId="1"/>
  </si>
  <si>
    <t>[新生]【夕涼み】妙林尼</t>
    <phoneticPr fontId="1"/>
  </si>
  <si>
    <t>武芸を羨む天崇の瞳</t>
    <phoneticPr fontId="1"/>
  </si>
  <si>
    <t>しんせいてんすういんかつひめ</t>
    <phoneticPr fontId="1"/>
  </si>
  <si>
    <t>[新生]【天崇院】勝姫</t>
    <phoneticPr fontId="1"/>
  </si>
  <si>
    <t>8/20 15:00～8/20 23:59</t>
    <phoneticPr fontId="1"/>
  </si>
  <si>
    <t>【タロット】豊臣秀頼</t>
    <phoneticPr fontId="1"/>
  </si>
  <si>
    <t>8/20 18:00～8/22 23:59</t>
    <phoneticPr fontId="1"/>
  </si>
  <si>
    <t>6/26 12:00～6/27 11:59</t>
    <phoneticPr fontId="1"/>
  </si>
  <si>
    <t>6/26 15:00～6/26 23:59</t>
    <phoneticPr fontId="1"/>
  </si>
  <si>
    <t>全国巡り 英雄ガチャ</t>
    <rPh sb="5" eb="7">
      <t>エイユウ</t>
    </rPh>
    <phoneticPr fontId="1"/>
  </si>
  <si>
    <t>6/27 11:00～6/27 23:59</t>
    <phoneticPr fontId="1"/>
  </si>
  <si>
    <t>ゲリラガチャ</t>
    <phoneticPr fontId="1"/>
  </si>
  <si>
    <t>6/27 18:00～6/27 21:59</t>
    <phoneticPr fontId="1"/>
  </si>
  <si>
    <t>6/28 11:00～6/28 23:59</t>
    <phoneticPr fontId="1"/>
  </si>
  <si>
    <t>6/28 15:00～6/28 23:59</t>
    <phoneticPr fontId="1"/>
  </si>
  <si>
    <t>6/28 18:00～6/30 23:59</t>
    <phoneticPr fontId="1"/>
  </si>
  <si>
    <t>宝船福引ガチャ</t>
    <phoneticPr fontId="1"/>
  </si>
  <si>
    <t>6/29 12:00～6/30 11:59</t>
    <phoneticPr fontId="1"/>
  </si>
  <si>
    <t>6/29 15:00～6/30 23:59</t>
    <phoneticPr fontId="1"/>
  </si>
  <si>
    <t>復活！5進化隊士ガチャ</t>
    <phoneticPr fontId="1"/>
  </si>
  <si>
    <t>6/30 11:00～6/30 23:59</t>
    <phoneticPr fontId="1"/>
  </si>
  <si>
    <t>6/30 15:00～6/30 23:59</t>
    <phoneticPr fontId="1"/>
  </si>
  <si>
    <t>タイプ【武人】の攻95％UP　/　タイプ姫・伝承の攻20％UP</t>
    <phoneticPr fontId="1"/>
  </si>
  <si>
    <t>良妻賢母の鬼退治</t>
    <phoneticPr fontId="1"/>
  </si>
  <si>
    <t>せつぶんかめじゅひめ</t>
    <phoneticPr fontId="1"/>
  </si>
  <si>
    <t>【節分】亀寿姫</t>
    <phoneticPr fontId="1"/>
  </si>
  <si>
    <t>タイプ【武人】の攻70％UP　/　タイプ姫・伝承の攻15％UP</t>
    <phoneticPr fontId="1"/>
  </si>
  <si>
    <t>タイプ【武人】の攻45％UP　/　タイプ【姫】の攻10％UP</t>
    <phoneticPr fontId="1"/>
  </si>
  <si>
    <t>タイプ【名物】の防40％UP　/　タイプ【妖怪】の防20％UP</t>
    <phoneticPr fontId="1"/>
  </si>
  <si>
    <t>契約の代償</t>
    <phoneticPr fontId="1"/>
  </si>
  <si>
    <t>じるどれい</t>
    <phoneticPr fontId="1"/>
  </si>
  <si>
    <t>ジル・ド・レイ</t>
    <phoneticPr fontId="1"/>
  </si>
  <si>
    <t>タイプ【名物】の防22％UP　/　タイプ【妖怪】の防12％UP</t>
    <phoneticPr fontId="1"/>
  </si>
  <si>
    <t>タイプ【名物】の防10％UP　/　タイプ【妖怪】の防5％UP</t>
    <phoneticPr fontId="1"/>
  </si>
  <si>
    <t>タイプ飲食・武人の攻100％DOWN　/　タイプ神秘・知性派の防30％UP</t>
    <phoneticPr fontId="1"/>
  </si>
  <si>
    <t>ショコラティエ</t>
    <phoneticPr fontId="1"/>
  </si>
  <si>
    <t>ぷりんせすしょこら</t>
    <phoneticPr fontId="1"/>
  </si>
  <si>
    <t>プリンセスショコラ</t>
    <phoneticPr fontId="1"/>
  </si>
  <si>
    <t>タイプ飲食・武人の攻50％DOWN　/　タイプ神秘・知性派の防15％UP</t>
    <phoneticPr fontId="1"/>
  </si>
  <si>
    <t>タイプ【武人】の攻20％DOWN　/　タイプ神秘・知性派の防10％UP</t>
    <phoneticPr fontId="1"/>
  </si>
  <si>
    <t>四神戦5進化隊士 失われた超技術との邂逅ガチャ</t>
    <rPh sb="0" eb="1">
      <t>ヨン</t>
    </rPh>
    <rPh sb="1" eb="2">
      <t>シン</t>
    </rPh>
    <rPh sb="2" eb="3">
      <t>セン</t>
    </rPh>
    <rPh sb="4" eb="6">
      <t>シンカ</t>
    </rPh>
    <rPh sb="6" eb="8">
      <t>タイシ</t>
    </rPh>
    <phoneticPr fontId="1"/>
  </si>
  <si>
    <t>7/9 12:00～7/14 11:59</t>
    <phoneticPr fontId="1"/>
  </si>
  <si>
    <t>ロストテクノロジー</t>
    <phoneticPr fontId="1"/>
  </si>
  <si>
    <t>東日本</t>
    <rPh sb="0" eb="3">
      <t>ヒガシニホン</t>
    </rPh>
    <phoneticPr fontId="1"/>
  </si>
  <si>
    <t>7/9 15:00～7/9 23:59</t>
    <phoneticPr fontId="1"/>
  </si>
  <si>
    <t>ろすとてくのろじー</t>
    <phoneticPr fontId="1"/>
  </si>
  <si>
    <t>タイプ神秘・知性派・飲食の攻45％UP　/　タイプ飲食・武人・名物の防10％DOWN</t>
    <phoneticPr fontId="1"/>
  </si>
  <si>
    <t>失われた技術</t>
    <phoneticPr fontId="1"/>
  </si>
  <si>
    <t>タイプ神秘・知性派・飲食の攻30％UP　/　タイプ飲食・武人の防10％DOWN</t>
    <phoneticPr fontId="1"/>
  </si>
  <si>
    <t>タイプ神秘・飲食の攻20％UP　/　タイプ【武人】の防10％DOWN</t>
    <phoneticPr fontId="1"/>
  </si>
  <si>
    <t>【聖火争奪戦】水炊きさん</t>
    <phoneticPr fontId="1"/>
  </si>
  <si>
    <t>【Yシャツ】小野小町</t>
    <phoneticPr fontId="1"/>
  </si>
  <si>
    <t>コ・イ・ヌール</t>
    <phoneticPr fontId="1"/>
  </si>
  <si>
    <t>タイプ神秘・知性派・飲食の攻35％UP　/　タイプ神秘・知性派・飲食の防10％DOWN</t>
    <phoneticPr fontId="1"/>
  </si>
  <si>
    <t>四大鶏鍋陰陽師の火加減</t>
    <phoneticPr fontId="1"/>
  </si>
  <si>
    <t>せいかそうだつせんみずたきさん</t>
    <phoneticPr fontId="1"/>
  </si>
  <si>
    <t>タイプ神秘・知性派・飲食の攻20％UP　/　タイプ神秘・知性派・飲食の防10％DOWN</t>
    <phoneticPr fontId="1"/>
  </si>
  <si>
    <t>タイプ神秘・知性派・飲食の攻12％UP　/　タイプ神秘・知性派・飲食の防5％DOWN</t>
    <phoneticPr fontId="1"/>
  </si>
  <si>
    <t>タイプ【名物】の攻75％UP　/　タイプ偉人・妖怪の攻30％UP</t>
    <phoneticPr fontId="1"/>
  </si>
  <si>
    <t>稀代の恋愛ソング小町</t>
    <phoneticPr fontId="1"/>
  </si>
  <si>
    <t>わいしゃつおののこまち</t>
    <phoneticPr fontId="1"/>
  </si>
  <si>
    <t>タイプ【名物】の攻50％UP　/　タイプ偉人・妖怪の攻25％UP</t>
    <phoneticPr fontId="1"/>
  </si>
  <si>
    <t>タイプ【名物】の攻40％UP　/　タイプ偉人・妖怪の攻15％UP</t>
    <phoneticPr fontId="1"/>
  </si>
  <si>
    <t>タイプ伝承・武人・姫の防40％UP　/　タイプ伝承・武人・姫の攻10％DOWN</t>
    <phoneticPr fontId="1"/>
  </si>
  <si>
    <t>至高の貴石</t>
    <phoneticPr fontId="1"/>
  </si>
  <si>
    <t>こいぬーる</t>
    <phoneticPr fontId="1"/>
  </si>
  <si>
    <t>タイプ伝承・武人・姫の防30％UP　/　タイプ武人・伝承の攻10％DOWN</t>
    <phoneticPr fontId="1"/>
  </si>
  <si>
    <t>タイプ武人・伝承の防15％UP　/　タイプ【武人】の攻10％DOWN</t>
    <phoneticPr fontId="1"/>
  </si>
  <si>
    <t>超攻撃ガチャ</t>
    <phoneticPr fontId="1"/>
  </si>
  <si>
    <t>8/21 12:00～8/25 11:59</t>
    <phoneticPr fontId="1"/>
  </si>
  <si>
    <t>祝来！宝船福引ガチャ</t>
    <phoneticPr fontId="1"/>
  </si>
  <si>
    <t>8/21 15:00～8/22 14:59</t>
    <phoneticPr fontId="1"/>
  </si>
  <si>
    <t>ガンガー</t>
    <phoneticPr fontId="1"/>
  </si>
  <si>
    <t>北海道・東北</t>
    <phoneticPr fontId="1"/>
  </si>
  <si>
    <t>がんがー</t>
    <phoneticPr fontId="1"/>
  </si>
  <si>
    <t>タイプ妖怪・名物の攻60％UP　/　タイプ【偉人】の攻30％UP</t>
    <phoneticPr fontId="1"/>
  </si>
  <si>
    <t>生命の濁流</t>
    <phoneticPr fontId="1"/>
  </si>
  <si>
    <t>偉人</t>
    <phoneticPr fontId="1"/>
  </si>
  <si>
    <t>タイプ妖怪・名物の攻40％UP　/　タイプ【偉人】の攻20％UP</t>
    <phoneticPr fontId="1"/>
  </si>
  <si>
    <t>タイプ妖怪・名物の攻25％UP　/　タイプ【偉人】の攻15％UP</t>
    <phoneticPr fontId="1"/>
  </si>
  <si>
    <t>タイプ偉人・妖怪・名物の攻40％UP　/　タイプ飲食・武人・名物の防10％DOWN</t>
    <phoneticPr fontId="1"/>
  </si>
  <si>
    <t>タラッサトリアイナ</t>
    <phoneticPr fontId="1"/>
  </si>
  <si>
    <t>名物</t>
    <phoneticPr fontId="1"/>
  </si>
  <si>
    <t>とりとん</t>
    <phoneticPr fontId="1"/>
  </si>
  <si>
    <t>トリトン</t>
    <phoneticPr fontId="1"/>
  </si>
  <si>
    <t>九州・沖縄</t>
    <phoneticPr fontId="1"/>
  </si>
  <si>
    <t>タイプ偉人・妖怪・名物の攻25％UP　/　タイプ飲食・武人・名物の防10％DOWN</t>
    <phoneticPr fontId="1"/>
  </si>
  <si>
    <t>タイプ偉人・妖怪・名物の攻20％UP　/　タイプ飲食・武人・名物の防10％DOWN</t>
    <phoneticPr fontId="1"/>
  </si>
  <si>
    <t>(DX)7/4 12:00～7/8 11:59</t>
    <phoneticPr fontId="1"/>
  </si>
  <si>
    <t>(Lvアップ)7/4 12:00～7/8 11:59</t>
    <phoneticPr fontId="1"/>
  </si>
  <si>
    <t>タイプ偉人・妖怪・名物の防40％UP　/　タイプ飲食・知性派・武人の攻10％DOWN</t>
    <phoneticPr fontId="1"/>
  </si>
  <si>
    <t>揺り起こす魂の響</t>
    <phoneticPr fontId="1"/>
  </si>
  <si>
    <t>だいかいぞくのぼうれいつがるしゃみせん</t>
    <phoneticPr fontId="1"/>
  </si>
  <si>
    <t>【大海賊の亡霊】津軽三味線</t>
    <phoneticPr fontId="1"/>
  </si>
  <si>
    <t>HR</t>
    <phoneticPr fontId="1"/>
  </si>
  <si>
    <t>タイプ武人・姫の攻30％UP　/　タイプ【伝承】の攻10％UP</t>
    <phoneticPr fontId="1"/>
  </si>
  <si>
    <t>荒れ狂う愛の海上戦</t>
    <phoneticPr fontId="1"/>
  </si>
  <si>
    <t>伝承</t>
    <phoneticPr fontId="1"/>
  </si>
  <si>
    <t>しんせいかいぞくにおのひめ</t>
    <phoneticPr fontId="1"/>
  </si>
  <si>
    <t>[新生]【海賊】鳰姫</t>
    <phoneticPr fontId="1"/>
  </si>
  <si>
    <t>近畿</t>
    <phoneticPr fontId="1"/>
  </si>
  <si>
    <t>タイプ姫・伝承の防20％UP</t>
    <phoneticPr fontId="1"/>
  </si>
  <si>
    <t>七本槍の忠誠心</t>
    <phoneticPr fontId="1"/>
  </si>
  <si>
    <t>武人</t>
    <phoneticPr fontId="1"/>
  </si>
  <si>
    <t>しんせいかいぐんかとうきよまさ</t>
    <phoneticPr fontId="1"/>
  </si>
  <si>
    <t>[新生]【海軍】加藤清正</t>
    <phoneticPr fontId="1"/>
  </si>
  <si>
    <t>タイプ武人・姫の攻20％UP</t>
    <phoneticPr fontId="1"/>
  </si>
  <si>
    <t>海を渡る雀の羽音</t>
    <phoneticPr fontId="1"/>
  </si>
  <si>
    <t>しんせいばくまつしたきりすずめ</t>
    <phoneticPr fontId="1"/>
  </si>
  <si>
    <t>[新生]【幕末】舌きりスズメ</t>
    <phoneticPr fontId="1"/>
  </si>
  <si>
    <t>関東</t>
    <phoneticPr fontId="1"/>
  </si>
  <si>
    <t>豪華玉手箱ガチャ</t>
    <phoneticPr fontId="1"/>
  </si>
  <si>
    <t>7/4 15:00～7/4 23:59</t>
    <phoneticPr fontId="1"/>
  </si>
  <si>
    <t>防衛戦 英雄ガチャ</t>
    <rPh sb="0" eb="3">
      <t>ボウエイセン</t>
    </rPh>
    <rPh sb="4" eb="6">
      <t>エイユウ</t>
    </rPh>
    <phoneticPr fontId="1"/>
  </si>
  <si>
    <t>妖怪</t>
    <phoneticPr fontId="1"/>
  </si>
  <si>
    <t>中国・四国</t>
    <phoneticPr fontId="1"/>
  </si>
  <si>
    <t>関東</t>
    <phoneticPr fontId="1"/>
  </si>
  <si>
    <t>戦神ガチャ</t>
    <phoneticPr fontId="1"/>
  </si>
  <si>
    <t>祝来！宝船福引ガチャ</t>
    <phoneticPr fontId="1"/>
  </si>
  <si>
    <t>7/5 11:00～7/5 23:59</t>
    <phoneticPr fontId="1"/>
  </si>
  <si>
    <t>7/5 15:00～7/7 23:59</t>
    <phoneticPr fontId="1"/>
  </si>
  <si>
    <t>超防再臨ガチャ</t>
    <phoneticPr fontId="1"/>
  </si>
  <si>
    <t>7/5 18:00～7/7 23:59</t>
    <phoneticPr fontId="1"/>
  </si>
  <si>
    <t>7/6 20:00～7/6 23:59</t>
    <phoneticPr fontId="1"/>
  </si>
  <si>
    <t>7/6 12:00～7/7 11:59</t>
    <phoneticPr fontId="1"/>
  </si>
  <si>
    <t>進化の秘竜チャンスガチャ</t>
    <phoneticPr fontId="1"/>
  </si>
  <si>
    <t>7/7 12:00～7/9 23:59</t>
    <phoneticPr fontId="1"/>
  </si>
  <si>
    <t>7/7 18:00～7/7 21:59</t>
    <phoneticPr fontId="1"/>
  </si>
  <si>
    <t>四神戦 月下の白狼ガチャ</t>
    <rPh sb="0" eb="1">
      <t>ヨン</t>
    </rPh>
    <rPh sb="1" eb="2">
      <t>シン</t>
    </rPh>
    <rPh sb="2" eb="3">
      <t>セン</t>
    </rPh>
    <phoneticPr fontId="1"/>
  </si>
  <si>
    <t>(DX)7/8 12:00～7/14 11:59</t>
    <phoneticPr fontId="1"/>
  </si>
  <si>
    <t>(Lvアップ)7/8 12:00～7/14 11:59</t>
    <phoneticPr fontId="1"/>
  </si>
  <si>
    <t>7/8 18:00～7/10 23:59</t>
    <phoneticPr fontId="1"/>
  </si>
  <si>
    <t>タイプ【名物】の攻35％UP　/　タイプ偉人・妖怪の攻20％UP</t>
    <phoneticPr fontId="1"/>
  </si>
  <si>
    <t>月下の災厄</t>
    <phoneticPr fontId="1"/>
  </si>
  <si>
    <t>じんろう</t>
    <phoneticPr fontId="1"/>
  </si>
  <si>
    <t>人狼</t>
    <phoneticPr fontId="1"/>
  </si>
  <si>
    <t>中部</t>
    <phoneticPr fontId="1"/>
  </si>
  <si>
    <t>タイプ【飲食】の攻90％UP　/　タイプ神秘・知性派の攻30％UP</t>
    <phoneticPr fontId="1"/>
  </si>
  <si>
    <t>一滴から生まれたる新たな踊り</t>
    <phoneticPr fontId="1"/>
  </si>
  <si>
    <t>知性派</t>
    <phoneticPr fontId="1"/>
  </si>
  <si>
    <t>しんせいよいごこちいずものおくに</t>
    <phoneticPr fontId="1"/>
  </si>
  <si>
    <t>[新生]【酔心地】出雲阿国</t>
    <phoneticPr fontId="1"/>
  </si>
  <si>
    <t>タイプ偉人・名物の防30％UP　/　タイプ【妖怪】の防10％UP</t>
    <phoneticPr fontId="1"/>
  </si>
  <si>
    <t>十弗の風毒鳥</t>
    <phoneticPr fontId="1"/>
  </si>
  <si>
    <t>しんせいらぷすかむい</t>
    <phoneticPr fontId="1"/>
  </si>
  <si>
    <t>[新生]ラプスカムイ</t>
    <phoneticPr fontId="1"/>
  </si>
  <si>
    <t>タイプ武人・姫の攻20％UP</t>
    <phoneticPr fontId="1"/>
  </si>
  <si>
    <t>海と人々と甲殻類と</t>
    <phoneticPr fontId="1"/>
  </si>
  <si>
    <t>伝承</t>
    <phoneticPr fontId="1"/>
  </si>
  <si>
    <t>しんせいうみのものがたりかごいけのきつね</t>
    <phoneticPr fontId="1"/>
  </si>
  <si>
    <t>[新生]【海の物語】籠池の狐</t>
    <phoneticPr fontId="1"/>
  </si>
  <si>
    <t>近畿</t>
    <phoneticPr fontId="1"/>
  </si>
  <si>
    <t>タイプ知性派・飲食の防20％UP</t>
    <phoneticPr fontId="1"/>
  </si>
  <si>
    <t>気まぐれ狛猫のご利益</t>
    <phoneticPr fontId="1"/>
  </si>
  <si>
    <t>神秘</t>
    <phoneticPr fontId="1"/>
  </si>
  <si>
    <t>しんせいせんごくうみびらきあずさみてんじんのこまねこ</t>
    <phoneticPr fontId="1"/>
  </si>
  <si>
    <t>[新生]【戦国海開き】阿豆佐味天神の狛猫</t>
    <phoneticPr fontId="1"/>
  </si>
  <si>
    <t>四神戦 英雄ガチャ</t>
    <rPh sb="0" eb="1">
      <t>ヨン</t>
    </rPh>
    <rPh sb="1" eb="2">
      <t>シン</t>
    </rPh>
    <rPh sb="2" eb="3">
      <t>セン</t>
    </rPh>
    <rPh sb="4" eb="6">
      <t>エイユウ</t>
    </rPh>
    <phoneticPr fontId="1"/>
  </si>
  <si>
    <t>7/10 11:00～7/10 23:59</t>
    <phoneticPr fontId="1"/>
  </si>
  <si>
    <t>7/10 15:00～7/12 23:59</t>
    <phoneticPr fontId="1"/>
  </si>
  <si>
    <t>7/11 12:00～7/12 11:59</t>
    <phoneticPr fontId="1"/>
  </si>
  <si>
    <t>7/11 18:00～7/13 23:59</t>
    <phoneticPr fontId="1"/>
  </si>
  <si>
    <t>7/11 20:00～7/11 23:59</t>
    <phoneticPr fontId="1"/>
  </si>
  <si>
    <t>7/12 18:00～7/12 21:59</t>
    <phoneticPr fontId="1"/>
  </si>
  <si>
    <t>7/12 11:00～7/12 23:59</t>
    <phoneticPr fontId="1"/>
  </si>
  <si>
    <t>豪華玉手箱ガチャ</t>
    <phoneticPr fontId="1"/>
  </si>
  <si>
    <t>7/13 15:00～7/13 23:59</t>
    <phoneticPr fontId="1"/>
  </si>
  <si>
    <t>7/13 18:00～7/15 23:59</t>
    <phoneticPr fontId="1"/>
  </si>
  <si>
    <t>サイコロ行脚 豪華絢爛！夢のテーマパークガチャ</t>
    <rPh sb="4" eb="6">
      <t>アンギャ</t>
    </rPh>
    <phoneticPr fontId="1"/>
  </si>
  <si>
    <t>サイコロ行脚 白刃舞うアラビアンナイトガチャ</t>
    <rPh sb="4" eb="6">
      <t>アンギャ</t>
    </rPh>
    <phoneticPr fontId="1"/>
  </si>
  <si>
    <t>(Lvアップ)7/14 12:00～7/21 11:59</t>
    <phoneticPr fontId="1"/>
  </si>
  <si>
    <t>(DX)7/14 12:00～7/21 11:59</t>
    <phoneticPr fontId="1"/>
  </si>
  <si>
    <t>7/14 18:00～7/15 17:59</t>
    <phoneticPr fontId="1"/>
  </si>
  <si>
    <t>タイプ【姫】の攻35％UP　/　タイプ武人・伝承の攻20％UP</t>
    <phoneticPr fontId="1"/>
  </si>
  <si>
    <t>流麗一閃</t>
    <phoneticPr fontId="1"/>
  </si>
  <si>
    <t>武人</t>
    <phoneticPr fontId="1"/>
  </si>
  <si>
    <t>あらびあんくのぺしゅ</t>
    <phoneticPr fontId="1"/>
  </si>
  <si>
    <t>【アラビアン】クノペシュ</t>
    <phoneticPr fontId="1"/>
  </si>
  <si>
    <t>タイプ【武人】の防90％UP　/　タイプ姫・伝承の防30％UP</t>
    <phoneticPr fontId="1"/>
  </si>
  <si>
    <t>儚い世への嘆き</t>
    <phoneticPr fontId="1"/>
  </si>
  <si>
    <t>姫</t>
    <phoneticPr fontId="1"/>
  </si>
  <si>
    <t>しんせいたまよひめ</t>
    <phoneticPr fontId="1"/>
  </si>
  <si>
    <t>[新生]玉代姫</t>
    <phoneticPr fontId="1"/>
  </si>
  <si>
    <t>タイプ武人・姫の攻30％UP　/　タイプ【伝承】の攻10％UP</t>
    <phoneticPr fontId="1"/>
  </si>
  <si>
    <t>譲れない勝機</t>
    <phoneticPr fontId="1"/>
  </si>
  <si>
    <t>しんせいあらびあんべーごま</t>
    <phoneticPr fontId="1"/>
  </si>
  <si>
    <t>[新生]【アラビアン】ベーゴマ</t>
    <phoneticPr fontId="1"/>
  </si>
  <si>
    <t>タイプ武人・伝承の防20％UP</t>
    <phoneticPr fontId="1"/>
  </si>
  <si>
    <t>情熱と癒しを注ぐ医療</t>
    <phoneticPr fontId="1"/>
  </si>
  <si>
    <t>しんせいあらびあんないとあかしれじーな</t>
    <phoneticPr fontId="1"/>
  </si>
  <si>
    <t>[新生]【アラビアンナイト】明石レジーナ</t>
    <phoneticPr fontId="1"/>
  </si>
  <si>
    <t>タイプ神秘・飲食の攻20％UP</t>
    <phoneticPr fontId="1"/>
  </si>
  <si>
    <t>王宮に響く琵琶の声</t>
    <phoneticPr fontId="1"/>
  </si>
  <si>
    <t>しんせいおうきゅうせみまる</t>
    <phoneticPr fontId="1"/>
  </si>
  <si>
    <t>[新生]【王宮】蝉丸</t>
    <phoneticPr fontId="1"/>
  </si>
  <si>
    <t>防衛戦 洞窟に眠る金色の財宝(防衛戦前半ガチャを除き、これ以降のイベントにて有料ガチャ有利R枠→2つ目の有利HR枠に変更)</t>
    <rPh sb="0" eb="3">
      <t>ボウエイセン</t>
    </rPh>
    <rPh sb="15" eb="18">
      <t>ボウエイセン</t>
    </rPh>
    <rPh sb="18" eb="20">
      <t>ゼンハン</t>
    </rPh>
    <rPh sb="24" eb="25">
      <t>ノゾ</t>
    </rPh>
    <rPh sb="38" eb="40">
      <t>ユウリョウ</t>
    </rPh>
    <rPh sb="43" eb="45">
      <t>ユウリ</t>
    </rPh>
    <rPh sb="46" eb="47">
      <t>ワク</t>
    </rPh>
    <rPh sb="50" eb="51">
      <t>メ</t>
    </rPh>
    <rPh sb="52" eb="54">
      <t>ユウリ</t>
    </rPh>
    <rPh sb="56" eb="57">
      <t>ワク</t>
    </rPh>
    <rPh sb="58" eb="60">
      <t>ヘンコウ</t>
    </rPh>
    <phoneticPr fontId="1"/>
  </si>
  <si>
    <t>サイコロ行脚 英雄ガチャ</t>
    <rPh sb="7" eb="9">
      <t>エイユウ</t>
    </rPh>
    <phoneticPr fontId="1"/>
  </si>
  <si>
    <t>7/16 11:00～7/16 23:59</t>
    <phoneticPr fontId="1"/>
  </si>
  <si>
    <t>7/16 18:00～7/18 23:59</t>
    <phoneticPr fontId="1"/>
  </si>
  <si>
    <t>神聖なる山嶺ガチャ</t>
    <phoneticPr fontId="1"/>
  </si>
  <si>
    <t>(20連)7/17 12:00～7/23 23:59</t>
    <rPh sb="3" eb="4">
      <t>レン</t>
    </rPh>
    <phoneticPr fontId="1"/>
  </si>
  <si>
    <t>(10連)7/17 12:00～7/23 23:59</t>
    <rPh sb="3" eb="4">
      <t>レン</t>
    </rPh>
    <phoneticPr fontId="1"/>
  </si>
  <si>
    <t>霊峰三名山</t>
    <phoneticPr fontId="1"/>
  </si>
  <si>
    <t>全国</t>
    <phoneticPr fontId="1"/>
  </si>
  <si>
    <t>SP</t>
    <phoneticPr fontId="1"/>
  </si>
  <si>
    <t>タイプ神秘・知性派・飲食の攻40％UP　/　タイプ姫・妖怪・知性派の防50％DOWN</t>
    <phoneticPr fontId="1"/>
  </si>
  <si>
    <t>日本の象徴となる霊峰</t>
    <phoneticPr fontId="1"/>
  </si>
  <si>
    <t>れいほうさんめいざん</t>
    <phoneticPr fontId="1"/>
  </si>
  <si>
    <t>91543_0</t>
    <phoneticPr fontId="1"/>
  </si>
  <si>
    <t>祈霊山</t>
    <phoneticPr fontId="1"/>
  </si>
  <si>
    <t>一定時間、味方全体に「攻撃するたびに県HPを回復する効果」と「追加ダメージの効果」を付与する</t>
    <phoneticPr fontId="1"/>
  </si>
  <si>
    <t>7/18 12:00～7/19 11:59</t>
    <phoneticPr fontId="1"/>
  </si>
  <si>
    <t>7/18 15:00～7/18 23:59</t>
    <phoneticPr fontId="1"/>
  </si>
  <si>
    <t>サイコロ行脚 英雄ガチャ</t>
    <rPh sb="4" eb="6">
      <t>アンギャ</t>
    </rPh>
    <rPh sb="7" eb="9">
      <t>エイユウ</t>
    </rPh>
    <phoneticPr fontId="1"/>
  </si>
  <si>
    <t>7/19 11:00～7/19 23:59</t>
    <phoneticPr fontId="1"/>
  </si>
  <si>
    <t>古豪戦傑ガチャ</t>
    <phoneticPr fontId="1"/>
  </si>
  <si>
    <t>7/19 12:00～7/21 23:59</t>
    <phoneticPr fontId="1"/>
  </si>
  <si>
    <t>タイプ武人・飲食・偉人の攻80％DOWN　/　タイプ知性派・飲食の防25％UP</t>
    <phoneticPr fontId="1"/>
  </si>
  <si>
    <t>神秘</t>
    <phoneticPr fontId="1"/>
  </si>
  <si>
    <t>悪しき女神の支配</t>
    <phoneticPr fontId="1"/>
  </si>
  <si>
    <t>ようかいたいせんじゃめがみ</t>
    <phoneticPr fontId="1"/>
  </si>
  <si>
    <t>【妖怪大戦】邪女神</t>
    <phoneticPr fontId="1"/>
  </si>
  <si>
    <t>全国</t>
    <phoneticPr fontId="1"/>
  </si>
  <si>
    <t>タイプ【名物】の防85％UP　/　タイプ偉人・妖怪の防25％UP</t>
    <phoneticPr fontId="1"/>
  </si>
  <si>
    <t>ウサギとお月見</t>
    <phoneticPr fontId="1"/>
  </si>
  <si>
    <t>偉人</t>
    <phoneticPr fontId="1"/>
  </si>
  <si>
    <t>うさぎのさとくのひさ</t>
    <phoneticPr fontId="1"/>
  </si>
  <si>
    <t>【ウサギの里】久野久</t>
    <phoneticPr fontId="1"/>
  </si>
  <si>
    <t>西日本</t>
    <phoneticPr fontId="1"/>
  </si>
  <si>
    <t>タイプ【姫】の攻40％UP　/　タイプ武人・伝承の攻10％UP</t>
    <phoneticPr fontId="1"/>
  </si>
  <si>
    <t>弔いの花火</t>
    <phoneticPr fontId="1"/>
  </si>
  <si>
    <t>武人</t>
    <phoneticPr fontId="1"/>
  </si>
  <si>
    <t>はなびしおなみひめ</t>
    <phoneticPr fontId="1"/>
  </si>
  <si>
    <t>【花火師】阿南姫</t>
    <phoneticPr fontId="1"/>
  </si>
  <si>
    <t>東日本</t>
    <phoneticPr fontId="1"/>
  </si>
  <si>
    <t>タイプ神秘・飲食の攻30％UP　/　タイプ【知性派】の攻20％UP</t>
    <phoneticPr fontId="1"/>
  </si>
  <si>
    <t>妙訣、神の如し</t>
    <phoneticPr fontId="1"/>
  </si>
  <si>
    <t>知性派</t>
    <phoneticPr fontId="1"/>
  </si>
  <si>
    <t>しんせいえのもとすみ</t>
    <phoneticPr fontId="1"/>
  </si>
  <si>
    <t>[新生]榎本住</t>
    <phoneticPr fontId="1"/>
  </si>
  <si>
    <t>近畿</t>
    <phoneticPr fontId="1"/>
  </si>
  <si>
    <t>タイプ武人・伝承の攻30％UP　/　タイプ【姫】の攻20％UP</t>
    <phoneticPr fontId="1"/>
  </si>
  <si>
    <t>儚き瑠璃の輝き</t>
    <phoneticPr fontId="1"/>
  </si>
  <si>
    <t>姫</t>
    <phoneticPr fontId="1"/>
  </si>
  <si>
    <t>しんせいおるりのかた</t>
    <phoneticPr fontId="1"/>
  </si>
  <si>
    <t>[新生]お瑠璃の方</t>
    <phoneticPr fontId="1"/>
  </si>
  <si>
    <t>関東</t>
    <phoneticPr fontId="1"/>
  </si>
  <si>
    <t>タイプ偉人・妖怪の防30％UP　/　タイプ【名物】の防20％UP</t>
    <phoneticPr fontId="1"/>
  </si>
  <si>
    <t>必勝祈願の大筆舞い</t>
    <phoneticPr fontId="1"/>
  </si>
  <si>
    <t>名物</t>
    <phoneticPr fontId="1"/>
  </si>
  <si>
    <t>しんせいひっしょうくまのふでちゃん</t>
    <phoneticPr fontId="1"/>
  </si>
  <si>
    <t>[新生]【必勝】熊野筆ちゃん</t>
    <phoneticPr fontId="1"/>
  </si>
  <si>
    <t>中国・四国</t>
    <phoneticPr fontId="1"/>
  </si>
  <si>
    <t>2019/10防衛戦</t>
    <rPh sb="7" eb="10">
      <t>ボウエイセン</t>
    </rPh>
    <phoneticPr fontId="1"/>
  </si>
  <si>
    <t>2019/09四神戦</t>
    <rPh sb="7" eb="8">
      <t>ヨン</t>
    </rPh>
    <rPh sb="8" eb="9">
      <t>シン</t>
    </rPh>
    <rPh sb="9" eb="10">
      <t>セン</t>
    </rPh>
    <phoneticPr fontId="1"/>
  </si>
  <si>
    <t>2019/08サイコロ</t>
    <phoneticPr fontId="1"/>
  </si>
  <si>
    <t>2019/12四神戦</t>
    <rPh sb="7" eb="8">
      <t>ヨン</t>
    </rPh>
    <rPh sb="8" eb="9">
      <t>シン</t>
    </rPh>
    <rPh sb="9" eb="10">
      <t>セン</t>
    </rPh>
    <phoneticPr fontId="1"/>
  </si>
  <si>
    <t>2019/06防衛戦</t>
    <rPh sb="7" eb="10">
      <t>ボウエイセン</t>
    </rPh>
    <phoneticPr fontId="1"/>
  </si>
  <si>
    <t>2019/06全国巡り</t>
    <rPh sb="7" eb="9">
      <t>ゼンコク</t>
    </rPh>
    <rPh sb="9" eb="10">
      <t>メグ</t>
    </rPh>
    <phoneticPr fontId="1"/>
  </si>
  <si>
    <t>豪華玉手箱ガチャ</t>
    <phoneticPr fontId="1"/>
  </si>
  <si>
    <t>7/20 15:00～7/20 23:59</t>
    <phoneticPr fontId="1"/>
  </si>
  <si>
    <t>超攻撃ガチャ</t>
    <phoneticPr fontId="1"/>
  </si>
  <si>
    <t>7/21 12:00～7/25 11:59</t>
    <phoneticPr fontId="1"/>
  </si>
  <si>
    <t>祝来！宝船福引ガチャ</t>
    <phoneticPr fontId="1"/>
  </si>
  <si>
    <t>7/21 15:00～7/22 14:59</t>
    <phoneticPr fontId="1"/>
  </si>
  <si>
    <t>7/21 18:00～7/21 21:59</t>
    <phoneticPr fontId="1"/>
  </si>
  <si>
    <t>【湯けむり】泡盛ちゃん</t>
    <phoneticPr fontId="1"/>
  </si>
  <si>
    <t>タイプ【名物】の攻90％UP　/　タイプ偉人・妖怪の攻30％UP</t>
    <phoneticPr fontId="1"/>
  </si>
  <si>
    <t>サマーメモリー</t>
    <phoneticPr fontId="1"/>
  </si>
  <si>
    <t>はまべしがーる</t>
    <phoneticPr fontId="1"/>
  </si>
  <si>
    <t>【浜辺】シガール</t>
    <phoneticPr fontId="1"/>
  </si>
  <si>
    <t>中部</t>
    <phoneticPr fontId="1"/>
  </si>
  <si>
    <t>タイプ【名物】の攻65％UP　/　タイプ偉人・妖怪の攻25％UP</t>
    <phoneticPr fontId="1"/>
  </si>
  <si>
    <t>タイプ【名物】の攻50％UP　/　タイプ偉人・妖怪の攻25％UP</t>
    <phoneticPr fontId="1"/>
  </si>
  <si>
    <t>タイプ偉人・妖怪・名物の防85％DOWN　/　タイプ知性派・飲食の攻30％UP</t>
    <phoneticPr fontId="1"/>
  </si>
  <si>
    <t>浜辺の王妃</t>
    <phoneticPr fontId="1"/>
  </si>
  <si>
    <t>はまべあむぴとりーて</t>
    <phoneticPr fontId="1"/>
  </si>
  <si>
    <t>【浜辺】アムピトリーテ</t>
    <phoneticPr fontId="1"/>
  </si>
  <si>
    <t>タイプ偉人・妖怪・名物の防70％DOWN　/　タイプ知性派・飲食の攻20％UP</t>
    <phoneticPr fontId="1"/>
  </si>
  <si>
    <t>タイプ偉人・妖怪・名物の防60％DOWN　/　タイプ知性派・飲食の攻15％UP</t>
    <phoneticPr fontId="1"/>
  </si>
  <si>
    <t>超防御ガチャ</t>
    <rPh sb="0" eb="1">
      <t>チョウ</t>
    </rPh>
    <rPh sb="1" eb="3">
      <t>ボウギョ</t>
    </rPh>
    <phoneticPr fontId="1"/>
  </si>
  <si>
    <t>7/22 12:00～7/25 11:59</t>
    <phoneticPr fontId="1"/>
  </si>
  <si>
    <t>7/22 15:00～7/24 23:59</t>
    <phoneticPr fontId="1"/>
  </si>
  <si>
    <t>天クロウィークガチャ</t>
    <phoneticPr fontId="1"/>
  </si>
  <si>
    <t>SP</t>
    <phoneticPr fontId="1"/>
  </si>
  <si>
    <t>SSR</t>
    <phoneticPr fontId="1"/>
  </si>
  <si>
    <t>タイプ武人・伝承の防60％UP　/　タイプ【姫】の防30％UP</t>
    <phoneticPr fontId="1"/>
  </si>
  <si>
    <t>穏やかな南風</t>
    <phoneticPr fontId="1"/>
  </si>
  <si>
    <t>はまべのとす</t>
    <phoneticPr fontId="1"/>
  </si>
  <si>
    <t>【浜辺】ノトス</t>
    <phoneticPr fontId="1"/>
  </si>
  <si>
    <t>タイプ武人・伝承の防40％UP　/　タイプ【姫】の防20％UP</t>
    <phoneticPr fontId="1"/>
  </si>
  <si>
    <t>タイプ武人・伝承の防25％UP　/　タイプ【姫】の防15％UP</t>
    <phoneticPr fontId="1"/>
  </si>
  <si>
    <t>タイプ神秘・知性派の防30％UP　/　タイプ【飲食】の防15％UP</t>
    <phoneticPr fontId="1"/>
  </si>
  <si>
    <t>貝殻住みの女の子</t>
    <phoneticPr fontId="1"/>
  </si>
  <si>
    <t>飲食</t>
    <phoneticPr fontId="1"/>
  </si>
  <si>
    <t>はまべやどかり</t>
    <phoneticPr fontId="1"/>
  </si>
  <si>
    <t>【浜辺】ヤドカリ</t>
    <phoneticPr fontId="1"/>
  </si>
  <si>
    <t>九州・沖縄</t>
    <phoneticPr fontId="1"/>
  </si>
  <si>
    <t>タイプ神秘・知性派の防20％UP　/　タイプ【飲食】の防10％UP</t>
    <phoneticPr fontId="1"/>
  </si>
  <si>
    <t>タイプ神秘・知性派の防15％UP　/　タイプ【飲食】の防10％UP</t>
    <phoneticPr fontId="1"/>
  </si>
  <si>
    <t>タイプ偉人・妖怪・名物の攻15％UP　/　タイプ神秘・姫の防75％DOWN</t>
    <phoneticPr fontId="1"/>
  </si>
  <si>
    <t>頂点に君臨する川の主</t>
    <phoneticPr fontId="1"/>
  </si>
  <si>
    <t>てんくろかわのぬし</t>
    <phoneticPr fontId="1"/>
  </si>
  <si>
    <t>天クロ川の主</t>
    <phoneticPr fontId="1"/>
  </si>
  <si>
    <t>90843_0</t>
    <phoneticPr fontId="1"/>
  </si>
  <si>
    <t>8/22 12:00～8/25 11:59</t>
    <phoneticPr fontId="1"/>
  </si>
  <si>
    <t>(10連)8/22 15:00～8/24 23:59</t>
    <rPh sb="3" eb="4">
      <t>レン</t>
    </rPh>
    <phoneticPr fontId="1"/>
  </si>
  <si>
    <t>マナナン・マクリル</t>
    <phoneticPr fontId="1"/>
  </si>
  <si>
    <t>ポセイドン</t>
    <phoneticPr fontId="1"/>
  </si>
  <si>
    <t>タイプ妖怪・名物の防30％UP　/　タイプ【偉人】の防15％UP</t>
    <phoneticPr fontId="1"/>
  </si>
  <si>
    <t>海の子</t>
    <phoneticPr fontId="1"/>
  </si>
  <si>
    <t>まななん・まくりる</t>
    <phoneticPr fontId="1"/>
  </si>
  <si>
    <t>タイプ妖怪・名物の防20％UP　/　タイプ【偉人】の防10％UP</t>
    <phoneticPr fontId="1"/>
  </si>
  <si>
    <t>タイプ妖怪・名物の防15％UP　/　タイプ【偉人】の防10％UP</t>
    <phoneticPr fontId="1"/>
  </si>
  <si>
    <t>タイプ偉人・姫・神秘の攻85％DOWN　/　タイプ知性派・飲食の防30％UP</t>
    <phoneticPr fontId="1"/>
  </si>
  <si>
    <t>ジェットスピア</t>
    <phoneticPr fontId="1"/>
  </si>
  <si>
    <t>ぽせいどん</t>
    <phoneticPr fontId="1"/>
  </si>
  <si>
    <t>タイプ偉人・姫・神秘の攻70％DOWN　/　タイプ知性派・飲食の防20％UP</t>
    <phoneticPr fontId="1"/>
  </si>
  <si>
    <t>タイプ偉人・姫・神秘の攻60％DOWN　/　タイプ知性派・飲食の防15％UP</t>
    <phoneticPr fontId="1"/>
  </si>
  <si>
    <t>タイプ神秘・知性派・飲食の防10％UP　/　タイプ武人・伝承の攻80％DOWN</t>
    <phoneticPr fontId="1"/>
  </si>
  <si>
    <t>清涼感が広がる夏色の乙女</t>
    <phoneticPr fontId="1"/>
  </si>
  <si>
    <t>てんくろなついろのおとめ</t>
    <phoneticPr fontId="1"/>
  </si>
  <si>
    <t>天クロ夏色の乙女</t>
    <phoneticPr fontId="1"/>
  </si>
  <si>
    <t>91533_0</t>
    <phoneticPr fontId="1"/>
  </si>
  <si>
    <t>7/23 11:00～7/23 23:59</t>
    <phoneticPr fontId="1"/>
  </si>
  <si>
    <t>[新生]シーシャガウガウ</t>
    <phoneticPr fontId="1"/>
  </si>
  <si>
    <t>同盟戦 英雄ガチャ</t>
    <rPh sb="0" eb="2">
      <t>ドウメイ</t>
    </rPh>
    <rPh sb="2" eb="3">
      <t>セン</t>
    </rPh>
    <rPh sb="4" eb="6">
      <t>エイユウ</t>
    </rPh>
    <phoneticPr fontId="1"/>
  </si>
  <si>
    <t>戦神ガチャ</t>
    <phoneticPr fontId="1"/>
  </si>
  <si>
    <t>7/23 15:00～7/25 23:59</t>
    <phoneticPr fontId="1"/>
  </si>
  <si>
    <t>タイプ妖怪・名物の攻25％UP</t>
    <phoneticPr fontId="1"/>
  </si>
  <si>
    <t>獅子舞の練り歩き</t>
    <phoneticPr fontId="1"/>
  </si>
  <si>
    <t>しんせいしーしゃがうがう</t>
    <phoneticPr fontId="1"/>
  </si>
  <si>
    <t>7/24 11:00～7/24 23:59</t>
    <phoneticPr fontId="1"/>
  </si>
  <si>
    <t>タイプ偉人・名物の攻25％UP</t>
    <phoneticPr fontId="1"/>
  </si>
  <si>
    <t>食物と穀物を司る女神</t>
    <phoneticPr fontId="1"/>
  </si>
  <si>
    <t>しんせいとようけびめのみこと</t>
    <phoneticPr fontId="1"/>
  </si>
  <si>
    <t>[新生]トヨウケビメノミコト</t>
    <phoneticPr fontId="1"/>
  </si>
  <si>
    <t>タイプ神秘・知性派・偉人の攻30％UP</t>
    <phoneticPr fontId="1"/>
  </si>
  <si>
    <t>秩序を守る回遊魚</t>
    <phoneticPr fontId="1"/>
  </si>
  <si>
    <t>はなみずぎいわしちゃん</t>
    <phoneticPr fontId="1"/>
  </si>
  <si>
    <t>【花水着】イワシちゃん</t>
    <phoneticPr fontId="1"/>
  </si>
  <si>
    <t>7/24 20:00～7/24 23:59</t>
    <phoneticPr fontId="1"/>
  </si>
  <si>
    <t>全国巡り 甘狐のスイーツタイムガチャ</t>
    <rPh sb="0" eb="3">
      <t>ゼンコクメグ</t>
    </rPh>
    <phoneticPr fontId="1"/>
  </si>
  <si>
    <t>(Lvアップ)7/25 12:00～7/31 19:59</t>
    <phoneticPr fontId="1"/>
  </si>
  <si>
    <t>(DX)7/25 12:00～7/31 19:59</t>
    <phoneticPr fontId="1"/>
  </si>
  <si>
    <t>HR</t>
    <phoneticPr fontId="1"/>
  </si>
  <si>
    <t>7/25 18:00～7/27 23:59</t>
    <phoneticPr fontId="1"/>
  </si>
  <si>
    <t>タイプ偉人・名物の防45％UP　/　タイプ【妖怪】の防30％UP</t>
    <phoneticPr fontId="1"/>
  </si>
  <si>
    <t>食いしん坊狐の“いいね”集め</t>
    <phoneticPr fontId="1"/>
  </si>
  <si>
    <t>妖怪</t>
    <phoneticPr fontId="1"/>
  </si>
  <si>
    <t>すいーつざんまいにんこ</t>
    <phoneticPr fontId="1"/>
  </si>
  <si>
    <t>【スイーツ三昧】人狐</t>
    <phoneticPr fontId="1"/>
  </si>
  <si>
    <t>タイプ妖怪・名物の攻60％UP　/　タイプ【偉人】の攻30％UP</t>
    <phoneticPr fontId="1"/>
  </si>
  <si>
    <t>冷えすぎ注意の夏祭り</t>
    <phoneticPr fontId="1"/>
  </si>
  <si>
    <t>しんせいなつまつりじんぐうこうごう</t>
    <phoneticPr fontId="1"/>
  </si>
  <si>
    <t>[新生]【夏祭り】神功皇后</t>
    <phoneticPr fontId="1"/>
  </si>
  <si>
    <t>タイプ武人・伝承の防30％UP　/　タイプ【姫】の防10％UP</t>
    <phoneticPr fontId="1"/>
  </si>
  <si>
    <t>義政を癒したはにかみ</t>
    <phoneticPr fontId="1"/>
  </si>
  <si>
    <t>しんせいめいどひのとみこ</t>
    <phoneticPr fontId="1"/>
  </si>
  <si>
    <t>[新生]【メイド】日野富子</t>
    <phoneticPr fontId="1"/>
  </si>
  <si>
    <t>タイプ神秘・飲食の攻20％UP</t>
    <phoneticPr fontId="1"/>
  </si>
  <si>
    <t>お忍び攪乱ぶらり旅</t>
    <phoneticPr fontId="1"/>
  </si>
  <si>
    <t>しんせいこうらくふうまこたろう</t>
    <phoneticPr fontId="1"/>
  </si>
  <si>
    <t>[新生]【行楽】風魔小太郎</t>
    <phoneticPr fontId="1"/>
  </si>
  <si>
    <t>タイプ神秘・知性派の防20％UP</t>
    <phoneticPr fontId="1"/>
  </si>
  <si>
    <t>おしゃれな芳醇果肉</t>
    <phoneticPr fontId="1"/>
  </si>
  <si>
    <t>しんせいゆうばりめろんさん</t>
    <phoneticPr fontId="1"/>
  </si>
  <si>
    <t>[新生]夕張メロンさん</t>
    <phoneticPr fontId="1"/>
  </si>
  <si>
    <t>北海道・東北</t>
    <phoneticPr fontId="1"/>
  </si>
  <si>
    <t>7/26 12:00～7/27 11:59</t>
    <phoneticPr fontId="1"/>
  </si>
  <si>
    <t>7/26 15:00～7/26 23:59</t>
    <phoneticPr fontId="1"/>
  </si>
  <si>
    <t>7/27 18:00～7/27 21:59</t>
    <phoneticPr fontId="1"/>
  </si>
  <si>
    <t>7/27 11:00～7/27 23:59</t>
    <phoneticPr fontId="1"/>
  </si>
  <si>
    <t>全国巡り 英雄ガチャ</t>
    <rPh sb="0" eb="3">
      <t>ゼンコクメグ</t>
    </rPh>
    <rPh sb="5" eb="7">
      <t>エイユウ</t>
    </rPh>
    <phoneticPr fontId="1"/>
  </si>
  <si>
    <t>【花火師】越前蟹鍋ちゃん</t>
    <phoneticPr fontId="1"/>
  </si>
  <si>
    <t>超防再臨ガチャ</t>
    <phoneticPr fontId="1"/>
  </si>
  <si>
    <t>7/28 18:00～7/30 23:59</t>
    <phoneticPr fontId="1"/>
  </si>
  <si>
    <t>全国巡り 英雄ガチャ</t>
    <rPh sb="0" eb="2">
      <t>ゼンコク</t>
    </rPh>
    <rPh sb="2" eb="3">
      <t>メグ</t>
    </rPh>
    <rPh sb="5" eb="7">
      <t>エイユウ</t>
    </rPh>
    <phoneticPr fontId="1"/>
  </si>
  <si>
    <t>7/29 11:00～7/29 23:59</t>
    <phoneticPr fontId="1"/>
  </si>
  <si>
    <t>7/29 15:00～7/31 23:59</t>
    <phoneticPr fontId="1"/>
  </si>
  <si>
    <t>7/30 12:00～7/31 11:59</t>
    <phoneticPr fontId="1"/>
  </si>
  <si>
    <t>7/30 15:00～7/30 23:59</t>
    <phoneticPr fontId="1"/>
  </si>
  <si>
    <t>[新生]水鉄砲</t>
    <phoneticPr fontId="1"/>
  </si>
  <si>
    <t>[新生]ニホンザリガニちゃん</t>
    <phoneticPr fontId="1"/>
  </si>
  <si>
    <t>8/23 11:00～8/23 23:59</t>
    <phoneticPr fontId="1"/>
  </si>
  <si>
    <t>8/23 18:00～8/23 21:59</t>
    <phoneticPr fontId="1"/>
  </si>
  <si>
    <t>タイプ武人・姫の防20％UP</t>
    <phoneticPr fontId="1"/>
  </si>
  <si>
    <t>射出される水の軌跡</t>
    <phoneticPr fontId="1"/>
  </si>
  <si>
    <t>伝承</t>
    <phoneticPr fontId="1"/>
  </si>
  <si>
    <t>しんせいみずでっぽう</t>
    <phoneticPr fontId="1"/>
  </si>
  <si>
    <t>タイプ偉人・妖怪の攻20％UP</t>
    <phoneticPr fontId="1"/>
  </si>
  <si>
    <t>希少なる固有種</t>
    <phoneticPr fontId="1"/>
  </si>
  <si>
    <t>しんせいにほんざりがにちゃん</t>
    <phoneticPr fontId="1"/>
  </si>
  <si>
    <t>8/24 11:00～8/24 23:59</t>
    <phoneticPr fontId="1"/>
  </si>
  <si>
    <t>8/24 20:00～8/24 23:59</t>
    <phoneticPr fontId="1"/>
  </si>
  <si>
    <t>全国巡り わくわくアクアリウムデートガチャ</t>
    <rPh sb="0" eb="2">
      <t>ゼンコク</t>
    </rPh>
    <rPh sb="2" eb="3">
      <t>メグ</t>
    </rPh>
    <phoneticPr fontId="1"/>
  </si>
  <si>
    <t>(DX)8/25 12:00～8/31 19:59</t>
    <phoneticPr fontId="1"/>
  </si>
  <si>
    <t>(Lvアップ)8/25 12:00～8/31 19:59</t>
    <phoneticPr fontId="1"/>
  </si>
  <si>
    <t>HR</t>
    <phoneticPr fontId="1"/>
  </si>
  <si>
    <t>【水族館】ズワイガニちゃん</t>
    <phoneticPr fontId="1"/>
  </si>
  <si>
    <t>[新生]蠣崎季広</t>
    <phoneticPr fontId="1"/>
  </si>
  <si>
    <t>[新生]シーラカンス</t>
    <phoneticPr fontId="1"/>
  </si>
  <si>
    <t>[新生]スナメリ</t>
    <phoneticPr fontId="1"/>
  </si>
  <si>
    <t>[新生]バショウカジキ</t>
    <phoneticPr fontId="1"/>
  </si>
  <si>
    <t>北海道・東北</t>
    <rPh sb="0" eb="3">
      <t>ホッカイドウ</t>
    </rPh>
    <rPh sb="4" eb="6">
      <t>トウホク</t>
    </rPh>
    <phoneticPr fontId="1"/>
  </si>
  <si>
    <t>中部</t>
    <rPh sb="0" eb="2">
      <t>チュウブ</t>
    </rPh>
    <phoneticPr fontId="1"/>
  </si>
  <si>
    <t>近畿</t>
    <rPh sb="0" eb="2">
      <t>キンキ</t>
    </rPh>
    <phoneticPr fontId="1"/>
  </si>
  <si>
    <t>中国・四国</t>
    <rPh sb="0" eb="2">
      <t>チュウゴク</t>
    </rPh>
    <rPh sb="3" eb="5">
      <t>シコク</t>
    </rPh>
    <phoneticPr fontId="1"/>
  </si>
  <si>
    <t>関東</t>
    <rPh sb="0" eb="2">
      <t>カントウ</t>
    </rPh>
    <phoneticPr fontId="1"/>
  </si>
  <si>
    <t>超攻再臨ガチャ</t>
    <rPh sb="0" eb="1">
      <t>チョウ</t>
    </rPh>
    <rPh sb="1" eb="2">
      <t>コウ</t>
    </rPh>
    <rPh sb="2" eb="4">
      <t>サイリン</t>
    </rPh>
    <phoneticPr fontId="1"/>
  </si>
  <si>
    <t>8/25 18:00～8/27 23:59</t>
    <phoneticPr fontId="1"/>
  </si>
  <si>
    <t>タイプ神秘・知性派の防30％UP　/　タイプ【飲食】の防15％UP</t>
    <phoneticPr fontId="1"/>
  </si>
  <si>
    <t>高級蟹の水族館デート</t>
    <phoneticPr fontId="1"/>
  </si>
  <si>
    <t>飲食</t>
    <phoneticPr fontId="1"/>
  </si>
  <si>
    <t>すいぞくかんずわいがにちゃん</t>
    <phoneticPr fontId="1"/>
  </si>
  <si>
    <t>タイプ【姫】の防45％UP　/　タイプ武人・伝承の防15％UP</t>
    <phoneticPr fontId="1"/>
  </si>
  <si>
    <t>強い敵は強い味方へ</t>
    <phoneticPr fontId="1"/>
  </si>
  <si>
    <t>武人</t>
    <phoneticPr fontId="1"/>
  </si>
  <si>
    <t>しんせいかきざきすえひろ</t>
    <phoneticPr fontId="1"/>
  </si>
  <si>
    <t>タイプ偉人・妖怪の攻30％UP　/　タイプ【名物】の攻10％UP</t>
    <phoneticPr fontId="1"/>
  </si>
  <si>
    <t>変わらぬ姿で幾億年</t>
    <phoneticPr fontId="1"/>
  </si>
  <si>
    <t>名物</t>
    <phoneticPr fontId="1"/>
  </si>
  <si>
    <t>しんせいしーらかんす</t>
    <phoneticPr fontId="1"/>
  </si>
  <si>
    <t>タイプ偉人・妖怪の防20％UP</t>
    <phoneticPr fontId="1"/>
  </si>
  <si>
    <t>名前の数は愛の数</t>
    <phoneticPr fontId="1"/>
  </si>
  <si>
    <t>しんせいすなめり</t>
    <phoneticPr fontId="1"/>
  </si>
  <si>
    <t>タイプ神秘・知性派の攻20％UP</t>
    <phoneticPr fontId="1"/>
  </si>
  <si>
    <t>芭蕉の葉を持つ旗魚</t>
    <phoneticPr fontId="1"/>
  </si>
  <si>
    <t>しんせいばしょうかじき</t>
    <phoneticPr fontId="1"/>
  </si>
  <si>
    <t>祝来！宝船福引ガチャ</t>
    <phoneticPr fontId="1"/>
  </si>
  <si>
    <t>8/26 12:00～8/27 11:59</t>
    <phoneticPr fontId="1"/>
  </si>
  <si>
    <t>豪華玉手箱ガチャ</t>
    <phoneticPr fontId="1"/>
  </si>
  <si>
    <t>8/26 15:00～8/26 23:59</t>
    <phoneticPr fontId="1"/>
  </si>
  <si>
    <t>全国巡り 英雄ガチャ</t>
    <rPh sb="0" eb="2">
      <t>ゼンコク</t>
    </rPh>
    <rPh sb="2" eb="3">
      <t>メグ</t>
    </rPh>
    <rPh sb="5" eb="7">
      <t>エイユウ</t>
    </rPh>
    <phoneticPr fontId="1"/>
  </si>
  <si>
    <t>8/27 11:00～8/27 23:59</t>
    <phoneticPr fontId="1"/>
  </si>
  <si>
    <t>8/27 18:00～8/27 21:59</t>
    <phoneticPr fontId="1"/>
  </si>
  <si>
    <t>8/28 18:00～8/30 23:59</t>
    <phoneticPr fontId="1"/>
  </si>
  <si>
    <t>刹那！最強DOWN隊士ガチャ</t>
    <phoneticPr fontId="1"/>
  </si>
  <si>
    <t>8/28 20:00～8/28 23:59</t>
    <phoneticPr fontId="1"/>
  </si>
  <si>
    <t>8/29 11:00～8/29 23:59</t>
    <phoneticPr fontId="1"/>
  </si>
  <si>
    <t>戦神ガチャ</t>
    <phoneticPr fontId="1"/>
  </si>
  <si>
    <t>8/29 15:00～8/31 23:59</t>
    <phoneticPr fontId="1"/>
  </si>
  <si>
    <t>祝来！宝船福引ガチャ</t>
    <phoneticPr fontId="1"/>
  </si>
  <si>
    <t>8/30 12:00～8/31 11:59</t>
    <phoneticPr fontId="1"/>
  </si>
  <si>
    <t>8/30 15:00～8/30 23:59</t>
    <phoneticPr fontId="1"/>
  </si>
  <si>
    <t>豪華玉手箱ガチャ</t>
    <phoneticPr fontId="1"/>
  </si>
  <si>
    <t>(DX)9/1 0:00～9/8 23:59</t>
    <phoneticPr fontId="1"/>
  </si>
  <si>
    <t>(Lvアップ)9/1 0:00～9/8 23:59</t>
    <phoneticPr fontId="1"/>
  </si>
  <si>
    <t>【人気首位】とちおとめちゃん</t>
    <phoneticPr fontId="1"/>
  </si>
  <si>
    <t>【プロレス】不動明王</t>
    <phoneticPr fontId="1"/>
  </si>
  <si>
    <t>ぷろれすふどうみょうおう</t>
    <phoneticPr fontId="1"/>
  </si>
  <si>
    <t>タイプ伝承・武人・姫の防85％DOWN　/　タイプ知性派・飲食の攻30％UP</t>
    <phoneticPr fontId="1"/>
  </si>
  <si>
    <t>闇断つ揺るがぬ守護神</t>
    <phoneticPr fontId="1"/>
  </si>
  <si>
    <t>神秘</t>
    <phoneticPr fontId="1"/>
  </si>
  <si>
    <t>タイプ伝承・武人・姫の防35％DOWN　/　タイプ知性派・飲食の攻20％UP</t>
    <phoneticPr fontId="1"/>
  </si>
  <si>
    <t>タイプ武人・姫の防20％DOWN　/　タイプ知性派・飲食の攻15％UP</t>
    <phoneticPr fontId="1"/>
  </si>
  <si>
    <t>東日本</t>
    <phoneticPr fontId="1"/>
  </si>
  <si>
    <t>西日本</t>
    <rPh sb="0" eb="1">
      <t>ニシ</t>
    </rPh>
    <rPh sb="1" eb="3">
      <t>ニホン</t>
    </rPh>
    <phoneticPr fontId="1"/>
  </si>
  <si>
    <t>タイプ【妖怪】の攻85％UP　/　タイプ偉人・名物の攻25％UP</t>
    <phoneticPr fontId="1"/>
  </si>
  <si>
    <t>牡丹紅雷</t>
    <phoneticPr fontId="1"/>
  </si>
  <si>
    <t>名物</t>
    <phoneticPr fontId="1"/>
  </si>
  <si>
    <t>やーいー</t>
    <phoneticPr fontId="1"/>
  </si>
  <si>
    <t>ヤーイー</t>
    <phoneticPr fontId="1"/>
  </si>
  <si>
    <t>タイプ【妖怪】の攻60％UP　/　タイプ偉人・名物の攻20％UP</t>
    <phoneticPr fontId="1"/>
  </si>
  <si>
    <t>タイプ【妖怪】の攻45％UP　/　タイプ【名物】の攻15％UP</t>
    <phoneticPr fontId="1"/>
  </si>
  <si>
    <t>タイプ武人・姫の攻100％DOWN　/　タイプ武人・伝承の防20％UP</t>
    <phoneticPr fontId="1"/>
  </si>
  <si>
    <t>マルメラーデマギ</t>
    <phoneticPr fontId="1"/>
  </si>
  <si>
    <t>伝承</t>
    <phoneticPr fontId="1"/>
  </si>
  <si>
    <t>おかしのくにぐれーてる</t>
    <phoneticPr fontId="1"/>
  </si>
  <si>
    <t>【お菓子の国】グレーテル</t>
    <phoneticPr fontId="1"/>
  </si>
  <si>
    <t>タイプ武人・姫の攻50％DOWN　/　タイプ武人・伝承の防15％UP</t>
    <phoneticPr fontId="1"/>
  </si>
  <si>
    <t>タイプ【姫】の攻20％DOWN　/　タイプ武人・伝承の防10％UP</t>
    <phoneticPr fontId="1"/>
  </si>
  <si>
    <t>【忍者修行】花子さん</t>
    <phoneticPr fontId="1"/>
  </si>
  <si>
    <t>91703_0</t>
    <phoneticPr fontId="1"/>
  </si>
  <si>
    <t>にんじゃしゅぎょうはなこさん</t>
    <phoneticPr fontId="1"/>
  </si>
  <si>
    <t>タイプ伝承・武人・姫の防75％UP</t>
    <phoneticPr fontId="1"/>
  </si>
  <si>
    <t>神出鬼没な忍び霊</t>
    <phoneticPr fontId="1"/>
  </si>
  <si>
    <t>姫</t>
    <phoneticPr fontId="1"/>
  </si>
  <si>
    <t>一定時間、味方全体が1000以上のダメージを受けなくなり、攻撃を受けたときに戦技ゲージ上昇割合が中UP</t>
    <phoneticPr fontId="1"/>
  </si>
  <si>
    <t>色褪せぬ恐怖</t>
    <phoneticPr fontId="1"/>
  </si>
  <si>
    <t>タイプ【名物】の攻90％UP　/　タイプ偉人・妖怪の攻30％UP</t>
    <phoneticPr fontId="1"/>
  </si>
  <si>
    <t>砂かける謎多き忍び</t>
    <phoneticPr fontId="1"/>
  </si>
  <si>
    <t>妖怪</t>
    <phoneticPr fontId="1"/>
  </si>
  <si>
    <t>にんじゃしゅぎょうすなかけむすめ</t>
    <phoneticPr fontId="1"/>
  </si>
  <si>
    <t>【忍者修行】砂かけ娘</t>
    <phoneticPr fontId="1"/>
  </si>
  <si>
    <t>近畿</t>
    <phoneticPr fontId="1"/>
  </si>
  <si>
    <t>タイプ神秘・知性派・飲食の防40％UP</t>
    <phoneticPr fontId="1"/>
  </si>
  <si>
    <t>ほかほか人心掌握術</t>
    <phoneticPr fontId="1"/>
  </si>
  <si>
    <t>飲食</t>
    <phoneticPr fontId="1"/>
  </si>
  <si>
    <t>にんじゃしゅぎょうちゅうかまんちゃん</t>
    <phoneticPr fontId="1"/>
  </si>
  <si>
    <t>関東</t>
    <phoneticPr fontId="1"/>
  </si>
  <si>
    <t>【忍者修行】中華まんちゃん</t>
    <phoneticPr fontId="1"/>
  </si>
  <si>
    <t>タイプ伝承・武人・姫の防50％UP</t>
    <phoneticPr fontId="1"/>
  </si>
  <si>
    <t>蛹から蝶へ新たなる転身</t>
    <phoneticPr fontId="1"/>
  </si>
  <si>
    <t>にんじゃしゅぎょうちょうちょうふじん</t>
    <phoneticPr fontId="1"/>
  </si>
  <si>
    <t>【忍者修行】蝶々夫人</t>
    <phoneticPr fontId="1"/>
  </si>
  <si>
    <t>九州・沖縄</t>
    <phoneticPr fontId="1"/>
  </si>
  <si>
    <t>タイプ神秘・飲食の攻35％UP　/　タイプ【知性派】の攻20％UP</t>
    <phoneticPr fontId="1"/>
  </si>
  <si>
    <t>北の大地を縦横無尽</t>
    <phoneticPr fontId="1"/>
  </si>
  <si>
    <t>知性派</t>
    <phoneticPr fontId="1"/>
  </si>
  <si>
    <t>しんせいしのびまみやりんぞう</t>
    <phoneticPr fontId="1"/>
  </si>
  <si>
    <t>[新生]【SHINOBI】間宮林蔵</t>
    <phoneticPr fontId="1"/>
  </si>
  <si>
    <t>北海道・東北</t>
    <phoneticPr fontId="1"/>
  </si>
  <si>
    <t>タイプ偉人・妖怪の防35％UP　/　タイプ【名物】の防20％UP</t>
    <phoneticPr fontId="1"/>
  </si>
  <si>
    <t>投げるはドングリから手裏剣へ</t>
    <phoneticPr fontId="1"/>
  </si>
  <si>
    <t>しんせいひえいにほんりすちゃん</t>
    <phoneticPr fontId="1"/>
  </si>
  <si>
    <t>[新生]【飛影】ニホンリスちゃん</t>
    <phoneticPr fontId="1"/>
  </si>
  <si>
    <t>中国・四国</t>
    <phoneticPr fontId="1"/>
  </si>
  <si>
    <t>画流忍術</t>
    <phoneticPr fontId="1"/>
  </si>
  <si>
    <t>しんせいしのぶいけのぎょくらん</t>
    <phoneticPr fontId="1"/>
  </si>
  <si>
    <t>[新生]【SHINOBI】池玉瀾</t>
    <phoneticPr fontId="1"/>
  </si>
  <si>
    <t>中部</t>
    <phoneticPr fontId="1"/>
  </si>
  <si>
    <t>タイプ神秘・飲食の攻25％UP</t>
    <phoneticPr fontId="1"/>
  </si>
  <si>
    <t>跳び超えるべき警備</t>
    <phoneticPr fontId="1"/>
  </si>
  <si>
    <t>しんせいしのびかとうだんぞう</t>
    <phoneticPr fontId="1"/>
  </si>
  <si>
    <t>[新生]【SHINOBI】加藤段蔵</t>
    <phoneticPr fontId="1"/>
  </si>
  <si>
    <t>甲賀流秘匿術</t>
    <phoneticPr fontId="1"/>
  </si>
  <si>
    <t>しんせいとらわれひめこうがくのいち</t>
    <phoneticPr fontId="1"/>
  </si>
  <si>
    <t>[新生]【囚われ姫】甲賀くノ一</t>
    <phoneticPr fontId="1"/>
  </si>
  <si>
    <t>防衛戦 見習いくノ一の忍道ガチャ</t>
    <rPh sb="0" eb="3">
      <t>ボウエイセン</t>
    </rPh>
    <phoneticPr fontId="1"/>
  </si>
  <si>
    <t>R</t>
    <phoneticPr fontId="1"/>
  </si>
  <si>
    <t>[新生]黒川能王祇祭</t>
    <phoneticPr fontId="1"/>
  </si>
  <si>
    <t>山形</t>
    <phoneticPr fontId="1"/>
  </si>
  <si>
    <t>[新生]お月見泥棒</t>
    <phoneticPr fontId="1"/>
  </si>
  <si>
    <t>無所属</t>
    <phoneticPr fontId="1"/>
  </si>
  <si>
    <t>しんせいくろかわのうおうぎさい</t>
    <phoneticPr fontId="1"/>
  </si>
  <si>
    <t>しんせいおつきみどろぼう</t>
    <phoneticPr fontId="1"/>
  </si>
  <si>
    <t>悪霊封じの大地踏</t>
    <phoneticPr fontId="1"/>
  </si>
  <si>
    <t>タイプ神秘・飲食・偉人の攻30％UP</t>
    <phoneticPr fontId="1"/>
  </si>
  <si>
    <t>防衛戦5進化隊士 包囲完了！路地裏の大捕り物ガチャ</t>
    <rPh sb="0" eb="3">
      <t>ボウエイセン</t>
    </rPh>
    <phoneticPr fontId="1"/>
  </si>
  <si>
    <t>タイプ神秘・知性派の防45％UP　/　タイプ【飲食】の防30％UP</t>
    <phoneticPr fontId="1"/>
  </si>
  <si>
    <t>『鉄砲』と呼ばれた警察官</t>
    <phoneticPr fontId="1"/>
  </si>
  <si>
    <t>飲食</t>
    <phoneticPr fontId="1"/>
  </si>
  <si>
    <t>ぽりすふぐさしちゃん</t>
    <phoneticPr fontId="1"/>
  </si>
  <si>
    <t>【ポリス】フグ刺しちゃん</t>
    <phoneticPr fontId="1"/>
  </si>
  <si>
    <t>タイプ神秘・知性派の防30％UP　/　タイプ【飲食】の防25％UP</t>
    <phoneticPr fontId="1"/>
  </si>
  <si>
    <t>西日本</t>
    <phoneticPr fontId="1"/>
  </si>
  <si>
    <t>タイプ神秘・知性派の防15％UP　/　タイプ【飲食】の防20％UP</t>
    <phoneticPr fontId="1"/>
  </si>
  <si>
    <t>天クロ8thアニバーサリーガチャ</t>
    <phoneticPr fontId="1"/>
  </si>
  <si>
    <t>9/2 15:00～9/10 23:59</t>
    <phoneticPr fontId="1"/>
  </si>
  <si>
    <t>【鍋パーティ】火雷大神</t>
    <phoneticPr fontId="1"/>
  </si>
  <si>
    <t>【将棋】狸の恩返し</t>
    <phoneticPr fontId="1"/>
  </si>
  <si>
    <t>【うたたね】北の方</t>
    <phoneticPr fontId="1"/>
  </si>
  <si>
    <t>[新生]【名工】小泉八雲</t>
    <phoneticPr fontId="1"/>
  </si>
  <si>
    <t>【招き猫】お鶴明神</t>
    <phoneticPr fontId="1"/>
  </si>
  <si>
    <t>【お泊り女子会】たい焼きちゃん</t>
    <phoneticPr fontId="1"/>
  </si>
  <si>
    <t>【ウィンタースポーツ】月見酒ちゃん</t>
    <phoneticPr fontId="1"/>
  </si>
  <si>
    <t>【ウィンタースポーツ】月見酒ちゃん</t>
    <phoneticPr fontId="1"/>
  </si>
  <si>
    <t>【父の日】明石レジーナ</t>
    <phoneticPr fontId="1"/>
  </si>
  <si>
    <t>【星座】十勝の雷神</t>
    <phoneticPr fontId="1"/>
  </si>
  <si>
    <t>奪還すべし雷神の角</t>
    <phoneticPr fontId="1"/>
  </si>
  <si>
    <t>【春の体育祭】あま姫</t>
    <phoneticPr fontId="1"/>
  </si>
  <si>
    <t>攻防値は概算</t>
    <rPh sb="0" eb="2">
      <t>コウボウ</t>
    </rPh>
    <rPh sb="2" eb="3">
      <t>アタイ</t>
    </rPh>
    <rPh sb="4" eb="6">
      <t>ガイサン</t>
    </rPh>
    <phoneticPr fontId="1"/>
  </si>
  <si>
    <t>復活！5進化隊士ガチャ(ガチャ記録失念のため隊士は記憶による推定)</t>
    <rPh sb="0" eb="2">
      <t>フッカツ</t>
    </rPh>
    <rPh sb="4" eb="6">
      <t>シンカ</t>
    </rPh>
    <rPh sb="6" eb="8">
      <t>タイシ</t>
    </rPh>
    <rPh sb="22" eb="24">
      <t>タイシ</t>
    </rPh>
    <rPh sb="25" eb="27">
      <t>キオク</t>
    </rPh>
    <phoneticPr fontId="1"/>
  </si>
  <si>
    <t>祝来！宝船福引ガチャ</t>
    <phoneticPr fontId="1"/>
  </si>
  <si>
    <t>9/3 12:00～9/4 11:59</t>
    <phoneticPr fontId="1"/>
  </si>
  <si>
    <t>アトラース</t>
    <phoneticPr fontId="1"/>
  </si>
  <si>
    <t>あとらーす</t>
    <phoneticPr fontId="1"/>
  </si>
  <si>
    <t>タイプ武人・伝承の攻45％UP　/　所属が【北海道・東北】とそれに属する県、および【全国】【東日本】の攻30％UP</t>
    <phoneticPr fontId="1"/>
  </si>
  <si>
    <t>西洋の巨神</t>
    <phoneticPr fontId="1"/>
  </si>
  <si>
    <t>タイプ神秘・知性派の攻45％UP　/　所属が【関東】とそれに属する県、および【全国】【東日本】の攻30％UP</t>
    <phoneticPr fontId="1"/>
  </si>
  <si>
    <t>美味しさの秘訣</t>
    <phoneticPr fontId="1"/>
  </si>
  <si>
    <t>飲食</t>
    <phoneticPr fontId="1"/>
  </si>
  <si>
    <t>しょこら・ふぇ</t>
    <phoneticPr fontId="1"/>
  </si>
  <si>
    <t>ショコラ・フェ</t>
    <phoneticPr fontId="1"/>
  </si>
  <si>
    <t>タイプ知性派・飲食の攻45％UP　/　所属が【中部】とそれに属する県、および【全国】【東日本】の攻30％UP</t>
    <phoneticPr fontId="1"/>
  </si>
  <si>
    <t>滋養守護</t>
    <phoneticPr fontId="1"/>
  </si>
  <si>
    <t>神秘</t>
    <phoneticPr fontId="1"/>
  </si>
  <si>
    <t>けるぶ</t>
    <phoneticPr fontId="1"/>
  </si>
  <si>
    <t>ケルブ</t>
    <phoneticPr fontId="1"/>
  </si>
  <si>
    <t>タイプ偉人・名物の防45％UP　/　所属が【近畿】とそれに属する県、および【全国】【西日本】の防30％UP</t>
    <phoneticPr fontId="1"/>
  </si>
  <si>
    <t>天に輝く星たち</t>
    <phoneticPr fontId="1"/>
  </si>
  <si>
    <t>妖怪</t>
    <phoneticPr fontId="1"/>
  </si>
  <si>
    <t>たらぜととれだ</t>
    <phoneticPr fontId="1"/>
  </si>
  <si>
    <t>タラゼトとレダ</t>
    <phoneticPr fontId="1"/>
  </si>
  <si>
    <t>タイプ武人・姫の防45％UP　/　所属が【中国・四国】とそれに属する県、および【全国】【西日本】の防30％UP</t>
    <phoneticPr fontId="1"/>
  </si>
  <si>
    <t>魂の守護者</t>
    <phoneticPr fontId="1"/>
  </si>
  <si>
    <t>伝承</t>
    <phoneticPr fontId="1"/>
  </si>
  <si>
    <t>ぷしこぽんぽい</t>
    <phoneticPr fontId="1"/>
  </si>
  <si>
    <t>プシコポンポイ</t>
    <phoneticPr fontId="1"/>
  </si>
  <si>
    <t>タイプ偉人・妖怪の防45％UP　/　所属が【九州・沖縄】とそれに属する県、および【全国】【西日本】の防30％UP</t>
    <phoneticPr fontId="1"/>
  </si>
  <si>
    <t>向日葵の微笑み</t>
    <phoneticPr fontId="1"/>
  </si>
  <si>
    <t>名物</t>
    <phoneticPr fontId="1"/>
  </si>
  <si>
    <t>さんふらうあ</t>
    <phoneticPr fontId="1"/>
  </si>
  <si>
    <t>サンフラウア</t>
    <phoneticPr fontId="1"/>
  </si>
  <si>
    <t>防衛戦 奮励努力する新米ポリスガチャ</t>
    <rPh sb="0" eb="3">
      <t>ボウエイセン</t>
    </rPh>
    <phoneticPr fontId="1"/>
  </si>
  <si>
    <t>(Lvアップ)9/4 12:00～9/8 11:59</t>
    <phoneticPr fontId="1"/>
  </si>
  <si>
    <t>(DX)9/4 12:00～9/8 11:59</t>
    <phoneticPr fontId="1"/>
  </si>
  <si>
    <t>SSR</t>
    <phoneticPr fontId="1"/>
  </si>
  <si>
    <t>SR</t>
    <phoneticPr fontId="1"/>
  </si>
  <si>
    <t>HR</t>
    <phoneticPr fontId="1"/>
  </si>
  <si>
    <t>タイプ知性派・飲食の攻60％UP　/　タイプ【神秘】の攻30％UP</t>
    <phoneticPr fontId="1"/>
  </si>
  <si>
    <t>擬態スキルを持つ新米警官</t>
    <phoneticPr fontId="1"/>
  </si>
  <si>
    <t>神秘</t>
    <phoneticPr fontId="1"/>
  </si>
  <si>
    <t>ぽりすゆうれいいか</t>
    <phoneticPr fontId="1"/>
  </si>
  <si>
    <t>【ポリス】ユウレイイカ</t>
    <phoneticPr fontId="1"/>
  </si>
  <si>
    <t>中部</t>
    <phoneticPr fontId="1"/>
  </si>
  <si>
    <t>タイプ武人・伝承の防30％UP　/　タイプ【姫】の防10％UP</t>
    <phoneticPr fontId="1"/>
  </si>
  <si>
    <t>迷える子羊を保護！</t>
    <phoneticPr fontId="1"/>
  </si>
  <si>
    <t>姫</t>
    <phoneticPr fontId="1"/>
  </si>
  <si>
    <t>しんせいぽりすないとうじゅりあ</t>
    <phoneticPr fontId="1"/>
  </si>
  <si>
    <t>[新生]【ポリス】内藤ジュリア</t>
    <phoneticPr fontId="1"/>
  </si>
  <si>
    <t>近畿</t>
    <phoneticPr fontId="1"/>
  </si>
  <si>
    <t>タイプ妖怪・名物の攻20％UP</t>
    <phoneticPr fontId="1"/>
  </si>
  <si>
    <t>豪快なる似顔絵捜査官</t>
    <phoneticPr fontId="1"/>
  </si>
  <si>
    <t>偉人</t>
    <phoneticPr fontId="1"/>
  </si>
  <si>
    <t>しんせいけいじかつしかおうい</t>
    <phoneticPr fontId="1"/>
  </si>
  <si>
    <t>[新生]【刑事】葛飾応為</t>
    <phoneticPr fontId="1"/>
  </si>
  <si>
    <t>関東</t>
    <phoneticPr fontId="1"/>
  </si>
  <si>
    <t>タイプ偉人・名物の防20％UP</t>
    <phoneticPr fontId="1"/>
  </si>
  <si>
    <t>大江山の鬼神</t>
    <phoneticPr fontId="1"/>
  </si>
  <si>
    <t>妖怪</t>
    <phoneticPr fontId="1"/>
  </si>
  <si>
    <t>しんせいしゅてんどうじ</t>
    <phoneticPr fontId="1"/>
  </si>
  <si>
    <t>[新生]酒呑童子</t>
    <phoneticPr fontId="1"/>
  </si>
  <si>
    <t>京都</t>
    <phoneticPr fontId="1"/>
  </si>
  <si>
    <t>豪華玉手箱ガチャ</t>
    <phoneticPr fontId="1"/>
  </si>
  <si>
    <t>9/4 15:00～9/4 23:59</t>
    <phoneticPr fontId="1"/>
  </si>
  <si>
    <t>9/5 11:00～9/5 23:59</t>
    <phoneticPr fontId="1"/>
  </si>
  <si>
    <t>戦神ガチャ</t>
    <phoneticPr fontId="1"/>
  </si>
  <si>
    <t>防衛戦 戦神ガチャ</t>
    <rPh sb="0" eb="3">
      <t>ボウエイセン</t>
    </rPh>
    <phoneticPr fontId="1"/>
  </si>
  <si>
    <t>符術士サラシナ</t>
    <phoneticPr fontId="1"/>
  </si>
  <si>
    <t>祝来！宝船福引ガチャ</t>
    <phoneticPr fontId="1"/>
  </si>
  <si>
    <t>9/6 12:00～9/7 11:59</t>
    <phoneticPr fontId="1"/>
  </si>
  <si>
    <t>―</t>
    <phoneticPr fontId="1"/>
  </si>
  <si>
    <t>進化の秘竜チャンスガチャ</t>
    <phoneticPr fontId="1"/>
  </si>
  <si>
    <t>9/7 12:00～9/9 23:59</t>
    <phoneticPr fontId="1"/>
  </si>
  <si>
    <t>[新生]【踊り娘】ビードロ細工ちゃん</t>
    <phoneticPr fontId="1"/>
  </si>
  <si>
    <t>9/7 18:00～9/7 21:59</t>
    <phoneticPr fontId="1"/>
  </si>
  <si>
    <t>四神戦 静寂の魔術図書館ガチャ</t>
    <rPh sb="0" eb="1">
      <t>ヨン</t>
    </rPh>
    <rPh sb="1" eb="2">
      <t>シン</t>
    </rPh>
    <rPh sb="2" eb="3">
      <t>セン</t>
    </rPh>
    <phoneticPr fontId="1"/>
  </si>
  <si>
    <t>(Lvアップ)9/8 12:00～9/14 11:59</t>
    <phoneticPr fontId="1"/>
  </si>
  <si>
    <t>(DX)9/8 12:00～9/14 11:59</t>
    <phoneticPr fontId="1"/>
  </si>
  <si>
    <t>SR</t>
    <phoneticPr fontId="1"/>
  </si>
  <si>
    <t>HR</t>
    <phoneticPr fontId="1"/>
  </si>
  <si>
    <t>超防再臨ガチャ</t>
    <phoneticPr fontId="1"/>
  </si>
  <si>
    <t>タイプ神秘・知性派・飲食の攻85％DOWN　/　タイプ知性派・飲食の防30％UP</t>
    <phoneticPr fontId="1"/>
  </si>
  <si>
    <t>図書室の主</t>
    <phoneticPr fontId="1"/>
  </si>
  <si>
    <t>神秘</t>
    <phoneticPr fontId="1"/>
  </si>
  <si>
    <t>まほうがっこうさーゔぁんと</t>
    <phoneticPr fontId="1"/>
  </si>
  <si>
    <t>【魔法学校】サーヴァント</t>
    <phoneticPr fontId="1"/>
  </si>
  <si>
    <t>タイプ妖怪・名物の防60％UP　/　タイプ【偉人】の防30％UP</t>
    <phoneticPr fontId="1"/>
  </si>
  <si>
    <t>そこのけ軍師が通る</t>
    <phoneticPr fontId="1"/>
  </si>
  <si>
    <t>偉人</t>
    <phoneticPr fontId="1"/>
  </si>
  <si>
    <t>しんせいさんごくしこばやしいっさ</t>
    <phoneticPr fontId="1"/>
  </si>
  <si>
    <t>[新生]【三国志】小林一茶</t>
    <phoneticPr fontId="1"/>
  </si>
  <si>
    <t>中部</t>
    <phoneticPr fontId="1"/>
  </si>
  <si>
    <t>タイプ神秘・飲食の攻30％UP　/　タイプ【知性派】の攻10％UP</t>
    <phoneticPr fontId="1"/>
  </si>
  <si>
    <t>バレンタイン・マジック</t>
    <phoneticPr fontId="1"/>
  </si>
  <si>
    <t>知性派</t>
    <phoneticPr fontId="1"/>
  </si>
  <si>
    <t>しんせいみわくのうぃっち</t>
    <phoneticPr fontId="1"/>
  </si>
  <si>
    <t>[新生]魅惑のウィッチ</t>
    <phoneticPr fontId="1"/>
  </si>
  <si>
    <t>近畿</t>
    <phoneticPr fontId="1"/>
  </si>
  <si>
    <t>タイプ偉人・妖怪の防20％UP</t>
    <phoneticPr fontId="1"/>
  </si>
  <si>
    <t>ススキ箒の魔女</t>
    <phoneticPr fontId="1"/>
  </si>
  <si>
    <t>名物</t>
    <phoneticPr fontId="1"/>
  </si>
  <si>
    <t>しんせいまかいすすきちゃん</t>
    <phoneticPr fontId="1"/>
  </si>
  <si>
    <t>[新生]【魔界】すすきちゃん</t>
    <phoneticPr fontId="1"/>
  </si>
  <si>
    <t>関東</t>
    <phoneticPr fontId="1"/>
  </si>
  <si>
    <t>タイプ武人・伝承の攻20％UP</t>
    <phoneticPr fontId="1"/>
  </si>
  <si>
    <t>大胆不敵な資質</t>
    <phoneticPr fontId="1"/>
  </si>
  <si>
    <t>姫</t>
    <phoneticPr fontId="1"/>
  </si>
  <si>
    <t>しんせいまほうしょうじょおりょう</t>
    <phoneticPr fontId="1"/>
  </si>
  <si>
    <t>[新生]【魔法少女】おりょう</t>
    <phoneticPr fontId="1"/>
  </si>
  <si>
    <t>九州・沖縄</t>
    <phoneticPr fontId="1"/>
  </si>
  <si>
    <t>9/8 18:00～9/10 23:59</t>
    <phoneticPr fontId="1"/>
  </si>
  <si>
    <t>豪華玉手箱ガチャ</t>
    <phoneticPr fontId="1"/>
  </si>
  <si>
    <t>9/9 15:00～9/9 23:59</t>
    <phoneticPr fontId="1"/>
  </si>
  <si>
    <t>四神戦5進化隊士 聖光照らす白魔術ガチャ</t>
    <rPh sb="0" eb="1">
      <t>ヨン</t>
    </rPh>
    <rPh sb="1" eb="2">
      <t>シン</t>
    </rPh>
    <rPh sb="2" eb="3">
      <t>セン</t>
    </rPh>
    <rPh sb="4" eb="6">
      <t>シンカ</t>
    </rPh>
    <rPh sb="6" eb="8">
      <t>タイシ</t>
    </rPh>
    <phoneticPr fontId="1"/>
  </si>
  <si>
    <t>9/9 12:00～9/14 11:59</t>
    <phoneticPr fontId="1"/>
  </si>
  <si>
    <t>【魔法学校】ミス・ヘイロ</t>
    <phoneticPr fontId="1"/>
  </si>
  <si>
    <t>麗しき才女</t>
    <phoneticPr fontId="1"/>
  </si>
  <si>
    <t>まほうがっこうみす・へいろ</t>
    <phoneticPr fontId="1"/>
  </si>
  <si>
    <t>タイプ【飲食】の攻65％UP　/　タイプ神秘・知性派の攻25％UP</t>
    <phoneticPr fontId="1"/>
  </si>
  <si>
    <t>タイプ【飲食】の攻50％UP　/　タイプ【知性派】の攻20％UP</t>
    <phoneticPr fontId="1"/>
  </si>
  <si>
    <t>しんせいだりあ</t>
    <phoneticPr fontId="1"/>
  </si>
  <si>
    <t>しんせいきぬがわおんせん</t>
    <phoneticPr fontId="1"/>
  </si>
  <si>
    <t>四神戦 英雄ガチャ</t>
    <rPh sb="0" eb="1">
      <t>ヨン</t>
    </rPh>
    <rPh sb="1" eb="2">
      <t>シン</t>
    </rPh>
    <rPh sb="2" eb="3">
      <t>セン</t>
    </rPh>
    <rPh sb="4" eb="6">
      <t>エイユウ</t>
    </rPh>
    <phoneticPr fontId="1"/>
  </si>
  <si>
    <t>9/10 11:00～9/10 23:59</t>
    <phoneticPr fontId="1"/>
  </si>
  <si>
    <t>9/10 15:00～9/12 23:59</t>
    <phoneticPr fontId="1"/>
  </si>
  <si>
    <t>戦神ガチャ</t>
    <phoneticPr fontId="1"/>
  </si>
  <si>
    <t>祝来！宝船福引ガチャ</t>
    <phoneticPr fontId="1"/>
  </si>
  <si>
    <t>9/11 12:00～9/12 11:59</t>
    <phoneticPr fontId="1"/>
  </si>
  <si>
    <t>天クロ8thアニバーサリーガチャ</t>
    <phoneticPr fontId="1"/>
  </si>
  <si>
    <t>9/11 15:00～9/20 23:59</t>
    <phoneticPr fontId="1"/>
  </si>
  <si>
    <t>【夏遊園地】辰子姫</t>
    <phoneticPr fontId="1"/>
  </si>
  <si>
    <t>北海道・東北</t>
    <phoneticPr fontId="1"/>
  </si>
  <si>
    <t>妖怪</t>
    <phoneticPr fontId="1"/>
  </si>
  <si>
    <t>なつゆうえんちたつこひめ</t>
    <phoneticPr fontId="1"/>
  </si>
  <si>
    <t>水も滴る美貌の龍姫</t>
    <phoneticPr fontId="1"/>
  </si>
  <si>
    <t>130%→140%(3進)</t>
    <rPh sb="11" eb="12">
      <t>シン</t>
    </rPh>
    <phoneticPr fontId="1"/>
  </si>
  <si>
    <t>関東</t>
    <phoneticPr fontId="1"/>
  </si>
  <si>
    <t>中部</t>
    <phoneticPr fontId="1"/>
  </si>
  <si>
    <t>近畿</t>
    <phoneticPr fontId="1"/>
  </si>
  <si>
    <t>中国・四国</t>
    <phoneticPr fontId="1"/>
  </si>
  <si>
    <t>九州・沖縄</t>
    <phoneticPr fontId="1"/>
  </si>
  <si>
    <t>知性派</t>
    <phoneticPr fontId="1"/>
  </si>
  <si>
    <t>姫</t>
    <phoneticPr fontId="1"/>
  </si>
  <si>
    <t>神秘</t>
    <phoneticPr fontId="1"/>
  </si>
  <si>
    <t>偉人</t>
    <phoneticPr fontId="1"/>
  </si>
  <si>
    <t>【海開き】ラグーザ玉</t>
    <phoneticPr fontId="1"/>
  </si>
  <si>
    <t>【レースクイーン】ねね</t>
    <phoneticPr fontId="1"/>
  </si>
  <si>
    <t>【X’masパーティ】小式部内侍</t>
    <phoneticPr fontId="1"/>
  </si>
  <si>
    <t>【節分】エヒメノミコト</t>
    <phoneticPr fontId="1"/>
  </si>
  <si>
    <t>【お花見】天草四郎</t>
    <phoneticPr fontId="1"/>
  </si>
  <si>
    <t>うみびらきらぐーざたま</t>
    <phoneticPr fontId="1"/>
  </si>
  <si>
    <t>れーすくいーんねね</t>
    <phoneticPr fontId="1"/>
  </si>
  <si>
    <t>くりすますぱーてぃこしきぶのないじ</t>
    <phoneticPr fontId="1"/>
  </si>
  <si>
    <t>せつぶんえひめのみこと</t>
    <phoneticPr fontId="1"/>
  </si>
  <si>
    <t>おはなみあまくさしろう</t>
    <phoneticPr fontId="1"/>
  </si>
  <si>
    <t>?</t>
    <phoneticPr fontId="1"/>
  </si>
  <si>
    <t>防衛戦 芳潤な果実の香りガチャ(シートボーナス及びセット内容で得られるチケットが全てHR～SSR以上が確定するチケットに変更され、ログインボーナスの無料ガチャチケットもR以上確定→HR以上確定に変更されたために、DXガチャ以外でのR入手が極めて困難になる)</t>
    <rPh sb="0" eb="3">
      <t>ボウエイセン</t>
    </rPh>
    <rPh sb="48" eb="50">
      <t>イジョウ</t>
    </rPh>
    <phoneticPr fontId="1"/>
  </si>
  <si>
    <t>9/12 11:00～9/12 23:59</t>
    <phoneticPr fontId="1"/>
  </si>
  <si>
    <t>2019/07同盟戦</t>
    <rPh sb="7" eb="9">
      <t>ドウメイ</t>
    </rPh>
    <rPh sb="9" eb="10">
      <t>セン</t>
    </rPh>
    <phoneticPr fontId="1"/>
  </si>
  <si>
    <t>豪華玉手箱ガチャ</t>
    <phoneticPr fontId="1"/>
  </si>
  <si>
    <t>9/13 15:00～9/13 23:59</t>
    <phoneticPr fontId="1"/>
  </si>
  <si>
    <t>ゲリラガチャ</t>
    <phoneticPr fontId="1"/>
  </si>
  <si>
    <t>9/13 18:00～9/13 21:59</t>
    <phoneticPr fontId="1"/>
  </si>
  <si>
    <t>サイコロ行脚 闇夜に広がる月光花ガチャ</t>
    <rPh sb="4" eb="6">
      <t>アンギャ</t>
    </rPh>
    <phoneticPr fontId="1"/>
  </si>
  <si>
    <t>(Lvアップ)9/14 12:00～9/21 11:59</t>
    <phoneticPr fontId="1"/>
  </si>
  <si>
    <t>(DX)9/14 12:00～9/21 11:59</t>
    <phoneticPr fontId="1"/>
  </si>
  <si>
    <t>SSR</t>
    <phoneticPr fontId="1"/>
  </si>
  <si>
    <t>HR</t>
    <phoneticPr fontId="1"/>
  </si>
  <si>
    <t>SR</t>
    <phoneticPr fontId="1"/>
  </si>
  <si>
    <t>関東</t>
    <phoneticPr fontId="1"/>
  </si>
  <si>
    <t>無所属</t>
    <rPh sb="0" eb="3">
      <t>ムショゾク</t>
    </rPh>
    <phoneticPr fontId="1"/>
  </si>
  <si>
    <t>北海道・東北</t>
    <rPh sb="0" eb="3">
      <t>ホッカイドウ</t>
    </rPh>
    <rPh sb="4" eb="6">
      <t>トウホク</t>
    </rPh>
    <phoneticPr fontId="1"/>
  </si>
  <si>
    <t>祝来！宝船福引ガチャ</t>
    <phoneticPr fontId="1"/>
  </si>
  <si>
    <t>9/14 15:00～9/15 14:59</t>
    <phoneticPr fontId="1"/>
  </si>
  <si>
    <t>げっこうくれーぶる</t>
    <phoneticPr fontId="1"/>
  </si>
  <si>
    <t>【月光】クレーブル</t>
    <phoneticPr fontId="1"/>
  </si>
  <si>
    <t>タイプ【名物】の攻35％UP　/　タイプ偉人・妖怪の攻20％UP</t>
    <phoneticPr fontId="1"/>
  </si>
  <si>
    <t>月光乱舞</t>
    <phoneticPr fontId="1"/>
  </si>
  <si>
    <t>妖怪</t>
    <phoneticPr fontId="1"/>
  </si>
  <si>
    <t>タイプ【姫】の防45％UP　/　タイプ武人・伝承の防15％UP</t>
    <phoneticPr fontId="1"/>
  </si>
  <si>
    <t>鞘を捨てた貴様の負けだ</t>
    <phoneticPr fontId="1"/>
  </si>
  <si>
    <t>武人</t>
    <phoneticPr fontId="1"/>
  </si>
  <si>
    <t>しんせいみやもとむさし</t>
    <phoneticPr fontId="1"/>
  </si>
  <si>
    <t>[新生]宮本武蔵</t>
    <phoneticPr fontId="1"/>
  </si>
  <si>
    <t>タイプ武人・姫の攻30％UP　/　タイプ【伝承】の攻10％UP</t>
    <phoneticPr fontId="1"/>
  </si>
  <si>
    <t>月からの使者</t>
    <phoneticPr fontId="1"/>
  </si>
  <si>
    <t>伝承</t>
    <phoneticPr fontId="1"/>
  </si>
  <si>
    <t>しんせいかぐや</t>
    <phoneticPr fontId="1"/>
  </si>
  <si>
    <t>[新生]カグヤ</t>
    <phoneticPr fontId="1"/>
  </si>
  <si>
    <t>タイプ偉人・妖怪の防20％UP</t>
    <phoneticPr fontId="1"/>
  </si>
  <si>
    <t>生息域は海をも越えて</t>
    <phoneticPr fontId="1"/>
  </si>
  <si>
    <t>名物</t>
    <phoneticPr fontId="1"/>
  </si>
  <si>
    <t>しんせいぽーらんどゆきうさぎ</t>
    <phoneticPr fontId="1"/>
  </si>
  <si>
    <t>[新生]【ポーランド】ユキウサギ</t>
    <phoneticPr fontId="1"/>
  </si>
  <si>
    <t>タイプ武人・姫の攻20％UP</t>
    <phoneticPr fontId="1"/>
  </si>
  <si>
    <t>十六日の開花</t>
    <phoneticPr fontId="1"/>
  </si>
  <si>
    <t>しんせいじゅうろくざくら</t>
    <phoneticPr fontId="1"/>
  </si>
  <si>
    <t>[新生]十六桜</t>
    <phoneticPr fontId="1"/>
  </si>
  <si>
    <t>四神戦5進化隊士 月下の舞姫ガチャ</t>
    <rPh sb="0" eb="1">
      <t>ヨン</t>
    </rPh>
    <rPh sb="1" eb="2">
      <t>シン</t>
    </rPh>
    <rPh sb="2" eb="3">
      <t>セン</t>
    </rPh>
    <rPh sb="4" eb="6">
      <t>シンカ</t>
    </rPh>
    <rPh sb="6" eb="8">
      <t>タイシ</t>
    </rPh>
    <phoneticPr fontId="1"/>
  </si>
  <si>
    <t>9/15 12:00～9/20 22:59</t>
    <phoneticPr fontId="1"/>
  </si>
  <si>
    <t>【月光】月宮天センダラ</t>
    <phoneticPr fontId="1"/>
  </si>
  <si>
    <t>げっこうがっくうてんせんだら</t>
    <phoneticPr fontId="1"/>
  </si>
  <si>
    <t>夜舞満月心</t>
    <phoneticPr fontId="1"/>
  </si>
  <si>
    <t>2020天クロ8周年ログボ福引ガチャ</t>
    <rPh sb="4" eb="5">
      <t>テン</t>
    </rPh>
    <rPh sb="8" eb="10">
      <t>シュウネン</t>
    </rPh>
    <rPh sb="13" eb="15">
      <t>フクビキ</t>
    </rPh>
    <phoneticPr fontId="1"/>
  </si>
  <si>
    <t>09/15 15:00～09/16 23:59</t>
    <phoneticPr fontId="1"/>
  </si>
  <si>
    <t>タイプ偉人・妖怪・名物の攻30％UP　/　タイプ偉人・妖怪の防25％DOWN</t>
    <phoneticPr fontId="1"/>
  </si>
  <si>
    <t>西日本</t>
    <rPh sb="0" eb="1">
      <t>ニシ</t>
    </rPh>
    <rPh sb="1" eb="3">
      <t>ニホン</t>
    </rPh>
    <phoneticPr fontId="1"/>
  </si>
  <si>
    <t>北海道・東北</t>
    <rPh sb="0" eb="3">
      <t>ホッカイドウ</t>
    </rPh>
    <rPh sb="4" eb="6">
      <t>トウホク</t>
    </rPh>
    <phoneticPr fontId="1"/>
  </si>
  <si>
    <t>関東</t>
    <rPh sb="0" eb="2">
      <t>カントウ</t>
    </rPh>
    <phoneticPr fontId="1"/>
  </si>
  <si>
    <t>九州・沖縄</t>
    <rPh sb="0" eb="2">
      <t>キュウシュウ</t>
    </rPh>
    <rPh sb="3" eb="5">
      <t>オキナワ</t>
    </rPh>
    <phoneticPr fontId="1"/>
  </si>
  <si>
    <t>中部</t>
    <rPh sb="0" eb="2">
      <t>チュウブ</t>
    </rPh>
    <phoneticPr fontId="1"/>
  </si>
  <si>
    <t>中国・四国</t>
    <rPh sb="0" eb="2">
      <t>チュウゴク</t>
    </rPh>
    <rPh sb="3" eb="5">
      <t>シコク</t>
    </rPh>
    <phoneticPr fontId="1"/>
  </si>
  <si>
    <t>華麗な手捌き</t>
    <phoneticPr fontId="1"/>
  </si>
  <si>
    <t>名物</t>
    <phoneticPr fontId="1"/>
  </si>
  <si>
    <t>かじのぼたん</t>
    <phoneticPr fontId="1"/>
  </si>
  <si>
    <t>【カジノ】牡丹</t>
    <phoneticPr fontId="1"/>
  </si>
  <si>
    <t>タイプ【武人】の攻75％UP　/　タイプ姫・伝承の攻30％UP</t>
    <phoneticPr fontId="1"/>
  </si>
  <si>
    <t>桃の弾丸</t>
    <phoneticPr fontId="1"/>
  </si>
  <si>
    <t>姫</t>
    <phoneticPr fontId="1"/>
  </si>
  <si>
    <t>せいぶげきせんとういん</t>
    <phoneticPr fontId="1"/>
  </si>
  <si>
    <t>【西部劇】仙桃院</t>
    <phoneticPr fontId="1"/>
  </si>
  <si>
    <t>タイプ神秘・知性派・飲食の防40％UP　/　タイプ伝承・武人・姫の攻10％DOWN</t>
    <phoneticPr fontId="1"/>
  </si>
  <si>
    <t>芸術的牛乳生活</t>
    <phoneticPr fontId="1"/>
  </si>
  <si>
    <t>知性派</t>
    <phoneticPr fontId="1"/>
  </si>
  <si>
    <t>ふれっしゅみるくらぐーざたま</t>
    <phoneticPr fontId="1"/>
  </si>
  <si>
    <t>【フレッシュミルク】ラグーザ玉</t>
    <phoneticPr fontId="1"/>
  </si>
  <si>
    <t>タイプ神秘・知性派・偉人の防30％UP</t>
    <phoneticPr fontId="1"/>
  </si>
  <si>
    <t>南蛮文化との出会い</t>
    <phoneticPr fontId="1"/>
  </si>
  <si>
    <t>飲食</t>
    <phoneticPr fontId="1"/>
  </si>
  <si>
    <t>ぱえりあ</t>
    <phoneticPr fontId="1"/>
  </si>
  <si>
    <t>パエリア</t>
    <phoneticPr fontId="1"/>
  </si>
  <si>
    <t>タイプ姫・伝承の攻30％UP　/　タイプ【武人】の攻10％UP</t>
    <phoneticPr fontId="1"/>
  </si>
  <si>
    <t>氷国を智で支えし軍師の才</t>
    <phoneticPr fontId="1"/>
  </si>
  <si>
    <t>武人</t>
    <phoneticPr fontId="1"/>
  </si>
  <si>
    <t>ゆきのおうこくたけなかはんべえ</t>
    <phoneticPr fontId="1"/>
  </si>
  <si>
    <t>【雪の王国】竹中半兵衛</t>
    <phoneticPr fontId="1"/>
  </si>
  <si>
    <t>タイプ知性派・飲食の防30％UP　/　タイプ【神秘】の防10％UP</t>
    <phoneticPr fontId="1"/>
  </si>
  <si>
    <t>恋とでるか、愛へ育つか</t>
    <phoneticPr fontId="1"/>
  </si>
  <si>
    <t>神秘</t>
    <phoneticPr fontId="1"/>
  </si>
  <si>
    <t>きゅーぴっどはやあきつひめのみこと</t>
    <phoneticPr fontId="1"/>
  </si>
  <si>
    <t>【キューピッド】ハヤアキツヒメノミコト</t>
    <phoneticPr fontId="1"/>
  </si>
  <si>
    <t>9/16 11:00～9/16 23:59</t>
    <phoneticPr fontId="1"/>
  </si>
  <si>
    <t>豪華玉手箱ガチャ</t>
    <phoneticPr fontId="1"/>
  </si>
  <si>
    <t>9/16 15:00～9/16 23:59</t>
    <phoneticPr fontId="1"/>
  </si>
  <si>
    <t>天児屋命</t>
    <phoneticPr fontId="1"/>
  </si>
  <si>
    <t>120%→130%(3進)</t>
    <phoneticPr fontId="1"/>
  </si>
  <si>
    <t>9/26 18:00～9/26 21:59</t>
    <phoneticPr fontId="1"/>
  </si>
  <si>
    <t>祝来！宝船福引ガチャ</t>
    <phoneticPr fontId="1"/>
  </si>
  <si>
    <t>9/17 12:00～9/18 11:59</t>
    <phoneticPr fontId="1"/>
  </si>
  <si>
    <t>9/17 20:00～9/17 23:59</t>
    <phoneticPr fontId="1"/>
  </si>
  <si>
    <t>戦神ガチャ</t>
    <phoneticPr fontId="1"/>
  </si>
  <si>
    <t>9/18 15:00～9/20 23:59</t>
    <phoneticPr fontId="1"/>
  </si>
  <si>
    <t>9/18 18:00～9/18 21:59</t>
    <phoneticPr fontId="1"/>
  </si>
  <si>
    <t>豪華玉手箱ガチャ</t>
    <phoneticPr fontId="1"/>
  </si>
  <si>
    <t>9/19 15:00～9/19 23:59</t>
    <phoneticPr fontId="1"/>
  </si>
  <si>
    <t>9/19 11:00～9/19 23:59</t>
    <phoneticPr fontId="1"/>
  </si>
  <si>
    <t>サイコロ行脚 英雄ガチャ</t>
    <phoneticPr fontId="1"/>
  </si>
  <si>
    <t>祝来！宝船福引ガチャ</t>
    <phoneticPr fontId="1"/>
  </si>
  <si>
    <t>9/20 15:00～9/21 14:59</t>
    <phoneticPr fontId="1"/>
  </si>
  <si>
    <t>超攻撃ガチャ</t>
    <phoneticPr fontId="1"/>
  </si>
  <si>
    <t>9/21 12:00～9/25 11:59</t>
    <phoneticPr fontId="1"/>
  </si>
  <si>
    <t>【オペラ】アイーダ</t>
    <phoneticPr fontId="1"/>
  </si>
  <si>
    <t>タイプ伝承・武人・姫の攻40％UP　/　タイプ神秘・知性派・飲食の防10％DOWN</t>
    <phoneticPr fontId="1"/>
  </si>
  <si>
    <t>歌に込められた想い</t>
    <phoneticPr fontId="1"/>
  </si>
  <si>
    <t>おぺらあいーだ</t>
    <phoneticPr fontId="1"/>
  </si>
  <si>
    <t>関東</t>
    <phoneticPr fontId="1"/>
  </si>
  <si>
    <t>タイプ伝承・武人・姫の攻25％UP　/　タイプ神秘・飲食の防10％DOWN</t>
    <phoneticPr fontId="1"/>
  </si>
  <si>
    <t>タイプ伝承・武人・姫の攻20％UP　/　タイプ神秘・飲食の防10％DOWN</t>
    <phoneticPr fontId="1"/>
  </si>
  <si>
    <t>タイプ妖怪・名物の攻65％UP　/　タイプ【偉人】の攻20％UP</t>
    <phoneticPr fontId="1"/>
  </si>
  <si>
    <t>サイドワインダー</t>
    <phoneticPr fontId="1"/>
  </si>
  <si>
    <t>偉人</t>
    <phoneticPr fontId="1"/>
  </si>
  <si>
    <t>ひびきわたるねいろせるま</t>
    <phoneticPr fontId="1"/>
  </si>
  <si>
    <t>【響き渡る音色】セルマ</t>
    <phoneticPr fontId="1"/>
  </si>
  <si>
    <t>中国・四国</t>
    <phoneticPr fontId="1"/>
  </si>
  <si>
    <t>タイプ妖怪・名物の攻45％UP　/　タイプ【偉人】の攻10％UP</t>
    <phoneticPr fontId="1"/>
  </si>
  <si>
    <t>タイプ妖怪・名物の攻30％UP　/　タイプ【偉人】の攻5％UP</t>
    <phoneticPr fontId="1"/>
  </si>
  <si>
    <t>天クロ8thアニバーサリーガチャ</t>
    <phoneticPr fontId="1"/>
  </si>
  <si>
    <t>(20連)9/21 15:00～9/30 23:59</t>
    <rPh sb="3" eb="4">
      <t>レン</t>
    </rPh>
    <phoneticPr fontId="1"/>
  </si>
  <si>
    <t>SP</t>
    <phoneticPr fontId="1"/>
  </si>
  <si>
    <t>92153_0</t>
    <phoneticPr fontId="1"/>
  </si>
  <si>
    <t>味方全体の攻防Pt・県HPを回復し、一定時間、追加ダメージが発生</t>
    <phoneticPr fontId="1"/>
  </si>
  <si>
    <t>八歳ノ祝典</t>
    <phoneticPr fontId="1"/>
  </si>
  <si>
    <t>タイプ武人・伝承の攻50％UP　/　タイプ【姫】の攻30％UP</t>
    <phoneticPr fontId="1"/>
  </si>
  <si>
    <t>可憐なる８周年の祝典</t>
    <phoneticPr fontId="1"/>
  </si>
  <si>
    <t>姫</t>
    <phoneticPr fontId="1"/>
  </si>
  <si>
    <t>てんくろはちしゅうねんのしゅくてん</t>
    <phoneticPr fontId="1"/>
  </si>
  <si>
    <t>天クロ8周年ノ祝典</t>
    <phoneticPr fontId="1"/>
  </si>
  <si>
    <t>9/22 20:00～9/22 23:59</t>
    <phoneticPr fontId="1"/>
  </si>
  <si>
    <t>タイプ武人・飲食・妖怪の攻85％DOWN　/　タイプ妖怪・名物の防30％UP</t>
    <phoneticPr fontId="1"/>
  </si>
  <si>
    <t>アポカリプティカ</t>
    <phoneticPr fontId="1"/>
  </si>
  <si>
    <t>ひびきわたるねいろせいせしりあ</t>
    <phoneticPr fontId="1"/>
  </si>
  <si>
    <t>【響き渡る音色】聖セシリア</t>
    <phoneticPr fontId="1"/>
  </si>
  <si>
    <t>タイプ武人・飲食・妖怪の攻70％DOWN　/　タイプ妖怪・名物の防20％UP</t>
    <phoneticPr fontId="1"/>
  </si>
  <si>
    <t>タイプ武人・飲食・妖怪の攻60％DOWN　/　タイプ妖怪・名物の防15％UP</t>
    <phoneticPr fontId="1"/>
  </si>
  <si>
    <t>開かずの瞳</t>
    <phoneticPr fontId="1"/>
  </si>
  <si>
    <t>うたたねどるまうす</t>
    <phoneticPr fontId="1"/>
  </si>
  <si>
    <t>【うたたね】ドルマウス</t>
    <phoneticPr fontId="1"/>
  </si>
  <si>
    <t>タイプ神秘・知性派の防20％UP　/　タイプ【飲食】の防10％UP</t>
    <phoneticPr fontId="1"/>
  </si>
  <si>
    <t>タイプ神秘・知性派の防15％UP　/　タイプ【飲食】の防10％UP</t>
    <phoneticPr fontId="1"/>
  </si>
  <si>
    <t>祝来！宝船福引ガチャ</t>
    <phoneticPr fontId="1"/>
  </si>
  <si>
    <t>9/23 12:00～9/24 11:59</t>
    <phoneticPr fontId="1"/>
  </si>
  <si>
    <t>勁松院綏姫</t>
    <phoneticPr fontId="1"/>
  </si>
  <si>
    <t>9/23 18:00～9/23 21:59</t>
    <phoneticPr fontId="1"/>
  </si>
  <si>
    <t>同盟戦 英雄ガチャ</t>
    <rPh sb="0" eb="2">
      <t>ドウメイ</t>
    </rPh>
    <rPh sb="2" eb="3">
      <t>セン</t>
    </rPh>
    <rPh sb="4" eb="6">
      <t>エイユウ</t>
    </rPh>
    <phoneticPr fontId="1"/>
  </si>
  <si>
    <t>9/24 11:00～9/24 23:59</t>
    <phoneticPr fontId="1"/>
  </si>
  <si>
    <t>おりゅう柳</t>
    <phoneticPr fontId="1"/>
  </si>
  <si>
    <t>【オペラ座の怪人】前島密</t>
    <phoneticPr fontId="1"/>
  </si>
  <si>
    <t>HR</t>
    <phoneticPr fontId="1"/>
  </si>
  <si>
    <t>タイプ名物・武人の防25％UP</t>
    <phoneticPr fontId="1"/>
  </si>
  <si>
    <t>柳の木精との逢瀬</t>
    <phoneticPr fontId="1"/>
  </si>
  <si>
    <t>伝承</t>
    <phoneticPr fontId="1"/>
  </si>
  <si>
    <t>おりゅうやなぎ</t>
    <phoneticPr fontId="1"/>
  </si>
  <si>
    <t>タイプ神秘・妖怪の攻25％UP</t>
    <phoneticPr fontId="1"/>
  </si>
  <si>
    <t>愛から始まる惨劇</t>
    <phoneticPr fontId="1"/>
  </si>
  <si>
    <t>偉人</t>
    <phoneticPr fontId="1"/>
  </si>
  <si>
    <t>おぺらざのかいじんまえじまひそか</t>
    <phoneticPr fontId="1"/>
  </si>
  <si>
    <t>全国巡り 気分上々！緑豊かなキャンプガチャ</t>
    <rPh sb="0" eb="2">
      <t>ゼンコク</t>
    </rPh>
    <rPh sb="2" eb="3">
      <t>メグ</t>
    </rPh>
    <phoneticPr fontId="1"/>
  </si>
  <si>
    <t>(Lvアップ)9/25 12:00～9/30 19:59</t>
    <phoneticPr fontId="1"/>
  </si>
  <si>
    <t>(DX)9/25 12:00～9/30 19:59</t>
    <phoneticPr fontId="1"/>
  </si>
  <si>
    <t>タイプ【武人】の防90％UP　/　タイプ姫・伝承の防30％UP</t>
    <phoneticPr fontId="1"/>
  </si>
  <si>
    <t>気高き王女の安息</t>
    <phoneticPr fontId="1"/>
  </si>
  <si>
    <t>姫</t>
    <phoneticPr fontId="1"/>
  </si>
  <si>
    <t>きゃんぷじょしももとふみあがり</t>
    <phoneticPr fontId="1"/>
  </si>
  <si>
    <t>【キャンプ女子】百十踏揚</t>
    <phoneticPr fontId="1"/>
  </si>
  <si>
    <t>九州・沖縄</t>
    <phoneticPr fontId="1"/>
  </si>
  <si>
    <t>タイプ神秘・知性派・飲食の攻85％DOWN　/　タイプ武人・姫の防30％UP</t>
    <phoneticPr fontId="1"/>
  </si>
  <si>
    <t>幸運を呼ぶ星神クルーズ</t>
    <phoneticPr fontId="1"/>
  </si>
  <si>
    <t>伝承</t>
    <phoneticPr fontId="1"/>
  </si>
  <si>
    <t>しんせいたんけんたいほしがみさま</t>
    <phoneticPr fontId="1"/>
  </si>
  <si>
    <t>[新生]【探検隊】星神様</t>
    <phoneticPr fontId="1"/>
  </si>
  <si>
    <t>中国・四国</t>
    <phoneticPr fontId="1"/>
  </si>
  <si>
    <t>タイプ知性派・飲食の攻30％UP　/　タイプ【神秘】の攻10％UP</t>
    <phoneticPr fontId="1"/>
  </si>
  <si>
    <t>自分で打った宝の金棒</t>
    <phoneticPr fontId="1"/>
  </si>
  <si>
    <t>神秘</t>
    <phoneticPr fontId="1"/>
  </si>
  <si>
    <t>しんせいとれじゃーきじんじんじゃ</t>
    <phoneticPr fontId="1"/>
  </si>
  <si>
    <t>[新生]【トレジャー】鬼鎮神社</t>
    <phoneticPr fontId="1"/>
  </si>
  <si>
    <t>関東</t>
    <phoneticPr fontId="1"/>
  </si>
  <si>
    <t>タイプ武人・伝承の防20％UP</t>
    <phoneticPr fontId="1"/>
  </si>
  <si>
    <t>登山の有能指揮官</t>
    <phoneticPr fontId="1"/>
  </si>
  <si>
    <t>しんせいやまがーるふくしょういん</t>
    <phoneticPr fontId="1"/>
  </si>
  <si>
    <t>[新生]【山ガール】福正院</t>
    <phoneticPr fontId="1"/>
  </si>
  <si>
    <t>タイプ偉人・妖怪の攻20％UP</t>
    <phoneticPr fontId="1"/>
  </si>
  <si>
    <t>食欲増進熱帯林</t>
    <phoneticPr fontId="1"/>
  </si>
  <si>
    <t>名物</t>
    <phoneticPr fontId="1"/>
  </si>
  <si>
    <t>しんせいたんけんたいえぞしかちゃん</t>
    <phoneticPr fontId="1"/>
  </si>
  <si>
    <t>[新生]【探検隊】エゾシカちゃん</t>
    <phoneticPr fontId="1"/>
  </si>
  <si>
    <t>北海道・東北</t>
    <phoneticPr fontId="1"/>
  </si>
  <si>
    <t>超攻再臨ガチャ</t>
    <phoneticPr fontId="1"/>
  </si>
  <si>
    <t>9/25 18:00～9/27 23:59</t>
    <phoneticPr fontId="1"/>
  </si>
  <si>
    <t>豪華玉手箱ガチャ</t>
    <phoneticPr fontId="1"/>
  </si>
  <si>
    <t>9/26 15:00～9/26 23:59</t>
    <phoneticPr fontId="1"/>
  </si>
  <si>
    <t>妖艶業火宮</t>
    <phoneticPr fontId="1"/>
  </si>
  <si>
    <t>相手の防御デッキに妖怪が多いほど大ダメージ</t>
    <phoneticPr fontId="1"/>
  </si>
  <si>
    <t>全国巡り 英雄ガチャ</t>
    <rPh sb="0" eb="2">
      <t>ゼンコク</t>
    </rPh>
    <rPh sb="2" eb="3">
      <t>メグ</t>
    </rPh>
    <rPh sb="5" eb="7">
      <t>エイユウ</t>
    </rPh>
    <phoneticPr fontId="1"/>
  </si>
  <si>
    <t>9/27 11:00～9/27 23:59</t>
    <phoneticPr fontId="1"/>
  </si>
  <si>
    <t>9/27 18:00～9/27 21:59</t>
    <phoneticPr fontId="1"/>
  </si>
  <si>
    <t>9/28 11:00～9/28 23:59</t>
    <phoneticPr fontId="1"/>
  </si>
  <si>
    <t>戦神ガチャ</t>
    <phoneticPr fontId="1"/>
  </si>
  <si>
    <t>9/28 15:00～9/30 23:59</t>
    <phoneticPr fontId="1"/>
  </si>
  <si>
    <t>9/29 15:00～9/29 23:59</t>
    <phoneticPr fontId="1"/>
  </si>
  <si>
    <t>復活！5進化隊士ガチャ</t>
    <phoneticPr fontId="1"/>
  </si>
  <si>
    <t>9/30 11:00～9/30 23:59</t>
    <phoneticPr fontId="1"/>
  </si>
  <si>
    <t>タイプ神秘・知性派・飲食の攻45％UP　/　タイプ伝承・武人・姫の防10％DOWN</t>
    <phoneticPr fontId="1"/>
  </si>
  <si>
    <t>幼きブレインの戦略</t>
    <phoneticPr fontId="1"/>
  </si>
  <si>
    <t>知性派</t>
    <phoneticPr fontId="1"/>
  </si>
  <si>
    <t>うちゅうせんそうほったきちこ</t>
    <phoneticPr fontId="1"/>
  </si>
  <si>
    <t>タイプ偉人・妖怪・名物の防80％DOWN　/　タイプ武人・姫の攻25％UP</t>
    <phoneticPr fontId="1"/>
  </si>
  <si>
    <t>着物が映える中秋の名月</t>
    <phoneticPr fontId="1"/>
  </si>
  <si>
    <t>伝承</t>
    <phoneticPr fontId="1"/>
  </si>
  <si>
    <t>きもののひかぐや</t>
    <phoneticPr fontId="1"/>
  </si>
  <si>
    <t>【着物の日】カグヤ</t>
    <phoneticPr fontId="1"/>
  </si>
  <si>
    <t>【宇宙戦争】堀田吉子</t>
    <phoneticPr fontId="1"/>
  </si>
  <si>
    <t>タイプ偉人・妖怪・名物の防40％UP</t>
    <phoneticPr fontId="1"/>
  </si>
  <si>
    <t>女神の音色</t>
    <phoneticPr fontId="1"/>
  </si>
  <si>
    <t>妖怪</t>
    <phoneticPr fontId="1"/>
  </si>
  <si>
    <t>ばいおりにすとせんつぁ</t>
    <phoneticPr fontId="1"/>
  </si>
  <si>
    <t>【バイオリニスト】センツァ</t>
    <phoneticPr fontId="1"/>
  </si>
  <si>
    <t>タイプ偉人・妖怪・名物の防15％UP</t>
    <phoneticPr fontId="1"/>
  </si>
  <si>
    <t>タイプ偉人・妖怪・名物の防25％UP</t>
    <phoneticPr fontId="1"/>
  </si>
  <si>
    <t>タイプ偉人・妖怪の防15％DOWN　/　タイプ武人・姫の攻10％UP</t>
    <phoneticPr fontId="1"/>
  </si>
  <si>
    <t>タイプ偉人・妖怪・名物の防30％DOWN　/　タイプ武人・姫の攻15％UP</t>
    <phoneticPr fontId="1"/>
  </si>
  <si>
    <t>タイプ神秘・飲食の攻20％UP　/　タイプ【武人】の防10％DOWN</t>
    <phoneticPr fontId="1"/>
  </si>
  <si>
    <t>タイプ神秘・知性派・飲食の攻30％UP　/　タイプ武人・姫の防10％DOWN</t>
    <phoneticPr fontId="1"/>
  </si>
  <si>
    <t>【ハロウィン】望月千代女</t>
    <phoneticPr fontId="1"/>
  </si>
  <si>
    <t>92403_0</t>
    <phoneticPr fontId="1"/>
  </si>
  <si>
    <t>紅影の一刺し</t>
    <phoneticPr fontId="1"/>
  </si>
  <si>
    <t>敵・味方全体の県HPを20％減少させ、一定時間、攻撃するほど大ダメージ</t>
    <phoneticPr fontId="1"/>
  </si>
  <si>
    <t>タイプ神秘・知性派・飲食の攻75％UP</t>
    <phoneticPr fontId="1"/>
  </si>
  <si>
    <t>変幻極まりない仮装くノ一</t>
    <phoneticPr fontId="1"/>
  </si>
  <si>
    <t>知性派</t>
    <phoneticPr fontId="1"/>
  </si>
  <si>
    <t>はろうぃんもちづきちよめ</t>
    <phoneticPr fontId="1"/>
  </si>
  <si>
    <t>敵の攻撃30%DOWNして攻撃する</t>
    <phoneticPr fontId="1"/>
  </si>
  <si>
    <t>中国・四国</t>
    <phoneticPr fontId="1"/>
  </si>
  <si>
    <t>タイプ【姫】の防35％UP　/　タイプ武人・伝承の防20％UP</t>
    <phoneticPr fontId="1"/>
  </si>
  <si>
    <t>異彩放つハロウィンの鬼</t>
    <phoneticPr fontId="1"/>
  </si>
  <si>
    <t>武人</t>
    <phoneticPr fontId="1"/>
  </si>
  <si>
    <t>はろうぃんおろちのむしゃ</t>
    <phoneticPr fontId="1"/>
  </si>
  <si>
    <t>【ハロウィン】オロチの武者</t>
    <phoneticPr fontId="1"/>
  </si>
  <si>
    <t>タイプ【武人】の攻90％UP　/　タイプ姫・伝承の攻30％UP</t>
    <phoneticPr fontId="1"/>
  </si>
  <si>
    <t>賢夫人の異世界への扉</t>
    <phoneticPr fontId="1"/>
  </si>
  <si>
    <t>姫</t>
    <phoneticPr fontId="1"/>
  </si>
  <si>
    <t>はろうぃんせんとういん</t>
    <phoneticPr fontId="1"/>
  </si>
  <si>
    <t>【ハロウィン】仙桃院</t>
    <phoneticPr fontId="1"/>
  </si>
  <si>
    <t>北海道・東北</t>
    <phoneticPr fontId="1"/>
  </si>
  <si>
    <t>防衛戦 秋宴！ハロウィンパーティガチャ</t>
    <rPh sb="0" eb="3">
      <t>ボウエイセン</t>
    </rPh>
    <phoneticPr fontId="1"/>
  </si>
  <si>
    <t>(Lvアップ)10/1 0:00～10/8 23:59</t>
    <phoneticPr fontId="1"/>
  </si>
  <si>
    <t>(DX)10/1 0:00～10/8 23:59</t>
    <phoneticPr fontId="1"/>
  </si>
  <si>
    <t>タイプ伝承・武人・姫の攻40％UP</t>
    <phoneticPr fontId="1"/>
  </si>
  <si>
    <t>気高き信濃姫の仮装</t>
    <phoneticPr fontId="1"/>
  </si>
  <si>
    <t>はろうぃんゆうひめ</t>
    <phoneticPr fontId="1"/>
  </si>
  <si>
    <t>中部</t>
    <phoneticPr fontId="1"/>
  </si>
  <si>
    <t>【ハロウィン】由布姫</t>
    <phoneticPr fontId="1"/>
  </si>
  <si>
    <t>関東</t>
    <phoneticPr fontId="1"/>
  </si>
  <si>
    <t>[新生]【ハロウィン】島隆</t>
    <phoneticPr fontId="1"/>
  </si>
  <si>
    <t>タイプ妖怪・名物の防35％UP　/　タイプ【偉人】の防20％UP</t>
    <phoneticPr fontId="1"/>
  </si>
  <si>
    <t>ダイエット禁止デー</t>
    <phoneticPr fontId="1"/>
  </si>
  <si>
    <t>偉人</t>
    <phoneticPr fontId="1"/>
  </si>
  <si>
    <t>しんせいはろうぃんしまりゅう</t>
    <phoneticPr fontId="1"/>
  </si>
  <si>
    <t>タイプ妖怪・名物の攻35％UP　/　タイプ【偉人】の攻20％UP</t>
    <phoneticPr fontId="1"/>
  </si>
  <si>
    <t>司祭の聖炎</t>
    <phoneticPr fontId="1"/>
  </si>
  <si>
    <t>しんせいしゅうかくさいはろうぃんぷりーすと</t>
    <phoneticPr fontId="1"/>
  </si>
  <si>
    <t>[新生]【収穫祭】ハロウィンプリースト</t>
    <phoneticPr fontId="1"/>
  </si>
  <si>
    <t>九州・沖縄</t>
    <phoneticPr fontId="1"/>
  </si>
  <si>
    <t>タイプ姫・伝承の防35％UP　/　タイプ【武人】の防20％UP</t>
    <phoneticPr fontId="1"/>
  </si>
  <si>
    <t>かぼちゃ剣士の一閃</t>
    <phoneticPr fontId="1"/>
  </si>
  <si>
    <t>しんせいしゅうかくさいぱんぷきんないと</t>
    <phoneticPr fontId="1"/>
  </si>
  <si>
    <t>[新生]【収穫祭】パンプキンナイト</t>
    <phoneticPr fontId="1"/>
  </si>
  <si>
    <t>近畿</t>
    <phoneticPr fontId="1"/>
  </si>
  <si>
    <t>[新生]【魔界】ぺろぺろキャンディーちゃん</t>
    <phoneticPr fontId="1"/>
  </si>
  <si>
    <t>タイプ神秘・知性派の防25％UP</t>
    <phoneticPr fontId="1"/>
  </si>
  <si>
    <t>配られた大きなキャンディー</t>
    <phoneticPr fontId="1"/>
  </si>
  <si>
    <t>飲食</t>
    <phoneticPr fontId="1"/>
  </si>
  <si>
    <t>しんせいまかいぺろぺろきゃんでぃーちゃん</t>
    <phoneticPr fontId="1"/>
  </si>
  <si>
    <t>タイプ神秘・知性派の攻25％UP</t>
    <phoneticPr fontId="1"/>
  </si>
  <si>
    <t>棺の中の紫</t>
    <phoneticPr fontId="1"/>
  </si>
  <si>
    <t>しんせいまかいむらさきいもたるとちゃん</t>
    <phoneticPr fontId="1"/>
  </si>
  <si>
    <t>[新生]【魔界】紫芋タルトちゃん</t>
    <phoneticPr fontId="1"/>
  </si>
  <si>
    <t>[新生]鹿ケ谷かぼちゃ供養</t>
    <phoneticPr fontId="1"/>
  </si>
  <si>
    <t>名物</t>
    <phoneticPr fontId="1"/>
  </si>
  <si>
    <t>京都</t>
    <phoneticPr fontId="1"/>
  </si>
  <si>
    <t>岡山</t>
    <phoneticPr fontId="1"/>
  </si>
  <si>
    <t>[新生]【ビアホール】円融院</t>
    <phoneticPr fontId="1"/>
  </si>
  <si>
    <t>しんせいししがたにかぼちゃくよう</t>
    <phoneticPr fontId="1"/>
  </si>
  <si>
    <t>しんせいびあほーるえんゆういん</t>
    <phoneticPr fontId="1"/>
  </si>
  <si>
    <t>10/2 15:00～10/4 23:59</t>
    <phoneticPr fontId="1"/>
  </si>
  <si>
    <t>戦極ガチャ</t>
    <phoneticPr fontId="1"/>
  </si>
  <si>
    <t>10/2 18:00～10/7 23:59</t>
    <phoneticPr fontId="1"/>
  </si>
  <si>
    <t>東日本</t>
    <rPh sb="0" eb="1">
      <t>ヒガシ</t>
    </rPh>
    <rPh sb="1" eb="3">
      <t>ニホン</t>
    </rPh>
    <phoneticPr fontId="1"/>
  </si>
  <si>
    <t>タイプ偉人・妖怪の防45％UP　/　タイプ【名物】の防30％UP</t>
    <phoneticPr fontId="1"/>
  </si>
  <si>
    <t>鳥獣を纏う探偵魂</t>
    <phoneticPr fontId="1"/>
  </si>
  <si>
    <t>名物</t>
    <phoneticPr fontId="1"/>
  </si>
  <si>
    <t>かいとうからのちょうせんじょうすかじゃんむすめ</t>
    <phoneticPr fontId="1"/>
  </si>
  <si>
    <t>【怪盗からの挑戦状】スカジャン娘</t>
    <phoneticPr fontId="1"/>
  </si>
  <si>
    <t>タイプ偉人・妖怪の防30％UP　/　タイプ【名物】の防25％UP</t>
    <phoneticPr fontId="1"/>
  </si>
  <si>
    <t>タイプ偉人・妖怪の防15％UP　/　タイプ【名物】の防20％UP</t>
    <phoneticPr fontId="1"/>
  </si>
  <si>
    <t>祝来！宝船福引ガチャ</t>
    <phoneticPr fontId="1"/>
  </si>
  <si>
    <t>10/3 12:00～10/4 11:59</t>
    <phoneticPr fontId="1"/>
  </si>
  <si>
    <t>10/3 18:00～10/3 21:59</t>
    <phoneticPr fontId="1"/>
  </si>
  <si>
    <t>(DX)10/4 12:00～10/8 11:59</t>
    <phoneticPr fontId="1"/>
  </si>
  <si>
    <t>防衛戦 大捜査！真実へと繋がるメッセージガチャ</t>
    <rPh sb="0" eb="3">
      <t>ボウエイセン</t>
    </rPh>
    <phoneticPr fontId="1"/>
  </si>
  <si>
    <t>(Lvアップ)10/4 12:00～10/8 11:59</t>
    <phoneticPr fontId="1"/>
  </si>
  <si>
    <t>タイプ【姫】の攻35％UP　/　タイプ武人・伝承の攻20％UP</t>
    <phoneticPr fontId="1"/>
  </si>
  <si>
    <t>怪盗との真っ向勝負</t>
    <phoneticPr fontId="1"/>
  </si>
  <si>
    <t>武人</t>
    <phoneticPr fontId="1"/>
  </si>
  <si>
    <t>かいとうからのちょうせんじょうあかいてるこ</t>
    <phoneticPr fontId="1"/>
  </si>
  <si>
    <t>【怪人からの挑戦状】赤井輝子</t>
    <phoneticPr fontId="1"/>
  </si>
  <si>
    <t>関東</t>
    <phoneticPr fontId="1"/>
  </si>
  <si>
    <t>SR</t>
    <phoneticPr fontId="1"/>
  </si>
  <si>
    <t>HR</t>
    <phoneticPr fontId="1"/>
  </si>
  <si>
    <t>タイプ偉人・妖怪の防30％UP　/　タイプ【名物】の防10％UP</t>
    <phoneticPr fontId="1"/>
  </si>
  <si>
    <t>黄金色の首化粧</t>
    <phoneticPr fontId="1"/>
  </si>
  <si>
    <t>名物</t>
    <phoneticPr fontId="1"/>
  </si>
  <si>
    <t>しんせいくびわこうもりちゃん</t>
    <phoneticPr fontId="1"/>
  </si>
  <si>
    <t>[新生]クビワコウモリちゃん</t>
    <phoneticPr fontId="1"/>
  </si>
  <si>
    <t>中部</t>
    <phoneticPr fontId="1"/>
  </si>
  <si>
    <t>タイプ妖怪・名物の攻20％UP</t>
    <phoneticPr fontId="1"/>
  </si>
  <si>
    <t>刑事芭蕉の秘密</t>
    <phoneticPr fontId="1"/>
  </si>
  <si>
    <t>偉人</t>
    <phoneticPr fontId="1"/>
  </si>
  <si>
    <t>しんせいけいじまつおばしょう</t>
    <phoneticPr fontId="1"/>
  </si>
  <si>
    <t>[新生]【刑事】松尾芭蕉</t>
    <phoneticPr fontId="1"/>
  </si>
  <si>
    <t>近畿</t>
    <phoneticPr fontId="1"/>
  </si>
  <si>
    <t>タイプ武人・伝承の防20％UP</t>
    <phoneticPr fontId="1"/>
  </si>
  <si>
    <t>下克上からの宝石箱</t>
    <phoneticPr fontId="1"/>
  </si>
  <si>
    <t>しんせいとれじゃーきっかわふじん</t>
    <phoneticPr fontId="1"/>
  </si>
  <si>
    <t>[新生]【トレジャー】吉川夫人</t>
    <phoneticPr fontId="1"/>
  </si>
  <si>
    <t>中国・四国</t>
    <phoneticPr fontId="1"/>
  </si>
  <si>
    <t>10/4 15:00～10/4 23:59</t>
    <phoneticPr fontId="1"/>
  </si>
  <si>
    <t>豪華玉手箱ガチャ</t>
    <phoneticPr fontId="1"/>
  </si>
  <si>
    <t>10/5 11:00～10/5 23:59</t>
    <phoneticPr fontId="1"/>
  </si>
  <si>
    <t>防衛戦 英雄ガチャ</t>
    <rPh sb="0" eb="3">
      <t>ボウエイセン</t>
    </rPh>
    <rPh sb="4" eb="6">
      <t>エイユウ</t>
    </rPh>
    <phoneticPr fontId="1"/>
  </si>
  <si>
    <t>戦神ガチャ</t>
    <phoneticPr fontId="1"/>
  </si>
  <si>
    <t>10/5 15:00～10/7 23:59</t>
    <phoneticPr fontId="1"/>
  </si>
  <si>
    <t>超防再臨ガチャ</t>
    <phoneticPr fontId="1"/>
  </si>
  <si>
    <t>10/5 18:00～10/7 23:59</t>
    <phoneticPr fontId="1"/>
  </si>
  <si>
    <t>祝来！宝船福引ガチャ</t>
    <phoneticPr fontId="1"/>
  </si>
  <si>
    <t>10/6 12:00～10/7 11:59</t>
    <phoneticPr fontId="1"/>
  </si>
  <si>
    <t>刹那！最強DOWN隊士ガチャ</t>
    <phoneticPr fontId="1"/>
  </si>
  <si>
    <t>10/6 20:00～10/6 23:59</t>
    <phoneticPr fontId="1"/>
  </si>
  <si>
    <t>10/7 18:00～10/7 21:59</t>
    <phoneticPr fontId="1"/>
  </si>
  <si>
    <t>豪華玉手箱ガチャ</t>
    <phoneticPr fontId="1"/>
  </si>
  <si>
    <t>10/7 15:00～10/7 23:59</t>
    <phoneticPr fontId="1"/>
  </si>
  <si>
    <t>四神戦 豊穣の祈りガチャ</t>
    <rPh sb="0" eb="1">
      <t>ヨン</t>
    </rPh>
    <rPh sb="1" eb="2">
      <t>シン</t>
    </rPh>
    <rPh sb="2" eb="3">
      <t>セン</t>
    </rPh>
    <phoneticPr fontId="1"/>
  </si>
  <si>
    <t>(DX)10/8 12:00～10/14 11:59</t>
    <phoneticPr fontId="1"/>
  </si>
  <si>
    <t>(Lvアップ)10/8 12:00～10/14 11:59</t>
    <phoneticPr fontId="1"/>
  </si>
  <si>
    <t>九州・沖縄</t>
    <phoneticPr fontId="1"/>
  </si>
  <si>
    <t>タイプ知性派・飲食の攻60％UP　/　タイプ【神秘】の攻30％UP</t>
    <phoneticPr fontId="1"/>
  </si>
  <si>
    <t>母なる大地</t>
    <phoneticPr fontId="1"/>
  </si>
  <si>
    <t>神秘</t>
    <phoneticPr fontId="1"/>
  </si>
  <si>
    <t>だいちのめぐみすおーろ</t>
    <phoneticPr fontId="1"/>
  </si>
  <si>
    <t>【大地の恵み】スオーロ</t>
    <phoneticPr fontId="1"/>
  </si>
  <si>
    <t>SSR</t>
    <phoneticPr fontId="1"/>
  </si>
  <si>
    <t>SR</t>
    <phoneticPr fontId="1"/>
  </si>
  <si>
    <t>HR</t>
    <phoneticPr fontId="1"/>
  </si>
  <si>
    <t>タイプ偉人・名物の攻45％UP　/　タイプ【妖怪】の攻30％UP</t>
    <phoneticPr fontId="1"/>
  </si>
  <si>
    <t>八百八狸の幻術</t>
    <phoneticPr fontId="1"/>
  </si>
  <si>
    <t>妖怪</t>
    <phoneticPr fontId="1"/>
  </si>
  <si>
    <t>しんせいいぬがみぎょうぶ</t>
    <phoneticPr fontId="1"/>
  </si>
  <si>
    <t>[新生]隠神刑部</t>
    <phoneticPr fontId="1"/>
  </si>
  <si>
    <t>中国・四国</t>
    <phoneticPr fontId="1"/>
  </si>
  <si>
    <t>タイプ神秘・知性派の防30％UP　/　タイプ【飲食】の防10％UP</t>
    <phoneticPr fontId="1"/>
  </si>
  <si>
    <t>一度出会えば一目惚れ</t>
    <phoneticPr fontId="1"/>
  </si>
  <si>
    <t>飲食</t>
    <phoneticPr fontId="1"/>
  </si>
  <si>
    <t>しんせいひとめぼれちゃん</t>
    <phoneticPr fontId="1"/>
  </si>
  <si>
    <t>[新生]ひとめぼれちゃん</t>
    <phoneticPr fontId="1"/>
  </si>
  <si>
    <t>北海道・東北</t>
    <phoneticPr fontId="1"/>
  </si>
  <si>
    <t>タイプ神秘・知性派の攻20％UP</t>
    <phoneticPr fontId="1"/>
  </si>
  <si>
    <t>曇りなき快晴１号</t>
    <phoneticPr fontId="1"/>
  </si>
  <si>
    <t>しんせいにっぽんばれちゃん</t>
    <phoneticPr fontId="1"/>
  </si>
  <si>
    <t>[新生]日本晴ちゃん</t>
    <phoneticPr fontId="1"/>
  </si>
  <si>
    <t>近畿</t>
    <phoneticPr fontId="1"/>
  </si>
  <si>
    <t>タイプ神秘・知性派の防20％UP</t>
    <phoneticPr fontId="1"/>
  </si>
  <si>
    <t>黄色に輝く秋の一粒</t>
    <phoneticPr fontId="1"/>
  </si>
  <si>
    <t>しんせいぎんなんちゃん</t>
    <phoneticPr fontId="1"/>
  </si>
  <si>
    <t>[新生]銀杏ちゃん</t>
    <phoneticPr fontId="1"/>
  </si>
  <si>
    <t>中部</t>
    <phoneticPr fontId="1"/>
  </si>
  <si>
    <t>超攻再臨ガチャ</t>
    <phoneticPr fontId="1"/>
  </si>
  <si>
    <t>10/8 18:00～10/10 23:59</t>
    <phoneticPr fontId="1"/>
  </si>
  <si>
    <t>【隠遁】木の葉天狗</t>
    <phoneticPr fontId="1"/>
  </si>
  <si>
    <t>【初夏の盛装】狆</t>
    <phoneticPr fontId="1"/>
  </si>
  <si>
    <t>【魔術師】鶴の恩返し</t>
    <phoneticPr fontId="1"/>
  </si>
  <si>
    <t>【隠遁】木の葉天狗</t>
    <phoneticPr fontId="1"/>
  </si>
  <si>
    <t>どんどん焼き</t>
    <phoneticPr fontId="1"/>
  </si>
  <si>
    <t>金剛力士像</t>
    <phoneticPr fontId="1"/>
  </si>
  <si>
    <t>【旧スク水】立花誾千代</t>
    <phoneticPr fontId="1"/>
  </si>
  <si>
    <t>【戦慄のスマッシュ】コビトカバ</t>
    <phoneticPr fontId="1"/>
  </si>
  <si>
    <t>【戦慄のスマッシュ】コビトカバ</t>
    <phoneticPr fontId="1"/>
  </si>
  <si>
    <t>12/16 18:00～12/16 21:59</t>
    <phoneticPr fontId="1"/>
  </si>
  <si>
    <t>防衛戦5進化隊士 痕跡に導かれし名探偵ガチャ</t>
    <rPh sb="0" eb="3">
      <t>ボウエイセン</t>
    </rPh>
    <phoneticPr fontId="1"/>
  </si>
  <si>
    <t>四神戦5進化隊士 美しき闇の住人ガチャ</t>
    <rPh sb="0" eb="1">
      <t>ヨン</t>
    </rPh>
    <rPh sb="1" eb="2">
      <t>シン</t>
    </rPh>
    <rPh sb="2" eb="3">
      <t>セン</t>
    </rPh>
    <rPh sb="4" eb="6">
      <t>シンカ</t>
    </rPh>
    <rPh sb="6" eb="8">
      <t>タイシ</t>
    </rPh>
    <phoneticPr fontId="1"/>
  </si>
  <si>
    <t>10/9 12:00～10/14 11:59</t>
    <phoneticPr fontId="1"/>
  </si>
  <si>
    <t>タイプ【名物】の攻35％UP　/　タイプ偉人・妖怪の攻20％UP</t>
    <phoneticPr fontId="1"/>
  </si>
  <si>
    <t>永遠の強制</t>
    <phoneticPr fontId="1"/>
  </si>
  <si>
    <t>妖怪</t>
    <phoneticPr fontId="1"/>
  </si>
  <si>
    <t>ばんぱいあくいーん</t>
    <phoneticPr fontId="1"/>
  </si>
  <si>
    <t>ヴァンパイアクイーン</t>
    <phoneticPr fontId="1"/>
  </si>
  <si>
    <t>タイプ【名物】の攻20％UP　/　タイプ偉人・妖怪の攻10％UP</t>
    <phoneticPr fontId="1"/>
  </si>
  <si>
    <t>タイプ【名物】の攻10％UP　/　タイプ偉人・妖怪の攻5％UP</t>
    <phoneticPr fontId="1"/>
  </si>
  <si>
    <t>進化の秘竜チャンスガチャ</t>
    <phoneticPr fontId="1"/>
  </si>
  <si>
    <t>10/9 15:00～10/11 23:59</t>
    <phoneticPr fontId="1"/>
  </si>
  <si>
    <t>四神戦 英雄ガチャ</t>
    <rPh sb="0" eb="1">
      <t>ヨン</t>
    </rPh>
    <rPh sb="1" eb="2">
      <t>シン</t>
    </rPh>
    <rPh sb="2" eb="3">
      <t>セン</t>
    </rPh>
    <rPh sb="4" eb="6">
      <t>エイユウ</t>
    </rPh>
    <phoneticPr fontId="1"/>
  </si>
  <si>
    <t>10/10 11:00～10/10 23:59</t>
    <phoneticPr fontId="1"/>
  </si>
  <si>
    <t>祝来！宝船福引ガチャ</t>
    <phoneticPr fontId="1"/>
  </si>
  <si>
    <t>10/10 12:00～10/11 11:59</t>
    <phoneticPr fontId="1"/>
  </si>
  <si>
    <t>戦神ガチャ</t>
    <phoneticPr fontId="1"/>
  </si>
  <si>
    <t>10/11 15:00～10/13 23:59</t>
    <phoneticPr fontId="1"/>
  </si>
  <si>
    <t>10/12 20:00～10/12 23:59</t>
    <phoneticPr fontId="1"/>
  </si>
  <si>
    <t>祝来！宝船福引ガチャ</t>
    <phoneticPr fontId="1"/>
  </si>
  <si>
    <t>10/13 12:00～10/14 11:59</t>
    <phoneticPr fontId="1"/>
  </si>
  <si>
    <t>サイコロ行脚 友誼深まる妖精の森ガチャ</t>
    <rPh sb="4" eb="6">
      <t>アンギャ</t>
    </rPh>
    <rPh sb="7" eb="9">
      <t>ユウギ</t>
    </rPh>
    <rPh sb="9" eb="10">
      <t>フカ</t>
    </rPh>
    <rPh sb="12" eb="14">
      <t>ヨウセイ</t>
    </rPh>
    <rPh sb="15" eb="16">
      <t>モリ</t>
    </rPh>
    <phoneticPr fontId="1"/>
  </si>
  <si>
    <t>(DX)10/14 12:00～10/21 11:59</t>
    <phoneticPr fontId="1"/>
  </si>
  <si>
    <t>(Lvアップ)10/14 12:00～10/21 11:59</t>
    <phoneticPr fontId="1"/>
  </si>
  <si>
    <t>タイプ神秘・知性派・飲食の攻45％UP　/　タイプ偉人・妖怪・名物の防10％DOWN</t>
    <phoneticPr fontId="1"/>
  </si>
  <si>
    <t>大森林の精霊使い</t>
    <phoneticPr fontId="1"/>
  </si>
  <si>
    <t>知性派</t>
    <phoneticPr fontId="1"/>
  </si>
  <si>
    <t>せいれいのともぷろべ</t>
    <phoneticPr fontId="1"/>
  </si>
  <si>
    <t>【精霊の友】プロヴェ</t>
    <phoneticPr fontId="1"/>
  </si>
  <si>
    <t>北海道・東北</t>
    <phoneticPr fontId="1"/>
  </si>
  <si>
    <t>タイプ偉人・妖怪の攻45％UP　/　タイプ【名物】の攻30％UP</t>
    <phoneticPr fontId="1"/>
  </si>
  <si>
    <t>飛べない鳥は地を駆ける</t>
    <phoneticPr fontId="1"/>
  </si>
  <si>
    <t>名物</t>
    <phoneticPr fontId="1"/>
  </si>
  <si>
    <t>しんせいきいうい</t>
    <phoneticPr fontId="1"/>
  </si>
  <si>
    <t>[新生]キーウイ</t>
    <phoneticPr fontId="1"/>
  </si>
  <si>
    <t>近畿</t>
    <phoneticPr fontId="1"/>
  </si>
  <si>
    <t>タイプ武人・姫の防30％UP　/　タイプ【伝承】の防10％UP</t>
    <phoneticPr fontId="1"/>
  </si>
  <si>
    <t>威厳に満ちた歌声</t>
    <phoneticPr fontId="1"/>
  </si>
  <si>
    <t>伝承</t>
    <phoneticPr fontId="1"/>
  </si>
  <si>
    <t>しんせいふしぎのくにのきんぎょのうた</t>
    <phoneticPr fontId="1"/>
  </si>
  <si>
    <t>[新生]【不思議の国の】金魚の歌</t>
    <phoneticPr fontId="1"/>
  </si>
  <si>
    <t>中部</t>
    <phoneticPr fontId="1"/>
  </si>
  <si>
    <t>タイプ知性派・飲食の攻20％UP</t>
    <phoneticPr fontId="1"/>
  </si>
  <si>
    <t>彼岸と此岸の境界線</t>
    <phoneticPr fontId="1"/>
  </si>
  <si>
    <t>神秘</t>
    <phoneticPr fontId="1"/>
  </si>
  <si>
    <t>しんせいはやあきつひめのみこと</t>
    <phoneticPr fontId="1"/>
  </si>
  <si>
    <t>[新生]ハヤアキツヒメノミコト</t>
    <phoneticPr fontId="1"/>
  </si>
  <si>
    <t>中国・四国</t>
    <phoneticPr fontId="1"/>
  </si>
  <si>
    <t>タイプ知性派・飲食の防20％UP</t>
    <phoneticPr fontId="1"/>
  </si>
  <si>
    <t>冬から春へ</t>
    <phoneticPr fontId="1"/>
  </si>
  <si>
    <t>しんせいしらひめ</t>
    <phoneticPr fontId="1"/>
  </si>
  <si>
    <t>[新生]白姫</t>
    <phoneticPr fontId="1"/>
  </si>
  <si>
    <t>無所属</t>
    <phoneticPr fontId="1"/>
  </si>
  <si>
    <t>サイコロ行脚5進化隊士 痕跡に導かれし名探偵ガチャ</t>
    <rPh sb="4" eb="6">
      <t>アンギャ</t>
    </rPh>
    <phoneticPr fontId="1"/>
  </si>
  <si>
    <t>盤上の女王</t>
    <phoneticPr fontId="1"/>
  </si>
  <si>
    <t>ぶらっくくいーん</t>
    <phoneticPr fontId="1"/>
  </si>
  <si>
    <t>ブラッククイーン</t>
    <phoneticPr fontId="1"/>
  </si>
  <si>
    <t>タイプ武人・伝承の攻40％UP　/　タイプ【姫】の攻10％UP</t>
    <phoneticPr fontId="1"/>
  </si>
  <si>
    <t>タイプ武人・伝承の攻30％UP　/　タイプ【姫】の攻5％UP</t>
    <phoneticPr fontId="1"/>
  </si>
  <si>
    <t>2020天クロハロウィン福引ガチャ</t>
    <rPh sb="4" eb="5">
      <t>テン</t>
    </rPh>
    <rPh sb="12" eb="14">
      <t>フクビキ</t>
    </rPh>
    <phoneticPr fontId="1"/>
  </si>
  <si>
    <t>10/15 15:00～10/16 23:59</t>
    <phoneticPr fontId="1"/>
  </si>
  <si>
    <t>タイプ神秘・飲食の攻90％DOWN　/　タイプ偉人・妖怪・名物の防15％UP</t>
    <phoneticPr fontId="1"/>
  </si>
  <si>
    <t>油の海</t>
    <phoneticPr fontId="1"/>
  </si>
  <si>
    <t>妖怪</t>
    <phoneticPr fontId="1"/>
  </si>
  <si>
    <t>あぶらあかご</t>
    <phoneticPr fontId="1"/>
  </si>
  <si>
    <t>油赤子</t>
    <phoneticPr fontId="1"/>
  </si>
  <si>
    <t>西日本</t>
    <phoneticPr fontId="1"/>
  </si>
  <si>
    <t>タイプ妖怪・名物の防30％UP　/　タイプ【偉人】の防10％UP</t>
    <phoneticPr fontId="1"/>
  </si>
  <si>
    <t>神聖なる文学少女</t>
    <phoneticPr fontId="1"/>
  </si>
  <si>
    <t>偉人</t>
    <phoneticPr fontId="1"/>
  </si>
  <si>
    <t>しんせいにほんしんわすがわらのたかすえのむすめ</t>
    <phoneticPr fontId="1"/>
  </si>
  <si>
    <t>[新生]【日本神話】菅原孝標女</t>
    <phoneticPr fontId="1"/>
  </si>
  <si>
    <t>サイコロ行脚 英雄ガチャ</t>
    <rPh sb="7" eb="9">
      <t>エイユウ</t>
    </rPh>
    <phoneticPr fontId="1"/>
  </si>
  <si>
    <t>10/16 11:00～10/16 23:59</t>
    <phoneticPr fontId="1"/>
  </si>
  <si>
    <t>魔導の女神ガチャ</t>
    <phoneticPr fontId="1"/>
  </si>
  <si>
    <t>(10連)10/16 15:00～10/22 23:59</t>
    <rPh sb="3" eb="4">
      <t>レン</t>
    </rPh>
    <phoneticPr fontId="1"/>
  </si>
  <si>
    <t>(20連)10/16 15:00～10/22 23:59</t>
    <rPh sb="3" eb="4">
      <t>レン</t>
    </rPh>
    <phoneticPr fontId="1"/>
  </si>
  <si>
    <t>タイプ知性派・飲食の防50％UP　/　タイプ【神秘】の防30％UP</t>
    <phoneticPr fontId="1"/>
  </si>
  <si>
    <t>防護なる魔力</t>
    <phoneticPr fontId="1"/>
  </si>
  <si>
    <t>れいめいさんまき</t>
    <phoneticPr fontId="1"/>
  </si>
  <si>
    <t>93503_0</t>
    <phoneticPr fontId="1"/>
  </si>
  <si>
    <t>SP</t>
    <phoneticPr fontId="1"/>
  </si>
  <si>
    <t>麗明三魔姫</t>
    <phoneticPr fontId="1"/>
  </si>
  <si>
    <t>全国</t>
    <phoneticPr fontId="1"/>
  </si>
  <si>
    <t>宝船福引ガチャ</t>
    <phoneticPr fontId="1"/>
  </si>
  <si>
    <t>10/17 12:00～10/18 11:59</t>
    <phoneticPr fontId="1"/>
  </si>
  <si>
    <t>超防再臨ガチャ</t>
    <phoneticPr fontId="1"/>
  </si>
  <si>
    <t>10/17 18:00～10/19 23:59</t>
    <phoneticPr fontId="1"/>
  </si>
  <si>
    <t>刹那！最強DOWN隊士ガチャ</t>
    <phoneticPr fontId="1"/>
  </si>
  <si>
    <t>10/17 20:00～10/17 23:59</t>
    <phoneticPr fontId="1"/>
  </si>
  <si>
    <t>豪華玉手箱ガチャ</t>
    <phoneticPr fontId="1"/>
  </si>
  <si>
    <t>10/18 15:00～10/18 23:59</t>
    <phoneticPr fontId="1"/>
  </si>
  <si>
    <t>10/18 18:00～10/18 21:59</t>
    <phoneticPr fontId="1"/>
  </si>
  <si>
    <t>10/19 11:00～10/19 23:59</t>
    <phoneticPr fontId="1"/>
  </si>
  <si>
    <t>戦神ガチャ</t>
    <phoneticPr fontId="1"/>
  </si>
  <si>
    <t>10/19 18:00～10/21 23:59</t>
    <phoneticPr fontId="1"/>
  </si>
  <si>
    <t>10/20 12:00～10/22 23:59</t>
    <phoneticPr fontId="1"/>
  </si>
  <si>
    <t>豪華玉手箱ガチャ</t>
    <phoneticPr fontId="1"/>
  </si>
  <si>
    <t>10/20 15:00～10/20 23:59</t>
    <phoneticPr fontId="1"/>
  </si>
  <si>
    <t>SR</t>
    <phoneticPr fontId="1"/>
  </si>
  <si>
    <t>タイプ偉人・妖怪・名物の攻45％UP</t>
    <phoneticPr fontId="1"/>
  </si>
  <si>
    <t>紅葉が染まり、雪が降る</t>
    <phoneticPr fontId="1"/>
  </si>
  <si>
    <t>偉人</t>
    <phoneticPr fontId="1"/>
  </si>
  <si>
    <t>ゆきもみじいずものおくに</t>
    <phoneticPr fontId="1"/>
  </si>
  <si>
    <t>【雪紅葉】出雲阿国</t>
    <phoneticPr fontId="1"/>
  </si>
  <si>
    <t>全国</t>
    <phoneticPr fontId="1"/>
  </si>
  <si>
    <t>タイプ【武人】の防85％UP　/　タイプ【伝承】の防50％UP</t>
    <phoneticPr fontId="1"/>
  </si>
  <si>
    <t>猿回しは十八番</t>
    <phoneticPr fontId="1"/>
  </si>
  <si>
    <t>姫</t>
    <phoneticPr fontId="1"/>
  </si>
  <si>
    <t>さるぐんだんねね</t>
    <phoneticPr fontId="1"/>
  </si>
  <si>
    <t>【猿軍団】ねね</t>
    <phoneticPr fontId="1"/>
  </si>
  <si>
    <t>東日本</t>
    <phoneticPr fontId="1"/>
  </si>
  <si>
    <t>タイプ神秘・知性派の攻30％UP　/　タイプ【飲食】の攻45％UP</t>
    <phoneticPr fontId="1"/>
  </si>
  <si>
    <t>甘い中華はいかがですか？</t>
    <phoneticPr fontId="1"/>
  </si>
  <si>
    <t>飲食</t>
    <phoneticPr fontId="1"/>
  </si>
  <si>
    <t>ちゅうかはんてんらむねちゃん</t>
    <phoneticPr fontId="1"/>
  </si>
  <si>
    <t>【中華飯店】ラムネちゃん</t>
    <phoneticPr fontId="1"/>
  </si>
  <si>
    <t>西日本</t>
    <phoneticPr fontId="1"/>
  </si>
  <si>
    <t>タイプ【妖怪】の攻35％UP　/　タイプ偉人・名物の攻25％UP</t>
    <phoneticPr fontId="1"/>
  </si>
  <si>
    <t>青い目の白珍獣</t>
    <phoneticPr fontId="1"/>
  </si>
  <si>
    <t>名物</t>
    <phoneticPr fontId="1"/>
  </si>
  <si>
    <t>しんせいほわいとたいがーさん</t>
    <phoneticPr fontId="1"/>
  </si>
  <si>
    <t>[新生]ホワイトタイガーさん</t>
    <phoneticPr fontId="1"/>
  </si>
  <si>
    <t>近畿</t>
    <phoneticPr fontId="1"/>
  </si>
  <si>
    <t>タイプ神秘・知性派の攻30％UP　/　タイプ【飲食】の攻20％UP</t>
    <phoneticPr fontId="1"/>
  </si>
  <si>
    <t>人生を示す祝い膳</t>
    <phoneticPr fontId="1"/>
  </si>
  <si>
    <t>しんせいたいのおかしらちゃん</t>
    <phoneticPr fontId="1"/>
  </si>
  <si>
    <t>[新生]鯛のお頭ちゃん</t>
    <phoneticPr fontId="1"/>
  </si>
  <si>
    <t>中国・四国</t>
    <phoneticPr fontId="1"/>
  </si>
  <si>
    <t>タイプ武人・伝承の防30％UP　/　タイプ【姫】の防20％UP</t>
    <phoneticPr fontId="1"/>
  </si>
  <si>
    <t>敬愛された偉大な母君</t>
    <phoneticPr fontId="1"/>
  </si>
  <si>
    <t>ようとくいん</t>
    <phoneticPr fontId="1"/>
  </si>
  <si>
    <t>養徳院</t>
    <phoneticPr fontId="1"/>
  </si>
  <si>
    <t>中部</t>
    <phoneticPr fontId="1"/>
  </si>
  <si>
    <t>2019/11防衛戦</t>
    <phoneticPr fontId="1"/>
  </si>
  <si>
    <t>2019/10全国巡り</t>
    <rPh sb="7" eb="9">
      <t>ゼンコク</t>
    </rPh>
    <rPh sb="9" eb="10">
      <t>メグ</t>
    </rPh>
    <phoneticPr fontId="1"/>
  </si>
  <si>
    <t>2019/11天下統一戦</t>
    <rPh sb="7" eb="9">
      <t>テンカ</t>
    </rPh>
    <rPh sb="9" eb="11">
      <t>トウイツ</t>
    </rPh>
    <rPh sb="11" eb="12">
      <t>セン</t>
    </rPh>
    <phoneticPr fontId="1"/>
  </si>
  <si>
    <t>2019/05防衛戦</t>
    <phoneticPr fontId="1"/>
  </si>
  <si>
    <t>―</t>
    <phoneticPr fontId="1"/>
  </si>
  <si>
    <t>2018/05同盟戦</t>
    <rPh sb="7" eb="9">
      <t>ドウメイ</t>
    </rPh>
    <rPh sb="9" eb="10">
      <t>セン</t>
    </rPh>
    <phoneticPr fontId="1"/>
  </si>
  <si>
    <t>全国巡り 英雄ガチャ</t>
    <rPh sb="0" eb="2">
      <t>ゼンコク</t>
    </rPh>
    <rPh sb="2" eb="3">
      <t>メグ</t>
    </rPh>
    <rPh sb="5" eb="7">
      <t>エイユウ</t>
    </rPh>
    <phoneticPr fontId="1"/>
  </si>
  <si>
    <t>10/29 11:00～10/29 23:59</t>
    <phoneticPr fontId="1"/>
  </si>
  <si>
    <t>【うどんの旅】お化け屋敷</t>
    <phoneticPr fontId="1"/>
  </si>
  <si>
    <t>SR</t>
    <phoneticPr fontId="1"/>
  </si>
  <si>
    <t>HR</t>
    <phoneticPr fontId="1"/>
  </si>
  <si>
    <t>タイプ偉人・妖怪・名物の攻40％UP　/　タイプ神秘・知性派・飲食の防10％DOWN</t>
    <phoneticPr fontId="1"/>
  </si>
  <si>
    <t>五感で楽しむ恐怖とうどん</t>
    <phoneticPr fontId="1"/>
  </si>
  <si>
    <t>名物</t>
    <phoneticPr fontId="1"/>
  </si>
  <si>
    <t>うどんのたびおばけやしき</t>
    <phoneticPr fontId="1"/>
  </si>
  <si>
    <t>中部</t>
    <phoneticPr fontId="1"/>
  </si>
  <si>
    <t>タイプ神秘・知性派の防30％UP　/　タイプ【飲食】の防10％UP</t>
    <phoneticPr fontId="1"/>
  </si>
  <si>
    <t>精進あるのみ家庭の味</t>
    <phoneticPr fontId="1"/>
  </si>
  <si>
    <t>飲食</t>
    <phoneticPr fontId="1"/>
  </si>
  <si>
    <t>しんせいけんちんうどんちゃん</t>
    <phoneticPr fontId="1"/>
  </si>
  <si>
    <t>[新生]けんちんうどんちゃん</t>
    <phoneticPr fontId="1"/>
  </si>
  <si>
    <t>関東</t>
    <phoneticPr fontId="1"/>
  </si>
  <si>
    <t>タイプ神秘・知性派の攻20％UP</t>
    <phoneticPr fontId="1"/>
  </si>
  <si>
    <t>素朴な味の終着駅</t>
    <phoneticPr fontId="1"/>
  </si>
  <si>
    <t>しんせいくりめしちゃん</t>
    <phoneticPr fontId="1"/>
  </si>
  <si>
    <t>[新生]栗めしちゃん</t>
    <phoneticPr fontId="1"/>
  </si>
  <si>
    <t>九州・沖縄</t>
    <phoneticPr fontId="1"/>
  </si>
  <si>
    <t>タイプ神秘・知性派の防20％UP</t>
    <phoneticPr fontId="1"/>
  </si>
  <si>
    <t>東北玄関口のおもてなし</t>
    <phoneticPr fontId="1"/>
  </si>
  <si>
    <t>しんせいしらかわらーめん</t>
    <phoneticPr fontId="1"/>
  </si>
  <si>
    <t>[新生]白河ラーメン</t>
    <phoneticPr fontId="1"/>
  </si>
  <si>
    <t>北海道・東北</t>
    <phoneticPr fontId="1"/>
  </si>
  <si>
    <t>[新生]ショコラクピド</t>
    <phoneticPr fontId="1"/>
  </si>
  <si>
    <t>祝来！宝船福引ガチャ</t>
    <phoneticPr fontId="1"/>
  </si>
  <si>
    <t>10/27 12:00～10/28 11:59</t>
    <phoneticPr fontId="1"/>
  </si>
  <si>
    <t>10/27 18:00～10/27 21:59</t>
    <phoneticPr fontId="1"/>
  </si>
  <si>
    <t>復活！5進化隊士ガチャ</t>
    <phoneticPr fontId="1"/>
  </si>
  <si>
    <t>10/26 11:00～10/26 23:59</t>
    <phoneticPr fontId="1"/>
  </si>
  <si>
    <t>10/26 15:00～10/26 23:59</t>
    <phoneticPr fontId="1"/>
  </si>
  <si>
    <t>タイプ【武人】の攻90％UP　/　タイプ姫・伝承の攻30％UP</t>
    <phoneticPr fontId="1"/>
  </si>
  <si>
    <t>四十七士と共に</t>
    <phoneticPr fontId="1"/>
  </si>
  <si>
    <t>姫</t>
    <phoneticPr fontId="1"/>
  </si>
  <si>
    <t>せんにゅうそうさようぜんいん</t>
    <phoneticPr fontId="1"/>
  </si>
  <si>
    <t>【潜入捜査】瑤泉院</t>
    <phoneticPr fontId="1"/>
  </si>
  <si>
    <t>タイプ【武人】の攻65％UP　/　タイプ姫・伝承の攻25％UP</t>
    <phoneticPr fontId="1"/>
  </si>
  <si>
    <t>タイプ【武人】の攻50％UP　/　タイプ【姫】の攻20％UP</t>
    <phoneticPr fontId="1"/>
  </si>
  <si>
    <t>タイプ【飲食】の防95％UP　/　タイプ神秘・知性派の防20％UP</t>
    <phoneticPr fontId="1"/>
  </si>
  <si>
    <t>六弦金弾奏</t>
    <phoneticPr fontId="1"/>
  </si>
  <si>
    <t>神秘</t>
    <phoneticPr fontId="1"/>
  </si>
  <si>
    <t>ぎんゆうしじんれい</t>
    <phoneticPr fontId="1"/>
  </si>
  <si>
    <t>【吟遊詩人】レイ</t>
    <phoneticPr fontId="1"/>
  </si>
  <si>
    <t>タイプ【飲食】の防70％UP　/　タイプ神秘・知性派の防15％UP</t>
    <phoneticPr fontId="1"/>
  </si>
  <si>
    <t>タイプ【飲食】の防55％UP　/　タイプ【神秘】の防10％UP</t>
    <phoneticPr fontId="1"/>
  </si>
  <si>
    <t>タイプ妖怪・名物の防50％UP　/　タイプ【偉人】の防20％UP</t>
    <phoneticPr fontId="1"/>
  </si>
  <si>
    <t>隠された美しき花</t>
    <phoneticPr fontId="1"/>
  </si>
  <si>
    <t>偉人</t>
    <phoneticPr fontId="1"/>
  </si>
  <si>
    <t>ゆあみむーまん</t>
    <phoneticPr fontId="1"/>
  </si>
  <si>
    <t>【湯浴み】ムーマン</t>
    <phoneticPr fontId="1"/>
  </si>
  <si>
    <t>タイプ妖怪・名物の防40％UP　/　タイプ【偉人】の防10％UP</t>
    <phoneticPr fontId="1"/>
  </si>
  <si>
    <t>タイプ妖怪・名物の防25％UP　/　タイプ【偉人】の防5％UP</t>
    <phoneticPr fontId="1"/>
  </si>
  <si>
    <t>全国巡り 最高の一杯を！うどん巡りガチャ</t>
    <rPh sb="0" eb="2">
      <t>ゼンコク</t>
    </rPh>
    <rPh sb="2" eb="3">
      <t>メグ</t>
    </rPh>
    <phoneticPr fontId="1"/>
  </si>
  <si>
    <t>(DX)10/25 12:00～10/31 19:59</t>
    <phoneticPr fontId="1"/>
  </si>
  <si>
    <t>(Lvアップ)10/25 12:00～10/31 19:59</t>
    <phoneticPr fontId="1"/>
  </si>
  <si>
    <t>しんせいしょこらくぴど</t>
    <phoneticPr fontId="1"/>
  </si>
  <si>
    <t>タイプ伝承・武人・姫の防85％DOWN　/　タイプ知性派・飲食の攻30％UP</t>
    <phoneticPr fontId="1"/>
  </si>
  <si>
    <t>恋するフォーチュンアロー</t>
    <phoneticPr fontId="1"/>
  </si>
  <si>
    <t>戦神ガチャ</t>
    <phoneticPr fontId="1"/>
  </si>
  <si>
    <t>10/29 15:00～10/31 23:59</t>
    <phoneticPr fontId="1"/>
  </si>
  <si>
    <t>【獣水着】胡弓</t>
    <phoneticPr fontId="1"/>
  </si>
  <si>
    <t>【お座敷】京極伊知子</t>
    <phoneticPr fontId="1"/>
  </si>
  <si>
    <t>タイプ武人・姫の攻30％UP　/　タイプ偉人・妖怪の防20％DOWN</t>
    <phoneticPr fontId="1"/>
  </si>
  <si>
    <t>目も耳も喜ばせるために</t>
    <phoneticPr fontId="1"/>
  </si>
  <si>
    <t>伝承</t>
    <phoneticPr fontId="1"/>
  </si>
  <si>
    <t>けものみずぎこきゅう</t>
    <phoneticPr fontId="1"/>
  </si>
  <si>
    <t>タイプ神秘・飲食の攻30％UP　/　タイプ武人・伝承の防20％DOWN</t>
    <phoneticPr fontId="1"/>
  </si>
  <si>
    <t>涙で語る別離の情</t>
    <phoneticPr fontId="1"/>
  </si>
  <si>
    <t>知性派</t>
    <phoneticPr fontId="1"/>
  </si>
  <si>
    <t>おざしききょうごくいちこ</t>
    <phoneticPr fontId="1"/>
  </si>
  <si>
    <t>超攻撃ガチャ</t>
    <phoneticPr fontId="1"/>
  </si>
  <si>
    <t>10/21 12:00～10/25 11:59</t>
    <phoneticPr fontId="1"/>
  </si>
  <si>
    <t>10/21 15:00～10/22 14:59</t>
    <phoneticPr fontId="1"/>
  </si>
  <si>
    <t>タイプ伝承・武人・姫の攻40％UP　/　タイプ偉人・妖怪・名物の防10％DOWN</t>
    <phoneticPr fontId="1"/>
  </si>
  <si>
    <t>ドラグーン</t>
    <phoneticPr fontId="1"/>
  </si>
  <si>
    <t>どらごんらいだーぞな</t>
    <phoneticPr fontId="1"/>
  </si>
  <si>
    <t>【ドラゴンライダー】ゾナ</t>
    <phoneticPr fontId="1"/>
  </si>
  <si>
    <t>タイプ伝承・武人・姫の攻25％UP　/　タイプ偉人・妖怪・名物の防10％DOWN</t>
    <phoneticPr fontId="1"/>
  </si>
  <si>
    <t>タイプ伝承・武人・姫の攻20％UP　/　タイプ偉人・妖怪・名物の防10％DOWN</t>
    <phoneticPr fontId="1"/>
  </si>
  <si>
    <t>タイプ姫・伝承の攻30％UP　/　タイプ【武人】の攻15％UP</t>
    <phoneticPr fontId="1"/>
  </si>
  <si>
    <t>ミレネとニナ</t>
    <phoneticPr fontId="1"/>
  </si>
  <si>
    <t>武人</t>
    <phoneticPr fontId="1"/>
  </si>
  <si>
    <t>どらごんらいだーみれねとにな</t>
    <phoneticPr fontId="1"/>
  </si>
  <si>
    <t>【ドラゴンライダー】ミレネとニナ</t>
    <phoneticPr fontId="1"/>
  </si>
  <si>
    <t>近畿</t>
    <phoneticPr fontId="1"/>
  </si>
  <si>
    <t>タイプ姫・伝承の攻20％UP　/　タイプ【武人】の攻10％UP</t>
    <phoneticPr fontId="1"/>
  </si>
  <si>
    <t>タイプ姫・伝承の攻15％UP　/　タイプ【武人】の攻10％UP</t>
    <phoneticPr fontId="1"/>
  </si>
  <si>
    <t>超防御ガチャ</t>
    <phoneticPr fontId="1"/>
  </si>
  <si>
    <t>10/22 12:00～10/25 11:59</t>
    <phoneticPr fontId="1"/>
  </si>
  <si>
    <t>タイプ偉人・妖怪・名物の防40％UP　/　タイプ飲食・武人・名物の攻10％DOWN</t>
    <phoneticPr fontId="1"/>
  </si>
  <si>
    <t>上風雄龍</t>
    <phoneticPr fontId="1"/>
  </si>
  <si>
    <t>名物</t>
    <phoneticPr fontId="1"/>
  </si>
  <si>
    <t>りゅうまいのやんびん</t>
    <phoneticPr fontId="1"/>
  </si>
  <si>
    <t>龍舞のヤンビン</t>
    <phoneticPr fontId="1"/>
  </si>
  <si>
    <t>関東</t>
    <phoneticPr fontId="1"/>
  </si>
  <si>
    <t>タイプ偉人・妖怪・名物の防25％UP　/　タイプ飲食・武人・名物の攻10％DOWN</t>
    <phoneticPr fontId="1"/>
  </si>
  <si>
    <t>タイプ偉人・妖怪・名物の防20％UP　/　タイプ飲食・武人・名物の攻10％DOWN</t>
    <phoneticPr fontId="1"/>
  </si>
  <si>
    <t>タイプ伝承・武人・姫の攻60％DOWN　/　タイプ偉人・名物の防15％UP</t>
    <phoneticPr fontId="1"/>
  </si>
  <si>
    <t>鬼の灯火</t>
    <phoneticPr fontId="1"/>
  </si>
  <si>
    <t>妖怪</t>
    <phoneticPr fontId="1"/>
  </si>
  <si>
    <t>ほおずきのかがち</t>
    <phoneticPr fontId="1"/>
  </si>
  <si>
    <t>鬼灯のカガチ</t>
    <phoneticPr fontId="1"/>
  </si>
  <si>
    <t>九州・沖縄</t>
    <phoneticPr fontId="1"/>
  </si>
  <si>
    <t>タイプ伝承・武人・姫の攻85％DOWN　/　タイプ偉人・名物の防30％UP</t>
    <phoneticPr fontId="1"/>
  </si>
  <si>
    <t>タイプ伝承・武人・姫の攻70％DOWN　/　タイプ偉人・名物の防20％UP</t>
    <phoneticPr fontId="1"/>
  </si>
  <si>
    <t>天クロウィークガチャ</t>
    <phoneticPr fontId="1"/>
  </si>
  <si>
    <t>(10連)10/22 15:00～10/24 23:59</t>
    <rPh sb="3" eb="4">
      <t>レン</t>
    </rPh>
    <phoneticPr fontId="1"/>
  </si>
  <si>
    <t>祝来！宝船福引ガチャ</t>
    <phoneticPr fontId="1"/>
  </si>
  <si>
    <t>10/30 12:00～10/31 11:59</t>
    <phoneticPr fontId="1"/>
  </si>
  <si>
    <t>豪華玉手箱ガチャ</t>
    <phoneticPr fontId="1"/>
  </si>
  <si>
    <t>10/30 15:00～10/30 23:59</t>
    <phoneticPr fontId="1"/>
  </si>
  <si>
    <t>SP</t>
    <phoneticPr fontId="1"/>
  </si>
  <si>
    <t>タイプ伝承・武人・姫の攻10％UP　/　タイプ神秘・飲食の防80％DOWN</t>
    <phoneticPr fontId="1"/>
  </si>
  <si>
    <t>誇りの一振り</t>
    <phoneticPr fontId="1"/>
  </si>
  <si>
    <t>武人</t>
    <phoneticPr fontId="1"/>
  </si>
  <si>
    <t>てんくろしでんいっせん</t>
    <phoneticPr fontId="1"/>
  </si>
  <si>
    <t>天クロ紫電一閃</t>
    <phoneticPr fontId="1"/>
  </si>
  <si>
    <t>全国</t>
    <phoneticPr fontId="1"/>
  </si>
  <si>
    <t>超・不良遊戯ガチャ</t>
    <phoneticPr fontId="1"/>
  </si>
  <si>
    <t>(10連)10/23 12:00～10/27 23:59</t>
    <rPh sb="3" eb="4">
      <t>レン</t>
    </rPh>
    <phoneticPr fontId="1"/>
  </si>
  <si>
    <t>(3連)10/23 12:00～10/27 23:59</t>
    <rPh sb="2" eb="3">
      <t>レン</t>
    </rPh>
    <phoneticPr fontId="1"/>
  </si>
  <si>
    <t>【刺】古御堂紫雲</t>
    <phoneticPr fontId="1"/>
  </si>
  <si>
    <t>同盟戦 英雄ガチャ</t>
    <rPh sb="0" eb="2">
      <t>ドウメイ</t>
    </rPh>
    <rPh sb="2" eb="3">
      <t>セン</t>
    </rPh>
    <rPh sb="4" eb="6">
      <t>エイユウ</t>
    </rPh>
    <phoneticPr fontId="1"/>
  </si>
  <si>
    <t>10/24 11:00～10/24 23:59</t>
    <phoneticPr fontId="1"/>
  </si>
  <si>
    <t>[新生]【茶道】堀越宗圓</t>
    <phoneticPr fontId="1"/>
  </si>
  <si>
    <t>10/24 12:00～10/25 11:59</t>
    <phoneticPr fontId="1"/>
  </si>
  <si>
    <t>10/24 20:00～10/24 23:59</t>
    <phoneticPr fontId="1"/>
  </si>
  <si>
    <t>タイプ妖怪・名物の防20％UP</t>
    <phoneticPr fontId="1"/>
  </si>
  <si>
    <t>堀越老分のお点前</t>
    <phoneticPr fontId="1"/>
  </si>
  <si>
    <t>偉人</t>
    <phoneticPr fontId="1"/>
  </si>
  <si>
    <t>しんせいさどうほりこしそうえん</t>
    <phoneticPr fontId="1"/>
  </si>
  <si>
    <t>刹那！最強DOWN隊士ガチャ(具体的な隊士は不明だが、コスト18～20！特別SR以上確定チケから本来とは異なる隊士が出現する不具合があった)</t>
    <rPh sb="36" eb="38">
      <t>トクベツ</t>
    </rPh>
    <rPh sb="40" eb="42">
      <t>イジョウ</t>
    </rPh>
    <rPh sb="42" eb="44">
      <t>カクテイ</t>
    </rPh>
    <rPh sb="48" eb="50">
      <t>ホンライ</t>
    </rPh>
    <rPh sb="52" eb="53">
      <t>コト</t>
    </rPh>
    <rPh sb="55" eb="57">
      <t>タイシ</t>
    </rPh>
    <rPh sb="58" eb="60">
      <t>シュツゲン</t>
    </rPh>
    <rPh sb="62" eb="65">
      <t>フグアイ</t>
    </rPh>
    <phoneticPr fontId="1"/>
  </si>
  <si>
    <t>復活！5進化隊士ガチャ</t>
    <phoneticPr fontId="1"/>
  </si>
  <si>
    <t>10/31 11:00～10/31 23:59</t>
    <phoneticPr fontId="1"/>
  </si>
  <si>
    <t>SSR</t>
    <phoneticPr fontId="1"/>
  </si>
  <si>
    <t>防衛戦 紅葉に染まる秘湯ガチャ</t>
    <rPh sb="0" eb="3">
      <t>ボウエイセン</t>
    </rPh>
    <phoneticPr fontId="1"/>
  </si>
  <si>
    <t>(DX)11/1 0:00～11/8 23:59</t>
    <phoneticPr fontId="1"/>
  </si>
  <si>
    <t>(Lvアップ)11/1 0:00～11/8 23:59</t>
    <phoneticPr fontId="1"/>
  </si>
  <si>
    <t>93683_0</t>
    <phoneticPr fontId="1"/>
  </si>
  <si>
    <t>【湯けむり温泉】白ワインちゃん</t>
    <phoneticPr fontId="1"/>
  </si>
  <si>
    <t>タイプ神秘・知性派・飲食の防75％UP</t>
    <phoneticPr fontId="1"/>
  </si>
  <si>
    <t>自然が作り出す神秘</t>
    <phoneticPr fontId="1"/>
  </si>
  <si>
    <t>ゆけむりおんせんしろわいんちゃん</t>
    <phoneticPr fontId="1"/>
  </si>
  <si>
    <t>白芳賛美</t>
    <phoneticPr fontId="1"/>
  </si>
  <si>
    <t>一定時間、味方全体の戦技ゲージ上昇割合をUPさせ、自身が戦技を発動するたび敵軍の県HPを吸収する</t>
    <phoneticPr fontId="1"/>
  </si>
  <si>
    <t>秋を愛でる萩と紅葉</t>
    <phoneticPr fontId="1"/>
  </si>
  <si>
    <t>ゆけむりおんせんなかじまうたこ</t>
    <phoneticPr fontId="1"/>
  </si>
  <si>
    <t>【湯けむり温泉】中島歌子</t>
    <phoneticPr fontId="1"/>
  </si>
  <si>
    <t>タイプ伝承・武人・姫の防45％UP　/　タイプ神秘・武人・名物の攻10％DOWN</t>
    <phoneticPr fontId="1"/>
  </si>
  <si>
    <t>月光降る美人湯</t>
    <phoneticPr fontId="1"/>
  </si>
  <si>
    <t>ゆけむりおんせんかぐや</t>
    <phoneticPr fontId="1"/>
  </si>
  <si>
    <t>【湯けむり温泉】カグヤ</t>
    <phoneticPr fontId="1"/>
  </si>
  <si>
    <t>タイプ【神秘】の防35％UP　/　タイプ知性派・飲食の防20％UP</t>
    <phoneticPr fontId="1"/>
  </si>
  <si>
    <t>四君子称える秋の温泉</t>
    <phoneticPr fontId="1"/>
  </si>
  <si>
    <t>ゆけむりおんせんかめいしょうきん</t>
    <phoneticPr fontId="1"/>
  </si>
  <si>
    <t>【湯けむり温泉】亀井少琹</t>
    <phoneticPr fontId="1"/>
  </si>
  <si>
    <t>しんせいおんせんやどそうくろいなり</t>
    <phoneticPr fontId="1"/>
  </si>
  <si>
    <t>[新生]【温泉宿】尊久老稲荷</t>
    <phoneticPr fontId="1"/>
  </si>
  <si>
    <t>管の代わりに桶狐</t>
    <phoneticPr fontId="1"/>
  </si>
  <si>
    <t>しんせいひとうくだぎつね</t>
    <phoneticPr fontId="1"/>
  </si>
  <si>
    <t>[新生]【秘湯】管狐</t>
    <phoneticPr fontId="1"/>
  </si>
  <si>
    <t>風呂桶による応戦</t>
    <phoneticPr fontId="1"/>
  </si>
  <si>
    <t>しんせいおんせんぱにっくむらかみすいぐん</t>
    <phoneticPr fontId="1"/>
  </si>
  <si>
    <t>[新生]【温泉パニック】村上水軍</t>
    <phoneticPr fontId="1"/>
  </si>
  <si>
    <t>大渓谷の温泉郷</t>
    <phoneticPr fontId="1"/>
  </si>
  <si>
    <t>しんせいそううんきょうおんせんえぞしかちゃん</t>
    <phoneticPr fontId="1"/>
  </si>
  <si>
    <t>[新生]【層雲峡温泉】エゾシカちゃん</t>
    <phoneticPr fontId="1"/>
  </si>
  <si>
    <t>タイプ偉人・名物の防25％UP</t>
    <phoneticPr fontId="1"/>
  </si>
  <si>
    <t>妖怪王への南国サプライズ</t>
    <phoneticPr fontId="1"/>
  </si>
  <si>
    <t>しんせいおふろぬらりひょん</t>
    <phoneticPr fontId="1"/>
  </si>
  <si>
    <t>[新生]【お風呂】ぬらりひょん</t>
    <phoneticPr fontId="1"/>
  </si>
  <si>
    <t>[新生]【伊香保温泉】空っ風</t>
    <phoneticPr fontId="1"/>
  </si>
  <si>
    <t>[新生]【浴衣】ムィティチゴロ</t>
    <phoneticPr fontId="1"/>
  </si>
  <si>
    <t>しんせいいかほおんせんからっかぜ</t>
    <phoneticPr fontId="1"/>
  </si>
  <si>
    <t>しんせいゆかたむぃてぃちごろ</t>
    <phoneticPr fontId="1"/>
  </si>
  <si>
    <t>四神戦 運命の絆ガチャ</t>
    <rPh sb="0" eb="1">
      <t>ヨン</t>
    </rPh>
    <rPh sb="1" eb="2">
      <t>シン</t>
    </rPh>
    <rPh sb="2" eb="3">
      <t>セン</t>
    </rPh>
    <phoneticPr fontId="1"/>
  </si>
  <si>
    <t>(DX)11/8 12:00～11/14 11:59</t>
    <phoneticPr fontId="1"/>
  </si>
  <si>
    <t>(Lvアップ)11/8 12:00～11/14 11:59</t>
    <phoneticPr fontId="1"/>
  </si>
  <si>
    <t>タイプ伝承・武人・姫の攻40％UP　/　タイプ偉人・妖怪・名物の防10％DOWN</t>
    <phoneticPr fontId="1"/>
  </si>
  <si>
    <t>愛の物語</t>
    <phoneticPr fontId="1"/>
  </si>
  <si>
    <t>伝承</t>
    <phoneticPr fontId="1"/>
  </si>
  <si>
    <t>ろみおあんどじゅりえっと</t>
    <phoneticPr fontId="1"/>
  </si>
  <si>
    <t>SSR</t>
    <phoneticPr fontId="1"/>
  </si>
  <si>
    <t>ロミオ&amp;ジュリエット</t>
    <phoneticPr fontId="1"/>
  </si>
  <si>
    <t>関東</t>
    <phoneticPr fontId="1"/>
  </si>
  <si>
    <t>タイプ飲食・武人・名物の攻85％DOWN　/　タイプ武人・姫の防30％UP</t>
    <phoneticPr fontId="1"/>
  </si>
  <si>
    <t>因縁の柿の実</t>
    <phoneticPr fontId="1"/>
  </si>
  <si>
    <t>しんせいさるかにがっせん</t>
    <phoneticPr fontId="1"/>
  </si>
  <si>
    <t>北海道・東北</t>
    <phoneticPr fontId="1"/>
  </si>
  <si>
    <t>[新生]さるかに合戦</t>
    <phoneticPr fontId="1"/>
  </si>
  <si>
    <t>タイプ武人・姫の攻30％UP　/　タイプ【伝承】の攻10％UP</t>
    <phoneticPr fontId="1"/>
  </si>
  <si>
    <t>山響く火打ちの音</t>
    <phoneticPr fontId="1"/>
  </si>
  <si>
    <t>しんせいかちかちやま</t>
    <phoneticPr fontId="1"/>
  </si>
  <si>
    <t>SR</t>
    <phoneticPr fontId="1"/>
  </si>
  <si>
    <t>[新生]かちかち山</t>
    <phoneticPr fontId="1"/>
  </si>
  <si>
    <t>中部</t>
    <phoneticPr fontId="1"/>
  </si>
  <si>
    <t>タイプ姫・伝承の防20％</t>
    <phoneticPr fontId="1"/>
  </si>
  <si>
    <t>単騎で駆ける美人妻</t>
    <phoneticPr fontId="1"/>
  </si>
  <si>
    <t>武人</t>
    <phoneticPr fontId="1"/>
  </si>
  <si>
    <t>しんせいきしゅきたのかた</t>
    <phoneticPr fontId="1"/>
  </si>
  <si>
    <t>[新生]【騎手】北の方</t>
    <phoneticPr fontId="1"/>
  </si>
  <si>
    <t>HR</t>
    <phoneticPr fontId="1"/>
  </si>
  <si>
    <t>近畿</t>
    <phoneticPr fontId="1"/>
  </si>
  <si>
    <t>タイプ知性派・飲食の攻20％UP</t>
    <phoneticPr fontId="1"/>
  </si>
  <si>
    <t>バラ色の岩の冒険家</t>
    <phoneticPr fontId="1"/>
  </si>
  <si>
    <t>神秘</t>
    <phoneticPr fontId="1"/>
  </si>
  <si>
    <t>しんせいいせきいわつつのお</t>
    <phoneticPr fontId="1"/>
  </si>
  <si>
    <t>[新生]【遺跡】イワツツノオ</t>
    <phoneticPr fontId="1"/>
  </si>
  <si>
    <t>中国・四国</t>
    <phoneticPr fontId="1"/>
  </si>
  <si>
    <t>超攻再臨ガチャ</t>
    <phoneticPr fontId="1"/>
  </si>
  <si>
    <t>11/8 15:00～11/10 23:59</t>
    <phoneticPr fontId="1"/>
  </si>
  <si>
    <t>防衛戦5進化隊士 闇夜に咲く狩人ガチャ</t>
    <rPh sb="0" eb="3">
      <t>ボウエイセン</t>
    </rPh>
    <phoneticPr fontId="1"/>
  </si>
  <si>
    <t>タイプ武人・姫の攻30％UP　/　タイプ【伝承】の攻15％UP</t>
    <phoneticPr fontId="1"/>
  </si>
  <si>
    <t>人影告げる神秘の花</t>
    <phoneticPr fontId="1"/>
  </si>
  <si>
    <t>ばんぱいあはんたーひとかげはな</t>
    <phoneticPr fontId="1"/>
  </si>
  <si>
    <t>【ヴァンパイアハンター】人影花</t>
    <phoneticPr fontId="1"/>
  </si>
  <si>
    <t>西日本</t>
    <phoneticPr fontId="1"/>
  </si>
  <si>
    <t>タイプ武人・姫の攻35％UP　/　タイプ【伝承】の攻25％UP</t>
    <phoneticPr fontId="1"/>
  </si>
  <si>
    <t>タイプ武人・姫の攻55％UP　/　タイプ【伝承】の攻40％UP</t>
    <phoneticPr fontId="1"/>
  </si>
  <si>
    <t>戦極ガチャ</t>
    <phoneticPr fontId="1"/>
  </si>
  <si>
    <t>11/2 18:00～11/9 23:59</t>
    <phoneticPr fontId="1"/>
  </si>
  <si>
    <t>祝来！宝船福引ガチャ</t>
    <phoneticPr fontId="1"/>
  </si>
  <si>
    <t>11/3 12:00～11/4 11:59</t>
    <phoneticPr fontId="1"/>
  </si>
  <si>
    <t>ゲリラガチャ</t>
    <phoneticPr fontId="1"/>
  </si>
  <si>
    <t>11/3 18:00～11/3 21:59</t>
    <phoneticPr fontId="1"/>
  </si>
  <si>
    <t>タイプ神秘・知性派の防30％UP　/　タイプ【飲食】の防15％UP</t>
    <phoneticPr fontId="1"/>
  </si>
  <si>
    <t>悪を砕く黄金色ハンマー</t>
    <phoneticPr fontId="1"/>
  </si>
  <si>
    <t>飲食</t>
    <phoneticPr fontId="1"/>
  </si>
  <si>
    <t>ばんぱいあはんたーかみよあめ</t>
    <phoneticPr fontId="1"/>
  </si>
  <si>
    <t>【ヴァンパイアハンター】加美代飴</t>
    <phoneticPr fontId="1"/>
  </si>
  <si>
    <t>―</t>
    <phoneticPr fontId="1"/>
  </si>
  <si>
    <t>タイプ姫・伝承の攻30％UP　/　タイプ【武人】の攻10％UP</t>
    <phoneticPr fontId="1"/>
  </si>
  <si>
    <t>特殊ルール与一戦</t>
    <phoneticPr fontId="1"/>
  </si>
  <si>
    <t>しんせいみりたりーなすのよいち</t>
    <phoneticPr fontId="1"/>
  </si>
  <si>
    <t>[新生]【ミリタリー】那須与一</t>
    <phoneticPr fontId="1"/>
  </si>
  <si>
    <t>タイプ武人・姫の防20％UP</t>
    <phoneticPr fontId="1"/>
  </si>
  <si>
    <t>月夜の狩人</t>
    <phoneticPr fontId="1"/>
  </si>
  <si>
    <t>しんせいう゛ぁん・へるしんぐ</t>
    <phoneticPr fontId="1"/>
  </si>
  <si>
    <t>[新生]ヴァン・ヘルシング</t>
    <phoneticPr fontId="1"/>
  </si>
  <si>
    <t>無所属</t>
    <phoneticPr fontId="1"/>
  </si>
  <si>
    <t>タイプ姫・伝承の攻20％UP</t>
    <phoneticPr fontId="1"/>
  </si>
  <si>
    <t>開発に欠かせぬ火薬武器</t>
    <phoneticPr fontId="1"/>
  </si>
  <si>
    <t>しんせいうえすたんまつながだんじょう</t>
    <phoneticPr fontId="1"/>
  </si>
  <si>
    <t>[新生]【ウエスタン】松永弾正</t>
    <phoneticPr fontId="1"/>
  </si>
  <si>
    <t>豪華玉手箱ガチャ</t>
    <phoneticPr fontId="1"/>
  </si>
  <si>
    <t>11/4 15:00～11/4 23:59</t>
    <phoneticPr fontId="1"/>
  </si>
  <si>
    <t>戦神ガチャ</t>
    <phoneticPr fontId="1"/>
  </si>
  <si>
    <t>防衛戦 英雄ガチャ</t>
    <rPh sb="0" eb="3">
      <t>ボウエイセン</t>
    </rPh>
    <rPh sb="4" eb="6">
      <t>エイユウ</t>
    </rPh>
    <phoneticPr fontId="1"/>
  </si>
  <si>
    <t>11/5 11:00～11/5 23:59</t>
    <phoneticPr fontId="1"/>
  </si>
  <si>
    <t>戦神ガチャ</t>
    <phoneticPr fontId="1"/>
  </si>
  <si>
    <t>超防再臨ガチャ</t>
    <phoneticPr fontId="1"/>
  </si>
  <si>
    <t>11/5 18:00～11/7 23:59</t>
    <phoneticPr fontId="1"/>
  </si>
  <si>
    <t>11/6 12:00～11/7 11:59</t>
    <phoneticPr fontId="1"/>
  </si>
  <si>
    <t>刹那！最強DOWN隊士ガチャ</t>
    <phoneticPr fontId="1"/>
  </si>
  <si>
    <t>11/6 20:00～11/6 23:59</t>
    <phoneticPr fontId="1"/>
  </si>
  <si>
    <t>11/7 18:00～11/7 21:59</t>
    <phoneticPr fontId="1"/>
  </si>
  <si>
    <t>がんたんももたろう</t>
    <phoneticPr fontId="1"/>
  </si>
  <si>
    <t>四神戦5進化隊士 咆哮する気高き戦士ガチャ</t>
    <rPh sb="0" eb="1">
      <t>ヨン</t>
    </rPh>
    <rPh sb="1" eb="2">
      <t>シン</t>
    </rPh>
    <rPh sb="2" eb="3">
      <t>セン</t>
    </rPh>
    <rPh sb="4" eb="6">
      <t>シンカ</t>
    </rPh>
    <rPh sb="6" eb="8">
      <t>タイシ</t>
    </rPh>
    <phoneticPr fontId="1"/>
  </si>
  <si>
    <t>11/9 12:00～11/14 11:59</t>
    <phoneticPr fontId="1"/>
  </si>
  <si>
    <t>タイプ【姫】の防35％UP　/　タイプ武人・伝承の防20％UP</t>
    <phoneticPr fontId="1"/>
  </si>
  <si>
    <t>猛獣少女</t>
    <phoneticPr fontId="1"/>
  </si>
  <si>
    <t>武人</t>
    <phoneticPr fontId="1"/>
  </si>
  <si>
    <t>ひゃくじゅうきれお</t>
    <phoneticPr fontId="1"/>
  </si>
  <si>
    <t>【百獣姫】レオ</t>
    <phoneticPr fontId="1"/>
  </si>
  <si>
    <t>タイプ【姫】の防10％UP　/　タイプ武人・伝承の防5％UP</t>
    <phoneticPr fontId="1"/>
  </si>
  <si>
    <t>タイプ【姫】の防20％UP　/　タイプ武人・伝承の防10％UP</t>
    <phoneticPr fontId="1"/>
  </si>
  <si>
    <t>豪華玉手箱ガチャ</t>
    <phoneticPr fontId="1"/>
  </si>
  <si>
    <t>11/9 15:00～11/9 23:59</t>
    <phoneticPr fontId="1"/>
  </si>
  <si>
    <t>四神戦 英雄ガチャ</t>
    <rPh sb="0" eb="1">
      <t>ヨン</t>
    </rPh>
    <rPh sb="1" eb="2">
      <t>シン</t>
    </rPh>
    <rPh sb="2" eb="3">
      <t>セン</t>
    </rPh>
    <rPh sb="4" eb="6">
      <t>エイユウ</t>
    </rPh>
    <phoneticPr fontId="1"/>
  </si>
  <si>
    <t>11/10 11:00～11/10 23:59</t>
    <phoneticPr fontId="1"/>
  </si>
  <si>
    <t>祝来！宝船福引ガチャ</t>
    <phoneticPr fontId="1"/>
  </si>
  <si>
    <t>11/10 12:00～11/11 11:59</t>
    <phoneticPr fontId="1"/>
  </si>
  <si>
    <t>防衛戦 退魔の巫女ガチャ</t>
    <rPh sb="0" eb="3">
      <t>ボウエイセン</t>
    </rPh>
    <phoneticPr fontId="1"/>
  </si>
  <si>
    <t>(Lvアップ)11/4 12:00～11/8 11:59</t>
    <phoneticPr fontId="1"/>
  </si>
  <si>
    <t>11/12 20:00～11/12 23:59</t>
    <phoneticPr fontId="1"/>
  </si>
  <si>
    <t>星霜ノ書</t>
    <phoneticPr fontId="1"/>
  </si>
  <si>
    <t>一定時間、味方全体の攻撃ptの消費を軽減し、自身に付与されている戦技効果の時間を延長する</t>
    <phoneticPr fontId="1"/>
  </si>
  <si>
    <t>狂毒三麗嬢</t>
    <phoneticPr fontId="1"/>
  </si>
  <si>
    <t>妖艶な猛毒ガチャ</t>
    <phoneticPr fontId="1"/>
  </si>
  <si>
    <t>(20連)11/13 12:00～11/22 23:59</t>
    <rPh sb="3" eb="4">
      <t>レン</t>
    </rPh>
    <phoneticPr fontId="1"/>
  </si>
  <si>
    <t>(10連)11/13 12:00～11/22 23:59</t>
    <rPh sb="3" eb="4">
      <t>レン</t>
    </rPh>
    <phoneticPr fontId="1"/>
  </si>
  <si>
    <t>全国</t>
    <phoneticPr fontId="1"/>
  </si>
  <si>
    <t>SP</t>
    <phoneticPr fontId="1"/>
  </si>
  <si>
    <t>タイプ偉人・妖怪の攻55％UP　/　タイプ【名物】の攻20％UP</t>
    <phoneticPr fontId="1"/>
  </si>
  <si>
    <t>貫き伝う牙の毒</t>
    <phoneticPr fontId="1"/>
  </si>
  <si>
    <t>名物</t>
    <phoneticPr fontId="1"/>
  </si>
  <si>
    <t>きょうどくさんれいじょう</t>
    <phoneticPr fontId="1"/>
  </si>
  <si>
    <t>93523_0</t>
    <phoneticPr fontId="1"/>
  </si>
  <si>
    <t>蝕毒ノ刻</t>
    <phoneticPr fontId="1"/>
  </si>
  <si>
    <t>一定時間、敵全体に「攻撃や攻撃戦技を発動するとダメージを受ける」効果を付与する</t>
    <phoneticPr fontId="1"/>
  </si>
  <si>
    <t>タイプ姫・伝承の防25％UP　/　タイプ【武人】の防10％UP</t>
    <phoneticPr fontId="1"/>
  </si>
  <si>
    <t>北松斎手控</t>
    <phoneticPr fontId="1"/>
  </si>
  <si>
    <t>武人</t>
    <phoneticPr fontId="1"/>
  </si>
  <si>
    <t>きたのぶちか</t>
    <phoneticPr fontId="1"/>
  </si>
  <si>
    <t>SSR</t>
    <phoneticPr fontId="1"/>
  </si>
  <si>
    <t>北海道・東北</t>
    <phoneticPr fontId="1"/>
  </si>
  <si>
    <t>北信愛</t>
    <phoneticPr fontId="1"/>
  </si>
  <si>
    <t>タイプ偉人・妖怪・名物の防35％UP　/　タイプ飲食・武人・名物の攻10％DOWN</t>
    <phoneticPr fontId="1"/>
  </si>
  <si>
    <t>澄み渡る１日の始まり</t>
    <phoneticPr fontId="1"/>
  </si>
  <si>
    <t>じょぎんぐあさくさのかみなりもん</t>
    <phoneticPr fontId="1"/>
  </si>
  <si>
    <t>【ジョギング】浅草の雷門</t>
    <phoneticPr fontId="1"/>
  </si>
  <si>
    <t>関東</t>
    <phoneticPr fontId="1"/>
  </si>
  <si>
    <t>タイプ武人・伝承の攻90％DOWN　/　タイプ偉人・妖怪・名物の防15％UP</t>
    <phoneticPr fontId="1"/>
  </si>
  <si>
    <t>付喪神の東京観光</t>
    <phoneticPr fontId="1"/>
  </si>
  <si>
    <t>妖怪</t>
    <phoneticPr fontId="1"/>
  </si>
  <si>
    <t>みやこのたわーすずひこひめ</t>
    <phoneticPr fontId="1"/>
  </si>
  <si>
    <t>【みやこのタワー】鈴彦姫</t>
    <phoneticPr fontId="1"/>
  </si>
  <si>
    <t>中部</t>
    <phoneticPr fontId="1"/>
  </si>
  <si>
    <t>タイプ伝承・武人・姫の攻80％DOWN　/　タイプ偉人・妖怪の防25％UP</t>
    <phoneticPr fontId="1"/>
  </si>
  <si>
    <t>テニス界に歴史刻む生きた化石</t>
    <phoneticPr fontId="1"/>
  </si>
  <si>
    <t>せんりつのすまっしゅこびとかば</t>
    <phoneticPr fontId="1"/>
  </si>
  <si>
    <t>【戦慄のスマッシュ】コビトカバ</t>
    <phoneticPr fontId="1"/>
  </si>
  <si>
    <t>近畿</t>
    <phoneticPr fontId="1"/>
  </si>
  <si>
    <t>タイプ偉人・妖怪・名物の防35％UP　/　タイプ伝承・武人・姫の攻10％DOWN</t>
    <phoneticPr fontId="1"/>
  </si>
  <si>
    <t>同じ阿呆なら踊らな損</t>
    <phoneticPr fontId="1"/>
  </si>
  <si>
    <t>ゆきのうたあわおどり</t>
    <phoneticPr fontId="1"/>
  </si>
  <si>
    <t>【雪の唄】阿波踊り</t>
    <phoneticPr fontId="1"/>
  </si>
  <si>
    <t>中国・四国</t>
    <phoneticPr fontId="1"/>
  </si>
  <si>
    <t>タイプ神秘・知性派・飲食の防20％UP</t>
    <phoneticPr fontId="1"/>
  </si>
  <si>
    <t>ご当地グルメ番長</t>
    <phoneticPr fontId="1"/>
  </si>
  <si>
    <t>飲食</t>
    <phoneticPr fontId="1"/>
  </si>
  <si>
    <t>ばんちょうししりあんらいす</t>
    <phoneticPr fontId="1"/>
  </si>
  <si>
    <t>【番長】シシリアンライス</t>
    <phoneticPr fontId="1"/>
  </si>
  <si>
    <t>九州・沖縄</t>
    <phoneticPr fontId="1"/>
  </si>
  <si>
    <t>11/17 20:00～11/17 23:59</t>
    <phoneticPr fontId="1"/>
  </si>
  <si>
    <t>祝来！宝船福引ガチャ</t>
    <phoneticPr fontId="1"/>
  </si>
  <si>
    <t>11/17 12:00～11/18 11:59</t>
    <phoneticPr fontId="1"/>
  </si>
  <si>
    <t>11/16 11:00～11/16 23:59</t>
    <phoneticPr fontId="1"/>
  </si>
  <si>
    <t>サイコロ行脚 英雄ガチャ</t>
    <rPh sb="4" eb="6">
      <t>アンギャ</t>
    </rPh>
    <rPh sb="7" eb="9">
      <t>エイユウ</t>
    </rPh>
    <phoneticPr fontId="1"/>
  </si>
  <si>
    <t>タイプ妖怪・名物の攻30％UP　/　タイプ【偉人】の攻15％UP</t>
    <phoneticPr fontId="1"/>
  </si>
  <si>
    <t>アルチザンの魂</t>
    <phoneticPr fontId="1"/>
  </si>
  <si>
    <t>偉人</t>
    <phoneticPr fontId="1"/>
  </si>
  <si>
    <t>こうぼうのあるじいーぺる</t>
    <phoneticPr fontId="1"/>
  </si>
  <si>
    <t>【工房の主】イーペル</t>
    <phoneticPr fontId="1"/>
  </si>
  <si>
    <t>中部</t>
    <phoneticPr fontId="1"/>
  </si>
  <si>
    <t>タイプ偉人・名物の攻30％UP　/　タイプ【妖怪】の攻10％UP</t>
    <phoneticPr fontId="1"/>
  </si>
  <si>
    <t>化け猫の技巧派ブラックスミス</t>
    <phoneticPr fontId="1"/>
  </si>
  <si>
    <t>妖怪</t>
    <phoneticPr fontId="1"/>
  </si>
  <si>
    <t>しんせいめいこうあざぶのおおねこ</t>
    <phoneticPr fontId="1"/>
  </si>
  <si>
    <t>[新生]【名工】麻布の大猫</t>
    <phoneticPr fontId="1"/>
  </si>
  <si>
    <t>関東</t>
    <phoneticPr fontId="1"/>
  </si>
  <si>
    <t>タイプ神秘・飲食の防20％UP</t>
    <phoneticPr fontId="1"/>
  </si>
  <si>
    <t>南部藩御用釜師</t>
    <phoneticPr fontId="1"/>
  </si>
  <si>
    <t>知性派</t>
    <phoneticPr fontId="1"/>
  </si>
  <si>
    <t>しんせいしょだいこいずみにざえもん</t>
    <phoneticPr fontId="1"/>
  </si>
  <si>
    <t>[新生]初代小泉仁左衛門</t>
    <phoneticPr fontId="1"/>
  </si>
  <si>
    <t>北海道・東北</t>
    <phoneticPr fontId="1"/>
  </si>
  <si>
    <t>タイプ偉人・妖怪の攻20％UP</t>
    <phoneticPr fontId="1"/>
  </si>
  <si>
    <t>伝統と伝説の融合</t>
    <phoneticPr fontId="1"/>
  </si>
  <si>
    <t>名物</t>
    <phoneticPr fontId="1"/>
  </si>
  <si>
    <t>しんせいとれじゃーきょうせんすちゃん</t>
    <phoneticPr fontId="1"/>
  </si>
  <si>
    <t>[新生]【トレジャー】京扇子ちゃん</t>
    <phoneticPr fontId="1"/>
  </si>
  <si>
    <t>近畿</t>
    <phoneticPr fontId="1"/>
  </si>
  <si>
    <t>豪華玉手箱ガチャ</t>
    <phoneticPr fontId="1"/>
  </si>
  <si>
    <t>11/18 15:00～11/18 23:59</t>
    <phoneticPr fontId="1"/>
  </si>
  <si>
    <t>11/15 12:00～11/20 22:59</t>
    <phoneticPr fontId="1"/>
  </si>
  <si>
    <t>2020天クロ秋の大感謝祭福引ガチャ</t>
    <rPh sb="4" eb="5">
      <t>テン</t>
    </rPh>
    <rPh sb="7" eb="8">
      <t>アキ</t>
    </rPh>
    <rPh sb="9" eb="13">
      <t>ダイカンシャサイ</t>
    </rPh>
    <rPh sb="13" eb="15">
      <t>フクビキ</t>
    </rPh>
    <phoneticPr fontId="1"/>
  </si>
  <si>
    <t>11/15 15:00～11/16 23:59</t>
    <phoneticPr fontId="1"/>
  </si>
  <si>
    <t>タイプ【飲食】の攻90％UP　/　タイプ神秘・知性派の攻30％UP</t>
    <phoneticPr fontId="1"/>
  </si>
  <si>
    <t>秋の風</t>
    <phoneticPr fontId="1"/>
  </si>
  <si>
    <t>神秘</t>
    <phoneticPr fontId="1"/>
  </si>
  <si>
    <t>あきのししゃかしあ</t>
    <phoneticPr fontId="1"/>
  </si>
  <si>
    <t>秋の使者カシア</t>
    <phoneticPr fontId="1"/>
  </si>
  <si>
    <t>全国</t>
    <phoneticPr fontId="1"/>
  </si>
  <si>
    <t>SSR</t>
    <phoneticPr fontId="1"/>
  </si>
  <si>
    <t>SR</t>
    <phoneticPr fontId="1"/>
  </si>
  <si>
    <t>東日本</t>
    <phoneticPr fontId="1"/>
  </si>
  <si>
    <t>タイプ【飲食】の攻65％UP　/　タイプ神秘・知性派の攻25％UP</t>
    <phoneticPr fontId="1"/>
  </si>
  <si>
    <t>タイプ【飲食】の攻50％UP　/　タイプ【神秘】の攻20％UP</t>
    <phoneticPr fontId="1"/>
  </si>
  <si>
    <t>【やきもち】六姫</t>
    <phoneticPr fontId="1"/>
  </si>
  <si>
    <t>タイプ【武人】の攻75％UP　/　タイプ姫・伝承の攻30％UP</t>
    <phoneticPr fontId="1"/>
  </si>
  <si>
    <t>―</t>
    <phoneticPr fontId="1"/>
  </si>
  <si>
    <t>妾だけを想うのじゃ！</t>
    <phoneticPr fontId="1"/>
  </si>
  <si>
    <t>姫</t>
    <phoneticPr fontId="1"/>
  </si>
  <si>
    <t>やきもちろくひめ</t>
    <phoneticPr fontId="1"/>
  </si>
  <si>
    <t>西日本</t>
    <phoneticPr fontId="1"/>
  </si>
  <si>
    <t>タイプ武人・伝承の攻90％DOWN　/　タイプ偉人・妖怪・名物の防15％UP</t>
    <phoneticPr fontId="1"/>
  </si>
  <si>
    <t>花粉を操る蛇娘</t>
    <phoneticPr fontId="1"/>
  </si>
  <si>
    <t>妖怪</t>
    <phoneticPr fontId="1"/>
  </si>
  <si>
    <t>かふんしゅうらいじゃこつむすめ</t>
    <phoneticPr fontId="1"/>
  </si>
  <si>
    <t>北海道・東北</t>
    <phoneticPr fontId="1"/>
  </si>
  <si>
    <t>タイプ神秘・知性派・飲食の防40％UP　/　タイプ神秘・知性派・飲食の攻10％DOWN</t>
    <phoneticPr fontId="1"/>
  </si>
  <si>
    <t>プールサイドくノ一</t>
    <phoneticPr fontId="1"/>
  </si>
  <si>
    <t>知性派</t>
    <phoneticPr fontId="1"/>
  </si>
  <si>
    <t>しつないぷーるもちづきちよめ</t>
    <phoneticPr fontId="1"/>
  </si>
  <si>
    <t>【室内プール】望月千代女</t>
    <phoneticPr fontId="1"/>
  </si>
  <si>
    <t>中部</t>
    <phoneticPr fontId="1"/>
  </si>
  <si>
    <t>タイプ武人・姫の防30％UP　/　タイプ【伝承】の防10％UP</t>
    <phoneticPr fontId="1"/>
  </si>
  <si>
    <t>江戸文化というプライド</t>
    <phoneticPr fontId="1"/>
  </si>
  <si>
    <t>伝承</t>
    <phoneticPr fontId="1"/>
  </si>
  <si>
    <t>せれぶえどむらさき</t>
    <phoneticPr fontId="1"/>
  </si>
  <si>
    <t>【セレブ】江戸紫</t>
    <phoneticPr fontId="1"/>
  </si>
  <si>
    <t>関東</t>
    <phoneticPr fontId="1"/>
  </si>
  <si>
    <t>タイプ姫・伝承の攻30％UP　/　タイプ【武人】の攻10％UP</t>
    <phoneticPr fontId="1"/>
  </si>
  <si>
    <t>煌めく夜景と束の間の休息</t>
    <phoneticPr fontId="1"/>
  </si>
  <si>
    <t>武人</t>
    <phoneticPr fontId="1"/>
  </si>
  <si>
    <t>やけいみむらつる</t>
    <phoneticPr fontId="1"/>
  </si>
  <si>
    <t>【夜景】三村鶴</t>
    <phoneticPr fontId="1"/>
  </si>
  <si>
    <t>中国・四国</t>
    <phoneticPr fontId="1"/>
  </si>
  <si>
    <t>タイプ偉人・名物の攻30％UP　/　タイプ神秘・知性派・飲食の攻15％UP</t>
    <phoneticPr fontId="1"/>
  </si>
  <si>
    <t>旅館に宿す恋の炎</t>
    <phoneticPr fontId="1"/>
  </si>
  <si>
    <t>りょかんきよひめ</t>
    <phoneticPr fontId="1"/>
  </si>
  <si>
    <t>【旅館】清姫</t>
    <phoneticPr fontId="1"/>
  </si>
  <si>
    <t>近畿</t>
    <phoneticPr fontId="1"/>
  </si>
  <si>
    <t>サイコロ行脚 英雄ガチャ</t>
    <rPh sb="4" eb="6">
      <t>アンギャ</t>
    </rPh>
    <rPh sb="7" eb="9">
      <t>エイユウ</t>
    </rPh>
    <phoneticPr fontId="1"/>
  </si>
  <si>
    <t>11/19 11:00～11/19 23:59</t>
    <phoneticPr fontId="1"/>
  </si>
  <si>
    <t>タイプ妖怪・名物の防65％UP　/　タイプ【偉人】の防20％UP</t>
    <phoneticPr fontId="1"/>
  </si>
  <si>
    <t>美味しいお菓子と夫婦の絆</t>
    <phoneticPr fontId="1"/>
  </si>
  <si>
    <t>偉人</t>
    <phoneticPr fontId="1"/>
  </si>
  <si>
    <t>しんせいかーるゆーはいむ</t>
    <phoneticPr fontId="1"/>
  </si>
  <si>
    <t>[新生]カール・ユーハイム</t>
    <phoneticPr fontId="1"/>
  </si>
  <si>
    <t>中国・四国</t>
    <phoneticPr fontId="1"/>
  </si>
  <si>
    <t>戦神ガチャ</t>
    <phoneticPr fontId="1"/>
  </si>
  <si>
    <t>サイコロ行脚 命を吹き込む職人技ガチャ</t>
    <rPh sb="4" eb="6">
      <t>アンギャ</t>
    </rPh>
    <phoneticPr fontId="1"/>
  </si>
  <si>
    <t>祝来！宝船福引ガチャ</t>
    <phoneticPr fontId="1"/>
  </si>
  <si>
    <t>11/14 15:00～11/15 14:59</t>
    <phoneticPr fontId="1"/>
  </si>
  <si>
    <t>陽煌の祭典ガチャ</t>
    <phoneticPr fontId="1"/>
  </si>
  <si>
    <t>11/14 18:00～11/19 23:59</t>
    <phoneticPr fontId="1"/>
  </si>
  <si>
    <t>(20連)11/19 18:00～11/21 23:59</t>
    <rPh sb="3" eb="4">
      <t>レン</t>
    </rPh>
    <phoneticPr fontId="1"/>
  </si>
  <si>
    <t>(4連)</t>
    <rPh sb="2" eb="3">
      <t>レン</t>
    </rPh>
    <phoneticPr fontId="1"/>
  </si>
  <si>
    <t>(4連)</t>
    <phoneticPr fontId="1"/>
  </si>
  <si>
    <t>(20連)11/11 15:00～11/13 23:59</t>
    <phoneticPr fontId="1"/>
  </si>
  <si>
    <t>(20連)11/7 15:00～11/11 23:59</t>
    <rPh sb="3" eb="4">
      <t>レン</t>
    </rPh>
    <phoneticPr fontId="1"/>
  </si>
  <si>
    <t>(3連)</t>
    <rPh sb="2" eb="3">
      <t>レン</t>
    </rPh>
    <phoneticPr fontId="1"/>
  </si>
  <si>
    <t>(20連)11/5 15:00～11/7 23:59</t>
    <rPh sb="3" eb="4">
      <t>レン</t>
    </rPh>
    <phoneticPr fontId="1"/>
  </si>
  <si>
    <t>祝来！宝船福引ガチャ</t>
    <phoneticPr fontId="1"/>
  </si>
  <si>
    <t>11/20 12:00～11/21 11:59</t>
    <phoneticPr fontId="1"/>
  </si>
  <si>
    <t>豪華玉手箱ガチャ</t>
    <phoneticPr fontId="1"/>
  </si>
  <si>
    <t>11/20 15:00～11/20 23:59</t>
    <phoneticPr fontId="1"/>
  </si>
  <si>
    <t>全国巡り 甘美な香りの葡萄酒ガチャ</t>
    <rPh sb="0" eb="2">
      <t>ゼンコク</t>
    </rPh>
    <rPh sb="2" eb="3">
      <t>メグ</t>
    </rPh>
    <phoneticPr fontId="1"/>
  </si>
  <si>
    <t>(Lvアップ)11/25 12:00～11/30 19:59</t>
    <phoneticPr fontId="1"/>
  </si>
  <si>
    <t>(DX)11/25 12:00～11/30 19:59</t>
    <phoneticPr fontId="1"/>
  </si>
  <si>
    <t>超攻再臨ガチャ</t>
    <phoneticPr fontId="1"/>
  </si>
  <si>
    <t>11/25 18:00～11/27 23:59</t>
    <phoneticPr fontId="1"/>
  </si>
  <si>
    <t>タイプ武人・伝承の防65％UP　/　タイプ【姫】の防20％UP</t>
    <phoneticPr fontId="1"/>
  </si>
  <si>
    <t>浅井姫を酔わす新酒の罠</t>
    <phoneticPr fontId="1"/>
  </si>
  <si>
    <t>姫</t>
    <phoneticPr fontId="1"/>
  </si>
  <si>
    <t>ぼじょれーぬーぼーごう</t>
    <phoneticPr fontId="1"/>
  </si>
  <si>
    <t>【ボジョレーヌーボー】江</t>
    <phoneticPr fontId="1"/>
  </si>
  <si>
    <t>関東</t>
    <phoneticPr fontId="1"/>
  </si>
  <si>
    <t>SSR</t>
    <phoneticPr fontId="1"/>
  </si>
  <si>
    <t>SR</t>
    <phoneticPr fontId="1"/>
  </si>
  <si>
    <t>HR</t>
    <phoneticPr fontId="1"/>
  </si>
  <si>
    <t>タイプ神秘・知性派・飲食の攻45％UP　/　タイプ伝承・武人・姫の防10％DOWN</t>
    <phoneticPr fontId="1"/>
  </si>
  <si>
    <t>奔放なる愛のダンサー</t>
    <phoneticPr fontId="1"/>
  </si>
  <si>
    <t>知性派</t>
    <phoneticPr fontId="1"/>
  </si>
  <si>
    <t>しんせいばーれすくいずみしきぶ</t>
    <phoneticPr fontId="1"/>
  </si>
  <si>
    <t>[新生]【バーレスク】和泉式部</t>
    <phoneticPr fontId="1"/>
  </si>
  <si>
    <t>近畿</t>
    <phoneticPr fontId="1"/>
  </si>
  <si>
    <t>タイプ神秘・飲食の防30％UP　/　タイプ【知性派】の防10％UP</t>
    <phoneticPr fontId="1"/>
  </si>
  <si>
    <t>優しい歌と差し伸べる手</t>
    <phoneticPr fontId="1"/>
  </si>
  <si>
    <t>しんせいかれいなるやまのうえのおくら</t>
    <phoneticPr fontId="1"/>
  </si>
  <si>
    <t>[新生]【華麗なる】山上憶良</t>
    <phoneticPr fontId="1"/>
  </si>
  <si>
    <t>九州・沖縄</t>
    <phoneticPr fontId="1"/>
  </si>
  <si>
    <t>タイプ偉人・妖怪の攻20％UP</t>
    <phoneticPr fontId="1"/>
  </si>
  <si>
    <t>太弦のハーピスト</t>
    <phoneticPr fontId="1"/>
  </si>
  <si>
    <t>名物</t>
    <phoneticPr fontId="1"/>
  </si>
  <si>
    <t>しんせいくらぶはーぷそうしゃ</t>
    <phoneticPr fontId="1"/>
  </si>
  <si>
    <t>[新生]【クラブ】ハープ奏者</t>
    <phoneticPr fontId="1"/>
  </si>
  <si>
    <t>中部</t>
    <phoneticPr fontId="1"/>
  </si>
  <si>
    <t>タイプ神秘・知性派の防20％UP</t>
    <phoneticPr fontId="1"/>
  </si>
  <si>
    <t>香りと酸味の柑橘発酵</t>
    <phoneticPr fontId="1"/>
  </si>
  <si>
    <t>飲食</t>
    <phoneticPr fontId="1"/>
  </si>
  <si>
    <t>しんせいゆずわいんちゃん</t>
    <phoneticPr fontId="1"/>
  </si>
  <si>
    <t>[新生]柚子ワインちゃん</t>
    <phoneticPr fontId="1"/>
  </si>
  <si>
    <t>中国・四国</t>
    <phoneticPr fontId="1"/>
  </si>
  <si>
    <t>豪華玉手箱ガチャ</t>
    <phoneticPr fontId="1"/>
  </si>
  <si>
    <t>11/29 15:00～11/29 23:59</t>
    <phoneticPr fontId="1"/>
  </si>
  <si>
    <t>刹那！最強DOWN隊士ガチャ</t>
    <phoneticPr fontId="1"/>
  </si>
  <si>
    <t>11/29 20:00～11/29 23:59</t>
    <phoneticPr fontId="1"/>
  </si>
  <si>
    <t>復活！5進化隊士ガチャ</t>
    <phoneticPr fontId="1"/>
  </si>
  <si>
    <t>11/26 11:00～11/26 23:59</t>
    <phoneticPr fontId="1"/>
  </si>
  <si>
    <t>豪華玉手箱ガチャ</t>
    <phoneticPr fontId="1"/>
  </si>
  <si>
    <t>11/26 15:00～11/26 23:59</t>
    <phoneticPr fontId="1"/>
  </si>
  <si>
    <t>(Lvアップ)1/1 0:00～1/8 23:59</t>
    <phoneticPr fontId="1"/>
  </si>
  <si>
    <t>(DX)1/1 0:00～1/8 23:59</t>
    <phoneticPr fontId="1"/>
  </si>
  <si>
    <t>タイプ神秘・飲食の防45％UP　/　所属が【北海道・東北】とそれに属する県、および【全国】【東日本】の防30％UP</t>
    <phoneticPr fontId="1"/>
  </si>
  <si>
    <t>メロディの行方</t>
    <phoneticPr fontId="1"/>
  </si>
  <si>
    <t>ばいおりにすとする</t>
    <phoneticPr fontId="1"/>
  </si>
  <si>
    <t>バイオリニスト・スル</t>
    <phoneticPr fontId="1"/>
  </si>
  <si>
    <t>タイプ妖怪・名物の防45％UP　/　所属が【関東】とそれに属する県、および【全国】【東日本】の防30％UP</t>
    <phoneticPr fontId="1"/>
  </si>
  <si>
    <t>禁忌の干渉者</t>
    <phoneticPr fontId="1"/>
  </si>
  <si>
    <t>デウスエクスマシナ</t>
    <phoneticPr fontId="1"/>
  </si>
  <si>
    <t>でうすえくすましな</t>
    <phoneticPr fontId="1"/>
  </si>
  <si>
    <t>タイプ姫・伝承の攻45％UP　/　所属が【中部】とそれに属する県、および【全国】【東日本】の攻30％UP</t>
    <phoneticPr fontId="1"/>
  </si>
  <si>
    <t>英雄の卵</t>
    <phoneticPr fontId="1"/>
  </si>
  <si>
    <t>えいゆうこうほせいあしゅらむ</t>
    <phoneticPr fontId="1"/>
  </si>
  <si>
    <t>英雄候補生アシュラム</t>
    <phoneticPr fontId="1"/>
  </si>
  <si>
    <t>タイプ武人・伝承の攻45％UP　/　所属が【近畿】とそれに属する県、および【全国】【西日本】の攻30％UP</t>
    <phoneticPr fontId="1"/>
  </si>
  <si>
    <t>魅惑の華</t>
    <phoneticPr fontId="1"/>
  </si>
  <si>
    <t>ぴでぃりあ</t>
    <phoneticPr fontId="1"/>
  </si>
  <si>
    <t>ピディリア</t>
    <phoneticPr fontId="1"/>
  </si>
  <si>
    <t>一粒からの幸せ</t>
    <phoneticPr fontId="1"/>
  </si>
  <si>
    <t>さとうがしのまじょしゅくる</t>
    <phoneticPr fontId="1"/>
  </si>
  <si>
    <t>砂糖菓子の魔女シュクル</t>
    <phoneticPr fontId="1"/>
  </si>
  <si>
    <t>タイプ偉人・名物の防45％UP　/　所属が【九州・沖縄】とそれに属する県、および【全国】【西日本】の防30％UP</t>
    <phoneticPr fontId="1"/>
  </si>
  <si>
    <t>砂中の暗殺者</t>
    <phoneticPr fontId="1"/>
  </si>
  <si>
    <t>さんどりざーど</t>
    <phoneticPr fontId="1"/>
  </si>
  <si>
    <t>サンドリザード</t>
    <phoneticPr fontId="1"/>
  </si>
  <si>
    <t>防衛戦 雷鳴轟く破魔の剣ガチャ</t>
    <rPh sb="0" eb="3">
      <t>ボウエイセン</t>
    </rPh>
    <phoneticPr fontId="1"/>
  </si>
  <si>
    <t>清祓ノ渦潮</t>
    <phoneticPr fontId="1"/>
  </si>
  <si>
    <t>一定時間、味方全体の戦技ゲージ上昇割合と回避率をUPさせ、敵単体の戦技を一定割合で封じる</t>
    <phoneticPr fontId="1"/>
  </si>
  <si>
    <t>タイプ偉人・妖怪・名物の防80％UP</t>
    <phoneticPr fontId="1"/>
  </si>
  <si>
    <t>船幽霊の切実なる抱負</t>
    <phoneticPr fontId="1"/>
  </si>
  <si>
    <t>しんしゅんにせんにじゅういちあやかし</t>
    <phoneticPr fontId="1"/>
  </si>
  <si>
    <t>95013_0</t>
    <phoneticPr fontId="1"/>
  </si>
  <si>
    <t>【新春2021】アヤカシ</t>
    <phoneticPr fontId="1"/>
  </si>
  <si>
    <t>タイプ伝承・武人・姫の攻40％UP　/　タイプ飲食・武人・名物の防10％DOWN</t>
    <phoneticPr fontId="1"/>
  </si>
  <si>
    <t>天地を繋ぐ吉兆の雷</t>
    <phoneticPr fontId="1"/>
  </si>
  <si>
    <t>だいきちとかちのらいじん</t>
    <phoneticPr fontId="1"/>
  </si>
  <si>
    <t>【大吉】十勝の雷神</t>
    <phoneticPr fontId="1"/>
  </si>
  <si>
    <t>恋宿りし社神</t>
    <phoneticPr fontId="1"/>
  </si>
  <si>
    <t>しんせいこいのみこと</t>
    <phoneticPr fontId="1"/>
  </si>
  <si>
    <t>[新生]コイノミコト</t>
    <phoneticPr fontId="1"/>
  </si>
  <si>
    <t>威勢よき祝海老</t>
    <phoneticPr fontId="1"/>
  </si>
  <si>
    <t>しんせいがしょういせえびちゃん</t>
    <phoneticPr fontId="1"/>
  </si>
  <si>
    <t>[新生]【賀正】伊勢海老ちゃん</t>
    <phoneticPr fontId="1"/>
  </si>
  <si>
    <t>振袖に咲いた魅惑の勾玉</t>
    <phoneticPr fontId="1"/>
  </si>
  <si>
    <t>しんせいせいじんしきまがたまちゃん</t>
    <phoneticPr fontId="1"/>
  </si>
  <si>
    <t>[新生]【成人式】勾玉ちゃん</t>
    <phoneticPr fontId="1"/>
  </si>
  <si>
    <t>1/4 15:00～1/4 23:59</t>
    <phoneticPr fontId="1"/>
  </si>
  <si>
    <t>サイコロ行脚5進化隊士 黄葉届ける秋の使者ガチャ</t>
    <rPh sb="4" eb="6">
      <t>アンギャ</t>
    </rPh>
    <rPh sb="7" eb="9">
      <t>シンカ</t>
    </rPh>
    <rPh sb="9" eb="11">
      <t>タイシ</t>
    </rPh>
    <phoneticPr fontId="1"/>
  </si>
  <si>
    <t>防衛戦 ハッピークリスマスガチャ</t>
    <rPh sb="0" eb="3">
      <t>ボウエイセン</t>
    </rPh>
    <phoneticPr fontId="1"/>
  </si>
  <si>
    <t>【Xmasプレゼント】福田英子</t>
    <phoneticPr fontId="1"/>
  </si>
  <si>
    <t>敵に極大ダメージを与え、めまい状態にする</t>
    <phoneticPr fontId="1"/>
  </si>
  <si>
    <t>先駆乙女</t>
    <phoneticPr fontId="1"/>
  </si>
  <si>
    <t>タイプ神秘・知性派・飲食の攻80％UP</t>
    <phoneticPr fontId="1"/>
  </si>
  <si>
    <t>クリスマスの解放運動</t>
    <phoneticPr fontId="1"/>
  </si>
  <si>
    <t>くりすますぷれぜんとふくだひでこ</t>
    <phoneticPr fontId="1"/>
  </si>
  <si>
    <t>94293_0</t>
    <phoneticPr fontId="1"/>
  </si>
  <si>
    <t>７３の聖なる福音</t>
    <phoneticPr fontId="1"/>
  </si>
  <si>
    <t>しんせいはんどべるちゃん</t>
    <phoneticPr fontId="1"/>
  </si>
  <si>
    <t>[新生]ハンドベルちゃん</t>
    <phoneticPr fontId="1"/>
  </si>
  <si>
    <t>タイプ偉人・妖怪・名物の攻40％UP　/　タイプ飲食・知性派・武人の防10％DOWN</t>
    <phoneticPr fontId="1"/>
  </si>
  <si>
    <t>雪兎のホワイトクリスマス</t>
    <phoneticPr fontId="1"/>
  </si>
  <si>
    <t>くりすますぷれぜんとゆきうさぎちゃん</t>
    <phoneticPr fontId="1"/>
  </si>
  <si>
    <t>【Xmasプレゼント】ユキウサギちゃん</t>
    <phoneticPr fontId="1"/>
  </si>
  <si>
    <t>タイプ神秘・知性派・飲食の防45％UP　/　タイプ伝承・武人・姫の攻10％DOWN</t>
    <phoneticPr fontId="1"/>
  </si>
  <si>
    <t>メリークリスマス</t>
    <phoneticPr fontId="1"/>
  </si>
  <si>
    <t>くりすますぷれぜんとのえりあ</t>
    <phoneticPr fontId="1"/>
  </si>
  <si>
    <t>【Xmasプレゼント】ノエリア</t>
    <phoneticPr fontId="1"/>
  </si>
  <si>
    <t>サンタ界の革命女傑</t>
    <phoneticPr fontId="1"/>
  </si>
  <si>
    <t>くりすますぷれぜんとおおうらけい</t>
    <phoneticPr fontId="1"/>
  </si>
  <si>
    <t>【Xmasプレゼント】大浦慶</t>
    <phoneticPr fontId="1"/>
  </si>
  <si>
    <t>恐怖！ロシアンたこ焼きの夜</t>
    <phoneticPr fontId="1"/>
  </si>
  <si>
    <t>しんせいくりすますたこやきちゃん</t>
    <phoneticPr fontId="1"/>
  </si>
  <si>
    <t>[新生]【クリスマス】たこ焼きちゃん</t>
    <phoneticPr fontId="1"/>
  </si>
  <si>
    <t>聖淑なるパーティの名参謀</t>
    <phoneticPr fontId="1"/>
  </si>
  <si>
    <t>しんせいくりすますあきやまさねゆき</t>
    <phoneticPr fontId="1"/>
  </si>
  <si>
    <t>[新生]【クリスマス】秋山真之</t>
    <phoneticPr fontId="1"/>
  </si>
  <si>
    <t>深海からの贈り物</t>
    <phoneticPr fontId="1"/>
  </si>
  <si>
    <t>[新生]【クリスマス】乙姫</t>
    <phoneticPr fontId="1"/>
  </si>
  <si>
    <t>しんせいくりすますおとひめ</t>
    <phoneticPr fontId="1"/>
  </si>
  <si>
    <t>なまはげ達との鍋パーティ</t>
    <phoneticPr fontId="1"/>
  </si>
  <si>
    <t>しんせいくりすますきりたんぽちゃん</t>
    <phoneticPr fontId="1"/>
  </si>
  <si>
    <t>[新生]【クリスマス】きりたんぽちゃん</t>
    <phoneticPr fontId="1"/>
  </si>
  <si>
    <t>[新生]くるみちゃん</t>
    <phoneticPr fontId="1"/>
  </si>
  <si>
    <t>長野</t>
    <phoneticPr fontId="1"/>
  </si>
  <si>
    <t>しんせいくるみちゃん</t>
    <phoneticPr fontId="1"/>
  </si>
  <si>
    <t>[新生]【トナカイ】奈良鹿ちゃん</t>
    <phoneticPr fontId="1"/>
  </si>
  <si>
    <t>奈良</t>
    <phoneticPr fontId="1"/>
  </si>
  <si>
    <t>しんせいとなかいならじかちゃん</t>
    <phoneticPr fontId="1"/>
  </si>
  <si>
    <t>(DX)12/1 0:00～12/8 23:59</t>
    <phoneticPr fontId="1"/>
  </si>
  <si>
    <t>(Lvアップ)12/1 0:00～12/8 23:59</t>
    <phoneticPr fontId="1"/>
  </si>
  <si>
    <t>気迫の二刀流餅つき</t>
    <phoneticPr fontId="1"/>
  </si>
  <si>
    <t>しんしゅんにせんにじゅういちみやもとむさし</t>
    <phoneticPr fontId="1"/>
  </si>
  <si>
    <t>【新春2021】宮本武蔵</t>
    <phoneticPr fontId="1"/>
  </si>
  <si>
    <t>音楽の女神制す真剣遊戯</t>
    <phoneticPr fontId="1"/>
  </si>
  <si>
    <t>しんしゅんにせんにじゅういちべんざいてん</t>
    <phoneticPr fontId="1"/>
  </si>
  <si>
    <t>【新春2021】弁財天</t>
    <phoneticPr fontId="1"/>
  </si>
  <si>
    <t>光明さす新年の祝い膳</t>
    <phoneticPr fontId="1"/>
  </si>
  <si>
    <t>しんしゅんにせんにじゅういちこうみょうこうごう</t>
    <phoneticPr fontId="1"/>
  </si>
  <si>
    <t>【新春2021】光明皇后</t>
    <phoneticPr fontId="1"/>
  </si>
  <si>
    <t>(DX)</t>
    <phoneticPr fontId="1"/>
  </si>
  <si>
    <t>(Lvアップ)</t>
    <phoneticPr fontId="1"/>
  </si>
  <si>
    <t>美味しいお節</t>
    <phoneticPr fontId="1"/>
  </si>
  <si>
    <t>しんしゅんにせんにじゅういちおせちちゃん</t>
    <phoneticPr fontId="1"/>
  </si>
  <si>
    <t>【新春2021】お節ちゃん</t>
    <phoneticPr fontId="1"/>
  </si>
  <si>
    <t>祝宴の鏡映</t>
    <phoneticPr fontId="1"/>
  </si>
  <si>
    <t>しんしゅんにせんにじゅういちしんきろうちゃん</t>
    <phoneticPr fontId="1"/>
  </si>
  <si>
    <t>【新春2021】蜃気楼ちゃん</t>
    <phoneticPr fontId="1"/>
  </si>
  <si>
    <t>新年の舞姫</t>
    <phoneticPr fontId="1"/>
  </si>
  <si>
    <t>しんしゅんにせんにじゅういちじこういん</t>
    <phoneticPr fontId="1"/>
  </si>
  <si>
    <t>【新春2021】慈光院</t>
    <phoneticPr fontId="1"/>
  </si>
  <si>
    <t>[新生]【元旦】井伊直政</t>
    <phoneticPr fontId="1"/>
  </si>
  <si>
    <t>[新生]【成人式】化石発掘娘</t>
    <phoneticPr fontId="1"/>
  </si>
  <si>
    <t>[新生]【迎春】奈良姫</t>
    <phoneticPr fontId="1"/>
  </si>
  <si>
    <t>[新生]【成人式】ユキウサギちゃん</t>
    <phoneticPr fontId="1"/>
  </si>
  <si>
    <t>[新生]【巫女】奈良鹿ちゃん</t>
    <phoneticPr fontId="1"/>
  </si>
  <si>
    <t>[新生]けん玉</t>
    <phoneticPr fontId="1"/>
  </si>
  <si>
    <t>[新生]ちゃっかりお雑煮ちゃん</t>
    <phoneticPr fontId="1"/>
  </si>
  <si>
    <t>しんせいせいじんしきかせきはっくつむすめ</t>
    <phoneticPr fontId="1"/>
  </si>
  <si>
    <t>成長する化石への想い</t>
    <phoneticPr fontId="1"/>
  </si>
  <si>
    <t>しんせいがんたんいいなおまさ</t>
    <phoneticPr fontId="1"/>
  </si>
  <si>
    <t>しんせいげいしゅんならひめ</t>
    <phoneticPr fontId="1"/>
  </si>
  <si>
    <t>しんせいせいじんしきゆきうさぎちゃん</t>
    <phoneticPr fontId="1"/>
  </si>
  <si>
    <t>しんせいみこならじかちゃん</t>
    <phoneticPr fontId="1"/>
  </si>
  <si>
    <t>しんせいけんだま</t>
    <phoneticPr fontId="1"/>
  </si>
  <si>
    <t>しんせいちゃっかりおぞうにちゃん</t>
    <phoneticPr fontId="1"/>
  </si>
  <si>
    <t>鹿寄せのまごつき</t>
    <phoneticPr fontId="1"/>
  </si>
  <si>
    <t>大人の瞳と踊る童心</t>
    <phoneticPr fontId="1"/>
  </si>
  <si>
    <t>1/2 18:00～1/9 23:59</t>
    <phoneticPr fontId="1"/>
  </si>
  <si>
    <t>1/2 15:00～1/4 23:59</t>
    <phoneticPr fontId="1"/>
  </si>
  <si>
    <t>タイプ伝承・武人・姫の攻85％DOWN　/　タイプ知性派・飲食の防30％UP</t>
    <phoneticPr fontId="1"/>
  </si>
  <si>
    <t>瑞雲たなびく刃</t>
    <phoneticPr fontId="1"/>
  </si>
  <si>
    <t>だいきちむらくもごう</t>
    <phoneticPr fontId="1"/>
  </si>
  <si>
    <t>【大吉】村雲江</t>
    <phoneticPr fontId="1"/>
  </si>
  <si>
    <t>防衛戦5進化隊士 悪運薙ぎ払う新春刀姫</t>
    <rPh sb="0" eb="3">
      <t>ボウエイセン</t>
    </rPh>
    <phoneticPr fontId="1"/>
  </si>
  <si>
    <t>タイプ伝承・武人・姫の攻35％DOWN　/　タイプ知性派・飲食の防20％UP</t>
    <phoneticPr fontId="1"/>
  </si>
  <si>
    <t>タイプ武人・姫の攻20％DOWN　/　タイプ知性派・飲食の防15％UP</t>
    <phoneticPr fontId="1"/>
  </si>
  <si>
    <t>防衛戦 英雄ガチャ</t>
    <rPh sb="0" eb="3">
      <t>ボウエイセン</t>
    </rPh>
    <rPh sb="4" eb="6">
      <t>エイユウ</t>
    </rPh>
    <phoneticPr fontId="1"/>
  </si>
  <si>
    <t>1/5 11:00～1/5 23:59</t>
    <phoneticPr fontId="1"/>
  </si>
  <si>
    <t>超防再臨ガチャ</t>
    <phoneticPr fontId="1"/>
  </si>
  <si>
    <t>戦神ガチャ</t>
    <phoneticPr fontId="1"/>
  </si>
  <si>
    <t>1/5 15:00～1/7 23:59</t>
    <phoneticPr fontId="1"/>
  </si>
  <si>
    <t>(20連)1/5 18:00～1/7 23:59</t>
    <rPh sb="3" eb="4">
      <t>レン</t>
    </rPh>
    <phoneticPr fontId="1"/>
  </si>
  <si>
    <t>祝来！宝船福引ガチャ</t>
    <phoneticPr fontId="1"/>
  </si>
  <si>
    <t>1/6 12:00～1/7 11:59</t>
    <phoneticPr fontId="1"/>
  </si>
  <si>
    <t>刹那！最強DOWN隊士ガチャ</t>
    <phoneticPr fontId="1"/>
  </si>
  <si>
    <t>1/6 20:00～1/6 23:59</t>
    <phoneticPr fontId="1"/>
  </si>
  <si>
    <t>進化の秘竜チャンスガチャ</t>
    <phoneticPr fontId="1"/>
  </si>
  <si>
    <t>(3連)</t>
    <rPh sb="2" eb="3">
      <t>レン</t>
    </rPh>
    <phoneticPr fontId="1"/>
  </si>
  <si>
    <t>(20連)1/7 15:00～1/11 23:59</t>
    <phoneticPr fontId="1"/>
  </si>
  <si>
    <t>1/7 18:00～1/7 21:59</t>
    <phoneticPr fontId="1"/>
  </si>
  <si>
    <t>四神戦 寒空の燈火ガチャ</t>
    <rPh sb="0" eb="1">
      <t>ヨン</t>
    </rPh>
    <rPh sb="1" eb="2">
      <t>シン</t>
    </rPh>
    <rPh sb="2" eb="3">
      <t>セン</t>
    </rPh>
    <phoneticPr fontId="1"/>
  </si>
  <si>
    <t>(Lvアップ)1/8 12:00～1/14 11:59</t>
    <phoneticPr fontId="1"/>
  </si>
  <si>
    <t>(DX)1/8 12:00～1/14 11:59</t>
    <phoneticPr fontId="1"/>
  </si>
  <si>
    <t>タイプ【名物】の防35％UP　/　タイプ偉人・妖怪の防20％UP</t>
    <phoneticPr fontId="1"/>
  </si>
  <si>
    <t>柔らかな光</t>
    <phoneticPr fontId="1"/>
  </si>
  <si>
    <t>妖怪</t>
    <phoneticPr fontId="1"/>
  </si>
  <si>
    <t>SSR</t>
    <phoneticPr fontId="1"/>
  </si>
  <si>
    <t>SR</t>
    <phoneticPr fontId="1"/>
  </si>
  <si>
    <t>HR</t>
    <phoneticPr fontId="1"/>
  </si>
  <si>
    <t>さむぞらるくすかんでらちゃん</t>
    <phoneticPr fontId="1"/>
  </si>
  <si>
    <t>【寒空】ルクスカンデラちゃん</t>
    <phoneticPr fontId="1"/>
  </si>
  <si>
    <t>近畿</t>
    <phoneticPr fontId="1"/>
  </si>
  <si>
    <t>タイプ知性派・飲食の防65％UP　/　タイプ【神秘】の防20％UP</t>
    <phoneticPr fontId="1"/>
  </si>
  <si>
    <t>水平線の彼方から</t>
    <phoneticPr fontId="1"/>
  </si>
  <si>
    <t>神秘</t>
    <phoneticPr fontId="1"/>
  </si>
  <si>
    <t>しんせいしらみきよ</t>
    <phoneticPr fontId="1"/>
  </si>
  <si>
    <t>[新生]シラミキヨ</t>
    <phoneticPr fontId="1"/>
  </si>
  <si>
    <t>九州・沖縄</t>
    <phoneticPr fontId="1"/>
  </si>
  <si>
    <t>タイプ武人・姫の攻30％UP　/　タイプ【伝承】の攻10％UP</t>
    <phoneticPr fontId="1"/>
  </si>
  <si>
    <t>氷下に響く金魚歌</t>
    <phoneticPr fontId="1"/>
  </si>
  <si>
    <t>伝承</t>
    <phoneticPr fontId="1"/>
  </si>
  <si>
    <t>しんせいゆきのおうこくきんぎょのうた</t>
    <phoneticPr fontId="1"/>
  </si>
  <si>
    <t>[新生]【雪の王国】金魚の歌</t>
    <phoneticPr fontId="1"/>
  </si>
  <si>
    <t>中部</t>
    <phoneticPr fontId="1"/>
  </si>
  <si>
    <t>タイプ偉人・妖怪の防20％UP</t>
    <phoneticPr fontId="1"/>
  </si>
  <si>
    <t>黒髪を艶し一滴</t>
    <phoneticPr fontId="1"/>
  </si>
  <si>
    <t>名物</t>
    <phoneticPr fontId="1"/>
  </si>
  <si>
    <t>しんせいつばきあぶら</t>
    <phoneticPr fontId="1"/>
  </si>
  <si>
    <t>[新生]椿油</t>
    <phoneticPr fontId="1"/>
  </si>
  <si>
    <t>関東</t>
    <phoneticPr fontId="1"/>
  </si>
  <si>
    <t>タイプ偉人・名物の攻20％UP</t>
    <phoneticPr fontId="1"/>
  </si>
  <si>
    <t>無邪気な兎の黒い罠</t>
    <phoneticPr fontId="1"/>
  </si>
  <si>
    <t>しんせいいわいせぽ</t>
    <phoneticPr fontId="1"/>
  </si>
  <si>
    <t>[新生]イワイセポ</t>
    <phoneticPr fontId="1"/>
  </si>
  <si>
    <t>北海道・東北</t>
    <phoneticPr fontId="1"/>
  </si>
  <si>
    <t>古豪戦傑ガチャ</t>
    <phoneticPr fontId="1"/>
  </si>
  <si>
    <t>1/8 18:00～1/10 23:59</t>
    <phoneticPr fontId="1"/>
  </si>
  <si>
    <t>タイプ神秘・知性派・飲食の防40％UP</t>
    <phoneticPr fontId="1"/>
  </si>
  <si>
    <t>牛乳育ちの強靭レスラー</t>
    <phoneticPr fontId="1"/>
  </si>
  <si>
    <t>飲食</t>
    <phoneticPr fontId="1"/>
  </si>
  <si>
    <t>ぷろれすほっかいどうぎゅうにゅうちゃん</t>
    <phoneticPr fontId="1"/>
  </si>
  <si>
    <t>【プロレス】北海道牛乳ちゃん</t>
    <phoneticPr fontId="1"/>
  </si>
  <si>
    <t>全国</t>
    <phoneticPr fontId="1"/>
  </si>
  <si>
    <t>赤うでの赤だるま</t>
    <phoneticPr fontId="1"/>
  </si>
  <si>
    <t>タイプ伝承・武人・姫の攻45％UP</t>
    <phoneticPr fontId="1"/>
  </si>
  <si>
    <t>伝承</t>
    <phoneticPr fontId="1"/>
  </si>
  <si>
    <t>だるまいちあかうで</t>
    <phoneticPr fontId="1"/>
  </si>
  <si>
    <t>【だるま市】赤うで</t>
    <phoneticPr fontId="1"/>
  </si>
  <si>
    <t>西日本</t>
    <phoneticPr fontId="1"/>
  </si>
  <si>
    <t>タイプ偉人・妖怪・名物の防40％UP　/　タイプ武人・飲食・妖怪の攻10％DOWN</t>
    <phoneticPr fontId="1"/>
  </si>
  <si>
    <t>キッチンプリンセス</t>
    <phoneticPr fontId="1"/>
  </si>
  <si>
    <t>妖怪</t>
    <phoneticPr fontId="1"/>
  </si>
  <si>
    <t>ぐらんしぇふそふぃ</t>
    <phoneticPr fontId="1"/>
  </si>
  <si>
    <t>グランシェフ・ソフィ</t>
    <phoneticPr fontId="1"/>
  </si>
  <si>
    <t>東日本</t>
    <phoneticPr fontId="1"/>
  </si>
  <si>
    <t>タイプ【飲食】の攻35％UP　/　タイプ神秘・知性派の攻25％UP</t>
    <phoneticPr fontId="1"/>
  </si>
  <si>
    <t>恋する女の熱き戦い</t>
    <phoneticPr fontId="1"/>
  </si>
  <si>
    <t>知性派</t>
    <phoneticPr fontId="1"/>
  </si>
  <si>
    <t>しんせいおにきりしゅうくろひめ</t>
    <phoneticPr fontId="1"/>
  </si>
  <si>
    <t>[新生]【鬼切衆】黒比売</t>
    <phoneticPr fontId="1"/>
  </si>
  <si>
    <t>中国・四国</t>
    <phoneticPr fontId="1"/>
  </si>
  <si>
    <t>タイプ偉人・名物の攻30％UP　/　タイプ【妖怪】の攻25％UP</t>
    <phoneticPr fontId="1"/>
  </si>
  <si>
    <t>雪夜に現る白霊障</t>
    <phoneticPr fontId="1"/>
  </si>
  <si>
    <t>しんせいゆきづかいなりのびゃっこ</t>
    <phoneticPr fontId="1"/>
  </si>
  <si>
    <t>[新生]雪塚稲荷の白狐</t>
    <phoneticPr fontId="1"/>
  </si>
  <si>
    <t>関東</t>
    <phoneticPr fontId="1"/>
  </si>
  <si>
    <t>タイプ姫・伝承の防30％UP　/　タイプ【武人】の防20％UP</t>
    <phoneticPr fontId="1"/>
  </si>
  <si>
    <t>祭りの主役は目を奪う</t>
    <phoneticPr fontId="1"/>
  </si>
  <si>
    <t>武人</t>
    <phoneticPr fontId="1"/>
  </si>
  <si>
    <t>しんせいおとこまつりいしかわごえもん</t>
    <phoneticPr fontId="1"/>
  </si>
  <si>
    <t>[新生]【男祭り】石川五右衛門</t>
    <phoneticPr fontId="1"/>
  </si>
  <si>
    <t>近畿</t>
    <phoneticPr fontId="1"/>
  </si>
  <si>
    <t>四神戦5進化隊士 社の守護神獣ガチャ</t>
    <phoneticPr fontId="1"/>
  </si>
  <si>
    <t>1/9 12:00～1/14 11:59</t>
    <phoneticPr fontId="1"/>
  </si>
  <si>
    <t>豪華玉手箱ガチャ</t>
    <phoneticPr fontId="1"/>
  </si>
  <si>
    <t>1/9 15:00～1/9 23:59</t>
    <phoneticPr fontId="1"/>
  </si>
  <si>
    <t>タイプ偉人・妖怪の防45％UP　/　タイプ【名物】の防30％UP</t>
    <phoneticPr fontId="1"/>
  </si>
  <si>
    <t>守護獣の威厳</t>
    <phoneticPr fontId="1"/>
  </si>
  <si>
    <t>名物</t>
    <phoneticPr fontId="1"/>
  </si>
  <si>
    <t>こまいぬちゃん</t>
    <phoneticPr fontId="1"/>
  </si>
  <si>
    <t>狛犬ちゃん</t>
    <phoneticPr fontId="1"/>
  </si>
  <si>
    <t>タイプ偉人・妖怪の防30％UP　/　タイプ【名物】の防25％U</t>
    <phoneticPr fontId="1"/>
  </si>
  <si>
    <t>タイプ偉人・妖怪の防15％UP　/　タイプ【名物】の防20％UP</t>
    <phoneticPr fontId="1"/>
  </si>
  <si>
    <t>いとうそうかん</t>
    <phoneticPr fontId="1"/>
  </si>
  <si>
    <t>新宗家の歩</t>
    <rPh sb="0" eb="1">
      <t>シン</t>
    </rPh>
    <rPh sb="1" eb="3">
      <t>ソウケ</t>
    </rPh>
    <rPh sb="4" eb="5">
      <t>アユ</t>
    </rPh>
    <phoneticPr fontId="1"/>
  </si>
  <si>
    <t>ひのひかりちゃん</t>
    <phoneticPr fontId="1"/>
  </si>
  <si>
    <t>艶めく太陽の血統</t>
    <rPh sb="0" eb="1">
      <t>ツヤ</t>
    </rPh>
    <rPh sb="3" eb="5">
      <t>タイヨウ</t>
    </rPh>
    <rPh sb="6" eb="8">
      <t>ケットウ</t>
    </rPh>
    <phoneticPr fontId="1"/>
  </si>
  <si>
    <t>なごやじょう</t>
    <phoneticPr fontId="1"/>
  </si>
  <si>
    <t>桜に泳ぐ金鯱</t>
    <rPh sb="0" eb="1">
      <t>サクラ</t>
    </rPh>
    <rPh sb="2" eb="3">
      <t>オヨ</t>
    </rPh>
    <rPh sb="4" eb="5">
      <t>キン</t>
    </rPh>
    <rPh sb="5" eb="6">
      <t>シャチホコ</t>
    </rPh>
    <phoneticPr fontId="1"/>
  </si>
  <si>
    <t>びめがみみょうおんべんざいてん</t>
    <phoneticPr fontId="1"/>
  </si>
  <si>
    <t>艶かしい裸弁財天</t>
    <rPh sb="0" eb="1">
      <t>ツヤ</t>
    </rPh>
    <rPh sb="4" eb="5">
      <t>ハダカ</t>
    </rPh>
    <rPh sb="5" eb="8">
      <t>ベンザイテン</t>
    </rPh>
    <phoneticPr fontId="1"/>
  </si>
  <si>
    <t>全国巡り 氷上の我慢比べガチャ</t>
    <rPh sb="0" eb="2">
      <t>ゼンコク</t>
    </rPh>
    <rPh sb="2" eb="3">
      <t>メグ</t>
    </rPh>
    <phoneticPr fontId="1"/>
  </si>
  <si>
    <t>(Lvアップ)1/25 12:00～1/31 19:59</t>
    <phoneticPr fontId="1"/>
  </si>
  <si>
    <t>(DX)1/25 12:00～1/31 19:59</t>
    <phoneticPr fontId="1"/>
  </si>
  <si>
    <t>超防再臨ガチャ</t>
    <phoneticPr fontId="1"/>
  </si>
  <si>
    <t>1/25 18:00～1/27 23:59</t>
    <phoneticPr fontId="1"/>
  </si>
  <si>
    <t>タイプ神秘・知性派・飲食の攻85％DOWN　/　タイプ偉人・名物の防30％UP</t>
    <phoneticPr fontId="1"/>
  </si>
  <si>
    <t>付喪神による氷上の長期戦</t>
    <phoneticPr fontId="1"/>
  </si>
  <si>
    <t>妖怪</t>
    <phoneticPr fontId="1"/>
  </si>
  <si>
    <t>ひょうじょうつりゆうれいがさ</t>
    <phoneticPr fontId="1"/>
  </si>
  <si>
    <t>SSR</t>
    <phoneticPr fontId="1"/>
  </si>
  <si>
    <t>SR</t>
    <phoneticPr fontId="1"/>
  </si>
  <si>
    <t>HR</t>
    <phoneticPr fontId="1"/>
  </si>
  <si>
    <t>【氷上釣り】幽霊傘</t>
    <phoneticPr fontId="1"/>
  </si>
  <si>
    <t>中国・四国</t>
    <phoneticPr fontId="1"/>
  </si>
  <si>
    <t>タイプ神秘・知性派・飲食の攻45％UP　/　タイプ偉人・妖怪・名物の防10％DOWN</t>
    <phoneticPr fontId="1"/>
  </si>
  <si>
    <t>険き道の氷点観測</t>
    <phoneticPr fontId="1"/>
  </si>
  <si>
    <t>知性派</t>
    <phoneticPr fontId="1"/>
  </si>
  <si>
    <t>しんせいのなかちよこ</t>
    <phoneticPr fontId="1"/>
  </si>
  <si>
    <t>[新生] 野中千代子</t>
    <phoneticPr fontId="1"/>
  </si>
  <si>
    <t>中部</t>
    <phoneticPr fontId="1"/>
  </si>
  <si>
    <t>タイプ偉人・名物の防30％UP　/　タイプ【妖怪】の防10％UP</t>
    <phoneticPr fontId="1"/>
  </si>
  <si>
    <t>結ばれぬ純粋な想い</t>
    <phoneticPr fontId="1"/>
  </si>
  <si>
    <t>しんせいにんぎょひめあかかなじゃー</t>
    <phoneticPr fontId="1"/>
  </si>
  <si>
    <t>[新生]【人魚姫】アカカナジャー</t>
    <phoneticPr fontId="1"/>
  </si>
  <si>
    <t>九州・沖縄</t>
    <phoneticPr fontId="1"/>
  </si>
  <si>
    <t>タイプ偉人・妖怪の攻20％UP</t>
    <phoneticPr fontId="1"/>
  </si>
  <si>
    <t>美味なる白稚魚</t>
    <phoneticPr fontId="1"/>
  </si>
  <si>
    <t>名物</t>
    <phoneticPr fontId="1"/>
  </si>
  <si>
    <t>しんせいしらすちゃん</t>
    <phoneticPr fontId="1"/>
  </si>
  <si>
    <t>[新生]シラスちゃん</t>
    <phoneticPr fontId="1"/>
  </si>
  <si>
    <t>関東</t>
    <phoneticPr fontId="1"/>
  </si>
  <si>
    <t>タイプ神秘・飲食の防20％UP</t>
    <phoneticPr fontId="1"/>
  </si>
  <si>
    <t>美しさは儒教の調べ</t>
    <phoneticPr fontId="1"/>
  </si>
  <si>
    <t>しんせいみかたのさみ</t>
    <phoneticPr fontId="1"/>
  </si>
  <si>
    <t>[新生]三方沙弥</t>
    <phoneticPr fontId="1"/>
  </si>
  <si>
    <t>北海道・東北</t>
    <phoneticPr fontId="1"/>
  </si>
  <si>
    <t>復活！5進化隊士ガチャ</t>
    <phoneticPr fontId="1"/>
  </si>
  <si>
    <t>1/31 11:00～1/31 23:59</t>
    <phoneticPr fontId="1"/>
  </si>
  <si>
    <t>タイプ【飲食】の攻90％UP　/　タイプ神秘・知性派の攻30％UP</t>
    <phoneticPr fontId="1"/>
  </si>
  <si>
    <t>麗しき才女</t>
    <phoneticPr fontId="1"/>
  </si>
  <si>
    <t>まほうがっこうみす・へいろ</t>
    <phoneticPr fontId="1"/>
  </si>
  <si>
    <t>【魔法学校】ミス・ヘイロ</t>
    <phoneticPr fontId="1"/>
  </si>
  <si>
    <t>全国</t>
    <phoneticPr fontId="1"/>
  </si>
  <si>
    <t>西日本</t>
    <phoneticPr fontId="1"/>
  </si>
  <si>
    <t>タイプ【飲食】の攻65％UP　/　タイプ神秘・知性派の攻25％UP</t>
    <phoneticPr fontId="1"/>
  </si>
  <si>
    <t>タイプ【飲食】の攻50％UP　/　タイプ【知性派】の攻20％UP</t>
    <phoneticPr fontId="1"/>
  </si>
  <si>
    <t>5進</t>
    <rPh sb="1" eb="2">
      <t>シン</t>
    </rPh>
    <phoneticPr fontId="1"/>
  </si>
  <si>
    <t>3進</t>
    <rPh sb="1" eb="2">
      <t>シン</t>
    </rPh>
    <phoneticPr fontId="1"/>
  </si>
  <si>
    <t>1進</t>
    <rPh sb="1" eb="2">
      <t>シン</t>
    </rPh>
    <phoneticPr fontId="1"/>
  </si>
  <si>
    <t>タイプ【武人】の防90％UP　/　タイプ姫・伝承の防30％UP</t>
    <phoneticPr fontId="1"/>
  </si>
  <si>
    <t>夜舞満月心</t>
    <phoneticPr fontId="1"/>
  </si>
  <si>
    <t>姫</t>
    <phoneticPr fontId="1"/>
  </si>
  <si>
    <t>げっこうがっくうてんせんだら</t>
    <phoneticPr fontId="1"/>
  </si>
  <si>
    <t>【月光】月宮天センダラ</t>
    <phoneticPr fontId="1"/>
  </si>
  <si>
    <t>東日本</t>
    <phoneticPr fontId="1"/>
  </si>
  <si>
    <t>タイプ【武人】の防65％UP　/　タイプ姫・伝承の防25％UP</t>
    <phoneticPr fontId="1"/>
  </si>
  <si>
    <t>タイプ【武人】の防50％UP　/　タイプ【姫】の防20％UP</t>
    <phoneticPr fontId="1"/>
  </si>
  <si>
    <t>タイプ偉人・名物の防25％UP　/　タイプ【妖怪】の防10％UP</t>
    <phoneticPr fontId="1"/>
  </si>
  <si>
    <t>最高の調味料を味方に</t>
    <phoneticPr fontId="1"/>
  </si>
  <si>
    <t>りょうりばとるひだるかみ</t>
    <phoneticPr fontId="1"/>
  </si>
  <si>
    <t>【料理バトル】ひだる神</t>
    <phoneticPr fontId="1"/>
  </si>
  <si>
    <t>タイプ偉人・名物の防12％UP　/　タイプ【妖怪】の防10％UP</t>
    <phoneticPr fontId="1"/>
  </si>
  <si>
    <t>タイプ偉人・名物の防10％UP　/　タイプ【妖怪】の防5％UP</t>
    <phoneticPr fontId="1"/>
  </si>
  <si>
    <t>タイプ伝承・武人・姫の攻80％UP</t>
    <phoneticPr fontId="1"/>
  </si>
  <si>
    <t>勝利に導く恋の定番</t>
    <phoneticPr fontId="1"/>
  </si>
  <si>
    <t>ばれんたいんでーふくひめ</t>
    <phoneticPr fontId="1"/>
  </si>
  <si>
    <t>【バレンタインデー】福姫</t>
    <phoneticPr fontId="1"/>
  </si>
  <si>
    <t>95653_0</t>
    <phoneticPr fontId="1"/>
  </si>
  <si>
    <t>一定時間、味方全体を鼓舞し、敵全体を畏怖状態にする</t>
    <phoneticPr fontId="1"/>
  </si>
  <si>
    <t>奮激の極意</t>
    <phoneticPr fontId="1"/>
  </si>
  <si>
    <t>(DX)2/1 0:00～2/8 23:59</t>
    <phoneticPr fontId="1"/>
  </si>
  <si>
    <t>(Lvアップ)2/1 0:00～2/8 23:59</t>
    <phoneticPr fontId="1"/>
  </si>
  <si>
    <t>まろやかに香る翡翠色の恋</t>
    <phoneticPr fontId="1"/>
  </si>
  <si>
    <t>ばれんたいんでーうじちゃちゃん</t>
    <phoneticPr fontId="1"/>
  </si>
  <si>
    <t>【バレンタインデー】宇治茶ちゃん</t>
    <phoneticPr fontId="1"/>
  </si>
  <si>
    <t>味方全体の攻20%UP</t>
    <phoneticPr fontId="1"/>
  </si>
  <si>
    <t>タイプ【偉人】の防35％UP　/　タイプ妖怪・名物の防20％UP</t>
    <phoneticPr fontId="1"/>
  </si>
  <si>
    <t>チョコが消える七不思議</t>
    <phoneticPr fontId="1"/>
  </si>
  <si>
    <t>ばれんたいんでーおくりちょうちん</t>
    <phoneticPr fontId="1"/>
  </si>
  <si>
    <t>【バレンタインデー】送り提灯</t>
    <phoneticPr fontId="1"/>
  </si>
  <si>
    <t>チョコに込めた愛の闘争本能</t>
    <phoneticPr fontId="1"/>
  </si>
  <si>
    <t>ばれんたいんでーとさとうけんちゃん</t>
    <phoneticPr fontId="1"/>
  </si>
  <si>
    <t>【バレンタインデー】土佐闘犬ちゃん</t>
    <phoneticPr fontId="1"/>
  </si>
  <si>
    <t>強く甘きその心</t>
    <phoneticPr fontId="1"/>
  </si>
  <si>
    <t>しんせいばれんたいんほそかわがらしゃ</t>
    <phoneticPr fontId="1"/>
  </si>
  <si>
    <t>[新生]【バレンタイン】細川ガラシャ</t>
    <phoneticPr fontId="1"/>
  </si>
  <si>
    <t>糖分からマジック！</t>
    <phoneticPr fontId="1"/>
  </si>
  <si>
    <t>しんせいきらーすうぃーと</t>
    <phoneticPr fontId="1"/>
  </si>
  <si>
    <t>[新生]キラースウィート</t>
    <phoneticPr fontId="1"/>
  </si>
  <si>
    <t>ちょこっと浸ける一粒の元気</t>
    <phoneticPr fontId="1"/>
  </si>
  <si>
    <t>しんせいばれんたいんふぉんでゅぶどうちゃん</t>
    <phoneticPr fontId="1"/>
  </si>
  <si>
    <t>[新生]【バレンタインフォンデュ】ブドウちゃん</t>
    <phoneticPr fontId="1"/>
  </si>
  <si>
    <t>愛しき者への甘いもてなし</t>
    <phoneticPr fontId="1"/>
  </si>
  <si>
    <t>しんせいばれんたいんみょうきゅう</t>
    <phoneticPr fontId="1"/>
  </si>
  <si>
    <t>[新生]【バレンタイン】妙玖</t>
    <phoneticPr fontId="1"/>
  </si>
  <si>
    <t>飛翔する恋の鏑矢</t>
    <phoneticPr fontId="1"/>
  </si>
  <si>
    <t>しんせいきゅーぴっどはんがくごぜん</t>
    <phoneticPr fontId="1"/>
  </si>
  <si>
    <t>[新生]【キューピッド】板額御前</t>
    <phoneticPr fontId="1"/>
  </si>
  <si>
    <t>[新生]【先駆者】上村松園</t>
    <phoneticPr fontId="1"/>
  </si>
  <si>
    <t>しんせいせんくしゃうえむらしょうえん</t>
    <phoneticPr fontId="1"/>
  </si>
  <si>
    <t>[新生]山田浮月斉</t>
    <phoneticPr fontId="1"/>
  </si>
  <si>
    <t>しんせいやまだふげつさい</t>
    <phoneticPr fontId="1"/>
  </si>
  <si>
    <t>防衛戦 恋するバレンタインガチャ</t>
    <rPh sb="0" eb="3">
      <t>ボウエイセン</t>
    </rPh>
    <phoneticPr fontId="1"/>
  </si>
  <si>
    <t>タイプ妖怪・名物の防30％UP　/　タイプ【偉人】の防15％UP</t>
    <phoneticPr fontId="1"/>
  </si>
  <si>
    <t>仁王と呼ばれた乙女の任務</t>
    <phoneticPr fontId="1"/>
  </si>
  <si>
    <t>偉人</t>
    <phoneticPr fontId="1"/>
  </si>
  <si>
    <t>ばれんたいんでーさかもとおとめ</t>
    <phoneticPr fontId="1"/>
  </si>
  <si>
    <t>【バレンタインデー】坂本乙女</t>
    <phoneticPr fontId="1"/>
  </si>
  <si>
    <t>西日本</t>
    <rPh sb="0" eb="3">
      <t>ニシニホン</t>
    </rPh>
    <phoneticPr fontId="1"/>
  </si>
  <si>
    <t>タイプ妖怪・名物の防15％UP　/　タイプ【偉人】の防10％UP</t>
    <phoneticPr fontId="1"/>
  </si>
  <si>
    <t>タイプ妖怪・名物の防10％UP　/　タイプ【偉人】の防5％UP</t>
    <phoneticPr fontId="1"/>
  </si>
  <si>
    <t>戦極ガチャ</t>
    <phoneticPr fontId="1"/>
  </si>
  <si>
    <t>2/2 18:00～2/9 23:59</t>
    <phoneticPr fontId="1"/>
  </si>
  <si>
    <t>2/2 15:00～2/4 23:59</t>
    <phoneticPr fontId="1"/>
  </si>
  <si>
    <t>12/2 15:00～12/4 23:59</t>
    <phoneticPr fontId="1"/>
  </si>
  <si>
    <t>12/2 18:00～12/9 23:59</t>
    <phoneticPr fontId="1"/>
  </si>
  <si>
    <t>(20連)2/7 15:00～2/11 23:59</t>
    <phoneticPr fontId="1"/>
  </si>
  <si>
    <t>2/7 18:00～2/7 21:59</t>
    <phoneticPr fontId="1"/>
  </si>
  <si>
    <t>四神戦 天下泰平ガチャ</t>
    <rPh sb="0" eb="1">
      <t>ヨン</t>
    </rPh>
    <rPh sb="1" eb="2">
      <t>シン</t>
    </rPh>
    <rPh sb="2" eb="3">
      <t>セン</t>
    </rPh>
    <phoneticPr fontId="1"/>
  </si>
  <si>
    <t>タイプ武人・姫の攻60％UP　/　タイプ【伝承】の攻30％UP</t>
    <phoneticPr fontId="1"/>
  </si>
  <si>
    <t>泰平の象徴</t>
    <phoneticPr fontId="1"/>
  </si>
  <si>
    <t>きりん</t>
    <phoneticPr fontId="1"/>
  </si>
  <si>
    <t>麒麟</t>
    <phoneticPr fontId="1"/>
  </si>
  <si>
    <t>しんせいやまかわふたば</t>
    <phoneticPr fontId="1"/>
  </si>
  <si>
    <t>[新生]山川二葉</t>
    <phoneticPr fontId="1"/>
  </si>
  <si>
    <t>蜀に張られた美しき罠</t>
    <phoneticPr fontId="1"/>
  </si>
  <si>
    <t>しんせいさんごくしかわひめ</t>
    <phoneticPr fontId="1"/>
  </si>
  <si>
    <t>[新生]【三国志】川姫</t>
    <phoneticPr fontId="1"/>
  </si>
  <si>
    <t>時代を照らす光</t>
    <phoneticPr fontId="1"/>
  </si>
  <si>
    <t>しんせいさんごくしみつひめ</t>
    <phoneticPr fontId="1"/>
  </si>
  <si>
    <t>[新生]【三国志】光姫</t>
    <phoneticPr fontId="1"/>
  </si>
  <si>
    <t>心躍る念仏の調べ</t>
    <phoneticPr fontId="1"/>
  </si>
  <si>
    <t>しんせいさいゆうきいっぺん</t>
    <phoneticPr fontId="1"/>
  </si>
  <si>
    <t>[新生]【西遊記】一遍</t>
    <phoneticPr fontId="1"/>
  </si>
  <si>
    <t>【大海賊の亡霊】アマテラス</t>
    <phoneticPr fontId="1"/>
  </si>
  <si>
    <t>暗黒に天照す呪われし海賊</t>
    <phoneticPr fontId="1"/>
  </si>
  <si>
    <t>だいかいぞくのぼうれいあまてらす</t>
    <phoneticPr fontId="1"/>
  </si>
  <si>
    <t>タイプ伝承・武人・姫の攻25％UP</t>
    <phoneticPr fontId="1"/>
  </si>
  <si>
    <t>真っ赤なイチゴが標的</t>
    <phoneticPr fontId="1"/>
  </si>
  <si>
    <t>いちごがりいけだせん</t>
    <phoneticPr fontId="1"/>
  </si>
  <si>
    <t>【いちご狩り】池田せん</t>
    <phoneticPr fontId="1"/>
  </si>
  <si>
    <t>タイプ偉人・名物の防30％UP　/　タイプ【妖怪】の防15％UP</t>
    <phoneticPr fontId="1"/>
  </si>
  <si>
    <t>小さな車掌さん</t>
    <phoneticPr fontId="1"/>
  </si>
  <si>
    <t>ゆうえんちとれいん</t>
    <phoneticPr fontId="1"/>
  </si>
  <si>
    <t>【遊園地】トレイン</t>
    <phoneticPr fontId="1"/>
  </si>
  <si>
    <t>タイプ姫・伝承の防30％UP　/　タイプ【武人】の防25％UP</t>
    <phoneticPr fontId="1"/>
  </si>
  <si>
    <t>義を重んじる善政</t>
    <phoneticPr fontId="1"/>
  </si>
  <si>
    <t>しんせいさかのうえのまさみち</t>
    <phoneticPr fontId="1"/>
  </si>
  <si>
    <t>[新生]坂上当道</t>
    <phoneticPr fontId="1"/>
  </si>
  <si>
    <t>タイプ知性派・飲食の防30％UP　/　タイプ【神秘】の防20％UP</t>
    <phoneticPr fontId="1"/>
  </si>
  <si>
    <t>国を見下ろし火防の神</t>
    <phoneticPr fontId="1"/>
  </si>
  <si>
    <t>しんせいあきはのおおかみ</t>
    <phoneticPr fontId="1"/>
  </si>
  <si>
    <t>[新生]秋葉大神</t>
    <phoneticPr fontId="1"/>
  </si>
  <si>
    <t>タイプ【知性派】の攻35％UP　/　タイプ神秘・飲食の攻25％UP</t>
    <phoneticPr fontId="1"/>
  </si>
  <si>
    <t>海賊船に積まれた古酒</t>
    <phoneticPr fontId="1"/>
  </si>
  <si>
    <t>しんせいだいこうかいじだいあわもりちゃん</t>
    <phoneticPr fontId="1"/>
  </si>
  <si>
    <t>[新生]【大航海時代】泡盛ちゃん</t>
    <phoneticPr fontId="1"/>
  </si>
  <si>
    <t>2020/07防衛戦</t>
    <phoneticPr fontId="1"/>
  </si>
  <si>
    <t>2020/04全国巡り</t>
    <rPh sb="7" eb="9">
      <t>ゼンコク</t>
    </rPh>
    <rPh sb="9" eb="10">
      <t>メグ</t>
    </rPh>
    <phoneticPr fontId="1"/>
  </si>
  <si>
    <t>2020/04サイコロ</t>
    <phoneticPr fontId="1"/>
  </si>
  <si>
    <t>2020/03全国巡り</t>
    <rPh sb="7" eb="9">
      <t>ゼンコク</t>
    </rPh>
    <rPh sb="9" eb="10">
      <t>メグ</t>
    </rPh>
    <phoneticPr fontId="1"/>
  </si>
  <si>
    <t>2019/09同盟戦</t>
    <rPh sb="7" eb="9">
      <t>ドウメイ</t>
    </rPh>
    <rPh sb="9" eb="10">
      <t>セン</t>
    </rPh>
    <phoneticPr fontId="1"/>
  </si>
  <si>
    <t>四神戦5進化隊士 魔法の国のアリスガチャ</t>
    <rPh sb="0" eb="1">
      <t>ヨン</t>
    </rPh>
    <rPh sb="1" eb="2">
      <t>シン</t>
    </rPh>
    <rPh sb="2" eb="3">
      <t>セン</t>
    </rPh>
    <rPh sb="4" eb="6">
      <t>シンカ</t>
    </rPh>
    <rPh sb="6" eb="8">
      <t>タイシ</t>
    </rPh>
    <phoneticPr fontId="1"/>
  </si>
  <si>
    <t>防衛戦5進化隊士 魅惑のスイーツ職人ガチャ</t>
    <rPh sb="0" eb="3">
      <t>ボウエイセン</t>
    </rPh>
    <phoneticPr fontId="1"/>
  </si>
  <si>
    <t>タイプ偉人・妖怪・名物の攻85％DOWN　/　タイプ武人・姫の防30％UP</t>
    <phoneticPr fontId="1"/>
  </si>
  <si>
    <t>ラビットマジック</t>
    <phoneticPr fontId="1"/>
  </si>
  <si>
    <t>まほうのくにありす</t>
    <phoneticPr fontId="1"/>
  </si>
  <si>
    <t>【魔法の国】アリス</t>
    <phoneticPr fontId="1"/>
  </si>
  <si>
    <t>タイプ偉人・妖怪・名物の攻35％DOWN　/　タイプ武人・姫の防20％UP</t>
    <phoneticPr fontId="1"/>
  </si>
  <si>
    <t>タイプ妖怪・名物の攻20％DOWN　/　タイプ武人・姫の防15％UP</t>
    <phoneticPr fontId="1"/>
  </si>
  <si>
    <t>2/9 15:00～2/9 23:59</t>
    <phoneticPr fontId="1"/>
  </si>
  <si>
    <t>2/10 12:00～2/11 11:59</t>
    <phoneticPr fontId="1"/>
  </si>
  <si>
    <t>防衛戦 パティシエ娘ガチャ</t>
    <rPh sb="0" eb="3">
      <t>ボウエイセン</t>
    </rPh>
    <phoneticPr fontId="1"/>
  </si>
  <si>
    <t>2/4 15:00～2/4 23:59</t>
    <phoneticPr fontId="1"/>
  </si>
  <si>
    <t>タイプ【偉人】の攻90％UP　/　タイプ妖怪・名物の攻30％UP</t>
    <phoneticPr fontId="1"/>
  </si>
  <si>
    <t>真相解明に燃える怪火</t>
    <phoneticPr fontId="1"/>
  </si>
  <si>
    <t>ばれんたいんでーおさび</t>
    <phoneticPr fontId="1"/>
  </si>
  <si>
    <t>【バレンタインデー】オサビ</t>
    <phoneticPr fontId="1"/>
  </si>
  <si>
    <t>磨き上げられた伝統</t>
    <phoneticPr fontId="1"/>
  </si>
  <si>
    <t>しんせいとうきょうぎんきちゃん</t>
    <phoneticPr fontId="1"/>
  </si>
  <si>
    <t>[新生]東京銀器ちゃん</t>
    <phoneticPr fontId="1"/>
  </si>
  <si>
    <t>チョコに捧げる騎士の道</t>
    <phoneticPr fontId="1"/>
  </si>
  <si>
    <t>しんせいしょこらないと</t>
    <phoneticPr fontId="1"/>
  </si>
  <si>
    <t>[新生]ショコラナイト</t>
    <phoneticPr fontId="1"/>
  </si>
  <si>
    <t>滾る想いと勘違い</t>
    <phoneticPr fontId="1"/>
  </si>
  <si>
    <t>しんせいばれんたいんひのとみこ</t>
    <phoneticPr fontId="1"/>
  </si>
  <si>
    <t>[新生]【バレンタイン】日野富子</t>
    <phoneticPr fontId="1"/>
  </si>
  <si>
    <t>2/6 12:00～2/7 11:59</t>
    <phoneticPr fontId="1"/>
  </si>
  <si>
    <t>2/5 15:00～2/7 23:59</t>
    <phoneticPr fontId="1"/>
  </si>
  <si>
    <t>(20連)2/5 18:00～2/8 23:59</t>
    <rPh sb="3" eb="4">
      <t>レン</t>
    </rPh>
    <phoneticPr fontId="1"/>
  </si>
  <si>
    <t>1/10 12:00～1/11 11:59</t>
    <phoneticPr fontId="1"/>
  </si>
  <si>
    <t>1/11 15:00～1/13 23:59</t>
    <phoneticPr fontId="1"/>
  </si>
  <si>
    <t>(20連)1/11 18:00～1/13 23:59</t>
    <rPh sb="3" eb="4">
      <t>レン</t>
    </rPh>
    <phoneticPr fontId="1"/>
  </si>
  <si>
    <t>2/11 15:00～2/13 23:59</t>
    <phoneticPr fontId="1"/>
  </si>
  <si>
    <t>1/12 11:00～1/12 23:59</t>
    <phoneticPr fontId="1"/>
  </si>
  <si>
    <t>1/12 20:00～1/12 23:59</t>
    <phoneticPr fontId="1"/>
  </si>
  <si>
    <t>1/26 11:00～1/26 23:59</t>
    <phoneticPr fontId="1"/>
  </si>
  <si>
    <t>【雪紅葉】藤原清衡</t>
    <phoneticPr fontId="1"/>
  </si>
  <si>
    <t>1/26 15:00～1/26 23:59</t>
    <phoneticPr fontId="1"/>
  </si>
  <si>
    <t>1/27 12:00～1/28 11:59</t>
    <phoneticPr fontId="1"/>
  </si>
  <si>
    <t>1/28 15:00～1/30 23:59</t>
    <phoneticPr fontId="1"/>
  </si>
  <si>
    <t>魔王操る堕天使の徒</t>
    <phoneticPr fontId="1"/>
  </si>
  <si>
    <t>きょうきのきょうだんおだのぶなが</t>
    <phoneticPr fontId="1"/>
  </si>
  <si>
    <t>【狂気の教団】織田信長</t>
    <phoneticPr fontId="1"/>
  </si>
  <si>
    <t>譚詩曲吟遊</t>
    <phoneticPr fontId="1"/>
  </si>
  <si>
    <t>ぎんゆうしじんほう</t>
    <phoneticPr fontId="1"/>
  </si>
  <si>
    <t>【吟遊詩人】ホウ</t>
    <phoneticPr fontId="1"/>
  </si>
  <si>
    <t>マリアの大漁旗</t>
    <phoneticPr fontId="1"/>
  </si>
  <si>
    <t>ふぃっしんぐきたはらさとこ</t>
    <phoneticPr fontId="1"/>
  </si>
  <si>
    <t>【フィッシング】北原怜子</t>
    <phoneticPr fontId="1"/>
  </si>
  <si>
    <t>2020/06防衛戦</t>
    <phoneticPr fontId="1"/>
  </si>
  <si>
    <t>2020/03四神戦</t>
    <rPh sb="7" eb="8">
      <t>ヨン</t>
    </rPh>
    <rPh sb="8" eb="9">
      <t>シン</t>
    </rPh>
    <rPh sb="9" eb="10">
      <t>セン</t>
    </rPh>
    <phoneticPr fontId="1"/>
  </si>
  <si>
    <t>2019/07サイコロ</t>
    <phoneticPr fontId="1"/>
  </si>
  <si>
    <t>2020/01防衛戦</t>
    <phoneticPr fontId="1"/>
  </si>
  <si>
    <t>2019/05四神戦</t>
    <rPh sb="7" eb="8">
      <t>ヨン</t>
    </rPh>
    <rPh sb="8" eb="9">
      <t>シン</t>
    </rPh>
    <rPh sb="9" eb="10">
      <t>セン</t>
    </rPh>
    <phoneticPr fontId="1"/>
  </si>
  <si>
    <t>2020/04防衛戦</t>
    <phoneticPr fontId="1"/>
  </si>
  <si>
    <t>2020/01全国巡り</t>
    <rPh sb="7" eb="10">
      <t>ゼンコクメグ</t>
    </rPh>
    <phoneticPr fontId="1"/>
  </si>
  <si>
    <t>2020/03サイコロ</t>
    <phoneticPr fontId="1"/>
  </si>
  <si>
    <t>2019/12全国巡り</t>
    <rPh sb="7" eb="9">
      <t>ゼンコク</t>
    </rPh>
    <rPh sb="9" eb="10">
      <t>メグ</t>
    </rPh>
    <phoneticPr fontId="1"/>
  </si>
  <si>
    <t>1/29 11:00～1/29 23:59</t>
    <phoneticPr fontId="1"/>
  </si>
  <si>
    <t>(20連)1/29 15:00～1/31 23:59</t>
    <rPh sb="3" eb="4">
      <t>レン</t>
    </rPh>
    <phoneticPr fontId="1"/>
  </si>
  <si>
    <t>1/30 15:00～1/30 23:59</t>
    <phoneticPr fontId="1"/>
  </si>
  <si>
    <t>2/13 12:00～2/14 11:59</t>
    <phoneticPr fontId="1"/>
  </si>
  <si>
    <t>1/13 12:00～1/14 11:59</t>
    <phoneticPr fontId="1"/>
  </si>
  <si>
    <t>サイコロ行脚 黄金の海洞窟ガチャ</t>
    <rPh sb="4" eb="6">
      <t>アンギャ</t>
    </rPh>
    <phoneticPr fontId="1"/>
  </si>
  <si>
    <t>タイプ武人・飲食・妖怪の防85％DOWN　/　タイプ妖怪・名物の攻30％UP</t>
    <phoneticPr fontId="1"/>
  </si>
  <si>
    <t>黄金色の真珠</t>
    <phoneticPr fontId="1"/>
  </si>
  <si>
    <t>かいぞくしゅんね</t>
    <phoneticPr fontId="1"/>
  </si>
  <si>
    <t>【海賊】シュンネ</t>
    <phoneticPr fontId="1"/>
  </si>
  <si>
    <t>妖艶な気まぐれ怪盗</t>
    <phoneticPr fontId="1"/>
  </si>
  <si>
    <t>しんせいあめこみふくひめ</t>
    <phoneticPr fontId="1"/>
  </si>
  <si>
    <t>[新生]【アメコミ】福姫</t>
    <phoneticPr fontId="1"/>
  </si>
  <si>
    <t>富と権力のうなぎ昇り</t>
    <phoneticPr fontId="1"/>
  </si>
  <si>
    <t>しんせいかいぞくはまなこちゃん</t>
    <phoneticPr fontId="1"/>
  </si>
  <si>
    <t>[新生]【海賊】浜名湖ちゃん</t>
    <phoneticPr fontId="1"/>
  </si>
  <si>
    <t>侘び寂びが広がる海原</t>
    <phoneticPr fontId="1"/>
  </si>
  <si>
    <t>しんせいかいへいせんのりきゅう</t>
    <phoneticPr fontId="1"/>
  </si>
  <si>
    <t>[新生]【海兵】千利休</t>
    <phoneticPr fontId="1"/>
  </si>
  <si>
    <t>瓦礫の中の捕食者</t>
    <phoneticPr fontId="1"/>
  </si>
  <si>
    <t>しんせいじゅうきがざみちゃん</t>
    <phoneticPr fontId="1"/>
  </si>
  <si>
    <t>[新生]【銃器】ガザミちゃん</t>
    <phoneticPr fontId="1"/>
  </si>
  <si>
    <t>サイコロ行脚 ラブチョコ大作戦！ガチャ</t>
    <rPh sb="4" eb="6">
      <t>アンギャ</t>
    </rPh>
    <phoneticPr fontId="1"/>
  </si>
  <si>
    <t>スウィートラブ</t>
    <phoneticPr fontId="1"/>
  </si>
  <si>
    <t>すうぃーとらみー</t>
    <phoneticPr fontId="1"/>
  </si>
  <si>
    <t>スウィートラミー</t>
    <phoneticPr fontId="1"/>
  </si>
  <si>
    <t>タイプ伝承・武人・姫の防40％UP　/　タイプ飲食・武人・姫の攻10％DOWN</t>
    <phoneticPr fontId="1"/>
  </si>
  <si>
    <t>愛情溢れる運命の出会い</t>
    <phoneticPr fontId="1"/>
  </si>
  <si>
    <t>しんせいあかげのあん</t>
    <phoneticPr fontId="1"/>
  </si>
  <si>
    <t>[新生]赤毛のアン</t>
    <phoneticPr fontId="1"/>
  </si>
  <si>
    <t>サモンチョコレート！</t>
    <phoneticPr fontId="1"/>
  </si>
  <si>
    <t>しんせいちょこれーとさもなー</t>
    <phoneticPr fontId="1"/>
  </si>
  <si>
    <t>[新生]チョコレートサモナー</t>
    <phoneticPr fontId="1"/>
  </si>
  <si>
    <t>大切な想いを胸に</t>
    <phoneticPr fontId="1"/>
  </si>
  <si>
    <t>しんせいばれんたいんあまくさしろう</t>
    <phoneticPr fontId="1"/>
  </si>
  <si>
    <t>[新生]【バレンタイン】天草四郎</t>
    <phoneticPr fontId="1"/>
  </si>
  <si>
    <t>縁を占う片葉の葦</t>
    <phoneticPr fontId="1"/>
  </si>
  <si>
    <t>しんせいれんあいじょうじゅうねどりさま</t>
    <phoneticPr fontId="1"/>
  </si>
  <si>
    <t>[新生]【恋愛成就】卯子酉様</t>
    <phoneticPr fontId="1"/>
  </si>
  <si>
    <t>孤島の悪鬼羅刹ガチャ</t>
    <phoneticPr fontId="1"/>
  </si>
  <si>
    <t>(20連)2/15 18:00～2/24 23:59</t>
    <rPh sb="3" eb="4">
      <t>レン</t>
    </rPh>
    <phoneticPr fontId="1"/>
  </si>
  <si>
    <t>(10連)2/15 18:00～2/24 23:59</t>
    <rPh sb="3" eb="4">
      <t>レン</t>
    </rPh>
    <phoneticPr fontId="1"/>
  </si>
  <si>
    <t>タイプ偉人・名物の攻30％UP　/　タイプ【妖怪】の攻15％UP</t>
    <phoneticPr fontId="1"/>
  </si>
  <si>
    <t>影狼</t>
    <phoneticPr fontId="1"/>
  </si>
  <si>
    <t>しゃどうますたー</t>
    <phoneticPr fontId="1"/>
  </si>
  <si>
    <t>シャドウマスター</t>
    <phoneticPr fontId="1"/>
  </si>
  <si>
    <t>タイプ偉人・名物の攻20％UP　/　タイプ【妖怪】の攻10％UP</t>
    <phoneticPr fontId="1"/>
  </si>
  <si>
    <t>タイプ偉人・名物の防55％UP　/　タイプ【妖怪】の防20％UP</t>
    <phoneticPr fontId="1"/>
  </si>
  <si>
    <t>剛力粉砕</t>
    <phoneticPr fontId="1"/>
  </si>
  <si>
    <t>邪なる侵入口</t>
    <phoneticPr fontId="1"/>
  </si>
  <si>
    <t>おにがしま</t>
    <phoneticPr fontId="1"/>
  </si>
  <si>
    <t>鬼ヶ島</t>
    <phoneticPr fontId="1"/>
  </si>
  <si>
    <t>95943_0</t>
    <phoneticPr fontId="1"/>
  </si>
  <si>
    <t>タイプ神秘・知性派の防50％UP　/　タイプ【飲食】の防20％UP</t>
    <phoneticPr fontId="1"/>
  </si>
  <si>
    <t>金色の布団</t>
    <phoneticPr fontId="1"/>
  </si>
  <si>
    <t>かんざしくりきんとんちゃん</t>
    <phoneticPr fontId="1"/>
  </si>
  <si>
    <t>【かんざし】栗きんとんちゃん</t>
    <phoneticPr fontId="1"/>
  </si>
  <si>
    <t>タイプ神秘・知性派の防35％UP　/　タイプ【飲食】の防15％UP</t>
    <phoneticPr fontId="1"/>
  </si>
  <si>
    <t>サイコロ行脚5進化隊士 姿なき猛獣ガチャ</t>
    <rPh sb="4" eb="6">
      <t>アンギャ</t>
    </rPh>
    <rPh sb="7" eb="9">
      <t>シンカ</t>
    </rPh>
    <rPh sb="9" eb="11">
      <t>タイシ</t>
    </rPh>
    <phoneticPr fontId="1"/>
  </si>
  <si>
    <t>サイコロ行脚5進化隊士 甘露なる食卓ガチャ</t>
    <rPh sb="4" eb="6">
      <t>アンギャ</t>
    </rPh>
    <rPh sb="7" eb="9">
      <t>シンカ</t>
    </rPh>
    <rPh sb="9" eb="11">
      <t>タイシ</t>
    </rPh>
    <phoneticPr fontId="1"/>
  </si>
  <si>
    <t>2021新春福引ガチャ</t>
    <rPh sb="4" eb="6">
      <t>シンシュン</t>
    </rPh>
    <rPh sb="6" eb="8">
      <t>フクビキ</t>
    </rPh>
    <phoneticPr fontId="1"/>
  </si>
  <si>
    <t>01/15 15:00～01/16 23:59</t>
    <phoneticPr fontId="1"/>
  </si>
  <si>
    <t>【酒乱忘年会】林芙美子</t>
    <phoneticPr fontId="1"/>
  </si>
  <si>
    <t>2017/10四神戦</t>
    <rPh sb="7" eb="8">
      <t>ヨン</t>
    </rPh>
    <rPh sb="8" eb="9">
      <t>シン</t>
    </rPh>
    <rPh sb="9" eb="10">
      <t>セン</t>
    </rPh>
    <phoneticPr fontId="1"/>
  </si>
  <si>
    <t>サイコロ行脚 英雄ガチャ</t>
    <rPh sb="4" eb="6">
      <t>アンギャ</t>
    </rPh>
    <phoneticPr fontId="1"/>
  </si>
  <si>
    <t>2/16 15:00～2/16 23:59</t>
    <phoneticPr fontId="1"/>
  </si>
  <si>
    <t>2021恋の季節の福引ガチャ</t>
    <rPh sb="4" eb="5">
      <t>コイ</t>
    </rPh>
    <rPh sb="6" eb="8">
      <t>キセツ</t>
    </rPh>
    <rPh sb="9" eb="11">
      <t>フクビキ</t>
    </rPh>
    <phoneticPr fontId="1"/>
  </si>
  <si>
    <t>近代日本植物学の礎</t>
    <phoneticPr fontId="1"/>
  </si>
  <si>
    <t>みよしまなぶ</t>
    <phoneticPr fontId="1"/>
  </si>
  <si>
    <t>三好学</t>
    <phoneticPr fontId="1"/>
  </si>
  <si>
    <t>ギャンブルスターガチャ</t>
    <phoneticPr fontId="1"/>
  </si>
  <si>
    <t>(20連)1/16 20:00～1/24 23:59</t>
    <rPh sb="3" eb="4">
      <t>レン</t>
    </rPh>
    <phoneticPr fontId="1"/>
  </si>
  <si>
    <t>(10連)1/16 20:00～1/24 23:59</t>
    <rPh sb="3" eb="4">
      <t>レン</t>
    </rPh>
    <phoneticPr fontId="1"/>
  </si>
  <si>
    <t>1/16 15:00～1/16 23:59</t>
    <phoneticPr fontId="1"/>
  </si>
  <si>
    <t>ジャックポット</t>
    <phoneticPr fontId="1"/>
  </si>
  <si>
    <t>タイプ姫・伝承の攻55％UP　/　タイプ【武人】の攻20％UP</t>
    <phoneticPr fontId="1"/>
  </si>
  <si>
    <t>紳士的博徒</t>
    <phoneticPr fontId="1"/>
  </si>
  <si>
    <t>かじのばとる</t>
    <phoneticPr fontId="1"/>
  </si>
  <si>
    <t>カジノバトル</t>
    <phoneticPr fontId="1"/>
  </si>
  <si>
    <t>95293_0</t>
    <phoneticPr fontId="1"/>
  </si>
  <si>
    <t>1/17 12:00～1/18 11:59</t>
    <phoneticPr fontId="1"/>
  </si>
  <si>
    <t>【お弁当】猫狸</t>
    <phoneticPr fontId="1"/>
  </si>
  <si>
    <t>おべんとうねこだぬき</t>
    <phoneticPr fontId="1"/>
  </si>
  <si>
    <t>タイプ妖怪・名物の防100％DOWN　/　タイプ偉人・名物の攻20％UP</t>
    <phoneticPr fontId="1"/>
  </si>
  <si>
    <t>【肝試しホラー】浜姫</t>
    <phoneticPr fontId="1"/>
  </si>
  <si>
    <t>影を飲み込む白衣の美女</t>
    <phoneticPr fontId="1"/>
  </si>
  <si>
    <t>タイプ偉人・名物の攻100％DOWN　/　タイプ妖怪・名物の防15％UP</t>
    <phoneticPr fontId="1"/>
  </si>
  <si>
    <t>【獣水着】リンゴちゃん</t>
    <phoneticPr fontId="1"/>
  </si>
  <si>
    <t>けものみずぎりんごちゃん</t>
    <phoneticPr fontId="1"/>
  </si>
  <si>
    <t>蜜の入った赤い果実</t>
    <phoneticPr fontId="1"/>
  </si>
  <si>
    <t>タイプ神秘・知性派の攻30％UP　/　タイプ武人・姫の防20％DOWN</t>
    <phoneticPr fontId="1"/>
  </si>
  <si>
    <t>2/17 12:00～2/18 11:59</t>
    <phoneticPr fontId="1"/>
  </si>
  <si>
    <t>2/17 20:00～2/17 23:59</t>
    <phoneticPr fontId="1"/>
  </si>
  <si>
    <t>2/18 15:00～2/20 23:59</t>
    <phoneticPr fontId="1"/>
  </si>
  <si>
    <t>2/18 18:00～2/18 21:59</t>
    <phoneticPr fontId="1"/>
  </si>
  <si>
    <t>君臨する美貌の皇女</t>
    <phoneticPr fontId="1"/>
  </si>
  <si>
    <t>みずぎあいどるすいこてんのう</t>
    <phoneticPr fontId="1"/>
  </si>
  <si>
    <t>【水着アイドル】推古天皇</t>
    <phoneticPr fontId="1"/>
  </si>
  <si>
    <t>タイプ【武人】の防90％UP　/　タイプ【伝承】の防60％UP</t>
    <phoneticPr fontId="1"/>
  </si>
  <si>
    <t>麗しき庭園</t>
    <phoneticPr fontId="1"/>
  </si>
  <si>
    <t>ふらわーがーでんえるにあ</t>
    <phoneticPr fontId="1"/>
  </si>
  <si>
    <t>【フラワーガーデン】エルニア</t>
    <phoneticPr fontId="1"/>
  </si>
  <si>
    <t>タイプ神秘・知性派・飲食の攻45％UP　/　タイプ伝承・知性派・妖怪の防10％DOWN</t>
    <phoneticPr fontId="1"/>
  </si>
  <si>
    <t>要素の理解者</t>
    <phoneticPr fontId="1"/>
  </si>
  <si>
    <t>えれめんたるじょうが</t>
    <phoneticPr fontId="1"/>
  </si>
  <si>
    <t>【エレメンタル】ジョウガ</t>
    <phoneticPr fontId="1"/>
  </si>
  <si>
    <t>2020/06サイコロ</t>
    <phoneticPr fontId="1"/>
  </si>
  <si>
    <t>2020/04四神戦</t>
    <rPh sb="7" eb="8">
      <t>ヨン</t>
    </rPh>
    <rPh sb="8" eb="9">
      <t>シン</t>
    </rPh>
    <rPh sb="9" eb="10">
      <t>セン</t>
    </rPh>
    <phoneticPr fontId="1"/>
  </si>
  <si>
    <t>2020/08防衛戦</t>
    <phoneticPr fontId="1"/>
  </si>
  <si>
    <t>1/18 18:00～1/18 21:59</t>
    <phoneticPr fontId="1"/>
  </si>
  <si>
    <t>1/18 15:00～1/20 23:59</t>
    <phoneticPr fontId="1"/>
  </si>
  <si>
    <t>タイプ偉人・妖怪・名物の攻40％UP</t>
    <phoneticPr fontId="1"/>
  </si>
  <si>
    <t>呪術操る宇宙の侵略者</t>
    <phoneticPr fontId="1"/>
  </si>
  <si>
    <t>うちゅうせんそういぬがみ</t>
    <phoneticPr fontId="1"/>
  </si>
  <si>
    <t>【宇宙戦争】犬神</t>
    <phoneticPr fontId="1"/>
  </si>
  <si>
    <t>タイプ【武人】の攻85％UP　/　タイプ【伝承】の攻50％UP</t>
    <phoneticPr fontId="1"/>
  </si>
  <si>
    <t>クリスタライズレイ</t>
    <phoneticPr fontId="1"/>
  </si>
  <si>
    <t>どらごんていまーくりすたるないと</t>
    <phoneticPr fontId="1"/>
  </si>
  <si>
    <t>【ドラゴンテイマー】クリスタルナイト</t>
    <phoneticPr fontId="1"/>
  </si>
  <si>
    <t>親交深めるタコパ外交</t>
    <phoneticPr fontId="1"/>
  </si>
  <si>
    <t>たこぱやまねとしこ</t>
    <phoneticPr fontId="1"/>
  </si>
  <si>
    <t>【タコパ】山根敏子</t>
    <phoneticPr fontId="1"/>
  </si>
  <si>
    <t>2020/05防衛戦</t>
    <phoneticPr fontId="1"/>
  </si>
  <si>
    <t>2020/02サイコロ</t>
    <phoneticPr fontId="1"/>
  </si>
  <si>
    <t>2020/02全国巡り</t>
    <rPh sb="7" eb="9">
      <t>ゼンコク</t>
    </rPh>
    <rPh sb="9" eb="10">
      <t>メグ</t>
    </rPh>
    <phoneticPr fontId="1"/>
  </si>
  <si>
    <t>四神戦 見習い魔女の空飛ぶ箒ガチャ</t>
    <rPh sb="0" eb="1">
      <t>ヨン</t>
    </rPh>
    <rPh sb="1" eb="2">
      <t>シン</t>
    </rPh>
    <rPh sb="2" eb="3">
      <t>セン</t>
    </rPh>
    <phoneticPr fontId="1"/>
  </si>
  <si>
    <t>タイプ神秘・知性派・飲食の防45％UP　/　タイプ飲食・武人・姫の攻10％DOWN</t>
    <phoneticPr fontId="1"/>
  </si>
  <si>
    <t>空駆ける見習い魔女</t>
    <phoneticPr fontId="1"/>
  </si>
  <si>
    <t>まじょのでしえりとー</t>
    <phoneticPr fontId="1"/>
  </si>
  <si>
    <t>魔女の弟子エリトー</t>
    <phoneticPr fontId="1"/>
  </si>
  <si>
    <t>人語を操る怪岩の声</t>
    <phoneticPr fontId="1"/>
  </si>
  <si>
    <t>しんせいやまびこ</t>
    <phoneticPr fontId="1"/>
  </si>
  <si>
    <t>[新生]山びこ</t>
    <phoneticPr fontId="1"/>
  </si>
  <si>
    <t>凶器片手に荒ぶる神</t>
    <phoneticPr fontId="1"/>
  </si>
  <si>
    <t>しんせいもんすたーへびがみ</t>
    <phoneticPr fontId="1"/>
  </si>
  <si>
    <t>[新生]【MONSTER】ヘビガミ</t>
    <phoneticPr fontId="1"/>
  </si>
  <si>
    <t>ざわめく森の誘い</t>
    <phoneticPr fontId="1"/>
  </si>
  <si>
    <t>しんせいまかいえぞしかちゃん</t>
    <phoneticPr fontId="1"/>
  </si>
  <si>
    <t>[新生]【魔界】エゾシカちゃん</t>
    <phoneticPr fontId="1"/>
  </si>
  <si>
    <t>空高くまたがるエンジン</t>
    <phoneticPr fontId="1"/>
  </si>
  <si>
    <t>しんせいもんすたーあまみのくろうさぎちゃん</t>
    <phoneticPr fontId="1"/>
  </si>
  <si>
    <t>[新生]【MONSTER】アマミノクロウサギちゃん</t>
    <phoneticPr fontId="1"/>
  </si>
  <si>
    <t>湧き出る悪巧みの源泉</t>
    <phoneticPr fontId="1"/>
  </si>
  <si>
    <t>せつぶんはこねおんせんちゃん</t>
    <phoneticPr fontId="1"/>
  </si>
  <si>
    <t>【節分】箱根温泉ちゃん</t>
    <phoneticPr fontId="1"/>
  </si>
  <si>
    <t>タイプ神秘・知性派の防30％UP　/　タイプ【飲食】の防45％UP</t>
    <phoneticPr fontId="1"/>
  </si>
  <si>
    <t>桜護・秘桜閃光</t>
    <phoneticPr fontId="1"/>
  </si>
  <si>
    <t>とうぎじょうぶろっさむないと</t>
    <phoneticPr fontId="1"/>
  </si>
  <si>
    <t>【闘技場】ブロッサムナイト</t>
    <phoneticPr fontId="1"/>
  </si>
  <si>
    <t>餅を搗くこと火の如し</t>
    <phoneticPr fontId="1"/>
  </si>
  <si>
    <t>もちつきたけだしんげん</t>
    <phoneticPr fontId="1"/>
  </si>
  <si>
    <t>【餅つき】武田信玄</t>
    <phoneticPr fontId="1"/>
  </si>
  <si>
    <t>災厄より生まれし神</t>
    <phoneticPr fontId="1"/>
  </si>
  <si>
    <t>しんせいまがつひのかみ</t>
    <phoneticPr fontId="1"/>
  </si>
  <si>
    <t>[新生]マガツヒノカミ</t>
    <phoneticPr fontId="1"/>
  </si>
  <si>
    <t>しんせいかーにばるおつきさまにいったうさぎ</t>
    <phoneticPr fontId="1"/>
  </si>
  <si>
    <t>[新生]【カーニバル】お月様に行ったうさぎ</t>
    <phoneticPr fontId="1"/>
  </si>
  <si>
    <t>菱湖流千字文</t>
    <phoneticPr fontId="1"/>
  </si>
  <si>
    <t>しんせいまきりょうこ</t>
    <phoneticPr fontId="1"/>
  </si>
  <si>
    <t>[新生]巻菱湖</t>
    <phoneticPr fontId="1"/>
  </si>
  <si>
    <t>2020/02防衛戦</t>
    <phoneticPr fontId="1"/>
  </si>
  <si>
    <t>2020/02四神戦</t>
    <rPh sb="7" eb="8">
      <t>ヨン</t>
    </rPh>
    <rPh sb="8" eb="9">
      <t>シン</t>
    </rPh>
    <rPh sb="9" eb="10">
      <t>セン</t>
    </rPh>
    <phoneticPr fontId="1"/>
  </si>
  <si>
    <t>2020/01四神戦</t>
    <rPh sb="7" eb="8">
      <t>ヨン</t>
    </rPh>
    <rPh sb="8" eb="9">
      <t>シン</t>
    </rPh>
    <rPh sb="9" eb="10">
      <t>セン</t>
    </rPh>
    <phoneticPr fontId="1"/>
  </si>
  <si>
    <t>12/19 12:00～12/21 23:59</t>
    <phoneticPr fontId="1"/>
  </si>
  <si>
    <t>タイプ神秘・知性派・飲食の攻45％UP　/　タイプ神秘・飲食・名物の防10％DOWN</t>
    <phoneticPr fontId="1"/>
  </si>
  <si>
    <t>しんせいゆうえんちらぐーざたま</t>
    <phoneticPr fontId="1"/>
  </si>
  <si>
    <t>[新生]【遊園地】ラグーザ玉</t>
    <phoneticPr fontId="1"/>
  </si>
  <si>
    <t>雪国ならではの闘い</t>
    <phoneticPr fontId="1"/>
  </si>
  <si>
    <t>しんせいゆきがっせん</t>
    <phoneticPr fontId="1"/>
  </si>
  <si>
    <t>[新生]雪合戦</t>
    <phoneticPr fontId="1"/>
  </si>
  <si>
    <t>忘れぬ恩義</t>
    <phoneticPr fontId="1"/>
  </si>
  <si>
    <t>しんせいつるのおんがえし</t>
    <phoneticPr fontId="1"/>
  </si>
  <si>
    <t>[新生]鶴の恩返し</t>
    <phoneticPr fontId="1"/>
  </si>
  <si>
    <t>眩き幻想の氷霧</t>
    <phoneticPr fontId="1"/>
  </si>
  <si>
    <t>しんせいだいやもんどだすと</t>
    <phoneticPr fontId="1"/>
  </si>
  <si>
    <t>[新生]ダイヤモンドダスト</t>
    <phoneticPr fontId="1"/>
  </si>
  <si>
    <t>(20連)12/19 18:00～12/21 23:59</t>
    <rPh sb="3" eb="4">
      <t>レン</t>
    </rPh>
    <phoneticPr fontId="1"/>
  </si>
  <si>
    <t>(20連)2/19 15:00～2/22 23:59</t>
    <rPh sb="3" eb="4">
      <t>レン</t>
    </rPh>
    <phoneticPr fontId="1"/>
  </si>
  <si>
    <t>2/19 18:00～2/26 23:59</t>
    <phoneticPr fontId="1"/>
  </si>
  <si>
    <t>[新生]池上秀畝</t>
    <phoneticPr fontId="1"/>
  </si>
  <si>
    <t>(20連)1/19 18:00～1/21 23:59</t>
    <rPh sb="3" eb="4">
      <t>レン</t>
    </rPh>
    <phoneticPr fontId="1"/>
  </si>
  <si>
    <t>1/20 15:00～1/20 23:59</t>
    <phoneticPr fontId="1"/>
  </si>
  <si>
    <t>2/20 12:00～2/21 11:59</t>
    <phoneticPr fontId="1"/>
  </si>
  <si>
    <t>2/20 15:00～2/20 23:59</t>
    <phoneticPr fontId="1"/>
  </si>
  <si>
    <t>8周年記念不良遊戯ガチャ</t>
    <phoneticPr fontId="1"/>
  </si>
  <si>
    <t>(10連)1/21 12:00～1/28 23:59</t>
    <rPh sb="3" eb="4">
      <t>レン</t>
    </rPh>
    <phoneticPr fontId="1"/>
  </si>
  <si>
    <t>1/21 18:00～1/23 23:59</t>
    <phoneticPr fontId="1"/>
  </si>
  <si>
    <t>(1日1回限定10連)1/21 12:00～1/28 23:59</t>
    <rPh sb="2" eb="3">
      <t>ニチ</t>
    </rPh>
    <rPh sb="4" eb="5">
      <t>カイ</t>
    </rPh>
    <rPh sb="5" eb="7">
      <t>ゲンテイ</t>
    </rPh>
    <rPh sb="9" eb="10">
      <t>レン</t>
    </rPh>
    <phoneticPr fontId="1"/>
  </si>
  <si>
    <t>タイプ伝承・武人・姫の攻30％UP　/　所属が【北海道・東北】とそれに属する県、および【全国】【東日本】の攻30％UP</t>
    <phoneticPr fontId="1"/>
  </si>
  <si>
    <t>シンプルイズベスト</t>
    <phoneticPr fontId="1"/>
  </si>
  <si>
    <t>いせのけいすけ</t>
    <phoneticPr fontId="1"/>
  </si>
  <si>
    <t>伊勢野圭佑</t>
    <phoneticPr fontId="1"/>
  </si>
  <si>
    <t>タイプ神秘・知性派・飲食の攻30％UP　/　所属が【関東】とそれに属する県、および【全国】【東日本】の攻30％UP</t>
    <phoneticPr fontId="1"/>
  </si>
  <si>
    <t>過去の純白</t>
    <phoneticPr fontId="1"/>
  </si>
  <si>
    <t>こうやみ</t>
    <phoneticPr fontId="1"/>
  </si>
  <si>
    <t>【幸】夜見</t>
    <phoneticPr fontId="1"/>
  </si>
  <si>
    <t>タイプ伝承・武人・姫の攻30％UP　/　所属が【中部】とそれに属する県、および【全国】【東日本】の攻30％UP</t>
    <phoneticPr fontId="1"/>
  </si>
  <si>
    <t>神域の楯</t>
    <phoneticPr fontId="1"/>
  </si>
  <si>
    <t>こうじゅんしんがえかすか</t>
    <phoneticPr fontId="1"/>
  </si>
  <si>
    <t>【紅楯】新ヶ江幽</t>
    <phoneticPr fontId="1"/>
  </si>
  <si>
    <t>タイプ伝承・武人・姫の攻30％UP　/　所属が【近畿】とそれに属する県、および【全国】【西日本】の攻30％UP</t>
    <phoneticPr fontId="1"/>
  </si>
  <si>
    <t>懺悔室行きやでー！</t>
    <phoneticPr fontId="1"/>
  </si>
  <si>
    <t>みなせまおり</t>
    <phoneticPr fontId="1"/>
  </si>
  <si>
    <t>皆瀬真織</t>
    <phoneticPr fontId="1"/>
  </si>
  <si>
    <t>タイプ神秘・知性派・飲食の攻30％UP　/　所属が【中国・四国】とそれに属する県、および【全国】【西日本】の攻30％UP</t>
    <phoneticPr fontId="1"/>
  </si>
  <si>
    <t>追憶のメレク</t>
    <phoneticPr fontId="1"/>
  </si>
  <si>
    <t>しんうすばべるんしゅたいん</t>
    <phoneticPr fontId="1"/>
  </si>
  <si>
    <t>【真】薄羽ベルンシュタイン</t>
    <phoneticPr fontId="1"/>
  </si>
  <si>
    <t>タイプ伝承・武人・姫の攻30％UP　/　所属が【九州・沖縄】とそれに属する県、および【全国】【西日本】の攻30％UP</t>
    <phoneticPr fontId="1"/>
  </si>
  <si>
    <t>熱烈イクスフィスト</t>
    <phoneticPr fontId="1"/>
  </si>
  <si>
    <t>しどらごん</t>
    <phoneticPr fontId="1"/>
  </si>
  <si>
    <t>【熾】ドラゴン</t>
    <phoneticPr fontId="1"/>
  </si>
  <si>
    <t>(10連)1/22 15:00～1/24 23:59</t>
    <rPh sb="3" eb="4">
      <t>レン</t>
    </rPh>
    <phoneticPr fontId="1"/>
  </si>
  <si>
    <t>タイプ神秘・知性派の防20％UP　/　タイプ神秘・武人・名物の攻55％DOWN</t>
    <phoneticPr fontId="1"/>
  </si>
  <si>
    <t>凛とした果実</t>
    <phoneticPr fontId="1"/>
  </si>
  <si>
    <t>てんくろふるーつぱらだいす</t>
    <phoneticPr fontId="1"/>
  </si>
  <si>
    <t>天クロフルーツパラダイス</t>
    <phoneticPr fontId="1"/>
  </si>
  <si>
    <t>95473_0</t>
    <phoneticPr fontId="1"/>
  </si>
  <si>
    <t>天クロ名犬大集合</t>
    <phoneticPr fontId="1"/>
  </si>
  <si>
    <t>天クロオーケストラ</t>
    <phoneticPr fontId="1"/>
  </si>
  <si>
    <t>(10連)12/22 15:00～12/24 23:59</t>
    <rPh sb="3" eb="4">
      <t>レン</t>
    </rPh>
    <phoneticPr fontId="1"/>
  </si>
  <si>
    <t>タイプ偉人・名物の攻20％UP　/　タイプ伝承・妖怪・飲食の防50％DOWN</t>
    <phoneticPr fontId="1"/>
  </si>
  <si>
    <t>集った冷たき旋律</t>
    <phoneticPr fontId="1"/>
  </si>
  <si>
    <t>てんくろおーけすとら</t>
    <phoneticPr fontId="1"/>
  </si>
  <si>
    <t>94753_0</t>
    <phoneticPr fontId="1"/>
  </si>
  <si>
    <t>慈愛の光</t>
    <phoneticPr fontId="1"/>
  </si>
  <si>
    <t>てんしとあくまだいてんしあーるまてぃ</t>
    <phoneticPr fontId="1"/>
  </si>
  <si>
    <t>【天使と悪魔】大天使アールマティ</t>
    <phoneticPr fontId="1"/>
  </si>
  <si>
    <t>山頂の天女</t>
    <phoneticPr fontId="1"/>
  </si>
  <si>
    <t>てんしとあくままそ</t>
    <phoneticPr fontId="1"/>
  </si>
  <si>
    <t>【天使と悪魔】マソ</t>
    <phoneticPr fontId="1"/>
  </si>
  <si>
    <t>タイプ伝承・武人・姫の攻70％DOWN　/　タイプ知性派・飲食の防20％UP</t>
    <phoneticPr fontId="1"/>
  </si>
  <si>
    <t>タイプ伝承・武人・姫の攻60％DOWN　/　タイプ知性派・飲食の防15％UP</t>
    <phoneticPr fontId="1"/>
  </si>
  <si>
    <t>12/21 15:00～12/23 23:59</t>
    <phoneticPr fontId="1"/>
  </si>
  <si>
    <t>甘味への渇望</t>
    <phoneticPr fontId="1"/>
  </si>
  <si>
    <t>てんしとあくまみっくれいな</t>
    <phoneticPr fontId="1"/>
  </si>
  <si>
    <t>【天使と悪魔】ミックレイナ</t>
    <phoneticPr fontId="1"/>
  </si>
  <si>
    <t>生命の灯火</t>
    <phoneticPr fontId="1"/>
  </si>
  <si>
    <t>てんしとあくまあずらいーる</t>
    <phoneticPr fontId="1"/>
  </si>
  <si>
    <t>【天使と悪魔】アズライール</t>
    <phoneticPr fontId="1"/>
  </si>
  <si>
    <t>タイプ偉人・名物の攻15％UP　/　タイプ【妖怪】の攻10％UP</t>
    <phoneticPr fontId="1"/>
  </si>
  <si>
    <t>聖なる灯火狙う女忍者</t>
    <phoneticPr fontId="1"/>
  </si>
  <si>
    <t>せいかそうだつせんはつめのつぼね</t>
    <phoneticPr fontId="1"/>
  </si>
  <si>
    <t>【聖火争奪戦】初芽局</t>
    <phoneticPr fontId="1"/>
  </si>
  <si>
    <t>タイプ偉人・妖怪の攻25％UP　/　タイプ【名物】の攻10％UP</t>
    <phoneticPr fontId="1"/>
  </si>
  <si>
    <t>純白の白衣</t>
    <phoneticPr fontId="1"/>
  </si>
  <si>
    <t>ねんまつけんこうしんだんじーんずちゃん</t>
    <phoneticPr fontId="1"/>
  </si>
  <si>
    <t>【年末健康診断】ジーンズちゃん</t>
    <phoneticPr fontId="1"/>
  </si>
  <si>
    <t>お祭り男</t>
    <phoneticPr fontId="1"/>
  </si>
  <si>
    <t>だんじりごとうしんぺい</t>
    <phoneticPr fontId="1"/>
  </si>
  <si>
    <t>【だんじり】後藤新平</t>
    <phoneticPr fontId="1"/>
  </si>
  <si>
    <t>2020/03防衛戦</t>
    <phoneticPr fontId="1"/>
  </si>
  <si>
    <t>2019/09サイコロ</t>
    <phoneticPr fontId="1"/>
  </si>
  <si>
    <t>(10連)11/22 15:00～11/24 23:59</t>
    <rPh sb="3" eb="4">
      <t>レン</t>
    </rPh>
    <phoneticPr fontId="1"/>
  </si>
  <si>
    <t>タイプ知性派・飲食の防20％UP　/　タイプ姫・名物・知性派の攻50％DOWN</t>
    <phoneticPr fontId="1"/>
  </si>
  <si>
    <t>嫉妬の遠吠え</t>
    <phoneticPr fontId="1"/>
  </si>
  <si>
    <t>てんくろめいけんだいしゅうごう</t>
    <phoneticPr fontId="1"/>
  </si>
  <si>
    <t>94133_0</t>
    <phoneticPr fontId="1"/>
  </si>
  <si>
    <t>大輪乾坤圏</t>
    <phoneticPr fontId="1"/>
  </si>
  <si>
    <t>なたく</t>
    <phoneticPr fontId="1"/>
  </si>
  <si>
    <t>ナタク</t>
    <phoneticPr fontId="1"/>
  </si>
  <si>
    <t>タイプ伝承・武人・姫の防35％UP　/　タイプ飲食・武人・名物の攻10％DOWN</t>
    <phoneticPr fontId="1"/>
  </si>
  <si>
    <t>タイプ伝承・武人・姫の防25％UP　/　タイプ飲食・武人・名物の攻10％DOWN</t>
    <phoneticPr fontId="1"/>
  </si>
  <si>
    <t>無限の月夜</t>
    <phoneticPr fontId="1"/>
  </si>
  <si>
    <t>ふぁんたずむ</t>
    <phoneticPr fontId="1"/>
  </si>
  <si>
    <t>ファンタズム</t>
    <phoneticPr fontId="1"/>
  </si>
  <si>
    <t>タイプ【武人】の防50％UP　/　タイプ姫・伝承の防25％UP</t>
    <phoneticPr fontId="1"/>
  </si>
  <si>
    <t>92863_0</t>
    <phoneticPr fontId="1"/>
  </si>
  <si>
    <t>11/21 15:00～11/23 23:59</t>
    <phoneticPr fontId="1"/>
  </si>
  <si>
    <t>癒えぬ渇き</t>
    <phoneticPr fontId="1"/>
  </si>
  <si>
    <t>かんびらーみあ</t>
    <phoneticPr fontId="1"/>
  </si>
  <si>
    <t>【甘美】ラーミア</t>
    <phoneticPr fontId="1"/>
  </si>
  <si>
    <t>死霊の叫び</t>
    <phoneticPr fontId="1"/>
  </si>
  <si>
    <t>しりょうたんていざらっく</t>
    <phoneticPr fontId="1"/>
  </si>
  <si>
    <t>死霊探偵ザラック</t>
    <phoneticPr fontId="1"/>
  </si>
  <si>
    <t>鬼の宿る羽子板</t>
    <phoneticPr fontId="1"/>
  </si>
  <si>
    <t>はごいたたいせんおぎのぎんこ</t>
    <phoneticPr fontId="1"/>
  </si>
  <si>
    <t>【羽子板大戦】荻野吟子</t>
    <phoneticPr fontId="1"/>
  </si>
  <si>
    <t>タイプ伝承・武人・姫の防45％UP</t>
    <phoneticPr fontId="1"/>
  </si>
  <si>
    <t>最古の写真集</t>
    <phoneticPr fontId="1"/>
  </si>
  <si>
    <t>きもののひちょうじゅうぎが</t>
    <phoneticPr fontId="1"/>
  </si>
  <si>
    <t>【着物の日】鳥獣戯画</t>
    <phoneticPr fontId="1"/>
  </si>
  <si>
    <t>幸せな年越し</t>
    <phoneticPr fontId="1"/>
  </si>
  <si>
    <t>としこししょうじょう</t>
    <phoneticPr fontId="1"/>
  </si>
  <si>
    <t>【年越し】猩々</t>
    <phoneticPr fontId="1"/>
  </si>
  <si>
    <t>十五夜のしつらい</t>
    <phoneticPr fontId="1"/>
  </si>
  <si>
    <t>しんせいすすきちゃん</t>
    <phoneticPr fontId="1"/>
  </si>
  <si>
    <t>[新生]すすきちゃん</t>
    <phoneticPr fontId="1"/>
  </si>
  <si>
    <t>沖縄育ちの支那すば</t>
    <phoneticPr fontId="1"/>
  </si>
  <si>
    <t>しんせいおきなわそばちゃん</t>
    <phoneticPr fontId="1"/>
  </si>
  <si>
    <t>[新生]沖縄そばちゃん</t>
    <phoneticPr fontId="1"/>
  </si>
  <si>
    <t>タイプ【伝承】の防35％UP　/　タイプ武人・姫の防25％UP</t>
    <phoneticPr fontId="1"/>
  </si>
  <si>
    <t>恐れぬ決死の娘子隊</t>
    <phoneticPr fontId="1"/>
  </si>
  <si>
    <t>しんせいおにきりしゅうなかのたけこ</t>
    <phoneticPr fontId="1"/>
  </si>
  <si>
    <t>[新生]【鬼切衆】中野竹子</t>
    <phoneticPr fontId="1"/>
  </si>
  <si>
    <t>2019/11サイコロ</t>
    <phoneticPr fontId="1"/>
  </si>
  <si>
    <t>2019/09防衛戦</t>
    <phoneticPr fontId="1"/>
  </si>
  <si>
    <t>(20連)2/21 15:00～2/25 23:59</t>
    <rPh sb="3" eb="4">
      <t>レン</t>
    </rPh>
    <phoneticPr fontId="1"/>
  </si>
  <si>
    <t>タイプ伝承・武人・姫の攻45％UP　/　タイプ名物・偉人・武人の防10％DOWN</t>
    <phoneticPr fontId="1"/>
  </si>
  <si>
    <t>恋人の導き</t>
    <phoneticPr fontId="1"/>
  </si>
  <si>
    <t>うんめいざ・らばーず</t>
    <phoneticPr fontId="1"/>
  </si>
  <si>
    <t>【運命】ザ・ラバーズ</t>
    <phoneticPr fontId="1"/>
  </si>
  <si>
    <t>タイプ伝承・武人・姫の攻35％UP　/　タイプ名物・武人の防10％DOWN</t>
    <phoneticPr fontId="1"/>
  </si>
  <si>
    <t>タイプ伝承・武人・姫の攻25％UP　/　タイプ名物・武人の防10％DOWN</t>
    <phoneticPr fontId="1"/>
  </si>
  <si>
    <t>隠者の導き</t>
    <phoneticPr fontId="1"/>
  </si>
  <si>
    <t>うんめいざ・はーみっと</t>
    <phoneticPr fontId="1"/>
  </si>
  <si>
    <t>【運命】ザ・ハーミット</t>
    <phoneticPr fontId="1"/>
  </si>
  <si>
    <t>タイプ【飲食】の攻50％UP　/　タイプ神秘・知性派の攻25％UP</t>
    <phoneticPr fontId="1"/>
  </si>
  <si>
    <t>2/22 12:00～2/25 11:59</t>
    <phoneticPr fontId="1"/>
  </si>
  <si>
    <t>(10連)2/22 15:00～2/24 23:59</t>
    <rPh sb="3" eb="4">
      <t>レン</t>
    </rPh>
    <phoneticPr fontId="1"/>
  </si>
  <si>
    <t>タイプ武人・伝承の攻20％UP　/　タイプ神秘・武人・妖怪の防55％DOWN</t>
    <phoneticPr fontId="1"/>
  </si>
  <si>
    <t>氷点下の雫</t>
    <phoneticPr fontId="1"/>
  </si>
  <si>
    <t>てんくろこおりまつり</t>
    <phoneticPr fontId="1"/>
  </si>
  <si>
    <t>96123_0</t>
    <phoneticPr fontId="1"/>
  </si>
  <si>
    <t>天クロ氷まつり</t>
    <phoneticPr fontId="1"/>
  </si>
  <si>
    <t>タイプ飲食・武人・名物の攻85％DOWN　/　タイプ妖怪・名物の防30％UP</t>
    <phoneticPr fontId="1"/>
  </si>
  <si>
    <t>女帝の導き</t>
    <phoneticPr fontId="1"/>
  </si>
  <si>
    <t>うんめいざ・えんぷれす</t>
    <phoneticPr fontId="1"/>
  </si>
  <si>
    <t>【運命】ザ・エンプレス</t>
    <phoneticPr fontId="1"/>
  </si>
  <si>
    <t>タイプ飲食・武人・名物の攻70％DOWN　/　タイプ妖怪・名物の防20％UP</t>
    <phoneticPr fontId="1"/>
  </si>
  <si>
    <t>タイプ飲食・武人・名物の攻60％DOWN　/　タイプ妖怪・名物の防15％UP</t>
    <phoneticPr fontId="1"/>
  </si>
  <si>
    <t>正義の導き</t>
    <phoneticPr fontId="1"/>
  </si>
  <si>
    <t>うんめいざ・じゃすてぃす</t>
    <phoneticPr fontId="1"/>
  </si>
  <si>
    <t>【運命】ザ・ジャスティス</t>
    <phoneticPr fontId="1"/>
  </si>
  <si>
    <t>タイプ姫・伝承の防20％UP　/　タイプ【武人】の防10％UP</t>
    <phoneticPr fontId="1"/>
  </si>
  <si>
    <t>タイプ姫・伝承の防15％UP　/　タイプ【武人】の防10％UP</t>
    <phoneticPr fontId="1"/>
  </si>
  <si>
    <t>12/20 12:00～12/21 11:59</t>
    <phoneticPr fontId="1"/>
  </si>
  <si>
    <t>12/20 15:00～12/20 23:59</t>
    <phoneticPr fontId="1"/>
  </si>
  <si>
    <t>11/23 12:00～11/24 11:59</t>
    <phoneticPr fontId="1"/>
  </si>
  <si>
    <t>11/23 20:00～11/23 23:59</t>
    <phoneticPr fontId="1"/>
  </si>
  <si>
    <t>11/24 11:00～11/24 23:59</t>
    <phoneticPr fontId="1"/>
  </si>
  <si>
    <t>11/24 18:00～11/24 21:59</t>
    <phoneticPr fontId="1"/>
  </si>
  <si>
    <t>丙午生まれの菩薩か夜叉か</t>
    <phoneticPr fontId="1"/>
  </si>
  <si>
    <t>しんせいひのえんま</t>
    <phoneticPr fontId="1"/>
  </si>
  <si>
    <t>[新生]飛縁魔</t>
    <phoneticPr fontId="1"/>
  </si>
  <si>
    <t>11/28 11:00～11/28 23:59</t>
    <phoneticPr fontId="1"/>
  </si>
  <si>
    <t>(20連)11/28 15:00～11/30 23:59</t>
    <rPh sb="3" eb="4">
      <t>レン</t>
    </rPh>
    <phoneticPr fontId="1"/>
  </si>
  <si>
    <t>11/30 18:00～11/30 21:59</t>
    <phoneticPr fontId="1"/>
  </si>
  <si>
    <t>ヴェルザンディ</t>
    <phoneticPr fontId="1"/>
  </si>
  <si>
    <t>防衛戦5進化隊士 潜伏サンタ水軍ガチャ</t>
    <rPh sb="0" eb="3">
      <t>ボウエイセン</t>
    </rPh>
    <phoneticPr fontId="1"/>
  </si>
  <si>
    <t>タイプ姫・伝承の攻45％UP　/　タイプ【武人】の攻30％UP</t>
    <phoneticPr fontId="1"/>
  </si>
  <si>
    <t>海賊VSギャングの聖なる戦い</t>
    <phoneticPr fontId="1"/>
  </si>
  <si>
    <t>さんたぶたいむらかみすいぐん</t>
    <phoneticPr fontId="1"/>
  </si>
  <si>
    <t>【サンタ部隊】村上水軍</t>
    <phoneticPr fontId="1"/>
  </si>
  <si>
    <t>タイプ姫・伝承の攻15％UP　/　タイプ【武人】の攻20％UP</t>
    <phoneticPr fontId="1"/>
  </si>
  <si>
    <t>12/23 12:00～12/24 11:59</t>
    <phoneticPr fontId="1"/>
  </si>
  <si>
    <t>12/23 20:00～12/23 23:59</t>
    <phoneticPr fontId="1"/>
  </si>
  <si>
    <t>1/23 12:00～1/24 11:59</t>
    <phoneticPr fontId="1"/>
  </si>
  <si>
    <t>1/23 20:00～1/23 23:59</t>
    <phoneticPr fontId="1"/>
  </si>
  <si>
    <t>2/23 12:00～2/24 11:59</t>
    <phoneticPr fontId="1"/>
  </si>
  <si>
    <t>2/23 20:00～2/23 23:59</t>
    <phoneticPr fontId="1"/>
  </si>
  <si>
    <t>[新生]【おばけ屋敷】サクランボちゃん</t>
    <phoneticPr fontId="1"/>
  </si>
  <si>
    <t>悪戯好きな双子お化け</t>
    <phoneticPr fontId="1"/>
  </si>
  <si>
    <t>1/24 18:00～1/24 21:59</t>
    <phoneticPr fontId="1"/>
  </si>
  <si>
    <t>四神戦5進化隊士 からくり女神ガチャ</t>
    <rPh sb="0" eb="1">
      <t>ヨン</t>
    </rPh>
    <rPh sb="1" eb="2">
      <t>シン</t>
    </rPh>
    <rPh sb="2" eb="3">
      <t>セン</t>
    </rPh>
    <rPh sb="4" eb="6">
      <t>シンカ</t>
    </rPh>
    <rPh sb="6" eb="8">
      <t>タイシ</t>
    </rPh>
    <phoneticPr fontId="1"/>
  </si>
  <si>
    <t>12/9 15:00～12/9 23:59</t>
    <phoneticPr fontId="1"/>
  </si>
  <si>
    <t>壊れぬ歯車</t>
    <phoneticPr fontId="1"/>
  </si>
  <si>
    <t>きかいめがみえんごっと</t>
    <phoneticPr fontId="1"/>
  </si>
  <si>
    <t>機械女神エンゴット</t>
    <phoneticPr fontId="1"/>
  </si>
  <si>
    <t>タイプ【飲食】の防50％UP　/　タイプ【知性派】の防20％UP</t>
    <phoneticPr fontId="1"/>
  </si>
  <si>
    <t>2017/06防衛戦</t>
    <rPh sb="7" eb="10">
      <t>ボウエイセン</t>
    </rPh>
    <phoneticPr fontId="1"/>
  </si>
  <si>
    <t>2018/11同盟戦</t>
    <rPh sb="7" eb="9">
      <t>ドウメイ</t>
    </rPh>
    <rPh sb="9" eb="10">
      <t>セン</t>
    </rPh>
    <phoneticPr fontId="1"/>
  </si>
  <si>
    <t>【七福神】オロチの武者</t>
    <phoneticPr fontId="1"/>
  </si>
  <si>
    <t>サイコロ行脚5進化隊士 お手紙届けるトナカイガチャ</t>
    <rPh sb="4" eb="6">
      <t>アンギャ</t>
    </rPh>
    <rPh sb="7" eb="9">
      <t>シンカ</t>
    </rPh>
    <rPh sb="9" eb="11">
      <t>タイシ</t>
    </rPh>
    <phoneticPr fontId="1"/>
  </si>
  <si>
    <t>タイプ偉人・妖怪・名物の攻40％UP　/　タイプ伝承・偉人・神秘の防10％DOWN</t>
    <phoneticPr fontId="1"/>
  </si>
  <si>
    <t>小さな配達員</t>
    <phoneticPr fontId="1"/>
  </si>
  <si>
    <t>ふゆのおとずれふぁぬっか</t>
    <phoneticPr fontId="1"/>
  </si>
  <si>
    <t>【冬の訪れ】ファヌッカ</t>
    <phoneticPr fontId="1"/>
  </si>
  <si>
    <t>タイプ偉人・妖怪・名物の攻25％UP　/　タイプ伝承・偉人・神秘の防10％DOWN</t>
    <phoneticPr fontId="1"/>
  </si>
  <si>
    <t>タイプ偉人・妖怪・名物の攻15％UP　/　タイプ伝承・偉人・神秘の防10％DOWN</t>
    <phoneticPr fontId="1"/>
  </si>
  <si>
    <t>2020天クロ星降る聖夜の福引ガチャ</t>
    <rPh sb="4" eb="5">
      <t>テン</t>
    </rPh>
    <rPh sb="7" eb="8">
      <t>ホシ</t>
    </rPh>
    <rPh sb="8" eb="9">
      <t>フ</t>
    </rPh>
    <rPh sb="10" eb="12">
      <t>セイヤ</t>
    </rPh>
    <rPh sb="13" eb="15">
      <t>フクビキ</t>
    </rPh>
    <phoneticPr fontId="1"/>
  </si>
  <si>
    <t>2020総選挙記念ガチャ</t>
    <phoneticPr fontId="1"/>
  </si>
  <si>
    <t>(20連)12/15 18:00～12/24 23:59</t>
    <phoneticPr fontId="1"/>
  </si>
  <si>
    <t>(無料10連)12/15 18:00～12/24 23:59</t>
    <phoneticPr fontId="1"/>
  </si>
  <si>
    <t>(1日3回限定10連)12/15 18:00～12/24 23:59</t>
    <rPh sb="9" eb="10">
      <t>レン</t>
    </rPh>
    <phoneticPr fontId="1"/>
  </si>
  <si>
    <t>全タイプの攻40％UP　/　全タイプの防25％DOWN</t>
    <phoneticPr fontId="1"/>
  </si>
  <si>
    <t>喜びの舞</t>
    <phoneticPr fontId="1"/>
  </si>
  <si>
    <t>敵全体の戦技ゲージを吸収して攻・防40％UP</t>
    <phoneticPr fontId="1"/>
  </si>
  <si>
    <t>薩摩おごじょの波乱の一生</t>
    <phoneticPr fontId="1"/>
  </si>
  <si>
    <t>そうせんきょてんしょういんあつひめ</t>
    <phoneticPr fontId="1"/>
  </si>
  <si>
    <t>【総選挙】天璋院篤姫</t>
    <phoneticPr fontId="1"/>
  </si>
  <si>
    <t>レストレクシオン</t>
    <phoneticPr fontId="1"/>
  </si>
  <si>
    <t>ふゆのおとずれけいとつかいゆむ</t>
    <phoneticPr fontId="1"/>
  </si>
  <si>
    <t>【冬の訪れ】毛糸使いユム</t>
    <phoneticPr fontId="1"/>
  </si>
  <si>
    <t>12/17 12:00～12/18 11:59</t>
    <phoneticPr fontId="1"/>
  </si>
  <si>
    <t>12/24 11:00～12/24 23:59</t>
    <phoneticPr fontId="1"/>
  </si>
  <si>
    <t>日本発祥の愛され犬種</t>
    <phoneticPr fontId="1"/>
  </si>
  <si>
    <t>しんせいあめりかんあきた</t>
    <phoneticPr fontId="1"/>
  </si>
  <si>
    <t>[新生]アメリカン・アキタ</t>
    <phoneticPr fontId="1"/>
  </si>
  <si>
    <t>12/24 18:00～12/24 21:59</t>
    <phoneticPr fontId="1"/>
  </si>
  <si>
    <t>12/10 12:00～12/11 11:59</t>
    <phoneticPr fontId="1"/>
  </si>
  <si>
    <t>(20連)12/11 15:00～12/13 23:59</t>
    <rPh sb="3" eb="4">
      <t>レン</t>
    </rPh>
    <phoneticPr fontId="1"/>
  </si>
  <si>
    <t>サイコロ行脚 愛情編み込む毛糸使いガチャ</t>
    <rPh sb="4" eb="6">
      <t>アンギャ</t>
    </rPh>
    <phoneticPr fontId="1"/>
  </si>
  <si>
    <t>防衛戦 警官たちの聖夜バトルガチャ</t>
    <rPh sb="0" eb="3">
      <t>ボウエイセン</t>
    </rPh>
    <phoneticPr fontId="1"/>
  </si>
  <si>
    <t>12/4 15:00～12/4 23:59</t>
    <phoneticPr fontId="1"/>
  </si>
  <si>
    <t>タイプ飲食・武人・姫の攻85％DOWN　/　タイプ知性派・飲食の防30％UP</t>
    <phoneticPr fontId="1"/>
  </si>
  <si>
    <t>聖夜を守護する四柱神</t>
    <phoneticPr fontId="1"/>
  </si>
  <si>
    <t>さんたぶたいかすがのかみ</t>
    <phoneticPr fontId="1"/>
  </si>
  <si>
    <t>【サンタ部隊】カスガノカミ</t>
    <phoneticPr fontId="1"/>
  </si>
  <si>
    <t>雪とポインセチアの競演</t>
    <phoneticPr fontId="1"/>
  </si>
  <si>
    <t>しんせいぽっぷくりすますゆきづかいなりのびゃっこ</t>
    <phoneticPr fontId="1"/>
  </si>
  <si>
    <t>[新生]【POPクリスマス】雪塚稲荷の白狐</t>
    <phoneticPr fontId="1"/>
  </si>
  <si>
    <t>一人で九個のプレゼント</t>
    <phoneticPr fontId="1"/>
  </si>
  <si>
    <t>しんせいくりすますやまたのおろちのみこ</t>
    <phoneticPr fontId="1"/>
  </si>
  <si>
    <t>[新生]【クリスマス】八岐大蛇の巫女</t>
    <phoneticPr fontId="1"/>
  </si>
  <si>
    <t>山頂１０００万ドルの夜景</t>
    <phoneticPr fontId="1"/>
  </si>
  <si>
    <t>しんせいせいやいなさやまさん</t>
    <phoneticPr fontId="1"/>
  </si>
  <si>
    <t>[新生]【聖夜】稲佐山さん</t>
    <phoneticPr fontId="1"/>
  </si>
  <si>
    <t>(20連)12/5 15:00～12/7 23:59</t>
    <rPh sb="3" eb="4">
      <t>レン</t>
    </rPh>
    <phoneticPr fontId="1"/>
  </si>
  <si>
    <t>(20連)12/7 15:00～12/11 23:59</t>
    <phoneticPr fontId="1"/>
  </si>
  <si>
    <t>12/7 18:00～12/7 21:59</t>
    <phoneticPr fontId="1"/>
  </si>
  <si>
    <t>2/24 11:00～2/24 23:59</t>
    <phoneticPr fontId="1"/>
  </si>
  <si>
    <t>2/24 18:00～2/24 21:59</t>
    <phoneticPr fontId="1"/>
  </si>
  <si>
    <t>桜の舞い散る道をゆく</t>
    <phoneticPr fontId="1"/>
  </si>
  <si>
    <t>しんせいさくらうたみなもとのよしいえ</t>
    <phoneticPr fontId="1"/>
  </si>
  <si>
    <t>[新生]【桜詩】源義家</t>
    <phoneticPr fontId="1"/>
  </si>
  <si>
    <t>全国巡り ホーリーナイトガチャ</t>
    <rPh sb="0" eb="2">
      <t>ゼンコク</t>
    </rPh>
    <rPh sb="2" eb="3">
      <t>メグ</t>
    </rPh>
    <phoneticPr fontId="1"/>
  </si>
  <si>
    <t>2020大感謝祭！年末特別ガチャ</t>
    <phoneticPr fontId="1"/>
  </si>
  <si>
    <t>12/25 18:00～12/31 23:59</t>
    <phoneticPr fontId="1"/>
  </si>
  <si>
    <t>美貌照らす聖夜の明かり</t>
    <phoneticPr fontId="1"/>
  </si>
  <si>
    <t>せいやでーとじんぼゆき</t>
    <phoneticPr fontId="1"/>
  </si>
  <si>
    <t>【聖夜デート】神保雪</t>
    <phoneticPr fontId="1"/>
  </si>
  <si>
    <t>しんせいしろきつねのおおしばい</t>
    <phoneticPr fontId="1"/>
  </si>
  <si>
    <t>[新生]白狐の大芝居</t>
    <phoneticPr fontId="1"/>
  </si>
  <si>
    <t>サンタも欲しがる月のしずく</t>
    <phoneticPr fontId="1"/>
  </si>
  <si>
    <t>しんせいくりすますしんじゅちゃん</t>
    <phoneticPr fontId="1"/>
  </si>
  <si>
    <t>[新生]【クリスマス】真珠ちゃん</t>
    <phoneticPr fontId="1"/>
  </si>
  <si>
    <t>光の聖夜ミュージアム</t>
    <phoneticPr fontId="1"/>
  </si>
  <si>
    <t>しんせいせいやさんたくろすろーどちゃん</t>
    <phoneticPr fontId="1"/>
  </si>
  <si>
    <t>[新生]【聖夜】サンタ・クロスロードちゃん</t>
    <phoneticPr fontId="1"/>
  </si>
  <si>
    <t>ふわとろなホワイトクリスマス</t>
    <phoneticPr fontId="1"/>
  </si>
  <si>
    <t>しんせいくりすますましゅまろちゃん</t>
    <phoneticPr fontId="1"/>
  </si>
  <si>
    <t>[新生]【クリスマス】マシュマロちゃん</t>
    <phoneticPr fontId="1"/>
  </si>
  <si>
    <t>12/26 11:00～12/26 23:59</t>
    <phoneticPr fontId="1"/>
  </si>
  <si>
    <t>12/26 15:00～12/26 23:59</t>
    <phoneticPr fontId="1"/>
  </si>
  <si>
    <t>12/27 12:00～12/28 11:59</t>
    <phoneticPr fontId="1"/>
  </si>
  <si>
    <t>12/28 20:00～12/28 23:59</t>
    <phoneticPr fontId="1"/>
  </si>
  <si>
    <t>12/29 11:00～12/29 23:59</t>
    <phoneticPr fontId="1"/>
  </si>
  <si>
    <t>(20連)12/29 15:00～12/31 23:59</t>
    <rPh sb="3" eb="4">
      <t>レン</t>
    </rPh>
    <phoneticPr fontId="1"/>
  </si>
  <si>
    <t>12/30 15:00～12/30 23:59</t>
    <phoneticPr fontId="1"/>
  </si>
  <si>
    <t>全国巡り 誠なる壬生娘ガチャ</t>
    <rPh sb="0" eb="3">
      <t>ゼンコクメグ</t>
    </rPh>
    <phoneticPr fontId="1"/>
  </si>
  <si>
    <t>(Lvアップ)2/25 12:00～2/28 19:59</t>
    <phoneticPr fontId="1"/>
  </si>
  <si>
    <t>(DX)2/25 12:00～2/28 19:59</t>
    <phoneticPr fontId="1"/>
  </si>
  <si>
    <t>2/25 15:00～2/27 23:59</t>
    <phoneticPr fontId="1"/>
  </si>
  <si>
    <t>(20連)2/25 18:00～2/28 23:59</t>
    <rPh sb="3" eb="4">
      <t>レン</t>
    </rPh>
    <phoneticPr fontId="1"/>
  </si>
  <si>
    <t>血気盛んな美しき隊士</t>
    <phoneticPr fontId="1"/>
  </si>
  <si>
    <t>しんせんぐみきたのかた</t>
    <phoneticPr fontId="1"/>
  </si>
  <si>
    <t>【新選組】北の方</t>
    <phoneticPr fontId="1"/>
  </si>
  <si>
    <t>しんせいえとうしんぺい</t>
    <phoneticPr fontId="1"/>
  </si>
  <si>
    <t>[新生]江藤新平</t>
    <phoneticPr fontId="1"/>
  </si>
  <si>
    <t>蠢く八柱雷神</t>
    <phoneticPr fontId="1"/>
  </si>
  <si>
    <t>しんせいほのいかづちのおおかみ</t>
    <phoneticPr fontId="1"/>
  </si>
  <si>
    <t>[新生]火雷大神</t>
    <phoneticPr fontId="1"/>
  </si>
  <si>
    <t>情熱を司る彼岸花</t>
    <phoneticPr fontId="1"/>
  </si>
  <si>
    <t>しんせいひがんばなみゆきだゆう</t>
    <phoneticPr fontId="1"/>
  </si>
  <si>
    <t>[新生]【彼岸花】深雪太夫</t>
    <phoneticPr fontId="1"/>
  </si>
  <si>
    <t>日本最高傑作の国刀</t>
    <phoneticPr fontId="1"/>
  </si>
  <si>
    <t>しんせいおおかねひら</t>
    <phoneticPr fontId="1"/>
  </si>
  <si>
    <t>[新生]大包平</t>
    <phoneticPr fontId="1"/>
  </si>
  <si>
    <t>2/26 15:00～2/26 23:59</t>
    <phoneticPr fontId="1"/>
  </si>
  <si>
    <t>2/26 18:00～2/28 23:59</t>
    <phoneticPr fontId="1"/>
  </si>
  <si>
    <t>一目惚れな一冊</t>
    <phoneticPr fontId="1"/>
  </si>
  <si>
    <t>ふゆこみひとめぼれちゃん</t>
    <phoneticPr fontId="1"/>
  </si>
  <si>
    <t>【冬コミ】ひとめぼれちゃん</t>
    <phoneticPr fontId="1"/>
  </si>
  <si>
    <t>千家流格闘術</t>
    <phoneticPr fontId="1"/>
  </si>
  <si>
    <t>すーぱーひーろーせんのりきゅう</t>
    <phoneticPr fontId="1"/>
  </si>
  <si>
    <t>【スーパーヒーロー】千利休</t>
    <phoneticPr fontId="1"/>
  </si>
  <si>
    <t>タイプ偉人・姫・知性派の攻85％DOWN　/　タイプ武人・姫の防30％UP</t>
    <phoneticPr fontId="1"/>
  </si>
  <si>
    <t>隼風烈撃</t>
    <phoneticPr fontId="1"/>
  </si>
  <si>
    <t>らんさーふぁるこんすぴあ</t>
    <phoneticPr fontId="1"/>
  </si>
  <si>
    <t>【ランサー】ファルコンスピア</t>
    <phoneticPr fontId="1"/>
  </si>
  <si>
    <t>2019/12サイコロ</t>
    <phoneticPr fontId="1"/>
  </si>
  <si>
    <t>2020/01サイコロ</t>
    <phoneticPr fontId="1"/>
  </si>
  <si>
    <t>2020/05サイコロ</t>
    <phoneticPr fontId="1"/>
  </si>
  <si>
    <t>2/27 12:00～2/28 11:59</t>
    <phoneticPr fontId="1"/>
  </si>
  <si>
    <t>全国巡り 英雄ガチャ</t>
    <rPh sb="0" eb="2">
      <t>ゼンコク</t>
    </rPh>
    <rPh sb="2" eb="3">
      <t>メグ</t>
    </rPh>
    <phoneticPr fontId="1"/>
  </si>
  <si>
    <t>2/28 11:00～2/28 23:59</t>
    <phoneticPr fontId="1"/>
  </si>
  <si>
    <t>2/28 20:00～2/28 23:59</t>
    <phoneticPr fontId="1"/>
  </si>
  <si>
    <t>一定時間、自身にダメージ軽減と状態異常無効のバリアを付与し、攻撃するほど大ダメージ</t>
    <phoneticPr fontId="1"/>
  </si>
  <si>
    <t>護穀豊穣</t>
    <phoneticPr fontId="1"/>
  </si>
  <si>
    <t>タイプ神秘・知性派・飲食の防80％UP</t>
    <phoneticPr fontId="1"/>
  </si>
  <si>
    <t>特Ａランクの美人雛</t>
    <phoneticPr fontId="1"/>
  </si>
  <si>
    <t>おひなさまあきたこまちちゃん</t>
    <phoneticPr fontId="1"/>
  </si>
  <si>
    <t>【お雛様】アキタコマチちゃん</t>
    <phoneticPr fontId="1"/>
  </si>
  <si>
    <t>96373_0</t>
    <phoneticPr fontId="1"/>
  </si>
  <si>
    <t>(DX)3/1 0:00～3/8 23:59</t>
    <phoneticPr fontId="1"/>
  </si>
  <si>
    <t>(Lvアップ)3/1 0:00～3/8 23:59</t>
    <phoneticPr fontId="1"/>
  </si>
  <si>
    <t>防衛戦 桃句絢爛！ひな祭りガチャ</t>
    <rPh sb="0" eb="3">
      <t>ボウエイセン</t>
    </rPh>
    <phoneticPr fontId="1"/>
  </si>
  <si>
    <t>首飾りより菱餅</t>
    <phoneticPr fontId="1"/>
  </si>
  <si>
    <t>おひなさまくびわこうもりちゃん</t>
    <phoneticPr fontId="1"/>
  </si>
  <si>
    <t>【お雛様】クビワコウモリちゃん</t>
    <phoneticPr fontId="1"/>
  </si>
  <si>
    <t>自分好みの味に染まる十二単</t>
    <phoneticPr fontId="1"/>
  </si>
  <si>
    <t>おひなさまさっぽろらーめんちゃん</t>
    <phoneticPr fontId="1"/>
  </si>
  <si>
    <t>【お雛様】札幌ラーメンちゃん</t>
    <phoneticPr fontId="1"/>
  </si>
  <si>
    <t>ほろ酔いひな祭り</t>
    <phoneticPr fontId="1"/>
  </si>
  <si>
    <t>おひなさまさけずし</t>
    <phoneticPr fontId="1"/>
  </si>
  <si>
    <t>【お雛様】酒寿司</t>
    <phoneticPr fontId="1"/>
  </si>
  <si>
    <t>穢れを水に移して</t>
    <phoneticPr fontId="1"/>
  </si>
  <si>
    <t>しんせいしもがもじんじゃのながしびな</t>
    <phoneticPr fontId="1"/>
  </si>
  <si>
    <t>[新生]下鴨神社の流し雛</t>
    <phoneticPr fontId="1"/>
  </si>
  <si>
    <t>寂寥たる想いの音色</t>
    <phoneticPr fontId="1"/>
  </si>
  <si>
    <t>しんせいいちげんきん</t>
    <phoneticPr fontId="1"/>
  </si>
  <si>
    <t>[新生]一弦琴</t>
    <phoneticPr fontId="1"/>
  </si>
  <si>
    <t>名も知れぬベストセラー作家</t>
    <phoneticPr fontId="1"/>
  </si>
  <si>
    <t>しんせいすがわらのたかすえのむすめ</t>
    <phoneticPr fontId="1"/>
  </si>
  <si>
    <t>[新生]菅原孝標女</t>
    <phoneticPr fontId="1"/>
  </si>
  <si>
    <t>初音の姫</t>
    <phoneticPr fontId="1"/>
  </si>
  <si>
    <t>しんせいちよひめのはつせっく</t>
    <phoneticPr fontId="1"/>
  </si>
  <si>
    <t>[新生]千代姫の初節句</t>
    <phoneticPr fontId="1"/>
  </si>
  <si>
    <t>三女神の守護</t>
    <phoneticPr fontId="1"/>
  </si>
  <si>
    <t>しんせいさんみいったいむなかたさんじょじん</t>
    <phoneticPr fontId="1"/>
  </si>
  <si>
    <t>[新生]【三位一体】宗像三女神</t>
    <phoneticPr fontId="1"/>
  </si>
  <si>
    <t>[新生]朴葉寿司</t>
    <phoneticPr fontId="1"/>
  </si>
  <si>
    <t>しんせいほうばずし</t>
    <phoneticPr fontId="1"/>
  </si>
  <si>
    <t>[新生]はりきりお雑煮ちゃん</t>
    <phoneticPr fontId="1"/>
  </si>
  <si>
    <t>しんせいはりきりおぞうにちゃん</t>
    <phoneticPr fontId="1"/>
  </si>
  <si>
    <t>ほおばずし？</t>
    <phoneticPr fontId="1"/>
  </si>
  <si>
    <t>防衛戦5進化隊士 桃宴の傾奇者ガチャ</t>
    <rPh sb="0" eb="3">
      <t>ボウエイセン</t>
    </rPh>
    <phoneticPr fontId="1"/>
  </si>
  <si>
    <t>光へ導く傾奇者</t>
    <phoneticPr fontId="1"/>
  </si>
  <si>
    <t>おひなさままえだけいじ</t>
    <phoneticPr fontId="1"/>
  </si>
  <si>
    <t>【お雛様】前田慶次</t>
    <phoneticPr fontId="1"/>
  </si>
  <si>
    <t>3/2 15:00～3/4 23:59</t>
    <phoneticPr fontId="1"/>
  </si>
  <si>
    <t>3/2 18:00～3/11 23:59</t>
    <phoneticPr fontId="1"/>
  </si>
  <si>
    <t>a106693d114768c27</t>
    <phoneticPr fontId="1"/>
  </si>
  <si>
    <t>a90885d97766c23</t>
    <phoneticPr fontId="1"/>
  </si>
  <si>
    <t>タイプ武人・姫の防50％UP　/　所属が【北海道・東北】とそれに属する県、および【全国】【東日本】の防30％UP</t>
    <phoneticPr fontId="1"/>
  </si>
  <si>
    <t>フォーキャスト</t>
    <phoneticPr fontId="1"/>
  </si>
  <si>
    <t>さいせいのしんかんそぷでと</t>
    <phoneticPr fontId="1"/>
  </si>
  <si>
    <t>災星の神官ソプデト</t>
    <phoneticPr fontId="1"/>
  </si>
  <si>
    <t>タイプ武人・姫の防45％UP　/　所属が【北海道・東北】とそれに属する県、および【全国】【東日本】の防30％UP</t>
    <phoneticPr fontId="1"/>
  </si>
  <si>
    <t>タイプ武人・姫の防40％UP　/　所属が【北海道・東北】とそれに属する県、および【全国】【東日本】の防30％UP</t>
    <phoneticPr fontId="1"/>
  </si>
  <si>
    <t>タイプ姫・伝承の攻50％UP　/　所属が【関東】とそれに属する県、および【全国】【東日本】の攻30％UP</t>
    <phoneticPr fontId="1"/>
  </si>
  <si>
    <t>悪を貫く槍</t>
    <phoneticPr fontId="1"/>
  </si>
  <si>
    <t>こうけいのおーでぃん</t>
    <phoneticPr fontId="1"/>
  </si>
  <si>
    <t>光炯のオーディン</t>
    <phoneticPr fontId="1"/>
  </si>
  <si>
    <t>タイプ知性派・飲食の防50％UP　/　所属が【中部】とそれに属する県、および【全国】【東日本】の防30％UP</t>
    <phoneticPr fontId="1"/>
  </si>
  <si>
    <t>正義の神判</t>
    <phoneticPr fontId="1"/>
  </si>
  <si>
    <t>ゆーすてぃてぃあ</t>
    <phoneticPr fontId="1"/>
  </si>
  <si>
    <t>ユースティティア</t>
    <phoneticPr fontId="1"/>
  </si>
  <si>
    <t>タイプ偉人・妖怪の防50％UP　/　所属が【近畿】とそれに属する県、および【全国】【西日本】の防30％UP</t>
    <phoneticPr fontId="1"/>
  </si>
  <si>
    <t>ジャグランスグロー</t>
    <phoneticPr fontId="1"/>
  </si>
  <si>
    <t>かりゅあー</t>
    <phoneticPr fontId="1"/>
  </si>
  <si>
    <t>カリュアー</t>
    <phoneticPr fontId="1"/>
  </si>
  <si>
    <t>タイプ妖怪・名物の防50％UP　/　所属が【中国・四国】とそれに属する県、および【全国】【西日本】の防30％UP</t>
    <phoneticPr fontId="1"/>
  </si>
  <si>
    <t>アクアバースト</t>
    <phoneticPr fontId="1"/>
  </si>
  <si>
    <t>ぱりあかか</t>
    <phoneticPr fontId="1"/>
  </si>
  <si>
    <t>パリアカカ</t>
    <phoneticPr fontId="1"/>
  </si>
  <si>
    <t>タイプ神秘・飲食の攻50％UP　/　所属が【九州・沖縄】とそれに属する県、および【全国】【西日本】の攻30％UP</t>
    <phoneticPr fontId="1"/>
  </si>
  <si>
    <t>古樹の真言</t>
    <phoneticPr fontId="1"/>
  </si>
  <si>
    <t>くろいもりのへくせ</t>
    <phoneticPr fontId="1"/>
  </si>
  <si>
    <t>黒い森のヘクセ</t>
    <phoneticPr fontId="1"/>
  </si>
  <si>
    <t>防衛戦 萌え萌えひなバトル！ガチャ</t>
    <rPh sb="0" eb="3">
      <t>ボウエイセン</t>
    </rPh>
    <phoneticPr fontId="1"/>
  </si>
  <si>
    <t>タイプ【偉人】の防90％UP　/　タイプ妖怪・名物の防30％UP</t>
    <phoneticPr fontId="1"/>
  </si>
  <si>
    <t>祓い清める萌えキュン魔法</t>
    <phoneticPr fontId="1"/>
  </si>
  <si>
    <t>おひなさまあきばめいど</t>
    <phoneticPr fontId="1"/>
  </si>
  <si>
    <t>【お雛様】アキバメイド</t>
    <phoneticPr fontId="1"/>
  </si>
  <si>
    <t>狐火で彩るひな祭り</t>
    <phoneticPr fontId="1"/>
  </si>
  <si>
    <t>しんせいもものせっくきつねのよめいり</t>
    <phoneticPr fontId="1"/>
  </si>
  <si>
    <t>[新生]【桃の節句】狐の嫁入り</t>
    <phoneticPr fontId="1"/>
  </si>
  <si>
    <t>晴天に翻るメイド服</t>
    <phoneticPr fontId="1"/>
  </si>
  <si>
    <t>しんせいめいどもうりませんしあ</t>
    <phoneticPr fontId="1"/>
  </si>
  <si>
    <t>[新生]【メイド】毛利マセンシア</t>
    <phoneticPr fontId="1"/>
  </si>
  <si>
    <t>極上のさらさらスープ</t>
    <phoneticPr fontId="1"/>
  </si>
  <si>
    <t>しんせいすーぷかれー</t>
    <phoneticPr fontId="1"/>
  </si>
  <si>
    <t>[新生]スープカレー</t>
    <phoneticPr fontId="1"/>
  </si>
  <si>
    <t>3/5 15:00～3/7 23:59</t>
    <phoneticPr fontId="1"/>
  </si>
  <si>
    <t>(20連)3/5 18:00～3/8 23:59</t>
    <rPh sb="3" eb="4">
      <t>レン</t>
    </rPh>
    <phoneticPr fontId="1"/>
  </si>
  <si>
    <t>サイコロ行脚 鳴りやまぬ銃声ガチャ</t>
    <rPh sb="4" eb="6">
      <t>アンギャ</t>
    </rPh>
    <phoneticPr fontId="1"/>
  </si>
  <si>
    <t>3/14 18:00～3/16 23:59</t>
    <phoneticPr fontId="1"/>
  </si>
  <si>
    <t>完全成果主義</t>
    <phoneticPr fontId="1"/>
  </si>
  <si>
    <t>だんがんばうんてぃがーる</t>
    <phoneticPr fontId="1"/>
  </si>
  <si>
    <t>【弾丸】バウンティガール</t>
    <phoneticPr fontId="1"/>
  </si>
  <si>
    <t>しんせいあんどろいどおおともそうりん</t>
    <phoneticPr fontId="1"/>
  </si>
  <si>
    <t>[新生]【アンドロイド】大友宗麟</t>
    <phoneticPr fontId="1"/>
  </si>
  <si>
    <t>奇兵隊の面白宝探し</t>
    <phoneticPr fontId="1"/>
  </si>
  <si>
    <t>しんせいとれじゃーたかすぎしんさく</t>
    <phoneticPr fontId="1"/>
  </si>
  <si>
    <t>[新生]【トレジャー】高杉晋作</t>
    <phoneticPr fontId="1"/>
  </si>
  <si>
    <t>北海道和種馬</t>
    <phoneticPr fontId="1"/>
  </si>
  <si>
    <t>しんせいどさんこちゃん</t>
    <phoneticPr fontId="1"/>
  </si>
  <si>
    <t>[新生]どさんこちゃん</t>
    <phoneticPr fontId="1"/>
  </si>
  <si>
    <t>戦場は名句より昂る</t>
    <phoneticPr fontId="1"/>
  </si>
  <si>
    <t>しんせいみりたりーかがのちよじょ</t>
    <phoneticPr fontId="1"/>
  </si>
  <si>
    <t>[新生]【ミリタリー】加賀千代女</t>
    <phoneticPr fontId="1"/>
  </si>
  <si>
    <t>(20連)3/7 15:00～3/11 23:59</t>
    <phoneticPr fontId="1"/>
  </si>
  <si>
    <t>セットAを最大コスト24→25にしたもの</t>
    <rPh sb="5" eb="7">
      <t>サイダイ</t>
    </rPh>
    <phoneticPr fontId="1"/>
  </si>
  <si>
    <t>セットBの隊士紹介をなぜか1進で紹介しているだけでチケットガチャの内容に違いがあるわけではない</t>
    <rPh sb="5" eb="7">
      <t>タイシ</t>
    </rPh>
    <rPh sb="7" eb="9">
      <t>ショウカイ</t>
    </rPh>
    <rPh sb="14" eb="15">
      <t>シン</t>
    </rPh>
    <rPh sb="16" eb="18">
      <t>ショウカイ</t>
    </rPh>
    <rPh sb="32" eb="34">
      <t>ナイヨウ</t>
    </rPh>
    <rPh sb="36" eb="37">
      <t>チガ</t>
    </rPh>
    <phoneticPr fontId="1"/>
  </si>
  <si>
    <t>四神戦 興国の指導者ガチャ</t>
    <rPh sb="0" eb="1">
      <t>ヨン</t>
    </rPh>
    <rPh sb="1" eb="2">
      <t>シン</t>
    </rPh>
    <rPh sb="2" eb="3">
      <t>セン</t>
    </rPh>
    <phoneticPr fontId="1"/>
  </si>
  <si>
    <t>タイプ知性派・飲食の防60％UP　/　タイプ【神秘】の防30％UP</t>
    <phoneticPr fontId="1"/>
  </si>
  <si>
    <t>冷静な采配</t>
    <phoneticPr fontId="1"/>
  </si>
  <si>
    <t>さいしょうまるごっと</t>
    <phoneticPr fontId="1"/>
  </si>
  <si>
    <t>【宰相】マルゴット</t>
    <phoneticPr fontId="1"/>
  </si>
  <si>
    <t>十重二十重の思い</t>
    <phoneticPr fontId="1"/>
  </si>
  <si>
    <t>しんせいじゅうにひとえ</t>
    <phoneticPr fontId="1"/>
  </si>
  <si>
    <t>[新生]十二単</t>
    <phoneticPr fontId="1"/>
  </si>
  <si>
    <t>元祖遠距離恋愛</t>
    <phoneticPr fontId="1"/>
  </si>
  <si>
    <t>しんせいくろひめ</t>
    <phoneticPr fontId="1"/>
  </si>
  <si>
    <t>[新生]黒比売</t>
    <phoneticPr fontId="1"/>
  </si>
  <si>
    <t>伝統の木造玩具</t>
    <phoneticPr fontId="1"/>
  </si>
  <si>
    <t>しんせいこけしちゃん</t>
    <phoneticPr fontId="1"/>
  </si>
  <si>
    <t>[新生]こけしちゃん</t>
    <phoneticPr fontId="1"/>
  </si>
  <si>
    <t>南蛮からの伝来菓</t>
    <phoneticPr fontId="1"/>
  </si>
  <si>
    <t>しんせいかすてらちゃん</t>
    <phoneticPr fontId="1"/>
  </si>
  <si>
    <t>[新生]カステラちゃん</t>
    <phoneticPr fontId="1"/>
  </si>
  <si>
    <t>タイプ伝承・武人・姫の防45％UP　/　タイプ武人・飲食・妖怪の攻10％DOWN</t>
    <phoneticPr fontId="1"/>
  </si>
  <si>
    <t>マサカリ担いだギャング怪童</t>
    <phoneticPr fontId="1"/>
  </si>
  <si>
    <t>ぎゃんぐきんたろう</t>
    <phoneticPr fontId="1"/>
  </si>
  <si>
    <t>【ギャング】金太郎</t>
    <phoneticPr fontId="1"/>
  </si>
  <si>
    <t>タイプ偉人・妖怪・名物の攻45％UP　/　タイプ偉人・姫・神秘の防10％DOWN</t>
    <phoneticPr fontId="1"/>
  </si>
  <si>
    <t>狐火</t>
    <phoneticPr fontId="1"/>
  </si>
  <si>
    <t>ようじゅつきつねつき</t>
    <phoneticPr fontId="1"/>
  </si>
  <si>
    <t>【妖術】狐憑き</t>
    <phoneticPr fontId="1"/>
  </si>
  <si>
    <t>愛されペンギンと女神</t>
    <phoneticPr fontId="1"/>
  </si>
  <si>
    <t>すいぞくかんえひめのみこと</t>
    <phoneticPr fontId="1"/>
  </si>
  <si>
    <t>【水族館】エヒメノミコト</t>
    <phoneticPr fontId="1"/>
  </si>
  <si>
    <t>和敬清寂の心得</t>
    <phoneticPr fontId="1"/>
  </si>
  <si>
    <t>しんせいさどうはやみそうせい</t>
    <phoneticPr fontId="1"/>
  </si>
  <si>
    <t>[新生]【茶道】速水宗青</t>
    <phoneticPr fontId="1"/>
  </si>
  <si>
    <t>タイプ神秘・飲食の防30％UP　/　タイプ【知性派】の防25％UP</t>
    <phoneticPr fontId="1"/>
  </si>
  <si>
    <t>しんせいおべんとうありすべーこん</t>
    <phoneticPr fontId="1"/>
  </si>
  <si>
    <t>[新生]【お弁当】アリス・ベーコン</t>
    <phoneticPr fontId="1"/>
  </si>
  <si>
    <t>タイプ【武人】の攻55％UP　/　タイプ【姫】の攻15％UP</t>
    <phoneticPr fontId="1"/>
  </si>
  <si>
    <t>備前マリアの再会</t>
    <phoneticPr fontId="1"/>
  </si>
  <si>
    <t>しんせいせんれいごうひめ</t>
    <phoneticPr fontId="1"/>
  </si>
  <si>
    <t>[新生]【洗礼】豪姫</t>
    <phoneticPr fontId="1"/>
  </si>
  <si>
    <t>2020/09防衛戦</t>
    <phoneticPr fontId="1"/>
  </si>
  <si>
    <t>2019/02防衛戦</t>
    <phoneticPr fontId="1"/>
  </si>
  <si>
    <t>2020/06四神戦</t>
    <rPh sb="7" eb="8">
      <t>ヨン</t>
    </rPh>
    <rPh sb="8" eb="9">
      <t>シン</t>
    </rPh>
    <rPh sb="9" eb="10">
      <t>セン</t>
    </rPh>
    <phoneticPr fontId="1"/>
  </si>
  <si>
    <t>2020/02全国巡り</t>
    <rPh sb="7" eb="10">
      <t>ゼンコクメグ</t>
    </rPh>
    <phoneticPr fontId="1"/>
  </si>
  <si>
    <t>2020/08全国巡り</t>
    <rPh sb="7" eb="10">
      <t>ゼンコクメグ</t>
    </rPh>
    <phoneticPr fontId="1"/>
  </si>
  <si>
    <t>2018/02四神戦</t>
    <rPh sb="7" eb="8">
      <t>ヨン</t>
    </rPh>
    <rPh sb="8" eb="9">
      <t>シン</t>
    </rPh>
    <rPh sb="9" eb="10">
      <t>セン</t>
    </rPh>
    <phoneticPr fontId="1"/>
  </si>
  <si>
    <t>サイコロ行脚5進化隊士 清麗なる狩人ガチャ</t>
    <rPh sb="4" eb="6">
      <t>アンギャ</t>
    </rPh>
    <rPh sb="7" eb="9">
      <t>シンカ</t>
    </rPh>
    <rPh sb="9" eb="11">
      <t>タイシ</t>
    </rPh>
    <phoneticPr fontId="1"/>
  </si>
  <si>
    <t>タイプ偉人・妖怪の防50％UP　/　タイプ【名物】の防20％UP</t>
    <phoneticPr fontId="1"/>
  </si>
  <si>
    <t>自然と共に</t>
    <phoneticPr fontId="1"/>
  </si>
  <si>
    <t>またぎちゃん</t>
    <phoneticPr fontId="1"/>
  </si>
  <si>
    <t>マタギちゃん</t>
    <phoneticPr fontId="1"/>
  </si>
  <si>
    <t>タイプ偉人・妖怪の防35％UP　/　タイプ【名物】の防15％UP</t>
    <phoneticPr fontId="1"/>
  </si>
  <si>
    <t>タイプ偉人・妖怪の防20％UP　/　タイプ【名物】の防10％UP</t>
    <phoneticPr fontId="1"/>
  </si>
  <si>
    <t>2021春爛漫の福引ガチャ</t>
    <rPh sb="4" eb="7">
      <t>ハルランマン</t>
    </rPh>
    <rPh sb="8" eb="10">
      <t>フクビキ</t>
    </rPh>
    <phoneticPr fontId="1"/>
  </si>
  <si>
    <t>03/15 15:00～03/16 23:59</t>
    <phoneticPr fontId="1"/>
  </si>
  <si>
    <t>刺激的！究極メニューガチャ</t>
    <phoneticPr fontId="1"/>
  </si>
  <si>
    <t>(20連)3/15 18:00～3/24 23:59</t>
    <rPh sb="3" eb="4">
      <t>レン</t>
    </rPh>
    <phoneticPr fontId="1"/>
  </si>
  <si>
    <t>(10連)3/15 18:00～3/24 23:59</t>
    <rPh sb="3" eb="4">
      <t>レン</t>
    </rPh>
    <phoneticPr fontId="1"/>
  </si>
  <si>
    <t>タイプ【飲食】の防60％UP　/　タイプ神秘・知性派の防35％UP</t>
    <phoneticPr fontId="1"/>
  </si>
  <si>
    <t>黄金レシピ</t>
    <phoneticPr fontId="1"/>
  </si>
  <si>
    <t>炸裂の辛</t>
    <phoneticPr fontId="1"/>
  </si>
  <si>
    <t>かれーざんまい</t>
    <phoneticPr fontId="1"/>
  </si>
  <si>
    <t>96663_0</t>
    <phoneticPr fontId="1"/>
  </si>
  <si>
    <t>カレー三昧</t>
    <phoneticPr fontId="1"/>
  </si>
  <si>
    <t>函館三士</t>
    <phoneticPr fontId="1"/>
  </si>
  <si>
    <t>えびこすえじろう</t>
    <phoneticPr fontId="1"/>
  </si>
  <si>
    <t>蛯子末次郎</t>
    <phoneticPr fontId="1"/>
  </si>
  <si>
    <t>2017/06龍神杯</t>
    <rPh sb="7" eb="8">
      <t>リュウ</t>
    </rPh>
    <rPh sb="8" eb="9">
      <t>ジン</t>
    </rPh>
    <rPh sb="9" eb="10">
      <t>ハイ</t>
    </rPh>
    <phoneticPr fontId="1"/>
  </si>
  <si>
    <t>3/18 15:00～3/20 23:59</t>
    <phoneticPr fontId="1"/>
  </si>
  <si>
    <t>タイプ伝承・武人・姫の防40％UP</t>
    <phoneticPr fontId="1"/>
  </si>
  <si>
    <t>ド派手スイーツに魅せられて</t>
    <phoneticPr fontId="1"/>
  </si>
  <si>
    <t>すいーつざんまいねね</t>
    <phoneticPr fontId="1"/>
  </si>
  <si>
    <t>【スイーツ三昧】ねね</t>
    <phoneticPr fontId="1"/>
  </si>
  <si>
    <t>タイプ神秘・知性派・飲食の防45％UP　/　タイプ伝承・知性派・妖怪の攻10％DOWN</t>
    <phoneticPr fontId="1"/>
  </si>
  <si>
    <t>小さなギャンブラー</t>
    <phoneticPr fontId="1"/>
  </si>
  <si>
    <t>かじのぎゃんぶるふぇありー</t>
    <phoneticPr fontId="1"/>
  </si>
  <si>
    <t>【カジノ】ギャンブルフェアリー</t>
    <phoneticPr fontId="1"/>
  </si>
  <si>
    <t>タイプ偉人・妖怪・名物の攻40％UP　/　タイプ偉人・姫・知性派の防10％DOWN</t>
    <phoneticPr fontId="1"/>
  </si>
  <si>
    <t>魅惑の踊り子</t>
    <phoneticPr fontId="1"/>
  </si>
  <si>
    <t>あらびあんがんだるゔぁ</t>
    <phoneticPr fontId="1"/>
  </si>
  <si>
    <t>【アラビアン】ガンダルヴァ</t>
    <phoneticPr fontId="1"/>
  </si>
  <si>
    <t>2020/07全国巡り</t>
    <rPh sb="7" eb="10">
      <t>ゼンコクメグ</t>
    </rPh>
    <phoneticPr fontId="1"/>
  </si>
  <si>
    <t>2020/05四神戦</t>
    <rPh sb="7" eb="8">
      <t>ヨン</t>
    </rPh>
    <rPh sb="8" eb="9">
      <t>シン</t>
    </rPh>
    <rPh sb="9" eb="10">
      <t>セン</t>
    </rPh>
    <phoneticPr fontId="1"/>
  </si>
  <si>
    <t>2020/07サイコロ</t>
    <phoneticPr fontId="1"/>
  </si>
  <si>
    <t>(20連)3/21 18:00～3/24 23:59</t>
    <rPh sb="3" eb="4">
      <t>レン</t>
    </rPh>
    <phoneticPr fontId="1"/>
  </si>
  <si>
    <t>魅惑の林檎</t>
    <phoneticPr fontId="1"/>
  </si>
  <si>
    <t>ぐりむひるど</t>
    <phoneticPr fontId="1"/>
  </si>
  <si>
    <t>グリムヒルド</t>
    <phoneticPr fontId="1"/>
  </si>
  <si>
    <t>タイプ【偉人】の攻65％UP　/　タイプ妖怪・名物の攻25％UP</t>
    <phoneticPr fontId="1"/>
  </si>
  <si>
    <t>タイプ【偉人】の攻50％UP　/　タイプ妖怪・名物の攻25％UP</t>
    <phoneticPr fontId="1"/>
  </si>
  <si>
    <t>癇癪女王</t>
    <phoneticPr fontId="1"/>
  </si>
  <si>
    <t>ていえんはーとのくいーん</t>
    <phoneticPr fontId="1"/>
  </si>
  <si>
    <t>【庭園】ハートのクイーン</t>
    <phoneticPr fontId="1"/>
  </si>
  <si>
    <t>タイプ偉人・妖怪・名物の防70％DOWN　/　タイプ武人・姫の攻20％UP</t>
    <phoneticPr fontId="1"/>
  </si>
  <si>
    <t>タイプ偉人・妖怪・名物の防60％DOWN　/　タイプ武人・姫の攻15％UP</t>
    <phoneticPr fontId="1"/>
  </si>
  <si>
    <t>3/20 15:00～3/20 23:59</t>
    <phoneticPr fontId="1"/>
  </si>
  <si>
    <t>3/20 12:00～3/21 11:59</t>
    <phoneticPr fontId="1"/>
  </si>
  <si>
    <t>3/19 18:00～3/28 23:59</t>
    <phoneticPr fontId="1"/>
  </si>
  <si>
    <t>92152_0</t>
    <phoneticPr fontId="1"/>
  </si>
  <si>
    <t>92151_0</t>
    <phoneticPr fontId="1"/>
  </si>
  <si>
    <t>3/16 15:00～3/16 23:59</t>
    <phoneticPr fontId="1"/>
  </si>
  <si>
    <t>3/17 12:00～3/18 11:59</t>
    <phoneticPr fontId="1"/>
  </si>
  <si>
    <t>3/17 20:00～3/17 23:59</t>
    <phoneticPr fontId="1"/>
  </si>
  <si>
    <t>四神戦5進化隊士 謀略の賢君ガチャ</t>
    <rPh sb="0" eb="1">
      <t>ヨン</t>
    </rPh>
    <rPh sb="1" eb="2">
      <t>シン</t>
    </rPh>
    <rPh sb="2" eb="3">
      <t>セン</t>
    </rPh>
    <rPh sb="4" eb="6">
      <t>シンカ</t>
    </rPh>
    <rPh sb="6" eb="8">
      <t>タイシ</t>
    </rPh>
    <phoneticPr fontId="1"/>
  </si>
  <si>
    <t>タイプ神秘・知性派・飲食の防45％UP　/　タイプ偉人・妖怪・名物の攻10％DOWN</t>
    <phoneticPr fontId="1"/>
  </si>
  <si>
    <t>大胆不敵</t>
    <phoneticPr fontId="1"/>
  </si>
  <si>
    <t>さいしょうこーしか</t>
    <phoneticPr fontId="1"/>
  </si>
  <si>
    <t>【宰相】コーシカ</t>
    <phoneticPr fontId="1"/>
  </si>
  <si>
    <t>タイプ神秘・飲食の防20％UP　/　タイプ【名物】の攻10％DOWN</t>
    <phoneticPr fontId="1"/>
  </si>
  <si>
    <t>迦陵頻伽</t>
    <phoneticPr fontId="1"/>
  </si>
  <si>
    <t>巴御前</t>
    <phoneticPr fontId="1"/>
  </si>
  <si>
    <t>【五山送り火】大文字</t>
    <phoneticPr fontId="1"/>
  </si>
  <si>
    <t>天女姫</t>
    <phoneticPr fontId="1"/>
  </si>
  <si>
    <t>ねねこ河童</t>
    <phoneticPr fontId="1"/>
  </si>
  <si>
    <t>瀬戸内レモン</t>
    <phoneticPr fontId="1"/>
  </si>
  <si>
    <t>かりょうびんが</t>
    <phoneticPr fontId="1"/>
  </si>
  <si>
    <t>極楽浄土に響き渡る世界</t>
    <phoneticPr fontId="1"/>
  </si>
  <si>
    <t>タイプ【知性派】の攻15％UP</t>
    <phoneticPr fontId="1"/>
  </si>
  <si>
    <t>目覚めよこの歌声を聴きて</t>
    <phoneticPr fontId="1"/>
  </si>
  <si>
    <t>タイプ【姫】の攻25％UP</t>
    <phoneticPr fontId="1"/>
  </si>
  <si>
    <t>てんにょひめ</t>
    <phoneticPr fontId="1"/>
  </si>
  <si>
    <t>ねねこかっぱ</t>
    <phoneticPr fontId="1"/>
  </si>
  <si>
    <t>関八州利根川にねねこあり</t>
    <phoneticPr fontId="1"/>
  </si>
  <si>
    <t>タイプ【妖怪】の攻13％UP</t>
    <phoneticPr fontId="1"/>
  </si>
  <si>
    <t>せとうちれもん</t>
    <phoneticPr fontId="1"/>
  </si>
  <si>
    <t>瀬戸内海の酸味に吹かれて</t>
    <phoneticPr fontId="1"/>
  </si>
  <si>
    <t>タイプ【神秘】の攻15％UP</t>
    <phoneticPr fontId="1"/>
  </si>
  <si>
    <t>ござんのおくりびだいもんじ</t>
    <phoneticPr fontId="1"/>
  </si>
  <si>
    <t>タイプ【姫】の攻15％UP</t>
    <phoneticPr fontId="1"/>
  </si>
  <si>
    <t>夜空を彩る大文字</t>
    <phoneticPr fontId="1"/>
  </si>
  <si>
    <t>3/10 12:00～3/11 11:59</t>
    <phoneticPr fontId="1"/>
  </si>
  <si>
    <t>3/11 15:00～3/13 23:59</t>
    <phoneticPr fontId="1"/>
  </si>
  <si>
    <t>(20連)3/11 18:00～3/14 23:59</t>
    <rPh sb="3" eb="4">
      <t>レン</t>
    </rPh>
    <phoneticPr fontId="1"/>
  </si>
  <si>
    <t>化女沼伝説</t>
    <phoneticPr fontId="1"/>
  </si>
  <si>
    <t>2020/07四神戦</t>
    <rPh sb="7" eb="8">
      <t>ヨン</t>
    </rPh>
    <rPh sb="8" eb="9">
      <t>シン</t>
    </rPh>
    <rPh sb="9" eb="10">
      <t>セン</t>
    </rPh>
    <phoneticPr fontId="1"/>
  </si>
  <si>
    <t>2020/11四神戦</t>
    <rPh sb="7" eb="8">
      <t>ヨン</t>
    </rPh>
    <rPh sb="8" eb="9">
      <t>シン</t>
    </rPh>
    <rPh sb="9" eb="10">
      <t>セン</t>
    </rPh>
    <phoneticPr fontId="1"/>
  </si>
  <si>
    <t>2020/03全国巡り</t>
    <rPh sb="7" eb="10">
      <t>ゼンコクメグ</t>
    </rPh>
    <phoneticPr fontId="1"/>
  </si>
  <si>
    <t>大森林の射手</t>
    <phoneticPr fontId="1"/>
  </si>
  <si>
    <t>めいしゅえぎる</t>
    <phoneticPr fontId="1"/>
  </si>
  <si>
    <t>【名手】エギル</t>
    <phoneticPr fontId="1"/>
  </si>
  <si>
    <t>タイプ伝承・武人・姫の防45％UP　/　タイプ名物・妖怪・武人の攻10％DOWN</t>
    <phoneticPr fontId="1"/>
  </si>
  <si>
    <t>炎熱</t>
    <phoneticPr fontId="1"/>
  </si>
  <si>
    <t>がるだ</t>
    <phoneticPr fontId="1"/>
  </si>
  <si>
    <t>ガルダ</t>
    <phoneticPr fontId="1"/>
  </si>
  <si>
    <t>相反する絶対</t>
    <phoneticPr fontId="1"/>
  </si>
  <si>
    <t>ぱらどくす</t>
    <phoneticPr fontId="1"/>
  </si>
  <si>
    <t>パラドクス</t>
    <phoneticPr fontId="1"/>
  </si>
  <si>
    <t>全国巡り 春へとご案内！バス娘ガチャ</t>
    <rPh sb="0" eb="3">
      <t>ゼンコクメグ</t>
    </rPh>
    <phoneticPr fontId="1"/>
  </si>
  <si>
    <t>タイプ神秘・知性派の攻50％UP　/　タイプ【飲食】の攻20％UP</t>
    <phoneticPr fontId="1"/>
  </si>
  <si>
    <t>マシュマロ系バスガイド</t>
    <phoneticPr fontId="1"/>
  </si>
  <si>
    <t>ばすのたびましゅまろちゃん</t>
    <phoneticPr fontId="1"/>
  </si>
  <si>
    <t>【バスの旅】マシュマロちゃん</t>
    <phoneticPr fontId="1"/>
  </si>
  <si>
    <t>タイプ伝承・武人・姫の攻50％UP</t>
    <phoneticPr fontId="1"/>
  </si>
  <si>
    <t>女傑の療養行楽伝</t>
    <phoneticPr fontId="1"/>
  </si>
  <si>
    <t>しんせいすぱりぞーとみむらつる</t>
    <phoneticPr fontId="1"/>
  </si>
  <si>
    <t>[新生]【スパリゾート】三村鶴</t>
    <phoneticPr fontId="1"/>
  </si>
  <si>
    <t>しんせいさふぁりぱーくなんぶつるひめ</t>
    <phoneticPr fontId="1"/>
  </si>
  <si>
    <t>[新生]【サファリパーク】南部鶴姫</t>
    <phoneticPr fontId="1"/>
  </si>
  <si>
    <t>美しく光る漆黒の輝き</t>
    <phoneticPr fontId="1"/>
  </si>
  <si>
    <t>しんせいとくひめ</t>
    <phoneticPr fontId="1"/>
  </si>
  <si>
    <t>[新生]登久姫</t>
    <phoneticPr fontId="1"/>
  </si>
  <si>
    <t>鳥居もソースも一度くぐり</t>
    <phoneticPr fontId="1"/>
  </si>
  <si>
    <t>しんせいこうらくくしかつちゃん</t>
    <phoneticPr fontId="1"/>
  </si>
  <si>
    <t>[新生]【行楽】串カツちゃん</t>
    <phoneticPr fontId="1"/>
  </si>
  <si>
    <t>防衛戦 桜舞う月下の宴ガチャ</t>
    <rPh sb="0" eb="3">
      <t>ボウエイセン</t>
    </rPh>
    <phoneticPr fontId="1"/>
  </si>
  <si>
    <t>タイプ偉人・妖怪・名物の攻85％UP</t>
    <phoneticPr fontId="1"/>
  </si>
  <si>
    <t>妖しく揺らぐ桜と龍神の灯</t>
    <phoneticPr fontId="1"/>
  </si>
  <si>
    <t>かんおうかいしらぬい</t>
    <phoneticPr fontId="1"/>
  </si>
  <si>
    <t>【観桜会】不知火</t>
    <phoneticPr fontId="1"/>
  </si>
  <si>
    <t>97013_0</t>
    <phoneticPr fontId="1"/>
  </si>
  <si>
    <t>朔夜ノ燈火</t>
    <phoneticPr fontId="1"/>
  </si>
  <si>
    <t>一定時間、自身の攻撃に強襲率UP・強襲ダメージ超絶UP・攻撃ptを小吸収の効果を付与する</t>
    <phoneticPr fontId="1"/>
  </si>
  <si>
    <t>タイプ【知性派】の攻35％UP　/　タイプ神秘・飲食の攻20％UP</t>
    <phoneticPr fontId="1"/>
  </si>
  <si>
    <t>花霞纏う呪術的屋台</t>
    <phoneticPr fontId="1"/>
  </si>
  <si>
    <t>かんおうかいいぬがみつかい</t>
    <phoneticPr fontId="1"/>
  </si>
  <si>
    <t>【観桜会】犬神使い</t>
    <phoneticPr fontId="1"/>
  </si>
  <si>
    <t>タイプ神秘・飲食の防65％UP　/　タイプ【知性派】の防20％UP</t>
    <phoneticPr fontId="1"/>
  </si>
  <si>
    <t>桜と夢の詰まったトランク</t>
    <phoneticPr fontId="1"/>
  </si>
  <si>
    <t>かんおうかいいざべら・ばーど</t>
    <phoneticPr fontId="1"/>
  </si>
  <si>
    <t>【観桜会】イザベラ・バード</t>
    <phoneticPr fontId="1"/>
  </si>
  <si>
    <t>一目千本</t>
    <phoneticPr fontId="1"/>
  </si>
  <si>
    <t>かんおうかいよしのやまのさくら</t>
    <phoneticPr fontId="1"/>
  </si>
  <si>
    <t>【観桜会】吉野山の桜</t>
    <phoneticPr fontId="1"/>
  </si>
  <si>
    <t>稲荷大明神の神使</t>
    <phoneticPr fontId="1"/>
  </si>
  <si>
    <t>しんせいそうくろいなり</t>
    <phoneticPr fontId="1"/>
  </si>
  <si>
    <t>[新生]尊久老稲荷</t>
    <phoneticPr fontId="1"/>
  </si>
  <si>
    <t>夫に持たせた花見弁当</t>
    <phoneticPr fontId="1"/>
  </si>
  <si>
    <t>しんせいはなみねね</t>
    <phoneticPr fontId="1"/>
  </si>
  <si>
    <t>[新生]【花見】ねね</t>
    <phoneticPr fontId="1"/>
  </si>
  <si>
    <t>桜に酔う神懸りの舞</t>
    <phoneticPr fontId="1"/>
  </si>
  <si>
    <t>しんせいさくらめぐりかんなぎ</t>
    <phoneticPr fontId="1"/>
  </si>
  <si>
    <t>[新生]【桜めぐり】かんなぎ</t>
    <phoneticPr fontId="1"/>
  </si>
  <si>
    <t>常しえに羽ばたく白鷺</t>
    <phoneticPr fontId="1"/>
  </si>
  <si>
    <t>しんせいようせいしらさぎじょう</t>
    <phoneticPr fontId="1"/>
  </si>
  <si>
    <t>[新生]【妖精】白鷺城</t>
    <phoneticPr fontId="1"/>
  </si>
  <si>
    <t>またあの桜小道で</t>
    <phoneticPr fontId="1"/>
  </si>
  <si>
    <t>しんせいさくらめぐりおるりのかた</t>
    <phoneticPr fontId="1"/>
  </si>
  <si>
    <t>[新生]【桜めぐり】お瑠璃の方</t>
    <phoneticPr fontId="1"/>
  </si>
  <si>
    <t>[新生]南部駒踊</t>
    <phoneticPr fontId="1"/>
  </si>
  <si>
    <t>[新生]砂おろしちゃん</t>
    <phoneticPr fontId="1"/>
  </si>
  <si>
    <t>しんせいなんぶこまおどり</t>
    <phoneticPr fontId="1"/>
  </si>
  <si>
    <t>しんせいすなおろしちゃん</t>
    <phoneticPr fontId="1"/>
  </si>
  <si>
    <t>4/2 15:00～4/4 23:59</t>
    <phoneticPr fontId="1"/>
  </si>
  <si>
    <t>4/2 18:00～4/11 23:59</t>
    <phoneticPr fontId="1"/>
  </si>
  <si>
    <t>防衛戦5進化隊士 心繋がる桜花精ガチャ</t>
    <rPh sb="0" eb="3">
      <t>ボウエイセン</t>
    </rPh>
    <phoneticPr fontId="1"/>
  </si>
  <si>
    <t>桜と甘いモチモチ食感</t>
    <phoneticPr fontId="1"/>
  </si>
  <si>
    <t>かんおうかいみたらしだんごちゃん</t>
    <phoneticPr fontId="1"/>
  </si>
  <si>
    <t>【観桜会】みたらし団子ちゃん</t>
    <phoneticPr fontId="1"/>
  </si>
  <si>
    <t>タイプ神秘・知性派の攻30％UP　/　タイプ【飲食】の攻25％UP</t>
    <phoneticPr fontId="1"/>
  </si>
  <si>
    <t>タイプ神秘・知性派の攻15％UP　/　タイプ【飲食】の攻20％UP</t>
    <phoneticPr fontId="1"/>
  </si>
  <si>
    <t>a114596d123269</t>
    <phoneticPr fontId="1"/>
  </si>
  <si>
    <t>a114594d123273</t>
    <phoneticPr fontId="1"/>
  </si>
  <si>
    <t>防衛戦 鎮圧の戦国美姫ガチャ</t>
    <rPh sb="0" eb="3">
      <t>ボウエイセン</t>
    </rPh>
    <phoneticPr fontId="1"/>
  </si>
  <si>
    <t>タイプ神秘・知性派・飲食の攻85％DOWN　/　タイプ武人・伝承の防30％UP</t>
    <phoneticPr fontId="1"/>
  </si>
  <si>
    <t>桜に舞う戦国一の美女</t>
    <phoneticPr fontId="1"/>
  </si>
  <si>
    <t>さくらこうてんおいちのかた</t>
    <phoneticPr fontId="1"/>
  </si>
  <si>
    <t>【桜荒天】お市の方</t>
    <phoneticPr fontId="1"/>
  </si>
  <si>
    <t>和洋桃色の共演</t>
    <phoneticPr fontId="1"/>
  </si>
  <si>
    <t>しんせいりょうらんてっそ</t>
    <phoneticPr fontId="1"/>
  </si>
  <si>
    <t>[新生]【繚乱】鉄鼠</t>
    <phoneticPr fontId="1"/>
  </si>
  <si>
    <t>癒しと幸せの桜花弁</t>
    <phoneticPr fontId="1"/>
  </si>
  <si>
    <t>しんせいさくらいろ</t>
    <phoneticPr fontId="1"/>
  </si>
  <si>
    <t>[新生]桜色</t>
    <phoneticPr fontId="1"/>
  </si>
  <si>
    <t>星形の城塞都市</t>
    <phoneticPr fontId="1"/>
  </si>
  <si>
    <t>しんせいごりょうかくさん</t>
    <phoneticPr fontId="1"/>
  </si>
  <si>
    <t>[新生]五稜郭さん</t>
    <phoneticPr fontId="1"/>
  </si>
  <si>
    <t>3/12 20:00～3/12 23:59</t>
    <phoneticPr fontId="1"/>
  </si>
  <si>
    <t>アストライアー</t>
    <phoneticPr fontId="1"/>
  </si>
  <si>
    <t>ひつじちゃん</t>
    <phoneticPr fontId="1"/>
  </si>
  <si>
    <t>魅惑の小惑星</t>
    <phoneticPr fontId="1"/>
  </si>
  <si>
    <t>あすとらいあー</t>
    <phoneticPr fontId="1"/>
  </si>
  <si>
    <t>タイプ知性派・飲食の防45％UP　/　タイプ【神秘】の防10％UP</t>
    <phoneticPr fontId="1"/>
  </si>
  <si>
    <t>タイプ知性派・飲食の防30％UP　/　タイプ【神秘】の防5％UP</t>
    <phoneticPr fontId="1"/>
  </si>
  <si>
    <t>タイプ偉人・妖怪の防30％UP　/　タイプ【名物】の防15％UP</t>
    <phoneticPr fontId="1"/>
  </si>
  <si>
    <t>愛しの羊娘</t>
    <phoneticPr fontId="1"/>
  </si>
  <si>
    <t>タイプ偉人・妖怪の防15％UP　/　タイプ【名物】の防10％UP</t>
    <phoneticPr fontId="1"/>
  </si>
  <si>
    <t>タイプ偉人・妖怪の防25％UP　/　タイプ神秘・知性派・飲食の攻50％DOWN</t>
    <phoneticPr fontId="1"/>
  </si>
  <si>
    <t>豊かな西表島</t>
    <phoneticPr fontId="1"/>
  </si>
  <si>
    <t>てんくろあいらんど</t>
    <phoneticPr fontId="1"/>
  </si>
  <si>
    <t>天クロアイランド</t>
    <phoneticPr fontId="1"/>
  </si>
  <si>
    <t>96843_0</t>
    <phoneticPr fontId="1"/>
  </si>
  <si>
    <t>4/5 15:00～4/7 23:59</t>
    <phoneticPr fontId="1"/>
  </si>
  <si>
    <t>(20連)4/5 18:00～4/8 23:59</t>
    <rPh sb="3" eb="4">
      <t>レン</t>
    </rPh>
    <phoneticPr fontId="1"/>
  </si>
  <si>
    <t>(20連)4/7 15:00～4/11 23:59</t>
    <phoneticPr fontId="1"/>
  </si>
  <si>
    <t>全国巡り 縦横無尽に森遊びガチャ</t>
    <rPh sb="0" eb="3">
      <t>ゼンコクメグ</t>
    </rPh>
    <phoneticPr fontId="1"/>
  </si>
  <si>
    <t>[新生]陸奥守吉行</t>
    <phoneticPr fontId="1"/>
  </si>
  <si>
    <t>[新生]あま姫</t>
    <phoneticPr fontId="1"/>
  </si>
  <si>
    <t>[新生]新姫ちゃん</t>
    <phoneticPr fontId="1"/>
  </si>
  <si>
    <t>[新生]コシヒカリちゃん</t>
    <phoneticPr fontId="1"/>
  </si>
  <si>
    <t>【アドベンチャー】アカベコ</t>
    <phoneticPr fontId="1"/>
  </si>
  <si>
    <t>4/27 15:00～4/29 23:59</t>
    <phoneticPr fontId="1"/>
  </si>
  <si>
    <t>森と戯れる幸運の牛</t>
    <phoneticPr fontId="1"/>
  </si>
  <si>
    <t>あどべんちゃーあかべこ</t>
    <phoneticPr fontId="1"/>
  </si>
  <si>
    <t>甘く芳醇な香酸系</t>
    <phoneticPr fontId="1"/>
  </si>
  <si>
    <t>しんせいにいひめちゃん</t>
    <phoneticPr fontId="1"/>
  </si>
  <si>
    <t>麗しき姫と黄金の葉</t>
    <phoneticPr fontId="1"/>
  </si>
  <si>
    <t>しんせいあまひめ</t>
    <phoneticPr fontId="1"/>
  </si>
  <si>
    <t>最期の目撃刀</t>
    <phoneticPr fontId="1"/>
  </si>
  <si>
    <t>しんせいむつのかみよしゆき</t>
    <phoneticPr fontId="1"/>
  </si>
  <si>
    <t>(20連)4/25 18:00～4/27 23:59</t>
    <rPh sb="3" eb="4">
      <t>レン</t>
    </rPh>
    <phoneticPr fontId="1"/>
  </si>
  <si>
    <t>タイプ神秘・知性派の攻60％UP　/　タイプ【飲食】の攻30％UP</t>
    <phoneticPr fontId="1"/>
  </si>
  <si>
    <t>越の国に輝く光</t>
    <phoneticPr fontId="1"/>
  </si>
  <si>
    <t>しんせいこしひかりちゃん</t>
    <phoneticPr fontId="1"/>
  </si>
  <si>
    <t>(20連)4/28 18:00～4/30 23:59</t>
    <rPh sb="3" eb="4">
      <t>レン</t>
    </rPh>
    <phoneticPr fontId="1"/>
  </si>
  <si>
    <t>4/28 20:00～4/28 23:59</t>
    <phoneticPr fontId="1"/>
  </si>
  <si>
    <t>タイプ神秘・飲食・名物の攻20%UP</t>
    <rPh sb="3" eb="5">
      <t>シンピ</t>
    </rPh>
    <rPh sb="6" eb="8">
      <t>インショク</t>
    </rPh>
    <rPh sb="9" eb="11">
      <t>メイブツ</t>
    </rPh>
    <rPh sb="12" eb="13">
      <t>コウ</t>
    </rPh>
    <phoneticPr fontId="1"/>
  </si>
  <si>
    <t>タイプ【知性派】の攻20%UP</t>
    <rPh sb="4" eb="6">
      <t>チセイ</t>
    </rPh>
    <rPh sb="6" eb="7">
      <t>ハ</t>
    </rPh>
    <rPh sb="9" eb="10">
      <t>コウ</t>
    </rPh>
    <phoneticPr fontId="1"/>
  </si>
  <si>
    <t>タイプ伝承・知性派の防20%UP</t>
    <rPh sb="3" eb="5">
      <t>デンショウ</t>
    </rPh>
    <rPh sb="6" eb="8">
      <t>チセイ</t>
    </rPh>
    <rPh sb="8" eb="9">
      <t>ハ</t>
    </rPh>
    <rPh sb="10" eb="11">
      <t>ボウ</t>
    </rPh>
    <phoneticPr fontId="1"/>
  </si>
  <si>
    <t>ももたろうおともさんにんしゅう</t>
    <phoneticPr fontId="1"/>
  </si>
  <si>
    <t>愛と勇気と知恵が供</t>
    <phoneticPr fontId="1"/>
  </si>
  <si>
    <t>タイプ飲食・知性派・武人の攻30%UP</t>
    <rPh sb="3" eb="5">
      <t>インショク</t>
    </rPh>
    <rPh sb="6" eb="8">
      <t>チセイ</t>
    </rPh>
    <rPh sb="8" eb="9">
      <t>ハ</t>
    </rPh>
    <rPh sb="10" eb="12">
      <t>ブジン</t>
    </rPh>
    <rPh sb="13" eb="14">
      <t>コウ</t>
    </rPh>
    <phoneticPr fontId="1"/>
  </si>
  <si>
    <t>タイプ偉人・妖怪の防50％UP　/　所属が【北海道・東北】とそれに属する県、および【全国】【東日本】の防30％UP</t>
    <phoneticPr fontId="1"/>
  </si>
  <si>
    <t>刺激的な世界</t>
    <phoneticPr fontId="1"/>
  </si>
  <si>
    <t>あべるて</t>
    <phoneticPr fontId="1"/>
  </si>
  <si>
    <t>アベルテ</t>
    <phoneticPr fontId="1"/>
  </si>
  <si>
    <t>タイプ偉人・妖怪の防45％UP　/　所属が【北海道・東北】とそれに属する県、および【全国】【東日本】の防30％UP</t>
    <phoneticPr fontId="1"/>
  </si>
  <si>
    <t>タイプ偉人・妖怪の防40％UP　/　所属が【北海道・東北】とそれに属する県、および【全国】【東日本】の防30％UP</t>
    <phoneticPr fontId="1"/>
  </si>
  <si>
    <t>タイプ神秘・知性派の防50％UP　/　所属が【関東】とそれに属する県、および【全国】【東日本】の防30％UP</t>
    <phoneticPr fontId="1"/>
  </si>
  <si>
    <t>マッシュ・バフ</t>
    <phoneticPr fontId="1"/>
  </si>
  <si>
    <t>あるくまっしゅ</t>
    <phoneticPr fontId="1"/>
  </si>
  <si>
    <t>アルクマッシュ</t>
    <phoneticPr fontId="1"/>
  </si>
  <si>
    <t>タイプ偉人・名物の攻50％UP　/　所属が【中部】とそれに属する県、および【全国】【東日本】の攻30％UP</t>
    <phoneticPr fontId="1"/>
  </si>
  <si>
    <t>ヴァイパーの一撃</t>
    <phoneticPr fontId="1"/>
  </si>
  <si>
    <t>ざっはーく</t>
    <phoneticPr fontId="1"/>
  </si>
  <si>
    <t>ザッハーク</t>
    <phoneticPr fontId="1"/>
  </si>
  <si>
    <t>タイプ知性派・飲食の攻50％UP　/　所属が【近畿】とそれに属する県、および【全国】【西日本】の攻30％UP</t>
    <phoneticPr fontId="1"/>
  </si>
  <si>
    <t>天女の泪</t>
    <phoneticPr fontId="1"/>
  </si>
  <si>
    <t>べが</t>
    <phoneticPr fontId="1"/>
  </si>
  <si>
    <t>ベガ</t>
    <phoneticPr fontId="1"/>
  </si>
  <si>
    <t>タイプ武人・伝承の攻50％UP　/　所属が【中国・四国】とそれに属する県、および【全国】【西日本】の攻30％UP</t>
    <phoneticPr fontId="1"/>
  </si>
  <si>
    <t>鏡界を越えて</t>
    <phoneticPr fontId="1"/>
  </si>
  <si>
    <t>しゅぴーげる</t>
    <phoneticPr fontId="1"/>
  </si>
  <si>
    <t>シュピーゲル</t>
    <phoneticPr fontId="1"/>
  </si>
  <si>
    <t>タイプ姫・伝承の防50％UP　/　所属が【九州・沖縄】とそれに属する県、および【全国】【西日本】の防30％UP</t>
    <phoneticPr fontId="1"/>
  </si>
  <si>
    <t>憧憬の戦姫</t>
    <phoneticPr fontId="1"/>
  </si>
  <si>
    <t>せんきのきしりゅんぬ</t>
    <phoneticPr fontId="1"/>
  </si>
  <si>
    <t>戦姫の騎士リュンヌ</t>
    <phoneticPr fontId="1"/>
  </si>
  <si>
    <t>(20連)7/18 12:00～7/20 23:59</t>
    <rPh sb="3" eb="4">
      <t>レン</t>
    </rPh>
    <phoneticPr fontId="1"/>
  </si>
  <si>
    <t>7/18 15:00～7/21 23:59</t>
    <phoneticPr fontId="1"/>
  </si>
  <si>
    <t>円弧を描く一筋の羽根</t>
    <phoneticPr fontId="1"/>
  </si>
  <si>
    <t>しんせいがんたんくすもとたかこ</t>
    <phoneticPr fontId="1"/>
  </si>
  <si>
    <t>[新生]【元旦】楠本高子</t>
    <phoneticPr fontId="1"/>
  </si>
  <si>
    <t>雪狐の神通力</t>
    <phoneticPr fontId="1"/>
  </si>
  <si>
    <t>しんせいりょうらんゆきづかいなりのびゃっこ</t>
    <phoneticPr fontId="1"/>
  </si>
  <si>
    <t>[新生]【繚乱】雪塚稲荷の白狐</t>
    <phoneticPr fontId="1"/>
  </si>
  <si>
    <t>瀬戸内の占星術師</t>
    <phoneticPr fontId="1"/>
  </si>
  <si>
    <t>しんせいうらないしおりーぶちゃん</t>
    <phoneticPr fontId="1"/>
  </si>
  <si>
    <t>[新生]【占い師】オリーブちゃん</t>
    <phoneticPr fontId="1"/>
  </si>
  <si>
    <t>7/18 18:00～7/18 21:59</t>
    <phoneticPr fontId="1"/>
  </si>
  <si>
    <t>2019/08防衛戦</t>
    <phoneticPr fontId="1"/>
  </si>
  <si>
    <t>2019/07防衛戦</t>
    <phoneticPr fontId="1"/>
  </si>
  <si>
    <t>2019/12全国巡り</t>
    <rPh sb="7" eb="10">
      <t>ゼンコクメグ</t>
    </rPh>
    <phoneticPr fontId="1"/>
  </si>
  <si>
    <t>タイプ神秘・知性派の攻65％UP　/　タイプ【飲食】の攻20％UP</t>
    <phoneticPr fontId="1"/>
  </si>
  <si>
    <t>最北の三大うどん</t>
    <phoneticPr fontId="1"/>
  </si>
  <si>
    <t>しんせいいなにわうどん</t>
    <phoneticPr fontId="1"/>
  </si>
  <si>
    <t>[新生]稲庭うどん</t>
    <phoneticPr fontId="1"/>
  </si>
  <si>
    <t>しんせいばにーやまねとしこ</t>
    <phoneticPr fontId="1"/>
  </si>
  <si>
    <t>[新生]【バニー】山根敏子</t>
    <phoneticPr fontId="1"/>
  </si>
  <si>
    <t>長寿雨幣の白矢</t>
    <phoneticPr fontId="1"/>
  </si>
  <si>
    <t>しんせいしへいたけうちのすくね</t>
    <phoneticPr fontId="1"/>
  </si>
  <si>
    <t>[新生]【紙幣】武内宿禰</t>
    <phoneticPr fontId="1"/>
  </si>
  <si>
    <t>聳える日本の中枢</t>
    <phoneticPr fontId="1"/>
  </si>
  <si>
    <t>しんせいとうきょうとちょう</t>
    <phoneticPr fontId="1"/>
  </si>
  <si>
    <t>[新生]東京都庁</t>
    <phoneticPr fontId="1"/>
  </si>
  <si>
    <t>7/21 11:00～7/21 23:59</t>
    <phoneticPr fontId="1"/>
  </si>
  <si>
    <t>一筆一閃</t>
    <phoneticPr fontId="1"/>
  </si>
  <si>
    <t>まししょらんどれ</t>
    <phoneticPr fontId="1"/>
  </si>
  <si>
    <t>魔司書ランドレ</t>
    <phoneticPr fontId="1"/>
  </si>
  <si>
    <t>タイプ武人・姫の攻45％UP　/　タイプ【伝承】の攻30％UP</t>
    <phoneticPr fontId="1"/>
  </si>
  <si>
    <t>マスターアイ</t>
    <phoneticPr fontId="1"/>
  </si>
  <si>
    <t>かりうどろびん</t>
    <phoneticPr fontId="1"/>
  </si>
  <si>
    <t>【狩人】ロビン</t>
    <phoneticPr fontId="1"/>
  </si>
  <si>
    <t>タイプ妖怪・名物の攻20％UP　/　タイプ【偉人】の攻10％UP</t>
    <phoneticPr fontId="1"/>
  </si>
  <si>
    <t>7/21 15:00～7/21 23:59</t>
    <phoneticPr fontId="1"/>
  </si>
  <si>
    <t>3/23 12:00～3/24 11:59</t>
    <phoneticPr fontId="1"/>
  </si>
  <si>
    <t>3/23 20:00～3/23 23:59</t>
    <phoneticPr fontId="1"/>
  </si>
  <si>
    <t>3/24 12:00～3/29 23:59</t>
    <phoneticPr fontId="1"/>
  </si>
  <si>
    <t>タイプ偉人・妖怪・名物の防25％UP　/　所属が【北海道・東北】とそれに属する県、および【全国】【東日本】の防30％UP</t>
    <phoneticPr fontId="1"/>
  </si>
  <si>
    <t>愛と光の使徒</t>
    <phoneticPr fontId="1"/>
  </si>
  <si>
    <t>ようこうのさいてんおおがまのさもんかんじむ</t>
    <phoneticPr fontId="1"/>
  </si>
  <si>
    <t>【陽煌の祭典】大鎌の査問官ジム</t>
    <phoneticPr fontId="1"/>
  </si>
  <si>
    <t>タイプ神秘・知性派・飲食の防25％UP　/　所属が【関東】とそれに属する県、および【全国】【東日本】の防30％UP</t>
    <phoneticPr fontId="1"/>
  </si>
  <si>
    <t>揺るぐ信念</t>
    <phoneticPr fontId="1"/>
  </si>
  <si>
    <t>ようこうのさいてんふぉえる</t>
    <phoneticPr fontId="1"/>
  </si>
  <si>
    <t>【陽煌の祭典】フォエル</t>
    <phoneticPr fontId="1"/>
  </si>
  <si>
    <t>タイプ神秘・知性派・飲食の防25％UP　/　所属が【中部】とそれに属する県、および【全国】【東日本】の防30％UP</t>
    <phoneticPr fontId="1"/>
  </si>
  <si>
    <t>自由なる風</t>
    <phoneticPr fontId="1"/>
  </si>
  <si>
    <t>ようこうのさいてんとぅーり</t>
    <phoneticPr fontId="1"/>
  </si>
  <si>
    <t>【陽煌の祭典】トゥーリ</t>
    <phoneticPr fontId="1"/>
  </si>
  <si>
    <t>タイプ偉人・妖怪・名物の防25％UP　/　所属が【近畿】とそれに属する県、および【全国】【西日本】の防30％UP</t>
    <phoneticPr fontId="1"/>
  </si>
  <si>
    <t>目覚める春</t>
    <phoneticPr fontId="1"/>
  </si>
  <si>
    <t>ようこうのさいてんたれいあ</t>
    <phoneticPr fontId="1"/>
  </si>
  <si>
    <t>【陽煌の祭典】タレイア</t>
    <phoneticPr fontId="1"/>
  </si>
  <si>
    <t>タイプ伝承・武人・姫の防25％UP　/　所属が【中国・四国】とそれに属する県、および【全国】【西日本】の防30％UP</t>
    <phoneticPr fontId="1"/>
  </si>
  <si>
    <t>魔弾爆発</t>
    <phoneticPr fontId="1"/>
  </si>
  <si>
    <t>ようこうのさいてんまぎしゅーたー</t>
    <phoneticPr fontId="1"/>
  </si>
  <si>
    <t>【陽煌の祭典】マギシューター</t>
    <phoneticPr fontId="1"/>
  </si>
  <si>
    <t>タイプ偉人・妖怪・名物の防25％UP　/　所属が【九州・沖縄】とそれに属する県、および【全国】【西日本】の防30％UP</t>
    <phoneticPr fontId="1"/>
  </si>
  <si>
    <t>永遠の束縛</t>
    <phoneticPr fontId="1"/>
  </si>
  <si>
    <t>ようこうのさいてんはるもにあ</t>
    <phoneticPr fontId="1"/>
  </si>
  <si>
    <t>【陽煌の祭典】ハルモニア</t>
    <phoneticPr fontId="1"/>
  </si>
  <si>
    <t>3/24 18:00～3/24 21:59</t>
    <phoneticPr fontId="1"/>
  </si>
  <si>
    <t>3/27 18:00～3/29 23:59</t>
    <phoneticPr fontId="1"/>
  </si>
  <si>
    <t>(20連)3/28 15:00～3/31 23:59</t>
    <phoneticPr fontId="1"/>
  </si>
  <si>
    <t>(20連)3/28 18:00～3/31 23:59</t>
    <rPh sb="3" eb="4">
      <t>レン</t>
    </rPh>
    <phoneticPr fontId="1"/>
  </si>
  <si>
    <t>3/29 11:00～3/29 23:59</t>
    <phoneticPr fontId="1"/>
  </si>
  <si>
    <t>3/29 20:00～3/29 23:59</t>
    <phoneticPr fontId="1"/>
  </si>
  <si>
    <t>3/30 12:00～3/31 11:59</t>
    <phoneticPr fontId="1"/>
  </si>
  <si>
    <t>3/31 15:00～3/31 23:59</t>
    <phoneticPr fontId="1"/>
  </si>
  <si>
    <t>4/29 18:00～4/29 21:59</t>
    <phoneticPr fontId="1"/>
  </si>
  <si>
    <t>4/24 18:00～4/24 21:59</t>
    <phoneticPr fontId="1"/>
  </si>
  <si>
    <t>GWガチャ</t>
    <phoneticPr fontId="1"/>
  </si>
  <si>
    <t>(無料10連)4/24 12:00～5/5 23:59</t>
    <phoneticPr fontId="1"/>
  </si>
  <si>
    <t>(10連)</t>
    <rPh sb="3" eb="4">
      <t>レン</t>
    </rPh>
    <phoneticPr fontId="1"/>
  </si>
  <si>
    <t>(20連)4/24 12:00～5/5 23:59</t>
    <rPh sb="3" eb="4">
      <t>レン</t>
    </rPh>
    <phoneticPr fontId="1"/>
  </si>
  <si>
    <t>(10連)7/22 15:00～7/24 23:59</t>
    <rPh sb="3" eb="4">
      <t>レン</t>
    </rPh>
    <phoneticPr fontId="1"/>
  </si>
  <si>
    <t>素敵な悪夢</t>
    <phoneticPr fontId="1"/>
  </si>
  <si>
    <t>ないとめあ</t>
    <phoneticPr fontId="1"/>
  </si>
  <si>
    <t>ナイトメア</t>
    <phoneticPr fontId="1"/>
  </si>
  <si>
    <t>タイプ偉人・名物の防35％UP　/　タイプ【妖怪】の防25％UP</t>
    <phoneticPr fontId="1"/>
  </si>
  <si>
    <t>タイプ偉人・名物の防30％UP　/　タイプ【妖怪】の防20％UP</t>
    <phoneticPr fontId="1"/>
  </si>
  <si>
    <t>天空の御告げ</t>
    <phoneticPr fontId="1"/>
  </si>
  <si>
    <t>せいしがぶりえる</t>
    <phoneticPr fontId="1"/>
  </si>
  <si>
    <t>【聖使】ガブリエル</t>
    <phoneticPr fontId="1"/>
  </si>
  <si>
    <t>タイプ偉人・妖怪の防25％UP　/　タイプ神秘・武人・妖怪の攻60％DOWN</t>
    <phoneticPr fontId="1"/>
  </si>
  <si>
    <t>海遊ギャングスター</t>
    <phoneticPr fontId="1"/>
  </si>
  <si>
    <t>てんくろあくありうむ</t>
    <phoneticPr fontId="1"/>
  </si>
  <si>
    <t>99503_0</t>
    <phoneticPr fontId="1"/>
  </si>
  <si>
    <t>天クロアクアリウム</t>
    <phoneticPr fontId="1"/>
  </si>
  <si>
    <t>天クロ熱砂の住人</t>
    <phoneticPr fontId="1"/>
  </si>
  <si>
    <t>天クロベーカリー</t>
    <phoneticPr fontId="1"/>
  </si>
  <si>
    <t>天クロサムシングブルー</t>
    <phoneticPr fontId="1"/>
  </si>
  <si>
    <t>97483_0</t>
    <phoneticPr fontId="1"/>
  </si>
  <si>
    <t>98173_0</t>
    <phoneticPr fontId="1"/>
  </si>
  <si>
    <t>98863_0</t>
    <phoneticPr fontId="1"/>
  </si>
  <si>
    <t>タイプ偉人・妖怪・名物の防20％UP　/　タイプ神秘・知性派・飲食の攻10％DOWN</t>
    <phoneticPr fontId="1"/>
  </si>
  <si>
    <t>タイプ偉人・妖怪・名物の防15％UP　/　タイプ神秘・知性派・飲食の攻10％DOWN</t>
    <phoneticPr fontId="1"/>
  </si>
  <si>
    <t>4/23 12:00～4/24 11:59</t>
    <phoneticPr fontId="1"/>
  </si>
  <si>
    <t>4/23 20:00～4/23 23:59</t>
    <phoneticPr fontId="1"/>
  </si>
  <si>
    <t>(10連)4/22 15:00～4/24 23:59</t>
    <rPh sb="3" eb="4">
      <t>レン</t>
    </rPh>
    <phoneticPr fontId="1"/>
  </si>
  <si>
    <t>タイプ知性派・飲食の攻25％UP　/　タイプ偉人・姫・知性派の防50％DOWN</t>
    <phoneticPr fontId="1"/>
  </si>
  <si>
    <t>砂漠の精霊</t>
    <phoneticPr fontId="1"/>
  </si>
  <si>
    <t>てんくろねっさのじゅうにん</t>
    <phoneticPr fontId="1"/>
  </si>
  <si>
    <t>タイプ神秘・飲食の防30％UP　/　タイプ【知性派】の防15％UP</t>
    <phoneticPr fontId="1"/>
  </si>
  <si>
    <t>魂とは</t>
    <phoneticPr fontId="1"/>
  </si>
  <si>
    <t>そうるこれくたー</t>
    <phoneticPr fontId="1"/>
  </si>
  <si>
    <t>ソウルコレクター</t>
    <phoneticPr fontId="1"/>
  </si>
  <si>
    <t>タイプ神秘・飲食の防20％UP　/　タイプ【知性派】の防10％UP</t>
    <phoneticPr fontId="1"/>
  </si>
  <si>
    <t>タイプ神秘・飲食の防15％UP　/　タイプ【知性派】の防10％UP</t>
    <phoneticPr fontId="1"/>
  </si>
  <si>
    <t>タイプ偉人・妖怪・名物の攻85％DOWN　/　タイプ妖怪・名物の防30％UP</t>
    <phoneticPr fontId="1"/>
  </si>
  <si>
    <t>清涼の運び人</t>
    <phoneticPr fontId="1"/>
  </si>
  <si>
    <t>風鈴売りのヴィエーチル</t>
    <phoneticPr fontId="1"/>
  </si>
  <si>
    <t>ふうりんうりのびえーちる</t>
    <phoneticPr fontId="1"/>
  </si>
  <si>
    <t>タイプ偉人・妖怪・名物の攻70％DOWN　/　タイプ妖怪・名物の防20％UP</t>
    <phoneticPr fontId="1"/>
  </si>
  <si>
    <t>タイプ偉人・妖怪・名物の攻60％DOWN　/　タイプ妖怪・名物の防15％UP</t>
    <phoneticPr fontId="1"/>
  </si>
  <si>
    <t>4/21 18:00～4/24 23:59</t>
    <phoneticPr fontId="1"/>
  </si>
  <si>
    <t>移ろう叡智</t>
    <phoneticPr fontId="1"/>
  </si>
  <si>
    <t>うつろいのあんじぇりか</t>
    <phoneticPr fontId="1"/>
  </si>
  <si>
    <t>移ろいのアンジェリカ</t>
    <phoneticPr fontId="1"/>
  </si>
  <si>
    <t>鎧袖一触</t>
    <phoneticPr fontId="1"/>
  </si>
  <si>
    <t>ふぇりみーる</t>
    <phoneticPr fontId="1"/>
  </si>
  <si>
    <t>フェリミール</t>
    <phoneticPr fontId="1"/>
  </si>
  <si>
    <t>聖夜に忍び寄るジュスタの影</t>
    <phoneticPr fontId="1"/>
  </si>
  <si>
    <t>しゃどーくりすますきくひめ</t>
    <phoneticPr fontId="1"/>
  </si>
  <si>
    <t>【シャドークリスマス】菊姫</t>
    <phoneticPr fontId="1"/>
  </si>
  <si>
    <t>癒しのおひとりさま救済活動</t>
    <phoneticPr fontId="1"/>
  </si>
  <si>
    <t>きゃんぷじょしやまむろきえこ</t>
    <phoneticPr fontId="1"/>
  </si>
  <si>
    <t>【キャンプ女子】山室機恵子</t>
    <phoneticPr fontId="1"/>
  </si>
  <si>
    <t>神のごとき獣</t>
    <phoneticPr fontId="1"/>
  </si>
  <si>
    <t>こくうをつらぬくてんこ</t>
    <phoneticPr fontId="1"/>
  </si>
  <si>
    <t>【虚空を貫く】天狐</t>
    <phoneticPr fontId="1"/>
  </si>
  <si>
    <t>新年の食いだおれ</t>
    <phoneticPr fontId="1"/>
  </si>
  <si>
    <t>しんせいはつもうであらしたこやきちゃん</t>
    <phoneticPr fontId="1"/>
  </si>
  <si>
    <t>[新生]【初詣荒らし】たこ焼きちゃん</t>
    <phoneticPr fontId="1"/>
  </si>
  <si>
    <t>2019/04全国巡り有料ガチャ</t>
    <rPh sb="7" eb="10">
      <t>ゼンコクメグ</t>
    </rPh>
    <rPh sb="11" eb="13">
      <t>ユウリョウ</t>
    </rPh>
    <phoneticPr fontId="1"/>
  </si>
  <si>
    <t>2019/04サイコロ有料ガチャ</t>
    <rPh sb="11" eb="13">
      <t>ユウリョウ</t>
    </rPh>
    <phoneticPr fontId="1"/>
  </si>
  <si>
    <t>2019/01防衛戦有料ガチャ</t>
    <rPh sb="10" eb="12">
      <t>ユウリョウ</t>
    </rPh>
    <phoneticPr fontId="1"/>
  </si>
  <si>
    <t>2020/10サイコロ報酬</t>
    <rPh sb="11" eb="13">
      <t>ホウシュウ</t>
    </rPh>
    <phoneticPr fontId="1"/>
  </si>
  <si>
    <t>2020/12防衛戦報酬</t>
    <rPh sb="10" eb="12">
      <t>ホウシュウ</t>
    </rPh>
    <phoneticPr fontId="1"/>
  </si>
  <si>
    <t>2020/09全国巡り報酬</t>
    <rPh sb="7" eb="10">
      <t>ゼンコクメグ</t>
    </rPh>
    <rPh sb="11" eb="13">
      <t>ホウシュウ</t>
    </rPh>
    <phoneticPr fontId="1"/>
  </si>
  <si>
    <t>7/23 15:00～7/26 23:59</t>
    <phoneticPr fontId="1"/>
  </si>
  <si>
    <t>【雨姫の逆襲】濃姫</t>
    <phoneticPr fontId="1"/>
  </si>
  <si>
    <t>2019/06防衛戦</t>
    <phoneticPr fontId="1"/>
  </si>
  <si>
    <t>(20連)7/23 18:00～7/26 23:59</t>
    <rPh sb="3" eb="4">
      <t>レン</t>
    </rPh>
    <phoneticPr fontId="1"/>
  </si>
  <si>
    <t>7/23 20:00～7/23 23:59</t>
    <phoneticPr fontId="1"/>
  </si>
  <si>
    <t>防衛戦 海の家サンシャインガチャ</t>
    <rPh sb="0" eb="3">
      <t>ボウエイセン</t>
    </rPh>
    <phoneticPr fontId="1"/>
  </si>
  <si>
    <t>一定時間、味方全体に反射効果を付与し、攻撃をしてきた相手から戦技ゲージを吸収して、一定割合でめまい状態にする</t>
    <phoneticPr fontId="1"/>
  </si>
  <si>
    <t>灼熱日暈</t>
    <phoneticPr fontId="1"/>
  </si>
  <si>
    <t>タイプ伝承・武人・姫の防85％UP</t>
    <phoneticPr fontId="1"/>
  </si>
  <si>
    <t>夏海も制する百発百中の女傑</t>
    <phoneticPr fontId="1"/>
  </si>
  <si>
    <t>うみのいえはんがくごぜん</t>
    <phoneticPr fontId="1"/>
  </si>
  <si>
    <t>【海の家】板額御前</t>
    <phoneticPr fontId="1"/>
  </si>
  <si>
    <t>99033_0</t>
  </si>
  <si>
    <t>タイプ伝承・武人・姫の攻85％DOWN　/　タイプ偉人・妖怪の防30％UP</t>
    <phoneticPr fontId="1"/>
  </si>
  <si>
    <t>輝き放ち空飛ぶ美魚</t>
    <phoneticPr fontId="1"/>
  </si>
  <si>
    <t>うみのいえとびうおちゃん</t>
    <phoneticPr fontId="1"/>
  </si>
  <si>
    <t>【海の家】トビウオちゃん</t>
    <phoneticPr fontId="1"/>
  </si>
  <si>
    <t>夏海に咲く秋の七草</t>
    <phoneticPr fontId="1"/>
  </si>
  <si>
    <t>うみのいえただのまくず</t>
    <phoneticPr fontId="1"/>
  </si>
  <si>
    <t>【海の家】只野真葛</t>
    <phoneticPr fontId="1"/>
  </si>
  <si>
    <t>嵐鎮め門出を祝う黒姫</t>
    <phoneticPr fontId="1"/>
  </si>
  <si>
    <t>うみのいえくろひめ</t>
    <phoneticPr fontId="1"/>
  </si>
  <si>
    <t>【海の家】黒姫</t>
    <phoneticPr fontId="1"/>
  </si>
  <si>
    <t>しんせいぶるーはわいちゃん</t>
    <phoneticPr fontId="1"/>
  </si>
  <si>
    <t>[新生]ブルーハワイちゃん</t>
    <phoneticPr fontId="1"/>
  </si>
  <si>
    <t>変態魚</t>
    <phoneticPr fontId="1"/>
  </si>
  <si>
    <t>しんせいほうそうぎょ</t>
    <phoneticPr fontId="1"/>
  </si>
  <si>
    <t>[新生]鳳そう魚</t>
    <phoneticPr fontId="1"/>
  </si>
  <si>
    <t>神と術師の一心同体</t>
    <phoneticPr fontId="1"/>
  </si>
  <si>
    <t>しんせいせんごくうみびらきいぬがみつかい</t>
    <phoneticPr fontId="1"/>
  </si>
  <si>
    <t>[新生]【戦国海開き】犬神使い</t>
    <phoneticPr fontId="1"/>
  </si>
  <si>
    <t>[新生]【バンド】二宮金次郎</t>
    <phoneticPr fontId="1"/>
  </si>
  <si>
    <t>[新生]【うたたね】禰津夫人</t>
    <phoneticPr fontId="1"/>
  </si>
  <si>
    <t>[新生]伊予柑氷ちゃん</t>
    <phoneticPr fontId="1"/>
  </si>
  <si>
    <t>[新生]涅槃像</t>
    <phoneticPr fontId="1"/>
  </si>
  <si>
    <t>喰らえ本場の柑橘氷</t>
    <phoneticPr fontId="1"/>
  </si>
  <si>
    <t>しんせいいよかんごおりちゃん</t>
    <phoneticPr fontId="1"/>
  </si>
  <si>
    <t>禰津御寮人の骨休め</t>
    <phoneticPr fontId="1"/>
  </si>
  <si>
    <t>しんせいうたたねねづふじん</t>
    <phoneticPr fontId="1"/>
  </si>
  <si>
    <t>煩悩無き涅槃寂静</t>
    <phoneticPr fontId="1"/>
  </si>
  <si>
    <t>しんせいねはんぞう</t>
    <phoneticPr fontId="1"/>
  </si>
  <si>
    <t>しんせいばんどにのみやきんじろう</t>
    <phoneticPr fontId="1"/>
  </si>
  <si>
    <t>輝け！二宮バンド隊</t>
    <phoneticPr fontId="1"/>
  </si>
  <si>
    <t>7/2 15:00～7/11 23:59</t>
    <phoneticPr fontId="1"/>
  </si>
  <si>
    <t>7/2 18:00～7/5 23:59</t>
    <phoneticPr fontId="1"/>
  </si>
  <si>
    <t>防衛戦5進化隊士 美海の救援隊ガチャ</t>
    <rPh sb="0" eb="3">
      <t>ボウエイセン</t>
    </rPh>
    <phoneticPr fontId="1"/>
  </si>
  <si>
    <t>タイプ偉人・名物の防50％UP　/　タイプ【妖怪】の防20％UP</t>
    <phoneticPr fontId="1"/>
  </si>
  <si>
    <t>海の人命と恋愛を守る怪火</t>
    <phoneticPr fontId="1"/>
  </si>
  <si>
    <t>うみのきゅうじょたいいねんび</t>
    <phoneticPr fontId="1"/>
  </si>
  <si>
    <t>【海の救助隊】遺念火</t>
    <phoneticPr fontId="1"/>
  </si>
  <si>
    <t>タイプ偉人・名物の防35％UP　/　タイプ【妖怪】の防15％UP</t>
    <phoneticPr fontId="1"/>
  </si>
  <si>
    <t>タイプ偉人・名物の防20％UP　/　タイプ【妖怪】の防10％UP</t>
    <phoneticPr fontId="1"/>
  </si>
  <si>
    <t>女参事に宿る怨念</t>
    <phoneticPr fontId="1"/>
  </si>
  <si>
    <t>おひなさままつおたせこ</t>
    <phoneticPr fontId="1"/>
  </si>
  <si>
    <t>【お雛様】松尾多勢子</t>
    <phoneticPr fontId="1"/>
  </si>
  <si>
    <t>幻魔一閃</t>
    <phoneticPr fontId="1"/>
  </si>
  <si>
    <t>ようまあんくう</t>
    <phoneticPr fontId="1"/>
  </si>
  <si>
    <t>【妖魔】アンクウ</t>
    <phoneticPr fontId="1"/>
  </si>
  <si>
    <t>気高き誠の狼隊士</t>
    <phoneticPr fontId="1"/>
  </si>
  <si>
    <t>しんせんぐみまかみ</t>
    <phoneticPr fontId="1"/>
  </si>
  <si>
    <t>【新選組】真神</t>
    <phoneticPr fontId="1"/>
  </si>
  <si>
    <t>2021/03防衛戦</t>
    <phoneticPr fontId="1"/>
  </si>
  <si>
    <t>2020/12四神戦</t>
    <rPh sb="7" eb="10">
      <t>ヨンシンセン</t>
    </rPh>
    <phoneticPr fontId="1"/>
  </si>
  <si>
    <t>2021/02全国巡り</t>
    <rPh sb="7" eb="10">
      <t>ゼンコクメグ</t>
    </rPh>
    <phoneticPr fontId="1"/>
  </si>
  <si>
    <t>(20連)7/24 12:00～7/28 23:59</t>
    <phoneticPr fontId="1"/>
  </si>
  <si>
    <t>全国巡り 鼓舞せよフィットネス！ガチャ</t>
    <rPh sb="0" eb="3">
      <t>ゼンコクメグ</t>
    </rPh>
    <phoneticPr fontId="1"/>
  </si>
  <si>
    <t>百歳雛、永遠に美しく</t>
    <phoneticPr fontId="1"/>
  </si>
  <si>
    <t>じむとれあいおいさまのそうでん</t>
    <phoneticPr fontId="1"/>
  </si>
  <si>
    <t>【ジムトレ】相生様の相伝</t>
    <phoneticPr fontId="1"/>
  </si>
  <si>
    <t>タイプ【妖怪】の攻90％UP　/　タイプ偉人・名物の攻30％UP</t>
    <phoneticPr fontId="1"/>
  </si>
  <si>
    <t>400メートル400軒もの店舗</t>
    <phoneticPr fontId="1"/>
  </si>
  <si>
    <t>しんせいあめよこちゃん</t>
    <phoneticPr fontId="1"/>
  </si>
  <si>
    <t>[新生]アメ横ちゃん</t>
    <phoneticPr fontId="1"/>
  </si>
  <si>
    <t>静寂に響く風切音</t>
    <phoneticPr fontId="1"/>
  </si>
  <si>
    <t>しんせいじむこまつひめ</t>
    <phoneticPr fontId="1"/>
  </si>
  <si>
    <t>[新生]【ジム】小松姫</t>
    <phoneticPr fontId="1"/>
  </si>
  <si>
    <t>恨火の一撃</t>
    <phoneticPr fontId="1"/>
  </si>
  <si>
    <t>しんせいおんなぶじゅつかきよひめ</t>
    <phoneticPr fontId="1"/>
  </si>
  <si>
    <t>[新生]【女武術家】清姫</t>
    <phoneticPr fontId="1"/>
  </si>
  <si>
    <t>四万十語りの川下り</t>
    <phoneticPr fontId="1"/>
  </si>
  <si>
    <t>しんせいしまんとがわのやかたぶね</t>
    <phoneticPr fontId="1"/>
  </si>
  <si>
    <t>[新生]四万十川の屋形船</t>
    <phoneticPr fontId="1"/>
  </si>
  <si>
    <t>7/25 15:00～7/25 23:59</t>
    <phoneticPr fontId="1"/>
  </si>
  <si>
    <t>7/17 20:00～7/17 23:59</t>
    <phoneticPr fontId="1"/>
  </si>
  <si>
    <t>7/17 15:00～7/25 23:59</t>
    <phoneticPr fontId="1"/>
  </si>
  <si>
    <t>7/17 12:00～7/18 11:59</t>
    <phoneticPr fontId="1"/>
  </si>
  <si>
    <t>【フェスティバル】イワイセポ</t>
    <phoneticPr fontId="1"/>
  </si>
  <si>
    <t>楽しい一時</t>
    <phoneticPr fontId="1"/>
  </si>
  <si>
    <t>ふぇすてぃばるいわいせぽ</t>
    <phoneticPr fontId="1"/>
  </si>
  <si>
    <t>タイプ知性派・飲食の防30％UP　/　タイプ【神秘】の防15％UP</t>
    <phoneticPr fontId="1"/>
  </si>
  <si>
    <t>慈愛の輝き</t>
    <phoneticPr fontId="1"/>
  </si>
  <si>
    <t>るふと</t>
    <phoneticPr fontId="1"/>
  </si>
  <si>
    <t>ルフト</t>
    <phoneticPr fontId="1"/>
  </si>
  <si>
    <t>タイプ知性派・飲食の防20％UP　/　タイプ【神秘】の防10％UP</t>
    <phoneticPr fontId="1"/>
  </si>
  <si>
    <t>タイプ知性派・飲食の防15％UP　/　タイプ【神秘】の防10％UP</t>
    <phoneticPr fontId="1"/>
  </si>
  <si>
    <t>タイプ伝承・武人・姫の防40％UP　/　タイプ武人・飲食・妖怪の攻10％DOWN</t>
    <phoneticPr fontId="1"/>
  </si>
  <si>
    <t>最高の原石</t>
    <phoneticPr fontId="1"/>
  </si>
  <si>
    <t>とぱーずひめ</t>
    <phoneticPr fontId="1"/>
  </si>
  <si>
    <t>トパーズ姫</t>
    <phoneticPr fontId="1"/>
  </si>
  <si>
    <t>タイプ伝承・武人・姫の防25％UP　/　タイプ武人・飲食・妖怪の攻10％DOWN</t>
    <phoneticPr fontId="1"/>
  </si>
  <si>
    <t>タイプ伝承・武人・姫の防20％UP　/　タイプ武人・飲食・妖怪の攻10％DOWN</t>
    <phoneticPr fontId="1"/>
  </si>
  <si>
    <t>タイプ神秘・知性派の防25％UP　/　タイプ偉人・姫・知性派の攻55％DOWN</t>
    <phoneticPr fontId="1"/>
  </si>
  <si>
    <t>気高き餡子</t>
    <phoneticPr fontId="1"/>
  </si>
  <si>
    <t>てんくろべーかりー</t>
    <phoneticPr fontId="1"/>
  </si>
  <si>
    <t>7/26 18:00～7/28 23:59</t>
    <phoneticPr fontId="1"/>
  </si>
  <si>
    <t>祝来！宝船福引ガチャ(SSR一種失念)</t>
    <rPh sb="0" eb="1">
      <t>シュク</t>
    </rPh>
    <rPh sb="1" eb="2">
      <t>ライ</t>
    </rPh>
    <rPh sb="3" eb="5">
      <t>タカラブネ</t>
    </rPh>
    <rPh sb="5" eb="7">
      <t>フクビキ</t>
    </rPh>
    <rPh sb="14" eb="15">
      <t>ヒト</t>
    </rPh>
    <rPh sb="16" eb="18">
      <t>シツネン</t>
    </rPh>
    <phoneticPr fontId="1"/>
  </si>
  <si>
    <t>解き放たれし剣</t>
    <phoneticPr fontId="1"/>
  </si>
  <si>
    <t>ほうけんのくらうでぃあ</t>
    <phoneticPr fontId="1"/>
  </si>
  <si>
    <t>封剣のクラウディア</t>
    <phoneticPr fontId="1"/>
  </si>
  <si>
    <t>タイプ【姫】の防30％UP　/　タイプ武人・伝承の防10％UP</t>
    <phoneticPr fontId="1"/>
  </si>
  <si>
    <t>アマルテイア小夜曲</t>
    <phoneticPr fontId="1"/>
  </si>
  <si>
    <t>ねっさのたみあいゆーく</t>
    <phoneticPr fontId="1"/>
  </si>
  <si>
    <t>【熱砂の民】アイユーク</t>
    <phoneticPr fontId="1"/>
  </si>
  <si>
    <t>タイプ神秘・知性派・飲食の防25％UP　/　タイプ飲食・武人・名物の攻10％DOWN</t>
    <phoneticPr fontId="1"/>
  </si>
  <si>
    <t>タイプ神秘・知性派・飲食の防20％UP　/　タイプ飲食・武人・名物の攻10％DOWN</t>
    <phoneticPr fontId="1"/>
  </si>
  <si>
    <t>タイプ神秘・飲食の攻25％UP　/　タイプ偉人・姫・神秘の防55％DOWN</t>
    <phoneticPr fontId="1"/>
  </si>
  <si>
    <t>高潔の輝き</t>
    <phoneticPr fontId="1"/>
  </si>
  <si>
    <t>てんくろさむしんぐぶるー</t>
    <phoneticPr fontId="1"/>
  </si>
  <si>
    <t>一定時間、味方全体の戦技ゲージ上昇割合をUPさせ、自身が戦技を発動するたび敵軍に固定ダメージを与えて、敵単体の戦技を一定割合で封じる</t>
    <phoneticPr fontId="1"/>
  </si>
  <si>
    <t>神震の雷歌</t>
    <phoneticPr fontId="1"/>
  </si>
  <si>
    <t>雷神の娘が歌う魂の叫び</t>
    <phoneticPr fontId="1"/>
  </si>
  <si>
    <t>しすたーたちばなぎんちよ</t>
    <phoneticPr fontId="1"/>
  </si>
  <si>
    <t>【シスター】立花誾千代</t>
    <phoneticPr fontId="1"/>
  </si>
  <si>
    <t>97703_0</t>
    <phoneticPr fontId="1"/>
  </si>
  <si>
    <t>一定時間、味方の攻撃が敵を貫通し、戦技ゲージ上昇割合UPと攻撃するほど大ダメージの効果を付与</t>
    <phoneticPr fontId="1"/>
  </si>
  <si>
    <t>百花水放</t>
    <phoneticPr fontId="1"/>
  </si>
  <si>
    <t>タイプ伝承・武人・姫の攻85％UP</t>
    <phoneticPr fontId="1"/>
  </si>
  <si>
    <t>歌が導く童話の世界</t>
    <phoneticPr fontId="1"/>
  </si>
  <si>
    <t>ゆうえんびよりきんぎょのうた</t>
    <phoneticPr fontId="1"/>
  </si>
  <si>
    <t>【遊園日和】金魚の歌</t>
    <phoneticPr fontId="1"/>
  </si>
  <si>
    <t>98393_0</t>
    <phoneticPr fontId="1"/>
  </si>
  <si>
    <t>味方全体の防20%UP</t>
    <phoneticPr fontId="1"/>
  </si>
  <si>
    <t>タイプ伝承・武人・姫の防45％UP　/　タイプ神秘・知性派・飲食の攻10％DOWN</t>
    <phoneticPr fontId="1"/>
  </si>
  <si>
    <t>怖れ知らぬ強心臓の女傑</t>
    <phoneticPr fontId="1"/>
  </si>
  <si>
    <t>ゆうえんびよりあかいてるこ</t>
    <phoneticPr fontId="1"/>
  </si>
  <si>
    <t>【遊園日和】赤井輝子</t>
    <phoneticPr fontId="1"/>
  </si>
  <si>
    <t>完全攻略めざす鬼切の地図</t>
    <phoneticPr fontId="1"/>
  </si>
  <si>
    <t>ゆうえんびよりおにきりまる</t>
    <phoneticPr fontId="1"/>
  </si>
  <si>
    <t>【遊園日和】鬼切丸</t>
    <phoneticPr fontId="1"/>
  </si>
  <si>
    <t>タイプ神秘・飲食の攻60％UP　/　タイプ【知性派】の攻30％UP</t>
    <phoneticPr fontId="1"/>
  </si>
  <si>
    <t>南画家彩るパレード</t>
    <phoneticPr fontId="1"/>
  </si>
  <si>
    <t>ゆうえんびよりのぐちしょうひん</t>
    <phoneticPr fontId="1"/>
  </si>
  <si>
    <t>【遊園日和】野口小蘋</t>
    <phoneticPr fontId="1"/>
  </si>
  <si>
    <t>しんせいえすかろっぷ</t>
    <phoneticPr fontId="1"/>
  </si>
  <si>
    <t>[新生]エスカロップ</t>
    <phoneticPr fontId="1"/>
  </si>
  <si>
    <t>しんせいなつゆうえんちたまやのつばき</t>
    <phoneticPr fontId="1"/>
  </si>
  <si>
    <t>[新生]【夏遊園地】玉屋の椿</t>
    <phoneticPr fontId="1"/>
  </si>
  <si>
    <t>伝統的薩摩硝子技法</t>
    <phoneticPr fontId="1"/>
  </si>
  <si>
    <t>しんせいさつまきりこ</t>
    <phoneticPr fontId="1"/>
  </si>
  <si>
    <t>[新生]薩摩切子</t>
    <phoneticPr fontId="1"/>
  </si>
  <si>
    <t>[新生]千菊姫</t>
    <phoneticPr fontId="1"/>
  </si>
  <si>
    <t>[新生]【西遊記】二宮金次郎</t>
    <phoneticPr fontId="1"/>
  </si>
  <si>
    <t>[新生]【バーレスク】たこ焼きちゃん</t>
    <phoneticPr fontId="1"/>
  </si>
  <si>
    <t>[新生]リトルクピド</t>
    <phoneticPr fontId="1"/>
  </si>
  <si>
    <t>しんせいせんぎくひめ</t>
    <phoneticPr fontId="1"/>
  </si>
  <si>
    <t>書状に込めた父への想い</t>
    <phoneticPr fontId="1"/>
  </si>
  <si>
    <t>しんせいさいゆうきにのみやきんじろう</t>
    <phoneticPr fontId="1"/>
  </si>
  <si>
    <t>経典を背に歩む喜び</t>
    <phoneticPr fontId="1"/>
  </si>
  <si>
    <t>しんせいばーれすくたこやきちゃん</t>
    <phoneticPr fontId="1"/>
  </si>
  <si>
    <t>口へと放るたこ焼きジャグリング</t>
    <phoneticPr fontId="1"/>
  </si>
  <si>
    <t>天使を励ますチョコの滋味</t>
    <phoneticPr fontId="1"/>
  </si>
  <si>
    <t>しんせいりとるくぴど</t>
    <phoneticPr fontId="1"/>
  </si>
  <si>
    <t>タイプ伝承・武人・姫の攻40％UP　/　タイプ飲食・知性派・武人の防10％DOWN</t>
    <phoneticPr fontId="1"/>
  </si>
  <si>
    <t>慈愛の守護姫</t>
    <phoneticPr fontId="1"/>
  </si>
  <si>
    <t>しすたーまつだいらてる</t>
    <phoneticPr fontId="1"/>
  </si>
  <si>
    <t>【シスター】松平照</t>
    <phoneticPr fontId="1"/>
  </si>
  <si>
    <t>タイプ【飲食】の防30％UP　/　タイプ神秘・知性派の防15％UP</t>
    <phoneticPr fontId="1"/>
  </si>
  <si>
    <t>神から与えられし神秘の歌子</t>
    <phoneticPr fontId="1"/>
  </si>
  <si>
    <t>4/12 20:00～4/12 23:59</t>
    <phoneticPr fontId="1"/>
  </si>
  <si>
    <t>4/13 18:00～4/13 21:59</t>
    <phoneticPr fontId="1"/>
  </si>
  <si>
    <t>4/17 20:00～4/17 23:59</t>
    <phoneticPr fontId="1"/>
  </si>
  <si>
    <t>4/18 18:00～4/18 21:59</t>
    <phoneticPr fontId="1"/>
  </si>
  <si>
    <t>5/7 20:00～5/7 23:59</t>
    <phoneticPr fontId="1"/>
  </si>
  <si>
    <t>5/8 18:00～5/8 21:59</t>
    <phoneticPr fontId="1"/>
  </si>
  <si>
    <t>5/13 18:00～5/13 21:59</t>
    <phoneticPr fontId="1"/>
  </si>
  <si>
    <t>5/17 20:00～5/17 23:59</t>
    <phoneticPr fontId="1"/>
  </si>
  <si>
    <t>5/18 18:00～5/18 21:59</t>
    <phoneticPr fontId="1"/>
  </si>
  <si>
    <t>5/23 20:00～5/23 23:59</t>
    <phoneticPr fontId="1"/>
  </si>
  <si>
    <t>5/24 18:00～5/24 21:59</t>
    <phoneticPr fontId="1"/>
  </si>
  <si>
    <t>5/28 20:00～5/28 23:59</t>
    <phoneticPr fontId="1"/>
  </si>
  <si>
    <t>5/29 18:00～5/29 21:59</t>
    <phoneticPr fontId="1"/>
  </si>
  <si>
    <t>6/8 18:00～6/8 21:59</t>
    <phoneticPr fontId="1"/>
  </si>
  <si>
    <t>6/17 20:00～6/17 23:59</t>
    <phoneticPr fontId="1"/>
  </si>
  <si>
    <t>6/18 18:00～6/18 21:59</t>
    <phoneticPr fontId="1"/>
  </si>
  <si>
    <t>6/23 20:00～6/23 23:59</t>
    <phoneticPr fontId="1"/>
  </si>
  <si>
    <t>6/24 18:00～6/24 21:59</t>
    <phoneticPr fontId="1"/>
  </si>
  <si>
    <t>6/27 20:00～6/27 23:59</t>
    <phoneticPr fontId="1"/>
  </si>
  <si>
    <t>6/29 18:00～6/29 21:59</t>
    <phoneticPr fontId="1"/>
  </si>
  <si>
    <t>7/14 20:00～7/14 23:59</t>
    <phoneticPr fontId="1"/>
  </si>
  <si>
    <t>7/27 20:00～7/27 23:59</t>
    <phoneticPr fontId="1"/>
  </si>
  <si>
    <t>しすたーしもだうたこ</t>
    <phoneticPr fontId="1"/>
  </si>
  <si>
    <t>【シスター】下田歌子</t>
    <phoneticPr fontId="1"/>
  </si>
  <si>
    <t>道照らす三女神の霊力</t>
    <phoneticPr fontId="1"/>
  </si>
  <si>
    <t>しすたーむなかたさんじょじん</t>
    <phoneticPr fontId="1"/>
  </si>
  <si>
    <t>【シスター】宗像三女神</t>
    <phoneticPr fontId="1"/>
  </si>
  <si>
    <t>しんせいいるみねーしょんきたはらさとこ</t>
    <phoneticPr fontId="1"/>
  </si>
  <si>
    <t>[新生]【イルミネーション】北原怜子</t>
    <phoneticPr fontId="1"/>
  </si>
  <si>
    <t>しんせいあれっさんどろヴぁりにゃーの</t>
    <phoneticPr fontId="1"/>
  </si>
  <si>
    <t>[新生]アレッサンドロ・ヴァリニャーノ</t>
    <phoneticPr fontId="1"/>
  </si>
  <si>
    <t>神とともに戦場を生きしキリシタン</t>
    <phoneticPr fontId="1"/>
  </si>
  <si>
    <t>しんせいうきたもにか</t>
    <phoneticPr fontId="1"/>
  </si>
  <si>
    <t>[新生]宇喜多モニカ</t>
    <phoneticPr fontId="1"/>
  </si>
  <si>
    <t>[新生]【ウエディング】クサビラ神</t>
    <phoneticPr fontId="1"/>
  </si>
  <si>
    <t>[新生]瀬戸内海のだるま太陽ちゃん</t>
    <phoneticPr fontId="1"/>
  </si>
  <si>
    <t>[新生]長野業正</t>
    <phoneticPr fontId="1"/>
  </si>
  <si>
    <t>[新生]送り犬</t>
    <phoneticPr fontId="1"/>
  </si>
  <si>
    <t>のこのこ現れ森の祝福</t>
    <phoneticPr fontId="1"/>
  </si>
  <si>
    <t>しんせいうえでぃんぐくさびらがみ</t>
    <phoneticPr fontId="1"/>
  </si>
  <si>
    <t>重なり昇る太陽</t>
    <phoneticPr fontId="1"/>
  </si>
  <si>
    <t>しんせいせとないかいのだるまたいようちゃん</t>
    <phoneticPr fontId="1"/>
  </si>
  <si>
    <t>しんせいながのなりまさ</t>
    <phoneticPr fontId="1"/>
  </si>
  <si>
    <t>しんせいおくりいぬ</t>
    <phoneticPr fontId="1"/>
  </si>
  <si>
    <t>防衛戦 謹賀新年2021ガチャ(SSR3枠増加は当月のみ。HRコストMAXが『コスト24～25SR10％(HR以上確定)チケ』による25に変更。)</t>
    <rPh sb="0" eb="3">
      <t>ボウエイセン</t>
    </rPh>
    <rPh sb="20" eb="21">
      <t>ワク</t>
    </rPh>
    <rPh sb="21" eb="23">
      <t>ゾウカ</t>
    </rPh>
    <rPh sb="24" eb="26">
      <t>トウゲツ</t>
    </rPh>
    <rPh sb="69" eb="71">
      <t>ヘンコウ</t>
    </rPh>
    <phoneticPr fontId="1"/>
  </si>
  <si>
    <t>防衛戦 魂震わす賛美歌ガチャ(SRコストMAXが『コスト29SSR10％(SR以上確定)チケ』による29に変更。HRコストMAXが『コスト26～27SR10％(HR以上確定)チケ』による27に変更。)</t>
    <rPh sb="0" eb="3">
      <t>ボウエイセン</t>
    </rPh>
    <phoneticPr fontId="1"/>
  </si>
  <si>
    <t>防衛戦 常夏！ビーチバカンスガチャ(DXガチャ福引2等が『コスト25SSR30％(SR以上確定)チケ』から『コスト26SSR30％(SR以上確定)チケ』に変更されたため、SRのMAXコストも26に変更。)</t>
    <rPh sb="0" eb="3">
      <t>ボウエイセン</t>
    </rPh>
    <rPh sb="23" eb="25">
      <t>フクビキ</t>
    </rPh>
    <rPh sb="26" eb="27">
      <t>トウ</t>
    </rPh>
    <rPh sb="77" eb="79">
      <t>ヘンコウ</t>
    </rPh>
    <phoneticPr fontId="1"/>
  </si>
  <si>
    <t>防衛戦 純愛誓う水無月の花嫁ガチャ(LvアップガチャLv10以降のセット内容が、コスト27R以上確定SSR30％チケ→コスト26SSR以上確定チケに変更されたために、SR・HR・RのMAXコストが大幅に減少。)</t>
    <rPh sb="0" eb="3">
      <t>ボウエイセン</t>
    </rPh>
    <rPh sb="36" eb="38">
      <t>ナイヨウ</t>
    </rPh>
    <rPh sb="46" eb="48">
      <t>イジョウ</t>
    </rPh>
    <rPh sb="48" eb="50">
      <t>カクテイ</t>
    </rPh>
    <rPh sb="74" eb="76">
      <t>ヘンコウ</t>
    </rPh>
    <rPh sb="98" eb="100">
      <t>オオハバ</t>
    </rPh>
    <rPh sb="101" eb="103">
      <t>ゲンショウ</t>
    </rPh>
    <phoneticPr fontId="1"/>
  </si>
  <si>
    <t>防衛戦 新年祝う御神子ガチャ(DXガチャに福引シートボーナスを導入。)</t>
    <rPh sb="0" eb="3">
      <t>ボウエイセン</t>
    </rPh>
    <rPh sb="4" eb="6">
      <t>シンネン</t>
    </rPh>
    <rPh sb="6" eb="7">
      <t>イワ</t>
    </rPh>
    <rPh sb="8" eb="9">
      <t>オン</t>
    </rPh>
    <rPh sb="9" eb="11">
      <t>ミコ</t>
    </rPh>
    <rPh sb="21" eb="23">
      <t>フクビキ</t>
    </rPh>
    <rPh sb="31" eb="33">
      <t>ドウニュウ</t>
    </rPh>
    <phoneticPr fontId="1"/>
  </si>
  <si>
    <t>防衛戦 雪華舞い散る聖誕祭ガチャ(DXガチャ開催期間延長。後半戦初日にDXガチャのガチャ回数のリセット、セット内容のリセット、DXガチャ攻防ランキングのリセットを導入。)</t>
    <rPh sb="0" eb="3">
      <t>ボウエイセン</t>
    </rPh>
    <rPh sb="22" eb="24">
      <t>カイサイ</t>
    </rPh>
    <rPh sb="24" eb="26">
      <t>キカン</t>
    </rPh>
    <rPh sb="26" eb="28">
      <t>エンチョウ</t>
    </rPh>
    <rPh sb="29" eb="32">
      <t>コウハンセン</t>
    </rPh>
    <rPh sb="32" eb="34">
      <t>ショニチ</t>
    </rPh>
    <rPh sb="44" eb="46">
      <t>カイスウ</t>
    </rPh>
    <rPh sb="55" eb="57">
      <t>ナイヨウ</t>
    </rPh>
    <rPh sb="68" eb="70">
      <t>コウボウ</t>
    </rPh>
    <rPh sb="81" eb="83">
      <t>ドウニュウ</t>
    </rPh>
    <phoneticPr fontId="1"/>
  </si>
  <si>
    <t>防衛戦 ときめき遊園地ガチャ(月初ガチャにおけるR有利隊士2枠を撤廃。HR有利隊士が2枠→4枠に変更。)</t>
    <rPh sb="0" eb="3">
      <t>ボウエイセン</t>
    </rPh>
    <rPh sb="15" eb="17">
      <t>ゲッショ</t>
    </rPh>
    <rPh sb="25" eb="29">
      <t>ユウリタイシ</t>
    </rPh>
    <rPh sb="32" eb="34">
      <t>テッパイ</t>
    </rPh>
    <rPh sb="37" eb="41">
      <t>ユウリタイシ</t>
    </rPh>
    <rPh sb="48" eb="50">
      <t>ヘンコウ</t>
    </rPh>
    <phoneticPr fontId="1"/>
  </si>
  <si>
    <t>7/28 15:00～7/31 23:59</t>
    <phoneticPr fontId="1"/>
  </si>
  <si>
    <t>2019/10防衛戦</t>
    <phoneticPr fontId="1"/>
  </si>
  <si>
    <t>(20連)7/28 18:00～7/31 23:59</t>
    <rPh sb="3" eb="4">
      <t>レン</t>
    </rPh>
    <phoneticPr fontId="1"/>
  </si>
  <si>
    <t>7/28 18:00～7/28 21:59</t>
    <phoneticPr fontId="1"/>
  </si>
  <si>
    <t>四神戦 無慈悲なる恐怖神ガチャ</t>
    <rPh sb="0" eb="3">
      <t>ヨンシンセン</t>
    </rPh>
    <phoneticPr fontId="1"/>
  </si>
  <si>
    <t>4/8 18:00～4/11 23:59</t>
    <phoneticPr fontId="1"/>
  </si>
  <si>
    <t>具現された恐怖</t>
    <phoneticPr fontId="1"/>
  </si>
  <si>
    <t>ぎりしあしんわふぉぼす</t>
    <phoneticPr fontId="1"/>
  </si>
  <si>
    <t>【ギリシア神話】フォボス</t>
    <phoneticPr fontId="1"/>
  </si>
  <si>
    <t>しんせいかいとうきういふるーつちゃん</t>
    <phoneticPr fontId="1"/>
  </si>
  <si>
    <t>[新生]【怪盗】キウイフルーツちゃん</t>
    <phoneticPr fontId="1"/>
  </si>
  <si>
    <t>縁結びの神たる威厳</t>
    <phoneticPr fontId="1"/>
  </si>
  <si>
    <t>しんせいきゅーぴっどたごりひめ</t>
    <phoneticPr fontId="1"/>
  </si>
  <si>
    <t>[新生]【キューピッド】タゴリヒメ</t>
    <phoneticPr fontId="1"/>
  </si>
  <si>
    <t>誠実の紫水晶</t>
    <phoneticPr fontId="1"/>
  </si>
  <si>
    <t>しんせいあめじすと</t>
    <phoneticPr fontId="1"/>
  </si>
  <si>
    <t>[新生]アメジスト</t>
    <phoneticPr fontId="1"/>
  </si>
  <si>
    <t>自在に操る龍神様</t>
    <phoneticPr fontId="1"/>
  </si>
  <si>
    <t>しんせいえんじぇるくらみつは</t>
    <phoneticPr fontId="1"/>
  </si>
  <si>
    <t>[新生]【エンジェル】クラミツハ</t>
    <phoneticPr fontId="1"/>
  </si>
  <si>
    <t>タイプ神秘・知性派・飲食の防45％UP　/　タイプ飲食・武人・名物の攻10％DOWN</t>
    <phoneticPr fontId="1"/>
  </si>
  <si>
    <t>神出鬼没な怪盗忍者</t>
    <phoneticPr fontId="1"/>
  </si>
  <si>
    <t>かいとうからのちょうせんじょういがにんじゃ</t>
    <phoneticPr fontId="1"/>
  </si>
  <si>
    <t>【怪盗からの挑戦状】伊賀忍者</t>
    <phoneticPr fontId="1"/>
  </si>
  <si>
    <t>魔を祓う十字架</t>
    <phoneticPr fontId="1"/>
  </si>
  <si>
    <t>だんざいのまりあ</t>
    <phoneticPr fontId="1"/>
  </si>
  <si>
    <t>断罪のマリア</t>
    <phoneticPr fontId="1"/>
  </si>
  <si>
    <t>タイプ偉人・妖怪・名物の防40％UP　/　タイプ偉人・姫・神秘の攻10％DOWN</t>
    <phoneticPr fontId="1"/>
  </si>
  <si>
    <t>研究日和</t>
    <phoneticPr fontId="1"/>
  </si>
  <si>
    <t>まほうがっこうおろみん</t>
    <phoneticPr fontId="1"/>
  </si>
  <si>
    <t>【魔法学校】オロミン</t>
    <phoneticPr fontId="1"/>
  </si>
  <si>
    <t>2020/10防衛戦</t>
    <phoneticPr fontId="1"/>
  </si>
  <si>
    <t>2020/08四神戦</t>
    <rPh sb="7" eb="10">
      <t>ヨンシンセン</t>
    </rPh>
    <phoneticPr fontId="1"/>
  </si>
  <si>
    <t>2020/09四神戦</t>
    <rPh sb="7" eb="10">
      <t>ヨンシンセン</t>
    </rPh>
    <phoneticPr fontId="1"/>
  </si>
  <si>
    <t>防衛戦5進化隊士 聖蛇の神官ガチャ</t>
    <rPh sb="0" eb="3">
      <t>ボウエイセン</t>
    </rPh>
    <phoneticPr fontId="1"/>
  </si>
  <si>
    <t>神に仕える伝説の大蛇</t>
    <phoneticPr fontId="1"/>
  </si>
  <si>
    <t>ぷりーすとはちのたろう</t>
    <phoneticPr fontId="1"/>
  </si>
  <si>
    <t>【プリースト】八ノ太郎</t>
    <phoneticPr fontId="1"/>
  </si>
  <si>
    <t>5/2 18:00～5/11 23:59</t>
    <phoneticPr fontId="1"/>
  </si>
  <si>
    <t>5/2 15:00～5/4 23:59</t>
    <phoneticPr fontId="1"/>
  </si>
  <si>
    <t>防衛戦5進化隊士 労働乙女の休息ガチャ</t>
    <rPh sb="0" eb="3">
      <t>ボウエイセン</t>
    </rPh>
    <phoneticPr fontId="1"/>
  </si>
  <si>
    <t>戦極ガチャ</t>
    <rPh sb="0" eb="1">
      <t>イクサ</t>
    </rPh>
    <rPh sb="1" eb="2">
      <t>キョク</t>
    </rPh>
    <phoneticPr fontId="1"/>
  </si>
  <si>
    <t>6/2 18:00～6/5 23:59</t>
    <phoneticPr fontId="1"/>
  </si>
  <si>
    <t>6/2 15:00～6/11 23:59</t>
    <phoneticPr fontId="1"/>
  </si>
  <si>
    <t>着ぐるみを着た才女</t>
    <phoneticPr fontId="1"/>
  </si>
  <si>
    <t>ゆうえんちすたっふあかぞめえもん</t>
    <phoneticPr fontId="1"/>
  </si>
  <si>
    <t>【遊園地スタッフ】赤染衛門</t>
    <phoneticPr fontId="1"/>
  </si>
  <si>
    <t>三日月光る山の主</t>
    <phoneticPr fontId="1"/>
  </si>
  <si>
    <t>しんせいつきのわぐま</t>
    <phoneticPr fontId="1"/>
  </si>
  <si>
    <t>[新生]ツキノワグマ</t>
    <phoneticPr fontId="1"/>
  </si>
  <si>
    <t>鋭い光を放つ名刀</t>
    <phoneticPr fontId="1"/>
  </si>
  <si>
    <t>しんせいふりょうようかいとかげまる</t>
    <phoneticPr fontId="1"/>
  </si>
  <si>
    <t>[新生]【不良妖怪】蜥蜴丸</t>
    <phoneticPr fontId="1"/>
  </si>
  <si>
    <t>2019/05四神戦</t>
    <rPh sb="7" eb="10">
      <t>ヨンシンセン</t>
    </rPh>
    <phoneticPr fontId="1"/>
  </si>
  <si>
    <t>恋を邪魔する悪鬼</t>
    <phoneticPr fontId="1"/>
  </si>
  <si>
    <t>ばれんたいんでーあまのじゃく</t>
    <phoneticPr fontId="1"/>
  </si>
  <si>
    <t>【バレンタインデー】天邪鬼</t>
    <phoneticPr fontId="1"/>
  </si>
  <si>
    <t>海賊船の女船長</t>
    <phoneticPr fontId="1"/>
  </si>
  <si>
    <t>ばいきんぐちゃん</t>
    <phoneticPr fontId="1"/>
  </si>
  <si>
    <t>ヴァイキングちゃん</t>
    <phoneticPr fontId="1"/>
  </si>
  <si>
    <t>タイプ武人・飲食・妖怪の防85％DOWN　/　タイプ偉人・妖怪の攻30％UP</t>
    <phoneticPr fontId="1"/>
  </si>
  <si>
    <t>金色に輝く聖夜のデート</t>
    <phoneticPr fontId="1"/>
  </si>
  <si>
    <t>せいやでーとことひらぐうちゃん</t>
    <phoneticPr fontId="1"/>
  </si>
  <si>
    <t>【聖夜デート】金刀比羅宮ちゃん</t>
    <phoneticPr fontId="1"/>
  </si>
  <si>
    <t>2021/02防衛戦</t>
    <phoneticPr fontId="1"/>
  </si>
  <si>
    <t>2021/01サイコロ</t>
    <phoneticPr fontId="1"/>
  </si>
  <si>
    <t>2020/12全国巡り</t>
    <rPh sb="7" eb="10">
      <t>ゼンコクメグ</t>
    </rPh>
    <phoneticPr fontId="1"/>
  </si>
  <si>
    <t>7/30 20:00～7/30 23:59</t>
    <phoneticPr fontId="1"/>
  </si>
  <si>
    <t>7/31 15:00～7/31 23:59</t>
    <phoneticPr fontId="1"/>
  </si>
  <si>
    <t>7/31 18:00～7/31 21:59</t>
    <phoneticPr fontId="1"/>
  </si>
  <si>
    <t>一定時間、自身に状態異常無効のバリアを付与し、敵全体に発動中の戦技を無効化して被ダメージ量を上昇</t>
    <phoneticPr fontId="1"/>
  </si>
  <si>
    <t>陽炎華火</t>
    <phoneticPr fontId="1"/>
  </si>
  <si>
    <t>タイプ神秘・知性派・飲食の攻85％UP</t>
    <phoneticPr fontId="1"/>
  </si>
  <si>
    <t>花火を纏う炎の神獣</t>
    <phoneticPr fontId="1"/>
  </si>
  <si>
    <t>なつよまつりすざく</t>
    <phoneticPr fontId="1"/>
  </si>
  <si>
    <t>【夏夜祭】朱雀</t>
    <phoneticPr fontId="1"/>
  </si>
  <si>
    <t>99723_0</t>
    <phoneticPr fontId="1"/>
  </si>
  <si>
    <t>8/4 20:00～8/4 23:59</t>
    <phoneticPr fontId="1"/>
  </si>
  <si>
    <t>防衛戦 精廉なる祭守ガチャ</t>
    <rPh sb="0" eb="3">
      <t>ボウエイセン</t>
    </rPh>
    <phoneticPr fontId="1"/>
  </si>
  <si>
    <t>タイプ伝承・武人・姫の攻45％UP　/　タイプ神秘・知性派・飲食の防10％DOWN</t>
    <phoneticPr fontId="1"/>
  </si>
  <si>
    <t>襲撃にも負けぬ正義の龍</t>
    <phoneticPr fontId="1"/>
  </si>
  <si>
    <t>さいしゅおりょう</t>
    <phoneticPr fontId="1"/>
  </si>
  <si>
    <t>【祭守】おりょう</t>
    <phoneticPr fontId="1"/>
  </si>
  <si>
    <t>甘え上手な華やか晴れ着</t>
    <phoneticPr fontId="1"/>
  </si>
  <si>
    <t>しんせいゆかたあざぶのおおねこ</t>
    <phoneticPr fontId="1"/>
  </si>
  <si>
    <t>[新生]【浴衣】麻布の大猫</t>
    <phoneticPr fontId="1"/>
  </si>
  <si>
    <t>大松明の海</t>
    <phoneticPr fontId="1"/>
  </si>
  <si>
    <t>しんせいよしだのひまつり</t>
    <phoneticPr fontId="1"/>
  </si>
  <si>
    <t>[新生]吉田の火祭り</t>
    <phoneticPr fontId="1"/>
  </si>
  <si>
    <t>シットロトと囃す陽気</t>
    <phoneticPr fontId="1"/>
  </si>
  <si>
    <t>しんせいしっとろとおどり</t>
    <phoneticPr fontId="1"/>
  </si>
  <si>
    <t>[新生]シットロト踊り</t>
    <phoneticPr fontId="1"/>
  </si>
  <si>
    <t>タイプ偉人・妖怪・名物の攻45％UP　/　タイプ伝承・武人・姫の防10％DOWN</t>
    <phoneticPr fontId="1"/>
  </si>
  <si>
    <t>力強く響く恋太鼓</t>
    <phoneticPr fontId="1"/>
  </si>
  <si>
    <t>なつよまつりおうみのおかね</t>
    <phoneticPr fontId="1"/>
  </si>
  <si>
    <t>【夏夜祭】近衛のお兼</t>
    <phoneticPr fontId="1"/>
  </si>
  <si>
    <t>タイプ伝承・武人・姫の防40％UP　/　タイプ飲食・知性派・武人の攻10％DOWN</t>
    <phoneticPr fontId="1"/>
  </si>
  <si>
    <t>灯に照らされる和睦の使者</t>
    <phoneticPr fontId="1"/>
  </si>
  <si>
    <t>なつよまつりうんこういん</t>
    <phoneticPr fontId="1"/>
  </si>
  <si>
    <t>【夏夜祭】雲光院</t>
    <phoneticPr fontId="1"/>
  </si>
  <si>
    <t>金魚すくいの甘酸っぱい思い出</t>
    <phoneticPr fontId="1"/>
  </si>
  <si>
    <t>なつよまつりきういふるーつちゃん</t>
    <phoneticPr fontId="1"/>
  </si>
  <si>
    <t>【夏夜祭】キウイフルーツちゃん</t>
    <phoneticPr fontId="1"/>
  </si>
  <si>
    <t>しんせいなつまつりたつこひめ</t>
    <phoneticPr fontId="1"/>
  </si>
  <si>
    <t>[新生]【夏祭り】辰子姫</t>
    <phoneticPr fontId="1"/>
  </si>
  <si>
    <t>甘く冷たいひと夏の贅沢</t>
    <phoneticPr fontId="1"/>
  </si>
  <si>
    <t>しんせいめろんかきごおりちゃん</t>
    <phoneticPr fontId="1"/>
  </si>
  <si>
    <t>[新生]メロンカキ氷ちゃん</t>
    <phoneticPr fontId="1"/>
  </si>
  <si>
    <t>精霊の送り船</t>
    <phoneticPr fontId="1"/>
  </si>
  <si>
    <t>しんせいしょうろうながしちゃん</t>
    <phoneticPr fontId="1"/>
  </si>
  <si>
    <t>[新生]精霊流しちゃん</t>
    <phoneticPr fontId="1"/>
  </si>
  <si>
    <t>[新生]【チャイナ】万里姫</t>
    <phoneticPr fontId="1"/>
  </si>
  <si>
    <t>[新生]手筒花火さん</t>
    <phoneticPr fontId="1"/>
  </si>
  <si>
    <t>[新生]びわパフェ</t>
    <phoneticPr fontId="1"/>
  </si>
  <si>
    <t>[新生]夏ミカンちゃん</t>
    <phoneticPr fontId="1"/>
  </si>
  <si>
    <t>しんせいびわぱふぇ</t>
    <phoneticPr fontId="1"/>
  </si>
  <si>
    <t>百薬王樹のパフェ</t>
    <phoneticPr fontId="1"/>
  </si>
  <si>
    <t>しんせいちゃいなまりひめ</t>
    <phoneticPr fontId="1"/>
  </si>
  <si>
    <t>行列のできる中華料理店</t>
    <phoneticPr fontId="1"/>
  </si>
  <si>
    <t>しんせいなつみかんちゃん</t>
    <phoneticPr fontId="1"/>
  </si>
  <si>
    <t>スッキリ酸味と仄かな甘み</t>
    <phoneticPr fontId="1"/>
  </si>
  <si>
    <t>しんせいてづつはなびさん</t>
    <phoneticPr fontId="1"/>
  </si>
  <si>
    <t>火柱の絶景</t>
    <phoneticPr fontId="1"/>
  </si>
  <si>
    <t>防衛戦5進化隊士 お祭娘の巡視道中ガチャ</t>
    <rPh sb="0" eb="3">
      <t>ボウエイセン</t>
    </rPh>
    <phoneticPr fontId="1"/>
  </si>
  <si>
    <t>8/2 15:00～8/5 23:59</t>
    <phoneticPr fontId="1"/>
  </si>
  <si>
    <t>8/2 18:00～8/11 23:59</t>
    <phoneticPr fontId="1"/>
  </si>
  <si>
    <t>ライフル構え運命背負う水仙花</t>
    <phoneticPr fontId="1"/>
  </si>
  <si>
    <t>さいしゅみどり</t>
    <phoneticPr fontId="1"/>
  </si>
  <si>
    <t>【祭守】美登利</t>
    <phoneticPr fontId="1"/>
  </si>
  <si>
    <t>タイプ偉人・妖怪・名物の攻25％UP　/　タイプ武人・飲食・妖怪の防10％DOWN</t>
    <phoneticPr fontId="1"/>
  </si>
  <si>
    <t>タイプ偉人・妖怪・名物の攻10％UP　/　タイプ武人・飲食・妖怪の防10％DOWN</t>
    <phoneticPr fontId="1"/>
  </si>
  <si>
    <t>タイプ武人・飲食・妖怪の攻85％DOWN　/　タイプ知性派・飲食の防30％UP</t>
    <phoneticPr fontId="1"/>
  </si>
  <si>
    <t>山神が巻き起こす花嵐</t>
    <phoneticPr fontId="1"/>
  </si>
  <si>
    <t>さくらこうてんやまがみさま</t>
    <phoneticPr fontId="1"/>
  </si>
  <si>
    <t>【桜荒天】山神様</t>
    <phoneticPr fontId="1"/>
  </si>
  <si>
    <t>タイプ神秘・知性派・飲食の防50％UP</t>
    <phoneticPr fontId="1"/>
  </si>
  <si>
    <t>美声響く旅の始まり</t>
    <phoneticPr fontId="1"/>
  </si>
  <si>
    <t>れっしゃのたびかりょうびんが</t>
    <phoneticPr fontId="1"/>
  </si>
  <si>
    <t>【列車の旅】迦陵頻伽</t>
    <phoneticPr fontId="1"/>
  </si>
  <si>
    <t>華麗なる神楽鈴さばき</t>
    <phoneticPr fontId="1"/>
  </si>
  <si>
    <t>しんせいはるまいいくまつ</t>
    <phoneticPr fontId="1"/>
  </si>
  <si>
    <t>[新生]【春舞】幾松</t>
    <phoneticPr fontId="1"/>
  </si>
  <si>
    <t>健康的な金色の恩恵</t>
    <phoneticPr fontId="1"/>
  </si>
  <si>
    <t>しんせいたもぎたけ</t>
    <phoneticPr fontId="1"/>
  </si>
  <si>
    <t>[新生]タモギタケ</t>
    <phoneticPr fontId="1"/>
  </si>
  <si>
    <t>しんせいさんきちおに</t>
    <phoneticPr fontId="1"/>
  </si>
  <si>
    <t>[新生]【すすき狩り】三吉鬼</t>
    <phoneticPr fontId="1"/>
  </si>
  <si>
    <t>2021/04防衛戦</t>
    <phoneticPr fontId="1"/>
  </si>
  <si>
    <t>2020/05全国巡り</t>
    <rPh sb="7" eb="10">
      <t>ゼンコクメグ</t>
    </rPh>
    <phoneticPr fontId="1"/>
  </si>
  <si>
    <t>2020/04四神戦</t>
    <rPh sb="7" eb="10">
      <t>ヨンシンセン</t>
    </rPh>
    <phoneticPr fontId="1"/>
  </si>
  <si>
    <t>2020/09全国巡り</t>
    <rPh sb="7" eb="10">
      <t>ゼンコクメグ</t>
    </rPh>
    <phoneticPr fontId="1"/>
  </si>
  <si>
    <t>2020/10四神戦</t>
    <rPh sb="7" eb="10">
      <t>ヨンシンセン</t>
    </rPh>
    <phoneticPr fontId="1"/>
  </si>
  <si>
    <t>防衛戦 夜空を彩る夏の華ガチャ(SRコストMAXが『コスト30SSR10％(SR以上確定)チケ』による29に変更。)</t>
    <rPh sb="0" eb="3">
      <t>ボウエイセン</t>
    </rPh>
    <phoneticPr fontId="1"/>
  </si>
  <si>
    <t>四神戦5進化隊士 小悪魔ナースガチャ</t>
    <rPh sb="0" eb="3">
      <t>ヨンシンセン</t>
    </rPh>
    <rPh sb="4" eb="6">
      <t>シンカ</t>
    </rPh>
    <rPh sb="6" eb="8">
      <t>タイシ</t>
    </rPh>
    <phoneticPr fontId="1"/>
  </si>
  <si>
    <t>4/9 15:00～4/9 23:59</t>
    <phoneticPr fontId="1"/>
  </si>
  <si>
    <t>魅惑のナース</t>
    <phoneticPr fontId="1"/>
  </si>
  <si>
    <t>こくいのてんしじゅてぃす</t>
    <phoneticPr fontId="1"/>
  </si>
  <si>
    <t>【黒衣の天使】ジュティス</t>
    <phoneticPr fontId="1"/>
  </si>
  <si>
    <t>4/10 12:00～4/11 11:59</t>
    <phoneticPr fontId="1"/>
  </si>
  <si>
    <t>防衛戦 おねがい！レスキューガチャ</t>
    <rPh sb="0" eb="3">
      <t>ボウエイセン</t>
    </rPh>
    <phoneticPr fontId="1"/>
  </si>
  <si>
    <t>謎事件に挑む海の傾奇者</t>
    <phoneticPr fontId="1"/>
  </si>
  <si>
    <t>うみのきゅうじょたいいずものおくに</t>
    <phoneticPr fontId="1"/>
  </si>
  <si>
    <t>【海の救助隊】出雲阿国</t>
    <phoneticPr fontId="1"/>
  </si>
  <si>
    <t>一撃必中の銛</t>
    <phoneticPr fontId="1"/>
  </si>
  <si>
    <t>しんせいうみびらきくきよしたか</t>
    <phoneticPr fontId="1"/>
  </si>
  <si>
    <t>[新生]【海開き】九鬼嘉隆</t>
    <phoneticPr fontId="1"/>
  </si>
  <si>
    <t>太陽の恵みたっぷり</t>
    <phoneticPr fontId="1"/>
  </si>
  <si>
    <t>しんせいまんごーそふとちゃん</t>
    <phoneticPr fontId="1"/>
  </si>
  <si>
    <t>[新生]マンゴーソフトちゃん</t>
    <phoneticPr fontId="1"/>
  </si>
  <si>
    <t>従順と豊穣の象徴</t>
    <phoneticPr fontId="1"/>
  </si>
  <si>
    <t>しんせいう</t>
    <phoneticPr fontId="1"/>
  </si>
  <si>
    <t>[新生]卯</t>
    <phoneticPr fontId="1"/>
  </si>
  <si>
    <t>(20連)7/5 18:00～7/8 23:59</t>
    <rPh sb="3" eb="4">
      <t>レン</t>
    </rPh>
    <phoneticPr fontId="1"/>
  </si>
  <si>
    <t>7/6 15:00～7/8 23:59</t>
    <phoneticPr fontId="1"/>
  </si>
  <si>
    <t>(20連)8/5 18:00～8/8 23:59</t>
    <rPh sb="3" eb="4">
      <t>レン</t>
    </rPh>
    <phoneticPr fontId="1"/>
  </si>
  <si>
    <t>タイプ武人・姫の防20％UP</t>
    <rPh sb="8" eb="9">
      <t>ボウ</t>
    </rPh>
    <phoneticPr fontId="1"/>
  </si>
  <si>
    <t>防衛戦 英雄ガチャ(記録失念のため、コストは当月の他の英雄ガチャを参照。[新生]シットロト踊りはスキル値が(誤)攻→(正)防なのか再確認)</t>
    <rPh sb="0" eb="3">
      <t>ボウエイセン</t>
    </rPh>
    <rPh sb="4" eb="6">
      <t>エイユウ</t>
    </rPh>
    <rPh sb="10" eb="14">
      <t>キロクシツネン</t>
    </rPh>
    <rPh sb="22" eb="24">
      <t>トウゲツ</t>
    </rPh>
    <rPh sb="25" eb="26">
      <t>タ</t>
    </rPh>
    <rPh sb="27" eb="29">
      <t>エイユウ</t>
    </rPh>
    <rPh sb="33" eb="35">
      <t>サンショウ</t>
    </rPh>
    <rPh sb="51" eb="52">
      <t>チ</t>
    </rPh>
    <rPh sb="54" eb="55">
      <t>ゴ</t>
    </rPh>
    <rPh sb="59" eb="60">
      <t>タダ</t>
    </rPh>
    <rPh sb="65" eb="68">
      <t>サイカクニン</t>
    </rPh>
    <phoneticPr fontId="1"/>
  </si>
  <si>
    <t>8/6 18:00～8/9 23:59</t>
    <phoneticPr fontId="1"/>
  </si>
  <si>
    <t>ワイルドターキー</t>
    <phoneticPr fontId="1"/>
  </si>
  <si>
    <t>ぼくじょうのめりあ</t>
    <phoneticPr fontId="1"/>
  </si>
  <si>
    <t>牧場のメリア</t>
    <phoneticPr fontId="1"/>
  </si>
  <si>
    <t>4/11 15:00～4/13 23:59</t>
    <phoneticPr fontId="1"/>
  </si>
  <si>
    <t>(20連)4/11 18:00～4/14 23:59</t>
    <rPh sb="3" eb="4">
      <t>レン</t>
    </rPh>
    <phoneticPr fontId="1"/>
  </si>
  <si>
    <t>【雪の王国】はまぐり姫</t>
    <phoneticPr fontId="1"/>
  </si>
  <si>
    <t>サイコロ行脚 春風彩る花祭りガチ</t>
    <rPh sb="4" eb="6">
      <t>アンギャ</t>
    </rPh>
    <phoneticPr fontId="1"/>
  </si>
  <si>
    <t>4/14 15:00～4/16 23:59</t>
    <phoneticPr fontId="1"/>
  </si>
  <si>
    <t>(20連)4/14 20:00～4/21 23:59</t>
    <rPh sb="3" eb="4">
      <t>レン</t>
    </rPh>
    <phoneticPr fontId="1"/>
  </si>
  <si>
    <t>(1日3回限定10連)</t>
    <rPh sb="9" eb="10">
      <t>レン</t>
    </rPh>
    <phoneticPr fontId="1"/>
  </si>
  <si>
    <t>タイプ伝承・武人・姫の攻85％DOWN　/　タイプ妖怪・名物の防30％UP</t>
    <phoneticPr fontId="1"/>
  </si>
  <si>
    <t>しんせいはるまいぎおう</t>
    <phoneticPr fontId="1"/>
  </si>
  <si>
    <t>[新生]【春舞】妓王</t>
    <phoneticPr fontId="1"/>
  </si>
  <si>
    <t>しんせいゆかたあまみのくろうさぎちゃん</t>
    <phoneticPr fontId="1"/>
  </si>
  <si>
    <t>[新生]【浴衣】アマミノクロウサギちゃん</t>
    <phoneticPr fontId="1"/>
  </si>
  <si>
    <t>白兎と時計の導き</t>
    <phoneticPr fontId="1"/>
  </si>
  <si>
    <t>しんせいおとぎのくにしろうさぎ</t>
    <phoneticPr fontId="1"/>
  </si>
  <si>
    <t>[新生]【おとぎの国】白兎</t>
    <phoneticPr fontId="1"/>
  </si>
  <si>
    <t>自由自在の飴妙技</t>
    <phoneticPr fontId="1"/>
  </si>
  <si>
    <t>しんせいあめざいくちゃん</t>
    <phoneticPr fontId="1"/>
  </si>
  <si>
    <t>[新生]飴細工ちゃん</t>
    <phoneticPr fontId="1"/>
  </si>
  <si>
    <t>8/27 12:00～8/27 23:59</t>
    <phoneticPr fontId="1"/>
  </si>
  <si>
    <t>新たな一歩</t>
    <phoneticPr fontId="1"/>
  </si>
  <si>
    <t>ばかんすりおねった</t>
    <phoneticPr fontId="1"/>
  </si>
  <si>
    <t>【バカンス】リオネッタ</t>
    <phoneticPr fontId="1"/>
  </si>
  <si>
    <t>熱暑を打ち払いし水祭</t>
    <phoneticPr fontId="1"/>
  </si>
  <si>
    <t>しんせいふかがわまつり</t>
    <phoneticPr fontId="1"/>
  </si>
  <si>
    <t>[新生]深川祭</t>
    <phoneticPr fontId="1"/>
  </si>
  <si>
    <t>本日晴天ナリ我ガ虹心</t>
    <phoneticPr fontId="1"/>
  </si>
  <si>
    <t>しんせいうみびらきあきやまさねゆき</t>
    <phoneticPr fontId="1"/>
  </si>
  <si>
    <t>[新生]【海開き】秋山真之</t>
    <phoneticPr fontId="1"/>
  </si>
  <si>
    <t>未来に生きる像</t>
    <phoneticPr fontId="1"/>
  </si>
  <si>
    <t>しんせいもあいちゃん</t>
    <phoneticPr fontId="1"/>
  </si>
  <si>
    <t>[新生]モアイちゃん</t>
    <phoneticPr fontId="1"/>
  </si>
  <si>
    <t>全国巡り ひと夏のバカンスガチャ</t>
    <phoneticPr fontId="1"/>
  </si>
  <si>
    <t>タイプ神秘・飲食の攻30％UP　/　タイプ【知性派】の攻15％UP</t>
    <phoneticPr fontId="1"/>
  </si>
  <si>
    <t>しんせいふぃっしんぐこしきぶのないし</t>
    <phoneticPr fontId="1"/>
  </si>
  <si>
    <t>[新生]【フィッシング】小式部内侍</t>
    <phoneticPr fontId="1"/>
  </si>
  <si>
    <t>8/25 18:00～8/28 23:59</t>
    <phoneticPr fontId="1"/>
  </si>
  <si>
    <t>8/26 20:00～8/26 23:59</t>
    <phoneticPr fontId="1"/>
  </si>
  <si>
    <t>全国巡り 黎明の羊飼いガチャ</t>
    <rPh sb="0" eb="3">
      <t>ゼンコクメグ</t>
    </rPh>
    <phoneticPr fontId="1"/>
  </si>
  <si>
    <t>9/25 15:00～9/25 23:59</t>
    <phoneticPr fontId="1"/>
  </si>
  <si>
    <t>敵に極大ダメージを与えて一定時間、敵単体の命中率DOWNと一定割合で戦技を封じ、次の自身の攻撃が極大ダメージ</t>
    <phoneticPr fontId="1"/>
  </si>
  <si>
    <t>清蛇ノ祝鐘</t>
    <phoneticPr fontId="1"/>
  </si>
  <si>
    <t>タイプ伝承・武人・姫の防90％UP</t>
    <phoneticPr fontId="1"/>
  </si>
  <si>
    <t>鐘の音響く涙の式辞</t>
    <phoneticPr fontId="1"/>
  </si>
  <si>
    <t>しゅくえんきよひめ</t>
    <phoneticPr fontId="1"/>
  </si>
  <si>
    <t>【祝宴】清姫</t>
    <phoneticPr fontId="1"/>
  </si>
  <si>
    <t>200363_0</t>
    <phoneticPr fontId="1"/>
  </si>
  <si>
    <t>慈愛の羊飼い</t>
    <phoneticPr fontId="1"/>
  </si>
  <si>
    <t>ひつじかいのふぃろめりあ</t>
    <phoneticPr fontId="1"/>
  </si>
  <si>
    <t>羊飼いのフィロメリア</t>
    <phoneticPr fontId="1"/>
  </si>
  <si>
    <t>タイプ神秘・武人・妖怪の攻85％DOWN　/　タイプ武人・伝承の防30％UP</t>
    <phoneticPr fontId="1"/>
  </si>
  <si>
    <t>しんせいいーすたーばにーごうひめ</t>
    <phoneticPr fontId="1"/>
  </si>
  <si>
    <t>[新生]【イースターバニー】豪姫</t>
    <phoneticPr fontId="1"/>
  </si>
  <si>
    <t>愛され上手なトイテリア</t>
    <phoneticPr fontId="1"/>
  </si>
  <si>
    <t>しんせいにほんてりあ</t>
    <phoneticPr fontId="1"/>
  </si>
  <si>
    <t>[新生]日本テリア</t>
    <phoneticPr fontId="1"/>
  </si>
  <si>
    <t>空から降ってくる衾</t>
    <phoneticPr fontId="1"/>
  </si>
  <si>
    <t>しんせいのぶすま</t>
    <phoneticPr fontId="1"/>
  </si>
  <si>
    <t>[新生]野衾</t>
    <phoneticPr fontId="1"/>
  </si>
  <si>
    <t>新しい友との出会い</t>
    <phoneticPr fontId="1"/>
  </si>
  <si>
    <t>しんせいどんぐりころころ</t>
    <phoneticPr fontId="1"/>
  </si>
  <si>
    <t>[新生]どんぐりころころ</t>
    <phoneticPr fontId="1"/>
  </si>
  <si>
    <t>10/6 18:00～10/6 21:59</t>
    <phoneticPr fontId="1"/>
  </si>
  <si>
    <t>タイプ姫・伝承の攻50％UP　/　所属が【北海道・東北】とそれに属する県、および【全国】【東日本】の攻30％UP</t>
    <phoneticPr fontId="1"/>
  </si>
  <si>
    <t>鋼鉄縛鎖</t>
    <phoneticPr fontId="1"/>
  </si>
  <si>
    <t>ばくさのしぇいうっど</t>
    <phoneticPr fontId="1"/>
  </si>
  <si>
    <t>縛鎖のシェイウッド</t>
    <phoneticPr fontId="1"/>
  </si>
  <si>
    <t>タイプ姫・伝承の攻45％UP　/　所属が【北海道・東北】とそれに属する県、および【全国】【東日本】の攻30％UP</t>
    <phoneticPr fontId="1"/>
  </si>
  <si>
    <t>タイプ姫・伝承の攻40％UP　/　所属が【北海道・東北】とそれに属する県、および【全国】【東日本】の攻30％UP</t>
    <phoneticPr fontId="1"/>
  </si>
  <si>
    <t>タイプ神秘・飲食の攻50％UP　/　所属が【関東】とそれに属する県、および【全国】【東日本】の攻30％UP</t>
    <phoneticPr fontId="1"/>
  </si>
  <si>
    <t>俗世の神</t>
    <phoneticPr fontId="1"/>
  </si>
  <si>
    <t>ひゅぺりおん</t>
    <phoneticPr fontId="1"/>
  </si>
  <si>
    <t>ヒュペリオン</t>
    <phoneticPr fontId="1"/>
  </si>
  <si>
    <t>タイプ偉人・妖怪の防50％UP　/　所属が【中部】とそれに属する県、および【全国】【東日本】の防30％UP</t>
    <phoneticPr fontId="1"/>
  </si>
  <si>
    <t>喜怒哀楽</t>
    <phoneticPr fontId="1"/>
  </si>
  <si>
    <t>へんめんのあいめい</t>
    <phoneticPr fontId="1"/>
  </si>
  <si>
    <t>変面のアイメイ</t>
    <phoneticPr fontId="1"/>
  </si>
  <si>
    <t>タイプ武人・姫の攻50％UP　/　所属が【近畿】とそれに属する県、および【全国】【西日本】の攻30％UP</t>
    <phoneticPr fontId="1"/>
  </si>
  <si>
    <t>幻想の魔女</t>
    <phoneticPr fontId="1"/>
  </si>
  <si>
    <t>ふてるな</t>
    <phoneticPr fontId="1"/>
  </si>
  <si>
    <t>フテルナ</t>
    <phoneticPr fontId="1"/>
  </si>
  <si>
    <t>タイプ偉人・名物の防50％UP　/　所属が【中国・四国】とそれに属する県、および【全国】【西日本】の防30％UP</t>
    <phoneticPr fontId="1"/>
  </si>
  <si>
    <t>即死の邪眼</t>
    <phoneticPr fontId="1"/>
  </si>
  <si>
    <t>かとぶれぱす</t>
    <phoneticPr fontId="1"/>
  </si>
  <si>
    <t>カトブレパス</t>
    <phoneticPr fontId="1"/>
  </si>
  <si>
    <t>タイプ神秘・知性派の防50％UP　/　所属が【九州・沖縄】とそれに属する県、および【全国】【西日本】の防30％UP</t>
    <phoneticPr fontId="1"/>
  </si>
  <si>
    <t>平和で怠惰な日常</t>
    <phoneticPr fontId="1"/>
  </si>
  <si>
    <t>じだらくなでぃしらむ</t>
    <phoneticPr fontId="1"/>
  </si>
  <si>
    <t>自堕落なディシラム</t>
    <phoneticPr fontId="1"/>
  </si>
  <si>
    <t>サイコロ行脚5進化隊士 邪鬼滅の武神ガチャ</t>
    <rPh sb="7" eb="9">
      <t>シンカ</t>
    </rPh>
    <rPh sb="9" eb="11">
      <t>タイシ</t>
    </rPh>
    <phoneticPr fontId="1"/>
  </si>
  <si>
    <t>2021フラワーフェス福引ガチャ</t>
    <rPh sb="11" eb="13">
      <t>フクビキ</t>
    </rPh>
    <phoneticPr fontId="1"/>
  </si>
  <si>
    <t>4/15 18:00～4/18 23:59</t>
    <phoneticPr fontId="1"/>
  </si>
  <si>
    <t>麗しき三叉戟</t>
    <phoneticPr fontId="1"/>
  </si>
  <si>
    <t>びしゃもんてんちゃん</t>
    <phoneticPr fontId="1"/>
  </si>
  <si>
    <t>毘沙門天ちゃん</t>
    <phoneticPr fontId="1"/>
  </si>
  <si>
    <t>タイプ知性派・飲食の防40％UP　/　タイプ【神秘】の防15％UP</t>
    <phoneticPr fontId="1"/>
  </si>
  <si>
    <t>タイプ知性派・飲食の防35％UP　/　タイプ【神秘】の防5％UP</t>
    <phoneticPr fontId="1"/>
  </si>
  <si>
    <t>濃厚な味と歯ごたえを召し上がれ！</t>
    <phoneticPr fontId="1"/>
  </si>
  <si>
    <t>ひないじどり</t>
    <phoneticPr fontId="1"/>
  </si>
  <si>
    <t>比内地鶏</t>
    <phoneticPr fontId="1"/>
  </si>
  <si>
    <t>【アンサーデー】北の方</t>
    <phoneticPr fontId="1"/>
  </si>
  <si>
    <t>本日天気晴朗ナレドモ浪高シ</t>
    <phoneticPr fontId="1"/>
  </si>
  <si>
    <t>そつぎょうしきあきやまさねゆき</t>
    <phoneticPr fontId="1"/>
  </si>
  <si>
    <t>【卒業式】秋山真之</t>
    <phoneticPr fontId="1"/>
  </si>
  <si>
    <t>タイプ【妖怪】の防90％UP　/　タイプ偉人・名物の防30％UP</t>
    <phoneticPr fontId="1"/>
  </si>
  <si>
    <t>血を沸かす涼しげな熱い視線</t>
    <phoneticPr fontId="1"/>
  </si>
  <si>
    <t>きゅうけつきうみじごくちゃん</t>
    <phoneticPr fontId="1"/>
  </si>
  <si>
    <t>【吸血鬼】海地獄ちゃん</t>
    <phoneticPr fontId="1"/>
  </si>
  <si>
    <t>庭園の茶会</t>
    <phoneticPr fontId="1"/>
  </si>
  <si>
    <t>じるこにあ</t>
    <phoneticPr fontId="1"/>
  </si>
  <si>
    <t>ジルコニア</t>
    <phoneticPr fontId="1"/>
  </si>
  <si>
    <t>月下の来訪者</t>
    <phoneticPr fontId="1"/>
  </si>
  <si>
    <t>げっこうつきみうさぎちゃん</t>
    <phoneticPr fontId="1"/>
  </si>
  <si>
    <t>【月光】月見兎ちゃん</t>
    <phoneticPr fontId="1"/>
  </si>
  <si>
    <t>2020/11防衛戦</t>
    <phoneticPr fontId="1"/>
  </si>
  <si>
    <t>2020/08サイコロ</t>
    <phoneticPr fontId="1"/>
  </si>
  <si>
    <t>2020/09サイコロ</t>
    <phoneticPr fontId="1"/>
  </si>
  <si>
    <t>4/16 15:00～4/16 23:59</t>
    <phoneticPr fontId="1"/>
  </si>
  <si>
    <t>妖狐三姉妹の狂宴ガチャ</t>
    <phoneticPr fontId="1"/>
  </si>
  <si>
    <t>(20連)4/16 18:00～4/25 23:59</t>
    <rPh sb="3" eb="4">
      <t>レン</t>
    </rPh>
    <phoneticPr fontId="1"/>
  </si>
  <si>
    <t>(10連)4/16 18:00～4/25 23:59</t>
    <rPh sb="3" eb="4">
      <t>レン</t>
    </rPh>
    <phoneticPr fontId="1"/>
  </si>
  <si>
    <t>敵・味方全体の県HPを20％減少させ、一定時間、味方全体に攻50％UPと攻撃にHP吸収の効果を付与する</t>
    <phoneticPr fontId="1"/>
  </si>
  <si>
    <t>狐楽囃子</t>
    <phoneticPr fontId="1"/>
  </si>
  <si>
    <t>タイプ【妖怪】の攻60％UP　/　タイプ偉人・名物の攻35％UP</t>
    <phoneticPr fontId="1"/>
  </si>
  <si>
    <t>最上の狐</t>
    <phoneticPr fontId="1"/>
  </si>
  <si>
    <t>きょこさんしん</t>
    <phoneticPr fontId="1"/>
  </si>
  <si>
    <t>97303_0</t>
    <phoneticPr fontId="1"/>
  </si>
  <si>
    <t>嘘狐三心</t>
    <phoneticPr fontId="1"/>
  </si>
  <si>
    <t>4/17 12:00～4/18 11:59</t>
    <phoneticPr fontId="1"/>
  </si>
  <si>
    <t>(20連)4/18 12:00～4/21 23:59</t>
    <rPh sb="3" eb="4">
      <t>レン</t>
    </rPh>
    <phoneticPr fontId="1"/>
  </si>
  <si>
    <t>(20連)4/19 15:00～4/23 23:59</t>
    <rPh sb="3" eb="4">
      <t>レン</t>
    </rPh>
    <phoneticPr fontId="1"/>
  </si>
  <si>
    <t>つだかずなが</t>
    <phoneticPr fontId="1"/>
  </si>
  <si>
    <t>タイプ妖怪・名物の防16％UP</t>
    <phoneticPr fontId="1"/>
  </si>
  <si>
    <t>歴史を変えた津田流砲</t>
    <phoneticPr fontId="1"/>
  </si>
  <si>
    <t>挑み続けた伝説の剣聖</t>
    <phoneticPr fontId="1"/>
  </si>
  <si>
    <t>つかはらぼくでん</t>
    <phoneticPr fontId="1"/>
  </si>
  <si>
    <t>タイプ【武人】の攻10％UP　/　タイプ【名物】の防30％DOWN</t>
    <phoneticPr fontId="1"/>
  </si>
  <si>
    <t>限突297,268</t>
    <rPh sb="0" eb="1">
      <t>カギ</t>
    </rPh>
    <rPh sb="1" eb="2">
      <t>トツ</t>
    </rPh>
    <phoneticPr fontId="1"/>
  </si>
  <si>
    <t>限突269,296</t>
    <rPh sb="0" eb="1">
      <t>カギ</t>
    </rPh>
    <rPh sb="1" eb="2">
      <t>トツ</t>
    </rPh>
    <phoneticPr fontId="1"/>
  </si>
  <si>
    <t>ごとうしんぺい</t>
    <phoneticPr fontId="1"/>
  </si>
  <si>
    <t>スカウティング大風呂敷</t>
    <phoneticPr fontId="1"/>
  </si>
  <si>
    <t>タイプ【姫】の防20％DOWN</t>
    <phoneticPr fontId="1"/>
  </si>
  <si>
    <t>おとぎばなしゆきおんな</t>
    <phoneticPr fontId="1"/>
  </si>
  <si>
    <t>雪夜の儚い恋物語</t>
    <phoneticPr fontId="1"/>
  </si>
  <si>
    <t>タイプ【偉人】の攻16％UP</t>
    <phoneticPr fontId="1"/>
  </si>
  <si>
    <t>さくらんぼくれーぷ</t>
    <phoneticPr fontId="1"/>
  </si>
  <si>
    <t>タイプ神秘・知性派・偉人の防25％UP</t>
    <phoneticPr fontId="1"/>
  </si>
  <si>
    <t>深紅の宝石包み</t>
    <phoneticPr fontId="1"/>
  </si>
  <si>
    <t>ひけしむすめ</t>
    <phoneticPr fontId="1"/>
  </si>
  <si>
    <t>陰気を好む消火っ子</t>
    <phoneticPr fontId="1"/>
  </si>
  <si>
    <t>ゆきのおうこくはまぐりひめ</t>
    <phoneticPr fontId="1"/>
  </si>
  <si>
    <t>吹雪に浮かぶ蜃気楼</t>
    <phoneticPr fontId="1"/>
  </si>
  <si>
    <t>タイプ姫・武人・名物の防20％UP</t>
    <phoneticPr fontId="1"/>
  </si>
  <si>
    <t>かどのひろひで</t>
    <phoneticPr fontId="1"/>
  </si>
  <si>
    <t>上遠野の隠し針</t>
    <phoneticPr fontId="1"/>
  </si>
  <si>
    <t>タイプ姫・伝承・妖怪の攻20％UP</t>
    <phoneticPr fontId="1"/>
  </si>
  <si>
    <t>なかじまうたこ</t>
    <phoneticPr fontId="1"/>
  </si>
  <si>
    <t>萩を愛でる女流歌人</t>
    <phoneticPr fontId="1"/>
  </si>
  <si>
    <t>おがさわらしょとう</t>
    <phoneticPr fontId="1"/>
  </si>
  <si>
    <t>南国の東京都内</t>
    <phoneticPr fontId="1"/>
  </si>
  <si>
    <t>タイプ偉人・妖怪・伝承の防30％UP</t>
    <phoneticPr fontId="1"/>
  </si>
  <si>
    <t>おにがわら</t>
    <phoneticPr fontId="1"/>
  </si>
  <si>
    <t>魔を除ける鬼面瓦</t>
    <phoneticPr fontId="1"/>
  </si>
  <si>
    <t>タイプ偉人・妖怪・知性派の防30％UP</t>
    <phoneticPr fontId="1"/>
  </si>
  <si>
    <t>らん</t>
    <phoneticPr fontId="1"/>
  </si>
  <si>
    <t>天下安寧の兆し</t>
    <phoneticPr fontId="1"/>
  </si>
  <si>
    <t>タイプ飲食・知性派・妖怪の防30％UP</t>
    <phoneticPr fontId="1"/>
  </si>
  <si>
    <t>しょうじょうじのたぬきばやし</t>
    <phoneticPr fontId="1"/>
  </si>
  <si>
    <t>悪戯と平和の愛好</t>
    <phoneticPr fontId="1"/>
  </si>
  <si>
    <t>タイプ姫・武人・知性派の攻30％UP</t>
    <phoneticPr fontId="1"/>
  </si>
  <si>
    <t>おとこまつりはしばひでよし</t>
    <phoneticPr fontId="1"/>
  </si>
  <si>
    <t>タイプ【武人】の攻18％UP</t>
    <phoneticPr fontId="1"/>
  </si>
  <si>
    <t>ゆうすずみこまつひめ</t>
    <phoneticPr fontId="1"/>
  </si>
  <si>
    <t>戦国の世は恐怖でいっぱい</t>
    <phoneticPr fontId="1"/>
  </si>
  <si>
    <t>タイプ【武人】の攻16％UP</t>
    <phoneticPr fontId="1"/>
  </si>
  <si>
    <t>おどりこまつ</t>
    <phoneticPr fontId="1"/>
  </si>
  <si>
    <t>加賀藩お抱えバレリーナ</t>
    <phoneticPr fontId="1"/>
  </si>
  <si>
    <t>タイプ伝承・武人・飲食の攻30％UP</t>
    <phoneticPr fontId="1"/>
  </si>
  <si>
    <t>さくらえびちゃん</t>
    <phoneticPr fontId="1"/>
  </si>
  <si>
    <t>タイプ【武人】の防30％DOWN</t>
    <phoneticPr fontId="1"/>
  </si>
  <si>
    <t xml:space="preserve">透き通る桜色 </t>
    <phoneticPr fontId="1"/>
  </si>
  <si>
    <t>どくたーすぎたげんぱく</t>
    <phoneticPr fontId="1"/>
  </si>
  <si>
    <t>蘭方医の実験と証明</t>
    <phoneticPr fontId="1"/>
  </si>
  <si>
    <t>かいいぬ</t>
    <phoneticPr fontId="1"/>
  </si>
  <si>
    <t>タイプ偉人・妖怪・伝承の攻25％UP</t>
    <phoneticPr fontId="1"/>
  </si>
  <si>
    <t>かちかちやま</t>
    <phoneticPr fontId="1"/>
  </si>
  <si>
    <t>タイプ姫・武人・知性派の防25％UP</t>
    <phoneticPr fontId="1"/>
  </si>
  <si>
    <t>くろべだむ</t>
    <phoneticPr fontId="1"/>
  </si>
  <si>
    <t>水煙をあげる最大級ダム</t>
    <phoneticPr fontId="1"/>
  </si>
  <si>
    <t>にしじんおり</t>
    <phoneticPr fontId="1"/>
  </si>
  <si>
    <t>全土を魅せる西陣の魁</t>
    <phoneticPr fontId="1"/>
  </si>
  <si>
    <t>タイプ【妖怪】の攻16％UP</t>
    <phoneticPr fontId="1"/>
  </si>
  <si>
    <t>夏の甲子園の伝統</t>
    <phoneticPr fontId="1"/>
  </si>
  <si>
    <t>タイプ【知性派】の防16％UP</t>
    <phoneticPr fontId="1"/>
  </si>
  <si>
    <t>におのひめ</t>
    <phoneticPr fontId="1"/>
  </si>
  <si>
    <t>邪悪を貫く愛の一弓</t>
    <phoneticPr fontId="1"/>
  </si>
  <si>
    <t>タイプ武人・姫の攻18％UP</t>
    <phoneticPr fontId="1"/>
  </si>
  <si>
    <t>おおだいがはらのへびおんな</t>
    <phoneticPr fontId="1"/>
  </si>
  <si>
    <t>大台ケ原の冷たい視線</t>
    <phoneticPr fontId="1"/>
  </si>
  <si>
    <t>にちりんてんにょ</t>
    <phoneticPr fontId="1"/>
  </si>
  <si>
    <t>六十年に一度の邂逅</t>
    <phoneticPr fontId="1"/>
  </si>
  <si>
    <t>タイプ妖怪・武人の攻20％UP</t>
    <phoneticPr fontId="1"/>
  </si>
  <si>
    <t>よさぶそん</t>
    <phoneticPr fontId="1"/>
  </si>
  <si>
    <t>蕉風回帰の唱え</t>
    <phoneticPr fontId="1"/>
  </si>
  <si>
    <t>びゃっこだいせんほうきぼう</t>
    <phoneticPr fontId="1"/>
  </si>
  <si>
    <t>大山を護る神通力</t>
    <phoneticPr fontId="1"/>
  </si>
  <si>
    <t>ごしきそうめんちゃん</t>
    <phoneticPr fontId="1"/>
  </si>
  <si>
    <t>美味なる五色糸</t>
    <phoneticPr fontId="1"/>
  </si>
  <si>
    <t>タイプ伝承・武人・姫の攻14％DOWN</t>
    <phoneticPr fontId="1"/>
  </si>
  <si>
    <t>とくしまどん</t>
    <phoneticPr fontId="1"/>
  </si>
  <si>
    <t>故郷に錦を飾る丼</t>
    <phoneticPr fontId="1"/>
  </si>
  <si>
    <t>タイプ偉人・姫・神秘の防20％UP</t>
    <phoneticPr fontId="1"/>
  </si>
  <si>
    <t>かつお</t>
    <phoneticPr fontId="1"/>
  </si>
  <si>
    <t>粋な土佐っ子初鰹</t>
    <phoneticPr fontId="1"/>
  </si>
  <si>
    <t>おーけすとらねこだぬき</t>
    <phoneticPr fontId="1"/>
  </si>
  <si>
    <t>よしだとしまろ</t>
    <phoneticPr fontId="1"/>
  </si>
  <si>
    <t>松下村塾の舵取り役</t>
    <phoneticPr fontId="1"/>
  </si>
  <si>
    <t>みやじまのだんまり</t>
    <phoneticPr fontId="1"/>
  </si>
  <si>
    <t>無言で探る巻物争奪</t>
    <phoneticPr fontId="1"/>
  </si>
  <si>
    <t>ぐいしーまんずしまづよしひろ</t>
    <phoneticPr fontId="1"/>
  </si>
  <si>
    <t>徳川家を震え上がらせた猛将</t>
    <phoneticPr fontId="1"/>
  </si>
  <si>
    <t>タイプ【知性派】の攻16％UP</t>
    <phoneticPr fontId="1"/>
  </si>
  <si>
    <t>かぴばらうみじごくちゃん</t>
    <phoneticPr fontId="1"/>
  </si>
  <si>
    <t>碧き地獄の珍客</t>
    <phoneticPr fontId="1"/>
  </si>
  <si>
    <t>ゆうすずみあまひめ</t>
    <phoneticPr fontId="1"/>
  </si>
  <si>
    <t>竹中にて涼みのひととき</t>
    <phoneticPr fontId="1"/>
  </si>
  <si>
    <t>タイプ【伝承】の攻16％UP</t>
    <phoneticPr fontId="1"/>
  </si>
  <si>
    <t>ちょこれーとけーき</t>
    <phoneticPr fontId="1"/>
  </si>
  <si>
    <t>まちぬしゅらうやさめー</t>
    <phoneticPr fontId="1"/>
  </si>
  <si>
    <t>生命の満つる夜</t>
    <phoneticPr fontId="1"/>
  </si>
  <si>
    <t>タイプ飲食・知性派・妖怪の攻20％UP</t>
    <phoneticPr fontId="1"/>
  </si>
  <si>
    <t>おおくましげのぶ</t>
    <phoneticPr fontId="1"/>
  </si>
  <si>
    <t>未来へ導く統率</t>
    <phoneticPr fontId="1"/>
  </si>
  <si>
    <t>タイプ名物・妖怪・姫の防30％UP</t>
    <phoneticPr fontId="1"/>
  </si>
  <si>
    <t>しゃくはち</t>
    <phoneticPr fontId="1"/>
  </si>
  <si>
    <t>普化宗尺八の基礎</t>
    <phoneticPr fontId="1"/>
  </si>
  <si>
    <t>8/8 20:00～8/8 23:59</t>
    <phoneticPr fontId="1"/>
  </si>
  <si>
    <t>10/21 20:00～10/21 23:59</t>
    <phoneticPr fontId="1"/>
  </si>
  <si>
    <t>10/20 18:00～10/20 21:59</t>
    <phoneticPr fontId="1"/>
  </si>
  <si>
    <t>10/16 18:00～10/16 21:59</t>
    <phoneticPr fontId="1"/>
  </si>
  <si>
    <t>タイプ神秘・知性派・飲食の防40％UP　/　所属が【西日本】と、それに属する地方・県、および【全国】の攻40％DOWN</t>
    <phoneticPr fontId="1"/>
  </si>
  <si>
    <t>御光降臨</t>
    <phoneticPr fontId="1"/>
  </si>
  <si>
    <t>ごらいこう</t>
    <phoneticPr fontId="1"/>
  </si>
  <si>
    <t>御来迎</t>
    <phoneticPr fontId="1"/>
  </si>
  <si>
    <t>タイプ伝承・武人・姫の防40％UP　/　所属が【東日本】と、それに属する地方・県、および【全国】の攻40％DOWN</t>
    <phoneticPr fontId="1"/>
  </si>
  <si>
    <t>時流を汲みし讃岐国主</t>
    <phoneticPr fontId="1"/>
  </si>
  <si>
    <t>そごうまさはる</t>
    <phoneticPr fontId="1"/>
  </si>
  <si>
    <t>十河存春</t>
    <phoneticPr fontId="1"/>
  </si>
  <si>
    <t>【魔界】ホワイトチョコちゃん</t>
    <phoneticPr fontId="1"/>
  </si>
  <si>
    <t>タイプ【神秘】の攻25％UP　/　タイプ【姫】の防20％DOWN</t>
    <phoneticPr fontId="1"/>
  </si>
  <si>
    <t>白い闇から甘い混沌</t>
    <phoneticPr fontId="1"/>
  </si>
  <si>
    <t>まかいほわいとちょこちゃん</t>
    <phoneticPr fontId="1"/>
  </si>
  <si>
    <t>タイプ【武人】の防25％UP　/　タイプ【偉人】の攻25％DOWN</t>
    <phoneticPr fontId="1"/>
  </si>
  <si>
    <t>冥府に繋がれた業火</t>
    <phoneticPr fontId="1"/>
  </si>
  <si>
    <t>まかいこうじん</t>
    <phoneticPr fontId="1"/>
  </si>
  <si>
    <t>【魔界】荒神</t>
    <phoneticPr fontId="1"/>
  </si>
  <si>
    <t>タイプ【伝承】の攻25％UP　/　タイプ【偉人】の防20％DOWN</t>
    <phoneticPr fontId="1"/>
  </si>
  <si>
    <t>飛び交う魔界の銃弾</t>
    <phoneticPr fontId="1"/>
  </si>
  <si>
    <t>まかいいけだせん</t>
    <phoneticPr fontId="1"/>
  </si>
  <si>
    <t>【魔界】池田せん</t>
    <phoneticPr fontId="1"/>
  </si>
  <si>
    <t>タイプ【偉人】の攻25％UP　/　タイプ【神秘】の防20％DOWN</t>
    <phoneticPr fontId="1"/>
  </si>
  <si>
    <t>怪火のナイトパーティ</t>
    <phoneticPr fontId="1"/>
  </si>
  <si>
    <t>まかいおさび</t>
    <phoneticPr fontId="1"/>
  </si>
  <si>
    <t>【魔界】オサビ</t>
    <phoneticPr fontId="1"/>
  </si>
  <si>
    <t>10/11 18:00～10/11 21:59</t>
    <phoneticPr fontId="1"/>
  </si>
  <si>
    <t>10/7 20:00～10/7 23:59</t>
    <phoneticPr fontId="1"/>
  </si>
  <si>
    <t>10/4 20:00～10/4 23:59</t>
    <phoneticPr fontId="1"/>
  </si>
  <si>
    <t>10/3 15:00～10/6 23:59</t>
    <phoneticPr fontId="1"/>
  </si>
  <si>
    <t>10/2 15:00～10/11 23:59</t>
    <phoneticPr fontId="1"/>
  </si>
  <si>
    <t>(20連)10/3 18:00～10/6 23:59</t>
    <rPh sb="3" eb="4">
      <t>レン</t>
    </rPh>
    <phoneticPr fontId="1"/>
  </si>
  <si>
    <t>防衛戦5進化隊士 魔導の案内人ガチャ</t>
    <rPh sb="0" eb="3">
      <t>ボウエイセン</t>
    </rPh>
    <phoneticPr fontId="1"/>
  </si>
  <si>
    <t>【ハロウィン列車】天魔</t>
    <phoneticPr fontId="1"/>
  </si>
  <si>
    <t>動揺滅す天魔の囁き</t>
    <phoneticPr fontId="1"/>
  </si>
  <si>
    <t>はろうぃんれっしゃてんま</t>
    <phoneticPr fontId="1"/>
  </si>
  <si>
    <t>[新生]鬼太鼓</t>
    <phoneticPr fontId="1"/>
  </si>
  <si>
    <t>[新生]灘の酒</t>
    <phoneticPr fontId="1"/>
  </si>
  <si>
    <t>敵全体の戦技ゲージを吸収し、一定時間、自身が戦技を発動するたび敵軍の県HPを吸収、本戦技を発動するたびに効果が上昇</t>
    <phoneticPr fontId="1"/>
  </si>
  <si>
    <t>ワンダーゲート</t>
    <phoneticPr fontId="1"/>
  </si>
  <si>
    <t>タイプ伝承・武人・姫の攻90％UP</t>
    <phoneticPr fontId="1"/>
  </si>
  <si>
    <t>不思議の国のハロウィン</t>
    <phoneticPr fontId="1"/>
  </si>
  <si>
    <t>はろうぃんれっしゃありす</t>
    <phoneticPr fontId="1"/>
  </si>
  <si>
    <t>201033_0</t>
    <phoneticPr fontId="1"/>
  </si>
  <si>
    <t>【ハロウィン列車】アリス</t>
    <phoneticPr fontId="1"/>
  </si>
  <si>
    <t>タイプ偉人・姫・知性派の防85％DOWN　/　タイプ武人・姫の攻30％UP</t>
    <phoneticPr fontId="1"/>
  </si>
  <si>
    <t>闇夜に光る蒼白の椿</t>
    <phoneticPr fontId="1"/>
  </si>
  <si>
    <t>はろうぃんれっしゃくれのおとめつばき</t>
    <phoneticPr fontId="1"/>
  </si>
  <si>
    <t>【ハロウィン列車】呉の乙女椿</t>
    <phoneticPr fontId="1"/>
  </si>
  <si>
    <t>丁or半？</t>
    <phoneticPr fontId="1"/>
  </si>
  <si>
    <t>はろうぃんれっしゃつぼふりし</t>
    <phoneticPr fontId="1"/>
  </si>
  <si>
    <t>【ハロウィン列車】壺ふり師</t>
    <phoneticPr fontId="1"/>
  </si>
  <si>
    <t>背筋も凍るかちわり氷</t>
    <phoneticPr fontId="1"/>
  </si>
  <si>
    <t>はろうぃんれっしゃかちわりちゃん</t>
    <phoneticPr fontId="1"/>
  </si>
  <si>
    <t>【ハロウィン列車】かちわりちゃん</t>
    <phoneticPr fontId="1"/>
  </si>
  <si>
    <t>衰えぬ幽幻の美貌</t>
    <phoneticPr fontId="1"/>
  </si>
  <si>
    <t>しんせいはろうぃんかめいしょうきん</t>
    <phoneticPr fontId="1"/>
  </si>
  <si>
    <t>[新生]【ハロウィン】亀井少琹</t>
    <phoneticPr fontId="1"/>
  </si>
  <si>
    <t>防衛戦 魔列のハロウィンツアーガチャ</t>
    <rPh sb="0" eb="3">
      <t>ボウエイセン</t>
    </rPh>
    <phoneticPr fontId="1"/>
  </si>
  <si>
    <t>包帯に隠された美貌</t>
    <phoneticPr fontId="1"/>
  </si>
  <si>
    <t>しんせいはろうぃんぬまごぜん</t>
    <phoneticPr fontId="1"/>
  </si>
  <si>
    <t>[新生]【ハロウィン】沼御前</t>
    <phoneticPr fontId="1"/>
  </si>
  <si>
    <t>しんせいはろうぃんまつおたせこ</t>
    <phoneticPr fontId="1"/>
  </si>
  <si>
    <t>[新生]【ハロウィン】松尾多勢子</t>
    <phoneticPr fontId="1"/>
  </si>
  <si>
    <t>[新生]ジャック・オ・ランタン</t>
    <phoneticPr fontId="1"/>
  </si>
  <si>
    <t>[新生]【南瓜祭】ブッセちゃん</t>
    <phoneticPr fontId="1"/>
  </si>
  <si>
    <t>[新生]【南瓜祭】サーターアンダギーちゃん</t>
    <phoneticPr fontId="1"/>
  </si>
  <si>
    <t>[新生]南瓜の魔女</t>
    <phoneticPr fontId="1"/>
  </si>
  <si>
    <t>しんせいじゃっくおらんたん</t>
    <phoneticPr fontId="1"/>
  </si>
  <si>
    <t>案内人ウィルオウィスプ・ジャック</t>
    <phoneticPr fontId="1"/>
  </si>
  <si>
    <t>しんせいかぼちゃまつりぶっせちゃん</t>
    <phoneticPr fontId="1"/>
  </si>
  <si>
    <t>ふわふわで挟むまろやかクリーム</t>
    <phoneticPr fontId="1"/>
  </si>
  <si>
    <t>しんせいかぼちゃまつりさーたーあんだぎーちゃん</t>
    <phoneticPr fontId="1"/>
  </si>
  <si>
    <t>サクサクしっとりの揚げ菓子食感</t>
    <phoneticPr fontId="1"/>
  </si>
  <si>
    <t>しんせいかぼちゃのまじょ</t>
    <phoneticPr fontId="1"/>
  </si>
  <si>
    <t>パンプキンパーティ</t>
    <phoneticPr fontId="1"/>
  </si>
  <si>
    <t>防衛戦 感謝極まる祝祭ガチャ</t>
    <rPh sb="0" eb="3">
      <t>ボウエイセン</t>
    </rPh>
    <phoneticPr fontId="1"/>
  </si>
  <si>
    <t>タイプ神秘・知性派・飲食の防40％UP　/　タイプ武人・飲食・妖怪の攻10％DOWN</t>
    <phoneticPr fontId="1"/>
  </si>
  <si>
    <t>祝福する黄金のおくり物</t>
    <phoneticPr fontId="1"/>
  </si>
  <si>
    <t>しゅくえんくりきんとんちゃん</t>
    <phoneticPr fontId="1"/>
  </si>
  <si>
    <t>【祝宴】栗きんとんちゃん</t>
    <phoneticPr fontId="1"/>
  </si>
  <si>
    <t>タイプ【名物】の防90％UP　/　タイプ【偉人】の防60％UP</t>
    <phoneticPr fontId="1"/>
  </si>
  <si>
    <t>鋏鳴らし祝う百鬼夜行</t>
    <phoneticPr fontId="1"/>
  </si>
  <si>
    <t>しゅくえんあみきり</t>
    <phoneticPr fontId="1"/>
  </si>
  <si>
    <t>【祝宴】網切</t>
    <phoneticPr fontId="1"/>
  </si>
  <si>
    <t>タイプ飲食・武人・名物の防85％DOWN　/　タイプ妖怪・名物の攻30％UP</t>
    <phoneticPr fontId="1"/>
  </si>
  <si>
    <t>聖母の自撮り肖像</t>
    <phoneticPr fontId="1"/>
  </si>
  <si>
    <t>しゅくえんじんぐうこうごう</t>
    <phoneticPr fontId="1"/>
  </si>
  <si>
    <t>【祝宴】神功皇后</t>
    <phoneticPr fontId="1"/>
  </si>
  <si>
    <t>星はトップスターの頭上に</t>
    <phoneticPr fontId="1"/>
  </si>
  <si>
    <t>しんせいとっぷすたーちゃん</t>
    <phoneticPr fontId="1"/>
  </si>
  <si>
    <t>[新生]トップスターちゃん</t>
    <phoneticPr fontId="1"/>
  </si>
  <si>
    <t>艶かしい裸弁財天</t>
    <phoneticPr fontId="1"/>
  </si>
  <si>
    <t>しんせいびめがみみょうおうんべんざいてん</t>
    <phoneticPr fontId="1"/>
  </si>
  <si>
    <t>[新生]【美女神】妙音弁財天</t>
    <phoneticPr fontId="1"/>
  </si>
  <si>
    <t>水草に広がる色の調和</t>
    <phoneticPr fontId="1"/>
  </si>
  <si>
    <t>しんせいべた</t>
    <phoneticPr fontId="1"/>
  </si>
  <si>
    <t>[新生]ベタ</t>
    <phoneticPr fontId="1"/>
  </si>
  <si>
    <t>[新生]仙台青葉祭り</t>
    <phoneticPr fontId="1"/>
  </si>
  <si>
    <t>[新生]【バーレスク】芥川龍之介</t>
    <phoneticPr fontId="1"/>
  </si>
  <si>
    <t>[新生]高山祭</t>
    <phoneticPr fontId="1"/>
  </si>
  <si>
    <t>[新生]お寿司ちゃん</t>
    <phoneticPr fontId="1"/>
  </si>
  <si>
    <t>祝宴彩る和の代表</t>
    <phoneticPr fontId="1"/>
  </si>
  <si>
    <t>しんせいおすしちゃん</t>
    <phoneticPr fontId="1"/>
  </si>
  <si>
    <t>しんせいせんだいあおばまつり</t>
    <phoneticPr fontId="1"/>
  </si>
  <si>
    <t>伝統と即興のすずめ舞い</t>
    <phoneticPr fontId="1"/>
  </si>
  <si>
    <t>しんせいばーれすくあくたがわりゅうのすけ</t>
    <phoneticPr fontId="1"/>
  </si>
  <si>
    <t>奇術は小説より奇なり</t>
    <phoneticPr fontId="1"/>
  </si>
  <si>
    <t>しんせいたかやままつり</t>
    <phoneticPr fontId="1"/>
  </si>
  <si>
    <t>荘厳稼働の陽明門</t>
    <phoneticPr fontId="1"/>
  </si>
  <si>
    <t>防衛戦5進化隊士 祝宴守る給仕乙女ガチャ</t>
    <rPh sb="0" eb="3">
      <t>ボウエイセン</t>
    </rPh>
    <phoneticPr fontId="1"/>
  </si>
  <si>
    <t>天クロ9thアニバーサリーガチャ</t>
    <phoneticPr fontId="1"/>
  </si>
  <si>
    <t>(10連)9/2 18:00～9/10 23:59</t>
    <rPh sb="3" eb="4">
      <t>レン</t>
    </rPh>
    <phoneticPr fontId="1"/>
  </si>
  <si>
    <t>(無料10連)9/2 18:00～9/10 23:59</t>
    <rPh sb="1" eb="3">
      <t>ムリョウ</t>
    </rPh>
    <rPh sb="5" eb="6">
      <t>レン</t>
    </rPh>
    <phoneticPr fontId="1"/>
  </si>
  <si>
    <t>(1日1回限定10連)9/2 18:00～9/10 23:59</t>
    <rPh sb="2" eb="3">
      <t>ニチ</t>
    </rPh>
    <rPh sb="4" eb="5">
      <t>カイ</t>
    </rPh>
    <rPh sb="5" eb="7">
      <t>ゲンテイ</t>
    </rPh>
    <rPh sb="9" eb="10">
      <t>レン</t>
    </rPh>
    <phoneticPr fontId="1"/>
  </si>
  <si>
    <t>悪を裁く黒衣の姫</t>
    <phoneticPr fontId="1"/>
  </si>
  <si>
    <t>しゅくえんくろひめ</t>
    <phoneticPr fontId="1"/>
  </si>
  <si>
    <t>【祝宴】黒比売</t>
    <phoneticPr fontId="1"/>
  </si>
  <si>
    <t>タイプ神秘・知性派・飲食の防30％UP　/　タイプ飲食・武人の攻10％DOWN</t>
    <phoneticPr fontId="1"/>
  </si>
  <si>
    <t>タイプ神秘・飲食の防20％UP　/　タイプ【武人】の攻10％DOWN</t>
    <phoneticPr fontId="1"/>
  </si>
  <si>
    <t>四神戦5進化隊士 幻獣たちの微睡みガチャ</t>
    <rPh sb="0" eb="3">
      <t>ヨンシンセン</t>
    </rPh>
    <rPh sb="4" eb="6">
      <t>シンカ</t>
    </rPh>
    <rPh sb="6" eb="8">
      <t>タイシ</t>
    </rPh>
    <phoneticPr fontId="1"/>
  </si>
  <si>
    <t>(20連)10/9 18:00～10/12 23:59</t>
    <rPh sb="3" eb="4">
      <t>レン</t>
    </rPh>
    <phoneticPr fontId="1"/>
  </si>
  <si>
    <t>幻獣の管理者</t>
    <phoneticPr fontId="1"/>
  </si>
  <si>
    <t>はなかんむりそめいゆ</t>
    <phoneticPr fontId="1"/>
  </si>
  <si>
    <t>【花冠】ソメイユ</t>
    <phoneticPr fontId="1"/>
  </si>
  <si>
    <t>タイプ【妖怪】の攻65％UP　/　タイプ偉人・名物の攻25％UP</t>
    <phoneticPr fontId="1"/>
  </si>
  <si>
    <t>タイプ【妖怪】の攻50％UP　/　タイプ【名物】の攻20％UP</t>
    <phoneticPr fontId="1"/>
  </si>
  <si>
    <t>防衛戦 逢魔の守護者ガチャ</t>
    <rPh sb="0" eb="3">
      <t>ボウエイセン</t>
    </rPh>
    <phoneticPr fontId="1"/>
  </si>
  <si>
    <t>10/4 18:00～10/7 23:59</t>
    <phoneticPr fontId="1"/>
  </si>
  <si>
    <t>タイプ【伝承】の防35％UP　/　タイプ武人・姫の防20％UP</t>
    <phoneticPr fontId="1"/>
  </si>
  <si>
    <t>悪霊払う鬼武蔵の妻</t>
    <phoneticPr fontId="1"/>
  </si>
  <si>
    <t>はろうぃんれっしゃいけだせん</t>
    <phoneticPr fontId="1"/>
  </si>
  <si>
    <t>正体なき妖怪</t>
    <phoneticPr fontId="1"/>
  </si>
  <si>
    <t>しんせいはろうぃんゆうれいがさ</t>
    <phoneticPr fontId="1"/>
  </si>
  <si>
    <t>[新生]【ハロウィン】幽霊傘</t>
    <phoneticPr fontId="1"/>
  </si>
  <si>
    <t>【ハロウィン列車】池田せん</t>
    <phoneticPr fontId="1"/>
  </si>
  <si>
    <t>お菓子と仮装のぺろぺろステッキ</t>
    <phoneticPr fontId="1"/>
  </si>
  <si>
    <t>しんせいぺろぺろきゃんでぃーちゃん</t>
    <phoneticPr fontId="1"/>
  </si>
  <si>
    <t>[新生]ぺろぺろキャンディーちゃん</t>
    <phoneticPr fontId="1"/>
  </si>
  <si>
    <t>お菓子の家の兄妹</t>
    <phoneticPr fontId="1"/>
  </si>
  <si>
    <t>しんせいへんぜるとぐれーてる</t>
    <phoneticPr fontId="1"/>
  </si>
  <si>
    <t>[新生]ヘンゼルとグレーテル</t>
    <phoneticPr fontId="1"/>
  </si>
  <si>
    <t>【誘惑の海】加賀千代女</t>
    <phoneticPr fontId="1"/>
  </si>
  <si>
    <t>【ディーラー】ジェニー</t>
    <phoneticPr fontId="1"/>
  </si>
  <si>
    <t>【アドベンチャー】常山御前</t>
    <phoneticPr fontId="1"/>
  </si>
  <si>
    <t>[新生]静岡おでんちゃん</t>
    <phoneticPr fontId="1"/>
  </si>
  <si>
    <t>[新生]絵ろうそく</t>
    <phoneticPr fontId="1"/>
  </si>
  <si>
    <t>[新生]【バレエ】石上露子</t>
    <phoneticPr fontId="1"/>
  </si>
  <si>
    <t>10/11 15:00～10/14 23:59</t>
    <phoneticPr fontId="1"/>
  </si>
  <si>
    <t>黒汁に浮かぶ黒き半片</t>
    <phoneticPr fontId="1"/>
  </si>
  <si>
    <t>しんせいしずおかおでんちゃん</t>
    <phoneticPr fontId="1"/>
  </si>
  <si>
    <t>焔と揺れる華花</t>
    <phoneticPr fontId="1"/>
  </si>
  <si>
    <t>しんせいえろうそく</t>
    <phoneticPr fontId="1"/>
  </si>
  <si>
    <t>しんせいばれえいそのかみつゆこ</t>
    <phoneticPr fontId="1"/>
  </si>
  <si>
    <t>安全大祈願</t>
    <phoneticPr fontId="1"/>
  </si>
  <si>
    <t>はまべあげとこん</t>
    <phoneticPr fontId="1"/>
  </si>
  <si>
    <t>【浜辺】アゲとコン</t>
    <phoneticPr fontId="1"/>
  </si>
  <si>
    <t>2021/07防衛戦</t>
    <phoneticPr fontId="1"/>
  </si>
  <si>
    <t>怪しく奏でる朝顔の歌</t>
    <phoneticPr fontId="1"/>
  </si>
  <si>
    <t>タイプ神秘・知性派・飲食の攻45％UP　/　タイプ飲食・武人・名物の防10％DOWN</t>
  </si>
  <si>
    <t>ゆうわくのうみかがのちよじょ</t>
    <phoneticPr fontId="1"/>
  </si>
  <si>
    <t>2021/07サイコロ</t>
    <phoneticPr fontId="1"/>
  </si>
  <si>
    <t>ルーレットの華</t>
    <phoneticPr fontId="1"/>
  </si>
  <si>
    <t>タイプ偉人・妖怪・名物の攻25％UP</t>
    <phoneticPr fontId="1"/>
  </si>
  <si>
    <t>でぃーらーじぇにー</t>
    <phoneticPr fontId="1"/>
  </si>
  <si>
    <t>森に挑む常山女軍の姫</t>
    <phoneticPr fontId="1"/>
  </si>
  <si>
    <t>タイプ姫・伝承の防30％UP　/　タイプ【武人】の防15％UP</t>
  </si>
  <si>
    <t>あどべんちゃーつねやまごぜん</t>
    <phoneticPr fontId="1"/>
  </si>
  <si>
    <t>2021/04全国巡り</t>
    <rPh sb="7" eb="10">
      <t>ゼンコクメグ</t>
    </rPh>
    <phoneticPr fontId="1"/>
  </si>
  <si>
    <t>2020/10全国巡り</t>
    <rPh sb="7" eb="10">
      <t>ゼンコクメグ</t>
    </rPh>
    <phoneticPr fontId="1"/>
  </si>
  <si>
    <t>2021/07四神戦</t>
    <rPh sb="7" eb="10">
      <t>ヨンシンセン</t>
    </rPh>
    <phoneticPr fontId="1"/>
  </si>
  <si>
    <t>2021/06四神戦</t>
    <rPh sb="7" eb="10">
      <t>ヨンシンセン</t>
    </rPh>
    <phoneticPr fontId="1"/>
  </si>
  <si>
    <t>2020/07同盟戦</t>
    <rPh sb="7" eb="10">
      <t>ドウメイセン</t>
    </rPh>
    <phoneticPr fontId="1"/>
  </si>
  <si>
    <t>2020/08防衛戦</t>
    <rPh sb="7" eb="10">
      <t>ボウエイセン</t>
    </rPh>
    <phoneticPr fontId="1"/>
  </si>
  <si>
    <t>2020/06四神戦</t>
    <rPh sb="7" eb="10">
      <t>ヨンシンセン</t>
    </rPh>
    <phoneticPr fontId="1"/>
  </si>
  <si>
    <t>10/23 15:00～10/26 23:59</t>
    <phoneticPr fontId="1"/>
  </si>
  <si>
    <t>10/23 12:00～10/24 11:59</t>
    <phoneticPr fontId="1"/>
  </si>
  <si>
    <t>夜の王女</t>
    <phoneticPr fontId="1"/>
  </si>
  <si>
    <t>ゔぃらんずゔぁりれんこ</t>
    <phoneticPr fontId="1"/>
  </si>
  <si>
    <t>【ヴィランズ】ヴァリレンコ</t>
    <phoneticPr fontId="1"/>
  </si>
  <si>
    <t>蛍の光照らす鹿鳴館の華</t>
    <phoneticPr fontId="1"/>
  </si>
  <si>
    <t>ほたるまつりいしいふでこ</t>
    <phoneticPr fontId="1"/>
  </si>
  <si>
    <t>【ほたる祭り】石井筆子</t>
    <phoneticPr fontId="1"/>
  </si>
  <si>
    <t>2020/04防衛戦</t>
    <rPh sb="7" eb="10">
      <t>ボウエイセン</t>
    </rPh>
    <phoneticPr fontId="1"/>
  </si>
  <si>
    <t>2020/06全国巡り</t>
    <rPh sb="7" eb="10">
      <t>ゼンコクメグ</t>
    </rPh>
    <phoneticPr fontId="1"/>
  </si>
  <si>
    <t>2020/06同盟戦</t>
    <rPh sb="7" eb="10">
      <t>ドウメイセン</t>
    </rPh>
    <phoneticPr fontId="1"/>
  </si>
  <si>
    <t>2021/10/03は記録失念のため、ガチャが抜けている可能性あり</t>
    <rPh sb="11" eb="13">
      <t>キロク</t>
    </rPh>
    <rPh sb="13" eb="15">
      <t>シツネン</t>
    </rPh>
    <rPh sb="23" eb="24">
      <t>ヌ</t>
    </rPh>
    <rPh sb="28" eb="31">
      <t>カノウセイ</t>
    </rPh>
    <phoneticPr fontId="1"/>
  </si>
  <si>
    <t>(20連)10/5 15:00～10/9 23:59</t>
    <rPh sb="3" eb="4">
      <t>レン</t>
    </rPh>
    <phoneticPr fontId="1"/>
  </si>
  <si>
    <t>10/5 18:00～10/8 23:59</t>
    <phoneticPr fontId="1"/>
  </si>
  <si>
    <t>復活ZRチケ・セットE</t>
    <phoneticPr fontId="1"/>
  </si>
  <si>
    <t>セットBを最大コスト25→26にしたもの</t>
    <rPh sb="5" eb="7">
      <t>サイダイ</t>
    </rPh>
    <phoneticPr fontId="1"/>
  </si>
  <si>
    <t>[新生]あんみつちゃん</t>
    <phoneticPr fontId="1"/>
  </si>
  <si>
    <t>みつまめ進化論</t>
    <phoneticPr fontId="1"/>
  </si>
  <si>
    <t>しんせいあんみつちゃん</t>
    <phoneticPr fontId="1"/>
  </si>
  <si>
    <t>小さな天才</t>
    <phoneticPr fontId="1"/>
  </si>
  <si>
    <t>おかしのくにこれっと</t>
    <phoneticPr fontId="1"/>
  </si>
  <si>
    <t>【お菓子の国】コレット</t>
    <phoneticPr fontId="1"/>
  </si>
  <si>
    <t>10/7 15:00～10/10 23:59</t>
    <phoneticPr fontId="1"/>
  </si>
  <si>
    <t>安産子育は体力勝負</t>
    <phoneticPr fontId="1"/>
  </si>
  <si>
    <t>じむとれきしもじん</t>
    <phoneticPr fontId="1"/>
  </si>
  <si>
    <t>【ジムトレ】鬼子母神</t>
    <phoneticPr fontId="1"/>
  </si>
  <si>
    <t>あまのがわぼし</t>
    <phoneticPr fontId="1"/>
  </si>
  <si>
    <t>きょうせいのでねぶ</t>
    <phoneticPr fontId="1"/>
  </si>
  <si>
    <t>狂星のデネブ</t>
    <phoneticPr fontId="1"/>
  </si>
  <si>
    <t>2020/07防衛戦</t>
    <rPh sb="7" eb="10">
      <t>ボウエイセン</t>
    </rPh>
    <phoneticPr fontId="1"/>
  </si>
  <si>
    <t>2021/07全国巡り</t>
    <rPh sb="7" eb="10">
      <t>ゼンコクメグ</t>
    </rPh>
    <phoneticPr fontId="1"/>
  </si>
  <si>
    <t>2021/07同盟戦</t>
    <rPh sb="7" eb="10">
      <t>ドウメイセン</t>
    </rPh>
    <phoneticPr fontId="1"/>
  </si>
  <si>
    <t>四神戦 煉獄の住人ガチャ</t>
    <rPh sb="0" eb="3">
      <t>ヨンシンセン</t>
    </rPh>
    <phoneticPr fontId="1"/>
  </si>
  <si>
    <t>10/8 18:00～10/11 23:59</t>
    <phoneticPr fontId="1"/>
  </si>
  <si>
    <t>思い出のハロウィン</t>
    <phoneticPr fontId="1"/>
  </si>
  <si>
    <t>ろみろみ</t>
    <phoneticPr fontId="1"/>
  </si>
  <si>
    <t>ロミロミ</t>
    <phoneticPr fontId="1"/>
  </si>
  <si>
    <t>しんせいひょうけつのにくすとぱとろーる</t>
    <phoneticPr fontId="1"/>
  </si>
  <si>
    <t>[新生]氷穴のニクスとパトロール</t>
    <phoneticPr fontId="1"/>
  </si>
  <si>
    <t>命を賭けた妖しい視線</t>
    <phoneticPr fontId="1"/>
  </si>
  <si>
    <t>しんせいはまひめ</t>
    <phoneticPr fontId="1"/>
  </si>
  <si>
    <t>[新生]浜姫</t>
    <phoneticPr fontId="1"/>
  </si>
  <si>
    <t>銘変の鬼切り刀</t>
    <phoneticPr fontId="1"/>
  </si>
  <si>
    <t>しんせいようとうおにきりまる</t>
    <phoneticPr fontId="1"/>
  </si>
  <si>
    <t>[新生]【妖刀】鬼切丸</t>
    <phoneticPr fontId="1"/>
  </si>
  <si>
    <t>妖刀遠呂知</t>
    <phoneticPr fontId="1"/>
  </si>
  <si>
    <t>しんせいおろちのむしゃ</t>
    <phoneticPr fontId="1"/>
  </si>
  <si>
    <t>[新生]オロチの武者</t>
    <phoneticPr fontId="1"/>
  </si>
  <si>
    <t>10/10 18:00～10/13 23:59</t>
    <phoneticPr fontId="1"/>
  </si>
  <si>
    <t>恋するチアガールガチャ</t>
    <phoneticPr fontId="1"/>
  </si>
  <si>
    <t>(20連)10/15 18:00～10/24 23:59</t>
    <rPh sb="3" eb="4">
      <t>レン</t>
    </rPh>
    <phoneticPr fontId="1"/>
  </si>
  <si>
    <t>(1日3回限定10連)10/15 18:00～10/24 23:59</t>
    <rPh sb="9" eb="10">
      <t>レン</t>
    </rPh>
    <phoneticPr fontId="1"/>
  </si>
  <si>
    <t>2021天クロハロウィン福引ガチャ</t>
    <rPh sb="4" eb="5">
      <t>テン</t>
    </rPh>
    <rPh sb="12" eb="14">
      <t>フクビキ</t>
    </rPh>
    <phoneticPr fontId="1"/>
  </si>
  <si>
    <t>0/15 15:00～10/16 23:59</t>
    <phoneticPr fontId="1"/>
  </si>
  <si>
    <t>サイコロ行脚5進化隊士 眠り授けし幼女神ガチャ</t>
    <rPh sb="4" eb="6">
      <t>アンギャ</t>
    </rPh>
    <rPh sb="7" eb="9">
      <t>シンカ</t>
    </rPh>
    <rPh sb="9" eb="11">
      <t>タイシ</t>
    </rPh>
    <phoneticPr fontId="1"/>
  </si>
  <si>
    <t>東日本</t>
    <rPh sb="0" eb="1">
      <t>ヒガシ</t>
    </rPh>
    <phoneticPr fontId="1"/>
  </si>
  <si>
    <t>眠りの夜露</t>
    <phoneticPr fontId="1"/>
  </si>
  <si>
    <t>ひゅぷのす</t>
    <phoneticPr fontId="1"/>
  </si>
  <si>
    <t>ヒュプノス</t>
    <phoneticPr fontId="1"/>
  </si>
  <si>
    <t>タイプ偉人・名物の攻15％UP　/　タイプ【妖怪】の攻20％UP</t>
    <phoneticPr fontId="1"/>
  </si>
  <si>
    <t>[新生]磯天狗</t>
    <phoneticPr fontId="1"/>
  </si>
  <si>
    <t>敵単体の発動中戦技を無効化して、極大ダメージを与え、一定割合でめまい状態にする</t>
    <phoneticPr fontId="1"/>
  </si>
  <si>
    <t>チアスピリット</t>
    <phoneticPr fontId="1"/>
  </si>
  <si>
    <t>タイプ偉人・名物の攻55％UP　/　タイプ【妖怪】の攻35％UP</t>
    <phoneticPr fontId="1"/>
  </si>
  <si>
    <t>より華やかな応援を</t>
    <phoneticPr fontId="1"/>
  </si>
  <si>
    <t>おうえんせいかたい</t>
    <phoneticPr fontId="1"/>
  </si>
  <si>
    <t>201323_0</t>
    <phoneticPr fontId="1"/>
  </si>
  <si>
    <t>応援声華隊</t>
    <phoneticPr fontId="1"/>
  </si>
  <si>
    <t>10/16 15:00～10/16 23:59</t>
    <phoneticPr fontId="1"/>
  </si>
  <si>
    <t>タイプ神秘・知性派・飲食の防40％UP　/　タイプ偉人・飲食・伝承の攻10％DOWN</t>
    <phoneticPr fontId="1"/>
  </si>
  <si>
    <t>知識という渇望</t>
    <phoneticPr fontId="1"/>
  </si>
  <si>
    <t>ちこうしゃくしるどら</t>
    <phoneticPr fontId="1"/>
  </si>
  <si>
    <t>【智侯爵】シルドラ</t>
    <phoneticPr fontId="1"/>
  </si>
  <si>
    <t>とらわれの女城主</t>
    <phoneticPr fontId="1"/>
  </si>
  <si>
    <t>しんせいとらわれひめおつやのかた</t>
    <phoneticPr fontId="1"/>
  </si>
  <si>
    <t>[新生]【囚われ姫】おつやの方</t>
    <phoneticPr fontId="1"/>
  </si>
  <si>
    <t>四方八方撹乱戦術</t>
    <phoneticPr fontId="1"/>
  </si>
  <si>
    <t>しんせいふうまこたろう</t>
    <phoneticPr fontId="1"/>
  </si>
  <si>
    <t>[新生]風魔小太郎</t>
    <phoneticPr fontId="1"/>
  </si>
  <si>
    <t>天才参謀の交渉術</t>
    <phoneticPr fontId="1"/>
  </si>
  <si>
    <t>しんせいくろだかんべえ</t>
    <phoneticPr fontId="1"/>
  </si>
  <si>
    <t>[新生]黒田官兵衛</t>
    <phoneticPr fontId="1"/>
  </si>
  <si>
    <t>10/12 15:00～10/12 23:59</t>
    <phoneticPr fontId="1"/>
  </si>
  <si>
    <t>(20連)10/17 18:00～10/20 23:59</t>
    <rPh sb="3" eb="4">
      <t>レン</t>
    </rPh>
    <phoneticPr fontId="1"/>
  </si>
  <si>
    <t>防衛戦 ヴァンプ・ザ・ギャングガチャ</t>
    <rPh sb="0" eb="3">
      <t>ボウエイセン</t>
    </rPh>
    <phoneticPr fontId="1"/>
  </si>
  <si>
    <t>一定時間、戦技無効化を一度だけ無効、1000以上のダメージを無効、敵が多いほど自身のダメージ上昇の効果を付与し、敵全体の戦技効果時間を短縮</t>
    <phoneticPr fontId="1"/>
  </si>
  <si>
    <t>ミルクスタンド</t>
    <phoneticPr fontId="1"/>
  </si>
  <si>
    <t>タイプ神秘・知性派・飲食の防90％UP</t>
    <phoneticPr fontId="1"/>
  </si>
  <si>
    <t>闇の世界に広がる牛乳</t>
    <phoneticPr fontId="1"/>
  </si>
  <si>
    <t>まふぃあほっかいどうぎゅうにゅうちゃん</t>
    <phoneticPr fontId="1"/>
  </si>
  <si>
    <t>【マフィア】北海道牛乳ちゃん</t>
    <phoneticPr fontId="1"/>
  </si>
  <si>
    <t>201663_0</t>
    <phoneticPr fontId="1"/>
  </si>
  <si>
    <t>タイプ姫・伝承の防65％UP　/　タイプ【武人】の防20％UP</t>
    <phoneticPr fontId="1"/>
  </si>
  <si>
    <t>闇の世界の交渉姫</t>
    <phoneticPr fontId="1"/>
  </si>
  <si>
    <t>まふぃあおなみひめ</t>
    <phoneticPr fontId="1"/>
  </si>
  <si>
    <t>【マフィア】阿南姫</t>
    <phoneticPr fontId="1"/>
  </si>
  <si>
    <t>タイプ知性派・飲食の攻30％UP　/　タイプ【神秘】の攻15％UP</t>
    <phoneticPr fontId="1"/>
  </si>
  <si>
    <t>美しき閃光の用心棒</t>
    <phoneticPr fontId="1"/>
  </si>
  <si>
    <t>まふぃあひめつるいちもんじ</t>
    <phoneticPr fontId="1"/>
  </si>
  <si>
    <t>銘米の裏の顔</t>
    <phoneticPr fontId="1"/>
  </si>
  <si>
    <t>まふぃあひのひかりちゃん</t>
    <phoneticPr fontId="1"/>
  </si>
  <si>
    <t>【マフィア】ヒノヒカリちゃん</t>
    <phoneticPr fontId="1"/>
  </si>
  <si>
    <t>【マフィア】姫鶴一文字</t>
    <phoneticPr fontId="1"/>
  </si>
  <si>
    <t>女医の泪にカクテルを添えて</t>
    <phoneticPr fontId="1"/>
  </si>
  <si>
    <t>しんせいよあそびおぎのぎんこ</t>
    <phoneticPr fontId="1"/>
  </si>
  <si>
    <t>[新生]【夜遊び】荻野吟子</t>
    <phoneticPr fontId="1"/>
  </si>
  <si>
    <t>不夜城の女関白</t>
    <phoneticPr fontId="1"/>
  </si>
  <si>
    <t>しんせいくらぶごうひめ</t>
    <phoneticPr fontId="1"/>
  </si>
  <si>
    <t>[新生]【クラブ】豪姫</t>
    <phoneticPr fontId="1"/>
  </si>
  <si>
    <t>千の生きる道</t>
    <phoneticPr fontId="1"/>
  </si>
  <si>
    <t>しんせいごくひめせんひめ</t>
    <phoneticPr fontId="1"/>
  </si>
  <si>
    <t>[新生]【極姫】千姫</t>
    <phoneticPr fontId="1"/>
  </si>
  <si>
    <t>[新生]【クラブ】女郎蜘蛛</t>
    <phoneticPr fontId="1"/>
  </si>
  <si>
    <t>[新生]ほおずき市</t>
    <phoneticPr fontId="1"/>
  </si>
  <si>
    <t>[新生]岩崎弥太郎</t>
    <phoneticPr fontId="1"/>
  </si>
  <si>
    <t>[新生]【囚われ姫】国姫</t>
    <phoneticPr fontId="1"/>
  </si>
  <si>
    <t>日向御前の和歌</t>
    <phoneticPr fontId="1"/>
  </si>
  <si>
    <t>しんせいとらわれひめくにひめ</t>
    <phoneticPr fontId="1"/>
  </si>
  <si>
    <t>しんせいくらぶじょろうぐも</t>
    <phoneticPr fontId="1"/>
  </si>
  <si>
    <t>闇夜のラブハンター</t>
    <phoneticPr fontId="1"/>
  </si>
  <si>
    <t>しんせいほおずきいち</t>
    <phoneticPr fontId="1"/>
  </si>
  <si>
    <t>浅草を彩る赤</t>
    <phoneticPr fontId="1"/>
  </si>
  <si>
    <t>タイプ妖怪・名物の防45％UP　/　タイプ【偉人】の防30％UP</t>
    <phoneticPr fontId="1"/>
  </si>
  <si>
    <t>マフィアの女流茶人</t>
    <phoneticPr fontId="1"/>
  </si>
  <si>
    <t>まふぃあほりこしそうえん</t>
    <phoneticPr fontId="1"/>
  </si>
  <si>
    <t>【マフィア】堀越宗圓</t>
    <phoneticPr fontId="1"/>
  </si>
  <si>
    <t>タイプ妖怪・名物の防30％UP　/　タイプ【偉人】の防25％UP</t>
    <phoneticPr fontId="1"/>
  </si>
  <si>
    <t>タイプ妖怪・名物の防15％UP　/　タイプ【偉人】の防20％UP</t>
    <phoneticPr fontId="1"/>
  </si>
  <si>
    <t>11/2 15:00～11/11 23:59</t>
    <phoneticPr fontId="1"/>
  </si>
  <si>
    <t>しんせいいわさきやたろう</t>
    <phoneticPr fontId="1"/>
  </si>
  <si>
    <t>スリーダイヤの創設者</t>
    <phoneticPr fontId="1"/>
  </si>
  <si>
    <t>11/3 15:00～11/6 23:59</t>
    <phoneticPr fontId="1"/>
  </si>
  <si>
    <t>(20連)11/3 18:00～11/6 23:59</t>
    <rPh sb="3" eb="4">
      <t>レン</t>
    </rPh>
    <phoneticPr fontId="1"/>
  </si>
  <si>
    <t>タイプ偉人・妖怪・名物の攻40％UP　/　タイプ伝承・妖怪・神秘の防10％DOWN</t>
    <phoneticPr fontId="1"/>
  </si>
  <si>
    <t>はなびしまがたまちゃん</t>
    <phoneticPr fontId="1"/>
  </si>
  <si>
    <t>【花火師】勾玉ちゃん</t>
    <phoneticPr fontId="1"/>
  </si>
  <si>
    <t>タイプ神秘・知性派・飲食の攻40％UP　/　タイプ名物・妖怪・姫の防10％DOWN</t>
    <phoneticPr fontId="1"/>
  </si>
  <si>
    <t>常夏ジュース</t>
    <phoneticPr fontId="1"/>
  </si>
  <si>
    <t>悪を宿した幸魂の化身</t>
    <phoneticPr fontId="1"/>
  </si>
  <si>
    <t>なつやすみここな</t>
    <phoneticPr fontId="1"/>
  </si>
  <si>
    <t>【夏休み】ココナ</t>
    <phoneticPr fontId="1"/>
  </si>
  <si>
    <t>ヴァイキングエール</t>
    <phoneticPr fontId="1"/>
  </si>
  <si>
    <t>ヴァイキングマーメイド</t>
    <phoneticPr fontId="1"/>
  </si>
  <si>
    <t>ばいきんぐまーめいど</t>
    <phoneticPr fontId="1"/>
  </si>
  <si>
    <t>女袴の絢爛山車</t>
    <phoneticPr fontId="1"/>
  </si>
  <si>
    <t>しんせいかさぼこちゃん</t>
    <phoneticPr fontId="1"/>
  </si>
  <si>
    <t>[新生]笠鉾ちゃん</t>
    <phoneticPr fontId="1"/>
  </si>
  <si>
    <t>八畳紅葉の化け比べ</t>
    <phoneticPr fontId="1"/>
  </si>
  <si>
    <t>[新生]【妖術】豆狸</t>
    <phoneticPr fontId="1"/>
  </si>
  <si>
    <t>しんせいようじゅつまめだぬき</t>
    <phoneticPr fontId="1"/>
  </si>
  <si>
    <t>吹き抜ける清涼な檸檬風</t>
    <phoneticPr fontId="1"/>
  </si>
  <si>
    <t>しんせいれもんはにーちゃん</t>
    <phoneticPr fontId="1"/>
  </si>
  <si>
    <t>[新生]れもんハニーちゃん</t>
    <phoneticPr fontId="1"/>
  </si>
  <si>
    <t>2021/08防衛戦</t>
    <rPh sb="7" eb="10">
      <t>ボウエイセン</t>
    </rPh>
    <phoneticPr fontId="1"/>
  </si>
  <si>
    <t>2021/08四神戦</t>
    <rPh sb="7" eb="10">
      <t>ヨンシンセン</t>
    </rPh>
    <phoneticPr fontId="1"/>
  </si>
  <si>
    <t>2021/08サイコロ</t>
    <phoneticPr fontId="1"/>
  </si>
  <si>
    <t>防衛戦5進化隊士 双銃の熾烈娘ガチャ</t>
    <rPh sb="0" eb="3">
      <t>ボウエイセン</t>
    </rPh>
    <phoneticPr fontId="1"/>
  </si>
  <si>
    <t>防衛戦 賭姫の懲罰ガチャ</t>
    <rPh sb="0" eb="3">
      <t>ボウエイセン</t>
    </rPh>
    <phoneticPr fontId="1"/>
  </si>
  <si>
    <t>11/4 18:00～11/7 23:59</t>
    <phoneticPr fontId="1"/>
  </si>
  <si>
    <t>11/4 20:00～11/4 23:59</t>
    <phoneticPr fontId="1"/>
  </si>
  <si>
    <t>清廉果敢なる闇姫</t>
    <phoneticPr fontId="1"/>
  </si>
  <si>
    <t>まふぃあはりまのいなびのおおいらつめ</t>
    <phoneticPr fontId="1"/>
  </si>
  <si>
    <t>【マフィア】播磨稲日大郎姫</t>
    <phoneticPr fontId="1"/>
  </si>
  <si>
    <t>しんせいごくひめごりゅうのつぼね</t>
    <phoneticPr fontId="1"/>
  </si>
  <si>
    <t>[新生]【極姫】五龍局</t>
    <phoneticPr fontId="1"/>
  </si>
  <si>
    <t>ビードロで乾杯</t>
    <phoneticPr fontId="1"/>
  </si>
  <si>
    <t>しんせいくらぶびーどろざいくちゃん</t>
    <phoneticPr fontId="1"/>
  </si>
  <si>
    <t>[新生]【クラブ】ビードロ細工ちゃん</t>
    <phoneticPr fontId="1"/>
  </si>
  <si>
    <t>宇都宮城最後の城主</t>
    <phoneticPr fontId="1"/>
  </si>
  <si>
    <t>しんせいうつのみやくにつな</t>
    <phoneticPr fontId="1"/>
  </si>
  <si>
    <t>[新生]宇都宮国綱</t>
    <phoneticPr fontId="1"/>
  </si>
  <si>
    <t>吸い寄せる雫</t>
    <phoneticPr fontId="1"/>
  </si>
  <si>
    <t>ませんりりあんた</t>
    <phoneticPr fontId="1"/>
  </si>
  <si>
    <t>【魔泉】リリアンタ</t>
    <phoneticPr fontId="1"/>
  </si>
  <si>
    <t>タイプ神秘・知性派・飲食の攻40％UP　/　所属が【西日本】と、それに属する地方・県、および【全国】の防40％DOWN</t>
    <phoneticPr fontId="1"/>
  </si>
  <si>
    <t>儚灯の光景</t>
    <phoneticPr fontId="1"/>
  </si>
  <si>
    <t>ありゅめっと</t>
    <phoneticPr fontId="1"/>
  </si>
  <si>
    <t>アリュメット</t>
    <phoneticPr fontId="1"/>
  </si>
  <si>
    <t>タイプ偉人・妖怪・名物の攻40％UP　/　所属が【東日本】と、それに属する地方・県、および【全国】の防40％DOWN</t>
    <phoneticPr fontId="1"/>
  </si>
  <si>
    <t>輝かしき称号</t>
    <phoneticPr fontId="1"/>
  </si>
  <si>
    <t>ふぇるりすないと</t>
    <phoneticPr fontId="1"/>
  </si>
  <si>
    <t>フェルリスナイト</t>
    <phoneticPr fontId="1"/>
  </si>
  <si>
    <t>(20連)11/5 15:00～11/9 23:59</t>
    <rPh sb="3" eb="4">
      <t>レン</t>
    </rPh>
    <phoneticPr fontId="1"/>
  </si>
  <si>
    <t>11/5 18:00～11/8 23:59</t>
    <phoneticPr fontId="1"/>
  </si>
  <si>
    <t>しんせいだいこうかいじだいもちづきちよめ</t>
    <phoneticPr fontId="1"/>
  </si>
  <si>
    <t>[新生]【大航海時代】望月千代女</t>
    <phoneticPr fontId="1"/>
  </si>
  <si>
    <t>タイプ伝承・武人・姫の攻40％UP　/　タイプ偉人・姫・知性派の防10％DOWN</t>
    <phoneticPr fontId="1"/>
  </si>
  <si>
    <t>負けず嫌いのグルメ旅</t>
    <phoneticPr fontId="1"/>
  </si>
  <si>
    <t>いこくのやたいみむらつる</t>
    <phoneticPr fontId="1"/>
  </si>
  <si>
    <t>【異国の屋台】三村鶴</t>
    <phoneticPr fontId="1"/>
  </si>
  <si>
    <t>タイプ【神秘】の防90％UP　/　タイプ知性派・飲食の防30％UP</t>
    <phoneticPr fontId="1"/>
  </si>
  <si>
    <t>しんせいししりあんらいす</t>
    <phoneticPr fontId="1"/>
  </si>
  <si>
    <t>[新生]シシリアンライス</t>
    <phoneticPr fontId="1"/>
  </si>
  <si>
    <t>悪魔のバカンス</t>
    <phoneticPr fontId="1"/>
  </si>
  <si>
    <t>びびどぅー</t>
    <phoneticPr fontId="1"/>
  </si>
  <si>
    <t>ヴィヴィドゥー</t>
    <phoneticPr fontId="1"/>
  </si>
  <si>
    <t>しんせいなだのさけ</t>
    <phoneticPr fontId="1"/>
  </si>
  <si>
    <t>花から花へ届ける甘い蜜</t>
    <phoneticPr fontId="1"/>
  </si>
  <si>
    <t>しんせいれんげはにーちゃん</t>
    <phoneticPr fontId="1"/>
  </si>
  <si>
    <t>[新生]レンゲハニーちゃん</t>
    <phoneticPr fontId="1"/>
  </si>
  <si>
    <t>女イザベラ異国旅</t>
    <phoneticPr fontId="1"/>
  </si>
  <si>
    <t>しんせいいざべら・ばーど</t>
    <phoneticPr fontId="1"/>
  </si>
  <si>
    <t>[新生]イザベラ・バード</t>
    <phoneticPr fontId="1"/>
  </si>
  <si>
    <t>素朴で愛らしいはーこさん</t>
    <phoneticPr fontId="1"/>
  </si>
  <si>
    <t>しんせいはこたにんぎょう</t>
    <phoneticPr fontId="1"/>
  </si>
  <si>
    <t>[新生]はこた人形</t>
    <phoneticPr fontId="1"/>
  </si>
  <si>
    <t>(20連)5/28 18:00～5/31 23:59</t>
    <rPh sb="3" eb="4">
      <t>レン</t>
    </rPh>
    <phoneticPr fontId="1"/>
  </si>
  <si>
    <t>(20連)5/24 12:00～5/28 23:59</t>
    <rPh sb="3" eb="4">
      <t>レン</t>
    </rPh>
    <phoneticPr fontId="1"/>
  </si>
  <si>
    <t>全国巡り おいでよ！緑きらめく牧場ガチャ</t>
    <rPh sb="0" eb="3">
      <t>ゼンコクメグ</t>
    </rPh>
    <phoneticPr fontId="1"/>
  </si>
  <si>
    <t>5/25 18:00～5/28 23:59</t>
    <phoneticPr fontId="1"/>
  </si>
  <si>
    <t>女丈夫も癒す牧場時間</t>
    <phoneticPr fontId="1"/>
  </si>
  <si>
    <t>【マザー牧場】妙林尼</t>
    <phoneticPr fontId="1"/>
  </si>
  <si>
    <t>まざーぼくじょうみょうりんに</t>
    <phoneticPr fontId="1"/>
  </si>
  <si>
    <t>犯人一本釣り</t>
    <phoneticPr fontId="1"/>
  </si>
  <si>
    <t>タイプ武人・姫の攻30％UP　/　タイプ【伝承】の攻25％UP</t>
    <phoneticPr fontId="1"/>
  </si>
  <si>
    <t>しんせいたんていうらしまたろう</t>
    <phoneticPr fontId="1"/>
  </si>
  <si>
    <t>[新生]【探偵】浦島太郎</t>
    <phoneticPr fontId="1"/>
  </si>
  <si>
    <t>タイプ神秘・知性派の防35％UP　/　タイプ【飲食】の防10％UP</t>
    <phoneticPr fontId="1"/>
  </si>
  <si>
    <t>絹糸の如き繊細さ</t>
    <phoneticPr fontId="1"/>
  </si>
  <si>
    <t>しんせいごすろりごしきそうめんちゃん</t>
    <phoneticPr fontId="1"/>
  </si>
  <si>
    <t>[新生]【ゴスロリ】五色そうめんちゃん</t>
    <phoneticPr fontId="1"/>
  </si>
  <si>
    <t>しんせいしらゆきひめちょこれーとけーき</t>
    <phoneticPr fontId="1"/>
  </si>
  <si>
    <t>[新生]【白雪姫】チョコレートケーキ</t>
    <phoneticPr fontId="1"/>
  </si>
  <si>
    <t>2019/04全国巡り</t>
    <rPh sb="7" eb="10">
      <t>ゼンコクメグ</t>
    </rPh>
    <phoneticPr fontId="1"/>
  </si>
  <si>
    <t>2019/08四神戦</t>
    <rPh sb="7" eb="10">
      <t>ヨンシンセン</t>
    </rPh>
    <phoneticPr fontId="1"/>
  </si>
  <si>
    <t>輝く豊潤な香り</t>
    <phoneticPr fontId="1"/>
  </si>
  <si>
    <t>ぼじょれーぬーぼーさふぁいあ</t>
    <phoneticPr fontId="1"/>
  </si>
  <si>
    <t>【ボジョレーヌーボー】サファイア</t>
    <phoneticPr fontId="1"/>
  </si>
  <si>
    <t>冷徹な弾丸</t>
    <phoneticPr fontId="1"/>
  </si>
  <si>
    <t>あいしくるはんたー</t>
    <phoneticPr fontId="1"/>
  </si>
  <si>
    <t>アイシクルハンター</t>
    <phoneticPr fontId="1"/>
  </si>
  <si>
    <t>2020/11全国巡り</t>
    <rPh sb="7" eb="10">
      <t>ゼンコクメグ</t>
    </rPh>
    <phoneticPr fontId="1"/>
  </si>
  <si>
    <t>2020/05防衛戦</t>
    <rPh sb="7" eb="10">
      <t>ボウエイセン</t>
    </rPh>
    <phoneticPr fontId="1"/>
  </si>
  <si>
    <t>2021/01四神戦</t>
    <rPh sb="7" eb="10">
      <t>ヨンシンセン</t>
    </rPh>
    <phoneticPr fontId="1"/>
  </si>
  <si>
    <t>5/27 15:00～5/29 23:59</t>
    <phoneticPr fontId="1"/>
  </si>
  <si>
    <t>11/6 18:00～11/6 21:59</t>
    <phoneticPr fontId="1"/>
  </si>
  <si>
    <t>防衛戦 排撃のシスターガチャ</t>
    <rPh sb="0" eb="3">
      <t>ボウエイセン</t>
    </rPh>
    <phoneticPr fontId="1"/>
  </si>
  <si>
    <t>慈愛に満ちた大正美人</t>
    <phoneticPr fontId="1"/>
  </si>
  <si>
    <t>しすたーくじょうたけこ</t>
    <phoneticPr fontId="1"/>
  </si>
  <si>
    <t>【シスター】九条武子</t>
    <phoneticPr fontId="1"/>
  </si>
  <si>
    <t>幻想的な光のカーテン</t>
    <phoneticPr fontId="1"/>
  </si>
  <si>
    <t>しんせいえんじぇるおーろらちゃん</t>
    <phoneticPr fontId="1"/>
  </si>
  <si>
    <t>[新生]【エンジェル】オーロラちゃん</t>
    <phoneticPr fontId="1"/>
  </si>
  <si>
    <t>各国勲章受けし聖将</t>
    <phoneticPr fontId="1"/>
  </si>
  <si>
    <t>しんせいのぎまれすけ</t>
    <phoneticPr fontId="1"/>
  </si>
  <si>
    <t>[新生]乃木希典</t>
    <phoneticPr fontId="1"/>
  </si>
  <si>
    <t>神へと捧げるダブルリード</t>
    <phoneticPr fontId="1"/>
  </si>
  <si>
    <t>しんせいぶらばんるいすふろいす</t>
    <phoneticPr fontId="1"/>
  </si>
  <si>
    <t>[新生]【ブラバン】ルイス・フロイス</t>
    <phoneticPr fontId="1"/>
  </si>
  <si>
    <t>(20連)5/5 18:00～5/7 23:59</t>
    <rPh sb="3" eb="4">
      <t>レン</t>
    </rPh>
    <phoneticPr fontId="1"/>
  </si>
  <si>
    <t>5/6 18:00～5/9 23:59</t>
    <phoneticPr fontId="1"/>
  </si>
  <si>
    <t>乱酔の疫病神</t>
    <phoneticPr fontId="1"/>
  </si>
  <si>
    <t>だいきょういもじょうちゅうちゃん</t>
    <phoneticPr fontId="1"/>
  </si>
  <si>
    <t>【大凶】芋焼酎ちゃん</t>
    <phoneticPr fontId="1"/>
  </si>
  <si>
    <t>フレッシュジューサー</t>
    <phoneticPr fontId="1"/>
  </si>
  <si>
    <t>しゅうかくのあきりーす</t>
    <phoneticPr fontId="1"/>
  </si>
  <si>
    <t>【収穫の秋】リース</t>
    <phoneticPr fontId="1"/>
  </si>
  <si>
    <t>大薙刀からうどんに替えて</t>
    <phoneticPr fontId="1"/>
  </si>
  <si>
    <t>うどんのたびつるひめ</t>
    <phoneticPr fontId="1"/>
  </si>
  <si>
    <t>【うどんの旅】鶴姫</t>
    <phoneticPr fontId="1"/>
  </si>
  <si>
    <t>2021/01防衛戦</t>
    <rPh sb="7" eb="10">
      <t>ボウエイセン</t>
    </rPh>
    <phoneticPr fontId="1"/>
  </si>
  <si>
    <t>(20連)5/7 15:00～5/11 23:59</t>
    <rPh sb="3" eb="4">
      <t>レン</t>
    </rPh>
    <phoneticPr fontId="1"/>
  </si>
  <si>
    <t>四神戦 幻獣集う精霊研究所ガチャ</t>
    <rPh sb="0" eb="3">
      <t>ヨンシンセン</t>
    </rPh>
    <phoneticPr fontId="1"/>
  </si>
  <si>
    <t>輝く聖霊</t>
    <phoneticPr fontId="1"/>
  </si>
  <si>
    <t>せいれいけんきゅうしゃふー</t>
    <phoneticPr fontId="1"/>
  </si>
  <si>
    <t>【聖霊】研究者フー</t>
    <phoneticPr fontId="1"/>
  </si>
  <si>
    <t>タイプ武人・伝承の攻50％UP　/　タイプ【姫】の攻20％UP</t>
    <phoneticPr fontId="1"/>
  </si>
  <si>
    <t>しんせいけものみずぎごう</t>
    <phoneticPr fontId="1"/>
  </si>
  <si>
    <t>[新生]【獣水着】江</t>
    <phoneticPr fontId="1"/>
  </si>
  <si>
    <t>銀世界と幻の鶴</t>
    <phoneticPr fontId="1"/>
  </si>
  <si>
    <t>しんせいせんねんのまいみむらつる</t>
    <phoneticPr fontId="1"/>
  </si>
  <si>
    <t>[新生]【千年の舞】三村鶴</t>
    <phoneticPr fontId="1"/>
  </si>
  <si>
    <t>不可視な風の精霊</t>
    <phoneticPr fontId="1"/>
  </si>
  <si>
    <t>しんせいしるふ</t>
    <phoneticPr fontId="1"/>
  </si>
  <si>
    <t>[新生]シルフ</t>
    <phoneticPr fontId="1"/>
  </si>
  <si>
    <t>鬼から逃げた月の住人</t>
    <phoneticPr fontId="1"/>
  </si>
  <si>
    <t>しんせいあかなー</t>
    <phoneticPr fontId="1"/>
  </si>
  <si>
    <t>[新生]アカナー</t>
    <phoneticPr fontId="1"/>
  </si>
  <si>
    <t>11/7 15:00～11/10 23:59</t>
    <phoneticPr fontId="1"/>
  </si>
  <si>
    <t>11/7 20:00～11/7 23:59</t>
    <phoneticPr fontId="1"/>
  </si>
  <si>
    <t>剣士の休息</t>
    <phoneticPr fontId="1"/>
  </si>
  <si>
    <t>のうりょうさいさぎり</t>
    <phoneticPr fontId="1"/>
  </si>
  <si>
    <t>【納涼祭】サギリ</t>
    <phoneticPr fontId="1"/>
  </si>
  <si>
    <t>タイプ【飲食】の攻90％UP　/　タイプ【神秘】の攻60％UP</t>
    <phoneticPr fontId="1"/>
  </si>
  <si>
    <t>優雅なバカンス</t>
    <phoneticPr fontId="1"/>
  </si>
  <si>
    <t>ばかんすあんり</t>
    <phoneticPr fontId="1"/>
  </si>
  <si>
    <t>【バカンス】アンリ</t>
    <phoneticPr fontId="1"/>
  </si>
  <si>
    <t>闇堕ち聖女の復讐</t>
    <phoneticPr fontId="1"/>
  </si>
  <si>
    <t>しすたーはんなりでる</t>
    <phoneticPr fontId="1"/>
  </si>
  <si>
    <t>【シスター】ハンナ・リデル</t>
    <phoneticPr fontId="1"/>
  </si>
  <si>
    <t>2021/08同盟戦</t>
    <rPh sb="7" eb="10">
      <t>ドウメイセン</t>
    </rPh>
    <phoneticPr fontId="1"/>
  </si>
  <si>
    <t>2021/05防衛戦</t>
    <rPh sb="7" eb="10">
      <t>ボウエイセン</t>
    </rPh>
    <phoneticPr fontId="1"/>
  </si>
  <si>
    <t>2021/08全国巡り</t>
    <rPh sb="7" eb="10">
      <t>ゼンコクメグ</t>
    </rPh>
    <phoneticPr fontId="1"/>
  </si>
  <si>
    <t>四神戦 聖なる森に響く旋律ガチャ</t>
    <rPh sb="0" eb="3">
      <t>ヨンシンセン</t>
    </rPh>
    <phoneticPr fontId="1"/>
  </si>
  <si>
    <t>11/8 18:00～11/11 23:59</t>
    <phoneticPr fontId="1"/>
  </si>
  <si>
    <t>森に響く聖なる旋律</t>
    <phoneticPr fontId="1"/>
  </si>
  <si>
    <t>ほうそうのふろーら</t>
    <phoneticPr fontId="1"/>
  </si>
  <si>
    <t>奉奏のフローラ</t>
    <phoneticPr fontId="1"/>
  </si>
  <si>
    <t>しんせいきつねのよめいり</t>
    <phoneticPr fontId="1"/>
  </si>
  <si>
    <t>[新生]【すすき狩り】狐の嫁入り</t>
    <phoneticPr fontId="1"/>
  </si>
  <si>
    <t>しんせいまちぬしゅらうやさめー</t>
    <phoneticPr fontId="1"/>
  </si>
  <si>
    <t>[新生]マチヌシュラウヤサメー</t>
    <phoneticPr fontId="1"/>
  </si>
  <si>
    <t>文豪の軍医</t>
    <phoneticPr fontId="1"/>
  </si>
  <si>
    <t>しんせいもりおうがい</t>
    <phoneticPr fontId="1"/>
  </si>
  <si>
    <t>[新生]森鴎外</t>
    <phoneticPr fontId="1"/>
  </si>
  <si>
    <t>昨日の敵と今日は共に</t>
    <phoneticPr fontId="1"/>
  </si>
  <si>
    <t>しんせいあしかがうじひめ</t>
    <phoneticPr fontId="1"/>
  </si>
  <si>
    <t>[新生]足利氏姫</t>
    <phoneticPr fontId="1"/>
  </si>
  <si>
    <t>5/13 12:00～5/14 11:59</t>
    <phoneticPr fontId="1"/>
  </si>
  <si>
    <t>5/17 12:00～5/18 11:59</t>
    <phoneticPr fontId="1"/>
  </si>
  <si>
    <t>(20連)5/18 18:00～5/21 23:59</t>
    <rPh sb="3" eb="4">
      <t>レン</t>
    </rPh>
    <phoneticPr fontId="1"/>
  </si>
  <si>
    <t>四神戦5進化隊士 美貌の鏡精ガチャ</t>
    <rPh sb="0" eb="3">
      <t>ヨンシンセン</t>
    </rPh>
    <rPh sb="4" eb="6">
      <t>シンカ</t>
    </rPh>
    <rPh sb="6" eb="8">
      <t>タイシ</t>
    </rPh>
    <phoneticPr fontId="1"/>
  </si>
  <si>
    <t>(20連)11/9 18:00～11/12 23:59</t>
    <rPh sb="3" eb="4">
      <t>レン</t>
    </rPh>
    <phoneticPr fontId="1"/>
  </si>
  <si>
    <t>タイプ【知性派】の防90％UP　/　タイプ神秘・飲食の防30％UP</t>
    <phoneticPr fontId="1"/>
  </si>
  <si>
    <t>圧倒的美</t>
    <phoneticPr fontId="1"/>
  </si>
  <si>
    <t>まきょうわいずみらー</t>
    <phoneticPr fontId="1"/>
  </si>
  <si>
    <t>【魔鏡】ワイズミラー</t>
    <phoneticPr fontId="1"/>
  </si>
  <si>
    <t>タイプ【知性派】の防65％UP　/　タイプ神秘・飲食の防25％UP</t>
    <phoneticPr fontId="1"/>
  </si>
  <si>
    <t>タイプ【知性派】の防50％UP　/　タイプ【飲食】の防20％UP</t>
    <phoneticPr fontId="1"/>
  </si>
  <si>
    <t>四神戦5進化隊士 罠を巡らす爆撃娘ガチャ</t>
    <rPh sb="0" eb="3">
      <t>ヨンシンセン</t>
    </rPh>
    <rPh sb="4" eb="6">
      <t>シンカ</t>
    </rPh>
    <rPh sb="6" eb="8">
      <t>タイシ</t>
    </rPh>
    <phoneticPr fontId="1"/>
  </si>
  <si>
    <t>炸裂トラップ</t>
    <phoneticPr fontId="1"/>
  </si>
  <si>
    <t>とらっぷぼまー</t>
    <phoneticPr fontId="1"/>
  </si>
  <si>
    <t>トラップボマー</t>
    <phoneticPr fontId="1"/>
  </si>
  <si>
    <t>タイプ伝承・武人・姫の攻15％UP　/　タイプ偉人・妖怪・名物の防10％DOWN</t>
    <phoneticPr fontId="1"/>
  </si>
  <si>
    <t>限突265,300</t>
    <rPh sb="0" eb="1">
      <t>カギ</t>
    </rPh>
    <rPh sb="1" eb="2">
      <t>トツ</t>
    </rPh>
    <phoneticPr fontId="1"/>
  </si>
  <si>
    <t>限突300,265</t>
    <rPh sb="0" eb="1">
      <t>カギ</t>
    </rPh>
    <rPh sb="1" eb="2">
      <t>トツ</t>
    </rPh>
    <phoneticPr fontId="1"/>
  </si>
  <si>
    <t>限突282,282</t>
    <rPh sb="0" eb="1">
      <t>カギ</t>
    </rPh>
    <rPh sb="1" eb="2">
      <t>トツ</t>
    </rPh>
    <phoneticPr fontId="1"/>
  </si>
  <si>
    <t>11/10 18:00～11/13 23:59</t>
    <phoneticPr fontId="1"/>
  </si>
  <si>
    <t>鋭利な鮫肌</t>
    <phoneticPr fontId="1"/>
  </si>
  <si>
    <t>かいまれぎゅねす</t>
    <phoneticPr fontId="1"/>
  </si>
  <si>
    <t>【海魔】レギュネス</t>
    <phoneticPr fontId="1"/>
  </si>
  <si>
    <t>11/11 15:00～11/14 23:59</t>
    <phoneticPr fontId="1"/>
  </si>
  <si>
    <t>11/11 18:00～11/11 21:59</t>
    <phoneticPr fontId="1"/>
  </si>
  <si>
    <t>タイプ【武人】の攻90％UP　/　タイプ【伝承】の攻60％UP</t>
    <phoneticPr fontId="1"/>
  </si>
  <si>
    <t>誘霊灯</t>
    <phoneticPr fontId="1"/>
  </si>
  <si>
    <t>せいれいよせのろにあ</t>
    <phoneticPr fontId="1"/>
  </si>
  <si>
    <t>精霊寄せのロニア</t>
    <phoneticPr fontId="1"/>
  </si>
  <si>
    <t>アプセウデース</t>
    <phoneticPr fontId="1"/>
  </si>
  <si>
    <t>りゅうのまじょえば</t>
    <phoneticPr fontId="1"/>
  </si>
  <si>
    <t>竜の魔女エヴァ</t>
    <phoneticPr fontId="1"/>
  </si>
  <si>
    <t>2021/03同盟戦</t>
    <rPh sb="7" eb="10">
      <t>ドウメイセン</t>
    </rPh>
    <phoneticPr fontId="1"/>
  </si>
  <si>
    <t>2021/11/11古豪戦傑ガチャ</t>
    <phoneticPr fontId="1"/>
  </si>
  <si>
    <t>2020/10同盟戦</t>
    <rPh sb="7" eb="10">
      <t>ドウメイセン</t>
    </rPh>
    <phoneticPr fontId="1"/>
  </si>
  <si>
    <t>2020/10防衛戦</t>
    <rPh sb="7" eb="10">
      <t>ボウエイセン</t>
    </rPh>
    <phoneticPr fontId="1"/>
  </si>
  <si>
    <t>11/12 15:00～11/12 23:59</t>
    <phoneticPr fontId="1"/>
  </si>
  <si>
    <t>5/10 12:00～5/11 11:59</t>
    <phoneticPr fontId="1"/>
  </si>
  <si>
    <t>限突296,269</t>
    <rPh sb="0" eb="1">
      <t>カギ</t>
    </rPh>
    <rPh sb="1" eb="2">
      <t>トツ</t>
    </rPh>
    <phoneticPr fontId="1"/>
  </si>
  <si>
    <t>【温泉街】浜姫</t>
    <phoneticPr fontId="1"/>
  </si>
  <si>
    <t>全国巡り 星降の魔女ガチャ</t>
    <rPh sb="0" eb="3">
      <t>ゼンコクメグ</t>
    </rPh>
    <phoneticPr fontId="1"/>
  </si>
  <si>
    <t>10/25 18:00～10/28 23:59</t>
    <phoneticPr fontId="1"/>
  </si>
  <si>
    <t>流星ウィッチナイト</t>
    <phoneticPr fontId="1"/>
  </si>
  <si>
    <t>せいじょうにこる</t>
    <phoneticPr fontId="1"/>
  </si>
  <si>
    <t>【星乗】ニコル</t>
    <phoneticPr fontId="1"/>
  </si>
  <si>
    <t>しんせいはろうぃんあぺふちかむい</t>
    <phoneticPr fontId="1"/>
  </si>
  <si>
    <t>甘く冷たいかぼちゃのひと時</t>
    <phoneticPr fontId="1"/>
  </si>
  <si>
    <t>しんせいぱんぷきんあいすちゃん</t>
    <phoneticPr fontId="1"/>
  </si>
  <si>
    <t>[新生]パンプキンアイスちゃん</t>
    <phoneticPr fontId="1"/>
  </si>
  <si>
    <t>[新生]【ハロウィン】アペフチカムイ</t>
    <phoneticPr fontId="1"/>
  </si>
  <si>
    <t>練金術師の処方箋</t>
    <phoneticPr fontId="1"/>
  </si>
  <si>
    <t>しんせいえるばいと</t>
    <phoneticPr fontId="1"/>
  </si>
  <si>
    <t>[新生]エルバイト</t>
    <phoneticPr fontId="1"/>
  </si>
  <si>
    <t>待ち人に福来る</t>
    <phoneticPr fontId="1"/>
  </si>
  <si>
    <t>しんせいいけふくろう</t>
    <phoneticPr fontId="1"/>
  </si>
  <si>
    <t>[新生]いけふくろう</t>
    <phoneticPr fontId="1"/>
  </si>
  <si>
    <t>全国巡り 紅舞う戦姫ガチャ</t>
    <rPh sb="0" eb="3">
      <t>ゼンコクメグ</t>
    </rPh>
    <phoneticPr fontId="1"/>
  </si>
  <si>
    <t>11/25 18:00～11/28 23:59</t>
    <phoneticPr fontId="1"/>
  </si>
  <si>
    <t>戦場の秋薔薇</t>
    <phoneticPr fontId="1"/>
  </si>
  <si>
    <t>あきばらふぇいるのーと</t>
    <phoneticPr fontId="1"/>
  </si>
  <si>
    <t>【秋薔薇】フェイルノート</t>
    <phoneticPr fontId="1"/>
  </si>
  <si>
    <t>タイプ偉人・妖怪・名物の攻40％UP　/　タイプ偉人・姫・神秘の防10％DOWN</t>
    <phoneticPr fontId="1"/>
  </si>
  <si>
    <t>しんせいきなさのさときじょもみじ</t>
    <phoneticPr fontId="1"/>
  </si>
  <si>
    <t>[新生]【鬼無里の郷】鬼女紅葉</t>
    <phoneticPr fontId="1"/>
  </si>
  <si>
    <t>気高き落葉の積り</t>
    <phoneticPr fontId="1"/>
  </si>
  <si>
    <t>しんせいしきしないしんのう</t>
    <phoneticPr fontId="1"/>
  </si>
  <si>
    <t>[新生]式子内親王</t>
    <phoneticPr fontId="1"/>
  </si>
  <si>
    <t>大地に咲いた薬草林檎</t>
    <phoneticPr fontId="1"/>
  </si>
  <si>
    <t>しんせいいやしのかおりかもみーるちゃん</t>
    <phoneticPr fontId="1"/>
  </si>
  <si>
    <t>[新生]【癒しの香り】カモミールちゃん</t>
    <phoneticPr fontId="1"/>
  </si>
  <si>
    <t>伊達家を支えた女丈夫</t>
    <phoneticPr fontId="1"/>
  </si>
  <si>
    <t>しんせいかたくらきた</t>
    <phoneticPr fontId="1"/>
  </si>
  <si>
    <t>[新生]片倉喜多</t>
    <phoneticPr fontId="1"/>
  </si>
  <si>
    <t>夢幻のサーガ</t>
    <phoneticPr fontId="1"/>
  </si>
  <si>
    <t>せんやひめしゃはらざーど</t>
    <phoneticPr fontId="1"/>
  </si>
  <si>
    <t>【千夜姫】シャハラザード</t>
    <phoneticPr fontId="1"/>
  </si>
  <si>
    <t>サイコロ行脚5進化隊士 覇獲の異教神ガチャ</t>
    <rPh sb="4" eb="6">
      <t>アンギャ</t>
    </rPh>
    <phoneticPr fontId="1"/>
  </si>
  <si>
    <t>タイプ【知性派】の防35％UP　/　タイプ神秘・飲食の防20％UP</t>
    <phoneticPr fontId="1"/>
  </si>
  <si>
    <t>インフェルノ・フレア</t>
    <phoneticPr fontId="1"/>
  </si>
  <si>
    <t>べるぜぶぶ</t>
    <phoneticPr fontId="1"/>
  </si>
  <si>
    <t>ベルゼブブ</t>
    <phoneticPr fontId="1"/>
  </si>
  <si>
    <t>タイプ【知性派】の防20％UP　/　タイプ神秘・飲食の防10％UP</t>
    <phoneticPr fontId="1"/>
  </si>
  <si>
    <t>タイプ【知性派】の防10％UP　/　タイプ神秘・飲食の防5％UP</t>
    <phoneticPr fontId="1"/>
  </si>
  <si>
    <t>2021風薫る五月福引ガチャ</t>
    <phoneticPr fontId="1"/>
  </si>
  <si>
    <t>2018/06竜神杯報酬</t>
    <rPh sb="7" eb="10">
      <t>リュウジンハイ</t>
    </rPh>
    <phoneticPr fontId="1"/>
  </si>
  <si>
    <t>天架ける美輝星ガチャ</t>
    <phoneticPr fontId="1"/>
  </si>
  <si>
    <t>(20連)5/15 18:00～5/24 23:59</t>
    <rPh sb="3" eb="4">
      <t>レン</t>
    </rPh>
    <phoneticPr fontId="1"/>
  </si>
  <si>
    <t>(1日3回限定10連)5/15 18:00～5/24 23:59</t>
    <rPh sb="9" eb="10">
      <t>レン</t>
    </rPh>
    <phoneticPr fontId="1"/>
  </si>
  <si>
    <t>一定時間、味方全員の攻・防を35％UP、ダメージ軽減のバリアを付与する</t>
    <phoneticPr fontId="1"/>
  </si>
  <si>
    <t>天護の綺羅星</t>
    <phoneticPr fontId="1"/>
  </si>
  <si>
    <t>タイプ知性派・飲食の防50％UP　/　タイプ【神秘】の防25％UP</t>
    <phoneticPr fontId="1"/>
  </si>
  <si>
    <t>青白き輝き</t>
    <phoneticPr fontId="1"/>
  </si>
  <si>
    <t>きらさんてんせい</t>
    <phoneticPr fontId="1"/>
  </si>
  <si>
    <t>綺羅三天星</t>
    <phoneticPr fontId="1"/>
  </si>
  <si>
    <t>サイコロ行脚5進化隊士 お菓子な国の誘惑ガチャ</t>
    <rPh sb="4" eb="6">
      <t>アンギャ</t>
    </rPh>
    <phoneticPr fontId="1"/>
  </si>
  <si>
    <t>2021夏目前！梅雨の福引ガチャ</t>
    <rPh sb="4" eb="7">
      <t>ナツモクゼン</t>
    </rPh>
    <rPh sb="8" eb="10">
      <t>ツユ</t>
    </rPh>
    <rPh sb="11" eb="13">
      <t>フクビキ</t>
    </rPh>
    <phoneticPr fontId="1"/>
  </si>
  <si>
    <t>雨粒輝く祝福の花嫁ガチャ</t>
    <phoneticPr fontId="1"/>
  </si>
  <si>
    <t>(20連)6/15 18:00～6/24 23:59</t>
    <rPh sb="3" eb="4">
      <t>レン</t>
    </rPh>
    <phoneticPr fontId="1"/>
  </si>
  <si>
    <t>(1日3回限定10連)6/15 18:00～6/24 23:59</t>
    <rPh sb="9" eb="10">
      <t>レン</t>
    </rPh>
    <phoneticPr fontId="1"/>
  </si>
  <si>
    <t>スイーツガイド</t>
    <phoneticPr fontId="1"/>
  </si>
  <si>
    <t>ふぁんふぇあ・でり</t>
    <phoneticPr fontId="1"/>
  </si>
  <si>
    <t>ファンフェア・デリ</t>
    <phoneticPr fontId="1"/>
  </si>
  <si>
    <t>2017/09竜神杯報酬</t>
    <rPh sb="7" eb="10">
      <t>リュウジンハイ</t>
    </rPh>
    <phoneticPr fontId="1"/>
  </si>
  <si>
    <t>悠久のウェディング</t>
    <phoneticPr fontId="1"/>
  </si>
  <si>
    <t>あめのはなよめいせひめ</t>
    <phoneticPr fontId="1"/>
  </si>
  <si>
    <t>【雨の花嫁】伊勢姫</t>
    <phoneticPr fontId="1"/>
  </si>
  <si>
    <t>【雨の花嫁】マドウグシャ</t>
    <phoneticPr fontId="1"/>
  </si>
  <si>
    <t>雨上がりの天使</t>
    <phoneticPr fontId="1"/>
  </si>
  <si>
    <t>あめのはなよめまどうぐしゃ</t>
    <phoneticPr fontId="1"/>
  </si>
  <si>
    <t>[新生]【松江城】堀尾吉晴</t>
    <phoneticPr fontId="1"/>
  </si>
  <si>
    <t>相手の戦技ゲージを吸収して極大ダメージ</t>
    <phoneticPr fontId="1"/>
  </si>
  <si>
    <t>虹雨ブーケトス</t>
    <phoneticPr fontId="1"/>
  </si>
  <si>
    <t>タイプ偉人・妖怪の攻50％UP　/　タイプ【名物】の攻25％UP</t>
    <phoneticPr fontId="1"/>
  </si>
  <si>
    <t>虹色ヴェール</t>
    <phoneticPr fontId="1"/>
  </si>
  <si>
    <t>しゅくふくのはなよめ</t>
    <phoneticPr fontId="1"/>
  </si>
  <si>
    <t>祝福の花嫁</t>
    <phoneticPr fontId="1"/>
  </si>
  <si>
    <t>7/16 15:00～7/16 23:59</t>
    <phoneticPr fontId="1"/>
  </si>
  <si>
    <t>絢爛！サーキットガチャ</t>
    <phoneticPr fontId="1"/>
  </si>
  <si>
    <t>(20連)7/16 18:00～7/25 23:59</t>
    <rPh sb="3" eb="4">
      <t>レン</t>
    </rPh>
    <phoneticPr fontId="1"/>
  </si>
  <si>
    <t>(1日3回限定10連)7/16 18:00～7/25 23:59</t>
    <rPh sb="9" eb="10">
      <t>レン</t>
    </rPh>
    <phoneticPr fontId="1"/>
  </si>
  <si>
    <t>タイプ偉人・妖怪の防55％UP　/　タイプ【名物】の防30％UP</t>
    <phoneticPr fontId="1"/>
  </si>
  <si>
    <t>閃光のスーパーカー</t>
    <phoneticPr fontId="1"/>
  </si>
  <si>
    <t>ぱどっくがーるず</t>
    <phoneticPr fontId="1"/>
  </si>
  <si>
    <t>パドックガールズ</t>
    <phoneticPr fontId="1"/>
  </si>
  <si>
    <t>クイーンチアーズ</t>
    <phoneticPr fontId="1"/>
  </si>
  <si>
    <t>一定時間、味方全体に「戦技ゲージの上昇割合が小UP」と「ダメージ軽減のバリア効果」を付与し、敵全体の戦技効果時間を短縮</t>
    <phoneticPr fontId="1"/>
  </si>
  <si>
    <t>麗しのバニー</t>
    <phoneticPr fontId="1"/>
  </si>
  <si>
    <t>でぃーらーるびるな</t>
    <phoneticPr fontId="1"/>
  </si>
  <si>
    <t>【ディーラー】ルビルナ</t>
    <phoneticPr fontId="1"/>
  </si>
  <si>
    <t>8/16 15:00～8/16 23:59</t>
    <phoneticPr fontId="1"/>
  </si>
  <si>
    <t>青春プレイボールガチャ</t>
    <phoneticPr fontId="1"/>
  </si>
  <si>
    <t>(20連)8/16 18:00～8/25 23:59</t>
    <rPh sb="3" eb="4">
      <t>レン</t>
    </rPh>
    <phoneticPr fontId="1"/>
  </si>
  <si>
    <t>(1日3回限定10連)8/16 18:00～8/25 23:59</t>
    <rPh sb="9" eb="10">
      <t>レン</t>
    </rPh>
    <phoneticPr fontId="1"/>
  </si>
  <si>
    <t>発動するほど大ダメージを与え、一定時間、味方全体を鼓舞（小）、使用するダメージ戦技に【絶大ダメージ】の効果値を加算する</t>
    <phoneticPr fontId="1"/>
  </si>
  <si>
    <t>グランドスラム</t>
    <phoneticPr fontId="1"/>
  </si>
  <si>
    <t>タイプ偉人・妖怪の攻55％UP　/　タイプ【名物】の攻30％UP</t>
    <phoneticPr fontId="1"/>
  </si>
  <si>
    <t>ピョンピョンランナー</t>
    <phoneticPr fontId="1"/>
  </si>
  <si>
    <t>あおはるこうしえん</t>
    <phoneticPr fontId="1"/>
  </si>
  <si>
    <t>アオハル甲子園</t>
    <phoneticPr fontId="1"/>
  </si>
  <si>
    <t>海の守護者</t>
    <phoneticPr fontId="1"/>
  </si>
  <si>
    <t>まーめいどみーなーくし</t>
    <phoneticPr fontId="1"/>
  </si>
  <si>
    <t>【マーメイド】ミーナークシ</t>
    <phoneticPr fontId="1"/>
  </si>
  <si>
    <t>水棲人の予言</t>
    <phoneticPr fontId="1"/>
  </si>
  <si>
    <t>しんせいあまびえ</t>
    <phoneticPr fontId="1"/>
  </si>
  <si>
    <t>[新生]アマビエ</t>
    <phoneticPr fontId="1"/>
  </si>
  <si>
    <t>プールサイドの知将</t>
    <phoneticPr fontId="1"/>
  </si>
  <si>
    <t>しんせいすぱりぞーとかたくらこじゅうろう</t>
    <phoneticPr fontId="1"/>
  </si>
  <si>
    <t>[新生]【スパリゾート】片倉小十郎</t>
    <phoneticPr fontId="1"/>
  </si>
  <si>
    <t>頭痛知らずの優しい冷たさ</t>
    <phoneticPr fontId="1"/>
  </si>
  <si>
    <t>しんせいながとろのやまもりこおりちゃん</t>
    <phoneticPr fontId="1"/>
  </si>
  <si>
    <t>[新生]長瀞の山盛り氷ちゃん</t>
    <phoneticPr fontId="1"/>
  </si>
  <si>
    <t>(1日1回限定3連)8/22 15:00～8/24 23:59</t>
    <rPh sb="2" eb="3">
      <t>ニチ</t>
    </rPh>
    <rPh sb="4" eb="5">
      <t>カイ</t>
    </rPh>
    <rPh sb="5" eb="7">
      <t>ゲンテイ</t>
    </rPh>
    <rPh sb="8" eb="9">
      <t>レン</t>
    </rPh>
    <phoneticPr fontId="1"/>
  </si>
  <si>
    <t>タイプ偉人・名物の防15％UP　/　タイプ【妖怪】の防10％UP</t>
    <phoneticPr fontId="1"/>
  </si>
  <si>
    <t>七色纏う湯精</t>
    <phoneticPr fontId="1"/>
  </si>
  <si>
    <t>ひまつのてるめ</t>
    <phoneticPr fontId="1"/>
  </si>
  <si>
    <t>飛沫のテルメ</t>
    <phoneticPr fontId="1"/>
  </si>
  <si>
    <t>タイプ武人・姫の攻25％UP　/　タイプ偉人・妖怪・知性派の防60％DOWN</t>
    <phoneticPr fontId="1"/>
  </si>
  <si>
    <t>泳鼠天真</t>
    <phoneticPr fontId="1"/>
  </si>
  <si>
    <t>てんくろまりんすぽーつ</t>
    <phoneticPr fontId="1"/>
  </si>
  <si>
    <t>天クロマリンスポーツ</t>
    <phoneticPr fontId="1"/>
  </si>
  <si>
    <t>200193_0</t>
    <phoneticPr fontId="1"/>
  </si>
  <si>
    <t>(1日1回限定3連)7/22 15:00～7/24 23:59</t>
    <rPh sb="1" eb="3">
      <t>ツイタチ</t>
    </rPh>
    <rPh sb="4" eb="5">
      <t>カイ</t>
    </rPh>
    <rPh sb="5" eb="7">
      <t>ゲンテイ</t>
    </rPh>
    <rPh sb="8" eb="9">
      <t>レン</t>
    </rPh>
    <phoneticPr fontId="1"/>
  </si>
  <si>
    <t>(1日1回限定3連)6/22 15:00～6/24 23:59</t>
    <rPh sb="1" eb="3">
      <t>ツイタチ</t>
    </rPh>
    <rPh sb="4" eb="5">
      <t>カイ</t>
    </rPh>
    <rPh sb="5" eb="7">
      <t>ゲンテイ</t>
    </rPh>
    <rPh sb="8" eb="9">
      <t>レン</t>
    </rPh>
    <phoneticPr fontId="1"/>
  </si>
  <si>
    <t>(1日1回限定3連)5/22 15:00～5/24 23:59</t>
    <rPh sb="1" eb="3">
      <t>ツイタチ</t>
    </rPh>
    <rPh sb="4" eb="5">
      <t>カイ</t>
    </rPh>
    <rPh sb="5" eb="7">
      <t>ゲンテイ</t>
    </rPh>
    <rPh sb="8" eb="9">
      <t>レン</t>
    </rPh>
    <phoneticPr fontId="1"/>
  </si>
  <si>
    <t>(1日1回限定3連)4/22 15:00～4/24 23:59</t>
    <rPh sb="1" eb="3">
      <t>ツイタチ</t>
    </rPh>
    <rPh sb="4" eb="5">
      <t>カイ</t>
    </rPh>
    <rPh sb="5" eb="7">
      <t>ゲンテイ</t>
    </rPh>
    <rPh sb="8" eb="9">
      <t>レン</t>
    </rPh>
    <phoneticPr fontId="1"/>
  </si>
  <si>
    <t>(1日1回限定3連)3/22 15:00～3/24 23:59</t>
    <rPh sb="1" eb="3">
      <t>ツイタチ</t>
    </rPh>
    <rPh sb="4" eb="5">
      <t>カイ</t>
    </rPh>
    <rPh sb="5" eb="7">
      <t>ゲンテイ</t>
    </rPh>
    <rPh sb="8" eb="9">
      <t>レン</t>
    </rPh>
    <phoneticPr fontId="1"/>
  </si>
  <si>
    <t>(1日1回限定3連)2/22 15:00～2/24 23:59</t>
    <rPh sb="1" eb="3">
      <t>ツイタチ</t>
    </rPh>
    <rPh sb="4" eb="5">
      <t>カイ</t>
    </rPh>
    <rPh sb="5" eb="7">
      <t>ゲンテイ</t>
    </rPh>
    <rPh sb="8" eb="9">
      <t>レン</t>
    </rPh>
    <phoneticPr fontId="1"/>
  </si>
  <si>
    <t>(1日1回限定3連)1/22 15:00～1/24 23:59</t>
    <rPh sb="1" eb="3">
      <t>ツイタチ</t>
    </rPh>
    <rPh sb="4" eb="5">
      <t>カイ</t>
    </rPh>
    <rPh sb="5" eb="7">
      <t>ゲンテイ</t>
    </rPh>
    <rPh sb="8" eb="9">
      <t>レン</t>
    </rPh>
    <phoneticPr fontId="1"/>
  </si>
  <si>
    <t>(1日1回限定3連)12/22 15:00～12/24 23:59</t>
    <rPh sb="1" eb="3">
      <t>ツイタチ</t>
    </rPh>
    <rPh sb="4" eb="5">
      <t>カイ</t>
    </rPh>
    <rPh sb="5" eb="7">
      <t>ゲンテイ</t>
    </rPh>
    <rPh sb="8" eb="9">
      <t>レン</t>
    </rPh>
    <phoneticPr fontId="1"/>
  </si>
  <si>
    <t>(1日1回限定3連)11/22 15:00～11/24 23:59</t>
    <rPh sb="1" eb="3">
      <t>ツイタチ</t>
    </rPh>
    <rPh sb="4" eb="5">
      <t>カイ</t>
    </rPh>
    <rPh sb="5" eb="7">
      <t>ゲンテイ</t>
    </rPh>
    <rPh sb="8" eb="9">
      <t>レン</t>
    </rPh>
    <phoneticPr fontId="1"/>
  </si>
  <si>
    <t>(1日1回限定3連)10/22 15:00～10/24 23:59</t>
    <rPh sb="1" eb="3">
      <t>ツイタチ</t>
    </rPh>
    <rPh sb="4" eb="5">
      <t>カイ</t>
    </rPh>
    <rPh sb="5" eb="7">
      <t>ゲンテイ</t>
    </rPh>
    <rPh sb="8" eb="9">
      <t>レン</t>
    </rPh>
    <phoneticPr fontId="1"/>
  </si>
  <si>
    <t>(1日3回限定10連)9/21 15:00～9/30 23:59</t>
    <rPh sb="9" eb="10">
      <t>レン</t>
    </rPh>
    <phoneticPr fontId="1"/>
  </si>
  <si>
    <t>(1日1回限定3連)8/22 15:00～8/24 23:59</t>
    <rPh sb="1" eb="3">
      <t>ツイタチ</t>
    </rPh>
    <rPh sb="4" eb="5">
      <t>カイ</t>
    </rPh>
    <rPh sb="5" eb="7">
      <t>ゲンテイ</t>
    </rPh>
    <rPh sb="8" eb="9">
      <t>レン</t>
    </rPh>
    <phoneticPr fontId="1"/>
  </si>
  <si>
    <t>限突305,260</t>
    <rPh sb="0" eb="1">
      <t>カギ</t>
    </rPh>
    <rPh sb="1" eb="2">
      <t>トツ</t>
    </rPh>
    <phoneticPr fontId="1"/>
  </si>
  <si>
    <t>限突273,291キラ</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</si>
</sst>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Yu Gothic"/>
      <family val="2"/>
      <scheme val="minor"/>
    </font>
    <font>
      <sz val="6"/>
      <name val="Yu Gothic"/>
      <family val="3"/>
      <charset val="128"/>
      <scheme val="minor"/>
    </font>
    <font>
      <b/>
      <sz val="11"/>
      <color theme="0"/>
      <name val="Yu Gothic"/>
      <family val="2"/>
      <scheme val="minor"/>
    </font>
    <font>
      <b/>
      <sz val="11"/>
      <color theme="0"/>
      <name val="Yu Gothic"/>
      <family val="3"/>
      <charset val="128"/>
      <scheme val="minor"/>
    </font>
    <font>
      <sz val="11"/>
      <color theme="1"/>
      <name val="Yu Gothic"/>
      <family val="2"/>
      <scheme val="minor"/>
    </font>
    <font>
      <sz val="11"/>
      <name val="Yu Gothic"/>
      <family val="2"/>
      <scheme val="minor"/>
    </font>
    <font>
      <sz val="11"/>
      <color theme="1"/>
      <name val="Yu Gothic"/>
      <family val="3"/>
      <charset val="128"/>
      <scheme val="minor"/>
    </font>
    <font>
      <u/>
      <sz val="11"/>
      <color theme="10"/>
      <name val="Yu Gothic"/>
      <family val="2"/>
      <scheme val="minor"/>
    </font>
    <font>
      <sz val="11"/>
      <name val="Yu Gothic"/>
      <family val="3"/>
      <charset val="128"/>
      <scheme val="minor"/>
    </font>
    <font>
      <sz val="11"/>
      <color theme="1"/>
      <name val="Microsoft YaHei"/>
      <family val="2"/>
      <charset val="134"/>
    </font>
    <font>
      <sz val="11"/>
      <color theme="1"/>
      <name val="ＭＳ 明朝"/>
      <family val="1"/>
      <charset val="128"/>
    </font>
    <font>
      <sz val="11"/>
      <color rgb="FFC00000"/>
      <name val="Yu Gothic"/>
      <family val="2"/>
      <scheme val="minor"/>
    </font>
    <font>
      <sz val="11"/>
      <color rgb="FFC00000"/>
      <name val="Yu Gothic"/>
      <family val="3"/>
      <charset val="128"/>
      <scheme val="minor"/>
    </font>
  </fonts>
  <fills count="4">
    <fill>
      <patternFill patternType="none"/>
    </fill>
    <fill>
      <patternFill patternType="gray125"/>
    </fill>
    <fill>
      <patternFill patternType="solid">
        <fgColor theme="1" tint="0.24994659260841701"/>
        <bgColor indexed="64"/>
      </patternFill>
    </fill>
    <fill>
      <patternFill patternType="solid">
        <fgColor theme="2" tint="-9.9948118533890809E-2"/>
        <bgColor indexed="64"/>
      </patternFill>
    </fill>
  </fills>
  <borders count="1">
    <border>
      <left/>
      <right/>
      <top/>
      <bottom/>
      <diagonal/>
    </border>
  </borders>
  <cellStyleXfs count="2">
    <xf numFmtId="0" fontId="0" fillId="0" borderId="0"/>
    <xf numFmtId="0" fontId="7" fillId="0" borderId="0" applyNumberFormat="0" applyFill="0" applyBorder="0" applyAlignment="0" applyProtection="0"/>
  </cellStyleXfs>
  <cellXfs count="32">
    <xf numFmtId="0" fontId="0" fillId="0" borderId="0" xfId="0"/>
    <xf numFmtId="0" fontId="0" fillId="0" borderId="0" xfId="0" applyAlignment="1">
      <alignment vertical="center"/>
    </xf>
    <xf numFmtId="0" fontId="4" fillId="0" borderId="0" xfId="0" applyFont="1" applyAlignment="1">
      <alignment vertical="center"/>
    </xf>
    <xf numFmtId="0" fontId="7" fillId="0" borderId="0" xfId="1" applyAlignment="1">
      <alignment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0" fillId="0" borderId="0" xfId="1" applyFont="1" applyAlignment="1">
      <alignment vertical="center"/>
    </xf>
    <xf numFmtId="0" fontId="6" fillId="0" borderId="0" xfId="0" applyFont="1" applyAlignment="1">
      <alignment vertical="center"/>
    </xf>
    <xf numFmtId="0" fontId="7" fillId="0" borderId="0" xfId="1"/>
    <xf numFmtId="0" fontId="0" fillId="0" borderId="0" xfId="0" applyFont="1" applyAlignment="1">
      <alignment vertical="center"/>
    </xf>
    <xf numFmtId="0" fontId="0" fillId="0" borderId="0" xfId="0" applyFill="1" applyAlignment="1">
      <alignment vertical="center"/>
    </xf>
    <xf numFmtId="0" fontId="6" fillId="0" borderId="0" xfId="0" applyFont="1" applyFill="1" applyAlignment="1">
      <alignment vertical="center"/>
    </xf>
    <xf numFmtId="0" fontId="5" fillId="0" borderId="0" xfId="0" applyFont="1" applyFill="1" applyAlignment="1">
      <alignment vertical="center"/>
    </xf>
    <xf numFmtId="0" fontId="0" fillId="0" borderId="0" xfId="0" applyAlignment="1">
      <alignment vertical="center"/>
    </xf>
    <xf numFmtId="0" fontId="0" fillId="0" borderId="0" xfId="0" applyAlignment="1">
      <alignment vertical="center"/>
    </xf>
    <xf numFmtId="0" fontId="7" fillId="0" borderId="0" xfId="1" applyAlignment="1">
      <alignment vertical="center"/>
    </xf>
    <xf numFmtId="0" fontId="0" fillId="0" borderId="0" xfId="0" applyNumberFormat="1" applyAlignment="1">
      <alignment vertical="center"/>
    </xf>
    <xf numFmtId="0" fontId="6" fillId="0" borderId="0" xfId="1" applyFont="1" applyAlignment="1">
      <alignment vertical="center"/>
    </xf>
    <xf numFmtId="0" fontId="4" fillId="0" borderId="0" xfId="1" applyFont="1" applyAlignment="1">
      <alignment vertical="center"/>
    </xf>
    <xf numFmtId="0" fontId="0" fillId="0" borderId="0" xfId="1" applyNumberFormat="1" applyFont="1" applyFill="1" applyBorder="1" applyAlignment="1" applyProtection="1">
      <alignment vertical="center"/>
    </xf>
    <xf numFmtId="0" fontId="6"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17" fontId="0" fillId="0" borderId="0" xfId="0" applyNumberFormat="1" applyAlignment="1">
      <alignment vertical="center"/>
    </xf>
    <xf numFmtId="0" fontId="9" fillId="0" borderId="0" xfId="0" applyFont="1" applyAlignment="1">
      <alignment vertical="center"/>
    </xf>
    <xf numFmtId="56" fontId="0" fillId="0" borderId="0" xfId="0" applyNumberFormat="1" applyAlignment="1">
      <alignment vertical="center"/>
    </xf>
    <xf numFmtId="0" fontId="0" fillId="3" borderId="0" xfId="0" applyFont="1" applyFill="1" applyAlignment="1">
      <alignment vertical="center"/>
    </xf>
    <xf numFmtId="0" fontId="11" fillId="0" borderId="0" xfId="0" applyFont="1" applyAlignment="1">
      <alignment vertical="center"/>
    </xf>
    <xf numFmtId="0" fontId="0" fillId="3" borderId="0" xfId="0" applyFill="1" applyAlignment="1">
      <alignment vertical="center"/>
    </xf>
    <xf numFmtId="0" fontId="0" fillId="0" borderId="0" xfId="0" applyFont="1" applyFill="1" applyAlignment="1">
      <alignment vertical="center"/>
    </xf>
    <xf numFmtId="0" fontId="12" fillId="0" borderId="0" xfId="0" applyFont="1" applyAlignment="1">
      <alignment vertical="center"/>
    </xf>
    <xf numFmtId="0" fontId="12" fillId="0" borderId="0" xfId="1" applyNumberFormat="1" applyFont="1" applyFill="1" applyBorder="1" applyAlignment="1" applyProtection="1">
      <alignment vertical="center"/>
    </xf>
    <xf numFmtId="0" fontId="12" fillId="0" borderId="0" xfId="1" applyFont="1" applyAlignment="1">
      <alignment vertical="center"/>
    </xf>
  </cellXfs>
  <cellStyles count="2">
    <cellStyle name="ハイパーリンク" xfId="1" builtinId="8"/>
    <cellStyle name="標準" xfId="0" builtinId="0"/>
  </cellStyles>
  <dxfs count="0"/>
  <tableStyles count="0" defaultTableStyle="TableStyleMedium2" defaultPivotStyle="PivotStyleLight16"/>
  <colors>
    <mruColors>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2494E-1965-429B-A923-87619B41C59F}">
  <dimension ref="A1:S118"/>
  <sheetViews>
    <sheetView zoomScale="55" zoomScaleNormal="55" workbookViewId="0">
      <pane ySplit="1" topLeftCell="A51" activePane="bottomLeft" state="frozen"/>
      <selection pane="bottomLeft" activeCell="A64" sqref="A64"/>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112</v>
      </c>
      <c r="B3" s="14"/>
      <c r="C3" s="14"/>
      <c r="D3" s="14"/>
      <c r="E3" s="14"/>
      <c r="F3" s="14"/>
      <c r="G3" s="14"/>
      <c r="H3" s="14"/>
      <c r="I3" s="14"/>
      <c r="J3" s="14"/>
      <c r="K3" s="14"/>
      <c r="L3" s="14"/>
      <c r="M3" s="14"/>
      <c r="N3" s="14"/>
      <c r="O3" s="14"/>
      <c r="P3" s="14"/>
      <c r="Q3" s="14"/>
      <c r="R3" s="14"/>
    </row>
    <row r="4" spans="1:19">
      <c r="A4" s="14" t="s">
        <v>10156</v>
      </c>
      <c r="B4" s="14"/>
      <c r="C4" s="14"/>
      <c r="D4" s="14"/>
      <c r="E4" s="14"/>
      <c r="F4" s="14"/>
      <c r="G4" s="14"/>
      <c r="H4" s="14"/>
      <c r="I4" s="14"/>
      <c r="J4" s="14"/>
      <c r="K4" s="14"/>
      <c r="L4" s="14"/>
      <c r="M4" s="14"/>
      <c r="N4" s="14"/>
      <c r="O4" s="14"/>
      <c r="P4" s="14"/>
      <c r="Q4" s="14"/>
      <c r="R4" s="14"/>
    </row>
    <row r="5" spans="1:19">
      <c r="A5" s="14" t="s">
        <v>10157</v>
      </c>
      <c r="B5" s="14"/>
      <c r="C5" s="14"/>
      <c r="D5" s="14"/>
      <c r="E5" s="14"/>
      <c r="F5" s="14"/>
      <c r="G5" s="14"/>
      <c r="H5" s="14"/>
      <c r="I5" s="14"/>
      <c r="J5" s="14"/>
      <c r="K5" s="14"/>
      <c r="L5" s="14"/>
      <c r="M5" s="14"/>
      <c r="N5" s="14"/>
      <c r="O5" s="14"/>
      <c r="P5" s="14"/>
      <c r="Q5" s="14"/>
      <c r="R5" s="14"/>
    </row>
    <row r="6" spans="1:19">
      <c r="A6" s="14" t="s">
        <v>10138</v>
      </c>
      <c r="B6" s="14" t="s">
        <v>52</v>
      </c>
      <c r="C6" s="14" t="s">
        <v>14</v>
      </c>
      <c r="D6" s="14" t="s">
        <v>3247</v>
      </c>
      <c r="E6" s="15" t="str">
        <f>HYPERLINK("https://stat100.ameba.jp/tnk47/ratio20/illustrations/card/ill_75393_0_resukuinotsukisamaniittausagi03.jpg?201810-1-RELEASE-raid-372", "■")</f>
        <v>■</v>
      </c>
      <c r="F6" s="14" t="s">
        <v>3248</v>
      </c>
      <c r="G6" s="14">
        <v>170856</v>
      </c>
      <c r="H6" s="14">
        <v>158850</v>
      </c>
      <c r="I6" s="14">
        <v>15</v>
      </c>
      <c r="J6" s="14" t="s">
        <v>26</v>
      </c>
      <c r="K6" s="14" t="s">
        <v>3249</v>
      </c>
      <c r="L6" s="14" t="s">
        <v>3250</v>
      </c>
      <c r="M6" s="14" t="s">
        <v>9158</v>
      </c>
      <c r="N6" s="14" t="s">
        <v>9158</v>
      </c>
      <c r="O6" s="18" t="s">
        <v>10051</v>
      </c>
      <c r="P6" s="14" t="s">
        <v>3251</v>
      </c>
      <c r="Q6" s="14">
        <v>2</v>
      </c>
      <c r="R6" s="14"/>
    </row>
    <row r="7" spans="1:19">
      <c r="A7" s="14">
        <v>75793</v>
      </c>
      <c r="B7" s="14" t="s">
        <v>0</v>
      </c>
      <c r="C7" s="14" t="s">
        <v>1</v>
      </c>
      <c r="D7" s="14" t="s">
        <v>2</v>
      </c>
      <c r="E7" s="15" t="str">
        <f>HYPERLINK("https://stat100.ameba.jp/tnk47/ratio20/illustrations/card/ill_75793_izumonokuni03.jpg?201810-1-RELEASE-raid-372", "■")</f>
        <v>■</v>
      </c>
      <c r="F7" s="14" t="s">
        <v>2074</v>
      </c>
      <c r="G7" s="14">
        <v>76237</v>
      </c>
      <c r="H7" s="14">
        <v>82027</v>
      </c>
      <c r="I7" s="14">
        <v>21</v>
      </c>
      <c r="J7" s="14" t="s">
        <v>10</v>
      </c>
      <c r="K7" s="14" t="s">
        <v>11</v>
      </c>
      <c r="L7" s="14" t="s">
        <v>12</v>
      </c>
      <c r="M7" s="14" t="s">
        <v>9158</v>
      </c>
      <c r="N7" s="14" t="s">
        <v>9158</v>
      </c>
      <c r="O7" s="14" t="s">
        <v>9158</v>
      </c>
      <c r="P7" s="14" t="s">
        <v>9158</v>
      </c>
      <c r="Q7" s="14" t="s">
        <v>9158</v>
      </c>
      <c r="R7" s="14"/>
    </row>
    <row r="8" spans="1:19">
      <c r="A8" s="14">
        <v>75803</v>
      </c>
      <c r="B8" s="14" t="s">
        <v>15</v>
      </c>
      <c r="C8" s="14" t="s">
        <v>14</v>
      </c>
      <c r="D8" s="14" t="s">
        <v>18</v>
      </c>
      <c r="E8" s="15" t="str">
        <f>HYPERLINK("https://stat100.ameba.jp/tnk47/ratio20/illustrations/card/ill_75803_hasekuratsunenaga03.jpg?201810-1-RELEASE-raid-372", "■")</f>
        <v>■</v>
      </c>
      <c r="F8" s="14" t="s">
        <v>19</v>
      </c>
      <c r="G8" s="14">
        <v>62244</v>
      </c>
      <c r="H8" s="14">
        <v>56456</v>
      </c>
      <c r="I8" s="14">
        <v>21</v>
      </c>
      <c r="J8" s="14" t="s">
        <v>16</v>
      </c>
      <c r="K8" s="14" t="s">
        <v>20</v>
      </c>
      <c r="L8" s="14" t="s">
        <v>21</v>
      </c>
      <c r="M8" s="14" t="s">
        <v>9158</v>
      </c>
      <c r="N8" s="14" t="s">
        <v>9158</v>
      </c>
      <c r="O8" s="14" t="s">
        <v>9158</v>
      </c>
      <c r="P8" s="14" t="s">
        <v>9158</v>
      </c>
      <c r="Q8" s="14" t="s">
        <v>9158</v>
      </c>
      <c r="R8" s="14"/>
    </row>
    <row r="9" spans="1:19">
      <c r="A9" s="14">
        <v>75813</v>
      </c>
      <c r="B9" s="14" t="s">
        <v>22</v>
      </c>
      <c r="C9" s="14" t="s">
        <v>23</v>
      </c>
      <c r="D9" s="14" t="s">
        <v>24</v>
      </c>
      <c r="E9" s="15" t="str">
        <f>HYPERLINK("https://stat100.ameba.jp/tnk47/ratio20/illustrations/card/ill_75813_otemaru03.jpg?201810-1-RELEASE-raid-372", "■")</f>
        <v>■</v>
      </c>
      <c r="F9" s="14" t="s">
        <v>25</v>
      </c>
      <c r="G9" s="14">
        <v>36304</v>
      </c>
      <c r="H9" s="14">
        <v>43662</v>
      </c>
      <c r="I9" s="14">
        <v>21</v>
      </c>
      <c r="J9" s="14" t="s">
        <v>26</v>
      </c>
      <c r="K9" s="14" t="s">
        <v>27</v>
      </c>
      <c r="L9" s="14" t="s">
        <v>28</v>
      </c>
      <c r="M9" s="14" t="s">
        <v>9158</v>
      </c>
      <c r="N9" s="14" t="s">
        <v>9158</v>
      </c>
      <c r="O9" s="14" t="s">
        <v>9158</v>
      </c>
      <c r="P9" s="14" t="s">
        <v>9158</v>
      </c>
      <c r="Q9" s="14" t="s">
        <v>9158</v>
      </c>
      <c r="R9" s="14"/>
    </row>
    <row r="10" spans="1:19">
      <c r="A10" s="14">
        <v>75823</v>
      </c>
      <c r="B10" s="14" t="s">
        <v>30</v>
      </c>
      <c r="C10" s="14" t="s">
        <v>29</v>
      </c>
      <c r="D10" s="14" t="s">
        <v>31</v>
      </c>
      <c r="E10" s="15" t="str">
        <f>HYPERLINK("https://stat100.ameba.jp/tnk47/ratio20/illustrations/card/ill_75823_isonokamitsuyuko03.jpg?201810-1-RELEASE-raid-372", "■")</f>
        <v>■</v>
      </c>
      <c r="F10" s="14" t="s">
        <v>32</v>
      </c>
      <c r="G10" s="14">
        <v>26434</v>
      </c>
      <c r="H10" s="14">
        <v>22200</v>
      </c>
      <c r="I10" s="14">
        <v>21</v>
      </c>
      <c r="J10" s="14" t="s">
        <v>16</v>
      </c>
      <c r="K10" s="14" t="s">
        <v>33</v>
      </c>
      <c r="L10" s="14" t="s">
        <v>34</v>
      </c>
      <c r="M10" s="14" t="s">
        <v>9158</v>
      </c>
      <c r="N10" s="14" t="s">
        <v>9158</v>
      </c>
      <c r="O10" s="14" t="s">
        <v>9158</v>
      </c>
      <c r="P10" s="14" t="s">
        <v>9158</v>
      </c>
      <c r="Q10" s="14" t="s">
        <v>9158</v>
      </c>
      <c r="R10" s="14"/>
    </row>
    <row r="11" spans="1:19">
      <c r="A11" s="14"/>
      <c r="B11" s="14"/>
      <c r="C11" s="14"/>
      <c r="D11" s="14"/>
      <c r="E11" s="14"/>
      <c r="F11" s="14"/>
      <c r="G11" s="14"/>
      <c r="H11" s="14"/>
      <c r="I11" s="14"/>
      <c r="J11" s="14"/>
      <c r="K11" s="14"/>
      <c r="L11" s="14"/>
      <c r="M11" s="14"/>
      <c r="N11" s="14"/>
      <c r="O11" s="7"/>
      <c r="P11" s="14"/>
      <c r="Q11" s="14"/>
      <c r="R11" s="14"/>
    </row>
    <row r="12" spans="1:19">
      <c r="A12" s="14" t="s">
        <v>1214</v>
      </c>
      <c r="B12" s="14"/>
      <c r="C12" s="14"/>
      <c r="D12" s="14"/>
      <c r="E12" s="14"/>
      <c r="F12" s="14"/>
      <c r="G12" s="14"/>
      <c r="H12" s="14"/>
      <c r="I12" s="14"/>
      <c r="J12" s="14"/>
      <c r="K12" s="14"/>
      <c r="L12" s="14"/>
      <c r="M12" s="14"/>
      <c r="N12" s="14"/>
      <c r="O12" s="7"/>
      <c r="P12" s="14"/>
      <c r="Q12" s="14"/>
      <c r="R12" s="14"/>
    </row>
    <row r="13" spans="1:19">
      <c r="A13" s="14" t="s">
        <v>3850</v>
      </c>
      <c r="B13" s="14"/>
      <c r="C13" s="14"/>
      <c r="D13" s="14"/>
      <c r="E13" s="14"/>
      <c r="F13" s="14"/>
      <c r="G13" s="14"/>
      <c r="H13" s="14"/>
      <c r="I13" s="14"/>
      <c r="J13" s="14"/>
      <c r="K13" s="14"/>
      <c r="L13" s="14"/>
      <c r="M13" s="14"/>
      <c r="N13" s="14"/>
      <c r="O13" s="7"/>
      <c r="P13" s="14"/>
      <c r="Q13" s="14"/>
      <c r="R13" s="14"/>
    </row>
    <row r="14" spans="1:19">
      <c r="A14" s="14">
        <v>74413</v>
      </c>
      <c r="B14" s="14" t="s">
        <v>0</v>
      </c>
      <c r="C14" s="14" t="s">
        <v>35</v>
      </c>
      <c r="D14" s="14" t="s">
        <v>36</v>
      </c>
      <c r="E14" s="15" t="str">
        <f>HYPERLINK("https://stat100.ameba.jp/tnk47/ratio20/illustrations/card/ill_74413_mutekisenkanyamato03.jpg?201810-1-RELEASE-raid-372", "■")</f>
        <v>■</v>
      </c>
      <c r="F14" s="14" t="s">
        <v>37</v>
      </c>
      <c r="G14" s="14">
        <v>129556</v>
      </c>
      <c r="H14" s="14">
        <v>120470</v>
      </c>
      <c r="I14" s="14">
        <v>22</v>
      </c>
      <c r="J14" s="14" t="s">
        <v>38</v>
      </c>
      <c r="K14" s="14" t="s">
        <v>39</v>
      </c>
      <c r="L14" s="14" t="s">
        <v>40</v>
      </c>
      <c r="M14" s="14" t="s">
        <v>9158</v>
      </c>
      <c r="N14" s="14" t="s">
        <v>9158</v>
      </c>
      <c r="O14" s="14" t="s">
        <v>9158</v>
      </c>
      <c r="P14" s="14" t="s">
        <v>9158</v>
      </c>
      <c r="Q14" s="14" t="s">
        <v>9158</v>
      </c>
      <c r="R14" s="14"/>
    </row>
    <row r="15" spans="1:19">
      <c r="A15" s="14">
        <v>74373</v>
      </c>
      <c r="B15" s="14" t="s">
        <v>0</v>
      </c>
      <c r="C15" s="14" t="s">
        <v>41</v>
      </c>
      <c r="D15" s="14" t="s">
        <v>42</v>
      </c>
      <c r="E15" s="15" t="str">
        <f>HYPERLINK("https://stat100.ameba.jp/tnk47/ratio20/illustrations/card/ill_74373_shirasaginomaihimejijou03.jpg?201810-1-RELEASE-raid-372", "■")</f>
        <v>■</v>
      </c>
      <c r="F15" s="14" t="s">
        <v>43</v>
      </c>
      <c r="G15" s="14">
        <v>86778</v>
      </c>
      <c r="H15" s="14">
        <v>80708</v>
      </c>
      <c r="I15" s="14">
        <v>22</v>
      </c>
      <c r="J15" s="14" t="s">
        <v>44</v>
      </c>
      <c r="K15" s="14" t="s">
        <v>45</v>
      </c>
      <c r="L15" s="14" t="s">
        <v>46</v>
      </c>
      <c r="M15" s="14" t="s">
        <v>9158</v>
      </c>
      <c r="N15" s="14" t="s">
        <v>9158</v>
      </c>
      <c r="O15" s="14" t="s">
        <v>9158</v>
      </c>
      <c r="P15" s="14" t="s">
        <v>9158</v>
      </c>
      <c r="Q15" s="14" t="s">
        <v>9158</v>
      </c>
      <c r="R15" s="14"/>
    </row>
    <row r="16" spans="1:19">
      <c r="A16" s="14">
        <v>74363</v>
      </c>
      <c r="B16" s="14" t="s">
        <v>0</v>
      </c>
      <c r="C16" s="14" t="s">
        <v>47</v>
      </c>
      <c r="D16" s="14" t="s">
        <v>48</v>
      </c>
      <c r="E16" s="15" t="str">
        <f>HYPERLINK("https://stat100.ameba.jp/tnk47/ratio20/illustrations/card/ill_74363_gantorikuren03.jpg?201810-1-RELEASE-raid-372", "■")</f>
        <v>■</v>
      </c>
      <c r="F16" s="14" t="s">
        <v>49</v>
      </c>
      <c r="G16" s="14">
        <v>82978</v>
      </c>
      <c r="H16" s="14">
        <v>89222</v>
      </c>
      <c r="I16" s="14">
        <v>22</v>
      </c>
      <c r="J16" s="14" t="s">
        <v>26</v>
      </c>
      <c r="K16" s="14" t="s">
        <v>50</v>
      </c>
      <c r="L16" s="14" t="s">
        <v>12</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13326</v>
      </c>
      <c r="D18" s="14"/>
      <c r="F18" s="14"/>
      <c r="G18" s="14"/>
      <c r="H18" s="14"/>
      <c r="I18" s="14"/>
      <c r="J18" s="14"/>
      <c r="K18" s="14"/>
      <c r="L18" s="14"/>
      <c r="M18" s="14"/>
      <c r="N18" s="14"/>
      <c r="P18" s="14"/>
      <c r="Q18" s="14"/>
      <c r="R18" s="14"/>
    </row>
    <row r="19" spans="1:18">
      <c r="A19" s="14" t="s">
        <v>14859</v>
      </c>
      <c r="B19" s="14"/>
      <c r="C19" s="14"/>
      <c r="D19" s="14"/>
      <c r="F19" s="14"/>
      <c r="G19" s="14"/>
      <c r="H19" s="14"/>
      <c r="I19" s="14"/>
      <c r="J19" s="14"/>
      <c r="K19" s="14"/>
      <c r="L19" s="14"/>
      <c r="M19" s="14"/>
      <c r="N19" s="14"/>
      <c r="P19" s="14"/>
      <c r="Q19" s="14"/>
      <c r="R19" s="14"/>
    </row>
    <row r="20" spans="1:18">
      <c r="A20" s="9">
        <v>69293</v>
      </c>
      <c r="B20" s="14" t="s">
        <v>334</v>
      </c>
      <c r="C20" s="14" t="s">
        <v>185</v>
      </c>
      <c r="D20" s="14" t="s">
        <v>1155</v>
      </c>
      <c r="E20" s="15" t="str">
        <f>HYPERLINK("https://stat100.ameba.jp/tnk47/ratio20/illustrations/card/ill_69293_merukishiru03.jpg?201810-1-RELEASE-raid-372", "■")</f>
        <v>■</v>
      </c>
      <c r="F20" s="14" t="s">
        <v>1156</v>
      </c>
      <c r="G20" s="14">
        <v>103384</v>
      </c>
      <c r="H20" s="14">
        <v>96121</v>
      </c>
      <c r="I20" s="14">
        <v>21</v>
      </c>
      <c r="J20" s="14" t="s">
        <v>414</v>
      </c>
      <c r="K20" s="14" t="s">
        <v>1170</v>
      </c>
      <c r="L20" s="14" t="s">
        <v>9902</v>
      </c>
      <c r="M20" s="14" t="s">
        <v>13151</v>
      </c>
      <c r="N20" s="14" t="s">
        <v>251</v>
      </c>
      <c r="O20" s="14" t="s">
        <v>9158</v>
      </c>
      <c r="P20" s="14" t="s">
        <v>9158</v>
      </c>
      <c r="Q20" s="14" t="s">
        <v>9158</v>
      </c>
      <c r="R20" s="14"/>
    </row>
    <row r="21" spans="1:18">
      <c r="A21" s="9">
        <v>69292</v>
      </c>
      <c r="B21" s="14" t="s">
        <v>334</v>
      </c>
      <c r="C21" s="14" t="s">
        <v>185</v>
      </c>
      <c r="D21" s="14" t="s">
        <v>1155</v>
      </c>
      <c r="E21" s="15" t="str">
        <f>HYPERLINK("https://stat100.ameba.jp/tnk47/ratio20/illustrations/card/ill_69292_merukishiru02.jpg?201810-1-RELEASE-raid-372", "■")</f>
        <v>■</v>
      </c>
      <c r="F21" s="14" t="s">
        <v>1156</v>
      </c>
      <c r="G21" s="14">
        <v>86423</v>
      </c>
      <c r="H21" s="14">
        <v>79610</v>
      </c>
      <c r="I21" s="14">
        <v>21</v>
      </c>
      <c r="J21" s="14" t="s">
        <v>414</v>
      </c>
      <c r="K21" s="14" t="s">
        <v>1170</v>
      </c>
      <c r="L21" s="14" t="s">
        <v>9902</v>
      </c>
      <c r="M21" s="14" t="s">
        <v>13151</v>
      </c>
      <c r="N21" s="14" t="s">
        <v>251</v>
      </c>
      <c r="O21" s="14" t="s">
        <v>9158</v>
      </c>
      <c r="P21" s="14" t="s">
        <v>9158</v>
      </c>
      <c r="Q21" s="14" t="s">
        <v>9158</v>
      </c>
      <c r="R21" s="14"/>
    </row>
    <row r="22" spans="1:18">
      <c r="A22" s="9">
        <v>69291</v>
      </c>
      <c r="B22" s="14" t="s">
        <v>334</v>
      </c>
      <c r="C22" s="14" t="s">
        <v>185</v>
      </c>
      <c r="D22" s="14" t="s">
        <v>1155</v>
      </c>
      <c r="E22" s="15" t="str">
        <f>HYPERLINK("https://stat100.ameba.jp/tnk47/ratio20/illustrations/card/ill_69291_merukishiru01.jpg?201810-1-RELEASE-raid-372", "■")</f>
        <v>■</v>
      </c>
      <c r="F22" s="14" t="s">
        <v>1156</v>
      </c>
      <c r="G22" s="14">
        <v>65982</v>
      </c>
      <c r="H22" s="14">
        <v>61425</v>
      </c>
      <c r="I22" s="14">
        <v>21</v>
      </c>
      <c r="J22" s="14" t="s">
        <v>414</v>
      </c>
      <c r="K22" s="14" t="s">
        <v>1170</v>
      </c>
      <c r="L22" s="14" t="s">
        <v>9902</v>
      </c>
      <c r="M22" s="14" t="s">
        <v>13151</v>
      </c>
      <c r="N22" s="14" t="s">
        <v>251</v>
      </c>
      <c r="O22" s="14" t="s">
        <v>9158</v>
      </c>
      <c r="P22" s="14" t="s">
        <v>9158</v>
      </c>
      <c r="Q22" s="14" t="s">
        <v>9158</v>
      </c>
      <c r="R22" s="14"/>
    </row>
    <row r="23" spans="1:18">
      <c r="A23" s="9">
        <v>69303</v>
      </c>
      <c r="B23" s="14" t="s">
        <v>334</v>
      </c>
      <c r="C23" s="14" t="s">
        <v>200</v>
      </c>
      <c r="D23" s="14" t="s">
        <v>4309</v>
      </c>
      <c r="E23" s="15" t="str">
        <f>HYPERLINK("https://stat100.ameba.jp/tnk47/ratio20/illustrations/card/ill_69303_torumushaito03.jpg?201810-1-RELEASE-raid-372", "■")</f>
        <v>■</v>
      </c>
      <c r="F23" s="14" t="s">
        <v>1162</v>
      </c>
      <c r="G23" s="14">
        <v>103384</v>
      </c>
      <c r="H23" s="14">
        <v>96121</v>
      </c>
      <c r="I23" s="14">
        <v>21</v>
      </c>
      <c r="J23" s="14" t="s">
        <v>369</v>
      </c>
      <c r="K23" s="14" t="s">
        <v>1171</v>
      </c>
      <c r="L23" s="14" t="s">
        <v>9903</v>
      </c>
      <c r="M23" s="14" t="s">
        <v>13151</v>
      </c>
      <c r="N23" s="14" t="s">
        <v>251</v>
      </c>
      <c r="O23" s="14" t="s">
        <v>9158</v>
      </c>
      <c r="P23" s="14" t="s">
        <v>9158</v>
      </c>
      <c r="Q23" s="14" t="s">
        <v>9158</v>
      </c>
      <c r="R23" s="14"/>
    </row>
    <row r="24" spans="1:18">
      <c r="A24" s="9">
        <v>69313</v>
      </c>
      <c r="B24" s="14" t="s">
        <v>334</v>
      </c>
      <c r="C24" s="14" t="s">
        <v>191</v>
      </c>
      <c r="D24" s="14" t="s">
        <v>1158</v>
      </c>
      <c r="E24" s="15" t="str">
        <f>HYPERLINK("https://stat100.ameba.jp/tnk47/ratio20/illustrations/card/ill_69313_teishutoriya03.jpg?201810-1-RELEASE-raid-372", "■")</f>
        <v>■</v>
      </c>
      <c r="F24" s="14" t="s">
        <v>1163</v>
      </c>
      <c r="G24" s="14">
        <v>96121</v>
      </c>
      <c r="H24" s="14">
        <v>103384</v>
      </c>
      <c r="I24" s="14">
        <v>21</v>
      </c>
      <c r="J24" s="14" t="s">
        <v>401</v>
      </c>
      <c r="K24" s="14" t="s">
        <v>1172</v>
      </c>
      <c r="L24" s="14" t="s">
        <v>9904</v>
      </c>
      <c r="M24" s="14" t="s">
        <v>13151</v>
      </c>
      <c r="N24" s="14" t="s">
        <v>251</v>
      </c>
      <c r="O24" s="14" t="s">
        <v>9158</v>
      </c>
      <c r="P24" s="14" t="s">
        <v>9158</v>
      </c>
      <c r="Q24" s="14" t="s">
        <v>9158</v>
      </c>
      <c r="R24" s="14"/>
    </row>
    <row r="25" spans="1:18">
      <c r="A25" s="9">
        <v>69323</v>
      </c>
      <c r="B25" s="14" t="s">
        <v>334</v>
      </c>
      <c r="C25" s="14" t="s">
        <v>165</v>
      </c>
      <c r="D25" s="14" t="s">
        <v>1159</v>
      </c>
      <c r="E25" s="15" t="str">
        <f>HYPERLINK("https://stat100.ameba.jp/tnk47/ratio20/illustrations/card/ill_69323_fujitsubonomiya03.jpg?201810-1-RELEASE-raid-372", "■")</f>
        <v>■</v>
      </c>
      <c r="F25" s="14" t="s">
        <v>1164</v>
      </c>
      <c r="G25" s="14">
        <v>96121</v>
      </c>
      <c r="H25" s="14">
        <v>103384</v>
      </c>
      <c r="I25" s="14">
        <v>21</v>
      </c>
      <c r="J25" s="14" t="s">
        <v>1167</v>
      </c>
      <c r="K25" s="14" t="s">
        <v>1173</v>
      </c>
      <c r="L25" s="14" t="s">
        <v>9905</v>
      </c>
      <c r="M25" s="14" t="s">
        <v>13151</v>
      </c>
      <c r="N25" s="14" t="s">
        <v>251</v>
      </c>
      <c r="O25" s="14" t="s">
        <v>9158</v>
      </c>
      <c r="P25" s="14" t="s">
        <v>9158</v>
      </c>
      <c r="Q25" s="14" t="s">
        <v>9158</v>
      </c>
      <c r="R25" s="14"/>
    </row>
    <row r="26" spans="1:18">
      <c r="A26" s="9">
        <v>69333</v>
      </c>
      <c r="B26" s="14" t="s">
        <v>334</v>
      </c>
      <c r="C26" s="14" t="s">
        <v>205</v>
      </c>
      <c r="D26" s="14" t="s">
        <v>1160</v>
      </c>
      <c r="E26" s="15" t="str">
        <f>HYPERLINK("https://stat100.ameba.jp/tnk47/ratio20/illustrations/card/ill_69333_mefuisutofueresu03.jpg?201810-1-RELEASE-raid-372", "■")</f>
        <v>■</v>
      </c>
      <c r="F26" s="14" t="s">
        <v>1165</v>
      </c>
      <c r="G26" s="14">
        <v>103384</v>
      </c>
      <c r="H26" s="14">
        <v>96121</v>
      </c>
      <c r="I26" s="14">
        <v>21</v>
      </c>
      <c r="J26" s="14" t="s">
        <v>1168</v>
      </c>
      <c r="K26" s="14" t="s">
        <v>1174</v>
      </c>
      <c r="L26" s="14" t="s">
        <v>9906</v>
      </c>
      <c r="M26" s="14" t="s">
        <v>13151</v>
      </c>
      <c r="N26" s="14" t="s">
        <v>251</v>
      </c>
      <c r="O26" s="14" t="s">
        <v>9158</v>
      </c>
      <c r="P26" s="14" t="s">
        <v>9158</v>
      </c>
      <c r="Q26" s="14" t="s">
        <v>9158</v>
      </c>
      <c r="R26" s="14"/>
    </row>
    <row r="27" spans="1:18">
      <c r="A27" s="9">
        <v>69343</v>
      </c>
      <c r="B27" s="14" t="s">
        <v>334</v>
      </c>
      <c r="C27" s="14" t="s">
        <v>206</v>
      </c>
      <c r="D27" s="14" t="s">
        <v>1161</v>
      </c>
      <c r="E27" s="15" t="str">
        <f>HYPERLINK("https://stat100.ameba.jp/tnk47/ratio20/illustrations/card/ill_69343_teikinnofuire03.jpg?201810-1-RELEASE-raid-372", "■")</f>
        <v>■</v>
      </c>
      <c r="F27" s="14" t="s">
        <v>1166</v>
      </c>
      <c r="G27" s="14">
        <v>96121</v>
      </c>
      <c r="H27" s="14">
        <v>103384</v>
      </c>
      <c r="I27" s="14">
        <v>21</v>
      </c>
      <c r="J27" s="14" t="s">
        <v>1169</v>
      </c>
      <c r="K27" s="14" t="s">
        <v>1175</v>
      </c>
      <c r="L27" s="14" t="s">
        <v>9907</v>
      </c>
      <c r="M27" s="14" t="s">
        <v>13151</v>
      </c>
      <c r="N27" s="14" t="s">
        <v>251</v>
      </c>
      <c r="O27" s="14" t="s">
        <v>9158</v>
      </c>
      <c r="P27" s="14" t="s">
        <v>9158</v>
      </c>
      <c r="Q27" s="14" t="s">
        <v>9158</v>
      </c>
      <c r="R27" s="14"/>
    </row>
    <row r="28" spans="1:18">
      <c r="A28" s="14"/>
      <c r="B28" s="14"/>
      <c r="C28" s="14"/>
      <c r="D28" s="14"/>
      <c r="E28" s="14"/>
      <c r="F28" s="14"/>
      <c r="G28" s="14"/>
      <c r="H28" s="14"/>
      <c r="I28" s="14"/>
      <c r="J28" s="14"/>
      <c r="K28" s="14"/>
      <c r="L28" s="14"/>
      <c r="M28" s="14"/>
      <c r="N28" s="14"/>
      <c r="O28" s="7"/>
      <c r="P28" s="14"/>
      <c r="Q28" s="14"/>
      <c r="R28" s="14"/>
    </row>
    <row r="29" spans="1:18">
      <c r="A29" s="14" t="s">
        <v>113</v>
      </c>
      <c r="B29" s="14"/>
      <c r="C29" s="14"/>
      <c r="D29" s="14"/>
      <c r="E29" s="14"/>
      <c r="F29" s="14"/>
      <c r="G29" s="14"/>
      <c r="H29" s="14"/>
      <c r="I29" s="14"/>
      <c r="J29" s="14"/>
      <c r="K29" s="14"/>
      <c r="L29" s="14"/>
      <c r="M29" s="14"/>
      <c r="N29" s="14"/>
      <c r="O29" s="7"/>
      <c r="P29" s="14"/>
      <c r="Q29" s="14"/>
      <c r="R29" s="14"/>
    </row>
    <row r="30" spans="1:18">
      <c r="A30" s="14" t="s">
        <v>12833</v>
      </c>
      <c r="B30" s="14"/>
      <c r="C30" s="14"/>
      <c r="D30" s="14"/>
      <c r="E30" s="14"/>
      <c r="F30" s="14"/>
      <c r="G30" s="14"/>
      <c r="H30" s="14"/>
      <c r="I30" s="14"/>
      <c r="J30" s="14"/>
      <c r="K30" s="14"/>
      <c r="L30" s="14"/>
      <c r="M30" s="14"/>
      <c r="N30" s="14"/>
      <c r="O30" s="7"/>
      <c r="P30" s="14"/>
      <c r="Q30" s="14"/>
      <c r="R30" s="14"/>
    </row>
    <row r="31" spans="1:18">
      <c r="A31" s="14" t="s">
        <v>10140</v>
      </c>
      <c r="B31" s="14" t="s">
        <v>52</v>
      </c>
      <c r="C31" s="14" t="s">
        <v>107</v>
      </c>
      <c r="D31" s="14" t="s">
        <v>51</v>
      </c>
      <c r="E31" s="15" t="str">
        <f>HYPERLINK("https://stat100.ameba.jp/tnk47/ratio20/illustrations/card/ill_47263_0_oukyuuatsuhime03.jpg?201810-1-RELEASE-raid-372x", "■")</f>
        <v>■</v>
      </c>
      <c r="F31" s="14" t="s">
        <v>1178</v>
      </c>
      <c r="G31" s="14">
        <v>131930</v>
      </c>
      <c r="H31" s="14">
        <v>117196</v>
      </c>
      <c r="I31" s="14">
        <v>21</v>
      </c>
      <c r="J31" s="14" t="s">
        <v>77</v>
      </c>
      <c r="K31" s="14" t="s">
        <v>1179</v>
      </c>
      <c r="L31" s="14" t="s">
        <v>1180</v>
      </c>
      <c r="M31" s="14" t="s">
        <v>9158</v>
      </c>
      <c r="N31" s="14" t="s">
        <v>9158</v>
      </c>
      <c r="O31" s="14" t="s">
        <v>9158</v>
      </c>
      <c r="P31" s="14" t="s">
        <v>9158</v>
      </c>
      <c r="Q31" s="14" t="s">
        <v>9158</v>
      </c>
      <c r="R31" s="14"/>
    </row>
    <row r="32" spans="1:18">
      <c r="A32" s="14" t="s">
        <v>10141</v>
      </c>
      <c r="B32" s="14" t="s">
        <v>52</v>
      </c>
      <c r="C32" s="14" t="s">
        <v>23</v>
      </c>
      <c r="D32" s="14" t="s">
        <v>53</v>
      </c>
      <c r="E32" s="15" t="str">
        <f>HYPERLINK("https://stat100.ameba.jp/tnk47/ratio20/illustrations/card/ill_40913_0_reigyokudensetsufusehime03.jpg?201810-1-RELEASE-raid-372x", "■")</f>
        <v>■</v>
      </c>
      <c r="F32" s="14" t="s">
        <v>955</v>
      </c>
      <c r="G32" s="14">
        <v>115096</v>
      </c>
      <c r="H32" s="14">
        <v>122892</v>
      </c>
      <c r="I32" s="14">
        <v>21</v>
      </c>
      <c r="J32" s="14" t="s">
        <v>38</v>
      </c>
      <c r="K32" s="14" t="s">
        <v>956</v>
      </c>
      <c r="L32" s="14" t="s">
        <v>957</v>
      </c>
      <c r="M32" s="14" t="s">
        <v>9158</v>
      </c>
      <c r="N32" s="14" t="s">
        <v>9158</v>
      </c>
      <c r="O32" s="14" t="s">
        <v>9158</v>
      </c>
      <c r="P32" s="14" t="s">
        <v>9158</v>
      </c>
      <c r="Q32" s="14" t="s">
        <v>9158</v>
      </c>
      <c r="R32" s="14"/>
    </row>
    <row r="33" spans="1:18">
      <c r="A33" s="14" t="s">
        <v>10143</v>
      </c>
      <c r="B33" s="14" t="s">
        <v>52</v>
      </c>
      <c r="C33" s="14" t="s">
        <v>14</v>
      </c>
      <c r="D33" s="14" t="s">
        <v>54</v>
      </c>
      <c r="E33" s="15" t="str">
        <f>HYPERLINK("https://stat100.ameba.jp/tnk47/ratio20/illustrations/card/ill_44253_0_dokuganryudatemasamune03.jpg?201810-1-RELEASE-raid-372x", "■")</f>
        <v>■</v>
      </c>
      <c r="F33" s="14" t="s">
        <v>1181</v>
      </c>
      <c r="G33" s="14">
        <v>115096</v>
      </c>
      <c r="H33" s="14">
        <v>122892</v>
      </c>
      <c r="I33" s="14">
        <v>21</v>
      </c>
      <c r="J33" s="14" t="s">
        <v>143</v>
      </c>
      <c r="K33" s="14" t="s">
        <v>1182</v>
      </c>
      <c r="L33" s="14" t="s">
        <v>1183</v>
      </c>
      <c r="M33" s="14" t="s">
        <v>9158</v>
      </c>
      <c r="N33" s="14" t="s">
        <v>9158</v>
      </c>
      <c r="O33" s="14" t="s">
        <v>9158</v>
      </c>
      <c r="P33" s="14" t="s">
        <v>9158</v>
      </c>
      <c r="Q33" s="14" t="s">
        <v>9158</v>
      </c>
      <c r="R33" s="14"/>
    </row>
    <row r="34" spans="1:18">
      <c r="A34" s="14">
        <v>75793</v>
      </c>
      <c r="B34" s="14" t="s">
        <v>0</v>
      </c>
      <c r="C34" s="14" t="s">
        <v>1</v>
      </c>
      <c r="D34" s="14" t="s">
        <v>2</v>
      </c>
      <c r="E34" s="15" t="str">
        <f>HYPERLINK("https://stat100.ameba.jp/tnk47/ratio20/illustrations/card/ill_75793_izumonokuni03.jpg?201810-1-RELEASE-raid-372x", "■")</f>
        <v>■</v>
      </c>
      <c r="F34" s="14" t="s">
        <v>2074</v>
      </c>
      <c r="G34" s="14">
        <v>76237</v>
      </c>
      <c r="H34" s="14">
        <v>82027</v>
      </c>
      <c r="I34" s="14">
        <v>21</v>
      </c>
      <c r="J34" s="14" t="s">
        <v>10</v>
      </c>
      <c r="K34" s="14" t="s">
        <v>11</v>
      </c>
      <c r="L34" s="14" t="s">
        <v>12</v>
      </c>
      <c r="M34" s="14" t="s">
        <v>9158</v>
      </c>
      <c r="N34" s="14" t="s">
        <v>9158</v>
      </c>
      <c r="O34" s="14" t="s">
        <v>9158</v>
      </c>
      <c r="P34" s="14" t="s">
        <v>9158</v>
      </c>
      <c r="Q34" s="14" t="s">
        <v>9158</v>
      </c>
      <c r="R34" s="14"/>
    </row>
    <row r="35" spans="1:18">
      <c r="A35" s="14">
        <v>75803</v>
      </c>
      <c r="B35" s="14" t="s">
        <v>15</v>
      </c>
      <c r="C35" s="14" t="s">
        <v>14</v>
      </c>
      <c r="D35" s="14" t="s">
        <v>18</v>
      </c>
      <c r="E35" s="15" t="str">
        <f>HYPERLINK("https://stat100.ameba.jp/tnk47/ratio20/illustrations/card/ill_75803_hasekuratsunenaga03.jpg?201810-1-RELEASE-raid-372x", "■")</f>
        <v>■</v>
      </c>
      <c r="F35" s="14" t="s">
        <v>19</v>
      </c>
      <c r="G35" s="14">
        <v>53352</v>
      </c>
      <c r="H35" s="14">
        <v>48390</v>
      </c>
      <c r="I35" s="14">
        <v>18</v>
      </c>
      <c r="J35" s="14" t="s">
        <v>16</v>
      </c>
      <c r="K35" s="14" t="s">
        <v>20</v>
      </c>
      <c r="L35" s="14" t="s">
        <v>21</v>
      </c>
      <c r="M35" s="14" t="s">
        <v>9158</v>
      </c>
      <c r="N35" s="14" t="s">
        <v>9158</v>
      </c>
      <c r="O35" s="14" t="s">
        <v>9158</v>
      </c>
      <c r="P35" s="14" t="s">
        <v>9158</v>
      </c>
      <c r="Q35" s="14" t="s">
        <v>9158</v>
      </c>
      <c r="R35" s="14"/>
    </row>
    <row r="36" spans="1:18">
      <c r="A36" s="14">
        <v>75813</v>
      </c>
      <c r="B36" s="14" t="s">
        <v>22</v>
      </c>
      <c r="C36" s="14" t="s">
        <v>23</v>
      </c>
      <c r="D36" s="14" t="s">
        <v>24</v>
      </c>
      <c r="E36" s="15" t="str">
        <f>HYPERLINK("https://stat100.ameba.jp/tnk47/ratio20/illustrations/card/ill_75813_otemaru03.jpg?201810-1-RELEASE-raid-372x", "■")</f>
        <v>■</v>
      </c>
      <c r="F36" s="14" t="s">
        <v>25</v>
      </c>
      <c r="G36" s="14">
        <v>27660</v>
      </c>
      <c r="H36" s="14">
        <v>33266</v>
      </c>
      <c r="I36" s="14">
        <v>16</v>
      </c>
      <c r="J36" s="14" t="s">
        <v>26</v>
      </c>
      <c r="K36" s="14" t="s">
        <v>27</v>
      </c>
      <c r="L36" s="14" t="s">
        <v>28</v>
      </c>
      <c r="M36" s="14" t="s">
        <v>9158</v>
      </c>
      <c r="N36" s="14" t="s">
        <v>9158</v>
      </c>
      <c r="O36" s="14" t="s">
        <v>9158</v>
      </c>
      <c r="P36" s="14" t="s">
        <v>9158</v>
      </c>
      <c r="Q36" s="14" t="s">
        <v>9158</v>
      </c>
      <c r="R36" s="14"/>
    </row>
    <row r="37" spans="1:18">
      <c r="A37" s="14">
        <v>75823</v>
      </c>
      <c r="B37" s="14" t="s">
        <v>30</v>
      </c>
      <c r="C37" s="14" t="s">
        <v>29</v>
      </c>
      <c r="D37" s="14" t="s">
        <v>31</v>
      </c>
      <c r="E37" s="15" t="str">
        <f>HYPERLINK("https://stat100.ameba.jp/tnk47/ratio20/illustrations/card/ill_75823_isonokamitsuyuko03.jpg?201810-1-RELEASE-raid-372x", "■")</f>
        <v>■</v>
      </c>
      <c r="F37" s="14" t="s">
        <v>32</v>
      </c>
      <c r="G37" s="14">
        <v>20140</v>
      </c>
      <c r="H37" s="14">
        <v>16914</v>
      </c>
      <c r="I37" s="14">
        <v>16</v>
      </c>
      <c r="J37" s="14" t="s">
        <v>16</v>
      </c>
      <c r="K37" s="14" t="s">
        <v>33</v>
      </c>
      <c r="L37" s="14" t="s">
        <v>34</v>
      </c>
      <c r="M37" s="14" t="s">
        <v>9158</v>
      </c>
      <c r="N37" s="14" t="s">
        <v>9158</v>
      </c>
      <c r="O37" s="14" t="s">
        <v>9158</v>
      </c>
      <c r="P37" s="14" t="s">
        <v>9158</v>
      </c>
      <c r="Q37" s="14" t="s">
        <v>9158</v>
      </c>
      <c r="R37" s="14"/>
    </row>
    <row r="38" spans="1:18">
      <c r="A38" s="14"/>
      <c r="B38" s="14"/>
      <c r="C38" s="14"/>
      <c r="D38" s="14"/>
      <c r="E38" s="14"/>
      <c r="F38" s="14"/>
      <c r="G38" s="14"/>
      <c r="H38" s="14"/>
      <c r="I38" s="14"/>
      <c r="J38" s="14"/>
      <c r="K38" s="14"/>
      <c r="L38" s="14"/>
      <c r="M38" s="14"/>
      <c r="N38" s="14"/>
      <c r="O38" s="7"/>
      <c r="P38" s="14"/>
      <c r="Q38" s="14"/>
      <c r="R38" s="14"/>
    </row>
    <row r="39" spans="1:18">
      <c r="A39" s="14" t="s">
        <v>114</v>
      </c>
      <c r="B39" s="14"/>
      <c r="C39" s="14"/>
      <c r="D39" s="14"/>
      <c r="E39" s="14"/>
      <c r="F39" s="14"/>
      <c r="G39" s="14"/>
      <c r="H39" s="14"/>
      <c r="I39" s="14"/>
      <c r="J39" s="14"/>
      <c r="K39" s="14"/>
      <c r="L39" s="14"/>
      <c r="M39" s="14"/>
      <c r="N39" s="14"/>
      <c r="O39" s="7"/>
      <c r="P39" s="14"/>
      <c r="Q39" s="14"/>
      <c r="R39" s="14"/>
    </row>
    <row r="40" spans="1:18">
      <c r="A40" s="14" t="s">
        <v>12834</v>
      </c>
      <c r="B40" s="14"/>
      <c r="C40" s="14"/>
      <c r="D40" s="14"/>
      <c r="E40" s="14"/>
      <c r="F40" s="14"/>
      <c r="G40" s="14"/>
      <c r="H40" s="14"/>
      <c r="I40" s="14"/>
      <c r="J40" s="14"/>
      <c r="K40" s="14"/>
      <c r="L40" s="14"/>
      <c r="M40" s="14"/>
      <c r="N40" s="14"/>
      <c r="O40" s="7"/>
      <c r="P40" s="14"/>
      <c r="Q40" s="14"/>
      <c r="R40" s="14"/>
    </row>
    <row r="41" spans="1:18">
      <c r="A41" s="14" t="s">
        <v>10144</v>
      </c>
      <c r="B41" s="14" t="s">
        <v>52</v>
      </c>
      <c r="C41" s="14" t="s">
        <v>107</v>
      </c>
      <c r="D41" s="14" t="s">
        <v>55</v>
      </c>
      <c r="E41" s="15" t="str">
        <f>HYPERLINK("https://stat100.ameba.jp/tnk47/ratio20/illustrations/card/ill_52693_0_sengokumibirakiyanagiharabyakuren03.jpg?201810-1-RELEASE-raid-372x", "■")</f>
        <v>■</v>
      </c>
      <c r="F41" s="14" t="s">
        <v>1246</v>
      </c>
      <c r="G41" s="14">
        <v>94872</v>
      </c>
      <c r="H41" s="14">
        <v>106800</v>
      </c>
      <c r="I41" s="14">
        <v>17</v>
      </c>
      <c r="J41" s="14" t="s">
        <v>16</v>
      </c>
      <c r="K41" s="14" t="s">
        <v>1247</v>
      </c>
      <c r="L41" s="14" t="s">
        <v>1248</v>
      </c>
      <c r="M41" s="14" t="s">
        <v>9158</v>
      </c>
      <c r="N41" s="14" t="s">
        <v>9158</v>
      </c>
      <c r="O41" s="7" t="s">
        <v>3303</v>
      </c>
      <c r="P41" s="14" t="s">
        <v>3304</v>
      </c>
      <c r="Q41" s="14">
        <v>1</v>
      </c>
      <c r="R41" s="14"/>
    </row>
    <row r="42" spans="1:18">
      <c r="A42" s="14" t="s">
        <v>10145</v>
      </c>
      <c r="B42" s="14" t="s">
        <v>52</v>
      </c>
      <c r="C42" s="14" t="s">
        <v>23</v>
      </c>
      <c r="D42" s="14" t="s">
        <v>56</v>
      </c>
      <c r="E42" s="15" t="str">
        <f>HYPERLINK("https://stat100.ameba.jp/tnk47/ratio20/illustrations/card/ill_53753_0_natsumatsuritokugawaieyasu03.jpg?201810-1-RELEASE-raid-372x", "■")</f>
        <v>■</v>
      </c>
      <c r="F42" s="14" t="s">
        <v>902</v>
      </c>
      <c r="G42" s="14">
        <v>106800</v>
      </c>
      <c r="H42" s="14">
        <v>94872</v>
      </c>
      <c r="I42" s="14">
        <v>17</v>
      </c>
      <c r="J42" s="14" t="s">
        <v>143</v>
      </c>
      <c r="K42" s="14" t="s">
        <v>903</v>
      </c>
      <c r="L42" s="14" t="s">
        <v>904</v>
      </c>
      <c r="M42" s="14" t="s">
        <v>9158</v>
      </c>
      <c r="N42" s="14" t="s">
        <v>9158</v>
      </c>
      <c r="O42" s="18" t="s">
        <v>10052</v>
      </c>
      <c r="P42" s="14" t="s">
        <v>13121</v>
      </c>
      <c r="Q42" s="14">
        <v>1</v>
      </c>
      <c r="R42" s="14"/>
    </row>
    <row r="43" spans="1:18">
      <c r="A43" s="14">
        <v>71333</v>
      </c>
      <c r="B43" s="14" t="s">
        <v>0</v>
      </c>
      <c r="C43" s="14" t="s">
        <v>41</v>
      </c>
      <c r="D43" s="14" t="s">
        <v>57</v>
      </c>
      <c r="E43" s="15" t="str">
        <f>HYPERLINK("https://stat100.ameba.jp/tnk47/ratio20/illustrations/card/ill_71333_fujiwaranokamatari03.jpg?201810-1-RELEASE-raid-372x", "■")</f>
        <v>■</v>
      </c>
      <c r="F43" s="14" t="s">
        <v>58</v>
      </c>
      <c r="G43" s="14">
        <v>104890</v>
      </c>
      <c r="H43" s="14">
        <v>75984</v>
      </c>
      <c r="I43" s="14">
        <v>24</v>
      </c>
      <c r="J43" s="14" t="s">
        <v>10</v>
      </c>
      <c r="K43" s="14" t="s">
        <v>59</v>
      </c>
      <c r="L43" s="14" t="s">
        <v>60</v>
      </c>
      <c r="M43" s="14" t="s">
        <v>9158</v>
      </c>
      <c r="N43" s="14" t="s">
        <v>9158</v>
      </c>
      <c r="O43" s="7" t="s">
        <v>3490</v>
      </c>
      <c r="P43" s="14" t="s">
        <v>3491</v>
      </c>
      <c r="Q43" s="14">
        <v>1</v>
      </c>
      <c r="R43" s="14"/>
    </row>
    <row r="44" spans="1:18">
      <c r="A44" s="14">
        <v>52063</v>
      </c>
      <c r="B44" s="14" t="s">
        <v>0</v>
      </c>
      <c r="C44" s="14" t="s">
        <v>41</v>
      </c>
      <c r="D44" s="14" t="s">
        <v>61</v>
      </c>
      <c r="E44" s="15" t="str">
        <f>HYPERLINK("https://stat100.ameba.jp/tnk47/ratio20/illustrations/card/ill_52063_kamowakeikazuchinomikoto03.jpg?201810-1-RELEASE-raid-372x", "■")</f>
        <v>■</v>
      </c>
      <c r="F44" s="14" t="s">
        <v>62</v>
      </c>
      <c r="G44" s="14">
        <v>95859</v>
      </c>
      <c r="H44" s="14">
        <v>69430</v>
      </c>
      <c r="I44" s="14">
        <v>21</v>
      </c>
      <c r="J44" s="14" t="s">
        <v>44</v>
      </c>
      <c r="K44" s="14" t="s">
        <v>63</v>
      </c>
      <c r="L44" s="14" t="s">
        <v>64</v>
      </c>
      <c r="M44" s="14" t="s">
        <v>9158</v>
      </c>
      <c r="N44" s="14" t="s">
        <v>9158</v>
      </c>
      <c r="O44" s="14" t="s">
        <v>9158</v>
      </c>
      <c r="P44" s="14" t="s">
        <v>9158</v>
      </c>
      <c r="Q44" s="14" t="s">
        <v>9158</v>
      </c>
      <c r="R44" s="14"/>
    </row>
    <row r="45" spans="1:18">
      <c r="A45" s="14">
        <v>69503</v>
      </c>
      <c r="B45" s="14" t="s">
        <v>0</v>
      </c>
      <c r="C45" s="14" t="s">
        <v>47</v>
      </c>
      <c r="D45" s="14" t="s">
        <v>65</v>
      </c>
      <c r="E45" s="15" t="str">
        <f>HYPERLINK("https://stat100.ameba.jp/tnk47/ratio20/illustrations/card/ill_69503_azusayumi03.jpg?201810-1-RELEASE-raid-372x", "■")</f>
        <v>■</v>
      </c>
      <c r="F45" s="14" t="s">
        <v>66</v>
      </c>
      <c r="G45" s="14">
        <v>95307</v>
      </c>
      <c r="H45" s="14">
        <v>69051</v>
      </c>
      <c r="I45" s="14">
        <v>21</v>
      </c>
      <c r="J45" s="14" t="s">
        <v>38</v>
      </c>
      <c r="K45" s="14" t="s">
        <v>67</v>
      </c>
      <c r="L45" s="14" t="s">
        <v>68</v>
      </c>
      <c r="M45" s="14" t="s">
        <v>9158</v>
      </c>
      <c r="N45" s="14" t="s">
        <v>9158</v>
      </c>
      <c r="O45" s="7" t="s">
        <v>2951</v>
      </c>
      <c r="P45" s="14" t="s">
        <v>13122</v>
      </c>
      <c r="Q45" s="14">
        <v>1</v>
      </c>
      <c r="R45" s="14"/>
    </row>
    <row r="46" spans="1:18">
      <c r="A46" s="14">
        <v>65633</v>
      </c>
      <c r="B46" s="14" t="s">
        <v>0</v>
      </c>
      <c r="C46" s="14" t="s">
        <v>41</v>
      </c>
      <c r="D46" s="14" t="s">
        <v>69</v>
      </c>
      <c r="E46" s="15" t="str">
        <f>HYPERLINK("https://stat100.ameba.jp/tnk47/ratio20/illustrations/card/ill_65633_shinnoakugoro03.jpg?201810-1-RELEASE-raid-372x", "■")</f>
        <v>■</v>
      </c>
      <c r="F46" s="14" t="s">
        <v>70</v>
      </c>
      <c r="G46" s="14">
        <v>97925</v>
      </c>
      <c r="H46" s="14">
        <v>70942</v>
      </c>
      <c r="I46" s="14">
        <v>21</v>
      </c>
      <c r="J46" s="14" t="s">
        <v>73</v>
      </c>
      <c r="K46" s="14" t="s">
        <v>71</v>
      </c>
      <c r="L46" s="14" t="s">
        <v>72</v>
      </c>
      <c r="M46" s="14" t="s">
        <v>9158</v>
      </c>
      <c r="N46" s="14" t="s">
        <v>9158</v>
      </c>
      <c r="O46" s="14" t="s">
        <v>9158</v>
      </c>
      <c r="P46" s="14" t="s">
        <v>9158</v>
      </c>
      <c r="Q46" s="14" t="s">
        <v>9158</v>
      </c>
      <c r="R46" s="14"/>
    </row>
    <row r="47" spans="1:18">
      <c r="A47" s="14">
        <v>61433</v>
      </c>
      <c r="B47" s="14" t="s">
        <v>0</v>
      </c>
      <c r="C47" s="14" t="s">
        <v>23</v>
      </c>
      <c r="D47" s="14" t="s">
        <v>74</v>
      </c>
      <c r="E47" s="15" t="str">
        <f>HYPERLINK("https://stat100.ameba.jp/tnk47/ratio20/illustrations/card/ill_61433_isehime03.jpg?201810-1-RELEASE-raid-372x", "■")</f>
        <v>■</v>
      </c>
      <c r="F47" s="14" t="s">
        <v>78</v>
      </c>
      <c r="G47" s="14">
        <v>91779</v>
      </c>
      <c r="H47" s="14">
        <v>66487</v>
      </c>
      <c r="I47" s="14">
        <v>21</v>
      </c>
      <c r="J47" s="14" t="s">
        <v>77</v>
      </c>
      <c r="K47" s="14" t="s">
        <v>75</v>
      </c>
      <c r="L47" s="14" t="s">
        <v>76</v>
      </c>
      <c r="M47" s="14" t="s">
        <v>9158</v>
      </c>
      <c r="N47" s="14" t="s">
        <v>9158</v>
      </c>
      <c r="O47" s="7" t="s">
        <v>2717</v>
      </c>
      <c r="P47" s="14" t="s">
        <v>13123</v>
      </c>
      <c r="Q47" s="14">
        <v>1</v>
      </c>
      <c r="R47" s="14"/>
    </row>
    <row r="48" spans="1:18">
      <c r="A48" s="14">
        <v>68703</v>
      </c>
      <c r="B48" s="14" t="s">
        <v>0</v>
      </c>
      <c r="C48" s="14" t="s">
        <v>47</v>
      </c>
      <c r="D48" s="14" t="s">
        <v>79</v>
      </c>
      <c r="E48" s="15" t="str">
        <f>HYPERLINK("https://stat100.ameba.jp/tnk47/ratio20/illustrations/card/ill_68703_manryu03.jpg?201810-1-RELEASE-raid-372x", "■")</f>
        <v>■</v>
      </c>
      <c r="F48" s="14" t="s">
        <v>80</v>
      </c>
      <c r="G48" s="14">
        <v>66487</v>
      </c>
      <c r="H48" s="14">
        <v>91779</v>
      </c>
      <c r="I48" s="14">
        <v>21</v>
      </c>
      <c r="J48" s="14" t="s">
        <v>16</v>
      </c>
      <c r="K48" s="14" t="s">
        <v>81</v>
      </c>
      <c r="L48" s="14" t="s">
        <v>82</v>
      </c>
      <c r="M48" s="14" t="s">
        <v>9158</v>
      </c>
      <c r="N48" s="14" t="s">
        <v>9158</v>
      </c>
      <c r="O48" s="14" t="s">
        <v>9158</v>
      </c>
      <c r="P48" s="14" t="s">
        <v>9158</v>
      </c>
      <c r="Q48" s="14" t="s">
        <v>9158</v>
      </c>
      <c r="R48" s="14"/>
    </row>
    <row r="49" spans="1:18">
      <c r="A49" s="14"/>
      <c r="B49" s="14"/>
      <c r="C49" s="14"/>
      <c r="D49" s="14"/>
      <c r="E49" s="14"/>
      <c r="F49" s="14"/>
      <c r="G49" s="14"/>
      <c r="H49" s="14"/>
      <c r="I49" s="14"/>
      <c r="J49" s="14"/>
      <c r="K49" s="14"/>
      <c r="L49" s="14"/>
      <c r="M49" s="14"/>
      <c r="N49" s="14"/>
      <c r="O49" s="7"/>
      <c r="P49" s="14"/>
      <c r="Q49" s="14"/>
      <c r="R49" s="14"/>
    </row>
    <row r="50" spans="1:18">
      <c r="A50" s="14" t="s">
        <v>115</v>
      </c>
      <c r="B50" s="14"/>
      <c r="C50" s="14"/>
      <c r="D50" s="14"/>
      <c r="E50" s="14"/>
      <c r="F50" s="14"/>
      <c r="G50" s="14"/>
      <c r="H50" s="14"/>
      <c r="I50" s="14"/>
      <c r="J50" s="14"/>
      <c r="K50" s="14"/>
      <c r="L50" s="14"/>
      <c r="M50" s="14"/>
      <c r="N50" s="14"/>
      <c r="O50" s="7"/>
      <c r="P50" s="14"/>
      <c r="Q50" s="14"/>
      <c r="R50" s="14"/>
    </row>
    <row r="51" spans="1:18">
      <c r="A51" s="14" t="s">
        <v>12835</v>
      </c>
      <c r="B51" s="14"/>
      <c r="C51" s="14"/>
      <c r="D51" s="14"/>
      <c r="E51" s="14"/>
      <c r="F51" s="14"/>
      <c r="G51" s="14"/>
      <c r="H51" s="14"/>
      <c r="I51" s="14"/>
      <c r="J51" s="14"/>
      <c r="K51" s="14"/>
      <c r="L51" s="14"/>
      <c r="M51" s="14"/>
      <c r="N51" s="14"/>
      <c r="O51" s="7"/>
      <c r="P51" s="14"/>
      <c r="Q51" s="14"/>
      <c r="R51" s="14"/>
    </row>
    <row r="52" spans="1:18">
      <c r="A52" s="14" t="s">
        <v>10144</v>
      </c>
      <c r="B52" s="14" t="s">
        <v>52</v>
      </c>
      <c r="C52" s="14" t="s">
        <v>107</v>
      </c>
      <c r="D52" s="14" t="s">
        <v>55</v>
      </c>
      <c r="E52" s="15" t="str">
        <f>HYPERLINK("https://stat100.ameba.jp/tnk47/ratio20/illustrations/card/ill_52693_0_sengokumibirakiyanagiharabyakuren03.jpg?201810-1-RELEASE-raid-372x", "■")</f>
        <v>■</v>
      </c>
      <c r="F52" s="14" t="s">
        <v>1246</v>
      </c>
      <c r="G52" s="14">
        <v>83712</v>
      </c>
      <c r="H52" s="14">
        <v>94236</v>
      </c>
      <c r="I52" s="14">
        <v>15</v>
      </c>
      <c r="J52" s="14" t="s">
        <v>16</v>
      </c>
      <c r="K52" s="14" t="s">
        <v>1247</v>
      </c>
      <c r="L52" s="14" t="s">
        <v>1248</v>
      </c>
      <c r="M52" s="14" t="s">
        <v>9158</v>
      </c>
      <c r="N52" s="14" t="s">
        <v>9158</v>
      </c>
      <c r="O52" s="7" t="s">
        <v>3303</v>
      </c>
      <c r="P52" s="14" t="s">
        <v>3304</v>
      </c>
      <c r="Q52" s="14">
        <v>1</v>
      </c>
      <c r="R52" s="14"/>
    </row>
    <row r="53" spans="1:18">
      <c r="A53" s="14" t="s">
        <v>10146</v>
      </c>
      <c r="B53" s="14" t="s">
        <v>52</v>
      </c>
      <c r="C53" s="14" t="s">
        <v>23</v>
      </c>
      <c r="D53" s="14" t="s">
        <v>83</v>
      </c>
      <c r="E53" s="15" t="str">
        <f>HYPERLINK("https://stat100.ameba.jp/tnk47/ratio20/illustrations/card/ill_63173_0_minazukikonakaiteruko03.jpg?201810-1-RELEASE-raid-372x", "■")</f>
        <v>■</v>
      </c>
      <c r="F53" s="14" t="s">
        <v>1188</v>
      </c>
      <c r="G53" s="14">
        <v>130194</v>
      </c>
      <c r="H53" s="14">
        <v>140016</v>
      </c>
      <c r="I53" s="14">
        <v>15</v>
      </c>
      <c r="J53" s="14" t="s">
        <v>143</v>
      </c>
      <c r="K53" s="14" t="s">
        <v>1189</v>
      </c>
      <c r="L53" s="14" t="s">
        <v>1190</v>
      </c>
      <c r="M53" s="14" t="s">
        <v>9158</v>
      </c>
      <c r="N53" s="14" t="s">
        <v>9158</v>
      </c>
      <c r="O53" s="7" t="s">
        <v>3328</v>
      </c>
      <c r="P53" s="14" t="s">
        <v>3329</v>
      </c>
      <c r="Q53" s="14">
        <v>1</v>
      </c>
      <c r="R53" s="14"/>
    </row>
    <row r="54" spans="1:18">
      <c r="A54" s="14" t="s">
        <v>10142</v>
      </c>
      <c r="B54" s="14" t="s">
        <v>52</v>
      </c>
      <c r="C54" s="14" t="s">
        <v>14</v>
      </c>
      <c r="D54" s="14" t="s">
        <v>54</v>
      </c>
      <c r="E54" s="15" t="str">
        <f>HYPERLINK("https://stat100.ameba.jp/tnk47/ratio20/illustrations/card/ill_44253_0_dokuganryudatemasamune03.jpg?201810-1-RELEASE-raid-372x", "■")</f>
        <v>■</v>
      </c>
      <c r="F54" s="14" t="s">
        <v>1181</v>
      </c>
      <c r="G54" s="14">
        <v>82212</v>
      </c>
      <c r="H54" s="14">
        <v>87780</v>
      </c>
      <c r="I54" s="14">
        <v>15</v>
      </c>
      <c r="J54" s="14" t="s">
        <v>143</v>
      </c>
      <c r="K54" s="14" t="s">
        <v>1182</v>
      </c>
      <c r="L54" s="14" t="s">
        <v>1183</v>
      </c>
      <c r="M54" s="14" t="s">
        <v>9158</v>
      </c>
      <c r="N54" s="14" t="s">
        <v>9158</v>
      </c>
      <c r="O54" s="14" t="s">
        <v>9158</v>
      </c>
      <c r="P54" s="14" t="s">
        <v>9158</v>
      </c>
      <c r="Q54" s="14" t="s">
        <v>9158</v>
      </c>
      <c r="R54" s="14"/>
    </row>
    <row r="55" spans="1:18">
      <c r="A55" s="14">
        <v>55663</v>
      </c>
      <c r="B55" s="14" t="s">
        <v>0</v>
      </c>
      <c r="C55" s="14" t="s">
        <v>1</v>
      </c>
      <c r="D55" s="14" t="s">
        <v>84</v>
      </c>
      <c r="E55" s="15" t="str">
        <f>HYPERLINK("https://stat100.ameba.jp/tnk47/ratio20/illustrations/card/ill_55663_moryo03.jpg?201810-1-RELEASE-raid-372x", "■")</f>
        <v>■</v>
      </c>
      <c r="F55" s="14" t="s">
        <v>87</v>
      </c>
      <c r="G55" s="14">
        <v>68622</v>
      </c>
      <c r="H55" s="14">
        <v>95452</v>
      </c>
      <c r="I55" s="14">
        <v>22</v>
      </c>
      <c r="J55" s="14" t="s">
        <v>73</v>
      </c>
      <c r="K55" s="14" t="s">
        <v>86</v>
      </c>
      <c r="L55" s="14" t="s">
        <v>85</v>
      </c>
      <c r="M55" s="14" t="s">
        <v>9158</v>
      </c>
      <c r="N55" s="14" t="s">
        <v>9158</v>
      </c>
      <c r="O55" s="14" t="s">
        <v>9158</v>
      </c>
      <c r="P55" s="14" t="s">
        <v>9158</v>
      </c>
      <c r="Q55" s="14" t="s">
        <v>9158</v>
      </c>
      <c r="R55" s="14"/>
    </row>
    <row r="56" spans="1:18">
      <c r="A56" s="14">
        <v>59433</v>
      </c>
      <c r="B56" s="14" t="s">
        <v>0</v>
      </c>
      <c r="C56" s="14" t="s">
        <v>23</v>
      </c>
      <c r="D56" s="14" t="s">
        <v>88</v>
      </c>
      <c r="E56" s="15" t="str">
        <f>HYPERLINK("https://stat100.ameba.jp/tnk47/ratio20/illustrations/card/ill_59433_shotoin03.jpg?201810-1-RELEASE-raid-372x", "■")</f>
        <v>■</v>
      </c>
      <c r="F56" s="14" t="s">
        <v>89</v>
      </c>
      <c r="G56" s="14">
        <v>56144</v>
      </c>
      <c r="H56" s="14">
        <v>78098</v>
      </c>
      <c r="I56" s="14">
        <v>18</v>
      </c>
      <c r="J56" s="14" t="s">
        <v>77</v>
      </c>
      <c r="K56" s="14" t="s">
        <v>90</v>
      </c>
      <c r="L56" s="14" t="s">
        <v>91</v>
      </c>
      <c r="M56" s="14" t="s">
        <v>9158</v>
      </c>
      <c r="N56" s="14" t="s">
        <v>9158</v>
      </c>
      <c r="O56" s="14" t="s">
        <v>9158</v>
      </c>
      <c r="P56" s="14" t="s">
        <v>9158</v>
      </c>
      <c r="Q56" s="14" t="s">
        <v>9158</v>
      </c>
      <c r="R56" s="14"/>
    </row>
    <row r="57" spans="1:18">
      <c r="A57" s="14">
        <v>57803</v>
      </c>
      <c r="B57" s="14" t="s">
        <v>0</v>
      </c>
      <c r="C57" s="14" t="s">
        <v>47</v>
      </c>
      <c r="D57" s="14" t="s">
        <v>92</v>
      </c>
      <c r="E57" s="15" t="str">
        <f>HYPERLINK("https://stat100.ameba.jp/tnk47/ratio20/illustrations/card/ill_57803_piyopiyobaku03.jpg?201810-1-RELEASE-raid-372x", "■")</f>
        <v>■</v>
      </c>
      <c r="F57" s="14" t="s">
        <v>93</v>
      </c>
      <c r="G57" s="14">
        <v>64504</v>
      </c>
      <c r="H57" s="14">
        <v>69378</v>
      </c>
      <c r="I57" s="14">
        <v>18</v>
      </c>
      <c r="J57" s="14" t="s">
        <v>44</v>
      </c>
      <c r="K57" s="14" t="s">
        <v>94</v>
      </c>
      <c r="L57" s="14" t="s">
        <v>95</v>
      </c>
      <c r="M57" s="14" t="s">
        <v>9158</v>
      </c>
      <c r="N57" s="14" t="s">
        <v>9158</v>
      </c>
      <c r="O57" s="14" t="s">
        <v>9158</v>
      </c>
      <c r="P57" s="14" t="s">
        <v>9158</v>
      </c>
      <c r="Q57" s="14" t="s">
        <v>9158</v>
      </c>
      <c r="R57" s="14"/>
    </row>
    <row r="58" spans="1:18">
      <c r="A58" s="14">
        <v>51273</v>
      </c>
      <c r="B58" s="14" t="s">
        <v>15</v>
      </c>
      <c r="C58" s="14" t="s">
        <v>96</v>
      </c>
      <c r="D58" s="14" t="s">
        <v>97</v>
      </c>
      <c r="E58" s="15" t="str">
        <f>HYPERLINK("https://stat100.ameba.jp/tnk47/ratio20/illustrations/card/ill_51273_bareisonokamitsuyuko03.jpg?201810-1-RELEASE-raid-372x", "■")</f>
        <v>■</v>
      </c>
      <c r="F58" s="14" t="s">
        <v>98</v>
      </c>
      <c r="G58" s="14">
        <v>56456</v>
      </c>
      <c r="H58" s="14">
        <v>62244</v>
      </c>
      <c r="I58" s="14">
        <v>21</v>
      </c>
      <c r="J58" s="14" t="s">
        <v>16</v>
      </c>
      <c r="K58" s="14" t="s">
        <v>99</v>
      </c>
      <c r="L58" s="14" t="s">
        <v>100</v>
      </c>
      <c r="M58" s="14" t="s">
        <v>9158</v>
      </c>
      <c r="N58" s="14" t="s">
        <v>9158</v>
      </c>
      <c r="O58" s="14" t="s">
        <v>9158</v>
      </c>
      <c r="P58" s="14" t="s">
        <v>9158</v>
      </c>
      <c r="Q58" s="14" t="s">
        <v>9158</v>
      </c>
      <c r="R58" s="14"/>
    </row>
    <row r="59" spans="1:18">
      <c r="A59" s="14">
        <v>52963</v>
      </c>
      <c r="B59" s="14" t="s">
        <v>15</v>
      </c>
      <c r="C59" s="14" t="s">
        <v>101</v>
      </c>
      <c r="D59" s="14" t="s">
        <v>102</v>
      </c>
      <c r="E59" s="15" t="str">
        <f>HYPERLINK("https://stat100.ameba.jp/tnk47/ratio20/illustrations/card/ill_52963_torampumomochan03.jpg?201810-1-RELEASE-raid-372x", "■")</f>
        <v>■</v>
      </c>
      <c r="F59" s="14" t="s">
        <v>103</v>
      </c>
      <c r="G59" s="14">
        <v>56456</v>
      </c>
      <c r="H59" s="14">
        <v>62244</v>
      </c>
      <c r="I59" s="14">
        <v>21</v>
      </c>
      <c r="J59" s="14" t="s">
        <v>104</v>
      </c>
      <c r="K59" s="14" t="s">
        <v>105</v>
      </c>
      <c r="L59" s="14" t="s">
        <v>106</v>
      </c>
      <c r="M59" s="14" t="s">
        <v>9158</v>
      </c>
      <c r="N59" s="14" t="s">
        <v>9158</v>
      </c>
      <c r="O59" s="14" t="s">
        <v>9158</v>
      </c>
      <c r="P59" s="14" t="s">
        <v>9158</v>
      </c>
      <c r="Q59" s="14" t="s">
        <v>9158</v>
      </c>
      <c r="R59" s="14"/>
    </row>
    <row r="60" spans="1:18">
      <c r="A60" s="14">
        <v>56683</v>
      </c>
      <c r="B60" s="14" t="s">
        <v>15</v>
      </c>
      <c r="C60" s="14" t="s">
        <v>107</v>
      </c>
      <c r="D60" s="14" t="s">
        <v>108</v>
      </c>
      <c r="E60" s="15" t="str">
        <f>HYPERLINK("https://stat100.ameba.jp/tnk47/ratio20/illustrations/card/ill_56683_daibingusakyogabashinohebi03.jpg?201810-1-RELEASE-raid-372x", "■")</f>
        <v>■</v>
      </c>
      <c r="F60" s="14" t="s">
        <v>109</v>
      </c>
      <c r="G60" s="14">
        <v>56456</v>
      </c>
      <c r="H60" s="14">
        <v>62244</v>
      </c>
      <c r="I60" s="14">
        <v>21</v>
      </c>
      <c r="J60" s="14" t="s">
        <v>38</v>
      </c>
      <c r="K60" s="14" t="s">
        <v>110</v>
      </c>
      <c r="L60" s="14" t="s">
        <v>111</v>
      </c>
      <c r="M60" s="14" t="s">
        <v>9158</v>
      </c>
      <c r="N60" s="14" t="s">
        <v>9158</v>
      </c>
      <c r="O60" s="14" t="s">
        <v>9158</v>
      </c>
      <c r="P60" s="14" t="s">
        <v>9158</v>
      </c>
      <c r="Q60" s="14" t="s">
        <v>9158</v>
      </c>
      <c r="R60" s="14"/>
    </row>
    <row r="61" spans="1:18">
      <c r="A61" s="14"/>
      <c r="B61" s="14"/>
      <c r="C61" s="14"/>
      <c r="D61" s="14"/>
      <c r="E61" s="14"/>
      <c r="F61" s="14"/>
      <c r="G61" s="14"/>
      <c r="H61" s="14"/>
      <c r="I61" s="14"/>
      <c r="J61" s="14"/>
      <c r="K61" s="14"/>
      <c r="L61" s="14"/>
      <c r="M61" s="14"/>
      <c r="N61" s="14"/>
      <c r="O61" s="7"/>
      <c r="P61" s="14"/>
      <c r="Q61" s="14"/>
      <c r="R61" s="14"/>
    </row>
    <row r="62" spans="1:18">
      <c r="A62" s="14" t="s">
        <v>116</v>
      </c>
      <c r="B62" s="14"/>
      <c r="C62" s="14"/>
      <c r="D62" s="14"/>
      <c r="E62" s="14"/>
      <c r="F62" s="14"/>
      <c r="G62" s="14"/>
      <c r="H62" s="14"/>
      <c r="I62" s="14"/>
      <c r="J62" s="14"/>
      <c r="K62" s="14"/>
      <c r="L62" s="14"/>
      <c r="M62" s="14"/>
      <c r="N62" s="14"/>
      <c r="O62" s="7"/>
      <c r="P62" s="14"/>
      <c r="Q62" s="14"/>
      <c r="R62" s="14"/>
    </row>
    <row r="63" spans="1:18">
      <c r="A63" s="14" t="s">
        <v>12836</v>
      </c>
      <c r="B63" s="14"/>
      <c r="C63" s="14"/>
      <c r="D63" s="14"/>
      <c r="E63" s="14"/>
      <c r="F63" s="14"/>
      <c r="G63" s="14"/>
      <c r="H63" s="14"/>
      <c r="I63" s="14"/>
      <c r="J63" s="14"/>
      <c r="K63" s="14"/>
      <c r="L63" s="14"/>
      <c r="M63" s="14"/>
      <c r="N63" s="14"/>
      <c r="O63" s="7"/>
      <c r="P63" s="14"/>
      <c r="Q63" s="14"/>
      <c r="R63" s="14"/>
    </row>
    <row r="64" spans="1:18">
      <c r="A64" s="14" t="s">
        <v>10147</v>
      </c>
      <c r="B64" s="14" t="s">
        <v>117</v>
      </c>
      <c r="C64" s="14" t="s">
        <v>202</v>
      </c>
      <c r="D64" s="14" t="s">
        <v>118</v>
      </c>
      <c r="E64" s="15" t="str">
        <f>HYPERLINK("https://stat100.ameba.jp/tnk47/ratio20/illustrations/card/ill_76913_0_hinomotomikusanokamudakara03.jpg?201810-1-RELEASE-raid-372xx", "■")</f>
        <v>■</v>
      </c>
      <c r="F64" s="14" t="s">
        <v>3479</v>
      </c>
      <c r="G64" s="14">
        <v>144714</v>
      </c>
      <c r="H64" s="14">
        <v>155680</v>
      </c>
      <c r="I64" s="14">
        <v>28</v>
      </c>
      <c r="J64" s="14" t="s">
        <v>143</v>
      </c>
      <c r="K64" s="14" t="s">
        <v>3480</v>
      </c>
      <c r="L64" s="14" t="s">
        <v>3481</v>
      </c>
      <c r="M64" s="14" t="s">
        <v>9158</v>
      </c>
      <c r="N64" s="14" t="s">
        <v>9158</v>
      </c>
      <c r="O64" s="14" t="s">
        <v>9158</v>
      </c>
      <c r="P64" s="14" t="s">
        <v>9158</v>
      </c>
      <c r="Q64" s="14" t="s">
        <v>9158</v>
      </c>
      <c r="R64" s="14"/>
    </row>
    <row r="65" spans="1:18">
      <c r="A65" s="14" t="s">
        <v>10148</v>
      </c>
      <c r="B65" s="14" t="s">
        <v>52</v>
      </c>
      <c r="C65" s="14" t="s">
        <v>101</v>
      </c>
      <c r="D65" s="14" t="s">
        <v>119</v>
      </c>
      <c r="E65" s="15" t="str">
        <f>HYPERLINK("https://stat100.ameba.jp/tnk47/ratio20/illustrations/card/ill_64953_0_yukatatokugawayoshinobu03.jpg?201810-1-RELEASE-raid-372xx", "■")</f>
        <v>■</v>
      </c>
      <c r="F65" s="14" t="s">
        <v>2090</v>
      </c>
      <c r="G65" s="14">
        <v>112140</v>
      </c>
      <c r="H65" s="14">
        <v>120604</v>
      </c>
      <c r="I65" s="14">
        <v>18</v>
      </c>
      <c r="J65" s="14" t="s">
        <v>10</v>
      </c>
      <c r="K65" s="14" t="s">
        <v>2091</v>
      </c>
      <c r="L65" s="14" t="s">
        <v>2092</v>
      </c>
      <c r="M65" s="14" t="s">
        <v>9158</v>
      </c>
      <c r="N65" s="14" t="s">
        <v>9158</v>
      </c>
      <c r="O65" s="7" t="s">
        <v>2889</v>
      </c>
      <c r="P65" s="14" t="s">
        <v>2890</v>
      </c>
      <c r="Q65" s="14">
        <v>1</v>
      </c>
      <c r="R65" s="14"/>
    </row>
    <row r="66" spans="1:18">
      <c r="A66" s="14" t="s">
        <v>10149</v>
      </c>
      <c r="B66" s="14" t="s">
        <v>52</v>
      </c>
      <c r="C66" s="14" t="s">
        <v>96</v>
      </c>
      <c r="D66" s="14" t="s">
        <v>120</v>
      </c>
      <c r="E66" s="15" t="str">
        <f>HYPERLINK("https://stat100.ameba.jp/tnk47/ratio20/illustrations/card/ill_54523_0_yonshunennionohime03.jpg?201810-1-RELEASE-raid-372xx", "■")</f>
        <v>■</v>
      </c>
      <c r="F66" s="14" t="s">
        <v>1773</v>
      </c>
      <c r="G66" s="14">
        <v>100454</v>
      </c>
      <c r="H66" s="14">
        <v>113082</v>
      </c>
      <c r="I66" s="14">
        <v>18</v>
      </c>
      <c r="J66" s="14" t="s">
        <v>38</v>
      </c>
      <c r="K66" s="14" t="s">
        <v>1774</v>
      </c>
      <c r="L66" s="14" t="s">
        <v>1775</v>
      </c>
      <c r="M66" s="14" t="s">
        <v>9158</v>
      </c>
      <c r="N66" s="14" t="s">
        <v>9158</v>
      </c>
      <c r="O66" s="14" t="s">
        <v>9158</v>
      </c>
      <c r="P66" s="14" t="s">
        <v>9158</v>
      </c>
      <c r="Q66" s="14" t="s">
        <v>9158</v>
      </c>
      <c r="R66" s="14"/>
    </row>
    <row r="67" spans="1:18">
      <c r="A67" s="14">
        <v>66363</v>
      </c>
      <c r="B67" s="14" t="s">
        <v>0</v>
      </c>
      <c r="C67" s="14" t="s">
        <v>41</v>
      </c>
      <c r="D67" s="14" t="s">
        <v>121</v>
      </c>
      <c r="E67" s="15" t="str">
        <f>HYPERLINK("https://stat100.ameba.jp/tnk47/ratio20/illustrations/card/ill_66363_iharasaikaku03.jpg?201810-1-RELEASE-raid-372xx", "■")</f>
        <v>■</v>
      </c>
      <c r="F67" s="14" t="s">
        <v>122</v>
      </c>
      <c r="G67" s="14">
        <v>69051</v>
      </c>
      <c r="H67" s="14">
        <v>95307</v>
      </c>
      <c r="I67" s="14">
        <v>21</v>
      </c>
      <c r="J67" s="14" t="s">
        <v>16</v>
      </c>
      <c r="K67" s="14" t="s">
        <v>123</v>
      </c>
      <c r="L67" s="14" t="s">
        <v>124</v>
      </c>
      <c r="M67" s="14" t="s">
        <v>9158</v>
      </c>
      <c r="N67" s="14" t="s">
        <v>9158</v>
      </c>
      <c r="O67" s="17" t="s">
        <v>10053</v>
      </c>
      <c r="P67" s="14" t="s">
        <v>2822</v>
      </c>
      <c r="Q67" s="14">
        <v>1</v>
      </c>
      <c r="R67" s="14"/>
    </row>
    <row r="68" spans="1:18">
      <c r="A68" s="14">
        <v>64883</v>
      </c>
      <c r="B68" s="14" t="s">
        <v>0</v>
      </c>
      <c r="C68" s="14" t="s">
        <v>47</v>
      </c>
      <c r="D68" s="14" t="s">
        <v>125</v>
      </c>
      <c r="E68" s="15" t="str">
        <f>HYPERLINK("https://stat100.ameba.jp/tnk47/ratio20/illustrations/card/ill_64883_kasane03.jpg?201810-1-RELEASE-raid-372xx", "■")</f>
        <v>■</v>
      </c>
      <c r="F68" s="14" t="s">
        <v>126</v>
      </c>
      <c r="G68" s="14">
        <v>77618</v>
      </c>
      <c r="H68" s="14">
        <v>107166</v>
      </c>
      <c r="I68" s="14">
        <v>21</v>
      </c>
      <c r="J68" s="14" t="s">
        <v>38</v>
      </c>
      <c r="K68" s="14" t="s">
        <v>127</v>
      </c>
      <c r="L68" s="14" t="s">
        <v>128</v>
      </c>
      <c r="M68" s="14" t="s">
        <v>9158</v>
      </c>
      <c r="N68" s="14" t="s">
        <v>9158</v>
      </c>
      <c r="O68" s="14" t="s">
        <v>9158</v>
      </c>
      <c r="P68" s="14" t="s">
        <v>9158</v>
      </c>
      <c r="Q68" s="14" t="s">
        <v>9158</v>
      </c>
      <c r="R68" s="14"/>
    </row>
    <row r="69" spans="1:18">
      <c r="A69" s="14">
        <v>64033</v>
      </c>
      <c r="B69" s="14" t="s">
        <v>0</v>
      </c>
      <c r="C69" s="14" t="s">
        <v>41</v>
      </c>
      <c r="D69" s="14" t="s">
        <v>129</v>
      </c>
      <c r="E69" s="15" t="str">
        <f>HYPERLINK("https://stat100.ameba.jp/tnk47/ratio20/illustrations/card/ill_64033_sobameshi03.jpg?201810-1-RELEASE-raid-372xx", "■")</f>
        <v>■</v>
      </c>
      <c r="F69" s="14" t="s">
        <v>129</v>
      </c>
      <c r="G69" s="14">
        <v>80391</v>
      </c>
      <c r="H69" s="14">
        <v>111000</v>
      </c>
      <c r="I69" s="14">
        <v>21</v>
      </c>
      <c r="J69" s="14" t="s">
        <v>104</v>
      </c>
      <c r="K69" s="14" t="s">
        <v>130</v>
      </c>
      <c r="L69" s="14" t="s">
        <v>131</v>
      </c>
      <c r="M69" s="14" t="s">
        <v>9158</v>
      </c>
      <c r="N69" s="14" t="s">
        <v>9158</v>
      </c>
      <c r="O69" s="14" t="s">
        <v>9158</v>
      </c>
      <c r="P69" s="14" t="s">
        <v>9158</v>
      </c>
      <c r="Q69" s="14" t="s">
        <v>9158</v>
      </c>
      <c r="R69" s="14"/>
    </row>
    <row r="70" spans="1:18">
      <c r="A70" s="14"/>
      <c r="B70" s="14"/>
      <c r="C70" s="14"/>
      <c r="D70" s="14"/>
      <c r="E70" s="14"/>
      <c r="F70" s="14"/>
      <c r="G70" s="14"/>
      <c r="H70" s="14"/>
      <c r="I70" s="14"/>
      <c r="J70" s="14"/>
      <c r="K70" s="14"/>
      <c r="L70" s="14"/>
      <c r="M70" s="14"/>
      <c r="N70" s="14"/>
      <c r="O70" s="7"/>
      <c r="P70" s="14"/>
      <c r="Q70" s="14"/>
      <c r="R70" s="14"/>
    </row>
    <row r="71" spans="1:18">
      <c r="A71" s="14" t="s">
        <v>132</v>
      </c>
      <c r="B71" s="14"/>
      <c r="C71" s="14"/>
      <c r="D71" s="14"/>
      <c r="E71" s="14"/>
      <c r="F71" s="14"/>
      <c r="G71" s="14"/>
      <c r="H71" s="14"/>
      <c r="I71" s="14"/>
      <c r="J71" s="14"/>
      <c r="K71" s="14"/>
      <c r="L71" s="14"/>
      <c r="M71" s="14"/>
      <c r="N71" s="14"/>
      <c r="O71" s="7"/>
      <c r="P71" s="14"/>
      <c r="Q71" s="14"/>
      <c r="R71" s="14"/>
    </row>
    <row r="72" spans="1:18">
      <c r="A72" s="14" t="s">
        <v>12837</v>
      </c>
      <c r="B72" s="14"/>
      <c r="C72" s="14"/>
      <c r="D72" s="14"/>
      <c r="E72" s="14"/>
      <c r="F72" s="14"/>
      <c r="G72" s="14"/>
      <c r="H72" s="14"/>
      <c r="I72" s="14"/>
      <c r="J72" s="14"/>
      <c r="K72" s="14"/>
      <c r="L72" s="14"/>
      <c r="M72" s="14"/>
      <c r="N72" s="14"/>
      <c r="O72" s="7"/>
      <c r="P72" s="14"/>
      <c r="Q72" s="14"/>
      <c r="R72" s="14"/>
    </row>
    <row r="73" spans="1:18">
      <c r="A73" s="14">
        <v>66165</v>
      </c>
      <c r="B73" s="14" t="s">
        <v>0</v>
      </c>
      <c r="C73" s="14" t="s">
        <v>202</v>
      </c>
      <c r="D73" s="14" t="s">
        <v>133</v>
      </c>
      <c r="E73" s="15" t="str">
        <f>HYPERLINK("https://stat100.ameba.jp/tnk47/ratio20/illustrations/card/ill_66165_chosokabekunichika05.jpg?201810-1-RELEASE-raid-372xx", "■")</f>
        <v>■</v>
      </c>
      <c r="F73" s="14" t="s">
        <v>3846</v>
      </c>
      <c r="G73" s="14">
        <v>150278</v>
      </c>
      <c r="H73" s="14">
        <v>108811</v>
      </c>
      <c r="I73" s="14">
        <v>21</v>
      </c>
      <c r="J73" s="14" t="s">
        <v>143</v>
      </c>
      <c r="K73" s="14" t="s">
        <v>3847</v>
      </c>
      <c r="L73" s="14" t="s">
        <v>145</v>
      </c>
      <c r="M73" s="14" t="s">
        <v>9158</v>
      </c>
      <c r="N73" s="14" t="s">
        <v>9158</v>
      </c>
      <c r="O73" s="14" t="s">
        <v>9158</v>
      </c>
      <c r="P73" s="14" t="s">
        <v>9158</v>
      </c>
      <c r="Q73" s="14" t="s">
        <v>9158</v>
      </c>
      <c r="R73" s="14" t="s">
        <v>174</v>
      </c>
    </row>
    <row r="74" spans="1:18">
      <c r="A74" s="14">
        <v>66163</v>
      </c>
      <c r="B74" s="14" t="s">
        <v>15</v>
      </c>
      <c r="C74" s="14" t="s">
        <v>41</v>
      </c>
      <c r="D74" s="14" t="s">
        <v>133</v>
      </c>
      <c r="E74" s="15" t="str">
        <f>HYPERLINK("https://stat100.ameba.jp/tnk47/ratio20/illustrations/card/ill_66163_chosokabekunichika03.jpg?201810-1-RELEASE-raid-372xx", "■")</f>
        <v>■</v>
      </c>
      <c r="F74" s="14" t="s">
        <v>3846</v>
      </c>
      <c r="G74" s="14">
        <v>110722</v>
      </c>
      <c r="H74" s="14">
        <v>80168</v>
      </c>
      <c r="I74" s="14">
        <v>21</v>
      </c>
      <c r="J74" s="14" t="s">
        <v>143</v>
      </c>
      <c r="K74" s="14" t="s">
        <v>3847</v>
      </c>
      <c r="L74" s="14" t="s">
        <v>3647</v>
      </c>
      <c r="M74" s="14" t="s">
        <v>9158</v>
      </c>
      <c r="N74" s="14" t="s">
        <v>9158</v>
      </c>
      <c r="O74" s="14" t="s">
        <v>9158</v>
      </c>
      <c r="P74" s="14" t="s">
        <v>9158</v>
      </c>
      <c r="Q74" s="14" t="s">
        <v>9158</v>
      </c>
      <c r="R74" s="14" t="s">
        <v>175</v>
      </c>
    </row>
    <row r="75" spans="1:18">
      <c r="A75" s="14">
        <v>66161</v>
      </c>
      <c r="B75" s="14" t="s">
        <v>15</v>
      </c>
      <c r="C75" s="14" t="s">
        <v>41</v>
      </c>
      <c r="D75" s="14" t="s">
        <v>133</v>
      </c>
      <c r="E75" s="15" t="str">
        <f>HYPERLINK("https://stat100.ameba.jp/tnk47/ratio20/illustrations/card/ill_66161_chosokabekunichika01.jpg?201810-1-RELEASE-raid-372xx", "■")</f>
        <v>■</v>
      </c>
      <c r="F75" s="14" t="s">
        <v>3846</v>
      </c>
      <c r="G75" s="14">
        <v>70434</v>
      </c>
      <c r="H75" s="14">
        <v>51009</v>
      </c>
      <c r="I75" s="14">
        <v>21</v>
      </c>
      <c r="J75" s="14" t="s">
        <v>143</v>
      </c>
      <c r="K75" s="14" t="s">
        <v>3847</v>
      </c>
      <c r="L75" s="14" t="s">
        <v>3648</v>
      </c>
      <c r="M75" s="14" t="s">
        <v>9158</v>
      </c>
      <c r="N75" s="14" t="s">
        <v>9158</v>
      </c>
      <c r="O75" s="14" t="s">
        <v>9158</v>
      </c>
      <c r="P75" s="14" t="s">
        <v>9158</v>
      </c>
      <c r="Q75" s="14" t="s">
        <v>9158</v>
      </c>
      <c r="R75" s="14" t="s">
        <v>176</v>
      </c>
    </row>
    <row r="76" spans="1:18">
      <c r="A76" s="14">
        <v>67895</v>
      </c>
      <c r="B76" s="14" t="s">
        <v>0</v>
      </c>
      <c r="C76" s="14" t="s">
        <v>202</v>
      </c>
      <c r="D76" s="14" t="s">
        <v>2519</v>
      </c>
      <c r="E76" s="15" t="str">
        <f>HYPERLINK("https://stat100.ameba.jp/tnk47/ratio20/illustrations/card/ill_67895_misonikomiudon05.jpg?201810-1-RELEASE-raid-372xx", "■")</f>
        <v>■</v>
      </c>
      <c r="F76" s="14" t="s">
        <v>2520</v>
      </c>
      <c r="G76" s="14">
        <v>90777</v>
      </c>
      <c r="H76" s="14">
        <v>125367</v>
      </c>
      <c r="I76" s="14">
        <v>21</v>
      </c>
      <c r="J76" s="14" t="s">
        <v>104</v>
      </c>
      <c r="K76" s="14" t="s">
        <v>2521</v>
      </c>
      <c r="L76" s="14" t="s">
        <v>2522</v>
      </c>
      <c r="M76" s="14" t="s">
        <v>9158</v>
      </c>
      <c r="N76" s="14" t="s">
        <v>9158</v>
      </c>
      <c r="O76" s="14" t="s">
        <v>9158</v>
      </c>
      <c r="P76" s="14" t="s">
        <v>9158</v>
      </c>
      <c r="Q76" s="14" t="s">
        <v>9158</v>
      </c>
      <c r="R76" s="14" t="s">
        <v>174</v>
      </c>
    </row>
    <row r="77" spans="1:18">
      <c r="A77" s="14">
        <v>67893</v>
      </c>
      <c r="B77" s="14" t="s">
        <v>15</v>
      </c>
      <c r="C77" s="14" t="s">
        <v>209</v>
      </c>
      <c r="D77" s="14" t="s">
        <v>2519</v>
      </c>
      <c r="E77" s="15" t="str">
        <f>HYPERLINK("https://stat100.ameba.jp/tnk47/ratio20/illustrations/card/ill_67893_misonikomiudon03.jpg?201810-1-RELEASE-raid-372xx", "■")</f>
        <v>■</v>
      </c>
      <c r="F77" s="14" t="s">
        <v>2520</v>
      </c>
      <c r="G77" s="14">
        <v>66881</v>
      </c>
      <c r="H77" s="14">
        <v>92368</v>
      </c>
      <c r="I77" s="14">
        <v>21</v>
      </c>
      <c r="J77" s="14" t="s">
        <v>104</v>
      </c>
      <c r="K77" s="14" t="s">
        <v>2521</v>
      </c>
      <c r="L77" s="14" t="s">
        <v>1757</v>
      </c>
      <c r="M77" s="14" t="s">
        <v>9158</v>
      </c>
      <c r="N77" s="14" t="s">
        <v>9158</v>
      </c>
      <c r="O77" s="14" t="s">
        <v>9158</v>
      </c>
      <c r="P77" s="14" t="s">
        <v>9158</v>
      </c>
      <c r="Q77" s="14" t="s">
        <v>9158</v>
      </c>
      <c r="R77" s="14" t="s">
        <v>175</v>
      </c>
    </row>
    <row r="78" spans="1:18">
      <c r="A78" s="14">
        <v>67891</v>
      </c>
      <c r="B78" s="14" t="s">
        <v>15</v>
      </c>
      <c r="C78" s="14" t="s">
        <v>209</v>
      </c>
      <c r="D78" s="14" t="s">
        <v>2519</v>
      </c>
      <c r="E78" s="15" t="str">
        <f>HYPERLINK("https://stat100.ameba.jp/tnk47/ratio20/illustrations/card/ill_67891_misonikomiudon01.jpg?201810-1-RELEASE-raid-372xx", "■")</f>
        <v>■</v>
      </c>
      <c r="F78" s="14" t="s">
        <v>2520</v>
      </c>
      <c r="G78" s="14">
        <v>42546</v>
      </c>
      <c r="H78" s="14">
        <v>58758</v>
      </c>
      <c r="I78" s="14">
        <v>21</v>
      </c>
      <c r="J78" s="14" t="s">
        <v>104</v>
      </c>
      <c r="K78" s="14" t="s">
        <v>2521</v>
      </c>
      <c r="L78" s="14" t="s">
        <v>2119</v>
      </c>
      <c r="M78" s="14" t="s">
        <v>9158</v>
      </c>
      <c r="N78" s="14" t="s">
        <v>9158</v>
      </c>
      <c r="O78" s="14" t="s">
        <v>9158</v>
      </c>
      <c r="P78" s="14" t="s">
        <v>9158</v>
      </c>
      <c r="Q78" s="14" t="s">
        <v>9158</v>
      </c>
      <c r="R78" s="14" t="s">
        <v>176</v>
      </c>
    </row>
    <row r="79" spans="1:18">
      <c r="A79" s="14">
        <v>65595</v>
      </c>
      <c r="B79" s="14" t="s">
        <v>0</v>
      </c>
      <c r="C79" s="14" t="s">
        <v>202</v>
      </c>
      <c r="D79" s="14" t="s">
        <v>134</v>
      </c>
      <c r="E79" s="15" t="str">
        <f>HYPERLINK("https://stat100.ameba.jp/tnk47/ratio20/illustrations/card/ill_65595_oyamaiwao05.jpg?201810-1-RELEASE-raid-372xx", "■")</f>
        <v>■</v>
      </c>
      <c r="F79" s="14" t="s">
        <v>3848</v>
      </c>
      <c r="G79" s="14">
        <v>75039</v>
      </c>
      <c r="H79" s="14">
        <v>103652</v>
      </c>
      <c r="I79" s="14">
        <v>21</v>
      </c>
      <c r="J79" s="14" t="s">
        <v>10</v>
      </c>
      <c r="K79" s="14" t="s">
        <v>3849</v>
      </c>
      <c r="L79" s="14" t="s">
        <v>3851</v>
      </c>
      <c r="M79" s="14" t="s">
        <v>9158</v>
      </c>
      <c r="N79" s="14" t="s">
        <v>9158</v>
      </c>
      <c r="O79" s="14" t="s">
        <v>9158</v>
      </c>
      <c r="P79" s="14" t="s">
        <v>9158</v>
      </c>
      <c r="Q79" s="14" t="s">
        <v>9158</v>
      </c>
      <c r="R79" s="14" t="s">
        <v>174</v>
      </c>
    </row>
    <row r="80" spans="1:18">
      <c r="A80" s="14">
        <v>65593</v>
      </c>
      <c r="B80" s="14" t="s">
        <v>15</v>
      </c>
      <c r="C80" s="14" t="s">
        <v>41</v>
      </c>
      <c r="D80" s="14" t="s">
        <v>134</v>
      </c>
      <c r="E80" s="15" t="str">
        <f>HYPERLINK("https://stat100.ameba.jp/tnk47/ratio20/illustrations/card/ill_65593_oyamaiwao03.jpg?201810-1-RELEASE-raid-372xx", "■")</f>
        <v>■</v>
      </c>
      <c r="F80" s="14" t="s">
        <v>3848</v>
      </c>
      <c r="G80" s="14">
        <v>55283</v>
      </c>
      <c r="H80" s="14">
        <v>76361</v>
      </c>
      <c r="I80" s="14">
        <v>21</v>
      </c>
      <c r="J80" s="14" t="s">
        <v>10</v>
      </c>
      <c r="K80" s="14" t="s">
        <v>3849</v>
      </c>
      <c r="L80" s="14" t="s">
        <v>3852</v>
      </c>
      <c r="M80" s="14" t="s">
        <v>9158</v>
      </c>
      <c r="N80" s="14" t="s">
        <v>9158</v>
      </c>
      <c r="O80" s="14" t="s">
        <v>9158</v>
      </c>
      <c r="P80" s="14" t="s">
        <v>9158</v>
      </c>
      <c r="Q80" s="14" t="s">
        <v>9158</v>
      </c>
      <c r="R80" s="14" t="s">
        <v>175</v>
      </c>
    </row>
    <row r="81" spans="1:18">
      <c r="A81" s="14">
        <v>65591</v>
      </c>
      <c r="B81" s="14" t="s">
        <v>15</v>
      </c>
      <c r="C81" s="14" t="s">
        <v>41</v>
      </c>
      <c r="D81" s="14" t="s">
        <v>134</v>
      </c>
      <c r="E81" s="15" t="str">
        <f>HYPERLINK("https://stat100.ameba.jp/tnk47/ratio20/illustrations/card/ill_65591_oyamaiwao01.jpg?201810-1-RELEASE-raid-372xx", "■")</f>
        <v>■</v>
      </c>
      <c r="F81" s="14" t="s">
        <v>3848</v>
      </c>
      <c r="G81" s="14">
        <v>35154</v>
      </c>
      <c r="H81" s="14">
        <v>48573</v>
      </c>
      <c r="I81" s="14">
        <v>21</v>
      </c>
      <c r="J81" s="14" t="s">
        <v>10</v>
      </c>
      <c r="K81" s="14" t="s">
        <v>3849</v>
      </c>
      <c r="L81" s="14" t="s">
        <v>3683</v>
      </c>
      <c r="M81" s="14" t="s">
        <v>9158</v>
      </c>
      <c r="N81" s="14" t="s">
        <v>9158</v>
      </c>
      <c r="O81" s="14" t="s">
        <v>9158</v>
      </c>
      <c r="P81" s="14" t="s">
        <v>9158</v>
      </c>
      <c r="Q81" s="14" t="s">
        <v>9158</v>
      </c>
      <c r="R81" s="14" t="s">
        <v>176</v>
      </c>
    </row>
    <row r="82" spans="1:18">
      <c r="A82" s="14"/>
      <c r="B82" s="14"/>
      <c r="C82" s="14"/>
      <c r="D82" s="14"/>
      <c r="E82" s="14"/>
      <c r="F82" s="14"/>
      <c r="G82" s="14"/>
      <c r="H82" s="14"/>
      <c r="I82" s="14"/>
      <c r="J82" s="14"/>
      <c r="K82" s="14"/>
      <c r="L82" s="14"/>
      <c r="M82" s="14"/>
      <c r="N82" s="14"/>
      <c r="O82" s="7"/>
      <c r="P82" s="14"/>
      <c r="Q82" s="14"/>
      <c r="R82" s="14"/>
    </row>
    <row r="83" spans="1:18">
      <c r="A83" s="14" t="s">
        <v>135</v>
      </c>
      <c r="B83" s="14"/>
      <c r="C83" s="14"/>
      <c r="D83" s="14"/>
      <c r="E83" s="14"/>
      <c r="F83" s="14"/>
      <c r="G83" s="14"/>
      <c r="H83" s="14"/>
      <c r="I83" s="14"/>
      <c r="J83" s="14"/>
      <c r="K83" s="14"/>
      <c r="L83" s="14"/>
      <c r="M83" s="14"/>
      <c r="N83" s="14"/>
      <c r="O83" s="7"/>
      <c r="P83" s="14"/>
      <c r="Q83" s="14"/>
      <c r="R83" s="14"/>
    </row>
    <row r="84" spans="1:18">
      <c r="A84" s="14" t="s">
        <v>7118</v>
      </c>
      <c r="B84" s="14"/>
      <c r="C84" s="14"/>
      <c r="D84" s="14"/>
      <c r="E84" s="14"/>
      <c r="F84" s="14"/>
      <c r="G84" s="14"/>
      <c r="H84" s="14"/>
      <c r="I84" s="14"/>
      <c r="J84" s="14"/>
      <c r="K84" s="14"/>
      <c r="L84" s="14"/>
      <c r="M84" s="14"/>
      <c r="N84" s="14"/>
      <c r="O84" s="7"/>
      <c r="P84" s="14"/>
      <c r="Q84" s="14"/>
      <c r="R84" s="14"/>
    </row>
    <row r="85" spans="1:18">
      <c r="A85" s="14" t="s">
        <v>10150</v>
      </c>
      <c r="B85" s="14" t="s">
        <v>52</v>
      </c>
      <c r="C85" s="14" t="s">
        <v>23</v>
      </c>
      <c r="D85" s="14" t="s">
        <v>136</v>
      </c>
      <c r="E85" s="15" t="str">
        <f>HYPERLINK("https://stat100.ameba.jp/tnk47/ratio20/illustrations/card/ill_68033_0_kurisumasupateikandamyojin03.jpg?201810-1-RELEASE-raid-372xx", "■")</f>
        <v>■</v>
      </c>
      <c r="F85" s="14" t="s">
        <v>1871</v>
      </c>
      <c r="G85" s="14">
        <v>139878</v>
      </c>
      <c r="H85" s="14">
        <v>150466</v>
      </c>
      <c r="I85" s="14">
        <v>22</v>
      </c>
      <c r="J85" s="14" t="s">
        <v>44</v>
      </c>
      <c r="K85" s="14" t="s">
        <v>1872</v>
      </c>
      <c r="L85" s="14" t="s">
        <v>1873</v>
      </c>
      <c r="M85" s="14" t="s">
        <v>9158</v>
      </c>
      <c r="N85" s="14" t="s">
        <v>9158</v>
      </c>
      <c r="O85" s="7" t="s">
        <v>3482</v>
      </c>
      <c r="P85" s="14" t="s">
        <v>3483</v>
      </c>
      <c r="Q85" s="14">
        <v>2</v>
      </c>
      <c r="R85" s="14"/>
    </row>
    <row r="86" spans="1:18">
      <c r="A86" s="14">
        <v>69533</v>
      </c>
      <c r="B86" s="14" t="s">
        <v>0</v>
      </c>
      <c r="C86" s="14" t="s">
        <v>101</v>
      </c>
      <c r="D86" s="14" t="s">
        <v>137</v>
      </c>
      <c r="E86" s="15" t="str">
        <f>HYPERLINK("https://stat100.ameba.jp/tnk47/ratio20/illustrations/card/ill_69533_setsubunodainokata03.jpg?201810-1-RELEASE-raid-372xx", "■")</f>
        <v>■</v>
      </c>
      <c r="F86" s="14" t="s">
        <v>138</v>
      </c>
      <c r="G86" s="14">
        <v>78122</v>
      </c>
      <c r="H86" s="14">
        <v>72608</v>
      </c>
      <c r="I86" s="14">
        <v>20</v>
      </c>
      <c r="J86" s="14" t="s">
        <v>10</v>
      </c>
      <c r="K86" s="14" t="s">
        <v>139</v>
      </c>
      <c r="L86" s="14" t="s">
        <v>140</v>
      </c>
      <c r="M86" s="14" t="s">
        <v>9158</v>
      </c>
      <c r="N86" s="14" t="s">
        <v>9158</v>
      </c>
      <c r="O86" s="17" t="s">
        <v>10055</v>
      </c>
      <c r="P86" s="14" t="s">
        <v>13124</v>
      </c>
      <c r="Q86" s="14">
        <v>1</v>
      </c>
      <c r="R86" s="14"/>
    </row>
    <row r="87" spans="1:18">
      <c r="A87" s="14">
        <v>66353</v>
      </c>
      <c r="B87" s="14" t="s">
        <v>0</v>
      </c>
      <c r="C87" s="14" t="s">
        <v>41</v>
      </c>
      <c r="D87" s="14" t="s">
        <v>141</v>
      </c>
      <c r="E87" s="15" t="str">
        <f>HYPERLINK("https://stat100.ameba.jp/tnk47/ratio20/illustrations/card/ill_66353_kajiwaranyudotoan03.jpg?201810-1-RELEASE-raid-372xx", "■")</f>
        <v>■</v>
      </c>
      <c r="F87" s="14" t="s">
        <v>142</v>
      </c>
      <c r="G87" s="14">
        <v>133062</v>
      </c>
      <c r="H87" s="14">
        <v>96380</v>
      </c>
      <c r="I87" s="14">
        <v>20</v>
      </c>
      <c r="J87" s="14" t="s">
        <v>143</v>
      </c>
      <c r="K87" s="14" t="s">
        <v>144</v>
      </c>
      <c r="L87" s="14" t="s">
        <v>145</v>
      </c>
      <c r="M87" s="14" t="s">
        <v>9158</v>
      </c>
      <c r="N87" s="14" t="s">
        <v>9158</v>
      </c>
      <c r="O87" s="17" t="s">
        <v>10054</v>
      </c>
      <c r="P87" s="14" t="s">
        <v>3672</v>
      </c>
      <c r="Q87" s="14">
        <v>1</v>
      </c>
      <c r="R87" s="14"/>
    </row>
    <row r="88" spans="1:18">
      <c r="A88" s="14">
        <v>56613</v>
      </c>
      <c r="B88" s="14" t="s">
        <v>0</v>
      </c>
      <c r="C88" s="14" t="s">
        <v>150</v>
      </c>
      <c r="D88" s="14" t="s">
        <v>146</v>
      </c>
      <c r="E88" s="15" t="str">
        <f>HYPERLINK("https://stat100.ameba.jp/tnk47/ratio20/illustrations/card/ill_56613_genjushimasakon03.jpg?201810-1-RELEASE-raid-372xx", "■")</f>
        <v>■</v>
      </c>
      <c r="F88" s="14" t="s">
        <v>147</v>
      </c>
      <c r="G88" s="14">
        <v>118560</v>
      </c>
      <c r="H88" s="14">
        <v>71672</v>
      </c>
      <c r="I88" s="14">
        <v>20</v>
      </c>
      <c r="J88" s="14" t="s">
        <v>143</v>
      </c>
      <c r="K88" s="14" t="s">
        <v>148</v>
      </c>
      <c r="L88" s="14" t="s">
        <v>149</v>
      </c>
      <c r="M88" s="14" t="s">
        <v>9158</v>
      </c>
      <c r="N88" s="14" t="s">
        <v>9158</v>
      </c>
      <c r="O88" s="17" t="s">
        <v>10056</v>
      </c>
      <c r="P88" s="14" t="s">
        <v>3853</v>
      </c>
      <c r="Q88" s="14">
        <v>1</v>
      </c>
      <c r="R88" s="14"/>
    </row>
    <row r="89" spans="1:18">
      <c r="B89" s="14"/>
      <c r="C89" s="14"/>
      <c r="D89" s="14"/>
      <c r="F89" s="14"/>
      <c r="G89" s="14"/>
      <c r="H89" s="14"/>
      <c r="I89" s="14"/>
      <c r="J89" s="14"/>
      <c r="K89" s="14"/>
      <c r="L89" s="14"/>
      <c r="M89" s="14"/>
      <c r="N89" s="14"/>
      <c r="P89" s="14"/>
      <c r="Q89" s="14"/>
      <c r="R89" s="14"/>
    </row>
    <row r="90" spans="1:18">
      <c r="A90" s="14" t="s">
        <v>13326</v>
      </c>
      <c r="D90" s="14"/>
      <c r="F90" s="14"/>
      <c r="G90" s="14"/>
      <c r="H90" s="14"/>
      <c r="I90" s="14"/>
      <c r="J90" s="14"/>
      <c r="K90" s="14"/>
      <c r="L90" s="14"/>
      <c r="M90" s="14"/>
      <c r="N90" s="14"/>
      <c r="P90" s="14"/>
      <c r="Q90" s="14"/>
      <c r="R90" s="14"/>
    </row>
    <row r="91" spans="1:18">
      <c r="A91" s="14" t="s">
        <v>7115</v>
      </c>
      <c r="B91" s="14"/>
      <c r="C91" s="14"/>
      <c r="D91" s="14"/>
      <c r="F91" s="14"/>
      <c r="G91" s="14"/>
      <c r="H91" s="14"/>
      <c r="I91" s="14"/>
      <c r="J91" s="14"/>
      <c r="K91" s="14"/>
      <c r="L91" s="14"/>
      <c r="M91" s="14"/>
      <c r="N91" s="14"/>
      <c r="P91" s="14"/>
      <c r="Q91" s="14"/>
      <c r="R91" s="14"/>
    </row>
    <row r="92" spans="1:18">
      <c r="A92" s="9">
        <v>66113</v>
      </c>
      <c r="B92" s="14" t="s">
        <v>334</v>
      </c>
      <c r="C92" s="14" t="s">
        <v>185</v>
      </c>
      <c r="D92" s="14" t="s">
        <v>1292</v>
      </c>
      <c r="E92" s="15" t="str">
        <f>HYPERLINK("https://stat100.ameba.jp/tnk47/ratio20/illustrations/card/ill_66113_shirarikahime03.jpg?201810-1-RELEASE-raid-372xx", "■")</f>
        <v>■</v>
      </c>
      <c r="F92" s="14" t="s">
        <v>1293</v>
      </c>
      <c r="G92" s="14">
        <v>103384</v>
      </c>
      <c r="H92" s="14">
        <v>96121</v>
      </c>
      <c r="I92" s="14">
        <v>21</v>
      </c>
      <c r="J92" s="14" t="s">
        <v>274</v>
      </c>
      <c r="K92" s="14" t="s">
        <v>1304</v>
      </c>
      <c r="L92" s="2" t="s">
        <v>9908</v>
      </c>
      <c r="M92" s="14" t="s">
        <v>13151</v>
      </c>
      <c r="N92" s="14" t="s">
        <v>251</v>
      </c>
      <c r="O92" s="14" t="s">
        <v>9158</v>
      </c>
      <c r="P92" s="14" t="s">
        <v>9158</v>
      </c>
      <c r="Q92" s="14" t="s">
        <v>9158</v>
      </c>
      <c r="R92" s="14" t="s">
        <v>14858</v>
      </c>
    </row>
    <row r="93" spans="1:18">
      <c r="A93" s="9">
        <v>66112</v>
      </c>
      <c r="B93" s="14" t="s">
        <v>334</v>
      </c>
      <c r="C93" s="14" t="s">
        <v>185</v>
      </c>
      <c r="D93" s="14" t="s">
        <v>1292</v>
      </c>
      <c r="E93" s="15" t="str">
        <f>HYPERLINK("https://stat100.ameba.jp/tnk47/ratio20/illustrations/card/ill_66112_shirarikahime02.jpg?201810-1-RELEASE-raid-372xx", "■")</f>
        <v>■</v>
      </c>
      <c r="F93" s="14" t="s">
        <v>1293</v>
      </c>
      <c r="G93" s="14">
        <v>86423</v>
      </c>
      <c r="H93" s="14">
        <v>79610</v>
      </c>
      <c r="I93" s="14">
        <v>21</v>
      </c>
      <c r="J93" s="14" t="s">
        <v>274</v>
      </c>
      <c r="K93" s="14" t="s">
        <v>1304</v>
      </c>
      <c r="L93" s="2" t="s">
        <v>9908</v>
      </c>
      <c r="M93" s="14" t="s">
        <v>13156</v>
      </c>
      <c r="N93" s="14" t="s">
        <v>1310</v>
      </c>
      <c r="O93" s="14" t="s">
        <v>9158</v>
      </c>
      <c r="P93" s="14" t="s">
        <v>9158</v>
      </c>
      <c r="Q93" s="14" t="s">
        <v>9158</v>
      </c>
      <c r="R93" s="14" t="s">
        <v>14858</v>
      </c>
    </row>
    <row r="94" spans="1:18">
      <c r="A94" s="9">
        <v>66111</v>
      </c>
      <c r="B94" s="14" t="s">
        <v>334</v>
      </c>
      <c r="C94" s="14" t="s">
        <v>185</v>
      </c>
      <c r="D94" s="14" t="s">
        <v>1292</v>
      </c>
      <c r="E94" s="15" t="str">
        <f>HYPERLINK("https://stat100.ameba.jp/tnk47/ratio20/illustrations/card/ill_66111_shirarikahime01.jpg?201810-1-RELEASE-raid-372xx", "■")</f>
        <v>■</v>
      </c>
      <c r="F94" s="14" t="s">
        <v>1293</v>
      </c>
      <c r="G94" s="14">
        <v>65982</v>
      </c>
      <c r="H94" s="14">
        <v>61425</v>
      </c>
      <c r="I94" s="14">
        <v>21</v>
      </c>
      <c r="J94" s="14" t="s">
        <v>274</v>
      </c>
      <c r="K94" s="14" t="s">
        <v>1304</v>
      </c>
      <c r="L94" s="2" t="s">
        <v>9908</v>
      </c>
      <c r="M94" s="14" t="s">
        <v>13156</v>
      </c>
      <c r="N94" s="14" t="s">
        <v>1310</v>
      </c>
      <c r="O94" s="14" t="s">
        <v>9158</v>
      </c>
      <c r="P94" s="14" t="s">
        <v>9158</v>
      </c>
      <c r="Q94" s="14" t="s">
        <v>9158</v>
      </c>
      <c r="R94" s="14" t="s">
        <v>14858</v>
      </c>
    </row>
    <row r="95" spans="1:18">
      <c r="A95" s="9">
        <v>65383</v>
      </c>
      <c r="B95" s="14" t="s">
        <v>334</v>
      </c>
      <c r="C95" s="14" t="s">
        <v>200</v>
      </c>
      <c r="D95" s="14" t="s">
        <v>1294</v>
      </c>
      <c r="E95" s="15" t="str">
        <f>HYPERLINK("https://stat100.ameba.jp/tnk47/ratio20/illustrations/card/ill_65383_aogashimachan03.jpg?201810-1-RELEASE-raid-372xx", "■")</f>
        <v>■</v>
      </c>
      <c r="F95" s="14" t="s">
        <v>1295</v>
      </c>
      <c r="G95" s="14">
        <v>96121</v>
      </c>
      <c r="H95" s="14">
        <v>103384</v>
      </c>
      <c r="I95" s="14">
        <v>21</v>
      </c>
      <c r="J95" s="14" t="s">
        <v>369</v>
      </c>
      <c r="K95" s="14" t="s">
        <v>1305</v>
      </c>
      <c r="L95" s="2" t="s">
        <v>9909</v>
      </c>
      <c r="M95" s="14" t="s">
        <v>13151</v>
      </c>
      <c r="N95" s="14" t="s">
        <v>251</v>
      </c>
      <c r="O95" s="14" t="s">
        <v>9158</v>
      </c>
      <c r="P95" s="14" t="s">
        <v>9158</v>
      </c>
      <c r="Q95" s="14" t="s">
        <v>9158</v>
      </c>
      <c r="R95" s="14" t="s">
        <v>14858</v>
      </c>
    </row>
    <row r="96" spans="1:18">
      <c r="A96" s="9">
        <v>66123</v>
      </c>
      <c r="B96" s="14" t="s">
        <v>334</v>
      </c>
      <c r="C96" s="14" t="s">
        <v>191</v>
      </c>
      <c r="D96" s="14" t="s">
        <v>1296</v>
      </c>
      <c r="E96" s="15" t="str">
        <f>HYPERLINK("https://stat100.ameba.jp/tnk47/ratio20/illustrations/card/ill_66123_taikemmoninnohorikawa03.jpg?201810-1-RELEASE-raid-372xx", "■")</f>
        <v>■</v>
      </c>
      <c r="F96" s="14" t="s">
        <v>1297</v>
      </c>
      <c r="G96" s="14">
        <v>103384</v>
      </c>
      <c r="H96" s="14">
        <v>96121</v>
      </c>
      <c r="I96" s="14">
        <v>21</v>
      </c>
      <c r="J96" s="14" t="s">
        <v>414</v>
      </c>
      <c r="K96" s="14" t="s">
        <v>1306</v>
      </c>
      <c r="L96" s="2" t="s">
        <v>9910</v>
      </c>
      <c r="M96" s="14" t="s">
        <v>13151</v>
      </c>
      <c r="N96" s="14" t="s">
        <v>251</v>
      </c>
      <c r="O96" s="14" t="s">
        <v>9158</v>
      </c>
      <c r="P96" s="14" t="s">
        <v>9158</v>
      </c>
      <c r="Q96" s="14" t="s">
        <v>9158</v>
      </c>
      <c r="R96" s="14" t="s">
        <v>14858</v>
      </c>
    </row>
    <row r="97" spans="1:18">
      <c r="A97" s="9">
        <v>66133</v>
      </c>
      <c r="B97" s="14" t="s">
        <v>334</v>
      </c>
      <c r="C97" s="14" t="s">
        <v>165</v>
      </c>
      <c r="D97" s="14" t="s">
        <v>1298</v>
      </c>
      <c r="E97" s="15" t="str">
        <f>HYPERLINK("https://stat100.ameba.jp/tnk47/ratio20/illustrations/card/ill_66133_iinaosuke03.jpg?201810-1-RELEASE-raid-372xx", "■")</f>
        <v>■</v>
      </c>
      <c r="F97" s="14" t="s">
        <v>1299</v>
      </c>
      <c r="G97" s="14">
        <v>96121</v>
      </c>
      <c r="H97" s="14">
        <v>103384</v>
      </c>
      <c r="I97" s="14">
        <v>21</v>
      </c>
      <c r="J97" s="14" t="s">
        <v>351</v>
      </c>
      <c r="K97" s="14" t="s">
        <v>1307</v>
      </c>
      <c r="L97" s="2" t="s">
        <v>9911</v>
      </c>
      <c r="M97" s="14" t="s">
        <v>13151</v>
      </c>
      <c r="N97" s="14" t="s">
        <v>251</v>
      </c>
      <c r="O97" s="14" t="s">
        <v>9158</v>
      </c>
      <c r="P97" s="14" t="s">
        <v>9158</v>
      </c>
      <c r="Q97" s="14" t="s">
        <v>9158</v>
      </c>
      <c r="R97" s="14" t="s">
        <v>14858</v>
      </c>
    </row>
    <row r="98" spans="1:18">
      <c r="A98" s="9">
        <v>65393</v>
      </c>
      <c r="B98" s="14" t="s">
        <v>334</v>
      </c>
      <c r="C98" s="14" t="s">
        <v>205</v>
      </c>
      <c r="D98" s="14" t="s">
        <v>1300</v>
      </c>
      <c r="E98" s="15" t="str">
        <f>HYPERLINK("https://stat100.ameba.jp/tnk47/ratio20/illustrations/card/ill_65393_motochikafujin03.jpg?201810-1-RELEASE-raid-372xx", "■")</f>
        <v>■</v>
      </c>
      <c r="F98" s="14" t="s">
        <v>1301</v>
      </c>
      <c r="G98" s="14">
        <v>96121</v>
      </c>
      <c r="H98" s="14">
        <v>103384</v>
      </c>
      <c r="I98" s="14">
        <v>21</v>
      </c>
      <c r="J98" s="14" t="s">
        <v>315</v>
      </c>
      <c r="K98" s="14" t="s">
        <v>1308</v>
      </c>
      <c r="L98" s="2" t="s">
        <v>9912</v>
      </c>
      <c r="M98" s="14" t="s">
        <v>13151</v>
      </c>
      <c r="N98" s="14" t="s">
        <v>251</v>
      </c>
      <c r="O98" s="14" t="s">
        <v>9158</v>
      </c>
      <c r="P98" s="14" t="s">
        <v>9158</v>
      </c>
      <c r="Q98" s="14" t="s">
        <v>9158</v>
      </c>
      <c r="R98" s="14" t="s">
        <v>14858</v>
      </c>
    </row>
    <row r="99" spans="1:18">
      <c r="A99" s="9">
        <v>65403</v>
      </c>
      <c r="B99" s="14" t="s">
        <v>334</v>
      </c>
      <c r="C99" s="14" t="s">
        <v>206</v>
      </c>
      <c r="D99" s="14" t="s">
        <v>14857</v>
      </c>
      <c r="E99" s="15" t="str">
        <f>HYPERLINK("https://stat100.ameba.jp/tnk47/ratio20/illustrations/card/ill_65403_amenokoyanenomikoto03.jpg?201810-1-RELEASE-raid-372xx", "■")</f>
        <v>■</v>
      </c>
      <c r="F99" s="14" t="s">
        <v>1303</v>
      </c>
      <c r="G99" s="14">
        <v>103384</v>
      </c>
      <c r="H99" s="14">
        <v>96121</v>
      </c>
      <c r="I99" s="14">
        <v>21</v>
      </c>
      <c r="J99" s="14" t="s">
        <v>401</v>
      </c>
      <c r="K99" s="14" t="s">
        <v>1309</v>
      </c>
      <c r="L99" s="2" t="s">
        <v>9913</v>
      </c>
      <c r="M99" s="14" t="s">
        <v>13151</v>
      </c>
      <c r="N99" s="14" t="s">
        <v>251</v>
      </c>
      <c r="O99" s="14" t="s">
        <v>9158</v>
      </c>
      <c r="P99" s="14" t="s">
        <v>9158</v>
      </c>
      <c r="Q99" s="14" t="s">
        <v>9158</v>
      </c>
      <c r="R99" s="14" t="s">
        <v>14858</v>
      </c>
    </row>
    <row r="100" spans="1:18">
      <c r="A100" s="14"/>
      <c r="B100" s="14"/>
      <c r="C100" s="14"/>
      <c r="D100" s="14"/>
      <c r="E100" s="14"/>
      <c r="F100" s="14"/>
      <c r="G100" s="14"/>
      <c r="H100" s="14"/>
      <c r="I100" s="14"/>
      <c r="J100" s="14"/>
      <c r="K100" s="14"/>
      <c r="L100" s="14"/>
      <c r="M100" s="14"/>
      <c r="N100" s="14"/>
      <c r="O100" s="7"/>
      <c r="P100" s="14"/>
      <c r="Q100" s="14"/>
      <c r="R100" s="14"/>
    </row>
    <row r="101" spans="1:18">
      <c r="A101" s="14" t="s">
        <v>132</v>
      </c>
      <c r="B101" s="14"/>
      <c r="C101" s="14"/>
      <c r="D101" s="14"/>
      <c r="E101" s="14"/>
      <c r="F101" s="14"/>
      <c r="G101" s="14"/>
      <c r="H101" s="14"/>
      <c r="I101" s="14"/>
      <c r="J101" s="14"/>
      <c r="K101" s="14"/>
      <c r="L101" s="14"/>
      <c r="M101" s="14"/>
      <c r="N101" s="14"/>
      <c r="O101" s="7"/>
      <c r="P101" s="14"/>
      <c r="Q101" s="14"/>
      <c r="R101" s="14"/>
    </row>
    <row r="102" spans="1:18">
      <c r="A102" s="14" t="s">
        <v>12838</v>
      </c>
      <c r="B102" s="14"/>
      <c r="C102" s="14"/>
      <c r="D102" s="14"/>
      <c r="E102" s="14"/>
      <c r="F102" s="14"/>
      <c r="G102" s="14"/>
      <c r="H102" s="14"/>
      <c r="I102" s="14"/>
      <c r="J102" s="14"/>
      <c r="K102" s="14"/>
      <c r="L102" s="14"/>
      <c r="M102" s="14"/>
      <c r="N102" s="14"/>
      <c r="O102" s="7"/>
      <c r="P102" s="14"/>
      <c r="Q102" s="14"/>
      <c r="R102" s="14"/>
    </row>
    <row r="103" spans="1:18">
      <c r="A103" s="14">
        <v>73045</v>
      </c>
      <c r="B103" s="14" t="s">
        <v>334</v>
      </c>
      <c r="C103" s="14" t="s">
        <v>202</v>
      </c>
      <c r="D103" s="14" t="s">
        <v>1482</v>
      </c>
      <c r="E103" s="15" t="str">
        <f>HYPERLINK("https://stat100.ameba.jp/tnk47/ratio20/illustrations/card/ill_73045_takabaosamu05.jpg?201812-1-RELEASE-raid-372xx", "■")</f>
        <v>■</v>
      </c>
      <c r="F103" s="14" t="s">
        <v>1483</v>
      </c>
      <c r="G103" s="14">
        <v>107620</v>
      </c>
      <c r="H103" s="14">
        <v>77929</v>
      </c>
      <c r="I103" s="14">
        <v>21</v>
      </c>
      <c r="J103" s="14" t="s">
        <v>414</v>
      </c>
      <c r="K103" s="14" t="s">
        <v>1484</v>
      </c>
      <c r="L103" s="14" t="s">
        <v>1485</v>
      </c>
      <c r="M103" s="14" t="s">
        <v>9158</v>
      </c>
      <c r="N103" s="14" t="s">
        <v>9158</v>
      </c>
      <c r="O103" s="14" t="s">
        <v>9158</v>
      </c>
      <c r="P103" s="14" t="s">
        <v>9158</v>
      </c>
      <c r="Q103" s="14" t="s">
        <v>9158</v>
      </c>
      <c r="R103" s="14" t="s">
        <v>174</v>
      </c>
    </row>
    <row r="104" spans="1:18">
      <c r="A104" s="14">
        <v>73043</v>
      </c>
      <c r="B104" s="14" t="s">
        <v>348</v>
      </c>
      <c r="C104" s="14" t="s">
        <v>158</v>
      </c>
      <c r="D104" s="14" t="s">
        <v>1482</v>
      </c>
      <c r="E104" s="15" t="str">
        <f>HYPERLINK("https://stat100.ameba.jp/tnk47/ratio20/illustrations/card/ill_73043_takabaosamu03.jpg?201812-1-RELEASE-raid-372xx", "■")</f>
        <v>■</v>
      </c>
      <c r="F104" s="14" t="s">
        <v>1483</v>
      </c>
      <c r="G104" s="14">
        <v>79289</v>
      </c>
      <c r="H104" s="14">
        <v>57403</v>
      </c>
      <c r="I104" s="14">
        <v>21</v>
      </c>
      <c r="J104" s="14" t="s">
        <v>414</v>
      </c>
      <c r="K104" s="14" t="s">
        <v>1484</v>
      </c>
      <c r="L104" s="14" t="s">
        <v>1486</v>
      </c>
      <c r="M104" s="14" t="s">
        <v>9158</v>
      </c>
      <c r="N104" s="14" t="s">
        <v>9158</v>
      </c>
      <c r="O104" s="14" t="s">
        <v>9158</v>
      </c>
      <c r="P104" s="14" t="s">
        <v>9158</v>
      </c>
      <c r="Q104" s="14" t="s">
        <v>9158</v>
      </c>
      <c r="R104" s="14" t="s">
        <v>175</v>
      </c>
    </row>
    <row r="105" spans="1:18">
      <c r="A105" s="14">
        <v>73041</v>
      </c>
      <c r="B105" s="14" t="s">
        <v>348</v>
      </c>
      <c r="C105" s="14" t="s">
        <v>158</v>
      </c>
      <c r="D105" s="14" t="s">
        <v>1482</v>
      </c>
      <c r="E105" s="15" t="str">
        <f>HYPERLINK("https://stat100.ameba.jp/tnk47/ratio20/illustrations/card/ill_73041_takabaosamu01.jpg?201812-1-RELEASE-raid-372xx", "■")</f>
        <v>■</v>
      </c>
      <c r="F105" s="14" t="s">
        <v>1483</v>
      </c>
      <c r="G105" s="14">
        <v>50442</v>
      </c>
      <c r="H105" s="14">
        <v>36519</v>
      </c>
      <c r="I105" s="14">
        <v>21</v>
      </c>
      <c r="J105" s="14" t="s">
        <v>414</v>
      </c>
      <c r="K105" s="14" t="s">
        <v>1484</v>
      </c>
      <c r="L105" s="14" t="s">
        <v>1487</v>
      </c>
      <c r="M105" s="14" t="s">
        <v>9158</v>
      </c>
      <c r="N105" s="14" t="s">
        <v>9158</v>
      </c>
      <c r="O105" s="14" t="s">
        <v>9158</v>
      </c>
      <c r="P105" s="14" t="s">
        <v>9158</v>
      </c>
      <c r="Q105" s="14" t="s">
        <v>9158</v>
      </c>
      <c r="R105" s="14" t="s">
        <v>176</v>
      </c>
    </row>
    <row r="106" spans="1:18">
      <c r="A106" s="14">
        <v>68665</v>
      </c>
      <c r="B106" s="14" t="s">
        <v>334</v>
      </c>
      <c r="C106" s="14" t="s">
        <v>154</v>
      </c>
      <c r="D106" s="14" t="s">
        <v>3212</v>
      </c>
      <c r="E106" s="15" t="str">
        <f>HYPERLINK("https://stat100.ameba.jp/tnk47/ratio20/illustrations/card/ill_68665_matsushitaotome05.jpg?201812-1-RELEASE-raid-372xx", "■")</f>
        <v>■</v>
      </c>
      <c r="F106" s="14" t="s">
        <v>3213</v>
      </c>
      <c r="G106" s="14">
        <v>71481</v>
      </c>
      <c r="H106" s="14">
        <v>98728</v>
      </c>
      <c r="I106" s="14">
        <v>21</v>
      </c>
      <c r="J106" s="14" t="s">
        <v>315</v>
      </c>
      <c r="K106" s="14" t="s">
        <v>3214</v>
      </c>
      <c r="L106" s="14" t="s">
        <v>608</v>
      </c>
      <c r="M106" s="14" t="s">
        <v>9158</v>
      </c>
      <c r="N106" s="14" t="s">
        <v>9158</v>
      </c>
      <c r="O106" s="14" t="s">
        <v>9158</v>
      </c>
      <c r="P106" s="14" t="s">
        <v>9158</v>
      </c>
      <c r="Q106" s="14" t="s">
        <v>9158</v>
      </c>
      <c r="R106" s="14" t="s">
        <v>174</v>
      </c>
    </row>
    <row r="107" spans="1:18">
      <c r="A107" s="14">
        <v>68663</v>
      </c>
      <c r="B107" s="14" t="s">
        <v>348</v>
      </c>
      <c r="C107" s="14" t="s">
        <v>191</v>
      </c>
      <c r="D107" s="14" t="s">
        <v>3212</v>
      </c>
      <c r="E107" s="15" t="str">
        <f>HYPERLINK("https://stat100.ameba.jp/tnk47/ratio20/illustrations/card/ill_68663_matsushitaotome03.jpg?201812-1-RELEASE-raid-372xx", "■")</f>
        <v>■</v>
      </c>
      <c r="F107" s="14" t="s">
        <v>3213</v>
      </c>
      <c r="G107" s="14">
        <v>52663</v>
      </c>
      <c r="H107" s="14">
        <v>72733</v>
      </c>
      <c r="I107" s="14">
        <v>21</v>
      </c>
      <c r="J107" s="14" t="s">
        <v>315</v>
      </c>
      <c r="K107" s="14" t="s">
        <v>3214</v>
      </c>
      <c r="L107" s="14" t="s">
        <v>609</v>
      </c>
      <c r="M107" s="14" t="s">
        <v>9158</v>
      </c>
      <c r="N107" s="14" t="s">
        <v>9158</v>
      </c>
      <c r="O107" s="14" t="s">
        <v>9158</v>
      </c>
      <c r="P107" s="14" t="s">
        <v>9158</v>
      </c>
      <c r="Q107" s="14" t="s">
        <v>9158</v>
      </c>
      <c r="R107" s="14" t="s">
        <v>175</v>
      </c>
    </row>
    <row r="108" spans="1:18">
      <c r="A108" s="14">
        <v>68661</v>
      </c>
      <c r="B108" s="14" t="s">
        <v>348</v>
      </c>
      <c r="C108" s="14" t="s">
        <v>191</v>
      </c>
      <c r="D108" s="14" t="s">
        <v>3212</v>
      </c>
      <c r="E108" s="15" t="str">
        <f>HYPERLINK("https://stat100.ameba.jp/tnk47/ratio20/illustrations/card/ill_68661_matsushitaotome01.jpg?201812-1-RELEASE-raid-372xx", "■")</f>
        <v>■</v>
      </c>
      <c r="F108" s="14" t="s">
        <v>3213</v>
      </c>
      <c r="G108" s="14">
        <v>33495</v>
      </c>
      <c r="H108" s="14">
        <v>46263</v>
      </c>
      <c r="I108" s="14">
        <v>21</v>
      </c>
      <c r="J108" s="14" t="s">
        <v>315</v>
      </c>
      <c r="K108" s="14" t="s">
        <v>3214</v>
      </c>
      <c r="L108" s="14" t="s">
        <v>610</v>
      </c>
      <c r="M108" s="14" t="s">
        <v>9158</v>
      </c>
      <c r="N108" s="14" t="s">
        <v>9158</v>
      </c>
      <c r="O108" s="14" t="s">
        <v>9158</v>
      </c>
      <c r="P108" s="14" t="s">
        <v>9158</v>
      </c>
      <c r="Q108" s="14" t="s">
        <v>9158</v>
      </c>
      <c r="R108" s="14" t="s">
        <v>176</v>
      </c>
    </row>
    <row r="109" spans="1:18">
      <c r="A109" s="14">
        <v>58985</v>
      </c>
      <c r="B109" s="14" t="s">
        <v>334</v>
      </c>
      <c r="C109" s="14" t="s">
        <v>202</v>
      </c>
      <c r="D109" s="14" t="s">
        <v>151</v>
      </c>
      <c r="E109" s="15" t="str">
        <f>HYPERLINK("https://stat100.ameba.jp/tnk47/ratio20/illustrations/card/ill_58985_nanachanningyo05.jpg?201812-1-RELEASE-raid-372xx", "■")</f>
        <v>■</v>
      </c>
      <c r="F109" s="14" t="s">
        <v>1323</v>
      </c>
      <c r="G109" s="14">
        <v>115636</v>
      </c>
      <c r="H109" s="14">
        <v>83723</v>
      </c>
      <c r="I109" s="14">
        <v>21</v>
      </c>
      <c r="J109" s="14" t="s">
        <v>26</v>
      </c>
      <c r="K109" s="14" t="s">
        <v>1324</v>
      </c>
      <c r="L109" s="14" t="s">
        <v>1325</v>
      </c>
      <c r="M109" s="14" t="s">
        <v>9158</v>
      </c>
      <c r="N109" s="14" t="s">
        <v>9158</v>
      </c>
      <c r="O109" s="14" t="s">
        <v>9158</v>
      </c>
      <c r="P109" s="14" t="s">
        <v>9158</v>
      </c>
      <c r="Q109" s="14" t="s">
        <v>9158</v>
      </c>
      <c r="R109" s="14" t="s">
        <v>174</v>
      </c>
    </row>
    <row r="110" spans="1:18">
      <c r="A110" s="14">
        <v>58983</v>
      </c>
      <c r="B110" s="14" t="s">
        <v>15</v>
      </c>
      <c r="C110" s="14" t="s">
        <v>209</v>
      </c>
      <c r="D110" s="14" t="s">
        <v>151</v>
      </c>
      <c r="E110" s="15" t="str">
        <f>HYPERLINK("https://stat100.ameba.jp/tnk47/ratio20/illustrations/card/ill_58983_nanachanningyo03.jpg?201812-1-RELEASE-raid-372xx", "■")</f>
        <v>■</v>
      </c>
      <c r="F110" s="14" t="s">
        <v>1323</v>
      </c>
      <c r="G110" s="14">
        <v>83561</v>
      </c>
      <c r="H110" s="14">
        <v>60496</v>
      </c>
      <c r="I110" s="14">
        <v>21</v>
      </c>
      <c r="J110" s="14" t="s">
        <v>26</v>
      </c>
      <c r="K110" s="14" t="s">
        <v>1324</v>
      </c>
      <c r="L110" s="14" t="s">
        <v>1326</v>
      </c>
      <c r="M110" s="14" t="s">
        <v>9158</v>
      </c>
      <c r="N110" s="14" t="s">
        <v>9158</v>
      </c>
      <c r="O110" s="14" t="s">
        <v>9158</v>
      </c>
      <c r="P110" s="14" t="s">
        <v>9158</v>
      </c>
      <c r="Q110" s="14" t="s">
        <v>9158</v>
      </c>
      <c r="R110" s="14" t="s">
        <v>175</v>
      </c>
    </row>
    <row r="111" spans="1:18">
      <c r="A111" s="14">
        <v>58981</v>
      </c>
      <c r="B111" s="14" t="s">
        <v>15</v>
      </c>
      <c r="C111" s="14" t="s">
        <v>209</v>
      </c>
      <c r="D111" s="14" t="s">
        <v>151</v>
      </c>
      <c r="E111" s="15" t="str">
        <f>HYPERLINK("https://stat100.ameba.jp/tnk47/ratio20/illustrations/card/ill_58981_nanachanningyo01.jpg?201812-1-RELEASE-raid-372xx", "■")</f>
        <v>■</v>
      </c>
      <c r="F111" s="14" t="s">
        <v>1323</v>
      </c>
      <c r="G111" s="14">
        <v>48468</v>
      </c>
      <c r="H111" s="14">
        <v>35091</v>
      </c>
      <c r="I111" s="14">
        <v>21</v>
      </c>
      <c r="J111" s="14" t="s">
        <v>26</v>
      </c>
      <c r="K111" s="14" t="s">
        <v>1324</v>
      </c>
      <c r="L111" s="14" t="s">
        <v>1327</v>
      </c>
      <c r="M111" s="14" t="s">
        <v>9158</v>
      </c>
      <c r="N111" s="14" t="s">
        <v>9158</v>
      </c>
      <c r="O111" s="14" t="s">
        <v>9158</v>
      </c>
      <c r="P111" s="14" t="s">
        <v>9158</v>
      </c>
      <c r="Q111" s="14" t="s">
        <v>9158</v>
      </c>
      <c r="R111" s="14" t="s">
        <v>176</v>
      </c>
    </row>
    <row r="112" spans="1:18">
      <c r="A112" s="14"/>
      <c r="B112" s="14"/>
      <c r="C112" s="14"/>
      <c r="D112" s="14"/>
      <c r="E112" s="14"/>
      <c r="F112" s="14"/>
      <c r="G112" s="14"/>
      <c r="H112" s="14"/>
      <c r="I112" s="14"/>
      <c r="J112" s="14"/>
      <c r="K112" s="14"/>
      <c r="L112" s="14"/>
      <c r="M112" s="14"/>
      <c r="N112" s="14"/>
      <c r="O112" s="14"/>
      <c r="P112" s="14"/>
      <c r="Q112" s="14"/>
      <c r="R112" s="14"/>
    </row>
    <row r="113" spans="1:18">
      <c r="A113" s="14" t="s">
        <v>195</v>
      </c>
      <c r="B113" s="14"/>
      <c r="C113" s="14"/>
      <c r="D113" s="14"/>
      <c r="E113" s="14"/>
      <c r="F113" s="14"/>
      <c r="G113" s="14"/>
      <c r="H113" s="14"/>
      <c r="I113" s="14"/>
      <c r="J113" s="14"/>
      <c r="K113" s="14"/>
      <c r="L113" s="14"/>
      <c r="M113" s="14"/>
      <c r="N113" s="14"/>
      <c r="O113" s="14"/>
      <c r="P113" s="14"/>
      <c r="Q113" s="14"/>
      <c r="R113" s="14"/>
    </row>
    <row r="114" spans="1:18">
      <c r="A114" s="14" t="s">
        <v>12839</v>
      </c>
      <c r="B114" s="14"/>
      <c r="C114" s="14"/>
      <c r="D114" s="14"/>
      <c r="E114" s="14"/>
      <c r="F114" s="14"/>
      <c r="G114" s="14"/>
      <c r="H114" s="14"/>
      <c r="I114" s="14"/>
      <c r="J114" s="14"/>
      <c r="K114" s="14"/>
      <c r="L114" s="14"/>
      <c r="M114" s="14"/>
      <c r="N114" s="14"/>
      <c r="O114" s="14"/>
      <c r="P114" s="14"/>
      <c r="Q114" s="14"/>
      <c r="R114" s="14"/>
    </row>
    <row r="115" spans="1:18">
      <c r="A115" s="14">
        <v>71013</v>
      </c>
      <c r="B115" s="14" t="s">
        <v>0</v>
      </c>
      <c r="C115" s="14" t="s">
        <v>154</v>
      </c>
      <c r="D115" s="14" t="s">
        <v>156</v>
      </c>
      <c r="E115" s="15" t="str">
        <f>HYPERLINK("https://stat100.ameba.jp/tnk47/ratio20/illustrations/card/ill_71013_fujutsushisarashina03.jpg?201812-1-RELEASE-raid-372xx", "■")</f>
        <v>■</v>
      </c>
      <c r="F115" s="14" t="s">
        <v>157</v>
      </c>
      <c r="G115" s="14">
        <v>80204</v>
      </c>
      <c r="H115" s="14">
        <v>86260</v>
      </c>
      <c r="I115" s="14">
        <v>20</v>
      </c>
      <c r="J115" s="14" t="s">
        <v>155</v>
      </c>
      <c r="K115" s="14" t="s">
        <v>162</v>
      </c>
      <c r="L115" s="14" t="s">
        <v>13125</v>
      </c>
      <c r="M115" s="14" t="s">
        <v>9158</v>
      </c>
      <c r="N115" s="14" t="s">
        <v>9158</v>
      </c>
      <c r="O115" s="14" t="s">
        <v>9158</v>
      </c>
      <c r="P115" s="14" t="s">
        <v>9158</v>
      </c>
      <c r="Q115" s="14" t="s">
        <v>9158</v>
      </c>
      <c r="R115" s="14"/>
    </row>
    <row r="116" spans="1:18">
      <c r="A116" s="14">
        <v>71023</v>
      </c>
      <c r="B116" s="14" t="s">
        <v>0</v>
      </c>
      <c r="C116" s="14" t="s">
        <v>158</v>
      </c>
      <c r="D116" s="14" t="s">
        <v>160</v>
      </c>
      <c r="E116" s="15" t="str">
        <f>HYPERLINK("https://stat100.ameba.jp/tnk47/ratio20/illustrations/card/ill_71023_ommyojiiroha03.jpg?201812-1-RELEASE-raid-372xx", "■")</f>
        <v>■</v>
      </c>
      <c r="F116" s="14" t="s">
        <v>161</v>
      </c>
      <c r="G116" s="14">
        <v>80204</v>
      </c>
      <c r="H116" s="14">
        <v>86260</v>
      </c>
      <c r="I116" s="14">
        <v>20</v>
      </c>
      <c r="J116" s="14" t="s">
        <v>159</v>
      </c>
      <c r="K116" s="14" t="s">
        <v>163</v>
      </c>
      <c r="L116" s="14" t="s">
        <v>164</v>
      </c>
      <c r="M116" s="14" t="s">
        <v>9158</v>
      </c>
      <c r="N116" s="14" t="s">
        <v>9158</v>
      </c>
      <c r="O116" s="14" t="s">
        <v>9158</v>
      </c>
      <c r="P116" s="14" t="s">
        <v>9158</v>
      </c>
      <c r="Q116" s="14" t="s">
        <v>9158</v>
      </c>
      <c r="R116" s="14"/>
    </row>
    <row r="117" spans="1:18">
      <c r="A117" s="14">
        <v>46063</v>
      </c>
      <c r="B117" s="14" t="s">
        <v>0</v>
      </c>
      <c r="C117" s="14" t="s">
        <v>165</v>
      </c>
      <c r="D117" s="14" t="s">
        <v>166</v>
      </c>
      <c r="E117" s="15" t="str">
        <f>HYPERLINK("https://stat100.ameba.jp/tnk47/ratio20/illustrations/card/ill_46063_kongorikishizo03.jpg?201812-1-RELEASE-raid-372xx", "■")</f>
        <v>■</v>
      </c>
      <c r="F117" s="14" t="s">
        <v>167</v>
      </c>
      <c r="G117" s="14">
        <v>86776</v>
      </c>
      <c r="H117" s="14">
        <v>62384</v>
      </c>
      <c r="I117" s="14">
        <v>20</v>
      </c>
      <c r="J117" s="14" t="s">
        <v>169</v>
      </c>
      <c r="K117" s="14" t="s">
        <v>168</v>
      </c>
      <c r="L117" s="14" t="s">
        <v>13126</v>
      </c>
      <c r="M117" s="14" t="s">
        <v>9158</v>
      </c>
      <c r="N117" s="14" t="s">
        <v>9158</v>
      </c>
      <c r="O117" s="14" t="s">
        <v>9158</v>
      </c>
      <c r="P117" s="14" t="s">
        <v>9158</v>
      </c>
      <c r="Q117" s="14" t="s">
        <v>9158</v>
      </c>
      <c r="R117" s="14"/>
    </row>
    <row r="118" spans="1:18">
      <c r="A118" s="14">
        <v>30303</v>
      </c>
      <c r="B118" s="14" t="s">
        <v>0</v>
      </c>
      <c r="C118" s="14" t="s">
        <v>158</v>
      </c>
      <c r="D118" s="14" t="s">
        <v>170</v>
      </c>
      <c r="E118" s="15" t="str">
        <f>HYPERLINK("https://stat100.ameba.jp/tnk47/ratio20/illustrations/card/ill_30303_makaihimiko03.jpg?201812-1-RELEASE-raid-372xx", "■")</f>
        <v>■</v>
      </c>
      <c r="F118" s="14" t="s">
        <v>171</v>
      </c>
      <c r="G118" s="14">
        <v>77088</v>
      </c>
      <c r="H118" s="14">
        <v>71672</v>
      </c>
      <c r="I118" s="14">
        <v>20</v>
      </c>
      <c r="J118" s="14" t="s">
        <v>173</v>
      </c>
      <c r="K118" s="14" t="s">
        <v>172</v>
      </c>
      <c r="L118" s="14" t="s">
        <v>13127</v>
      </c>
      <c r="M118" s="14" t="s">
        <v>9158</v>
      </c>
      <c r="N118" s="14" t="s">
        <v>9158</v>
      </c>
      <c r="O118" s="14" t="s">
        <v>9158</v>
      </c>
      <c r="P118" s="14" t="s">
        <v>9158</v>
      </c>
      <c r="Q118" s="14" t="s">
        <v>9158</v>
      </c>
      <c r="R118" s="14"/>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095FA-5B97-4A08-9299-A5F3E6D5832D}">
  <dimension ref="A1:S562"/>
  <sheetViews>
    <sheetView zoomScale="55" zoomScaleNormal="55" workbookViewId="0">
      <pane ySplit="1" topLeftCell="A492" activePane="bottomLeft" state="frozen"/>
      <selection activeCell="A6" sqref="A6:Q6"/>
      <selection pane="bottomLeft" activeCell="D506" sqref="D506"/>
    </sheetView>
  </sheetViews>
  <sheetFormatPr defaultColWidth="8.9140625" defaultRowHeight="18"/>
  <cols>
    <col min="1" max="1" width="6.4140625" style="14" customWidth="1"/>
    <col min="2" max="2" width="3.9140625" style="1" customWidth="1"/>
    <col min="3" max="3" width="8.6640625" style="1" customWidth="1"/>
    <col min="4" max="4" width="25.9140625" style="1" customWidth="1"/>
    <col min="5" max="5" width="3.9140625" style="14" customWidth="1"/>
    <col min="6" max="6" width="8.9140625" style="1"/>
    <col min="7" max="8" width="7.08203125" style="1" customWidth="1"/>
    <col min="9" max="9" width="3.9140625" style="1" customWidth="1"/>
    <col min="10" max="10" width="5.4140625" style="1" customWidth="1"/>
    <col min="11" max="11" width="8.9140625" style="1"/>
    <col min="12" max="12" width="50.6640625" style="1" customWidth="1"/>
    <col min="13" max="16" width="8.9140625" style="1"/>
    <col min="17" max="17" width="3.9140625" style="1" customWidth="1"/>
    <col min="18" max="19" width="14.33203125" style="1" customWidth="1"/>
    <col min="20" max="16384" width="8.9140625" style="1"/>
  </cols>
  <sheetData>
    <row r="1" spans="1:19">
      <c r="A1" s="4" t="s">
        <v>5600</v>
      </c>
      <c r="B1" s="4"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s="14" customFormat="1">
      <c r="A3" s="1" t="s">
        <v>4839</v>
      </c>
      <c r="C3" s="1"/>
      <c r="D3" s="1"/>
      <c r="O3" s="9"/>
    </row>
    <row r="4" spans="1:19" s="14" customFormat="1">
      <c r="A4" s="14" t="s">
        <v>9428</v>
      </c>
      <c r="O4" s="9"/>
    </row>
    <row r="5" spans="1:19" s="14" customFormat="1">
      <c r="A5" s="14" t="s">
        <v>9429</v>
      </c>
      <c r="O5" s="9"/>
    </row>
    <row r="6" spans="1:19">
      <c r="A6" s="14" t="s">
        <v>9430</v>
      </c>
      <c r="B6" s="1" t="s">
        <v>330</v>
      </c>
      <c r="C6" s="1" t="s">
        <v>4833</v>
      </c>
      <c r="D6" s="19" t="s">
        <v>10168</v>
      </c>
      <c r="E6" s="15" t="str">
        <f>HYPERLINK("https://stat100.ameba.jp/tnk47/ratio20/illustrations/card/ill_81783_0_denshagarukoteipenginchan03.jpg?201906-1-RELEASE-raid-412xxx", "■")</f>
        <v>■</v>
      </c>
      <c r="F6" s="1" t="s">
        <v>4834</v>
      </c>
      <c r="G6" s="1">
        <v>325618</v>
      </c>
      <c r="H6" s="1">
        <v>294274</v>
      </c>
      <c r="I6" s="1">
        <v>28</v>
      </c>
      <c r="J6" s="1" t="s">
        <v>4835</v>
      </c>
      <c r="K6" s="1" t="s">
        <v>4836</v>
      </c>
      <c r="L6" s="1" t="s">
        <v>4837</v>
      </c>
      <c r="M6" s="14" t="s">
        <v>9158</v>
      </c>
      <c r="N6" s="14" t="s">
        <v>9158</v>
      </c>
      <c r="O6" s="6" t="s">
        <v>9993</v>
      </c>
      <c r="P6" s="1" t="s">
        <v>4838</v>
      </c>
      <c r="Q6" s="1">
        <v>1</v>
      </c>
    </row>
    <row r="7" spans="1:19">
      <c r="A7" s="14">
        <v>81723</v>
      </c>
      <c r="B7" s="1" t="s">
        <v>334</v>
      </c>
      <c r="C7" s="1" t="s">
        <v>4840</v>
      </c>
      <c r="D7" s="19" t="s">
        <v>10169</v>
      </c>
      <c r="E7" s="15" t="str">
        <f>HYPERLINK("https://stat100.ameba.jp/tnk47/ratio20/illustrations/card/ill_81723_denshagarusafuaia03.jpg?201906-1-RELEASE-raid-412xxx", "■")</f>
        <v>■</v>
      </c>
      <c r="F7" s="1" t="s">
        <v>4841</v>
      </c>
      <c r="G7" s="1">
        <v>90522</v>
      </c>
      <c r="H7" s="1">
        <v>97318</v>
      </c>
      <c r="I7" s="1">
        <v>24</v>
      </c>
      <c r="J7" s="1" t="s">
        <v>4842</v>
      </c>
      <c r="K7" s="1" t="s">
        <v>4843</v>
      </c>
      <c r="L7" s="1" t="s">
        <v>4844</v>
      </c>
      <c r="M7" s="1" t="s">
        <v>4845</v>
      </c>
      <c r="N7" s="1" t="s">
        <v>4846</v>
      </c>
      <c r="O7" s="9" t="s">
        <v>9158</v>
      </c>
      <c r="P7" s="14" t="s">
        <v>9158</v>
      </c>
      <c r="Q7" s="14" t="s">
        <v>9158</v>
      </c>
      <c r="R7" s="1" t="s">
        <v>13120</v>
      </c>
    </row>
    <row r="8" spans="1:19">
      <c r="A8" s="14">
        <v>81733</v>
      </c>
      <c r="B8" s="1" t="s">
        <v>334</v>
      </c>
      <c r="C8" s="1" t="s">
        <v>4847</v>
      </c>
      <c r="D8" s="19" t="s">
        <v>10170</v>
      </c>
      <c r="E8" s="15" t="str">
        <f>HYPERLINK("https://stat100.ameba.jp/tnk47/ratio20/illustrations/card/ill_81733_denshagaruzuwaiganichan03.jpg?201906-1-RELEASE-raid-412xxx", "■")</f>
        <v>■</v>
      </c>
      <c r="F8" s="1" t="s">
        <v>4848</v>
      </c>
      <c r="G8" s="1">
        <v>105394</v>
      </c>
      <c r="H8" s="1">
        <v>113340</v>
      </c>
      <c r="I8" s="1">
        <v>24</v>
      </c>
      <c r="J8" s="1" t="s">
        <v>4849</v>
      </c>
      <c r="K8" s="1" t="s">
        <v>4850</v>
      </c>
      <c r="L8" s="1" t="s">
        <v>4851</v>
      </c>
      <c r="M8" s="1" t="s">
        <v>4845</v>
      </c>
      <c r="N8" s="1" t="s">
        <v>4846</v>
      </c>
      <c r="O8" s="9" t="s">
        <v>9158</v>
      </c>
      <c r="P8" s="14" t="s">
        <v>9158</v>
      </c>
      <c r="Q8" s="14" t="s">
        <v>9158</v>
      </c>
      <c r="R8" s="1" t="s">
        <v>13120</v>
      </c>
    </row>
    <row r="9" spans="1:19">
      <c r="A9" s="14">
        <v>81743</v>
      </c>
      <c r="B9" s="1" t="s">
        <v>334</v>
      </c>
      <c r="C9" s="1" t="s">
        <v>4852</v>
      </c>
      <c r="D9" s="19" t="s">
        <v>10171</v>
      </c>
      <c r="E9" s="15" t="str">
        <f>HYPERLINK("https://stat100.ameba.jp/tnk47/ratio20/illustrations/card/ill_81743_denshagarusakyogabashinohebi03.jpg?201906-1-RELEASE-raid-412xxx", "■")</f>
        <v>■</v>
      </c>
      <c r="F9" s="1" t="s">
        <v>4853</v>
      </c>
      <c r="G9" s="1">
        <v>109528</v>
      </c>
      <c r="H9" s="1">
        <v>101656</v>
      </c>
      <c r="I9" s="1">
        <v>24</v>
      </c>
      <c r="J9" s="1" t="s">
        <v>4854</v>
      </c>
      <c r="K9" s="1" t="s">
        <v>4855</v>
      </c>
      <c r="L9" s="1" t="s">
        <v>4856</v>
      </c>
      <c r="M9" s="14" t="s">
        <v>9158</v>
      </c>
      <c r="N9" s="14" t="s">
        <v>9158</v>
      </c>
      <c r="O9" s="6" t="s">
        <v>10065</v>
      </c>
      <c r="P9" s="1" t="s">
        <v>4857</v>
      </c>
      <c r="Q9" s="1">
        <v>1</v>
      </c>
    </row>
    <row r="10" spans="1:19">
      <c r="A10" s="14">
        <v>81753</v>
      </c>
      <c r="B10" s="1" t="s">
        <v>348</v>
      </c>
      <c r="C10" s="1" t="s">
        <v>4858</v>
      </c>
      <c r="D10" s="19" t="s">
        <v>10172</v>
      </c>
      <c r="E10" s="15" t="str">
        <f>HYPERLINK("https://stat100.ameba.jp/tnk47/ratio20/illustrations/card/ill_81753_daiyamondofuji03.jpg?201906-1-RELEASE-raid-412xxx", "■")</f>
        <v>■</v>
      </c>
      <c r="F10" s="1" t="s">
        <v>4859</v>
      </c>
      <c r="G10" s="1">
        <v>68172</v>
      </c>
      <c r="H10" s="1">
        <v>61832</v>
      </c>
      <c r="I10" s="1">
        <v>23</v>
      </c>
      <c r="J10" s="1" t="s">
        <v>4860</v>
      </c>
      <c r="K10" s="1" t="s">
        <v>4861</v>
      </c>
      <c r="L10" s="1" t="s">
        <v>4862</v>
      </c>
      <c r="M10" s="14" t="s">
        <v>9158</v>
      </c>
      <c r="N10" s="14" t="s">
        <v>9158</v>
      </c>
      <c r="O10" s="9" t="s">
        <v>9158</v>
      </c>
      <c r="P10" s="14" t="s">
        <v>9158</v>
      </c>
      <c r="Q10" s="14" t="s">
        <v>9158</v>
      </c>
    </row>
    <row r="11" spans="1:19">
      <c r="A11" s="14">
        <v>81763</v>
      </c>
      <c r="B11" s="1" t="s">
        <v>348</v>
      </c>
      <c r="C11" s="1" t="s">
        <v>4863</v>
      </c>
      <c r="D11" s="19" t="s">
        <v>10173</v>
      </c>
      <c r="E11" s="15" t="str">
        <f>HYPERLINK("https://stat100.ameba.jp/tnk47/ratio20/illustrations/card/ill_81763_kinunumaonsentamamonomae03.jpg?201906-1-RELEASE-raid-412xxx", "■")</f>
        <v>■</v>
      </c>
      <c r="F11" s="1" t="s">
        <v>4864</v>
      </c>
      <c r="G11" s="1">
        <v>61832</v>
      </c>
      <c r="H11" s="1">
        <v>68172</v>
      </c>
      <c r="I11" s="1">
        <v>23</v>
      </c>
      <c r="J11" s="1" t="s">
        <v>4865</v>
      </c>
      <c r="K11" s="1" t="s">
        <v>4866</v>
      </c>
      <c r="L11" s="1" t="s">
        <v>4867</v>
      </c>
      <c r="M11" s="14" t="s">
        <v>9158</v>
      </c>
      <c r="N11" s="14" t="s">
        <v>9158</v>
      </c>
      <c r="O11" s="9" t="s">
        <v>9158</v>
      </c>
      <c r="P11" s="14" t="s">
        <v>9158</v>
      </c>
      <c r="Q11" s="14" t="s">
        <v>9158</v>
      </c>
    </row>
    <row r="12" spans="1:19">
      <c r="A12" s="14">
        <v>81773</v>
      </c>
      <c r="B12" s="1" t="s">
        <v>348</v>
      </c>
      <c r="C12" s="1" t="s">
        <v>4868</v>
      </c>
      <c r="D12" s="19" t="s">
        <v>10174</v>
      </c>
      <c r="E12" s="15" t="str">
        <f>HYPERLINK("https://stat100.ameba.jp/tnk47/ratio20/illustrations/card/ill_81773_zenhanshiromatsurihorioyoshiharu03.jpg?201906-1-RELEASE-raid-412xxx", "■")</f>
        <v>■</v>
      </c>
      <c r="F12" s="1" t="s">
        <v>4869</v>
      </c>
      <c r="G12" s="1">
        <v>68172</v>
      </c>
      <c r="H12" s="1">
        <v>61832</v>
      </c>
      <c r="I12" s="1">
        <v>23</v>
      </c>
      <c r="J12" s="1" t="s">
        <v>4870</v>
      </c>
      <c r="K12" s="1" t="s">
        <v>4871</v>
      </c>
      <c r="L12" s="1" t="s">
        <v>4872</v>
      </c>
      <c r="M12" s="14" t="s">
        <v>9158</v>
      </c>
      <c r="N12" s="14" t="s">
        <v>9158</v>
      </c>
      <c r="O12" s="9" t="s">
        <v>9158</v>
      </c>
      <c r="P12" s="14" t="s">
        <v>9158</v>
      </c>
      <c r="Q12" s="14" t="s">
        <v>9158</v>
      </c>
    </row>
    <row r="13" spans="1:19">
      <c r="A13" s="14">
        <v>81793</v>
      </c>
      <c r="B13" s="1" t="s">
        <v>362</v>
      </c>
      <c r="C13" s="1" t="s">
        <v>4863</v>
      </c>
      <c r="D13" s="19" t="s">
        <v>10175</v>
      </c>
      <c r="E13" s="15" t="str">
        <f>HYPERLINK("https://stat100.ameba.jp/tnk47/ratio20/illustrations/card/ill_81793_choshoin03.jpg?201906-1-RELEASE-raid-412xxx", "■")</f>
        <v>■</v>
      </c>
      <c r="F13" s="1" t="s">
        <v>4873</v>
      </c>
      <c r="G13" s="1">
        <v>38032</v>
      </c>
      <c r="H13" s="1">
        <v>45742</v>
      </c>
      <c r="I13" s="1">
        <v>22</v>
      </c>
      <c r="J13" s="1" t="s">
        <v>4874</v>
      </c>
      <c r="K13" s="1" t="s">
        <v>4875</v>
      </c>
      <c r="L13" s="1" t="s">
        <v>4876</v>
      </c>
      <c r="M13" s="14" t="s">
        <v>9158</v>
      </c>
      <c r="N13" s="14" t="s">
        <v>9158</v>
      </c>
      <c r="O13" s="9" t="s">
        <v>9158</v>
      </c>
      <c r="P13" s="14" t="s">
        <v>9158</v>
      </c>
      <c r="Q13" s="14" t="s">
        <v>9158</v>
      </c>
    </row>
    <row r="14" spans="1:19">
      <c r="A14" s="14">
        <v>81803</v>
      </c>
      <c r="B14" s="1" t="s">
        <v>362</v>
      </c>
      <c r="C14" s="1" t="s">
        <v>4852</v>
      </c>
      <c r="D14" s="19" t="s">
        <v>10176</v>
      </c>
      <c r="E14" s="15" t="str">
        <f>HYPERLINK("https://stat100.ameba.jp/tnk47/ratio20/illustrations/card/ill_81803_ourakei03.jpg?201906-1-RELEASE-raid-412xxx", "■")</f>
        <v>■</v>
      </c>
      <c r="F14" s="1" t="s">
        <v>4877</v>
      </c>
      <c r="G14" s="1">
        <v>45742</v>
      </c>
      <c r="H14" s="1">
        <v>38032</v>
      </c>
      <c r="I14" s="1">
        <v>22</v>
      </c>
      <c r="J14" s="1" t="s">
        <v>4878</v>
      </c>
      <c r="K14" s="1" t="s">
        <v>4879</v>
      </c>
      <c r="L14" s="1" t="s">
        <v>4880</v>
      </c>
      <c r="M14" s="14" t="s">
        <v>9158</v>
      </c>
      <c r="N14" s="14" t="s">
        <v>9158</v>
      </c>
      <c r="O14" s="9" t="s">
        <v>9158</v>
      </c>
      <c r="P14" s="14" t="s">
        <v>9158</v>
      </c>
      <c r="Q14" s="14" t="s">
        <v>9158</v>
      </c>
    </row>
    <row r="15" spans="1:19">
      <c r="A15" s="14">
        <v>81813</v>
      </c>
      <c r="B15" s="1" t="s">
        <v>372</v>
      </c>
      <c r="C15" s="1" t="s">
        <v>4881</v>
      </c>
      <c r="D15" s="19" t="s">
        <v>10177</v>
      </c>
      <c r="E15" s="15" t="str">
        <f>HYPERLINK("https://stat100.ameba.jp/tnk47/ratio20/illustrations/card/ill_81813_aidorusanukiudonchan03.jpg?201906-1-RELEASE-raid-412xxx", "■")</f>
        <v>■</v>
      </c>
      <c r="F15" s="1" t="s">
        <v>4882</v>
      </c>
      <c r="G15" s="1">
        <v>23258</v>
      </c>
      <c r="H15" s="1">
        <v>27692</v>
      </c>
      <c r="I15" s="1">
        <v>22</v>
      </c>
      <c r="J15" s="1" t="s">
        <v>4849</v>
      </c>
      <c r="K15" s="1" t="s">
        <v>4883</v>
      </c>
      <c r="L15" s="1" t="s">
        <v>4887</v>
      </c>
      <c r="M15" s="14" t="s">
        <v>9158</v>
      </c>
      <c r="N15" s="14" t="s">
        <v>9158</v>
      </c>
      <c r="O15" s="9" t="s">
        <v>9158</v>
      </c>
      <c r="P15" s="14" t="s">
        <v>9158</v>
      </c>
      <c r="Q15" s="14" t="s">
        <v>9158</v>
      </c>
    </row>
    <row r="16" spans="1:19">
      <c r="A16" s="14">
        <v>81823</v>
      </c>
      <c r="B16" s="1" t="s">
        <v>372</v>
      </c>
      <c r="C16" s="1" t="s">
        <v>4884</v>
      </c>
      <c r="D16" s="19" t="s">
        <v>10178</v>
      </c>
      <c r="E16" s="15" t="str">
        <f>HYPERLINK("https://stat100.ameba.jp/tnk47/ratio20/illustrations/card/ill_81823_kihachidensetsu03.jpg?201906-1-RELEASE-raid-412xxx", "■")</f>
        <v>■</v>
      </c>
      <c r="F16" s="1" t="s">
        <v>4885</v>
      </c>
      <c r="G16" s="1">
        <v>27692</v>
      </c>
      <c r="H16" s="1">
        <v>23258</v>
      </c>
      <c r="I16" s="1">
        <v>22</v>
      </c>
      <c r="J16" s="1" t="s">
        <v>4854</v>
      </c>
      <c r="K16" s="1" t="s">
        <v>4886</v>
      </c>
      <c r="L16" s="1" t="s">
        <v>4888</v>
      </c>
      <c r="M16" s="14" t="s">
        <v>9158</v>
      </c>
      <c r="N16" s="14" t="s">
        <v>9158</v>
      </c>
      <c r="O16" s="9" t="s">
        <v>9158</v>
      </c>
      <c r="P16" s="14" t="s">
        <v>9158</v>
      </c>
      <c r="Q16" s="14" t="s">
        <v>9158</v>
      </c>
    </row>
    <row r="17" spans="1:18">
      <c r="O17" s="7"/>
    </row>
    <row r="18" spans="1:18">
      <c r="A18" s="1" t="s">
        <v>13353</v>
      </c>
      <c r="O18" s="7"/>
    </row>
    <row r="19" spans="1:18" s="14" customFormat="1">
      <c r="A19" s="1" t="s">
        <v>4889</v>
      </c>
      <c r="O19" s="9"/>
    </row>
    <row r="20" spans="1:18">
      <c r="A20" s="14">
        <v>81875</v>
      </c>
      <c r="B20" s="1" t="s">
        <v>4890</v>
      </c>
      <c r="C20" s="1" t="s">
        <v>4892</v>
      </c>
      <c r="D20" s="19" t="s">
        <v>10179</v>
      </c>
      <c r="E20" s="15" t="str">
        <f>HYPERLINK("https://stat100.ameba.jp/tnk47/ratio20/illustrations/card/ill_81875_jumburaidohanimotoko05.jpg?201906-1-RELEASE-raid-412xxx", "■")</f>
        <v>■</v>
      </c>
      <c r="F20" s="1" t="s">
        <v>4898</v>
      </c>
      <c r="G20" s="1">
        <v>112277</v>
      </c>
      <c r="H20" s="1">
        <v>81293</v>
      </c>
      <c r="I20" s="1">
        <v>23</v>
      </c>
      <c r="J20" s="1" t="s">
        <v>4899</v>
      </c>
      <c r="K20" s="1" t="s">
        <v>4900</v>
      </c>
      <c r="L20" s="1" t="s">
        <v>4901</v>
      </c>
      <c r="M20" s="14" t="s">
        <v>9158</v>
      </c>
      <c r="N20" s="14" t="s">
        <v>9158</v>
      </c>
      <c r="O20" s="9" t="s">
        <v>9158</v>
      </c>
      <c r="P20" s="14" t="s">
        <v>9158</v>
      </c>
      <c r="Q20" s="14" t="s">
        <v>9158</v>
      </c>
      <c r="R20" s="1" t="s">
        <v>4895</v>
      </c>
    </row>
    <row r="21" spans="1:18">
      <c r="A21" s="14">
        <v>81873</v>
      </c>
      <c r="B21" s="1" t="s">
        <v>4891</v>
      </c>
      <c r="C21" s="1" t="s">
        <v>4893</v>
      </c>
      <c r="D21" s="19" t="s">
        <v>10179</v>
      </c>
      <c r="E21" s="15" t="str">
        <f>HYPERLINK("https://stat100.ameba.jp/tnk47/ratio20/illustrations/card/ill_81873_jumburaidohanimotoko03.jpg?201906-1-RELEASE-raid-412xxx", "■")</f>
        <v>■</v>
      </c>
      <c r="F21" s="1" t="s">
        <v>4898</v>
      </c>
      <c r="G21" s="1">
        <v>82724</v>
      </c>
      <c r="H21" s="1">
        <v>59889</v>
      </c>
      <c r="I21" s="1">
        <v>23</v>
      </c>
      <c r="J21" s="1" t="s">
        <v>4899</v>
      </c>
      <c r="K21" s="1" t="s">
        <v>4900</v>
      </c>
      <c r="L21" s="1" t="s">
        <v>4902</v>
      </c>
      <c r="M21" s="14" t="s">
        <v>9158</v>
      </c>
      <c r="N21" s="14" t="s">
        <v>9158</v>
      </c>
      <c r="O21" s="9" t="s">
        <v>9158</v>
      </c>
      <c r="P21" s="14" t="s">
        <v>9158</v>
      </c>
      <c r="Q21" s="14" t="s">
        <v>9158</v>
      </c>
      <c r="R21" s="1" t="s">
        <v>4896</v>
      </c>
    </row>
    <row r="22" spans="1:18">
      <c r="A22" s="14">
        <v>81871</v>
      </c>
      <c r="B22" s="1" t="s">
        <v>4891</v>
      </c>
      <c r="C22" s="1" t="s">
        <v>4894</v>
      </c>
      <c r="D22" s="19" t="s">
        <v>10179</v>
      </c>
      <c r="E22" s="15" t="str">
        <f>HYPERLINK("https://stat100.ameba.jp/tnk47/ratio20/illustrations/card/ill_81871_jumburaidohanimotoko01.jpg?201906-1-RELEASE-raid-412xxx", "■")</f>
        <v>■</v>
      </c>
      <c r="F22" s="1" t="s">
        <v>4898</v>
      </c>
      <c r="G22" s="1">
        <v>52624</v>
      </c>
      <c r="H22" s="1">
        <v>38111</v>
      </c>
      <c r="I22" s="1">
        <v>23</v>
      </c>
      <c r="J22" s="1" t="s">
        <v>4899</v>
      </c>
      <c r="K22" s="1" t="s">
        <v>4900</v>
      </c>
      <c r="L22" s="1" t="s">
        <v>4903</v>
      </c>
      <c r="M22" s="14" t="s">
        <v>9158</v>
      </c>
      <c r="N22" s="14" t="s">
        <v>9158</v>
      </c>
      <c r="O22" s="9" t="s">
        <v>9158</v>
      </c>
      <c r="P22" s="14" t="s">
        <v>9158</v>
      </c>
      <c r="Q22" s="14" t="s">
        <v>9158</v>
      </c>
      <c r="R22" s="1" t="s">
        <v>4897</v>
      </c>
    </row>
    <row r="23" spans="1:18">
      <c r="O23" s="7"/>
    </row>
    <row r="24" spans="1:18">
      <c r="A24" s="1" t="s">
        <v>4904</v>
      </c>
      <c r="O24" s="7"/>
    </row>
    <row r="25" spans="1:18" s="14" customFormat="1">
      <c r="A25" s="1" t="s">
        <v>4905</v>
      </c>
      <c r="O25" s="9"/>
    </row>
    <row r="26" spans="1:18">
      <c r="A26" s="14" t="s">
        <v>9431</v>
      </c>
      <c r="B26" s="1" t="s">
        <v>330</v>
      </c>
      <c r="C26" s="1" t="s">
        <v>191</v>
      </c>
      <c r="D26" s="19" t="s">
        <v>306</v>
      </c>
      <c r="E26" s="15" t="str">
        <f>HYPERLINK("https://stat100.ameba.jp/tnk47/ratio20/illustrations/card/ill_71403_0_ohanamisanadayukimura03.jpg?201906-1-RELEASE-raid-412xxx", "■")</f>
        <v>■</v>
      </c>
      <c r="F26" s="1" t="s">
        <v>309</v>
      </c>
      <c r="G26" s="1">
        <v>140016</v>
      </c>
      <c r="H26" s="1">
        <v>130194</v>
      </c>
      <c r="I26" s="1">
        <v>15</v>
      </c>
      <c r="J26" s="1" t="s">
        <v>310</v>
      </c>
      <c r="K26" s="1" t="s">
        <v>311</v>
      </c>
      <c r="L26" s="1" t="s">
        <v>312</v>
      </c>
      <c r="M26" s="14" t="s">
        <v>9158</v>
      </c>
      <c r="N26" s="14" t="s">
        <v>9158</v>
      </c>
      <c r="O26" s="6" t="s">
        <v>10060</v>
      </c>
      <c r="P26" s="1" t="s">
        <v>3418</v>
      </c>
      <c r="Q26" s="1">
        <v>2</v>
      </c>
    </row>
    <row r="27" spans="1:18">
      <c r="A27" s="14" t="s">
        <v>9432</v>
      </c>
      <c r="B27" s="1" t="s">
        <v>330</v>
      </c>
      <c r="C27" s="1" t="s">
        <v>200</v>
      </c>
      <c r="D27" s="19" t="s">
        <v>389</v>
      </c>
      <c r="E27" s="15" t="str">
        <f>HYPERLINK("https://stat100.ameba.jp/tnk47/ratio20/illustrations/card/ill_53753_0_natsumatsuritokugawaieyasu03.jpg?201906-1-RELEASE-raid-412xxx", "■")</f>
        <v>■</v>
      </c>
      <c r="F27" s="1" t="s">
        <v>902</v>
      </c>
      <c r="G27" s="1">
        <v>94236</v>
      </c>
      <c r="H27" s="1">
        <v>83712</v>
      </c>
      <c r="I27" s="1">
        <v>15</v>
      </c>
      <c r="J27" s="1" t="s">
        <v>143</v>
      </c>
      <c r="K27" s="1" t="s">
        <v>903</v>
      </c>
      <c r="L27" s="1" t="s">
        <v>904</v>
      </c>
      <c r="M27" s="14" t="s">
        <v>9158</v>
      </c>
      <c r="N27" s="14" t="s">
        <v>9158</v>
      </c>
      <c r="O27" s="6" t="s">
        <v>10052</v>
      </c>
      <c r="P27" s="1" t="s">
        <v>13121</v>
      </c>
      <c r="Q27" s="1">
        <v>1</v>
      </c>
    </row>
    <row r="28" spans="1:18">
      <c r="A28" s="14" t="s">
        <v>9433</v>
      </c>
      <c r="B28" s="1" t="s">
        <v>52</v>
      </c>
      <c r="C28" s="1" t="s">
        <v>96</v>
      </c>
      <c r="D28" s="19" t="s">
        <v>634</v>
      </c>
      <c r="E28" s="15" t="str">
        <f>HYPERLINK("https://stat100.ameba.jp/tnk47/ratio20/illustrations/card/ill_40963_0_makami03.jpg?201906-1-RELEASE-raid-412xxx", "■")</f>
        <v>■</v>
      </c>
      <c r="F28" s="1" t="s">
        <v>2038</v>
      </c>
      <c r="G28" s="1">
        <v>87780</v>
      </c>
      <c r="H28" s="1">
        <v>82212</v>
      </c>
      <c r="I28" s="1">
        <v>15</v>
      </c>
      <c r="J28" s="1" t="s">
        <v>44</v>
      </c>
      <c r="K28" s="1" t="s">
        <v>2039</v>
      </c>
      <c r="L28" s="1" t="s">
        <v>2040</v>
      </c>
      <c r="M28" s="14" t="s">
        <v>9158</v>
      </c>
      <c r="N28" s="14" t="s">
        <v>9158</v>
      </c>
      <c r="O28" s="9" t="s">
        <v>9158</v>
      </c>
      <c r="P28" s="14" t="s">
        <v>9158</v>
      </c>
      <c r="Q28" s="14" t="s">
        <v>9158</v>
      </c>
    </row>
    <row r="29" spans="1:18">
      <c r="A29" s="14">
        <v>71753</v>
      </c>
      <c r="B29" s="1" t="s">
        <v>0</v>
      </c>
      <c r="C29" s="1" t="s">
        <v>205</v>
      </c>
      <c r="D29" s="19" t="s">
        <v>10180</v>
      </c>
      <c r="E29" s="15" t="str">
        <f>HYPERLINK("https://stat100.ameba.jp/tnk47/ratio20/illustrations/card/ill_71753_kozaiyoshikiyo03.jpg?201906-1-RELEASE-raid-412xxx", "■")</f>
        <v>■</v>
      </c>
      <c r="F29" s="1" t="s">
        <v>3617</v>
      </c>
      <c r="G29" s="1">
        <v>110924</v>
      </c>
      <c r="H29" s="1">
        <v>62414</v>
      </c>
      <c r="I29" s="1">
        <v>23</v>
      </c>
      <c r="J29" s="1" t="s">
        <v>143</v>
      </c>
      <c r="K29" s="1" t="s">
        <v>3618</v>
      </c>
      <c r="L29" s="1" t="s">
        <v>912</v>
      </c>
      <c r="M29" s="14" t="s">
        <v>9158</v>
      </c>
      <c r="N29" s="14" t="s">
        <v>9158</v>
      </c>
      <c r="O29" s="9" t="s">
        <v>9158</v>
      </c>
      <c r="P29" s="14" t="s">
        <v>9158</v>
      </c>
      <c r="Q29" s="14" t="s">
        <v>9158</v>
      </c>
    </row>
    <row r="30" spans="1:18">
      <c r="A30" s="14">
        <v>56083</v>
      </c>
      <c r="B30" s="1" t="s">
        <v>334</v>
      </c>
      <c r="C30" s="1" t="s">
        <v>200</v>
      </c>
      <c r="D30" s="19" t="s">
        <v>4047</v>
      </c>
      <c r="E30" s="15" t="str">
        <f>HYPERLINK("https://stat100.ameba.jp/tnk47/ratio20/illustrations/card/ill_56083_tanakashozo03.jpg?201906-1-RELEASE-raid-412xxx", "■")</f>
        <v>■</v>
      </c>
      <c r="F30" s="1" t="s">
        <v>914</v>
      </c>
      <c r="G30" s="1">
        <v>99792</v>
      </c>
      <c r="H30" s="1">
        <v>71740</v>
      </c>
      <c r="I30" s="1">
        <v>23</v>
      </c>
      <c r="J30" s="1" t="s">
        <v>10</v>
      </c>
      <c r="K30" s="1" t="s">
        <v>915</v>
      </c>
      <c r="L30" s="1" t="s">
        <v>916</v>
      </c>
      <c r="M30" s="14" t="s">
        <v>9158</v>
      </c>
      <c r="N30" s="14" t="s">
        <v>9158</v>
      </c>
      <c r="O30" s="9" t="s">
        <v>9158</v>
      </c>
      <c r="P30" s="14" t="s">
        <v>9158</v>
      </c>
      <c r="Q30" s="14" t="s">
        <v>9158</v>
      </c>
    </row>
    <row r="31" spans="1:18">
      <c r="A31" s="14">
        <v>77433</v>
      </c>
      <c r="B31" s="1" t="s">
        <v>334</v>
      </c>
      <c r="C31" s="1" t="s">
        <v>344</v>
      </c>
      <c r="D31" s="19" t="s">
        <v>10181</v>
      </c>
      <c r="E31" s="15" t="str">
        <f>HYPERLINK("https://stat100.ameba.jp/tnk47/ratio20/illustrations/card/ill_77433_yamagaruakinomurabotoni03.jpg?201906-1-RELEASE-raid-412xxx", "■")</f>
        <v>■</v>
      </c>
      <c r="F31" s="1" t="s">
        <v>1664</v>
      </c>
      <c r="G31" s="1">
        <v>93263</v>
      </c>
      <c r="H31" s="1">
        <v>86751</v>
      </c>
      <c r="I31" s="1">
        <v>23</v>
      </c>
      <c r="J31" s="1" t="s">
        <v>414</v>
      </c>
      <c r="K31" s="1" t="s">
        <v>1665</v>
      </c>
      <c r="L31" s="1" t="s">
        <v>855</v>
      </c>
      <c r="M31" s="14" t="s">
        <v>9158</v>
      </c>
      <c r="N31" s="14" t="s">
        <v>9158</v>
      </c>
      <c r="O31" s="9" t="s">
        <v>9158</v>
      </c>
      <c r="P31" s="14" t="s">
        <v>9158</v>
      </c>
      <c r="Q31" s="14" t="s">
        <v>9158</v>
      </c>
    </row>
    <row r="32" spans="1:18">
      <c r="O32" s="7"/>
    </row>
    <row r="33" spans="1:18">
      <c r="A33" s="1" t="s">
        <v>4906</v>
      </c>
      <c r="O33" s="7"/>
    </row>
    <row r="34" spans="1:18" s="14" customFormat="1">
      <c r="A34" s="1" t="s">
        <v>4907</v>
      </c>
      <c r="O34" s="9"/>
    </row>
    <row r="35" spans="1:18">
      <c r="A35" s="14" t="s">
        <v>9434</v>
      </c>
      <c r="B35" s="1" t="s">
        <v>330</v>
      </c>
      <c r="C35" s="1" t="s">
        <v>202</v>
      </c>
      <c r="D35" s="19" t="s">
        <v>2744</v>
      </c>
      <c r="E35" s="15" t="str">
        <f>HYPERLINK("https://stat100.ameba.jp/tnk47/ratio20/illustrations/card/ill_78693_0_kyupittokoinomikoto03.jpg?201906-1-RELEASE-raid-412xxx", "■")</f>
        <v>■</v>
      </c>
      <c r="F35" s="1" t="s">
        <v>2745</v>
      </c>
      <c r="G35" s="1">
        <v>251516</v>
      </c>
      <c r="H35" s="1">
        <v>278294</v>
      </c>
      <c r="I35" s="1">
        <v>24</v>
      </c>
      <c r="J35" s="1" t="s">
        <v>274</v>
      </c>
      <c r="K35" s="1" t="s">
        <v>2746</v>
      </c>
      <c r="L35" s="1" t="s">
        <v>2747</v>
      </c>
      <c r="M35" s="14" t="s">
        <v>9158</v>
      </c>
      <c r="N35" s="14" t="s">
        <v>9158</v>
      </c>
      <c r="O35" s="6" t="s">
        <v>10067</v>
      </c>
      <c r="P35" s="1" t="s">
        <v>2748</v>
      </c>
      <c r="Q35" s="1">
        <v>1</v>
      </c>
    </row>
    <row r="36" spans="1:18">
      <c r="A36" s="14">
        <v>56613</v>
      </c>
      <c r="B36" s="1" t="s">
        <v>0</v>
      </c>
      <c r="C36" s="1" t="s">
        <v>150</v>
      </c>
      <c r="D36" s="19" t="s">
        <v>10182</v>
      </c>
      <c r="E36" s="15" t="str">
        <f>HYPERLINK("https://stat100.ameba.jp/tnk47/ratio20/illustrations/card/ill_56613_genjushimasakon03.jpg?201810-1-RELEASE-raid-372xx", "■")</f>
        <v>■</v>
      </c>
      <c r="F36" s="1" t="s">
        <v>147</v>
      </c>
      <c r="G36" s="1">
        <v>136343</v>
      </c>
      <c r="H36" s="1">
        <v>82422</v>
      </c>
      <c r="I36" s="1">
        <v>23</v>
      </c>
      <c r="J36" s="1" t="s">
        <v>143</v>
      </c>
      <c r="K36" s="1" t="s">
        <v>148</v>
      </c>
      <c r="L36" s="1" t="s">
        <v>149</v>
      </c>
      <c r="M36" s="14" t="s">
        <v>9158</v>
      </c>
      <c r="N36" s="14" t="s">
        <v>9158</v>
      </c>
      <c r="O36" s="6" t="s">
        <v>10056</v>
      </c>
      <c r="P36" s="1" t="s">
        <v>3853</v>
      </c>
      <c r="Q36" s="1">
        <v>1</v>
      </c>
    </row>
    <row r="37" spans="1:18">
      <c r="A37" s="14">
        <v>67993</v>
      </c>
      <c r="B37" s="1" t="s">
        <v>334</v>
      </c>
      <c r="C37" s="1" t="s">
        <v>205</v>
      </c>
      <c r="D37" s="19" t="s">
        <v>10183</v>
      </c>
      <c r="E37" s="15" t="str">
        <f>HYPERLINK("https://stat100.ameba.jp/tnk47/ratio20/illustrations/card/ill_67993_kurisumasupateikanekomisuzu03.jpg?201906-1-RELEASE-raid-412xxx", "■")</f>
        <v>■</v>
      </c>
      <c r="F37" s="1" t="s">
        <v>1286</v>
      </c>
      <c r="G37" s="1">
        <v>89839</v>
      </c>
      <c r="H37" s="1">
        <v>83499</v>
      </c>
      <c r="I37" s="1">
        <v>23</v>
      </c>
      <c r="J37" s="1" t="s">
        <v>10</v>
      </c>
      <c r="K37" s="1" t="s">
        <v>2547</v>
      </c>
      <c r="L37" s="1" t="s">
        <v>2548</v>
      </c>
      <c r="M37" s="14" t="s">
        <v>9158</v>
      </c>
      <c r="N37" s="14" t="s">
        <v>9158</v>
      </c>
      <c r="O37" s="6" t="s">
        <v>10025</v>
      </c>
      <c r="P37" s="1" t="s">
        <v>3701</v>
      </c>
      <c r="Q37" s="1">
        <v>1</v>
      </c>
    </row>
    <row r="38" spans="1:18">
      <c r="A38" s="14">
        <v>71323</v>
      </c>
      <c r="B38" s="1" t="s">
        <v>0</v>
      </c>
      <c r="C38" s="1" t="s">
        <v>154</v>
      </c>
      <c r="D38" s="19" t="s">
        <v>10184</v>
      </c>
      <c r="E38" s="15" t="str">
        <f>HYPERLINK("https://stat100.ameba.jp/tnk47/ratio20/illustrations/card/ill_71323_kodanobu03.jpg?201906-1-RELEASE-raid-412xxx", "■")</f>
        <v>■</v>
      </c>
      <c r="F38" s="1" t="s">
        <v>1879</v>
      </c>
      <c r="G38" s="1">
        <v>115000</v>
      </c>
      <c r="H38" s="1">
        <v>106927</v>
      </c>
      <c r="I38" s="1">
        <v>23</v>
      </c>
      <c r="J38" s="1" t="s">
        <v>16</v>
      </c>
      <c r="K38" s="1" t="s">
        <v>1880</v>
      </c>
      <c r="L38" s="1" t="s">
        <v>1881</v>
      </c>
      <c r="M38" s="14" t="s">
        <v>9158</v>
      </c>
      <c r="N38" s="14" t="s">
        <v>9158</v>
      </c>
      <c r="O38" s="6" t="s">
        <v>10055</v>
      </c>
      <c r="P38" s="1" t="s">
        <v>13124</v>
      </c>
      <c r="Q38" s="1">
        <v>1</v>
      </c>
    </row>
    <row r="39" spans="1:18">
      <c r="O39" s="7"/>
    </row>
    <row r="40" spans="1:18">
      <c r="A40" s="1" t="s">
        <v>13327</v>
      </c>
      <c r="O40" s="7"/>
    </row>
    <row r="41" spans="1:18" s="14" customFormat="1">
      <c r="A41" s="1" t="s">
        <v>4908</v>
      </c>
      <c r="O41" s="9"/>
    </row>
    <row r="42" spans="1:18">
      <c r="A42" s="14">
        <v>82213</v>
      </c>
      <c r="B42" s="1" t="s">
        <v>0</v>
      </c>
      <c r="C42" s="1" t="s">
        <v>4909</v>
      </c>
      <c r="D42" s="19" t="s">
        <v>10185</v>
      </c>
      <c r="E42" s="15" t="str">
        <f>HYPERLINK("https://stat100.ameba.jp/tnk47/ratio20/illustrations/card/ill_82213_tatarimokke03.jpg?201906-1-RELEASE-raid-412xxx", "■")</f>
        <v>■</v>
      </c>
      <c r="F42" s="1" t="s">
        <v>4935</v>
      </c>
      <c r="G42" s="1">
        <v>109852</v>
      </c>
      <c r="H42" s="1">
        <v>118152</v>
      </c>
      <c r="I42" s="1">
        <v>24</v>
      </c>
      <c r="J42" s="1" t="s">
        <v>4936</v>
      </c>
      <c r="K42" s="1" t="s">
        <v>4937</v>
      </c>
      <c r="L42" s="1" t="s">
        <v>13191</v>
      </c>
      <c r="M42" s="1" t="s">
        <v>13130</v>
      </c>
      <c r="N42" s="1" t="s">
        <v>343</v>
      </c>
      <c r="O42" s="9" t="s">
        <v>9158</v>
      </c>
      <c r="P42" s="14" t="s">
        <v>9158</v>
      </c>
      <c r="Q42" s="14" t="s">
        <v>9158</v>
      </c>
      <c r="R42" s="14" t="s">
        <v>14748</v>
      </c>
    </row>
    <row r="43" spans="1:18">
      <c r="A43" s="14">
        <v>82212</v>
      </c>
      <c r="B43" s="1" t="s">
        <v>334</v>
      </c>
      <c r="C43" s="1" t="s">
        <v>4909</v>
      </c>
      <c r="D43" s="19" t="s">
        <v>10185</v>
      </c>
      <c r="E43" s="15" t="str">
        <f>HYPERLINK("https://stat100.ameba.jp/tnk47/ratio20/illustrations/card/ill_82212_tatarimokke02.jpg?201906-1-RELEASE-raid-412xxx", "■")</f>
        <v>■</v>
      </c>
      <c r="F43" s="1" t="s">
        <v>4935</v>
      </c>
      <c r="G43" s="1">
        <v>90984</v>
      </c>
      <c r="H43" s="1">
        <v>98768</v>
      </c>
      <c r="I43" s="1">
        <v>24</v>
      </c>
      <c r="J43" s="1" t="s">
        <v>4936</v>
      </c>
      <c r="K43" s="1" t="s">
        <v>4937</v>
      </c>
      <c r="L43" s="1" t="s">
        <v>13191</v>
      </c>
      <c r="M43" s="1" t="s">
        <v>13131</v>
      </c>
      <c r="N43" s="1" t="s">
        <v>251</v>
      </c>
      <c r="O43" s="9" t="s">
        <v>9158</v>
      </c>
      <c r="P43" s="14" t="s">
        <v>9158</v>
      </c>
      <c r="Q43" s="14" t="s">
        <v>9158</v>
      </c>
      <c r="R43" s="14" t="s">
        <v>14748</v>
      </c>
    </row>
    <row r="44" spans="1:18">
      <c r="A44" s="14">
        <v>82211</v>
      </c>
      <c r="B44" s="1" t="s">
        <v>0</v>
      </c>
      <c r="C44" s="1" t="s">
        <v>4909</v>
      </c>
      <c r="D44" s="19" t="s">
        <v>10185</v>
      </c>
      <c r="E44" s="15" t="str">
        <f>HYPERLINK("https://stat100.ameba.jp/tnk47/ratio20/illustrations/card/ill_82211_tatarimokke01.jpg?201906-1-RELEASE-raid-412xxx", "■")</f>
        <v>■</v>
      </c>
      <c r="F44" s="1" t="s">
        <v>4935</v>
      </c>
      <c r="G44" s="1">
        <v>70200</v>
      </c>
      <c r="H44" s="1">
        <v>75408</v>
      </c>
      <c r="I44" s="1">
        <v>24</v>
      </c>
      <c r="J44" s="1" t="s">
        <v>4936</v>
      </c>
      <c r="K44" s="1" t="s">
        <v>4937</v>
      </c>
      <c r="L44" s="1" t="s">
        <v>13191</v>
      </c>
      <c r="M44" s="1" t="s">
        <v>13131</v>
      </c>
      <c r="N44" s="1" t="s">
        <v>251</v>
      </c>
      <c r="O44" s="9" t="s">
        <v>9158</v>
      </c>
      <c r="P44" s="14" t="s">
        <v>9158</v>
      </c>
      <c r="Q44" s="14" t="s">
        <v>9158</v>
      </c>
      <c r="R44" s="14" t="s">
        <v>14748</v>
      </c>
    </row>
    <row r="45" spans="1:18">
      <c r="A45" s="14">
        <v>82223</v>
      </c>
      <c r="B45" s="1" t="s">
        <v>334</v>
      </c>
      <c r="C45" s="1" t="s">
        <v>4910</v>
      </c>
      <c r="D45" s="19" t="s">
        <v>10186</v>
      </c>
      <c r="E45" s="15" t="str">
        <f>HYPERLINK("https://stat100.ameba.jp/tnk47/ratio20/illustrations/card/ill_82223_oyayubihime03.jpg?201906-1-RELEASE-raid-412xxx", "■")</f>
        <v>■</v>
      </c>
      <c r="F45" s="1" t="s">
        <v>4931</v>
      </c>
      <c r="G45" s="1">
        <v>118152</v>
      </c>
      <c r="H45" s="1">
        <v>109852</v>
      </c>
      <c r="I45" s="1">
        <v>24</v>
      </c>
      <c r="J45" s="1" t="s">
        <v>4932</v>
      </c>
      <c r="K45" s="1" t="s">
        <v>4933</v>
      </c>
      <c r="L45" s="1" t="s">
        <v>4934</v>
      </c>
      <c r="M45" s="1" t="s">
        <v>13130</v>
      </c>
      <c r="N45" s="1" t="s">
        <v>343</v>
      </c>
      <c r="O45" s="9" t="s">
        <v>9158</v>
      </c>
      <c r="P45" s="14" t="s">
        <v>9158</v>
      </c>
      <c r="Q45" s="14" t="s">
        <v>9158</v>
      </c>
      <c r="R45" s="14" t="s">
        <v>14748</v>
      </c>
    </row>
    <row r="46" spans="1:18">
      <c r="A46" s="14">
        <v>82233</v>
      </c>
      <c r="B46" s="1" t="s">
        <v>334</v>
      </c>
      <c r="C46" s="1" t="s">
        <v>4911</v>
      </c>
      <c r="D46" s="19" t="s">
        <v>10187</v>
      </c>
      <c r="E46" s="15" t="str">
        <f>HYPERLINK("https://stat100.ameba.jp/tnk47/ratio20/illustrations/card/ill_82233_iseokiku03.jpg?201906-1-RELEASE-raid-412xxx", "■")</f>
        <v>■</v>
      </c>
      <c r="F46" s="1" t="s">
        <v>4924</v>
      </c>
      <c r="G46" s="1">
        <v>118152</v>
      </c>
      <c r="H46" s="1">
        <v>109852</v>
      </c>
      <c r="I46" s="1">
        <v>24</v>
      </c>
      <c r="J46" s="1" t="s">
        <v>4925</v>
      </c>
      <c r="K46" s="1" t="s">
        <v>4926</v>
      </c>
      <c r="L46" s="1" t="s">
        <v>4930</v>
      </c>
      <c r="M46" s="1" t="s">
        <v>13130</v>
      </c>
      <c r="N46" s="1" t="s">
        <v>343</v>
      </c>
      <c r="O46" s="9" t="s">
        <v>9158</v>
      </c>
      <c r="P46" s="14" t="s">
        <v>9158</v>
      </c>
      <c r="Q46" s="14" t="s">
        <v>9158</v>
      </c>
      <c r="R46" s="14" t="s">
        <v>14748</v>
      </c>
    </row>
    <row r="47" spans="1:18">
      <c r="A47" s="14">
        <v>82243</v>
      </c>
      <c r="B47" s="1" t="s">
        <v>0</v>
      </c>
      <c r="C47" s="1" t="s">
        <v>4912</v>
      </c>
      <c r="D47" s="19" t="s">
        <v>10188</v>
      </c>
      <c r="E47" s="15" t="str">
        <f>HYPERLINK("https://stat100.ameba.jp/tnk47/ratio20/illustrations/card/ill_82243_nanohana03.jpg?201906-1-RELEASE-raid-412xxx", "■")</f>
        <v>■</v>
      </c>
      <c r="F47" s="1" t="s">
        <v>4921</v>
      </c>
      <c r="G47" s="1">
        <v>118152</v>
      </c>
      <c r="H47" s="1">
        <v>109852</v>
      </c>
      <c r="I47" s="1">
        <v>24</v>
      </c>
      <c r="J47" s="1" t="s">
        <v>4922</v>
      </c>
      <c r="K47" s="1" t="s">
        <v>4923</v>
      </c>
      <c r="L47" s="1" t="s">
        <v>4929</v>
      </c>
      <c r="M47" s="1" t="s">
        <v>13130</v>
      </c>
      <c r="N47" s="1" t="s">
        <v>343</v>
      </c>
      <c r="O47" s="9" t="s">
        <v>9158</v>
      </c>
      <c r="P47" s="14" t="s">
        <v>9158</v>
      </c>
      <c r="Q47" s="14" t="s">
        <v>9158</v>
      </c>
      <c r="R47" s="14" t="s">
        <v>14748</v>
      </c>
    </row>
    <row r="48" spans="1:18">
      <c r="A48" s="14">
        <v>82253</v>
      </c>
      <c r="B48" s="1" t="s">
        <v>334</v>
      </c>
      <c r="C48" s="1" t="s">
        <v>4913</v>
      </c>
      <c r="D48" s="19" t="s">
        <v>10189</v>
      </c>
      <c r="E48" s="15" t="str">
        <f>HYPERLINK("https://stat100.ameba.jp/tnk47/ratio20/illustrations/card/ill_82253_ajisaikyogokuichiko03.jpg?201906-1-RELEASE-raid-412xxx", "■")</f>
        <v>■</v>
      </c>
      <c r="F48" s="1" t="s">
        <v>4920</v>
      </c>
      <c r="G48" s="1">
        <v>109852</v>
      </c>
      <c r="H48" s="1">
        <v>118152</v>
      </c>
      <c r="I48" s="1">
        <v>24</v>
      </c>
      <c r="J48" s="1" t="s">
        <v>4918</v>
      </c>
      <c r="K48" s="1" t="s">
        <v>4919</v>
      </c>
      <c r="L48" s="1" t="s">
        <v>4927</v>
      </c>
      <c r="M48" s="1" t="s">
        <v>13130</v>
      </c>
      <c r="N48" s="1" t="s">
        <v>343</v>
      </c>
      <c r="O48" s="9" t="s">
        <v>9158</v>
      </c>
      <c r="P48" s="14" t="s">
        <v>9158</v>
      </c>
      <c r="Q48" s="14" t="s">
        <v>9158</v>
      </c>
      <c r="R48" s="14" t="s">
        <v>14748</v>
      </c>
    </row>
    <row r="49" spans="1:18">
      <c r="A49" s="14">
        <v>82263</v>
      </c>
      <c r="B49" s="1" t="s">
        <v>334</v>
      </c>
      <c r="C49" s="1" t="s">
        <v>4914</v>
      </c>
      <c r="D49" s="19" t="s">
        <v>10190</v>
      </c>
      <c r="E49" s="15" t="str">
        <f>HYPERLINK("https://stat100.ameba.jp/tnk47/ratio20/illustrations/card/ill_82263_euterupe03.jpg?201906-1-RELEASE-raid-412xxx", "■")</f>
        <v>■</v>
      </c>
      <c r="F49" s="1" t="s">
        <v>4915</v>
      </c>
      <c r="G49" s="1">
        <v>109852</v>
      </c>
      <c r="H49" s="1">
        <v>118152</v>
      </c>
      <c r="I49" s="1">
        <v>24</v>
      </c>
      <c r="J49" s="1" t="s">
        <v>4916</v>
      </c>
      <c r="K49" s="1" t="s">
        <v>4917</v>
      </c>
      <c r="L49" s="1" t="s">
        <v>4928</v>
      </c>
      <c r="M49" s="1" t="s">
        <v>13130</v>
      </c>
      <c r="N49" s="1" t="s">
        <v>343</v>
      </c>
      <c r="O49" s="9" t="s">
        <v>9158</v>
      </c>
      <c r="P49" s="14" t="s">
        <v>9158</v>
      </c>
      <c r="Q49" s="14" t="s">
        <v>9158</v>
      </c>
      <c r="R49" s="14" t="s">
        <v>14748</v>
      </c>
    </row>
    <row r="50" spans="1:18">
      <c r="O50" s="7"/>
    </row>
    <row r="51" spans="1:18">
      <c r="A51" s="1" t="s">
        <v>4938</v>
      </c>
      <c r="O51" s="7"/>
    </row>
    <row r="52" spans="1:18" s="14" customFormat="1">
      <c r="A52" s="1" t="s">
        <v>4939</v>
      </c>
      <c r="O52" s="9"/>
    </row>
    <row r="53" spans="1:18" s="14" customFormat="1">
      <c r="A53" s="1" t="s">
        <v>9438</v>
      </c>
      <c r="O53" s="9"/>
    </row>
    <row r="54" spans="1:18">
      <c r="A54" s="14" t="s">
        <v>9430</v>
      </c>
      <c r="B54" s="1" t="s">
        <v>330</v>
      </c>
      <c r="C54" s="1" t="s">
        <v>35</v>
      </c>
      <c r="D54" s="19" t="s">
        <v>10168</v>
      </c>
      <c r="E54" s="15" t="str">
        <f>HYPERLINK("https://stat100.ameba.jp/tnk47/ratio20/illustrations/card/ill_81783_0_denshagarukoteipenginchan03.jpg?201906-2-RELEASE-unionbattle-413", "■")</f>
        <v>■</v>
      </c>
      <c r="F54" s="1" t="s">
        <v>4834</v>
      </c>
      <c r="G54" s="1">
        <v>174439</v>
      </c>
      <c r="H54" s="1">
        <v>157647</v>
      </c>
      <c r="I54" s="1">
        <v>15</v>
      </c>
      <c r="J54" s="1" t="s">
        <v>26</v>
      </c>
      <c r="K54" s="1" t="s">
        <v>4836</v>
      </c>
      <c r="L54" s="1" t="s">
        <v>1783</v>
      </c>
      <c r="M54" s="14" t="s">
        <v>9158</v>
      </c>
      <c r="N54" s="14" t="s">
        <v>9158</v>
      </c>
      <c r="O54" s="6" t="s">
        <v>9993</v>
      </c>
      <c r="P54" s="1" t="s">
        <v>4838</v>
      </c>
      <c r="Q54" s="1">
        <v>1</v>
      </c>
    </row>
    <row r="55" spans="1:18">
      <c r="A55" s="14">
        <v>81833</v>
      </c>
      <c r="B55" s="1" t="s">
        <v>334</v>
      </c>
      <c r="C55" s="1" t="s">
        <v>4940</v>
      </c>
      <c r="D55" s="19" t="s">
        <v>10191</v>
      </c>
      <c r="E55" s="15" t="str">
        <f>HYPERLINK("https://stat100.ameba.jp/tnk47/ratio20/illustrations/card/ill_81833_amehimenogyakushuhojotsunataka03.jpg?201906-2-RELEASE-unionbattle-413", "■")</f>
        <v>■</v>
      </c>
      <c r="F55" s="1" t="s">
        <v>4941</v>
      </c>
      <c r="G55" s="1">
        <v>142674</v>
      </c>
      <c r="H55" s="1">
        <v>132658</v>
      </c>
      <c r="I55" s="1">
        <v>24</v>
      </c>
      <c r="J55" s="1" t="s">
        <v>4942</v>
      </c>
      <c r="K55" s="1" t="s">
        <v>4943</v>
      </c>
      <c r="L55" s="1" t="s">
        <v>4944</v>
      </c>
      <c r="M55" s="14" t="s">
        <v>9158</v>
      </c>
      <c r="N55" s="14" t="s">
        <v>9158</v>
      </c>
      <c r="O55" s="9" t="s">
        <v>9158</v>
      </c>
      <c r="P55" s="14" t="s">
        <v>9158</v>
      </c>
      <c r="Q55" s="14" t="s">
        <v>9158</v>
      </c>
    </row>
    <row r="56" spans="1:18">
      <c r="A56" s="14">
        <v>32273</v>
      </c>
      <c r="B56" s="1" t="s">
        <v>4946</v>
      </c>
      <c r="C56" s="1" t="s">
        <v>4945</v>
      </c>
      <c r="D56" s="19" t="s">
        <v>10192</v>
      </c>
      <c r="E56" s="15" t="str">
        <f>HYPERLINK("https://stat100.ameba.jp/tnk47/ratio20/illustrations/card/ill_32273_okumurashiu03.jpg?201906-2-RELEASE-unionbattle-413", "■")</f>
        <v>■</v>
      </c>
      <c r="F56" s="1" t="s">
        <v>4947</v>
      </c>
      <c r="G56" s="1">
        <v>61832</v>
      </c>
      <c r="H56" s="1">
        <v>68172</v>
      </c>
      <c r="I56" s="1">
        <v>23</v>
      </c>
      <c r="J56" s="1" t="s">
        <v>4948</v>
      </c>
      <c r="K56" s="1" t="s">
        <v>4949</v>
      </c>
      <c r="L56" s="1" t="s">
        <v>4950</v>
      </c>
      <c r="M56" s="14" t="s">
        <v>9158</v>
      </c>
      <c r="N56" s="14" t="s">
        <v>9158</v>
      </c>
      <c r="O56" s="9" t="s">
        <v>9158</v>
      </c>
      <c r="P56" s="14" t="s">
        <v>9158</v>
      </c>
      <c r="Q56" s="14" t="s">
        <v>9158</v>
      </c>
    </row>
    <row r="57" spans="1:18">
      <c r="A57" s="14">
        <v>81853</v>
      </c>
      <c r="B57" s="1" t="s">
        <v>4951</v>
      </c>
      <c r="C57" s="1" t="s">
        <v>4952</v>
      </c>
      <c r="D57" s="19" t="s">
        <v>10193</v>
      </c>
      <c r="E57" s="15" t="str">
        <f>HYPERLINK("https://stat100.ameba.jp/tnk47/ratio20/illustrations/card/ill_81853_undeine03.jpg?201906-2-RELEASE-unionbattle-413", "■")</f>
        <v>■</v>
      </c>
      <c r="F57" s="1" t="s">
        <v>4953</v>
      </c>
      <c r="G57" s="1">
        <v>43662</v>
      </c>
      <c r="H57" s="1">
        <v>36304</v>
      </c>
      <c r="I57" s="1">
        <v>21</v>
      </c>
      <c r="J57" s="1" t="s">
        <v>4954</v>
      </c>
      <c r="K57" s="1" t="s">
        <v>4955</v>
      </c>
      <c r="L57" s="1" t="s">
        <v>4956</v>
      </c>
      <c r="M57" s="14" t="s">
        <v>9158</v>
      </c>
      <c r="N57" s="14" t="s">
        <v>9158</v>
      </c>
      <c r="O57" s="9" t="s">
        <v>9158</v>
      </c>
      <c r="P57" s="14" t="s">
        <v>9158</v>
      </c>
      <c r="Q57" s="14" t="s">
        <v>9158</v>
      </c>
    </row>
    <row r="58" spans="1:18">
      <c r="A58" s="14">
        <v>81863</v>
      </c>
      <c r="B58" s="1" t="s">
        <v>4958</v>
      </c>
      <c r="C58" s="1" t="s">
        <v>4957</v>
      </c>
      <c r="D58" s="19" t="s">
        <v>10194</v>
      </c>
      <c r="E58" s="15" t="str">
        <f>HYPERLINK("https://stat100.ameba.jp/tnk47/ratio20/illustrations/card/ill_81863_dateshigezane03.jpg?201906-2-RELEASE-unionbattle-413", "■")</f>
        <v>■</v>
      </c>
      <c r="F58" s="1" t="s">
        <v>4959</v>
      </c>
      <c r="G58" s="1">
        <v>22200</v>
      </c>
      <c r="H58" s="1">
        <v>26434</v>
      </c>
      <c r="I58" s="1">
        <v>21</v>
      </c>
      <c r="J58" s="1" t="s">
        <v>4942</v>
      </c>
      <c r="K58" s="1" t="s">
        <v>4960</v>
      </c>
      <c r="L58" s="1" t="s">
        <v>4961</v>
      </c>
      <c r="M58" s="14" t="s">
        <v>9158</v>
      </c>
      <c r="N58" s="14" t="s">
        <v>9158</v>
      </c>
      <c r="O58" s="9" t="s">
        <v>9158</v>
      </c>
      <c r="P58" s="14" t="s">
        <v>9158</v>
      </c>
      <c r="Q58" s="14" t="s">
        <v>9158</v>
      </c>
    </row>
    <row r="59" spans="1:18">
      <c r="O59" s="7"/>
    </row>
    <row r="60" spans="1:18">
      <c r="A60" s="1" t="s">
        <v>4962</v>
      </c>
      <c r="O60" s="7"/>
    </row>
    <row r="61" spans="1:18" s="14" customFormat="1">
      <c r="A61" s="1" t="s">
        <v>4963</v>
      </c>
      <c r="O61" s="9"/>
    </row>
    <row r="62" spans="1:18">
      <c r="A62" s="14" t="s">
        <v>9439</v>
      </c>
      <c r="B62" s="1" t="s">
        <v>330</v>
      </c>
      <c r="C62" s="1" t="s">
        <v>191</v>
      </c>
      <c r="D62" s="19" t="s">
        <v>2871</v>
      </c>
      <c r="E62" s="15" t="str">
        <f>HYPERLINK("https://stat100.ameba.jp/tnk47/ratio20/illustrations/card/ill_51973_0_kemonomizugikuroyuridensetsu03.jpg?201906-2-RELEASE-unionbattle-413", "■")</f>
        <v>■</v>
      </c>
      <c r="F62" s="1" t="s">
        <v>2872</v>
      </c>
      <c r="G62" s="1">
        <v>94236</v>
      </c>
      <c r="H62" s="1">
        <v>83712</v>
      </c>
      <c r="I62" s="1">
        <v>15</v>
      </c>
      <c r="J62" s="1" t="s">
        <v>274</v>
      </c>
      <c r="K62" s="1" t="s">
        <v>2873</v>
      </c>
      <c r="L62" s="1" t="s">
        <v>2874</v>
      </c>
      <c r="M62" s="14" t="s">
        <v>9158</v>
      </c>
      <c r="N62" s="14" t="s">
        <v>9158</v>
      </c>
      <c r="O62" s="6" t="s">
        <v>10066</v>
      </c>
      <c r="P62" s="1" t="s">
        <v>13172</v>
      </c>
      <c r="Q62" s="1">
        <v>1</v>
      </c>
    </row>
    <row r="63" spans="1:18">
      <c r="A63" s="14" t="s">
        <v>9440</v>
      </c>
      <c r="B63" s="1" t="s">
        <v>330</v>
      </c>
      <c r="C63" s="1" t="s">
        <v>206</v>
      </c>
      <c r="D63" s="19" t="s">
        <v>2814</v>
      </c>
      <c r="E63" s="15" t="str">
        <f>HYPERLINK("https://stat100.ameba.jp/tnk47/ratio20/illustrations/card/ill_57733_0_shogatsunisenjunanaamakusashiro03.jpg?201906-2-RELEASE-unionbattle-413", "■")</f>
        <v>■</v>
      </c>
      <c r="F63" s="1" t="s">
        <v>2815</v>
      </c>
      <c r="G63" s="1">
        <v>83712</v>
      </c>
      <c r="H63" s="1">
        <v>94236</v>
      </c>
      <c r="I63" s="1">
        <v>15</v>
      </c>
      <c r="J63" s="1" t="s">
        <v>351</v>
      </c>
      <c r="K63" s="1" t="s">
        <v>2816</v>
      </c>
      <c r="L63" s="1" t="s">
        <v>2817</v>
      </c>
      <c r="M63" s="14" t="s">
        <v>9158</v>
      </c>
      <c r="N63" s="14" t="s">
        <v>9158</v>
      </c>
      <c r="O63" s="6" t="s">
        <v>10063</v>
      </c>
      <c r="P63" s="1" t="s">
        <v>3062</v>
      </c>
      <c r="Q63" s="1">
        <v>1</v>
      </c>
    </row>
    <row r="64" spans="1:18">
      <c r="A64" s="14" t="s">
        <v>9433</v>
      </c>
      <c r="B64" s="1" t="s">
        <v>52</v>
      </c>
      <c r="C64" s="1" t="s">
        <v>96</v>
      </c>
      <c r="D64" s="19" t="s">
        <v>634</v>
      </c>
      <c r="E64" s="15" t="str">
        <f>HYPERLINK("https://stat100.ameba.jp/tnk47/ratio20/illustrations/card/ill_40963_0_makami03.jpg?201906-2-RELEASE-unionbattle-413", "■")</f>
        <v>■</v>
      </c>
      <c r="F64" s="1" t="s">
        <v>2038</v>
      </c>
      <c r="G64" s="1">
        <v>87780</v>
      </c>
      <c r="H64" s="1">
        <v>82212</v>
      </c>
      <c r="I64" s="1">
        <v>15</v>
      </c>
      <c r="J64" s="1" t="s">
        <v>44</v>
      </c>
      <c r="K64" s="1" t="s">
        <v>2039</v>
      </c>
      <c r="L64" s="1" t="s">
        <v>2040</v>
      </c>
      <c r="M64" s="14" t="s">
        <v>9158</v>
      </c>
      <c r="N64" s="14" t="s">
        <v>9158</v>
      </c>
      <c r="O64" s="9" t="s">
        <v>9158</v>
      </c>
      <c r="P64" s="14" t="s">
        <v>9158</v>
      </c>
      <c r="Q64" s="14" t="s">
        <v>9158</v>
      </c>
    </row>
    <row r="65" spans="1:17">
      <c r="A65" s="14">
        <v>77753</v>
      </c>
      <c r="B65" s="1" t="s">
        <v>334</v>
      </c>
      <c r="C65" s="1" t="s">
        <v>203</v>
      </c>
      <c r="D65" s="19" t="s">
        <v>1515</v>
      </c>
      <c r="E65" s="15" t="str">
        <f>HYPERLINK("https://stat100.ameba.jp/tnk47/ratio20/illustrations/card/ill_77753_sekiennotorisu03.jpg?201906-2-RELEASE-unionbattle-413", "■")</f>
        <v>■</v>
      </c>
      <c r="F65" s="1" t="s">
        <v>995</v>
      </c>
      <c r="G65" s="1">
        <v>176200</v>
      </c>
      <c r="H65" s="1">
        <v>99132</v>
      </c>
      <c r="I65" s="1">
        <v>24</v>
      </c>
      <c r="J65" s="1" t="s">
        <v>143</v>
      </c>
      <c r="K65" s="1" t="s">
        <v>996</v>
      </c>
      <c r="L65" s="1" t="s">
        <v>145</v>
      </c>
      <c r="M65" s="14" t="s">
        <v>9158</v>
      </c>
      <c r="N65" s="14" t="s">
        <v>9158</v>
      </c>
      <c r="O65" s="9" t="s">
        <v>9158</v>
      </c>
      <c r="P65" s="14" t="s">
        <v>9158</v>
      </c>
      <c r="Q65" s="14" t="s">
        <v>9158</v>
      </c>
    </row>
    <row r="66" spans="1:17">
      <c r="A66" s="14">
        <v>76873</v>
      </c>
      <c r="B66" s="1" t="s">
        <v>0</v>
      </c>
      <c r="C66" s="1" t="s">
        <v>154</v>
      </c>
      <c r="D66" s="19" t="s">
        <v>10195</v>
      </c>
      <c r="E66" s="15" t="str">
        <f>HYPERLINK("https://stat100.ameba.jp/tnk47/ratio20/illustrations/card/ill_76873_torerokamomiro03.jpg?201906-2-RELEASE-unionbattle-413", "■")</f>
        <v>■</v>
      </c>
      <c r="F66" s="1" t="s">
        <v>1940</v>
      </c>
      <c r="G66" s="1">
        <v>176200</v>
      </c>
      <c r="H66" s="1">
        <v>99132</v>
      </c>
      <c r="I66" s="1">
        <v>24</v>
      </c>
      <c r="J66" s="1" t="s">
        <v>10</v>
      </c>
      <c r="K66" s="1" t="s">
        <v>1941</v>
      </c>
      <c r="L66" s="1" t="s">
        <v>1942</v>
      </c>
      <c r="M66" s="14" t="s">
        <v>9158</v>
      </c>
      <c r="N66" s="14" t="s">
        <v>9158</v>
      </c>
      <c r="O66" s="9" t="s">
        <v>9158</v>
      </c>
      <c r="P66" s="14" t="s">
        <v>9158</v>
      </c>
      <c r="Q66" s="14" t="s">
        <v>9158</v>
      </c>
    </row>
    <row r="67" spans="1:17">
      <c r="A67" s="14">
        <v>79823</v>
      </c>
      <c r="B67" s="1" t="s">
        <v>334</v>
      </c>
      <c r="C67" s="1" t="s">
        <v>158</v>
      </c>
      <c r="D67" s="19" t="s">
        <v>2894</v>
      </c>
      <c r="E67" s="15" t="str">
        <f>HYPERLINK("https://stat100.ameba.jp/tnk47/ratio20/illustrations/card/ill_79823_agehamishieru03.jpg?201906-2-RELEASE-unionbattle-413", "■")</f>
        <v>■</v>
      </c>
      <c r="F67" s="1" t="s">
        <v>2895</v>
      </c>
      <c r="G67" s="1">
        <v>99132</v>
      </c>
      <c r="H67" s="1">
        <v>176200</v>
      </c>
      <c r="I67" s="1">
        <v>24</v>
      </c>
      <c r="J67" s="1" t="s">
        <v>414</v>
      </c>
      <c r="K67" s="1" t="s">
        <v>2896</v>
      </c>
      <c r="L67" s="1" t="s">
        <v>2897</v>
      </c>
      <c r="M67" s="14" t="s">
        <v>9158</v>
      </c>
      <c r="N67" s="14" t="s">
        <v>9158</v>
      </c>
      <c r="O67" s="9" t="s">
        <v>9158</v>
      </c>
      <c r="P67" s="14" t="s">
        <v>9158</v>
      </c>
      <c r="Q67" s="14" t="s">
        <v>9158</v>
      </c>
    </row>
    <row r="68" spans="1:17">
      <c r="A68" s="14">
        <v>73263</v>
      </c>
      <c r="B68" s="1" t="s">
        <v>348</v>
      </c>
      <c r="C68" s="1" t="s">
        <v>185</v>
      </c>
      <c r="D68" s="19" t="s">
        <v>4062</v>
      </c>
      <c r="E68" s="15" t="str">
        <f>HYPERLINK("https://stat100.ameba.jp/tnk47/ratio20/illustrations/card/ill_73263_ajisainiijimayae03.jpg?201906-2-RELEASE-unionbattle-413", "■")</f>
        <v>■</v>
      </c>
      <c r="F68" s="1" t="s">
        <v>3273</v>
      </c>
      <c r="G68" s="1">
        <v>68172</v>
      </c>
      <c r="H68" s="1">
        <v>61832</v>
      </c>
      <c r="I68" s="1">
        <v>23</v>
      </c>
      <c r="J68" s="1" t="s">
        <v>10</v>
      </c>
      <c r="K68" s="1" t="s">
        <v>3274</v>
      </c>
      <c r="L68" s="1" t="s">
        <v>3275</v>
      </c>
      <c r="M68" s="14" t="s">
        <v>9158</v>
      </c>
      <c r="N68" s="14" t="s">
        <v>9158</v>
      </c>
      <c r="O68" s="9" t="s">
        <v>9158</v>
      </c>
      <c r="P68" s="14" t="s">
        <v>9158</v>
      </c>
      <c r="Q68" s="14" t="s">
        <v>9158</v>
      </c>
    </row>
    <row r="69" spans="1:17">
      <c r="A69" s="14">
        <v>59933</v>
      </c>
      <c r="B69" s="1" t="s">
        <v>348</v>
      </c>
      <c r="C69" s="1" t="s">
        <v>4964</v>
      </c>
      <c r="D69" s="19" t="s">
        <v>10196</v>
      </c>
      <c r="E69" s="15" t="str">
        <f>HYPERLINK("https://stat100.ameba.jp/tnk47/ratio20/illustrations/card/ill_59933_yuseikyogokuichiko03.jpg?201906-2-RELEASE-unionbattle-413", "■")</f>
        <v>■</v>
      </c>
      <c r="F69" s="1" t="s">
        <v>4965</v>
      </c>
      <c r="G69" s="1">
        <v>61832</v>
      </c>
      <c r="H69" s="1">
        <v>68172</v>
      </c>
      <c r="I69" s="1">
        <v>23</v>
      </c>
      <c r="J69" s="1" t="s">
        <v>4966</v>
      </c>
      <c r="K69" s="1" t="s">
        <v>4967</v>
      </c>
      <c r="L69" s="1" t="s">
        <v>4968</v>
      </c>
      <c r="M69" s="14" t="s">
        <v>9158</v>
      </c>
      <c r="N69" s="14" t="s">
        <v>9158</v>
      </c>
      <c r="O69" s="9" t="s">
        <v>9158</v>
      </c>
      <c r="P69" s="14" t="s">
        <v>9158</v>
      </c>
      <c r="Q69" s="14" t="s">
        <v>9158</v>
      </c>
    </row>
    <row r="70" spans="1:17">
      <c r="A70" s="14">
        <v>57853</v>
      </c>
      <c r="B70" s="1" t="s">
        <v>15</v>
      </c>
      <c r="C70" s="1" t="s">
        <v>200</v>
      </c>
      <c r="D70" s="19" t="s">
        <v>497</v>
      </c>
      <c r="E70" s="15" t="str">
        <f>HYPERLINK("https://stat100.ameba.jp/tnk47/ratio20/illustrations/card/ill_57853_otokuchuruakaiteruko03.jpg?201906-2-RELEASE-unionbattle-413", "■")</f>
        <v>■</v>
      </c>
      <c r="F70" s="1" t="s">
        <v>998</v>
      </c>
      <c r="G70" s="1">
        <v>56456</v>
      </c>
      <c r="H70" s="1">
        <v>62244</v>
      </c>
      <c r="I70" s="1">
        <v>21</v>
      </c>
      <c r="J70" s="1" t="s">
        <v>143</v>
      </c>
      <c r="K70" s="1" t="s">
        <v>999</v>
      </c>
      <c r="L70" s="1" t="s">
        <v>1000</v>
      </c>
      <c r="M70" s="14" t="s">
        <v>9158</v>
      </c>
      <c r="N70" s="14" t="s">
        <v>9158</v>
      </c>
      <c r="O70" s="9" t="s">
        <v>9158</v>
      </c>
      <c r="P70" s="14" t="s">
        <v>9158</v>
      </c>
      <c r="Q70" s="14" t="s">
        <v>9158</v>
      </c>
    </row>
    <row r="71" spans="1:17">
      <c r="O71" s="7"/>
    </row>
    <row r="72" spans="1:17">
      <c r="A72" s="1" t="s">
        <v>4969</v>
      </c>
      <c r="O72" s="7"/>
    </row>
    <row r="73" spans="1:17" s="14" customFormat="1">
      <c r="A73" s="1" t="s">
        <v>4970</v>
      </c>
      <c r="O73" s="9"/>
    </row>
    <row r="74" spans="1:17">
      <c r="A74" s="14" t="s">
        <v>9455</v>
      </c>
      <c r="B74" s="1" t="s">
        <v>330</v>
      </c>
      <c r="C74" s="1" t="s">
        <v>200</v>
      </c>
      <c r="D74" s="19" t="s">
        <v>389</v>
      </c>
      <c r="E74" s="15" t="str">
        <f>HYPERLINK("https://stat100.ameba.jp/tnk47/ratio20/illustrations/card/ill_53753_0_natsumatsuritokugawaieyasu03.jpg?201906-2-RELEASE-unionbattle-413", "■")</f>
        <v>■</v>
      </c>
      <c r="F74" s="1" t="s">
        <v>902</v>
      </c>
      <c r="G74" s="1">
        <v>138212</v>
      </c>
      <c r="H74" s="1">
        <v>122776</v>
      </c>
      <c r="I74" s="1">
        <v>15</v>
      </c>
      <c r="J74" s="1" t="s">
        <v>143</v>
      </c>
      <c r="K74" s="1" t="s">
        <v>903</v>
      </c>
      <c r="L74" s="1" t="s">
        <v>904</v>
      </c>
      <c r="M74" s="14" t="s">
        <v>9158</v>
      </c>
      <c r="N74" s="14" t="s">
        <v>9158</v>
      </c>
      <c r="O74" s="6" t="s">
        <v>10052</v>
      </c>
      <c r="P74" s="1" t="s">
        <v>13121</v>
      </c>
      <c r="Q74" s="1">
        <v>1</v>
      </c>
    </row>
    <row r="75" spans="1:17">
      <c r="A75" s="14" t="s">
        <v>9456</v>
      </c>
      <c r="B75" s="1" t="s">
        <v>330</v>
      </c>
      <c r="C75" s="1" t="s">
        <v>335</v>
      </c>
      <c r="D75" s="19" t="s">
        <v>509</v>
      </c>
      <c r="E75" s="15" t="str">
        <f>HYPERLINK("https://stat100.ameba.jp/tnk47/ratio20/illustrations/card/ill_49953_0_yushamarihime03.jpg?201906-2-RELEASE-unionbattle-413", "■")</f>
        <v>■</v>
      </c>
      <c r="F75" s="1" t="s">
        <v>510</v>
      </c>
      <c r="G75" s="1">
        <v>138212</v>
      </c>
      <c r="H75" s="1">
        <v>122776</v>
      </c>
      <c r="I75" s="1">
        <v>22</v>
      </c>
      <c r="J75" s="1" t="s">
        <v>315</v>
      </c>
      <c r="K75" s="1" t="s">
        <v>511</v>
      </c>
      <c r="L75" s="1" t="s">
        <v>512</v>
      </c>
      <c r="M75" s="14" t="s">
        <v>9158</v>
      </c>
      <c r="N75" s="14" t="s">
        <v>9158</v>
      </c>
      <c r="O75" s="9" t="s">
        <v>9158</v>
      </c>
      <c r="P75" s="14" t="s">
        <v>9158</v>
      </c>
      <c r="Q75" s="14" t="s">
        <v>9158</v>
      </c>
    </row>
    <row r="76" spans="1:17">
      <c r="A76" s="14" t="s">
        <v>9457</v>
      </c>
      <c r="B76" s="1" t="s">
        <v>330</v>
      </c>
      <c r="C76" s="1" t="s">
        <v>165</v>
      </c>
      <c r="D76" s="19" t="s">
        <v>789</v>
      </c>
      <c r="E76" s="15" t="str">
        <f>HYPERLINK("https://stat100.ameba.jp/tnk47/ratio20/illustrations/card/ill_49193_0_onmyoudouabenoseimei03.jpg?201906-2-RELEASE-unionbattle-413", "■")</f>
        <v>■</v>
      </c>
      <c r="F76" s="1" t="s">
        <v>790</v>
      </c>
      <c r="G76" s="1">
        <v>122776</v>
      </c>
      <c r="H76" s="1">
        <v>138212</v>
      </c>
      <c r="I76" s="1">
        <v>22</v>
      </c>
      <c r="J76" s="1" t="s">
        <v>351</v>
      </c>
      <c r="K76" s="1" t="s">
        <v>791</v>
      </c>
      <c r="L76" s="1" t="s">
        <v>792</v>
      </c>
      <c r="M76" s="14" t="s">
        <v>9158</v>
      </c>
      <c r="N76" s="14" t="s">
        <v>9158</v>
      </c>
      <c r="O76" s="9" t="s">
        <v>9158</v>
      </c>
      <c r="P76" s="14" t="s">
        <v>9158</v>
      </c>
      <c r="Q76" s="14" t="s">
        <v>9158</v>
      </c>
    </row>
    <row r="77" spans="1:17">
      <c r="A77" s="14">
        <v>81833</v>
      </c>
      <c r="B77" s="1" t="s">
        <v>334</v>
      </c>
      <c r="C77" s="1" t="s">
        <v>4940</v>
      </c>
      <c r="D77" s="19" t="s">
        <v>10191</v>
      </c>
      <c r="E77" s="15" t="str">
        <f>HYPERLINK("https://stat100.ameba.jp/tnk47/ratio20/illustrations/card/ill_81833_amehimenogyakushuhojotsunataka03.jpg?201906-2-RELEASE-unionbattle-413", "■")</f>
        <v>■</v>
      </c>
      <c r="F77" s="1" t="s">
        <v>4941</v>
      </c>
      <c r="G77" s="1">
        <v>136729</v>
      </c>
      <c r="H77" s="1">
        <v>127130</v>
      </c>
      <c r="I77" s="1">
        <v>23</v>
      </c>
      <c r="J77" s="1" t="s">
        <v>4942</v>
      </c>
      <c r="K77" s="1" t="s">
        <v>4943</v>
      </c>
      <c r="L77" s="1" t="s">
        <v>4944</v>
      </c>
      <c r="M77" s="14" t="s">
        <v>9158</v>
      </c>
      <c r="N77" s="14" t="s">
        <v>9158</v>
      </c>
      <c r="O77" s="9" t="s">
        <v>9158</v>
      </c>
      <c r="P77" s="14" t="s">
        <v>9158</v>
      </c>
      <c r="Q77" s="14" t="s">
        <v>9158</v>
      </c>
    </row>
    <row r="78" spans="1:17">
      <c r="A78" s="14">
        <v>32273</v>
      </c>
      <c r="B78" s="1" t="s">
        <v>4946</v>
      </c>
      <c r="C78" s="1" t="s">
        <v>4945</v>
      </c>
      <c r="D78" s="19" t="s">
        <v>10192</v>
      </c>
      <c r="E78" s="15" t="str">
        <f>HYPERLINK("https://stat100.ameba.jp/tnk47/ratio20/illustrations/card/ill_32273_okumurashiu03.jpg?201906-2-RELEASE-unionbattle-413", "■")</f>
        <v>■</v>
      </c>
      <c r="F78" s="1" t="s">
        <v>4947</v>
      </c>
      <c r="G78" s="1">
        <v>48390</v>
      </c>
      <c r="H78" s="1">
        <v>53352</v>
      </c>
      <c r="I78" s="1">
        <v>18</v>
      </c>
      <c r="J78" s="1" t="s">
        <v>4948</v>
      </c>
      <c r="K78" s="1" t="s">
        <v>4949</v>
      </c>
      <c r="L78" s="1" t="s">
        <v>4950</v>
      </c>
      <c r="M78" s="14" t="s">
        <v>9158</v>
      </c>
      <c r="N78" s="14" t="s">
        <v>9158</v>
      </c>
      <c r="O78" s="9" t="s">
        <v>9158</v>
      </c>
      <c r="P78" s="14" t="s">
        <v>9158</v>
      </c>
      <c r="Q78" s="14" t="s">
        <v>9158</v>
      </c>
    </row>
    <row r="79" spans="1:17">
      <c r="A79" s="14">
        <v>81853</v>
      </c>
      <c r="B79" s="1" t="s">
        <v>4951</v>
      </c>
      <c r="C79" s="1" t="s">
        <v>4952</v>
      </c>
      <c r="D79" s="19" t="s">
        <v>10193</v>
      </c>
      <c r="E79" s="15" t="str">
        <f>HYPERLINK("https://stat100.ameba.jp/tnk47/ratio20/illustrations/card/ill_81853_undeine03.jpg?201906-2-RELEASE-unionbattle-413", "■")</f>
        <v>■</v>
      </c>
      <c r="F79" s="1" t="s">
        <v>4953</v>
      </c>
      <c r="G79" s="1">
        <v>35346</v>
      </c>
      <c r="H79" s="1">
        <v>29388</v>
      </c>
      <c r="I79" s="1">
        <v>17</v>
      </c>
      <c r="J79" s="1" t="s">
        <v>4954</v>
      </c>
      <c r="K79" s="1" t="s">
        <v>4955</v>
      </c>
      <c r="L79" s="1" t="s">
        <v>4956</v>
      </c>
      <c r="M79" s="14" t="s">
        <v>9158</v>
      </c>
      <c r="N79" s="14" t="s">
        <v>9158</v>
      </c>
      <c r="O79" s="9" t="s">
        <v>9158</v>
      </c>
      <c r="P79" s="14" t="s">
        <v>9158</v>
      </c>
      <c r="Q79" s="14" t="s">
        <v>9158</v>
      </c>
    </row>
    <row r="80" spans="1:17">
      <c r="A80" s="14">
        <v>81863</v>
      </c>
      <c r="B80" s="1" t="s">
        <v>4958</v>
      </c>
      <c r="C80" s="1" t="s">
        <v>4957</v>
      </c>
      <c r="D80" s="19" t="s">
        <v>10194</v>
      </c>
      <c r="E80" s="15" t="str">
        <f>HYPERLINK("https://stat100.ameba.jp/tnk47/ratio20/illustrations/card/ill_81863_dateshigezane03.jpg?201906-2-RELEASE-unionbattle-413", "■")</f>
        <v>■</v>
      </c>
      <c r="F80" s="1" t="s">
        <v>4959</v>
      </c>
      <c r="G80" s="1">
        <v>17972</v>
      </c>
      <c r="H80" s="1">
        <v>21398</v>
      </c>
      <c r="I80" s="1">
        <v>17</v>
      </c>
      <c r="J80" s="1" t="s">
        <v>4942</v>
      </c>
      <c r="K80" s="1" t="s">
        <v>4960</v>
      </c>
      <c r="L80" s="1" t="s">
        <v>4961</v>
      </c>
      <c r="M80" s="14" t="s">
        <v>9158</v>
      </c>
      <c r="N80" s="14" t="s">
        <v>9158</v>
      </c>
      <c r="O80" s="9" t="s">
        <v>9158</v>
      </c>
      <c r="P80" s="14" t="s">
        <v>9158</v>
      </c>
      <c r="Q80" s="14" t="s">
        <v>9158</v>
      </c>
    </row>
    <row r="81" spans="1:17">
      <c r="O81" s="7"/>
    </row>
    <row r="82" spans="1:17">
      <c r="A82" s="1" t="s">
        <v>4971</v>
      </c>
      <c r="O82" s="7"/>
    </row>
    <row r="83" spans="1:17" s="14" customFormat="1">
      <c r="A83" s="1" t="s">
        <v>4972</v>
      </c>
      <c r="O83" s="9"/>
    </row>
    <row r="84" spans="1:17">
      <c r="A84" s="14" t="s">
        <v>9458</v>
      </c>
      <c r="B84" s="1" t="s">
        <v>330</v>
      </c>
      <c r="C84" s="1" t="s">
        <v>335</v>
      </c>
      <c r="D84" s="19" t="s">
        <v>698</v>
      </c>
      <c r="E84" s="15" t="str">
        <f>HYPERLINK("https://stat100.ameba.jp/tnk47/ratio20/illustrations/card/ill_66433_0_haroinfujishirogozen03.jpg?201906-2-RELEASE-unionbattle-413", "■")</f>
        <v>■</v>
      </c>
      <c r="F84" s="1" t="s">
        <v>699</v>
      </c>
      <c r="G84" s="1">
        <v>91807</v>
      </c>
      <c r="H84" s="1">
        <v>98751</v>
      </c>
      <c r="I84" s="1">
        <v>15</v>
      </c>
      <c r="J84" s="1" t="s">
        <v>315</v>
      </c>
      <c r="K84" s="1" t="s">
        <v>700</v>
      </c>
      <c r="L84" s="1" t="s">
        <v>701</v>
      </c>
      <c r="M84" s="14" t="s">
        <v>9158</v>
      </c>
      <c r="N84" s="14" t="s">
        <v>9158</v>
      </c>
      <c r="O84" s="6" t="s">
        <v>10062</v>
      </c>
      <c r="P84" s="1" t="s">
        <v>3345</v>
      </c>
      <c r="Q84" s="1">
        <v>1</v>
      </c>
    </row>
    <row r="85" spans="1:17">
      <c r="A85" s="14" t="s">
        <v>9459</v>
      </c>
      <c r="B85" s="1" t="s">
        <v>330</v>
      </c>
      <c r="C85" s="1" t="s">
        <v>165</v>
      </c>
      <c r="D85" s="19" t="s">
        <v>385</v>
      </c>
      <c r="E85" s="15" t="str">
        <f>HYPERLINK("https://stat100.ameba.jp/tnk47/ratio20/illustrations/card/ill_59673_0_oheyashutendoji03.jpg?201906-2-RELEASE-unionbattle-413", "■")</f>
        <v>■</v>
      </c>
      <c r="F85" s="1" t="s">
        <v>983</v>
      </c>
      <c r="G85" s="1">
        <v>105545</v>
      </c>
      <c r="H85" s="1">
        <v>113525</v>
      </c>
      <c r="I85" s="1">
        <v>15</v>
      </c>
      <c r="J85" s="1" t="s">
        <v>73</v>
      </c>
      <c r="K85" s="1" t="s">
        <v>984</v>
      </c>
      <c r="L85" s="1" t="s">
        <v>985</v>
      </c>
      <c r="M85" s="14" t="s">
        <v>9158</v>
      </c>
      <c r="N85" s="14" t="s">
        <v>9158</v>
      </c>
      <c r="O85" s="6" t="s">
        <v>10058</v>
      </c>
      <c r="P85" s="1" t="s">
        <v>3022</v>
      </c>
      <c r="Q85" s="1">
        <v>1</v>
      </c>
    </row>
    <row r="86" spans="1:17">
      <c r="A86" s="14" t="s">
        <v>9460</v>
      </c>
      <c r="B86" s="1" t="s">
        <v>52</v>
      </c>
      <c r="C86" s="1" t="s">
        <v>200</v>
      </c>
      <c r="D86" s="19" t="s">
        <v>277</v>
      </c>
      <c r="E86" s="15" t="str">
        <f>HYPERLINK("https://stat100.ameba.jp/tnk47/ratio20/illustrations/card/ill_40913_0_reigyokudensetsufusehime03.jpg?201906-2-RELEASE-unionbattle-413", "■")</f>
        <v>■</v>
      </c>
      <c r="F86" s="1" t="s">
        <v>955</v>
      </c>
      <c r="G86" s="1">
        <v>82212</v>
      </c>
      <c r="H86" s="1">
        <v>87780</v>
      </c>
      <c r="I86" s="1">
        <v>15</v>
      </c>
      <c r="J86" s="1" t="s">
        <v>38</v>
      </c>
      <c r="K86" s="1" t="s">
        <v>956</v>
      </c>
      <c r="L86" s="1" t="s">
        <v>957</v>
      </c>
      <c r="M86" s="14" t="s">
        <v>9158</v>
      </c>
      <c r="N86" s="14" t="s">
        <v>9158</v>
      </c>
      <c r="O86" s="9" t="s">
        <v>9158</v>
      </c>
      <c r="P86" s="14" t="s">
        <v>9158</v>
      </c>
      <c r="Q86" s="14" t="s">
        <v>9158</v>
      </c>
    </row>
    <row r="87" spans="1:17">
      <c r="A87" s="14">
        <v>68393</v>
      </c>
      <c r="B87" s="1" t="s">
        <v>334</v>
      </c>
      <c r="C87" s="1" t="s">
        <v>4973</v>
      </c>
      <c r="D87" s="19" t="s">
        <v>10197</v>
      </c>
      <c r="E87" s="15" t="str">
        <f>HYPERLINK("https://stat100.ameba.jp/tnk47/ratio20/illustrations/card/ill_68393_soseikinokain03.jpg?201906-2-RELEASE-unionbattle-413", "■")</f>
        <v>■</v>
      </c>
      <c r="F87" s="1" t="s">
        <v>4974</v>
      </c>
      <c r="G87" s="1">
        <v>72883</v>
      </c>
      <c r="H87" s="1">
        <v>129501</v>
      </c>
      <c r="I87" s="1">
        <v>23</v>
      </c>
      <c r="J87" s="1" t="s">
        <v>4975</v>
      </c>
      <c r="K87" s="1" t="s">
        <v>4976</v>
      </c>
      <c r="L87" s="1" t="s">
        <v>4977</v>
      </c>
      <c r="M87" s="14" t="s">
        <v>9158</v>
      </c>
      <c r="N87" s="14" t="s">
        <v>9158</v>
      </c>
      <c r="O87" s="9" t="s">
        <v>9158</v>
      </c>
      <c r="P87" s="14" t="s">
        <v>9158</v>
      </c>
      <c r="Q87" s="14" t="s">
        <v>9158</v>
      </c>
    </row>
    <row r="88" spans="1:17">
      <c r="A88" s="14">
        <v>66793</v>
      </c>
      <c r="B88" s="1" t="s">
        <v>334</v>
      </c>
      <c r="C88" s="1" t="s">
        <v>185</v>
      </c>
      <c r="D88" s="19" t="s">
        <v>10198</v>
      </c>
      <c r="E88" s="15" t="str">
        <f>HYPERLINK("https://stat100.ameba.jp/tnk47/ratio20/illustrations/card/ill_66793_mitsuishinokami03.jpg?201906-2-RELEASE-unionbattle-413", "■")</f>
        <v>■</v>
      </c>
      <c r="F88" s="1" t="s">
        <v>963</v>
      </c>
      <c r="G88" s="1">
        <v>65176</v>
      </c>
      <c r="H88" s="1">
        <v>115855</v>
      </c>
      <c r="I88" s="1">
        <v>23</v>
      </c>
      <c r="J88" s="1" t="s">
        <v>44</v>
      </c>
      <c r="K88" s="1" t="s">
        <v>964</v>
      </c>
      <c r="L88" s="1" t="s">
        <v>965</v>
      </c>
      <c r="M88" s="14" t="s">
        <v>9158</v>
      </c>
      <c r="N88" s="14" t="s">
        <v>9158</v>
      </c>
      <c r="O88" s="9" t="s">
        <v>9158</v>
      </c>
      <c r="P88" s="14" t="s">
        <v>9158</v>
      </c>
      <c r="Q88" s="14" t="s">
        <v>9158</v>
      </c>
    </row>
    <row r="89" spans="1:17">
      <c r="A89" s="14">
        <v>67243</v>
      </c>
      <c r="B89" s="1" t="s">
        <v>0</v>
      </c>
      <c r="C89" s="1" t="s">
        <v>205</v>
      </c>
      <c r="D89" s="19" t="s">
        <v>10199</v>
      </c>
      <c r="E89" s="15" t="str">
        <f>HYPERLINK("https://stat100.ameba.jp/tnk47/ratio20/illustrations/card/ill_67243_onsenyadomoryo03.jpg?201906-2-RELEASE-unionbattle-413", "■")</f>
        <v>■</v>
      </c>
      <c r="F89" s="1" t="s">
        <v>3638</v>
      </c>
      <c r="G89" s="1">
        <v>89121</v>
      </c>
      <c r="H89" s="1">
        <v>95830</v>
      </c>
      <c r="I89" s="1">
        <v>23</v>
      </c>
      <c r="J89" s="1" t="s">
        <v>73</v>
      </c>
      <c r="K89" s="1" t="s">
        <v>3639</v>
      </c>
      <c r="L89" s="1" t="s">
        <v>3640</v>
      </c>
      <c r="M89" s="14" t="s">
        <v>9158</v>
      </c>
      <c r="N89" s="14" t="s">
        <v>9158</v>
      </c>
      <c r="O89" s="9" t="s">
        <v>9158</v>
      </c>
      <c r="P89" s="14" t="s">
        <v>9158</v>
      </c>
      <c r="Q89" s="14" t="s">
        <v>9158</v>
      </c>
    </row>
    <row r="90" spans="1:17">
      <c r="O90" s="7"/>
    </row>
    <row r="91" spans="1:17">
      <c r="A91" s="1" t="s">
        <v>4980</v>
      </c>
      <c r="O91" s="7"/>
    </row>
    <row r="92" spans="1:17" s="14" customFormat="1">
      <c r="A92" s="1" t="s">
        <v>4981</v>
      </c>
      <c r="O92" s="9"/>
    </row>
    <row r="93" spans="1:17">
      <c r="A93" s="14" t="s">
        <v>9461</v>
      </c>
      <c r="B93" s="1" t="s">
        <v>330</v>
      </c>
      <c r="C93" s="1" t="s">
        <v>205</v>
      </c>
      <c r="D93" s="19" t="s">
        <v>272</v>
      </c>
      <c r="E93" s="15" t="str">
        <f>HYPERLINK("https://stat100.ameba.jp/tnk47/ratio20/illustrations/card/ill_68783_0_gantammomotaro03.jpg?201906-2-RELEASE-unionbattle-413x", "■")</f>
        <v>■</v>
      </c>
      <c r="F93" s="1" t="s">
        <v>273</v>
      </c>
      <c r="G93" s="1">
        <v>150466</v>
      </c>
      <c r="H93" s="1">
        <v>139878</v>
      </c>
      <c r="I93" s="1">
        <v>22</v>
      </c>
      <c r="J93" s="1" t="s">
        <v>274</v>
      </c>
      <c r="K93" s="1" t="s">
        <v>275</v>
      </c>
      <c r="L93" s="1" t="s">
        <v>276</v>
      </c>
      <c r="M93" s="14" t="s">
        <v>9158</v>
      </c>
      <c r="N93" s="14" t="s">
        <v>9158</v>
      </c>
      <c r="O93" s="6" t="s">
        <v>9992</v>
      </c>
      <c r="P93" s="1" t="s">
        <v>3451</v>
      </c>
      <c r="Q93" s="1">
        <v>1</v>
      </c>
    </row>
    <row r="94" spans="1:17">
      <c r="A94" s="14" t="s">
        <v>9462</v>
      </c>
      <c r="B94" s="1" t="s">
        <v>52</v>
      </c>
      <c r="C94" s="1" t="s">
        <v>14</v>
      </c>
      <c r="D94" s="19" t="s">
        <v>3195</v>
      </c>
      <c r="E94" s="15" t="str">
        <f>HYPERLINK("https://stat100.ameba.jp/tnk47/ratio20/illustrations/card/ill_75393_0_resukuinotsukisamaniittausagi03.jpg?201906-2-RELEASE-unionbattle-413x", "■")</f>
        <v>■</v>
      </c>
      <c r="F94" s="1" t="s">
        <v>3248</v>
      </c>
      <c r="G94" s="1">
        <v>250588</v>
      </c>
      <c r="H94" s="1">
        <v>232980</v>
      </c>
      <c r="I94" s="1">
        <v>22</v>
      </c>
      <c r="J94" s="1" t="s">
        <v>26</v>
      </c>
      <c r="K94" s="1" t="s">
        <v>3249</v>
      </c>
      <c r="L94" s="1" t="s">
        <v>3250</v>
      </c>
      <c r="M94" s="14" t="s">
        <v>9158</v>
      </c>
      <c r="N94" s="14" t="s">
        <v>9158</v>
      </c>
      <c r="O94" s="6" t="s">
        <v>10051</v>
      </c>
      <c r="P94" s="1" t="s">
        <v>3251</v>
      </c>
      <c r="Q94" s="1">
        <v>2</v>
      </c>
    </row>
    <row r="95" spans="1:17">
      <c r="A95" s="14">
        <v>81903</v>
      </c>
      <c r="B95" s="1" t="s">
        <v>334</v>
      </c>
      <c r="C95" s="1" t="s">
        <v>4982</v>
      </c>
      <c r="D95" s="19" t="s">
        <v>10200</v>
      </c>
      <c r="E95" s="15" t="str">
        <f>HYPERLINK("https://stat100.ameba.jp/tnk47/ratio20/illustrations/card/ill_81903_kiryuhimeiren03.jpg?201906-2-RELEASE-unionbattle-413x", "■")</f>
        <v>■</v>
      </c>
      <c r="F95" s="1" t="s">
        <v>4983</v>
      </c>
      <c r="G95" s="1">
        <v>79348</v>
      </c>
      <c r="H95" s="1">
        <v>109554</v>
      </c>
      <c r="I95" s="1">
        <v>24</v>
      </c>
      <c r="J95" s="1" t="s">
        <v>4984</v>
      </c>
      <c r="K95" s="1" t="s">
        <v>4985</v>
      </c>
      <c r="L95" s="1" t="s">
        <v>4986</v>
      </c>
      <c r="M95" s="14" t="s">
        <v>9158</v>
      </c>
      <c r="N95" s="14" t="s">
        <v>9158</v>
      </c>
      <c r="O95" s="6" t="s">
        <v>10064</v>
      </c>
      <c r="P95" s="1" t="s">
        <v>13150</v>
      </c>
      <c r="Q95" s="1">
        <v>1</v>
      </c>
    </row>
    <row r="96" spans="1:17">
      <c r="A96" s="14">
        <v>58263</v>
      </c>
      <c r="B96" s="1" t="s">
        <v>334</v>
      </c>
      <c r="C96" s="1" t="s">
        <v>203</v>
      </c>
      <c r="D96" s="19" t="s">
        <v>679</v>
      </c>
      <c r="E96" s="15" t="str">
        <f>HYPERLINK("https://stat100.ameba.jp/tnk47/ratio20/illustrations/card/ill_58263_tamayorigozen03.jpg?201906-2-RELEASE-unionbattle-413x", "■")</f>
        <v>■</v>
      </c>
      <c r="F96" s="1" t="s">
        <v>680</v>
      </c>
      <c r="G96" s="1">
        <v>66487</v>
      </c>
      <c r="H96" s="1">
        <v>91779</v>
      </c>
      <c r="I96" s="1">
        <v>21</v>
      </c>
      <c r="J96" s="1" t="s">
        <v>351</v>
      </c>
      <c r="K96" s="1" t="s">
        <v>681</v>
      </c>
      <c r="L96" s="1" t="s">
        <v>682</v>
      </c>
      <c r="M96" s="14" t="s">
        <v>9158</v>
      </c>
      <c r="N96" s="14" t="s">
        <v>9158</v>
      </c>
      <c r="O96" s="9" t="s">
        <v>9158</v>
      </c>
      <c r="P96" s="14" t="s">
        <v>9158</v>
      </c>
      <c r="Q96" s="14" t="s">
        <v>9158</v>
      </c>
    </row>
    <row r="97" spans="1:18">
      <c r="A97" s="14">
        <v>70383</v>
      </c>
      <c r="B97" s="1" t="s">
        <v>334</v>
      </c>
      <c r="C97" s="1" t="s">
        <v>41</v>
      </c>
      <c r="D97" s="19" t="s">
        <v>10201</v>
      </c>
      <c r="E97" s="15" t="str">
        <f>HYPERLINK("https://stat100.ameba.jp/tnk47/ratio20/illustrations/card/ill_70383_saraudon03.jpg?201906-2-RELEASE-unionbattle-413x", "■")</f>
        <v>■</v>
      </c>
      <c r="F97" s="1" t="s">
        <v>3487</v>
      </c>
      <c r="G97" s="1">
        <v>111000</v>
      </c>
      <c r="H97" s="1">
        <v>80391</v>
      </c>
      <c r="I97" s="1">
        <v>21</v>
      </c>
      <c r="J97" s="1" t="s">
        <v>104</v>
      </c>
      <c r="K97" s="1" t="s">
        <v>3488</v>
      </c>
      <c r="L97" s="1" t="s">
        <v>3489</v>
      </c>
      <c r="M97" s="14" t="s">
        <v>9158</v>
      </c>
      <c r="N97" s="14" t="s">
        <v>9158</v>
      </c>
      <c r="O97" s="9" t="s">
        <v>9158</v>
      </c>
      <c r="P97" s="14" t="s">
        <v>9158</v>
      </c>
      <c r="Q97" s="14" t="s">
        <v>9158</v>
      </c>
    </row>
    <row r="98" spans="1:18">
      <c r="A98" s="14">
        <v>67953</v>
      </c>
      <c r="B98" s="1" t="s">
        <v>334</v>
      </c>
      <c r="C98" s="1" t="s">
        <v>154</v>
      </c>
      <c r="D98" s="19" t="s">
        <v>10202</v>
      </c>
      <c r="E98" s="15" t="str">
        <f>HYPERLINK("https://stat100.ameba.jp/tnk47/ratio20/illustrations/card/ill_67953_kutaniyaki03.jpg?201906-2-RELEASE-unionbattle-413x", "■")</f>
        <v>■</v>
      </c>
      <c r="F98" s="1" t="s">
        <v>2487</v>
      </c>
      <c r="G98" s="1">
        <v>69051</v>
      </c>
      <c r="H98" s="1">
        <v>95307</v>
      </c>
      <c r="I98" s="1">
        <v>21</v>
      </c>
      <c r="J98" s="1" t="s">
        <v>26</v>
      </c>
      <c r="K98" s="1" t="s">
        <v>2488</v>
      </c>
      <c r="L98" s="1" t="s">
        <v>2489</v>
      </c>
      <c r="M98" s="14" t="s">
        <v>9158</v>
      </c>
      <c r="N98" s="14" t="s">
        <v>9158</v>
      </c>
      <c r="O98" s="6" t="s">
        <v>10053</v>
      </c>
      <c r="P98" s="1" t="s">
        <v>3592</v>
      </c>
      <c r="Q98" s="1">
        <v>1</v>
      </c>
    </row>
    <row r="99" spans="1:18">
      <c r="A99" s="14">
        <v>54203</v>
      </c>
      <c r="B99" s="1" t="s">
        <v>0</v>
      </c>
      <c r="C99" s="1" t="s">
        <v>262</v>
      </c>
      <c r="D99" s="19" t="s">
        <v>10203</v>
      </c>
      <c r="E99" s="15" t="str">
        <f>HYPERLINK("https://stat100.ameba.jp/tnk47/ratio20/illustrations/card/ill_54203_dazaiosamu03.jpg?201906-2-RELEASE-unionbattle-413x", "■")</f>
        <v>■</v>
      </c>
      <c r="F99" s="1" t="s">
        <v>1949</v>
      </c>
      <c r="G99" s="1">
        <v>86668</v>
      </c>
      <c r="H99" s="1">
        <v>63547</v>
      </c>
      <c r="I99" s="1">
        <v>21</v>
      </c>
      <c r="J99" s="1" t="s">
        <v>16</v>
      </c>
      <c r="K99" s="1" t="s">
        <v>1950</v>
      </c>
      <c r="L99" s="1" t="s">
        <v>1951</v>
      </c>
      <c r="M99" s="14" t="s">
        <v>9158</v>
      </c>
      <c r="N99" s="14" t="s">
        <v>9158</v>
      </c>
      <c r="O99" s="9" t="s">
        <v>9158</v>
      </c>
      <c r="P99" s="14" t="s">
        <v>9158</v>
      </c>
      <c r="Q99" s="14" t="s">
        <v>9158</v>
      </c>
    </row>
    <row r="100" spans="1:18">
      <c r="A100" s="14">
        <v>66353</v>
      </c>
      <c r="B100" s="1" t="s">
        <v>334</v>
      </c>
      <c r="C100" s="1" t="s">
        <v>269</v>
      </c>
      <c r="D100" s="19" t="s">
        <v>440</v>
      </c>
      <c r="E100" s="15" t="str">
        <f>HYPERLINK("https://stat100.ameba.jp/tnk47/ratio20/illustrations/card/ill_66353_kajiwaranyudotoan03.jpg?201906-2-RELEASE-unionbattle-413x", "■")</f>
        <v>■</v>
      </c>
      <c r="F100" s="1" t="s">
        <v>441</v>
      </c>
      <c r="G100" s="1">
        <v>139716</v>
      </c>
      <c r="H100" s="1">
        <v>101199</v>
      </c>
      <c r="I100" s="1">
        <v>21</v>
      </c>
      <c r="J100" s="1" t="s">
        <v>310</v>
      </c>
      <c r="K100" s="1" t="s">
        <v>442</v>
      </c>
      <c r="L100" s="1" t="s">
        <v>443</v>
      </c>
      <c r="M100" s="14" t="s">
        <v>9158</v>
      </c>
      <c r="N100" s="14" t="s">
        <v>9158</v>
      </c>
      <c r="O100" s="6" t="s">
        <v>10054</v>
      </c>
      <c r="P100" s="1" t="s">
        <v>3672</v>
      </c>
      <c r="Q100" s="1">
        <v>1</v>
      </c>
    </row>
    <row r="101" spans="1:18">
      <c r="O101" s="7"/>
    </row>
    <row r="102" spans="1:18">
      <c r="A102" s="1" t="s">
        <v>195</v>
      </c>
      <c r="O102" s="7"/>
    </row>
    <row r="103" spans="1:18" s="14" customFormat="1">
      <c r="A103" s="1" t="s">
        <v>4979</v>
      </c>
      <c r="O103" s="9"/>
    </row>
    <row r="104" spans="1:18">
      <c r="A104" s="14">
        <v>71013</v>
      </c>
      <c r="B104" s="1" t="s">
        <v>334</v>
      </c>
      <c r="C104" s="1" t="s">
        <v>154</v>
      </c>
      <c r="D104" s="19" t="s">
        <v>837</v>
      </c>
      <c r="E104" s="15" t="str">
        <f>HYPERLINK("https://stat100.ameba.jp/tnk47/ratio20/illustrations/card/ill_71013_fujutsushisarashina03.jpg?201906-2-RELEASE-unionbattle-413x", "■")</f>
        <v>■</v>
      </c>
      <c r="F104" s="1" t="s">
        <v>838</v>
      </c>
      <c r="G104" s="1">
        <v>88226</v>
      </c>
      <c r="H104" s="1">
        <v>94886</v>
      </c>
      <c r="I104" s="1">
        <v>22</v>
      </c>
      <c r="J104" s="1" t="s">
        <v>155</v>
      </c>
      <c r="K104" s="1" t="s">
        <v>1231</v>
      </c>
      <c r="L104" s="1" t="s">
        <v>13152</v>
      </c>
      <c r="M104" s="14" t="s">
        <v>9158</v>
      </c>
      <c r="N104" s="14" t="s">
        <v>9158</v>
      </c>
      <c r="O104" s="9" t="s">
        <v>9158</v>
      </c>
      <c r="P104" s="14" t="s">
        <v>9158</v>
      </c>
      <c r="Q104" s="14" t="s">
        <v>9158</v>
      </c>
    </row>
    <row r="105" spans="1:18">
      <c r="A105" s="14">
        <v>71023</v>
      </c>
      <c r="B105" s="1" t="s">
        <v>334</v>
      </c>
      <c r="C105" s="1" t="s">
        <v>158</v>
      </c>
      <c r="D105" s="19" t="s">
        <v>841</v>
      </c>
      <c r="E105" s="15" t="str">
        <f>HYPERLINK("https://stat100.ameba.jp/tnk47/ratio20/illustrations/card/ill_71023_ommyojiiroha03.jpg?201906-2-RELEASE-unionbattle-413x", "■")</f>
        <v>■</v>
      </c>
      <c r="F105" s="1" t="s">
        <v>842</v>
      </c>
      <c r="G105" s="1">
        <v>88226</v>
      </c>
      <c r="H105" s="1">
        <v>94886</v>
      </c>
      <c r="I105" s="1">
        <v>22</v>
      </c>
      <c r="J105" s="1" t="s">
        <v>159</v>
      </c>
      <c r="K105" s="1" t="s">
        <v>1232</v>
      </c>
      <c r="L105" s="1" t="s">
        <v>1233</v>
      </c>
      <c r="M105" s="14" t="s">
        <v>9158</v>
      </c>
      <c r="N105" s="14" t="s">
        <v>9158</v>
      </c>
      <c r="O105" s="9" t="s">
        <v>9158</v>
      </c>
      <c r="P105" s="14" t="s">
        <v>9158</v>
      </c>
      <c r="Q105" s="14" t="s">
        <v>9158</v>
      </c>
    </row>
    <row r="106" spans="1:18">
      <c r="A106" s="14">
        <v>66053</v>
      </c>
      <c r="B106" s="1" t="s">
        <v>334</v>
      </c>
      <c r="C106" s="1" t="s">
        <v>205</v>
      </c>
      <c r="D106" s="19" t="s">
        <v>3046</v>
      </c>
      <c r="E106" s="15" t="str">
        <f>HYPERLINK("https://stat100.ameba.jp/tnk47/ratio20/illustrations/card/ill_66053_serebukushiyatamanokami03.jpg?201906-2-RELEASE-unionbattle-413x", "■")</f>
        <v>■</v>
      </c>
      <c r="F106" s="1" t="s">
        <v>2265</v>
      </c>
      <c r="G106" s="1">
        <v>89736</v>
      </c>
      <c r="H106" s="1">
        <v>83426</v>
      </c>
      <c r="I106" s="1">
        <v>22</v>
      </c>
      <c r="J106" s="1" t="s">
        <v>44</v>
      </c>
      <c r="K106" s="1" t="s">
        <v>2266</v>
      </c>
      <c r="L106" s="1" t="s">
        <v>1860</v>
      </c>
      <c r="M106" s="14" t="s">
        <v>9158</v>
      </c>
      <c r="N106" s="14" t="s">
        <v>9158</v>
      </c>
      <c r="O106" s="9" t="s">
        <v>9158</v>
      </c>
      <c r="P106" s="14" t="s">
        <v>9158</v>
      </c>
      <c r="Q106" s="14" t="s">
        <v>9158</v>
      </c>
    </row>
    <row r="107" spans="1:18">
      <c r="A107" s="14">
        <v>65923</v>
      </c>
      <c r="B107" s="1" t="s">
        <v>334</v>
      </c>
      <c r="C107" s="1" t="s">
        <v>185</v>
      </c>
      <c r="D107" s="19" t="s">
        <v>10204</v>
      </c>
      <c r="E107" s="15" t="str">
        <f>HYPERLINK("https://stat100.ameba.jp/tnk47/ratio20/illustrations/card/ill_65923_arabianginko03.jpg?201906-2-RELEASE-unionbattle-413x", "■")</f>
        <v>■</v>
      </c>
      <c r="F107" s="1" t="s">
        <v>4978</v>
      </c>
      <c r="G107" s="1">
        <v>91664</v>
      </c>
      <c r="H107" s="1">
        <v>85246</v>
      </c>
      <c r="I107" s="1">
        <v>22</v>
      </c>
      <c r="J107" s="1" t="s">
        <v>182</v>
      </c>
      <c r="K107" s="1" t="s">
        <v>3679</v>
      </c>
      <c r="L107" s="1" t="s">
        <v>13188</v>
      </c>
      <c r="M107" s="14" t="s">
        <v>9158</v>
      </c>
      <c r="N107" s="14" t="s">
        <v>9158</v>
      </c>
      <c r="O107" s="9" t="s">
        <v>9158</v>
      </c>
      <c r="P107" s="14" t="s">
        <v>9158</v>
      </c>
      <c r="Q107" s="14" t="s">
        <v>9158</v>
      </c>
    </row>
    <row r="108" spans="1:18">
      <c r="O108" s="7"/>
    </row>
    <row r="109" spans="1:18">
      <c r="A109" s="1" t="s">
        <v>4987</v>
      </c>
      <c r="O109" s="7"/>
    </row>
    <row r="110" spans="1:18" s="14" customFormat="1">
      <c r="A110" s="1" t="s">
        <v>4988</v>
      </c>
      <c r="O110" s="9"/>
    </row>
    <row r="111" spans="1:18">
      <c r="A111" s="14">
        <v>78805</v>
      </c>
      <c r="B111" s="1" t="s">
        <v>334</v>
      </c>
      <c r="C111" s="1" t="s">
        <v>4989</v>
      </c>
      <c r="D111" s="19" t="s">
        <v>2783</v>
      </c>
      <c r="E111" s="15" t="str">
        <f>HYPERLINK("https://stat100.ameba.jp/tnk47/ratio20/illustrations/card/ill_78805_waishatsuakaiteruko05.jpg?201906-2-RELEASE-unionbattle-413x", "■")</f>
        <v>■</v>
      </c>
      <c r="F111" s="1" t="s">
        <v>4995</v>
      </c>
      <c r="G111" s="1">
        <v>172793</v>
      </c>
      <c r="H111" s="1">
        <v>125123</v>
      </c>
      <c r="I111" s="1">
        <v>23</v>
      </c>
      <c r="J111" s="1" t="s">
        <v>4996</v>
      </c>
      <c r="K111" s="1" t="s">
        <v>4997</v>
      </c>
      <c r="L111" s="1" t="s">
        <v>4998</v>
      </c>
      <c r="M111" s="14" t="s">
        <v>9158</v>
      </c>
      <c r="N111" s="14" t="s">
        <v>9158</v>
      </c>
      <c r="O111" s="9" t="s">
        <v>9158</v>
      </c>
      <c r="P111" s="14" t="s">
        <v>9158</v>
      </c>
      <c r="Q111" s="14" t="s">
        <v>9158</v>
      </c>
      <c r="R111" s="1" t="s">
        <v>4992</v>
      </c>
    </row>
    <row r="112" spans="1:18">
      <c r="A112" s="14">
        <v>78803</v>
      </c>
      <c r="B112" s="1" t="s">
        <v>15</v>
      </c>
      <c r="C112" s="1" t="s">
        <v>4990</v>
      </c>
      <c r="D112" s="19" t="s">
        <v>2783</v>
      </c>
      <c r="E112" s="15" t="str">
        <f>HYPERLINK("https://stat100.ameba.jp/tnk47/ratio20/illustrations/card/ill_78803_waishatsuakaiteruko03.jpg?201906-2-RELEASE-unionbattle-413x", "■")</f>
        <v>■</v>
      </c>
      <c r="F112" s="1" t="s">
        <v>4995</v>
      </c>
      <c r="G112" s="1">
        <v>127315</v>
      </c>
      <c r="H112" s="1">
        <v>92193</v>
      </c>
      <c r="I112" s="1">
        <v>23</v>
      </c>
      <c r="J112" s="1" t="s">
        <v>4996</v>
      </c>
      <c r="K112" s="1" t="s">
        <v>4997</v>
      </c>
      <c r="L112" s="1" t="s">
        <v>4999</v>
      </c>
      <c r="M112" s="14" t="s">
        <v>9158</v>
      </c>
      <c r="N112" s="14" t="s">
        <v>9158</v>
      </c>
      <c r="O112" s="9" t="s">
        <v>9158</v>
      </c>
      <c r="P112" s="14" t="s">
        <v>9158</v>
      </c>
      <c r="Q112" s="14" t="s">
        <v>9158</v>
      </c>
      <c r="R112" s="1" t="s">
        <v>4993</v>
      </c>
    </row>
    <row r="113" spans="1:18">
      <c r="A113" s="14">
        <v>78801</v>
      </c>
      <c r="B113" s="1" t="s">
        <v>15</v>
      </c>
      <c r="C113" s="1" t="s">
        <v>4990</v>
      </c>
      <c r="D113" s="19" t="s">
        <v>2783</v>
      </c>
      <c r="E113" s="15" t="str">
        <f>HYPERLINK("https://stat100.ameba.jp/tnk47/ratio20/illustrations/card/ill_78801_waishatsuakaiteruko01.jpg?201906-2-RELEASE-unionbattle-413x", "■")</f>
        <v>■</v>
      </c>
      <c r="F113" s="1" t="s">
        <v>4995</v>
      </c>
      <c r="G113" s="1">
        <v>80983</v>
      </c>
      <c r="H113" s="1">
        <v>58650</v>
      </c>
      <c r="I113" s="1">
        <v>23</v>
      </c>
      <c r="J113" s="1" t="s">
        <v>4996</v>
      </c>
      <c r="K113" s="1" t="s">
        <v>4997</v>
      </c>
      <c r="L113" s="1" t="s">
        <v>5000</v>
      </c>
      <c r="M113" s="14" t="s">
        <v>9158</v>
      </c>
      <c r="N113" s="14" t="s">
        <v>9158</v>
      </c>
      <c r="O113" s="9" t="s">
        <v>9158</v>
      </c>
      <c r="P113" s="14" t="s">
        <v>9158</v>
      </c>
      <c r="Q113" s="14" t="s">
        <v>9158</v>
      </c>
      <c r="R113" s="1" t="s">
        <v>4994</v>
      </c>
    </row>
    <row r="114" spans="1:18">
      <c r="A114" s="14">
        <v>77625</v>
      </c>
      <c r="B114" s="1" t="s">
        <v>334</v>
      </c>
      <c r="C114" s="1" t="s">
        <v>4989</v>
      </c>
      <c r="D114" s="19" t="s">
        <v>1407</v>
      </c>
      <c r="E114" s="15" t="str">
        <f>HYPERLINK("https://stat100.ameba.jp/tnk47/ratio20/illustrations/card/ill_77625_hakuinotenshioginoginko05.jpg?201906-2-RELEASE-unionbattle-413x", "■")</f>
        <v>■</v>
      </c>
      <c r="F114" s="1" t="s">
        <v>5001</v>
      </c>
      <c r="G114" s="1">
        <v>172793</v>
      </c>
      <c r="H114" s="1">
        <v>172793</v>
      </c>
      <c r="I114" s="1">
        <v>23</v>
      </c>
      <c r="J114" s="1" t="s">
        <v>5002</v>
      </c>
      <c r="K114" s="1" t="s">
        <v>5003</v>
      </c>
      <c r="L114" s="1" t="s">
        <v>5004</v>
      </c>
      <c r="M114" s="14" t="s">
        <v>9158</v>
      </c>
      <c r="N114" s="14" t="s">
        <v>9158</v>
      </c>
      <c r="O114" s="9" t="s">
        <v>9158</v>
      </c>
      <c r="P114" s="14" t="s">
        <v>9158</v>
      </c>
      <c r="Q114" s="14" t="s">
        <v>9158</v>
      </c>
      <c r="R114" s="1" t="s">
        <v>4992</v>
      </c>
    </row>
    <row r="115" spans="1:18">
      <c r="A115" s="14">
        <v>77623</v>
      </c>
      <c r="B115" s="1" t="s">
        <v>15</v>
      </c>
      <c r="C115" s="1" t="s">
        <v>4990</v>
      </c>
      <c r="D115" s="19" t="s">
        <v>1407</v>
      </c>
      <c r="E115" s="15" t="str">
        <f>HYPERLINK("https://stat100.ameba.jp/tnk47/ratio20/illustrations/card/ill_77623_hakuinotenshioginoginko03.jpg?201906-2-RELEASE-unionbattle-413x", "■")</f>
        <v>■</v>
      </c>
      <c r="F115" s="1" t="s">
        <v>5001</v>
      </c>
      <c r="G115" s="1">
        <v>127315</v>
      </c>
      <c r="H115" s="1">
        <v>92193</v>
      </c>
      <c r="I115" s="1">
        <v>23</v>
      </c>
      <c r="J115" s="1" t="s">
        <v>5002</v>
      </c>
      <c r="K115" s="1" t="s">
        <v>5003</v>
      </c>
      <c r="L115" s="1" t="s">
        <v>5005</v>
      </c>
      <c r="M115" s="14" t="s">
        <v>9158</v>
      </c>
      <c r="N115" s="14" t="s">
        <v>9158</v>
      </c>
      <c r="O115" s="9" t="s">
        <v>9158</v>
      </c>
      <c r="P115" s="14" t="s">
        <v>9158</v>
      </c>
      <c r="Q115" s="14" t="s">
        <v>9158</v>
      </c>
      <c r="R115" s="1" t="s">
        <v>4993</v>
      </c>
    </row>
    <row r="116" spans="1:18">
      <c r="A116" s="14">
        <v>77621</v>
      </c>
      <c r="B116" s="1" t="s">
        <v>15</v>
      </c>
      <c r="C116" s="1" t="s">
        <v>4990</v>
      </c>
      <c r="D116" s="19" t="s">
        <v>1407</v>
      </c>
      <c r="E116" s="15" t="str">
        <f>HYPERLINK("https://stat100.ameba.jp/tnk47/ratio20/illustrations/card/ill_77621_hakuinotenshioginoginko01.jpg?201906-2-RELEASE-unionbattle-413x", "■")</f>
        <v>■</v>
      </c>
      <c r="F116" s="1" t="s">
        <v>5001</v>
      </c>
      <c r="G116" s="1">
        <v>80983</v>
      </c>
      <c r="H116" s="1">
        <v>58650</v>
      </c>
      <c r="I116" s="1">
        <v>23</v>
      </c>
      <c r="J116" s="1" t="s">
        <v>5002</v>
      </c>
      <c r="K116" s="1" t="s">
        <v>5003</v>
      </c>
      <c r="L116" s="1" t="s">
        <v>5006</v>
      </c>
      <c r="M116" s="14" t="s">
        <v>9158</v>
      </c>
      <c r="N116" s="14" t="s">
        <v>9158</v>
      </c>
      <c r="O116" s="9" t="s">
        <v>9158</v>
      </c>
      <c r="P116" s="14" t="s">
        <v>9158</v>
      </c>
      <c r="Q116" s="14" t="s">
        <v>9158</v>
      </c>
      <c r="R116" s="1" t="s">
        <v>4994</v>
      </c>
    </row>
    <row r="117" spans="1:18">
      <c r="A117" s="14">
        <v>75035</v>
      </c>
      <c r="B117" s="1" t="s">
        <v>334</v>
      </c>
      <c r="C117" s="1" t="s">
        <v>4989</v>
      </c>
      <c r="D117" s="19" t="s">
        <v>2926</v>
      </c>
      <c r="E117" s="15" t="str">
        <f>HYPERLINK("https://stat100.ameba.jp/tnk47/ratio20/illustrations/card/ill_75035_mutsumunemitsu05.jpg?201906-2-RELEASE-unionbattle-413x", "■")</f>
        <v>■</v>
      </c>
      <c r="F117" s="1" t="s">
        <v>5007</v>
      </c>
      <c r="G117" s="1">
        <v>113524</v>
      </c>
      <c r="H117" s="1">
        <v>113524</v>
      </c>
      <c r="I117" s="1">
        <v>23</v>
      </c>
      <c r="J117" s="1" t="s">
        <v>5008</v>
      </c>
      <c r="K117" s="1" t="s">
        <v>5009</v>
      </c>
      <c r="L117" s="1" t="s">
        <v>5011</v>
      </c>
      <c r="M117" s="14" t="s">
        <v>9158</v>
      </c>
      <c r="N117" s="14" t="s">
        <v>9158</v>
      </c>
      <c r="O117" s="9" t="s">
        <v>9158</v>
      </c>
      <c r="P117" s="14" t="s">
        <v>9158</v>
      </c>
      <c r="Q117" s="14" t="s">
        <v>9158</v>
      </c>
      <c r="R117" s="1" t="s">
        <v>4992</v>
      </c>
    </row>
    <row r="118" spans="1:18">
      <c r="A118" s="14">
        <v>75033</v>
      </c>
      <c r="B118" s="1" t="s">
        <v>15</v>
      </c>
      <c r="C118" s="1" t="s">
        <v>4991</v>
      </c>
      <c r="D118" s="19" t="s">
        <v>2926</v>
      </c>
      <c r="E118" s="15" t="str">
        <f>HYPERLINK("https://stat100.ameba.jp/tnk47/ratio20/illustrations/card/ill_75033_mutsumunemitsu03.jpg?201906-2-RELEASE-unionbattle-413x", "■")</f>
        <v>■</v>
      </c>
      <c r="F118" s="1" t="s">
        <v>5007</v>
      </c>
      <c r="G118" s="1">
        <v>83635</v>
      </c>
      <c r="H118" s="1">
        <v>60547</v>
      </c>
      <c r="I118" s="1">
        <v>23</v>
      </c>
      <c r="J118" s="1" t="s">
        <v>5008</v>
      </c>
      <c r="K118" s="1" t="s">
        <v>5009</v>
      </c>
      <c r="L118" s="1" t="s">
        <v>5010</v>
      </c>
      <c r="M118" s="14" t="s">
        <v>9158</v>
      </c>
      <c r="N118" s="14" t="s">
        <v>9158</v>
      </c>
      <c r="O118" s="9" t="s">
        <v>9158</v>
      </c>
      <c r="P118" s="14" t="s">
        <v>9158</v>
      </c>
      <c r="Q118" s="14" t="s">
        <v>9158</v>
      </c>
      <c r="R118" s="1" t="s">
        <v>4993</v>
      </c>
    </row>
    <row r="119" spans="1:18">
      <c r="A119" s="14">
        <v>75031</v>
      </c>
      <c r="B119" s="1" t="s">
        <v>15</v>
      </c>
      <c r="C119" s="1" t="s">
        <v>4991</v>
      </c>
      <c r="D119" s="19" t="s">
        <v>2926</v>
      </c>
      <c r="E119" s="15" t="str">
        <f>HYPERLINK("https://stat100.ameba.jp/tnk47/ratio20/illustrations/card/ill_75031_mutsumunemitsu01.jpg?201906-2-RELEASE-unionbattle-413x", "■")</f>
        <v>■</v>
      </c>
      <c r="F119" s="1" t="s">
        <v>5007</v>
      </c>
      <c r="G119" s="1">
        <v>53199</v>
      </c>
      <c r="H119" s="1">
        <v>38502</v>
      </c>
      <c r="I119" s="1">
        <v>23</v>
      </c>
      <c r="J119" s="1" t="s">
        <v>5008</v>
      </c>
      <c r="K119" s="1" t="s">
        <v>5009</v>
      </c>
      <c r="L119" s="1" t="s">
        <v>5012</v>
      </c>
      <c r="M119" s="14" t="s">
        <v>9158</v>
      </c>
      <c r="N119" s="14" t="s">
        <v>9158</v>
      </c>
      <c r="O119" s="9" t="s">
        <v>9158</v>
      </c>
      <c r="P119" s="14" t="s">
        <v>9158</v>
      </c>
      <c r="Q119" s="14" t="s">
        <v>9158</v>
      </c>
      <c r="R119" s="1" t="s">
        <v>4994</v>
      </c>
    </row>
    <row r="120" spans="1:18">
      <c r="O120" s="7"/>
    </row>
    <row r="121" spans="1:18">
      <c r="A121" s="1" t="s">
        <v>5013</v>
      </c>
      <c r="O121" s="7"/>
    </row>
    <row r="122" spans="1:18" s="14" customFormat="1">
      <c r="A122" s="1" t="s">
        <v>5014</v>
      </c>
      <c r="O122" s="9"/>
    </row>
    <row r="123" spans="1:18">
      <c r="A123" s="14" t="s">
        <v>9467</v>
      </c>
      <c r="B123" s="1" t="s">
        <v>330</v>
      </c>
      <c r="C123" s="1" t="s">
        <v>267</v>
      </c>
      <c r="D123" s="19" t="s">
        <v>313</v>
      </c>
      <c r="E123" s="15" t="str">
        <f>HYPERLINK("https://stat100.ameba.jp/tnk47/ratio20/illustrations/card/ill_56223_0_onsempanikkugohime03.jpg?201906-2-RELEASE-unionbattle-413x", "■")</f>
        <v>■</v>
      </c>
      <c r="F123" s="1" t="s">
        <v>314</v>
      </c>
      <c r="G123" s="1">
        <v>83712</v>
      </c>
      <c r="H123" s="1">
        <v>94236</v>
      </c>
      <c r="I123" s="1">
        <v>15</v>
      </c>
      <c r="J123" s="1" t="s">
        <v>315</v>
      </c>
      <c r="K123" s="1" t="s">
        <v>316</v>
      </c>
      <c r="L123" s="1" t="s">
        <v>317</v>
      </c>
      <c r="M123" s="14" t="s">
        <v>9158</v>
      </c>
      <c r="N123" s="14" t="s">
        <v>9158</v>
      </c>
      <c r="O123" s="7" t="s">
        <v>3021</v>
      </c>
      <c r="P123" s="1" t="s">
        <v>2890</v>
      </c>
      <c r="Q123" s="1">
        <v>1</v>
      </c>
    </row>
    <row r="124" spans="1:18">
      <c r="A124" s="14" t="s">
        <v>9468</v>
      </c>
      <c r="B124" s="1" t="s">
        <v>330</v>
      </c>
      <c r="C124" s="1" t="s">
        <v>270</v>
      </c>
      <c r="D124" s="19" t="s">
        <v>331</v>
      </c>
      <c r="E124" s="15" t="str">
        <f>HYPERLINK("https://stat100.ameba.jp/tnk47/ratio20/illustrations/card/ill_76303_0_haroinkaguya03.jpg?201906-2-RELEASE-unionbattle-413x", "■")</f>
        <v>■</v>
      </c>
      <c r="F124" s="1" t="s">
        <v>332</v>
      </c>
      <c r="G124" s="1">
        <v>178507</v>
      </c>
      <c r="H124" s="1">
        <v>165953</v>
      </c>
      <c r="I124" s="1">
        <v>15</v>
      </c>
      <c r="J124" s="1" t="s">
        <v>274</v>
      </c>
      <c r="K124" s="1" t="s">
        <v>333</v>
      </c>
      <c r="L124" s="1" t="s">
        <v>276</v>
      </c>
      <c r="M124" s="14" t="s">
        <v>9158</v>
      </c>
      <c r="N124" s="14" t="s">
        <v>9158</v>
      </c>
      <c r="O124" s="7" t="s">
        <v>2723</v>
      </c>
      <c r="P124" s="1" t="s">
        <v>2724</v>
      </c>
      <c r="Q124" s="1">
        <v>1</v>
      </c>
    </row>
    <row r="125" spans="1:18">
      <c r="A125" s="14" t="s">
        <v>9469</v>
      </c>
      <c r="B125" s="1" t="s">
        <v>330</v>
      </c>
      <c r="C125" s="1" t="s">
        <v>206</v>
      </c>
      <c r="D125" s="19" t="s">
        <v>11655</v>
      </c>
      <c r="E125" s="15" t="str">
        <f>HYPERLINK("https://stat100.ameba.jp/tnk47/ratio20/illustrations/card/ill_47263_0_oukyuuatsuhime03.jpg?201906-2-RELEASE-unionbattle-413x", "■")</f>
        <v>■</v>
      </c>
      <c r="F125" s="1" t="s">
        <v>615</v>
      </c>
      <c r="G125" s="1">
        <v>94236</v>
      </c>
      <c r="H125" s="1">
        <v>83712</v>
      </c>
      <c r="I125" s="1">
        <v>15</v>
      </c>
      <c r="J125" s="1" t="s">
        <v>315</v>
      </c>
      <c r="K125" s="1" t="s">
        <v>616</v>
      </c>
      <c r="L125" s="1" t="s">
        <v>617</v>
      </c>
      <c r="M125" s="14" t="s">
        <v>9158</v>
      </c>
      <c r="N125" s="14" t="s">
        <v>9158</v>
      </c>
      <c r="O125" s="9" t="s">
        <v>9158</v>
      </c>
      <c r="P125" s="14" t="s">
        <v>9158</v>
      </c>
      <c r="Q125" s="14" t="s">
        <v>9158</v>
      </c>
    </row>
    <row r="126" spans="1:18">
      <c r="A126" s="14">
        <v>65013</v>
      </c>
      <c r="B126" s="1" t="s">
        <v>334</v>
      </c>
      <c r="C126" s="1" t="s">
        <v>165</v>
      </c>
      <c r="D126" s="19" t="s">
        <v>2882</v>
      </c>
      <c r="E126" s="15" t="str">
        <f>HYPERLINK("https://stat100.ameba.jp/tnk47/ratio20/illustrations/card/ill_65013_showaretoropoppushibanosonome03.jpg?201906-2-RELEASE-unionbattle-413x", "■")</f>
        <v>■</v>
      </c>
      <c r="F126" s="1" t="s">
        <v>2883</v>
      </c>
      <c r="G126" s="1">
        <v>93746</v>
      </c>
      <c r="H126" s="1">
        <v>87128</v>
      </c>
      <c r="I126" s="1">
        <v>24</v>
      </c>
      <c r="J126" s="1" t="s">
        <v>351</v>
      </c>
      <c r="K126" s="1" t="s">
        <v>2884</v>
      </c>
      <c r="L126" s="1" t="s">
        <v>1438</v>
      </c>
      <c r="M126" s="14" t="s">
        <v>9158</v>
      </c>
      <c r="N126" s="14" t="s">
        <v>9158</v>
      </c>
      <c r="O126" s="9" t="s">
        <v>9158</v>
      </c>
      <c r="P126" s="14" t="s">
        <v>9158</v>
      </c>
      <c r="Q126" s="14" t="s">
        <v>9158</v>
      </c>
    </row>
    <row r="127" spans="1:18">
      <c r="A127" s="14">
        <v>78213</v>
      </c>
      <c r="B127" s="1" t="s">
        <v>0</v>
      </c>
      <c r="C127" s="1" t="s">
        <v>191</v>
      </c>
      <c r="D127" s="19" t="s">
        <v>10205</v>
      </c>
      <c r="E127" s="15" t="str">
        <f>HYPERLINK("https://stat100.ameba.jp/tnk47/ratio20/illustrations/card/ill_78213_otomarijoshikaitaiyakichan03.jpg?201906-2-RELEASE-unionbattle-413x", "■")</f>
        <v>■</v>
      </c>
      <c r="F127" s="1" t="s">
        <v>2313</v>
      </c>
      <c r="G127" s="1">
        <v>142674</v>
      </c>
      <c r="H127" s="1">
        <v>132658</v>
      </c>
      <c r="I127" s="1">
        <v>24</v>
      </c>
      <c r="J127" s="1" t="s">
        <v>104</v>
      </c>
      <c r="K127" s="1" t="s">
        <v>2314</v>
      </c>
      <c r="L127" s="1" t="s">
        <v>1029</v>
      </c>
      <c r="M127" s="14" t="s">
        <v>9158</v>
      </c>
      <c r="N127" s="14" t="s">
        <v>9158</v>
      </c>
      <c r="O127" s="9" t="s">
        <v>9158</v>
      </c>
      <c r="P127" s="14" t="s">
        <v>9158</v>
      </c>
      <c r="Q127" s="14" t="s">
        <v>9158</v>
      </c>
    </row>
    <row r="128" spans="1:18">
      <c r="A128" s="14">
        <v>78123</v>
      </c>
      <c r="B128" s="1" t="s">
        <v>334</v>
      </c>
      <c r="C128" s="1" t="s">
        <v>209</v>
      </c>
      <c r="D128" s="19" t="s">
        <v>3023</v>
      </c>
      <c r="E128" s="15" t="str">
        <f>HYPERLINK("https://stat100.ameba.jp/tnk47/ratio20/illustrations/card/ill_78123_madannoteirusorushieru03.jpg?201906-2-RELEASE-unionbattle-413x", "■")</f>
        <v>■</v>
      </c>
      <c r="F128" s="1" t="s">
        <v>3024</v>
      </c>
      <c r="G128" s="1">
        <v>159674</v>
      </c>
      <c r="H128" s="1">
        <v>115656</v>
      </c>
      <c r="I128" s="1">
        <v>24</v>
      </c>
      <c r="J128" s="1" t="s">
        <v>310</v>
      </c>
      <c r="K128" s="1" t="s">
        <v>3025</v>
      </c>
      <c r="L128" s="1" t="s">
        <v>443</v>
      </c>
      <c r="M128" s="14" t="s">
        <v>9158</v>
      </c>
      <c r="N128" s="14" t="s">
        <v>9158</v>
      </c>
      <c r="O128" s="7" t="s">
        <v>2951</v>
      </c>
      <c r="P128" s="1" t="s">
        <v>13122</v>
      </c>
      <c r="Q128" s="1">
        <v>1</v>
      </c>
    </row>
    <row r="129" spans="1:17">
      <c r="O129" s="7"/>
    </row>
    <row r="130" spans="1:17">
      <c r="A130" s="1" t="s">
        <v>5016</v>
      </c>
      <c r="O130" s="7"/>
    </row>
    <row r="131" spans="1:17" s="14" customFormat="1">
      <c r="A131" s="1" t="s">
        <v>5015</v>
      </c>
      <c r="O131" s="9"/>
    </row>
    <row r="132" spans="1:17" s="14" customFormat="1">
      <c r="A132" s="1" t="s">
        <v>9437</v>
      </c>
      <c r="O132" s="9"/>
    </row>
    <row r="133" spans="1:17">
      <c r="A133" s="14" t="s">
        <v>9470</v>
      </c>
      <c r="B133" s="1" t="s">
        <v>330</v>
      </c>
      <c r="C133" s="1" t="s">
        <v>35</v>
      </c>
      <c r="D133" s="19" t="s">
        <v>10168</v>
      </c>
      <c r="E133" s="15" t="str">
        <f>HYPERLINK("https://stat100.ameba.jp/tnk47/ratio20/illustrations/card/ill_81783_0_denshagarukoteipenginchan03.jpg?201906-2-RELEASE-unionbattle-413x", "■")</f>
        <v>■</v>
      </c>
      <c r="F133" s="1" t="s">
        <v>4834</v>
      </c>
      <c r="G133" s="1">
        <v>174439</v>
      </c>
      <c r="H133" s="1">
        <v>157647</v>
      </c>
      <c r="I133" s="1">
        <v>15</v>
      </c>
      <c r="J133" s="1" t="s">
        <v>26</v>
      </c>
      <c r="K133" s="1" t="s">
        <v>4836</v>
      </c>
      <c r="L133" s="1" t="s">
        <v>1783</v>
      </c>
      <c r="M133" s="14" t="s">
        <v>9158</v>
      </c>
      <c r="N133" s="14" t="s">
        <v>9158</v>
      </c>
      <c r="O133" s="6" t="s">
        <v>9993</v>
      </c>
      <c r="P133" s="1" t="s">
        <v>4838</v>
      </c>
      <c r="Q133" s="1">
        <v>1</v>
      </c>
    </row>
    <row r="134" spans="1:17">
      <c r="A134" s="14">
        <v>81983</v>
      </c>
      <c r="B134" s="1" t="s">
        <v>5018</v>
      </c>
      <c r="C134" s="1" t="s">
        <v>5017</v>
      </c>
      <c r="D134" s="19" t="s">
        <v>10206</v>
      </c>
      <c r="E134" s="15" t="str">
        <f>HYPERLINK("https://stat100.ameba.jp/tnk47/ratio20/illustrations/card/ill_81983_otenkinonesammatsushitaotome03.jpg?201906-2-RELEASE-unionbattle-413x", "■")</f>
        <v>■</v>
      </c>
      <c r="F134" s="1" t="s">
        <v>5022</v>
      </c>
      <c r="G134" s="1">
        <v>93746</v>
      </c>
      <c r="H134" s="1">
        <v>87128</v>
      </c>
      <c r="I134" s="1">
        <v>24</v>
      </c>
      <c r="J134" s="1" t="s">
        <v>5023</v>
      </c>
      <c r="K134" s="1" t="s">
        <v>5024</v>
      </c>
      <c r="L134" s="1" t="s">
        <v>5025</v>
      </c>
      <c r="M134" s="14" t="s">
        <v>9158</v>
      </c>
      <c r="N134" s="14" t="s">
        <v>9158</v>
      </c>
      <c r="O134" s="9" t="s">
        <v>9158</v>
      </c>
      <c r="P134" s="14" t="s">
        <v>9158</v>
      </c>
      <c r="Q134" s="14" t="s">
        <v>9158</v>
      </c>
    </row>
    <row r="135" spans="1:17">
      <c r="A135" s="14">
        <v>81993</v>
      </c>
      <c r="B135" s="1" t="s">
        <v>5019</v>
      </c>
      <c r="C135" s="1" t="s">
        <v>5026</v>
      </c>
      <c r="D135" s="19" t="s">
        <v>10207</v>
      </c>
      <c r="E135" s="15" t="str">
        <f>HYPERLINK("https://stat100.ameba.jp/tnk47/ratio20/illustrations/card/ill_81993_hinohikarichan03.jpg?201906-2-RELEASE-unionbattle-413x", "■")</f>
        <v>■</v>
      </c>
      <c r="F135" s="1" t="s">
        <v>5027</v>
      </c>
      <c r="G135" s="1">
        <v>61832</v>
      </c>
      <c r="H135" s="1">
        <v>61832</v>
      </c>
      <c r="I135" s="1">
        <v>23</v>
      </c>
      <c r="J135" s="1" t="s">
        <v>5028</v>
      </c>
      <c r="K135" s="1" t="s">
        <v>5029</v>
      </c>
      <c r="L135" s="1" t="s">
        <v>5030</v>
      </c>
      <c r="M135" s="14" t="s">
        <v>9158</v>
      </c>
      <c r="N135" s="14" t="s">
        <v>9158</v>
      </c>
      <c r="O135" s="9" t="s">
        <v>9158</v>
      </c>
      <c r="P135" s="14" t="s">
        <v>9158</v>
      </c>
      <c r="Q135" s="14" t="s">
        <v>9158</v>
      </c>
    </row>
    <row r="136" spans="1:17">
      <c r="A136" s="14">
        <v>82003</v>
      </c>
      <c r="B136" s="1" t="s">
        <v>5020</v>
      </c>
      <c r="C136" s="1" t="s">
        <v>267</v>
      </c>
      <c r="D136" s="19" t="s">
        <v>10208</v>
      </c>
      <c r="E136" s="15" t="str">
        <f>HYPERLINK("https://stat100.ameba.jp/tnk47/ratio20/illustrations/card/ill_82003_kokudaiko03.jpg?201906-2-RELEASE-unionbattle-413x", "■")</f>
        <v>■</v>
      </c>
      <c r="F136" s="1" t="s">
        <v>5031</v>
      </c>
      <c r="G136" s="1">
        <v>43662</v>
      </c>
      <c r="H136" s="1">
        <v>36304</v>
      </c>
      <c r="I136" s="1">
        <v>21</v>
      </c>
      <c r="J136" s="1" t="s">
        <v>5032</v>
      </c>
      <c r="K136" s="1" t="s">
        <v>5033</v>
      </c>
      <c r="L136" s="1" t="s">
        <v>5034</v>
      </c>
      <c r="M136" s="14" t="s">
        <v>9158</v>
      </c>
      <c r="N136" s="14" t="s">
        <v>9158</v>
      </c>
      <c r="O136" s="9" t="s">
        <v>9158</v>
      </c>
      <c r="P136" s="14" t="s">
        <v>9158</v>
      </c>
      <c r="Q136" s="14" t="s">
        <v>9158</v>
      </c>
    </row>
    <row r="137" spans="1:17">
      <c r="A137" s="14">
        <v>82013</v>
      </c>
      <c r="B137" s="1" t="s">
        <v>5021</v>
      </c>
      <c r="C137" s="1" t="s">
        <v>3507</v>
      </c>
      <c r="D137" s="19" t="s">
        <v>10209</v>
      </c>
      <c r="E137" s="15" t="str">
        <f>HYPERLINK("https://stat100.ameba.jp/tnk47/ratio20/illustrations/card/ill_82013_asagi03.jpg?201906-2-RELEASE-unionbattle-413x", "■")</f>
        <v>■</v>
      </c>
      <c r="F137" s="1" t="s">
        <v>5035</v>
      </c>
      <c r="G137" s="1">
        <v>22200</v>
      </c>
      <c r="H137" s="1">
        <v>22200</v>
      </c>
      <c r="I137" s="1">
        <v>21</v>
      </c>
      <c r="J137" s="1" t="s">
        <v>5036</v>
      </c>
      <c r="K137" s="1" t="s">
        <v>5037</v>
      </c>
      <c r="L137" s="1" t="s">
        <v>5038</v>
      </c>
      <c r="M137" s="14" t="s">
        <v>9158</v>
      </c>
      <c r="N137" s="14" t="s">
        <v>9158</v>
      </c>
      <c r="O137" s="9" t="s">
        <v>9158</v>
      </c>
      <c r="P137" s="14" t="s">
        <v>9158</v>
      </c>
      <c r="Q137" s="14" t="s">
        <v>9158</v>
      </c>
    </row>
    <row r="138" spans="1:17">
      <c r="O138" s="7"/>
    </row>
    <row r="139" spans="1:17">
      <c r="A139" s="1" t="s">
        <v>5039</v>
      </c>
      <c r="O139" s="7"/>
    </row>
    <row r="140" spans="1:17" s="14" customFormat="1">
      <c r="A140" s="1" t="s">
        <v>5040</v>
      </c>
      <c r="O140" s="9"/>
    </row>
    <row r="141" spans="1:17">
      <c r="A141" s="14" t="s">
        <v>9471</v>
      </c>
      <c r="B141" s="1" t="s">
        <v>330</v>
      </c>
      <c r="C141" s="1" t="s">
        <v>206</v>
      </c>
      <c r="D141" s="19" t="s">
        <v>669</v>
      </c>
      <c r="E141" s="15" t="str">
        <f>HYPERLINK("https://stat100.ameba.jp/tnk47/ratio20/illustrations/card/ill_67173_0_yukemuriawamorichan03.jpg?201906-2-RELEASE-unionbattle-413x", "■")</f>
        <v>■</v>
      </c>
      <c r="F141" s="1" t="s">
        <v>670</v>
      </c>
      <c r="G141" s="1">
        <v>153666</v>
      </c>
      <c r="H141" s="1">
        <v>142864</v>
      </c>
      <c r="I141" s="1">
        <v>20</v>
      </c>
      <c r="J141" s="1" t="s">
        <v>283</v>
      </c>
      <c r="K141" s="1" t="s">
        <v>671</v>
      </c>
      <c r="L141" s="1" t="s">
        <v>672</v>
      </c>
      <c r="M141" s="14" t="s">
        <v>9158</v>
      </c>
      <c r="N141" s="14" t="s">
        <v>9158</v>
      </c>
      <c r="O141" s="6" t="s">
        <v>10061</v>
      </c>
      <c r="P141" s="1" t="s">
        <v>3455</v>
      </c>
      <c r="Q141" s="1">
        <v>1</v>
      </c>
    </row>
    <row r="142" spans="1:17">
      <c r="A142" s="14">
        <v>67643</v>
      </c>
      <c r="B142" s="1" t="s">
        <v>334</v>
      </c>
      <c r="C142" s="1" t="s">
        <v>209</v>
      </c>
      <c r="D142" s="19" t="s">
        <v>3033</v>
      </c>
      <c r="E142" s="15" t="str">
        <f>HYPERLINK("https://stat100.ameba.jp/tnk47/ratio20/illustrations/card/ill_67643_edokarakamichan03.jpg?201906-2-RELEASE-unionbattle-413x", "■")</f>
        <v>■</v>
      </c>
      <c r="F142" s="1" t="s">
        <v>3034</v>
      </c>
      <c r="G142" s="1">
        <v>103894</v>
      </c>
      <c r="H142" s="1">
        <v>96610</v>
      </c>
      <c r="I142" s="1">
        <v>22</v>
      </c>
      <c r="J142" s="1" t="s">
        <v>369</v>
      </c>
      <c r="K142" s="1" t="s">
        <v>3035</v>
      </c>
      <c r="L142" s="1" t="s">
        <v>3036</v>
      </c>
      <c r="M142" s="14" t="s">
        <v>9158</v>
      </c>
      <c r="N142" s="14" t="s">
        <v>9158</v>
      </c>
      <c r="O142" s="7" t="s">
        <v>3037</v>
      </c>
      <c r="P142" s="1" t="s">
        <v>13128</v>
      </c>
      <c r="Q142" s="1">
        <v>1</v>
      </c>
    </row>
    <row r="143" spans="1:17">
      <c r="A143" s="14">
        <v>58803</v>
      </c>
      <c r="B143" s="1" t="s">
        <v>0</v>
      </c>
      <c r="C143" s="1" t="s">
        <v>205</v>
      </c>
      <c r="D143" s="19" t="s">
        <v>10210</v>
      </c>
      <c r="E143" s="15" t="str">
        <f>HYPERLINK("https://stat100.ameba.jp/tnk47/ratio20/illustrations/card/ill_58803_setsubumpanikkumimuratsuru03.jpg?201906-2-RELEASE-unionbattle-413x", "■")</f>
        <v>■</v>
      </c>
      <c r="F143" s="1" t="s">
        <v>2028</v>
      </c>
      <c r="G143" s="1">
        <v>130416</v>
      </c>
      <c r="H143" s="1">
        <v>78838</v>
      </c>
      <c r="I143" s="1">
        <v>22</v>
      </c>
      <c r="J143" s="1" t="s">
        <v>194</v>
      </c>
      <c r="K143" s="1" t="s">
        <v>2029</v>
      </c>
      <c r="L143" s="1" t="s">
        <v>13171</v>
      </c>
      <c r="M143" s="14" t="s">
        <v>9158</v>
      </c>
      <c r="N143" s="14" t="s">
        <v>9158</v>
      </c>
      <c r="O143" s="7" t="s">
        <v>3703</v>
      </c>
      <c r="P143" s="1" t="s">
        <v>3704</v>
      </c>
      <c r="Q143" s="1">
        <v>1</v>
      </c>
    </row>
    <row r="144" spans="1:17">
      <c r="A144" s="14">
        <v>63283</v>
      </c>
      <c r="B144" s="1" t="s">
        <v>334</v>
      </c>
      <c r="C144" s="1" t="s">
        <v>209</v>
      </c>
      <c r="D144" s="19" t="s">
        <v>327</v>
      </c>
      <c r="E144" s="15" t="str">
        <f>HYPERLINK("https://stat100.ameba.jp/tnk47/ratio20/illustrations/card/ill_63283_mizuyokanchan03.jpg?201906-2-RELEASE-unionbattle-413x", "■")</f>
        <v>■</v>
      </c>
      <c r="F144" s="1" t="s">
        <v>327</v>
      </c>
      <c r="G144" s="1">
        <v>103896</v>
      </c>
      <c r="H144" s="1">
        <v>96610</v>
      </c>
      <c r="I144" s="1">
        <v>22</v>
      </c>
      <c r="J144" s="1" t="s">
        <v>283</v>
      </c>
      <c r="K144" s="1" t="s">
        <v>328</v>
      </c>
      <c r="L144" s="1" t="s">
        <v>329</v>
      </c>
      <c r="M144" s="14" t="s">
        <v>9158</v>
      </c>
      <c r="N144" s="14" t="s">
        <v>9158</v>
      </c>
      <c r="O144" s="7" t="s">
        <v>3870</v>
      </c>
      <c r="P144" s="1" t="s">
        <v>3563</v>
      </c>
      <c r="Q144" s="1">
        <v>1</v>
      </c>
    </row>
    <row r="145" spans="1:18">
      <c r="O145" s="7"/>
    </row>
    <row r="146" spans="1:18">
      <c r="A146" s="1" t="s">
        <v>13354</v>
      </c>
      <c r="O146" s="7"/>
    </row>
    <row r="147" spans="1:18" s="14" customFormat="1">
      <c r="A147" s="1" t="s">
        <v>5041</v>
      </c>
      <c r="O147" s="9"/>
    </row>
    <row r="148" spans="1:18">
      <c r="A148" s="14">
        <v>81895</v>
      </c>
      <c r="B148" s="1" t="s">
        <v>5042</v>
      </c>
      <c r="C148" s="1" t="s">
        <v>5047</v>
      </c>
      <c r="D148" s="19" t="s">
        <v>10211</v>
      </c>
      <c r="E148" s="15" t="str">
        <f>HYPERLINK("https://stat100.ameba.jp/tnk47/ratio20/illustrations/card/ill_81895_kyansa05.jpg?201906-2-RELEASE-unionbattle-413x", "■")</f>
        <v>■</v>
      </c>
      <c r="F148" s="1" t="s">
        <v>5049</v>
      </c>
      <c r="G148" s="1">
        <v>130772</v>
      </c>
      <c r="H148" s="1">
        <v>94697</v>
      </c>
      <c r="I148" s="1">
        <v>23</v>
      </c>
      <c r="J148" s="1" t="s">
        <v>5050</v>
      </c>
      <c r="K148" s="1" t="s">
        <v>5051</v>
      </c>
      <c r="L148" s="1" t="s">
        <v>5052</v>
      </c>
      <c r="M148" s="14" t="s">
        <v>9158</v>
      </c>
      <c r="N148" s="14" t="s">
        <v>9158</v>
      </c>
      <c r="O148" s="9" t="s">
        <v>9158</v>
      </c>
      <c r="P148" s="14" t="s">
        <v>9158</v>
      </c>
      <c r="Q148" s="14" t="s">
        <v>9158</v>
      </c>
      <c r="R148" s="1" t="s">
        <v>5044</v>
      </c>
    </row>
    <row r="149" spans="1:18">
      <c r="A149" s="14">
        <v>81893</v>
      </c>
      <c r="B149" s="1" t="s">
        <v>5043</v>
      </c>
      <c r="C149" s="1" t="s">
        <v>5048</v>
      </c>
      <c r="D149" s="19" t="s">
        <v>10211</v>
      </c>
      <c r="E149" s="15" t="str">
        <f>HYPERLINK("https://stat100.ameba.jp/tnk47/ratio20/illustrations/card/ill_81893_kyansa03.jpg?201906-2-RELEASE-unionbattle-413x", "■")</f>
        <v>■</v>
      </c>
      <c r="F149" s="1" t="s">
        <v>5049</v>
      </c>
      <c r="G149" s="1">
        <v>96360</v>
      </c>
      <c r="H149" s="1">
        <v>69771</v>
      </c>
      <c r="I149" s="1">
        <v>23</v>
      </c>
      <c r="J149" s="1" t="s">
        <v>5050</v>
      </c>
      <c r="K149" s="1" t="s">
        <v>5051</v>
      </c>
      <c r="L149" s="1" t="s">
        <v>5053</v>
      </c>
      <c r="M149" s="14" t="s">
        <v>9158</v>
      </c>
      <c r="N149" s="14" t="s">
        <v>9158</v>
      </c>
      <c r="O149" s="9" t="s">
        <v>9158</v>
      </c>
      <c r="P149" s="14" t="s">
        <v>9158</v>
      </c>
      <c r="Q149" s="14" t="s">
        <v>9158</v>
      </c>
      <c r="R149" s="1" t="s">
        <v>5045</v>
      </c>
    </row>
    <row r="150" spans="1:18">
      <c r="A150" s="14">
        <v>81891</v>
      </c>
      <c r="B150" s="1" t="s">
        <v>5043</v>
      </c>
      <c r="C150" s="1" t="s">
        <v>5048</v>
      </c>
      <c r="D150" s="19" t="s">
        <v>10211</v>
      </c>
      <c r="E150" s="15" t="str">
        <f>HYPERLINK("https://stat100.ameba.jp/tnk47/ratio20/illustrations/card/ill_81891_kyansa01.jpg?201906-2-RELEASE-unionbattle-413x", "■")</f>
        <v>■</v>
      </c>
      <c r="F150" s="1" t="s">
        <v>5049</v>
      </c>
      <c r="G150" s="1">
        <v>61295</v>
      </c>
      <c r="H150" s="1">
        <v>44390</v>
      </c>
      <c r="I150" s="1">
        <v>23</v>
      </c>
      <c r="J150" s="1" t="s">
        <v>5050</v>
      </c>
      <c r="K150" s="1" t="s">
        <v>5051</v>
      </c>
      <c r="L150" s="1" t="s">
        <v>5054</v>
      </c>
      <c r="M150" s="14" t="s">
        <v>9158</v>
      </c>
      <c r="N150" s="14" t="s">
        <v>9158</v>
      </c>
      <c r="O150" s="9" t="s">
        <v>9158</v>
      </c>
      <c r="P150" s="14" t="s">
        <v>9158</v>
      </c>
      <c r="Q150" s="14" t="s">
        <v>9158</v>
      </c>
      <c r="R150" s="1" t="s">
        <v>5046</v>
      </c>
    </row>
    <row r="151" spans="1:18">
      <c r="O151" s="7"/>
    </row>
    <row r="152" spans="1:18">
      <c r="A152" s="1" t="s">
        <v>13326</v>
      </c>
      <c r="O152" s="7"/>
    </row>
    <row r="153" spans="1:18" s="14" customFormat="1">
      <c r="A153" s="1" t="s">
        <v>5055</v>
      </c>
      <c r="O153" s="9"/>
    </row>
    <row r="154" spans="1:18">
      <c r="A154" s="16">
        <v>70073</v>
      </c>
      <c r="B154" s="1" t="s">
        <v>334</v>
      </c>
      <c r="C154" s="1" t="s">
        <v>185</v>
      </c>
      <c r="D154" s="19" t="s">
        <v>859</v>
      </c>
      <c r="E154" s="15" t="str">
        <f>HYPERLINK("https://stat100.ameba.jp/tnk47/ratio20/illustrations/card/ill_70073_muhime03.jpg?201906-2-RELEASE-unionbattle-413x", "■")</f>
        <v>■</v>
      </c>
      <c r="F154" s="1" t="s">
        <v>860</v>
      </c>
      <c r="G154" s="1">
        <v>109852</v>
      </c>
      <c r="H154" s="1">
        <v>118152</v>
      </c>
      <c r="I154" s="1">
        <v>24</v>
      </c>
      <c r="J154" s="1" t="s">
        <v>315</v>
      </c>
      <c r="K154" s="1" t="s">
        <v>861</v>
      </c>
      <c r="L154" s="1" t="s">
        <v>862</v>
      </c>
      <c r="M154" s="1" t="s">
        <v>250</v>
      </c>
      <c r="N154" s="1" t="s">
        <v>251</v>
      </c>
      <c r="O154" s="9" t="s">
        <v>9158</v>
      </c>
      <c r="P154" s="14" t="s">
        <v>9158</v>
      </c>
      <c r="Q154" s="14" t="s">
        <v>9158</v>
      </c>
      <c r="R154" s="14"/>
    </row>
    <row r="155" spans="1:18">
      <c r="A155" s="16">
        <v>70072</v>
      </c>
      <c r="B155" s="1" t="s">
        <v>334</v>
      </c>
      <c r="C155" s="1" t="s">
        <v>185</v>
      </c>
      <c r="D155" s="19" t="s">
        <v>859</v>
      </c>
      <c r="E155" s="15" t="str">
        <f>HYPERLINK("https://stat100.ameba.jp/tnk47/ratio20/illustrations/card/ill_70072_muhime02.jpg?201906-2-RELEASE-unionbattle-413x", "■")</f>
        <v>■</v>
      </c>
      <c r="F155" s="1" t="s">
        <v>860</v>
      </c>
      <c r="G155" s="1">
        <v>90984</v>
      </c>
      <c r="H155" s="1">
        <v>98768</v>
      </c>
      <c r="I155" s="1">
        <v>24</v>
      </c>
      <c r="J155" s="1" t="s">
        <v>315</v>
      </c>
      <c r="K155" s="1" t="s">
        <v>861</v>
      </c>
      <c r="L155" s="1" t="s">
        <v>862</v>
      </c>
      <c r="M155" s="1" t="s">
        <v>250</v>
      </c>
      <c r="N155" s="1" t="s">
        <v>251</v>
      </c>
      <c r="O155" s="9" t="s">
        <v>9158</v>
      </c>
      <c r="P155" s="14" t="s">
        <v>9158</v>
      </c>
      <c r="Q155" s="14" t="s">
        <v>9158</v>
      </c>
      <c r="R155" s="14"/>
    </row>
    <row r="156" spans="1:18">
      <c r="A156" s="16">
        <v>70071</v>
      </c>
      <c r="B156" s="1" t="s">
        <v>334</v>
      </c>
      <c r="C156" s="1" t="s">
        <v>185</v>
      </c>
      <c r="D156" s="19" t="s">
        <v>859</v>
      </c>
      <c r="E156" s="15" t="str">
        <f>HYPERLINK("https://stat100.ameba.jp/tnk47/ratio20/illustrations/card/ill_70071_muhime01.jpg?201906-2-RELEASE-unionbattle-413x", "■")</f>
        <v>■</v>
      </c>
      <c r="F156" s="1" t="s">
        <v>860</v>
      </c>
      <c r="G156" s="1">
        <v>70200</v>
      </c>
      <c r="H156" s="1">
        <v>75408</v>
      </c>
      <c r="I156" s="1">
        <v>24</v>
      </c>
      <c r="J156" s="1" t="s">
        <v>315</v>
      </c>
      <c r="K156" s="1" t="s">
        <v>861</v>
      </c>
      <c r="L156" s="1" t="s">
        <v>862</v>
      </c>
      <c r="M156" s="1" t="s">
        <v>250</v>
      </c>
      <c r="N156" s="1" t="s">
        <v>251</v>
      </c>
      <c r="O156" s="9" t="s">
        <v>9158</v>
      </c>
      <c r="P156" s="14" t="s">
        <v>9158</v>
      </c>
      <c r="Q156" s="14" t="s">
        <v>9158</v>
      </c>
      <c r="R156" s="14"/>
    </row>
    <row r="157" spans="1:18">
      <c r="A157" s="16">
        <v>70083</v>
      </c>
      <c r="B157" s="1" t="s">
        <v>334</v>
      </c>
      <c r="C157" s="1" t="s">
        <v>200</v>
      </c>
      <c r="D157" s="19" t="s">
        <v>10212</v>
      </c>
      <c r="E157" s="15" t="str">
        <f>HYPERLINK("https://stat100.ameba.jp/tnk47/ratio20/illustrations/card/ill_70083_kimurakaishu03.jpg?201906-2-RELEASE-unionbattle-413x", "■")</f>
        <v>■</v>
      </c>
      <c r="F157" s="1" t="s">
        <v>863</v>
      </c>
      <c r="G157" s="1">
        <v>118152</v>
      </c>
      <c r="H157" s="1">
        <v>109852</v>
      </c>
      <c r="I157" s="1">
        <v>24</v>
      </c>
      <c r="J157" s="1" t="s">
        <v>173</v>
      </c>
      <c r="K157" s="1" t="s">
        <v>257</v>
      </c>
      <c r="L157" s="1" t="s">
        <v>9897</v>
      </c>
      <c r="M157" s="1" t="s">
        <v>250</v>
      </c>
      <c r="N157" s="1" t="s">
        <v>251</v>
      </c>
      <c r="O157" s="9" t="s">
        <v>9158</v>
      </c>
      <c r="P157" s="14" t="s">
        <v>9158</v>
      </c>
      <c r="Q157" s="14" t="s">
        <v>9158</v>
      </c>
    </row>
    <row r="158" spans="1:18">
      <c r="A158" s="16">
        <v>70923</v>
      </c>
      <c r="B158" s="1" t="s">
        <v>334</v>
      </c>
      <c r="C158" s="1" t="s">
        <v>191</v>
      </c>
      <c r="D158" s="19" t="s">
        <v>10213</v>
      </c>
      <c r="E158" s="15" t="str">
        <f>HYPERLINK("https://stat100.ameba.jp/tnk47/ratio20/illustrations/card/ill_70923_hidawagyu03.jpg?201906-2-RELEASE-unionbattle-413x", "■")</f>
        <v>■</v>
      </c>
      <c r="F158" s="1" t="s">
        <v>864</v>
      </c>
      <c r="G158" s="1">
        <v>118152</v>
      </c>
      <c r="H158" s="1">
        <v>109852</v>
      </c>
      <c r="I158" s="1">
        <v>24</v>
      </c>
      <c r="J158" s="1" t="s">
        <v>216</v>
      </c>
      <c r="K158" s="1" t="s">
        <v>258</v>
      </c>
      <c r="L158" s="1" t="s">
        <v>9898</v>
      </c>
      <c r="M158" s="1" t="s">
        <v>250</v>
      </c>
      <c r="N158" s="1" t="s">
        <v>251</v>
      </c>
      <c r="O158" s="9" t="s">
        <v>9158</v>
      </c>
      <c r="P158" s="14" t="s">
        <v>9158</v>
      </c>
      <c r="Q158" s="14" t="s">
        <v>9158</v>
      </c>
    </row>
    <row r="159" spans="1:18">
      <c r="A159" s="16">
        <v>70093</v>
      </c>
      <c r="B159" s="1" t="s">
        <v>334</v>
      </c>
      <c r="C159" s="1" t="s">
        <v>308</v>
      </c>
      <c r="D159" s="19" t="s">
        <v>10214</v>
      </c>
      <c r="E159" s="15" t="str">
        <f>HYPERLINK("https://stat100.ameba.jp/tnk47/ratio20/illustrations/card/ill_70093_sarutahikonookami03.jpg?201906-2-RELEASE-unionbattle-413x", "■")</f>
        <v>■</v>
      </c>
      <c r="F159" s="1" t="s">
        <v>865</v>
      </c>
      <c r="G159" s="1">
        <v>109852</v>
      </c>
      <c r="H159" s="1">
        <v>118152</v>
      </c>
      <c r="I159" s="1">
        <v>24</v>
      </c>
      <c r="J159" s="1" t="s">
        <v>169</v>
      </c>
      <c r="K159" s="1" t="s">
        <v>259</v>
      </c>
      <c r="L159" s="1" t="s">
        <v>9899</v>
      </c>
      <c r="M159" s="1" t="s">
        <v>250</v>
      </c>
      <c r="N159" s="1" t="s">
        <v>251</v>
      </c>
      <c r="O159" s="9" t="s">
        <v>9158</v>
      </c>
      <c r="P159" s="14" t="s">
        <v>9158</v>
      </c>
      <c r="Q159" s="14" t="s">
        <v>9158</v>
      </c>
    </row>
    <row r="160" spans="1:18">
      <c r="A160" s="16">
        <v>70933</v>
      </c>
      <c r="B160" s="1" t="s">
        <v>334</v>
      </c>
      <c r="C160" s="1" t="s">
        <v>267</v>
      </c>
      <c r="D160" s="19" t="s">
        <v>10215</v>
      </c>
      <c r="E160" s="15" t="str">
        <f>HYPERLINK("https://stat100.ameba.jp/tnk47/ratio20/illustrations/card/ill_70933_zenigatasunae03.jpg?201906-2-RELEASE-unionbattle-413x", "■")</f>
        <v>■</v>
      </c>
      <c r="F160" s="1" t="s">
        <v>866</v>
      </c>
      <c r="G160" s="1">
        <v>109852</v>
      </c>
      <c r="H160" s="1">
        <v>118152</v>
      </c>
      <c r="I160" s="1">
        <v>24</v>
      </c>
      <c r="J160" s="1" t="s">
        <v>229</v>
      </c>
      <c r="K160" s="1" t="s">
        <v>260</v>
      </c>
      <c r="L160" s="1" t="s">
        <v>9900</v>
      </c>
      <c r="M160" s="1" t="s">
        <v>250</v>
      </c>
      <c r="N160" s="1" t="s">
        <v>251</v>
      </c>
      <c r="O160" s="9" t="s">
        <v>9158</v>
      </c>
      <c r="P160" s="14" t="s">
        <v>9158</v>
      </c>
      <c r="Q160" s="14" t="s">
        <v>9158</v>
      </c>
    </row>
    <row r="161" spans="1:17">
      <c r="A161" s="16">
        <v>70943</v>
      </c>
      <c r="B161" s="1" t="s">
        <v>334</v>
      </c>
      <c r="C161" s="1" t="s">
        <v>344</v>
      </c>
      <c r="D161" s="19" t="s">
        <v>10216</v>
      </c>
      <c r="E161" s="15" t="str">
        <f>HYPERLINK("https://stat100.ameba.jp/tnk47/ratio20/illustrations/card/ill_70943_tengunokakuremino03.jpg?201906-2-RELEASE-unionbattle-413x", "■")</f>
        <v>■</v>
      </c>
      <c r="F161" s="1" t="s">
        <v>867</v>
      </c>
      <c r="G161" s="1">
        <v>118152</v>
      </c>
      <c r="H161" s="1">
        <v>109852</v>
      </c>
      <c r="I161" s="1">
        <v>24</v>
      </c>
      <c r="J161" s="1" t="s">
        <v>155</v>
      </c>
      <c r="K161" s="1" t="s">
        <v>261</v>
      </c>
      <c r="L161" s="1" t="s">
        <v>9901</v>
      </c>
      <c r="M161" s="1" t="s">
        <v>250</v>
      </c>
      <c r="N161" s="1" t="s">
        <v>251</v>
      </c>
      <c r="O161" s="9" t="s">
        <v>9158</v>
      </c>
      <c r="P161" s="14" t="s">
        <v>9158</v>
      </c>
      <c r="Q161" s="14" t="s">
        <v>9158</v>
      </c>
    </row>
    <row r="162" spans="1:17">
      <c r="O162" s="7"/>
    </row>
    <row r="163" spans="1:17">
      <c r="A163" s="1" t="s">
        <v>5056</v>
      </c>
      <c r="O163" s="7"/>
    </row>
    <row r="164" spans="1:17" s="14" customFormat="1">
      <c r="A164" s="1" t="s">
        <v>5057</v>
      </c>
      <c r="O164" s="9"/>
    </row>
    <row r="165" spans="1:17">
      <c r="A165" s="14" t="s">
        <v>9472</v>
      </c>
      <c r="B165" s="1" t="s">
        <v>330</v>
      </c>
      <c r="C165" s="1" t="s">
        <v>185</v>
      </c>
      <c r="D165" s="19" t="s">
        <v>813</v>
      </c>
      <c r="E165" s="15" t="str">
        <f>HYPERLINK("https://stat100.ameba.jp/tnk47/ratio20/illustrations/card/ill_55313_0_haroinononokomachi03.jpg?201906-2-RELEASE-unionbattle-413x", "■")</f>
        <v>■</v>
      </c>
      <c r="F165" s="1" t="s">
        <v>814</v>
      </c>
      <c r="G165" s="1">
        <v>138212</v>
      </c>
      <c r="H165" s="1">
        <v>122776</v>
      </c>
      <c r="I165" s="1">
        <v>22</v>
      </c>
      <c r="J165" s="1" t="s">
        <v>351</v>
      </c>
      <c r="K165" s="1" t="s">
        <v>815</v>
      </c>
      <c r="L165" s="1" t="s">
        <v>816</v>
      </c>
      <c r="M165" s="14" t="s">
        <v>9158</v>
      </c>
      <c r="N165" s="14" t="s">
        <v>9158</v>
      </c>
      <c r="O165" s="7" t="s">
        <v>2733</v>
      </c>
      <c r="P165" s="1" t="s">
        <v>2734</v>
      </c>
      <c r="Q165" s="1">
        <v>1</v>
      </c>
    </row>
    <row r="166" spans="1:17">
      <c r="A166" s="14" t="s">
        <v>9473</v>
      </c>
      <c r="B166" s="1" t="s">
        <v>330</v>
      </c>
      <c r="C166" s="1" t="s">
        <v>191</v>
      </c>
      <c r="D166" s="19" t="s">
        <v>393</v>
      </c>
      <c r="E166" s="15" t="str">
        <f>HYPERLINK("https://stat100.ameba.jp/tnk47/ratio20/illustrations/card/ill_46283_0_odanobunaga03.jpg?201906-2-RELEASE-unionbattle-413x", "■")</f>
        <v>■</v>
      </c>
      <c r="F166" s="1" t="s">
        <v>1073</v>
      </c>
      <c r="G166" s="1">
        <v>120576</v>
      </c>
      <c r="H166" s="1">
        <v>128744</v>
      </c>
      <c r="I166" s="1">
        <v>22</v>
      </c>
      <c r="J166" s="1" t="s">
        <v>143</v>
      </c>
      <c r="K166" s="1" t="s">
        <v>1074</v>
      </c>
      <c r="L166" s="1" t="s">
        <v>1075</v>
      </c>
      <c r="M166" s="14" t="s">
        <v>9158</v>
      </c>
      <c r="N166" s="14" t="s">
        <v>9158</v>
      </c>
      <c r="O166" s="9" t="s">
        <v>9158</v>
      </c>
      <c r="P166" s="14" t="s">
        <v>9158</v>
      </c>
      <c r="Q166" s="14" t="s">
        <v>9158</v>
      </c>
    </row>
    <row r="167" spans="1:17">
      <c r="A167" s="14" t="s">
        <v>9474</v>
      </c>
      <c r="B167" s="1" t="s">
        <v>330</v>
      </c>
      <c r="C167" s="1" t="s">
        <v>200</v>
      </c>
      <c r="D167" s="19" t="s">
        <v>630</v>
      </c>
      <c r="E167" s="15" t="str">
        <f>HYPERLINK("https://stat100.ameba.jp/tnk47/ratio20/illustrations/card/ill_48283_0_kyuubitamamonomae03.jpg?201906-2-RELEASE-unionbattle-413x", "■")</f>
        <v>■</v>
      </c>
      <c r="F167" s="1" t="s">
        <v>631</v>
      </c>
      <c r="G167" s="1">
        <v>138212</v>
      </c>
      <c r="H167" s="1">
        <v>122776</v>
      </c>
      <c r="I167" s="1">
        <v>22</v>
      </c>
      <c r="J167" s="1" t="s">
        <v>320</v>
      </c>
      <c r="K167" s="1" t="s">
        <v>632</v>
      </c>
      <c r="L167" s="1" t="s">
        <v>633</v>
      </c>
      <c r="M167" s="14" t="s">
        <v>9158</v>
      </c>
      <c r="N167" s="14" t="s">
        <v>9158</v>
      </c>
      <c r="O167" s="9" t="s">
        <v>9158</v>
      </c>
      <c r="P167" s="14" t="s">
        <v>9158</v>
      </c>
      <c r="Q167" s="14" t="s">
        <v>9158</v>
      </c>
    </row>
    <row r="168" spans="1:17">
      <c r="A168" s="16">
        <v>81983</v>
      </c>
      <c r="B168" s="1" t="s">
        <v>0</v>
      </c>
      <c r="C168" s="1" t="s">
        <v>101</v>
      </c>
      <c r="D168" s="19" t="s">
        <v>10206</v>
      </c>
      <c r="E168" s="15" t="str">
        <f>HYPERLINK("https://stat100.ameba.jp/tnk47/ratio20/illustrations/card/ill_81983_otenkinonesammatsushitaotome03.jpg?201906-2-RELEASE-unionbattle-413x", "■")</f>
        <v>■</v>
      </c>
      <c r="F168" s="1" t="s">
        <v>5022</v>
      </c>
      <c r="G168" s="1">
        <v>89839</v>
      </c>
      <c r="H168" s="1">
        <v>83499</v>
      </c>
      <c r="I168" s="1">
        <v>23</v>
      </c>
      <c r="J168" s="1" t="s">
        <v>77</v>
      </c>
      <c r="K168" s="1" t="s">
        <v>5024</v>
      </c>
      <c r="L168" s="1" t="s">
        <v>4678</v>
      </c>
      <c r="M168" s="14" t="s">
        <v>9158</v>
      </c>
      <c r="N168" s="14" t="s">
        <v>9158</v>
      </c>
      <c r="O168" s="9" t="s">
        <v>9158</v>
      </c>
      <c r="P168" s="14" t="s">
        <v>9158</v>
      </c>
      <c r="Q168" s="14" t="s">
        <v>9158</v>
      </c>
    </row>
    <row r="169" spans="1:17">
      <c r="A169" s="16">
        <v>81993</v>
      </c>
      <c r="B169" s="1" t="s">
        <v>15</v>
      </c>
      <c r="C169" s="1" t="s">
        <v>107</v>
      </c>
      <c r="D169" s="19" t="s">
        <v>10207</v>
      </c>
      <c r="E169" s="15" t="str">
        <f>HYPERLINK("https://stat100.ameba.jp/tnk47/ratio20/illustrations/card/ill_81993_hinohikarichan03.jpg?201906-2-RELEASE-unionbattle-413x", "■")</f>
        <v>■</v>
      </c>
      <c r="F169" s="1" t="s">
        <v>5027</v>
      </c>
      <c r="G169" s="1">
        <v>48390</v>
      </c>
      <c r="H169" s="1">
        <v>53352</v>
      </c>
      <c r="I169" s="1">
        <v>18</v>
      </c>
      <c r="J169" s="1" t="s">
        <v>104</v>
      </c>
      <c r="K169" s="1" t="s">
        <v>5029</v>
      </c>
      <c r="L169" s="1" t="s">
        <v>1757</v>
      </c>
      <c r="M169" s="14" t="s">
        <v>9158</v>
      </c>
      <c r="N169" s="14" t="s">
        <v>9158</v>
      </c>
      <c r="O169" s="9" t="s">
        <v>9158</v>
      </c>
      <c r="P169" s="14" t="s">
        <v>9158</v>
      </c>
      <c r="Q169" s="14" t="s">
        <v>9158</v>
      </c>
    </row>
    <row r="170" spans="1:17">
      <c r="A170" s="16">
        <v>82003</v>
      </c>
      <c r="B170" s="1" t="s">
        <v>22</v>
      </c>
      <c r="C170" s="1" t="s">
        <v>205</v>
      </c>
      <c r="D170" s="19" t="s">
        <v>10208</v>
      </c>
      <c r="E170" s="15" t="str">
        <f>HYPERLINK("https://stat100.ameba.jp/tnk47/ratio20/illustrations/card/ill_82003_kokudaiko03.jpg?201906-2-RELEASE-unionbattle-413x", "■")</f>
        <v>■</v>
      </c>
      <c r="F170" s="1" t="s">
        <v>5031</v>
      </c>
      <c r="G170" s="1">
        <v>35346</v>
      </c>
      <c r="H170" s="1">
        <v>29388</v>
      </c>
      <c r="I170" s="1">
        <v>17</v>
      </c>
      <c r="J170" s="1" t="s">
        <v>73</v>
      </c>
      <c r="K170" s="1" t="s">
        <v>5033</v>
      </c>
      <c r="L170" s="1" t="s">
        <v>4556</v>
      </c>
      <c r="M170" s="14" t="s">
        <v>9158</v>
      </c>
      <c r="N170" s="14" t="s">
        <v>9158</v>
      </c>
      <c r="O170" s="9" t="s">
        <v>9158</v>
      </c>
      <c r="P170" s="14" t="s">
        <v>9158</v>
      </c>
      <c r="Q170" s="14" t="s">
        <v>9158</v>
      </c>
    </row>
    <row r="171" spans="1:17">
      <c r="A171" s="16">
        <v>82013</v>
      </c>
      <c r="B171" s="1" t="s">
        <v>30</v>
      </c>
      <c r="C171" s="1" t="s">
        <v>3507</v>
      </c>
      <c r="D171" s="19" t="s">
        <v>10209</v>
      </c>
      <c r="E171" s="15" t="str">
        <f>HYPERLINK("https://stat100.ameba.jp/tnk47/ratio20/illustrations/card/ill_82013_asagi03.jpg?201906-2-RELEASE-unionbattle-413x", "■")</f>
        <v>■</v>
      </c>
      <c r="F171" s="1" t="s">
        <v>5035</v>
      </c>
      <c r="G171" s="1">
        <v>17972</v>
      </c>
      <c r="H171" s="1">
        <v>21398</v>
      </c>
      <c r="I171" s="1">
        <v>17</v>
      </c>
      <c r="J171" s="1" t="s">
        <v>38</v>
      </c>
      <c r="K171" s="1" t="s">
        <v>5037</v>
      </c>
      <c r="L171" s="1" t="s">
        <v>4961</v>
      </c>
      <c r="M171" s="14" t="s">
        <v>9158</v>
      </c>
      <c r="N171" s="14" t="s">
        <v>9158</v>
      </c>
      <c r="O171" s="9" t="s">
        <v>9158</v>
      </c>
      <c r="P171" s="14" t="s">
        <v>9158</v>
      </c>
      <c r="Q171" s="14" t="s">
        <v>9158</v>
      </c>
    </row>
    <row r="172" spans="1:17">
      <c r="O172" s="7"/>
    </row>
    <row r="173" spans="1:17">
      <c r="A173" s="1" t="s">
        <v>5058</v>
      </c>
      <c r="O173" s="7"/>
    </row>
    <row r="174" spans="1:17" s="14" customFormat="1">
      <c r="A174" s="1" t="s">
        <v>5059</v>
      </c>
      <c r="O174" s="9"/>
    </row>
    <row r="175" spans="1:17">
      <c r="A175" s="14" t="s">
        <v>9475</v>
      </c>
      <c r="B175" s="1" t="s">
        <v>330</v>
      </c>
      <c r="C175" s="1" t="s">
        <v>202</v>
      </c>
      <c r="D175" s="19" t="s">
        <v>1497</v>
      </c>
      <c r="E175" s="15" t="str">
        <f>HYPERLINK("https://stat100.ameba.jp/tnk47/ratio20/illustrations/card/ill_74593_0_natsuyuenchikoshihikari03.jpg?201906-2-RELEASE-unionbattle-413x", "■")</f>
        <v>■</v>
      </c>
      <c r="F175" s="1" t="s">
        <v>1498</v>
      </c>
      <c r="G175" s="1">
        <v>162496</v>
      </c>
      <c r="H175" s="1">
        <v>151067</v>
      </c>
      <c r="I175" s="1">
        <v>15</v>
      </c>
      <c r="J175" s="1" t="s">
        <v>283</v>
      </c>
      <c r="K175" s="1" t="s">
        <v>1499</v>
      </c>
      <c r="L175" s="1" t="s">
        <v>1500</v>
      </c>
      <c r="M175" s="14" t="s">
        <v>9158</v>
      </c>
      <c r="N175" s="14" t="s">
        <v>9158</v>
      </c>
      <c r="O175" s="7" t="s">
        <v>2731</v>
      </c>
      <c r="P175" s="1" t="s">
        <v>2732</v>
      </c>
      <c r="Q175" s="1">
        <v>1</v>
      </c>
    </row>
    <row r="176" spans="1:17">
      <c r="A176" s="14" t="s">
        <v>9476</v>
      </c>
      <c r="B176" s="1" t="s">
        <v>52</v>
      </c>
      <c r="C176" s="1" t="s">
        <v>191</v>
      </c>
      <c r="D176" s="19" t="s">
        <v>10217</v>
      </c>
      <c r="E176" s="15" t="str">
        <f>HYPERLINK("https://stat100.ameba.jp/tnk47/ratio20/illustrations/card/ill_56493_0_poppukurisumasuikomakitsuno03.jpg?201906-2-RELEASE-unionbattle-413x", "■")</f>
        <v>■</v>
      </c>
      <c r="F176" s="1" t="s">
        <v>1769</v>
      </c>
      <c r="G176" s="1">
        <v>94236</v>
      </c>
      <c r="H176" s="1">
        <v>83712</v>
      </c>
      <c r="I176" s="1">
        <v>15</v>
      </c>
      <c r="J176" s="1" t="s">
        <v>77</v>
      </c>
      <c r="K176" s="1" t="s">
        <v>1770</v>
      </c>
      <c r="L176" s="1" t="s">
        <v>1771</v>
      </c>
      <c r="M176" s="14" t="s">
        <v>9158</v>
      </c>
      <c r="N176" s="14" t="s">
        <v>9158</v>
      </c>
      <c r="O176" s="7" t="s">
        <v>3893</v>
      </c>
      <c r="P176" s="1" t="s">
        <v>2724</v>
      </c>
      <c r="Q176" s="1">
        <v>1</v>
      </c>
    </row>
    <row r="177" spans="1:19">
      <c r="A177" s="14" t="s">
        <v>9477</v>
      </c>
      <c r="B177" s="1" t="s">
        <v>330</v>
      </c>
      <c r="C177" s="1" t="s">
        <v>205</v>
      </c>
      <c r="D177" s="19" t="s">
        <v>513</v>
      </c>
      <c r="E177" s="15" t="str">
        <f>HYPERLINK("https://stat100.ameba.jp/tnk47/ratio20/illustrations/card/ill_44283_0_izumonokuni03.jpg?201906-2-RELEASE-unionbattle-413x", "■")</f>
        <v>■</v>
      </c>
      <c r="F177" s="1" t="s">
        <v>514</v>
      </c>
      <c r="G177" s="1">
        <v>87780</v>
      </c>
      <c r="H177" s="1">
        <v>82212</v>
      </c>
      <c r="I177" s="1">
        <v>15</v>
      </c>
      <c r="J177" s="1" t="s">
        <v>159</v>
      </c>
      <c r="K177" s="1" t="s">
        <v>1717</v>
      </c>
      <c r="L177" s="1" t="s">
        <v>516</v>
      </c>
      <c r="M177" s="14" t="s">
        <v>9158</v>
      </c>
      <c r="N177" s="14" t="s">
        <v>9158</v>
      </c>
      <c r="O177" s="9" t="s">
        <v>9158</v>
      </c>
      <c r="P177" s="14" t="s">
        <v>9158</v>
      </c>
      <c r="Q177" s="14" t="s">
        <v>9158</v>
      </c>
    </row>
    <row r="178" spans="1:19">
      <c r="A178" s="16">
        <v>75733</v>
      </c>
      <c r="B178" s="1" t="s">
        <v>5060</v>
      </c>
      <c r="C178" s="1" t="s">
        <v>5062</v>
      </c>
      <c r="D178" s="19" t="s">
        <v>11786</v>
      </c>
      <c r="E178" s="15" t="str">
        <f>HYPERLINK("https://stat100.ameba.jp/tnk47/ratio20/illustrations/card/ill_75733_nakanotakeko03.jpg?201906-2-RELEASE-unionbattle-413x", "■")</f>
        <v>■</v>
      </c>
      <c r="F178" s="1" t="s">
        <v>5063</v>
      </c>
      <c r="G178" s="1">
        <v>142674</v>
      </c>
      <c r="H178" s="1">
        <v>132658</v>
      </c>
      <c r="I178" s="1">
        <v>24</v>
      </c>
      <c r="J178" s="1" t="s">
        <v>5064</v>
      </c>
      <c r="K178" s="1" t="s">
        <v>5065</v>
      </c>
      <c r="L178" s="1" t="s">
        <v>5066</v>
      </c>
      <c r="M178" s="14" t="s">
        <v>9158</v>
      </c>
      <c r="N178" s="14" t="s">
        <v>9158</v>
      </c>
      <c r="O178" s="9" t="s">
        <v>9158</v>
      </c>
      <c r="P178" s="14" t="s">
        <v>9158</v>
      </c>
      <c r="Q178" s="14" t="s">
        <v>9158</v>
      </c>
      <c r="S178" s="14" t="s">
        <v>11787</v>
      </c>
    </row>
    <row r="179" spans="1:19">
      <c r="A179" s="16">
        <v>70223</v>
      </c>
      <c r="B179" s="1" t="s">
        <v>5060</v>
      </c>
      <c r="C179" s="1" t="s">
        <v>5068</v>
      </c>
      <c r="D179" s="19" t="s">
        <v>11788</v>
      </c>
      <c r="E179" s="15" t="str">
        <f>HYPERLINK("https://stat100.ameba.jp/tnk47/ratio20/illustrations/card/ill_70223_konjakuhyakkishuibashonosei03.jpg?201906-2-RELEASE-unionbattle-413x", "■")</f>
        <v>■</v>
      </c>
      <c r="F179" s="1" t="s">
        <v>5067</v>
      </c>
      <c r="G179" s="1">
        <v>105394</v>
      </c>
      <c r="H179" s="1">
        <v>113340</v>
      </c>
      <c r="I179" s="1">
        <v>24</v>
      </c>
      <c r="J179" s="1" t="s">
        <v>5069</v>
      </c>
      <c r="K179" s="1" t="s">
        <v>5070</v>
      </c>
      <c r="L179" s="1" t="s">
        <v>5071</v>
      </c>
      <c r="M179" s="14" t="s">
        <v>9158</v>
      </c>
      <c r="N179" s="14" t="s">
        <v>9158</v>
      </c>
      <c r="O179" s="9" t="s">
        <v>9158</v>
      </c>
      <c r="P179" s="14" t="s">
        <v>9158</v>
      </c>
      <c r="Q179" s="14" t="s">
        <v>9158</v>
      </c>
      <c r="S179" s="14" t="s">
        <v>11774</v>
      </c>
    </row>
    <row r="180" spans="1:19">
      <c r="A180" s="16">
        <v>66943</v>
      </c>
      <c r="B180" s="1" t="s">
        <v>5060</v>
      </c>
      <c r="C180" s="1" t="s">
        <v>5062</v>
      </c>
      <c r="D180" s="19" t="s">
        <v>11789</v>
      </c>
      <c r="E180" s="15" t="str">
        <f>HYPERLINK("https://stat100.ameba.jp/tnk47/ratio20/illustrations/card/ill_66943_ikusawakuno03.jpg?201906-2-RELEASE-unionbattle-413x", "■")</f>
        <v>■</v>
      </c>
      <c r="F180" s="1" t="s">
        <v>5072</v>
      </c>
      <c r="G180" s="1">
        <v>97318</v>
      </c>
      <c r="H180" s="1">
        <v>90522</v>
      </c>
      <c r="I180" s="1">
        <v>24</v>
      </c>
      <c r="J180" s="1" t="s">
        <v>5073</v>
      </c>
      <c r="K180" s="1" t="s">
        <v>5074</v>
      </c>
      <c r="L180" s="1" t="s">
        <v>5075</v>
      </c>
      <c r="M180" s="14" t="s">
        <v>9158</v>
      </c>
      <c r="N180" s="14" t="s">
        <v>9158</v>
      </c>
      <c r="O180" s="9" t="s">
        <v>9158</v>
      </c>
      <c r="P180" s="14" t="s">
        <v>9158</v>
      </c>
      <c r="Q180" s="14" t="s">
        <v>9158</v>
      </c>
      <c r="S180" s="14" t="s">
        <v>11741</v>
      </c>
    </row>
    <row r="181" spans="1:19">
      <c r="A181" s="16">
        <v>68153</v>
      </c>
      <c r="B181" s="1" t="s">
        <v>5061</v>
      </c>
      <c r="C181" s="1" t="s">
        <v>5076</v>
      </c>
      <c r="D181" s="19" t="s">
        <v>11785</v>
      </c>
      <c r="E181" s="15" t="str">
        <f>HYPERLINK("https://stat100.ameba.jp/tnk47/ratio20/illustrations/card/ill_68153_amenofutodamanomikoto03.jpg?201906-2-RELEASE-unionbattle-413x", "■")</f>
        <v>■</v>
      </c>
      <c r="F181" s="1" t="s">
        <v>5077</v>
      </c>
      <c r="G181" s="1">
        <v>56316</v>
      </c>
      <c r="H181" s="1">
        <v>51078</v>
      </c>
      <c r="I181" s="1">
        <v>19</v>
      </c>
      <c r="J181" s="1" t="s">
        <v>5078</v>
      </c>
      <c r="K181" s="1" t="s">
        <v>5079</v>
      </c>
      <c r="L181" s="1" t="s">
        <v>5080</v>
      </c>
      <c r="M181" s="14" t="s">
        <v>9158</v>
      </c>
      <c r="N181" s="14" t="s">
        <v>9158</v>
      </c>
      <c r="O181" s="9" t="s">
        <v>9158</v>
      </c>
      <c r="P181" s="14" t="s">
        <v>9158</v>
      </c>
      <c r="Q181" s="14" t="s">
        <v>9158</v>
      </c>
      <c r="S181" s="1" t="s">
        <v>12930</v>
      </c>
    </row>
    <row r="182" spans="1:19">
      <c r="A182" s="16">
        <v>64323</v>
      </c>
      <c r="B182" s="1" t="s">
        <v>5061</v>
      </c>
      <c r="C182" s="1" t="s">
        <v>5076</v>
      </c>
      <c r="D182" s="19" t="s">
        <v>10218</v>
      </c>
      <c r="E182" s="15" t="str">
        <f>HYPERLINK("https://stat100.ameba.jp/tnk47/ratio20/illustrations/card/ill_64323_mikunigurohondatadakatsu03.jpg?201906-2-RELEASE-unionbattle-413x", "■")</f>
        <v>■</v>
      </c>
      <c r="F182" s="1" t="s">
        <v>5081</v>
      </c>
      <c r="G182" s="1">
        <v>56316</v>
      </c>
      <c r="H182" s="1">
        <v>51078</v>
      </c>
      <c r="I182" s="1">
        <v>19</v>
      </c>
      <c r="J182" s="1" t="s">
        <v>5064</v>
      </c>
      <c r="K182" s="1" t="s">
        <v>5082</v>
      </c>
      <c r="L182" s="1" t="s">
        <v>5083</v>
      </c>
      <c r="M182" s="14" t="s">
        <v>9158</v>
      </c>
      <c r="N182" s="14" t="s">
        <v>9158</v>
      </c>
      <c r="O182" s="9" t="s">
        <v>9158</v>
      </c>
      <c r="P182" s="14" t="s">
        <v>9158</v>
      </c>
      <c r="Q182" s="14" t="s">
        <v>9158</v>
      </c>
      <c r="S182" s="1" t="s">
        <v>12930</v>
      </c>
    </row>
    <row r="183" spans="1:19">
      <c r="A183" s="16">
        <v>68553</v>
      </c>
      <c r="B183" s="1" t="s">
        <v>5061</v>
      </c>
      <c r="C183" s="1" t="s">
        <v>5076</v>
      </c>
      <c r="D183" s="19" t="s">
        <v>10219</v>
      </c>
      <c r="E183" s="15" t="str">
        <f>HYPERLINK("https://stat100.ameba.jp/tnk47/ratio20/illustrations/card/ill_68553_kannonyamakofun03.jpg?201906-2-RELEASE-unionbattle-413x", "■")</f>
        <v>■</v>
      </c>
      <c r="F183" s="1" t="s">
        <v>5084</v>
      </c>
      <c r="G183" s="1">
        <v>56316</v>
      </c>
      <c r="H183" s="1">
        <v>51078</v>
      </c>
      <c r="I183" s="1">
        <v>19</v>
      </c>
      <c r="J183" s="1" t="s">
        <v>5085</v>
      </c>
      <c r="K183" s="1" t="s">
        <v>5086</v>
      </c>
      <c r="L183" s="1" t="s">
        <v>5087</v>
      </c>
      <c r="M183" s="14" t="s">
        <v>9158</v>
      </c>
      <c r="N183" s="14" t="s">
        <v>9158</v>
      </c>
      <c r="O183" s="9" t="s">
        <v>9158</v>
      </c>
      <c r="P183" s="14" t="s">
        <v>9158</v>
      </c>
      <c r="Q183" s="14" t="s">
        <v>9158</v>
      </c>
      <c r="S183" s="14" t="s">
        <v>11784</v>
      </c>
    </row>
    <row r="184" spans="1:19">
      <c r="O184" s="7"/>
    </row>
    <row r="185" spans="1:19">
      <c r="A185" s="1" t="s">
        <v>5088</v>
      </c>
      <c r="O185" s="7"/>
    </row>
    <row r="186" spans="1:19" s="14" customFormat="1">
      <c r="A186" s="1" t="s">
        <v>5089</v>
      </c>
      <c r="O186" s="9"/>
    </row>
    <row r="187" spans="1:19">
      <c r="A187" s="14" t="s">
        <v>9478</v>
      </c>
      <c r="B187" s="1" t="s">
        <v>52</v>
      </c>
      <c r="C187" s="1" t="s">
        <v>200</v>
      </c>
      <c r="D187" s="19" t="s">
        <v>3160</v>
      </c>
      <c r="E187" s="15" t="str">
        <f>HYPERLINK("https://stat100.ameba.jp/tnk47/ratio20/illustrations/card/ill_72963_0_amenohanayomehiguchiichiyo03.jpg?201906-2-RELEASE-unionbattle-413x", "■")</f>
        <v>■</v>
      </c>
      <c r="F187" s="1" t="s">
        <v>1139</v>
      </c>
      <c r="G187" s="1">
        <v>160804</v>
      </c>
      <c r="H187" s="1">
        <v>149520</v>
      </c>
      <c r="I187" s="1">
        <v>24</v>
      </c>
      <c r="J187" s="1" t="s">
        <v>10</v>
      </c>
      <c r="K187" s="1" t="s">
        <v>1140</v>
      </c>
      <c r="L187" s="1" t="s">
        <v>1141</v>
      </c>
      <c r="M187" s="14" t="s">
        <v>9158</v>
      </c>
      <c r="N187" s="14" t="s">
        <v>9158</v>
      </c>
      <c r="O187" s="7" t="s">
        <v>3409</v>
      </c>
      <c r="P187" s="1" t="s">
        <v>3410</v>
      </c>
      <c r="Q187" s="1">
        <v>1</v>
      </c>
    </row>
    <row r="188" spans="1:19">
      <c r="A188" s="16">
        <v>77683</v>
      </c>
      <c r="B188" s="1" t="s">
        <v>334</v>
      </c>
      <c r="C188" s="1" t="s">
        <v>203</v>
      </c>
      <c r="D188" s="19" t="s">
        <v>10220</v>
      </c>
      <c r="E188" s="15" t="str">
        <f>HYPERLINK("https://stat100.ameba.jp/tnk47/ratio20/illustrations/card/ill_77683_shukusainoujohoride03.jpg?201906-2-RELEASE-unionbattle-413x", "■")</f>
        <v>■</v>
      </c>
      <c r="F188" s="1" t="s">
        <v>1430</v>
      </c>
      <c r="G188" s="1">
        <v>100519</v>
      </c>
      <c r="H188" s="1">
        <v>72819</v>
      </c>
      <c r="I188" s="1">
        <v>23</v>
      </c>
      <c r="J188" s="1" t="s">
        <v>315</v>
      </c>
      <c r="K188" s="1" t="s">
        <v>1431</v>
      </c>
      <c r="L188" s="1" t="s">
        <v>1432</v>
      </c>
      <c r="M188" s="14" t="s">
        <v>9158</v>
      </c>
      <c r="N188" s="14" t="s">
        <v>9158</v>
      </c>
      <c r="O188" s="6" t="s">
        <v>10057</v>
      </c>
      <c r="P188" s="1" t="s">
        <v>3460</v>
      </c>
      <c r="Q188" s="1">
        <v>1</v>
      </c>
    </row>
    <row r="189" spans="1:19">
      <c r="A189" s="16">
        <v>75873</v>
      </c>
      <c r="B189" s="1" t="s">
        <v>0</v>
      </c>
      <c r="C189" s="1" t="s">
        <v>154</v>
      </c>
      <c r="D189" s="19" t="s">
        <v>10221</v>
      </c>
      <c r="E189" s="15" t="str">
        <f>HYPERLINK("https://stat100.ameba.jp/tnk47/ratio20/illustrations/card/ill_75873_harajukuroriitachan03.jpg?201906-2-RELEASE-unionbattle-413x", "■")</f>
        <v>■</v>
      </c>
      <c r="F189" s="1" t="s">
        <v>1945</v>
      </c>
      <c r="G189" s="1">
        <v>101002</v>
      </c>
      <c r="H189" s="1">
        <v>108617</v>
      </c>
      <c r="I189" s="1">
        <v>23</v>
      </c>
      <c r="J189" s="1" t="s">
        <v>26</v>
      </c>
      <c r="K189" s="1" t="s">
        <v>1946</v>
      </c>
      <c r="L189" s="1" t="s">
        <v>1947</v>
      </c>
      <c r="M189" s="14" t="s">
        <v>9158</v>
      </c>
      <c r="N189" s="14" t="s">
        <v>9158</v>
      </c>
      <c r="O189" s="7" t="s">
        <v>2717</v>
      </c>
      <c r="P189" s="1" t="s">
        <v>13123</v>
      </c>
      <c r="Q189" s="1">
        <v>1</v>
      </c>
    </row>
    <row r="190" spans="1:19">
      <c r="A190" s="16">
        <v>63283</v>
      </c>
      <c r="B190" s="1" t="s">
        <v>334</v>
      </c>
      <c r="C190" s="1" t="s">
        <v>209</v>
      </c>
      <c r="D190" s="19" t="s">
        <v>327</v>
      </c>
      <c r="E190" s="15" t="str">
        <f>HYPERLINK("https://stat100.ameba.jp/tnk47/ratio20/illustrations/card/ill_63283_mizuyokanchan03.jpg?201906-2-RELEASE-unionbattle-413x", "■")</f>
        <v>■</v>
      </c>
      <c r="F190" s="1" t="s">
        <v>327</v>
      </c>
      <c r="G190" s="1">
        <v>108617</v>
      </c>
      <c r="H190" s="1">
        <v>101002</v>
      </c>
      <c r="I190" s="1">
        <v>23</v>
      </c>
      <c r="J190" s="1" t="s">
        <v>283</v>
      </c>
      <c r="K190" s="1" t="s">
        <v>328</v>
      </c>
      <c r="L190" s="1" t="s">
        <v>329</v>
      </c>
      <c r="M190" s="14" t="s">
        <v>9158</v>
      </c>
      <c r="N190" s="14" t="s">
        <v>9158</v>
      </c>
      <c r="O190" s="7" t="s">
        <v>3870</v>
      </c>
      <c r="P190" s="1" t="s">
        <v>3563</v>
      </c>
      <c r="Q190" s="1">
        <v>1</v>
      </c>
    </row>
    <row r="191" spans="1:19">
      <c r="O191" s="7"/>
    </row>
    <row r="192" spans="1:19">
      <c r="A192" s="1" t="s">
        <v>5090</v>
      </c>
      <c r="O192" s="7"/>
    </row>
    <row r="193" spans="1:17" s="14" customFormat="1">
      <c r="A193" s="1" t="s">
        <v>5091</v>
      </c>
      <c r="O193" s="9"/>
    </row>
    <row r="194" spans="1:17">
      <c r="A194" s="14" t="s">
        <v>9479</v>
      </c>
      <c r="B194" s="1" t="s">
        <v>330</v>
      </c>
      <c r="C194" s="1" t="s">
        <v>191</v>
      </c>
      <c r="D194" s="19" t="s">
        <v>306</v>
      </c>
      <c r="E194" s="15" t="str">
        <f>HYPERLINK("https://stat100.ameba.jp/tnk47/ratio20/illustrations/card/ill_71403_0_ohanamisanadayukimura03.jpg?201906-2-RELEASE-unionbattle-413x", "■")</f>
        <v>■</v>
      </c>
      <c r="F194" s="1" t="s">
        <v>309</v>
      </c>
      <c r="G194" s="1">
        <v>140016</v>
      </c>
      <c r="H194" s="1">
        <v>130194</v>
      </c>
      <c r="I194" s="1">
        <v>15</v>
      </c>
      <c r="J194" s="1" t="s">
        <v>310</v>
      </c>
      <c r="K194" s="1" t="s">
        <v>311</v>
      </c>
      <c r="L194" s="1" t="s">
        <v>312</v>
      </c>
      <c r="M194" s="14" t="s">
        <v>9158</v>
      </c>
      <c r="N194" s="14" t="s">
        <v>9158</v>
      </c>
      <c r="O194" s="6" t="s">
        <v>10060</v>
      </c>
      <c r="P194" s="1" t="s">
        <v>3418</v>
      </c>
      <c r="Q194" s="1">
        <v>2</v>
      </c>
    </row>
    <row r="195" spans="1:17">
      <c r="A195" s="14" t="s">
        <v>9455</v>
      </c>
      <c r="B195" s="1" t="s">
        <v>330</v>
      </c>
      <c r="C195" s="1" t="s">
        <v>200</v>
      </c>
      <c r="D195" s="19" t="s">
        <v>389</v>
      </c>
      <c r="E195" s="15" t="str">
        <f>HYPERLINK("https://stat100.ameba.jp/tnk47/ratio20/illustrations/card/ill_53753_0_natsumatsuritokugawaieyasu03.jpg?201906-2-RELEASE-unionbattle-413x", "■")</f>
        <v>■</v>
      </c>
      <c r="F195" s="1" t="s">
        <v>902</v>
      </c>
      <c r="G195" s="1">
        <v>94236</v>
      </c>
      <c r="H195" s="1">
        <v>83712</v>
      </c>
      <c r="I195" s="1">
        <v>15</v>
      </c>
      <c r="J195" s="1" t="s">
        <v>143</v>
      </c>
      <c r="K195" s="1" t="s">
        <v>903</v>
      </c>
      <c r="L195" s="1" t="s">
        <v>904</v>
      </c>
      <c r="M195" s="14" t="s">
        <v>9158</v>
      </c>
      <c r="N195" s="14" t="s">
        <v>9158</v>
      </c>
      <c r="O195" s="6" t="s">
        <v>10052</v>
      </c>
      <c r="P195" s="1" t="s">
        <v>13121</v>
      </c>
      <c r="Q195" s="1">
        <v>1</v>
      </c>
    </row>
    <row r="196" spans="1:17">
      <c r="A196" s="14" t="s">
        <v>9480</v>
      </c>
      <c r="B196" s="1" t="s">
        <v>52</v>
      </c>
      <c r="C196" s="1" t="s">
        <v>96</v>
      </c>
      <c r="D196" s="19" t="s">
        <v>634</v>
      </c>
      <c r="E196" s="15" t="str">
        <f>HYPERLINK("https://stat100.ameba.jp/tnk47/ratio20/illustrations/card/ill_40963_0_makami03.jpg?201906-2-RELEASE-unionbattle-413x", "■")</f>
        <v>■</v>
      </c>
      <c r="F196" s="1" t="s">
        <v>2038</v>
      </c>
      <c r="G196" s="1">
        <v>87780</v>
      </c>
      <c r="H196" s="1">
        <v>82212</v>
      </c>
      <c r="I196" s="1">
        <v>15</v>
      </c>
      <c r="J196" s="1" t="s">
        <v>44</v>
      </c>
      <c r="K196" s="1" t="s">
        <v>2039</v>
      </c>
      <c r="L196" s="1" t="s">
        <v>2040</v>
      </c>
      <c r="M196" s="14" t="s">
        <v>9158</v>
      </c>
      <c r="N196" s="14" t="s">
        <v>9158</v>
      </c>
      <c r="O196" s="9" t="s">
        <v>9158</v>
      </c>
      <c r="P196" s="14" t="s">
        <v>9158</v>
      </c>
      <c r="Q196" s="14" t="s">
        <v>9158</v>
      </c>
    </row>
    <row r="197" spans="1:17">
      <c r="A197" s="16">
        <v>74323</v>
      </c>
      <c r="B197" s="1" t="s">
        <v>334</v>
      </c>
      <c r="C197" s="1" t="s">
        <v>96</v>
      </c>
      <c r="D197" s="19" t="s">
        <v>10222</v>
      </c>
      <c r="E197" s="15" t="str">
        <f>HYPERLINK("https://stat100.ameba.jp/tnk47/ratio20/illustrations/card/ill_74323_nadanosake03.jpg?201906-2-RELEASE-unionbattle-413x", "■")</f>
        <v>■</v>
      </c>
      <c r="F197" s="1" t="s">
        <v>5092</v>
      </c>
      <c r="G197" s="1">
        <v>134152</v>
      </c>
      <c r="H197" s="1">
        <v>75467</v>
      </c>
      <c r="I197" s="1">
        <v>23</v>
      </c>
      <c r="J197" s="1" t="s">
        <v>5093</v>
      </c>
      <c r="K197" s="1" t="s">
        <v>5094</v>
      </c>
      <c r="L197" s="1" t="s">
        <v>5095</v>
      </c>
      <c r="M197" s="14" t="s">
        <v>9158</v>
      </c>
      <c r="N197" s="14" t="s">
        <v>9158</v>
      </c>
      <c r="O197" s="9" t="s">
        <v>9158</v>
      </c>
      <c r="P197" s="14" t="s">
        <v>9158</v>
      </c>
      <c r="Q197" s="14" t="s">
        <v>9158</v>
      </c>
    </row>
    <row r="198" spans="1:17">
      <c r="A198" s="16">
        <v>62313</v>
      </c>
      <c r="B198" s="1" t="s">
        <v>334</v>
      </c>
      <c r="C198" s="1" t="s">
        <v>185</v>
      </c>
      <c r="D198" s="19" t="s">
        <v>2879</v>
      </c>
      <c r="E198" s="15" t="str">
        <f>HYPERLINK("https://stat100.ameba.jp/tnk47/ratio20/illustrations/card/ill_62313_mukadehime03.jpg?201906-2-RELEASE-unionbattle-413x", "■")</f>
        <v>■</v>
      </c>
      <c r="F198" s="1" t="s">
        <v>2880</v>
      </c>
      <c r="G198" s="1">
        <v>129501</v>
      </c>
      <c r="H198" s="1">
        <v>72883</v>
      </c>
      <c r="I198" s="1">
        <v>23</v>
      </c>
      <c r="J198" s="1" t="s">
        <v>274</v>
      </c>
      <c r="K198" s="1" t="s">
        <v>2881</v>
      </c>
      <c r="L198" s="1" t="s">
        <v>5096</v>
      </c>
      <c r="M198" s="14" t="s">
        <v>9158</v>
      </c>
      <c r="N198" s="14" t="s">
        <v>9158</v>
      </c>
      <c r="O198" s="9" t="s">
        <v>9158</v>
      </c>
      <c r="P198" s="14" t="s">
        <v>9158</v>
      </c>
      <c r="Q198" s="14" t="s">
        <v>9158</v>
      </c>
    </row>
    <row r="199" spans="1:17">
      <c r="A199" s="16">
        <v>63223</v>
      </c>
      <c r="B199" s="1" t="s">
        <v>334</v>
      </c>
      <c r="C199" s="1" t="s">
        <v>5097</v>
      </c>
      <c r="D199" s="19" t="s">
        <v>10223</v>
      </c>
      <c r="E199" s="15" t="str">
        <f>HYPERLINK("https://stat100.ameba.jp/tnk47/ratio20/illustrations/card/ill_63223_kyupiddodainokata03.jpg?201906-2-RELEASE-unionbattle-413x", "■")</f>
        <v>■</v>
      </c>
      <c r="F199" s="1" t="s">
        <v>5098</v>
      </c>
      <c r="G199" s="1">
        <v>89839</v>
      </c>
      <c r="H199" s="1">
        <v>83499</v>
      </c>
      <c r="I199" s="1">
        <v>23</v>
      </c>
      <c r="J199" s="1" t="s">
        <v>5099</v>
      </c>
      <c r="K199" s="1" t="s">
        <v>5100</v>
      </c>
      <c r="L199" s="1" t="s">
        <v>5101</v>
      </c>
      <c r="M199" s="14" t="s">
        <v>9158</v>
      </c>
      <c r="N199" s="14" t="s">
        <v>9158</v>
      </c>
      <c r="O199" s="9" t="s">
        <v>9158</v>
      </c>
      <c r="P199" s="14" t="s">
        <v>9158</v>
      </c>
      <c r="Q199" s="14" t="s">
        <v>9158</v>
      </c>
    </row>
    <row r="200" spans="1:17">
      <c r="O200" s="7"/>
    </row>
    <row r="201" spans="1:17">
      <c r="A201" s="1" t="s">
        <v>5103</v>
      </c>
      <c r="O201" s="7"/>
    </row>
    <row r="202" spans="1:17" s="14" customFormat="1">
      <c r="A202" s="1" t="s">
        <v>5104</v>
      </c>
      <c r="O202" s="9"/>
    </row>
    <row r="203" spans="1:17">
      <c r="A203" s="14" t="s">
        <v>9481</v>
      </c>
      <c r="B203" s="1" t="s">
        <v>330</v>
      </c>
      <c r="C203" s="1" t="s">
        <v>200</v>
      </c>
      <c r="D203" s="19" t="s">
        <v>421</v>
      </c>
      <c r="E203" s="15" t="str">
        <f>HYPERLINK("https://stat100.ameba.jp/tnk47/ratio20/illustrations/card/ill_58853_0_setsubumpanikkuhiratsukaraicho03.jpg?201906-3-RELEASE-dice-e-414", "■")</f>
        <v>■</v>
      </c>
      <c r="F203" s="1" t="s">
        <v>1040</v>
      </c>
      <c r="G203" s="1">
        <v>138212</v>
      </c>
      <c r="H203" s="1">
        <v>122776</v>
      </c>
      <c r="I203" s="1">
        <v>22</v>
      </c>
      <c r="J203" s="1" t="s">
        <v>16</v>
      </c>
      <c r="K203" s="1" t="s">
        <v>1041</v>
      </c>
      <c r="L203" s="1" t="s">
        <v>1042</v>
      </c>
      <c r="M203" s="14" t="s">
        <v>9158</v>
      </c>
      <c r="N203" s="14" t="s">
        <v>9158</v>
      </c>
      <c r="O203" s="6" t="s">
        <v>10059</v>
      </c>
      <c r="P203" s="1" t="s">
        <v>2870</v>
      </c>
      <c r="Q203" s="1">
        <v>1</v>
      </c>
    </row>
    <row r="204" spans="1:17">
      <c r="A204" s="14" t="s">
        <v>9471</v>
      </c>
      <c r="B204" s="1" t="s">
        <v>330</v>
      </c>
      <c r="C204" s="1" t="s">
        <v>206</v>
      </c>
      <c r="D204" s="19" t="s">
        <v>669</v>
      </c>
      <c r="E204" s="15" t="str">
        <f>HYPERLINK("https://stat100.ameba.jp/tnk47/ratio20/illustrations/card/ill_67173_0_yukemuriawamorichan03.jpg?201906-3-RELEASE-dice-e-414", "■")</f>
        <v>■</v>
      </c>
      <c r="F204" s="1" t="s">
        <v>670</v>
      </c>
      <c r="G204" s="1">
        <v>169032</v>
      </c>
      <c r="H204" s="1">
        <v>157150</v>
      </c>
      <c r="I204" s="1">
        <v>22</v>
      </c>
      <c r="J204" s="1" t="s">
        <v>283</v>
      </c>
      <c r="K204" s="1" t="s">
        <v>671</v>
      </c>
      <c r="L204" s="1" t="s">
        <v>672</v>
      </c>
      <c r="M204" s="14" t="s">
        <v>9158</v>
      </c>
      <c r="N204" s="14" t="s">
        <v>9158</v>
      </c>
      <c r="O204" s="6" t="s">
        <v>10061</v>
      </c>
      <c r="P204" s="1" t="s">
        <v>3455</v>
      </c>
      <c r="Q204" s="1">
        <v>1</v>
      </c>
    </row>
    <row r="205" spans="1:17">
      <c r="A205" s="16">
        <v>75853</v>
      </c>
      <c r="B205" s="1" t="s">
        <v>334</v>
      </c>
      <c r="C205" s="1" t="s">
        <v>5105</v>
      </c>
      <c r="D205" s="19" t="s">
        <v>10224</v>
      </c>
      <c r="E205" s="15" t="str">
        <f>HYPERLINK("https://stat100.ameba.jp/tnk47/ratio20/illustrations/card/ill_75853_moruganoyuki03.jpg?201906-3-RELEASE-dice-e-414", "■")</f>
        <v>■</v>
      </c>
      <c r="F205" s="1" t="s">
        <v>5106</v>
      </c>
      <c r="G205" s="1">
        <v>120000</v>
      </c>
      <c r="H205" s="1">
        <v>111576</v>
      </c>
      <c r="I205" s="1">
        <v>24</v>
      </c>
      <c r="J205" s="1" t="s">
        <v>5107</v>
      </c>
      <c r="K205" s="1" t="s">
        <v>5108</v>
      </c>
      <c r="L205" s="1" t="s">
        <v>5109</v>
      </c>
      <c r="M205" s="14" t="s">
        <v>9158</v>
      </c>
      <c r="N205" s="14" t="s">
        <v>9158</v>
      </c>
      <c r="O205" s="7" t="s">
        <v>5110</v>
      </c>
      <c r="P205" s="1" t="s">
        <v>5111</v>
      </c>
      <c r="Q205" s="1">
        <v>1</v>
      </c>
    </row>
    <row r="206" spans="1:17">
      <c r="A206" s="16">
        <v>63263</v>
      </c>
      <c r="B206" s="1" t="s">
        <v>334</v>
      </c>
      <c r="C206" s="1" t="s">
        <v>209</v>
      </c>
      <c r="D206" s="19" t="s">
        <v>2831</v>
      </c>
      <c r="E206" s="15" t="str">
        <f>HYPERLINK("https://stat100.ameba.jp/tnk47/ratio20/illustrations/card/ill_63263_saionjikimmochi03.jpg?201906-3-RELEASE-dice-e-414", "■")</f>
        <v>■</v>
      </c>
      <c r="F206" s="1" t="s">
        <v>2832</v>
      </c>
      <c r="G206" s="1">
        <v>66487</v>
      </c>
      <c r="H206" s="1">
        <v>91779</v>
      </c>
      <c r="I206" s="1">
        <v>21</v>
      </c>
      <c r="J206" s="1" t="s">
        <v>351</v>
      </c>
      <c r="K206" s="1" t="s">
        <v>2833</v>
      </c>
      <c r="L206" s="1" t="s">
        <v>1625</v>
      </c>
      <c r="M206" s="14" t="s">
        <v>9158</v>
      </c>
      <c r="N206" s="14" t="s">
        <v>9158</v>
      </c>
      <c r="O206" s="9" t="s">
        <v>9158</v>
      </c>
      <c r="P206" s="14" t="s">
        <v>9158</v>
      </c>
      <c r="Q206" s="14" t="s">
        <v>9158</v>
      </c>
    </row>
    <row r="207" spans="1:17">
      <c r="A207" s="16">
        <v>57123</v>
      </c>
      <c r="B207" s="1" t="s">
        <v>334</v>
      </c>
      <c r="C207" s="1" t="s">
        <v>5112</v>
      </c>
      <c r="D207" s="19" t="s">
        <v>10225</v>
      </c>
      <c r="E207" s="15" t="str">
        <f>HYPERLINK("https://stat100.ameba.jp/tnk47/ratio20/illustrations/card/ill_57123_igamaria03.jpg?201906-3-RELEASE-dice-e-414", "■")</f>
        <v>■</v>
      </c>
      <c r="F207" s="1" t="s">
        <v>5113</v>
      </c>
      <c r="G207" s="1">
        <v>86668</v>
      </c>
      <c r="H207" s="1">
        <v>63547</v>
      </c>
      <c r="I207" s="1">
        <v>21</v>
      </c>
      <c r="J207" s="1" t="s">
        <v>5114</v>
      </c>
      <c r="K207" s="1" t="s">
        <v>5115</v>
      </c>
      <c r="L207" s="1" t="s">
        <v>5116</v>
      </c>
      <c r="M207" s="14" t="s">
        <v>9158</v>
      </c>
      <c r="N207" s="14" t="s">
        <v>9158</v>
      </c>
      <c r="O207" s="9" t="s">
        <v>9158</v>
      </c>
      <c r="P207" s="14" t="s">
        <v>9158</v>
      </c>
      <c r="Q207" s="14" t="s">
        <v>9158</v>
      </c>
    </row>
    <row r="208" spans="1:17">
      <c r="A208" s="16">
        <v>70373</v>
      </c>
      <c r="B208" s="1" t="s">
        <v>334</v>
      </c>
      <c r="C208" s="1" t="s">
        <v>209</v>
      </c>
      <c r="D208" s="19" t="s">
        <v>10226</v>
      </c>
      <c r="E208" s="15" t="str">
        <f>HYPERLINK("https://stat100.ameba.jp/tnk47/ratio20/illustrations/card/ill_70373_amanoyasukage03.jpg?201906-3-RELEASE-dice-e-414", "■")</f>
        <v>■</v>
      </c>
      <c r="F208" s="1" t="s">
        <v>2617</v>
      </c>
      <c r="G208" s="1">
        <v>108478</v>
      </c>
      <c r="H208" s="1">
        <v>108478</v>
      </c>
      <c r="I208" s="1">
        <v>21</v>
      </c>
      <c r="J208" s="1" t="s">
        <v>143</v>
      </c>
      <c r="K208" s="1" t="s">
        <v>2618</v>
      </c>
      <c r="L208" s="1" t="s">
        <v>2619</v>
      </c>
      <c r="M208" s="14" t="s">
        <v>9158</v>
      </c>
      <c r="N208" s="14" t="s">
        <v>9158</v>
      </c>
      <c r="O208" s="7" t="s">
        <v>4145</v>
      </c>
      <c r="P208" s="1" t="s">
        <v>4146</v>
      </c>
      <c r="Q208" s="1">
        <v>1</v>
      </c>
    </row>
    <row r="209" spans="1:17">
      <c r="A209" s="16">
        <v>65633</v>
      </c>
      <c r="B209" s="1" t="s">
        <v>0</v>
      </c>
      <c r="C209" s="1" t="s">
        <v>41</v>
      </c>
      <c r="D209" s="19" t="s">
        <v>10227</v>
      </c>
      <c r="E209" s="15" t="str">
        <f>HYPERLINK("https://stat100.ameba.jp/tnk47/ratio20/illustrations/card/ill_65633_shinnoakugoro03.jpg?201906-3-RELEASE-dice-e-414", "■")</f>
        <v>■</v>
      </c>
      <c r="F209" s="1" t="s">
        <v>70</v>
      </c>
      <c r="G209" s="1">
        <v>97925</v>
      </c>
      <c r="H209" s="1">
        <v>70942</v>
      </c>
      <c r="I209" s="1">
        <v>21</v>
      </c>
      <c r="J209" s="1" t="s">
        <v>73</v>
      </c>
      <c r="K209" s="1" t="s">
        <v>71</v>
      </c>
      <c r="L209" s="1" t="s">
        <v>72</v>
      </c>
      <c r="M209" s="14" t="s">
        <v>9158</v>
      </c>
      <c r="N209" s="14" t="s">
        <v>9158</v>
      </c>
      <c r="O209" s="9" t="s">
        <v>9158</v>
      </c>
      <c r="P209" s="14" t="s">
        <v>9158</v>
      </c>
      <c r="Q209" s="14" t="s">
        <v>9158</v>
      </c>
    </row>
    <row r="210" spans="1:17">
      <c r="A210" s="16">
        <v>73913</v>
      </c>
      <c r="B210" s="1" t="s">
        <v>334</v>
      </c>
      <c r="C210" s="1" t="s">
        <v>154</v>
      </c>
      <c r="D210" s="19" t="s">
        <v>3202</v>
      </c>
      <c r="E210" s="15" t="str">
        <f>HYPERLINK("https://stat100.ameba.jp/tnk47/ratio20/illustrations/card/ill_73913_atsutajingu03.jpg?201906-3-RELEASE-dice-e-414", "■")</f>
        <v>■</v>
      </c>
      <c r="F210" s="1" t="s">
        <v>1207</v>
      </c>
      <c r="G210" s="1">
        <v>69430</v>
      </c>
      <c r="H210" s="1">
        <v>95859</v>
      </c>
      <c r="I210" s="1">
        <v>21</v>
      </c>
      <c r="J210" s="1" t="s">
        <v>44</v>
      </c>
      <c r="K210" s="1" t="s">
        <v>1208</v>
      </c>
      <c r="L210" s="1" t="s">
        <v>1209</v>
      </c>
      <c r="M210" s="14" t="s">
        <v>9158</v>
      </c>
      <c r="N210" s="14" t="s">
        <v>9158</v>
      </c>
      <c r="O210" s="6" t="s">
        <v>10053</v>
      </c>
      <c r="P210" s="1" t="s">
        <v>2822</v>
      </c>
      <c r="Q210" s="1">
        <v>1</v>
      </c>
    </row>
    <row r="211" spans="1:17">
      <c r="O211" s="7"/>
    </row>
    <row r="212" spans="1:17">
      <c r="A212" s="1" t="s">
        <v>195</v>
      </c>
      <c r="O212" s="7"/>
    </row>
    <row r="213" spans="1:17" s="14" customFormat="1">
      <c r="A213" s="1" t="s">
        <v>5102</v>
      </c>
      <c r="O213" s="9"/>
    </row>
    <row r="214" spans="1:17">
      <c r="A214" s="16">
        <v>66093</v>
      </c>
      <c r="B214" s="1" t="s">
        <v>0</v>
      </c>
      <c r="C214" s="1" t="s">
        <v>209</v>
      </c>
      <c r="D214" s="19" t="s">
        <v>10228</v>
      </c>
      <c r="E214" s="15" t="str">
        <f>HYPERLINK("https://stat100.ameba.jp/tnk47/ratio20/illustrations/card/ill_66093_sasanishiki03.jpg?201906-3-RELEASE-dice-e-414", "■")</f>
        <v>■</v>
      </c>
      <c r="F214" s="1" t="s">
        <v>1760</v>
      </c>
      <c r="G214" s="1">
        <v>94886</v>
      </c>
      <c r="H214" s="1">
        <v>88226</v>
      </c>
      <c r="I214" s="1">
        <v>22</v>
      </c>
      <c r="J214" s="1" t="s">
        <v>104</v>
      </c>
      <c r="K214" s="1" t="s">
        <v>1761</v>
      </c>
      <c r="L214" s="1" t="s">
        <v>1762</v>
      </c>
      <c r="M214" s="14" t="s">
        <v>9158</v>
      </c>
      <c r="N214" s="14" t="s">
        <v>9158</v>
      </c>
      <c r="O214" s="9" t="s">
        <v>9158</v>
      </c>
      <c r="P214" s="14" t="s">
        <v>9158</v>
      </c>
      <c r="Q214" s="14" t="s">
        <v>9158</v>
      </c>
    </row>
    <row r="215" spans="1:17">
      <c r="A215" s="16">
        <v>66103</v>
      </c>
      <c r="B215" s="1" t="s">
        <v>0</v>
      </c>
      <c r="C215" s="1" t="s">
        <v>158</v>
      </c>
      <c r="D215" s="19" t="s">
        <v>10229</v>
      </c>
      <c r="E215" s="15" t="str">
        <f>HYPERLINK("https://stat100.ameba.jp/tnk47/ratio20/illustrations/card/ill_66103_kokentenno03.jpg?201905-1-RELEASE-raid-407", "■")</f>
        <v>■</v>
      </c>
      <c r="F215" s="1" t="s">
        <v>1764</v>
      </c>
      <c r="G215" s="1">
        <v>94886</v>
      </c>
      <c r="H215" s="1">
        <v>88226</v>
      </c>
      <c r="I215" s="1">
        <v>22</v>
      </c>
      <c r="J215" s="1" t="s">
        <v>77</v>
      </c>
      <c r="K215" s="1" t="s">
        <v>1765</v>
      </c>
      <c r="L215" s="1" t="s">
        <v>1766</v>
      </c>
      <c r="M215" s="14" t="s">
        <v>9158</v>
      </c>
      <c r="N215" s="14" t="s">
        <v>9158</v>
      </c>
      <c r="O215" s="9" t="s">
        <v>9158</v>
      </c>
      <c r="P215" s="14" t="s">
        <v>9158</v>
      </c>
      <c r="Q215" s="14" t="s">
        <v>9158</v>
      </c>
    </row>
    <row r="216" spans="1:17">
      <c r="A216" s="16">
        <v>76483</v>
      </c>
      <c r="B216" s="1" t="s">
        <v>334</v>
      </c>
      <c r="C216" s="1" t="s">
        <v>307</v>
      </c>
      <c r="D216" s="19" t="s">
        <v>589</v>
      </c>
      <c r="E216" s="15" t="str">
        <f>HYPERLINK("https://stat100.ameba.jp/tnk47/ratio20/illustrations/card/ill_76483_yukemurimizuhanome03.jpg?201906-3-RELEASE-dice-e-414", "■")</f>
        <v>■</v>
      </c>
      <c r="F216" s="1" t="s">
        <v>590</v>
      </c>
      <c r="G216" s="1">
        <v>89736</v>
      </c>
      <c r="H216" s="1">
        <v>83426</v>
      </c>
      <c r="I216" s="1">
        <v>22</v>
      </c>
      <c r="J216" s="1" t="s">
        <v>401</v>
      </c>
      <c r="K216" s="1" t="s">
        <v>591</v>
      </c>
      <c r="L216" s="1" t="s">
        <v>592</v>
      </c>
      <c r="M216" s="14" t="s">
        <v>9158</v>
      </c>
      <c r="N216" s="14" t="s">
        <v>9158</v>
      </c>
      <c r="O216" s="9" t="s">
        <v>9158</v>
      </c>
      <c r="P216" s="14" t="s">
        <v>9158</v>
      </c>
      <c r="Q216" s="14" t="s">
        <v>9158</v>
      </c>
    </row>
    <row r="217" spans="1:17">
      <c r="A217" s="16">
        <v>70023</v>
      </c>
      <c r="B217" s="1" t="s">
        <v>334</v>
      </c>
      <c r="C217" s="1" t="s">
        <v>344</v>
      </c>
      <c r="D217" s="19" t="s">
        <v>10230</v>
      </c>
      <c r="E217" s="15" t="str">
        <f>HYPERLINK("https://stat100.ameba.jp/tnk47/ratio20/illustrations/card/ill_70023_yukinoukokunabeshimanobakeneko03.jpg?201906-3-RELEASE-dice-e-414", "■")</f>
        <v>■</v>
      </c>
      <c r="F217" s="1" t="s">
        <v>769</v>
      </c>
      <c r="G217" s="1">
        <v>85246</v>
      </c>
      <c r="H217" s="1">
        <v>91664</v>
      </c>
      <c r="I217" s="1">
        <v>22</v>
      </c>
      <c r="J217" s="1" t="s">
        <v>320</v>
      </c>
      <c r="K217" s="1" t="s">
        <v>770</v>
      </c>
      <c r="L217" s="1" t="s">
        <v>771</v>
      </c>
      <c r="M217" s="14" t="s">
        <v>9158</v>
      </c>
      <c r="N217" s="14" t="s">
        <v>9158</v>
      </c>
      <c r="O217" s="9" t="s">
        <v>9158</v>
      </c>
      <c r="P217" s="14" t="s">
        <v>9158</v>
      </c>
      <c r="Q217" s="14" t="s">
        <v>9158</v>
      </c>
    </row>
    <row r="218" spans="1:17">
      <c r="O218" s="7"/>
    </row>
    <row r="219" spans="1:17">
      <c r="A219" s="1" t="s">
        <v>5117</v>
      </c>
      <c r="O219" s="7"/>
    </row>
    <row r="220" spans="1:17" s="14" customFormat="1">
      <c r="A220" s="1" t="s">
        <v>5118</v>
      </c>
      <c r="O220" s="9"/>
    </row>
    <row r="221" spans="1:17">
      <c r="A221" s="14" t="s">
        <v>9482</v>
      </c>
      <c r="B221" s="1" t="s">
        <v>330</v>
      </c>
      <c r="C221" s="1" t="s">
        <v>200</v>
      </c>
      <c r="D221" s="19" t="s">
        <v>665</v>
      </c>
      <c r="E221" s="15" t="str">
        <f>HYPERLINK("https://stat100.ameba.jp/tnk47/ratio20/illustrations/card/ill_63173_0_minazukikonakaiteruko03.jpg?201906-3-RELEASE-dice-e-414", "■")</f>
        <v>■</v>
      </c>
      <c r="F221" s="1" t="s">
        <v>666</v>
      </c>
      <c r="G221" s="1">
        <v>173592</v>
      </c>
      <c r="H221" s="1">
        <v>186688</v>
      </c>
      <c r="I221" s="1">
        <v>20</v>
      </c>
      <c r="J221" s="1" t="s">
        <v>310</v>
      </c>
      <c r="K221" s="1" t="s">
        <v>667</v>
      </c>
      <c r="L221" s="1" t="s">
        <v>668</v>
      </c>
      <c r="M221" s="14" t="s">
        <v>9158</v>
      </c>
      <c r="N221" s="14" t="s">
        <v>9158</v>
      </c>
      <c r="O221" s="7" t="s">
        <v>3328</v>
      </c>
      <c r="P221" s="1" t="s">
        <v>3329</v>
      </c>
      <c r="Q221" s="1">
        <v>1</v>
      </c>
    </row>
    <row r="222" spans="1:17">
      <c r="A222" s="16">
        <v>60173</v>
      </c>
      <c r="B222" s="1" t="s">
        <v>0</v>
      </c>
      <c r="C222" s="1" t="s">
        <v>41</v>
      </c>
      <c r="D222" s="19" t="s">
        <v>10231</v>
      </c>
      <c r="E222" s="15" t="str">
        <f>HYPERLINK("https://stat100.ameba.jp/tnk47/ratio20/illustrations/card/ill_60173_kugutsushi03.jpg?201906-3-RELEASE-dice-e-414", "■")</f>
        <v>■</v>
      </c>
      <c r="F222" s="1" t="s">
        <v>4282</v>
      </c>
      <c r="G222" s="1">
        <v>81314</v>
      </c>
      <c r="H222" s="1">
        <v>112270</v>
      </c>
      <c r="I222" s="1">
        <v>22</v>
      </c>
      <c r="J222" s="1" t="s">
        <v>38</v>
      </c>
      <c r="K222" s="1" t="s">
        <v>4283</v>
      </c>
      <c r="L222" s="1" t="s">
        <v>2714</v>
      </c>
      <c r="M222" s="14" t="s">
        <v>9158</v>
      </c>
      <c r="N222" s="14" t="s">
        <v>9158</v>
      </c>
      <c r="O222" s="7" t="s">
        <v>4284</v>
      </c>
      <c r="P222" s="1" t="s">
        <v>4285</v>
      </c>
      <c r="Q222" s="1">
        <v>1</v>
      </c>
    </row>
    <row r="223" spans="1:17">
      <c r="A223" s="16">
        <v>68693</v>
      </c>
      <c r="B223" s="1" t="s">
        <v>334</v>
      </c>
      <c r="C223" s="1" t="s">
        <v>154</v>
      </c>
      <c r="D223" s="19" t="s">
        <v>10232</v>
      </c>
      <c r="E223" s="15" t="str">
        <f>HYPERLINK("https://stat100.ameba.jp/tnk47/ratio20/illustrations/card/ill_68693_mayoiga03.jpg?201906-3-RELEASE-dice-e-414", "■")</f>
        <v>■</v>
      </c>
      <c r="F223" s="1" t="s">
        <v>3466</v>
      </c>
      <c r="G223" s="1">
        <v>116286</v>
      </c>
      <c r="H223" s="1">
        <v>84220</v>
      </c>
      <c r="I223" s="1">
        <v>22</v>
      </c>
      <c r="J223" s="1" t="s">
        <v>73</v>
      </c>
      <c r="K223" s="1" t="s">
        <v>3467</v>
      </c>
      <c r="L223" s="1" t="s">
        <v>3468</v>
      </c>
      <c r="M223" s="14" t="s">
        <v>9158</v>
      </c>
      <c r="N223" s="14" t="s">
        <v>9158</v>
      </c>
      <c r="O223" s="7" t="s">
        <v>3469</v>
      </c>
      <c r="P223" s="1" t="s">
        <v>13128</v>
      </c>
      <c r="Q223" s="1">
        <v>1</v>
      </c>
    </row>
    <row r="224" spans="1:17">
      <c r="A224" s="16">
        <v>62043</v>
      </c>
      <c r="B224" s="1" t="s">
        <v>334</v>
      </c>
      <c r="C224" s="1" t="s">
        <v>158</v>
      </c>
      <c r="D224" s="19" t="s">
        <v>10233</v>
      </c>
      <c r="E224" s="15" t="str">
        <f>HYPERLINK("https://stat100.ameba.jp/tnk47/ratio20/illustrations/card/ill_62043_niutsuhimenookami03.jpg?201906-3-RELEASE-dice-e-414", "■")</f>
        <v>■</v>
      </c>
      <c r="F224" s="1" t="s">
        <v>1576</v>
      </c>
      <c r="G224" s="1">
        <v>72736</v>
      </c>
      <c r="H224" s="1">
        <v>100424</v>
      </c>
      <c r="I224" s="1">
        <v>22</v>
      </c>
      <c r="J224" s="1" t="s">
        <v>401</v>
      </c>
      <c r="K224" s="1" t="s">
        <v>1577</v>
      </c>
      <c r="L224" s="1" t="s">
        <v>1578</v>
      </c>
      <c r="M224" s="14" t="s">
        <v>9158</v>
      </c>
      <c r="N224" s="14" t="s">
        <v>9158</v>
      </c>
      <c r="O224" s="7" t="s">
        <v>3452</v>
      </c>
      <c r="P224" s="1" t="s">
        <v>13145</v>
      </c>
      <c r="Q224" s="1">
        <v>1</v>
      </c>
    </row>
    <row r="225" spans="1:18">
      <c r="O225" s="7"/>
    </row>
    <row r="226" spans="1:18">
      <c r="A226" s="1" t="s">
        <v>13327</v>
      </c>
      <c r="O226" s="7"/>
    </row>
    <row r="227" spans="1:18" s="14" customFormat="1">
      <c r="A227" s="1" t="s">
        <v>5119</v>
      </c>
      <c r="O227" s="9"/>
    </row>
    <row r="228" spans="1:18">
      <c r="A228" s="16">
        <v>71873</v>
      </c>
      <c r="B228" s="1" t="s">
        <v>334</v>
      </c>
      <c r="C228" s="1" t="s">
        <v>185</v>
      </c>
      <c r="D228" s="19" t="s">
        <v>10234</v>
      </c>
      <c r="E228" s="15" t="str">
        <f>HYPERLINK("https://stat100.ameba.jp/tnk47/ratio20/illustrations/card/ill_71873_akashita03.jpg?201906-3-RELEASE-dice-e-414", "■")</f>
        <v>■</v>
      </c>
      <c r="F228" s="1" t="s">
        <v>691</v>
      </c>
      <c r="G228" s="1">
        <v>120818</v>
      </c>
      <c r="H228" s="1">
        <v>112324</v>
      </c>
      <c r="I228" s="1">
        <v>24</v>
      </c>
      <c r="J228" s="1" t="s">
        <v>182</v>
      </c>
      <c r="K228" s="1" t="s">
        <v>217</v>
      </c>
      <c r="L228" s="1" t="s">
        <v>13140</v>
      </c>
      <c r="M228" s="1" t="s">
        <v>13131</v>
      </c>
      <c r="N228" s="1" t="s">
        <v>251</v>
      </c>
      <c r="O228" s="9" t="s">
        <v>9158</v>
      </c>
      <c r="P228" s="14" t="s">
        <v>9158</v>
      </c>
      <c r="Q228" s="14" t="s">
        <v>9158</v>
      </c>
      <c r="R228" s="14"/>
    </row>
    <row r="229" spans="1:18">
      <c r="A229" s="16">
        <v>71872</v>
      </c>
      <c r="B229" s="1" t="s">
        <v>334</v>
      </c>
      <c r="C229" s="1" t="s">
        <v>185</v>
      </c>
      <c r="D229" s="19" t="s">
        <v>10234</v>
      </c>
      <c r="E229" s="15" t="str">
        <f>HYPERLINK("https://stat100.ameba.jp/tnk47/ratio20/illustrations/card/ill_71872_akashita02.jpg?201906-3-RELEASE-dice-e-414", "■")</f>
        <v>■</v>
      </c>
      <c r="F229" s="1" t="s">
        <v>691</v>
      </c>
      <c r="G229" s="1">
        <v>100934</v>
      </c>
      <c r="H229" s="1">
        <v>93028</v>
      </c>
      <c r="I229" s="1">
        <v>24</v>
      </c>
      <c r="J229" s="1" t="s">
        <v>182</v>
      </c>
      <c r="K229" s="1" t="s">
        <v>217</v>
      </c>
      <c r="L229" s="1" t="s">
        <v>13140</v>
      </c>
      <c r="M229" s="1" t="s">
        <v>13131</v>
      </c>
      <c r="N229" s="1" t="s">
        <v>251</v>
      </c>
      <c r="O229" s="9" t="s">
        <v>9158</v>
      </c>
      <c r="P229" s="14" t="s">
        <v>9158</v>
      </c>
      <c r="Q229" s="14" t="s">
        <v>9158</v>
      </c>
      <c r="R229" s="14"/>
    </row>
    <row r="230" spans="1:18">
      <c r="A230" s="16">
        <v>71871</v>
      </c>
      <c r="B230" s="1" t="s">
        <v>334</v>
      </c>
      <c r="C230" s="1" t="s">
        <v>185</v>
      </c>
      <c r="D230" s="19" t="s">
        <v>10234</v>
      </c>
      <c r="E230" s="15" t="str">
        <f>HYPERLINK("https://stat100.ameba.jp/tnk47/ratio20/illustrations/card/ill_71871_akashita01.jpg?201906-3-RELEASE-dice-e-414", "■")</f>
        <v>■</v>
      </c>
      <c r="F230" s="1" t="s">
        <v>691</v>
      </c>
      <c r="G230" s="1">
        <v>77112</v>
      </c>
      <c r="H230" s="1">
        <v>71784</v>
      </c>
      <c r="I230" s="1">
        <v>24</v>
      </c>
      <c r="J230" s="1" t="s">
        <v>182</v>
      </c>
      <c r="K230" s="1" t="s">
        <v>217</v>
      </c>
      <c r="L230" s="1" t="s">
        <v>13140</v>
      </c>
      <c r="M230" s="1" t="s">
        <v>13131</v>
      </c>
      <c r="N230" s="1" t="s">
        <v>251</v>
      </c>
      <c r="O230" s="9" t="s">
        <v>9158</v>
      </c>
      <c r="P230" s="14" t="s">
        <v>9158</v>
      </c>
      <c r="Q230" s="14" t="s">
        <v>9158</v>
      </c>
      <c r="R230" s="14"/>
    </row>
    <row r="231" spans="1:18">
      <c r="A231" s="16">
        <v>72693</v>
      </c>
      <c r="B231" s="1" t="s">
        <v>334</v>
      </c>
      <c r="C231" s="1" t="s">
        <v>200</v>
      </c>
      <c r="D231" s="19" t="s">
        <v>10235</v>
      </c>
      <c r="E231" s="15" t="str">
        <f>HYPERLINK("https://stat100.ameba.jp/tnk47/ratio20/illustrations/card/ill_72693_sagarasozo03.jpg?201906-3-RELEASE-dice-e-414", "■")</f>
        <v>■</v>
      </c>
      <c r="F231" s="1" t="s">
        <v>692</v>
      </c>
      <c r="G231" s="1">
        <v>112324</v>
      </c>
      <c r="H231" s="1">
        <v>120818</v>
      </c>
      <c r="I231" s="1">
        <v>24</v>
      </c>
      <c r="J231" s="1" t="s">
        <v>194</v>
      </c>
      <c r="K231" s="1" t="s">
        <v>218</v>
      </c>
      <c r="L231" s="1" t="s">
        <v>9892</v>
      </c>
      <c r="M231" s="1" t="s">
        <v>13131</v>
      </c>
      <c r="N231" s="1" t="s">
        <v>251</v>
      </c>
      <c r="O231" s="9" t="s">
        <v>9158</v>
      </c>
      <c r="P231" s="14" t="s">
        <v>9158</v>
      </c>
      <c r="Q231" s="14" t="s">
        <v>9158</v>
      </c>
    </row>
    <row r="232" spans="1:18">
      <c r="A232" s="16">
        <v>72703</v>
      </c>
      <c r="B232" s="1" t="s">
        <v>334</v>
      </c>
      <c r="C232" s="1" t="s">
        <v>191</v>
      </c>
      <c r="D232" s="19" t="s">
        <v>10236</v>
      </c>
      <c r="E232" s="15" t="str">
        <f>HYPERLINK("https://stat100.ameba.jp/tnk47/ratio20/illustrations/card/ill_72703_hayakawanoritsugu03.jpg?201906-3-RELEASE-dice-e-414", "■")</f>
        <v>■</v>
      </c>
      <c r="F232" s="1" t="s">
        <v>693</v>
      </c>
      <c r="G232" s="1">
        <v>120818</v>
      </c>
      <c r="H232" s="1">
        <v>112324</v>
      </c>
      <c r="I232" s="1">
        <v>24</v>
      </c>
      <c r="J232" s="1" t="s">
        <v>173</v>
      </c>
      <c r="K232" s="1" t="s">
        <v>219</v>
      </c>
      <c r="L232" s="1" t="s">
        <v>9893</v>
      </c>
      <c r="M232" s="1" t="s">
        <v>13131</v>
      </c>
      <c r="N232" s="1" t="s">
        <v>251</v>
      </c>
      <c r="O232" s="9" t="s">
        <v>9158</v>
      </c>
      <c r="P232" s="14" t="s">
        <v>9158</v>
      </c>
      <c r="Q232" s="14" t="s">
        <v>9158</v>
      </c>
    </row>
    <row r="233" spans="1:18">
      <c r="A233" s="16">
        <v>73523</v>
      </c>
      <c r="B233" s="1" t="s">
        <v>334</v>
      </c>
      <c r="C233" s="1" t="s">
        <v>165</v>
      </c>
      <c r="D233" s="19" t="s">
        <v>10237</v>
      </c>
      <c r="E233" s="15" t="str">
        <f>HYPERLINK("https://stat100.ameba.jp/tnk47/ratio20/illustrations/card/ill_73523_marunomarudono03.jpg?201906-3-RELEASE-dice-e-414", "■")</f>
        <v>■</v>
      </c>
      <c r="F233" s="1" t="s">
        <v>694</v>
      </c>
      <c r="G233" s="1">
        <v>112324</v>
      </c>
      <c r="H233" s="1">
        <v>120818</v>
      </c>
      <c r="I233" s="1">
        <v>24</v>
      </c>
      <c r="J233" s="1" t="s">
        <v>187</v>
      </c>
      <c r="K233" s="1" t="s">
        <v>220</v>
      </c>
      <c r="L233" s="1" t="s">
        <v>9894</v>
      </c>
      <c r="M233" s="1" t="s">
        <v>13131</v>
      </c>
      <c r="N233" s="1" t="s">
        <v>251</v>
      </c>
      <c r="O233" s="9" t="s">
        <v>9158</v>
      </c>
      <c r="P233" s="14" t="s">
        <v>9158</v>
      </c>
      <c r="Q233" s="14" t="s">
        <v>9158</v>
      </c>
    </row>
    <row r="234" spans="1:18">
      <c r="A234" s="16">
        <v>72713</v>
      </c>
      <c r="B234" s="1" t="s">
        <v>334</v>
      </c>
      <c r="C234" s="1" t="s">
        <v>205</v>
      </c>
      <c r="D234" s="19" t="s">
        <v>10238</v>
      </c>
      <c r="E234" s="15" t="str">
        <f>HYPERLINK("https://stat100.ameba.jp/tnk47/ratio20/illustrations/card/ill_72713_okamuzuminomikoto03.jpg?201906-3-RELEASE-dice-e-414", "■")</f>
        <v>■</v>
      </c>
      <c r="F234" s="1" t="s">
        <v>695</v>
      </c>
      <c r="G234" s="1">
        <v>112324</v>
      </c>
      <c r="H234" s="1">
        <v>120818</v>
      </c>
      <c r="I234" s="1">
        <v>24</v>
      </c>
      <c r="J234" s="1" t="s">
        <v>169</v>
      </c>
      <c r="K234" s="1" t="s">
        <v>221</v>
      </c>
      <c r="L234" s="1" t="s">
        <v>9895</v>
      </c>
      <c r="M234" s="1" t="s">
        <v>13131</v>
      </c>
      <c r="N234" s="1" t="s">
        <v>251</v>
      </c>
      <c r="O234" s="9" t="s">
        <v>9158</v>
      </c>
      <c r="P234" s="14" t="s">
        <v>9158</v>
      </c>
      <c r="Q234" s="14" t="s">
        <v>9158</v>
      </c>
    </row>
    <row r="235" spans="1:18">
      <c r="A235" s="16">
        <v>73533</v>
      </c>
      <c r="B235" s="1" t="s">
        <v>334</v>
      </c>
      <c r="C235" s="1" t="s">
        <v>206</v>
      </c>
      <c r="D235" s="19" t="s">
        <v>10239</v>
      </c>
      <c r="E235" s="15" t="str">
        <f>HYPERLINK("https://stat100.ameba.jp/tnk47/ratio20/illustrations/card/ill_73533_agubutachan03.jpg?201906-3-RELEASE-dice-e-414", "■")</f>
        <v>■</v>
      </c>
      <c r="F235" s="1" t="s">
        <v>696</v>
      </c>
      <c r="G235" s="1">
        <v>120818</v>
      </c>
      <c r="H235" s="1">
        <v>112324</v>
      </c>
      <c r="I235" s="1">
        <v>24</v>
      </c>
      <c r="J235" s="1" t="s">
        <v>216</v>
      </c>
      <c r="K235" s="1" t="s">
        <v>697</v>
      </c>
      <c r="L235" s="1" t="s">
        <v>9896</v>
      </c>
      <c r="M235" s="1" t="s">
        <v>13131</v>
      </c>
      <c r="N235" s="1" t="s">
        <v>251</v>
      </c>
      <c r="O235" s="9" t="s">
        <v>9158</v>
      </c>
      <c r="P235" s="14" t="s">
        <v>9158</v>
      </c>
      <c r="Q235" s="14" t="s">
        <v>9158</v>
      </c>
    </row>
    <row r="236" spans="1:18">
      <c r="O236" s="7"/>
    </row>
    <row r="237" spans="1:18">
      <c r="A237" s="1" t="s">
        <v>5120</v>
      </c>
      <c r="O237" s="7"/>
    </row>
    <row r="238" spans="1:18" s="14" customFormat="1">
      <c r="A238" s="1" t="s">
        <v>5121</v>
      </c>
      <c r="O238" s="9"/>
    </row>
    <row r="239" spans="1:18" s="14" customFormat="1">
      <c r="A239" s="1" t="s">
        <v>9436</v>
      </c>
      <c r="O239" s="9"/>
    </row>
    <row r="240" spans="1:18">
      <c r="A240" s="14" t="s">
        <v>9470</v>
      </c>
      <c r="B240" s="1" t="s">
        <v>330</v>
      </c>
      <c r="C240" s="1" t="s">
        <v>35</v>
      </c>
      <c r="D240" s="19" t="s">
        <v>10168</v>
      </c>
      <c r="E240" s="15" t="str">
        <f>HYPERLINK("https://stat100.ameba.jp/tnk47/ratio20/illustrations/card/ill_81783_0_denshagarukoteipenginchan03.jpg?201906-3-RELEASE-dice-e-414", "■")</f>
        <v>■</v>
      </c>
      <c r="F240" s="1" t="s">
        <v>4834</v>
      </c>
      <c r="G240" s="1">
        <v>174439</v>
      </c>
      <c r="H240" s="1">
        <v>157647</v>
      </c>
      <c r="I240" s="1">
        <v>15</v>
      </c>
      <c r="J240" s="1" t="s">
        <v>26</v>
      </c>
      <c r="K240" s="1" t="s">
        <v>4836</v>
      </c>
      <c r="L240" s="1" t="s">
        <v>1783</v>
      </c>
      <c r="M240" s="14" t="s">
        <v>9158</v>
      </c>
      <c r="N240" s="14" t="s">
        <v>9158</v>
      </c>
      <c r="O240" s="6" t="s">
        <v>9993</v>
      </c>
      <c r="P240" s="1" t="s">
        <v>4838</v>
      </c>
      <c r="Q240" s="1">
        <v>1</v>
      </c>
    </row>
    <row r="241" spans="1:17">
      <c r="A241" s="16">
        <v>82033</v>
      </c>
      <c r="B241" s="1" t="s">
        <v>0</v>
      </c>
      <c r="C241" s="1" t="s">
        <v>5125</v>
      </c>
      <c r="D241" s="19" t="s">
        <v>10240</v>
      </c>
      <c r="E241" s="15" t="str">
        <f>HYPERLINK("https://stat100.ameba.jp/tnk47/ratio20/illustrations/card/ill_82033_chichinohiakashirejina03.jpg?201906-3-RELEASE-dice-e-414", "■")</f>
        <v>■</v>
      </c>
      <c r="F241" s="1" t="s">
        <v>5126</v>
      </c>
      <c r="G241" s="1">
        <v>93746</v>
      </c>
      <c r="H241" s="1">
        <v>87128</v>
      </c>
      <c r="I241" s="1">
        <v>24</v>
      </c>
      <c r="J241" s="1" t="s">
        <v>5127</v>
      </c>
      <c r="K241" s="1" t="s">
        <v>5128</v>
      </c>
      <c r="L241" s="1" t="s">
        <v>5129</v>
      </c>
      <c r="M241" s="14" t="s">
        <v>9158</v>
      </c>
      <c r="N241" s="14" t="s">
        <v>9158</v>
      </c>
      <c r="O241" s="9" t="s">
        <v>9158</v>
      </c>
      <c r="P241" s="14" t="s">
        <v>9158</v>
      </c>
      <c r="Q241" s="14" t="s">
        <v>9158</v>
      </c>
    </row>
    <row r="242" spans="1:17">
      <c r="A242" s="16">
        <v>82043</v>
      </c>
      <c r="B242" s="1" t="s">
        <v>5122</v>
      </c>
      <c r="C242" s="1" t="s">
        <v>5130</v>
      </c>
      <c r="D242" s="19" t="s">
        <v>10241</v>
      </c>
      <c r="E242" s="15" t="str">
        <f>HYPERLINK("https://stat100.ameba.jp/tnk47/ratio20/illustrations/card/ill_82043_biahorumomotofumiagari03.jpg?201906-3-RELEASE-dice-e-414", "■")</f>
        <v>■</v>
      </c>
      <c r="F242" s="1" t="s">
        <v>5131</v>
      </c>
      <c r="G242" s="1">
        <v>61832</v>
      </c>
      <c r="H242" s="1">
        <v>68172</v>
      </c>
      <c r="I242" s="1">
        <v>23</v>
      </c>
      <c r="J242" s="1" t="s">
        <v>5132</v>
      </c>
      <c r="K242" s="1" t="s">
        <v>5133</v>
      </c>
      <c r="L242" s="1" t="s">
        <v>5134</v>
      </c>
      <c r="M242" s="14" t="s">
        <v>9158</v>
      </c>
      <c r="N242" s="14" t="s">
        <v>9158</v>
      </c>
      <c r="O242" s="9" t="s">
        <v>9158</v>
      </c>
      <c r="P242" s="14" t="s">
        <v>9158</v>
      </c>
      <c r="Q242" s="14" t="s">
        <v>9158</v>
      </c>
    </row>
    <row r="243" spans="1:17">
      <c r="A243" s="16">
        <v>82053</v>
      </c>
      <c r="B243" s="1" t="s">
        <v>5123</v>
      </c>
      <c r="C243" s="1" t="s">
        <v>5135</v>
      </c>
      <c r="D243" s="19" t="s">
        <v>10242</v>
      </c>
      <c r="E243" s="15" t="str">
        <f>HYPERLINK("https://stat100.ameba.jp/tnk47/ratio20/illustrations/card/ill_82053_chichinohichan03.jpg?201906-3-RELEASE-dice-e-414", "■")</f>
        <v>■</v>
      </c>
      <c r="F243" s="1" t="s">
        <v>5136</v>
      </c>
      <c r="G243" s="1">
        <v>43662</v>
      </c>
      <c r="H243" s="1">
        <v>36304</v>
      </c>
      <c r="I243" s="1">
        <v>21</v>
      </c>
      <c r="J243" s="1" t="s">
        <v>5137</v>
      </c>
      <c r="K243" s="1" t="s">
        <v>5138</v>
      </c>
      <c r="L243" s="1" t="s">
        <v>5139</v>
      </c>
      <c r="M243" s="14" t="s">
        <v>9158</v>
      </c>
      <c r="N243" s="14" t="s">
        <v>9158</v>
      </c>
      <c r="O243" s="9" t="s">
        <v>9158</v>
      </c>
      <c r="P243" s="14" t="s">
        <v>9158</v>
      </c>
      <c r="Q243" s="14" t="s">
        <v>9158</v>
      </c>
    </row>
    <row r="244" spans="1:17">
      <c r="A244" s="16">
        <v>82063</v>
      </c>
      <c r="B244" s="1" t="s">
        <v>5124</v>
      </c>
      <c r="C244" s="1" t="s">
        <v>5140</v>
      </c>
      <c r="D244" s="19" t="s">
        <v>10243</v>
      </c>
      <c r="E244" s="15" t="str">
        <f>HYPERLINK("https://stat100.ameba.jp/tnk47/ratio20/illustrations/card/ill_82063_kareinarukishi03.jpg?201906-3-RELEASE-dice-e-414", "■")</f>
        <v>■</v>
      </c>
      <c r="F244" s="1" t="s">
        <v>5141</v>
      </c>
      <c r="G244" s="1">
        <v>22200</v>
      </c>
      <c r="H244" s="1">
        <v>26434</v>
      </c>
      <c r="I244" s="1">
        <v>21</v>
      </c>
      <c r="J244" s="1" t="s">
        <v>5142</v>
      </c>
      <c r="K244" s="1" t="s">
        <v>5143</v>
      </c>
      <c r="L244" s="1" t="s">
        <v>5144</v>
      </c>
      <c r="M244" s="14" t="s">
        <v>9158</v>
      </c>
      <c r="N244" s="14" t="s">
        <v>9158</v>
      </c>
      <c r="O244" s="9" t="s">
        <v>9158</v>
      </c>
      <c r="P244" s="14" t="s">
        <v>9158</v>
      </c>
      <c r="Q244" s="14" t="s">
        <v>9158</v>
      </c>
    </row>
    <row r="245" spans="1:17">
      <c r="O245" s="7"/>
    </row>
    <row r="246" spans="1:17">
      <c r="A246" s="1" t="s">
        <v>5145</v>
      </c>
      <c r="O246" s="7"/>
    </row>
    <row r="247" spans="1:17" s="14" customFormat="1">
      <c r="A247" s="1" t="s">
        <v>5146</v>
      </c>
      <c r="O247" s="9"/>
    </row>
    <row r="248" spans="1:17">
      <c r="A248" s="14" t="s">
        <v>9458</v>
      </c>
      <c r="B248" s="1" t="s">
        <v>330</v>
      </c>
      <c r="C248" s="1" t="s">
        <v>335</v>
      </c>
      <c r="D248" s="19" t="s">
        <v>698</v>
      </c>
      <c r="E248" s="15" t="str">
        <f>HYPERLINK("https://stat100.ameba.jp/tnk47/ratio20/illustrations/card/ill_66433_0_haroinfujishirogozen03.jpg?201906-3-RELEASE-dice-e-414", "■")</f>
        <v>■</v>
      </c>
      <c r="F248" s="1" t="s">
        <v>699</v>
      </c>
      <c r="G248" s="1">
        <v>91807</v>
      </c>
      <c r="H248" s="1">
        <v>98751</v>
      </c>
      <c r="I248" s="1">
        <v>15</v>
      </c>
      <c r="J248" s="1" t="s">
        <v>315</v>
      </c>
      <c r="K248" s="1" t="s">
        <v>700</v>
      </c>
      <c r="L248" s="1" t="s">
        <v>701</v>
      </c>
      <c r="M248" s="14" t="s">
        <v>9158</v>
      </c>
      <c r="N248" s="14" t="s">
        <v>9158</v>
      </c>
      <c r="O248" s="6" t="s">
        <v>10062</v>
      </c>
      <c r="P248" s="1" t="s">
        <v>3345</v>
      </c>
      <c r="Q248" s="1">
        <v>1</v>
      </c>
    </row>
    <row r="249" spans="1:17">
      <c r="A249" s="14" t="s">
        <v>9459</v>
      </c>
      <c r="B249" s="1" t="s">
        <v>330</v>
      </c>
      <c r="C249" s="1" t="s">
        <v>165</v>
      </c>
      <c r="D249" s="19" t="s">
        <v>385</v>
      </c>
      <c r="E249" s="15" t="str">
        <f>HYPERLINK("https://stat100.ameba.jp/tnk47/ratio20/illustrations/card/ill_59673_0_oheyashutendoji03.jpg?201906-3-RELEASE-dice-e-414", "■")</f>
        <v>■</v>
      </c>
      <c r="F249" s="1" t="s">
        <v>983</v>
      </c>
      <c r="G249" s="1">
        <v>105545</v>
      </c>
      <c r="H249" s="1">
        <v>113525</v>
      </c>
      <c r="I249" s="1">
        <v>15</v>
      </c>
      <c r="J249" s="1" t="s">
        <v>73</v>
      </c>
      <c r="K249" s="1" t="s">
        <v>984</v>
      </c>
      <c r="L249" s="1" t="s">
        <v>985</v>
      </c>
      <c r="M249" s="14" t="s">
        <v>9158</v>
      </c>
      <c r="N249" s="14" t="s">
        <v>9158</v>
      </c>
      <c r="O249" s="6" t="s">
        <v>10058</v>
      </c>
      <c r="P249" s="1" t="s">
        <v>3022</v>
      </c>
      <c r="Q249" s="1">
        <v>1</v>
      </c>
    </row>
    <row r="250" spans="1:17">
      <c r="A250" s="14" t="s">
        <v>9460</v>
      </c>
      <c r="B250" s="1" t="s">
        <v>52</v>
      </c>
      <c r="C250" s="1" t="s">
        <v>200</v>
      </c>
      <c r="D250" s="19" t="s">
        <v>277</v>
      </c>
      <c r="E250" s="15" t="str">
        <f>HYPERLINK("https://stat100.ameba.jp/tnk47/ratio20/illustrations/card/ill_40913_0_reigyokudensetsufusehime03.jpg?201906-3-RELEASE-dice-e-414", "■")</f>
        <v>■</v>
      </c>
      <c r="F250" s="1" t="s">
        <v>955</v>
      </c>
      <c r="G250" s="1">
        <v>82212</v>
      </c>
      <c r="H250" s="1">
        <v>87780</v>
      </c>
      <c r="I250" s="1">
        <v>15</v>
      </c>
      <c r="J250" s="1" t="s">
        <v>38</v>
      </c>
      <c r="K250" s="1" t="s">
        <v>956</v>
      </c>
      <c r="L250" s="1" t="s">
        <v>957</v>
      </c>
      <c r="M250" s="14" t="s">
        <v>9158</v>
      </c>
      <c r="N250" s="14" t="s">
        <v>9158</v>
      </c>
      <c r="O250" s="9" t="s">
        <v>9158</v>
      </c>
      <c r="P250" s="14" t="s">
        <v>9158</v>
      </c>
      <c r="Q250" s="14" t="s">
        <v>9158</v>
      </c>
    </row>
    <row r="251" spans="1:17">
      <c r="A251" s="16">
        <v>71763</v>
      </c>
      <c r="B251" s="1" t="s">
        <v>334</v>
      </c>
      <c r="C251" s="1" t="s">
        <v>200</v>
      </c>
      <c r="D251" s="19" t="s">
        <v>2999</v>
      </c>
      <c r="E251" s="15" t="str">
        <f>HYPERLINK("https://stat100.ameba.jp/tnk47/ratio20/illustrations/card/ill_71763_teradatorahiko03.jpg?201906-3-RELEASE-dice-e-414", "■")</f>
        <v>■</v>
      </c>
      <c r="F251" s="1" t="s">
        <v>3000</v>
      </c>
      <c r="G251" s="1">
        <v>65176</v>
      </c>
      <c r="H251" s="1">
        <v>115855</v>
      </c>
      <c r="I251" s="1">
        <v>23</v>
      </c>
      <c r="J251" s="1" t="s">
        <v>351</v>
      </c>
      <c r="K251" s="1" t="s">
        <v>3001</v>
      </c>
      <c r="L251" s="1" t="s">
        <v>3002</v>
      </c>
      <c r="M251" s="14" t="s">
        <v>9158</v>
      </c>
      <c r="N251" s="14" t="s">
        <v>9158</v>
      </c>
      <c r="O251" s="9" t="s">
        <v>9158</v>
      </c>
      <c r="P251" s="14" t="s">
        <v>9158</v>
      </c>
      <c r="Q251" s="14" t="s">
        <v>9158</v>
      </c>
    </row>
    <row r="252" spans="1:17">
      <c r="A252" s="16">
        <v>79773</v>
      </c>
      <c r="B252" s="1" t="s">
        <v>0</v>
      </c>
      <c r="C252" s="1" t="s">
        <v>107</v>
      </c>
      <c r="D252" s="19" t="s">
        <v>10244</v>
      </c>
      <c r="E252" s="15" t="str">
        <f>HYPERLINK("https://stat100.ameba.jp/tnk47/ratio20/illustrations/card/ill_79773_entakunokishimyorinni03.jpg?201906-3-RELEASE-dice-e-414", "■")</f>
        <v>■</v>
      </c>
      <c r="F252" s="1" t="s">
        <v>3668</v>
      </c>
      <c r="G252" s="1">
        <v>95001</v>
      </c>
      <c r="H252" s="1">
        <v>168858</v>
      </c>
      <c r="I252" s="1">
        <v>23</v>
      </c>
      <c r="J252" s="1" t="s">
        <v>143</v>
      </c>
      <c r="K252" s="1" t="s">
        <v>3669</v>
      </c>
      <c r="L252" s="1" t="s">
        <v>1148</v>
      </c>
      <c r="M252" s="14" t="s">
        <v>9158</v>
      </c>
      <c r="N252" s="14" t="s">
        <v>9158</v>
      </c>
      <c r="O252" s="9" t="s">
        <v>9158</v>
      </c>
      <c r="P252" s="14" t="s">
        <v>9158</v>
      </c>
      <c r="Q252" s="14" t="s">
        <v>9158</v>
      </c>
    </row>
    <row r="253" spans="1:17">
      <c r="A253" s="16">
        <v>73253</v>
      </c>
      <c r="B253" s="1" t="s">
        <v>0</v>
      </c>
      <c r="C253" s="1" t="s">
        <v>5147</v>
      </c>
      <c r="D253" s="19" t="s">
        <v>10245</v>
      </c>
      <c r="E253" s="15" t="str">
        <f>HYPERLINK("https://stat100.ameba.jp/tnk47/ratio20/illustrations/card/ill_73253_minakatakumagusu03.jpg?201906-3-RELEASE-dice-e-414", "■")</f>
        <v>■</v>
      </c>
      <c r="F253" s="1" t="s">
        <v>5148</v>
      </c>
      <c r="G253" s="1">
        <v>86751</v>
      </c>
      <c r="H253" s="1">
        <v>93263</v>
      </c>
      <c r="I253" s="1">
        <v>23</v>
      </c>
      <c r="J253" s="1" t="s">
        <v>5142</v>
      </c>
      <c r="K253" s="1" t="s">
        <v>5149</v>
      </c>
      <c r="L253" s="1" t="s">
        <v>5150</v>
      </c>
      <c r="M253" s="14" t="s">
        <v>9158</v>
      </c>
      <c r="N253" s="14" t="s">
        <v>9158</v>
      </c>
      <c r="O253" s="9" t="s">
        <v>9158</v>
      </c>
      <c r="P253" s="14" t="s">
        <v>9158</v>
      </c>
      <c r="Q253" s="14" t="s">
        <v>9158</v>
      </c>
    </row>
    <row r="254" spans="1:17">
      <c r="O254" s="7"/>
    </row>
    <row r="255" spans="1:17">
      <c r="A255" s="1" t="s">
        <v>13355</v>
      </c>
      <c r="O255" s="7"/>
    </row>
    <row r="256" spans="1:17" s="14" customFormat="1">
      <c r="A256" s="1" t="s">
        <v>5151</v>
      </c>
      <c r="O256" s="9"/>
    </row>
    <row r="257" spans="1:18">
      <c r="A257" s="16">
        <v>81885</v>
      </c>
      <c r="B257" s="1" t="s">
        <v>5152</v>
      </c>
      <c r="C257" s="1" t="s">
        <v>5157</v>
      </c>
      <c r="D257" s="19" t="s">
        <v>10246</v>
      </c>
      <c r="E257" s="15" t="str">
        <f>HYPERLINK("https://stat100.ameba.jp/tnk47/ratio20/illustrations/card/ill_81885_beruzandei05.jpg?201906-3-RELEASE-dice-e-414", "■")</f>
        <v>■</v>
      </c>
      <c r="F257" s="1" t="s">
        <v>5159</v>
      </c>
      <c r="G257" s="1">
        <v>108130</v>
      </c>
      <c r="H257" s="1">
        <v>78289</v>
      </c>
      <c r="I257" s="1">
        <v>23</v>
      </c>
      <c r="J257" s="1" t="s">
        <v>5160</v>
      </c>
      <c r="K257" s="1" t="s">
        <v>5161</v>
      </c>
      <c r="L257" s="1" t="s">
        <v>5162</v>
      </c>
      <c r="M257" s="14" t="s">
        <v>9158</v>
      </c>
      <c r="N257" s="14" t="s">
        <v>9158</v>
      </c>
      <c r="O257" s="9" t="s">
        <v>9158</v>
      </c>
      <c r="P257" s="14" t="s">
        <v>9158</v>
      </c>
      <c r="Q257" s="14" t="s">
        <v>9158</v>
      </c>
      <c r="R257" s="1" t="s">
        <v>5154</v>
      </c>
    </row>
    <row r="258" spans="1:18">
      <c r="A258" s="16">
        <v>81883</v>
      </c>
      <c r="B258" s="1" t="s">
        <v>5153</v>
      </c>
      <c r="C258" s="1" t="s">
        <v>5158</v>
      </c>
      <c r="D258" s="19" t="s">
        <v>10246</v>
      </c>
      <c r="E258" s="15" t="str">
        <f>HYPERLINK("https://stat100.ameba.jp/tnk47/ratio20/illustrations/card/ill_81883_beruzandei03.jpg?201906-3-RELEASE-dice-e-414", "■")</f>
        <v>■</v>
      </c>
      <c r="F258" s="1" t="s">
        <v>5159</v>
      </c>
      <c r="G258" s="1">
        <v>79659</v>
      </c>
      <c r="H258" s="1">
        <v>79659</v>
      </c>
      <c r="I258" s="1">
        <v>23</v>
      </c>
      <c r="J258" s="1" t="s">
        <v>5160</v>
      </c>
      <c r="K258" s="1" t="s">
        <v>5161</v>
      </c>
      <c r="L258" s="1" t="s">
        <v>5163</v>
      </c>
      <c r="M258" s="14" t="s">
        <v>9158</v>
      </c>
      <c r="N258" s="14" t="s">
        <v>9158</v>
      </c>
      <c r="O258" s="9" t="s">
        <v>9158</v>
      </c>
      <c r="P258" s="14" t="s">
        <v>9158</v>
      </c>
      <c r="Q258" s="14" t="s">
        <v>9158</v>
      </c>
      <c r="R258" s="1" t="s">
        <v>5155</v>
      </c>
    </row>
    <row r="259" spans="1:18">
      <c r="A259" s="16">
        <v>81881</v>
      </c>
      <c r="B259" s="1" t="s">
        <v>5153</v>
      </c>
      <c r="C259" s="1" t="s">
        <v>5158</v>
      </c>
      <c r="D259" s="19" t="s">
        <v>10246</v>
      </c>
      <c r="E259" s="15" t="str">
        <f>HYPERLINK("https://stat100.ameba.jp/tnk47/ratio20/illustrations/card/ill_81881_beruzandei01.jpg?201906-3-RELEASE-dice-e-414", "■")</f>
        <v>■</v>
      </c>
      <c r="F259" s="1" t="s">
        <v>5159</v>
      </c>
      <c r="G259" s="1">
        <v>50669</v>
      </c>
      <c r="H259" s="1">
        <v>36685</v>
      </c>
      <c r="I259" s="1">
        <v>23</v>
      </c>
      <c r="J259" s="1" t="s">
        <v>5160</v>
      </c>
      <c r="K259" s="1" t="s">
        <v>5161</v>
      </c>
      <c r="L259" s="1" t="s">
        <v>5164</v>
      </c>
      <c r="M259" s="14" t="s">
        <v>9158</v>
      </c>
      <c r="N259" s="14" t="s">
        <v>9158</v>
      </c>
      <c r="O259" s="9" t="s">
        <v>9158</v>
      </c>
      <c r="P259" s="14" t="s">
        <v>9158</v>
      </c>
      <c r="Q259" s="14" t="s">
        <v>9158</v>
      </c>
      <c r="R259" s="1" t="s">
        <v>5156</v>
      </c>
    </row>
    <row r="260" spans="1:18">
      <c r="O260" s="7"/>
    </row>
    <row r="261" spans="1:18">
      <c r="A261" s="1" t="s">
        <v>10434</v>
      </c>
      <c r="O261" s="7"/>
    </row>
    <row r="262" spans="1:18" s="14" customFormat="1">
      <c r="A262" s="1" t="s">
        <v>5165</v>
      </c>
      <c r="O262" s="9"/>
    </row>
    <row r="263" spans="1:18">
      <c r="A263" s="16">
        <v>76563</v>
      </c>
      <c r="B263" s="1" t="s">
        <v>334</v>
      </c>
      <c r="C263" s="1" t="s">
        <v>344</v>
      </c>
      <c r="D263" s="19" t="s">
        <v>10247</v>
      </c>
      <c r="E263" s="15" t="str">
        <f>HYPERLINK("https://stat100.ameba.jp/tnk47/ratio20/illustrations/card/ill_76563_hannarideru03.jpg?201906-3-RELEASE-dice-e-414", "■")</f>
        <v>■</v>
      </c>
      <c r="F263" s="1" t="s">
        <v>741</v>
      </c>
      <c r="G263" s="1">
        <v>85934</v>
      </c>
      <c r="H263" s="1">
        <v>79868</v>
      </c>
      <c r="I263" s="1">
        <v>22</v>
      </c>
      <c r="J263" s="1" t="s">
        <v>351</v>
      </c>
      <c r="K263" s="1" t="s">
        <v>742</v>
      </c>
      <c r="L263" s="1" t="s">
        <v>743</v>
      </c>
      <c r="M263" s="14" t="s">
        <v>9158</v>
      </c>
      <c r="N263" s="14" t="s">
        <v>9158</v>
      </c>
      <c r="O263" s="9" t="s">
        <v>9158</v>
      </c>
      <c r="P263" s="14" t="s">
        <v>9158</v>
      </c>
      <c r="Q263" s="14" t="s">
        <v>9158</v>
      </c>
    </row>
    <row r="264" spans="1:18">
      <c r="A264" s="16">
        <v>74853</v>
      </c>
      <c r="B264" s="1" t="s">
        <v>334</v>
      </c>
      <c r="C264" s="1" t="s">
        <v>191</v>
      </c>
      <c r="D264" s="19" t="s">
        <v>10248</v>
      </c>
      <c r="E264" s="15" t="str">
        <f>HYPERLINK("https://stat100.ameba.jp/tnk47/ratio20/illustrations/card/ill_74853_ennichikingyonota03.jpg?201906-3-RELEASE-dice-e-414", "■")</f>
        <v>■</v>
      </c>
      <c r="F264" s="1" t="s">
        <v>3313</v>
      </c>
      <c r="G264" s="1">
        <v>82978</v>
      </c>
      <c r="H264" s="1">
        <v>89208</v>
      </c>
      <c r="I264" s="1">
        <v>22</v>
      </c>
      <c r="J264" s="1" t="s">
        <v>38</v>
      </c>
      <c r="K264" s="1" t="s">
        <v>3314</v>
      </c>
      <c r="L264" s="1" t="s">
        <v>3315</v>
      </c>
      <c r="M264" s="14" t="s">
        <v>9158</v>
      </c>
      <c r="N264" s="14" t="s">
        <v>9158</v>
      </c>
      <c r="O264" s="9" t="s">
        <v>9158</v>
      </c>
      <c r="P264" s="14" t="s">
        <v>9158</v>
      </c>
      <c r="Q264" s="14" t="s">
        <v>9158</v>
      </c>
    </row>
    <row r="265" spans="1:18">
      <c r="A265" s="16">
        <v>75463</v>
      </c>
      <c r="B265" s="1" t="s">
        <v>334</v>
      </c>
      <c r="C265" s="1" t="s">
        <v>308</v>
      </c>
      <c r="D265" s="19" t="s">
        <v>10249</v>
      </c>
      <c r="E265" s="15" t="str">
        <f>HYPERLINK("https://stat100.ameba.jp/tnk47/ratio20/illustrations/card/ill_75463_kiiui03.jpg?201906-3-RELEASE-dice-e-414", "■")</f>
        <v>■</v>
      </c>
      <c r="F265" s="1" t="s">
        <v>4420</v>
      </c>
      <c r="G265" s="1">
        <v>100224</v>
      </c>
      <c r="H265" s="1">
        <v>93184</v>
      </c>
      <c r="I265" s="1">
        <v>22</v>
      </c>
      <c r="J265" s="1" t="s">
        <v>26</v>
      </c>
      <c r="K265" s="1" t="s">
        <v>4421</v>
      </c>
      <c r="L265" s="1" t="s">
        <v>1086</v>
      </c>
      <c r="M265" s="14" t="s">
        <v>9158</v>
      </c>
      <c r="N265" s="14" t="s">
        <v>9158</v>
      </c>
      <c r="O265" s="9" t="s">
        <v>9158</v>
      </c>
      <c r="P265" s="14" t="s">
        <v>9158</v>
      </c>
      <c r="Q265" s="14" t="s">
        <v>9158</v>
      </c>
    </row>
    <row r="266" spans="1:18">
      <c r="A266" s="16">
        <v>74863</v>
      </c>
      <c r="B266" s="1" t="s">
        <v>5153</v>
      </c>
      <c r="C266" s="1" t="s">
        <v>5166</v>
      </c>
      <c r="D266" s="19" t="s">
        <v>10250</v>
      </c>
      <c r="E266" s="15" t="str">
        <f>HYPERLINK("https://stat100.ameba.jp/tnk47/ratio20/illustrations/card/ill_74863_yukatanekodanuki03.jpg?201906-3-RELEASE-dice-e-414", "■")</f>
        <v>■</v>
      </c>
      <c r="F266" s="1" t="s">
        <v>5167</v>
      </c>
      <c r="G266" s="1">
        <v>56316</v>
      </c>
      <c r="H266" s="1">
        <v>51078</v>
      </c>
      <c r="I266" s="1">
        <v>19</v>
      </c>
      <c r="J266" s="1" t="s">
        <v>5168</v>
      </c>
      <c r="K266" s="1" t="s">
        <v>5169</v>
      </c>
      <c r="L266" s="1" t="s">
        <v>5170</v>
      </c>
      <c r="M266" s="14" t="s">
        <v>9158</v>
      </c>
      <c r="N266" s="14" t="s">
        <v>9158</v>
      </c>
      <c r="O266" s="9" t="s">
        <v>9158</v>
      </c>
      <c r="P266" s="14" t="s">
        <v>9158</v>
      </c>
      <c r="Q266" s="14" t="s">
        <v>9158</v>
      </c>
    </row>
    <row r="267" spans="1:18">
      <c r="A267" s="16">
        <v>77363</v>
      </c>
      <c r="B267" s="1" t="s">
        <v>348</v>
      </c>
      <c r="C267" s="1" t="s">
        <v>185</v>
      </c>
      <c r="D267" s="19" t="s">
        <v>1533</v>
      </c>
      <c r="E267" s="15" t="str">
        <f>HYPERLINK("https://stat100.ameba.jp/tnk47/ratio20/illustrations/card/ill_77363_samonchan03.jpg?201906-3-RELEASE-dice-e-414", "■")</f>
        <v>■</v>
      </c>
      <c r="F267" s="1" t="s">
        <v>1534</v>
      </c>
      <c r="G267" s="1">
        <v>56316</v>
      </c>
      <c r="H267" s="1">
        <v>51078</v>
      </c>
      <c r="I267" s="1">
        <v>19</v>
      </c>
      <c r="J267" s="1" t="s">
        <v>283</v>
      </c>
      <c r="K267" s="1" t="s">
        <v>1535</v>
      </c>
      <c r="L267" s="1" t="s">
        <v>1536</v>
      </c>
      <c r="M267" s="14" t="s">
        <v>9158</v>
      </c>
      <c r="N267" s="14" t="s">
        <v>9158</v>
      </c>
      <c r="O267" s="9" t="s">
        <v>9158</v>
      </c>
      <c r="P267" s="14" t="s">
        <v>9158</v>
      </c>
      <c r="Q267" s="14" t="s">
        <v>9158</v>
      </c>
    </row>
    <row r="268" spans="1:18">
      <c r="A268" s="16">
        <v>71843</v>
      </c>
      <c r="B268" s="1" t="s">
        <v>15</v>
      </c>
      <c r="C268" s="1" t="s">
        <v>200</v>
      </c>
      <c r="D268" s="19" t="s">
        <v>10251</v>
      </c>
      <c r="E268" s="15" t="str">
        <f>HYPERLINK("https://stat100.ameba.jp/tnk47/ratio20/illustrations/card/ill_71843_autodoatakatsukasanobuko03.jpg?201906-3-RELEASE-dice-e-414", "■")</f>
        <v>■</v>
      </c>
      <c r="F268" s="1" t="s">
        <v>4236</v>
      </c>
      <c r="G268" s="1">
        <v>56316</v>
      </c>
      <c r="H268" s="1">
        <v>51078</v>
      </c>
      <c r="I268" s="1">
        <v>19</v>
      </c>
      <c r="J268" s="1" t="s">
        <v>77</v>
      </c>
      <c r="K268" s="1" t="s">
        <v>4237</v>
      </c>
      <c r="L268" s="1" t="s">
        <v>932</v>
      </c>
      <c r="M268" s="14" t="s">
        <v>9158</v>
      </c>
      <c r="N268" s="14" t="s">
        <v>9158</v>
      </c>
      <c r="O268" s="9" t="s">
        <v>9158</v>
      </c>
      <c r="P268" s="14" t="s">
        <v>9158</v>
      </c>
      <c r="Q268" s="14" t="s">
        <v>9158</v>
      </c>
    </row>
    <row r="269" spans="1:18">
      <c r="O269" s="7"/>
    </row>
    <row r="270" spans="1:18">
      <c r="A270" s="1" t="s">
        <v>5171</v>
      </c>
      <c r="O270" s="7"/>
    </row>
    <row r="271" spans="1:18" s="14" customFormat="1">
      <c r="A271" s="1" t="s">
        <v>5172</v>
      </c>
      <c r="O271" s="9"/>
    </row>
    <row r="272" spans="1:18">
      <c r="A272" s="14" t="s">
        <v>9483</v>
      </c>
      <c r="B272" s="1" t="s">
        <v>52</v>
      </c>
      <c r="C272" s="1" t="s">
        <v>101</v>
      </c>
      <c r="D272" s="19" t="s">
        <v>1426</v>
      </c>
      <c r="E272" s="15" t="str">
        <f>HYPERLINK("https://stat100.ameba.jp/tnk47/ratio20/illustrations/card/ill_64953_0_yukatatokugawayoshinobu03.jpg?201906-3-RELEASE-dice-e-414", "■")</f>
        <v>■</v>
      </c>
      <c r="F272" s="1" t="s">
        <v>2090</v>
      </c>
      <c r="G272" s="1">
        <v>137060</v>
      </c>
      <c r="H272" s="1">
        <v>147404</v>
      </c>
      <c r="I272" s="1">
        <v>22</v>
      </c>
      <c r="J272" s="1" t="s">
        <v>10</v>
      </c>
      <c r="K272" s="1" t="s">
        <v>2091</v>
      </c>
      <c r="L272" s="1" t="s">
        <v>2092</v>
      </c>
      <c r="M272" s="14" t="s">
        <v>9158</v>
      </c>
      <c r="N272" s="14" t="s">
        <v>9158</v>
      </c>
      <c r="O272" s="7" t="s">
        <v>2889</v>
      </c>
      <c r="P272" s="1" t="s">
        <v>2890</v>
      </c>
      <c r="Q272" s="1">
        <v>1</v>
      </c>
    </row>
    <row r="273" spans="1:17">
      <c r="A273" s="14" t="s">
        <v>9480</v>
      </c>
      <c r="B273" s="1" t="s">
        <v>330</v>
      </c>
      <c r="C273" s="1" t="s">
        <v>308</v>
      </c>
      <c r="D273" s="19" t="s">
        <v>634</v>
      </c>
      <c r="E273" s="15" t="str">
        <f>HYPERLINK("https://stat100.ameba.jp/tnk47/ratio20/illustrations/card/ill_40963_0_makami03.jpg?201906-3-RELEASE-dice-e-414", "■")</f>
        <v>■</v>
      </c>
      <c r="F273" s="1" t="s">
        <v>635</v>
      </c>
      <c r="G273" s="1">
        <v>128744</v>
      </c>
      <c r="H273" s="1">
        <v>120576</v>
      </c>
      <c r="I273" s="1">
        <v>22</v>
      </c>
      <c r="J273" s="1" t="s">
        <v>401</v>
      </c>
      <c r="K273" s="1" t="s">
        <v>636</v>
      </c>
      <c r="L273" s="1" t="s">
        <v>637</v>
      </c>
      <c r="M273" s="14" t="s">
        <v>9158</v>
      </c>
      <c r="N273" s="14" t="s">
        <v>9158</v>
      </c>
      <c r="O273" s="9" t="s">
        <v>9158</v>
      </c>
      <c r="P273" s="14" t="s">
        <v>9158</v>
      </c>
      <c r="Q273" s="14" t="s">
        <v>9158</v>
      </c>
    </row>
    <row r="274" spans="1:17">
      <c r="A274" s="14" t="s">
        <v>9484</v>
      </c>
      <c r="B274" s="1" t="s">
        <v>330</v>
      </c>
      <c r="C274" s="1" t="s">
        <v>344</v>
      </c>
      <c r="D274" s="19" t="s">
        <v>483</v>
      </c>
      <c r="E274" s="15" t="str">
        <f>HYPERLINK("https://stat100.ameba.jp/tnk47/ratio20/illustrations/card/ill_40343_0_heshikirihasebekurodakambe03.jpg?201906-3-RELEASE-dice-e-414", "■")</f>
        <v>■</v>
      </c>
      <c r="F274" s="1" t="s">
        <v>484</v>
      </c>
      <c r="G274" s="1">
        <v>128744</v>
      </c>
      <c r="H274" s="1">
        <v>120576</v>
      </c>
      <c r="I274" s="1">
        <v>22</v>
      </c>
      <c r="J274" s="1" t="s">
        <v>414</v>
      </c>
      <c r="K274" s="1" t="s">
        <v>485</v>
      </c>
      <c r="L274" s="1" t="s">
        <v>486</v>
      </c>
      <c r="M274" s="14" t="s">
        <v>9158</v>
      </c>
      <c r="N274" s="14" t="s">
        <v>9158</v>
      </c>
      <c r="O274" s="9" t="s">
        <v>9158</v>
      </c>
      <c r="P274" s="14" t="s">
        <v>9158</v>
      </c>
      <c r="Q274" s="14" t="s">
        <v>9158</v>
      </c>
    </row>
    <row r="275" spans="1:17">
      <c r="A275" s="16">
        <v>82033</v>
      </c>
      <c r="B275" s="1" t="s">
        <v>0</v>
      </c>
      <c r="C275" s="1" t="s">
        <v>1</v>
      </c>
      <c r="D275" s="19" t="s">
        <v>10240</v>
      </c>
      <c r="E275" s="15" t="str">
        <f>HYPERLINK("https://stat100.ameba.jp/tnk47/ratio20/illustrations/card/ill_82033_chichinohiakashirejina03.jpg?201906-3-RELEASE-dice-e-414", "■")</f>
        <v>■</v>
      </c>
      <c r="F275" s="1" t="s">
        <v>5126</v>
      </c>
      <c r="G275" s="1">
        <v>89839</v>
      </c>
      <c r="H275" s="1">
        <v>83499</v>
      </c>
      <c r="I275" s="1">
        <v>23</v>
      </c>
      <c r="J275" s="1" t="s">
        <v>10</v>
      </c>
      <c r="K275" s="1" t="s">
        <v>5128</v>
      </c>
      <c r="L275" s="1" t="s">
        <v>4347</v>
      </c>
      <c r="M275" s="14" t="s">
        <v>9158</v>
      </c>
      <c r="N275" s="14" t="s">
        <v>9158</v>
      </c>
      <c r="O275" s="9" t="s">
        <v>9158</v>
      </c>
      <c r="P275" s="14" t="s">
        <v>9158</v>
      </c>
      <c r="Q275" s="14" t="s">
        <v>9158</v>
      </c>
    </row>
    <row r="276" spans="1:17">
      <c r="A276" s="16">
        <v>82043</v>
      </c>
      <c r="B276" s="1" t="s">
        <v>15</v>
      </c>
      <c r="C276" s="1" t="s">
        <v>107</v>
      </c>
      <c r="D276" s="19" t="s">
        <v>10241</v>
      </c>
      <c r="E276" s="15" t="str">
        <f>HYPERLINK("https://stat100.ameba.jp/tnk47/ratio20/illustrations/card/ill_82043_biahorumomotofumiagari03.jpg?201906-3-RELEASE-dice-e-414", "■")</f>
        <v>■</v>
      </c>
      <c r="F276" s="1" t="s">
        <v>5131</v>
      </c>
      <c r="G276" s="1">
        <v>48390</v>
      </c>
      <c r="H276" s="1">
        <v>53352</v>
      </c>
      <c r="I276" s="1">
        <v>18</v>
      </c>
      <c r="J276" s="1" t="s">
        <v>77</v>
      </c>
      <c r="K276" s="1" t="s">
        <v>5133</v>
      </c>
      <c r="L276" s="1" t="s">
        <v>973</v>
      </c>
      <c r="M276" s="14" t="s">
        <v>9158</v>
      </c>
      <c r="N276" s="14" t="s">
        <v>9158</v>
      </c>
      <c r="O276" s="9" t="s">
        <v>9158</v>
      </c>
      <c r="P276" s="14" t="s">
        <v>9158</v>
      </c>
      <c r="Q276" s="14" t="s">
        <v>9158</v>
      </c>
    </row>
    <row r="277" spans="1:17">
      <c r="A277" s="16">
        <v>82053</v>
      </c>
      <c r="B277" s="1" t="s">
        <v>22</v>
      </c>
      <c r="C277" s="1" t="s">
        <v>4952</v>
      </c>
      <c r="D277" s="19" t="s">
        <v>10242</v>
      </c>
      <c r="E277" s="15" t="str">
        <f>HYPERLINK("https://stat100.ameba.jp/tnk47/ratio20/illustrations/card/ill_82053_chichinohichan03.jpg?201906-3-RELEASE-dice-e-414", "■")</f>
        <v>■</v>
      </c>
      <c r="F277" s="1" t="s">
        <v>5136</v>
      </c>
      <c r="G277" s="1">
        <v>35346</v>
      </c>
      <c r="H277" s="1">
        <v>29388</v>
      </c>
      <c r="I277" s="1">
        <v>17</v>
      </c>
      <c r="J277" s="1" t="s">
        <v>26</v>
      </c>
      <c r="K277" s="1" t="s">
        <v>5138</v>
      </c>
      <c r="L277" s="1" t="s">
        <v>2635</v>
      </c>
      <c r="M277" s="14" t="s">
        <v>9158</v>
      </c>
      <c r="N277" s="14" t="s">
        <v>9158</v>
      </c>
      <c r="O277" s="9" t="s">
        <v>9158</v>
      </c>
      <c r="P277" s="14" t="s">
        <v>9158</v>
      </c>
      <c r="Q277" s="14" t="s">
        <v>9158</v>
      </c>
    </row>
    <row r="278" spans="1:17">
      <c r="A278" s="16">
        <v>82063</v>
      </c>
      <c r="B278" s="1" t="s">
        <v>30</v>
      </c>
      <c r="C278" s="1" t="s">
        <v>5140</v>
      </c>
      <c r="D278" s="19" t="s">
        <v>10243</v>
      </c>
      <c r="E278" s="15" t="str">
        <f>HYPERLINK("https://stat100.ameba.jp/tnk47/ratio20/illustrations/card/ill_82063_kareinarukishi03.jpg?201906-3-RELEASE-dice-e-414", "■")</f>
        <v>■</v>
      </c>
      <c r="F278" s="1" t="s">
        <v>5141</v>
      </c>
      <c r="G278" s="1">
        <v>17972</v>
      </c>
      <c r="H278" s="1">
        <v>21398</v>
      </c>
      <c r="I278" s="1">
        <v>17</v>
      </c>
      <c r="J278" s="1" t="s">
        <v>16</v>
      </c>
      <c r="K278" s="1" t="s">
        <v>5143</v>
      </c>
      <c r="L278" s="1" t="s">
        <v>3694</v>
      </c>
      <c r="M278" s="14" t="s">
        <v>9158</v>
      </c>
      <c r="N278" s="14" t="s">
        <v>9158</v>
      </c>
      <c r="O278" s="9" t="s">
        <v>9158</v>
      </c>
      <c r="P278" s="14" t="s">
        <v>9158</v>
      </c>
      <c r="Q278" s="14" t="s">
        <v>9158</v>
      </c>
    </row>
    <row r="279" spans="1:17">
      <c r="O279" s="7"/>
    </row>
    <row r="280" spans="1:17">
      <c r="A280" s="1" t="s">
        <v>5173</v>
      </c>
      <c r="O280" s="7"/>
    </row>
    <row r="281" spans="1:17" s="14" customFormat="1">
      <c r="A281" s="1" t="s">
        <v>5174</v>
      </c>
      <c r="O281" s="9"/>
    </row>
    <row r="282" spans="1:17">
      <c r="A282" s="14" t="s">
        <v>9485</v>
      </c>
      <c r="B282" s="1" t="s">
        <v>52</v>
      </c>
      <c r="C282" s="1" t="s">
        <v>206</v>
      </c>
      <c r="D282" s="19" t="s">
        <v>2936</v>
      </c>
      <c r="E282" s="15" t="str">
        <f>HYPERLINK("https://stat100.ameba.jp/tnk47/ratio20/illustrations/card/ill_72233_0_koinoboriryugujin03.jpg?201906-3-RELEASE-dice-e-414", "■")</f>
        <v>■</v>
      </c>
      <c r="F282" s="1" t="s">
        <v>1012</v>
      </c>
      <c r="G282" s="1">
        <v>98395</v>
      </c>
      <c r="H282" s="1">
        <v>105833</v>
      </c>
      <c r="I282" s="1">
        <v>15</v>
      </c>
      <c r="J282" s="1" t="s">
        <v>44</v>
      </c>
      <c r="K282" s="1" t="s">
        <v>1013</v>
      </c>
      <c r="L282" s="1" t="s">
        <v>1014</v>
      </c>
      <c r="M282" s="14" t="s">
        <v>9158</v>
      </c>
      <c r="N282" s="14" t="s">
        <v>9158</v>
      </c>
      <c r="O282" s="7" t="s">
        <v>2940</v>
      </c>
      <c r="P282" s="1" t="s">
        <v>2941</v>
      </c>
      <c r="Q282" s="1">
        <v>2</v>
      </c>
    </row>
    <row r="283" spans="1:17">
      <c r="A283" s="14" t="s">
        <v>9486</v>
      </c>
      <c r="B283" s="1" t="s">
        <v>330</v>
      </c>
      <c r="C283" s="1" t="s">
        <v>165</v>
      </c>
      <c r="D283" s="19" t="s">
        <v>3146</v>
      </c>
      <c r="E283" s="15" t="str">
        <f>HYPERLINK("https://stat100.ameba.jp/tnk47/ratio20/illustrations/card/ill_65713_0_undokaionikirimaru03.jpg?201906-3-RELEASE-dice-e-414", "■")</f>
        <v>■</v>
      </c>
      <c r="F283" s="1" t="s">
        <v>535</v>
      </c>
      <c r="G283" s="1">
        <v>113525</v>
      </c>
      <c r="H283" s="1">
        <v>105545</v>
      </c>
      <c r="I283" s="1">
        <v>15</v>
      </c>
      <c r="J283" s="1" t="s">
        <v>320</v>
      </c>
      <c r="K283" s="1" t="s">
        <v>3147</v>
      </c>
      <c r="L283" s="1" t="s">
        <v>3148</v>
      </c>
      <c r="M283" s="14" t="s">
        <v>9158</v>
      </c>
      <c r="N283" s="14" t="s">
        <v>9158</v>
      </c>
      <c r="O283" s="7" t="s">
        <v>2869</v>
      </c>
      <c r="P283" s="1" t="s">
        <v>2870</v>
      </c>
      <c r="Q283" s="1">
        <v>1</v>
      </c>
    </row>
    <row r="284" spans="1:17">
      <c r="A284" s="14" t="s">
        <v>9487</v>
      </c>
      <c r="B284" s="1" t="s">
        <v>52</v>
      </c>
      <c r="C284" s="1" t="s">
        <v>14</v>
      </c>
      <c r="D284" s="19" t="s">
        <v>638</v>
      </c>
      <c r="E284" s="15" t="str">
        <f>HYPERLINK("https://stat100.ameba.jp/tnk47/ratio20/illustrations/card/ill_44253_0_dokuganryudatemasamune03.jpg?201906-3-RELEASE-dice-e-414", "■")</f>
        <v>■</v>
      </c>
      <c r="F284" s="1" t="s">
        <v>1181</v>
      </c>
      <c r="G284" s="1">
        <v>82212</v>
      </c>
      <c r="H284" s="1">
        <v>87780</v>
      </c>
      <c r="I284" s="1">
        <v>15</v>
      </c>
      <c r="J284" s="1" t="s">
        <v>143</v>
      </c>
      <c r="K284" s="1" t="s">
        <v>1182</v>
      </c>
      <c r="L284" s="1" t="s">
        <v>1183</v>
      </c>
      <c r="M284" s="14" t="s">
        <v>9158</v>
      </c>
      <c r="N284" s="14" t="s">
        <v>9158</v>
      </c>
      <c r="O284" s="9" t="s">
        <v>9158</v>
      </c>
      <c r="P284" s="14" t="s">
        <v>9158</v>
      </c>
      <c r="Q284" s="14" t="s">
        <v>9158</v>
      </c>
    </row>
    <row r="285" spans="1:17">
      <c r="A285" s="16">
        <v>68463</v>
      </c>
      <c r="B285" s="1" t="s">
        <v>334</v>
      </c>
      <c r="C285" s="1" t="s">
        <v>205</v>
      </c>
      <c r="D285" s="19" t="s">
        <v>10252</v>
      </c>
      <c r="E285" s="15" t="str">
        <f>HYPERLINK("https://stat100.ameba.jp/tnk47/ratio20/illustrations/card/ill_68463_sunogurabiashirubaakusechan03.jpg?201906-3-RELEASE-dice-e-414", "■")</f>
        <v>■</v>
      </c>
      <c r="F285" s="1" t="s">
        <v>2403</v>
      </c>
      <c r="G285" s="1">
        <v>102016</v>
      </c>
      <c r="H285" s="1">
        <v>94838</v>
      </c>
      <c r="I285" s="1">
        <v>24</v>
      </c>
      <c r="J285" s="1" t="s">
        <v>26</v>
      </c>
      <c r="K285" s="1" t="s">
        <v>2404</v>
      </c>
      <c r="L285" s="1" t="s">
        <v>2405</v>
      </c>
      <c r="M285" s="14" t="s">
        <v>9158</v>
      </c>
      <c r="N285" s="14" t="s">
        <v>9158</v>
      </c>
      <c r="O285" s="9" t="s">
        <v>9158</v>
      </c>
      <c r="P285" s="14" t="s">
        <v>9158</v>
      </c>
      <c r="Q285" s="14" t="s">
        <v>9158</v>
      </c>
    </row>
    <row r="286" spans="1:17">
      <c r="A286" s="16">
        <v>76373</v>
      </c>
      <c r="B286" s="1" t="s">
        <v>334</v>
      </c>
      <c r="C286" s="1" t="s">
        <v>271</v>
      </c>
      <c r="D286" s="19" t="s">
        <v>466</v>
      </c>
      <c r="E286" s="15" t="str">
        <f>HYPERLINK("https://stat100.ameba.jp/tnk47/ratio20/illustrations/card/ill_76373_marishitenho03.jpg?201906-3-RELEASE-dice-e-414", "■")</f>
        <v>■</v>
      </c>
      <c r="F286" s="1" t="s">
        <v>467</v>
      </c>
      <c r="G286" s="1">
        <v>101656</v>
      </c>
      <c r="H286" s="1">
        <v>109528</v>
      </c>
      <c r="I286" s="1">
        <v>24</v>
      </c>
      <c r="J286" s="1" t="s">
        <v>274</v>
      </c>
      <c r="K286" s="1" t="s">
        <v>468</v>
      </c>
      <c r="L286" s="1" t="s">
        <v>469</v>
      </c>
      <c r="M286" s="14" t="s">
        <v>9158</v>
      </c>
      <c r="N286" s="14" t="s">
        <v>9158</v>
      </c>
      <c r="O286" s="9" t="s">
        <v>9158</v>
      </c>
      <c r="P286" s="14" t="s">
        <v>9158</v>
      </c>
      <c r="Q286" s="14" t="s">
        <v>9158</v>
      </c>
    </row>
    <row r="287" spans="1:17">
      <c r="A287" s="16">
        <v>67103</v>
      </c>
      <c r="B287" s="1" t="s">
        <v>334</v>
      </c>
      <c r="C287" s="1" t="s">
        <v>154</v>
      </c>
      <c r="D287" s="19" t="s">
        <v>10253</v>
      </c>
      <c r="E287" s="15" t="str">
        <f>HYPERLINK("https://stat100.ameba.jp/tnk47/ratio20/illustrations/card/ill_67103_ankonabe03.jpg?201906-3-RELEASE-dice-e-414", "■")</f>
        <v>■</v>
      </c>
      <c r="F287" s="1" t="s">
        <v>1283</v>
      </c>
      <c r="G287" s="1">
        <v>91876</v>
      </c>
      <c r="H287" s="1">
        <v>126858</v>
      </c>
      <c r="I287" s="1">
        <v>24</v>
      </c>
      <c r="J287" s="1" t="s">
        <v>216</v>
      </c>
      <c r="K287" s="1" t="s">
        <v>1284</v>
      </c>
      <c r="L287" s="1" t="s">
        <v>13153</v>
      </c>
      <c r="M287" s="14" t="s">
        <v>9158</v>
      </c>
      <c r="N287" s="14" t="s">
        <v>9158</v>
      </c>
      <c r="O287" s="7" t="s">
        <v>3461</v>
      </c>
      <c r="P287" s="1" t="s">
        <v>3462</v>
      </c>
      <c r="Q287" s="1">
        <v>1</v>
      </c>
    </row>
    <row r="288" spans="1:17">
      <c r="O288" s="7"/>
    </row>
    <row r="289" spans="1:18">
      <c r="A289" s="1" t="s">
        <v>5176</v>
      </c>
      <c r="O289" s="7"/>
    </row>
    <row r="290" spans="1:18" s="14" customFormat="1">
      <c r="A290" s="1" t="s">
        <v>5177</v>
      </c>
      <c r="O290" s="9"/>
    </row>
    <row r="291" spans="1:18">
      <c r="A291" s="14" t="s">
        <v>9459</v>
      </c>
      <c r="B291" s="1" t="s">
        <v>330</v>
      </c>
      <c r="C291" s="1" t="s">
        <v>308</v>
      </c>
      <c r="D291" s="19" t="s">
        <v>385</v>
      </c>
      <c r="E291" s="15" t="str">
        <f>HYPERLINK("https://stat100.ameba.jp/tnk47/ratio20/illustrations/card/ill_59673_0_oheyashutendoji03.jpg?201906-4-RELEASE-guildbattle-415", "■")</f>
        <v>■</v>
      </c>
      <c r="F291" s="1" t="s">
        <v>386</v>
      </c>
      <c r="G291" s="1">
        <v>154800</v>
      </c>
      <c r="H291" s="1">
        <v>166504</v>
      </c>
      <c r="I291" s="1">
        <v>22</v>
      </c>
      <c r="J291" s="1" t="s">
        <v>320</v>
      </c>
      <c r="K291" s="1" t="s">
        <v>387</v>
      </c>
      <c r="L291" s="1" t="s">
        <v>388</v>
      </c>
      <c r="M291" s="14" t="s">
        <v>9158</v>
      </c>
      <c r="N291" s="14" t="s">
        <v>9158</v>
      </c>
      <c r="O291" s="6" t="s">
        <v>10058</v>
      </c>
      <c r="P291" s="1" t="s">
        <v>3022</v>
      </c>
      <c r="Q291" s="1">
        <v>1</v>
      </c>
    </row>
    <row r="292" spans="1:18">
      <c r="A292" s="14" t="s">
        <v>9479</v>
      </c>
      <c r="B292" s="1" t="s">
        <v>330</v>
      </c>
      <c r="C292" s="1" t="s">
        <v>307</v>
      </c>
      <c r="D292" s="19" t="s">
        <v>306</v>
      </c>
      <c r="E292" s="15" t="str">
        <f>HYPERLINK("https://stat100.ameba.jp/tnk47/ratio20/illustrations/card/ill_71403_0_ohanamisanadayukimura03.jpg?201906-4-RELEASE-guildbattle-415", "■")</f>
        <v>■</v>
      </c>
      <c r="F292" s="1" t="s">
        <v>309</v>
      </c>
      <c r="G292" s="1">
        <v>205358</v>
      </c>
      <c r="H292" s="1">
        <v>190952</v>
      </c>
      <c r="I292" s="1">
        <v>22</v>
      </c>
      <c r="J292" s="1" t="s">
        <v>310</v>
      </c>
      <c r="K292" s="1" t="s">
        <v>311</v>
      </c>
      <c r="L292" s="1" t="s">
        <v>312</v>
      </c>
      <c r="M292" s="14" t="s">
        <v>9158</v>
      </c>
      <c r="N292" s="14" t="s">
        <v>9158</v>
      </c>
      <c r="O292" s="6" t="s">
        <v>10060</v>
      </c>
      <c r="P292" s="1" t="s">
        <v>3418</v>
      </c>
      <c r="Q292" s="1">
        <v>2</v>
      </c>
    </row>
    <row r="293" spans="1:18">
      <c r="A293" s="16">
        <v>73093</v>
      </c>
      <c r="B293" s="1" t="s">
        <v>334</v>
      </c>
      <c r="C293" s="1" t="s">
        <v>154</v>
      </c>
      <c r="D293" s="19" t="s">
        <v>433</v>
      </c>
      <c r="E293" s="15" t="str">
        <f>HYPERLINK("https://stat100.ameba.jp/tnk47/ratio20/illustrations/card/ill_73093_aisukurinchan03.jpg?201906-4-RELEASE-guildbattle-415", "■")</f>
        <v>■</v>
      </c>
      <c r="F293" s="1" t="s">
        <v>433</v>
      </c>
      <c r="G293" s="1">
        <v>159674</v>
      </c>
      <c r="H293" s="1">
        <v>115656</v>
      </c>
      <c r="I293" s="1">
        <v>24</v>
      </c>
      <c r="J293" s="1" t="s">
        <v>283</v>
      </c>
      <c r="K293" s="1" t="s">
        <v>434</v>
      </c>
      <c r="L293" s="1" t="s">
        <v>435</v>
      </c>
      <c r="M293" s="14" t="s">
        <v>9158</v>
      </c>
      <c r="N293" s="14" t="s">
        <v>9158</v>
      </c>
      <c r="O293" s="7" t="s">
        <v>2741</v>
      </c>
      <c r="P293" s="1" t="s">
        <v>2742</v>
      </c>
      <c r="Q293" s="1">
        <v>1</v>
      </c>
    </row>
    <row r="294" spans="1:18">
      <c r="A294" s="16">
        <v>65623</v>
      </c>
      <c r="B294" s="1" t="s">
        <v>334</v>
      </c>
      <c r="C294" s="1" t="s">
        <v>209</v>
      </c>
      <c r="D294" s="19" t="s">
        <v>10254</v>
      </c>
      <c r="E294" s="15" t="str">
        <f>HYPERLINK("https://stat100.ameba.jp/tnk47/ratio20/illustrations/card/ill_65623_hosoyajudayu03.jpg?201906-4-RELEASE-guildbattle-415", "■")</f>
        <v>■</v>
      </c>
      <c r="F294" s="1" t="s">
        <v>823</v>
      </c>
      <c r="G294" s="1">
        <v>139716</v>
      </c>
      <c r="H294" s="1">
        <v>101199</v>
      </c>
      <c r="I294" s="1">
        <v>21</v>
      </c>
      <c r="J294" s="1" t="s">
        <v>310</v>
      </c>
      <c r="K294" s="1" t="s">
        <v>824</v>
      </c>
      <c r="L294" s="1" t="s">
        <v>443</v>
      </c>
      <c r="M294" s="14" t="s">
        <v>9158</v>
      </c>
      <c r="N294" s="14" t="s">
        <v>9158</v>
      </c>
      <c r="O294" s="9" t="s">
        <v>9158</v>
      </c>
      <c r="P294" s="14" t="s">
        <v>9158</v>
      </c>
      <c r="Q294" s="14" t="s">
        <v>9158</v>
      </c>
    </row>
    <row r="295" spans="1:18">
      <c r="A295" s="16">
        <v>64873</v>
      </c>
      <c r="B295" s="1" t="s">
        <v>0</v>
      </c>
      <c r="C295" s="1" t="s">
        <v>158</v>
      </c>
      <c r="D295" s="19" t="s">
        <v>2840</v>
      </c>
      <c r="E295" s="15" t="str">
        <f>HYPERLINK("https://stat100.ameba.jp/tnk47/ratio20/illustrations/card/ill_64873_sessofujin03.jpg?201906-4-RELEASE-guildbattle-415", "■")</f>
        <v>■</v>
      </c>
      <c r="F295" s="1" t="s">
        <v>1953</v>
      </c>
      <c r="G295" s="1">
        <v>66487</v>
      </c>
      <c r="H295" s="1">
        <v>91779</v>
      </c>
      <c r="I295" s="1">
        <v>21</v>
      </c>
      <c r="J295" s="1" t="s">
        <v>77</v>
      </c>
      <c r="K295" s="1" t="s">
        <v>1954</v>
      </c>
      <c r="L295" s="1" t="s">
        <v>1955</v>
      </c>
      <c r="M295" s="14" t="s">
        <v>9158</v>
      </c>
      <c r="N295" s="14" t="s">
        <v>9158</v>
      </c>
      <c r="O295" s="9" t="s">
        <v>9158</v>
      </c>
      <c r="P295" s="14" t="s">
        <v>9158</v>
      </c>
      <c r="Q295" s="14" t="s">
        <v>9158</v>
      </c>
    </row>
    <row r="296" spans="1:18">
      <c r="A296" s="16">
        <v>64023</v>
      </c>
      <c r="B296" s="1" t="s">
        <v>334</v>
      </c>
      <c r="C296" s="1" t="s">
        <v>154</v>
      </c>
      <c r="D296" s="19" t="s">
        <v>10255</v>
      </c>
      <c r="E296" s="15" t="str">
        <f>HYPERLINK("https://stat100.ameba.jp/tnk47/ratio20/illustrations/card/ill_64023_mojabune03.jpg?201906-4-RELEASE-guildbattle-415", "■")</f>
        <v>■</v>
      </c>
      <c r="F296" s="1" t="s">
        <v>1785</v>
      </c>
      <c r="G296" s="1">
        <v>70942</v>
      </c>
      <c r="H296" s="1">
        <v>97925</v>
      </c>
      <c r="I296" s="1">
        <v>21</v>
      </c>
      <c r="J296" s="1" t="s">
        <v>73</v>
      </c>
      <c r="K296" s="1" t="s">
        <v>1786</v>
      </c>
      <c r="L296" s="1" t="s">
        <v>1787</v>
      </c>
      <c r="M296" s="14" t="s">
        <v>9158</v>
      </c>
      <c r="N296" s="14" t="s">
        <v>9158</v>
      </c>
      <c r="O296" s="9" t="s">
        <v>9158</v>
      </c>
      <c r="P296" s="14" t="s">
        <v>9158</v>
      </c>
      <c r="Q296" s="14" t="s">
        <v>9158</v>
      </c>
    </row>
    <row r="297" spans="1:18">
      <c r="A297" s="16">
        <v>71333</v>
      </c>
      <c r="B297" s="1" t="s">
        <v>334</v>
      </c>
      <c r="C297" s="1" t="s">
        <v>203</v>
      </c>
      <c r="D297" s="19" t="s">
        <v>10256</v>
      </c>
      <c r="E297" s="15" t="str">
        <f>HYPERLINK("https://stat100.ameba.jp/tnk47/ratio20/illustrations/card/ill_71333_fujiwaranokamatari03.jpg?201906-4-RELEASE-guildbattle-415", "■")</f>
        <v>■</v>
      </c>
      <c r="F297" s="1" t="s">
        <v>58</v>
      </c>
      <c r="G297" s="1">
        <v>91779</v>
      </c>
      <c r="H297" s="1">
        <v>66487</v>
      </c>
      <c r="I297" s="1">
        <v>21</v>
      </c>
      <c r="J297" s="1" t="s">
        <v>10</v>
      </c>
      <c r="K297" s="1" t="s">
        <v>59</v>
      </c>
      <c r="L297" s="1" t="s">
        <v>60</v>
      </c>
      <c r="M297" s="14" t="s">
        <v>9158</v>
      </c>
      <c r="N297" s="14" t="s">
        <v>9158</v>
      </c>
      <c r="O297" s="7" t="s">
        <v>3490</v>
      </c>
      <c r="P297" s="1" t="s">
        <v>3491</v>
      </c>
      <c r="Q297" s="1">
        <v>1</v>
      </c>
    </row>
    <row r="298" spans="1:18">
      <c r="A298" s="16">
        <v>75893</v>
      </c>
      <c r="B298" s="1" t="s">
        <v>0</v>
      </c>
      <c r="C298" s="1" t="s">
        <v>158</v>
      </c>
      <c r="D298" s="19" t="s">
        <v>3095</v>
      </c>
      <c r="E298" s="15" t="str">
        <f>HYPERLINK("https://stat100.ameba.jp/tnk47/ratio20/illustrations/card/ill_75893_hamamatsutakuni03.jpg?201906-4-RELEASE-guildbattle-415", "■")</f>
        <v>■</v>
      </c>
      <c r="F298" s="1" t="s">
        <v>3594</v>
      </c>
      <c r="G298" s="1">
        <v>95307</v>
      </c>
      <c r="H298" s="1">
        <v>69051</v>
      </c>
      <c r="I298" s="1">
        <v>21</v>
      </c>
      <c r="J298" s="1" t="s">
        <v>16</v>
      </c>
      <c r="K298" s="1" t="s">
        <v>3595</v>
      </c>
      <c r="L298" s="1" t="s">
        <v>920</v>
      </c>
      <c r="M298" s="14" t="s">
        <v>9158</v>
      </c>
      <c r="N298" s="14" t="s">
        <v>9158</v>
      </c>
      <c r="O298" s="7" t="s">
        <v>3469</v>
      </c>
      <c r="P298" s="1" t="s">
        <v>13128</v>
      </c>
      <c r="Q298" s="1">
        <v>1</v>
      </c>
    </row>
    <row r="299" spans="1:18">
      <c r="O299" s="7"/>
    </row>
    <row r="300" spans="1:18">
      <c r="A300" s="1" t="s">
        <v>13326</v>
      </c>
      <c r="O300" s="7"/>
    </row>
    <row r="301" spans="1:18" s="14" customFormat="1">
      <c r="A301" s="1" t="s">
        <v>5175</v>
      </c>
      <c r="O301" s="9"/>
    </row>
    <row r="302" spans="1:18">
      <c r="A302" s="16">
        <v>69293</v>
      </c>
      <c r="B302" s="1" t="s">
        <v>334</v>
      </c>
      <c r="C302" s="1" t="s">
        <v>185</v>
      </c>
      <c r="D302" s="19" t="s">
        <v>1155</v>
      </c>
      <c r="E302" s="15" t="str">
        <f>HYPERLINK("https://stat100.ameba.jp/tnk47/ratio20/illustrations/card/ill_69293_merukishiru03.jpg?201906-4-RELEASE-guildbattle-415", "■")</f>
        <v>■</v>
      </c>
      <c r="F302" s="1" t="s">
        <v>1156</v>
      </c>
      <c r="G302" s="1">
        <v>118152</v>
      </c>
      <c r="H302" s="1">
        <v>109852</v>
      </c>
      <c r="I302" s="1">
        <v>24</v>
      </c>
      <c r="J302" s="1" t="s">
        <v>414</v>
      </c>
      <c r="K302" s="1" t="s">
        <v>1170</v>
      </c>
      <c r="L302" s="1" t="s">
        <v>9902</v>
      </c>
      <c r="M302" s="1" t="s">
        <v>13151</v>
      </c>
      <c r="N302" s="1" t="s">
        <v>251</v>
      </c>
      <c r="O302" s="9" t="s">
        <v>9158</v>
      </c>
      <c r="P302" s="14" t="s">
        <v>9158</v>
      </c>
      <c r="Q302" s="14" t="s">
        <v>9158</v>
      </c>
      <c r="R302" s="14"/>
    </row>
    <row r="303" spans="1:18">
      <c r="A303" s="16">
        <v>69292</v>
      </c>
      <c r="B303" s="1" t="s">
        <v>334</v>
      </c>
      <c r="C303" s="1" t="s">
        <v>185</v>
      </c>
      <c r="D303" s="19" t="s">
        <v>1155</v>
      </c>
      <c r="E303" s="15" t="str">
        <f>HYPERLINK("https://stat100.ameba.jp/tnk47/ratio20/illustrations/card/ill_69292_merukishiru02.jpg?201906-4-RELEASE-guildbattle-415", "■")</f>
        <v>■</v>
      </c>
      <c r="F303" s="1" t="s">
        <v>1156</v>
      </c>
      <c r="G303" s="1">
        <v>98768</v>
      </c>
      <c r="H303" s="1">
        <v>90984</v>
      </c>
      <c r="I303" s="1">
        <v>24</v>
      </c>
      <c r="J303" s="1" t="s">
        <v>414</v>
      </c>
      <c r="K303" s="1" t="s">
        <v>1170</v>
      </c>
      <c r="L303" s="1" t="s">
        <v>9902</v>
      </c>
      <c r="M303" s="1" t="s">
        <v>13151</v>
      </c>
      <c r="N303" s="1" t="s">
        <v>251</v>
      </c>
      <c r="O303" s="9" t="s">
        <v>9158</v>
      </c>
      <c r="P303" s="14" t="s">
        <v>9158</v>
      </c>
      <c r="Q303" s="14" t="s">
        <v>9158</v>
      </c>
      <c r="R303" s="14"/>
    </row>
    <row r="304" spans="1:18">
      <c r="A304" s="16">
        <v>69291</v>
      </c>
      <c r="B304" s="1" t="s">
        <v>334</v>
      </c>
      <c r="C304" s="1" t="s">
        <v>185</v>
      </c>
      <c r="D304" s="19" t="s">
        <v>1155</v>
      </c>
      <c r="E304" s="15" t="str">
        <f>HYPERLINK("https://stat100.ameba.jp/tnk47/ratio20/illustrations/card/ill_69291_merukishiru01.jpg?201906-4-RELEASE-guildbattle-415", "■")</f>
        <v>■</v>
      </c>
      <c r="F304" s="1" t="s">
        <v>1156</v>
      </c>
      <c r="G304" s="1">
        <v>75408</v>
      </c>
      <c r="H304" s="1">
        <v>70200</v>
      </c>
      <c r="I304" s="1">
        <v>24</v>
      </c>
      <c r="J304" s="1" t="s">
        <v>414</v>
      </c>
      <c r="K304" s="1" t="s">
        <v>1170</v>
      </c>
      <c r="L304" s="1" t="s">
        <v>9902</v>
      </c>
      <c r="M304" s="1" t="s">
        <v>13151</v>
      </c>
      <c r="N304" s="1" t="s">
        <v>251</v>
      </c>
      <c r="O304" s="9" t="s">
        <v>9158</v>
      </c>
      <c r="P304" s="14" t="s">
        <v>9158</v>
      </c>
      <c r="Q304" s="14" t="s">
        <v>9158</v>
      </c>
      <c r="R304" s="14"/>
    </row>
    <row r="305" spans="1:18">
      <c r="A305" s="16">
        <v>69303</v>
      </c>
      <c r="B305" s="1" t="s">
        <v>334</v>
      </c>
      <c r="C305" s="1" t="s">
        <v>200</v>
      </c>
      <c r="D305" s="19" t="s">
        <v>1157</v>
      </c>
      <c r="E305" s="15" t="str">
        <f>HYPERLINK("https://stat100.ameba.jp/tnk47/ratio20/illustrations/card/ill_69303_torumushaito03.jpg?201906-4-RELEASE-guildbattle-415", "■")</f>
        <v>■</v>
      </c>
      <c r="F305" s="1" t="s">
        <v>1162</v>
      </c>
      <c r="G305" s="1">
        <v>118152</v>
      </c>
      <c r="H305" s="1">
        <v>109852</v>
      </c>
      <c r="I305" s="1">
        <v>24</v>
      </c>
      <c r="J305" s="1" t="s">
        <v>369</v>
      </c>
      <c r="K305" s="1" t="s">
        <v>1171</v>
      </c>
      <c r="L305" s="1" t="s">
        <v>9903</v>
      </c>
      <c r="M305" s="1" t="s">
        <v>13151</v>
      </c>
      <c r="N305" s="1" t="s">
        <v>251</v>
      </c>
      <c r="O305" s="9" t="s">
        <v>9158</v>
      </c>
      <c r="P305" s="14" t="s">
        <v>9158</v>
      </c>
      <c r="Q305" s="14" t="s">
        <v>9158</v>
      </c>
    </row>
    <row r="306" spans="1:18">
      <c r="A306" s="16">
        <v>69313</v>
      </c>
      <c r="B306" s="1" t="s">
        <v>334</v>
      </c>
      <c r="C306" s="1" t="s">
        <v>191</v>
      </c>
      <c r="D306" s="19" t="s">
        <v>1158</v>
      </c>
      <c r="E306" s="15" t="str">
        <f>HYPERLINK("https://stat100.ameba.jp/tnk47/ratio20/illustrations/card/ill_69313_teishutoriya03.jpg?201906-4-RELEASE-guildbattle-415", "■")</f>
        <v>■</v>
      </c>
      <c r="F306" s="1" t="s">
        <v>1163</v>
      </c>
      <c r="G306" s="1">
        <v>109852</v>
      </c>
      <c r="H306" s="1">
        <v>118152</v>
      </c>
      <c r="I306" s="1">
        <v>24</v>
      </c>
      <c r="J306" s="1" t="s">
        <v>401</v>
      </c>
      <c r="K306" s="1" t="s">
        <v>1172</v>
      </c>
      <c r="L306" s="1" t="s">
        <v>9904</v>
      </c>
      <c r="M306" s="1" t="s">
        <v>13151</v>
      </c>
      <c r="N306" s="1" t="s">
        <v>251</v>
      </c>
      <c r="O306" s="9" t="s">
        <v>9158</v>
      </c>
      <c r="P306" s="14" t="s">
        <v>9158</v>
      </c>
      <c r="Q306" s="14" t="s">
        <v>9158</v>
      </c>
    </row>
    <row r="307" spans="1:18">
      <c r="A307" s="16">
        <v>69323</v>
      </c>
      <c r="B307" s="1" t="s">
        <v>334</v>
      </c>
      <c r="C307" s="1" t="s">
        <v>165</v>
      </c>
      <c r="D307" s="19" t="s">
        <v>10257</v>
      </c>
      <c r="E307" s="15" t="str">
        <f>HYPERLINK("https://stat100.ameba.jp/tnk47/ratio20/illustrations/card/ill_69323_fujitsubonomiya03.jpg?201906-4-RELEASE-guildbattle-415", "■")</f>
        <v>■</v>
      </c>
      <c r="F307" s="1" t="s">
        <v>1164</v>
      </c>
      <c r="G307" s="1">
        <v>109852</v>
      </c>
      <c r="H307" s="1">
        <v>118152</v>
      </c>
      <c r="I307" s="1">
        <v>24</v>
      </c>
      <c r="J307" s="1" t="s">
        <v>1167</v>
      </c>
      <c r="K307" s="1" t="s">
        <v>1173</v>
      </c>
      <c r="L307" s="1" t="s">
        <v>9905</v>
      </c>
      <c r="M307" s="1" t="s">
        <v>13151</v>
      </c>
      <c r="N307" s="1" t="s">
        <v>251</v>
      </c>
      <c r="O307" s="9" t="s">
        <v>9158</v>
      </c>
      <c r="P307" s="14" t="s">
        <v>9158</v>
      </c>
      <c r="Q307" s="14" t="s">
        <v>9158</v>
      </c>
    </row>
    <row r="308" spans="1:18">
      <c r="A308" s="16">
        <v>69333</v>
      </c>
      <c r="B308" s="1" t="s">
        <v>334</v>
      </c>
      <c r="C308" s="1" t="s">
        <v>205</v>
      </c>
      <c r="D308" s="19" t="s">
        <v>1160</v>
      </c>
      <c r="E308" s="15" t="str">
        <f>HYPERLINK("https://stat100.ameba.jp/tnk47/ratio20/illustrations/card/ill_69333_mefuisutofueresu03.jpg?201906-4-RELEASE-guildbattle-415", "■")</f>
        <v>■</v>
      </c>
      <c r="F308" s="1" t="s">
        <v>1165</v>
      </c>
      <c r="G308" s="1">
        <v>118152</v>
      </c>
      <c r="H308" s="1">
        <v>109852</v>
      </c>
      <c r="I308" s="1">
        <v>24</v>
      </c>
      <c r="J308" s="1" t="s">
        <v>1168</v>
      </c>
      <c r="K308" s="1" t="s">
        <v>1174</v>
      </c>
      <c r="L308" s="1" t="s">
        <v>9906</v>
      </c>
      <c r="M308" s="1" t="s">
        <v>13151</v>
      </c>
      <c r="N308" s="1" t="s">
        <v>251</v>
      </c>
      <c r="O308" s="9" t="s">
        <v>9158</v>
      </c>
      <c r="P308" s="14" t="s">
        <v>9158</v>
      </c>
      <c r="Q308" s="14" t="s">
        <v>9158</v>
      </c>
    </row>
    <row r="309" spans="1:18">
      <c r="A309" s="16">
        <v>69343</v>
      </c>
      <c r="B309" s="1" t="s">
        <v>334</v>
      </c>
      <c r="C309" s="1" t="s">
        <v>206</v>
      </c>
      <c r="D309" s="19" t="s">
        <v>10258</v>
      </c>
      <c r="E309" s="15" t="str">
        <f>HYPERLINK("https://stat100.ameba.jp/tnk47/ratio20/illustrations/card/ill_69343_teikinnofuire03.jpg?201906-4-RELEASE-guildbattle-415", "■")</f>
        <v>■</v>
      </c>
      <c r="F309" s="1" t="s">
        <v>1166</v>
      </c>
      <c r="G309" s="1">
        <v>109852</v>
      </c>
      <c r="H309" s="1">
        <v>118152</v>
      </c>
      <c r="I309" s="1">
        <v>24</v>
      </c>
      <c r="J309" s="1" t="s">
        <v>1169</v>
      </c>
      <c r="K309" s="1" t="s">
        <v>1175</v>
      </c>
      <c r="L309" s="1" t="s">
        <v>9907</v>
      </c>
      <c r="M309" s="1" t="s">
        <v>13151</v>
      </c>
      <c r="N309" s="1" t="s">
        <v>251</v>
      </c>
      <c r="O309" s="9" t="s">
        <v>9158</v>
      </c>
      <c r="P309" s="14" t="s">
        <v>9158</v>
      </c>
      <c r="Q309" s="14" t="s">
        <v>9158</v>
      </c>
    </row>
    <row r="310" spans="1:18">
      <c r="O310" s="7"/>
    </row>
    <row r="311" spans="1:18">
      <c r="A311" s="1" t="s">
        <v>5178</v>
      </c>
      <c r="O311" s="7"/>
    </row>
    <row r="312" spans="1:18" s="14" customFormat="1">
      <c r="A312" s="1" t="s">
        <v>5179</v>
      </c>
      <c r="O312" s="9"/>
    </row>
    <row r="313" spans="1:18">
      <c r="A313" s="16">
        <v>78815</v>
      </c>
      <c r="B313" s="1" t="s">
        <v>5180</v>
      </c>
      <c r="C313" s="1" t="s">
        <v>5182</v>
      </c>
      <c r="D313" s="19" t="s">
        <v>3117</v>
      </c>
      <c r="E313" s="15" t="str">
        <f>HYPERLINK("https://stat100.ameba.jp/tnk47/ratio20/illustrations/card/ill_78815_waishatsutamagokakegohanchan05.jpg?201906-4-RELEASE-guildbattle-415", "■")</f>
        <v>■</v>
      </c>
      <c r="F313" s="1" t="s">
        <v>5188</v>
      </c>
      <c r="G313" s="1">
        <v>164590</v>
      </c>
      <c r="H313" s="1">
        <v>119173</v>
      </c>
      <c r="I313" s="1">
        <v>23</v>
      </c>
      <c r="J313" s="1" t="s">
        <v>5189</v>
      </c>
      <c r="K313" s="1" t="s">
        <v>5190</v>
      </c>
      <c r="L313" s="1" t="s">
        <v>5191</v>
      </c>
      <c r="M313" s="14" t="s">
        <v>9158</v>
      </c>
      <c r="N313" s="14" t="s">
        <v>9158</v>
      </c>
      <c r="O313" s="9" t="s">
        <v>9158</v>
      </c>
      <c r="P313" s="14" t="s">
        <v>9158</v>
      </c>
      <c r="Q313" s="14" t="s">
        <v>9158</v>
      </c>
      <c r="R313" s="1" t="s">
        <v>5185</v>
      </c>
    </row>
    <row r="314" spans="1:18">
      <c r="A314" s="16">
        <v>78813</v>
      </c>
      <c r="B314" s="1" t="s">
        <v>5181</v>
      </c>
      <c r="C314" s="1" t="s">
        <v>5184</v>
      </c>
      <c r="D314" s="19" t="s">
        <v>3117</v>
      </c>
      <c r="E314" s="15" t="str">
        <f>HYPERLINK("https://stat100.ameba.jp/tnk47/ratio20/illustrations/card/ill_78813_waishatsutamagokakegohanchan03.jpg?201906-4-RELEASE-guildbattle-415", "■")</f>
        <v>■</v>
      </c>
      <c r="F314" s="1" t="s">
        <v>5188</v>
      </c>
      <c r="G314" s="1">
        <v>121268</v>
      </c>
      <c r="H314" s="1">
        <v>87802</v>
      </c>
      <c r="I314" s="1">
        <v>23</v>
      </c>
      <c r="J314" s="1" t="s">
        <v>5189</v>
      </c>
      <c r="K314" s="1" t="s">
        <v>5190</v>
      </c>
      <c r="L314" s="1" t="s">
        <v>5192</v>
      </c>
      <c r="M314" s="14" t="s">
        <v>9158</v>
      </c>
      <c r="N314" s="14" t="s">
        <v>9158</v>
      </c>
      <c r="O314" s="9" t="s">
        <v>9158</v>
      </c>
      <c r="P314" s="14" t="s">
        <v>9158</v>
      </c>
      <c r="Q314" s="14" t="s">
        <v>9158</v>
      </c>
      <c r="R314" s="1" t="s">
        <v>5186</v>
      </c>
    </row>
    <row r="315" spans="1:18">
      <c r="A315" s="16">
        <v>78811</v>
      </c>
      <c r="B315" s="1" t="s">
        <v>5181</v>
      </c>
      <c r="C315" s="1" t="s">
        <v>5184</v>
      </c>
      <c r="D315" s="19" t="s">
        <v>3117</v>
      </c>
      <c r="E315" s="15" t="str">
        <f>HYPERLINK("https://stat100.ameba.jp/tnk47/ratio20/illustrations/card/ill_78811_waishatsutamagokakegohanchan01.jpg?201906-4-RELEASE-guildbattle-415", "■")</f>
        <v>■</v>
      </c>
      <c r="F315" s="1" t="s">
        <v>5188</v>
      </c>
      <c r="G315" s="1">
        <v>77142</v>
      </c>
      <c r="H315" s="1">
        <v>55867</v>
      </c>
      <c r="I315" s="1">
        <v>23</v>
      </c>
      <c r="J315" s="1" t="s">
        <v>5189</v>
      </c>
      <c r="K315" s="1" t="s">
        <v>5190</v>
      </c>
      <c r="L315" s="1" t="s">
        <v>5193</v>
      </c>
      <c r="M315" s="14" t="s">
        <v>9158</v>
      </c>
      <c r="N315" s="14" t="s">
        <v>9158</v>
      </c>
      <c r="O315" s="9" t="s">
        <v>9158</v>
      </c>
      <c r="P315" s="14" t="s">
        <v>9158</v>
      </c>
      <c r="Q315" s="14" t="s">
        <v>9158</v>
      </c>
      <c r="R315" s="1" t="s">
        <v>5187</v>
      </c>
    </row>
    <row r="316" spans="1:18">
      <c r="A316" s="16">
        <v>76815</v>
      </c>
      <c r="B316" s="1" t="s">
        <v>5180</v>
      </c>
      <c r="C316" s="1" t="s">
        <v>5182</v>
      </c>
      <c r="D316" s="19" t="s">
        <v>605</v>
      </c>
      <c r="E316" s="15" t="str">
        <f>HYPERLINK("https://stat100.ameba.jp/tnk47/ratio20/illustrations/card/ill_76815_yukemurigoryunotsubone05.jpg?201906-4-RELEASE-guildbattle-415", "■")</f>
        <v>■</v>
      </c>
      <c r="F316" s="1" t="s">
        <v>5194</v>
      </c>
      <c r="G316" s="1">
        <v>78289</v>
      </c>
      <c r="H316" s="1">
        <v>108130</v>
      </c>
      <c r="I316" s="1">
        <v>23</v>
      </c>
      <c r="J316" s="1" t="s">
        <v>5195</v>
      </c>
      <c r="K316" s="1" t="s">
        <v>5196</v>
      </c>
      <c r="L316" s="1" t="s">
        <v>5197</v>
      </c>
      <c r="M316" s="14" t="s">
        <v>9158</v>
      </c>
      <c r="N316" s="14" t="s">
        <v>9158</v>
      </c>
      <c r="O316" s="9" t="s">
        <v>9158</v>
      </c>
      <c r="P316" s="14" t="s">
        <v>9158</v>
      </c>
      <c r="Q316" s="14" t="s">
        <v>9158</v>
      </c>
      <c r="R316" s="1" t="s">
        <v>5185</v>
      </c>
    </row>
    <row r="317" spans="1:18">
      <c r="A317" s="16">
        <v>76813</v>
      </c>
      <c r="B317" s="1" t="s">
        <v>5181</v>
      </c>
      <c r="C317" s="1" t="s">
        <v>5184</v>
      </c>
      <c r="D317" s="19" t="s">
        <v>605</v>
      </c>
      <c r="E317" s="15" t="str">
        <f>HYPERLINK("https://stat100.ameba.jp/tnk47/ratio20/illustrations/card/ill_76813_yukemurigoryunotsubone03.jpg?201906-4-RELEASE-guildbattle-415", "■")</f>
        <v>■</v>
      </c>
      <c r="F317" s="1" t="s">
        <v>5194</v>
      </c>
      <c r="G317" s="1">
        <v>57679</v>
      </c>
      <c r="H317" s="1">
        <v>79659</v>
      </c>
      <c r="I317" s="1">
        <v>23</v>
      </c>
      <c r="J317" s="1" t="s">
        <v>5195</v>
      </c>
      <c r="K317" s="1" t="s">
        <v>5196</v>
      </c>
      <c r="L317" s="1" t="s">
        <v>5198</v>
      </c>
      <c r="M317" s="14" t="s">
        <v>9158</v>
      </c>
      <c r="N317" s="14" t="s">
        <v>9158</v>
      </c>
      <c r="O317" s="9" t="s">
        <v>9158</v>
      </c>
      <c r="P317" s="14" t="s">
        <v>9158</v>
      </c>
      <c r="Q317" s="14" t="s">
        <v>9158</v>
      </c>
      <c r="R317" s="1" t="s">
        <v>5186</v>
      </c>
    </row>
    <row r="318" spans="1:18">
      <c r="A318" s="16">
        <v>76811</v>
      </c>
      <c r="B318" s="1" t="s">
        <v>5181</v>
      </c>
      <c r="C318" s="1" t="s">
        <v>5184</v>
      </c>
      <c r="D318" s="19" t="s">
        <v>605</v>
      </c>
      <c r="E318" s="15" t="str">
        <f>HYPERLINK("https://stat100.ameba.jp/tnk47/ratio20/illustrations/card/ill_76811_yukemurigoryunotsubone01.jpg?201906-4-RELEASE-guildbattle-415", "■")</f>
        <v>■</v>
      </c>
      <c r="F318" s="1" t="s">
        <v>5194</v>
      </c>
      <c r="G318" s="1">
        <v>36685</v>
      </c>
      <c r="H318" s="1">
        <v>50669</v>
      </c>
      <c r="I318" s="1">
        <v>23</v>
      </c>
      <c r="J318" s="1" t="s">
        <v>5195</v>
      </c>
      <c r="K318" s="1" t="s">
        <v>5196</v>
      </c>
      <c r="L318" s="1" t="s">
        <v>5199</v>
      </c>
      <c r="M318" s="14" t="s">
        <v>9158</v>
      </c>
      <c r="N318" s="14" t="s">
        <v>9158</v>
      </c>
      <c r="O318" s="9" t="s">
        <v>9158</v>
      </c>
      <c r="P318" s="14" t="s">
        <v>9158</v>
      </c>
      <c r="Q318" s="14" t="s">
        <v>9158</v>
      </c>
      <c r="R318" s="1" t="s">
        <v>5187</v>
      </c>
    </row>
    <row r="319" spans="1:18">
      <c r="A319" s="16">
        <v>76745</v>
      </c>
      <c r="B319" s="1" t="s">
        <v>5180</v>
      </c>
      <c r="C319" s="1" t="s">
        <v>5182</v>
      </c>
      <c r="D319" s="19" t="s">
        <v>379</v>
      </c>
      <c r="E319" s="15" t="str">
        <f>HYPERLINK("https://stat100.ameba.jp/tnk47/ratio20/illustrations/card/ill_76745_yawatauma05.jpg?201906-4-RELEASE-guildbattle-415", "■")</f>
        <v>■</v>
      </c>
      <c r="F319" s="1" t="s">
        <v>5200</v>
      </c>
      <c r="G319" s="1">
        <v>96259</v>
      </c>
      <c r="H319" s="1">
        <v>132963</v>
      </c>
      <c r="I319" s="1">
        <v>23</v>
      </c>
      <c r="J319" s="1" t="s">
        <v>5201</v>
      </c>
      <c r="K319" s="1" t="s">
        <v>5202</v>
      </c>
      <c r="L319" s="1" t="s">
        <v>5203</v>
      </c>
      <c r="M319" s="14" t="s">
        <v>9158</v>
      </c>
      <c r="N319" s="14" t="s">
        <v>9158</v>
      </c>
      <c r="O319" s="9" t="s">
        <v>9158</v>
      </c>
      <c r="P319" s="14" t="s">
        <v>9158</v>
      </c>
      <c r="Q319" s="14" t="s">
        <v>9158</v>
      </c>
      <c r="R319" s="1" t="s">
        <v>5185</v>
      </c>
    </row>
    <row r="320" spans="1:18">
      <c r="A320" s="16">
        <v>76743</v>
      </c>
      <c r="B320" s="1" t="s">
        <v>5181</v>
      </c>
      <c r="C320" s="1" t="s">
        <v>5183</v>
      </c>
      <c r="D320" s="19" t="s">
        <v>379</v>
      </c>
      <c r="E320" s="15" t="str">
        <f>HYPERLINK("https://stat100.ameba.jp/tnk47/ratio20/illustrations/card/ill_76743_yawatauma03.jpg?201906-4-RELEASE-guildbattle-415", "■")</f>
        <v>■</v>
      </c>
      <c r="F320" s="1" t="s">
        <v>5200</v>
      </c>
      <c r="G320" s="1">
        <v>69568</v>
      </c>
      <c r="H320" s="1">
        <v>96077</v>
      </c>
      <c r="I320" s="1">
        <v>23</v>
      </c>
      <c r="J320" s="1" t="s">
        <v>5201</v>
      </c>
      <c r="K320" s="1" t="s">
        <v>5202</v>
      </c>
      <c r="L320" s="1" t="s">
        <v>5204</v>
      </c>
      <c r="M320" s="14" t="s">
        <v>9158</v>
      </c>
      <c r="N320" s="14" t="s">
        <v>9158</v>
      </c>
      <c r="O320" s="9" t="s">
        <v>9158</v>
      </c>
      <c r="P320" s="14" t="s">
        <v>9158</v>
      </c>
      <c r="Q320" s="14" t="s">
        <v>9158</v>
      </c>
      <c r="R320" s="1" t="s">
        <v>5186</v>
      </c>
    </row>
    <row r="321" spans="1:18">
      <c r="A321" s="16">
        <v>76741</v>
      </c>
      <c r="B321" s="1" t="s">
        <v>5181</v>
      </c>
      <c r="C321" s="1" t="s">
        <v>5183</v>
      </c>
      <c r="D321" s="19" t="s">
        <v>379</v>
      </c>
      <c r="E321" s="15" t="str">
        <f>HYPERLINK("https://stat100.ameba.jp/tnk47/ratio20/illustrations/card/ill_76741_yawatauma01.jpg?201906-4-RELEASE-guildbattle-415", "■")</f>
        <v>■</v>
      </c>
      <c r="F321" s="1" t="s">
        <v>5200</v>
      </c>
      <c r="G321" s="1">
        <v>40342</v>
      </c>
      <c r="H321" s="1">
        <v>55729</v>
      </c>
      <c r="I321" s="1">
        <v>23</v>
      </c>
      <c r="J321" s="1" t="s">
        <v>5201</v>
      </c>
      <c r="K321" s="1" t="s">
        <v>5202</v>
      </c>
      <c r="L321" s="1" t="s">
        <v>5205</v>
      </c>
      <c r="M321" s="14" t="s">
        <v>9158</v>
      </c>
      <c r="N321" s="14" t="s">
        <v>9158</v>
      </c>
      <c r="O321" s="9" t="s">
        <v>9158</v>
      </c>
      <c r="P321" s="14" t="s">
        <v>9158</v>
      </c>
      <c r="Q321" s="14" t="s">
        <v>9158</v>
      </c>
      <c r="R321" s="1" t="s">
        <v>5187</v>
      </c>
    </row>
    <row r="322" spans="1:18">
      <c r="O322" s="7"/>
    </row>
    <row r="323" spans="1:18">
      <c r="A323" s="1" t="s">
        <v>5206</v>
      </c>
      <c r="O323" s="7"/>
    </row>
    <row r="324" spans="1:18" s="14" customFormat="1">
      <c r="A324" s="1" t="s">
        <v>5207</v>
      </c>
      <c r="O324" s="9"/>
    </row>
    <row r="325" spans="1:18">
      <c r="A325" s="14" t="s">
        <v>9488</v>
      </c>
      <c r="B325" s="1" t="s">
        <v>52</v>
      </c>
      <c r="C325" s="1" t="s">
        <v>205</v>
      </c>
      <c r="D325" s="19" t="s">
        <v>611</v>
      </c>
      <c r="E325" s="15" t="str">
        <f>HYPERLINK("https://stat100.ameba.jp/tnk47/ratio20/illustrations/card/ill_61893_0_onikirishumiyamotomusashi03.jpg?201906-4-RELEASE-guildbattle-415", "■")</f>
        <v>■</v>
      </c>
      <c r="F325" s="1" t="s">
        <v>1869</v>
      </c>
      <c r="G325" s="1">
        <v>140016</v>
      </c>
      <c r="H325" s="1">
        <v>130194</v>
      </c>
      <c r="I325" s="1">
        <v>15</v>
      </c>
      <c r="J325" s="1" t="s">
        <v>143</v>
      </c>
      <c r="K325" s="1" t="s">
        <v>1870</v>
      </c>
      <c r="L325" s="1" t="s">
        <v>901</v>
      </c>
      <c r="M325" s="14" t="s">
        <v>9158</v>
      </c>
      <c r="N325" s="14" t="s">
        <v>9158</v>
      </c>
      <c r="O325" s="7" t="s">
        <v>3252</v>
      </c>
      <c r="P325" s="1" t="s">
        <v>3253</v>
      </c>
      <c r="Q325" s="1">
        <v>1</v>
      </c>
    </row>
    <row r="326" spans="1:18">
      <c r="A326" s="14" t="s">
        <v>9489</v>
      </c>
      <c r="B326" s="1" t="s">
        <v>52</v>
      </c>
      <c r="C326" s="1" t="s">
        <v>200</v>
      </c>
      <c r="D326" s="19" t="s">
        <v>809</v>
      </c>
      <c r="E326" s="15" t="str">
        <f>HYPERLINK("https://stat100.ameba.jp/tnk47/ratio20/illustrations/card/ill_68033_0_kurisumasupateikandamyojin03.jpg?201906-4-RELEASE-guildbattle-415", "■")</f>
        <v>■</v>
      </c>
      <c r="F326" s="1" t="s">
        <v>1871</v>
      </c>
      <c r="G326" s="1">
        <v>95371</v>
      </c>
      <c r="H326" s="1">
        <v>102590</v>
      </c>
      <c r="I326" s="1">
        <v>15</v>
      </c>
      <c r="J326" s="1" t="s">
        <v>44</v>
      </c>
      <c r="K326" s="1" t="s">
        <v>1872</v>
      </c>
      <c r="L326" s="1" t="s">
        <v>1873</v>
      </c>
      <c r="M326" s="14" t="s">
        <v>9158</v>
      </c>
      <c r="N326" s="14" t="s">
        <v>9158</v>
      </c>
      <c r="O326" s="7" t="s">
        <v>3482</v>
      </c>
      <c r="P326" s="1" t="s">
        <v>3483</v>
      </c>
      <c r="Q326" s="1">
        <v>2</v>
      </c>
    </row>
    <row r="327" spans="1:18">
      <c r="A327" s="14" t="s">
        <v>9490</v>
      </c>
      <c r="B327" s="1" t="s">
        <v>52</v>
      </c>
      <c r="C327" s="1" t="s">
        <v>191</v>
      </c>
      <c r="D327" s="19" t="s">
        <v>793</v>
      </c>
      <c r="E327" s="15" t="str">
        <f>HYPERLINK("https://stat100.ameba.jp/tnk47/ratio20/illustrations/card/ill_39933_0_reihiiinaotora03.jpg?201906-4-RELEASE-guildbattle-415", "■")</f>
        <v>■</v>
      </c>
      <c r="F327" s="1" t="s">
        <v>1720</v>
      </c>
      <c r="G327" s="1">
        <v>82212</v>
      </c>
      <c r="H327" s="1">
        <v>87780</v>
      </c>
      <c r="I327" s="1">
        <v>15</v>
      </c>
      <c r="J327" s="1" t="s">
        <v>77</v>
      </c>
      <c r="K327" s="1" t="s">
        <v>1721</v>
      </c>
      <c r="L327" s="1" t="s">
        <v>1722</v>
      </c>
      <c r="M327" s="14" t="s">
        <v>9158</v>
      </c>
      <c r="N327" s="14" t="s">
        <v>9158</v>
      </c>
      <c r="O327" s="9" t="s">
        <v>9158</v>
      </c>
      <c r="P327" s="14" t="s">
        <v>9158</v>
      </c>
      <c r="Q327" s="14" t="s">
        <v>9158</v>
      </c>
    </row>
    <row r="328" spans="1:18">
      <c r="A328" s="16">
        <v>77743</v>
      </c>
      <c r="B328" s="1" t="s">
        <v>334</v>
      </c>
      <c r="C328" s="1" t="s">
        <v>269</v>
      </c>
      <c r="D328" s="19" t="s">
        <v>493</v>
      </c>
      <c r="E328" s="15" t="str">
        <f>HYPERLINK("https://stat100.ameba.jp/tnk47/ratio20/illustrations/card/ill_77743_kaerude03.jpg?201906-4-RELEASE-guildbattle-415", "■")</f>
        <v>■</v>
      </c>
      <c r="F328" s="1" t="s">
        <v>494</v>
      </c>
      <c r="G328" s="1">
        <v>75980</v>
      </c>
      <c r="H328" s="1">
        <v>135010</v>
      </c>
      <c r="I328" s="1">
        <v>24</v>
      </c>
      <c r="J328" s="1" t="s">
        <v>369</v>
      </c>
      <c r="K328" s="1" t="s">
        <v>495</v>
      </c>
      <c r="L328" s="1" t="s">
        <v>496</v>
      </c>
      <c r="M328" s="14" t="s">
        <v>9158</v>
      </c>
      <c r="N328" s="14" t="s">
        <v>9158</v>
      </c>
      <c r="O328" s="9" t="s">
        <v>9158</v>
      </c>
      <c r="P328" s="14" t="s">
        <v>9158</v>
      </c>
      <c r="Q328" s="14" t="s">
        <v>9158</v>
      </c>
    </row>
    <row r="329" spans="1:18">
      <c r="A329" s="16">
        <v>75973</v>
      </c>
      <c r="B329" s="1" t="s">
        <v>334</v>
      </c>
      <c r="C329" s="1" t="s">
        <v>268</v>
      </c>
      <c r="D329" s="19" t="s">
        <v>1511</v>
      </c>
      <c r="E329" s="15" t="str">
        <f>HYPERLINK("https://stat100.ameba.jp/tnk47/ratio20/illustrations/card/ill_75973_hojonomegamifuriggu03.jpg?201906-4-RELEASE-guildbattle-415", "■")</f>
        <v>■</v>
      </c>
      <c r="F329" s="1" t="s">
        <v>1512</v>
      </c>
      <c r="G329" s="1">
        <v>99132</v>
      </c>
      <c r="H329" s="1">
        <v>176200</v>
      </c>
      <c r="I329" s="1">
        <v>24</v>
      </c>
      <c r="J329" s="1" t="s">
        <v>283</v>
      </c>
      <c r="K329" s="1" t="s">
        <v>1513</v>
      </c>
      <c r="L329" s="1" t="s">
        <v>1514</v>
      </c>
      <c r="M329" s="14" t="s">
        <v>9158</v>
      </c>
      <c r="N329" s="14" t="s">
        <v>9158</v>
      </c>
      <c r="O329" s="9" t="s">
        <v>9158</v>
      </c>
      <c r="P329" s="14" t="s">
        <v>9158</v>
      </c>
      <c r="Q329" s="14" t="s">
        <v>9158</v>
      </c>
    </row>
    <row r="330" spans="1:18">
      <c r="A330" s="16">
        <v>75203</v>
      </c>
      <c r="B330" s="1" t="s">
        <v>334</v>
      </c>
      <c r="C330" s="1" t="s">
        <v>209</v>
      </c>
      <c r="D330" s="19" t="s">
        <v>10259</v>
      </c>
      <c r="E330" s="15" t="str">
        <f>HYPERLINK("https://stat100.ameba.jp/tnk47/ratio20/illustrations/card/ill_75203_hisuitsuraratsukainoyama03.jpg?201906-4-RELEASE-guildbattle-415", "■")</f>
        <v>■</v>
      </c>
      <c r="F330" s="1" t="s">
        <v>487</v>
      </c>
      <c r="G330" s="1">
        <v>106666</v>
      </c>
      <c r="H330" s="1">
        <v>99182</v>
      </c>
      <c r="I330" s="1">
        <v>24</v>
      </c>
      <c r="J330" s="1" t="s">
        <v>274</v>
      </c>
      <c r="K330" s="1" t="s">
        <v>488</v>
      </c>
      <c r="L330" s="1" t="s">
        <v>489</v>
      </c>
      <c r="M330" s="14" t="s">
        <v>9158</v>
      </c>
      <c r="N330" s="14" t="s">
        <v>9158</v>
      </c>
      <c r="O330" s="9" t="s">
        <v>9158</v>
      </c>
      <c r="P330" s="14" t="s">
        <v>9158</v>
      </c>
      <c r="Q330" s="14" t="s">
        <v>9158</v>
      </c>
    </row>
    <row r="331" spans="1:18">
      <c r="A331" s="16">
        <v>59063</v>
      </c>
      <c r="B331" s="1" t="s">
        <v>15</v>
      </c>
      <c r="C331" s="1" t="s">
        <v>206</v>
      </c>
      <c r="D331" s="19" t="s">
        <v>412</v>
      </c>
      <c r="E331" s="15" t="str">
        <f>HYPERLINK("https://stat100.ameba.jp/tnk47/ratio20/illustrations/card/ill_59063_umeoiransugitahisajo03.jpg?201906-4-RELEASE-guildbattle-415", "■")</f>
        <v>■</v>
      </c>
      <c r="F331" s="1" t="s">
        <v>1092</v>
      </c>
      <c r="G331" s="1">
        <v>68172</v>
      </c>
      <c r="H331" s="1">
        <v>61832</v>
      </c>
      <c r="I331" s="1">
        <v>23</v>
      </c>
      <c r="J331" s="1" t="s">
        <v>16</v>
      </c>
      <c r="K331" s="1" t="s">
        <v>1093</v>
      </c>
      <c r="L331" s="1" t="s">
        <v>1094</v>
      </c>
      <c r="M331" s="14" t="s">
        <v>9158</v>
      </c>
      <c r="N331" s="14" t="s">
        <v>9158</v>
      </c>
      <c r="O331" s="9" t="s">
        <v>9158</v>
      </c>
      <c r="P331" s="14" t="s">
        <v>9158</v>
      </c>
      <c r="Q331" s="14" t="s">
        <v>9158</v>
      </c>
    </row>
    <row r="332" spans="1:18">
      <c r="A332" s="16">
        <v>69893</v>
      </c>
      <c r="B332" s="1" t="s">
        <v>15</v>
      </c>
      <c r="C332" s="1" t="s">
        <v>5208</v>
      </c>
      <c r="D332" s="19" t="s">
        <v>10260</v>
      </c>
      <c r="E332" s="15" t="str">
        <f>HYPERLINK("https://stat100.ameba.jp/tnk47/ratio20/illustrations/card/ill_69893_kyupiddohoihoibi03.jpg?201906-4-RELEASE-guildbattle-415", "■")</f>
        <v>■</v>
      </c>
      <c r="F332" s="1" t="s">
        <v>5209</v>
      </c>
      <c r="G332" s="1">
        <v>68172</v>
      </c>
      <c r="H332" s="1">
        <v>61832</v>
      </c>
      <c r="I332" s="1">
        <v>23</v>
      </c>
      <c r="J332" s="1" t="s">
        <v>5210</v>
      </c>
      <c r="K332" s="1" t="s">
        <v>5211</v>
      </c>
      <c r="L332" s="1" t="s">
        <v>5212</v>
      </c>
      <c r="M332" s="14" t="s">
        <v>9158</v>
      </c>
      <c r="N332" s="14" t="s">
        <v>9158</v>
      </c>
      <c r="O332" s="9" t="s">
        <v>9158</v>
      </c>
      <c r="P332" s="14" t="s">
        <v>9158</v>
      </c>
      <c r="Q332" s="14" t="s">
        <v>9158</v>
      </c>
    </row>
    <row r="333" spans="1:18">
      <c r="A333" s="16">
        <v>60873</v>
      </c>
      <c r="B333" s="1" t="s">
        <v>15</v>
      </c>
      <c r="C333" s="1" t="s">
        <v>5213</v>
      </c>
      <c r="D333" s="19" t="s">
        <v>10261</v>
      </c>
      <c r="E333" s="15" t="str">
        <f>HYPERLINK("https://stat100.ameba.jp/tnk47/ratio20/illustrations/card/ill_60873_intonnambutsuruhime03.jpg?201906-4-RELEASE-guildbattle-415", "■")</f>
        <v>■</v>
      </c>
      <c r="F333" s="1" t="s">
        <v>5214</v>
      </c>
      <c r="G333" s="1">
        <v>61832</v>
      </c>
      <c r="H333" s="1">
        <v>68172</v>
      </c>
      <c r="I333" s="1">
        <v>23</v>
      </c>
      <c r="J333" s="1" t="s">
        <v>5195</v>
      </c>
      <c r="K333" s="1" t="s">
        <v>5215</v>
      </c>
      <c r="L333" s="1" t="s">
        <v>5216</v>
      </c>
      <c r="M333" s="14" t="s">
        <v>9158</v>
      </c>
      <c r="N333" s="14" t="s">
        <v>9158</v>
      </c>
      <c r="O333" s="9" t="s">
        <v>9158</v>
      </c>
      <c r="P333" s="14" t="s">
        <v>9158</v>
      </c>
      <c r="Q333" s="14" t="s">
        <v>9158</v>
      </c>
    </row>
    <row r="334" spans="1:18">
      <c r="O334" s="7"/>
    </row>
    <row r="335" spans="1:18">
      <c r="A335" s="1" t="s">
        <v>5217</v>
      </c>
      <c r="O335" s="7"/>
    </row>
    <row r="336" spans="1:18" s="14" customFormat="1">
      <c r="A336" s="1" t="s">
        <v>5218</v>
      </c>
      <c r="O336" s="9"/>
    </row>
    <row r="337" spans="1:19">
      <c r="A337" s="14" t="s">
        <v>9461</v>
      </c>
      <c r="B337" s="1" t="s">
        <v>52</v>
      </c>
      <c r="C337" s="1" t="s">
        <v>205</v>
      </c>
      <c r="D337" s="19" t="s">
        <v>272</v>
      </c>
      <c r="E337" s="15" t="str">
        <f>HYPERLINK("https://stat100.ameba.jp/tnk47/ratio20/illustrations/card/ill_68783_0_gantammomotaro03.jpg?201906-4-RELEASE-guildbattle-415", "■")</f>
        <v>■</v>
      </c>
      <c r="F337" s="1" t="s">
        <v>2273</v>
      </c>
      <c r="G337" s="1">
        <v>136788</v>
      </c>
      <c r="H337" s="1">
        <v>127162</v>
      </c>
      <c r="I337" s="1">
        <v>20</v>
      </c>
      <c r="J337" s="1" t="s">
        <v>155</v>
      </c>
      <c r="K337" s="1" t="s">
        <v>2274</v>
      </c>
      <c r="L337" s="1" t="s">
        <v>13174</v>
      </c>
      <c r="M337" s="14" t="s">
        <v>9158</v>
      </c>
      <c r="N337" s="14" t="s">
        <v>9158</v>
      </c>
      <c r="O337" s="6" t="s">
        <v>9992</v>
      </c>
      <c r="P337" s="1" t="s">
        <v>3451</v>
      </c>
      <c r="Q337" s="1">
        <v>1</v>
      </c>
    </row>
    <row r="338" spans="1:19">
      <c r="A338" s="16">
        <v>64043</v>
      </c>
      <c r="B338" s="1" t="s">
        <v>334</v>
      </c>
      <c r="C338" s="1" t="s">
        <v>209</v>
      </c>
      <c r="D338" s="19" t="s">
        <v>10262</v>
      </c>
      <c r="E338" s="15" t="str">
        <f>HYPERLINK("https://stat100.ameba.jp/tnk47/ratio20/illustrations/card/ill_64043_kegonnotaki03.jpg?201906-4-RELEASE-guildbattle-415", "■")</f>
        <v>■</v>
      </c>
      <c r="F338" s="1" t="s">
        <v>759</v>
      </c>
      <c r="G338" s="1">
        <v>104646</v>
      </c>
      <c r="H338" s="1">
        <v>75802</v>
      </c>
      <c r="I338" s="1">
        <v>22</v>
      </c>
      <c r="J338" s="1" t="s">
        <v>229</v>
      </c>
      <c r="K338" s="1" t="s">
        <v>230</v>
      </c>
      <c r="L338" s="1" t="s">
        <v>13143</v>
      </c>
      <c r="M338" s="14" t="s">
        <v>9158</v>
      </c>
      <c r="N338" s="14" t="s">
        <v>9158</v>
      </c>
      <c r="O338" s="7" t="s">
        <v>3578</v>
      </c>
      <c r="P338" s="1" t="s">
        <v>3579</v>
      </c>
      <c r="Q338" s="1">
        <v>1</v>
      </c>
    </row>
    <row r="339" spans="1:19">
      <c r="A339" s="16">
        <v>72923</v>
      </c>
      <c r="B339" s="1" t="s">
        <v>334</v>
      </c>
      <c r="C339" s="1" t="s">
        <v>206</v>
      </c>
      <c r="D339" s="19" t="s">
        <v>3199</v>
      </c>
      <c r="E339" s="15" t="str">
        <f>HYPERLINK("https://stat100.ameba.jp/tnk47/ratio20/illustrations/card/ill_72923_amenohanayomemyorinni03.jpg?201906-4-RELEASE-guildbattle-415", "■")</f>
        <v>■</v>
      </c>
      <c r="F339" s="1" t="s">
        <v>3200</v>
      </c>
      <c r="G339" s="1">
        <v>121604</v>
      </c>
      <c r="H339" s="1">
        <v>130784</v>
      </c>
      <c r="I339" s="1">
        <v>22</v>
      </c>
      <c r="J339" s="1" t="s">
        <v>310</v>
      </c>
      <c r="K339" s="1" t="s">
        <v>3201</v>
      </c>
      <c r="L339" s="1" t="s">
        <v>407</v>
      </c>
      <c r="M339" s="14" t="s">
        <v>9158</v>
      </c>
      <c r="N339" s="14" t="s">
        <v>9158</v>
      </c>
      <c r="O339" s="7" t="s">
        <v>2752</v>
      </c>
      <c r="P339" s="1" t="s">
        <v>13123</v>
      </c>
      <c r="Q339" s="1">
        <v>1</v>
      </c>
    </row>
    <row r="340" spans="1:19">
      <c r="A340" s="16">
        <v>76243</v>
      </c>
      <c r="B340" s="1" t="s">
        <v>334</v>
      </c>
      <c r="C340" s="1" t="s">
        <v>335</v>
      </c>
      <c r="D340" s="19" t="s">
        <v>10263</v>
      </c>
      <c r="E340" s="15" t="str">
        <f>HYPERLINK("https://stat100.ameba.jp/tnk47/ratio20/illustrations/card/ill_76243_haroinkaraguchinihonshuchan03.jpg?201906-4-RELEASE-guildbattle-415", "■")</f>
        <v>■</v>
      </c>
      <c r="F340" s="1" t="s">
        <v>336</v>
      </c>
      <c r="G340" s="1">
        <v>103896</v>
      </c>
      <c r="H340" s="1">
        <v>96610</v>
      </c>
      <c r="I340" s="1">
        <v>22</v>
      </c>
      <c r="J340" s="1" t="s">
        <v>283</v>
      </c>
      <c r="K340" s="1" t="s">
        <v>337</v>
      </c>
      <c r="L340" s="1" t="s">
        <v>338</v>
      </c>
      <c r="M340" s="14" t="s">
        <v>9158</v>
      </c>
      <c r="N340" s="14" t="s">
        <v>9158</v>
      </c>
      <c r="O340" s="6" t="s">
        <v>10057</v>
      </c>
      <c r="P340" s="1" t="s">
        <v>3561</v>
      </c>
      <c r="Q340" s="1">
        <v>1</v>
      </c>
    </row>
    <row r="341" spans="1:19">
      <c r="O341" s="7"/>
    </row>
    <row r="342" spans="1:19">
      <c r="A342" s="1" t="s">
        <v>5219</v>
      </c>
      <c r="O342" s="7"/>
    </row>
    <row r="343" spans="1:19" s="14" customFormat="1">
      <c r="A343" s="1" t="s">
        <v>5220</v>
      </c>
      <c r="O343" s="9"/>
    </row>
    <row r="344" spans="1:19">
      <c r="A344" s="14" t="s">
        <v>9475</v>
      </c>
      <c r="B344" s="1" t="s">
        <v>330</v>
      </c>
      <c r="C344" s="1" t="s">
        <v>202</v>
      </c>
      <c r="D344" s="19" t="s">
        <v>1497</v>
      </c>
      <c r="E344" s="15" t="str">
        <f>HYPERLINK("https://stat100.ameba.jp/tnk47/ratio20/illustrations/card/ill_74593_0_natsuyuenchikoshihikari03.jpg?201906-4-RELEASE-guildbattle-415", "■")</f>
        <v>■</v>
      </c>
      <c r="F344" s="1" t="s">
        <v>1498</v>
      </c>
      <c r="G344" s="1">
        <v>162496</v>
      </c>
      <c r="H344" s="1">
        <v>151067</v>
      </c>
      <c r="I344" s="1">
        <v>15</v>
      </c>
      <c r="J344" s="1" t="s">
        <v>283</v>
      </c>
      <c r="K344" s="1" t="s">
        <v>1499</v>
      </c>
      <c r="L344" s="1" t="s">
        <v>1500</v>
      </c>
      <c r="M344" s="14" t="s">
        <v>9158</v>
      </c>
      <c r="N344" s="14" t="s">
        <v>9158</v>
      </c>
      <c r="O344" s="7" t="s">
        <v>2731</v>
      </c>
      <c r="P344" s="1" t="s">
        <v>2732</v>
      </c>
      <c r="Q344" s="1">
        <v>1</v>
      </c>
    </row>
    <row r="345" spans="1:19">
      <c r="A345" s="14" t="s">
        <v>9476</v>
      </c>
      <c r="B345" s="1" t="s">
        <v>52</v>
      </c>
      <c r="C345" s="1" t="s">
        <v>191</v>
      </c>
      <c r="D345" s="19" t="s">
        <v>10217</v>
      </c>
      <c r="E345" s="15" t="str">
        <f>HYPERLINK("https://stat100.ameba.jp/tnk47/ratio20/illustrations/card/ill_56493_0_poppukurisumasuikomakitsuno03.jpg?201906-4-RELEASE-guildbattle-415", "■")</f>
        <v>■</v>
      </c>
      <c r="F345" s="1" t="s">
        <v>1769</v>
      </c>
      <c r="G345" s="1">
        <v>94236</v>
      </c>
      <c r="H345" s="1">
        <v>83712</v>
      </c>
      <c r="I345" s="1">
        <v>15</v>
      </c>
      <c r="J345" s="1" t="s">
        <v>77</v>
      </c>
      <c r="K345" s="1" t="s">
        <v>1770</v>
      </c>
      <c r="L345" s="1" t="s">
        <v>1771</v>
      </c>
      <c r="M345" s="14" t="s">
        <v>9158</v>
      </c>
      <c r="N345" s="14" t="s">
        <v>9158</v>
      </c>
      <c r="O345" s="7" t="s">
        <v>3893</v>
      </c>
      <c r="P345" s="1" t="s">
        <v>2724</v>
      </c>
      <c r="Q345" s="1">
        <v>1</v>
      </c>
    </row>
    <row r="346" spans="1:19">
      <c r="A346" s="14" t="s">
        <v>9477</v>
      </c>
      <c r="B346" s="1" t="s">
        <v>330</v>
      </c>
      <c r="C346" s="1" t="s">
        <v>205</v>
      </c>
      <c r="D346" s="19" t="s">
        <v>513</v>
      </c>
      <c r="E346" s="15" t="str">
        <f>HYPERLINK("https://stat100.ameba.jp/tnk47/ratio20/illustrations/card/ill_44283_0_izumonokuni03.jpg?201906-4-RELEASE-guildbattle-415", "■")</f>
        <v>■</v>
      </c>
      <c r="F346" s="1" t="s">
        <v>514</v>
      </c>
      <c r="G346" s="1">
        <v>87780</v>
      </c>
      <c r="H346" s="1">
        <v>82212</v>
      </c>
      <c r="I346" s="1">
        <v>15</v>
      </c>
      <c r="J346" s="1" t="s">
        <v>159</v>
      </c>
      <c r="K346" s="1" t="s">
        <v>1717</v>
      </c>
      <c r="L346" s="1" t="s">
        <v>516</v>
      </c>
      <c r="M346" s="14" t="s">
        <v>9158</v>
      </c>
      <c r="N346" s="14" t="s">
        <v>9158</v>
      </c>
      <c r="O346" s="9" t="s">
        <v>9158</v>
      </c>
      <c r="P346" s="14" t="s">
        <v>9158</v>
      </c>
      <c r="Q346" s="14" t="s">
        <v>9158</v>
      </c>
    </row>
    <row r="347" spans="1:19">
      <c r="A347" s="16">
        <v>71653</v>
      </c>
      <c r="B347" s="1" t="s">
        <v>334</v>
      </c>
      <c r="C347" s="1" t="s">
        <v>5226</v>
      </c>
      <c r="D347" s="19" t="s">
        <v>11790</v>
      </c>
      <c r="E347" s="15" t="str">
        <f>HYPERLINK("https://stat100.ameba.jp/tnk47/ratio20/illustrations/card/ill_71653_shokugyotaikenryugunotsukai03.jpg?201906-4-RELEASE-guildbattle-415", "■")</f>
        <v>■</v>
      </c>
      <c r="F347" s="1" t="s">
        <v>5227</v>
      </c>
      <c r="G347" s="1">
        <v>87128</v>
      </c>
      <c r="H347" s="1">
        <v>93746</v>
      </c>
      <c r="I347" s="1">
        <v>24</v>
      </c>
      <c r="J347" s="1" t="s">
        <v>5228</v>
      </c>
      <c r="K347" s="1" t="s">
        <v>5229</v>
      </c>
      <c r="L347" s="1" t="s">
        <v>5230</v>
      </c>
      <c r="M347" s="14" t="s">
        <v>9158</v>
      </c>
      <c r="N347" s="14" t="s">
        <v>9158</v>
      </c>
      <c r="O347" s="9" t="s">
        <v>9158</v>
      </c>
      <c r="P347" s="14" t="s">
        <v>9158</v>
      </c>
      <c r="Q347" s="14" t="s">
        <v>9158</v>
      </c>
      <c r="S347" s="14" t="s">
        <v>11791</v>
      </c>
    </row>
    <row r="348" spans="1:19">
      <c r="A348" s="16">
        <v>73383</v>
      </c>
      <c r="B348" s="1" t="s">
        <v>334</v>
      </c>
      <c r="C348" s="1" t="s">
        <v>5231</v>
      </c>
      <c r="D348" s="19" t="s">
        <v>11792</v>
      </c>
      <c r="E348" s="15" t="str">
        <f>HYPERLINK("https://stat100.ameba.jp/tnk47/ratio20/illustrations/card/ill_73383_shigarakiyaki03.jpg?201906-4-RELEASE-guildbattle-415", "■")</f>
        <v>■</v>
      </c>
      <c r="F348" s="1" t="s">
        <v>5232</v>
      </c>
      <c r="G348" s="1">
        <v>109334</v>
      </c>
      <c r="H348" s="1">
        <v>101656</v>
      </c>
      <c r="I348" s="1">
        <v>24</v>
      </c>
      <c r="J348" s="1" t="s">
        <v>5233</v>
      </c>
      <c r="K348" s="1" t="s">
        <v>5234</v>
      </c>
      <c r="L348" s="1" t="s">
        <v>5235</v>
      </c>
      <c r="M348" s="14" t="s">
        <v>9158</v>
      </c>
      <c r="N348" s="14" t="s">
        <v>9158</v>
      </c>
      <c r="O348" s="9" t="s">
        <v>9158</v>
      </c>
      <c r="P348" s="14" t="s">
        <v>9158</v>
      </c>
      <c r="Q348" s="14" t="s">
        <v>9158</v>
      </c>
      <c r="S348" s="14" t="s">
        <v>11793</v>
      </c>
    </row>
    <row r="349" spans="1:19">
      <c r="A349" s="16">
        <v>75223</v>
      </c>
      <c r="B349" s="1" t="s">
        <v>334</v>
      </c>
      <c r="C349" s="1" t="s">
        <v>5231</v>
      </c>
      <c r="D349" s="19" t="s">
        <v>11794</v>
      </c>
      <c r="E349" s="15" t="str">
        <f>HYPERLINK("https://stat100.ameba.jp/tnk47/ratio20/illustrations/card/ill_75223_kumanojinjanokamimai03.jpg?201906-4-RELEASE-guildbattle-415", "■")</f>
        <v>■</v>
      </c>
      <c r="F349" s="1" t="s">
        <v>5236</v>
      </c>
      <c r="G349" s="1">
        <v>101656</v>
      </c>
      <c r="H349" s="1">
        <v>109528</v>
      </c>
      <c r="I349" s="1">
        <v>24</v>
      </c>
      <c r="J349" s="1" t="s">
        <v>5237</v>
      </c>
      <c r="K349" s="1" t="s">
        <v>5238</v>
      </c>
      <c r="L349" s="1" t="s">
        <v>5239</v>
      </c>
      <c r="M349" s="14" t="s">
        <v>9158</v>
      </c>
      <c r="N349" s="14" t="s">
        <v>9158</v>
      </c>
      <c r="O349" s="9" t="s">
        <v>9158</v>
      </c>
      <c r="P349" s="14" t="s">
        <v>9158</v>
      </c>
      <c r="Q349" s="14" t="s">
        <v>9158</v>
      </c>
      <c r="S349" s="14" t="s">
        <v>11795</v>
      </c>
    </row>
    <row r="350" spans="1:19">
      <c r="A350" s="16">
        <v>66553</v>
      </c>
      <c r="B350" s="1" t="s">
        <v>15</v>
      </c>
      <c r="C350" s="1" t="s">
        <v>5221</v>
      </c>
      <c r="D350" s="19" t="s">
        <v>10264</v>
      </c>
      <c r="E350" s="15" t="str">
        <f>HYPERLINK("https://stat100.ameba.jp/tnk47/ratio20/illustrations/card/ill_66553_inrobentochan03.jpg?201906-4-RELEASE-guildbattle-415", "■")</f>
        <v>■</v>
      </c>
      <c r="F350" s="1" t="s">
        <v>5222</v>
      </c>
      <c r="G350" s="1">
        <v>51078</v>
      </c>
      <c r="H350" s="1">
        <v>56316</v>
      </c>
      <c r="I350" s="1">
        <v>19</v>
      </c>
      <c r="J350" s="1" t="s">
        <v>5223</v>
      </c>
      <c r="K350" s="1" t="s">
        <v>5224</v>
      </c>
      <c r="L350" s="1" t="s">
        <v>5225</v>
      </c>
      <c r="M350" s="14" t="s">
        <v>9158</v>
      </c>
      <c r="N350" s="14" t="s">
        <v>9158</v>
      </c>
      <c r="O350" s="9" t="s">
        <v>9158</v>
      </c>
      <c r="P350" s="14" t="s">
        <v>9158</v>
      </c>
      <c r="Q350" s="14" t="s">
        <v>9158</v>
      </c>
      <c r="S350" s="14" t="s">
        <v>11766</v>
      </c>
    </row>
    <row r="351" spans="1:19">
      <c r="A351" s="16">
        <v>64323</v>
      </c>
      <c r="B351" s="1" t="s">
        <v>15</v>
      </c>
      <c r="C351" s="1" t="s">
        <v>23</v>
      </c>
      <c r="D351" s="19" t="s">
        <v>10218</v>
      </c>
      <c r="E351" s="15" t="str">
        <f>HYPERLINK("https://stat100.ameba.jp/tnk47/ratio20/illustrations/card/ill_64323_mikunigurohondatadakatsu03.jpg?201906-4-RELEASE-guildbattle-415", "■")</f>
        <v>■</v>
      </c>
      <c r="F351" s="1" t="s">
        <v>5081</v>
      </c>
      <c r="G351" s="1">
        <v>56316</v>
      </c>
      <c r="H351" s="1">
        <v>51078</v>
      </c>
      <c r="I351" s="1">
        <v>19</v>
      </c>
      <c r="J351" s="1" t="s">
        <v>143</v>
      </c>
      <c r="K351" s="1" t="s">
        <v>5082</v>
      </c>
      <c r="L351" s="1" t="s">
        <v>5083</v>
      </c>
      <c r="M351" s="14" t="s">
        <v>9158</v>
      </c>
      <c r="N351" s="14" t="s">
        <v>9158</v>
      </c>
      <c r="O351" s="9" t="s">
        <v>9158</v>
      </c>
      <c r="P351" s="14" t="s">
        <v>9158</v>
      </c>
      <c r="Q351" s="14" t="s">
        <v>9158</v>
      </c>
      <c r="S351" s="1" t="s">
        <v>12930</v>
      </c>
    </row>
    <row r="352" spans="1:19">
      <c r="A352" s="16">
        <v>68553</v>
      </c>
      <c r="B352" s="1" t="s">
        <v>15</v>
      </c>
      <c r="C352" s="1" t="s">
        <v>23</v>
      </c>
      <c r="D352" s="19" t="s">
        <v>10219</v>
      </c>
      <c r="E352" s="15" t="str">
        <f>HYPERLINK("https://stat100.ameba.jp/tnk47/ratio20/illustrations/card/ill_68553_kannonyamakofun03.jpg?201906-4-RELEASE-guildbattle-415", "■")</f>
        <v>■</v>
      </c>
      <c r="F352" s="1" t="s">
        <v>5084</v>
      </c>
      <c r="G352" s="1">
        <v>56316</v>
      </c>
      <c r="H352" s="1">
        <v>51078</v>
      </c>
      <c r="I352" s="1">
        <v>19</v>
      </c>
      <c r="J352" s="1" t="s">
        <v>26</v>
      </c>
      <c r="K352" s="1" t="s">
        <v>5086</v>
      </c>
      <c r="L352" s="1" t="s">
        <v>5087</v>
      </c>
      <c r="M352" s="14" t="s">
        <v>9158</v>
      </c>
      <c r="N352" s="14" t="s">
        <v>9158</v>
      </c>
      <c r="O352" s="9" t="s">
        <v>9158</v>
      </c>
      <c r="P352" s="14" t="s">
        <v>9158</v>
      </c>
      <c r="Q352" s="14" t="s">
        <v>9158</v>
      </c>
      <c r="S352" s="14" t="s">
        <v>11784</v>
      </c>
    </row>
    <row r="353" spans="1:17">
      <c r="O353" s="7"/>
    </row>
    <row r="354" spans="1:17">
      <c r="A354" s="1" t="s">
        <v>5241</v>
      </c>
      <c r="O354" s="7"/>
    </row>
    <row r="355" spans="1:17" s="14" customFormat="1">
      <c r="A355" s="1" t="s">
        <v>5242</v>
      </c>
      <c r="O355" s="9"/>
    </row>
    <row r="356" spans="1:17">
      <c r="A356" s="14" t="s">
        <v>9491</v>
      </c>
      <c r="B356" s="1" t="s">
        <v>330</v>
      </c>
      <c r="C356" s="1" t="s">
        <v>205</v>
      </c>
      <c r="D356" s="19" t="s">
        <v>1559</v>
      </c>
      <c r="E356" s="15" t="str">
        <f>HYPERLINK("https://stat100.ameba.jp/tnk47/ratio20/illustrations/card/ill_73773_0_umibirakiinugamigyobu03.jpg?201906-4-RELEASE-guildbattle-415", "■")</f>
        <v>■</v>
      </c>
      <c r="F356" s="1" t="s">
        <v>935</v>
      </c>
      <c r="G356" s="1">
        <v>208256</v>
      </c>
      <c r="H356" s="1">
        <v>224000</v>
      </c>
      <c r="I356" s="1">
        <v>24</v>
      </c>
      <c r="J356" s="1" t="s">
        <v>73</v>
      </c>
      <c r="K356" s="1" t="s">
        <v>1186</v>
      </c>
      <c r="L356" s="1" t="s">
        <v>1187</v>
      </c>
      <c r="M356" s="14" t="s">
        <v>9158</v>
      </c>
      <c r="N356" s="14" t="s">
        <v>9158</v>
      </c>
      <c r="O356" s="7" t="s">
        <v>2978</v>
      </c>
      <c r="P356" s="1" t="s">
        <v>2979</v>
      </c>
      <c r="Q356" s="1">
        <v>2</v>
      </c>
    </row>
    <row r="357" spans="1:17">
      <c r="A357" s="16">
        <v>69513</v>
      </c>
      <c r="B357" s="1" t="s">
        <v>0</v>
      </c>
      <c r="C357" s="1" t="s">
        <v>158</v>
      </c>
      <c r="D357" s="19" t="s">
        <v>10265</v>
      </c>
      <c r="E357" s="15" t="str">
        <f>HYPERLINK("https://stat100.ameba.jp/tnk47/ratio20/illustrations/card/ill_69513_somedononokisaki03.jpg?201906-4-RELEASE-guildbattle-415", "■")</f>
        <v>■</v>
      </c>
      <c r="F357" s="1" t="s">
        <v>3674</v>
      </c>
      <c r="G357" s="1">
        <v>76042</v>
      </c>
      <c r="H357" s="1">
        <v>104989</v>
      </c>
      <c r="I357" s="1">
        <v>23</v>
      </c>
      <c r="J357" s="1" t="s">
        <v>187</v>
      </c>
      <c r="K357" s="1" t="s">
        <v>3675</v>
      </c>
      <c r="L357" s="1" t="s">
        <v>13187</v>
      </c>
      <c r="M357" s="14" t="s">
        <v>9158</v>
      </c>
      <c r="N357" s="14" t="s">
        <v>9158</v>
      </c>
      <c r="O357" s="7" t="s">
        <v>4670</v>
      </c>
      <c r="P357" s="1" t="s">
        <v>13173</v>
      </c>
      <c r="Q357" s="1">
        <v>1</v>
      </c>
    </row>
    <row r="358" spans="1:17">
      <c r="A358" s="16">
        <v>70363</v>
      </c>
      <c r="B358" s="1" t="s">
        <v>334</v>
      </c>
      <c r="C358" s="1" t="s">
        <v>209</v>
      </c>
      <c r="D358" s="19" t="s">
        <v>10266</v>
      </c>
      <c r="E358" s="15" t="str">
        <f>HYPERLINK("https://stat100.ameba.jp/tnk47/ratio20/illustrations/card/ill_70363_hokushimmyokembosatsu03.jpg?201906-4-RELEASE-guildbattle-415", "■")</f>
        <v>■</v>
      </c>
      <c r="F358" s="1" t="s">
        <v>2502</v>
      </c>
      <c r="G358" s="1">
        <v>153022</v>
      </c>
      <c r="H358" s="1">
        <v>110837</v>
      </c>
      <c r="I358" s="1">
        <v>23</v>
      </c>
      <c r="J358" s="1" t="s">
        <v>44</v>
      </c>
      <c r="K358" s="1" t="s">
        <v>2503</v>
      </c>
      <c r="L358" s="1" t="s">
        <v>2504</v>
      </c>
      <c r="M358" s="14" t="s">
        <v>9158</v>
      </c>
      <c r="N358" s="14" t="s">
        <v>9158</v>
      </c>
      <c r="O358" s="7" t="s">
        <v>3657</v>
      </c>
      <c r="P358" s="1" t="s">
        <v>3658</v>
      </c>
      <c r="Q358" s="1">
        <v>1</v>
      </c>
    </row>
    <row r="359" spans="1:17">
      <c r="A359" s="16">
        <v>59613</v>
      </c>
      <c r="B359" s="1" t="s">
        <v>0</v>
      </c>
      <c r="C359" s="1" t="s">
        <v>185</v>
      </c>
      <c r="D359" s="19" t="s">
        <v>10267</v>
      </c>
      <c r="E359" s="15" t="str">
        <f>HYPERLINK("https://stat100.ameba.jp/tnk47/ratio20/illustrations/card/ill_59613_oheyadaria03.jpg?201906-4-RELEASE-guildbattle-415", "■")</f>
        <v>■</v>
      </c>
      <c r="F359" s="1" t="s">
        <v>2293</v>
      </c>
      <c r="G359" s="1">
        <v>97766</v>
      </c>
      <c r="H359" s="1">
        <v>90885</v>
      </c>
      <c r="I359" s="1">
        <v>23</v>
      </c>
      <c r="J359" s="1" t="s">
        <v>229</v>
      </c>
      <c r="K359" s="1" t="s">
        <v>2683</v>
      </c>
      <c r="L359" s="1" t="s">
        <v>13180</v>
      </c>
      <c r="M359" s="14" t="s">
        <v>9158</v>
      </c>
      <c r="N359" s="14" t="s">
        <v>9158</v>
      </c>
      <c r="O359" s="7" t="s">
        <v>3609</v>
      </c>
      <c r="P359" s="1" t="s">
        <v>3610</v>
      </c>
      <c r="Q359" s="1">
        <v>1</v>
      </c>
    </row>
    <row r="360" spans="1:17">
      <c r="O360" s="7"/>
    </row>
    <row r="361" spans="1:17">
      <c r="A361" s="1" t="s">
        <v>3916</v>
      </c>
      <c r="O361" s="7"/>
    </row>
    <row r="362" spans="1:17" s="14" customFormat="1">
      <c r="A362" s="1" t="s">
        <v>5240</v>
      </c>
      <c r="O362" s="9"/>
    </row>
    <row r="363" spans="1:17">
      <c r="A363" s="16">
        <v>76103</v>
      </c>
      <c r="B363" s="1" t="s">
        <v>334</v>
      </c>
      <c r="C363" s="1" t="s">
        <v>154</v>
      </c>
      <c r="D363" s="19" t="s">
        <v>570</v>
      </c>
      <c r="E363" s="15" t="str">
        <f>HYPERLINK("https://stat100.ameba.jp/tnk47/ratio20/illustrations/card/ill_76103_shibuaji03.jpg?201906-4-RELEASE-guildbattle-415", "■")</f>
        <v>■</v>
      </c>
      <c r="F363" s="1" t="s">
        <v>1122</v>
      </c>
      <c r="G363" s="1">
        <v>94886</v>
      </c>
      <c r="H363" s="1">
        <v>88226</v>
      </c>
      <c r="I363" s="1">
        <v>22</v>
      </c>
      <c r="J363" s="1" t="s">
        <v>143</v>
      </c>
      <c r="K363" s="1" t="s">
        <v>1123</v>
      </c>
      <c r="L363" s="1" t="s">
        <v>1124</v>
      </c>
      <c r="M363" s="14" t="s">
        <v>9158</v>
      </c>
      <c r="N363" s="14" t="s">
        <v>9158</v>
      </c>
      <c r="O363" s="9" t="s">
        <v>9158</v>
      </c>
      <c r="P363" s="14" t="s">
        <v>9158</v>
      </c>
      <c r="Q363" s="14" t="s">
        <v>9158</v>
      </c>
    </row>
    <row r="364" spans="1:17">
      <c r="A364" s="16">
        <v>76113</v>
      </c>
      <c r="B364" s="1" t="s">
        <v>334</v>
      </c>
      <c r="C364" s="1" t="s">
        <v>158</v>
      </c>
      <c r="D364" s="19" t="s">
        <v>10268</v>
      </c>
      <c r="E364" s="15" t="str">
        <f>HYPERLINK("https://stat100.ameba.jp/tnk47/ratio20/illustrations/card/ill_76113_jannudaruku03.jpg?201906-4-RELEASE-guildbattle-415", "■")</f>
        <v>■</v>
      </c>
      <c r="F364" s="1" t="s">
        <v>1126</v>
      </c>
      <c r="G364" s="1">
        <v>94886</v>
      </c>
      <c r="H364" s="1">
        <v>88226</v>
      </c>
      <c r="I364" s="1">
        <v>22</v>
      </c>
      <c r="J364" s="1" t="s">
        <v>10</v>
      </c>
      <c r="K364" s="1" t="s">
        <v>1127</v>
      </c>
      <c r="L364" s="1" t="s">
        <v>1128</v>
      </c>
      <c r="M364" s="14" t="s">
        <v>9158</v>
      </c>
      <c r="N364" s="14" t="s">
        <v>9158</v>
      </c>
      <c r="O364" s="9" t="s">
        <v>9158</v>
      </c>
      <c r="P364" s="14" t="s">
        <v>9158</v>
      </c>
      <c r="Q364" s="14" t="s">
        <v>9158</v>
      </c>
    </row>
    <row r="365" spans="1:17">
      <c r="A365" s="16">
        <v>63323</v>
      </c>
      <c r="B365" s="1" t="s">
        <v>0</v>
      </c>
      <c r="C365" s="1" t="s">
        <v>200</v>
      </c>
      <c r="D365" s="19" t="s">
        <v>10269</v>
      </c>
      <c r="E365" s="15" t="str">
        <f>HYPERLINK("https://stat100.ameba.jp/tnk47/ratio20/illustrations/card/ill_63323_ajisaikushinadahime03.jpg?201906-4-RELEASE-guildbattle-415", "■")</f>
        <v>■</v>
      </c>
      <c r="F365" s="1" t="s">
        <v>3583</v>
      </c>
      <c r="G365" s="1">
        <v>83426</v>
      </c>
      <c r="H365" s="1">
        <v>89736</v>
      </c>
      <c r="I365" s="1">
        <v>22</v>
      </c>
      <c r="J365" s="1" t="s">
        <v>44</v>
      </c>
      <c r="K365" s="1" t="s">
        <v>3584</v>
      </c>
      <c r="L365" s="1" t="s">
        <v>2400</v>
      </c>
      <c r="M365" s="14" t="s">
        <v>9158</v>
      </c>
      <c r="N365" s="14" t="s">
        <v>9158</v>
      </c>
      <c r="O365" s="9" t="s">
        <v>9158</v>
      </c>
      <c r="P365" s="14" t="s">
        <v>9158</v>
      </c>
      <c r="Q365" s="14" t="s">
        <v>9158</v>
      </c>
    </row>
    <row r="366" spans="1:17">
      <c r="A366" s="16">
        <v>59863</v>
      </c>
      <c r="B366" s="1" t="s">
        <v>334</v>
      </c>
      <c r="C366" s="1" t="s">
        <v>165</v>
      </c>
      <c r="D366" s="19" t="s">
        <v>318</v>
      </c>
      <c r="E366" s="15" t="str">
        <f>HYPERLINK("https://stat100.ameba.jp/tnk47/ratio20/illustrations/card/ill_59863_yoseiichimokuren03.jpg?201906-4-RELEASE-guildbattle-415", "■")</f>
        <v>■</v>
      </c>
      <c r="F366" s="1" t="s">
        <v>319</v>
      </c>
      <c r="G366" s="1">
        <v>91664</v>
      </c>
      <c r="H366" s="1">
        <v>85246</v>
      </c>
      <c r="I366" s="1">
        <v>22</v>
      </c>
      <c r="J366" s="1" t="s">
        <v>320</v>
      </c>
      <c r="K366" s="1" t="s">
        <v>321</v>
      </c>
      <c r="L366" s="1" t="s">
        <v>322</v>
      </c>
      <c r="M366" s="14" t="s">
        <v>9158</v>
      </c>
      <c r="N366" s="14" t="s">
        <v>9158</v>
      </c>
      <c r="O366" s="9" t="s">
        <v>9158</v>
      </c>
      <c r="P366" s="14" t="s">
        <v>9158</v>
      </c>
      <c r="Q366" s="14" t="s">
        <v>9158</v>
      </c>
    </row>
    <row r="367" spans="1:17">
      <c r="O367" s="7"/>
    </row>
    <row r="368" spans="1:17">
      <c r="A368" s="1" t="s">
        <v>5243</v>
      </c>
      <c r="O368" s="7"/>
    </row>
    <row r="369" spans="1:17" s="14" customFormat="1">
      <c r="A369" s="1" t="s">
        <v>5244</v>
      </c>
      <c r="O369" s="9"/>
    </row>
    <row r="370" spans="1:17">
      <c r="A370" s="14" t="s">
        <v>9482</v>
      </c>
      <c r="B370" s="1" t="s">
        <v>330</v>
      </c>
      <c r="C370" s="1" t="s">
        <v>200</v>
      </c>
      <c r="D370" s="19" t="s">
        <v>665</v>
      </c>
      <c r="E370" s="15" t="str">
        <f>HYPERLINK("https://stat100.ameba.jp/tnk47/ratio20/illustrations/card/ill_63173_0_minazukikonakaiteruko03.jpg?201906-4-RELEASE-guildbattle-415", "■")</f>
        <v>■</v>
      </c>
      <c r="F370" s="1" t="s">
        <v>666</v>
      </c>
      <c r="G370" s="1">
        <v>190952</v>
      </c>
      <c r="H370" s="1">
        <v>205358</v>
      </c>
      <c r="I370" s="1">
        <v>22</v>
      </c>
      <c r="J370" s="1" t="s">
        <v>310</v>
      </c>
      <c r="K370" s="1" t="s">
        <v>667</v>
      </c>
      <c r="L370" s="1" t="s">
        <v>668</v>
      </c>
      <c r="M370" s="14" t="s">
        <v>9158</v>
      </c>
      <c r="N370" s="14" t="s">
        <v>9158</v>
      </c>
      <c r="O370" s="7" t="s">
        <v>3328</v>
      </c>
      <c r="P370" s="1" t="s">
        <v>3329</v>
      </c>
      <c r="Q370" s="1">
        <v>1</v>
      </c>
    </row>
    <row r="371" spans="1:17">
      <c r="A371" s="14" t="s">
        <v>9468</v>
      </c>
      <c r="B371" s="1" t="s">
        <v>330</v>
      </c>
      <c r="C371" s="1" t="s">
        <v>270</v>
      </c>
      <c r="D371" s="19" t="s">
        <v>331</v>
      </c>
      <c r="E371" s="15" t="str">
        <f>HYPERLINK("https://stat100.ameba.jp/tnk47/ratio20/illustrations/card/ill_76303_0_haroinkaguya03.jpg?201906-4-RELEASE-guildbattle-415", "■")</f>
        <v>■</v>
      </c>
      <c r="F371" s="1" t="s">
        <v>332</v>
      </c>
      <c r="G371" s="1">
        <v>261812</v>
      </c>
      <c r="H371" s="1">
        <v>243398</v>
      </c>
      <c r="I371" s="1">
        <v>22</v>
      </c>
      <c r="J371" s="1" t="s">
        <v>274</v>
      </c>
      <c r="K371" s="1" t="s">
        <v>333</v>
      </c>
      <c r="L371" s="1" t="s">
        <v>276</v>
      </c>
      <c r="M371" s="14" t="s">
        <v>9158</v>
      </c>
      <c r="N371" s="14" t="s">
        <v>9158</v>
      </c>
      <c r="O371" s="7" t="s">
        <v>2723</v>
      </c>
      <c r="P371" s="1" t="s">
        <v>2724</v>
      </c>
      <c r="Q371" s="1">
        <v>1</v>
      </c>
    </row>
    <row r="372" spans="1:17">
      <c r="A372" s="16">
        <v>77673</v>
      </c>
      <c r="B372" s="1" t="s">
        <v>334</v>
      </c>
      <c r="C372" s="1" t="s">
        <v>158</v>
      </c>
      <c r="D372" s="19" t="s">
        <v>10270</v>
      </c>
      <c r="E372" s="15" t="str">
        <f>HYPERLINK("https://stat100.ameba.jp/tnk47/ratio20/illustrations/card/ill_77673_ryunochoji03.jpg?201906-4-RELEASE-guildbattle-415", "■")</f>
        <v>■</v>
      </c>
      <c r="F372" s="1" t="s">
        <v>1777</v>
      </c>
      <c r="G372" s="1">
        <v>111914</v>
      </c>
      <c r="H372" s="1">
        <v>81078</v>
      </c>
      <c r="I372" s="1">
        <v>24</v>
      </c>
      <c r="J372" s="1" t="s">
        <v>73</v>
      </c>
      <c r="K372" s="1" t="s">
        <v>1778</v>
      </c>
      <c r="L372" s="1" t="s">
        <v>1779</v>
      </c>
      <c r="M372" s="14" t="s">
        <v>9158</v>
      </c>
      <c r="N372" s="14" t="s">
        <v>9158</v>
      </c>
      <c r="O372" s="6" t="s">
        <v>10057</v>
      </c>
      <c r="P372" s="1" t="s">
        <v>3460</v>
      </c>
      <c r="Q372" s="1">
        <v>1</v>
      </c>
    </row>
    <row r="373" spans="1:17">
      <c r="A373" s="16">
        <v>64033</v>
      </c>
      <c r="B373" s="1" t="s">
        <v>0</v>
      </c>
      <c r="C373" s="1" t="s">
        <v>41</v>
      </c>
      <c r="D373" s="19" t="s">
        <v>10271</v>
      </c>
      <c r="E373" s="15" t="str">
        <f>HYPERLINK("https://stat100.ameba.jp/tnk47/ratio20/illustrations/card/ill_64033_sobameshi03.jpg?201906-4-RELEASE-guildbattle-415", "■")</f>
        <v>■</v>
      </c>
      <c r="F373" s="1" t="s">
        <v>129</v>
      </c>
      <c r="G373" s="1">
        <v>80391</v>
      </c>
      <c r="H373" s="1">
        <v>111000</v>
      </c>
      <c r="I373" s="1">
        <v>21</v>
      </c>
      <c r="J373" s="1" t="s">
        <v>104</v>
      </c>
      <c r="K373" s="1" t="s">
        <v>130</v>
      </c>
      <c r="L373" s="1" t="s">
        <v>131</v>
      </c>
      <c r="M373" s="14" t="s">
        <v>9158</v>
      </c>
      <c r="N373" s="14" t="s">
        <v>9158</v>
      </c>
      <c r="O373" s="9" t="s">
        <v>9158</v>
      </c>
      <c r="P373" s="14" t="s">
        <v>9158</v>
      </c>
      <c r="Q373" s="14" t="s">
        <v>9158</v>
      </c>
    </row>
    <row r="374" spans="1:17">
      <c r="A374" s="16">
        <v>67943</v>
      </c>
      <c r="B374" s="1" t="s">
        <v>334</v>
      </c>
      <c r="C374" s="1" t="s">
        <v>154</v>
      </c>
      <c r="D374" s="19" t="s">
        <v>3175</v>
      </c>
      <c r="E374" s="15" t="str">
        <f>HYPERLINK("https://stat100.ameba.jp/tnk47/ratio20/illustrations/card/ill_67943_hoshinamasayuki03.jpg?201906-4-RELEASE-guildbattle-415", "■")</f>
        <v>■</v>
      </c>
      <c r="F374" s="1" t="s">
        <v>1781</v>
      </c>
      <c r="G374" s="1">
        <v>65335</v>
      </c>
      <c r="H374" s="1">
        <v>60733</v>
      </c>
      <c r="I374" s="1">
        <v>21</v>
      </c>
      <c r="J374" s="1" t="s">
        <v>10</v>
      </c>
      <c r="K374" s="1" t="s">
        <v>1782</v>
      </c>
      <c r="L374" s="1" t="s">
        <v>1783</v>
      </c>
      <c r="M374" s="14" t="s">
        <v>9158</v>
      </c>
      <c r="N374" s="14" t="s">
        <v>9158</v>
      </c>
      <c r="O374" s="9" t="s">
        <v>9158</v>
      </c>
      <c r="P374" s="14" t="s">
        <v>9158</v>
      </c>
      <c r="Q374" s="14" t="s">
        <v>9158</v>
      </c>
    </row>
    <row r="375" spans="1:17">
      <c r="A375" s="16">
        <v>64883</v>
      </c>
      <c r="B375" s="1" t="s">
        <v>0</v>
      </c>
      <c r="C375" s="1" t="s">
        <v>47</v>
      </c>
      <c r="D375" s="19" t="s">
        <v>10272</v>
      </c>
      <c r="E375" s="15" t="str">
        <f>HYPERLINK("https://stat100.ameba.jp/tnk47/ratio20/illustrations/card/ill_64883_kasane03.jpg?201906-4-RELEASE-guildbattle-415", "■")</f>
        <v>■</v>
      </c>
      <c r="F375" s="1" t="s">
        <v>126</v>
      </c>
      <c r="G375" s="1">
        <v>77618</v>
      </c>
      <c r="H375" s="1">
        <v>107166</v>
      </c>
      <c r="I375" s="1">
        <v>21</v>
      </c>
      <c r="J375" s="1" t="s">
        <v>38</v>
      </c>
      <c r="K375" s="1" t="s">
        <v>127</v>
      </c>
      <c r="L375" s="1" t="s">
        <v>128</v>
      </c>
      <c r="M375" s="14" t="s">
        <v>9158</v>
      </c>
      <c r="N375" s="14" t="s">
        <v>9158</v>
      </c>
      <c r="O375" s="9" t="s">
        <v>9158</v>
      </c>
      <c r="P375" s="14" t="s">
        <v>9158</v>
      </c>
      <c r="Q375" s="14" t="s">
        <v>9158</v>
      </c>
    </row>
    <row r="376" spans="1:17">
      <c r="A376" s="16">
        <v>58743</v>
      </c>
      <c r="B376" s="1" t="s">
        <v>334</v>
      </c>
      <c r="C376" s="1" t="s">
        <v>209</v>
      </c>
      <c r="D376" s="19" t="s">
        <v>10273</v>
      </c>
      <c r="E376" s="15" t="str">
        <f>HYPERLINK("https://stat100.ameba.jp/tnk47/ratio20/illustrations/card/ill_58743_enkirienoki03.jpg?201906-4-RELEASE-guildbattle-415", "■")</f>
        <v>■</v>
      </c>
      <c r="F376" s="1" t="s">
        <v>2550</v>
      </c>
      <c r="G376" s="1">
        <v>63547</v>
      </c>
      <c r="H376" s="1">
        <v>86668</v>
      </c>
      <c r="I376" s="1">
        <v>21</v>
      </c>
      <c r="J376" s="1" t="s">
        <v>44</v>
      </c>
      <c r="K376" s="1" t="s">
        <v>2551</v>
      </c>
      <c r="L376" s="1" t="s">
        <v>95</v>
      </c>
      <c r="M376" s="14" t="s">
        <v>9158</v>
      </c>
      <c r="N376" s="14" t="s">
        <v>9158</v>
      </c>
      <c r="O376" s="6" t="s">
        <v>10065</v>
      </c>
      <c r="P376" s="1" t="s">
        <v>3670</v>
      </c>
      <c r="Q376" s="1">
        <v>1</v>
      </c>
    </row>
    <row r="377" spans="1:17">
      <c r="A377" s="16">
        <v>81023</v>
      </c>
      <c r="B377" s="1" t="s">
        <v>334</v>
      </c>
      <c r="C377" s="1" t="s">
        <v>41</v>
      </c>
      <c r="D377" s="19" t="s">
        <v>10274</v>
      </c>
      <c r="E377" s="15" t="str">
        <f>HYPERLINK("https://stat100.ameba.jp/tnk47/ratio20/illustrations/card/ill_81023_momonokenki03.jpg?201906-4-RELEASE-guildbattle-415", "■")</f>
        <v>■</v>
      </c>
      <c r="F377" s="1" t="s">
        <v>4088</v>
      </c>
      <c r="G377" s="1">
        <v>111000</v>
      </c>
      <c r="H377" s="1">
        <v>80391</v>
      </c>
      <c r="I377" s="1">
        <v>21</v>
      </c>
      <c r="J377" s="1" t="s">
        <v>143</v>
      </c>
      <c r="K377" s="1" t="s">
        <v>4089</v>
      </c>
      <c r="L377" s="1" t="s">
        <v>2049</v>
      </c>
      <c r="M377" s="14" t="s">
        <v>9158</v>
      </c>
      <c r="N377" s="14" t="s">
        <v>9158</v>
      </c>
      <c r="O377" s="7" t="s">
        <v>3244</v>
      </c>
      <c r="P377" s="1" t="s">
        <v>3245</v>
      </c>
      <c r="Q377" s="1">
        <v>1</v>
      </c>
    </row>
    <row r="378" spans="1:17">
      <c r="O378" s="7"/>
    </row>
    <row r="379" spans="1:17">
      <c r="A379" s="1" t="s">
        <v>5245</v>
      </c>
      <c r="O379" s="7"/>
    </row>
    <row r="380" spans="1:17" s="14" customFormat="1">
      <c r="A380" s="1" t="s">
        <v>5246</v>
      </c>
      <c r="O380" s="9"/>
    </row>
    <row r="381" spans="1:17">
      <c r="A381" s="14" t="s">
        <v>9471</v>
      </c>
      <c r="B381" s="1" t="s">
        <v>330</v>
      </c>
      <c r="C381" s="1" t="s">
        <v>206</v>
      </c>
      <c r="D381" s="19" t="s">
        <v>669</v>
      </c>
      <c r="E381" s="15" t="str">
        <f>HYPERLINK("https://stat100.ameba.jp/tnk47/ratio20/illustrations/card/ill_67173_0_yukemuriawamorichan03.jpg?201906-4-RELEASE-guildbattle-415", "■")</f>
        <v>■</v>
      </c>
      <c r="F381" s="1" t="s">
        <v>670</v>
      </c>
      <c r="G381" s="1">
        <v>115249</v>
      </c>
      <c r="H381" s="1">
        <v>107146</v>
      </c>
      <c r="I381" s="1">
        <v>15</v>
      </c>
      <c r="J381" s="1" t="s">
        <v>283</v>
      </c>
      <c r="K381" s="1" t="s">
        <v>671</v>
      </c>
      <c r="L381" s="1" t="s">
        <v>672</v>
      </c>
      <c r="M381" s="14" t="s">
        <v>9158</v>
      </c>
      <c r="N381" s="14" t="s">
        <v>9158</v>
      </c>
      <c r="O381" s="6" t="s">
        <v>10061</v>
      </c>
      <c r="P381" s="1" t="s">
        <v>3455</v>
      </c>
      <c r="Q381" s="1">
        <v>1</v>
      </c>
    </row>
    <row r="382" spans="1:17">
      <c r="A382" s="14" t="s">
        <v>9478</v>
      </c>
      <c r="B382" s="1" t="s">
        <v>330</v>
      </c>
      <c r="C382" s="1" t="s">
        <v>200</v>
      </c>
      <c r="D382" s="19" t="s">
        <v>3160</v>
      </c>
      <c r="E382" s="15" t="str">
        <f>HYPERLINK("https://stat100.ameba.jp/tnk47/ratio20/illustrations/card/ill_72963_0_amenohanayomehiguchiichiyo03.jpg?201906-4-RELEASE-guildbattle-415", "■")</f>
        <v>■</v>
      </c>
      <c r="F382" s="1" t="s">
        <v>1139</v>
      </c>
      <c r="G382" s="1">
        <v>100502</v>
      </c>
      <c r="H382" s="1">
        <v>93450</v>
      </c>
      <c r="I382" s="1">
        <v>15</v>
      </c>
      <c r="J382" s="1" t="s">
        <v>173</v>
      </c>
      <c r="K382" s="1" t="s">
        <v>1140</v>
      </c>
      <c r="L382" s="1" t="s">
        <v>1141</v>
      </c>
      <c r="M382" s="14" t="s">
        <v>9158</v>
      </c>
      <c r="N382" s="14" t="s">
        <v>9158</v>
      </c>
      <c r="O382" s="7" t="s">
        <v>3409</v>
      </c>
      <c r="P382" s="1" t="s">
        <v>3410</v>
      </c>
      <c r="Q382" s="1">
        <v>1</v>
      </c>
    </row>
    <row r="383" spans="1:17">
      <c r="A383" s="14" t="s">
        <v>9456</v>
      </c>
      <c r="B383" s="1" t="s">
        <v>330</v>
      </c>
      <c r="C383" s="1" t="s">
        <v>335</v>
      </c>
      <c r="D383" s="19" t="s">
        <v>509</v>
      </c>
      <c r="E383" s="15" t="str">
        <f>HYPERLINK("https://stat100.ameba.jp/tnk47/ratio20/illustrations/card/ill_49953_0_yushamarihime03.jpg?201906-4-RELEASE-guildbattle-415", "■")</f>
        <v>■</v>
      </c>
      <c r="F383" s="1" t="s">
        <v>510</v>
      </c>
      <c r="G383" s="1">
        <v>94236</v>
      </c>
      <c r="H383" s="1">
        <v>83712</v>
      </c>
      <c r="I383" s="1">
        <v>15</v>
      </c>
      <c r="J383" s="1" t="s">
        <v>315</v>
      </c>
      <c r="K383" s="1" t="s">
        <v>511</v>
      </c>
      <c r="L383" s="1" t="s">
        <v>512</v>
      </c>
      <c r="M383" s="14" t="s">
        <v>9158</v>
      </c>
      <c r="N383" s="14" t="s">
        <v>9158</v>
      </c>
      <c r="O383" s="9" t="s">
        <v>9158</v>
      </c>
      <c r="P383" s="14" t="s">
        <v>9158</v>
      </c>
      <c r="Q383" s="14" t="s">
        <v>9158</v>
      </c>
    </row>
    <row r="384" spans="1:17">
      <c r="A384" s="16">
        <v>82193</v>
      </c>
      <c r="B384" s="1" t="s">
        <v>334</v>
      </c>
      <c r="C384" s="1" t="s">
        <v>5247</v>
      </c>
      <c r="D384" s="19" t="s">
        <v>10275</v>
      </c>
      <c r="E384" s="15" t="str">
        <f>HYPERLINK("https://stat100.ameba.jp/tnk47/ratio20/illustrations/card/ill_82193_tsuyuromantatsukuchinawa03.jpg?201906-4-RELEASE-guildbattle-415", "■")</f>
        <v>■</v>
      </c>
      <c r="F384" s="1" t="s">
        <v>5248</v>
      </c>
      <c r="G384" s="1">
        <v>176200</v>
      </c>
      <c r="H384" s="1">
        <v>99132</v>
      </c>
      <c r="I384" s="1">
        <v>24</v>
      </c>
      <c r="J384" s="1" t="s">
        <v>5249</v>
      </c>
      <c r="K384" s="1" t="s">
        <v>5250</v>
      </c>
      <c r="L384" s="1" t="s">
        <v>5251</v>
      </c>
      <c r="M384" s="14" t="s">
        <v>9158</v>
      </c>
      <c r="N384" s="14" t="s">
        <v>9158</v>
      </c>
      <c r="O384" s="9" t="s">
        <v>9158</v>
      </c>
      <c r="P384" s="14" t="s">
        <v>9158</v>
      </c>
      <c r="Q384" s="14" t="s">
        <v>9158</v>
      </c>
    </row>
    <row r="385" spans="1:17">
      <c r="A385" s="16">
        <v>59443</v>
      </c>
      <c r="B385" s="1" t="s">
        <v>334</v>
      </c>
      <c r="C385" s="1" t="s">
        <v>5252</v>
      </c>
      <c r="D385" s="19" t="s">
        <v>10276</v>
      </c>
      <c r="E385" s="15" t="str">
        <f>HYPERLINK("https://stat100.ameba.jp/tnk47/ratio20/illustrations/card/ill_59443_kumanokusubinomikoto03.jpg?201906-4-RELEASE-guildbattle-415", "■")</f>
        <v>■</v>
      </c>
      <c r="F385" s="1" t="s">
        <v>5253</v>
      </c>
      <c r="G385" s="1">
        <v>99792</v>
      </c>
      <c r="H385" s="1">
        <v>71740</v>
      </c>
      <c r="I385" s="1">
        <v>23</v>
      </c>
      <c r="J385" s="1" t="s">
        <v>5254</v>
      </c>
      <c r="K385" s="1" t="s">
        <v>5255</v>
      </c>
      <c r="L385" s="1" t="s">
        <v>5256</v>
      </c>
      <c r="M385" s="14" t="s">
        <v>9158</v>
      </c>
      <c r="N385" s="14" t="s">
        <v>9158</v>
      </c>
      <c r="O385" s="9" t="s">
        <v>9158</v>
      </c>
      <c r="P385" s="14" t="s">
        <v>9158</v>
      </c>
      <c r="Q385" s="14" t="s">
        <v>9158</v>
      </c>
    </row>
    <row r="386" spans="1:17">
      <c r="A386" s="16">
        <v>78393</v>
      </c>
      <c r="B386" s="1" t="s">
        <v>334</v>
      </c>
      <c r="C386" s="1" t="s">
        <v>5257</v>
      </c>
      <c r="D386" s="19" t="s">
        <v>10277</v>
      </c>
      <c r="E386" s="15" t="str">
        <f>HYPERLINK("https://stat100.ameba.jp/tnk47/ratio20/illustrations/card/ill_78393_nemmatsuosojichibaeijiro03.jpg?201906-4-RELEASE-guildbattle-415", "■")</f>
        <v>■</v>
      </c>
      <c r="F386" s="1" t="s">
        <v>5258</v>
      </c>
      <c r="G386" s="1">
        <v>136729</v>
      </c>
      <c r="H386" s="1">
        <v>127130</v>
      </c>
      <c r="I386" s="1">
        <v>23</v>
      </c>
      <c r="J386" s="1" t="s">
        <v>5259</v>
      </c>
      <c r="K386" s="1" t="s">
        <v>5260</v>
      </c>
      <c r="L386" s="1" t="s">
        <v>5261</v>
      </c>
      <c r="M386" s="14" t="s">
        <v>9158</v>
      </c>
      <c r="N386" s="14" t="s">
        <v>9158</v>
      </c>
      <c r="O386" s="9" t="s">
        <v>9158</v>
      </c>
      <c r="P386" s="14" t="s">
        <v>9158</v>
      </c>
      <c r="Q386" s="14" t="s">
        <v>9158</v>
      </c>
    </row>
    <row r="387" spans="1:17">
      <c r="A387" s="16">
        <v>65863</v>
      </c>
      <c r="B387" s="1" t="s">
        <v>348</v>
      </c>
      <c r="C387" s="1" t="s">
        <v>191</v>
      </c>
      <c r="D387" s="19" t="s">
        <v>2905</v>
      </c>
      <c r="E387" s="15" t="str">
        <f>HYPERLINK("https://stat100.ameba.jp/tnk47/ratio20/illustrations/card/ill_65863_jokyurengeso03.jpg?201906-4-RELEASE-guildbattle-415", "■")</f>
        <v>■</v>
      </c>
      <c r="F387" s="1" t="s">
        <v>2906</v>
      </c>
      <c r="G387" s="1">
        <v>68172</v>
      </c>
      <c r="H387" s="1">
        <v>61832</v>
      </c>
      <c r="I387" s="1">
        <v>23</v>
      </c>
      <c r="J387" s="1" t="s">
        <v>369</v>
      </c>
      <c r="K387" s="1" t="s">
        <v>2907</v>
      </c>
      <c r="L387" s="1" t="s">
        <v>2908</v>
      </c>
      <c r="M387" s="14" t="s">
        <v>9158</v>
      </c>
      <c r="N387" s="14" t="s">
        <v>9158</v>
      </c>
      <c r="O387" s="9" t="s">
        <v>9158</v>
      </c>
      <c r="P387" s="14" t="s">
        <v>9158</v>
      </c>
      <c r="Q387" s="14" t="s">
        <v>9158</v>
      </c>
    </row>
    <row r="388" spans="1:17">
      <c r="A388" s="16">
        <v>65323</v>
      </c>
      <c r="B388" s="1" t="s">
        <v>348</v>
      </c>
      <c r="C388" s="1" t="s">
        <v>96</v>
      </c>
      <c r="D388" s="19" t="s">
        <v>10278</v>
      </c>
      <c r="E388" s="15" t="str">
        <f>HYPERLINK("https://stat100.ameba.jp/tnk47/ratio20/illustrations/card/ill_65323_viranzutoyotomihideyori03.jpg?201906-4-RELEASE-guildbattle-415", "■")</f>
        <v>■</v>
      </c>
      <c r="F388" s="1" t="s">
        <v>4407</v>
      </c>
      <c r="G388" s="1">
        <v>68172</v>
      </c>
      <c r="H388" s="1">
        <v>61832</v>
      </c>
      <c r="I388" s="1">
        <v>23</v>
      </c>
      <c r="J388" s="1" t="s">
        <v>143</v>
      </c>
      <c r="K388" s="1" t="s">
        <v>4408</v>
      </c>
      <c r="L388" s="1" t="s">
        <v>3524</v>
      </c>
      <c r="M388" s="14" t="s">
        <v>9158</v>
      </c>
      <c r="N388" s="14" t="s">
        <v>9158</v>
      </c>
      <c r="O388" s="9" t="s">
        <v>9158</v>
      </c>
      <c r="P388" s="14" t="s">
        <v>9158</v>
      </c>
      <c r="Q388" s="14" t="s">
        <v>9158</v>
      </c>
    </row>
    <row r="389" spans="1:17">
      <c r="A389" s="16">
        <v>71953</v>
      </c>
      <c r="B389" s="1" t="s">
        <v>348</v>
      </c>
      <c r="C389" s="1" t="s">
        <v>1</v>
      </c>
      <c r="D389" s="19" t="s">
        <v>10279</v>
      </c>
      <c r="E389" s="15" t="str">
        <f>HYPERLINK("https://stat100.ameba.jp/tnk47/ratio20/illustrations/card/ill_71953_tenshikannabiyama03.jpg?201906-4-RELEASE-guildbattle-415", "■")</f>
        <v>■</v>
      </c>
      <c r="F389" s="1" t="s">
        <v>4410</v>
      </c>
      <c r="G389" s="1">
        <v>68172</v>
      </c>
      <c r="H389" s="1">
        <v>61832</v>
      </c>
      <c r="I389" s="1">
        <v>23</v>
      </c>
      <c r="J389" s="1" t="s">
        <v>44</v>
      </c>
      <c r="K389" s="1" t="s">
        <v>4411</v>
      </c>
      <c r="L389" s="1" t="s">
        <v>3271</v>
      </c>
      <c r="M389" s="14" t="s">
        <v>9158</v>
      </c>
      <c r="N389" s="14" t="s">
        <v>9158</v>
      </c>
      <c r="O389" s="9" t="s">
        <v>9158</v>
      </c>
      <c r="P389" s="14" t="s">
        <v>9158</v>
      </c>
      <c r="Q389" s="14" t="s">
        <v>9158</v>
      </c>
    </row>
    <row r="390" spans="1:17">
      <c r="O390" s="7"/>
    </row>
    <row r="391" spans="1:17">
      <c r="A391" s="1" t="s">
        <v>5265</v>
      </c>
      <c r="O391" s="7"/>
    </row>
    <row r="392" spans="1:17" s="14" customFormat="1">
      <c r="A392" s="1" t="s">
        <v>5266</v>
      </c>
      <c r="O392" s="9"/>
    </row>
    <row r="393" spans="1:17">
      <c r="A393" s="14" t="s">
        <v>9467</v>
      </c>
      <c r="B393" s="1" t="s">
        <v>330</v>
      </c>
      <c r="C393" s="1" t="s">
        <v>267</v>
      </c>
      <c r="D393" s="19" t="s">
        <v>313</v>
      </c>
      <c r="E393" s="15" t="str">
        <f>HYPERLINK("https://stat100.ameba.jp/tnk47/ratio20/illustrations/card/ill_56223_0_onsempanikkugohime03.jpg?201906-4-RELEASE-guildbattle-415", "■")</f>
        <v>■</v>
      </c>
      <c r="F393" s="1" t="s">
        <v>314</v>
      </c>
      <c r="G393" s="1">
        <v>83712</v>
      </c>
      <c r="H393" s="1">
        <v>94236</v>
      </c>
      <c r="I393" s="1">
        <v>15</v>
      </c>
      <c r="J393" s="1" t="s">
        <v>315</v>
      </c>
      <c r="K393" s="1" t="s">
        <v>316</v>
      </c>
      <c r="L393" s="1" t="s">
        <v>317</v>
      </c>
      <c r="M393" s="14" t="s">
        <v>9158</v>
      </c>
      <c r="N393" s="14" t="s">
        <v>9158</v>
      </c>
      <c r="O393" s="7" t="s">
        <v>3021</v>
      </c>
      <c r="P393" s="1" t="s">
        <v>2890</v>
      </c>
      <c r="Q393" s="1">
        <v>1</v>
      </c>
    </row>
    <row r="394" spans="1:17">
      <c r="A394" s="14" t="s">
        <v>9492</v>
      </c>
      <c r="B394" s="1" t="s">
        <v>330</v>
      </c>
      <c r="C394" s="1" t="s">
        <v>206</v>
      </c>
      <c r="D394" s="19" t="s">
        <v>2814</v>
      </c>
      <c r="E394" s="15" t="str">
        <f>HYPERLINK("https://stat100.ameba.jp/tnk47/ratio20/illustrations/card/ill_57733_0_shogatsunisenjunanaamakusashiro03.jpg?201906-4-RELEASE-guildbattle-415", "■")</f>
        <v>■</v>
      </c>
      <c r="F394" s="1" t="s">
        <v>2815</v>
      </c>
      <c r="G394" s="1">
        <v>83712</v>
      </c>
      <c r="H394" s="1">
        <v>94236</v>
      </c>
      <c r="I394" s="1">
        <v>15</v>
      </c>
      <c r="J394" s="1" t="s">
        <v>351</v>
      </c>
      <c r="K394" s="1" t="s">
        <v>2816</v>
      </c>
      <c r="L394" s="1" t="s">
        <v>2817</v>
      </c>
      <c r="M394" s="14" t="s">
        <v>9158</v>
      </c>
      <c r="N394" s="14" t="s">
        <v>9158</v>
      </c>
      <c r="O394" s="6" t="s">
        <v>10063</v>
      </c>
      <c r="P394" s="1" t="s">
        <v>3062</v>
      </c>
      <c r="Q394" s="1">
        <v>1</v>
      </c>
    </row>
    <row r="395" spans="1:17">
      <c r="A395" s="14" t="s">
        <v>9457</v>
      </c>
      <c r="B395" s="1" t="s">
        <v>52</v>
      </c>
      <c r="C395" s="1" t="s">
        <v>165</v>
      </c>
      <c r="D395" s="19" t="s">
        <v>789</v>
      </c>
      <c r="E395" s="15" t="str">
        <f>HYPERLINK("https://stat100.ameba.jp/tnk47/ratio20/illustrations/card/ill_49193_0_onmyoudouabenoseimei03.jpg?201906-4-RELEASE-guildbattle-415", "■")</f>
        <v>■</v>
      </c>
      <c r="F395" s="1" t="s">
        <v>1896</v>
      </c>
      <c r="G395" s="1">
        <v>83712</v>
      </c>
      <c r="H395" s="1">
        <v>94236</v>
      </c>
      <c r="I395" s="1">
        <v>15</v>
      </c>
      <c r="J395" s="1" t="s">
        <v>10</v>
      </c>
      <c r="K395" s="1" t="s">
        <v>1897</v>
      </c>
      <c r="L395" s="1" t="s">
        <v>1898</v>
      </c>
      <c r="M395" s="14" t="s">
        <v>9158</v>
      </c>
      <c r="N395" s="14" t="s">
        <v>9158</v>
      </c>
      <c r="O395" s="9" t="s">
        <v>9158</v>
      </c>
      <c r="P395" s="14" t="s">
        <v>9158</v>
      </c>
      <c r="Q395" s="14" t="s">
        <v>9158</v>
      </c>
    </row>
    <row r="396" spans="1:17">
      <c r="A396" s="16">
        <v>82203</v>
      </c>
      <c r="B396" s="1" t="s">
        <v>334</v>
      </c>
      <c r="C396" s="1" t="s">
        <v>5267</v>
      </c>
      <c r="D396" s="19" t="s">
        <v>10280</v>
      </c>
      <c r="E396" s="15" t="str">
        <f>HYPERLINK("https://stat100.ameba.jp/tnk47/ratio20/illustrations/card/ill_82203_tsuyuromanteikyoin03.jpg?201906-4-RELEASE-guildbattle-415", "■")</f>
        <v>■</v>
      </c>
      <c r="F396" s="1" t="s">
        <v>5268</v>
      </c>
      <c r="G396" s="1">
        <v>65128</v>
      </c>
      <c r="H396" s="1">
        <v>115746</v>
      </c>
      <c r="I396" s="1">
        <v>24</v>
      </c>
      <c r="J396" s="1" t="s">
        <v>5269</v>
      </c>
      <c r="K396" s="1" t="s">
        <v>5270</v>
      </c>
      <c r="L396" s="1" t="s">
        <v>5271</v>
      </c>
      <c r="M396" s="14" t="s">
        <v>9158</v>
      </c>
      <c r="N396" s="14" t="s">
        <v>9158</v>
      </c>
      <c r="O396" s="9" t="s">
        <v>9158</v>
      </c>
      <c r="P396" s="14" t="s">
        <v>9158</v>
      </c>
      <c r="Q396" s="14" t="s">
        <v>9158</v>
      </c>
    </row>
    <row r="397" spans="1:17">
      <c r="A397" s="16">
        <v>55993</v>
      </c>
      <c r="B397" s="1" t="s">
        <v>334</v>
      </c>
      <c r="C397" s="1" t="s">
        <v>307</v>
      </c>
      <c r="D397" s="19" t="s">
        <v>732</v>
      </c>
      <c r="E397" s="15" t="str">
        <f>HYPERLINK("https://stat100.ameba.jp/tnk47/ratio20/illustrations/card/ill_55993_taiyakichan03.jpg?201906-4-RELEASE-guildbattle-415", "■")</f>
        <v>■</v>
      </c>
      <c r="F397" s="1" t="s">
        <v>733</v>
      </c>
      <c r="G397" s="1">
        <v>75467</v>
      </c>
      <c r="H397" s="1">
        <v>134152</v>
      </c>
      <c r="I397" s="1">
        <v>23</v>
      </c>
      <c r="J397" s="1" t="s">
        <v>283</v>
      </c>
      <c r="K397" s="1" t="s">
        <v>734</v>
      </c>
      <c r="L397" s="1" t="s">
        <v>735</v>
      </c>
      <c r="M397" s="14" t="s">
        <v>9158</v>
      </c>
      <c r="N397" s="14" t="s">
        <v>9158</v>
      </c>
      <c r="O397" s="9" t="s">
        <v>9158</v>
      </c>
      <c r="P397" s="14" t="s">
        <v>9158</v>
      </c>
      <c r="Q397" s="14" t="s">
        <v>9158</v>
      </c>
    </row>
    <row r="398" spans="1:17">
      <c r="A398" s="16">
        <v>70663</v>
      </c>
      <c r="B398" s="1" t="s">
        <v>334</v>
      </c>
      <c r="C398" s="1" t="s">
        <v>185</v>
      </c>
      <c r="D398" s="19" t="s">
        <v>10281</v>
      </c>
      <c r="E398" s="15" t="str">
        <f>HYPERLINK("https://stat100.ameba.jp/tnk47/ratio20/illustrations/card/ill_70663_shitsujikissanagasawarosetsu03.jpg?201906-4-RELEASE-guildbattle-415", "■")</f>
        <v>■</v>
      </c>
      <c r="F398" s="1" t="s">
        <v>4702</v>
      </c>
      <c r="G398" s="1">
        <v>83499</v>
      </c>
      <c r="H398" s="1">
        <v>89839</v>
      </c>
      <c r="I398" s="1">
        <v>23</v>
      </c>
      <c r="J398" s="1" t="s">
        <v>10</v>
      </c>
      <c r="K398" s="1" t="s">
        <v>4703</v>
      </c>
      <c r="L398" s="1" t="s">
        <v>2057</v>
      </c>
      <c r="M398" s="14" t="s">
        <v>9158</v>
      </c>
      <c r="N398" s="14" t="s">
        <v>9158</v>
      </c>
      <c r="O398" s="9" t="s">
        <v>9158</v>
      </c>
      <c r="P398" s="14" t="s">
        <v>9158</v>
      </c>
      <c r="Q398" s="14" t="s">
        <v>9158</v>
      </c>
    </row>
    <row r="399" spans="1:17">
      <c r="A399" s="16">
        <v>66063</v>
      </c>
      <c r="B399" s="1" t="s">
        <v>348</v>
      </c>
      <c r="C399" s="1" t="s">
        <v>200</v>
      </c>
      <c r="D399" s="19" t="s">
        <v>1462</v>
      </c>
      <c r="E399" s="15" t="str">
        <f>HYPERLINK("https://stat100.ameba.jp/tnk47/ratio20/illustrations/card/ill_66063_serebuedomurasaki03.jpg?201906-4-RELEASE-guildbattle-415", "■")</f>
        <v>■</v>
      </c>
      <c r="F399" s="1" t="s">
        <v>1751</v>
      </c>
      <c r="G399" s="1">
        <v>61832</v>
      </c>
      <c r="H399" s="1">
        <v>68172</v>
      </c>
      <c r="I399" s="1">
        <v>23</v>
      </c>
      <c r="J399" s="1" t="s">
        <v>38</v>
      </c>
      <c r="K399" s="1" t="s">
        <v>1752</v>
      </c>
      <c r="L399" s="1" t="s">
        <v>1753</v>
      </c>
      <c r="M399" s="14" t="s">
        <v>9158</v>
      </c>
      <c r="N399" s="14" t="s">
        <v>9158</v>
      </c>
      <c r="O399" s="9" t="s">
        <v>9158</v>
      </c>
      <c r="P399" s="14" t="s">
        <v>9158</v>
      </c>
      <c r="Q399" s="14" t="s">
        <v>9158</v>
      </c>
    </row>
    <row r="400" spans="1:17">
      <c r="A400" s="16">
        <v>65103</v>
      </c>
      <c r="B400" s="1" t="s">
        <v>15</v>
      </c>
      <c r="C400" s="1" t="s">
        <v>185</v>
      </c>
      <c r="D400" s="19" t="s">
        <v>10282</v>
      </c>
      <c r="E400" s="15" t="str">
        <f>HYPERLINK("https://stat100.ameba.jp/tnk47/ratio20/illustrations/card/ill_65103_kyusukumizutsuraraonna03.jpg?201906-4-RELEASE-guildbattle-415", "■")</f>
        <v>■</v>
      </c>
      <c r="F400" s="1" t="s">
        <v>2457</v>
      </c>
      <c r="G400" s="1">
        <v>61832</v>
      </c>
      <c r="H400" s="1">
        <v>68172</v>
      </c>
      <c r="I400" s="1">
        <v>23</v>
      </c>
      <c r="J400" s="1" t="s">
        <v>73</v>
      </c>
      <c r="K400" s="1" t="s">
        <v>2458</v>
      </c>
      <c r="L400" s="1" t="s">
        <v>1706</v>
      </c>
      <c r="M400" s="14" t="s">
        <v>9158</v>
      </c>
      <c r="N400" s="14" t="s">
        <v>9158</v>
      </c>
      <c r="O400" s="9" t="s">
        <v>9158</v>
      </c>
      <c r="P400" s="14" t="s">
        <v>9158</v>
      </c>
      <c r="Q400" s="14" t="s">
        <v>9158</v>
      </c>
    </row>
    <row r="401" spans="1:18">
      <c r="A401" s="16">
        <v>73123</v>
      </c>
      <c r="B401" s="1" t="s">
        <v>348</v>
      </c>
      <c r="C401" s="1" t="s">
        <v>206</v>
      </c>
      <c r="D401" s="19" t="s">
        <v>10283</v>
      </c>
      <c r="E401" s="15" t="str">
        <f>HYPERLINK("https://stat100.ameba.jp/tnk47/ratio20/illustrations/card/ill_73123_raikiri03.jpg?201906-4-RELEASE-guildbattle-415", "■")</f>
        <v>■</v>
      </c>
      <c r="F401" s="1" t="s">
        <v>4436</v>
      </c>
      <c r="G401" s="1">
        <v>61832</v>
      </c>
      <c r="H401" s="1">
        <v>68172</v>
      </c>
      <c r="I401" s="1">
        <v>23</v>
      </c>
      <c r="J401" s="1" t="s">
        <v>169</v>
      </c>
      <c r="K401" s="1" t="s">
        <v>4437</v>
      </c>
      <c r="L401" s="1" t="s">
        <v>3319</v>
      </c>
      <c r="M401" s="14" t="s">
        <v>9158</v>
      </c>
      <c r="N401" s="14" t="s">
        <v>9158</v>
      </c>
      <c r="O401" s="9" t="s">
        <v>9158</v>
      </c>
      <c r="P401" s="14" t="s">
        <v>9158</v>
      </c>
      <c r="Q401" s="14" t="s">
        <v>9158</v>
      </c>
    </row>
    <row r="402" spans="1:18">
      <c r="O402" s="7"/>
    </row>
    <row r="403" spans="1:18">
      <c r="A403" s="1" t="s">
        <v>5262</v>
      </c>
      <c r="O403" s="7"/>
    </row>
    <row r="404" spans="1:18" s="14" customFormat="1">
      <c r="A404" s="1" t="s">
        <v>5263</v>
      </c>
      <c r="O404" s="9"/>
    </row>
    <row r="405" spans="1:18">
      <c r="A405" s="14" t="s">
        <v>9476</v>
      </c>
      <c r="B405" s="1" t="s">
        <v>52</v>
      </c>
      <c r="C405" s="1" t="s">
        <v>191</v>
      </c>
      <c r="D405" s="19" t="s">
        <v>10217</v>
      </c>
      <c r="E405" s="15" t="str">
        <f>HYPERLINK("https://stat100.ameba.jp/tnk47/ratio20/illustrations/card/ill_56493_0_poppukurisumasuikomakitsuno03.jpg?201906-4-RELEASE-guildbattle-415", "■")</f>
        <v>■</v>
      </c>
      <c r="F405" s="1" t="s">
        <v>1769</v>
      </c>
      <c r="G405" s="1">
        <v>125648</v>
      </c>
      <c r="H405" s="1">
        <v>111616</v>
      </c>
      <c r="I405" s="1">
        <v>20</v>
      </c>
      <c r="J405" s="1" t="s">
        <v>77</v>
      </c>
      <c r="K405" s="1" t="s">
        <v>1770</v>
      </c>
      <c r="L405" s="1" t="s">
        <v>1771</v>
      </c>
      <c r="M405" s="14" t="s">
        <v>9158</v>
      </c>
      <c r="N405" s="14" t="s">
        <v>9158</v>
      </c>
      <c r="O405" s="7" t="s">
        <v>3893</v>
      </c>
      <c r="P405" s="1" t="s">
        <v>2724</v>
      </c>
      <c r="Q405" s="1">
        <v>1</v>
      </c>
    </row>
    <row r="406" spans="1:18">
      <c r="A406" s="16">
        <v>63853</v>
      </c>
      <c r="B406" s="1" t="s">
        <v>334</v>
      </c>
      <c r="C406" s="1" t="s">
        <v>200</v>
      </c>
      <c r="D406" s="19" t="s">
        <v>10284</v>
      </c>
      <c r="E406" s="15" t="str">
        <f>HYPERLINK("https://stat100.ameba.jp/tnk47/ratio20/illustrations/card/ill_63853_daikokaijidainansosatomihakkenden03.jpg?201906-4-RELEASE-guildbattle-415", "■")</f>
        <v>■</v>
      </c>
      <c r="F406" s="1" t="s">
        <v>941</v>
      </c>
      <c r="G406" s="1">
        <v>93184</v>
      </c>
      <c r="H406" s="1">
        <v>100400</v>
      </c>
      <c r="I406" s="1">
        <v>22</v>
      </c>
      <c r="J406" s="1" t="s">
        <v>155</v>
      </c>
      <c r="K406" s="1" t="s">
        <v>942</v>
      </c>
      <c r="L406" s="1" t="s">
        <v>13149</v>
      </c>
      <c r="M406" s="14" t="s">
        <v>9158</v>
      </c>
      <c r="N406" s="14" t="s">
        <v>9158</v>
      </c>
      <c r="O406" s="7" t="s">
        <v>3619</v>
      </c>
      <c r="P406" s="1" t="s">
        <v>3330</v>
      </c>
      <c r="Q406" s="1">
        <v>1</v>
      </c>
    </row>
    <row r="407" spans="1:18">
      <c r="A407" s="16">
        <v>78143</v>
      </c>
      <c r="B407" s="1" t="s">
        <v>334</v>
      </c>
      <c r="C407" s="1" t="s">
        <v>203</v>
      </c>
      <c r="D407" s="19" t="s">
        <v>10285</v>
      </c>
      <c r="E407" s="15" t="str">
        <f>HYPERLINK("https://stat100.ameba.jp/tnk47/ratio20/illustrations/card/ill_78143_kanibarukuin03.jpg?201906-4-RELEASE-guildbattle-415", "■")</f>
        <v>■</v>
      </c>
      <c r="F407" s="1" t="s">
        <v>2687</v>
      </c>
      <c r="G407" s="1">
        <v>81238</v>
      </c>
      <c r="H407" s="1">
        <v>112168</v>
      </c>
      <c r="I407" s="1">
        <v>22</v>
      </c>
      <c r="J407" s="1" t="s">
        <v>26</v>
      </c>
      <c r="K407" s="1" t="s">
        <v>2688</v>
      </c>
      <c r="L407" s="1" t="s">
        <v>2137</v>
      </c>
      <c r="M407" s="14" t="s">
        <v>9158</v>
      </c>
      <c r="N407" s="14" t="s">
        <v>9158</v>
      </c>
      <c r="O407" s="7" t="s">
        <v>3896</v>
      </c>
      <c r="P407" s="1" t="s">
        <v>3897</v>
      </c>
      <c r="Q407" s="1">
        <v>1</v>
      </c>
    </row>
    <row r="408" spans="1:18">
      <c r="A408" s="16">
        <v>59423</v>
      </c>
      <c r="B408" s="1" t="s">
        <v>334</v>
      </c>
      <c r="C408" s="1" t="s">
        <v>154</v>
      </c>
      <c r="D408" s="19" t="s">
        <v>10286</v>
      </c>
      <c r="E408" s="15" t="str">
        <f>HYPERLINK("https://stat100.ameba.jp/tnk47/ratio20/illustrations/card/ill_59423_yuishosetsu03.jpg?201906-4-RELEASE-guildbattle-415", "■")</f>
        <v>■</v>
      </c>
      <c r="F408" s="1" t="s">
        <v>1490</v>
      </c>
      <c r="G408" s="1">
        <v>99846</v>
      </c>
      <c r="H408" s="1">
        <v>72340</v>
      </c>
      <c r="I408" s="1">
        <v>22</v>
      </c>
      <c r="J408" s="1" t="s">
        <v>159</v>
      </c>
      <c r="K408" s="1" t="s">
        <v>1347</v>
      </c>
      <c r="L408" s="1" t="s">
        <v>13159</v>
      </c>
      <c r="M408" s="14" t="s">
        <v>9158</v>
      </c>
      <c r="N408" s="14" t="s">
        <v>9158</v>
      </c>
      <c r="O408" s="7" t="s">
        <v>3414</v>
      </c>
      <c r="P408" s="1" t="s">
        <v>13122</v>
      </c>
      <c r="Q408" s="1">
        <v>1</v>
      </c>
    </row>
    <row r="409" spans="1:18">
      <c r="O409" s="7"/>
    </row>
    <row r="410" spans="1:18">
      <c r="A410" s="1" t="s">
        <v>13327</v>
      </c>
      <c r="O410" s="7"/>
    </row>
    <row r="411" spans="1:18" s="14" customFormat="1">
      <c r="A411" s="1" t="s">
        <v>5264</v>
      </c>
      <c r="O411" s="9"/>
    </row>
    <row r="412" spans="1:18">
      <c r="A412" s="16">
        <v>82213</v>
      </c>
      <c r="B412" s="1" t="s">
        <v>0</v>
      </c>
      <c r="C412" s="1" t="s">
        <v>185</v>
      </c>
      <c r="D412" s="19" t="s">
        <v>10185</v>
      </c>
      <c r="E412" s="15" t="str">
        <f>HYPERLINK("https://stat100.ameba.jp/tnk47/ratio20/illustrations/card/ill_82213_tatarimokke03.jpg?201906-4-RELEASE-guildbattle-415", "■")</f>
        <v>■</v>
      </c>
      <c r="F412" s="1" t="s">
        <v>4935</v>
      </c>
      <c r="G412" s="1">
        <v>109852</v>
      </c>
      <c r="H412" s="1">
        <v>118152</v>
      </c>
      <c r="I412" s="1">
        <v>24</v>
      </c>
      <c r="J412" s="1" t="s">
        <v>182</v>
      </c>
      <c r="K412" s="1" t="s">
        <v>4937</v>
      </c>
      <c r="L412" s="1" t="s">
        <v>13191</v>
      </c>
      <c r="M412" s="1" t="s">
        <v>13130</v>
      </c>
      <c r="N412" s="1" t="s">
        <v>343</v>
      </c>
      <c r="O412" s="9" t="s">
        <v>9158</v>
      </c>
      <c r="P412" s="14" t="s">
        <v>9158</v>
      </c>
      <c r="Q412" s="14" t="s">
        <v>9158</v>
      </c>
      <c r="R412" s="14"/>
    </row>
    <row r="413" spans="1:18">
      <c r="A413" s="16">
        <v>82212</v>
      </c>
      <c r="B413" s="1" t="s">
        <v>334</v>
      </c>
      <c r="C413" s="1" t="s">
        <v>185</v>
      </c>
      <c r="D413" s="19" t="s">
        <v>10185</v>
      </c>
      <c r="E413" s="15" t="str">
        <f>HYPERLINK("https://stat100.ameba.jp/tnk47/ratio20/illustrations/card/ill_82212_tatarimokke02.jpg?201906-4-RELEASE-guildbattle-415", "■")</f>
        <v>■</v>
      </c>
      <c r="F413" s="1" t="s">
        <v>4935</v>
      </c>
      <c r="G413" s="1">
        <v>90984</v>
      </c>
      <c r="H413" s="1">
        <v>98768</v>
      </c>
      <c r="I413" s="1">
        <v>24</v>
      </c>
      <c r="J413" s="1" t="s">
        <v>182</v>
      </c>
      <c r="K413" s="1" t="s">
        <v>4937</v>
      </c>
      <c r="L413" s="1" t="s">
        <v>13191</v>
      </c>
      <c r="M413" s="1" t="s">
        <v>13131</v>
      </c>
      <c r="N413" s="1" t="s">
        <v>251</v>
      </c>
      <c r="O413" s="9" t="s">
        <v>9158</v>
      </c>
      <c r="P413" s="14" t="s">
        <v>9158</v>
      </c>
      <c r="Q413" s="14" t="s">
        <v>9158</v>
      </c>
      <c r="R413" s="14"/>
    </row>
    <row r="414" spans="1:18">
      <c r="A414" s="16">
        <v>82211</v>
      </c>
      <c r="B414" s="1" t="s">
        <v>0</v>
      </c>
      <c r="C414" s="1" t="s">
        <v>185</v>
      </c>
      <c r="D414" s="19" t="s">
        <v>10185</v>
      </c>
      <c r="E414" s="15" t="str">
        <f>HYPERLINK("https://stat100.ameba.jp/tnk47/ratio20/illustrations/card/ill_82211_tatarimokke01.jpg?201906-4-RELEASE-guildbattle-415", "■")</f>
        <v>■</v>
      </c>
      <c r="F414" s="1" t="s">
        <v>4935</v>
      </c>
      <c r="G414" s="1">
        <v>70200</v>
      </c>
      <c r="H414" s="1">
        <v>75408</v>
      </c>
      <c r="I414" s="1">
        <v>24</v>
      </c>
      <c r="J414" s="1" t="s">
        <v>182</v>
      </c>
      <c r="K414" s="1" t="s">
        <v>4937</v>
      </c>
      <c r="L414" s="1" t="s">
        <v>13191</v>
      </c>
      <c r="M414" s="1" t="s">
        <v>13131</v>
      </c>
      <c r="N414" s="1" t="s">
        <v>251</v>
      </c>
      <c r="O414" s="9" t="s">
        <v>9158</v>
      </c>
      <c r="P414" s="14" t="s">
        <v>9158</v>
      </c>
      <c r="Q414" s="14" t="s">
        <v>9158</v>
      </c>
      <c r="R414" s="14"/>
    </row>
    <row r="415" spans="1:18">
      <c r="A415" s="16">
        <v>82223</v>
      </c>
      <c r="B415" s="1" t="s">
        <v>334</v>
      </c>
      <c r="C415" s="1" t="s">
        <v>200</v>
      </c>
      <c r="D415" s="19" t="s">
        <v>10186</v>
      </c>
      <c r="E415" s="15" t="str">
        <f>HYPERLINK("https://stat100.ameba.jp/tnk47/ratio20/illustrations/card/ill_82223_oyayubihime03.jpg?201906-4-RELEASE-guildbattle-415", "■")</f>
        <v>■</v>
      </c>
      <c r="F415" s="1" t="s">
        <v>4931</v>
      </c>
      <c r="G415" s="1">
        <v>118152</v>
      </c>
      <c r="H415" s="1">
        <v>109852</v>
      </c>
      <c r="I415" s="1">
        <v>24</v>
      </c>
      <c r="J415" s="1" t="s">
        <v>155</v>
      </c>
      <c r="K415" s="1" t="s">
        <v>4933</v>
      </c>
      <c r="L415" s="1" t="s">
        <v>4934</v>
      </c>
      <c r="M415" s="1" t="s">
        <v>13130</v>
      </c>
      <c r="N415" s="1" t="s">
        <v>343</v>
      </c>
      <c r="O415" s="9" t="s">
        <v>9158</v>
      </c>
      <c r="P415" s="14" t="s">
        <v>9158</v>
      </c>
      <c r="Q415" s="14" t="s">
        <v>9158</v>
      </c>
    </row>
    <row r="416" spans="1:18">
      <c r="A416" s="16">
        <v>82233</v>
      </c>
      <c r="B416" s="1" t="s">
        <v>334</v>
      </c>
      <c r="C416" s="1" t="s">
        <v>191</v>
      </c>
      <c r="D416" s="19" t="s">
        <v>10187</v>
      </c>
      <c r="E416" s="15" t="str">
        <f>HYPERLINK("https://stat100.ameba.jp/tnk47/ratio20/illustrations/card/ill_82233_iseokiku03.jpg?201906-4-RELEASE-guildbattle-415", "■")</f>
        <v>■</v>
      </c>
      <c r="F416" s="1" t="s">
        <v>4924</v>
      </c>
      <c r="G416" s="1">
        <v>118152</v>
      </c>
      <c r="H416" s="1">
        <v>109852</v>
      </c>
      <c r="I416" s="1">
        <v>24</v>
      </c>
      <c r="J416" s="1" t="s">
        <v>187</v>
      </c>
      <c r="K416" s="1" t="s">
        <v>4926</v>
      </c>
      <c r="L416" s="1" t="s">
        <v>4930</v>
      </c>
      <c r="M416" s="1" t="s">
        <v>13130</v>
      </c>
      <c r="N416" s="1" t="s">
        <v>343</v>
      </c>
      <c r="O416" s="9" t="s">
        <v>9158</v>
      </c>
      <c r="P416" s="14" t="s">
        <v>9158</v>
      </c>
      <c r="Q416" s="14" t="s">
        <v>9158</v>
      </c>
    </row>
    <row r="417" spans="1:17">
      <c r="A417" s="16">
        <v>82243</v>
      </c>
      <c r="B417" s="1" t="s">
        <v>0</v>
      </c>
      <c r="C417" s="1" t="s">
        <v>165</v>
      </c>
      <c r="D417" s="19" t="s">
        <v>10188</v>
      </c>
      <c r="E417" s="15" t="str">
        <f>HYPERLINK("https://stat100.ameba.jp/tnk47/ratio20/illustrations/card/ill_82243_nanohana03.jpg?201906-4-RELEASE-guildbattle-415", "■")</f>
        <v>■</v>
      </c>
      <c r="F417" s="1" t="s">
        <v>4921</v>
      </c>
      <c r="G417" s="1">
        <v>118152</v>
      </c>
      <c r="H417" s="1">
        <v>109852</v>
      </c>
      <c r="I417" s="1">
        <v>24</v>
      </c>
      <c r="J417" s="1" t="s">
        <v>229</v>
      </c>
      <c r="K417" s="1" t="s">
        <v>4923</v>
      </c>
      <c r="L417" s="1" t="s">
        <v>4929</v>
      </c>
      <c r="M417" s="1" t="s">
        <v>13130</v>
      </c>
      <c r="N417" s="1" t="s">
        <v>343</v>
      </c>
      <c r="O417" s="9" t="s">
        <v>9158</v>
      </c>
      <c r="P417" s="14" t="s">
        <v>9158</v>
      </c>
      <c r="Q417" s="14" t="s">
        <v>9158</v>
      </c>
    </row>
    <row r="418" spans="1:17">
      <c r="A418" s="16">
        <v>82253</v>
      </c>
      <c r="B418" s="1" t="s">
        <v>334</v>
      </c>
      <c r="C418" s="1" t="s">
        <v>205</v>
      </c>
      <c r="D418" s="19" t="s">
        <v>10189</v>
      </c>
      <c r="E418" s="15" t="str">
        <f>HYPERLINK("https://stat100.ameba.jp/tnk47/ratio20/illustrations/card/ill_82253_ajisaikyogokuichiko03.jpg?201906-4-RELEASE-guildbattle-415", "■")</f>
        <v>■</v>
      </c>
      <c r="F418" s="1" t="s">
        <v>4920</v>
      </c>
      <c r="G418" s="1">
        <v>109852</v>
      </c>
      <c r="H418" s="1">
        <v>118152</v>
      </c>
      <c r="I418" s="1">
        <v>24</v>
      </c>
      <c r="J418" s="1" t="s">
        <v>159</v>
      </c>
      <c r="K418" s="1" t="s">
        <v>4919</v>
      </c>
      <c r="L418" s="1" t="s">
        <v>4927</v>
      </c>
      <c r="M418" s="1" t="s">
        <v>13130</v>
      </c>
      <c r="N418" s="1" t="s">
        <v>343</v>
      </c>
      <c r="O418" s="9" t="s">
        <v>9158</v>
      </c>
      <c r="P418" s="14" t="s">
        <v>9158</v>
      </c>
      <c r="Q418" s="14" t="s">
        <v>9158</v>
      </c>
    </row>
    <row r="419" spans="1:17">
      <c r="A419" s="16">
        <v>82263</v>
      </c>
      <c r="B419" s="1" t="s">
        <v>334</v>
      </c>
      <c r="C419" s="1" t="s">
        <v>206</v>
      </c>
      <c r="D419" s="19" t="s">
        <v>10190</v>
      </c>
      <c r="E419" s="15" t="str">
        <f>HYPERLINK("https://stat100.ameba.jp/tnk47/ratio20/illustrations/card/ill_82263_euterupe03.jpg?201906-4-RELEASE-guildbattle-415", "■")</f>
        <v>■</v>
      </c>
      <c r="F419" s="1" t="s">
        <v>4915</v>
      </c>
      <c r="G419" s="1">
        <v>109852</v>
      </c>
      <c r="H419" s="1">
        <v>118152</v>
      </c>
      <c r="I419" s="1">
        <v>24</v>
      </c>
      <c r="J419" s="1" t="s">
        <v>169</v>
      </c>
      <c r="K419" s="1" t="s">
        <v>4917</v>
      </c>
      <c r="L419" s="1" t="s">
        <v>4928</v>
      </c>
      <c r="M419" s="1" t="s">
        <v>13130</v>
      </c>
      <c r="N419" s="1" t="s">
        <v>343</v>
      </c>
      <c r="O419" s="9" t="s">
        <v>9158</v>
      </c>
      <c r="P419" s="14" t="s">
        <v>9158</v>
      </c>
      <c r="Q419" s="14" t="s">
        <v>9158</v>
      </c>
    </row>
    <row r="420" spans="1:17">
      <c r="O420" s="7"/>
    </row>
    <row r="421" spans="1:17">
      <c r="A421" s="1" t="s">
        <v>6513</v>
      </c>
      <c r="O421" s="7"/>
    </row>
    <row r="422" spans="1:17" s="14" customFormat="1">
      <c r="A422" s="1" t="s">
        <v>5272</v>
      </c>
      <c r="O422" s="9"/>
    </row>
    <row r="423" spans="1:17">
      <c r="A423" s="14" t="s">
        <v>9489</v>
      </c>
      <c r="B423" s="1" t="s">
        <v>52</v>
      </c>
      <c r="C423" s="1" t="s">
        <v>23</v>
      </c>
      <c r="D423" s="19" t="s">
        <v>809</v>
      </c>
      <c r="E423" s="15" t="str">
        <f>HYPERLINK("https://stat100.ameba.jp/tnk47/ratio20/illustrations/card/ill_68033_0_kurisumasupateikandamyojin03.jpg?201906-4-RELEASE-guildbattle-415", "■")</f>
        <v>■</v>
      </c>
      <c r="F423" s="1" t="s">
        <v>1871</v>
      </c>
      <c r="G423" s="1">
        <v>139878</v>
      </c>
      <c r="H423" s="1">
        <v>150466</v>
      </c>
      <c r="I423" s="1">
        <v>22</v>
      </c>
      <c r="J423" s="1" t="s">
        <v>44</v>
      </c>
      <c r="K423" s="1" t="s">
        <v>1872</v>
      </c>
      <c r="L423" s="1" t="s">
        <v>1873</v>
      </c>
      <c r="M423" s="14" t="s">
        <v>9158</v>
      </c>
      <c r="N423" s="14" t="s">
        <v>9158</v>
      </c>
      <c r="O423" s="7" t="s">
        <v>3482</v>
      </c>
      <c r="P423" s="1" t="s">
        <v>3483</v>
      </c>
      <c r="Q423" s="1">
        <v>2</v>
      </c>
    </row>
    <row r="424" spans="1:17">
      <c r="A424" s="14" t="s">
        <v>9477</v>
      </c>
      <c r="B424" s="1" t="s">
        <v>52</v>
      </c>
      <c r="C424" s="1" t="s">
        <v>1</v>
      </c>
      <c r="D424" s="19" t="s">
        <v>513</v>
      </c>
      <c r="E424" s="15" t="str">
        <f>HYPERLINK("https://stat100.ameba.jp/tnk47/ratio20/illustrations/card/ill_44283_0_izumonokuni03.jpg?201906-4-RELEASE-guildbattle-415", "■")</f>
        <v>■</v>
      </c>
      <c r="F424" s="1" t="s">
        <v>1716</v>
      </c>
      <c r="G424" s="1">
        <v>128744</v>
      </c>
      <c r="H424" s="1">
        <v>120576</v>
      </c>
      <c r="I424" s="1">
        <v>22</v>
      </c>
      <c r="J424" s="1" t="s">
        <v>16</v>
      </c>
      <c r="K424" s="1" t="s">
        <v>2254</v>
      </c>
      <c r="L424" s="1" t="s">
        <v>1718</v>
      </c>
      <c r="M424" s="14" t="s">
        <v>9158</v>
      </c>
      <c r="N424" s="14" t="s">
        <v>9158</v>
      </c>
      <c r="O424" s="9" t="s">
        <v>9158</v>
      </c>
      <c r="P424" s="14" t="s">
        <v>9158</v>
      </c>
      <c r="Q424" s="14" t="s">
        <v>9158</v>
      </c>
    </row>
    <row r="425" spans="1:17">
      <c r="A425" s="14" t="s">
        <v>9490</v>
      </c>
      <c r="B425" s="1" t="s">
        <v>330</v>
      </c>
      <c r="C425" s="1" t="s">
        <v>191</v>
      </c>
      <c r="D425" s="19" t="s">
        <v>793</v>
      </c>
      <c r="E425" s="15" t="str">
        <f>HYPERLINK("https://stat100.ameba.jp/tnk47/ratio20/illustrations/card/ill_39933_0_reihiiinaotora03.jpg?201906-4-RELEASE-guildbattle-415", "■")</f>
        <v>■</v>
      </c>
      <c r="F425" s="1" t="s">
        <v>794</v>
      </c>
      <c r="G425" s="1">
        <v>120576</v>
      </c>
      <c r="H425" s="1">
        <v>128744</v>
      </c>
      <c r="I425" s="1">
        <v>22</v>
      </c>
      <c r="J425" s="1" t="s">
        <v>315</v>
      </c>
      <c r="K425" s="1" t="s">
        <v>795</v>
      </c>
      <c r="L425" s="1" t="s">
        <v>796</v>
      </c>
      <c r="M425" s="14" t="s">
        <v>9158</v>
      </c>
      <c r="N425" s="14" t="s">
        <v>9158</v>
      </c>
      <c r="O425" s="9" t="s">
        <v>9158</v>
      </c>
      <c r="P425" s="14" t="s">
        <v>9158</v>
      </c>
      <c r="Q425" s="14" t="s">
        <v>9158</v>
      </c>
    </row>
    <row r="426" spans="1:17">
      <c r="A426" s="16">
        <v>52593</v>
      </c>
      <c r="B426" s="1" t="s">
        <v>334</v>
      </c>
      <c r="C426" s="1" t="s">
        <v>185</v>
      </c>
      <c r="D426" s="19" t="s">
        <v>10287</v>
      </c>
      <c r="E426" s="15" t="str">
        <f>HYPERLINK("https://stat100.ameba.jp/tnk47/ratio20/illustrations/card/ill_52593_sengokumibirakikitsunenohoju03.jpg?201906-4-RELEASE-guildbattle-415", "■")</f>
        <v>■</v>
      </c>
      <c r="F426" s="1" t="s">
        <v>3551</v>
      </c>
      <c r="G426" s="1">
        <v>88650</v>
      </c>
      <c r="H426" s="1">
        <v>82422</v>
      </c>
      <c r="I426" s="1">
        <v>23</v>
      </c>
      <c r="J426" s="1" t="s">
        <v>38</v>
      </c>
      <c r="K426" s="1" t="s">
        <v>3552</v>
      </c>
      <c r="L426" s="1" t="s">
        <v>3553</v>
      </c>
      <c r="M426" s="14" t="s">
        <v>9158</v>
      </c>
      <c r="N426" s="14" t="s">
        <v>9158</v>
      </c>
      <c r="O426" s="7" t="s">
        <v>3554</v>
      </c>
      <c r="P426" s="1" t="s">
        <v>13124</v>
      </c>
      <c r="Q426" s="1">
        <v>1</v>
      </c>
    </row>
    <row r="427" spans="1:17">
      <c r="A427" s="16">
        <v>63333</v>
      </c>
      <c r="B427" s="1" t="s">
        <v>5273</v>
      </c>
      <c r="C427" s="1" t="s">
        <v>5274</v>
      </c>
      <c r="D427" s="19" t="s">
        <v>10288</v>
      </c>
      <c r="E427" s="15" t="str">
        <f>HYPERLINK("https://stat100.ameba.jp/tnk47/ratio20/illustrations/card/ill_63333_ajisaiikushima03.jpg?201906-4-RELEASE-guildbattle-415", "■")</f>
        <v>■</v>
      </c>
      <c r="F427" s="1" t="s">
        <v>5275</v>
      </c>
      <c r="G427" s="1">
        <v>53352</v>
      </c>
      <c r="H427" s="1">
        <v>48390</v>
      </c>
      <c r="I427" s="1">
        <v>18</v>
      </c>
      <c r="J427" s="1" t="s">
        <v>5276</v>
      </c>
      <c r="K427" s="1" t="s">
        <v>5277</v>
      </c>
      <c r="L427" s="1" t="s">
        <v>5278</v>
      </c>
      <c r="M427" s="14" t="s">
        <v>9158</v>
      </c>
      <c r="N427" s="14" t="s">
        <v>9158</v>
      </c>
      <c r="O427" s="9" t="s">
        <v>9158</v>
      </c>
      <c r="P427" s="14" t="s">
        <v>9158</v>
      </c>
      <c r="Q427" s="14" t="s">
        <v>9158</v>
      </c>
    </row>
    <row r="428" spans="1:17">
      <c r="A428" s="16">
        <v>74163</v>
      </c>
      <c r="B428" s="1" t="s">
        <v>5279</v>
      </c>
      <c r="C428" s="1" t="s">
        <v>165</v>
      </c>
      <c r="D428" s="19" t="s">
        <v>10289</v>
      </c>
      <c r="E428" s="15" t="str">
        <f>HYPERLINK("https://stat100.ameba.jp/tnk47/ratio20/illustrations/card/ill_74163_kitabataketomonori03.jpg?201906-4-RELEASE-guildbattle-415", "■")</f>
        <v>■</v>
      </c>
      <c r="F428" s="1" t="s">
        <v>5280</v>
      </c>
      <c r="G428" s="1">
        <v>29388</v>
      </c>
      <c r="H428" s="1">
        <v>35346</v>
      </c>
      <c r="I428" s="1">
        <v>17</v>
      </c>
      <c r="J428" s="1" t="s">
        <v>5281</v>
      </c>
      <c r="K428" s="1" t="s">
        <v>5282</v>
      </c>
      <c r="L428" s="1" t="s">
        <v>5283</v>
      </c>
      <c r="M428" s="14" t="s">
        <v>9158</v>
      </c>
      <c r="N428" s="14" t="s">
        <v>9158</v>
      </c>
      <c r="O428" s="9" t="s">
        <v>9158</v>
      </c>
      <c r="P428" s="14" t="s">
        <v>9158</v>
      </c>
      <c r="Q428" s="14" t="s">
        <v>9158</v>
      </c>
    </row>
    <row r="429" spans="1:17">
      <c r="A429" s="16">
        <v>65883</v>
      </c>
      <c r="B429" s="1" t="s">
        <v>5284</v>
      </c>
      <c r="C429" s="1" t="s">
        <v>5285</v>
      </c>
      <c r="D429" s="19" t="s">
        <v>10290</v>
      </c>
      <c r="E429" s="15" t="str">
        <f>HYPERLINK("https://stat100.ameba.jp/tnk47/ratio20/illustrations/card/ill_65883_ameutatachibanachikage03.jpg?201906-4-RELEASE-guildbattle-415", "■")</f>
        <v>■</v>
      </c>
      <c r="F429" s="1" t="s">
        <v>5286</v>
      </c>
      <c r="G429" s="1">
        <v>21398</v>
      </c>
      <c r="H429" s="1">
        <v>17972</v>
      </c>
      <c r="I429" s="1">
        <v>17</v>
      </c>
      <c r="J429" s="1" t="s">
        <v>16</v>
      </c>
      <c r="K429" s="1" t="s">
        <v>5287</v>
      </c>
      <c r="L429" s="1" t="s">
        <v>5288</v>
      </c>
      <c r="M429" s="14" t="s">
        <v>9158</v>
      </c>
      <c r="N429" s="14" t="s">
        <v>9158</v>
      </c>
      <c r="O429" s="9" t="s">
        <v>9158</v>
      </c>
      <c r="P429" s="14" t="s">
        <v>9158</v>
      </c>
      <c r="Q429" s="14" t="s">
        <v>9158</v>
      </c>
    </row>
    <row r="430" spans="1:17">
      <c r="O430" s="7"/>
    </row>
    <row r="431" spans="1:17">
      <c r="A431" s="1" t="s">
        <v>5289</v>
      </c>
      <c r="O431" s="7"/>
    </row>
    <row r="432" spans="1:17" s="14" customFormat="1">
      <c r="A432" s="1" t="s">
        <v>5290</v>
      </c>
      <c r="O432" s="9"/>
    </row>
    <row r="433" spans="1:17">
      <c r="A433" s="14" t="s">
        <v>9493</v>
      </c>
      <c r="B433" s="1" t="s">
        <v>52</v>
      </c>
      <c r="C433" s="1" t="s">
        <v>202</v>
      </c>
      <c r="D433" s="19" t="s">
        <v>10291</v>
      </c>
      <c r="E433" s="15" t="str">
        <f>HYPERLINK("https://stat100.ameba.jp/tnk47/ratio20/illustrations/card/ill_77963_0_kurisumasudaisakusentakiyashahime03.jpg?201906-4-RELEASE-guildbattle-415", "■")</f>
        <v>■</v>
      </c>
      <c r="F433" s="1" t="s">
        <v>2127</v>
      </c>
      <c r="G433" s="1">
        <v>294746</v>
      </c>
      <c r="H433" s="1">
        <v>266388</v>
      </c>
      <c r="I433" s="1">
        <v>24</v>
      </c>
      <c r="J433" s="1" t="s">
        <v>77</v>
      </c>
      <c r="K433" s="1" t="s">
        <v>2128</v>
      </c>
      <c r="L433" s="1" t="s">
        <v>2129</v>
      </c>
      <c r="M433" s="14" t="s">
        <v>9158</v>
      </c>
      <c r="N433" s="14" t="s">
        <v>9158</v>
      </c>
      <c r="O433" s="7" t="s">
        <v>3588</v>
      </c>
      <c r="P433" s="1" t="s">
        <v>3589</v>
      </c>
      <c r="Q433" s="1">
        <v>2</v>
      </c>
    </row>
    <row r="434" spans="1:17">
      <c r="A434" s="16">
        <v>75333</v>
      </c>
      <c r="B434" s="1" t="s">
        <v>334</v>
      </c>
      <c r="C434" s="1" t="s">
        <v>200</v>
      </c>
      <c r="D434" s="19" t="s">
        <v>3206</v>
      </c>
      <c r="E434" s="15" t="str">
        <f>HYPERLINK("https://stat100.ameba.jp/tnk47/ratio20/illustrations/card/ill_75333_resukuintamamonomae03.jpg?201906-4-RELEASE-guildbattle-415", "■")</f>
        <v>■</v>
      </c>
      <c r="F434" s="1" t="s">
        <v>3207</v>
      </c>
      <c r="G434" s="1">
        <v>89121</v>
      </c>
      <c r="H434" s="1">
        <v>95830</v>
      </c>
      <c r="I434" s="1">
        <v>23</v>
      </c>
      <c r="J434" s="1" t="s">
        <v>320</v>
      </c>
      <c r="K434" s="1" t="s">
        <v>3208</v>
      </c>
      <c r="L434" s="1" t="s">
        <v>3209</v>
      </c>
      <c r="M434" s="14" t="s">
        <v>9158</v>
      </c>
      <c r="N434" s="14" t="s">
        <v>9158</v>
      </c>
      <c r="O434" s="6" t="s">
        <v>10053</v>
      </c>
      <c r="P434" s="1" t="s">
        <v>2822</v>
      </c>
      <c r="Q434" s="1">
        <v>1</v>
      </c>
    </row>
    <row r="435" spans="1:17">
      <c r="A435" s="16">
        <v>73723</v>
      </c>
      <c r="B435" s="1" t="s">
        <v>334</v>
      </c>
      <c r="C435" s="1" t="s">
        <v>191</v>
      </c>
      <c r="D435" s="19" t="s">
        <v>10292</v>
      </c>
      <c r="E435" s="15" t="str">
        <f>HYPERLINK("https://stat100.ameba.jp/tnk47/ratio20/illustrations/card/ill_73723_umibirakitomoegozen03.jpg?201906-4-RELEASE-guildbattle-415", "■")</f>
        <v>■</v>
      </c>
      <c r="F435" s="1" t="s">
        <v>3457</v>
      </c>
      <c r="G435" s="1">
        <v>136729</v>
      </c>
      <c r="H435" s="1">
        <v>127130</v>
      </c>
      <c r="I435" s="1">
        <v>23</v>
      </c>
      <c r="J435" s="1" t="s">
        <v>143</v>
      </c>
      <c r="K435" s="1" t="s">
        <v>3458</v>
      </c>
      <c r="L435" s="1" t="s">
        <v>3459</v>
      </c>
      <c r="M435" s="14" t="s">
        <v>9158</v>
      </c>
      <c r="N435" s="14" t="s">
        <v>9158</v>
      </c>
      <c r="O435" s="6" t="s">
        <v>10057</v>
      </c>
      <c r="P435" s="1" t="s">
        <v>3460</v>
      </c>
      <c r="Q435" s="1">
        <v>1</v>
      </c>
    </row>
    <row r="436" spans="1:17">
      <c r="A436" s="16">
        <v>62473</v>
      </c>
      <c r="B436" s="1" t="s">
        <v>334</v>
      </c>
      <c r="C436" s="1" t="s">
        <v>203</v>
      </c>
      <c r="D436" s="19" t="s">
        <v>2834</v>
      </c>
      <c r="E436" s="15" t="str">
        <f>HYPERLINK("https://stat100.ameba.jp/tnk47/ratio20/illustrations/card/ill_62473_kokuriko03.jpg?201906-4-RELEASE-guildbattle-415", "■")</f>
        <v>■</v>
      </c>
      <c r="F436" s="1" t="s">
        <v>2835</v>
      </c>
      <c r="G436" s="1">
        <v>104989</v>
      </c>
      <c r="H436" s="1">
        <v>76042</v>
      </c>
      <c r="I436" s="1">
        <v>23</v>
      </c>
      <c r="J436" s="1" t="s">
        <v>401</v>
      </c>
      <c r="K436" s="1" t="s">
        <v>2836</v>
      </c>
      <c r="L436" s="1" t="s">
        <v>2837</v>
      </c>
      <c r="M436" s="14" t="s">
        <v>9158</v>
      </c>
      <c r="N436" s="14" t="s">
        <v>9158</v>
      </c>
      <c r="O436" s="7" t="s">
        <v>2838</v>
      </c>
      <c r="P436" s="1" t="s">
        <v>2839</v>
      </c>
      <c r="Q436" s="1">
        <v>1</v>
      </c>
    </row>
    <row r="437" spans="1:17">
      <c r="O437" s="7"/>
    </row>
    <row r="438" spans="1:17">
      <c r="A438" s="1" t="s">
        <v>4767</v>
      </c>
      <c r="O438" s="7"/>
    </row>
    <row r="439" spans="1:17" s="14" customFormat="1">
      <c r="A439" s="1" t="s">
        <v>5293</v>
      </c>
      <c r="O439" s="9"/>
    </row>
    <row r="440" spans="1:17">
      <c r="A440" s="16">
        <v>76073</v>
      </c>
      <c r="B440" s="1" t="s">
        <v>334</v>
      </c>
      <c r="C440" s="1" t="s">
        <v>154</v>
      </c>
      <c r="D440" s="19" t="s">
        <v>1602</v>
      </c>
      <c r="E440" s="15" t="str">
        <f>HYPERLINK("https://stat100.ameba.jp/tnk47/ratio20/illustrations/card/ill_76073_kokidogatapatobatora03.jpg?201906-5-RELEASE-marathon-416", "■")</f>
        <v>■</v>
      </c>
      <c r="F440" s="1" t="s">
        <v>1217</v>
      </c>
      <c r="G440" s="1">
        <v>140556</v>
      </c>
      <c r="H440" s="1">
        <v>130691</v>
      </c>
      <c r="I440" s="1">
        <v>23</v>
      </c>
      <c r="J440" s="1" t="s">
        <v>143</v>
      </c>
      <c r="K440" s="1" t="s">
        <v>1218</v>
      </c>
      <c r="L440" s="1" t="s">
        <v>1219</v>
      </c>
      <c r="M440" s="14" t="s">
        <v>9158</v>
      </c>
      <c r="N440" s="14" t="s">
        <v>9158</v>
      </c>
      <c r="O440" s="9" t="s">
        <v>9158</v>
      </c>
      <c r="P440" s="14" t="s">
        <v>9158</v>
      </c>
      <c r="Q440" s="14" t="s">
        <v>9158</v>
      </c>
    </row>
    <row r="441" spans="1:17">
      <c r="A441" s="16">
        <v>76083</v>
      </c>
      <c r="B441" s="1" t="s">
        <v>334</v>
      </c>
      <c r="C441" s="1" t="s">
        <v>158</v>
      </c>
      <c r="D441" s="19" t="s">
        <v>1606</v>
      </c>
      <c r="E441" s="15" t="str">
        <f>HYPERLINK("https://stat100.ameba.jp/tnk47/ratio20/illustrations/card/ill_76083_dokutamedeikku03.jpg?201906-5-RELEASE-marathon-416", "■")</f>
        <v>■</v>
      </c>
      <c r="F441" s="1" t="s">
        <v>1221</v>
      </c>
      <c r="G441" s="1">
        <v>101002</v>
      </c>
      <c r="H441" s="1">
        <v>108611</v>
      </c>
      <c r="I441" s="1">
        <v>23</v>
      </c>
      <c r="J441" s="1" t="s">
        <v>16</v>
      </c>
      <c r="K441" s="1" t="s">
        <v>1222</v>
      </c>
      <c r="L441" s="1" t="s">
        <v>1223</v>
      </c>
      <c r="M441" s="14" t="s">
        <v>9158</v>
      </c>
      <c r="N441" s="14" t="s">
        <v>9158</v>
      </c>
      <c r="O441" s="9" t="s">
        <v>9158</v>
      </c>
      <c r="P441" s="14" t="s">
        <v>9158</v>
      </c>
      <c r="Q441" s="14" t="s">
        <v>9158</v>
      </c>
    </row>
    <row r="442" spans="1:17">
      <c r="A442" s="16">
        <v>76093</v>
      </c>
      <c r="B442" s="1" t="s">
        <v>334</v>
      </c>
      <c r="C442" s="1" t="s">
        <v>202</v>
      </c>
      <c r="D442" s="19" t="s">
        <v>1610</v>
      </c>
      <c r="E442" s="15" t="str">
        <f>HYPERLINK("https://stat100.ameba.jp/tnk47/ratio20/illustrations/card/ill_76093_fuaiafuaita03.jpg?201906-5-RELEASE-marathon-416", "■")</f>
        <v>■</v>
      </c>
      <c r="F442" s="1" t="s">
        <v>1225</v>
      </c>
      <c r="G442" s="1">
        <v>101002</v>
      </c>
      <c r="H442" s="1">
        <v>108611</v>
      </c>
      <c r="I442" s="1">
        <v>23</v>
      </c>
      <c r="J442" s="1" t="s">
        <v>10</v>
      </c>
      <c r="K442" s="1" t="s">
        <v>1226</v>
      </c>
      <c r="L442" s="1" t="s">
        <v>1227</v>
      </c>
      <c r="M442" s="14" t="s">
        <v>9158</v>
      </c>
      <c r="N442" s="14" t="s">
        <v>9158</v>
      </c>
      <c r="O442" s="9" t="s">
        <v>9158</v>
      </c>
      <c r="P442" s="14" t="s">
        <v>9158</v>
      </c>
      <c r="Q442" s="14" t="s">
        <v>9158</v>
      </c>
    </row>
    <row r="443" spans="1:17">
      <c r="A443" s="16">
        <v>74413</v>
      </c>
      <c r="B443" s="1" t="s">
        <v>334</v>
      </c>
      <c r="C443" s="1" t="s">
        <v>202</v>
      </c>
      <c r="D443" s="19" t="s">
        <v>1614</v>
      </c>
      <c r="E443" s="15" t="str">
        <f>HYPERLINK("https://stat100.ameba.jp/tnk47/ratio20/illustrations/card/ill_74413_mutekisenkanyamato03.jpg?201906-5-RELEASE-marathon-416", "■")</f>
        <v>■</v>
      </c>
      <c r="F443" s="1" t="s">
        <v>37</v>
      </c>
      <c r="G443" s="1">
        <v>135444</v>
      </c>
      <c r="H443" s="1">
        <v>125945</v>
      </c>
      <c r="I443" s="1">
        <v>23</v>
      </c>
      <c r="J443" s="1" t="s">
        <v>38</v>
      </c>
      <c r="K443" s="1" t="s">
        <v>39</v>
      </c>
      <c r="L443" s="1" t="s">
        <v>40</v>
      </c>
      <c r="M443" s="14" t="s">
        <v>9158</v>
      </c>
      <c r="N443" s="14" t="s">
        <v>9158</v>
      </c>
      <c r="O443" s="9" t="s">
        <v>9158</v>
      </c>
      <c r="P443" s="14" t="s">
        <v>9158</v>
      </c>
      <c r="Q443" s="14" t="s">
        <v>9158</v>
      </c>
    </row>
    <row r="444" spans="1:17">
      <c r="A444" s="16">
        <v>74373</v>
      </c>
      <c r="B444" s="1" t="s">
        <v>334</v>
      </c>
      <c r="C444" s="1" t="s">
        <v>203</v>
      </c>
      <c r="D444" s="19" t="s">
        <v>1618</v>
      </c>
      <c r="E444" s="15" t="str">
        <f>HYPERLINK("https://stat100.ameba.jp/tnk47/ratio20/illustrations/card/ill_74373_shirasaginomaihimejijou03.jpg?201906-5-RELEASE-marathon-416", "■")</f>
        <v>■</v>
      </c>
      <c r="F444" s="1" t="s">
        <v>43</v>
      </c>
      <c r="G444" s="1">
        <v>90723</v>
      </c>
      <c r="H444" s="1">
        <v>84375</v>
      </c>
      <c r="I444" s="1">
        <v>23</v>
      </c>
      <c r="J444" s="1" t="s">
        <v>44</v>
      </c>
      <c r="K444" s="1" t="s">
        <v>45</v>
      </c>
      <c r="L444" s="1" t="s">
        <v>46</v>
      </c>
      <c r="M444" s="14" t="s">
        <v>9158</v>
      </c>
      <c r="N444" s="14" t="s">
        <v>9158</v>
      </c>
      <c r="O444" s="9" t="s">
        <v>9158</v>
      </c>
      <c r="P444" s="14" t="s">
        <v>9158</v>
      </c>
      <c r="Q444" s="14" t="s">
        <v>9158</v>
      </c>
    </row>
    <row r="445" spans="1:17">
      <c r="A445" s="16">
        <v>74363</v>
      </c>
      <c r="B445" s="1" t="s">
        <v>334</v>
      </c>
      <c r="C445" s="1" t="s">
        <v>209</v>
      </c>
      <c r="D445" s="19" t="s">
        <v>1622</v>
      </c>
      <c r="E445" s="15" t="str">
        <f>HYPERLINK("https://stat100.ameba.jp/tnk47/ratio20/illustrations/card/ill_74363_gantorikuren03.jpg?201906-5-RELEASE-marathon-416", "■")</f>
        <v>■</v>
      </c>
      <c r="F445" s="1" t="s">
        <v>49</v>
      </c>
      <c r="G445" s="1">
        <v>86751</v>
      </c>
      <c r="H445" s="1">
        <v>93277</v>
      </c>
      <c r="I445" s="1">
        <v>23</v>
      </c>
      <c r="J445" s="1" t="s">
        <v>26</v>
      </c>
      <c r="K445" s="1" t="s">
        <v>50</v>
      </c>
      <c r="L445" s="1" t="s">
        <v>12</v>
      </c>
      <c r="M445" s="14" t="s">
        <v>9158</v>
      </c>
      <c r="N445" s="14" t="s">
        <v>9158</v>
      </c>
      <c r="O445" s="9" t="s">
        <v>9158</v>
      </c>
      <c r="P445" s="14" t="s">
        <v>9158</v>
      </c>
      <c r="Q445" s="14" t="s">
        <v>9158</v>
      </c>
    </row>
    <row r="446" spans="1:17">
      <c r="O446" s="7"/>
    </row>
    <row r="447" spans="1:17">
      <c r="A447" s="1" t="s">
        <v>195</v>
      </c>
      <c r="O447" s="7"/>
    </row>
    <row r="448" spans="1:17" s="14" customFormat="1">
      <c r="A448" s="1" t="s">
        <v>5294</v>
      </c>
      <c r="O448" s="9"/>
    </row>
    <row r="449" spans="1:17">
      <c r="A449" s="16">
        <v>62203</v>
      </c>
      <c r="B449" s="1" t="s">
        <v>334</v>
      </c>
      <c r="C449" s="1" t="s">
        <v>154</v>
      </c>
      <c r="D449" s="19" t="s">
        <v>3039</v>
      </c>
      <c r="E449" s="15" t="str">
        <f>HYPERLINK("https://stat100.ameba.jp/tnk47/ratio20/illustrations/card/ill_62203_keishoimmasahime03.jpg?201906-5-RELEASE-marathon-416", "■")</f>
        <v>■</v>
      </c>
      <c r="F449" s="1" t="s">
        <v>2261</v>
      </c>
      <c r="G449" s="1">
        <v>88226</v>
      </c>
      <c r="H449" s="1">
        <v>94886</v>
      </c>
      <c r="I449" s="1">
        <v>22</v>
      </c>
      <c r="J449" s="1" t="s">
        <v>77</v>
      </c>
      <c r="K449" s="1" t="s">
        <v>2262</v>
      </c>
      <c r="L449" s="1" t="s">
        <v>2263</v>
      </c>
      <c r="M449" s="14" t="s">
        <v>9158</v>
      </c>
      <c r="N449" s="14" t="s">
        <v>9158</v>
      </c>
      <c r="O449" s="9" t="s">
        <v>9158</v>
      </c>
      <c r="P449" s="14" t="s">
        <v>9158</v>
      </c>
      <c r="Q449" s="14" t="s">
        <v>9158</v>
      </c>
    </row>
    <row r="450" spans="1:17">
      <c r="A450" s="16">
        <v>69723</v>
      </c>
      <c r="B450" s="1" t="s">
        <v>334</v>
      </c>
      <c r="C450" s="1" t="s">
        <v>158</v>
      </c>
      <c r="D450" s="19" t="s">
        <v>3042</v>
      </c>
      <c r="E450" s="15" t="str">
        <f>HYPERLINK("https://stat100.ameba.jp/tnk47/ratio20/illustrations/card/ill_69723_nakaurajurian03.jpg?201906-5-RELEASE-marathon-416", "■")</f>
        <v>■</v>
      </c>
      <c r="F450" s="1" t="s">
        <v>2257</v>
      </c>
      <c r="G450" s="1">
        <v>88226</v>
      </c>
      <c r="H450" s="1">
        <v>94886</v>
      </c>
      <c r="I450" s="1">
        <v>22</v>
      </c>
      <c r="J450" s="1" t="s">
        <v>173</v>
      </c>
      <c r="K450" s="1" t="s">
        <v>2258</v>
      </c>
      <c r="L450" s="1" t="s">
        <v>2259</v>
      </c>
      <c r="M450" s="14" t="s">
        <v>9158</v>
      </c>
      <c r="N450" s="14" t="s">
        <v>9158</v>
      </c>
      <c r="O450" s="9" t="s">
        <v>9158</v>
      </c>
      <c r="P450" s="14" t="s">
        <v>9158</v>
      </c>
      <c r="Q450" s="14" t="s">
        <v>9158</v>
      </c>
    </row>
    <row r="451" spans="1:17">
      <c r="A451" s="16">
        <v>69883</v>
      </c>
      <c r="B451" s="1" t="s">
        <v>334</v>
      </c>
      <c r="C451" s="1" t="s">
        <v>185</v>
      </c>
      <c r="D451" s="19" t="s">
        <v>10293</v>
      </c>
      <c r="E451" s="15" t="str">
        <f>HYPERLINK("https://stat100.ameba.jp/tnk47/ratio20/illustrations/card/ill_69883_kyupiddotominushihime03.jpg?201906-5-RELEASE-marathon-416", "■")</f>
        <v>■</v>
      </c>
      <c r="F451" s="1" t="s">
        <v>4142</v>
      </c>
      <c r="G451" s="1">
        <v>83426</v>
      </c>
      <c r="H451" s="1">
        <v>89736</v>
      </c>
      <c r="I451" s="1">
        <v>22</v>
      </c>
      <c r="J451" s="1" t="s">
        <v>169</v>
      </c>
      <c r="K451" s="1" t="s">
        <v>4143</v>
      </c>
      <c r="L451" s="1" t="s">
        <v>13190</v>
      </c>
      <c r="M451" s="14" t="s">
        <v>9158</v>
      </c>
      <c r="N451" s="14" t="s">
        <v>9158</v>
      </c>
      <c r="O451" s="9" t="s">
        <v>9158</v>
      </c>
      <c r="P451" s="14" t="s">
        <v>9158</v>
      </c>
      <c r="Q451" s="14" t="s">
        <v>9158</v>
      </c>
    </row>
    <row r="452" spans="1:17">
      <c r="A452" s="16">
        <v>71833</v>
      </c>
      <c r="B452" s="1" t="s">
        <v>334</v>
      </c>
      <c r="C452" s="1" t="s">
        <v>165</v>
      </c>
      <c r="D452" s="19" t="s">
        <v>10294</v>
      </c>
      <c r="E452" s="15" t="str">
        <f>HYPERLINK("https://stat100.ameba.jp/tnk47/ratio20/illustrations/card/ill_71833_autodoanuregamidoji03.jpg?201906-5-RELEASE-marathon-416", "■")</f>
        <v>■</v>
      </c>
      <c r="F452" s="1" t="s">
        <v>5291</v>
      </c>
      <c r="G452" s="1">
        <v>85246</v>
      </c>
      <c r="H452" s="1">
        <v>91664</v>
      </c>
      <c r="I452" s="1">
        <v>22</v>
      </c>
      <c r="J452" s="1" t="s">
        <v>320</v>
      </c>
      <c r="K452" s="1" t="s">
        <v>4244</v>
      </c>
      <c r="L452" s="1" t="s">
        <v>4245</v>
      </c>
      <c r="M452" s="14" t="s">
        <v>9158</v>
      </c>
      <c r="N452" s="14" t="s">
        <v>9158</v>
      </c>
      <c r="O452" s="9" t="s">
        <v>9158</v>
      </c>
      <c r="P452" s="14" t="s">
        <v>9158</v>
      </c>
      <c r="Q452" s="14" t="s">
        <v>9158</v>
      </c>
    </row>
    <row r="453" spans="1:17">
      <c r="O453" s="7"/>
    </row>
    <row r="454" spans="1:17">
      <c r="A454" s="1" t="s">
        <v>5296</v>
      </c>
      <c r="O454" s="7"/>
    </row>
    <row r="455" spans="1:17" s="14" customFormat="1">
      <c r="A455" s="1" t="s">
        <v>5297</v>
      </c>
      <c r="O455" s="9"/>
    </row>
    <row r="456" spans="1:17" s="14" customFormat="1">
      <c r="A456" s="1" t="s">
        <v>9435</v>
      </c>
      <c r="O456" s="9"/>
    </row>
    <row r="457" spans="1:17">
      <c r="A457" s="14" t="s">
        <v>9470</v>
      </c>
      <c r="B457" s="1" t="s">
        <v>330</v>
      </c>
      <c r="C457" s="1" t="s">
        <v>35</v>
      </c>
      <c r="D457" s="19" t="s">
        <v>10168</v>
      </c>
      <c r="E457" s="15" t="str">
        <f>HYPERLINK("https://stat100.ameba.jp/tnk47/ratio20/illustrations/card/ill_81783_0_denshagarukoteipenginchan03.jpg?201906-5-RELEASE-marathon-416", "■")</f>
        <v>■</v>
      </c>
      <c r="F457" s="1" t="s">
        <v>4834</v>
      </c>
      <c r="G457" s="1">
        <v>174439</v>
      </c>
      <c r="H457" s="1">
        <v>157647</v>
      </c>
      <c r="I457" s="1">
        <v>15</v>
      </c>
      <c r="J457" s="1" t="s">
        <v>26</v>
      </c>
      <c r="K457" s="1" t="s">
        <v>4836</v>
      </c>
      <c r="L457" s="1" t="s">
        <v>1783</v>
      </c>
      <c r="M457" s="14" t="s">
        <v>9158</v>
      </c>
      <c r="N457" s="14" t="s">
        <v>9158</v>
      </c>
      <c r="O457" s="6" t="s">
        <v>9993</v>
      </c>
      <c r="P457" s="1" t="s">
        <v>4838</v>
      </c>
      <c r="Q457" s="1">
        <v>1</v>
      </c>
    </row>
    <row r="458" spans="1:17">
      <c r="A458" s="16">
        <v>82133</v>
      </c>
      <c r="B458" s="1" t="s">
        <v>334</v>
      </c>
      <c r="C458" s="1" t="s">
        <v>165</v>
      </c>
      <c r="D458" s="19" t="s">
        <v>10295</v>
      </c>
      <c r="E458" s="15" t="str">
        <f>HYPERLINK("https://stat100.ameba.jp/tnk47/ratio20/illustrations/card/ill_82133_senritsunosumasshukobitokaba03.jpg?201906-5-RELEASE-marathon-416", "■")</f>
        <v>■</v>
      </c>
      <c r="F458" s="1" t="s">
        <v>5298</v>
      </c>
      <c r="G458" s="1">
        <v>91010</v>
      </c>
      <c r="H458" s="1">
        <v>97894</v>
      </c>
      <c r="I458" s="1">
        <v>24</v>
      </c>
      <c r="J458" s="1" t="s">
        <v>5299</v>
      </c>
      <c r="K458" s="1" t="s">
        <v>5300</v>
      </c>
      <c r="L458" s="1" t="s">
        <v>5301</v>
      </c>
      <c r="M458" s="14" t="s">
        <v>9158</v>
      </c>
      <c r="N458" s="14" t="s">
        <v>9158</v>
      </c>
      <c r="O458" s="9" t="s">
        <v>9158</v>
      </c>
      <c r="P458" s="14" t="s">
        <v>9158</v>
      </c>
      <c r="Q458" s="14" t="s">
        <v>9158</v>
      </c>
    </row>
    <row r="459" spans="1:17">
      <c r="A459" s="16">
        <v>82143</v>
      </c>
      <c r="B459" s="1" t="s">
        <v>5302</v>
      </c>
      <c r="C459" s="1" t="s">
        <v>5303</v>
      </c>
      <c r="D459" s="19" t="s">
        <v>10296</v>
      </c>
      <c r="E459" s="15" t="str">
        <f>HYPERLINK("https://stat100.ameba.jp/tnk47/ratio20/illustrations/card/ill_82143_mitsuishinokami03.jpg?201906-5-RELEASE-marathon-416", "■")</f>
        <v>■</v>
      </c>
      <c r="F459" s="1" t="s">
        <v>5304</v>
      </c>
      <c r="G459" s="1">
        <v>68172</v>
      </c>
      <c r="H459" s="1">
        <v>68172</v>
      </c>
      <c r="I459" s="1">
        <v>23</v>
      </c>
      <c r="J459" s="1" t="s">
        <v>5305</v>
      </c>
      <c r="K459" s="1" t="s">
        <v>5306</v>
      </c>
      <c r="L459" s="1" t="s">
        <v>5307</v>
      </c>
      <c r="M459" s="14" t="s">
        <v>9158</v>
      </c>
      <c r="N459" s="14" t="s">
        <v>9158</v>
      </c>
      <c r="O459" s="9" t="s">
        <v>9158</v>
      </c>
      <c r="P459" s="14" t="s">
        <v>9158</v>
      </c>
      <c r="Q459" s="14" t="s">
        <v>9158</v>
      </c>
    </row>
    <row r="460" spans="1:17">
      <c r="A460" s="16">
        <v>82153</v>
      </c>
      <c r="B460" s="1" t="s">
        <v>5308</v>
      </c>
      <c r="C460" s="1" t="s">
        <v>5314</v>
      </c>
      <c r="D460" s="19" t="s">
        <v>10297</v>
      </c>
      <c r="E460" s="15" t="str">
        <f>HYPERLINK("https://stat100.ameba.jp/tnk47/ratio20/illustrations/card/ill_82153_shirokumachan03.jpg?201906-5-RELEASE-marathon-416", "■")</f>
        <v>■</v>
      </c>
      <c r="F460" s="1" t="s">
        <v>5310</v>
      </c>
      <c r="G460" s="1">
        <v>34576</v>
      </c>
      <c r="H460" s="1">
        <v>34576</v>
      </c>
      <c r="I460" s="1">
        <v>20</v>
      </c>
      <c r="J460" s="1" t="s">
        <v>5311</v>
      </c>
      <c r="K460" s="1" t="s">
        <v>5313</v>
      </c>
      <c r="L460" s="1" t="s">
        <v>5312</v>
      </c>
      <c r="M460" s="14" t="s">
        <v>9158</v>
      </c>
      <c r="N460" s="14" t="s">
        <v>9158</v>
      </c>
      <c r="O460" s="9" t="s">
        <v>9158</v>
      </c>
      <c r="P460" s="14" t="s">
        <v>9158</v>
      </c>
      <c r="Q460" s="14" t="s">
        <v>9158</v>
      </c>
    </row>
    <row r="461" spans="1:17">
      <c r="A461" s="16">
        <v>82163</v>
      </c>
      <c r="B461" s="1" t="s">
        <v>5309</v>
      </c>
      <c r="C461" s="1" t="s">
        <v>5315</v>
      </c>
      <c r="D461" s="19" t="s">
        <v>10298</v>
      </c>
      <c r="E461" s="15" t="str">
        <f>HYPERLINK("https://stat100.ameba.jp/tnk47/ratio20/illustrations/card/ill_82163_kakitsubata03.jpg?201906-5-RELEASE-marathon-416", "■")</f>
        <v>■</v>
      </c>
      <c r="F461" s="1" t="s">
        <v>5316</v>
      </c>
      <c r="G461" s="1">
        <v>25176</v>
      </c>
      <c r="H461" s="1">
        <v>21144</v>
      </c>
      <c r="I461" s="1">
        <v>20</v>
      </c>
      <c r="J461" s="1" t="s">
        <v>5299</v>
      </c>
      <c r="K461" s="1" t="s">
        <v>5317</v>
      </c>
      <c r="L461" s="1" t="s">
        <v>5318</v>
      </c>
      <c r="M461" s="14" t="s">
        <v>9158</v>
      </c>
      <c r="N461" s="14" t="s">
        <v>9158</v>
      </c>
      <c r="O461" s="9" t="s">
        <v>9158</v>
      </c>
      <c r="P461" s="14" t="s">
        <v>9158</v>
      </c>
      <c r="Q461" s="14" t="s">
        <v>9158</v>
      </c>
    </row>
    <row r="462" spans="1:17">
      <c r="O462" s="7"/>
    </row>
    <row r="463" spans="1:17">
      <c r="A463" s="1" t="s">
        <v>5292</v>
      </c>
      <c r="O463" s="7"/>
    </row>
    <row r="464" spans="1:17" s="14" customFormat="1">
      <c r="A464" s="1" t="s">
        <v>5295</v>
      </c>
      <c r="O464" s="9"/>
    </row>
    <row r="465" spans="1:17">
      <c r="A465" s="14" t="s">
        <v>9494</v>
      </c>
      <c r="B465" s="1" t="s">
        <v>330</v>
      </c>
      <c r="C465" s="1" t="s">
        <v>35</v>
      </c>
      <c r="D465" s="19" t="s">
        <v>10299</v>
      </c>
      <c r="E465" s="15" t="str">
        <f>HYPERLINK("https://stat100.ameba.jp/tnk47/ratio20/illustrations/card/ill_80623_0_ohanamigurampingutominushihime03.jpg?201906-5-RELEASE-marathon-416", "■")</f>
        <v>■</v>
      </c>
      <c r="F465" s="1" t="s">
        <v>4162</v>
      </c>
      <c r="G465" s="1">
        <v>289274</v>
      </c>
      <c r="H465" s="1">
        <v>261472</v>
      </c>
      <c r="I465" s="1">
        <v>24</v>
      </c>
      <c r="J465" s="1" t="s">
        <v>44</v>
      </c>
      <c r="K465" s="1" t="s">
        <v>4163</v>
      </c>
      <c r="L465" s="1" t="s">
        <v>4164</v>
      </c>
      <c r="M465" s="14" t="s">
        <v>9158</v>
      </c>
      <c r="N465" s="14" t="s">
        <v>9158</v>
      </c>
      <c r="O465" s="7" t="s">
        <v>4165</v>
      </c>
      <c r="P465" s="1" t="s">
        <v>4166</v>
      </c>
      <c r="Q465" s="1">
        <v>1</v>
      </c>
    </row>
    <row r="466" spans="1:17">
      <c r="A466" s="16">
        <v>53423</v>
      </c>
      <c r="B466" s="1" t="s">
        <v>0</v>
      </c>
      <c r="C466" s="1" t="s">
        <v>191</v>
      </c>
      <c r="D466" s="19" t="s">
        <v>10300</v>
      </c>
      <c r="E466" s="15" t="str">
        <f>HYPERLINK("https://stat100.ameba.jp/tnk47/ratio20/illustrations/card/ill_53423_natsumatsuriikumatsu03.jpg?201906-5-RELEASE-marathon-416", "■")</f>
        <v>■</v>
      </c>
      <c r="F466" s="1" t="s">
        <v>3621</v>
      </c>
      <c r="G466" s="1">
        <v>82422</v>
      </c>
      <c r="H466" s="1">
        <v>88650</v>
      </c>
      <c r="I466" s="1">
        <v>23</v>
      </c>
      <c r="J466" s="1" t="s">
        <v>16</v>
      </c>
      <c r="K466" s="1" t="s">
        <v>3622</v>
      </c>
      <c r="L466" s="1" t="s">
        <v>3623</v>
      </c>
      <c r="M466" s="14" t="s">
        <v>9158</v>
      </c>
      <c r="N466" s="14" t="s">
        <v>9158</v>
      </c>
      <c r="O466" s="7" t="s">
        <v>3624</v>
      </c>
      <c r="P466" s="1" t="s">
        <v>3625</v>
      </c>
      <c r="Q466" s="1">
        <v>1</v>
      </c>
    </row>
    <row r="467" spans="1:17">
      <c r="A467" s="16">
        <v>71333</v>
      </c>
      <c r="B467" s="1" t="s">
        <v>0</v>
      </c>
      <c r="C467" s="1" t="s">
        <v>41</v>
      </c>
      <c r="D467" s="19" t="s">
        <v>10256</v>
      </c>
      <c r="E467" s="15" t="str">
        <f>HYPERLINK("https://stat100.ameba.jp/tnk47/ratio20/illustrations/card/ill_71333_fujiwaranokamatari03.jpg?201906-5-RELEASE-marathon-416", "■")</f>
        <v>■</v>
      </c>
      <c r="F467" s="1" t="s">
        <v>58</v>
      </c>
      <c r="G467" s="1">
        <v>100519</v>
      </c>
      <c r="H467" s="1">
        <v>72819</v>
      </c>
      <c r="I467" s="1">
        <v>23</v>
      </c>
      <c r="J467" s="1" t="s">
        <v>10</v>
      </c>
      <c r="K467" s="1" t="s">
        <v>59</v>
      </c>
      <c r="L467" s="1" t="s">
        <v>60</v>
      </c>
      <c r="M467" s="14" t="s">
        <v>9158</v>
      </c>
      <c r="N467" s="14" t="s">
        <v>9158</v>
      </c>
      <c r="O467" s="7" t="s">
        <v>3490</v>
      </c>
      <c r="P467" s="1" t="s">
        <v>3491</v>
      </c>
      <c r="Q467" s="1">
        <v>1</v>
      </c>
    </row>
    <row r="468" spans="1:17">
      <c r="A468" s="16">
        <v>80573</v>
      </c>
      <c r="B468" s="1" t="s">
        <v>334</v>
      </c>
      <c r="C468" s="1" t="s">
        <v>165</v>
      </c>
      <c r="D468" s="19" t="s">
        <v>10301</v>
      </c>
      <c r="E468" s="15" t="str">
        <f>HYPERLINK("https://stat100.ameba.jp/tnk47/ratio20/illustrations/card/ill_80573_ohanamigurampingusotorihime03.jpg?201906-5-RELEASE-marathon-416", "■")</f>
        <v>■</v>
      </c>
      <c r="F468" s="1" t="s">
        <v>4176</v>
      </c>
      <c r="G468" s="1">
        <v>104964</v>
      </c>
      <c r="H468" s="1">
        <v>97420</v>
      </c>
      <c r="I468" s="1">
        <v>23</v>
      </c>
      <c r="J468" s="1" t="s">
        <v>38</v>
      </c>
      <c r="K468" s="1" t="s">
        <v>4177</v>
      </c>
      <c r="L468" s="1" t="s">
        <v>4178</v>
      </c>
      <c r="M468" s="14" t="s">
        <v>9158</v>
      </c>
      <c r="N468" s="14" t="s">
        <v>9158</v>
      </c>
      <c r="O468" s="7" t="s">
        <v>3661</v>
      </c>
      <c r="P468" s="1" t="s">
        <v>3662</v>
      </c>
      <c r="Q468" s="1">
        <v>1</v>
      </c>
    </row>
    <row r="469" spans="1:17">
      <c r="O469" s="7"/>
    </row>
    <row r="470" spans="1:17">
      <c r="A470" s="1" t="s">
        <v>5319</v>
      </c>
      <c r="O470" s="7"/>
    </row>
    <row r="471" spans="1:17" s="14" customFormat="1">
      <c r="A471" s="1" t="s">
        <v>5320</v>
      </c>
      <c r="O471" s="9"/>
    </row>
    <row r="472" spans="1:17">
      <c r="A472" s="14" t="s">
        <v>9495</v>
      </c>
      <c r="B472" s="1" t="s">
        <v>52</v>
      </c>
      <c r="C472" s="1" t="s">
        <v>107</v>
      </c>
      <c r="D472" s="19" t="s">
        <v>543</v>
      </c>
      <c r="E472" s="15" t="str">
        <f>HYPERLINK("https://stat100.ameba.jp/tnk47/ratio20/illustrations/card/ill_52693_0_sengokumibirakiyanagiharabyakuren03.jpg?201906-5-RELEASE-marathon-416", "■")</f>
        <v>■</v>
      </c>
      <c r="F472" s="1" t="s">
        <v>1246</v>
      </c>
      <c r="G472" s="1">
        <v>83712</v>
      </c>
      <c r="H472" s="1">
        <v>94236</v>
      </c>
      <c r="I472" s="1">
        <v>15</v>
      </c>
      <c r="J472" s="1" t="s">
        <v>16</v>
      </c>
      <c r="K472" s="1" t="s">
        <v>1247</v>
      </c>
      <c r="L472" s="1" t="s">
        <v>1248</v>
      </c>
      <c r="M472" s="14" t="s">
        <v>9158</v>
      </c>
      <c r="N472" s="14" t="s">
        <v>9158</v>
      </c>
      <c r="O472" s="7" t="s">
        <v>3303</v>
      </c>
      <c r="P472" s="1" t="s">
        <v>3304</v>
      </c>
      <c r="Q472" s="1">
        <v>1</v>
      </c>
    </row>
    <row r="473" spans="1:17">
      <c r="A473" s="14" t="s">
        <v>9479</v>
      </c>
      <c r="B473" s="1" t="s">
        <v>330</v>
      </c>
      <c r="C473" s="1" t="s">
        <v>191</v>
      </c>
      <c r="D473" s="19" t="s">
        <v>306</v>
      </c>
      <c r="E473" s="15" t="str">
        <f>HYPERLINK("https://stat100.ameba.jp/tnk47/ratio20/illustrations/card/ill_71403_0_ohanamisanadayukimura03.jpg?201906-5-RELEASE-marathon-416", "■")</f>
        <v>■</v>
      </c>
      <c r="F473" s="1" t="s">
        <v>309</v>
      </c>
      <c r="G473" s="1">
        <v>140016</v>
      </c>
      <c r="H473" s="1">
        <v>130194</v>
      </c>
      <c r="I473" s="1">
        <v>15</v>
      </c>
      <c r="J473" s="1" t="s">
        <v>310</v>
      </c>
      <c r="K473" s="1" t="s">
        <v>311</v>
      </c>
      <c r="L473" s="1" t="s">
        <v>312</v>
      </c>
      <c r="M473" s="14" t="s">
        <v>9158</v>
      </c>
      <c r="N473" s="14" t="s">
        <v>9158</v>
      </c>
      <c r="O473" s="6" t="s">
        <v>10060</v>
      </c>
      <c r="P473" s="1" t="s">
        <v>3418</v>
      </c>
      <c r="Q473" s="1">
        <v>2</v>
      </c>
    </row>
    <row r="474" spans="1:17">
      <c r="A474" s="14" t="s">
        <v>9487</v>
      </c>
      <c r="B474" s="1" t="s">
        <v>52</v>
      </c>
      <c r="C474" s="1" t="s">
        <v>14</v>
      </c>
      <c r="D474" s="19" t="s">
        <v>638</v>
      </c>
      <c r="E474" s="15" t="str">
        <f>HYPERLINK("https://stat100.ameba.jp/tnk47/ratio20/illustrations/card/ill_44253_0_dokuganryudatemasamune03.jpg?201906-5-RELEASE-marathon-416", "■")</f>
        <v>■</v>
      </c>
      <c r="F474" s="1" t="s">
        <v>1181</v>
      </c>
      <c r="G474" s="1">
        <v>82212</v>
      </c>
      <c r="H474" s="1">
        <v>87780</v>
      </c>
      <c r="I474" s="1">
        <v>15</v>
      </c>
      <c r="J474" s="1" t="s">
        <v>143</v>
      </c>
      <c r="K474" s="1" t="s">
        <v>1182</v>
      </c>
      <c r="L474" s="1" t="s">
        <v>1183</v>
      </c>
      <c r="M474" s="14" t="s">
        <v>9158</v>
      </c>
      <c r="N474" s="14" t="s">
        <v>9158</v>
      </c>
      <c r="O474" s="9" t="s">
        <v>9158</v>
      </c>
      <c r="P474" s="14" t="s">
        <v>9158</v>
      </c>
      <c r="Q474" s="14" t="s">
        <v>9158</v>
      </c>
    </row>
    <row r="475" spans="1:17">
      <c r="A475" s="16">
        <v>76123</v>
      </c>
      <c r="B475" s="1" t="s">
        <v>334</v>
      </c>
      <c r="C475" s="1" t="s">
        <v>203</v>
      </c>
      <c r="D475" s="19" t="s">
        <v>10302</v>
      </c>
      <c r="E475" s="15" t="str">
        <f>HYPERLINK("https://stat100.ameba.jp/tnk47/ratio20/illustrations/card/ill_76123_hoshiyominotemmongakusha03.jpg?201906-5-RELEASE-marathon-416", "■")</f>
        <v>■</v>
      </c>
      <c r="F475" s="1" t="s">
        <v>987</v>
      </c>
      <c r="G475" s="1">
        <v>176200</v>
      </c>
      <c r="H475" s="1">
        <v>99132</v>
      </c>
      <c r="I475" s="1">
        <v>24</v>
      </c>
      <c r="J475" s="1" t="s">
        <v>16</v>
      </c>
      <c r="K475" s="1" t="s">
        <v>988</v>
      </c>
      <c r="L475" s="1" t="s">
        <v>989</v>
      </c>
      <c r="M475" s="14" t="s">
        <v>9158</v>
      </c>
      <c r="N475" s="14" t="s">
        <v>9158</v>
      </c>
      <c r="O475" s="9" t="s">
        <v>9158</v>
      </c>
      <c r="P475" s="14" t="s">
        <v>9158</v>
      </c>
      <c r="Q475" s="14" t="s">
        <v>9158</v>
      </c>
    </row>
    <row r="476" spans="1:17">
      <c r="A476" s="16">
        <v>76963</v>
      </c>
      <c r="B476" s="1" t="s">
        <v>334</v>
      </c>
      <c r="C476" s="1" t="s">
        <v>154</v>
      </c>
      <c r="D476" s="19" t="s">
        <v>2891</v>
      </c>
      <c r="E476" s="15" t="str">
        <f>HYPERLINK("https://stat100.ameba.jp/tnk47/ratio20/illustrations/card/ill_76963_pavariaojo03.jpg?201906-5-RELEASE-marathon-416", "■")</f>
        <v>■</v>
      </c>
      <c r="F476" s="1" t="s">
        <v>2892</v>
      </c>
      <c r="G476" s="1">
        <v>115746</v>
      </c>
      <c r="H476" s="1">
        <v>65128</v>
      </c>
      <c r="I476" s="1">
        <v>24</v>
      </c>
      <c r="J476" s="1" t="s">
        <v>315</v>
      </c>
      <c r="K476" s="1" t="s">
        <v>2893</v>
      </c>
      <c r="L476" s="1" t="s">
        <v>1432</v>
      </c>
      <c r="M476" s="14" t="s">
        <v>9158</v>
      </c>
      <c r="N476" s="14" t="s">
        <v>9158</v>
      </c>
      <c r="O476" s="9" t="s">
        <v>9158</v>
      </c>
      <c r="P476" s="14" t="s">
        <v>9158</v>
      </c>
      <c r="Q476" s="14" t="s">
        <v>9158</v>
      </c>
    </row>
    <row r="477" spans="1:17">
      <c r="A477" s="16">
        <v>79833</v>
      </c>
      <c r="B477" s="1" t="s">
        <v>334</v>
      </c>
      <c r="C477" s="1" t="s">
        <v>154</v>
      </c>
      <c r="D477" s="19" t="s">
        <v>10303</v>
      </c>
      <c r="E477" s="15" t="str">
        <f>HYPERLINK("https://stat100.ameba.jp/tnk47/ratio20/illustrations/card/ill_79833_jiyunomegamimariannu03.jpg?201906-5-RELEASE-marathon-416", "■")</f>
        <v>■</v>
      </c>
      <c r="F477" s="1" t="s">
        <v>3332</v>
      </c>
      <c r="G477" s="1">
        <v>99182</v>
      </c>
      <c r="H477" s="1">
        <v>106680</v>
      </c>
      <c r="I477" s="1">
        <v>24</v>
      </c>
      <c r="J477" s="1" t="s">
        <v>10</v>
      </c>
      <c r="K477" s="1" t="s">
        <v>3333</v>
      </c>
      <c r="L477" s="1" t="s">
        <v>12</v>
      </c>
      <c r="M477" s="14" t="s">
        <v>9158</v>
      </c>
      <c r="N477" s="14" t="s">
        <v>9158</v>
      </c>
      <c r="O477" s="9" t="s">
        <v>9158</v>
      </c>
      <c r="P477" s="14" t="s">
        <v>9158</v>
      </c>
      <c r="Q477" s="14" t="s">
        <v>9158</v>
      </c>
    </row>
    <row r="478" spans="1:17">
      <c r="A478" s="16">
        <v>74263</v>
      </c>
      <c r="B478" s="1" t="s">
        <v>5302</v>
      </c>
      <c r="C478" s="1" t="s">
        <v>5321</v>
      </c>
      <c r="D478" s="19" t="s">
        <v>10304</v>
      </c>
      <c r="E478" s="15" t="str">
        <f>HYPERLINK("https://stat100.ameba.jp/tnk47/ratio20/illustrations/card/ill_74263_kaiguniinaomasa03.jpg?201906-5-RELEASE-marathon-416", "■")</f>
        <v>■</v>
      </c>
      <c r="F478" s="1" t="s">
        <v>5322</v>
      </c>
      <c r="G478" s="1">
        <v>68172</v>
      </c>
      <c r="H478" s="1">
        <v>61832</v>
      </c>
      <c r="I478" s="1">
        <v>23</v>
      </c>
      <c r="J478" s="1" t="s">
        <v>143</v>
      </c>
      <c r="K478" s="1" t="s">
        <v>5323</v>
      </c>
      <c r="L478" s="1" t="s">
        <v>5324</v>
      </c>
      <c r="M478" s="14" t="s">
        <v>9158</v>
      </c>
      <c r="N478" s="14" t="s">
        <v>9158</v>
      </c>
      <c r="O478" s="9" t="s">
        <v>9158</v>
      </c>
      <c r="P478" s="14" t="s">
        <v>9158</v>
      </c>
      <c r="Q478" s="14" t="s">
        <v>9158</v>
      </c>
    </row>
    <row r="479" spans="1:17">
      <c r="A479" s="16">
        <v>68113</v>
      </c>
      <c r="B479" s="1" t="s">
        <v>5302</v>
      </c>
      <c r="C479" s="1" t="s">
        <v>5325</v>
      </c>
      <c r="D479" s="19" t="s">
        <v>10305</v>
      </c>
      <c r="E479" s="15" t="str">
        <f>HYPERLINK("https://stat100.ameba.jp/tnk47/ratio20/illustrations/card/ill_68113_roritakamomiruchan03.jpg?201906-5-RELEASE-marathon-416", "■")</f>
        <v>■</v>
      </c>
      <c r="F479" s="1" t="s">
        <v>5326</v>
      </c>
      <c r="G479" s="1">
        <v>68172</v>
      </c>
      <c r="H479" s="1">
        <v>61832</v>
      </c>
      <c r="I479" s="1">
        <v>23</v>
      </c>
      <c r="J479" s="1" t="s">
        <v>5311</v>
      </c>
      <c r="K479" s="1" t="s">
        <v>5327</v>
      </c>
      <c r="L479" s="1" t="s">
        <v>5328</v>
      </c>
      <c r="M479" s="14" t="s">
        <v>9158</v>
      </c>
      <c r="N479" s="14" t="s">
        <v>9158</v>
      </c>
      <c r="O479" s="9" t="s">
        <v>9158</v>
      </c>
      <c r="P479" s="14" t="s">
        <v>9158</v>
      </c>
      <c r="Q479" s="14" t="s">
        <v>9158</v>
      </c>
    </row>
    <row r="480" spans="1:17">
      <c r="A480" s="16">
        <v>66513</v>
      </c>
      <c r="B480" s="1" t="s">
        <v>5302</v>
      </c>
      <c r="C480" s="1" t="s">
        <v>165</v>
      </c>
      <c r="D480" s="19" t="s">
        <v>10306</v>
      </c>
      <c r="E480" s="15" t="str">
        <f>HYPERLINK("https://stat100.ameba.jp/tnk47/ratio20/illustrations/card/ill_66513_yuenchigishumoninnotango03.jpg?201906-5-RELEASE-marathon-416", "■")</f>
        <v>■</v>
      </c>
      <c r="F480" s="1" t="s">
        <v>3335</v>
      </c>
      <c r="G480" s="1">
        <v>61832</v>
      </c>
      <c r="H480" s="1">
        <v>68172</v>
      </c>
      <c r="I480" s="1">
        <v>23</v>
      </c>
      <c r="J480" s="1" t="s">
        <v>5329</v>
      </c>
      <c r="K480" s="1" t="s">
        <v>5330</v>
      </c>
      <c r="L480" s="1" t="s">
        <v>5331</v>
      </c>
      <c r="M480" s="14" t="s">
        <v>9158</v>
      </c>
      <c r="N480" s="14" t="s">
        <v>9158</v>
      </c>
      <c r="O480" s="9" t="s">
        <v>9158</v>
      </c>
      <c r="P480" s="14" t="s">
        <v>9158</v>
      </c>
      <c r="Q480" s="14" t="s">
        <v>9158</v>
      </c>
    </row>
    <row r="481" spans="1:18">
      <c r="O481" s="7"/>
    </row>
    <row r="482" spans="1:18">
      <c r="A482" s="1" t="s">
        <v>5333</v>
      </c>
      <c r="O482" s="7"/>
    </row>
    <row r="483" spans="1:18" s="14" customFormat="1">
      <c r="A483" s="1" t="s">
        <v>5334</v>
      </c>
      <c r="O483" s="9"/>
    </row>
    <row r="484" spans="1:18">
      <c r="A484" s="14" t="s">
        <v>9467</v>
      </c>
      <c r="B484" s="1" t="s">
        <v>52</v>
      </c>
      <c r="C484" s="1" t="s">
        <v>205</v>
      </c>
      <c r="D484" s="19" t="s">
        <v>313</v>
      </c>
      <c r="E484" s="15" t="str">
        <f>HYPERLINK("https://stat100.ameba.jp/tnk47/ratio20/illustrations/card/ill_56223_0_onsempanikkugohime03.jpg?201907-1-RELEASE-raid-417", "■")</f>
        <v>■</v>
      </c>
      <c r="F484" s="1" t="s">
        <v>948</v>
      </c>
      <c r="G484" s="1">
        <v>122776</v>
      </c>
      <c r="H484" s="1">
        <v>138212</v>
      </c>
      <c r="I484" s="1">
        <v>22</v>
      </c>
      <c r="J484" s="1" t="s">
        <v>77</v>
      </c>
      <c r="K484" s="1" t="s">
        <v>949</v>
      </c>
      <c r="L484" s="1" t="s">
        <v>950</v>
      </c>
      <c r="M484" s="14" t="s">
        <v>9158</v>
      </c>
      <c r="N484" s="14" t="s">
        <v>9158</v>
      </c>
      <c r="O484" s="7" t="s">
        <v>3021</v>
      </c>
      <c r="P484" s="1" t="s">
        <v>2890</v>
      </c>
      <c r="Q484" s="1">
        <v>1</v>
      </c>
    </row>
    <row r="485" spans="1:18">
      <c r="A485" s="14" t="s">
        <v>9481</v>
      </c>
      <c r="B485" s="1" t="s">
        <v>330</v>
      </c>
      <c r="C485" s="1" t="s">
        <v>200</v>
      </c>
      <c r="D485" s="19" t="s">
        <v>421</v>
      </c>
      <c r="E485" s="15" t="str">
        <f>HYPERLINK("https://stat100.ameba.jp/tnk47/ratio20/illustrations/card/ill_58853_0_setsubumpanikkuhiratsukaraicho03.jpg?201907-1-RELEASE-raid-417", "■")</f>
        <v>■</v>
      </c>
      <c r="F485" s="1" t="s">
        <v>1040</v>
      </c>
      <c r="G485" s="1">
        <v>138212</v>
      </c>
      <c r="H485" s="1">
        <v>122776</v>
      </c>
      <c r="I485" s="1">
        <v>22</v>
      </c>
      <c r="J485" s="1" t="s">
        <v>16</v>
      </c>
      <c r="K485" s="1" t="s">
        <v>1041</v>
      </c>
      <c r="L485" s="1" t="s">
        <v>1042</v>
      </c>
      <c r="M485" s="14" t="s">
        <v>9158</v>
      </c>
      <c r="N485" s="14" t="s">
        <v>9158</v>
      </c>
      <c r="O485" s="6" t="s">
        <v>10059</v>
      </c>
      <c r="P485" s="1" t="s">
        <v>2870</v>
      </c>
      <c r="Q485" s="1">
        <v>1</v>
      </c>
    </row>
    <row r="486" spans="1:18">
      <c r="A486" s="16">
        <v>76793</v>
      </c>
      <c r="B486" s="1" t="s">
        <v>334</v>
      </c>
      <c r="C486" s="1" t="s">
        <v>268</v>
      </c>
      <c r="D486" s="19" t="s">
        <v>425</v>
      </c>
      <c r="E486" s="15" t="str">
        <f>HYPERLINK("https://stat100.ameba.jp/tnk47/ratio20/illustrations/card/ill_76793_monsutatamatebako03.jpg?201907-1-RELEASE-raid-417", "■")</f>
        <v>■</v>
      </c>
      <c r="F486" s="1" t="s">
        <v>426</v>
      </c>
      <c r="G486" s="1">
        <v>108924</v>
      </c>
      <c r="H486" s="1">
        <v>78916</v>
      </c>
      <c r="I486" s="1">
        <v>24</v>
      </c>
      <c r="J486" s="1" t="s">
        <v>274</v>
      </c>
      <c r="K486" s="1" t="s">
        <v>427</v>
      </c>
      <c r="L486" s="1" t="s">
        <v>428</v>
      </c>
      <c r="M486" s="14" t="s">
        <v>9158</v>
      </c>
      <c r="N486" s="14" t="s">
        <v>9158</v>
      </c>
      <c r="O486" s="7" t="s">
        <v>3037</v>
      </c>
      <c r="P486" s="1" t="s">
        <v>13128</v>
      </c>
      <c r="Q486" s="1">
        <v>1</v>
      </c>
    </row>
    <row r="487" spans="1:18">
      <c r="A487" s="16">
        <v>67963</v>
      </c>
      <c r="B487" s="1" t="s">
        <v>334</v>
      </c>
      <c r="C487" s="1" t="s">
        <v>203</v>
      </c>
      <c r="D487" s="19" t="s">
        <v>10307</v>
      </c>
      <c r="E487" s="15" t="str">
        <f>HYPERLINK("https://stat100.ameba.jp/tnk47/ratio20/illustrations/card/ill_67963_kinokuniyabunzaemon03.jpg?201907-1-RELEASE-raid-417", "■")</f>
        <v>■</v>
      </c>
      <c r="F487" s="1" t="s">
        <v>825</v>
      </c>
      <c r="G487" s="1">
        <v>95307</v>
      </c>
      <c r="H487" s="1">
        <v>69051</v>
      </c>
      <c r="I487" s="1">
        <v>21</v>
      </c>
      <c r="J487" s="1" t="s">
        <v>414</v>
      </c>
      <c r="K487" s="1" t="s">
        <v>826</v>
      </c>
      <c r="L487" s="1" t="s">
        <v>827</v>
      </c>
      <c r="M487" s="14" t="s">
        <v>9158</v>
      </c>
      <c r="N487" s="14" t="s">
        <v>9158</v>
      </c>
      <c r="O487" s="9" t="s">
        <v>9158</v>
      </c>
      <c r="P487" s="14" t="s">
        <v>9158</v>
      </c>
      <c r="Q487" s="14" t="s">
        <v>9158</v>
      </c>
    </row>
    <row r="488" spans="1:18">
      <c r="A488" s="16">
        <v>72153</v>
      </c>
      <c r="B488" s="1" t="s">
        <v>334</v>
      </c>
      <c r="C488" s="1" t="s">
        <v>203</v>
      </c>
      <c r="D488" s="19" t="s">
        <v>436</v>
      </c>
      <c r="E488" s="15" t="str">
        <f>HYPERLINK("https://stat100.ameba.jp/tnk47/ratio20/illustrations/card/ill_72153_bakki03.jpg?201907-1-RELEASE-raid-417", "■")</f>
        <v>■</v>
      </c>
      <c r="F488" s="1" t="s">
        <v>1031</v>
      </c>
      <c r="G488" s="1">
        <v>80391</v>
      </c>
      <c r="H488" s="1">
        <v>111000</v>
      </c>
      <c r="I488" s="1">
        <v>21</v>
      </c>
      <c r="J488" s="1" t="s">
        <v>73</v>
      </c>
      <c r="K488" s="1" t="s">
        <v>1032</v>
      </c>
      <c r="L488" s="1" t="s">
        <v>1033</v>
      </c>
      <c r="M488" s="14" t="s">
        <v>9158</v>
      </c>
      <c r="N488" s="14" t="s">
        <v>9158</v>
      </c>
      <c r="O488" s="9" t="s">
        <v>9158</v>
      </c>
      <c r="P488" s="14" t="s">
        <v>9158</v>
      </c>
      <c r="Q488" s="14" t="s">
        <v>9158</v>
      </c>
    </row>
    <row r="489" spans="1:18">
      <c r="A489" s="16">
        <v>73083</v>
      </c>
      <c r="B489" s="1" t="s">
        <v>334</v>
      </c>
      <c r="C489" s="1" t="s">
        <v>154</v>
      </c>
      <c r="D489" s="19" t="s">
        <v>10308</v>
      </c>
      <c r="E489" s="15" t="str">
        <f>HYPERLINK("https://stat100.ameba.jp/tnk47/ratio20/illustrations/card/ill_73083_inochinoamekobayashiissa03.jpg?201907-1-RELEASE-raid-417", "■")</f>
        <v>■</v>
      </c>
      <c r="F489" s="1" t="s">
        <v>3350</v>
      </c>
      <c r="G489" s="1">
        <v>91779</v>
      </c>
      <c r="H489" s="1">
        <v>66487</v>
      </c>
      <c r="I489" s="1">
        <v>21</v>
      </c>
      <c r="J489" s="1" t="s">
        <v>10</v>
      </c>
      <c r="K489" s="1" t="s">
        <v>3351</v>
      </c>
      <c r="L489" s="1" t="s">
        <v>3352</v>
      </c>
      <c r="M489" s="14" t="s">
        <v>9158</v>
      </c>
      <c r="N489" s="14" t="s">
        <v>9158</v>
      </c>
      <c r="O489" s="9" t="s">
        <v>9158</v>
      </c>
      <c r="P489" s="14" t="s">
        <v>9158</v>
      </c>
      <c r="Q489" s="14" t="s">
        <v>9158</v>
      </c>
    </row>
    <row r="490" spans="1:18">
      <c r="A490" s="16">
        <v>79523</v>
      </c>
      <c r="B490" s="1" t="s">
        <v>0</v>
      </c>
      <c r="C490" s="1" t="s">
        <v>203</v>
      </c>
      <c r="D490" s="19" t="s">
        <v>10309</v>
      </c>
      <c r="E490" s="15" t="str">
        <f>HYPERLINK("https://stat100.ameba.jp/tnk47/ratio20/illustrations/card/ill_79523_shikyokunoashurato03.jpg?201907-1-RELEASE-raid-417", "■")</f>
        <v>■</v>
      </c>
      <c r="F490" s="1" t="s">
        <v>3590</v>
      </c>
      <c r="G490" s="1">
        <v>66487</v>
      </c>
      <c r="H490" s="1">
        <v>91779</v>
      </c>
      <c r="I490" s="1">
        <v>21</v>
      </c>
      <c r="J490" s="1" t="s">
        <v>77</v>
      </c>
      <c r="K490" s="1" t="s">
        <v>3591</v>
      </c>
      <c r="L490" s="1" t="s">
        <v>1955</v>
      </c>
      <c r="M490" s="14" t="s">
        <v>9158</v>
      </c>
      <c r="N490" s="14" t="s">
        <v>9158</v>
      </c>
      <c r="O490" s="6" t="s">
        <v>10053</v>
      </c>
      <c r="P490" s="1" t="s">
        <v>3592</v>
      </c>
      <c r="Q490" s="1">
        <v>1</v>
      </c>
    </row>
    <row r="491" spans="1:18">
      <c r="A491" s="16">
        <v>76803</v>
      </c>
      <c r="B491" s="1" t="s">
        <v>334</v>
      </c>
      <c r="C491" s="1" t="s">
        <v>202</v>
      </c>
      <c r="D491" s="19" t="s">
        <v>673</v>
      </c>
      <c r="E491" s="15" t="str">
        <f>HYPERLINK("https://stat100.ameba.jp/tnk47/ratio20/illustrations/card/ill_76803_monsutakujirachan03.jpg?201907-1-RELEASE-raid-417", "■")</f>
        <v>■</v>
      </c>
      <c r="F491" s="1" t="s">
        <v>674</v>
      </c>
      <c r="G491" s="1">
        <v>139716</v>
      </c>
      <c r="H491" s="1">
        <v>101199</v>
      </c>
      <c r="I491" s="1">
        <v>21</v>
      </c>
      <c r="J491" s="1" t="s">
        <v>283</v>
      </c>
      <c r="K491" s="1" t="s">
        <v>675</v>
      </c>
      <c r="L491" s="1" t="s">
        <v>435</v>
      </c>
      <c r="M491" s="14" t="s">
        <v>9158</v>
      </c>
      <c r="N491" s="14" t="s">
        <v>9158</v>
      </c>
      <c r="O491" s="7" t="s">
        <v>3165</v>
      </c>
      <c r="P491" s="1" t="s">
        <v>13139</v>
      </c>
      <c r="Q491" s="1">
        <v>1</v>
      </c>
    </row>
    <row r="492" spans="1:18">
      <c r="O492" s="7"/>
    </row>
    <row r="493" spans="1:18">
      <c r="A493" s="1" t="s">
        <v>13326</v>
      </c>
      <c r="O493" s="7"/>
    </row>
    <row r="494" spans="1:18" s="14" customFormat="1">
      <c r="A494" s="1" t="s">
        <v>5332</v>
      </c>
      <c r="O494" s="9"/>
    </row>
    <row r="495" spans="1:18">
      <c r="A495" s="16">
        <v>66113</v>
      </c>
      <c r="B495" s="1" t="s">
        <v>334</v>
      </c>
      <c r="C495" s="1" t="s">
        <v>185</v>
      </c>
      <c r="D495" s="19" t="s">
        <v>1292</v>
      </c>
      <c r="E495" s="15" t="str">
        <f>HYPERLINK("https://stat100.ameba.jp/tnk47/ratio20/illustrations/card/ill_66113_shirarikahime03.jpg?201907-1-RELEASE-raid-417", "■")</f>
        <v>■</v>
      </c>
      <c r="F495" s="1" t="s">
        <v>1293</v>
      </c>
      <c r="G495" s="1">
        <v>118152</v>
      </c>
      <c r="H495" s="1">
        <v>109852</v>
      </c>
      <c r="I495" s="1">
        <v>24</v>
      </c>
      <c r="J495" s="1" t="s">
        <v>274</v>
      </c>
      <c r="K495" s="1" t="s">
        <v>1304</v>
      </c>
      <c r="L495" s="2" t="s">
        <v>9908</v>
      </c>
      <c r="M495" s="1" t="s">
        <v>13151</v>
      </c>
      <c r="N495" s="1" t="s">
        <v>251</v>
      </c>
      <c r="O495" s="9" t="s">
        <v>9158</v>
      </c>
      <c r="P495" s="14" t="s">
        <v>9158</v>
      </c>
      <c r="Q495" s="14" t="s">
        <v>9158</v>
      </c>
      <c r="R495" s="14" t="s">
        <v>14858</v>
      </c>
    </row>
    <row r="496" spans="1:18">
      <c r="A496" s="16">
        <v>66112</v>
      </c>
      <c r="B496" s="1" t="s">
        <v>334</v>
      </c>
      <c r="C496" s="1" t="s">
        <v>185</v>
      </c>
      <c r="D496" s="19" t="s">
        <v>1292</v>
      </c>
      <c r="E496" s="15" t="str">
        <f>HYPERLINK("https://stat100.ameba.jp/tnk47/ratio20/illustrations/card/ill_66112_shirarikahime02.jpg?201907-1-RELEASE-raid-417", "■")</f>
        <v>■</v>
      </c>
      <c r="F496" s="1" t="s">
        <v>1293</v>
      </c>
      <c r="G496" s="1">
        <v>98768</v>
      </c>
      <c r="H496" s="1">
        <v>90984</v>
      </c>
      <c r="I496" s="1">
        <v>24</v>
      </c>
      <c r="J496" s="1" t="s">
        <v>274</v>
      </c>
      <c r="K496" s="1" t="s">
        <v>1304</v>
      </c>
      <c r="L496" s="2" t="s">
        <v>9908</v>
      </c>
      <c r="M496" s="1" t="s">
        <v>13156</v>
      </c>
      <c r="N496" s="1" t="s">
        <v>1310</v>
      </c>
      <c r="O496" s="9" t="s">
        <v>9158</v>
      </c>
      <c r="P496" s="14" t="s">
        <v>9158</v>
      </c>
      <c r="Q496" s="14" t="s">
        <v>9158</v>
      </c>
      <c r="R496" s="14" t="s">
        <v>14858</v>
      </c>
    </row>
    <row r="497" spans="1:18">
      <c r="A497" s="16">
        <v>66111</v>
      </c>
      <c r="B497" s="1" t="s">
        <v>334</v>
      </c>
      <c r="C497" s="1" t="s">
        <v>185</v>
      </c>
      <c r="D497" s="19" t="s">
        <v>1292</v>
      </c>
      <c r="E497" s="15" t="str">
        <f>HYPERLINK("https://stat100.ameba.jp/tnk47/ratio20/illustrations/card/ill_66111_shirarikahime01.jpg?201907-1-RELEASE-raid-417", "■")</f>
        <v>■</v>
      </c>
      <c r="F497" s="1" t="s">
        <v>1293</v>
      </c>
      <c r="G497" s="1">
        <v>75408</v>
      </c>
      <c r="H497" s="1">
        <v>70200</v>
      </c>
      <c r="I497" s="1">
        <v>24</v>
      </c>
      <c r="J497" s="1" t="s">
        <v>274</v>
      </c>
      <c r="K497" s="1" t="s">
        <v>1304</v>
      </c>
      <c r="L497" s="2" t="s">
        <v>9908</v>
      </c>
      <c r="M497" s="1" t="s">
        <v>13156</v>
      </c>
      <c r="N497" s="1" t="s">
        <v>1310</v>
      </c>
      <c r="O497" s="9" t="s">
        <v>9158</v>
      </c>
      <c r="P497" s="14" t="s">
        <v>9158</v>
      </c>
      <c r="Q497" s="14" t="s">
        <v>9158</v>
      </c>
      <c r="R497" s="14" t="s">
        <v>14858</v>
      </c>
    </row>
    <row r="498" spans="1:18">
      <c r="A498" s="16">
        <v>65383</v>
      </c>
      <c r="B498" s="1" t="s">
        <v>334</v>
      </c>
      <c r="C498" s="1" t="s">
        <v>200</v>
      </c>
      <c r="D498" s="19" t="s">
        <v>1294</v>
      </c>
      <c r="E498" s="15" t="str">
        <f>HYPERLINK("https://stat100.ameba.jp/tnk47/ratio20/illustrations/card/ill_65383_aogashimachan03.jpg?201907-1-RELEASE-raid-417", "■")</f>
        <v>■</v>
      </c>
      <c r="F498" s="1" t="s">
        <v>1295</v>
      </c>
      <c r="G498" s="1">
        <v>109852</v>
      </c>
      <c r="H498" s="1">
        <v>118152</v>
      </c>
      <c r="I498" s="1">
        <v>24</v>
      </c>
      <c r="J498" s="1" t="s">
        <v>369</v>
      </c>
      <c r="K498" s="1" t="s">
        <v>1305</v>
      </c>
      <c r="L498" s="2" t="s">
        <v>9909</v>
      </c>
      <c r="M498" s="1" t="s">
        <v>13151</v>
      </c>
      <c r="N498" s="1" t="s">
        <v>251</v>
      </c>
      <c r="O498" s="9" t="s">
        <v>9158</v>
      </c>
      <c r="P498" s="14" t="s">
        <v>9158</v>
      </c>
      <c r="Q498" s="14" t="s">
        <v>9158</v>
      </c>
      <c r="R498" s="14" t="s">
        <v>14858</v>
      </c>
    </row>
    <row r="499" spans="1:18">
      <c r="A499" s="16">
        <v>66123</v>
      </c>
      <c r="B499" s="1" t="s">
        <v>334</v>
      </c>
      <c r="C499" s="1" t="s">
        <v>191</v>
      </c>
      <c r="D499" s="19" t="s">
        <v>1296</v>
      </c>
      <c r="E499" s="15" t="str">
        <f>HYPERLINK("https://stat100.ameba.jp/tnk47/ratio20/illustrations/card/ill_66123_taikemmoninnohorikawa03.jpg?201907-1-RELEASE-raid-417", "■")</f>
        <v>■</v>
      </c>
      <c r="F499" s="1" t="s">
        <v>1297</v>
      </c>
      <c r="G499" s="1">
        <v>118152</v>
      </c>
      <c r="H499" s="1">
        <v>109852</v>
      </c>
      <c r="I499" s="1">
        <v>24</v>
      </c>
      <c r="J499" s="1" t="s">
        <v>414</v>
      </c>
      <c r="K499" s="1" t="s">
        <v>1306</v>
      </c>
      <c r="L499" s="2" t="s">
        <v>9910</v>
      </c>
      <c r="M499" s="1" t="s">
        <v>13151</v>
      </c>
      <c r="N499" s="1" t="s">
        <v>251</v>
      </c>
      <c r="O499" s="9" t="s">
        <v>9158</v>
      </c>
      <c r="P499" s="14" t="s">
        <v>9158</v>
      </c>
      <c r="Q499" s="14" t="s">
        <v>9158</v>
      </c>
      <c r="R499" s="14" t="s">
        <v>14858</v>
      </c>
    </row>
    <row r="500" spans="1:18">
      <c r="A500" s="16">
        <v>66133</v>
      </c>
      <c r="B500" s="1" t="s">
        <v>334</v>
      </c>
      <c r="C500" s="1" t="s">
        <v>165</v>
      </c>
      <c r="D500" s="19" t="s">
        <v>1298</v>
      </c>
      <c r="E500" s="15" t="str">
        <f>HYPERLINK("https://stat100.ameba.jp/tnk47/ratio20/illustrations/card/ill_66133_iinaosuke03.jpg?201907-1-RELEASE-raid-417", "■")</f>
        <v>■</v>
      </c>
      <c r="F500" s="1" t="s">
        <v>1299</v>
      </c>
      <c r="G500" s="1">
        <v>109852</v>
      </c>
      <c r="H500" s="1">
        <v>118152</v>
      </c>
      <c r="I500" s="1">
        <v>24</v>
      </c>
      <c r="J500" s="1" t="s">
        <v>351</v>
      </c>
      <c r="K500" s="1" t="s">
        <v>1307</v>
      </c>
      <c r="L500" s="2" t="s">
        <v>9911</v>
      </c>
      <c r="M500" s="1" t="s">
        <v>13151</v>
      </c>
      <c r="N500" s="1" t="s">
        <v>251</v>
      </c>
      <c r="O500" s="9" t="s">
        <v>9158</v>
      </c>
      <c r="P500" s="14" t="s">
        <v>9158</v>
      </c>
      <c r="Q500" s="14" t="s">
        <v>9158</v>
      </c>
      <c r="R500" s="14" t="s">
        <v>14858</v>
      </c>
    </row>
    <row r="501" spans="1:18">
      <c r="A501" s="16">
        <v>65393</v>
      </c>
      <c r="B501" s="1" t="s">
        <v>334</v>
      </c>
      <c r="C501" s="1" t="s">
        <v>205</v>
      </c>
      <c r="D501" s="19" t="s">
        <v>1300</v>
      </c>
      <c r="E501" s="15" t="str">
        <f>HYPERLINK("https://stat100.ameba.jp/tnk47/ratio20/illustrations/card/ill_65393_motochikafujin03.jpg?201907-1-RELEASE-raid-417", "■")</f>
        <v>■</v>
      </c>
      <c r="F501" s="1" t="s">
        <v>1301</v>
      </c>
      <c r="G501" s="1">
        <v>109852</v>
      </c>
      <c r="H501" s="1">
        <v>118152</v>
      </c>
      <c r="I501" s="1">
        <v>24</v>
      </c>
      <c r="J501" s="1" t="s">
        <v>315</v>
      </c>
      <c r="K501" s="1" t="s">
        <v>1308</v>
      </c>
      <c r="L501" s="2" t="s">
        <v>9912</v>
      </c>
      <c r="M501" s="1" t="s">
        <v>13151</v>
      </c>
      <c r="N501" s="1" t="s">
        <v>251</v>
      </c>
      <c r="O501" s="9" t="s">
        <v>9158</v>
      </c>
      <c r="P501" s="14" t="s">
        <v>9158</v>
      </c>
      <c r="Q501" s="14" t="s">
        <v>9158</v>
      </c>
      <c r="R501" s="14" t="s">
        <v>14858</v>
      </c>
    </row>
    <row r="502" spans="1:18">
      <c r="A502" s="16">
        <v>65403</v>
      </c>
      <c r="B502" s="1" t="s">
        <v>334</v>
      </c>
      <c r="C502" s="1" t="s">
        <v>206</v>
      </c>
      <c r="D502" s="19" t="s">
        <v>1302</v>
      </c>
      <c r="E502" s="15" t="str">
        <f>HYPERLINK("https://stat100.ameba.jp/tnk47/ratio20/illustrations/card/ill_65403_amenokoyanenomikoto03.jpg?201907-1-RELEASE-raid-417", "■")</f>
        <v>■</v>
      </c>
      <c r="F502" s="1" t="s">
        <v>1303</v>
      </c>
      <c r="G502" s="1">
        <v>118152</v>
      </c>
      <c r="H502" s="1">
        <v>109852</v>
      </c>
      <c r="I502" s="1">
        <v>24</v>
      </c>
      <c r="J502" s="1" t="s">
        <v>401</v>
      </c>
      <c r="K502" s="1" t="s">
        <v>1309</v>
      </c>
      <c r="L502" s="2" t="s">
        <v>9913</v>
      </c>
      <c r="M502" s="1" t="s">
        <v>13151</v>
      </c>
      <c r="N502" s="1" t="s">
        <v>251</v>
      </c>
      <c r="O502" s="9" t="s">
        <v>9158</v>
      </c>
      <c r="P502" s="14" t="s">
        <v>9158</v>
      </c>
      <c r="Q502" s="14" t="s">
        <v>9158</v>
      </c>
      <c r="R502" s="14" t="s">
        <v>14858</v>
      </c>
    </row>
    <row r="503" spans="1:18">
      <c r="O503" s="7"/>
    </row>
    <row r="504" spans="1:18">
      <c r="A504" s="1" t="s">
        <v>5335</v>
      </c>
      <c r="O504" s="7"/>
    </row>
    <row r="505" spans="1:18" s="14" customFormat="1">
      <c r="A505" s="1" t="s">
        <v>5336</v>
      </c>
      <c r="O505" s="9"/>
    </row>
    <row r="506" spans="1:18">
      <c r="A506" s="14" t="s">
        <v>9485</v>
      </c>
      <c r="B506" s="1" t="s">
        <v>52</v>
      </c>
      <c r="C506" s="1" t="s">
        <v>206</v>
      </c>
      <c r="D506" s="19" t="s">
        <v>2936</v>
      </c>
      <c r="E506" s="15" t="str">
        <f>HYPERLINK("https://stat100.ameba.jp/tnk47/ratio20/illustrations/card/ill_72233_0_koinoboriryugujin03.jpg?201907-1-RELEASE-raid-417", "■")</f>
        <v>■</v>
      </c>
      <c r="F506" s="1" t="s">
        <v>1012</v>
      </c>
      <c r="G506" s="1">
        <v>144312</v>
      </c>
      <c r="H506" s="1">
        <v>155224</v>
      </c>
      <c r="I506" s="1">
        <v>22</v>
      </c>
      <c r="J506" s="1" t="s">
        <v>44</v>
      </c>
      <c r="K506" s="1" t="s">
        <v>1013</v>
      </c>
      <c r="L506" s="1" t="s">
        <v>1014</v>
      </c>
      <c r="M506" s="14" t="s">
        <v>9158</v>
      </c>
      <c r="N506" s="14" t="s">
        <v>9158</v>
      </c>
      <c r="O506" s="7" t="s">
        <v>3419</v>
      </c>
      <c r="P506" s="1" t="s">
        <v>3420</v>
      </c>
      <c r="Q506" s="1">
        <v>2</v>
      </c>
    </row>
    <row r="507" spans="1:18">
      <c r="A507" s="14" t="s">
        <v>9460</v>
      </c>
      <c r="B507" s="1" t="s">
        <v>52</v>
      </c>
      <c r="C507" s="1" t="s">
        <v>23</v>
      </c>
      <c r="D507" s="19" t="s">
        <v>277</v>
      </c>
      <c r="E507" s="15" t="str">
        <f>HYPERLINK("https://stat100.ameba.jp/tnk47/ratio20/illustrations/card/ill_40913_0_reigyokudensetsufusehime03.jpg?201907-1-RELEASE-raid-417", "■")</f>
        <v>■</v>
      </c>
      <c r="F507" s="1" t="s">
        <v>955</v>
      </c>
      <c r="G507" s="1">
        <v>120576</v>
      </c>
      <c r="H507" s="1">
        <v>128744</v>
      </c>
      <c r="I507" s="1">
        <v>22</v>
      </c>
      <c r="J507" s="1" t="s">
        <v>38</v>
      </c>
      <c r="K507" s="1" t="s">
        <v>956</v>
      </c>
      <c r="L507" s="1" t="s">
        <v>957</v>
      </c>
      <c r="M507" s="14" t="s">
        <v>9158</v>
      </c>
      <c r="N507" s="14" t="s">
        <v>9158</v>
      </c>
      <c r="O507" s="9" t="s">
        <v>9158</v>
      </c>
      <c r="P507" s="14" t="s">
        <v>9158</v>
      </c>
      <c r="Q507" s="14" t="s">
        <v>9158</v>
      </c>
    </row>
    <row r="508" spans="1:18">
      <c r="A508" s="14" t="s">
        <v>9496</v>
      </c>
      <c r="B508" s="1" t="s">
        <v>330</v>
      </c>
      <c r="C508" s="1" t="s">
        <v>205</v>
      </c>
      <c r="D508" s="19" t="s">
        <v>702</v>
      </c>
      <c r="E508" s="15" t="str">
        <f>HYPERLINK("https://stat100.ameba.jp/tnk47/ratio20/illustrations/card/ill_50693_0_hanamizugimimuratsuru03.jpg?201907-1-RELEASE-raid-417", "■")</f>
        <v>■</v>
      </c>
      <c r="F508" s="1" t="s">
        <v>703</v>
      </c>
      <c r="G508" s="1">
        <v>122776</v>
      </c>
      <c r="H508" s="1">
        <v>138212</v>
      </c>
      <c r="I508" s="1">
        <v>22</v>
      </c>
      <c r="J508" s="1" t="s">
        <v>310</v>
      </c>
      <c r="K508" s="1" t="s">
        <v>704</v>
      </c>
      <c r="L508" s="1" t="s">
        <v>705</v>
      </c>
      <c r="M508" s="14" t="s">
        <v>9158</v>
      </c>
      <c r="N508" s="14" t="s">
        <v>9158</v>
      </c>
      <c r="O508" s="9" t="s">
        <v>9158</v>
      </c>
      <c r="P508" s="14" t="s">
        <v>9158</v>
      </c>
      <c r="Q508" s="14" t="s">
        <v>9158</v>
      </c>
    </row>
    <row r="509" spans="1:18">
      <c r="A509" s="16">
        <v>82133</v>
      </c>
      <c r="B509" s="1" t="s">
        <v>334</v>
      </c>
      <c r="C509" s="1" t="s">
        <v>165</v>
      </c>
      <c r="D509" s="19" t="s">
        <v>10295</v>
      </c>
      <c r="E509" s="15" t="str">
        <f>HYPERLINK("https://stat100.ameba.jp/tnk47/ratio20/illustrations/card/ill_82133_senritsunosumasshukobitokaba03.jpg?201907-1-RELEASE-raid-417", "■")</f>
        <v>■</v>
      </c>
      <c r="F509" s="1" t="s">
        <v>5298</v>
      </c>
      <c r="G509" s="1">
        <v>87218</v>
      </c>
      <c r="H509" s="1">
        <v>93813</v>
      </c>
      <c r="I509" s="1">
        <v>23</v>
      </c>
      <c r="J509" s="1" t="s">
        <v>26</v>
      </c>
      <c r="K509" s="1" t="s">
        <v>5300</v>
      </c>
      <c r="L509" s="1" t="s">
        <v>5301</v>
      </c>
      <c r="M509" s="14" t="s">
        <v>9158</v>
      </c>
      <c r="N509" s="14" t="s">
        <v>9158</v>
      </c>
      <c r="O509" s="9" t="s">
        <v>9158</v>
      </c>
      <c r="P509" s="14" t="s">
        <v>9158</v>
      </c>
      <c r="Q509" s="14" t="s">
        <v>9158</v>
      </c>
    </row>
    <row r="510" spans="1:18">
      <c r="A510" s="16">
        <v>82143</v>
      </c>
      <c r="B510" s="1" t="s">
        <v>15</v>
      </c>
      <c r="C510" s="1" t="s">
        <v>200</v>
      </c>
      <c r="D510" s="19" t="s">
        <v>10296</v>
      </c>
      <c r="E510" s="15" t="str">
        <f>HYPERLINK("https://stat100.ameba.jp/tnk47/ratio20/illustrations/card/ill_82143_mitsuishinokami03.jpg?201907-1-RELEASE-raid-417", "■")</f>
        <v>■</v>
      </c>
      <c r="F510" s="1" t="s">
        <v>5304</v>
      </c>
      <c r="G510" s="1">
        <v>53352</v>
      </c>
      <c r="H510" s="1">
        <v>48390</v>
      </c>
      <c r="I510" s="1">
        <v>18</v>
      </c>
      <c r="J510" s="1" t="s">
        <v>38</v>
      </c>
      <c r="K510" s="1" t="s">
        <v>5306</v>
      </c>
      <c r="L510" s="1" t="s">
        <v>3267</v>
      </c>
      <c r="M510" s="14" t="s">
        <v>9158</v>
      </c>
      <c r="N510" s="14" t="s">
        <v>9158</v>
      </c>
      <c r="O510" s="9" t="s">
        <v>9158</v>
      </c>
      <c r="P510" s="14" t="s">
        <v>9158</v>
      </c>
      <c r="Q510" s="14" t="s">
        <v>9158</v>
      </c>
    </row>
    <row r="511" spans="1:18">
      <c r="A511" s="16">
        <v>82153</v>
      </c>
      <c r="B511" s="1" t="s">
        <v>22</v>
      </c>
      <c r="C511" s="1" t="s">
        <v>206</v>
      </c>
      <c r="D511" s="19" t="s">
        <v>10297</v>
      </c>
      <c r="E511" s="15" t="str">
        <f>HYPERLINK("https://stat100.ameba.jp/tnk47/ratio20/illustrations/card/ill_82153_shirokumachan03.jpg?201907-1-RELEASE-raid-417", "■")</f>
        <v>■</v>
      </c>
      <c r="F511" s="1" t="s">
        <v>5310</v>
      </c>
      <c r="G511" s="1">
        <v>29388</v>
      </c>
      <c r="H511" s="1">
        <v>35346</v>
      </c>
      <c r="I511" s="1">
        <v>17</v>
      </c>
      <c r="J511" s="1" t="s">
        <v>104</v>
      </c>
      <c r="K511" s="1" t="s">
        <v>5313</v>
      </c>
      <c r="L511" s="1" t="s">
        <v>3839</v>
      </c>
      <c r="M511" s="14" t="s">
        <v>9158</v>
      </c>
      <c r="N511" s="14" t="s">
        <v>9158</v>
      </c>
      <c r="O511" s="9" t="s">
        <v>9158</v>
      </c>
      <c r="P511" s="14" t="s">
        <v>9158</v>
      </c>
      <c r="Q511" s="14" t="s">
        <v>9158</v>
      </c>
    </row>
    <row r="512" spans="1:18">
      <c r="A512" s="16">
        <v>82163</v>
      </c>
      <c r="B512" s="1" t="s">
        <v>30</v>
      </c>
      <c r="C512" s="1" t="s">
        <v>5315</v>
      </c>
      <c r="D512" s="19" t="s">
        <v>10298</v>
      </c>
      <c r="E512" s="15" t="str">
        <f>HYPERLINK("https://stat100.ameba.jp/tnk47/ratio20/illustrations/card/ill_82163_kakitsubata03.jpg?201907-1-RELEASE-raid-417", "■")</f>
        <v>■</v>
      </c>
      <c r="F512" s="1" t="s">
        <v>5316</v>
      </c>
      <c r="G512" s="1">
        <v>21398</v>
      </c>
      <c r="H512" s="1">
        <v>17972</v>
      </c>
      <c r="I512" s="1">
        <v>17</v>
      </c>
      <c r="J512" s="1" t="s">
        <v>26</v>
      </c>
      <c r="K512" s="1" t="s">
        <v>5317</v>
      </c>
      <c r="L512" s="1" t="s">
        <v>5318</v>
      </c>
      <c r="M512" s="14" t="s">
        <v>9158</v>
      </c>
      <c r="N512" s="14" t="s">
        <v>9158</v>
      </c>
      <c r="O512" s="9" t="s">
        <v>9158</v>
      </c>
      <c r="P512" s="14" t="s">
        <v>9158</v>
      </c>
      <c r="Q512" s="14" t="s">
        <v>9158</v>
      </c>
    </row>
    <row r="513" spans="1:19">
      <c r="O513" s="7"/>
    </row>
    <row r="514" spans="1:19">
      <c r="A514" s="1" t="s">
        <v>5337</v>
      </c>
      <c r="O514" s="7"/>
    </row>
    <row r="515" spans="1:19" s="14" customFormat="1">
      <c r="A515" s="1" t="s">
        <v>5338</v>
      </c>
      <c r="O515" s="9"/>
    </row>
    <row r="516" spans="1:19">
      <c r="A516" s="14" t="s">
        <v>9462</v>
      </c>
      <c r="B516" s="1" t="s">
        <v>52</v>
      </c>
      <c r="C516" s="1" t="s">
        <v>14</v>
      </c>
      <c r="D516" s="19" t="s">
        <v>3195</v>
      </c>
      <c r="E516" s="15" t="str">
        <f>HYPERLINK("https://stat100.ameba.jp/tnk47/ratio20/illustrations/card/ill_75393_0_resukuinotsukisamaniittausagi03.jpg?201907-1-RELEASE-raid-417", "■")</f>
        <v>■</v>
      </c>
      <c r="F516" s="1" t="s">
        <v>3248</v>
      </c>
      <c r="G516" s="1">
        <v>170856</v>
      </c>
      <c r="H516" s="1">
        <v>158850</v>
      </c>
      <c r="I516" s="1">
        <v>15</v>
      </c>
      <c r="J516" s="1" t="s">
        <v>26</v>
      </c>
      <c r="K516" s="1" t="s">
        <v>3249</v>
      </c>
      <c r="L516" s="1" t="s">
        <v>3250</v>
      </c>
      <c r="M516" s="14" t="s">
        <v>9158</v>
      </c>
      <c r="N516" s="14" t="s">
        <v>9158</v>
      </c>
      <c r="O516" s="6" t="s">
        <v>10051</v>
      </c>
      <c r="P516" s="1" t="s">
        <v>3251</v>
      </c>
      <c r="Q516" s="1">
        <v>2</v>
      </c>
    </row>
    <row r="517" spans="1:19">
      <c r="A517" s="14" t="s">
        <v>9491</v>
      </c>
      <c r="B517" s="1" t="s">
        <v>52</v>
      </c>
      <c r="C517" s="1" t="s">
        <v>205</v>
      </c>
      <c r="D517" s="19" t="s">
        <v>1559</v>
      </c>
      <c r="E517" s="15" t="str">
        <f>HYPERLINK("https://stat100.ameba.jp/tnk47/ratio20/illustrations/card/ill_73773_0_umibirakiinugamigyobu03.jpg?201907-1-RELEASE-raid-417", "■")</f>
        <v>■</v>
      </c>
      <c r="F517" s="1" t="s">
        <v>935</v>
      </c>
      <c r="G517" s="1">
        <v>130160</v>
      </c>
      <c r="H517" s="1">
        <v>139999</v>
      </c>
      <c r="I517" s="1">
        <v>15</v>
      </c>
      <c r="J517" s="1" t="s">
        <v>73</v>
      </c>
      <c r="K517" s="1" t="s">
        <v>1186</v>
      </c>
      <c r="L517" s="1" t="s">
        <v>1187</v>
      </c>
      <c r="M517" s="14" t="s">
        <v>9158</v>
      </c>
      <c r="N517" s="14" t="s">
        <v>9158</v>
      </c>
      <c r="O517" s="7" t="s">
        <v>2978</v>
      </c>
      <c r="P517" s="1" t="s">
        <v>2979</v>
      </c>
      <c r="Q517" s="1">
        <v>2</v>
      </c>
    </row>
    <row r="518" spans="1:19">
      <c r="A518" s="14" t="s">
        <v>9473</v>
      </c>
      <c r="B518" s="1" t="s">
        <v>330</v>
      </c>
      <c r="C518" s="1" t="s">
        <v>307</v>
      </c>
      <c r="D518" s="19" t="s">
        <v>393</v>
      </c>
      <c r="E518" s="15" t="str">
        <f>HYPERLINK("https://stat100.ameba.jp/tnk47/ratio20/illustrations/card/ill_46283_0_odanobunaga03.jpg?201907-1-RELEASE-raid-417", "■")</f>
        <v>■</v>
      </c>
      <c r="F518" s="1" t="s">
        <v>394</v>
      </c>
      <c r="G518" s="1">
        <v>82212</v>
      </c>
      <c r="H518" s="1">
        <v>87780</v>
      </c>
      <c r="I518" s="1">
        <v>15</v>
      </c>
      <c r="J518" s="1" t="s">
        <v>310</v>
      </c>
      <c r="K518" s="1" t="s">
        <v>395</v>
      </c>
      <c r="L518" s="1" t="s">
        <v>396</v>
      </c>
      <c r="M518" s="14" t="s">
        <v>9158</v>
      </c>
      <c r="N518" s="14" t="s">
        <v>9158</v>
      </c>
      <c r="O518" s="9" t="s">
        <v>9158</v>
      </c>
      <c r="P518" s="14" t="s">
        <v>9158</v>
      </c>
      <c r="Q518" s="14" t="s">
        <v>9158</v>
      </c>
    </row>
    <row r="519" spans="1:19">
      <c r="A519" s="16">
        <v>78033</v>
      </c>
      <c r="B519" s="1" t="s">
        <v>0</v>
      </c>
      <c r="C519" s="1" t="s">
        <v>200</v>
      </c>
      <c r="D519" s="19" t="s">
        <v>10310</v>
      </c>
      <c r="E519" s="15" t="str">
        <f>HYPERLINK("https://stat100.ameba.jp/tnk47/ratio20/illustrations/card/ill_78033_bonenkaimyoombenzaiten03.jpg?201907-1-RELEASE-raid-417", "■")</f>
        <v>■</v>
      </c>
      <c r="F519" s="1" t="s">
        <v>2209</v>
      </c>
      <c r="G519" s="1">
        <v>97894</v>
      </c>
      <c r="H519" s="1">
        <v>91010</v>
      </c>
      <c r="I519" s="1">
        <v>24</v>
      </c>
      <c r="J519" s="1" t="s">
        <v>44</v>
      </c>
      <c r="K519" s="1" t="s">
        <v>2210</v>
      </c>
      <c r="L519" s="1" t="s">
        <v>2211</v>
      </c>
      <c r="M519" s="14" t="s">
        <v>9158</v>
      </c>
      <c r="N519" s="14" t="s">
        <v>9158</v>
      </c>
      <c r="O519" s="9" t="s">
        <v>9158</v>
      </c>
      <c r="P519" s="14" t="s">
        <v>9158</v>
      </c>
      <c r="Q519" s="14" t="s">
        <v>9158</v>
      </c>
    </row>
    <row r="520" spans="1:19">
      <c r="A520" s="16">
        <v>65093</v>
      </c>
      <c r="B520" s="1" t="s">
        <v>334</v>
      </c>
      <c r="C520" s="1" t="s">
        <v>206</v>
      </c>
      <c r="D520" s="19" t="s">
        <v>10311</v>
      </c>
      <c r="E520" s="15" t="str">
        <f>HYPERLINK("https://stat100.ameba.jp/tnk47/ratio20/illustrations/card/ill_65093_kyusukumizutachibanaginchiyo03.jpg?201907-1-RELEASE-raid-417", "■")</f>
        <v>■</v>
      </c>
      <c r="F520" s="1" t="s">
        <v>4052</v>
      </c>
      <c r="G520" s="1">
        <v>93746</v>
      </c>
      <c r="H520" s="1">
        <v>87128</v>
      </c>
      <c r="I520" s="1">
        <v>24</v>
      </c>
      <c r="J520" s="1" t="s">
        <v>77</v>
      </c>
      <c r="K520" s="1" t="s">
        <v>4053</v>
      </c>
      <c r="L520" s="1" t="s">
        <v>76</v>
      </c>
      <c r="M520" s="14" t="s">
        <v>9158</v>
      </c>
      <c r="N520" s="14" t="s">
        <v>9158</v>
      </c>
      <c r="O520" s="9" t="s">
        <v>9158</v>
      </c>
      <c r="P520" s="14" t="s">
        <v>9158</v>
      </c>
      <c r="Q520" s="14" t="s">
        <v>9158</v>
      </c>
    </row>
    <row r="521" spans="1:19">
      <c r="A521" s="16">
        <v>72193</v>
      </c>
      <c r="B521" s="1" t="s">
        <v>334</v>
      </c>
      <c r="C521" s="1" t="s">
        <v>165</v>
      </c>
      <c r="D521" s="19" t="s">
        <v>3112</v>
      </c>
      <c r="E521" s="15" t="str">
        <f>HYPERLINK("https://stat100.ameba.jp/tnk47/ratio20/illustrations/card/ill_72193_koinoborikomyokogo03.jpg?201907-1-RELEASE-raid-417", "■")</f>
        <v>■</v>
      </c>
      <c r="F521" s="1" t="s">
        <v>2539</v>
      </c>
      <c r="G521" s="1">
        <v>93746</v>
      </c>
      <c r="H521" s="1">
        <v>87128</v>
      </c>
      <c r="I521" s="1">
        <v>24</v>
      </c>
      <c r="J521" s="1" t="s">
        <v>10</v>
      </c>
      <c r="K521" s="1" t="s">
        <v>2540</v>
      </c>
      <c r="L521" s="1" t="s">
        <v>60</v>
      </c>
      <c r="M521" s="14" t="s">
        <v>9158</v>
      </c>
      <c r="N521" s="14" t="s">
        <v>9158</v>
      </c>
      <c r="O521" s="6" t="s">
        <v>10057</v>
      </c>
      <c r="P521" s="1" t="s">
        <v>3460</v>
      </c>
      <c r="Q521" s="1">
        <v>1</v>
      </c>
    </row>
    <row r="522" spans="1:19">
      <c r="O522" s="7"/>
    </row>
    <row r="523" spans="1:19">
      <c r="A523" s="1" t="s">
        <v>5339</v>
      </c>
      <c r="O523" s="7"/>
    </row>
    <row r="524" spans="1:19" s="14" customFormat="1">
      <c r="A524" s="1" t="s">
        <v>5340</v>
      </c>
      <c r="O524" s="9"/>
    </row>
    <row r="525" spans="1:19">
      <c r="A525" s="14" t="s">
        <v>9475</v>
      </c>
      <c r="B525" s="1" t="s">
        <v>330</v>
      </c>
      <c r="C525" s="1" t="s">
        <v>202</v>
      </c>
      <c r="D525" s="19" t="s">
        <v>1497</v>
      </c>
      <c r="E525" s="15" t="str">
        <f>HYPERLINK("https://stat100.ameba.jp/tnk47/ratio20/illustrations/card/ill_74593_0_natsuyuenchikoshihikari03.jpg?201907-1-RELEASE-raid-417", "■")</f>
        <v>■</v>
      </c>
      <c r="F525" s="1" t="s">
        <v>1498</v>
      </c>
      <c r="G525" s="1">
        <v>162496</v>
      </c>
      <c r="H525" s="1">
        <v>151067</v>
      </c>
      <c r="I525" s="1">
        <v>15</v>
      </c>
      <c r="J525" s="1" t="s">
        <v>283</v>
      </c>
      <c r="K525" s="1" t="s">
        <v>1499</v>
      </c>
      <c r="L525" s="1" t="s">
        <v>1500</v>
      </c>
      <c r="M525" s="14" t="s">
        <v>9158</v>
      </c>
      <c r="N525" s="14" t="s">
        <v>9158</v>
      </c>
      <c r="O525" s="7" t="s">
        <v>2731</v>
      </c>
      <c r="P525" s="1" t="s">
        <v>2732</v>
      </c>
      <c r="Q525" s="1">
        <v>1</v>
      </c>
    </row>
    <row r="526" spans="1:19">
      <c r="A526" s="14" t="s">
        <v>9476</v>
      </c>
      <c r="B526" s="1" t="s">
        <v>52</v>
      </c>
      <c r="C526" s="1" t="s">
        <v>191</v>
      </c>
      <c r="D526" s="19" t="s">
        <v>10217</v>
      </c>
      <c r="E526" s="15" t="str">
        <f>HYPERLINK("https://stat100.ameba.jp/tnk47/ratio20/illustrations/card/ill_56493_0_poppukurisumasuikomakitsuno03.jpg?201907-1-RELEASE-raid-417", "■")</f>
        <v>■</v>
      </c>
      <c r="F526" s="1" t="s">
        <v>1769</v>
      </c>
      <c r="G526" s="1">
        <v>94236</v>
      </c>
      <c r="H526" s="1">
        <v>83712</v>
      </c>
      <c r="I526" s="1">
        <v>15</v>
      </c>
      <c r="J526" s="1" t="s">
        <v>77</v>
      </c>
      <c r="K526" s="1" t="s">
        <v>1770</v>
      </c>
      <c r="L526" s="1" t="s">
        <v>1771</v>
      </c>
      <c r="M526" s="14" t="s">
        <v>9158</v>
      </c>
      <c r="N526" s="14" t="s">
        <v>9158</v>
      </c>
      <c r="O526" s="7" t="s">
        <v>3893</v>
      </c>
      <c r="P526" s="1" t="s">
        <v>2724</v>
      </c>
      <c r="Q526" s="1">
        <v>1</v>
      </c>
    </row>
    <row r="527" spans="1:19">
      <c r="A527" s="14" t="s">
        <v>9477</v>
      </c>
      <c r="B527" s="1" t="s">
        <v>330</v>
      </c>
      <c r="C527" s="1" t="s">
        <v>205</v>
      </c>
      <c r="D527" s="19" t="s">
        <v>513</v>
      </c>
      <c r="E527" s="15" t="str">
        <f>HYPERLINK("https://stat100.ameba.jp/tnk47/ratio20/illustrations/card/ill_44283_0_izumonokuni03.jpg?201907-1-RELEASE-raid-417", "■")</f>
        <v>■</v>
      </c>
      <c r="F527" s="1" t="s">
        <v>514</v>
      </c>
      <c r="G527" s="1">
        <v>87780</v>
      </c>
      <c r="H527" s="1">
        <v>82212</v>
      </c>
      <c r="I527" s="1">
        <v>15</v>
      </c>
      <c r="J527" s="1" t="s">
        <v>159</v>
      </c>
      <c r="K527" s="1" t="s">
        <v>1717</v>
      </c>
      <c r="L527" s="1" t="s">
        <v>516</v>
      </c>
      <c r="M527" s="14" t="s">
        <v>9158</v>
      </c>
      <c r="N527" s="14" t="s">
        <v>9158</v>
      </c>
      <c r="O527" s="9" t="s">
        <v>9158</v>
      </c>
      <c r="P527" s="14" t="s">
        <v>9158</v>
      </c>
      <c r="Q527" s="14" t="s">
        <v>9158</v>
      </c>
    </row>
    <row r="528" spans="1:19">
      <c r="A528" s="16">
        <v>70563</v>
      </c>
      <c r="B528" s="1" t="s">
        <v>0</v>
      </c>
      <c r="C528" s="1" t="s">
        <v>5344</v>
      </c>
      <c r="D528" s="19" t="s">
        <v>11796</v>
      </c>
      <c r="E528" s="15" t="str">
        <f>HYPERLINK("https://stat100.ameba.jp/tnk47/ratio20/illustrations/card/ill_70563_eishokotaigo03.jpg?201907-1-RELEASE-raid-417", "■")</f>
        <v>■</v>
      </c>
      <c r="F528" s="1" t="s">
        <v>5345</v>
      </c>
      <c r="G528" s="1">
        <v>93746</v>
      </c>
      <c r="H528" s="1">
        <v>87128</v>
      </c>
      <c r="I528" s="1">
        <v>24</v>
      </c>
      <c r="J528" s="1" t="s">
        <v>5346</v>
      </c>
      <c r="K528" s="1" t="s">
        <v>5347</v>
      </c>
      <c r="L528" s="1" t="s">
        <v>5348</v>
      </c>
      <c r="M528" s="14" t="s">
        <v>9158</v>
      </c>
      <c r="N528" s="14" t="s">
        <v>9158</v>
      </c>
      <c r="O528" s="9" t="s">
        <v>9158</v>
      </c>
      <c r="P528" s="14" t="s">
        <v>9158</v>
      </c>
      <c r="Q528" s="14" t="s">
        <v>9158</v>
      </c>
      <c r="S528" s="14" t="s">
        <v>11797</v>
      </c>
    </row>
    <row r="529" spans="1:19">
      <c r="A529" s="16">
        <v>73293</v>
      </c>
      <c r="B529" s="1" t="s">
        <v>0</v>
      </c>
      <c r="C529" s="1" t="s">
        <v>5349</v>
      </c>
      <c r="D529" s="19" t="s">
        <v>11798</v>
      </c>
      <c r="E529" s="15" t="str">
        <f>HYPERLINK("https://stat100.ameba.jp/tnk47/ratio20/illustrations/card/ill_73293_sukiyaki03.jpg?201907-1-RELEASE-raid-417", "■")</f>
        <v>■</v>
      </c>
      <c r="F529" s="1" t="s">
        <v>5350</v>
      </c>
      <c r="G529" s="1">
        <v>113340</v>
      </c>
      <c r="H529" s="1">
        <v>105394</v>
      </c>
      <c r="I529" s="1">
        <v>24</v>
      </c>
      <c r="J529" s="1" t="s">
        <v>5351</v>
      </c>
      <c r="K529" s="1" t="s">
        <v>5352</v>
      </c>
      <c r="L529" s="1" t="s">
        <v>5353</v>
      </c>
      <c r="M529" s="14" t="s">
        <v>9158</v>
      </c>
      <c r="N529" s="14" t="s">
        <v>9158</v>
      </c>
      <c r="O529" s="9" t="s">
        <v>9158</v>
      </c>
      <c r="P529" s="14" t="s">
        <v>9158</v>
      </c>
      <c r="Q529" s="14" t="s">
        <v>9158</v>
      </c>
      <c r="S529" s="14" t="s">
        <v>11799</v>
      </c>
    </row>
    <row r="530" spans="1:19">
      <c r="A530" s="16">
        <v>74423</v>
      </c>
      <c r="B530" s="1" t="s">
        <v>0</v>
      </c>
      <c r="C530" s="1" t="s">
        <v>5349</v>
      </c>
      <c r="D530" s="19" t="s">
        <v>11800</v>
      </c>
      <c r="E530" s="15" t="str">
        <f>HYPERLINK("https://stat100.ameba.jp/tnk47/ratio20/illustrations/card/ill_74423_kainanhoshi03.jpg?201907-1-RELEASE-raid-417", "■")</f>
        <v>■</v>
      </c>
      <c r="F530" s="1" t="s">
        <v>5354</v>
      </c>
      <c r="G530" s="1">
        <v>99996</v>
      </c>
      <c r="H530" s="1">
        <v>92996</v>
      </c>
      <c r="I530" s="1">
        <v>24</v>
      </c>
      <c r="J530" s="1" t="s">
        <v>5355</v>
      </c>
      <c r="K530" s="1" t="s">
        <v>5356</v>
      </c>
      <c r="L530" s="1" t="s">
        <v>5357</v>
      </c>
      <c r="M530" s="14" t="s">
        <v>9158</v>
      </c>
      <c r="N530" s="14" t="s">
        <v>9158</v>
      </c>
      <c r="O530" s="9" t="s">
        <v>9158</v>
      </c>
      <c r="P530" s="14" t="s">
        <v>9158</v>
      </c>
      <c r="Q530" s="14" t="s">
        <v>9158</v>
      </c>
      <c r="S530" s="14" t="s">
        <v>11801</v>
      </c>
    </row>
    <row r="531" spans="1:19">
      <c r="A531" s="16">
        <v>59643</v>
      </c>
      <c r="B531" s="1" t="s">
        <v>15</v>
      </c>
      <c r="C531" s="1" t="s">
        <v>23</v>
      </c>
      <c r="D531" s="19" t="s">
        <v>11781</v>
      </c>
      <c r="E531" s="15" t="str">
        <f>HYPERLINK("https://stat100.ameba.jp/tnk47/ratio20/illustrations/card/ill_59643_oheyatochiotomechan03.jpg?201907-1-RELEASE-raid-417", "■")</f>
        <v>■</v>
      </c>
      <c r="F531" s="1" t="s">
        <v>5343</v>
      </c>
      <c r="G531" s="1">
        <v>56316</v>
      </c>
      <c r="H531" s="1">
        <v>51078</v>
      </c>
      <c r="I531" s="1">
        <v>19</v>
      </c>
      <c r="J531" s="1" t="s">
        <v>283</v>
      </c>
      <c r="K531" s="1" t="s">
        <v>5341</v>
      </c>
      <c r="L531" s="1" t="s">
        <v>5342</v>
      </c>
      <c r="M531" s="14" t="s">
        <v>9158</v>
      </c>
      <c r="N531" s="14" t="s">
        <v>9158</v>
      </c>
      <c r="O531" s="9" t="s">
        <v>9158</v>
      </c>
      <c r="P531" s="14" t="s">
        <v>9158</v>
      </c>
      <c r="Q531" s="14" t="s">
        <v>9158</v>
      </c>
      <c r="S531" s="1" t="s">
        <v>12930</v>
      </c>
    </row>
    <row r="532" spans="1:19">
      <c r="A532" s="16">
        <v>64323</v>
      </c>
      <c r="B532" s="1" t="s">
        <v>15</v>
      </c>
      <c r="C532" s="1" t="s">
        <v>23</v>
      </c>
      <c r="D532" s="19" t="s">
        <v>11782</v>
      </c>
      <c r="E532" s="15" t="str">
        <f>HYPERLINK("https://stat100.ameba.jp/tnk47/ratio20/illustrations/card/ill_64323_mikunigurohondatadakatsu03.jpg?201907-1-RELEASE-raid-417", "■")</f>
        <v>■</v>
      </c>
      <c r="F532" s="1" t="s">
        <v>5081</v>
      </c>
      <c r="G532" s="1">
        <v>56316</v>
      </c>
      <c r="H532" s="1">
        <v>51078</v>
      </c>
      <c r="I532" s="1">
        <v>19</v>
      </c>
      <c r="J532" s="1" t="s">
        <v>143</v>
      </c>
      <c r="K532" s="1" t="s">
        <v>5082</v>
      </c>
      <c r="L532" s="1" t="s">
        <v>5083</v>
      </c>
      <c r="M532" s="14" t="s">
        <v>9158</v>
      </c>
      <c r="N532" s="14" t="s">
        <v>9158</v>
      </c>
      <c r="O532" s="9" t="s">
        <v>9158</v>
      </c>
      <c r="P532" s="14" t="s">
        <v>9158</v>
      </c>
      <c r="Q532" s="14" t="s">
        <v>9158</v>
      </c>
      <c r="S532" s="14" t="s">
        <v>12930</v>
      </c>
    </row>
    <row r="533" spans="1:19">
      <c r="A533" s="16">
        <v>68553</v>
      </c>
      <c r="B533" s="1" t="s">
        <v>15</v>
      </c>
      <c r="C533" s="1" t="s">
        <v>23</v>
      </c>
      <c r="D533" s="19" t="s">
        <v>11783</v>
      </c>
      <c r="E533" s="15" t="str">
        <f>HYPERLINK("https://stat100.ameba.jp/tnk47/ratio20/illustrations/card/ill_68553_kannonyamakofun03.jpg?201907-1-RELEASE-raid-417", "■")</f>
        <v>■</v>
      </c>
      <c r="F533" s="1" t="s">
        <v>5084</v>
      </c>
      <c r="G533" s="1">
        <v>56316</v>
      </c>
      <c r="H533" s="1">
        <v>51078</v>
      </c>
      <c r="I533" s="1">
        <v>19</v>
      </c>
      <c r="J533" s="1" t="s">
        <v>26</v>
      </c>
      <c r="K533" s="1" t="s">
        <v>5086</v>
      </c>
      <c r="L533" s="1" t="s">
        <v>5087</v>
      </c>
      <c r="M533" s="14" t="s">
        <v>9158</v>
      </c>
      <c r="N533" s="14" t="s">
        <v>9158</v>
      </c>
      <c r="O533" s="9" t="s">
        <v>9158</v>
      </c>
      <c r="P533" s="14" t="s">
        <v>9158</v>
      </c>
      <c r="Q533" s="14" t="s">
        <v>9158</v>
      </c>
      <c r="S533" s="14" t="s">
        <v>11784</v>
      </c>
    </row>
    <row r="534" spans="1:19">
      <c r="O534" s="7"/>
    </row>
    <row r="535" spans="1:19">
      <c r="A535" s="1" t="s">
        <v>5360</v>
      </c>
      <c r="O535" s="7"/>
    </row>
    <row r="536" spans="1:19" s="14" customFormat="1">
      <c r="A536" s="1" t="s">
        <v>5361</v>
      </c>
      <c r="O536" s="9"/>
    </row>
    <row r="537" spans="1:19">
      <c r="A537" s="14" t="s">
        <v>9497</v>
      </c>
      <c r="B537" s="1" t="s">
        <v>5362</v>
      </c>
      <c r="C537" s="1" t="s">
        <v>5363</v>
      </c>
      <c r="D537" s="19" t="s">
        <v>10312</v>
      </c>
      <c r="E537" s="15" t="str">
        <f>HYPERLINK("https://stat100.ameba.jp/tnk47/ratio20/illustrations/card/ill_68523_0_jindaisankoshin03.jpg?201907-1-RELEASE-raid-417", "■")</f>
        <v>■</v>
      </c>
      <c r="F537" s="1" t="s">
        <v>5364</v>
      </c>
      <c r="G537" s="1">
        <v>94274</v>
      </c>
      <c r="H537" s="1">
        <v>87622</v>
      </c>
      <c r="I537" s="1">
        <v>28</v>
      </c>
      <c r="J537" s="1" t="s">
        <v>5365</v>
      </c>
      <c r="K537" s="1" t="s">
        <v>5366</v>
      </c>
      <c r="L537" s="1" t="s">
        <v>5367</v>
      </c>
      <c r="M537" s="14" t="s">
        <v>9158</v>
      </c>
      <c r="N537" s="14" t="s">
        <v>9158</v>
      </c>
      <c r="O537" s="9" t="s">
        <v>9158</v>
      </c>
      <c r="P537" s="14" t="s">
        <v>9158</v>
      </c>
      <c r="Q537" s="14" t="s">
        <v>9158</v>
      </c>
    </row>
    <row r="538" spans="1:19">
      <c r="A538" s="14" t="s">
        <v>9458</v>
      </c>
      <c r="B538" s="1" t="s">
        <v>52</v>
      </c>
      <c r="C538" s="1" t="s">
        <v>185</v>
      </c>
      <c r="D538" s="19" t="s">
        <v>698</v>
      </c>
      <c r="E538" s="15" t="str">
        <f>HYPERLINK("https://stat100.ameba.jp/tnk47/ratio20/illustrations/card/ill_66433_0_haroinfujishirogozen03.jpg?201907-1-RELEASE-raid-417", "■")</f>
        <v>■</v>
      </c>
      <c r="F538" s="1" t="s">
        <v>1243</v>
      </c>
      <c r="G538" s="1">
        <v>122410</v>
      </c>
      <c r="H538" s="1">
        <v>131668</v>
      </c>
      <c r="I538" s="1">
        <v>20</v>
      </c>
      <c r="J538" s="1" t="s">
        <v>77</v>
      </c>
      <c r="K538" s="1" t="s">
        <v>1244</v>
      </c>
      <c r="L538" s="1" t="s">
        <v>1245</v>
      </c>
      <c r="M538" s="14" t="s">
        <v>9158</v>
      </c>
      <c r="N538" s="14" t="s">
        <v>9158</v>
      </c>
      <c r="O538" s="6" t="s">
        <v>10062</v>
      </c>
      <c r="P538" s="1" t="s">
        <v>3345</v>
      </c>
      <c r="Q538" s="1">
        <v>1</v>
      </c>
    </row>
    <row r="539" spans="1:19">
      <c r="A539" s="14" t="s">
        <v>9495</v>
      </c>
      <c r="B539" s="1" t="s">
        <v>52</v>
      </c>
      <c r="C539" s="1" t="s">
        <v>107</v>
      </c>
      <c r="D539" s="19" t="s">
        <v>543</v>
      </c>
      <c r="E539" s="15" t="str">
        <f>HYPERLINK("https://stat100.ameba.jp/tnk47/ratio20/illustrations/card/ill_52693_0_sengokumibirakiyanagiharabyakuren03.jpg?201907-1-RELEASE-raid-417", "■")</f>
        <v>■</v>
      </c>
      <c r="F539" s="1" t="s">
        <v>1246</v>
      </c>
      <c r="G539" s="1">
        <v>111616</v>
      </c>
      <c r="H539" s="1">
        <v>125648</v>
      </c>
      <c r="I539" s="1">
        <v>20</v>
      </c>
      <c r="J539" s="1" t="s">
        <v>16</v>
      </c>
      <c r="K539" s="1" t="s">
        <v>1247</v>
      </c>
      <c r="L539" s="1" t="s">
        <v>1248</v>
      </c>
      <c r="M539" s="14" t="s">
        <v>9158</v>
      </c>
      <c r="N539" s="14" t="s">
        <v>9158</v>
      </c>
      <c r="O539" s="7" t="s">
        <v>3303</v>
      </c>
      <c r="P539" s="1" t="s">
        <v>3304</v>
      </c>
      <c r="Q539" s="1">
        <v>1</v>
      </c>
    </row>
    <row r="540" spans="1:19">
      <c r="A540" s="16">
        <v>78133</v>
      </c>
      <c r="B540" s="1" t="s">
        <v>0</v>
      </c>
      <c r="C540" s="1" t="s">
        <v>154</v>
      </c>
      <c r="D540" s="19" t="s">
        <v>10313</v>
      </c>
      <c r="E540" s="15" t="str">
        <f>HYPERLINK("https://stat100.ameba.jp/tnk47/ratio20/illustrations/card/ill_78133_akazukin03.jpg?201907-1-RELEASE-raid-417", "■")</f>
        <v>■</v>
      </c>
      <c r="F540" s="1" t="s">
        <v>2202</v>
      </c>
      <c r="G540" s="1">
        <v>88706</v>
      </c>
      <c r="H540" s="1">
        <v>122476</v>
      </c>
      <c r="I540" s="1">
        <v>24</v>
      </c>
      <c r="J540" s="1" t="s">
        <v>38</v>
      </c>
      <c r="K540" s="1" t="s">
        <v>2203</v>
      </c>
      <c r="L540" s="1" t="s">
        <v>2204</v>
      </c>
      <c r="M540" s="14" t="s">
        <v>9158</v>
      </c>
      <c r="N540" s="14" t="s">
        <v>9158</v>
      </c>
      <c r="O540" s="7" t="s">
        <v>3530</v>
      </c>
      <c r="P540" s="1" t="s">
        <v>3531</v>
      </c>
      <c r="Q540" s="1">
        <v>1</v>
      </c>
    </row>
    <row r="541" spans="1:19">
      <c r="A541" s="16">
        <v>63273</v>
      </c>
      <c r="B541" s="1" t="s">
        <v>334</v>
      </c>
      <c r="C541" s="1" t="s">
        <v>203</v>
      </c>
      <c r="D541" s="19" t="s">
        <v>828</v>
      </c>
      <c r="E541" s="15" t="str">
        <f>HYPERLINK("https://stat100.ameba.jp/tnk47/ratio20/illustrations/card/ill_63273_tsukushimai03.jpg?201907-1-RELEASE-raid-417", "■")</f>
        <v>■</v>
      </c>
      <c r="F541" s="1" t="s">
        <v>829</v>
      </c>
      <c r="G541" s="1">
        <v>122476</v>
      </c>
      <c r="H541" s="1">
        <v>88706</v>
      </c>
      <c r="I541" s="1">
        <v>24</v>
      </c>
      <c r="J541" s="1" t="s">
        <v>274</v>
      </c>
      <c r="K541" s="1" t="s">
        <v>830</v>
      </c>
      <c r="L541" s="1" t="s">
        <v>831</v>
      </c>
      <c r="M541" s="14" t="s">
        <v>9158</v>
      </c>
      <c r="N541" s="14" t="s">
        <v>9158</v>
      </c>
      <c r="O541" s="7" t="s">
        <v>3642</v>
      </c>
      <c r="P541" s="1" t="s">
        <v>13128</v>
      </c>
      <c r="Q541" s="1">
        <v>1</v>
      </c>
    </row>
    <row r="542" spans="1:19">
      <c r="A542" s="16">
        <v>66343</v>
      </c>
      <c r="B542" s="1" t="s">
        <v>334</v>
      </c>
      <c r="C542" s="1" t="s">
        <v>209</v>
      </c>
      <c r="D542" s="19" t="s">
        <v>832</v>
      </c>
      <c r="E542" s="15" t="str">
        <f>HYPERLINK("https://stat100.ameba.jp/tnk47/ratio20/illustrations/card/ill_66343_shunobon03.jpg?201907-1-RELEASE-raid-417", "■")</f>
        <v>■</v>
      </c>
      <c r="F542" s="1" t="s">
        <v>833</v>
      </c>
      <c r="G542" s="1">
        <v>81078</v>
      </c>
      <c r="H542" s="1">
        <v>111914</v>
      </c>
      <c r="I542" s="1">
        <v>24</v>
      </c>
      <c r="J542" s="1" t="s">
        <v>320</v>
      </c>
      <c r="K542" s="1" t="s">
        <v>834</v>
      </c>
      <c r="L542" s="1" t="s">
        <v>347</v>
      </c>
      <c r="M542" s="14" t="s">
        <v>9158</v>
      </c>
      <c r="N542" s="14" t="s">
        <v>9158</v>
      </c>
      <c r="O542" s="9" t="s">
        <v>9158</v>
      </c>
      <c r="P542" s="14" t="s">
        <v>9158</v>
      </c>
      <c r="Q542" s="14" t="s">
        <v>9158</v>
      </c>
    </row>
    <row r="543" spans="1:19">
      <c r="O543" s="7"/>
    </row>
    <row r="544" spans="1:19">
      <c r="A544" s="1" t="s">
        <v>5358</v>
      </c>
      <c r="O544" s="7"/>
    </row>
    <row r="545" spans="1:18" s="14" customFormat="1">
      <c r="A545" s="1" t="s">
        <v>5359</v>
      </c>
      <c r="O545" s="9"/>
    </row>
    <row r="546" spans="1:18">
      <c r="A546" s="14" t="s">
        <v>9481</v>
      </c>
      <c r="B546" s="1" t="s">
        <v>330</v>
      </c>
      <c r="C546" s="1" t="s">
        <v>271</v>
      </c>
      <c r="D546" s="19" t="s">
        <v>421</v>
      </c>
      <c r="E546" s="15" t="str">
        <f>HYPERLINK("https://stat100.ameba.jp/tnk47/ratio20/illustrations/card/ill_58853_0_setsubumpanikkuhiratsukaraicho03.jpg?201907-1-RELEASE-raid-417", "■")</f>
        <v>■</v>
      </c>
      <c r="F546" s="1" t="s">
        <v>422</v>
      </c>
      <c r="G546" s="1">
        <v>125648</v>
      </c>
      <c r="H546" s="1">
        <v>111616</v>
      </c>
      <c r="I546" s="1">
        <v>20</v>
      </c>
      <c r="J546" s="1" t="s">
        <v>414</v>
      </c>
      <c r="K546" s="1" t="s">
        <v>423</v>
      </c>
      <c r="L546" s="1" t="s">
        <v>424</v>
      </c>
      <c r="M546" s="14" t="s">
        <v>9158</v>
      </c>
      <c r="N546" s="14" t="s">
        <v>9158</v>
      </c>
      <c r="O546" s="6" t="s">
        <v>10059</v>
      </c>
      <c r="P546" s="1" t="s">
        <v>2870</v>
      </c>
      <c r="Q546" s="1">
        <v>1</v>
      </c>
    </row>
    <row r="547" spans="1:18">
      <c r="A547" s="16">
        <v>65643</v>
      </c>
      <c r="B547" s="1" t="s">
        <v>0</v>
      </c>
      <c r="C547" s="1" t="s">
        <v>209</v>
      </c>
      <c r="D547" s="19" t="s">
        <v>1681</v>
      </c>
      <c r="E547" s="15" t="str">
        <f>HYPERLINK("https://stat100.ameba.jp/tnk47/ratio20/illustrations/card/ill_65643_shitompekamui03.jpg?201907-1-RELEASE-raid-417", "■")</f>
        <v>■</v>
      </c>
      <c r="F547" s="1" t="s">
        <v>1250</v>
      </c>
      <c r="G547" s="1">
        <v>72736</v>
      </c>
      <c r="H547" s="1">
        <v>100424</v>
      </c>
      <c r="I547" s="1">
        <v>22</v>
      </c>
      <c r="J547" s="1" t="s">
        <v>44</v>
      </c>
      <c r="K547" s="1" t="s">
        <v>1251</v>
      </c>
      <c r="L547" s="1" t="s">
        <v>1252</v>
      </c>
      <c r="M547" s="14" t="s">
        <v>9158</v>
      </c>
      <c r="N547" s="14" t="s">
        <v>9158</v>
      </c>
      <c r="O547" s="7" t="s">
        <v>3244</v>
      </c>
      <c r="P547" s="1" t="s">
        <v>3245</v>
      </c>
      <c r="Q547" s="1">
        <v>1</v>
      </c>
    </row>
    <row r="548" spans="1:18">
      <c r="A548" s="16">
        <v>58343</v>
      </c>
      <c r="B548" s="1" t="s">
        <v>334</v>
      </c>
      <c r="C548" s="1" t="s">
        <v>268</v>
      </c>
      <c r="D548" s="19" t="s">
        <v>585</v>
      </c>
      <c r="E548" s="15" t="str">
        <f>HYPERLINK("https://stat100.ameba.jp/tnk47/ratio20/illustrations/card/ill_58343_agemakidayu03.jpg?201907-1-RELEASE-raid-417", "■")</f>
        <v>■</v>
      </c>
      <c r="F548" s="1" t="s">
        <v>586</v>
      </c>
      <c r="G548" s="1">
        <v>90796</v>
      </c>
      <c r="H548" s="1">
        <v>66574</v>
      </c>
      <c r="I548" s="1">
        <v>22</v>
      </c>
      <c r="J548" s="1" t="s">
        <v>274</v>
      </c>
      <c r="K548" s="1" t="s">
        <v>587</v>
      </c>
      <c r="L548" s="1" t="s">
        <v>588</v>
      </c>
      <c r="M548" s="14" t="s">
        <v>9158</v>
      </c>
      <c r="N548" s="14" t="s">
        <v>9158</v>
      </c>
      <c r="O548" s="7" t="s">
        <v>2912</v>
      </c>
      <c r="P548" s="1" t="s">
        <v>13122</v>
      </c>
      <c r="Q548" s="1">
        <v>1</v>
      </c>
    </row>
    <row r="549" spans="1:18">
      <c r="A549" s="16">
        <v>56443</v>
      </c>
      <c r="B549" s="1" t="s">
        <v>0</v>
      </c>
      <c r="C549" s="1" t="s">
        <v>205</v>
      </c>
      <c r="D549" s="19" t="s">
        <v>10314</v>
      </c>
      <c r="E549" s="15" t="str">
        <f>HYPERLINK("https://stat100.ameba.jp/tnk47/ratio20/illustrations/card/ill_56443_poppukurisumasuizumonokuni03.jpg?201907-1-RELEASE-raid-417", "■")</f>
        <v>■</v>
      </c>
      <c r="F549" s="1" t="s">
        <v>1151</v>
      </c>
      <c r="G549" s="1">
        <v>78838</v>
      </c>
      <c r="H549" s="1">
        <v>84796</v>
      </c>
      <c r="I549" s="1">
        <v>22</v>
      </c>
      <c r="J549" s="1" t="s">
        <v>10</v>
      </c>
      <c r="K549" s="1" t="s">
        <v>1152</v>
      </c>
      <c r="L549" s="1" t="s">
        <v>1153</v>
      </c>
      <c r="M549" s="14" t="s">
        <v>9158</v>
      </c>
      <c r="N549" s="14" t="s">
        <v>9158</v>
      </c>
      <c r="O549" s="7" t="s">
        <v>3661</v>
      </c>
      <c r="P549" s="1" t="s">
        <v>3662</v>
      </c>
      <c r="Q549" s="1">
        <v>1</v>
      </c>
    </row>
    <row r="550" spans="1:18">
      <c r="O550" s="7"/>
    </row>
    <row r="551" spans="1:18">
      <c r="A551" s="1" t="s">
        <v>5368</v>
      </c>
      <c r="O551" s="7"/>
    </row>
    <row r="552" spans="1:18" s="14" customFormat="1">
      <c r="A552" s="1" t="s">
        <v>5369</v>
      </c>
      <c r="O552" s="9"/>
    </row>
    <row r="553" spans="1:18">
      <c r="A553" s="14">
        <v>67895</v>
      </c>
      <c r="B553" s="1" t="s">
        <v>0</v>
      </c>
      <c r="C553" s="1" t="s">
        <v>5363</v>
      </c>
      <c r="D553" s="19" t="s">
        <v>10315</v>
      </c>
      <c r="E553" s="15" t="str">
        <f>HYPERLINK("https://stat100.ameba.jp/tnk47/ratio20/illustrations/card/ill_67895_misonikomiudon05.jpg?201907-1-RELEASE-raid-417", "■")</f>
        <v>■</v>
      </c>
      <c r="F553" s="1" t="s">
        <v>5373</v>
      </c>
      <c r="G553" s="1">
        <v>99423</v>
      </c>
      <c r="H553" s="1">
        <v>137307</v>
      </c>
      <c r="I553" s="1">
        <v>23</v>
      </c>
      <c r="J553" s="1" t="s">
        <v>5374</v>
      </c>
      <c r="K553" s="1" t="s">
        <v>5375</v>
      </c>
      <c r="L553" s="1" t="s">
        <v>5376</v>
      </c>
      <c r="M553" s="14" t="s">
        <v>9158</v>
      </c>
      <c r="N553" s="14" t="s">
        <v>9158</v>
      </c>
      <c r="O553" s="9" t="s">
        <v>9158</v>
      </c>
      <c r="P553" s="14" t="s">
        <v>9158</v>
      </c>
      <c r="Q553" s="14" t="s">
        <v>9158</v>
      </c>
      <c r="R553" s="1" t="s">
        <v>5370</v>
      </c>
    </row>
    <row r="554" spans="1:18">
      <c r="A554" s="14">
        <v>67893</v>
      </c>
      <c r="B554" s="1" t="s">
        <v>15</v>
      </c>
      <c r="C554" s="1" t="s">
        <v>209</v>
      </c>
      <c r="D554" s="19" t="s">
        <v>10315</v>
      </c>
      <c r="E554" s="15" t="str">
        <f>HYPERLINK("https://stat100.ameba.jp/tnk47/ratio20/illustrations/card/ill_67893_misonikomiudon03.jpg?201907-1-RELEASE-raid-417", "■")</f>
        <v>■</v>
      </c>
      <c r="F554" s="1" t="s">
        <v>5373</v>
      </c>
      <c r="G554" s="1">
        <v>73251</v>
      </c>
      <c r="H554" s="1">
        <v>73251</v>
      </c>
      <c r="I554" s="1">
        <v>23</v>
      </c>
      <c r="J554" s="1" t="s">
        <v>5374</v>
      </c>
      <c r="K554" s="1" t="s">
        <v>5375</v>
      </c>
      <c r="L554" s="1" t="s">
        <v>5377</v>
      </c>
      <c r="M554" s="14" t="s">
        <v>9158</v>
      </c>
      <c r="N554" s="14" t="s">
        <v>9158</v>
      </c>
      <c r="O554" s="9" t="s">
        <v>9158</v>
      </c>
      <c r="P554" s="14" t="s">
        <v>9158</v>
      </c>
      <c r="Q554" s="14" t="s">
        <v>9158</v>
      </c>
      <c r="R554" s="1" t="s">
        <v>5371</v>
      </c>
    </row>
    <row r="555" spans="1:18">
      <c r="A555" s="14">
        <v>67891</v>
      </c>
      <c r="B555" s="1" t="s">
        <v>15</v>
      </c>
      <c r="C555" s="1" t="s">
        <v>209</v>
      </c>
      <c r="D555" s="19" t="s">
        <v>10315</v>
      </c>
      <c r="E555" s="15" t="str">
        <f>HYPERLINK("https://stat100.ameba.jp/tnk47/ratio20/illustrations/card/ill_67891_misonikomiudon01.jpg?201907-1-RELEASE-raid-417", "■")</f>
        <v>■</v>
      </c>
      <c r="F555" s="1" t="s">
        <v>5373</v>
      </c>
      <c r="G555" s="1">
        <v>46598</v>
      </c>
      <c r="H555" s="1">
        <v>64354</v>
      </c>
      <c r="I555" s="1">
        <v>23</v>
      </c>
      <c r="J555" s="1" t="s">
        <v>5374</v>
      </c>
      <c r="K555" s="1" t="s">
        <v>5375</v>
      </c>
      <c r="L555" s="1" t="s">
        <v>5378</v>
      </c>
      <c r="M555" s="14" t="s">
        <v>9158</v>
      </c>
      <c r="N555" s="14" t="s">
        <v>9158</v>
      </c>
      <c r="O555" s="9" t="s">
        <v>9158</v>
      </c>
      <c r="P555" s="14" t="s">
        <v>9158</v>
      </c>
      <c r="Q555" s="14" t="s">
        <v>9158</v>
      </c>
      <c r="R555" s="1" t="s">
        <v>5372</v>
      </c>
    </row>
    <row r="556" spans="1:18">
      <c r="A556" s="14">
        <v>67055</v>
      </c>
      <c r="B556" s="1" t="s">
        <v>0</v>
      </c>
      <c r="C556" s="1" t="s">
        <v>5363</v>
      </c>
      <c r="D556" s="19" t="s">
        <v>10316</v>
      </c>
      <c r="E556" s="15" t="str">
        <f>HYPERLINK("https://stat100.ameba.jp/tnk47/ratio20/illustrations/card/ill_67055_raden05.jpg?201907-1-RELEASE-raid-417", "■")</f>
        <v>■</v>
      </c>
      <c r="F556" s="1" t="s">
        <v>5379</v>
      </c>
      <c r="G556" s="1">
        <v>123540</v>
      </c>
      <c r="H556" s="1">
        <v>89465</v>
      </c>
      <c r="I556" s="1">
        <v>23</v>
      </c>
      <c r="J556" s="1" t="s">
        <v>5380</v>
      </c>
      <c r="K556" s="1" t="s">
        <v>5381</v>
      </c>
      <c r="L556" s="1" t="s">
        <v>5382</v>
      </c>
      <c r="M556" s="14" t="s">
        <v>9158</v>
      </c>
      <c r="N556" s="14" t="s">
        <v>9158</v>
      </c>
      <c r="O556" s="9" t="s">
        <v>9158</v>
      </c>
      <c r="P556" s="14" t="s">
        <v>9158</v>
      </c>
      <c r="Q556" s="14" t="s">
        <v>9158</v>
      </c>
      <c r="R556" s="1" t="s">
        <v>5370</v>
      </c>
    </row>
    <row r="557" spans="1:18">
      <c r="A557" s="14">
        <v>67053</v>
      </c>
      <c r="B557" s="1" t="s">
        <v>15</v>
      </c>
      <c r="C557" s="1" t="s">
        <v>203</v>
      </c>
      <c r="D557" s="19" t="s">
        <v>10316</v>
      </c>
      <c r="E557" s="15" t="str">
        <f>HYPERLINK("https://stat100.ameba.jp/tnk47/ratio20/illustrations/card/ill_67053_raden03.jpg?201907-1-RELEASE-raid-417", "■")</f>
        <v>■</v>
      </c>
      <c r="F557" s="1" t="s">
        <v>5379</v>
      </c>
      <c r="G557" s="1">
        <v>91031</v>
      </c>
      <c r="H557" s="1">
        <v>65905</v>
      </c>
      <c r="I557" s="1">
        <v>23</v>
      </c>
      <c r="J557" s="1" t="s">
        <v>5380</v>
      </c>
      <c r="K557" s="1" t="s">
        <v>5381</v>
      </c>
      <c r="L557" s="1" t="s">
        <v>5383</v>
      </c>
      <c r="M557" s="14" t="s">
        <v>9158</v>
      </c>
      <c r="N557" s="14" t="s">
        <v>9158</v>
      </c>
      <c r="O557" s="9" t="s">
        <v>9158</v>
      </c>
      <c r="P557" s="14" t="s">
        <v>9158</v>
      </c>
      <c r="Q557" s="14" t="s">
        <v>9158</v>
      </c>
      <c r="R557" s="1" t="s">
        <v>5371</v>
      </c>
    </row>
    <row r="558" spans="1:18">
      <c r="A558" s="14">
        <v>67051</v>
      </c>
      <c r="B558" s="1" t="s">
        <v>15</v>
      </c>
      <c r="C558" s="1" t="s">
        <v>203</v>
      </c>
      <c r="D558" s="19" t="s">
        <v>10316</v>
      </c>
      <c r="E558" s="15" t="str">
        <f>HYPERLINK("https://stat100.ameba.jp/tnk47/ratio20/illustrations/card/ill_67051_raden01.jpg?201907-1-RELEASE-raid-417", "■")</f>
        <v>■</v>
      </c>
      <c r="F558" s="1" t="s">
        <v>5379</v>
      </c>
      <c r="G558" s="1">
        <v>57891</v>
      </c>
      <c r="H558" s="1">
        <v>41929</v>
      </c>
      <c r="I558" s="1">
        <v>23</v>
      </c>
      <c r="J558" s="1" t="s">
        <v>5380</v>
      </c>
      <c r="K558" s="1" t="s">
        <v>5381</v>
      </c>
      <c r="L558" s="1" t="s">
        <v>5384</v>
      </c>
      <c r="M558" s="14" t="s">
        <v>9158</v>
      </c>
      <c r="N558" s="14" t="s">
        <v>9158</v>
      </c>
      <c r="O558" s="9" t="s">
        <v>9158</v>
      </c>
      <c r="P558" s="14" t="s">
        <v>9158</v>
      </c>
      <c r="Q558" s="14" t="s">
        <v>9158</v>
      </c>
      <c r="R558" s="1" t="s">
        <v>5372</v>
      </c>
    </row>
    <row r="559" spans="1:18">
      <c r="A559" s="14">
        <v>68645</v>
      </c>
      <c r="B559" s="1" t="s">
        <v>0</v>
      </c>
      <c r="C559" s="1" t="s">
        <v>5363</v>
      </c>
      <c r="D559" s="19" t="s">
        <v>10317</v>
      </c>
      <c r="E559" s="15" t="str">
        <f>HYPERLINK("https://stat100.ameba.jp/tnk47/ratio20/illustrations/card/ill_68645_miminashihoichi05.jpg?201907-1-RELEASE-raid-417", "■")</f>
        <v>■</v>
      </c>
      <c r="F559" s="1" t="s">
        <v>5385</v>
      </c>
      <c r="G559" s="1">
        <v>95977</v>
      </c>
      <c r="H559" s="1">
        <v>132577</v>
      </c>
      <c r="I559" s="1">
        <v>23</v>
      </c>
      <c r="J559" s="1" t="s">
        <v>5365</v>
      </c>
      <c r="K559" s="1" t="s">
        <v>5386</v>
      </c>
      <c r="L559" s="1" t="s">
        <v>5387</v>
      </c>
      <c r="M559" s="14" t="s">
        <v>9158</v>
      </c>
      <c r="N559" s="14" t="s">
        <v>9158</v>
      </c>
      <c r="O559" s="9" t="s">
        <v>9158</v>
      </c>
      <c r="P559" s="14" t="s">
        <v>9158</v>
      </c>
      <c r="Q559" s="14" t="s">
        <v>9158</v>
      </c>
      <c r="R559" s="1" t="s">
        <v>5370</v>
      </c>
    </row>
    <row r="560" spans="1:18">
      <c r="A560" s="14">
        <v>68643</v>
      </c>
      <c r="B560" s="1" t="s">
        <v>15</v>
      </c>
      <c r="C560" s="1" t="s">
        <v>203</v>
      </c>
      <c r="D560" s="19" t="s">
        <v>10317</v>
      </c>
      <c r="E560" s="15" t="str">
        <f>HYPERLINK("https://stat100.ameba.jp/tnk47/ratio20/illustrations/card/ill_68643_miminashihoichi03.jpg?201907-1-RELEASE-raid-417", "■")</f>
        <v>■</v>
      </c>
      <c r="F560" s="1" t="s">
        <v>5385</v>
      </c>
      <c r="G560" s="1">
        <v>70688</v>
      </c>
      <c r="H560" s="1">
        <v>97663</v>
      </c>
      <c r="I560" s="1">
        <v>23</v>
      </c>
      <c r="J560" s="1" t="s">
        <v>5365</v>
      </c>
      <c r="K560" s="1" t="s">
        <v>5386</v>
      </c>
      <c r="L560" s="1" t="s">
        <v>5388</v>
      </c>
      <c r="M560" s="14" t="s">
        <v>9158</v>
      </c>
      <c r="N560" s="14" t="s">
        <v>9158</v>
      </c>
      <c r="O560" s="9" t="s">
        <v>9158</v>
      </c>
      <c r="P560" s="14" t="s">
        <v>9158</v>
      </c>
      <c r="Q560" s="14" t="s">
        <v>9158</v>
      </c>
      <c r="R560" s="1" t="s">
        <v>5371</v>
      </c>
    </row>
    <row r="561" spans="1:18">
      <c r="A561" s="14">
        <v>68641</v>
      </c>
      <c r="B561" s="1" t="s">
        <v>15</v>
      </c>
      <c r="C561" s="1" t="s">
        <v>203</v>
      </c>
      <c r="D561" s="19" t="s">
        <v>10317</v>
      </c>
      <c r="E561" s="15" t="str">
        <f>HYPERLINK("https://stat100.ameba.jp/tnk47/ratio20/illustrations/card/ill_68641_miminashihoichi01.jpg?201907-1-RELEASE-raid-417", "■")</f>
        <v>■</v>
      </c>
      <c r="F561" s="1" t="s">
        <v>5385</v>
      </c>
      <c r="G561" s="1">
        <v>44988</v>
      </c>
      <c r="H561" s="1">
        <v>62123</v>
      </c>
      <c r="I561" s="1">
        <v>23</v>
      </c>
      <c r="J561" s="1" t="s">
        <v>5365</v>
      </c>
      <c r="K561" s="1" t="s">
        <v>5386</v>
      </c>
      <c r="L561" s="1" t="s">
        <v>5389</v>
      </c>
      <c r="M561" s="14" t="s">
        <v>9158</v>
      </c>
      <c r="N561" s="14" t="s">
        <v>9158</v>
      </c>
      <c r="O561" s="9" t="s">
        <v>9158</v>
      </c>
      <c r="P561" s="14" t="s">
        <v>9158</v>
      </c>
      <c r="Q561" s="14" t="s">
        <v>9158</v>
      </c>
      <c r="R561" s="1" t="s">
        <v>5372</v>
      </c>
    </row>
    <row r="562" spans="1:18">
      <c r="O562" s="7"/>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9B51-18EF-43E9-A8D4-EDEB8F7C0E8C}">
  <dimension ref="A1:S580"/>
  <sheetViews>
    <sheetView zoomScale="55" zoomScaleNormal="55" workbookViewId="0">
      <pane ySplit="1" topLeftCell="A480" activePane="bottomLeft" state="frozen"/>
      <selection activeCell="A305" sqref="A305:Q305"/>
      <selection pane="bottomLeft" activeCell="D494" sqref="D494"/>
    </sheetView>
  </sheetViews>
  <sheetFormatPr defaultColWidth="8.9140625" defaultRowHeight="18"/>
  <cols>
    <col min="1" max="1" width="6.4140625" style="1" customWidth="1"/>
    <col min="2" max="2" width="3.9140625" style="1" customWidth="1"/>
    <col min="3" max="3" width="8.75" style="1" customWidth="1"/>
    <col min="4" max="4" width="25.9140625" style="1" customWidth="1"/>
    <col min="5" max="5" width="3.9140625" style="14" customWidth="1"/>
    <col min="6" max="6" width="8.9140625" style="1" customWidth="1"/>
    <col min="7" max="8" width="7.08203125" style="1" customWidth="1"/>
    <col min="9" max="9" width="3.75" style="1" customWidth="1"/>
    <col min="10" max="10" width="5.4140625" style="1" customWidth="1"/>
    <col min="11" max="11" width="8.9140625" style="1"/>
    <col min="12" max="12" width="50.75" style="1" customWidth="1"/>
    <col min="13" max="16" width="8.9140625" style="1"/>
    <col min="17" max="17" width="3.9140625" style="1" customWidth="1"/>
    <col min="18" max="19" width="14.33203125" style="1" customWidth="1"/>
    <col min="20" max="16384" width="8.9140625" style="1"/>
  </cols>
  <sheetData>
    <row r="1" spans="1:19">
      <c r="A1" s="4" t="s">
        <v>5600</v>
      </c>
      <c r="B1" s="4"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5390</v>
      </c>
    </row>
    <row r="4" spans="1:19">
      <c r="A4" s="1" t="s">
        <v>5439</v>
      </c>
    </row>
    <row r="5" spans="1:19">
      <c r="A5" s="1" t="s">
        <v>7665</v>
      </c>
    </row>
    <row r="6" spans="1:19">
      <c r="A6" s="1" t="s">
        <v>5601</v>
      </c>
      <c r="B6" s="1" t="s">
        <v>330</v>
      </c>
      <c r="C6" s="1" t="s">
        <v>35</v>
      </c>
      <c r="D6" s="19" t="s">
        <v>10318</v>
      </c>
      <c r="E6" s="15" t="str">
        <f>HYPERLINK("https://stat100.ameba.jp/tnk47/ratio20/illustrations/card/ill_82423_0_bikinigarukishi03.jpg?201907-1-RELEASE-raid-417", "■")</f>
        <v>■</v>
      </c>
      <c r="F6" s="1" t="s">
        <v>5391</v>
      </c>
      <c r="G6" s="1">
        <v>339032</v>
      </c>
      <c r="H6" s="1">
        <v>306424</v>
      </c>
      <c r="I6" s="1">
        <v>28</v>
      </c>
      <c r="J6" s="1" t="s">
        <v>77</v>
      </c>
      <c r="K6" s="1" t="s">
        <v>5392</v>
      </c>
      <c r="L6" s="1" t="s">
        <v>5393</v>
      </c>
      <c r="M6" s="1" t="s">
        <v>9158</v>
      </c>
      <c r="N6" s="1" t="s">
        <v>9158</v>
      </c>
      <c r="O6" s="19" t="s">
        <v>10069</v>
      </c>
      <c r="P6" s="1" t="s">
        <v>5394</v>
      </c>
      <c r="Q6" s="1">
        <v>1</v>
      </c>
    </row>
    <row r="7" spans="1:19">
      <c r="A7" s="1">
        <v>82363</v>
      </c>
      <c r="B7" s="1" t="s">
        <v>334</v>
      </c>
      <c r="C7" s="1" t="s">
        <v>200</v>
      </c>
      <c r="D7" s="19" t="s">
        <v>10319</v>
      </c>
      <c r="E7" s="15" t="str">
        <f>HYPERLINK("https://stat100.ameba.jp/tnk47/ratio20/illustrations/card/ill_82363_bikinigaruteneiin03.jpg?201907-1-RELEASE-raid-417", "■")</f>
        <v>■</v>
      </c>
      <c r="F7" s="1" t="s">
        <v>5395</v>
      </c>
      <c r="G7" s="1">
        <v>87128</v>
      </c>
      <c r="H7" s="1">
        <v>93746</v>
      </c>
      <c r="I7" s="1">
        <v>24</v>
      </c>
      <c r="J7" s="1" t="s">
        <v>10</v>
      </c>
      <c r="K7" s="1" t="s">
        <v>5396</v>
      </c>
      <c r="L7" s="1" t="s">
        <v>12</v>
      </c>
      <c r="M7" s="1" t="s">
        <v>2138</v>
      </c>
      <c r="N7" s="1" t="s">
        <v>2139</v>
      </c>
      <c r="O7" s="1" t="s">
        <v>9158</v>
      </c>
      <c r="P7" s="1" t="s">
        <v>9158</v>
      </c>
      <c r="Q7" s="1" t="s">
        <v>9158</v>
      </c>
      <c r="R7" s="1" t="s">
        <v>13120</v>
      </c>
    </row>
    <row r="8" spans="1:19">
      <c r="A8" s="1">
        <v>82373</v>
      </c>
      <c r="B8" s="1" t="s">
        <v>334</v>
      </c>
      <c r="C8" s="1" t="s">
        <v>191</v>
      </c>
      <c r="D8" s="19" t="s">
        <v>10320</v>
      </c>
      <c r="E8" s="15" t="str">
        <f>HYPERLINK("https://stat100.ameba.jp/tnk47/ratio20/illustrations/card/ill_82373_bikinigaruyasharyujin03.jpg?201907-1-RELEASE-raid-417", "■")</f>
        <v>■</v>
      </c>
      <c r="F8" s="1" t="s">
        <v>5397</v>
      </c>
      <c r="G8" s="1">
        <v>97894</v>
      </c>
      <c r="H8" s="1">
        <v>91010</v>
      </c>
      <c r="I8" s="1">
        <v>24</v>
      </c>
      <c r="J8" s="1" t="s">
        <v>44</v>
      </c>
      <c r="K8" s="1" t="s">
        <v>5398</v>
      </c>
      <c r="L8" s="1" t="s">
        <v>3356</v>
      </c>
      <c r="M8" s="1" t="s">
        <v>9158</v>
      </c>
      <c r="N8" s="1" t="s">
        <v>9158</v>
      </c>
      <c r="O8" s="19" t="s">
        <v>10070</v>
      </c>
      <c r="P8" s="1" t="s">
        <v>3579</v>
      </c>
      <c r="Q8" s="1">
        <v>1</v>
      </c>
    </row>
    <row r="9" spans="1:19">
      <c r="A9" s="1">
        <v>82383</v>
      </c>
      <c r="B9" s="1" t="s">
        <v>334</v>
      </c>
      <c r="C9" s="1" t="s">
        <v>1</v>
      </c>
      <c r="D9" s="19" t="s">
        <v>10321</v>
      </c>
      <c r="E9" s="15" t="str">
        <f>HYPERLINK("https://stat100.ameba.jp/tnk47/ratio20/illustrations/card/ill_82383_bikinigaruyagamihime03.jpg?201907-1-RELEASE-raid-417", "■")</f>
        <v>■</v>
      </c>
      <c r="F9" s="1" t="s">
        <v>5402</v>
      </c>
      <c r="G9" s="1">
        <v>109528</v>
      </c>
      <c r="H9" s="1">
        <v>101656</v>
      </c>
      <c r="I9" s="1">
        <v>24</v>
      </c>
      <c r="J9" s="1" t="s">
        <v>38</v>
      </c>
      <c r="K9" s="1" t="s">
        <v>5399</v>
      </c>
      <c r="L9" s="1" t="s">
        <v>5400</v>
      </c>
      <c r="M9" s="1" t="s">
        <v>2138</v>
      </c>
      <c r="N9" s="1" t="s">
        <v>2139</v>
      </c>
      <c r="O9" s="1" t="s">
        <v>9158</v>
      </c>
      <c r="P9" s="1" t="s">
        <v>9158</v>
      </c>
      <c r="Q9" s="1" t="s">
        <v>9158</v>
      </c>
      <c r="R9" s="1" t="s">
        <v>13120</v>
      </c>
    </row>
    <row r="10" spans="1:19">
      <c r="A10" s="1">
        <v>82393</v>
      </c>
      <c r="B10" s="1" t="s">
        <v>348</v>
      </c>
      <c r="C10" s="1" t="s">
        <v>191</v>
      </c>
      <c r="D10" s="19" t="s">
        <v>10322</v>
      </c>
      <c r="E10" s="15" t="str">
        <f>HYPERLINK("https://stat100.ameba.jp/tnk47/ratio20/illustrations/card/ill_82393_suparizotoikedasen03.jpg?201907-1-RELEASE-raid-417", "■")</f>
        <v>■</v>
      </c>
      <c r="F10" s="1" t="s">
        <v>5401</v>
      </c>
      <c r="G10" s="1">
        <v>61832</v>
      </c>
      <c r="H10" s="1">
        <v>68172</v>
      </c>
      <c r="I10" s="1">
        <v>23</v>
      </c>
      <c r="J10" s="1" t="s">
        <v>143</v>
      </c>
      <c r="K10" s="1" t="s">
        <v>5403</v>
      </c>
      <c r="L10" s="1" t="s">
        <v>5404</v>
      </c>
      <c r="M10" s="1" t="s">
        <v>9158</v>
      </c>
      <c r="N10" s="1" t="s">
        <v>9158</v>
      </c>
      <c r="O10" s="1" t="s">
        <v>9158</v>
      </c>
      <c r="P10" s="1" t="s">
        <v>9158</v>
      </c>
      <c r="Q10" s="1" t="s">
        <v>9158</v>
      </c>
    </row>
    <row r="11" spans="1:19">
      <c r="A11" s="1">
        <v>82403</v>
      </c>
      <c r="B11" s="1" t="s">
        <v>348</v>
      </c>
      <c r="C11" s="1" t="s">
        <v>107</v>
      </c>
      <c r="D11" s="19" t="s">
        <v>10323</v>
      </c>
      <c r="E11" s="15" t="str">
        <f>HYPERLINK("https://stat100.ameba.jp/tnk47/ratio20/illustrations/card/ill_82403_umimonogatarichochofujin03.jpg?201907-1-RELEASE-raid-417", "■")</f>
        <v>■</v>
      </c>
      <c r="F11" s="1" t="s">
        <v>5405</v>
      </c>
      <c r="G11" s="1">
        <v>68172</v>
      </c>
      <c r="H11" s="1">
        <v>61832</v>
      </c>
      <c r="I11" s="1">
        <v>23</v>
      </c>
      <c r="J11" s="1" t="s">
        <v>38</v>
      </c>
      <c r="K11" s="1" t="s">
        <v>5406</v>
      </c>
      <c r="L11" s="1" t="s">
        <v>5407</v>
      </c>
      <c r="M11" s="1" t="s">
        <v>9158</v>
      </c>
      <c r="N11" s="1" t="s">
        <v>9158</v>
      </c>
      <c r="O11" s="1" t="s">
        <v>9158</v>
      </c>
      <c r="P11" s="1" t="s">
        <v>9158</v>
      </c>
      <c r="Q11" s="1" t="s">
        <v>9158</v>
      </c>
    </row>
    <row r="12" spans="1:19">
      <c r="A12" s="1">
        <v>82413</v>
      </c>
      <c r="B12" s="1" t="s">
        <v>348</v>
      </c>
      <c r="C12" s="1" t="s">
        <v>14</v>
      </c>
      <c r="D12" s="19" t="s">
        <v>10324</v>
      </c>
      <c r="E12" s="15" t="str">
        <f>HYPERLINK("https://stat100.ameba.jp/tnk47/ratio20/illustrations/card/ill_82413_umibirakimarihime03.jpg?201907-1-RELEASE-raid-417", "■")</f>
        <v>■</v>
      </c>
      <c r="F12" s="1" t="s">
        <v>5408</v>
      </c>
      <c r="G12" s="1">
        <v>61832</v>
      </c>
      <c r="H12" s="1">
        <v>68172</v>
      </c>
      <c r="I12" s="1">
        <v>23</v>
      </c>
      <c r="J12" s="1" t="s">
        <v>77</v>
      </c>
      <c r="K12" s="1" t="s">
        <v>5409</v>
      </c>
      <c r="L12" s="1" t="s">
        <v>3730</v>
      </c>
      <c r="M12" s="1" t="s">
        <v>9158</v>
      </c>
      <c r="N12" s="1" t="s">
        <v>9158</v>
      </c>
      <c r="O12" s="1" t="s">
        <v>9158</v>
      </c>
      <c r="P12" s="1" t="s">
        <v>9158</v>
      </c>
      <c r="Q12" s="1" t="s">
        <v>9158</v>
      </c>
    </row>
    <row r="13" spans="1:19">
      <c r="A13" s="1">
        <v>82433</v>
      </c>
      <c r="B13" s="1" t="s">
        <v>362</v>
      </c>
      <c r="C13" s="1" t="s">
        <v>96</v>
      </c>
      <c r="D13" s="19" t="s">
        <v>10325</v>
      </c>
      <c r="E13" s="15" t="str">
        <f>HYPERLINK("https://stat100.ameba.jp/tnk47/ratio20/illustrations/card/ill_82433_osutorariaharimanobakeneko03.jpg?201907-1-RELEASE-raid-417", "■")</f>
        <v>■</v>
      </c>
      <c r="F13" s="1" t="s">
        <v>5410</v>
      </c>
      <c r="G13" s="1">
        <v>45742</v>
      </c>
      <c r="H13" s="1">
        <v>38032</v>
      </c>
      <c r="I13" s="1">
        <v>22</v>
      </c>
      <c r="J13" s="1" t="s">
        <v>73</v>
      </c>
      <c r="K13" s="1" t="s">
        <v>5411</v>
      </c>
      <c r="L13" s="1" t="s">
        <v>5412</v>
      </c>
      <c r="M13" s="1" t="s">
        <v>9158</v>
      </c>
      <c r="N13" s="1" t="s">
        <v>9158</v>
      </c>
      <c r="O13" s="1" t="s">
        <v>9158</v>
      </c>
      <c r="P13" s="1" t="s">
        <v>9158</v>
      </c>
      <c r="Q13" s="1" t="s">
        <v>9158</v>
      </c>
    </row>
    <row r="14" spans="1:19">
      <c r="A14" s="1">
        <v>82443</v>
      </c>
      <c r="B14" s="1" t="s">
        <v>362</v>
      </c>
      <c r="C14" s="1" t="s">
        <v>107</v>
      </c>
      <c r="D14" s="19" t="s">
        <v>10326</v>
      </c>
      <c r="E14" s="15" t="str">
        <f>HYPERLINK("https://stat100.ameba.jp/tnk47/ratio20/illustrations/card/ill_82443_ryukyubinkata03.jpg?201907-1-RELEASE-raid-417", "■")</f>
        <v>■</v>
      </c>
      <c r="F14" s="1" t="s">
        <v>5413</v>
      </c>
      <c r="G14" s="1">
        <v>38032</v>
      </c>
      <c r="H14" s="1">
        <v>45742</v>
      </c>
      <c r="I14" s="1">
        <v>22</v>
      </c>
      <c r="J14" s="1" t="s">
        <v>26</v>
      </c>
      <c r="K14" s="1" t="s">
        <v>5414</v>
      </c>
      <c r="L14" s="1" t="s">
        <v>5415</v>
      </c>
      <c r="M14" s="1" t="s">
        <v>9158</v>
      </c>
      <c r="N14" s="1" t="s">
        <v>9158</v>
      </c>
      <c r="O14" s="1" t="s">
        <v>9158</v>
      </c>
      <c r="P14" s="1" t="s">
        <v>9158</v>
      </c>
      <c r="Q14" s="1" t="s">
        <v>9158</v>
      </c>
    </row>
    <row r="15" spans="1:19">
      <c r="A15" s="1">
        <v>82453</v>
      </c>
      <c r="B15" s="1" t="s">
        <v>372</v>
      </c>
      <c r="C15" s="1" t="s">
        <v>5419</v>
      </c>
      <c r="D15" s="19" t="s">
        <v>10327</v>
      </c>
      <c r="E15" s="15" t="str">
        <f>HYPERLINK("https://stat100.ameba.jp/tnk47/ratio20/illustrations/card/ill_82453_kaisemmatsuotaseko03.jpg?201907-1-RELEASE-raid-417", "■")</f>
        <v>■</v>
      </c>
      <c r="F15" s="1" t="s">
        <v>5420</v>
      </c>
      <c r="G15" s="1">
        <v>27692</v>
      </c>
      <c r="H15" s="1">
        <v>23258</v>
      </c>
      <c r="I15" s="1">
        <v>22</v>
      </c>
      <c r="J15" s="1" t="s">
        <v>5421</v>
      </c>
      <c r="K15" s="1" t="s">
        <v>5422</v>
      </c>
      <c r="L15" s="1" t="s">
        <v>5423</v>
      </c>
      <c r="M15" s="1" t="s">
        <v>9158</v>
      </c>
      <c r="N15" s="1" t="s">
        <v>9158</v>
      </c>
      <c r="O15" s="1" t="s">
        <v>9158</v>
      </c>
      <c r="P15" s="1" t="s">
        <v>9158</v>
      </c>
      <c r="Q15" s="1" t="s">
        <v>9158</v>
      </c>
    </row>
    <row r="16" spans="1:19">
      <c r="A16" s="1">
        <v>82463</v>
      </c>
      <c r="B16" s="1" t="s">
        <v>372</v>
      </c>
      <c r="C16" s="1" t="s">
        <v>5424</v>
      </c>
      <c r="D16" s="19" t="s">
        <v>10328</v>
      </c>
      <c r="E16" s="15" t="str">
        <f>HYPERLINK("https://stat100.ameba.jp/tnk47/ratio20/illustrations/card/ill_82463_seiryumegurishibasonome03.jpg?201907-1-RELEASE-raid-417", "■")</f>
        <v>■</v>
      </c>
      <c r="F16" s="1" t="s">
        <v>5416</v>
      </c>
      <c r="G16" s="1">
        <v>23258</v>
      </c>
      <c r="H16" s="1">
        <v>27692</v>
      </c>
      <c r="I16" s="1">
        <v>22</v>
      </c>
      <c r="J16" s="1" t="s">
        <v>10</v>
      </c>
      <c r="K16" s="1" t="s">
        <v>5417</v>
      </c>
      <c r="L16" s="1" t="s">
        <v>5418</v>
      </c>
      <c r="M16" s="1" t="s">
        <v>9158</v>
      </c>
      <c r="N16" s="1" t="s">
        <v>9158</v>
      </c>
      <c r="O16" s="1" t="s">
        <v>9158</v>
      </c>
      <c r="P16" s="1" t="s">
        <v>9158</v>
      </c>
      <c r="Q16" s="1" t="s">
        <v>9158</v>
      </c>
    </row>
    <row r="18" spans="1:18">
      <c r="A18" s="1" t="s">
        <v>13356</v>
      </c>
    </row>
    <row r="19" spans="1:18">
      <c r="A19" s="1" t="s">
        <v>5425</v>
      </c>
    </row>
    <row r="20" spans="1:18">
      <c r="A20" s="1">
        <v>82515</v>
      </c>
      <c r="B20" s="1" t="s">
        <v>5428</v>
      </c>
      <c r="C20" s="1" t="s">
        <v>5426</v>
      </c>
      <c r="D20" s="19" t="s">
        <v>10329</v>
      </c>
      <c r="E20" s="15" t="str">
        <f>HYPERLINK("https://stat100.ameba.jp/tnk47/ratio20/illustrations/card/ill_82515_tanabatabansuiso05.jpg?201907-1-RELEASE-raid-417", "■")</f>
        <v>■</v>
      </c>
      <c r="F20" s="1" t="s">
        <v>5433</v>
      </c>
      <c r="G20" s="1">
        <v>82185</v>
      </c>
      <c r="H20" s="1">
        <v>113524</v>
      </c>
      <c r="I20" s="1">
        <v>23</v>
      </c>
      <c r="J20" s="1" t="s">
        <v>5434</v>
      </c>
      <c r="K20" s="1" t="s">
        <v>5435</v>
      </c>
      <c r="L20" s="1" t="s">
        <v>5436</v>
      </c>
      <c r="M20" s="1" t="s">
        <v>9158</v>
      </c>
      <c r="N20" s="1" t="s">
        <v>9158</v>
      </c>
      <c r="O20" s="1" t="s">
        <v>9158</v>
      </c>
      <c r="P20" s="1" t="s">
        <v>9158</v>
      </c>
      <c r="Q20" s="1" t="s">
        <v>9158</v>
      </c>
      <c r="R20" s="1" t="s">
        <v>5430</v>
      </c>
    </row>
    <row r="21" spans="1:18">
      <c r="A21" s="1">
        <v>82513</v>
      </c>
      <c r="B21" s="1" t="s">
        <v>5429</v>
      </c>
      <c r="C21" s="1" t="s">
        <v>5427</v>
      </c>
      <c r="D21" s="19" t="s">
        <v>10329</v>
      </c>
      <c r="E21" s="15" t="str">
        <f>HYPERLINK("https://stat100.ameba.jp/tnk47/ratio20/illustrations/card/ill_82513_tanabatabansuiso03.jpg?201907-1-RELEASE-raid-417", "■")</f>
        <v>■</v>
      </c>
      <c r="F21" s="1" t="s">
        <v>5433</v>
      </c>
      <c r="G21" s="1">
        <v>60547</v>
      </c>
      <c r="H21" s="1">
        <v>83635</v>
      </c>
      <c r="I21" s="1">
        <v>23</v>
      </c>
      <c r="J21" s="1" t="s">
        <v>5434</v>
      </c>
      <c r="K21" s="1" t="s">
        <v>5435</v>
      </c>
      <c r="L21" s="1" t="s">
        <v>5437</v>
      </c>
      <c r="M21" s="1" t="s">
        <v>9158</v>
      </c>
      <c r="N21" s="1" t="s">
        <v>9158</v>
      </c>
      <c r="O21" s="1" t="s">
        <v>9158</v>
      </c>
      <c r="P21" s="1" t="s">
        <v>9158</v>
      </c>
      <c r="Q21" s="1" t="s">
        <v>9158</v>
      </c>
      <c r="R21" s="1" t="s">
        <v>5431</v>
      </c>
    </row>
    <row r="22" spans="1:18">
      <c r="A22" s="1">
        <v>82511</v>
      </c>
      <c r="B22" s="1" t="s">
        <v>5429</v>
      </c>
      <c r="C22" s="1" t="s">
        <v>5427</v>
      </c>
      <c r="D22" s="19" t="s">
        <v>10329</v>
      </c>
      <c r="E22" s="15" t="str">
        <f>HYPERLINK("https://stat100.ameba.jp/tnk47/ratio20/illustrations/card/ill_82511_tanabatabansuiso01.jpg?201907-1-RELEASE-raid-417", "■")</f>
        <v>■</v>
      </c>
      <c r="F22" s="1" t="s">
        <v>5433</v>
      </c>
      <c r="G22" s="1">
        <v>38502</v>
      </c>
      <c r="H22" s="1">
        <v>53199</v>
      </c>
      <c r="I22" s="1">
        <v>23</v>
      </c>
      <c r="J22" s="1" t="s">
        <v>5434</v>
      </c>
      <c r="K22" s="1" t="s">
        <v>5435</v>
      </c>
      <c r="L22" s="1" t="s">
        <v>5438</v>
      </c>
      <c r="M22" s="1" t="s">
        <v>9158</v>
      </c>
      <c r="N22" s="1" t="s">
        <v>9158</v>
      </c>
      <c r="O22" s="1" t="s">
        <v>9158</v>
      </c>
      <c r="P22" s="1" t="s">
        <v>9158</v>
      </c>
      <c r="Q22" s="1" t="s">
        <v>9158</v>
      </c>
      <c r="R22" s="1" t="s">
        <v>5432</v>
      </c>
    </row>
    <row r="24" spans="1:18">
      <c r="A24" s="1" t="s">
        <v>5440</v>
      </c>
    </row>
    <row r="25" spans="1:18">
      <c r="A25" s="1" t="s">
        <v>5441</v>
      </c>
    </row>
    <row r="26" spans="1:18">
      <c r="A26" s="1" t="s">
        <v>5602</v>
      </c>
      <c r="B26" s="1" t="s">
        <v>330</v>
      </c>
      <c r="C26" s="1" t="s">
        <v>185</v>
      </c>
      <c r="D26" s="19" t="s">
        <v>813</v>
      </c>
      <c r="E26" s="15" t="str">
        <f>HYPERLINK("https://stat100.ameba.jp/tnk47/ratio20/illustrations/card/ill_55313_0_haroinononokomachi03.jpg?201907-1-RELEASE-raid-417", "■")</f>
        <v>■</v>
      </c>
      <c r="F26" s="1" t="s">
        <v>2094</v>
      </c>
      <c r="G26" s="1">
        <v>94236</v>
      </c>
      <c r="H26" s="1">
        <v>83712</v>
      </c>
      <c r="I26" s="1">
        <v>15</v>
      </c>
      <c r="J26" s="1" t="s">
        <v>10</v>
      </c>
      <c r="K26" s="1" t="s">
        <v>2095</v>
      </c>
      <c r="L26" s="1" t="s">
        <v>2096</v>
      </c>
      <c r="M26" s="1" t="s">
        <v>9158</v>
      </c>
      <c r="N26" s="1" t="s">
        <v>9158</v>
      </c>
      <c r="O26" s="19" t="s">
        <v>2733</v>
      </c>
      <c r="P26" s="1" t="s">
        <v>2734</v>
      </c>
      <c r="Q26" s="1">
        <v>1</v>
      </c>
    </row>
    <row r="27" spans="1:18">
      <c r="A27" s="1" t="s">
        <v>5603</v>
      </c>
      <c r="B27" s="1" t="s">
        <v>330</v>
      </c>
      <c r="C27" s="1" t="s">
        <v>205</v>
      </c>
      <c r="D27" s="19" t="s">
        <v>611</v>
      </c>
      <c r="E27" s="15" t="str">
        <f>HYPERLINK("https://stat100.ameba.jp/tnk47/ratio20/illustrations/card/ill_61893_0_onikirishumiyamotomusashi03.jpg?201907-1-RELEASE-raid-417", "■")</f>
        <v>■</v>
      </c>
      <c r="F27" s="1" t="s">
        <v>612</v>
      </c>
      <c r="G27" s="1">
        <v>140016</v>
      </c>
      <c r="H27" s="1">
        <v>130194</v>
      </c>
      <c r="I27" s="1">
        <v>15</v>
      </c>
      <c r="J27" s="1" t="s">
        <v>310</v>
      </c>
      <c r="K27" s="1" t="s">
        <v>613</v>
      </c>
      <c r="L27" s="1" t="s">
        <v>312</v>
      </c>
      <c r="M27" s="1" t="s">
        <v>9158</v>
      </c>
      <c r="N27" s="1" t="s">
        <v>9158</v>
      </c>
      <c r="O27" s="19" t="s">
        <v>10071</v>
      </c>
      <c r="P27" s="1" t="s">
        <v>3253</v>
      </c>
      <c r="Q27" s="1">
        <v>1</v>
      </c>
    </row>
    <row r="28" spans="1:18">
      <c r="A28" s="1" t="s">
        <v>5604</v>
      </c>
      <c r="B28" s="1" t="s">
        <v>330</v>
      </c>
      <c r="C28" s="1" t="s">
        <v>206</v>
      </c>
      <c r="D28" s="19" t="s">
        <v>614</v>
      </c>
      <c r="E28" s="15" t="str">
        <f>HYPERLINK("https://stat100.ameba.jp/tnk47/ratio20/illustrations/card/ill_47263_0_oukyuuatsuhime03.jpg?201907-1-RELEASE-raid-417", "■")</f>
        <v>■</v>
      </c>
      <c r="F28" s="1" t="s">
        <v>615</v>
      </c>
      <c r="G28" s="1">
        <v>94236</v>
      </c>
      <c r="H28" s="1">
        <v>83712</v>
      </c>
      <c r="I28" s="1">
        <v>15</v>
      </c>
      <c r="J28" s="1" t="s">
        <v>315</v>
      </c>
      <c r="K28" s="1" t="s">
        <v>616</v>
      </c>
      <c r="L28" s="1" t="s">
        <v>617</v>
      </c>
      <c r="M28" s="1" t="s">
        <v>9158</v>
      </c>
      <c r="N28" s="1" t="s">
        <v>9158</v>
      </c>
      <c r="O28" s="1" t="s">
        <v>9158</v>
      </c>
      <c r="P28" s="1" t="s">
        <v>9158</v>
      </c>
      <c r="Q28" s="1" t="s">
        <v>9158</v>
      </c>
    </row>
    <row r="29" spans="1:18">
      <c r="A29" s="1">
        <v>79783</v>
      </c>
      <c r="B29" s="1" t="s">
        <v>0</v>
      </c>
      <c r="C29" s="1" t="s">
        <v>200</v>
      </c>
      <c r="D29" s="19" t="s">
        <v>10330</v>
      </c>
      <c r="E29" s="15" t="str">
        <f>HYPERLINK("https://stat100.ameba.jp/tnk47/ratio20/illustrations/card/ill_79783_entakunokishitakatsukasanobuko03.jpg?201907-1-RELEASE-raid-417", "■")</f>
        <v>■</v>
      </c>
      <c r="F29" s="1" t="s">
        <v>3663</v>
      </c>
      <c r="G29" s="1">
        <v>110924</v>
      </c>
      <c r="H29" s="1">
        <v>62414</v>
      </c>
      <c r="I29" s="1">
        <v>23</v>
      </c>
      <c r="J29" s="1" t="s">
        <v>77</v>
      </c>
      <c r="K29" s="1" t="s">
        <v>3664</v>
      </c>
      <c r="L29" s="1" t="s">
        <v>76</v>
      </c>
      <c r="M29" s="1" t="s">
        <v>9158</v>
      </c>
      <c r="N29" s="1" t="s">
        <v>9158</v>
      </c>
      <c r="O29" s="1" t="s">
        <v>9158</v>
      </c>
      <c r="P29" s="1" t="s">
        <v>9158</v>
      </c>
      <c r="Q29" s="1" t="s">
        <v>9158</v>
      </c>
    </row>
    <row r="30" spans="1:18">
      <c r="A30" s="1">
        <v>61413</v>
      </c>
      <c r="B30" s="1" t="s">
        <v>334</v>
      </c>
      <c r="C30" s="1" t="s">
        <v>185</v>
      </c>
      <c r="D30" s="19" t="s">
        <v>1417</v>
      </c>
      <c r="E30" s="15" t="str">
        <f>HYPERLINK("https://stat100.ameba.jp/tnk47/ratio20/illustrations/card/ill_61413_toyako03.jpg?201907-1-RELEASE-raid-417", "■")</f>
        <v>■</v>
      </c>
      <c r="F30" s="1" t="s">
        <v>1418</v>
      </c>
      <c r="G30" s="1">
        <v>109403</v>
      </c>
      <c r="H30" s="1">
        <v>79248</v>
      </c>
      <c r="I30" s="1">
        <v>23</v>
      </c>
      <c r="J30" s="1" t="s">
        <v>369</v>
      </c>
      <c r="K30" s="1" t="s">
        <v>1419</v>
      </c>
      <c r="L30" s="1" t="s">
        <v>1420</v>
      </c>
      <c r="M30" s="1" t="s">
        <v>9158</v>
      </c>
      <c r="N30" s="1" t="s">
        <v>9158</v>
      </c>
      <c r="O30" s="1" t="s">
        <v>9158</v>
      </c>
      <c r="P30" s="1" t="s">
        <v>9158</v>
      </c>
      <c r="Q30" s="1" t="s">
        <v>9158</v>
      </c>
    </row>
    <row r="31" spans="1:18">
      <c r="A31" s="1">
        <v>64273</v>
      </c>
      <c r="B31" s="1" t="s">
        <v>0</v>
      </c>
      <c r="C31" s="1" t="s">
        <v>203</v>
      </c>
      <c r="D31" s="19" t="s">
        <v>10331</v>
      </c>
      <c r="E31" s="15" t="str">
        <f>HYPERLINK("https://stat100.ameba.jp/tnk47/ratio20/illustrations/card/ill_64273_machingubandokinshi03.jpg?201907-1-RELEASE-raid-417", "■")</f>
        <v>■</v>
      </c>
      <c r="F31" s="1" t="s">
        <v>3635</v>
      </c>
      <c r="G31" s="1">
        <v>89736</v>
      </c>
      <c r="H31" s="1">
        <v>83426</v>
      </c>
      <c r="I31" s="1">
        <v>22</v>
      </c>
      <c r="J31" s="1" t="s">
        <v>44</v>
      </c>
      <c r="K31" s="1" t="s">
        <v>3636</v>
      </c>
      <c r="L31" s="1" t="s">
        <v>1860</v>
      </c>
      <c r="M31" s="1" t="s">
        <v>9158</v>
      </c>
      <c r="N31" s="1" t="s">
        <v>9158</v>
      </c>
      <c r="O31" s="1" t="s">
        <v>9158</v>
      </c>
      <c r="P31" s="1" t="s">
        <v>9158</v>
      </c>
      <c r="Q31" s="1" t="s">
        <v>9158</v>
      </c>
    </row>
    <row r="33" spans="1:18">
      <c r="A33" s="1" t="s">
        <v>5443</v>
      </c>
    </row>
    <row r="34" spans="1:18">
      <c r="A34" s="1" t="s">
        <v>5444</v>
      </c>
    </row>
    <row r="35" spans="1:18">
      <c r="A35" s="1" t="s">
        <v>5605</v>
      </c>
      <c r="B35" s="1" t="s">
        <v>52</v>
      </c>
      <c r="C35" s="1" t="s">
        <v>202</v>
      </c>
      <c r="D35" s="19" t="s">
        <v>10332</v>
      </c>
      <c r="E35" s="15" t="str">
        <f>HYPERLINK("https://stat100.ameba.jp/tnk47/ratio20/illustrations/card/ill_79373_0_hommeichokotennyohime03.jpg?201907-1-RELEASE-raid-417", "■")</f>
        <v>■</v>
      </c>
      <c r="F35" s="1" t="s">
        <v>3495</v>
      </c>
      <c r="G35" s="1">
        <v>296766</v>
      </c>
      <c r="H35" s="1">
        <v>268230</v>
      </c>
      <c r="I35" s="1">
        <v>24</v>
      </c>
      <c r="J35" s="1" t="s">
        <v>104</v>
      </c>
      <c r="K35" s="1" t="s">
        <v>3496</v>
      </c>
      <c r="L35" s="1" t="s">
        <v>3497</v>
      </c>
      <c r="M35" s="1" t="s">
        <v>9158</v>
      </c>
      <c r="N35" s="1" t="s">
        <v>9158</v>
      </c>
      <c r="O35" s="19" t="s">
        <v>10072</v>
      </c>
      <c r="P35" s="1" t="s">
        <v>3498</v>
      </c>
      <c r="Q35" s="1">
        <v>1</v>
      </c>
    </row>
    <row r="36" spans="1:18">
      <c r="A36" s="1">
        <v>56183</v>
      </c>
      <c r="B36" s="1" t="s">
        <v>0</v>
      </c>
      <c r="C36" s="1" t="s">
        <v>191</v>
      </c>
      <c r="D36" s="19" t="s">
        <v>10333</v>
      </c>
      <c r="E36" s="15" t="str">
        <f>HYPERLINK("https://stat100.ameba.jp/tnk47/ratio20/illustrations/card/ill_56183_onsempanikkukoteipenginchan03.jpg?201907-1-RELEASE-raid-417", "■")</f>
        <v>■</v>
      </c>
      <c r="F36" s="1" t="s">
        <v>2025</v>
      </c>
      <c r="G36" s="1">
        <v>92504</v>
      </c>
      <c r="H36" s="1">
        <v>86006</v>
      </c>
      <c r="I36" s="1">
        <v>24</v>
      </c>
      <c r="J36" s="1" t="s">
        <v>229</v>
      </c>
      <c r="K36" s="1" t="s">
        <v>2026</v>
      </c>
      <c r="L36" s="1" t="s">
        <v>13170</v>
      </c>
      <c r="M36" s="1" t="s">
        <v>9158</v>
      </c>
      <c r="N36" s="1" t="s">
        <v>9158</v>
      </c>
      <c r="O36" s="19" t="s">
        <v>10073</v>
      </c>
      <c r="P36" s="1" t="s">
        <v>3895</v>
      </c>
      <c r="Q36" s="1">
        <v>1</v>
      </c>
    </row>
    <row r="37" spans="1:18">
      <c r="A37" s="1">
        <v>79313</v>
      </c>
      <c r="B37" s="1" t="s">
        <v>334</v>
      </c>
      <c r="C37" s="1" t="s">
        <v>185</v>
      </c>
      <c r="D37" s="19" t="s">
        <v>10334</v>
      </c>
      <c r="E37" s="15" t="str">
        <f>HYPERLINK("https://stat100.ameba.jp/tnk47/ratio20/illustrations/card/ill_79313_hommeichokodatemasamune03.jpg?201907-1-RELEASE-raid-417", "■")</f>
        <v>■</v>
      </c>
      <c r="F37" s="1" t="s">
        <v>3499</v>
      </c>
      <c r="G37" s="1">
        <v>132658</v>
      </c>
      <c r="H37" s="1">
        <v>142674</v>
      </c>
      <c r="I37" s="1">
        <v>24</v>
      </c>
      <c r="J37" s="1" t="s">
        <v>143</v>
      </c>
      <c r="K37" s="1" t="s">
        <v>3500</v>
      </c>
      <c r="L37" s="1" t="s">
        <v>1148</v>
      </c>
      <c r="M37" s="1" t="s">
        <v>9158</v>
      </c>
      <c r="N37" s="1" t="s">
        <v>9158</v>
      </c>
      <c r="O37" s="19" t="s">
        <v>2752</v>
      </c>
      <c r="P37" s="1" t="s">
        <v>13123</v>
      </c>
      <c r="Q37" s="1">
        <v>1</v>
      </c>
    </row>
    <row r="38" spans="1:18">
      <c r="A38" s="1">
        <v>66363</v>
      </c>
      <c r="B38" s="1" t="s">
        <v>334</v>
      </c>
      <c r="C38" s="1" t="s">
        <v>158</v>
      </c>
      <c r="D38" s="19" t="s">
        <v>2910</v>
      </c>
      <c r="E38" s="15" t="str">
        <f>HYPERLINK("https://stat100.ameba.jp/tnk47/ratio20/illustrations/card/ill_66363_iharasaikaku03.jpg?201907-1-RELEASE-raid-417", "■")</f>
        <v>■</v>
      </c>
      <c r="F38" s="1" t="s">
        <v>5445</v>
      </c>
      <c r="G38" s="1">
        <v>78916</v>
      </c>
      <c r="H38" s="1">
        <v>108924</v>
      </c>
      <c r="I38" s="1">
        <v>24</v>
      </c>
      <c r="J38" s="1" t="s">
        <v>414</v>
      </c>
      <c r="K38" s="1" t="s">
        <v>2911</v>
      </c>
      <c r="L38" s="1" t="s">
        <v>1575</v>
      </c>
      <c r="M38" s="1" t="s">
        <v>9158</v>
      </c>
      <c r="N38" s="1" t="s">
        <v>9158</v>
      </c>
      <c r="O38" s="19" t="s">
        <v>10074</v>
      </c>
      <c r="P38" s="1" t="s">
        <v>2822</v>
      </c>
      <c r="Q38" s="1">
        <v>1</v>
      </c>
    </row>
    <row r="40" spans="1:18">
      <c r="A40" s="1" t="s">
        <v>13327</v>
      </c>
    </row>
    <row r="41" spans="1:18">
      <c r="A41" s="1" t="s">
        <v>5446</v>
      </c>
    </row>
    <row r="42" spans="1:18">
      <c r="A42" s="1">
        <v>82213</v>
      </c>
      <c r="B42" s="1" t="s">
        <v>0</v>
      </c>
      <c r="C42" s="1" t="s">
        <v>185</v>
      </c>
      <c r="D42" s="19" t="s">
        <v>10185</v>
      </c>
      <c r="E42" s="15" t="str">
        <f>HYPERLINK("https://stat100.ameba.jp/tnk47/ratio20/illustrations/card/ill_82213_tatarimokke03.jpg?201907-1-RELEASE-raid-417", "■")</f>
        <v>■</v>
      </c>
      <c r="F42" s="1" t="s">
        <v>4935</v>
      </c>
      <c r="G42" s="1">
        <v>109852</v>
      </c>
      <c r="H42" s="1">
        <v>118152</v>
      </c>
      <c r="I42" s="1">
        <v>24</v>
      </c>
      <c r="J42" s="1" t="s">
        <v>182</v>
      </c>
      <c r="K42" s="1" t="s">
        <v>4937</v>
      </c>
      <c r="L42" s="1" t="s">
        <v>13191</v>
      </c>
      <c r="M42" s="1" t="s">
        <v>13130</v>
      </c>
      <c r="N42" s="1" t="s">
        <v>343</v>
      </c>
      <c r="O42" s="1" t="s">
        <v>9158</v>
      </c>
      <c r="P42" s="1" t="s">
        <v>9158</v>
      </c>
      <c r="Q42" s="1" t="s">
        <v>9158</v>
      </c>
      <c r="R42" s="14" t="s">
        <v>14748</v>
      </c>
    </row>
    <row r="43" spans="1:18">
      <c r="A43" s="1">
        <v>82212</v>
      </c>
      <c r="B43" s="1" t="s">
        <v>334</v>
      </c>
      <c r="C43" s="1" t="s">
        <v>185</v>
      </c>
      <c r="D43" s="19" t="s">
        <v>10185</v>
      </c>
      <c r="E43" s="15" t="str">
        <f>HYPERLINK("https://stat100.ameba.jp/tnk47/ratio20/illustrations/card/ill_82212_tatarimokke02.jpg?201907-1-RELEASE-raid-417", "■")</f>
        <v>■</v>
      </c>
      <c r="F43" s="1" t="s">
        <v>4935</v>
      </c>
      <c r="G43" s="1">
        <v>90984</v>
      </c>
      <c r="H43" s="1">
        <v>98768</v>
      </c>
      <c r="I43" s="1">
        <v>24</v>
      </c>
      <c r="J43" s="1" t="s">
        <v>182</v>
      </c>
      <c r="K43" s="1" t="s">
        <v>4937</v>
      </c>
      <c r="L43" s="1" t="s">
        <v>13191</v>
      </c>
      <c r="M43" s="1" t="s">
        <v>13131</v>
      </c>
      <c r="N43" s="1" t="s">
        <v>251</v>
      </c>
      <c r="O43" s="1" t="s">
        <v>9158</v>
      </c>
      <c r="P43" s="1" t="s">
        <v>9158</v>
      </c>
      <c r="Q43" s="1" t="s">
        <v>9158</v>
      </c>
      <c r="R43" s="14" t="s">
        <v>14748</v>
      </c>
    </row>
    <row r="44" spans="1:18">
      <c r="A44" s="1">
        <v>82211</v>
      </c>
      <c r="B44" s="1" t="s">
        <v>0</v>
      </c>
      <c r="C44" s="1" t="s">
        <v>185</v>
      </c>
      <c r="D44" s="19" t="s">
        <v>10185</v>
      </c>
      <c r="E44" s="15" t="str">
        <f>HYPERLINK("https://stat100.ameba.jp/tnk47/ratio20/illustrations/card/ill_82211_tatarimokke01.jpg?201907-1-RELEASE-raid-417", "■")</f>
        <v>■</v>
      </c>
      <c r="F44" s="1" t="s">
        <v>4935</v>
      </c>
      <c r="G44" s="1">
        <v>70200</v>
      </c>
      <c r="H44" s="1">
        <v>75408</v>
      </c>
      <c r="I44" s="1">
        <v>24</v>
      </c>
      <c r="J44" s="1" t="s">
        <v>182</v>
      </c>
      <c r="K44" s="1" t="s">
        <v>4937</v>
      </c>
      <c r="L44" s="1" t="s">
        <v>13191</v>
      </c>
      <c r="M44" s="1" t="s">
        <v>13131</v>
      </c>
      <c r="N44" s="1" t="s">
        <v>251</v>
      </c>
      <c r="O44" s="1" t="s">
        <v>9158</v>
      </c>
      <c r="P44" s="1" t="s">
        <v>9158</v>
      </c>
      <c r="Q44" s="1" t="s">
        <v>9158</v>
      </c>
      <c r="R44" s="14" t="s">
        <v>14748</v>
      </c>
    </row>
    <row r="45" spans="1:18">
      <c r="A45" s="1">
        <v>82223</v>
      </c>
      <c r="B45" s="1" t="s">
        <v>334</v>
      </c>
      <c r="C45" s="1" t="s">
        <v>200</v>
      </c>
      <c r="D45" s="19" t="s">
        <v>10186</v>
      </c>
      <c r="E45" s="15" t="str">
        <f>HYPERLINK("https://stat100.ameba.jp/tnk47/ratio20/illustrations/card/ill_82223_oyayubihime03.jpg?201907-1-RELEASE-raid-417", "■")</f>
        <v>■</v>
      </c>
      <c r="F45" s="1" t="s">
        <v>4931</v>
      </c>
      <c r="G45" s="1">
        <v>118152</v>
      </c>
      <c r="H45" s="1">
        <v>109852</v>
      </c>
      <c r="I45" s="1">
        <v>24</v>
      </c>
      <c r="J45" s="1" t="s">
        <v>155</v>
      </c>
      <c r="K45" s="1" t="s">
        <v>4933</v>
      </c>
      <c r="L45" s="1" t="s">
        <v>4934</v>
      </c>
      <c r="M45" s="1" t="s">
        <v>13130</v>
      </c>
      <c r="N45" s="1" t="s">
        <v>343</v>
      </c>
      <c r="O45" s="1" t="s">
        <v>9158</v>
      </c>
      <c r="P45" s="1" t="s">
        <v>9158</v>
      </c>
      <c r="Q45" s="1" t="s">
        <v>9158</v>
      </c>
      <c r="R45" s="14" t="s">
        <v>14748</v>
      </c>
    </row>
    <row r="46" spans="1:18">
      <c r="A46" s="1">
        <v>82233</v>
      </c>
      <c r="B46" s="1" t="s">
        <v>334</v>
      </c>
      <c r="C46" s="1" t="s">
        <v>191</v>
      </c>
      <c r="D46" s="19" t="s">
        <v>10187</v>
      </c>
      <c r="E46" s="15" t="str">
        <f>HYPERLINK("https://stat100.ameba.jp/tnk47/ratio20/illustrations/card/ill_82233_iseokiku03.jpg?201907-1-RELEASE-raid-417", "■")</f>
        <v>■</v>
      </c>
      <c r="F46" s="1" t="s">
        <v>4924</v>
      </c>
      <c r="G46" s="1">
        <v>118152</v>
      </c>
      <c r="H46" s="1">
        <v>109852</v>
      </c>
      <c r="I46" s="1">
        <v>24</v>
      </c>
      <c r="J46" s="1" t="s">
        <v>187</v>
      </c>
      <c r="K46" s="1" t="s">
        <v>4926</v>
      </c>
      <c r="L46" s="1" t="s">
        <v>4930</v>
      </c>
      <c r="M46" s="1" t="s">
        <v>13130</v>
      </c>
      <c r="N46" s="1" t="s">
        <v>343</v>
      </c>
      <c r="O46" s="1" t="s">
        <v>9158</v>
      </c>
      <c r="P46" s="1" t="s">
        <v>9158</v>
      </c>
      <c r="Q46" s="1" t="s">
        <v>9158</v>
      </c>
      <c r="R46" s="14" t="s">
        <v>14748</v>
      </c>
    </row>
    <row r="47" spans="1:18">
      <c r="A47" s="1">
        <v>82243</v>
      </c>
      <c r="B47" s="1" t="s">
        <v>0</v>
      </c>
      <c r="C47" s="1" t="s">
        <v>165</v>
      </c>
      <c r="D47" s="19" t="s">
        <v>10188</v>
      </c>
      <c r="E47" s="15" t="str">
        <f>HYPERLINK("https://stat100.ameba.jp/tnk47/ratio20/illustrations/card/ill_82243_nanohana03.jpg?201907-1-RELEASE-raid-417", "■")</f>
        <v>■</v>
      </c>
      <c r="F47" s="1" t="s">
        <v>4921</v>
      </c>
      <c r="G47" s="1">
        <v>118152</v>
      </c>
      <c r="H47" s="1">
        <v>109852</v>
      </c>
      <c r="I47" s="1">
        <v>24</v>
      </c>
      <c r="J47" s="1" t="s">
        <v>229</v>
      </c>
      <c r="K47" s="1" t="s">
        <v>4923</v>
      </c>
      <c r="L47" s="1" t="s">
        <v>4929</v>
      </c>
      <c r="M47" s="1" t="s">
        <v>13130</v>
      </c>
      <c r="N47" s="1" t="s">
        <v>343</v>
      </c>
      <c r="O47" s="1" t="s">
        <v>9158</v>
      </c>
      <c r="P47" s="1" t="s">
        <v>9158</v>
      </c>
      <c r="Q47" s="1" t="s">
        <v>9158</v>
      </c>
      <c r="R47" s="14" t="s">
        <v>14748</v>
      </c>
    </row>
    <row r="48" spans="1:18">
      <c r="A48" s="1">
        <v>82253</v>
      </c>
      <c r="B48" s="1" t="s">
        <v>334</v>
      </c>
      <c r="C48" s="1" t="s">
        <v>205</v>
      </c>
      <c r="D48" s="19" t="s">
        <v>10189</v>
      </c>
      <c r="E48" s="15" t="str">
        <f>HYPERLINK("https://stat100.ameba.jp/tnk47/ratio20/illustrations/card/ill_82253_ajisaikyogokuichiko03.jpg?201907-1-RELEASE-raid-417", "■")</f>
        <v>■</v>
      </c>
      <c r="F48" s="1" t="s">
        <v>4920</v>
      </c>
      <c r="G48" s="1">
        <v>109852</v>
      </c>
      <c r="H48" s="1">
        <v>118152</v>
      </c>
      <c r="I48" s="1">
        <v>24</v>
      </c>
      <c r="J48" s="1" t="s">
        <v>159</v>
      </c>
      <c r="K48" s="1" t="s">
        <v>4919</v>
      </c>
      <c r="L48" s="1" t="s">
        <v>4927</v>
      </c>
      <c r="M48" s="1" t="s">
        <v>13130</v>
      </c>
      <c r="N48" s="1" t="s">
        <v>343</v>
      </c>
      <c r="O48" s="1" t="s">
        <v>9158</v>
      </c>
      <c r="P48" s="1" t="s">
        <v>9158</v>
      </c>
      <c r="Q48" s="1" t="s">
        <v>9158</v>
      </c>
      <c r="R48" s="14" t="s">
        <v>14748</v>
      </c>
    </row>
    <row r="49" spans="1:18">
      <c r="A49" s="1">
        <v>82263</v>
      </c>
      <c r="B49" s="1" t="s">
        <v>334</v>
      </c>
      <c r="C49" s="1" t="s">
        <v>206</v>
      </c>
      <c r="D49" s="19" t="s">
        <v>10190</v>
      </c>
      <c r="E49" s="15" t="str">
        <f>HYPERLINK("https://stat100.ameba.jp/tnk47/ratio20/illustrations/card/ill_82263_euterupe03.jpg?201907-1-RELEASE-raid-417", "■")</f>
        <v>■</v>
      </c>
      <c r="F49" s="1" t="s">
        <v>4915</v>
      </c>
      <c r="G49" s="1">
        <v>109852</v>
      </c>
      <c r="H49" s="1">
        <v>118152</v>
      </c>
      <c r="I49" s="1">
        <v>24</v>
      </c>
      <c r="J49" s="1" t="s">
        <v>169</v>
      </c>
      <c r="K49" s="1" t="s">
        <v>4917</v>
      </c>
      <c r="L49" s="1" t="s">
        <v>4928</v>
      </c>
      <c r="M49" s="1" t="s">
        <v>13130</v>
      </c>
      <c r="N49" s="1" t="s">
        <v>343</v>
      </c>
      <c r="O49" s="1" t="s">
        <v>9158</v>
      </c>
      <c r="P49" s="1" t="s">
        <v>9158</v>
      </c>
      <c r="Q49" s="1" t="s">
        <v>9158</v>
      </c>
      <c r="R49" s="14" t="s">
        <v>14748</v>
      </c>
    </row>
    <row r="51" spans="1:18">
      <c r="A51" s="1" t="s">
        <v>5447</v>
      </c>
    </row>
    <row r="52" spans="1:18">
      <c r="A52" s="1" t="s">
        <v>5448</v>
      </c>
    </row>
    <row r="53" spans="1:18">
      <c r="A53" s="1" t="s">
        <v>7664</v>
      </c>
    </row>
    <row r="54" spans="1:18">
      <c r="A54" s="1" t="s">
        <v>5601</v>
      </c>
      <c r="B54" s="1" t="s">
        <v>330</v>
      </c>
      <c r="C54" s="1" t="s">
        <v>35</v>
      </c>
      <c r="D54" s="19" t="s">
        <v>10318</v>
      </c>
      <c r="E54" s="15" t="str">
        <f>HYPERLINK("https://stat100.ameba.jp/tnk47/ratio20/illustrations/card/ill_82423_0_bikinigarukishi03.jpg?201907-1-RELEASE-raid-417x", "■")</f>
        <v>■</v>
      </c>
      <c r="F54" s="1" t="s">
        <v>5391</v>
      </c>
      <c r="G54" s="1">
        <v>181624</v>
      </c>
      <c r="H54" s="1">
        <v>164155</v>
      </c>
      <c r="I54" s="1">
        <v>15</v>
      </c>
      <c r="J54" s="1" t="s">
        <v>77</v>
      </c>
      <c r="K54" s="1" t="s">
        <v>5392</v>
      </c>
      <c r="L54" s="1" t="s">
        <v>5393</v>
      </c>
      <c r="M54" s="1" t="s">
        <v>9158</v>
      </c>
      <c r="N54" s="1" t="s">
        <v>9158</v>
      </c>
      <c r="O54" s="19" t="s">
        <v>10069</v>
      </c>
      <c r="P54" s="1" t="s">
        <v>5394</v>
      </c>
      <c r="Q54" s="1">
        <v>1</v>
      </c>
    </row>
    <row r="55" spans="1:18">
      <c r="A55" s="1">
        <v>82473</v>
      </c>
      <c r="B55" s="1" t="s">
        <v>5449</v>
      </c>
      <c r="C55" s="1" t="s">
        <v>5457</v>
      </c>
      <c r="D55" s="19" t="s">
        <v>10335</v>
      </c>
      <c r="E55" s="15" t="str">
        <f>HYPERLINK("https://stat100.ameba.jp/tnk47/ratio20/illustrations/card/ill_82473_tanabataakitainukun03.jpg?201907-1-RELEASE-raid-417x", "■")</f>
        <v>■</v>
      </c>
      <c r="F55" s="1" t="s">
        <v>5453</v>
      </c>
      <c r="G55" s="1">
        <v>132658</v>
      </c>
      <c r="H55" s="1">
        <v>142674</v>
      </c>
      <c r="I55" s="1">
        <v>24</v>
      </c>
      <c r="J55" s="1" t="s">
        <v>5454</v>
      </c>
      <c r="K55" s="1" t="s">
        <v>5455</v>
      </c>
      <c r="L55" s="1" t="s">
        <v>5456</v>
      </c>
      <c r="M55" s="1" t="s">
        <v>9158</v>
      </c>
      <c r="N55" s="1" t="s">
        <v>9158</v>
      </c>
      <c r="O55" s="1" t="s">
        <v>9158</v>
      </c>
      <c r="P55" s="1" t="s">
        <v>9158</v>
      </c>
      <c r="Q55" s="1" t="s">
        <v>9158</v>
      </c>
    </row>
    <row r="56" spans="1:18">
      <c r="A56" s="1">
        <v>82483</v>
      </c>
      <c r="B56" s="1" t="s">
        <v>5450</v>
      </c>
      <c r="C56" s="1" t="s">
        <v>5458</v>
      </c>
      <c r="D56" s="19" t="s">
        <v>10336</v>
      </c>
      <c r="E56" s="15" t="str">
        <f>HYPERLINK("https://stat100.ameba.jp/tnk47/ratio20/illustrations/card/ill_82483_iwanushi03.jpg?201907-1-RELEASE-raid-417x", "■")</f>
        <v>■</v>
      </c>
      <c r="F56" s="1" t="s">
        <v>5459</v>
      </c>
      <c r="G56" s="1">
        <v>68172</v>
      </c>
      <c r="H56" s="1">
        <v>61832</v>
      </c>
      <c r="I56" s="1">
        <v>23</v>
      </c>
      <c r="J56" s="1" t="s">
        <v>5454</v>
      </c>
      <c r="K56" s="1" t="s">
        <v>5460</v>
      </c>
      <c r="L56" s="1" t="s">
        <v>5461</v>
      </c>
      <c r="M56" s="1" t="s">
        <v>9158</v>
      </c>
      <c r="N56" s="1" t="s">
        <v>9158</v>
      </c>
      <c r="O56" s="1" t="s">
        <v>9158</v>
      </c>
      <c r="P56" s="1" t="s">
        <v>9158</v>
      </c>
      <c r="Q56" s="1" t="s">
        <v>9158</v>
      </c>
    </row>
    <row r="57" spans="1:18">
      <c r="A57" s="1">
        <v>82493</v>
      </c>
      <c r="B57" s="1" t="s">
        <v>5451</v>
      </c>
      <c r="C57" s="1" t="s">
        <v>5462</v>
      </c>
      <c r="D57" s="19" t="s">
        <v>10337</v>
      </c>
      <c r="E57" s="15" t="str">
        <f>HYPERLINK("https://stat100.ameba.jp/tnk47/ratio20/illustrations/card/ill_82493_nukabukuro03.jpg?201907-1-RELEASE-raid-417x", "■")</f>
        <v>■</v>
      </c>
      <c r="F57" s="1" t="s">
        <v>5463</v>
      </c>
      <c r="G57" s="1">
        <v>34576</v>
      </c>
      <c r="H57" s="1">
        <v>41584</v>
      </c>
      <c r="I57" s="1">
        <v>20</v>
      </c>
      <c r="J57" s="1" t="s">
        <v>5464</v>
      </c>
      <c r="K57" s="1" t="s">
        <v>5465</v>
      </c>
      <c r="L57" s="1" t="s">
        <v>5466</v>
      </c>
      <c r="M57" s="1" t="s">
        <v>9158</v>
      </c>
      <c r="N57" s="1" t="s">
        <v>9158</v>
      </c>
      <c r="O57" s="1" t="s">
        <v>9158</v>
      </c>
      <c r="P57" s="1" t="s">
        <v>9158</v>
      </c>
      <c r="Q57" s="1" t="s">
        <v>9158</v>
      </c>
    </row>
    <row r="58" spans="1:18">
      <c r="A58" s="1">
        <v>82503</v>
      </c>
      <c r="B58" s="1" t="s">
        <v>5452</v>
      </c>
      <c r="C58" s="1" t="s">
        <v>5467</v>
      </c>
      <c r="D58" s="19" t="s">
        <v>10338</v>
      </c>
      <c r="E58" s="15" t="str">
        <f>HYPERLINK("https://stat100.ameba.jp/tnk47/ratio20/illustrations/card/ill_82503_onmyouji03.jpg?201907-1-RELEASE-raid-417x", "■")</f>
        <v>■</v>
      </c>
      <c r="F58" s="1" t="s">
        <v>5468</v>
      </c>
      <c r="G58" s="1">
        <v>25176</v>
      </c>
      <c r="H58" s="1">
        <v>21144</v>
      </c>
      <c r="I58" s="1">
        <v>20</v>
      </c>
      <c r="J58" s="1" t="s">
        <v>5469</v>
      </c>
      <c r="K58" s="1" t="s">
        <v>5470</v>
      </c>
      <c r="L58" s="1" t="s">
        <v>5471</v>
      </c>
      <c r="M58" s="1" t="s">
        <v>9158</v>
      </c>
      <c r="N58" s="1" t="s">
        <v>9158</v>
      </c>
      <c r="O58" s="1" t="s">
        <v>9158</v>
      </c>
      <c r="P58" s="1" t="s">
        <v>9158</v>
      </c>
      <c r="Q58" s="1" t="s">
        <v>9158</v>
      </c>
    </row>
    <row r="60" spans="1:18">
      <c r="A60" s="1" t="s">
        <v>5472</v>
      </c>
    </row>
    <row r="61" spans="1:18">
      <c r="A61" s="1" t="s">
        <v>5473</v>
      </c>
    </row>
    <row r="62" spans="1:18">
      <c r="A62" s="1" t="s">
        <v>5606</v>
      </c>
      <c r="B62" s="1" t="s">
        <v>52</v>
      </c>
      <c r="C62" s="1" t="s">
        <v>206</v>
      </c>
      <c r="D62" s="19" t="s">
        <v>2936</v>
      </c>
      <c r="E62" s="15" t="str">
        <f>HYPERLINK("https://stat100.ameba.jp/tnk47/ratio20/illustrations/card/ill_72233_0_koinoboriryugujin03.jpg?201907-1-RELEASE-raid-417x", "■")</f>
        <v>■</v>
      </c>
      <c r="F62" s="1" t="s">
        <v>1012</v>
      </c>
      <c r="G62" s="1">
        <v>98395</v>
      </c>
      <c r="H62" s="1">
        <v>105833</v>
      </c>
      <c r="I62" s="1">
        <v>15</v>
      </c>
      <c r="J62" s="1" t="s">
        <v>44</v>
      </c>
      <c r="K62" s="1" t="s">
        <v>1013</v>
      </c>
      <c r="L62" s="1" t="s">
        <v>1014</v>
      </c>
      <c r="M62" s="1" t="s">
        <v>9158</v>
      </c>
      <c r="N62" s="1" t="s">
        <v>9158</v>
      </c>
      <c r="O62" s="19" t="s">
        <v>2940</v>
      </c>
      <c r="P62" s="1" t="s">
        <v>2941</v>
      </c>
      <c r="Q62" s="1">
        <v>2</v>
      </c>
    </row>
    <row r="63" spans="1:18">
      <c r="A63" s="1" t="s">
        <v>5607</v>
      </c>
      <c r="B63" s="1" t="s">
        <v>330</v>
      </c>
      <c r="C63" s="1" t="s">
        <v>200</v>
      </c>
      <c r="D63" s="19" t="s">
        <v>421</v>
      </c>
      <c r="E63" s="15" t="str">
        <f>HYPERLINK("https://stat100.ameba.jp/tnk47/ratio20/illustrations/card/ill_58853_0_setsubumpanikkuhiratsukaraicho03.jpg?201907-1-RELEASE-raid-417x", "■")</f>
        <v>■</v>
      </c>
      <c r="F63" s="1" t="s">
        <v>1040</v>
      </c>
      <c r="G63" s="1">
        <v>94236</v>
      </c>
      <c r="H63" s="1">
        <v>83712</v>
      </c>
      <c r="I63" s="1">
        <v>15</v>
      </c>
      <c r="J63" s="1" t="s">
        <v>16</v>
      </c>
      <c r="K63" s="1" t="s">
        <v>1041</v>
      </c>
      <c r="L63" s="1" t="s">
        <v>1042</v>
      </c>
      <c r="M63" s="1" t="s">
        <v>9158</v>
      </c>
      <c r="N63" s="1" t="s">
        <v>9158</v>
      </c>
      <c r="O63" s="19" t="s">
        <v>10075</v>
      </c>
      <c r="P63" s="1" t="s">
        <v>2870</v>
      </c>
      <c r="Q63" s="1">
        <v>1</v>
      </c>
    </row>
    <row r="64" spans="1:18">
      <c r="A64" s="1" t="s">
        <v>5608</v>
      </c>
      <c r="B64" s="1" t="s">
        <v>52</v>
      </c>
      <c r="C64" s="1" t="s">
        <v>96</v>
      </c>
      <c r="D64" s="19" t="s">
        <v>634</v>
      </c>
      <c r="E64" s="15" t="str">
        <f>HYPERLINK("https://stat100.ameba.jp/tnk47/ratio20/illustrations/card/ill_40963_0_makami03.jpg?201907-1-RELEASE-raid-417x", "■")</f>
        <v>■</v>
      </c>
      <c r="F64" s="1" t="s">
        <v>2038</v>
      </c>
      <c r="G64" s="1">
        <v>87780</v>
      </c>
      <c r="H64" s="1">
        <v>82212</v>
      </c>
      <c r="I64" s="1">
        <v>15</v>
      </c>
      <c r="J64" s="1" t="s">
        <v>44</v>
      </c>
      <c r="K64" s="1" t="s">
        <v>2039</v>
      </c>
      <c r="L64" s="1" t="s">
        <v>2040</v>
      </c>
      <c r="M64" s="1" t="s">
        <v>9158</v>
      </c>
      <c r="N64" s="1" t="s">
        <v>9158</v>
      </c>
      <c r="O64" s="1" t="s">
        <v>9158</v>
      </c>
      <c r="P64" s="1" t="s">
        <v>9158</v>
      </c>
      <c r="Q64" s="1" t="s">
        <v>9158</v>
      </c>
    </row>
    <row r="65" spans="1:17">
      <c r="A65" s="1">
        <v>75973</v>
      </c>
      <c r="B65" s="1" t="s">
        <v>334</v>
      </c>
      <c r="C65" s="1" t="s">
        <v>268</v>
      </c>
      <c r="D65" s="19" t="s">
        <v>1511</v>
      </c>
      <c r="E65" s="15" t="str">
        <f>HYPERLINK("https://stat100.ameba.jp/tnk47/ratio20/illustrations/card/ill_75973_hojonomegamifuriggu03.jpg?201907-1-RELEASE-raid-417x", "■")</f>
        <v>■</v>
      </c>
      <c r="F65" s="1" t="s">
        <v>1512</v>
      </c>
      <c r="G65" s="1">
        <v>99132</v>
      </c>
      <c r="H65" s="1">
        <v>176200</v>
      </c>
      <c r="I65" s="1">
        <v>24</v>
      </c>
      <c r="J65" s="1" t="s">
        <v>283</v>
      </c>
      <c r="K65" s="1" t="s">
        <v>1513</v>
      </c>
      <c r="L65" s="1" t="s">
        <v>1514</v>
      </c>
      <c r="M65" s="1" t="s">
        <v>9158</v>
      </c>
      <c r="N65" s="1" t="s">
        <v>9158</v>
      </c>
      <c r="O65" s="1" t="s">
        <v>9158</v>
      </c>
      <c r="P65" s="1" t="s">
        <v>9158</v>
      </c>
      <c r="Q65" s="1" t="s">
        <v>9158</v>
      </c>
    </row>
    <row r="66" spans="1:17">
      <c r="A66" s="1">
        <v>77753</v>
      </c>
      <c r="B66" s="1" t="s">
        <v>334</v>
      </c>
      <c r="C66" s="1" t="s">
        <v>203</v>
      </c>
      <c r="D66" s="19" t="s">
        <v>1515</v>
      </c>
      <c r="E66" s="15" t="str">
        <f>HYPERLINK("https://stat100.ameba.jp/tnk47/ratio20/illustrations/card/ill_77753_sekiennotorisu03.jpg?201907-1-RELEASE-raid-417x", "■")</f>
        <v>■</v>
      </c>
      <c r="F66" s="1" t="s">
        <v>995</v>
      </c>
      <c r="G66" s="1">
        <v>176200</v>
      </c>
      <c r="H66" s="1">
        <v>99132</v>
      </c>
      <c r="I66" s="1">
        <v>24</v>
      </c>
      <c r="J66" s="1" t="s">
        <v>143</v>
      </c>
      <c r="K66" s="1" t="s">
        <v>996</v>
      </c>
      <c r="L66" s="1" t="s">
        <v>145</v>
      </c>
      <c r="M66" s="1" t="s">
        <v>9158</v>
      </c>
      <c r="N66" s="1" t="s">
        <v>9158</v>
      </c>
      <c r="O66" s="1" t="s">
        <v>9158</v>
      </c>
      <c r="P66" s="1" t="s">
        <v>9158</v>
      </c>
      <c r="Q66" s="1" t="s">
        <v>9158</v>
      </c>
    </row>
    <row r="67" spans="1:17">
      <c r="A67" s="1">
        <v>77743</v>
      </c>
      <c r="B67" s="1" t="s">
        <v>334</v>
      </c>
      <c r="C67" s="1" t="s">
        <v>269</v>
      </c>
      <c r="D67" s="19" t="s">
        <v>493</v>
      </c>
      <c r="E67" s="15" t="str">
        <f>HYPERLINK("https://stat100.ameba.jp/tnk47/ratio20/illustrations/card/ill_77743_kaerude03.jpg?201907-1-RELEASE-raid-417x", "■")</f>
        <v>■</v>
      </c>
      <c r="F67" s="1" t="s">
        <v>494</v>
      </c>
      <c r="G67" s="1">
        <v>75980</v>
      </c>
      <c r="H67" s="1">
        <v>135010</v>
      </c>
      <c r="I67" s="1">
        <v>24</v>
      </c>
      <c r="J67" s="1" t="s">
        <v>369</v>
      </c>
      <c r="K67" s="1" t="s">
        <v>495</v>
      </c>
      <c r="L67" s="1" t="s">
        <v>496</v>
      </c>
      <c r="M67" s="1" t="s">
        <v>9158</v>
      </c>
      <c r="N67" s="1" t="s">
        <v>9158</v>
      </c>
      <c r="O67" s="1" t="s">
        <v>9158</v>
      </c>
      <c r="P67" s="1" t="s">
        <v>9158</v>
      </c>
      <c r="Q67" s="1" t="s">
        <v>9158</v>
      </c>
    </row>
    <row r="68" spans="1:17">
      <c r="A68" s="1">
        <v>65933</v>
      </c>
      <c r="B68" s="1" t="s">
        <v>5450</v>
      </c>
      <c r="C68" s="1" t="s">
        <v>5462</v>
      </c>
      <c r="D68" s="19" t="s">
        <v>10339</v>
      </c>
      <c r="E68" s="15" t="str">
        <f>HYPERLINK("https://stat100.ameba.jp/tnk47/ratio20/illustrations/card/ill_65933_arabianhoidamotokiyo03.jpg?201907-1-RELEASE-raid-417x", "■")</f>
        <v>■</v>
      </c>
      <c r="F68" s="1" t="s">
        <v>5474</v>
      </c>
      <c r="G68" s="1">
        <v>61832</v>
      </c>
      <c r="H68" s="1">
        <v>68172</v>
      </c>
      <c r="I68" s="1">
        <v>23</v>
      </c>
      <c r="J68" s="1" t="s">
        <v>5475</v>
      </c>
      <c r="K68" s="1" t="s">
        <v>5476</v>
      </c>
      <c r="L68" s="1" t="s">
        <v>5477</v>
      </c>
      <c r="M68" s="1" t="s">
        <v>9158</v>
      </c>
      <c r="N68" s="1" t="s">
        <v>9158</v>
      </c>
      <c r="O68" s="1" t="s">
        <v>9158</v>
      </c>
      <c r="P68" s="1" t="s">
        <v>9158</v>
      </c>
      <c r="Q68" s="1" t="s">
        <v>9158</v>
      </c>
    </row>
    <row r="69" spans="1:17">
      <c r="A69" s="1">
        <v>72453</v>
      </c>
      <c r="B69" s="1" t="s">
        <v>5450</v>
      </c>
      <c r="C69" s="1" t="s">
        <v>5458</v>
      </c>
      <c r="D69" s="19" t="s">
        <v>10340</v>
      </c>
      <c r="E69" s="15" t="str">
        <f>HYPERLINK("https://stat100.ameba.jp/tnk47/ratio20/illustrations/card/ill_72453_rengeso03.jpg?201907-1-RELEASE-raid-417x", "■")</f>
        <v>■</v>
      </c>
      <c r="F69" s="1" t="s">
        <v>5478</v>
      </c>
      <c r="G69" s="1">
        <v>68172</v>
      </c>
      <c r="H69" s="1">
        <v>61832</v>
      </c>
      <c r="I69" s="1">
        <v>23</v>
      </c>
      <c r="J69" s="1" t="s">
        <v>5454</v>
      </c>
      <c r="K69" s="1" t="s">
        <v>5479</v>
      </c>
      <c r="L69" s="1" t="s">
        <v>5461</v>
      </c>
      <c r="M69" s="1" t="s">
        <v>9158</v>
      </c>
      <c r="N69" s="1" t="s">
        <v>9158</v>
      </c>
      <c r="O69" s="1" t="s">
        <v>9158</v>
      </c>
      <c r="P69" s="1" t="s">
        <v>9158</v>
      </c>
      <c r="Q69" s="1" t="s">
        <v>9158</v>
      </c>
    </row>
    <row r="70" spans="1:17">
      <c r="A70" s="1">
        <v>77363</v>
      </c>
      <c r="B70" s="1" t="s">
        <v>5450</v>
      </c>
      <c r="C70" s="1" t="s">
        <v>5457</v>
      </c>
      <c r="D70" s="19" t="s">
        <v>1533</v>
      </c>
      <c r="E70" s="15" t="str">
        <f>HYPERLINK("https://stat100.ameba.jp/tnk47/ratio20/illustrations/card/ill_77363_samonchan03.jpg?201907-1-RELEASE-raid-417x", "■")</f>
        <v>■</v>
      </c>
      <c r="F70" s="1" t="s">
        <v>5480</v>
      </c>
      <c r="G70" s="1">
        <v>68172</v>
      </c>
      <c r="H70" s="1">
        <v>61832</v>
      </c>
      <c r="I70" s="1">
        <v>23</v>
      </c>
      <c r="J70" s="1" t="s">
        <v>5481</v>
      </c>
      <c r="K70" s="1" t="s">
        <v>5482</v>
      </c>
      <c r="L70" s="1" t="s">
        <v>5483</v>
      </c>
      <c r="M70" s="1" t="s">
        <v>9158</v>
      </c>
      <c r="N70" s="1" t="s">
        <v>9158</v>
      </c>
      <c r="O70" s="1" t="s">
        <v>9158</v>
      </c>
      <c r="P70" s="1" t="s">
        <v>9158</v>
      </c>
      <c r="Q70" s="1" t="s">
        <v>9158</v>
      </c>
    </row>
    <row r="72" spans="1:17">
      <c r="A72" s="1" t="s">
        <v>5484</v>
      </c>
    </row>
    <row r="73" spans="1:17">
      <c r="A73" s="1" t="s">
        <v>5485</v>
      </c>
    </row>
    <row r="74" spans="1:17">
      <c r="A74" s="1" t="s">
        <v>5609</v>
      </c>
      <c r="B74" s="1" t="s">
        <v>52</v>
      </c>
      <c r="C74" s="1" t="s">
        <v>200</v>
      </c>
      <c r="D74" s="19" t="s">
        <v>389</v>
      </c>
      <c r="E74" s="15" t="str">
        <f>HYPERLINK("https://stat100.ameba.jp/tnk47/ratio20/illustrations/card/ill_53753_0_natsumatsuritokugawaieyasu03.jpg?201907-2-RELEASE-unionbattle-418", "■")</f>
        <v>■</v>
      </c>
      <c r="F74" s="1" t="s">
        <v>902</v>
      </c>
      <c r="G74" s="1">
        <v>138212</v>
      </c>
      <c r="H74" s="1">
        <v>122776</v>
      </c>
      <c r="I74" s="1">
        <v>22</v>
      </c>
      <c r="J74" s="1" t="s">
        <v>194</v>
      </c>
      <c r="K74" s="1" t="s">
        <v>1714</v>
      </c>
      <c r="L74" s="1" t="s">
        <v>904</v>
      </c>
      <c r="M74" s="1" t="s">
        <v>9158</v>
      </c>
      <c r="N74" s="1" t="s">
        <v>9158</v>
      </c>
      <c r="O74" s="19" t="s">
        <v>10076</v>
      </c>
      <c r="P74" s="1" t="s">
        <v>13121</v>
      </c>
      <c r="Q74" s="1">
        <v>1</v>
      </c>
    </row>
    <row r="75" spans="1:17">
      <c r="A75" s="1" t="s">
        <v>5611</v>
      </c>
      <c r="B75" s="1" t="s">
        <v>330</v>
      </c>
      <c r="C75" s="1" t="s">
        <v>185</v>
      </c>
      <c r="D75" s="19" t="s">
        <v>539</v>
      </c>
      <c r="E75" s="15" t="str">
        <f>HYPERLINK("https://stat100.ameba.jp/tnk47/ratio20/illustrations/card/ill_60633_0_harumaisentoin03.jpg?201907-2-RELEASE-unionbattle-418", "■")</f>
        <v>■</v>
      </c>
      <c r="F75" s="1" t="s">
        <v>540</v>
      </c>
      <c r="G75" s="1">
        <v>139878</v>
      </c>
      <c r="H75" s="1">
        <v>150466</v>
      </c>
      <c r="I75" s="1">
        <v>22</v>
      </c>
      <c r="J75" s="1" t="s">
        <v>274</v>
      </c>
      <c r="K75" s="1" t="s">
        <v>541</v>
      </c>
      <c r="L75" s="1" t="s">
        <v>542</v>
      </c>
      <c r="M75" s="1" t="s">
        <v>9158</v>
      </c>
      <c r="N75" s="1" t="s">
        <v>9158</v>
      </c>
      <c r="O75" s="19" t="s">
        <v>2888</v>
      </c>
      <c r="P75" s="1" t="s">
        <v>3144</v>
      </c>
      <c r="Q75" s="1">
        <v>1</v>
      </c>
    </row>
    <row r="76" spans="1:17">
      <c r="A76" s="1" t="s">
        <v>5612</v>
      </c>
      <c r="B76" s="1" t="s">
        <v>330</v>
      </c>
      <c r="C76" s="1" t="s">
        <v>165</v>
      </c>
      <c r="D76" s="19" t="s">
        <v>789</v>
      </c>
      <c r="E76" s="15" t="str">
        <f>HYPERLINK("https://stat100.ameba.jp/tnk47/ratio20/illustrations/card/ill_49193_0_onmyoudouabenoseimei03.jpg?201907-2-RELEASE-unionbattle-418", "■")</f>
        <v>■</v>
      </c>
      <c r="F76" s="1" t="s">
        <v>790</v>
      </c>
      <c r="G76" s="1">
        <v>122776</v>
      </c>
      <c r="H76" s="1">
        <v>138212</v>
      </c>
      <c r="I76" s="1">
        <v>22</v>
      </c>
      <c r="J76" s="1" t="s">
        <v>351</v>
      </c>
      <c r="K76" s="1" t="s">
        <v>791</v>
      </c>
      <c r="L76" s="1" t="s">
        <v>792</v>
      </c>
      <c r="M76" s="1" t="s">
        <v>9158</v>
      </c>
      <c r="N76" s="1" t="s">
        <v>9158</v>
      </c>
      <c r="O76" s="1" t="s">
        <v>9158</v>
      </c>
      <c r="P76" s="1" t="s">
        <v>9158</v>
      </c>
      <c r="Q76" s="1" t="s">
        <v>9158</v>
      </c>
    </row>
    <row r="77" spans="1:17">
      <c r="A77" s="1">
        <v>82473</v>
      </c>
      <c r="B77" s="1" t="s">
        <v>5449</v>
      </c>
      <c r="C77" s="1" t="s">
        <v>5457</v>
      </c>
      <c r="D77" s="19" t="s">
        <v>10335</v>
      </c>
      <c r="E77" s="15" t="str">
        <f>HYPERLINK("https://stat100.ameba.jp/tnk47/ratio20/illustrations/card/ill_82473_tanabataakitainukun03.jpg?201907-1-RELEASE-raid-417x", "■")</f>
        <v>■</v>
      </c>
      <c r="F77" s="1" t="s">
        <v>5453</v>
      </c>
      <c r="G77" s="1">
        <v>132658</v>
      </c>
      <c r="H77" s="1">
        <v>142674</v>
      </c>
      <c r="I77" s="1">
        <v>24</v>
      </c>
      <c r="J77" s="1" t="s">
        <v>5454</v>
      </c>
      <c r="K77" s="1" t="s">
        <v>5455</v>
      </c>
      <c r="L77" s="1" t="s">
        <v>5456</v>
      </c>
      <c r="M77" s="1" t="s">
        <v>9158</v>
      </c>
      <c r="N77" s="1" t="s">
        <v>9158</v>
      </c>
      <c r="O77" s="1" t="s">
        <v>9158</v>
      </c>
      <c r="P77" s="1" t="s">
        <v>9158</v>
      </c>
      <c r="Q77" s="1" t="s">
        <v>9158</v>
      </c>
    </row>
    <row r="78" spans="1:17">
      <c r="A78" s="1">
        <v>82483</v>
      </c>
      <c r="B78" s="1" t="s">
        <v>5450</v>
      </c>
      <c r="C78" s="1" t="s">
        <v>5458</v>
      </c>
      <c r="D78" s="19" t="s">
        <v>10336</v>
      </c>
      <c r="E78" s="15" t="str">
        <f>HYPERLINK("https://stat100.ameba.jp/tnk47/ratio20/illustrations/card/ill_82483_iwanushi03.jpg?201907-1-RELEASE-raid-417x", "■")</f>
        <v>■</v>
      </c>
      <c r="F78" s="1" t="s">
        <v>5459</v>
      </c>
      <c r="G78" s="1">
        <v>53352</v>
      </c>
      <c r="H78" s="1">
        <v>48390</v>
      </c>
      <c r="I78" s="1">
        <v>18</v>
      </c>
      <c r="J78" s="1" t="s">
        <v>5454</v>
      </c>
      <c r="K78" s="1" t="s">
        <v>5460</v>
      </c>
      <c r="L78" s="1" t="s">
        <v>5461</v>
      </c>
      <c r="M78" s="1" t="s">
        <v>9158</v>
      </c>
      <c r="N78" s="1" t="s">
        <v>9158</v>
      </c>
      <c r="O78" s="1" t="s">
        <v>9158</v>
      </c>
      <c r="P78" s="1" t="s">
        <v>9158</v>
      </c>
      <c r="Q78" s="1" t="s">
        <v>9158</v>
      </c>
    </row>
    <row r="79" spans="1:17">
      <c r="A79" s="1">
        <v>82493</v>
      </c>
      <c r="B79" s="1" t="s">
        <v>5451</v>
      </c>
      <c r="C79" s="1" t="s">
        <v>5462</v>
      </c>
      <c r="D79" s="19" t="s">
        <v>10337</v>
      </c>
      <c r="E79" s="15" t="str">
        <f>HYPERLINK("https://stat100.ameba.jp/tnk47/ratio20/illustrations/card/ill_82493_nukabukuro03.jpg?201907-1-RELEASE-raid-417x", "■")</f>
        <v>■</v>
      </c>
      <c r="F79" s="1" t="s">
        <v>5463</v>
      </c>
      <c r="G79" s="1">
        <v>29388</v>
      </c>
      <c r="H79" s="1">
        <v>29388</v>
      </c>
      <c r="I79" s="1">
        <v>17</v>
      </c>
      <c r="J79" s="1" t="s">
        <v>5464</v>
      </c>
      <c r="K79" s="1" t="s">
        <v>5465</v>
      </c>
      <c r="L79" s="1" t="s">
        <v>5466</v>
      </c>
      <c r="M79" s="1" t="s">
        <v>9158</v>
      </c>
      <c r="N79" s="1" t="s">
        <v>9158</v>
      </c>
      <c r="O79" s="1" t="s">
        <v>9158</v>
      </c>
      <c r="P79" s="1" t="s">
        <v>9158</v>
      </c>
      <c r="Q79" s="1" t="s">
        <v>9158</v>
      </c>
    </row>
    <row r="80" spans="1:17">
      <c r="A80" s="1">
        <v>82503</v>
      </c>
      <c r="B80" s="1" t="s">
        <v>5452</v>
      </c>
      <c r="C80" s="1" t="s">
        <v>5467</v>
      </c>
      <c r="D80" s="19" t="s">
        <v>10338</v>
      </c>
      <c r="E80" s="15" t="str">
        <f>HYPERLINK("https://stat100.ameba.jp/tnk47/ratio20/illustrations/card/ill_82503_onmyouji03.jpg?201907-1-RELEASE-raid-417x", "■")</f>
        <v>■</v>
      </c>
      <c r="F80" s="1" t="s">
        <v>5468</v>
      </c>
      <c r="G80" s="1">
        <v>21398</v>
      </c>
      <c r="H80" s="1">
        <v>17972</v>
      </c>
      <c r="I80" s="1">
        <v>17</v>
      </c>
      <c r="J80" s="1" t="s">
        <v>5469</v>
      </c>
      <c r="K80" s="1" t="s">
        <v>5470</v>
      </c>
      <c r="L80" s="1" t="s">
        <v>5471</v>
      </c>
      <c r="M80" s="1" t="s">
        <v>9158</v>
      </c>
      <c r="N80" s="1" t="s">
        <v>9158</v>
      </c>
      <c r="O80" s="1" t="s">
        <v>9158</v>
      </c>
      <c r="P80" s="1" t="s">
        <v>9158</v>
      </c>
      <c r="Q80" s="1" t="s">
        <v>9158</v>
      </c>
    </row>
    <row r="82" spans="1:17">
      <c r="A82" s="1" t="s">
        <v>5486</v>
      </c>
    </row>
    <row r="83" spans="1:17">
      <c r="A83" s="1" t="s">
        <v>5487</v>
      </c>
    </row>
    <row r="84" spans="1:17">
      <c r="A84" s="1" t="s">
        <v>5614</v>
      </c>
      <c r="B84" s="1" t="s">
        <v>330</v>
      </c>
      <c r="C84" s="1" t="s">
        <v>267</v>
      </c>
      <c r="D84" s="19" t="s">
        <v>313</v>
      </c>
      <c r="E84" s="15" t="str">
        <f>HYPERLINK("https://stat100.ameba.jp/tnk47/ratio20/illustrations/card/ill_56223_0_onsempanikkugohime03.jpg?201907-1-RELEASE-raid-417x", "■")</f>
        <v>■</v>
      </c>
      <c r="F84" s="1" t="s">
        <v>314</v>
      </c>
      <c r="G84" s="1">
        <v>83712</v>
      </c>
      <c r="H84" s="1">
        <v>94236</v>
      </c>
      <c r="I84" s="1">
        <v>15</v>
      </c>
      <c r="J84" s="1" t="s">
        <v>315</v>
      </c>
      <c r="K84" s="1" t="s">
        <v>316</v>
      </c>
      <c r="L84" s="1" t="s">
        <v>317</v>
      </c>
      <c r="M84" s="1" t="s">
        <v>9158</v>
      </c>
      <c r="N84" s="1" t="s">
        <v>9158</v>
      </c>
      <c r="O84" s="19" t="s">
        <v>3021</v>
      </c>
      <c r="P84" s="1" t="s">
        <v>2890</v>
      </c>
      <c r="Q84" s="1">
        <v>1</v>
      </c>
    </row>
    <row r="85" spans="1:17">
      <c r="A85" s="1" t="s">
        <v>5615</v>
      </c>
      <c r="B85" s="1" t="s">
        <v>330</v>
      </c>
      <c r="C85" s="1" t="s">
        <v>206</v>
      </c>
      <c r="D85" s="19" t="s">
        <v>2814</v>
      </c>
      <c r="E85" s="15" t="str">
        <f>HYPERLINK("https://stat100.ameba.jp/tnk47/ratio20/illustrations/card/ill_57733_0_shogatsunisenjunanaamakusashiro03.jpg?201907-1-RELEASE-raid-417x", "■")</f>
        <v>■</v>
      </c>
      <c r="F85" s="1" t="s">
        <v>2815</v>
      </c>
      <c r="G85" s="1">
        <v>83712</v>
      </c>
      <c r="H85" s="1">
        <v>94236</v>
      </c>
      <c r="I85" s="1">
        <v>15</v>
      </c>
      <c r="J85" s="1" t="s">
        <v>351</v>
      </c>
      <c r="K85" s="1" t="s">
        <v>2816</v>
      </c>
      <c r="L85" s="1" t="s">
        <v>2817</v>
      </c>
      <c r="M85" s="1" t="s">
        <v>9158</v>
      </c>
      <c r="N85" s="1" t="s">
        <v>9158</v>
      </c>
      <c r="O85" s="19" t="s">
        <v>10077</v>
      </c>
      <c r="P85" s="1" t="s">
        <v>3062</v>
      </c>
      <c r="Q85" s="1">
        <v>1</v>
      </c>
    </row>
    <row r="86" spans="1:17">
      <c r="A86" s="1" t="s">
        <v>5616</v>
      </c>
      <c r="B86" s="1" t="s">
        <v>52</v>
      </c>
      <c r="C86" s="1" t="s">
        <v>14</v>
      </c>
      <c r="D86" s="19" t="s">
        <v>638</v>
      </c>
      <c r="E86" s="15" t="str">
        <f>HYPERLINK("https://stat100.ameba.jp/tnk47/ratio20/illustrations/card/ill_44253_0_dokuganryudatemasamune03.jpg?201907-1-RELEASE-raid-417x", "■")</f>
        <v>■</v>
      </c>
      <c r="F86" s="1" t="s">
        <v>1181</v>
      </c>
      <c r="G86" s="1">
        <v>82212</v>
      </c>
      <c r="H86" s="1">
        <v>87780</v>
      </c>
      <c r="I86" s="1">
        <v>15</v>
      </c>
      <c r="J86" s="1" t="s">
        <v>143</v>
      </c>
      <c r="K86" s="1" t="s">
        <v>1182</v>
      </c>
      <c r="L86" s="1" t="s">
        <v>1183</v>
      </c>
      <c r="M86" s="1" t="s">
        <v>9158</v>
      </c>
      <c r="N86" s="1" t="s">
        <v>9158</v>
      </c>
      <c r="O86" s="1" t="s">
        <v>9158</v>
      </c>
      <c r="P86" s="1" t="s">
        <v>9158</v>
      </c>
      <c r="Q86" s="1" t="s">
        <v>9158</v>
      </c>
    </row>
    <row r="87" spans="1:17">
      <c r="A87" s="1">
        <v>69143</v>
      </c>
      <c r="B87" s="1" t="s">
        <v>334</v>
      </c>
      <c r="C87" s="1" t="s">
        <v>205</v>
      </c>
      <c r="D87" s="19" t="s">
        <v>1451</v>
      </c>
      <c r="E87" s="15" t="str">
        <f>HYPERLINK("https://stat100.ameba.jp/tnk47/ratio20/illustrations/card/ill_69143_marukamejo03.jpg?201907-1-RELEASE-raid-417x", "■")</f>
        <v>■</v>
      </c>
      <c r="F87" s="1" t="s">
        <v>1452</v>
      </c>
      <c r="G87" s="1">
        <v>75467</v>
      </c>
      <c r="H87" s="1">
        <v>134152</v>
      </c>
      <c r="I87" s="1">
        <v>23</v>
      </c>
      <c r="J87" s="1" t="s">
        <v>369</v>
      </c>
      <c r="K87" s="1" t="s">
        <v>1453</v>
      </c>
      <c r="L87" s="1" t="s">
        <v>1454</v>
      </c>
      <c r="M87" s="1" t="s">
        <v>9158</v>
      </c>
      <c r="N87" s="1" t="s">
        <v>9158</v>
      </c>
      <c r="O87" s="1" t="s">
        <v>9158</v>
      </c>
      <c r="P87" s="1" t="s">
        <v>9158</v>
      </c>
      <c r="Q87" s="1" t="s">
        <v>9158</v>
      </c>
    </row>
    <row r="88" spans="1:17">
      <c r="A88" s="1">
        <v>70803</v>
      </c>
      <c r="B88" s="1" t="s">
        <v>334</v>
      </c>
      <c r="C88" s="1" t="s">
        <v>165</v>
      </c>
      <c r="D88" s="19" t="s">
        <v>10341</v>
      </c>
      <c r="E88" s="15" t="str">
        <f>HYPERLINK("https://stat100.ameba.jp/tnk47/ratio20/illustrations/card/ill_70803_awabichan03.jpg?201907-1-RELEASE-raid-417x", "■")</f>
        <v>■</v>
      </c>
      <c r="F88" s="1" t="s">
        <v>2465</v>
      </c>
      <c r="G88" s="1">
        <v>64817</v>
      </c>
      <c r="H88" s="1">
        <v>115195</v>
      </c>
      <c r="I88" s="1">
        <v>23</v>
      </c>
      <c r="J88" s="1" t="s">
        <v>104</v>
      </c>
      <c r="K88" s="1" t="s">
        <v>2466</v>
      </c>
      <c r="L88" s="1" t="s">
        <v>1924</v>
      </c>
      <c r="M88" s="1" t="s">
        <v>9158</v>
      </c>
      <c r="N88" s="1" t="s">
        <v>9158</v>
      </c>
      <c r="O88" s="1" t="s">
        <v>9158</v>
      </c>
      <c r="P88" s="1" t="s">
        <v>9158</v>
      </c>
      <c r="Q88" s="1" t="s">
        <v>9158</v>
      </c>
    </row>
    <row r="89" spans="1:17">
      <c r="A89" s="1">
        <v>74853</v>
      </c>
      <c r="B89" s="1" t="s">
        <v>334</v>
      </c>
      <c r="C89" s="1" t="s">
        <v>191</v>
      </c>
      <c r="D89" s="19" t="s">
        <v>10248</v>
      </c>
      <c r="E89" s="15" t="str">
        <f>HYPERLINK("https://stat100.ameba.jp/tnk47/ratio20/illustrations/card/ill_74853_ennichikingyonota03.jpg?201907-1-RELEASE-raid-417x", "■")</f>
        <v>■</v>
      </c>
      <c r="F89" s="1" t="s">
        <v>3313</v>
      </c>
      <c r="G89" s="1">
        <v>86751</v>
      </c>
      <c r="H89" s="1">
        <v>93263</v>
      </c>
      <c r="I89" s="1">
        <v>23</v>
      </c>
      <c r="J89" s="1" t="s">
        <v>38</v>
      </c>
      <c r="K89" s="1" t="s">
        <v>3314</v>
      </c>
      <c r="L89" s="1" t="s">
        <v>3315</v>
      </c>
      <c r="M89" s="1" t="s">
        <v>9158</v>
      </c>
      <c r="N89" s="1" t="s">
        <v>9158</v>
      </c>
      <c r="O89" s="1" t="s">
        <v>9158</v>
      </c>
      <c r="P89" s="1" t="s">
        <v>9158</v>
      </c>
      <c r="Q89" s="1" t="s">
        <v>9158</v>
      </c>
    </row>
    <row r="91" spans="1:17">
      <c r="A91" s="1" t="s">
        <v>5488</v>
      </c>
    </row>
    <row r="92" spans="1:17">
      <c r="A92" s="1" t="s">
        <v>5489</v>
      </c>
    </row>
    <row r="93" spans="1:17">
      <c r="A93" s="1" t="s">
        <v>5617</v>
      </c>
      <c r="B93" s="1" t="s">
        <v>330</v>
      </c>
      <c r="C93" s="1" t="s">
        <v>308</v>
      </c>
      <c r="D93" s="19" t="s">
        <v>385</v>
      </c>
      <c r="E93" s="15" t="str">
        <f>HYPERLINK("https://stat100.ameba.jp/tnk47/ratio20/illustrations/card/ill_59673_0_oheyashutendoji03.jpg?201907-2-RELEASE-unionbattle-418", "■")</f>
        <v>■</v>
      </c>
      <c r="F93" s="1" t="s">
        <v>386</v>
      </c>
      <c r="G93" s="1">
        <v>154800</v>
      </c>
      <c r="H93" s="1">
        <v>166504</v>
      </c>
      <c r="I93" s="1">
        <v>22</v>
      </c>
      <c r="J93" s="1" t="s">
        <v>320</v>
      </c>
      <c r="K93" s="1" t="s">
        <v>387</v>
      </c>
      <c r="L93" s="1" t="s">
        <v>388</v>
      </c>
      <c r="M93" s="1" t="s">
        <v>9158</v>
      </c>
      <c r="N93" s="1" t="s">
        <v>9158</v>
      </c>
      <c r="O93" s="19" t="s">
        <v>10078</v>
      </c>
      <c r="P93" s="1" t="s">
        <v>3022</v>
      </c>
      <c r="Q93" s="1">
        <v>1</v>
      </c>
    </row>
    <row r="94" spans="1:17">
      <c r="A94" s="1" t="s">
        <v>5618</v>
      </c>
      <c r="B94" s="1" t="s">
        <v>330</v>
      </c>
      <c r="C94" s="1" t="s">
        <v>200</v>
      </c>
      <c r="D94" s="19" t="s">
        <v>665</v>
      </c>
      <c r="E94" s="15" t="str">
        <f>HYPERLINK("https://stat100.ameba.jp/tnk47/ratio20/illustrations/card/ill_63173_0_minazukikonakaiteruko03.jpg?201907-2-RELEASE-unionbattle-418", "■")</f>
        <v>■</v>
      </c>
      <c r="F94" s="1" t="s">
        <v>666</v>
      </c>
      <c r="G94" s="1">
        <v>190952</v>
      </c>
      <c r="H94" s="1">
        <v>205358</v>
      </c>
      <c r="I94" s="1">
        <v>22</v>
      </c>
      <c r="J94" s="1" t="s">
        <v>310</v>
      </c>
      <c r="K94" s="1" t="s">
        <v>667</v>
      </c>
      <c r="L94" s="1" t="s">
        <v>668</v>
      </c>
      <c r="M94" s="1" t="s">
        <v>9158</v>
      </c>
      <c r="N94" s="1" t="s">
        <v>9158</v>
      </c>
      <c r="O94" s="19" t="s">
        <v>10079</v>
      </c>
      <c r="P94" s="1" t="s">
        <v>3329</v>
      </c>
      <c r="Q94" s="1">
        <v>1</v>
      </c>
    </row>
    <row r="95" spans="1:17">
      <c r="A95" s="1">
        <v>82543</v>
      </c>
      <c r="B95" s="1" t="s">
        <v>334</v>
      </c>
      <c r="C95" s="1" t="s">
        <v>5490</v>
      </c>
      <c r="D95" s="19" t="s">
        <v>10342</v>
      </c>
      <c r="E95" s="15" t="str">
        <f>HYPERLINK("https://stat100.ameba.jp/tnk47/ratio20/illustrations/card/ill_82543_nabeshimanagako03.jpg?201907-2-RELEASE-unionbattle-418", "■")</f>
        <v>■</v>
      </c>
      <c r="F95" s="1" t="s">
        <v>5491</v>
      </c>
      <c r="G95" s="1">
        <v>104890</v>
      </c>
      <c r="H95" s="1">
        <v>75984</v>
      </c>
      <c r="I95" s="1">
        <v>24</v>
      </c>
      <c r="J95" s="1" t="s">
        <v>5492</v>
      </c>
      <c r="K95" s="1" t="s">
        <v>5493</v>
      </c>
      <c r="L95" s="1" t="s">
        <v>5494</v>
      </c>
      <c r="M95" s="1" t="s">
        <v>9158</v>
      </c>
      <c r="N95" s="1" t="s">
        <v>9158</v>
      </c>
      <c r="O95" s="19" t="s">
        <v>10080</v>
      </c>
      <c r="P95" s="1" t="s">
        <v>5495</v>
      </c>
      <c r="Q95" s="1">
        <v>1</v>
      </c>
    </row>
    <row r="96" spans="1:17">
      <c r="A96" s="1">
        <v>70383</v>
      </c>
      <c r="B96" s="1" t="s">
        <v>5496</v>
      </c>
      <c r="C96" s="1" t="s">
        <v>41</v>
      </c>
      <c r="D96" s="19" t="s">
        <v>10201</v>
      </c>
      <c r="E96" s="15" t="str">
        <f>HYPERLINK("https://stat100.ameba.jp/tnk47/ratio20/illustrations/card/ill_70383_saraudon03.jpg?201907-2-RELEASE-unionbattle-418", "■")</f>
        <v>■</v>
      </c>
      <c r="F96" s="1" t="s">
        <v>3487</v>
      </c>
      <c r="G96" s="1">
        <v>111000</v>
      </c>
      <c r="H96" s="1">
        <v>80391</v>
      </c>
      <c r="I96" s="1">
        <v>21</v>
      </c>
      <c r="J96" s="1" t="s">
        <v>104</v>
      </c>
      <c r="K96" s="1" t="s">
        <v>3488</v>
      </c>
      <c r="L96" s="1" t="s">
        <v>3489</v>
      </c>
      <c r="M96" s="1" t="s">
        <v>9158</v>
      </c>
      <c r="N96" s="1" t="s">
        <v>9158</v>
      </c>
      <c r="O96" s="1" t="s">
        <v>9158</v>
      </c>
      <c r="P96" s="1" t="s">
        <v>9158</v>
      </c>
      <c r="Q96" s="1" t="s">
        <v>9158</v>
      </c>
    </row>
    <row r="97" spans="1:18">
      <c r="A97" s="1">
        <v>64023</v>
      </c>
      <c r="B97" s="1" t="s">
        <v>334</v>
      </c>
      <c r="C97" s="1" t="s">
        <v>154</v>
      </c>
      <c r="D97" s="19" t="s">
        <v>10255</v>
      </c>
      <c r="E97" s="15" t="str">
        <f>HYPERLINK("https://stat100.ameba.jp/tnk47/ratio20/illustrations/card/ill_64023_mojabune03.jpg?201907-2-RELEASE-unionbattle-418", "■")</f>
        <v>■</v>
      </c>
      <c r="F97" s="1" t="s">
        <v>1785</v>
      </c>
      <c r="G97" s="1">
        <v>70942</v>
      </c>
      <c r="H97" s="1">
        <v>97925</v>
      </c>
      <c r="I97" s="1">
        <v>21</v>
      </c>
      <c r="J97" s="1" t="s">
        <v>73</v>
      </c>
      <c r="K97" s="1" t="s">
        <v>1786</v>
      </c>
      <c r="L97" s="1" t="s">
        <v>1787</v>
      </c>
      <c r="M97" s="1" t="s">
        <v>9158</v>
      </c>
      <c r="N97" s="1" t="s">
        <v>9158</v>
      </c>
      <c r="O97" s="1" t="s">
        <v>9158</v>
      </c>
      <c r="P97" s="1" t="s">
        <v>9158</v>
      </c>
      <c r="Q97" s="1" t="s">
        <v>9158</v>
      </c>
    </row>
    <row r="98" spans="1:18">
      <c r="A98" s="1">
        <v>54153</v>
      </c>
      <c r="B98" s="1" t="s">
        <v>0</v>
      </c>
      <c r="C98" s="1" t="s">
        <v>264</v>
      </c>
      <c r="D98" s="19" t="s">
        <v>3030</v>
      </c>
      <c r="E98" s="15" t="str">
        <f>HYPERLINK("https://stat100.ameba.jp/tnk47/ratio20/illustrations/card/ill_54153_gekkao03.jpg?201907-2-RELEASE-unionbattle-418", "■")</f>
        <v>■</v>
      </c>
      <c r="F98" s="1" t="s">
        <v>2072</v>
      </c>
      <c r="G98" s="1">
        <v>63547</v>
      </c>
      <c r="H98" s="1">
        <v>86668</v>
      </c>
      <c r="I98" s="1">
        <v>21</v>
      </c>
      <c r="J98" s="1" t="s">
        <v>44</v>
      </c>
      <c r="K98" s="1" t="s">
        <v>2073</v>
      </c>
      <c r="L98" s="1" t="s">
        <v>95</v>
      </c>
      <c r="M98" s="1" t="s">
        <v>9158</v>
      </c>
      <c r="N98" s="1" t="s">
        <v>9158</v>
      </c>
      <c r="O98" s="1" t="s">
        <v>9158</v>
      </c>
      <c r="P98" s="1" t="s">
        <v>9158</v>
      </c>
      <c r="Q98" s="1" t="s">
        <v>9158</v>
      </c>
    </row>
    <row r="99" spans="1:18">
      <c r="A99" s="1">
        <v>70373</v>
      </c>
      <c r="B99" s="1" t="s">
        <v>334</v>
      </c>
      <c r="C99" s="1" t="s">
        <v>209</v>
      </c>
      <c r="D99" s="19" t="s">
        <v>10226</v>
      </c>
      <c r="E99" s="15" t="str">
        <f>HYPERLINK("https://stat100.ameba.jp/tnk47/ratio20/illustrations/card/ill_70373_amanoyasukage03.jpg?201907-2-RELEASE-unionbattle-418", "■")</f>
        <v>■</v>
      </c>
      <c r="F99" s="1" t="s">
        <v>2617</v>
      </c>
      <c r="G99" s="1">
        <v>108478</v>
      </c>
      <c r="H99" s="1">
        <v>108478</v>
      </c>
      <c r="I99" s="1">
        <v>21</v>
      </c>
      <c r="J99" s="1" t="s">
        <v>143</v>
      </c>
      <c r="K99" s="1" t="s">
        <v>2618</v>
      </c>
      <c r="L99" s="1" t="s">
        <v>2619</v>
      </c>
      <c r="M99" s="1" t="s">
        <v>9158</v>
      </c>
      <c r="N99" s="1" t="s">
        <v>9158</v>
      </c>
      <c r="O99" s="19" t="s">
        <v>10081</v>
      </c>
      <c r="P99" s="1" t="s">
        <v>4146</v>
      </c>
      <c r="Q99" s="1">
        <v>1</v>
      </c>
    </row>
    <row r="100" spans="1:18">
      <c r="A100" s="1">
        <v>75073</v>
      </c>
      <c r="B100" s="1" t="s">
        <v>334</v>
      </c>
      <c r="C100" s="1" t="s">
        <v>154</v>
      </c>
      <c r="D100" s="19" t="s">
        <v>4252</v>
      </c>
      <c r="E100" s="15" t="str">
        <f>HYPERLINK("https://stat100.ameba.jp/tnk47/ratio20/illustrations/card/ill_75073_puruchacha03.jpg?201907-2-RELEASE-unionbattle-418", "■")</f>
        <v>■</v>
      </c>
      <c r="F100" s="1" t="s">
        <v>4253</v>
      </c>
      <c r="G100" s="1">
        <v>91779</v>
      </c>
      <c r="H100" s="1">
        <v>66487</v>
      </c>
      <c r="I100" s="1">
        <v>21</v>
      </c>
      <c r="J100" s="1" t="s">
        <v>315</v>
      </c>
      <c r="K100" s="1" t="s">
        <v>4254</v>
      </c>
      <c r="L100" s="1" t="s">
        <v>1432</v>
      </c>
      <c r="M100" s="1" t="s">
        <v>9158</v>
      </c>
      <c r="N100" s="1" t="s">
        <v>9158</v>
      </c>
      <c r="O100" s="19" t="s">
        <v>10082</v>
      </c>
      <c r="P100" s="1" t="s">
        <v>13124</v>
      </c>
      <c r="Q100" s="1">
        <v>1</v>
      </c>
    </row>
    <row r="102" spans="1:18">
      <c r="A102" s="1" t="s">
        <v>5497</v>
      </c>
    </row>
    <row r="103" spans="1:18">
      <c r="A103" s="1" t="s">
        <v>5498</v>
      </c>
    </row>
    <row r="104" spans="1:18">
      <c r="A104" s="1">
        <v>60363</v>
      </c>
      <c r="B104" s="1" t="s">
        <v>0</v>
      </c>
      <c r="C104" s="1" t="s">
        <v>209</v>
      </c>
      <c r="D104" s="19" t="s">
        <v>10343</v>
      </c>
      <c r="E104" s="15" t="str">
        <f>HYPERLINK("https://stat100.ameba.jp/tnk47/ratio20/illustrations/card/ill_60363_shirakaba03.jpg?201907-2-RELEASE-unionbattle-418", "■")</f>
        <v>■</v>
      </c>
      <c r="F104" s="1" t="s">
        <v>3919</v>
      </c>
      <c r="G104" s="1">
        <v>96246</v>
      </c>
      <c r="H104" s="1">
        <v>103512</v>
      </c>
      <c r="I104" s="1">
        <v>24</v>
      </c>
      <c r="J104" s="1" t="s">
        <v>26</v>
      </c>
      <c r="K104" s="1" t="s">
        <v>3920</v>
      </c>
      <c r="L104" s="1" t="s">
        <v>3921</v>
      </c>
      <c r="M104" s="1" t="s">
        <v>9158</v>
      </c>
      <c r="N104" s="1" t="s">
        <v>9158</v>
      </c>
      <c r="O104" s="1" t="s">
        <v>9158</v>
      </c>
      <c r="P104" s="1" t="s">
        <v>9158</v>
      </c>
      <c r="Q104" s="1" t="s">
        <v>9158</v>
      </c>
    </row>
    <row r="105" spans="1:18">
      <c r="A105" s="1">
        <v>59413</v>
      </c>
      <c r="B105" s="1" t="s">
        <v>334</v>
      </c>
      <c r="C105" s="1" t="s">
        <v>158</v>
      </c>
      <c r="D105" s="19" t="s">
        <v>10344</v>
      </c>
      <c r="E105" s="15" t="str">
        <f>HYPERLINK("https://stat100.ameba.jp/tnk47/ratio20/illustrations/card/ill_59413_otogosahime03.jpg?201907-2-RELEASE-unionbattle-418", "■")</f>
        <v>■</v>
      </c>
      <c r="F105" s="1" t="s">
        <v>3923</v>
      </c>
      <c r="G105" s="1">
        <v>96246</v>
      </c>
      <c r="H105" s="1">
        <v>103512</v>
      </c>
      <c r="I105" s="1">
        <v>24</v>
      </c>
      <c r="J105" s="1" t="s">
        <v>38</v>
      </c>
      <c r="K105" s="1" t="s">
        <v>3924</v>
      </c>
      <c r="L105" s="1" t="s">
        <v>3925</v>
      </c>
      <c r="M105" s="1" t="s">
        <v>9158</v>
      </c>
      <c r="N105" s="1" t="s">
        <v>9158</v>
      </c>
      <c r="O105" s="1" t="s">
        <v>9158</v>
      </c>
      <c r="P105" s="1" t="s">
        <v>9158</v>
      </c>
      <c r="Q105" s="1" t="s">
        <v>9158</v>
      </c>
    </row>
    <row r="106" spans="1:18">
      <c r="A106" s="1">
        <v>62153</v>
      </c>
      <c r="B106" s="1" t="s">
        <v>334</v>
      </c>
      <c r="C106" s="1" t="s">
        <v>205</v>
      </c>
      <c r="D106" s="19" t="s">
        <v>3127</v>
      </c>
      <c r="E106" s="15" t="str">
        <f>HYPERLINK("https://stat100.ameba.jp/tnk47/ratio20/illustrations/card/ill_62153_obentonekodanuki03.jpg?201907-2-RELEASE-unionbattle-418", "■")</f>
        <v>■</v>
      </c>
      <c r="F106" s="1" t="s">
        <v>3128</v>
      </c>
      <c r="G106" s="1">
        <v>99996</v>
      </c>
      <c r="H106" s="1">
        <v>92996</v>
      </c>
      <c r="I106" s="1">
        <v>24</v>
      </c>
      <c r="J106" s="1" t="s">
        <v>320</v>
      </c>
      <c r="K106" s="1" t="s">
        <v>3129</v>
      </c>
      <c r="L106" s="1" t="s">
        <v>3130</v>
      </c>
      <c r="M106" s="1" t="s">
        <v>9158</v>
      </c>
      <c r="N106" s="1" t="s">
        <v>9158</v>
      </c>
      <c r="O106" s="1" t="s">
        <v>9158</v>
      </c>
      <c r="P106" s="1" t="s">
        <v>9158</v>
      </c>
      <c r="Q106" s="1" t="s">
        <v>9158</v>
      </c>
    </row>
    <row r="107" spans="1:18">
      <c r="A107" s="1">
        <v>76483</v>
      </c>
      <c r="B107" s="1" t="s">
        <v>334</v>
      </c>
      <c r="C107" s="1" t="s">
        <v>307</v>
      </c>
      <c r="D107" s="19" t="s">
        <v>589</v>
      </c>
      <c r="E107" s="15" t="str">
        <f>HYPERLINK("https://stat100.ameba.jp/tnk47/ratio20/illustrations/card/ill_76483_yukemurimizuhanome03.jpg?201907-2-RELEASE-unionbattle-418", "■")</f>
        <v>■</v>
      </c>
      <c r="F107" s="1" t="s">
        <v>590</v>
      </c>
      <c r="G107" s="1">
        <v>97894</v>
      </c>
      <c r="H107" s="1">
        <v>91010</v>
      </c>
      <c r="I107" s="1">
        <v>24</v>
      </c>
      <c r="J107" s="1" t="s">
        <v>401</v>
      </c>
      <c r="K107" s="1" t="s">
        <v>591</v>
      </c>
      <c r="L107" s="1" t="s">
        <v>592</v>
      </c>
      <c r="M107" s="1" t="s">
        <v>9158</v>
      </c>
      <c r="N107" s="1" t="s">
        <v>9158</v>
      </c>
      <c r="O107" s="1" t="s">
        <v>9158</v>
      </c>
      <c r="P107" s="1" t="s">
        <v>9158</v>
      </c>
      <c r="Q107" s="1" t="s">
        <v>9158</v>
      </c>
    </row>
    <row r="109" spans="1:18">
      <c r="A109" s="1" t="s">
        <v>5502</v>
      </c>
    </row>
    <row r="110" spans="1:18">
      <c r="A110" s="1" t="s">
        <v>5503</v>
      </c>
    </row>
    <row r="111" spans="1:18">
      <c r="A111" s="1">
        <v>79505</v>
      </c>
      <c r="B111" s="1" t="s">
        <v>5504</v>
      </c>
      <c r="C111" s="1" t="s">
        <v>5509</v>
      </c>
      <c r="D111" s="19" t="s">
        <v>10345</v>
      </c>
      <c r="E111" s="15" t="str">
        <f>HYPERLINK("https://stat100.ameba.jp/tnk47/ratio20/illustrations/card/ill_79505_kyabinatendantosukeban05.jpg?201907-2-RELEASE-unionbattle-418", "■")</f>
        <v>■</v>
      </c>
      <c r="F111" s="1" t="s">
        <v>5513</v>
      </c>
      <c r="G111" s="1">
        <v>100444</v>
      </c>
      <c r="H111" s="1">
        <v>138746</v>
      </c>
      <c r="I111" s="1">
        <v>24</v>
      </c>
      <c r="J111" s="1" t="s">
        <v>5514</v>
      </c>
      <c r="K111" s="1" t="s">
        <v>5515</v>
      </c>
      <c r="L111" s="1" t="s">
        <v>5516</v>
      </c>
      <c r="M111" s="1" t="s">
        <v>9158</v>
      </c>
      <c r="N111" s="1" t="s">
        <v>9158</v>
      </c>
      <c r="O111" s="1" t="s">
        <v>9158</v>
      </c>
      <c r="P111" s="1" t="s">
        <v>9158</v>
      </c>
      <c r="Q111" s="1" t="s">
        <v>9158</v>
      </c>
      <c r="R111" s="1" t="s">
        <v>5506</v>
      </c>
    </row>
    <row r="112" spans="1:18">
      <c r="A112" s="1">
        <v>79503</v>
      </c>
      <c r="B112" s="1" t="s">
        <v>5505</v>
      </c>
      <c r="C112" s="1" t="s">
        <v>5510</v>
      </c>
      <c r="D112" s="19" t="s">
        <v>10345</v>
      </c>
      <c r="E112" s="15" t="str">
        <f>HYPERLINK("https://stat100.ameba.jp/tnk47/ratio20/illustrations/card/ill_79503_kyabinatendantosukeban03.jpg?201907-2-RELEASE-unionbattle-418", "■")</f>
        <v>■</v>
      </c>
      <c r="F112" s="1" t="s">
        <v>5513</v>
      </c>
      <c r="G112" s="1">
        <v>72594</v>
      </c>
      <c r="H112" s="1">
        <v>100254</v>
      </c>
      <c r="I112" s="1">
        <v>24</v>
      </c>
      <c r="J112" s="1" t="s">
        <v>5514</v>
      </c>
      <c r="K112" s="1" t="s">
        <v>5515</v>
      </c>
      <c r="L112" s="1" t="s">
        <v>5518</v>
      </c>
      <c r="M112" s="1" t="s">
        <v>9158</v>
      </c>
      <c r="N112" s="1" t="s">
        <v>9158</v>
      </c>
      <c r="O112" s="1" t="s">
        <v>9158</v>
      </c>
      <c r="P112" s="1" t="s">
        <v>9158</v>
      </c>
      <c r="Q112" s="1" t="s">
        <v>9158</v>
      </c>
      <c r="R112" s="1" t="s">
        <v>5507</v>
      </c>
    </row>
    <row r="113" spans="1:18">
      <c r="A113" s="1">
        <v>79501</v>
      </c>
      <c r="B113" s="1" t="s">
        <v>5505</v>
      </c>
      <c r="C113" s="1" t="s">
        <v>5511</v>
      </c>
      <c r="D113" s="19" t="s">
        <v>10345</v>
      </c>
      <c r="E113" s="15" t="str">
        <f>HYPERLINK("https://stat100.ameba.jp/tnk47/ratio20/illustrations/card/ill_79501_kyabinatendantosukeban01.jpg?201907-2-RELEASE-unionbattle-418", "■")</f>
        <v>■</v>
      </c>
      <c r="F113" s="1" t="s">
        <v>5513</v>
      </c>
      <c r="G113" s="1">
        <v>42096</v>
      </c>
      <c r="H113" s="1">
        <v>58152</v>
      </c>
      <c r="I113" s="1">
        <v>24</v>
      </c>
      <c r="J113" s="1" t="s">
        <v>5514</v>
      </c>
      <c r="K113" s="1" t="s">
        <v>5515</v>
      </c>
      <c r="L113" s="1" t="s">
        <v>5517</v>
      </c>
      <c r="M113" s="1" t="s">
        <v>9158</v>
      </c>
      <c r="N113" s="1" t="s">
        <v>9158</v>
      </c>
      <c r="O113" s="1" t="s">
        <v>9158</v>
      </c>
      <c r="P113" s="1" t="s">
        <v>9158</v>
      </c>
      <c r="Q113" s="1" t="s">
        <v>9158</v>
      </c>
      <c r="R113" s="1" t="s">
        <v>5508</v>
      </c>
    </row>
    <row r="114" spans="1:18">
      <c r="A114" s="1">
        <v>67905</v>
      </c>
      <c r="B114" s="1" t="s">
        <v>5504</v>
      </c>
      <c r="C114" s="1" t="s">
        <v>5509</v>
      </c>
      <c r="D114" s="19" t="s">
        <v>10346</v>
      </c>
      <c r="E114" s="15" t="str">
        <f>HYPERLINK("https://stat100.ameba.jp/tnk47/ratio20/illustrations/card/ill_67905_yokoin05.jpg?201907-2-RELEASE-unionbattle-418", "■")</f>
        <v>■</v>
      </c>
      <c r="F114" s="1" t="s">
        <v>5519</v>
      </c>
      <c r="G114" s="1">
        <v>112832</v>
      </c>
      <c r="H114" s="1">
        <v>81692</v>
      </c>
      <c r="I114" s="1">
        <v>24</v>
      </c>
      <c r="J114" s="1" t="s">
        <v>5520</v>
      </c>
      <c r="K114" s="1" t="s">
        <v>5521</v>
      </c>
      <c r="L114" s="1" t="s">
        <v>5522</v>
      </c>
      <c r="M114" s="1" t="s">
        <v>9158</v>
      </c>
      <c r="N114" s="1" t="s">
        <v>9158</v>
      </c>
      <c r="O114" s="1" t="s">
        <v>9158</v>
      </c>
      <c r="P114" s="1" t="s">
        <v>9158</v>
      </c>
      <c r="Q114" s="1" t="s">
        <v>9158</v>
      </c>
      <c r="R114" s="1" t="s">
        <v>5506</v>
      </c>
    </row>
    <row r="115" spans="1:18">
      <c r="A115" s="1">
        <v>67903</v>
      </c>
      <c r="B115" s="1" t="s">
        <v>5505</v>
      </c>
      <c r="C115" s="1" t="s">
        <v>5510</v>
      </c>
      <c r="D115" s="19" t="s">
        <v>10346</v>
      </c>
      <c r="E115" s="15" t="str">
        <f>HYPERLINK("https://stat100.ameba.jp/tnk47/ratio20/illustrations/card/ill_67903_yokoin03.jpg?201907-2-RELEASE-unionbattle-418", "■")</f>
        <v>■</v>
      </c>
      <c r="F115" s="1" t="s">
        <v>5519</v>
      </c>
      <c r="G115" s="1">
        <v>83124</v>
      </c>
      <c r="H115" s="1">
        <v>60186</v>
      </c>
      <c r="I115" s="1">
        <v>24</v>
      </c>
      <c r="J115" s="1" t="s">
        <v>5520</v>
      </c>
      <c r="K115" s="1" t="s">
        <v>5521</v>
      </c>
      <c r="L115" s="1" t="s">
        <v>5524</v>
      </c>
      <c r="M115" s="1" t="s">
        <v>9158</v>
      </c>
      <c r="N115" s="1" t="s">
        <v>9158</v>
      </c>
      <c r="O115" s="1" t="s">
        <v>9158</v>
      </c>
      <c r="P115" s="1" t="s">
        <v>9158</v>
      </c>
      <c r="Q115" s="1" t="s">
        <v>9158</v>
      </c>
      <c r="R115" s="1" t="s">
        <v>5507</v>
      </c>
    </row>
    <row r="116" spans="1:18">
      <c r="A116" s="1">
        <v>67901</v>
      </c>
      <c r="B116" s="1" t="s">
        <v>5505</v>
      </c>
      <c r="C116" s="1" t="s">
        <v>5511</v>
      </c>
      <c r="D116" s="19" t="s">
        <v>10346</v>
      </c>
      <c r="E116" s="15" t="str">
        <f>HYPERLINK("https://stat100.ameba.jp/tnk47/ratio20/illustrations/card/ill_67901_yokoin01.jpg?201907-2-RELEASE-unionbattle-418", "■")</f>
        <v>■</v>
      </c>
      <c r="F116" s="1" t="s">
        <v>5519</v>
      </c>
      <c r="G116" s="1">
        <v>52872</v>
      </c>
      <c r="H116" s="1">
        <v>38280</v>
      </c>
      <c r="I116" s="1">
        <v>24</v>
      </c>
      <c r="J116" s="1" t="s">
        <v>5520</v>
      </c>
      <c r="K116" s="1" t="s">
        <v>5521</v>
      </c>
      <c r="L116" s="1" t="s">
        <v>5523</v>
      </c>
      <c r="M116" s="1" t="s">
        <v>9158</v>
      </c>
      <c r="N116" s="1" t="s">
        <v>9158</v>
      </c>
      <c r="O116" s="1" t="s">
        <v>9158</v>
      </c>
      <c r="P116" s="1" t="s">
        <v>9158</v>
      </c>
      <c r="Q116" s="1" t="s">
        <v>9158</v>
      </c>
      <c r="R116" s="1" t="s">
        <v>5508</v>
      </c>
    </row>
    <row r="117" spans="1:18">
      <c r="A117" s="1">
        <v>72135</v>
      </c>
      <c r="B117" s="1" t="s">
        <v>5504</v>
      </c>
      <c r="C117" s="1" t="s">
        <v>5509</v>
      </c>
      <c r="D117" s="19" t="s">
        <v>10347</v>
      </c>
      <c r="E117" s="15" t="str">
        <f>HYPERLINK("https://stat100.ameba.jp/tnk47/ratio20/illustrations/card/ill_72135_murayamasakon05.jpg?201907-2-RELEASE-unionbattle-418", "■")</f>
        <v>■</v>
      </c>
      <c r="F117" s="1" t="s">
        <v>5525</v>
      </c>
      <c r="G117" s="1">
        <v>84828</v>
      </c>
      <c r="H117" s="1">
        <v>117160</v>
      </c>
      <c r="I117" s="1">
        <v>24</v>
      </c>
      <c r="J117" s="1" t="s">
        <v>5526</v>
      </c>
      <c r="K117" s="1" t="s">
        <v>5527</v>
      </c>
      <c r="L117" s="1" t="s">
        <v>5528</v>
      </c>
      <c r="M117" s="1" t="s">
        <v>9158</v>
      </c>
      <c r="N117" s="1" t="s">
        <v>9158</v>
      </c>
      <c r="O117" s="1" t="s">
        <v>9158</v>
      </c>
      <c r="P117" s="1" t="s">
        <v>9158</v>
      </c>
      <c r="Q117" s="1" t="s">
        <v>9158</v>
      </c>
      <c r="R117" s="1" t="s">
        <v>5506</v>
      </c>
    </row>
    <row r="118" spans="1:18">
      <c r="A118" s="1">
        <v>72133</v>
      </c>
      <c r="B118" s="1" t="s">
        <v>5505</v>
      </c>
      <c r="C118" s="1" t="s">
        <v>5512</v>
      </c>
      <c r="D118" s="19" t="s">
        <v>10347</v>
      </c>
      <c r="E118" s="15" t="str">
        <f>HYPERLINK("https://stat100.ameba.jp/tnk47/ratio20/illustrations/card/ill_72133_murayamasakon03.jpg?201907-2-RELEASE-unionbattle-418", "■")</f>
        <v>■</v>
      </c>
      <c r="F118" s="1" t="s">
        <v>5525</v>
      </c>
      <c r="G118" s="1">
        <v>62492</v>
      </c>
      <c r="H118" s="1">
        <v>86320</v>
      </c>
      <c r="I118" s="1">
        <v>24</v>
      </c>
      <c r="J118" s="1" t="s">
        <v>5526</v>
      </c>
      <c r="K118" s="1" t="s">
        <v>5527</v>
      </c>
      <c r="L118" s="1" t="s">
        <v>5529</v>
      </c>
      <c r="M118" s="1" t="s">
        <v>9158</v>
      </c>
      <c r="N118" s="1" t="s">
        <v>9158</v>
      </c>
      <c r="O118" s="1" t="s">
        <v>9158</v>
      </c>
      <c r="P118" s="1" t="s">
        <v>9158</v>
      </c>
      <c r="Q118" s="1" t="s">
        <v>9158</v>
      </c>
      <c r="R118" s="1" t="s">
        <v>5507</v>
      </c>
    </row>
    <row r="119" spans="1:18">
      <c r="A119" s="1">
        <v>72131</v>
      </c>
      <c r="B119" s="1" t="s">
        <v>5505</v>
      </c>
      <c r="C119" s="1" t="s">
        <v>5512</v>
      </c>
      <c r="D119" s="19" t="s">
        <v>10347</v>
      </c>
      <c r="E119" s="15" t="str">
        <f>HYPERLINK("https://stat100.ameba.jp/tnk47/ratio20/illustrations/card/ill_72131_murayamasakon01.jpg?201907-2-RELEASE-unionbattle-418", "■")</f>
        <v>■</v>
      </c>
      <c r="F119" s="1" t="s">
        <v>5525</v>
      </c>
      <c r="G119" s="1">
        <v>39768</v>
      </c>
      <c r="H119" s="1">
        <v>54912</v>
      </c>
      <c r="I119" s="1">
        <v>24</v>
      </c>
      <c r="J119" s="1" t="s">
        <v>5526</v>
      </c>
      <c r="K119" s="1" t="s">
        <v>5527</v>
      </c>
      <c r="L119" s="1" t="s">
        <v>5530</v>
      </c>
      <c r="M119" s="1" t="s">
        <v>9158</v>
      </c>
      <c r="N119" s="1" t="s">
        <v>9158</v>
      </c>
      <c r="O119" s="1" t="s">
        <v>9158</v>
      </c>
      <c r="P119" s="1" t="s">
        <v>9158</v>
      </c>
      <c r="Q119" s="1" t="s">
        <v>9158</v>
      </c>
      <c r="R119" s="1" t="s">
        <v>5508</v>
      </c>
    </row>
    <row r="121" spans="1:18">
      <c r="A121" s="1" t="s">
        <v>5501</v>
      </c>
    </row>
    <row r="122" spans="1:18">
      <c r="A122" s="1" t="s">
        <v>5500</v>
      </c>
    </row>
    <row r="123" spans="1:18">
      <c r="A123" s="1" t="s">
        <v>5619</v>
      </c>
      <c r="B123" s="1" t="s">
        <v>330</v>
      </c>
      <c r="C123" s="1" t="s">
        <v>202</v>
      </c>
      <c r="D123" s="19" t="s">
        <v>10348</v>
      </c>
      <c r="E123" s="15" t="str">
        <f>HYPERLINK("https://stat100.ameba.jp/tnk47/ratio20/illustrations/card/ill_81183_0_shinryokunokisetsuamaterasu03.jpg?201907-2-RELEASE-unionbattle-418", "■")</f>
        <v>■</v>
      </c>
      <c r="F123" s="1" t="s">
        <v>4505</v>
      </c>
      <c r="G123" s="1">
        <v>252122</v>
      </c>
      <c r="H123" s="1">
        <v>278984</v>
      </c>
      <c r="I123" s="1">
        <v>24</v>
      </c>
      <c r="J123" s="1" t="s">
        <v>44</v>
      </c>
      <c r="K123" s="1" t="s">
        <v>4506</v>
      </c>
      <c r="L123" s="1" t="s">
        <v>4507</v>
      </c>
      <c r="M123" s="1" t="s">
        <v>9158</v>
      </c>
      <c r="N123" s="1" t="s">
        <v>9158</v>
      </c>
      <c r="O123" s="19" t="s">
        <v>10083</v>
      </c>
      <c r="P123" s="1" t="s">
        <v>4509</v>
      </c>
      <c r="Q123" s="1">
        <v>0</v>
      </c>
    </row>
    <row r="124" spans="1:18">
      <c r="A124" s="1">
        <v>81303</v>
      </c>
      <c r="B124" s="1" t="s">
        <v>334</v>
      </c>
      <c r="C124" s="1" t="s">
        <v>41</v>
      </c>
      <c r="D124" s="19" t="s">
        <v>10349</v>
      </c>
      <c r="E124" s="15" t="str">
        <f>HYPERLINK("https://stat100.ameba.jp/tnk47/ratio20/illustrations/card/ill_81303_suteirukuin03.jpg?201907-2-RELEASE-unionbattle-418", "■")</f>
        <v>■</v>
      </c>
      <c r="F124" s="1" t="s">
        <v>4581</v>
      </c>
      <c r="G124" s="1">
        <v>115656</v>
      </c>
      <c r="H124" s="1">
        <v>159674</v>
      </c>
      <c r="I124" s="1">
        <v>24</v>
      </c>
      <c r="J124" s="1" t="s">
        <v>104</v>
      </c>
      <c r="K124" s="1" t="s">
        <v>4582</v>
      </c>
      <c r="L124" s="1" t="s">
        <v>2304</v>
      </c>
      <c r="M124" s="1" t="s">
        <v>9158</v>
      </c>
      <c r="N124" s="1" t="s">
        <v>9158</v>
      </c>
      <c r="O124" s="19" t="s">
        <v>10084</v>
      </c>
      <c r="P124" s="1" t="s">
        <v>4584</v>
      </c>
      <c r="Q124" s="1">
        <v>1</v>
      </c>
    </row>
    <row r="125" spans="1:18">
      <c r="A125" s="1">
        <v>54713</v>
      </c>
      <c r="B125" s="1" t="s">
        <v>334</v>
      </c>
      <c r="C125" s="1" t="s">
        <v>264</v>
      </c>
      <c r="D125" s="19" t="s">
        <v>10350</v>
      </c>
      <c r="E125" s="15" t="str">
        <f>HYPERLINK("https://stat100.ameba.jp/tnk47/ratio20/illustrations/card/ill_54713_okashiononokomachi03.jpg?201907-2-RELEASE-unionbattle-418", "■")</f>
        <v>■</v>
      </c>
      <c r="F125" s="1" t="s">
        <v>4370</v>
      </c>
      <c r="G125" s="1">
        <v>92504</v>
      </c>
      <c r="H125" s="1">
        <v>86006</v>
      </c>
      <c r="I125" s="1">
        <v>24</v>
      </c>
      <c r="J125" s="1" t="s">
        <v>10</v>
      </c>
      <c r="K125" s="1" t="s">
        <v>4371</v>
      </c>
      <c r="L125" s="1" t="s">
        <v>4372</v>
      </c>
      <c r="M125" s="1" t="s">
        <v>9158</v>
      </c>
      <c r="N125" s="1" t="s">
        <v>9158</v>
      </c>
      <c r="O125" s="19" t="s">
        <v>10085</v>
      </c>
      <c r="P125" s="1" t="s">
        <v>4374</v>
      </c>
      <c r="Q125" s="1">
        <v>1</v>
      </c>
    </row>
    <row r="126" spans="1:18">
      <c r="A126" s="1">
        <v>79203</v>
      </c>
      <c r="B126" s="1" t="s">
        <v>0</v>
      </c>
      <c r="C126" s="1" t="s">
        <v>202</v>
      </c>
      <c r="D126" s="19" t="s">
        <v>10351</v>
      </c>
      <c r="E126" s="15" t="str">
        <f>HYPERLINK("https://stat100.ameba.jp/tnk47/ratio20/illustrations/card/ill_79203_santaokokuredeisanta03.jpg?201907-2-RELEASE-unionbattle-418", "■")</f>
        <v>■</v>
      </c>
      <c r="F126" s="1" t="s">
        <v>2621</v>
      </c>
      <c r="G126" s="1">
        <v>106680</v>
      </c>
      <c r="H126" s="1">
        <v>99182</v>
      </c>
      <c r="I126" s="1">
        <v>24</v>
      </c>
      <c r="J126" s="1" t="s">
        <v>38</v>
      </c>
      <c r="K126" s="1" t="s">
        <v>2622</v>
      </c>
      <c r="L126" s="1" t="s">
        <v>2623</v>
      </c>
      <c r="M126" s="1" t="s">
        <v>9158</v>
      </c>
      <c r="N126" s="1" t="s">
        <v>9158</v>
      </c>
      <c r="O126" s="19" t="s">
        <v>10086</v>
      </c>
      <c r="P126" s="1" t="s">
        <v>5499</v>
      </c>
      <c r="Q126" s="1">
        <v>1</v>
      </c>
    </row>
    <row r="128" spans="1:18">
      <c r="A128" s="1" t="s">
        <v>5531</v>
      </c>
    </row>
    <row r="129" spans="1:17">
      <c r="A129" s="1" t="s">
        <v>5532</v>
      </c>
    </row>
    <row r="130" spans="1:17">
      <c r="A130" s="1" t="s">
        <v>5620</v>
      </c>
      <c r="B130" s="1" t="s">
        <v>330</v>
      </c>
      <c r="C130" s="1" t="s">
        <v>206</v>
      </c>
      <c r="D130" s="19" t="s">
        <v>669</v>
      </c>
      <c r="E130" s="15" t="str">
        <f>HYPERLINK("https://stat100.ameba.jp/tnk47/ratio20/illustrations/card/ill_67173_0_yukemuriawamorichan03.jpg?201907-2-RELEASE-unionbattle-418", "■")</f>
        <v>■</v>
      </c>
      <c r="F130" s="1" t="s">
        <v>670</v>
      </c>
      <c r="G130" s="1">
        <v>115249</v>
      </c>
      <c r="H130" s="1">
        <v>107146</v>
      </c>
      <c r="I130" s="1">
        <v>15</v>
      </c>
      <c r="J130" s="1" t="s">
        <v>283</v>
      </c>
      <c r="K130" s="1" t="s">
        <v>671</v>
      </c>
      <c r="L130" s="1" t="s">
        <v>672</v>
      </c>
      <c r="M130" s="1" t="s">
        <v>9158</v>
      </c>
      <c r="N130" s="1" t="s">
        <v>9158</v>
      </c>
      <c r="O130" s="19" t="s">
        <v>10087</v>
      </c>
      <c r="P130" s="1" t="s">
        <v>3455</v>
      </c>
      <c r="Q130" s="1">
        <v>1</v>
      </c>
    </row>
    <row r="131" spans="1:17">
      <c r="A131" s="1" t="s">
        <v>5621</v>
      </c>
      <c r="B131" s="1" t="s">
        <v>330</v>
      </c>
      <c r="C131" s="1" t="s">
        <v>191</v>
      </c>
      <c r="D131" s="19" t="s">
        <v>2871</v>
      </c>
      <c r="E131" s="15" t="str">
        <f>HYPERLINK("https://stat100.ameba.jp/tnk47/ratio20/illustrations/card/ill_51973_0_kemonomizugikuroyuridensetsu03.jpg?201907-2-RELEASE-unionbattle-418", "■")</f>
        <v>■</v>
      </c>
      <c r="F131" s="1" t="s">
        <v>2034</v>
      </c>
      <c r="G131" s="1">
        <v>94236</v>
      </c>
      <c r="H131" s="1">
        <v>83712</v>
      </c>
      <c r="I131" s="1">
        <v>15</v>
      </c>
      <c r="J131" s="1" t="s">
        <v>38</v>
      </c>
      <c r="K131" s="1" t="s">
        <v>2035</v>
      </c>
      <c r="L131" s="1" t="s">
        <v>2036</v>
      </c>
      <c r="M131" s="1" t="s">
        <v>9158</v>
      </c>
      <c r="N131" s="1" t="s">
        <v>9158</v>
      </c>
      <c r="O131" s="19" t="s">
        <v>10088</v>
      </c>
      <c r="P131" s="1" t="s">
        <v>13172</v>
      </c>
      <c r="Q131" s="1">
        <v>1</v>
      </c>
    </row>
    <row r="132" spans="1:17">
      <c r="A132" s="1" t="s">
        <v>5622</v>
      </c>
      <c r="B132" s="1" t="s">
        <v>330</v>
      </c>
      <c r="C132" s="1" t="s">
        <v>335</v>
      </c>
      <c r="D132" s="19" t="s">
        <v>509</v>
      </c>
      <c r="E132" s="15" t="str">
        <f>HYPERLINK("https://stat100.ameba.jp/tnk47/ratio20/illustrations/card/ill_49953_0_yushamarihime03.jpg?201907-2-RELEASE-unionbattle-418", "■")</f>
        <v>■</v>
      </c>
      <c r="F132" s="1" t="s">
        <v>510</v>
      </c>
      <c r="G132" s="1">
        <v>94236</v>
      </c>
      <c r="H132" s="1">
        <v>83712</v>
      </c>
      <c r="I132" s="1">
        <v>15</v>
      </c>
      <c r="J132" s="1" t="s">
        <v>315</v>
      </c>
      <c r="K132" s="1" t="s">
        <v>511</v>
      </c>
      <c r="L132" s="1" t="s">
        <v>512</v>
      </c>
      <c r="M132" s="1" t="s">
        <v>9158</v>
      </c>
      <c r="N132" s="1" t="s">
        <v>9158</v>
      </c>
      <c r="O132" s="1" t="s">
        <v>9158</v>
      </c>
      <c r="P132" s="1" t="s">
        <v>9158</v>
      </c>
      <c r="Q132" s="1" t="s">
        <v>9158</v>
      </c>
    </row>
    <row r="133" spans="1:17">
      <c r="A133" s="1">
        <v>79093</v>
      </c>
      <c r="B133" s="1" t="s">
        <v>334</v>
      </c>
      <c r="C133" s="1" t="s">
        <v>206</v>
      </c>
      <c r="D133" s="19" t="s">
        <v>10352</v>
      </c>
      <c r="E133" s="15" t="str">
        <f>HYPERLINK("https://stat100.ameba.jp/tnk47/ratio20/illustrations/card/ill_79093_shinnenongakukaihakatabijin03.jpg?201907-2-RELEASE-unionbattle-418", "■")</f>
        <v>■</v>
      </c>
      <c r="F133" s="1" t="s">
        <v>3395</v>
      </c>
      <c r="G133" s="1">
        <v>101656</v>
      </c>
      <c r="H133" s="1">
        <v>109334</v>
      </c>
      <c r="I133" s="1">
        <v>24</v>
      </c>
      <c r="J133" s="1" t="s">
        <v>26</v>
      </c>
      <c r="K133" s="1" t="s">
        <v>3396</v>
      </c>
      <c r="L133" s="1" t="s">
        <v>2137</v>
      </c>
      <c r="M133" s="1" t="s">
        <v>9158</v>
      </c>
      <c r="N133" s="1" t="s">
        <v>9158</v>
      </c>
      <c r="O133" s="1" t="s">
        <v>9158</v>
      </c>
      <c r="P133" s="1" t="s">
        <v>9158</v>
      </c>
      <c r="Q133" s="1" t="s">
        <v>9158</v>
      </c>
    </row>
    <row r="134" spans="1:17">
      <c r="A134" s="1">
        <v>74993</v>
      </c>
      <c r="B134" s="1" t="s">
        <v>334</v>
      </c>
      <c r="C134" s="1" t="s">
        <v>205</v>
      </c>
      <c r="D134" s="19" t="s">
        <v>10353</v>
      </c>
      <c r="E134" s="15" t="str">
        <f>HYPERLINK("https://stat100.ameba.jp/tnk47/ratio20/illustrations/card/ill_74993_demikatsudon03.jpg?201907-2-RELEASE-unionbattle-418", "■")</f>
        <v>■</v>
      </c>
      <c r="F134" s="1" t="s">
        <v>3262</v>
      </c>
      <c r="G134" s="1">
        <v>142674</v>
      </c>
      <c r="H134" s="1">
        <v>132658</v>
      </c>
      <c r="I134" s="1">
        <v>24</v>
      </c>
      <c r="J134" s="1" t="s">
        <v>104</v>
      </c>
      <c r="K134" s="1" t="s">
        <v>3263</v>
      </c>
      <c r="L134" s="1" t="s">
        <v>1029</v>
      </c>
      <c r="M134" s="1" t="s">
        <v>9158</v>
      </c>
      <c r="N134" s="1" t="s">
        <v>9158</v>
      </c>
      <c r="O134" s="1" t="s">
        <v>9158</v>
      </c>
      <c r="P134" s="1" t="s">
        <v>9158</v>
      </c>
      <c r="Q134" s="1" t="s">
        <v>9158</v>
      </c>
    </row>
    <row r="135" spans="1:17">
      <c r="A135" s="1">
        <v>69503</v>
      </c>
      <c r="B135" s="1" t="s">
        <v>0</v>
      </c>
      <c r="C135" s="1" t="s">
        <v>47</v>
      </c>
      <c r="D135" s="19" t="s">
        <v>2949</v>
      </c>
      <c r="E135" s="15" t="str">
        <f>HYPERLINK("https://stat100.ameba.jp/tnk47/ratio20/illustrations/card/ill_69503_azusayumi03.jpg?201907-2-RELEASE-unionbattle-418", "■")</f>
        <v>■</v>
      </c>
      <c r="F135" s="1" t="s">
        <v>66</v>
      </c>
      <c r="G135" s="1">
        <v>108924</v>
      </c>
      <c r="H135" s="1">
        <v>78916</v>
      </c>
      <c r="I135" s="1">
        <v>24</v>
      </c>
      <c r="J135" s="1" t="s">
        <v>38</v>
      </c>
      <c r="K135" s="1" t="s">
        <v>67</v>
      </c>
      <c r="L135" s="1" t="s">
        <v>68</v>
      </c>
      <c r="M135" s="1" t="s">
        <v>9158</v>
      </c>
      <c r="N135" s="1" t="s">
        <v>9158</v>
      </c>
      <c r="O135" s="19" t="s">
        <v>2951</v>
      </c>
      <c r="P135" s="1" t="s">
        <v>13122</v>
      </c>
      <c r="Q135" s="1">
        <v>1</v>
      </c>
    </row>
    <row r="137" spans="1:17">
      <c r="A137" s="1" t="s">
        <v>5533</v>
      </c>
    </row>
    <row r="138" spans="1:17">
      <c r="A138" s="1" t="s">
        <v>5534</v>
      </c>
    </row>
    <row r="139" spans="1:17">
      <c r="A139" s="1" t="s">
        <v>7663</v>
      </c>
    </row>
    <row r="140" spans="1:17">
      <c r="A140" s="1" t="s">
        <v>5601</v>
      </c>
      <c r="B140" s="1" t="s">
        <v>330</v>
      </c>
      <c r="C140" s="1" t="s">
        <v>35</v>
      </c>
      <c r="D140" s="19" t="s">
        <v>10318</v>
      </c>
      <c r="E140" s="15" t="str">
        <f>HYPERLINK("https://stat100.ameba.jp/tnk47/ratio20/illustrations/card/ill_82423_0_bikinigarukishi03.jpg?201907-2-RELEASE-unionbattle-418", "■")</f>
        <v>■</v>
      </c>
      <c r="F140" s="1" t="s">
        <v>5391</v>
      </c>
      <c r="G140" s="1">
        <v>181624</v>
      </c>
      <c r="H140" s="1">
        <v>164155</v>
      </c>
      <c r="I140" s="1">
        <v>15</v>
      </c>
      <c r="J140" s="1" t="s">
        <v>77</v>
      </c>
      <c r="K140" s="1" t="s">
        <v>5392</v>
      </c>
      <c r="L140" s="1" t="s">
        <v>5393</v>
      </c>
      <c r="M140" s="1" t="s">
        <v>9158</v>
      </c>
      <c r="N140" s="1" t="s">
        <v>9158</v>
      </c>
      <c r="O140" s="19" t="s">
        <v>10069</v>
      </c>
      <c r="P140" s="1" t="s">
        <v>5394</v>
      </c>
      <c r="Q140" s="1">
        <v>1</v>
      </c>
    </row>
    <row r="141" spans="1:17">
      <c r="A141" s="1">
        <v>82613</v>
      </c>
      <c r="B141" s="1" t="s">
        <v>5504</v>
      </c>
      <c r="C141" s="1" t="s">
        <v>5537</v>
      </c>
      <c r="D141" s="19" t="s">
        <v>10354</v>
      </c>
      <c r="E141" s="15" t="str">
        <f>HYPERLINK("https://stat100.ameba.jp/tnk47/ratio20/illustrations/card/ill_82613_hyokanokisetsumyorinni03.jpg?201907-2-RELEASE-unionbattle-418", "■")</f>
        <v>■</v>
      </c>
      <c r="F141" s="1" t="s">
        <v>5538</v>
      </c>
      <c r="G141" s="1">
        <v>132658</v>
      </c>
      <c r="H141" s="1">
        <v>142674</v>
      </c>
      <c r="I141" s="1">
        <v>24</v>
      </c>
      <c r="J141" s="1" t="s">
        <v>5539</v>
      </c>
      <c r="K141" s="1" t="s">
        <v>5540</v>
      </c>
      <c r="L141" s="1" t="s">
        <v>5541</v>
      </c>
      <c r="M141" s="1" t="s">
        <v>9158</v>
      </c>
      <c r="N141" s="1" t="s">
        <v>9158</v>
      </c>
      <c r="O141" s="1" t="s">
        <v>9158</v>
      </c>
      <c r="P141" s="1" t="s">
        <v>9158</v>
      </c>
      <c r="Q141" s="1" t="s">
        <v>9158</v>
      </c>
    </row>
    <row r="142" spans="1:17">
      <c r="A142" s="1">
        <v>82623</v>
      </c>
      <c r="B142" s="1" t="s">
        <v>5505</v>
      </c>
      <c r="C142" s="1" t="s">
        <v>5542</v>
      </c>
      <c r="D142" s="19" t="s">
        <v>10355</v>
      </c>
      <c r="E142" s="15" t="str">
        <f>HYPERLINK("https://stat100.ameba.jp/tnk47/ratio20/illustrations/card/ill_82623_meidokikyohime03.jpg?201907-2-RELEASE-unionbattle-418", "■")</f>
        <v>■</v>
      </c>
      <c r="F142" s="1" t="s">
        <v>5543</v>
      </c>
      <c r="G142" s="1">
        <v>68172</v>
      </c>
      <c r="H142" s="1">
        <v>61832</v>
      </c>
      <c r="I142" s="1">
        <v>23</v>
      </c>
      <c r="J142" s="1" t="s">
        <v>5520</v>
      </c>
      <c r="K142" s="1" t="s">
        <v>5544</v>
      </c>
      <c r="L142" s="1" t="s">
        <v>5545</v>
      </c>
      <c r="M142" s="1" t="s">
        <v>9158</v>
      </c>
      <c r="N142" s="1" t="s">
        <v>9158</v>
      </c>
      <c r="O142" s="1" t="s">
        <v>9158</v>
      </c>
      <c r="P142" s="1" t="s">
        <v>9158</v>
      </c>
      <c r="Q142" s="1" t="s">
        <v>9158</v>
      </c>
    </row>
    <row r="143" spans="1:17">
      <c r="A143" s="1">
        <v>82633</v>
      </c>
      <c r="B143" s="1" t="s">
        <v>5535</v>
      </c>
      <c r="C143" s="1" t="s">
        <v>5546</v>
      </c>
      <c r="D143" s="19" t="s">
        <v>10356</v>
      </c>
      <c r="E143" s="15" t="str">
        <f>HYPERLINK("https://stat100.ameba.jp/tnk47/ratio20/illustrations/card/ill_82633_umimonogataritsuruhime03.jpg?201907-2-RELEASE-unionbattle-418", "■")</f>
        <v>■</v>
      </c>
      <c r="F143" s="1" t="s">
        <v>5547</v>
      </c>
      <c r="G143" s="1">
        <v>34576</v>
      </c>
      <c r="H143" s="1">
        <v>41584</v>
      </c>
      <c r="I143" s="1">
        <v>20</v>
      </c>
      <c r="J143" s="1" t="s">
        <v>5548</v>
      </c>
      <c r="K143" s="1" t="s">
        <v>5549</v>
      </c>
      <c r="L143" s="1" t="s">
        <v>5550</v>
      </c>
      <c r="M143" s="1" t="s">
        <v>9158</v>
      </c>
      <c r="N143" s="1" t="s">
        <v>9158</v>
      </c>
      <c r="O143" s="1" t="s">
        <v>9158</v>
      </c>
      <c r="P143" s="1" t="s">
        <v>9158</v>
      </c>
      <c r="Q143" s="1" t="s">
        <v>9158</v>
      </c>
    </row>
    <row r="144" spans="1:17">
      <c r="A144" s="1">
        <v>82643</v>
      </c>
      <c r="B144" s="1" t="s">
        <v>5536</v>
      </c>
      <c r="C144" s="1" t="s">
        <v>5551</v>
      </c>
      <c r="D144" s="19" t="s">
        <v>10357</v>
      </c>
      <c r="E144" s="15" t="str">
        <f>HYPERLINK("https://stat100.ameba.jp/tnk47/ratio20/illustrations/card/ill_82643_painkurepu03.jpg?201907-2-RELEASE-unionbattle-418", "■")</f>
        <v>■</v>
      </c>
      <c r="F144" s="1" t="s">
        <v>5552</v>
      </c>
      <c r="G144" s="1">
        <v>25176</v>
      </c>
      <c r="H144" s="1">
        <v>21144</v>
      </c>
      <c r="I144" s="1">
        <v>20</v>
      </c>
      <c r="J144" s="1" t="s">
        <v>5553</v>
      </c>
      <c r="K144" s="1" t="s">
        <v>5554</v>
      </c>
      <c r="L144" s="1" t="s">
        <v>5555</v>
      </c>
      <c r="M144" s="1" t="s">
        <v>9158</v>
      </c>
      <c r="N144" s="1" t="s">
        <v>9158</v>
      </c>
      <c r="O144" s="1" t="s">
        <v>9158</v>
      </c>
      <c r="P144" s="1" t="s">
        <v>9158</v>
      </c>
      <c r="Q144" s="1" t="s">
        <v>9158</v>
      </c>
    </row>
    <row r="146" spans="1:18">
      <c r="A146" s="1" t="s">
        <v>5556</v>
      </c>
    </row>
    <row r="147" spans="1:18">
      <c r="A147" s="1" t="s">
        <v>5557</v>
      </c>
    </row>
    <row r="148" spans="1:18">
      <c r="A148" s="1" t="s">
        <v>5623</v>
      </c>
      <c r="B148" s="1" t="s">
        <v>52</v>
      </c>
      <c r="C148" s="1" t="s">
        <v>165</v>
      </c>
      <c r="D148" s="19" t="s">
        <v>3146</v>
      </c>
      <c r="E148" s="15" t="str">
        <f>HYPERLINK("https://stat100.ameba.jp/tnk47/ratio20/illustrations/card/ill_65713_0_undokaionikirimaru03.jpg?201907-2-RELEASE-unionbattle-418", "■")</f>
        <v>■</v>
      </c>
      <c r="F148" s="1" t="s">
        <v>2543</v>
      </c>
      <c r="G148" s="1">
        <v>158935</v>
      </c>
      <c r="H148" s="1">
        <v>147765</v>
      </c>
      <c r="I148" s="1">
        <v>21</v>
      </c>
      <c r="J148" s="1" t="s">
        <v>73</v>
      </c>
      <c r="K148" s="1" t="s">
        <v>2544</v>
      </c>
      <c r="L148" s="1" t="s">
        <v>2545</v>
      </c>
      <c r="M148" s="1" t="s">
        <v>9158</v>
      </c>
      <c r="N148" s="1" t="s">
        <v>9158</v>
      </c>
      <c r="O148" s="19" t="s">
        <v>2869</v>
      </c>
      <c r="P148" s="1" t="s">
        <v>2870</v>
      </c>
      <c r="Q148" s="1">
        <v>1</v>
      </c>
    </row>
    <row r="149" spans="1:18">
      <c r="A149" s="1">
        <v>67103</v>
      </c>
      <c r="B149" s="1" t="s">
        <v>0</v>
      </c>
      <c r="C149" s="1" t="s">
        <v>154</v>
      </c>
      <c r="D149" s="19" t="s">
        <v>10253</v>
      </c>
      <c r="E149" s="15" t="str">
        <f>HYPERLINK("https://stat100.ameba.jp/tnk47/ratio20/illustrations/card/ill_67103_ankonabe03.jpg?201907-2-RELEASE-unionbattle-418", "■")</f>
        <v>■</v>
      </c>
      <c r="F149" s="1" t="s">
        <v>1283</v>
      </c>
      <c r="G149" s="1">
        <v>88047</v>
      </c>
      <c r="H149" s="1">
        <v>121572</v>
      </c>
      <c r="I149" s="1">
        <v>23</v>
      </c>
      <c r="J149" s="1" t="s">
        <v>216</v>
      </c>
      <c r="K149" s="1" t="s">
        <v>1284</v>
      </c>
      <c r="L149" s="1" t="s">
        <v>13153</v>
      </c>
      <c r="M149" s="1" t="s">
        <v>9158</v>
      </c>
      <c r="N149" s="1" t="s">
        <v>9158</v>
      </c>
      <c r="O149" s="19" t="s">
        <v>4074</v>
      </c>
      <c r="P149" s="1" t="s">
        <v>3462</v>
      </c>
      <c r="Q149" s="1">
        <v>1</v>
      </c>
    </row>
    <row r="150" spans="1:18">
      <c r="A150" s="1">
        <v>54433</v>
      </c>
      <c r="B150" s="1" t="s">
        <v>0</v>
      </c>
      <c r="C150" s="1" t="s">
        <v>14</v>
      </c>
      <c r="D150" s="19" t="s">
        <v>10358</v>
      </c>
      <c r="E150" s="15" t="str">
        <f>HYPERLINK("https://stat100.ameba.jp/tnk47/ratio20/illustrations/card/ill_54433_yonshunentsuraraonna03.jpg?201907-2-RELEASE-unionbattle-418", "■")</f>
        <v>■</v>
      </c>
      <c r="F150" s="1" t="s">
        <v>4657</v>
      </c>
      <c r="G150" s="1">
        <v>88650</v>
      </c>
      <c r="H150" s="1">
        <v>82422</v>
      </c>
      <c r="I150" s="1">
        <v>23</v>
      </c>
      <c r="J150" s="1" t="s">
        <v>73</v>
      </c>
      <c r="K150" s="1" t="s">
        <v>4658</v>
      </c>
      <c r="L150" s="1" t="s">
        <v>4659</v>
      </c>
      <c r="M150" s="1" t="s">
        <v>9158</v>
      </c>
      <c r="N150" s="1" t="s">
        <v>9158</v>
      </c>
      <c r="O150" s="19" t="s">
        <v>10089</v>
      </c>
      <c r="P150" s="1" t="s">
        <v>4661</v>
      </c>
      <c r="Q150" s="1">
        <v>1</v>
      </c>
    </row>
    <row r="151" spans="1:18">
      <c r="A151" s="1">
        <v>69513</v>
      </c>
      <c r="B151" s="1" t="s">
        <v>0</v>
      </c>
      <c r="C151" s="1" t="s">
        <v>158</v>
      </c>
      <c r="D151" s="19" t="s">
        <v>10265</v>
      </c>
      <c r="E151" s="15" t="str">
        <f>HYPERLINK("https://stat100.ameba.jp/tnk47/ratio20/illustrations/card/ill_69513_somedononokisaki03.jpg?201907-2-RELEASE-unionbattle-418", "■")</f>
        <v>■</v>
      </c>
      <c r="F151" s="1" t="s">
        <v>3674</v>
      </c>
      <c r="G151" s="1">
        <v>76042</v>
      </c>
      <c r="H151" s="1">
        <v>104989</v>
      </c>
      <c r="I151" s="1">
        <v>23</v>
      </c>
      <c r="J151" s="1" t="s">
        <v>187</v>
      </c>
      <c r="K151" s="1" t="s">
        <v>3675</v>
      </c>
      <c r="L151" s="1" t="s">
        <v>13187</v>
      </c>
      <c r="M151" s="1" t="s">
        <v>9158</v>
      </c>
      <c r="N151" s="1" t="s">
        <v>9158</v>
      </c>
      <c r="O151" s="19" t="s">
        <v>2752</v>
      </c>
      <c r="P151" s="1" t="s">
        <v>13173</v>
      </c>
      <c r="Q151" s="1">
        <v>1</v>
      </c>
    </row>
    <row r="153" spans="1:18">
      <c r="A153" s="1" t="s">
        <v>13357</v>
      </c>
    </row>
    <row r="154" spans="1:18">
      <c r="A154" s="1" t="s">
        <v>5559</v>
      </c>
    </row>
    <row r="155" spans="1:18">
      <c r="A155" s="1">
        <v>82525</v>
      </c>
      <c r="B155" s="1" t="s">
        <v>15436</v>
      </c>
      <c r="C155" s="1" t="s">
        <v>5560</v>
      </c>
      <c r="D155" s="19" t="s">
        <v>10359</v>
      </c>
      <c r="E155" s="15" t="str">
        <f>HYPERLINK("https://stat100.ameba.jp/tnk47/ratio20/illustrations/card/ill_82525_meruburea05.jpg?201907-2-RELEASE-unionbattle-418", "■")</f>
        <v>■</v>
      </c>
      <c r="F155" s="1" t="s">
        <v>5563</v>
      </c>
      <c r="G155" s="1">
        <v>113524</v>
      </c>
      <c r="H155" s="1">
        <v>82185</v>
      </c>
      <c r="I155" s="1">
        <v>23</v>
      </c>
      <c r="J155" s="1" t="s">
        <v>5564</v>
      </c>
      <c r="K155" s="1" t="s">
        <v>5565</v>
      </c>
      <c r="L155" s="1" t="s">
        <v>5566</v>
      </c>
      <c r="M155" s="1" t="s">
        <v>9158</v>
      </c>
      <c r="N155" s="1" t="s">
        <v>9158</v>
      </c>
      <c r="O155" s="1" t="s">
        <v>9158</v>
      </c>
      <c r="P155" s="1" t="s">
        <v>9158</v>
      </c>
      <c r="Q155" s="1" t="s">
        <v>9158</v>
      </c>
      <c r="R155" s="1" t="s">
        <v>174</v>
      </c>
    </row>
    <row r="156" spans="1:18">
      <c r="A156" s="1">
        <v>82523</v>
      </c>
      <c r="B156" s="1" t="s">
        <v>5562</v>
      </c>
      <c r="C156" s="1" t="s">
        <v>5561</v>
      </c>
      <c r="D156" s="19" t="s">
        <v>10359</v>
      </c>
      <c r="E156" s="15" t="str">
        <f>HYPERLINK("https://stat100.ameba.jp/tnk47/ratio20/illustrations/card/ill_82523_meruburea03.jpg?201907-2-RELEASE-unionbattle-418", "■")</f>
        <v>■</v>
      </c>
      <c r="F156" s="1" t="s">
        <v>5563</v>
      </c>
      <c r="G156" s="1">
        <v>83635</v>
      </c>
      <c r="H156" s="1">
        <v>60547</v>
      </c>
      <c r="I156" s="1">
        <v>23</v>
      </c>
      <c r="J156" s="1" t="s">
        <v>5564</v>
      </c>
      <c r="K156" s="1" t="s">
        <v>5565</v>
      </c>
      <c r="L156" s="1" t="s">
        <v>5567</v>
      </c>
      <c r="M156" s="1" t="s">
        <v>9158</v>
      </c>
      <c r="N156" s="1" t="s">
        <v>9158</v>
      </c>
      <c r="O156" s="1" t="s">
        <v>9158</v>
      </c>
      <c r="P156" s="1" t="s">
        <v>9158</v>
      </c>
      <c r="Q156" s="1" t="s">
        <v>9158</v>
      </c>
      <c r="R156" s="1" t="s">
        <v>175</v>
      </c>
    </row>
    <row r="157" spans="1:18">
      <c r="A157" s="1">
        <v>82521</v>
      </c>
      <c r="B157" s="1" t="s">
        <v>5562</v>
      </c>
      <c r="C157" s="1" t="s">
        <v>5561</v>
      </c>
      <c r="D157" s="19" t="s">
        <v>10359</v>
      </c>
      <c r="E157" s="15" t="str">
        <f>HYPERLINK("https://stat100.ameba.jp/tnk47/ratio20/illustrations/card/ill_82521_meruburea01.jpg?201907-2-RELEASE-unionbattle-418", "■")</f>
        <v>■</v>
      </c>
      <c r="F157" s="1" t="s">
        <v>5563</v>
      </c>
      <c r="G157" s="1">
        <v>53199</v>
      </c>
      <c r="H157" s="1">
        <v>38502</v>
      </c>
      <c r="I157" s="1">
        <v>23</v>
      </c>
      <c r="J157" s="1" t="s">
        <v>5564</v>
      </c>
      <c r="K157" s="1" t="s">
        <v>5565</v>
      </c>
      <c r="L157" s="1" t="s">
        <v>5568</v>
      </c>
      <c r="M157" s="1" t="s">
        <v>9158</v>
      </c>
      <c r="N157" s="1" t="s">
        <v>9158</v>
      </c>
      <c r="O157" s="1" t="s">
        <v>9158</v>
      </c>
      <c r="P157" s="1" t="s">
        <v>9158</v>
      </c>
      <c r="Q157" s="1" t="s">
        <v>9158</v>
      </c>
      <c r="R157" s="1" t="s">
        <v>176</v>
      </c>
    </row>
    <row r="159" spans="1:18">
      <c r="A159" s="1" t="s">
        <v>13326</v>
      </c>
    </row>
    <row r="160" spans="1:18">
      <c r="A160" s="1" t="s">
        <v>5558</v>
      </c>
    </row>
    <row r="161" spans="1:18">
      <c r="A161" s="1">
        <v>69293</v>
      </c>
      <c r="B161" s="1" t="s">
        <v>334</v>
      </c>
      <c r="C161" s="1" t="s">
        <v>185</v>
      </c>
      <c r="D161" s="19" t="s">
        <v>1155</v>
      </c>
      <c r="E161" s="15" t="str">
        <f>HYPERLINK("https://stat100.ameba.jp/tnk47/ratio20/illustrations/card/ill_69293_merukishiru03.jpg?201907-2-RELEASE-unionbattle-418", "■")</f>
        <v>■</v>
      </c>
      <c r="F161" s="1" t="s">
        <v>1156</v>
      </c>
      <c r="G161" s="1">
        <v>118152</v>
      </c>
      <c r="H161" s="1">
        <v>109852</v>
      </c>
      <c r="I161" s="1">
        <v>24</v>
      </c>
      <c r="J161" s="1" t="s">
        <v>414</v>
      </c>
      <c r="K161" s="1" t="s">
        <v>1170</v>
      </c>
      <c r="L161" s="1" t="s">
        <v>9902</v>
      </c>
      <c r="M161" s="1" t="s">
        <v>13151</v>
      </c>
      <c r="N161" s="1" t="s">
        <v>251</v>
      </c>
      <c r="O161" s="1" t="s">
        <v>9158</v>
      </c>
      <c r="P161" s="1" t="s">
        <v>9158</v>
      </c>
      <c r="Q161" s="1" t="s">
        <v>9158</v>
      </c>
      <c r="R161" s="14"/>
    </row>
    <row r="162" spans="1:18">
      <c r="A162" s="1">
        <v>69292</v>
      </c>
      <c r="B162" s="1" t="s">
        <v>334</v>
      </c>
      <c r="C162" s="1" t="s">
        <v>185</v>
      </c>
      <c r="D162" s="19" t="s">
        <v>1155</v>
      </c>
      <c r="E162" s="15" t="str">
        <f>HYPERLINK("https://stat100.ameba.jp/tnk47/ratio20/illustrations/card/ill_69292_merukishiru02.jpg?201907-2-RELEASE-unionbattle-418", "■")</f>
        <v>■</v>
      </c>
      <c r="F162" s="1" t="s">
        <v>1156</v>
      </c>
      <c r="G162" s="1">
        <v>98768</v>
      </c>
      <c r="H162" s="1">
        <v>90984</v>
      </c>
      <c r="I162" s="1">
        <v>24</v>
      </c>
      <c r="J162" s="1" t="s">
        <v>414</v>
      </c>
      <c r="K162" s="1" t="s">
        <v>1170</v>
      </c>
      <c r="L162" s="1" t="s">
        <v>9902</v>
      </c>
      <c r="M162" s="1" t="s">
        <v>13151</v>
      </c>
      <c r="N162" s="1" t="s">
        <v>251</v>
      </c>
      <c r="O162" s="1" t="s">
        <v>9158</v>
      </c>
      <c r="P162" s="1" t="s">
        <v>9158</v>
      </c>
      <c r="Q162" s="1" t="s">
        <v>9158</v>
      </c>
      <c r="R162" s="14"/>
    </row>
    <row r="163" spans="1:18">
      <c r="A163" s="1">
        <v>69291</v>
      </c>
      <c r="B163" s="1" t="s">
        <v>334</v>
      </c>
      <c r="C163" s="1" t="s">
        <v>185</v>
      </c>
      <c r="D163" s="19" t="s">
        <v>1155</v>
      </c>
      <c r="E163" s="15" t="str">
        <f>HYPERLINK("https://stat100.ameba.jp/tnk47/ratio20/illustrations/card/ill_69291_merukishiru01.jpg?201907-2-RELEASE-unionbattle-418", "■")</f>
        <v>■</v>
      </c>
      <c r="F163" s="1" t="s">
        <v>1156</v>
      </c>
      <c r="G163" s="1">
        <v>75408</v>
      </c>
      <c r="H163" s="1">
        <v>70200</v>
      </c>
      <c r="I163" s="1">
        <v>24</v>
      </c>
      <c r="J163" s="1" t="s">
        <v>414</v>
      </c>
      <c r="K163" s="1" t="s">
        <v>1170</v>
      </c>
      <c r="L163" s="1" t="s">
        <v>9902</v>
      </c>
      <c r="M163" s="1" t="s">
        <v>13151</v>
      </c>
      <c r="N163" s="1" t="s">
        <v>251</v>
      </c>
      <c r="O163" s="1" t="s">
        <v>9158</v>
      </c>
      <c r="P163" s="1" t="s">
        <v>9158</v>
      </c>
      <c r="Q163" s="1" t="s">
        <v>9158</v>
      </c>
      <c r="R163" s="14"/>
    </row>
    <row r="164" spans="1:18">
      <c r="A164" s="1">
        <v>69303</v>
      </c>
      <c r="B164" s="1" t="s">
        <v>334</v>
      </c>
      <c r="C164" s="1" t="s">
        <v>200</v>
      </c>
      <c r="D164" s="19" t="s">
        <v>1157</v>
      </c>
      <c r="E164" s="15" t="str">
        <f>HYPERLINK("https://stat100.ameba.jp/tnk47/ratio20/illustrations/card/ill_69303_torumushaito03.jpg?201907-2-RELEASE-unionbattle-418", "■")</f>
        <v>■</v>
      </c>
      <c r="F164" s="1" t="s">
        <v>1162</v>
      </c>
      <c r="G164" s="1">
        <v>118152</v>
      </c>
      <c r="H164" s="1">
        <v>109852</v>
      </c>
      <c r="I164" s="1">
        <v>24</v>
      </c>
      <c r="J164" s="1" t="s">
        <v>369</v>
      </c>
      <c r="K164" s="1" t="s">
        <v>1171</v>
      </c>
      <c r="L164" s="1" t="s">
        <v>9903</v>
      </c>
      <c r="M164" s="1" t="s">
        <v>13151</v>
      </c>
      <c r="N164" s="1" t="s">
        <v>251</v>
      </c>
      <c r="O164" s="1" t="s">
        <v>9158</v>
      </c>
      <c r="P164" s="1" t="s">
        <v>9158</v>
      </c>
      <c r="Q164" s="1" t="s">
        <v>9158</v>
      </c>
    </row>
    <row r="165" spans="1:18">
      <c r="A165" s="1">
        <v>69313</v>
      </c>
      <c r="B165" s="1" t="s">
        <v>334</v>
      </c>
      <c r="C165" s="1" t="s">
        <v>191</v>
      </c>
      <c r="D165" s="19" t="s">
        <v>1158</v>
      </c>
      <c r="E165" s="15" t="str">
        <f>HYPERLINK("https://stat100.ameba.jp/tnk47/ratio20/illustrations/card/ill_69313_teishutoriya03.jpg?201907-2-RELEASE-unionbattle-418", "■")</f>
        <v>■</v>
      </c>
      <c r="F165" s="1" t="s">
        <v>1163</v>
      </c>
      <c r="G165" s="1">
        <v>109852</v>
      </c>
      <c r="H165" s="1">
        <v>118152</v>
      </c>
      <c r="I165" s="1">
        <v>24</v>
      </c>
      <c r="J165" s="1" t="s">
        <v>401</v>
      </c>
      <c r="K165" s="1" t="s">
        <v>1172</v>
      </c>
      <c r="L165" s="1" t="s">
        <v>9904</v>
      </c>
      <c r="M165" s="1" t="s">
        <v>13151</v>
      </c>
      <c r="N165" s="1" t="s">
        <v>251</v>
      </c>
      <c r="O165" s="1" t="s">
        <v>9158</v>
      </c>
      <c r="P165" s="1" t="s">
        <v>9158</v>
      </c>
      <c r="Q165" s="1" t="s">
        <v>9158</v>
      </c>
    </row>
    <row r="166" spans="1:18">
      <c r="A166" s="1">
        <v>69323</v>
      </c>
      <c r="B166" s="1" t="s">
        <v>334</v>
      </c>
      <c r="C166" s="1" t="s">
        <v>165</v>
      </c>
      <c r="D166" s="19" t="s">
        <v>10257</v>
      </c>
      <c r="E166" s="15" t="str">
        <f>HYPERLINK("https://stat100.ameba.jp/tnk47/ratio20/illustrations/card/ill_69323_fujitsubonomiya03.jpg?201907-2-RELEASE-unionbattle-418", "■")</f>
        <v>■</v>
      </c>
      <c r="F166" s="1" t="s">
        <v>1164</v>
      </c>
      <c r="G166" s="1">
        <v>109852</v>
      </c>
      <c r="H166" s="1">
        <v>118152</v>
      </c>
      <c r="I166" s="1">
        <v>24</v>
      </c>
      <c r="J166" s="1" t="s">
        <v>1167</v>
      </c>
      <c r="K166" s="1" t="s">
        <v>1173</v>
      </c>
      <c r="L166" s="1" t="s">
        <v>9905</v>
      </c>
      <c r="M166" s="1" t="s">
        <v>13151</v>
      </c>
      <c r="N166" s="1" t="s">
        <v>251</v>
      </c>
      <c r="O166" s="1" t="s">
        <v>9158</v>
      </c>
      <c r="P166" s="1" t="s">
        <v>9158</v>
      </c>
      <c r="Q166" s="1" t="s">
        <v>9158</v>
      </c>
    </row>
    <row r="167" spans="1:18">
      <c r="A167" s="1">
        <v>69333</v>
      </c>
      <c r="B167" s="1" t="s">
        <v>334</v>
      </c>
      <c r="C167" s="1" t="s">
        <v>205</v>
      </c>
      <c r="D167" s="19" t="s">
        <v>1160</v>
      </c>
      <c r="E167" s="15" t="str">
        <f>HYPERLINK("https://stat100.ameba.jp/tnk47/ratio20/illustrations/card/ill_69333_mefuisutofueresu03.jpg?201907-2-RELEASE-unionbattle-418", "■")</f>
        <v>■</v>
      </c>
      <c r="F167" s="1" t="s">
        <v>1165</v>
      </c>
      <c r="G167" s="1">
        <v>118152</v>
      </c>
      <c r="H167" s="1">
        <v>109852</v>
      </c>
      <c r="I167" s="1">
        <v>24</v>
      </c>
      <c r="J167" s="1" t="s">
        <v>1168</v>
      </c>
      <c r="K167" s="1" t="s">
        <v>1174</v>
      </c>
      <c r="L167" s="1" t="s">
        <v>9906</v>
      </c>
      <c r="M167" s="1" t="s">
        <v>13151</v>
      </c>
      <c r="N167" s="1" t="s">
        <v>251</v>
      </c>
      <c r="O167" s="1" t="s">
        <v>9158</v>
      </c>
      <c r="P167" s="1" t="s">
        <v>9158</v>
      </c>
      <c r="Q167" s="1" t="s">
        <v>9158</v>
      </c>
    </row>
    <row r="168" spans="1:18">
      <c r="A168" s="1">
        <v>69343</v>
      </c>
      <c r="B168" s="1" t="s">
        <v>334</v>
      </c>
      <c r="C168" s="1" t="s">
        <v>206</v>
      </c>
      <c r="D168" s="19" t="s">
        <v>10258</v>
      </c>
      <c r="E168" s="15" t="str">
        <f>HYPERLINK("https://stat100.ameba.jp/tnk47/ratio20/illustrations/card/ill_69343_teikinnofuire03.jpg?201907-2-RELEASE-unionbattle-418", "■")</f>
        <v>■</v>
      </c>
      <c r="F168" s="1" t="s">
        <v>1166</v>
      </c>
      <c r="G168" s="1">
        <v>109852</v>
      </c>
      <c r="H168" s="1">
        <v>118152</v>
      </c>
      <c r="I168" s="1">
        <v>24</v>
      </c>
      <c r="J168" s="1" t="s">
        <v>1169</v>
      </c>
      <c r="K168" s="1" t="s">
        <v>1175</v>
      </c>
      <c r="L168" s="1" t="s">
        <v>9907</v>
      </c>
      <c r="M168" s="1" t="s">
        <v>13151</v>
      </c>
      <c r="N168" s="1" t="s">
        <v>251</v>
      </c>
      <c r="O168" s="1" t="s">
        <v>9158</v>
      </c>
      <c r="P168" s="1" t="s">
        <v>9158</v>
      </c>
      <c r="Q168" s="1" t="s">
        <v>9158</v>
      </c>
    </row>
    <row r="170" spans="1:18">
      <c r="A170" s="1" t="s">
        <v>5569</v>
      </c>
    </row>
    <row r="171" spans="1:18">
      <c r="A171" s="1" t="s">
        <v>5570</v>
      </c>
    </row>
    <row r="172" spans="1:18">
      <c r="A172" s="1" t="s">
        <v>5613</v>
      </c>
      <c r="B172" s="1" t="s">
        <v>52</v>
      </c>
      <c r="C172" s="1" t="s">
        <v>205</v>
      </c>
      <c r="D172" s="19" t="s">
        <v>313</v>
      </c>
      <c r="E172" s="15" t="str">
        <f>HYPERLINK("https://stat100.ameba.jp/tnk47/ratio20/illustrations/card/ill_56223_0_onsempanikkugohime03.jpg?201907-2-RELEASE-unionbattle-418", "■")</f>
        <v>■</v>
      </c>
      <c r="F172" s="1" t="s">
        <v>948</v>
      </c>
      <c r="G172" s="1">
        <v>122776</v>
      </c>
      <c r="H172" s="1">
        <v>138212</v>
      </c>
      <c r="I172" s="1">
        <v>22</v>
      </c>
      <c r="J172" s="1" t="s">
        <v>77</v>
      </c>
      <c r="K172" s="1" t="s">
        <v>949</v>
      </c>
      <c r="L172" s="1" t="s">
        <v>950</v>
      </c>
      <c r="M172" s="1" t="s">
        <v>9158</v>
      </c>
      <c r="N172" s="1" t="s">
        <v>9158</v>
      </c>
      <c r="O172" s="19" t="s">
        <v>3021</v>
      </c>
      <c r="P172" s="1" t="s">
        <v>2890</v>
      </c>
      <c r="Q172" s="1">
        <v>1</v>
      </c>
    </row>
    <row r="173" spans="1:18">
      <c r="A173" s="1" t="s">
        <v>5624</v>
      </c>
      <c r="B173" s="1" t="s">
        <v>52</v>
      </c>
      <c r="C173" s="1" t="s">
        <v>101</v>
      </c>
      <c r="D173" s="19" t="s">
        <v>1426</v>
      </c>
      <c r="E173" s="15" t="str">
        <f>HYPERLINK("https://stat100.ameba.jp/tnk47/ratio20/illustrations/card/ill_64953_0_yukatatokugawayoshinobu03.jpg?201907-2-RELEASE-unionbattle-418", "■")</f>
        <v>■</v>
      </c>
      <c r="F173" s="1" t="s">
        <v>2090</v>
      </c>
      <c r="G173" s="1">
        <v>137060</v>
      </c>
      <c r="H173" s="1">
        <v>147404</v>
      </c>
      <c r="I173" s="1">
        <v>22</v>
      </c>
      <c r="J173" s="1" t="s">
        <v>10</v>
      </c>
      <c r="K173" s="1" t="s">
        <v>2091</v>
      </c>
      <c r="L173" s="1" t="s">
        <v>2092</v>
      </c>
      <c r="M173" s="1" t="s">
        <v>9158</v>
      </c>
      <c r="N173" s="1" t="s">
        <v>9158</v>
      </c>
      <c r="O173" s="19" t="s">
        <v>2889</v>
      </c>
      <c r="P173" s="1" t="s">
        <v>2890</v>
      </c>
      <c r="Q173" s="1">
        <v>1</v>
      </c>
    </row>
    <row r="174" spans="1:18">
      <c r="A174" s="1" t="s">
        <v>5625</v>
      </c>
      <c r="B174" s="1" t="s">
        <v>330</v>
      </c>
      <c r="C174" s="1" t="s">
        <v>200</v>
      </c>
      <c r="D174" s="19" t="s">
        <v>630</v>
      </c>
      <c r="E174" s="15" t="str">
        <f>HYPERLINK("https://stat100.ameba.jp/tnk47/ratio20/illustrations/card/ill_48283_0_kyuubitamamonomae03.jpg?201907-2-RELEASE-unionbattle-418", "■")</f>
        <v>■</v>
      </c>
      <c r="F174" s="1" t="s">
        <v>631</v>
      </c>
      <c r="G174" s="1">
        <v>138212</v>
      </c>
      <c r="H174" s="1">
        <v>122776</v>
      </c>
      <c r="I174" s="1">
        <v>22</v>
      </c>
      <c r="J174" s="1" t="s">
        <v>320</v>
      </c>
      <c r="K174" s="1" t="s">
        <v>632</v>
      </c>
      <c r="L174" s="1" t="s">
        <v>633</v>
      </c>
      <c r="M174" s="1" t="s">
        <v>9158</v>
      </c>
      <c r="N174" s="1" t="s">
        <v>9158</v>
      </c>
      <c r="O174" s="1" t="s">
        <v>9158</v>
      </c>
      <c r="P174" s="1" t="s">
        <v>9158</v>
      </c>
      <c r="Q174" s="1" t="s">
        <v>9158</v>
      </c>
    </row>
    <row r="175" spans="1:18">
      <c r="A175" s="1">
        <v>82613</v>
      </c>
      <c r="B175" s="1" t="s">
        <v>0</v>
      </c>
      <c r="C175" s="1" t="s">
        <v>107</v>
      </c>
      <c r="D175" s="19" t="s">
        <v>10354</v>
      </c>
      <c r="E175" s="15" t="str">
        <f>HYPERLINK("https://stat100.ameba.jp/tnk47/ratio20/illustrations/card/ill_82613_hyokanokisetsumyorinni03.jpg?201907-2-RELEASE-unionbattle-418", "■")</f>
        <v>■</v>
      </c>
      <c r="F175" s="1" t="s">
        <v>5538</v>
      </c>
      <c r="G175" s="1">
        <v>132658</v>
      </c>
      <c r="H175" s="1">
        <v>142674</v>
      </c>
      <c r="I175" s="1">
        <v>24</v>
      </c>
      <c r="J175" s="1" t="s">
        <v>143</v>
      </c>
      <c r="K175" s="1" t="s">
        <v>5540</v>
      </c>
      <c r="L175" s="1" t="s">
        <v>5541</v>
      </c>
      <c r="M175" s="1" t="s">
        <v>9158</v>
      </c>
      <c r="N175" s="1" t="s">
        <v>9158</v>
      </c>
      <c r="O175" s="1" t="s">
        <v>9158</v>
      </c>
      <c r="P175" s="1" t="s">
        <v>9158</v>
      </c>
      <c r="Q175" s="1" t="s">
        <v>9158</v>
      </c>
    </row>
    <row r="176" spans="1:18">
      <c r="A176" s="1">
        <v>82623</v>
      </c>
      <c r="B176" s="1" t="s">
        <v>15</v>
      </c>
      <c r="C176" s="1" t="s">
        <v>23</v>
      </c>
      <c r="D176" s="19" t="s">
        <v>10355</v>
      </c>
      <c r="E176" s="15" t="str">
        <f>HYPERLINK("https://stat100.ameba.jp/tnk47/ratio20/illustrations/card/ill_82623_meidokikyohime03.jpg?201907-2-RELEASE-unionbattle-418", "■")</f>
        <v>■</v>
      </c>
      <c r="F176" s="1" t="s">
        <v>5543</v>
      </c>
      <c r="G176" s="1">
        <v>53352</v>
      </c>
      <c r="H176" s="1">
        <v>48390</v>
      </c>
      <c r="I176" s="1">
        <v>18</v>
      </c>
      <c r="J176" s="1" t="s">
        <v>77</v>
      </c>
      <c r="K176" s="1" t="s">
        <v>5544</v>
      </c>
      <c r="L176" s="1" t="s">
        <v>932</v>
      </c>
      <c r="M176" s="1" t="s">
        <v>9158</v>
      </c>
      <c r="N176" s="1" t="s">
        <v>9158</v>
      </c>
      <c r="O176" s="1" t="s">
        <v>9158</v>
      </c>
      <c r="P176" s="1" t="s">
        <v>9158</v>
      </c>
      <c r="Q176" s="1" t="s">
        <v>9158</v>
      </c>
    </row>
    <row r="177" spans="1:19">
      <c r="A177" s="1">
        <v>82633</v>
      </c>
      <c r="B177" s="1" t="s">
        <v>22</v>
      </c>
      <c r="C177" s="1" t="s">
        <v>1</v>
      </c>
      <c r="D177" s="19" t="s">
        <v>10356</v>
      </c>
      <c r="E177" s="15" t="str">
        <f>HYPERLINK("https://stat100.ameba.jp/tnk47/ratio20/illustrations/card/ill_82633_umimonogataritsuruhime03.jpg?201907-2-RELEASE-unionbattle-418", "■")</f>
        <v>■</v>
      </c>
      <c r="F177" s="1" t="s">
        <v>5547</v>
      </c>
      <c r="G177" s="1">
        <v>29388</v>
      </c>
      <c r="H177" s="1">
        <v>35346</v>
      </c>
      <c r="I177" s="1">
        <v>17</v>
      </c>
      <c r="J177" s="1" t="s">
        <v>38</v>
      </c>
      <c r="K177" s="1" t="s">
        <v>5549</v>
      </c>
      <c r="L177" s="1" t="s">
        <v>2015</v>
      </c>
      <c r="M177" s="1" t="s">
        <v>9158</v>
      </c>
      <c r="N177" s="1" t="s">
        <v>9158</v>
      </c>
      <c r="O177" s="1" t="s">
        <v>9158</v>
      </c>
      <c r="P177" s="1" t="s">
        <v>9158</v>
      </c>
      <c r="Q177" s="1" t="s">
        <v>9158</v>
      </c>
    </row>
    <row r="178" spans="1:19">
      <c r="A178" s="1">
        <v>82643</v>
      </c>
      <c r="B178" s="1" t="s">
        <v>30</v>
      </c>
      <c r="C178" s="1" t="s">
        <v>5551</v>
      </c>
      <c r="D178" s="19" t="s">
        <v>10357</v>
      </c>
      <c r="E178" s="15" t="str">
        <f>HYPERLINK("https://stat100.ameba.jp/tnk47/ratio20/illustrations/card/ill_82643_painkurepu03.jpg?201907-2-RELEASE-unionbattle-418", "■")</f>
        <v>■</v>
      </c>
      <c r="F178" s="1" t="s">
        <v>5552</v>
      </c>
      <c r="G178" s="1">
        <v>21398</v>
      </c>
      <c r="H178" s="1">
        <v>21398</v>
      </c>
      <c r="I178" s="1">
        <v>17</v>
      </c>
      <c r="J178" s="1" t="s">
        <v>104</v>
      </c>
      <c r="K178" s="1" t="s">
        <v>5554</v>
      </c>
      <c r="L178" s="1" t="s">
        <v>2019</v>
      </c>
      <c r="M178" s="1" t="s">
        <v>9158</v>
      </c>
      <c r="N178" s="1" t="s">
        <v>9158</v>
      </c>
      <c r="O178" s="1" t="s">
        <v>9158</v>
      </c>
      <c r="P178" s="1" t="s">
        <v>9158</v>
      </c>
      <c r="Q178" s="1" t="s">
        <v>9158</v>
      </c>
    </row>
    <row r="180" spans="1:19">
      <c r="A180" s="1" t="s">
        <v>5571</v>
      </c>
    </row>
    <row r="181" spans="1:19">
      <c r="A181" s="1" t="s">
        <v>5572</v>
      </c>
    </row>
    <row r="182" spans="1:19">
      <c r="A182" s="1" t="s">
        <v>5626</v>
      </c>
      <c r="B182" s="1" t="s">
        <v>330</v>
      </c>
      <c r="C182" s="1" t="s">
        <v>200</v>
      </c>
      <c r="D182" s="19" t="s">
        <v>3160</v>
      </c>
      <c r="E182" s="15" t="str">
        <f>HYPERLINK("https://stat100.ameba.jp/tnk47/ratio20/illustrations/card/ill_72963_0_amenohanayomehiguchiichiyo03.jpg?201907-2-RELEASE-unionbattle-418", "■")</f>
        <v>■</v>
      </c>
      <c r="F182" s="1" t="s">
        <v>1139</v>
      </c>
      <c r="G182" s="1">
        <v>100502</v>
      </c>
      <c r="H182" s="1">
        <v>93450</v>
      </c>
      <c r="I182" s="1">
        <v>15</v>
      </c>
      <c r="J182" s="1" t="s">
        <v>173</v>
      </c>
      <c r="K182" s="1" t="s">
        <v>1140</v>
      </c>
      <c r="L182" s="1" t="s">
        <v>1141</v>
      </c>
      <c r="M182" s="1" t="s">
        <v>9158</v>
      </c>
      <c r="N182" s="1" t="s">
        <v>9158</v>
      </c>
      <c r="O182" s="19" t="s">
        <v>3162</v>
      </c>
      <c r="P182" s="1" t="s">
        <v>3410</v>
      </c>
      <c r="Q182" s="1">
        <v>1</v>
      </c>
    </row>
    <row r="183" spans="1:19">
      <c r="A183" s="1" t="s">
        <v>5610</v>
      </c>
      <c r="B183" s="1" t="s">
        <v>330</v>
      </c>
      <c r="C183" s="1" t="s">
        <v>185</v>
      </c>
      <c r="D183" s="19" t="s">
        <v>539</v>
      </c>
      <c r="E183" s="15" t="str">
        <f>HYPERLINK("https://stat100.ameba.jp/tnk47/ratio20/illustrations/card/ill_60633_0_harumaisentoin03.jpg?201907-2-RELEASE-unionbattle-418", "■")</f>
        <v>■</v>
      </c>
      <c r="F183" s="1" t="s">
        <v>540</v>
      </c>
      <c r="G183" s="1">
        <v>95371</v>
      </c>
      <c r="H183" s="1">
        <v>102590</v>
      </c>
      <c r="I183" s="1">
        <v>15</v>
      </c>
      <c r="J183" s="1" t="s">
        <v>274</v>
      </c>
      <c r="K183" s="1" t="s">
        <v>541</v>
      </c>
      <c r="L183" s="1" t="s">
        <v>542</v>
      </c>
      <c r="M183" s="1" t="s">
        <v>9158</v>
      </c>
      <c r="N183" s="1" t="s">
        <v>9158</v>
      </c>
      <c r="O183" s="19" t="s">
        <v>2888</v>
      </c>
      <c r="P183" s="1" t="s">
        <v>3144</v>
      </c>
      <c r="Q183" s="1">
        <v>1</v>
      </c>
    </row>
    <row r="184" spans="1:19">
      <c r="A184" s="1" t="s">
        <v>5627</v>
      </c>
      <c r="B184" s="1" t="s">
        <v>330</v>
      </c>
      <c r="C184" s="1" t="s">
        <v>191</v>
      </c>
      <c r="D184" s="19" t="s">
        <v>393</v>
      </c>
      <c r="E184" s="15" t="str">
        <f>HYPERLINK("https://stat100.ameba.jp/tnk47/ratio20/illustrations/card/ill_46283_0_odanobunaga03.jpg?201907-2-RELEASE-unionbattle-418", "■")</f>
        <v>■</v>
      </c>
      <c r="F184" s="1" t="s">
        <v>1073</v>
      </c>
      <c r="G184" s="1">
        <v>82212</v>
      </c>
      <c r="H184" s="1">
        <v>87780</v>
      </c>
      <c r="I184" s="1">
        <v>15</v>
      </c>
      <c r="J184" s="1" t="s">
        <v>143</v>
      </c>
      <c r="K184" s="1" t="s">
        <v>1074</v>
      </c>
      <c r="L184" s="1" t="s">
        <v>1075</v>
      </c>
      <c r="M184" s="1" t="s">
        <v>9158</v>
      </c>
      <c r="N184" s="1" t="s">
        <v>9158</v>
      </c>
      <c r="O184" s="1" t="s">
        <v>9158</v>
      </c>
      <c r="P184" s="1" t="s">
        <v>9158</v>
      </c>
      <c r="Q184" s="1" t="s">
        <v>9158</v>
      </c>
    </row>
    <row r="185" spans="1:19">
      <c r="A185" s="1">
        <v>76413</v>
      </c>
      <c r="B185" s="1" t="s">
        <v>0</v>
      </c>
      <c r="C185" s="1" t="s">
        <v>5573</v>
      </c>
      <c r="D185" s="19" t="s">
        <v>11812</v>
      </c>
      <c r="E185" s="15" t="str">
        <f>HYPERLINK("https://stat100.ameba.jp/tnk47/ratio20/illustrations/card/ill_76413_yukemurioainokata03.jpg?201907-2-RELEASE-unionbattle-418", "■")</f>
        <v>■</v>
      </c>
      <c r="F185" s="1" t="s">
        <v>5574</v>
      </c>
      <c r="G185" s="1">
        <v>87128</v>
      </c>
      <c r="H185" s="1">
        <v>93746</v>
      </c>
      <c r="I185" s="1">
        <v>24</v>
      </c>
      <c r="J185" s="1" t="s">
        <v>5575</v>
      </c>
      <c r="K185" s="1" t="s">
        <v>5576</v>
      </c>
      <c r="L185" s="1" t="s">
        <v>5577</v>
      </c>
      <c r="M185" s="1" t="s">
        <v>9158</v>
      </c>
      <c r="N185" s="1" t="s">
        <v>9158</v>
      </c>
      <c r="O185" s="1" t="s">
        <v>9158</v>
      </c>
      <c r="P185" s="1" t="s">
        <v>9158</v>
      </c>
      <c r="Q185" s="1" t="s">
        <v>9158</v>
      </c>
      <c r="S185" s="14" t="s">
        <v>11813</v>
      </c>
    </row>
    <row r="186" spans="1:19">
      <c r="A186" s="1">
        <v>74703</v>
      </c>
      <c r="B186" s="1" t="s">
        <v>0</v>
      </c>
      <c r="C186" s="1" t="s">
        <v>5578</v>
      </c>
      <c r="D186" s="19" t="s">
        <v>11814</v>
      </c>
      <c r="E186" s="15" t="str">
        <f>HYPERLINK("https://stat100.ameba.jp/tnk47/ratio20/illustrations/card/ill_74703_hyodotadashi03.jpg?201907-2-RELEASE-unionbattle-418", "■")</f>
        <v>■</v>
      </c>
      <c r="F186" s="1" t="s">
        <v>5579</v>
      </c>
      <c r="G186" s="1">
        <v>97318</v>
      </c>
      <c r="H186" s="1">
        <v>90522</v>
      </c>
      <c r="I186" s="1">
        <v>24</v>
      </c>
      <c r="J186" s="1" t="s">
        <v>5580</v>
      </c>
      <c r="K186" s="1" t="s">
        <v>5582</v>
      </c>
      <c r="L186" s="1" t="s">
        <v>5581</v>
      </c>
      <c r="M186" s="1" t="s">
        <v>9158</v>
      </c>
      <c r="N186" s="1" t="s">
        <v>9158</v>
      </c>
      <c r="O186" s="1" t="s">
        <v>9158</v>
      </c>
      <c r="P186" s="1" t="s">
        <v>9158</v>
      </c>
      <c r="Q186" s="1" t="s">
        <v>9158</v>
      </c>
      <c r="S186" s="14" t="s">
        <v>11815</v>
      </c>
    </row>
    <row r="187" spans="1:19">
      <c r="A187" s="1">
        <v>68533</v>
      </c>
      <c r="B187" s="1" t="s">
        <v>0</v>
      </c>
      <c r="C187" s="1" t="s">
        <v>5573</v>
      </c>
      <c r="D187" s="19" t="s">
        <v>11816</v>
      </c>
      <c r="E187" s="15" t="str">
        <f>HYPERLINK("https://stat100.ameba.jp/tnk47/ratio20/illustrations/card/ill_68533_toroiseki03.jpg?201907-2-RELEASE-unionbattle-418", "■")</f>
        <v>■</v>
      </c>
      <c r="F187" s="1" t="s">
        <v>5583</v>
      </c>
      <c r="G187" s="1">
        <v>102016</v>
      </c>
      <c r="H187" s="1">
        <v>94838</v>
      </c>
      <c r="I187" s="1">
        <v>24</v>
      </c>
      <c r="J187" s="1" t="s">
        <v>5584</v>
      </c>
      <c r="K187" s="1" t="s">
        <v>5585</v>
      </c>
      <c r="L187" s="1" t="s">
        <v>5586</v>
      </c>
      <c r="M187" s="1" t="s">
        <v>9158</v>
      </c>
      <c r="N187" s="1" t="s">
        <v>9158</v>
      </c>
      <c r="O187" s="1" t="s">
        <v>9158</v>
      </c>
      <c r="P187" s="1" t="s">
        <v>9158</v>
      </c>
      <c r="Q187" s="1" t="s">
        <v>9158</v>
      </c>
      <c r="S187" s="14" t="s">
        <v>11784</v>
      </c>
    </row>
    <row r="188" spans="1:19">
      <c r="A188" s="1">
        <v>71173</v>
      </c>
      <c r="B188" s="1" t="s">
        <v>15</v>
      </c>
      <c r="C188" s="1" t="s">
        <v>5587</v>
      </c>
      <c r="D188" s="19" t="s">
        <v>10360</v>
      </c>
      <c r="E188" s="15" t="str">
        <f>HYPERLINK("https://stat100.ameba.jp/tnk47/ratio20/illustrations/card/ill_71173_dekamoritakoraisu03.jpg?201907-2-RELEASE-unionbattle-418", "■")</f>
        <v>■</v>
      </c>
      <c r="F188" s="1" t="s">
        <v>5588</v>
      </c>
      <c r="G188" s="1">
        <v>59280</v>
      </c>
      <c r="H188" s="1">
        <v>53768</v>
      </c>
      <c r="I188" s="1">
        <v>20</v>
      </c>
      <c r="J188" s="1" t="s">
        <v>5589</v>
      </c>
      <c r="K188" s="1" t="s">
        <v>5591</v>
      </c>
      <c r="L188" s="1" t="s">
        <v>5590</v>
      </c>
      <c r="M188" s="1" t="s">
        <v>9158</v>
      </c>
      <c r="N188" s="1" t="s">
        <v>9158</v>
      </c>
      <c r="O188" s="1" t="s">
        <v>9158</v>
      </c>
      <c r="P188" s="1" t="s">
        <v>9158</v>
      </c>
      <c r="Q188" s="1" t="s">
        <v>9158</v>
      </c>
      <c r="S188" s="14" t="s">
        <v>11777</v>
      </c>
    </row>
    <row r="189" spans="1:19">
      <c r="A189" s="1">
        <v>75243</v>
      </c>
      <c r="B189" s="1" t="s">
        <v>15</v>
      </c>
      <c r="C189" s="1" t="s">
        <v>5587</v>
      </c>
      <c r="D189" s="19" t="s">
        <v>10361</v>
      </c>
      <c r="E189" s="15" t="str">
        <f>HYPERLINK("https://stat100.ameba.jp/tnk47/ratio20/illustrations/card/ill_75243_funehikikagura03.jpg?201907-2-RELEASE-unionbattle-418", "■")</f>
        <v>■</v>
      </c>
      <c r="F189" s="1" t="s">
        <v>5592</v>
      </c>
      <c r="G189" s="1">
        <v>53768</v>
      </c>
      <c r="H189" s="1">
        <v>59280</v>
      </c>
      <c r="I189" s="1">
        <v>20</v>
      </c>
      <c r="J189" s="1" t="s">
        <v>5593</v>
      </c>
      <c r="K189" s="1" t="s">
        <v>5595</v>
      </c>
      <c r="L189" s="1" t="s">
        <v>5594</v>
      </c>
      <c r="M189" s="1" t="s">
        <v>9158</v>
      </c>
      <c r="N189" s="1" t="s">
        <v>9158</v>
      </c>
      <c r="O189" s="1" t="s">
        <v>9158</v>
      </c>
      <c r="P189" s="1" t="s">
        <v>9158</v>
      </c>
      <c r="Q189" s="1" t="s">
        <v>9158</v>
      </c>
      <c r="S189" s="14" t="s">
        <v>11795</v>
      </c>
    </row>
    <row r="190" spans="1:19">
      <c r="A190" s="1">
        <v>77023</v>
      </c>
      <c r="B190" s="1" t="s">
        <v>15</v>
      </c>
      <c r="C190" s="1" t="s">
        <v>5587</v>
      </c>
      <c r="D190" s="19" t="s">
        <v>10362</v>
      </c>
      <c r="E190" s="15" t="str">
        <f>HYPERLINK("https://stat100.ameba.jp/tnk47/ratio20/illustrations/card/ill_77023_meianshiranui03.jpg?201907-2-RELEASE-unionbattle-418", "■")</f>
        <v>■</v>
      </c>
      <c r="F190" s="1" t="s">
        <v>5596</v>
      </c>
      <c r="G190" s="1">
        <v>59280</v>
      </c>
      <c r="H190" s="1">
        <v>53768</v>
      </c>
      <c r="I190" s="1">
        <v>20</v>
      </c>
      <c r="J190" s="1" t="s">
        <v>5597</v>
      </c>
      <c r="K190" s="1" t="s">
        <v>5598</v>
      </c>
      <c r="L190" s="1" t="s">
        <v>5599</v>
      </c>
      <c r="M190" s="1" t="s">
        <v>9158</v>
      </c>
      <c r="N190" s="1" t="s">
        <v>9158</v>
      </c>
      <c r="O190" s="1" t="s">
        <v>9158</v>
      </c>
      <c r="P190" s="1" t="s">
        <v>9158</v>
      </c>
      <c r="Q190" s="1" t="s">
        <v>9158</v>
      </c>
      <c r="S190" s="14" t="s">
        <v>11811</v>
      </c>
    </row>
    <row r="192" spans="1:19">
      <c r="A192" s="1" t="s">
        <v>5628</v>
      </c>
    </row>
    <row r="193" spans="1:17">
      <c r="A193" s="1" t="s">
        <v>5629</v>
      </c>
    </row>
    <row r="194" spans="1:17">
      <c r="A194" s="1" t="s">
        <v>5630</v>
      </c>
      <c r="B194" s="1" t="s">
        <v>52</v>
      </c>
      <c r="C194" s="1" t="s">
        <v>344</v>
      </c>
      <c r="D194" s="19" t="s">
        <v>669</v>
      </c>
      <c r="E194" s="15" t="str">
        <f>HYPERLINK("https://stat100.ameba.jp/tnk47/ratio20/illustrations/card/ill_67173_0_yukemuriawamorichan03.jpg?201907-2-RELEASE-unionbattle-418", "■")</f>
        <v>■</v>
      </c>
      <c r="F194" s="1" t="s">
        <v>2043</v>
      </c>
      <c r="G194" s="1">
        <v>184400</v>
      </c>
      <c r="H194" s="1">
        <v>171436</v>
      </c>
      <c r="I194" s="1">
        <v>24</v>
      </c>
      <c r="J194" s="1" t="s">
        <v>104</v>
      </c>
      <c r="K194" s="1" t="s">
        <v>2044</v>
      </c>
      <c r="L194" s="1" t="s">
        <v>2045</v>
      </c>
      <c r="M194" s="1" t="s">
        <v>9158</v>
      </c>
      <c r="N194" s="1" t="s">
        <v>9158</v>
      </c>
      <c r="O194" s="19" t="s">
        <v>10087</v>
      </c>
      <c r="P194" s="1" t="s">
        <v>3455</v>
      </c>
      <c r="Q194" s="1">
        <v>1</v>
      </c>
    </row>
    <row r="195" spans="1:17">
      <c r="A195" s="1">
        <v>72193</v>
      </c>
      <c r="B195" s="1" t="s">
        <v>334</v>
      </c>
      <c r="C195" s="1" t="s">
        <v>165</v>
      </c>
      <c r="D195" s="19" t="s">
        <v>3112</v>
      </c>
      <c r="E195" s="15" t="str">
        <f>HYPERLINK("https://stat100.ameba.jp/tnk47/ratio20/illustrations/card/ill_72193_koinoborikomyokogo03.jpg?201907-2-RELEASE-unionbattle-418", "■")</f>
        <v>■</v>
      </c>
      <c r="F195" s="1" t="s">
        <v>2539</v>
      </c>
      <c r="G195" s="1">
        <v>93746</v>
      </c>
      <c r="H195" s="1">
        <v>87128</v>
      </c>
      <c r="I195" s="1">
        <v>24</v>
      </c>
      <c r="J195" s="1" t="s">
        <v>10</v>
      </c>
      <c r="K195" s="1" t="s">
        <v>2540</v>
      </c>
      <c r="L195" s="1" t="s">
        <v>60</v>
      </c>
      <c r="M195" s="1" t="s">
        <v>9158</v>
      </c>
      <c r="N195" s="1" t="s">
        <v>9158</v>
      </c>
      <c r="O195" s="19" t="s">
        <v>10090</v>
      </c>
      <c r="P195" s="1" t="s">
        <v>3460</v>
      </c>
      <c r="Q195" s="1">
        <v>1</v>
      </c>
    </row>
    <row r="196" spans="1:17">
      <c r="A196" s="1">
        <v>58743</v>
      </c>
      <c r="B196" s="1" t="s">
        <v>334</v>
      </c>
      <c r="C196" s="1" t="s">
        <v>209</v>
      </c>
      <c r="D196" s="19" t="s">
        <v>10273</v>
      </c>
      <c r="E196" s="15" t="str">
        <f>HYPERLINK("https://stat100.ameba.jp/tnk47/ratio20/illustrations/card/ill_58743_enkirienoki03.jpg?201907-2-RELEASE-unionbattle-418", "■")</f>
        <v>■</v>
      </c>
      <c r="F196" s="1" t="s">
        <v>2550</v>
      </c>
      <c r="G196" s="1">
        <v>72626</v>
      </c>
      <c r="H196" s="1">
        <v>99050</v>
      </c>
      <c r="I196" s="1">
        <v>24</v>
      </c>
      <c r="J196" s="1" t="s">
        <v>44</v>
      </c>
      <c r="K196" s="1" t="s">
        <v>2551</v>
      </c>
      <c r="L196" s="1" t="s">
        <v>95</v>
      </c>
      <c r="M196" s="1" t="s">
        <v>9158</v>
      </c>
      <c r="N196" s="1" t="s">
        <v>9158</v>
      </c>
      <c r="O196" s="19" t="s">
        <v>10091</v>
      </c>
      <c r="P196" s="1" t="s">
        <v>3670</v>
      </c>
      <c r="Q196" s="1">
        <v>1</v>
      </c>
    </row>
    <row r="197" spans="1:17">
      <c r="A197" s="1">
        <v>58803</v>
      </c>
      <c r="B197" s="1" t="s">
        <v>0</v>
      </c>
      <c r="C197" s="1" t="s">
        <v>205</v>
      </c>
      <c r="D197" s="19" t="s">
        <v>10210</v>
      </c>
      <c r="E197" s="15" t="str">
        <f>HYPERLINK("https://stat100.ameba.jp/tnk47/ratio20/illustrations/card/ill_58803_setsubumpanikkumimuratsuru03.jpg?201907-2-RELEASE-unionbattle-418", "■")</f>
        <v>■</v>
      </c>
      <c r="F197" s="1" t="s">
        <v>2028</v>
      </c>
      <c r="G197" s="1">
        <v>142272</v>
      </c>
      <c r="H197" s="1">
        <v>86006</v>
      </c>
      <c r="I197" s="1">
        <v>24</v>
      </c>
      <c r="J197" s="1" t="s">
        <v>194</v>
      </c>
      <c r="K197" s="1" t="s">
        <v>2029</v>
      </c>
      <c r="L197" s="1" t="s">
        <v>13171</v>
      </c>
      <c r="M197" s="1" t="s">
        <v>9158</v>
      </c>
      <c r="N197" s="1" t="s">
        <v>9158</v>
      </c>
      <c r="O197" s="19" t="s">
        <v>10092</v>
      </c>
      <c r="P197" s="1" t="s">
        <v>3704</v>
      </c>
      <c r="Q197" s="1">
        <v>1</v>
      </c>
    </row>
    <row r="199" spans="1:17">
      <c r="A199" s="1" t="s">
        <v>5631</v>
      </c>
    </row>
    <row r="200" spans="1:17">
      <c r="A200" s="1" t="s">
        <v>5632</v>
      </c>
    </row>
    <row r="201" spans="1:17">
      <c r="A201" s="1" t="s">
        <v>5633</v>
      </c>
      <c r="B201" s="1" t="s">
        <v>330</v>
      </c>
      <c r="C201" s="1" t="s">
        <v>185</v>
      </c>
      <c r="D201" s="19" t="s">
        <v>813</v>
      </c>
      <c r="E201" s="15" t="str">
        <f>HYPERLINK("https://stat100.ameba.jp/tnk47/ratio20/illustrations/card/ill_55313_0_haroinononokomachi03.jpg?201907-2-RELEASE-unionbattle-418", "■")</f>
        <v>■</v>
      </c>
      <c r="F201" s="1" t="s">
        <v>2094</v>
      </c>
      <c r="G201" s="1">
        <v>94236</v>
      </c>
      <c r="H201" s="1">
        <v>83712</v>
      </c>
      <c r="I201" s="1">
        <v>15</v>
      </c>
      <c r="J201" s="1" t="s">
        <v>10</v>
      </c>
      <c r="K201" s="1" t="s">
        <v>2095</v>
      </c>
      <c r="L201" s="1" t="s">
        <v>2096</v>
      </c>
      <c r="M201" s="1" t="s">
        <v>9158</v>
      </c>
      <c r="N201" s="1" t="s">
        <v>9158</v>
      </c>
      <c r="O201" s="19" t="s">
        <v>2733</v>
      </c>
      <c r="P201" s="1" t="s">
        <v>2734</v>
      </c>
      <c r="Q201" s="1">
        <v>1</v>
      </c>
    </row>
    <row r="202" spans="1:17">
      <c r="A202" s="1" t="s">
        <v>5634</v>
      </c>
      <c r="B202" s="1" t="s">
        <v>330</v>
      </c>
      <c r="C202" s="1" t="s">
        <v>205</v>
      </c>
      <c r="D202" s="19" t="s">
        <v>611</v>
      </c>
      <c r="E202" s="15" t="str">
        <f>HYPERLINK("https://stat100.ameba.jp/tnk47/ratio20/illustrations/card/ill_61893_0_onikirishumiyamotomusashi03.jpg?201907-2-RELEASE-unionbattle-418", "■")</f>
        <v>■</v>
      </c>
      <c r="F202" s="1" t="s">
        <v>612</v>
      </c>
      <c r="G202" s="1">
        <v>140016</v>
      </c>
      <c r="H202" s="1">
        <v>130194</v>
      </c>
      <c r="I202" s="1">
        <v>15</v>
      </c>
      <c r="J202" s="1" t="s">
        <v>310</v>
      </c>
      <c r="K202" s="1" t="s">
        <v>613</v>
      </c>
      <c r="L202" s="1" t="s">
        <v>312</v>
      </c>
      <c r="M202" s="1" t="s">
        <v>9158</v>
      </c>
      <c r="N202" s="1" t="s">
        <v>9158</v>
      </c>
      <c r="O202" s="19" t="s">
        <v>10071</v>
      </c>
      <c r="P202" s="1" t="s">
        <v>3253</v>
      </c>
      <c r="Q202" s="1">
        <v>1</v>
      </c>
    </row>
    <row r="203" spans="1:17">
      <c r="A203" s="1" t="s">
        <v>5635</v>
      </c>
      <c r="B203" s="1" t="s">
        <v>330</v>
      </c>
      <c r="C203" s="1" t="s">
        <v>206</v>
      </c>
      <c r="D203" s="19" t="s">
        <v>614</v>
      </c>
      <c r="E203" s="15" t="str">
        <f>HYPERLINK("https://stat100.ameba.jp/tnk47/ratio20/illustrations/card/ill_47263_0_oukyuuatsuhime03.jpg?201907-2-RELEASE-unionbattle-418", "■")</f>
        <v>■</v>
      </c>
      <c r="F203" s="1" t="s">
        <v>615</v>
      </c>
      <c r="G203" s="1">
        <v>94236</v>
      </c>
      <c r="H203" s="1">
        <v>83712</v>
      </c>
      <c r="I203" s="1">
        <v>15</v>
      </c>
      <c r="J203" s="1" t="s">
        <v>315</v>
      </c>
      <c r="K203" s="1" t="s">
        <v>616</v>
      </c>
      <c r="L203" s="1" t="s">
        <v>617</v>
      </c>
      <c r="M203" s="1" t="s">
        <v>9158</v>
      </c>
      <c r="N203" s="1" t="s">
        <v>9158</v>
      </c>
      <c r="O203" s="1" t="s">
        <v>9158</v>
      </c>
      <c r="P203" s="1" t="s">
        <v>9158</v>
      </c>
      <c r="Q203" s="1" t="s">
        <v>9158</v>
      </c>
    </row>
    <row r="204" spans="1:17">
      <c r="A204" s="1">
        <v>75723</v>
      </c>
      <c r="B204" s="1" t="s">
        <v>334</v>
      </c>
      <c r="C204" s="1" t="s">
        <v>206</v>
      </c>
      <c r="D204" s="19" t="s">
        <v>10363</v>
      </c>
      <c r="E204" s="15" t="str">
        <f>HYPERLINK("https://stat100.ameba.jp/tnk47/ratio20/illustrations/card/ill_75723_shirokitsunenooshibai03.jpg?201907-2-RELEASE-unionbattle-418", "■")</f>
        <v>■</v>
      </c>
      <c r="F204" s="1" t="s">
        <v>3149</v>
      </c>
      <c r="G204" s="1">
        <v>129501</v>
      </c>
      <c r="H204" s="1">
        <v>72883</v>
      </c>
      <c r="I204" s="1">
        <v>23</v>
      </c>
      <c r="J204" s="1" t="s">
        <v>274</v>
      </c>
      <c r="K204" s="1" t="s">
        <v>3150</v>
      </c>
      <c r="L204" s="1" t="s">
        <v>3151</v>
      </c>
      <c r="M204" s="1" t="s">
        <v>9158</v>
      </c>
      <c r="N204" s="1" t="s">
        <v>9158</v>
      </c>
      <c r="O204" s="1" t="s">
        <v>9158</v>
      </c>
      <c r="P204" s="1" t="s">
        <v>9158</v>
      </c>
      <c r="Q204" s="1" t="s">
        <v>9158</v>
      </c>
    </row>
    <row r="205" spans="1:17">
      <c r="A205" s="1">
        <v>69943</v>
      </c>
      <c r="B205" s="1" t="s">
        <v>334</v>
      </c>
      <c r="C205" s="1" t="s">
        <v>165</v>
      </c>
      <c r="D205" s="19" t="s">
        <v>10364</v>
      </c>
      <c r="E205" s="15" t="str">
        <f>HYPERLINK("https://stat100.ameba.jp/tnk47/ratio20/illustrations/card/ill_69943_hanzaiopakabaro03.jpg?201907-2-RELEASE-unionbattle-418", "■")</f>
        <v>■</v>
      </c>
      <c r="F205" s="1" t="s">
        <v>1887</v>
      </c>
      <c r="G205" s="1">
        <v>110924</v>
      </c>
      <c r="H205" s="1">
        <v>62414</v>
      </c>
      <c r="I205" s="1">
        <v>23</v>
      </c>
      <c r="J205" s="1" t="s">
        <v>16</v>
      </c>
      <c r="K205" s="1" t="s">
        <v>1888</v>
      </c>
      <c r="L205" s="1" t="s">
        <v>1889</v>
      </c>
      <c r="M205" s="1" t="s">
        <v>9158</v>
      </c>
      <c r="N205" s="1" t="s">
        <v>9158</v>
      </c>
      <c r="O205" s="1" t="s">
        <v>9158</v>
      </c>
      <c r="P205" s="1" t="s">
        <v>9158</v>
      </c>
      <c r="Q205" s="1" t="s">
        <v>9158</v>
      </c>
    </row>
    <row r="206" spans="1:17">
      <c r="A206" s="1">
        <v>72653</v>
      </c>
      <c r="B206" s="1" t="s">
        <v>334</v>
      </c>
      <c r="C206" s="1" t="s">
        <v>23</v>
      </c>
      <c r="D206" s="19" t="s">
        <v>10365</v>
      </c>
      <c r="E206" s="15" t="str">
        <f>HYPERLINK("https://stat100.ameba.jp/tnk47/ratio20/illustrations/card/ill_72653_shokanoseisochin03.jpg?201907-2-RELEASE-unionbattle-418", "■")</f>
        <v>■</v>
      </c>
      <c r="F206" s="1" t="s">
        <v>4017</v>
      </c>
      <c r="G206" s="1">
        <v>104778</v>
      </c>
      <c r="H206" s="1">
        <v>97420</v>
      </c>
      <c r="I206" s="1">
        <v>23</v>
      </c>
      <c r="J206" s="1" t="s">
        <v>26</v>
      </c>
      <c r="K206" s="1" t="s">
        <v>4018</v>
      </c>
      <c r="L206" s="1" t="s">
        <v>4019</v>
      </c>
      <c r="M206" s="1" t="s">
        <v>9158</v>
      </c>
      <c r="N206" s="1" t="s">
        <v>9158</v>
      </c>
      <c r="O206" s="1" t="s">
        <v>9158</v>
      </c>
      <c r="P206" s="1" t="s">
        <v>9158</v>
      </c>
      <c r="Q206" s="1" t="s">
        <v>9158</v>
      </c>
    </row>
    <row r="208" spans="1:17">
      <c r="A208" s="1" t="s">
        <v>5639</v>
      </c>
    </row>
    <row r="209" spans="1:17">
      <c r="A209" s="1" t="s">
        <v>5640</v>
      </c>
    </row>
    <row r="210" spans="1:17">
      <c r="A210" s="1" t="s">
        <v>5641</v>
      </c>
      <c r="B210" s="1" t="s">
        <v>330</v>
      </c>
      <c r="C210" s="1" t="s">
        <v>165</v>
      </c>
      <c r="D210" s="19" t="s">
        <v>3146</v>
      </c>
      <c r="E210" s="15" t="str">
        <f>HYPERLINK("https://stat100.ameba.jp/tnk47/ratio20/illustrations/card/ill_65713_0_undokaionikirimaru03.jpg?201907-3-RELEASE-dice-e-419", "■")</f>
        <v>■</v>
      </c>
      <c r="F210" s="1" t="s">
        <v>535</v>
      </c>
      <c r="G210" s="1">
        <v>166504</v>
      </c>
      <c r="H210" s="1">
        <v>154800</v>
      </c>
      <c r="I210" s="1">
        <v>22</v>
      </c>
      <c r="J210" s="1" t="s">
        <v>182</v>
      </c>
      <c r="K210" s="1" t="s">
        <v>183</v>
      </c>
      <c r="L210" s="1" t="s">
        <v>184</v>
      </c>
      <c r="M210" s="1" t="s">
        <v>9158</v>
      </c>
      <c r="N210" s="1" t="s">
        <v>9158</v>
      </c>
      <c r="O210" s="19" t="s">
        <v>2869</v>
      </c>
      <c r="P210" s="1" t="s">
        <v>2870</v>
      </c>
      <c r="Q210" s="1">
        <v>1</v>
      </c>
    </row>
    <row r="211" spans="1:17">
      <c r="A211" s="1" t="s">
        <v>5642</v>
      </c>
      <c r="B211" s="1" t="s">
        <v>52</v>
      </c>
      <c r="C211" s="1" t="s">
        <v>185</v>
      </c>
      <c r="D211" s="19" t="s">
        <v>3086</v>
      </c>
      <c r="E211" s="15" t="str">
        <f>HYPERLINK("https://stat100.ameba.jp/tnk47/ratio20/illustrations/card/ill_69593_0_setsubunyukionna03.jpg?201907-3-RELEASE-dice-e-419", "■")</f>
        <v>■</v>
      </c>
      <c r="F211" s="1" t="s">
        <v>2431</v>
      </c>
      <c r="G211" s="1">
        <v>157150</v>
      </c>
      <c r="H211" s="1">
        <v>169032</v>
      </c>
      <c r="I211" s="1">
        <v>22</v>
      </c>
      <c r="J211" s="1" t="s">
        <v>73</v>
      </c>
      <c r="K211" s="1" t="s">
        <v>2432</v>
      </c>
      <c r="L211" s="1" t="s">
        <v>2433</v>
      </c>
      <c r="M211" s="1" t="s">
        <v>9158</v>
      </c>
      <c r="N211" s="1" t="s">
        <v>9158</v>
      </c>
      <c r="O211" s="19" t="s">
        <v>3090</v>
      </c>
      <c r="P211" s="1" t="s">
        <v>3600</v>
      </c>
      <c r="Q211" s="1">
        <v>2</v>
      </c>
    </row>
    <row r="212" spans="1:17">
      <c r="A212" s="1">
        <v>75053</v>
      </c>
      <c r="B212" s="1" t="s">
        <v>334</v>
      </c>
      <c r="C212" s="1" t="s">
        <v>5643</v>
      </c>
      <c r="D212" s="19" t="s">
        <v>10366</v>
      </c>
      <c r="E212" s="15" t="str">
        <f>HYPERLINK("https://stat100.ameba.jp/tnk47/ratio20/illustrations/card/ill_75053_goshikinuma03.jpg?201907-3-RELEASE-dice-e-419", "■")</f>
        <v>■</v>
      </c>
      <c r="F212" s="1" t="s">
        <v>5644</v>
      </c>
      <c r="G212" s="1">
        <v>88624</v>
      </c>
      <c r="H212" s="1">
        <v>122366</v>
      </c>
      <c r="I212" s="1">
        <v>24</v>
      </c>
      <c r="J212" s="1" t="s">
        <v>5645</v>
      </c>
      <c r="K212" s="1" t="s">
        <v>5646</v>
      </c>
      <c r="L212" s="1" t="s">
        <v>5647</v>
      </c>
      <c r="M212" s="1" t="s">
        <v>9158</v>
      </c>
      <c r="N212" s="1" t="s">
        <v>9158</v>
      </c>
      <c r="O212" s="19" t="s">
        <v>10093</v>
      </c>
      <c r="P212" s="1" t="s">
        <v>13145</v>
      </c>
      <c r="Q212" s="1">
        <v>1</v>
      </c>
    </row>
    <row r="213" spans="1:17">
      <c r="A213" s="1">
        <v>60183</v>
      </c>
      <c r="B213" s="1" t="s">
        <v>334</v>
      </c>
      <c r="C213" s="1" t="s">
        <v>209</v>
      </c>
      <c r="D213" s="19" t="s">
        <v>444</v>
      </c>
      <c r="E213" s="15" t="str">
        <f>HYPERLINK("https://stat100.ameba.jp/tnk47/ratio20/illustrations/card/ill_60183_aizuyaichi03.jpg?201907-3-RELEASE-dice-e-419", "■")</f>
        <v>■</v>
      </c>
      <c r="F213" s="1" t="s">
        <v>1035</v>
      </c>
      <c r="G213" s="1">
        <v>69051</v>
      </c>
      <c r="H213" s="1">
        <v>95307</v>
      </c>
      <c r="I213" s="1">
        <v>21</v>
      </c>
      <c r="J213" s="1" t="s">
        <v>16</v>
      </c>
      <c r="K213" s="1" t="s">
        <v>1036</v>
      </c>
      <c r="L213" s="1" t="s">
        <v>1037</v>
      </c>
      <c r="M213" s="1" t="s">
        <v>9158</v>
      </c>
      <c r="N213" s="1" t="s">
        <v>9158</v>
      </c>
      <c r="O213" s="1" t="s">
        <v>9158</v>
      </c>
      <c r="P213" s="1" t="s">
        <v>9158</v>
      </c>
      <c r="Q213" s="1" t="s">
        <v>9158</v>
      </c>
    </row>
    <row r="214" spans="1:17">
      <c r="A214" s="1">
        <v>58263</v>
      </c>
      <c r="B214" s="1" t="s">
        <v>334</v>
      </c>
      <c r="C214" s="1" t="s">
        <v>203</v>
      </c>
      <c r="D214" s="19" t="s">
        <v>679</v>
      </c>
      <c r="E214" s="15" t="str">
        <f>HYPERLINK("https://stat100.ameba.jp/tnk47/ratio20/illustrations/card/ill_58263_tamayorigozen03.jpg?201907-3-RELEASE-dice-e-419", "■")</f>
        <v>■</v>
      </c>
      <c r="F214" s="1" t="s">
        <v>680</v>
      </c>
      <c r="G214" s="1">
        <v>66487</v>
      </c>
      <c r="H214" s="1">
        <v>91779</v>
      </c>
      <c r="I214" s="1">
        <v>21</v>
      </c>
      <c r="J214" s="1" t="s">
        <v>351</v>
      </c>
      <c r="K214" s="1" t="s">
        <v>681</v>
      </c>
      <c r="L214" s="1" t="s">
        <v>682</v>
      </c>
      <c r="M214" s="1" t="s">
        <v>9158</v>
      </c>
      <c r="N214" s="1" t="s">
        <v>9158</v>
      </c>
      <c r="O214" s="1" t="s">
        <v>9158</v>
      </c>
      <c r="P214" s="1" t="s">
        <v>9158</v>
      </c>
      <c r="Q214" s="1" t="s">
        <v>9158</v>
      </c>
    </row>
    <row r="215" spans="1:17">
      <c r="A215" s="1">
        <v>71313</v>
      </c>
      <c r="B215" s="1" t="s">
        <v>334</v>
      </c>
      <c r="C215" s="1" t="s">
        <v>203</v>
      </c>
      <c r="D215" s="19" t="s">
        <v>2823</v>
      </c>
      <c r="E215" s="15" t="str">
        <f>HYPERLINK("https://stat100.ameba.jp/tnk47/ratio20/illustrations/card/ill_71313_kagewani03.jpg?201907-3-RELEASE-dice-e-419", "■")</f>
        <v>■</v>
      </c>
      <c r="F215" s="1" t="s">
        <v>2824</v>
      </c>
      <c r="G215" s="1">
        <v>77618</v>
      </c>
      <c r="H215" s="1">
        <v>107166</v>
      </c>
      <c r="I215" s="1">
        <v>21</v>
      </c>
      <c r="J215" s="1" t="s">
        <v>274</v>
      </c>
      <c r="K215" s="1" t="s">
        <v>2825</v>
      </c>
      <c r="L215" s="1" t="s">
        <v>2826</v>
      </c>
      <c r="M215" s="1" t="s">
        <v>9158</v>
      </c>
      <c r="N215" s="1" t="s">
        <v>9158</v>
      </c>
      <c r="O215" s="1" t="s">
        <v>9158</v>
      </c>
      <c r="P215" s="1" t="s">
        <v>9158</v>
      </c>
      <c r="Q215" s="1" t="s">
        <v>9158</v>
      </c>
    </row>
    <row r="216" spans="1:17">
      <c r="A216" s="1">
        <v>61433</v>
      </c>
      <c r="B216" s="1" t="s">
        <v>0</v>
      </c>
      <c r="C216" s="1" t="s">
        <v>23</v>
      </c>
      <c r="D216" s="19" t="s">
        <v>1582</v>
      </c>
      <c r="E216" s="15" t="str">
        <f>HYPERLINK("https://stat100.ameba.jp/tnk47/ratio20/illustrations/card/ill_61433_isehime03.jpg?201907-3-RELEASE-dice-e-419", "■")</f>
        <v>■</v>
      </c>
      <c r="F216" s="1" t="s">
        <v>78</v>
      </c>
      <c r="G216" s="1">
        <v>91779</v>
      </c>
      <c r="H216" s="1">
        <v>66487</v>
      </c>
      <c r="I216" s="1">
        <v>21</v>
      </c>
      <c r="J216" s="1" t="s">
        <v>77</v>
      </c>
      <c r="K216" s="1" t="s">
        <v>75</v>
      </c>
      <c r="L216" s="1" t="s">
        <v>76</v>
      </c>
      <c r="M216" s="1" t="s">
        <v>9158</v>
      </c>
      <c r="N216" s="1" t="s">
        <v>9158</v>
      </c>
      <c r="O216" s="19" t="s">
        <v>2752</v>
      </c>
      <c r="P216" s="1" t="s">
        <v>13123</v>
      </c>
      <c r="Q216" s="1">
        <v>1</v>
      </c>
    </row>
    <row r="217" spans="1:17">
      <c r="A217" s="1">
        <v>75893</v>
      </c>
      <c r="B217" s="1" t="s">
        <v>0</v>
      </c>
      <c r="C217" s="1" t="s">
        <v>158</v>
      </c>
      <c r="D217" s="19" t="s">
        <v>3095</v>
      </c>
      <c r="E217" s="15" t="str">
        <f>HYPERLINK("https://stat100.ameba.jp/tnk47/ratio20/illustrations/card/ill_75893_hamamatsutakuni03.jpg?201907-3-RELEASE-dice-e-419", "■")</f>
        <v>■</v>
      </c>
      <c r="F217" s="1" t="s">
        <v>3594</v>
      </c>
      <c r="G217" s="1">
        <v>95307</v>
      </c>
      <c r="H217" s="1">
        <v>69051</v>
      </c>
      <c r="I217" s="1">
        <v>21</v>
      </c>
      <c r="J217" s="1" t="s">
        <v>16</v>
      </c>
      <c r="K217" s="1" t="s">
        <v>3595</v>
      </c>
      <c r="L217" s="1" t="s">
        <v>920</v>
      </c>
      <c r="M217" s="1" t="s">
        <v>9158</v>
      </c>
      <c r="N217" s="1" t="s">
        <v>9158</v>
      </c>
      <c r="O217" s="19" t="s">
        <v>3037</v>
      </c>
      <c r="P217" s="1" t="s">
        <v>13128</v>
      </c>
      <c r="Q217" s="1">
        <v>1</v>
      </c>
    </row>
    <row r="219" spans="1:17">
      <c r="A219" s="1" t="s">
        <v>3916</v>
      </c>
    </row>
    <row r="220" spans="1:17">
      <c r="A220" s="1" t="s">
        <v>5638</v>
      </c>
    </row>
    <row r="221" spans="1:17">
      <c r="A221" s="1">
        <v>76103</v>
      </c>
      <c r="B221" s="1" t="s">
        <v>334</v>
      </c>
      <c r="C221" s="1" t="s">
        <v>154</v>
      </c>
      <c r="D221" s="19" t="s">
        <v>570</v>
      </c>
      <c r="E221" s="15" t="str">
        <f>HYPERLINK("https://stat100.ameba.jp/tnk47/ratio20/illustrations/card/ill_76103_shibuaji03.jpg?201907-3-RELEASE-dice-e-419", "■")</f>
        <v>■</v>
      </c>
      <c r="F221" s="1" t="s">
        <v>1122</v>
      </c>
      <c r="G221" s="1">
        <v>103512</v>
      </c>
      <c r="H221" s="1">
        <v>96246</v>
      </c>
      <c r="I221" s="1">
        <v>24</v>
      </c>
      <c r="J221" s="1" t="s">
        <v>143</v>
      </c>
      <c r="K221" s="1" t="s">
        <v>1123</v>
      </c>
      <c r="L221" s="1" t="s">
        <v>1124</v>
      </c>
      <c r="M221" s="1" t="s">
        <v>9158</v>
      </c>
      <c r="N221" s="1" t="s">
        <v>9158</v>
      </c>
      <c r="O221" s="1" t="s">
        <v>9158</v>
      </c>
      <c r="P221" s="1" t="s">
        <v>9158</v>
      </c>
      <c r="Q221" s="1" t="s">
        <v>9158</v>
      </c>
    </row>
    <row r="222" spans="1:17">
      <c r="A222" s="1">
        <v>76113</v>
      </c>
      <c r="B222" s="1" t="s">
        <v>334</v>
      </c>
      <c r="C222" s="1" t="s">
        <v>158</v>
      </c>
      <c r="D222" s="19" t="s">
        <v>10268</v>
      </c>
      <c r="E222" s="15" t="str">
        <f>HYPERLINK("https://stat100.ameba.jp/tnk47/ratio20/illustrations/card/ill_76113_jannudaruku03.jpg?201907-3-RELEASE-dice-e-419", "■")</f>
        <v>■</v>
      </c>
      <c r="F222" s="1" t="s">
        <v>1126</v>
      </c>
      <c r="G222" s="1">
        <v>103512</v>
      </c>
      <c r="H222" s="1">
        <v>96246</v>
      </c>
      <c r="I222" s="1">
        <v>24</v>
      </c>
      <c r="J222" s="1" t="s">
        <v>10</v>
      </c>
      <c r="K222" s="1" t="s">
        <v>1127</v>
      </c>
      <c r="L222" s="1" t="s">
        <v>1128</v>
      </c>
      <c r="M222" s="1" t="s">
        <v>9158</v>
      </c>
      <c r="N222" s="1" t="s">
        <v>9158</v>
      </c>
      <c r="O222" s="1" t="s">
        <v>9158</v>
      </c>
      <c r="P222" s="1" t="s">
        <v>9158</v>
      </c>
      <c r="Q222" s="1" t="s">
        <v>9158</v>
      </c>
    </row>
    <row r="223" spans="1:17">
      <c r="A223" s="1">
        <v>63323</v>
      </c>
      <c r="B223" s="1" t="s">
        <v>0</v>
      </c>
      <c r="C223" s="1" t="s">
        <v>200</v>
      </c>
      <c r="D223" s="19" t="s">
        <v>10269</v>
      </c>
      <c r="E223" s="15" t="str">
        <f>HYPERLINK("https://stat100.ameba.jp/tnk47/ratio20/illustrations/card/ill_63323_ajisaikushinadahime03.jpg?201907-3-RELEASE-dice-e-419", "■")</f>
        <v>■</v>
      </c>
      <c r="F223" s="1" t="s">
        <v>3583</v>
      </c>
      <c r="G223" s="1">
        <v>91010</v>
      </c>
      <c r="H223" s="1">
        <v>97894</v>
      </c>
      <c r="I223" s="1">
        <v>24</v>
      </c>
      <c r="J223" s="1" t="s">
        <v>44</v>
      </c>
      <c r="K223" s="1" t="s">
        <v>3584</v>
      </c>
      <c r="L223" s="1" t="s">
        <v>2400</v>
      </c>
      <c r="M223" s="1" t="s">
        <v>9158</v>
      </c>
      <c r="N223" s="1" t="s">
        <v>9158</v>
      </c>
      <c r="O223" s="1" t="s">
        <v>9158</v>
      </c>
      <c r="P223" s="1" t="s">
        <v>9158</v>
      </c>
      <c r="Q223" s="1" t="s">
        <v>9158</v>
      </c>
    </row>
    <row r="224" spans="1:17">
      <c r="A224" s="1">
        <v>59863</v>
      </c>
      <c r="B224" s="1" t="s">
        <v>334</v>
      </c>
      <c r="C224" s="1" t="s">
        <v>165</v>
      </c>
      <c r="D224" s="19" t="s">
        <v>318</v>
      </c>
      <c r="E224" s="15" t="str">
        <f>HYPERLINK("https://stat100.ameba.jp/tnk47/ratio20/illustrations/card/ill_59863_yoseiichimokuren03.jpg?201907-3-RELEASE-dice-e-419", "■")</f>
        <v>■</v>
      </c>
      <c r="F224" s="1" t="s">
        <v>319</v>
      </c>
      <c r="G224" s="1">
        <v>99996</v>
      </c>
      <c r="H224" s="1">
        <v>92996</v>
      </c>
      <c r="I224" s="1">
        <v>24</v>
      </c>
      <c r="J224" s="1" t="s">
        <v>320</v>
      </c>
      <c r="K224" s="1" t="s">
        <v>321</v>
      </c>
      <c r="L224" s="1" t="s">
        <v>322</v>
      </c>
      <c r="M224" s="1" t="s">
        <v>9158</v>
      </c>
      <c r="N224" s="1" t="s">
        <v>9158</v>
      </c>
      <c r="O224" s="1" t="s">
        <v>9158</v>
      </c>
      <c r="P224" s="1" t="s">
        <v>9158</v>
      </c>
      <c r="Q224" s="1" t="s">
        <v>9158</v>
      </c>
    </row>
    <row r="226" spans="1:18">
      <c r="A226" s="1" t="s">
        <v>5648</v>
      </c>
    </row>
    <row r="227" spans="1:18">
      <c r="A227" s="1" t="s">
        <v>5649</v>
      </c>
    </row>
    <row r="228" spans="1:18">
      <c r="A228" s="1" t="s">
        <v>5650</v>
      </c>
      <c r="B228" s="1" t="s">
        <v>330</v>
      </c>
      <c r="C228" s="1" t="s">
        <v>23</v>
      </c>
      <c r="D228" s="19" t="s">
        <v>809</v>
      </c>
      <c r="E228" s="15" t="str">
        <f>HYPERLINK("https://stat100.ameba.jp/tnk47/ratio20/illustrations/card/ill_68033_0_kurisumasupateikandamyojin03.jpg?201907-3-RELEASE-dice-e-419", "■")</f>
        <v>■</v>
      </c>
      <c r="F228" s="1" t="s">
        <v>1871</v>
      </c>
      <c r="G228" s="1">
        <v>133519</v>
      </c>
      <c r="H228" s="1">
        <v>143626</v>
      </c>
      <c r="I228" s="1">
        <v>21</v>
      </c>
      <c r="J228" s="1" t="s">
        <v>44</v>
      </c>
      <c r="K228" s="1" t="s">
        <v>1872</v>
      </c>
      <c r="L228" s="1" t="s">
        <v>1873</v>
      </c>
      <c r="M228" s="1" t="s">
        <v>9158</v>
      </c>
      <c r="N228" s="1" t="s">
        <v>9158</v>
      </c>
      <c r="O228" s="19" t="s">
        <v>2997</v>
      </c>
      <c r="P228" s="1" t="s">
        <v>3483</v>
      </c>
      <c r="Q228" s="1">
        <v>2</v>
      </c>
    </row>
    <row r="229" spans="1:18">
      <c r="A229" s="1">
        <v>62473</v>
      </c>
      <c r="B229" s="1" t="s">
        <v>334</v>
      </c>
      <c r="C229" s="1" t="s">
        <v>203</v>
      </c>
      <c r="D229" s="19" t="s">
        <v>2834</v>
      </c>
      <c r="E229" s="15" t="str">
        <f>HYPERLINK("https://stat100.ameba.jp/tnk47/ratio20/illustrations/card/ill_62473_kokuriko03.jpg?201907-3-RELEASE-dice-e-419", "■")</f>
        <v>■</v>
      </c>
      <c r="F229" s="1" t="s">
        <v>2835</v>
      </c>
      <c r="G229" s="1">
        <v>104989</v>
      </c>
      <c r="H229" s="1">
        <v>76042</v>
      </c>
      <c r="I229" s="1">
        <v>23</v>
      </c>
      <c r="J229" s="1" t="s">
        <v>401</v>
      </c>
      <c r="K229" s="1" t="s">
        <v>2836</v>
      </c>
      <c r="L229" s="1" t="s">
        <v>2837</v>
      </c>
      <c r="M229" s="1" t="s">
        <v>9158</v>
      </c>
      <c r="N229" s="1" t="s">
        <v>9158</v>
      </c>
      <c r="O229" s="19" t="s">
        <v>2838</v>
      </c>
      <c r="P229" s="1" t="s">
        <v>2839</v>
      </c>
      <c r="Q229" s="1">
        <v>1</v>
      </c>
    </row>
    <row r="230" spans="1:18">
      <c r="A230" s="1">
        <v>78133</v>
      </c>
      <c r="B230" s="1" t="s">
        <v>0</v>
      </c>
      <c r="C230" s="1" t="s">
        <v>154</v>
      </c>
      <c r="D230" s="19" t="s">
        <v>10313</v>
      </c>
      <c r="E230" s="15" t="str">
        <f>HYPERLINK("https://stat100.ameba.jp/tnk47/ratio20/illustrations/card/ill_78133_akazukin03.jpg?201907-3-RELEASE-dice-e-419", "■")</f>
        <v>■</v>
      </c>
      <c r="F230" s="1" t="s">
        <v>2202</v>
      </c>
      <c r="G230" s="1">
        <v>85010</v>
      </c>
      <c r="H230" s="1">
        <v>117374</v>
      </c>
      <c r="I230" s="1">
        <v>23</v>
      </c>
      <c r="J230" s="1" t="s">
        <v>38</v>
      </c>
      <c r="K230" s="1" t="s">
        <v>2203</v>
      </c>
      <c r="L230" s="1" t="s">
        <v>2204</v>
      </c>
      <c r="M230" s="1" t="s">
        <v>9158</v>
      </c>
      <c r="N230" s="1" t="s">
        <v>9158</v>
      </c>
      <c r="O230" s="19" t="s">
        <v>2917</v>
      </c>
      <c r="P230" s="1" t="s">
        <v>3531</v>
      </c>
      <c r="Q230" s="1">
        <v>1</v>
      </c>
    </row>
    <row r="231" spans="1:18">
      <c r="A231" s="1">
        <v>76783</v>
      </c>
      <c r="B231" s="1" t="s">
        <v>334</v>
      </c>
      <c r="C231" s="1" t="s">
        <v>203</v>
      </c>
      <c r="D231" s="19" t="s">
        <v>10367</v>
      </c>
      <c r="E231" s="15" t="str">
        <f>HYPERLINK("https://stat100.ameba.jp/tnk47/ratio20/illustrations/card/ill_76783_monsutaakashirejina03.jpg?201907-3-RELEASE-dice-e-419", "■")</f>
        <v>■</v>
      </c>
      <c r="F231" s="1" t="s">
        <v>1192</v>
      </c>
      <c r="G231" s="1">
        <v>72819</v>
      </c>
      <c r="H231" s="1">
        <v>100519</v>
      </c>
      <c r="I231" s="1">
        <v>23</v>
      </c>
      <c r="J231" s="1" t="s">
        <v>10</v>
      </c>
      <c r="K231" s="1" t="s">
        <v>1193</v>
      </c>
      <c r="L231" s="1" t="s">
        <v>1194</v>
      </c>
      <c r="M231" s="1" t="s">
        <v>9158</v>
      </c>
      <c r="N231" s="1" t="s">
        <v>9158</v>
      </c>
      <c r="O231" s="19" t="s">
        <v>2752</v>
      </c>
      <c r="P231" s="1" t="s">
        <v>13123</v>
      </c>
      <c r="Q231" s="1">
        <v>1</v>
      </c>
    </row>
    <row r="233" spans="1:18">
      <c r="A233" s="1" t="s">
        <v>13327</v>
      </c>
    </row>
    <row r="234" spans="1:18">
      <c r="A234" s="1" t="s">
        <v>5651</v>
      </c>
    </row>
    <row r="235" spans="1:18">
      <c r="A235" s="1">
        <v>75113</v>
      </c>
      <c r="B235" s="1" t="s">
        <v>334</v>
      </c>
      <c r="C235" s="1" t="s">
        <v>335</v>
      </c>
      <c r="D235" s="19" t="s">
        <v>448</v>
      </c>
      <c r="E235" s="15" t="str">
        <f>HYPERLINK("https://stat100.ameba.jp/tnk47/ratio20/illustrations/card/ill_75113_hatahata03.jpg?201907-3-RELEASE-dice-e-419", "■")</f>
        <v>■</v>
      </c>
      <c r="F235" s="1" t="s">
        <v>449</v>
      </c>
      <c r="G235" s="1">
        <v>118152</v>
      </c>
      <c r="H235" s="1">
        <v>109852</v>
      </c>
      <c r="I235" s="1">
        <v>24</v>
      </c>
      <c r="J235" s="1" t="s">
        <v>283</v>
      </c>
      <c r="K235" s="1" t="s">
        <v>450</v>
      </c>
      <c r="L235" s="1" t="s">
        <v>13129</v>
      </c>
      <c r="M235" s="1" t="s">
        <v>13130</v>
      </c>
      <c r="N235" s="1" t="s">
        <v>343</v>
      </c>
      <c r="O235" s="1" t="s">
        <v>9158</v>
      </c>
      <c r="P235" s="1" t="s">
        <v>9158</v>
      </c>
      <c r="Q235" s="1" t="s">
        <v>9158</v>
      </c>
      <c r="R235" s="14" t="s">
        <v>14748</v>
      </c>
    </row>
    <row r="236" spans="1:18">
      <c r="A236" s="1">
        <v>75112</v>
      </c>
      <c r="B236" s="1" t="s">
        <v>334</v>
      </c>
      <c r="C236" s="1" t="s">
        <v>335</v>
      </c>
      <c r="D236" s="19" t="s">
        <v>448</v>
      </c>
      <c r="E236" s="15" t="str">
        <f>HYPERLINK("https://stat100.ameba.jp/tnk47/ratio20/illustrations/card/ill_75112_hatahata02.jpg?201907-3-RELEASE-dice-e-419", "■")</f>
        <v>■</v>
      </c>
      <c r="F236" s="1" t="s">
        <v>449</v>
      </c>
      <c r="G236" s="1">
        <v>98768</v>
      </c>
      <c r="H236" s="1">
        <v>90984</v>
      </c>
      <c r="I236" s="1">
        <v>24</v>
      </c>
      <c r="J236" s="1" t="s">
        <v>283</v>
      </c>
      <c r="K236" s="1" t="s">
        <v>450</v>
      </c>
      <c r="L236" s="1" t="s">
        <v>13129</v>
      </c>
      <c r="M236" s="1" t="s">
        <v>13131</v>
      </c>
      <c r="N236" s="1" t="s">
        <v>251</v>
      </c>
      <c r="O236" s="1" t="s">
        <v>9158</v>
      </c>
      <c r="P236" s="1" t="s">
        <v>9158</v>
      </c>
      <c r="Q236" s="1" t="s">
        <v>9158</v>
      </c>
      <c r="R236" s="14" t="s">
        <v>14748</v>
      </c>
    </row>
    <row r="237" spans="1:18">
      <c r="A237" s="1">
        <v>75111</v>
      </c>
      <c r="B237" s="1" t="s">
        <v>334</v>
      </c>
      <c r="C237" s="1" t="s">
        <v>335</v>
      </c>
      <c r="D237" s="19" t="s">
        <v>448</v>
      </c>
      <c r="E237" s="15" t="str">
        <f>HYPERLINK("https://stat100.ameba.jp/tnk47/ratio20/illustrations/card/ill_75111_hatahata01.jpg?201907-3-RELEASE-dice-e-419", "■")</f>
        <v>■</v>
      </c>
      <c r="F237" s="1" t="s">
        <v>449</v>
      </c>
      <c r="G237" s="1">
        <v>75408</v>
      </c>
      <c r="H237" s="1">
        <v>70200</v>
      </c>
      <c r="I237" s="1">
        <v>24</v>
      </c>
      <c r="J237" s="1" t="s">
        <v>283</v>
      </c>
      <c r="K237" s="1" t="s">
        <v>450</v>
      </c>
      <c r="L237" s="1" t="s">
        <v>13129</v>
      </c>
      <c r="M237" s="1" t="s">
        <v>13131</v>
      </c>
      <c r="N237" s="1" t="s">
        <v>251</v>
      </c>
      <c r="O237" s="1" t="s">
        <v>9158</v>
      </c>
      <c r="P237" s="1" t="s">
        <v>9158</v>
      </c>
      <c r="Q237" s="1" t="s">
        <v>9158</v>
      </c>
      <c r="R237" s="14" t="s">
        <v>14748</v>
      </c>
    </row>
    <row r="238" spans="1:18">
      <c r="A238" s="1">
        <v>75123</v>
      </c>
      <c r="B238" s="1" t="s">
        <v>334</v>
      </c>
      <c r="C238" s="1" t="s">
        <v>307</v>
      </c>
      <c r="D238" s="19" t="s">
        <v>451</v>
      </c>
      <c r="E238" s="15" t="str">
        <f>HYPERLINK("https://stat100.ameba.jp/tnk47/ratio20/illustrations/card/ill_75123_nankintamasudare03.jpg?201907-3-RELEASE-dice-e-419", "■")</f>
        <v>■</v>
      </c>
      <c r="F238" s="1" t="s">
        <v>452</v>
      </c>
      <c r="G238" s="1">
        <v>109852</v>
      </c>
      <c r="H238" s="1">
        <v>118152</v>
      </c>
      <c r="I238" s="1">
        <v>24</v>
      </c>
      <c r="J238" s="1" t="s">
        <v>274</v>
      </c>
      <c r="K238" s="1" t="s">
        <v>453</v>
      </c>
      <c r="L238" s="1" t="s">
        <v>6711</v>
      </c>
      <c r="M238" s="1" t="s">
        <v>13130</v>
      </c>
      <c r="N238" s="1" t="s">
        <v>343</v>
      </c>
      <c r="O238" s="1" t="s">
        <v>9158</v>
      </c>
      <c r="P238" s="1" t="s">
        <v>9158</v>
      </c>
      <c r="Q238" s="1" t="s">
        <v>9158</v>
      </c>
      <c r="R238" s="14" t="s">
        <v>14748</v>
      </c>
    </row>
    <row r="239" spans="1:18">
      <c r="A239" s="1">
        <v>76013</v>
      </c>
      <c r="B239" s="1" t="s">
        <v>334</v>
      </c>
      <c r="C239" s="1" t="s">
        <v>344</v>
      </c>
      <c r="D239" s="19" t="s">
        <v>454</v>
      </c>
      <c r="E239" s="15" t="str">
        <f>HYPERLINK("https://stat100.ameba.jp/tnk47/ratio20/illustrations/card/ill_76013_miyakojima03.jpg?201907-3-RELEASE-dice-e-419", "■")</f>
        <v>■</v>
      </c>
      <c r="F239" s="1" t="s">
        <v>455</v>
      </c>
      <c r="G239" s="1">
        <v>118152</v>
      </c>
      <c r="H239" s="1">
        <v>109852</v>
      </c>
      <c r="I239" s="1">
        <v>24</v>
      </c>
      <c r="J239" s="1" t="s">
        <v>369</v>
      </c>
      <c r="K239" s="1" t="s">
        <v>456</v>
      </c>
      <c r="L239" s="1" t="s">
        <v>6712</v>
      </c>
      <c r="M239" s="1" t="s">
        <v>13130</v>
      </c>
      <c r="N239" s="1" t="s">
        <v>343</v>
      </c>
      <c r="O239" s="1" t="s">
        <v>9158</v>
      </c>
      <c r="P239" s="1" t="s">
        <v>9158</v>
      </c>
      <c r="Q239" s="1" t="s">
        <v>9158</v>
      </c>
      <c r="R239" s="14" t="s">
        <v>14748</v>
      </c>
    </row>
    <row r="240" spans="1:18">
      <c r="A240" s="1">
        <v>74333</v>
      </c>
      <c r="B240" s="1" t="s">
        <v>334</v>
      </c>
      <c r="C240" s="1" t="s">
        <v>271</v>
      </c>
      <c r="D240" s="19" t="s">
        <v>457</v>
      </c>
      <c r="E240" s="15" t="str">
        <f>HYPERLINK("https://stat100.ameba.jp/tnk47/ratio20/illustrations/card/ill_74333_iizukaigashichi03.jpg?201907-3-RELEASE-dice-e-419", "■")</f>
        <v>■</v>
      </c>
      <c r="F240" s="1" t="s">
        <v>458</v>
      </c>
      <c r="G240" s="1">
        <v>109852</v>
      </c>
      <c r="H240" s="1">
        <v>118152</v>
      </c>
      <c r="I240" s="1">
        <v>24</v>
      </c>
      <c r="J240" s="1" t="s">
        <v>414</v>
      </c>
      <c r="K240" s="1" t="s">
        <v>459</v>
      </c>
      <c r="L240" s="1" t="s">
        <v>6713</v>
      </c>
      <c r="M240" s="1" t="s">
        <v>13130</v>
      </c>
      <c r="N240" s="1" t="s">
        <v>343</v>
      </c>
      <c r="O240" s="1" t="s">
        <v>9158</v>
      </c>
      <c r="P240" s="1" t="s">
        <v>9158</v>
      </c>
      <c r="Q240" s="1" t="s">
        <v>9158</v>
      </c>
      <c r="R240" s="14" t="s">
        <v>14748</v>
      </c>
    </row>
    <row r="241" spans="1:18">
      <c r="A241" s="1">
        <v>74343</v>
      </c>
      <c r="B241" s="1" t="s">
        <v>334</v>
      </c>
      <c r="C241" s="1" t="s">
        <v>308</v>
      </c>
      <c r="D241" s="19" t="s">
        <v>460</v>
      </c>
      <c r="E241" s="15" t="str">
        <f>HYPERLINK("https://stat100.ameba.jp/tnk47/ratio20/illustrations/card/ill_74343_wadakoremasa03.jpg?201907-3-RELEASE-dice-e-419", "■")</f>
        <v>■</v>
      </c>
      <c r="F241" s="1" t="s">
        <v>461</v>
      </c>
      <c r="G241" s="1">
        <v>109852</v>
      </c>
      <c r="H241" s="1">
        <v>118152</v>
      </c>
      <c r="I241" s="1">
        <v>24</v>
      </c>
      <c r="J241" s="1" t="s">
        <v>310</v>
      </c>
      <c r="K241" s="1" t="s">
        <v>462</v>
      </c>
      <c r="L241" s="1" t="s">
        <v>6714</v>
      </c>
      <c r="M241" s="1" t="s">
        <v>13130</v>
      </c>
      <c r="N241" s="1" t="s">
        <v>343</v>
      </c>
      <c r="O241" s="1" t="s">
        <v>9158</v>
      </c>
      <c r="P241" s="1" t="s">
        <v>9158</v>
      </c>
      <c r="Q241" s="1" t="s">
        <v>9158</v>
      </c>
      <c r="R241" s="14" t="s">
        <v>14748</v>
      </c>
    </row>
    <row r="242" spans="1:18">
      <c r="A242" s="1">
        <v>74353</v>
      </c>
      <c r="B242" s="1" t="s">
        <v>334</v>
      </c>
      <c r="C242" s="1" t="s">
        <v>267</v>
      </c>
      <c r="D242" s="19" t="s">
        <v>463</v>
      </c>
      <c r="E242" s="15" t="str">
        <f>HYPERLINK("https://stat100.ameba.jp/tnk47/ratio20/illustrations/card/ill_74353_takechizuizan03.jpg?201907-3-RELEASE-dice-e-419", "■")</f>
        <v>■</v>
      </c>
      <c r="F242" s="1" t="s">
        <v>464</v>
      </c>
      <c r="G242" s="1">
        <v>118152</v>
      </c>
      <c r="H242" s="1">
        <v>109852</v>
      </c>
      <c r="I242" s="1">
        <v>24</v>
      </c>
      <c r="J242" s="1" t="s">
        <v>351</v>
      </c>
      <c r="K242" s="1" t="s">
        <v>465</v>
      </c>
      <c r="L242" s="1" t="s">
        <v>6715</v>
      </c>
      <c r="M242" s="1" t="s">
        <v>13130</v>
      </c>
      <c r="N242" s="1" t="s">
        <v>343</v>
      </c>
      <c r="O242" s="1" t="s">
        <v>9158</v>
      </c>
      <c r="P242" s="1" t="s">
        <v>9158</v>
      </c>
      <c r="Q242" s="1" t="s">
        <v>9158</v>
      </c>
      <c r="R242" s="14" t="s">
        <v>14748</v>
      </c>
    </row>
    <row r="244" spans="1:18">
      <c r="A244" s="1" t="s">
        <v>5652</v>
      </c>
    </row>
    <row r="245" spans="1:18">
      <c r="A245" s="1" t="s">
        <v>5653</v>
      </c>
    </row>
    <row r="246" spans="1:18">
      <c r="A246" s="1" t="s">
        <v>7662</v>
      </c>
    </row>
    <row r="247" spans="1:18">
      <c r="A247" s="1" t="s">
        <v>5601</v>
      </c>
      <c r="B247" s="1" t="s">
        <v>330</v>
      </c>
      <c r="C247" s="1" t="s">
        <v>35</v>
      </c>
      <c r="D247" s="19" t="s">
        <v>10318</v>
      </c>
      <c r="E247" s="15" t="str">
        <f>HYPERLINK("https://stat100.ameba.jp/tnk47/ratio20/illustrations/card/ill_82423_0_bikinigarukishi03.jpg?201907-3-RELEASE-dice-e-419", "■")</f>
        <v>■</v>
      </c>
      <c r="F247" s="1" t="s">
        <v>5391</v>
      </c>
      <c r="G247" s="1">
        <v>181624</v>
      </c>
      <c r="H247" s="1">
        <v>164155</v>
      </c>
      <c r="I247" s="1">
        <v>15</v>
      </c>
      <c r="J247" s="1" t="s">
        <v>77</v>
      </c>
      <c r="K247" s="1" t="s">
        <v>5392</v>
      </c>
      <c r="L247" s="1" t="s">
        <v>5393</v>
      </c>
      <c r="M247" s="1" t="s">
        <v>9158</v>
      </c>
      <c r="N247" s="1" t="s">
        <v>9158</v>
      </c>
      <c r="O247" s="19" t="s">
        <v>10069</v>
      </c>
      <c r="P247" s="1" t="s">
        <v>5394</v>
      </c>
      <c r="Q247" s="1">
        <v>1</v>
      </c>
    </row>
    <row r="248" spans="1:18">
      <c r="A248" s="1">
        <v>82663</v>
      </c>
      <c r="B248" s="1" t="s">
        <v>5654</v>
      </c>
      <c r="C248" s="1" t="s">
        <v>5658</v>
      </c>
      <c r="D248" s="19" t="s">
        <v>10368</v>
      </c>
      <c r="E248" s="15" t="str">
        <f>HYPERLINK("https://stat100.ameba.jp/tnk47/ratio20/illustrations/card/ill_82663_fuisshingukoshikibunonaishi03.jpg?201907-3-RELEASE-dice-e-419", "■")</f>
        <v>■</v>
      </c>
      <c r="F248" s="1" t="s">
        <v>5662</v>
      </c>
      <c r="G248" s="1">
        <v>97318</v>
      </c>
      <c r="H248" s="1">
        <v>90522</v>
      </c>
      <c r="I248" s="1">
        <v>24</v>
      </c>
      <c r="J248" s="1" t="s">
        <v>414</v>
      </c>
      <c r="K248" s="1" t="s">
        <v>5663</v>
      </c>
      <c r="L248" s="1" t="s">
        <v>5664</v>
      </c>
      <c r="M248" s="1" t="s">
        <v>9158</v>
      </c>
      <c r="N248" s="1" t="s">
        <v>9158</v>
      </c>
      <c r="O248" s="1" t="s">
        <v>9158</v>
      </c>
      <c r="P248" s="1" t="s">
        <v>9158</v>
      </c>
      <c r="Q248" s="1" t="s">
        <v>9158</v>
      </c>
    </row>
    <row r="249" spans="1:18">
      <c r="A249" s="1">
        <v>82673</v>
      </c>
      <c r="B249" s="1" t="s">
        <v>5655</v>
      </c>
      <c r="C249" s="1" t="s">
        <v>5659</v>
      </c>
      <c r="D249" s="19" t="s">
        <v>10369</v>
      </c>
      <c r="E249" s="15" t="str">
        <f>HYPERLINK("https://stat100.ameba.jp/tnk47/ratio20/illustrations/card/ill_82673_akakanaja03.jpg?201907-3-RELEASE-dice-e-419", "■")</f>
        <v>■</v>
      </c>
      <c r="F249" s="1" t="s">
        <v>5665</v>
      </c>
      <c r="G249" s="1">
        <v>61832</v>
      </c>
      <c r="H249" s="1">
        <v>68172</v>
      </c>
      <c r="I249" s="1">
        <v>23</v>
      </c>
      <c r="J249" s="1" t="s">
        <v>5666</v>
      </c>
      <c r="K249" s="1" t="s">
        <v>5667</v>
      </c>
      <c r="L249" s="1" t="s">
        <v>5668</v>
      </c>
      <c r="M249" s="1" t="s">
        <v>9158</v>
      </c>
      <c r="N249" s="1" t="s">
        <v>9158</v>
      </c>
      <c r="O249" s="1" t="s">
        <v>9158</v>
      </c>
      <c r="P249" s="1" t="s">
        <v>9158</v>
      </c>
      <c r="Q249" s="1" t="s">
        <v>9158</v>
      </c>
    </row>
    <row r="250" spans="1:18">
      <c r="A250" s="1">
        <v>82683</v>
      </c>
      <c r="B250" s="1" t="s">
        <v>5656</v>
      </c>
      <c r="C250" s="1" t="s">
        <v>5660</v>
      </c>
      <c r="D250" s="19" t="s">
        <v>10370</v>
      </c>
      <c r="E250" s="15" t="str">
        <f>HYPERLINK("https://stat100.ameba.jp/tnk47/ratio20/illustrations/card/ill_82683_umibirakikasekihakkutsumusume03.jpg?201907-3-RELEASE-dice-e-419", "■")</f>
        <v>■</v>
      </c>
      <c r="F250" s="1" t="s">
        <v>5669</v>
      </c>
      <c r="G250" s="1">
        <v>41584</v>
      </c>
      <c r="H250" s="1">
        <v>34576</v>
      </c>
      <c r="I250" s="1">
        <v>20</v>
      </c>
      <c r="J250" s="1" t="s">
        <v>5670</v>
      </c>
      <c r="K250" s="1" t="s">
        <v>5672</v>
      </c>
      <c r="L250" s="1" t="s">
        <v>5671</v>
      </c>
      <c r="M250" s="1" t="s">
        <v>9158</v>
      </c>
      <c r="N250" s="1" t="s">
        <v>9158</v>
      </c>
      <c r="O250" s="1" t="s">
        <v>9158</v>
      </c>
      <c r="P250" s="1" t="s">
        <v>9158</v>
      </c>
      <c r="Q250" s="1" t="s">
        <v>9158</v>
      </c>
    </row>
    <row r="251" spans="1:18">
      <c r="A251" s="1">
        <v>82693</v>
      </c>
      <c r="B251" s="1" t="s">
        <v>5657</v>
      </c>
      <c r="C251" s="1" t="s">
        <v>5661</v>
      </c>
      <c r="D251" s="19" t="s">
        <v>10371</v>
      </c>
      <c r="E251" s="15" t="str">
        <f>HYPERLINK("https://stat100.ameba.jp/tnk47/ratio20/illustrations/card/ill_82693_wakasagi03.jpg?201907-3-RELEASE-dice-e-419", "■")</f>
        <v>■</v>
      </c>
      <c r="F251" s="1" t="s">
        <v>5673</v>
      </c>
      <c r="G251" s="1">
        <v>21144</v>
      </c>
      <c r="H251" s="1">
        <v>25176</v>
      </c>
      <c r="I251" s="1">
        <v>20</v>
      </c>
      <c r="J251" s="1" t="s">
        <v>5674</v>
      </c>
      <c r="K251" s="1" t="s">
        <v>5676</v>
      </c>
      <c r="L251" s="1" t="s">
        <v>5675</v>
      </c>
      <c r="M251" s="1" t="s">
        <v>9158</v>
      </c>
      <c r="N251" s="1" t="s">
        <v>9158</v>
      </c>
      <c r="O251" s="1" t="s">
        <v>9158</v>
      </c>
      <c r="P251" s="1" t="s">
        <v>9158</v>
      </c>
      <c r="Q251" s="1" t="s">
        <v>9158</v>
      </c>
    </row>
    <row r="253" spans="1:18">
      <c r="A253" s="1" t="s">
        <v>5677</v>
      </c>
    </row>
    <row r="254" spans="1:18">
      <c r="A254" s="1" t="s">
        <v>5678</v>
      </c>
    </row>
    <row r="255" spans="1:18">
      <c r="A255" s="1" t="s">
        <v>5614</v>
      </c>
      <c r="B255" s="1" t="s">
        <v>330</v>
      </c>
      <c r="C255" s="1" t="s">
        <v>267</v>
      </c>
      <c r="D255" s="19" t="s">
        <v>313</v>
      </c>
      <c r="E255" s="15" t="str">
        <f>HYPERLINK("https://stat100.ameba.jp/tnk47/ratio20/illustrations/card/ill_56223_0_onsempanikkugohime03.jpg?201907-3-RELEASE-dice-e-419", "■")</f>
        <v>■</v>
      </c>
      <c r="F255" s="1" t="s">
        <v>314</v>
      </c>
      <c r="G255" s="1">
        <v>83712</v>
      </c>
      <c r="H255" s="1">
        <v>94236</v>
      </c>
      <c r="I255" s="1">
        <v>15</v>
      </c>
      <c r="J255" s="1" t="s">
        <v>315</v>
      </c>
      <c r="K255" s="1" t="s">
        <v>316</v>
      </c>
      <c r="L255" s="1" t="s">
        <v>317</v>
      </c>
      <c r="M255" s="1" t="s">
        <v>9158</v>
      </c>
      <c r="N255" s="1" t="s">
        <v>9158</v>
      </c>
      <c r="O255" s="19" t="s">
        <v>3021</v>
      </c>
      <c r="P255" s="1" t="s">
        <v>2890</v>
      </c>
      <c r="Q255" s="1">
        <v>1</v>
      </c>
    </row>
    <row r="256" spans="1:18">
      <c r="A256" s="1" t="s">
        <v>5615</v>
      </c>
      <c r="B256" s="1" t="s">
        <v>330</v>
      </c>
      <c r="C256" s="1" t="s">
        <v>206</v>
      </c>
      <c r="D256" s="19" t="s">
        <v>2814</v>
      </c>
      <c r="E256" s="15" t="str">
        <f>HYPERLINK("https://stat100.ameba.jp/tnk47/ratio20/illustrations/card/ill_57733_0_shogatsunisenjunanaamakusashiro03.jpg?201907-3-RELEASE-dice-e-419", "■")</f>
        <v>■</v>
      </c>
      <c r="F256" s="1" t="s">
        <v>2815</v>
      </c>
      <c r="G256" s="1">
        <v>83712</v>
      </c>
      <c r="H256" s="1">
        <v>94236</v>
      </c>
      <c r="I256" s="1">
        <v>15</v>
      </c>
      <c r="J256" s="1" t="s">
        <v>351</v>
      </c>
      <c r="K256" s="1" t="s">
        <v>2816</v>
      </c>
      <c r="L256" s="1" t="s">
        <v>2817</v>
      </c>
      <c r="M256" s="1" t="s">
        <v>9158</v>
      </c>
      <c r="N256" s="1" t="s">
        <v>9158</v>
      </c>
      <c r="O256" s="19" t="s">
        <v>10077</v>
      </c>
      <c r="P256" s="1" t="s">
        <v>3062</v>
      </c>
      <c r="Q256" s="1">
        <v>1</v>
      </c>
    </row>
    <row r="257" spans="1:18">
      <c r="A257" s="1" t="s">
        <v>5616</v>
      </c>
      <c r="B257" s="1" t="s">
        <v>52</v>
      </c>
      <c r="C257" s="1" t="s">
        <v>14</v>
      </c>
      <c r="D257" s="19" t="s">
        <v>638</v>
      </c>
      <c r="E257" s="15" t="str">
        <f>HYPERLINK("https://stat100.ameba.jp/tnk47/ratio20/illustrations/card/ill_44253_0_dokuganryudatemasamune03.jpg?201907-3-RELEASE-dice-e-419", "■")</f>
        <v>■</v>
      </c>
      <c r="F257" s="1" t="s">
        <v>1181</v>
      </c>
      <c r="G257" s="1">
        <v>82212</v>
      </c>
      <c r="H257" s="1">
        <v>87780</v>
      </c>
      <c r="I257" s="1">
        <v>15</v>
      </c>
      <c r="J257" s="1" t="s">
        <v>143</v>
      </c>
      <c r="K257" s="1" t="s">
        <v>1182</v>
      </c>
      <c r="L257" s="1" t="s">
        <v>1183</v>
      </c>
      <c r="M257" s="1" t="s">
        <v>9158</v>
      </c>
      <c r="N257" s="1" t="s">
        <v>9158</v>
      </c>
      <c r="O257" s="1" t="s">
        <v>9158</v>
      </c>
      <c r="P257" s="1" t="s">
        <v>9158</v>
      </c>
      <c r="Q257" s="1" t="s">
        <v>9158</v>
      </c>
    </row>
    <row r="258" spans="1:18">
      <c r="A258" s="1">
        <v>75713</v>
      </c>
      <c r="B258" s="1" t="s">
        <v>5654</v>
      </c>
      <c r="C258" s="1" t="s">
        <v>14</v>
      </c>
      <c r="D258" s="19" t="s">
        <v>10372</v>
      </c>
      <c r="E258" s="15" t="str">
        <f>HYPERLINK("https://stat100.ameba.jp/tnk47/ratio20/illustrations/card/ill_75713_chanchanyaki03.jpg?201907-3-RELEASE-dice-e-419", "■")</f>
        <v>■</v>
      </c>
      <c r="F258" s="1" t="s">
        <v>5679</v>
      </c>
      <c r="G258" s="1">
        <v>64817</v>
      </c>
      <c r="H258" s="1">
        <v>115195</v>
      </c>
      <c r="I258" s="1">
        <v>23</v>
      </c>
      <c r="J258" s="1" t="s">
        <v>5674</v>
      </c>
      <c r="K258" s="1" t="s">
        <v>5680</v>
      </c>
      <c r="L258" s="1" t="s">
        <v>5681</v>
      </c>
      <c r="M258" s="1" t="s">
        <v>9158</v>
      </c>
      <c r="N258" s="1" t="s">
        <v>9158</v>
      </c>
      <c r="O258" s="1" t="s">
        <v>9158</v>
      </c>
      <c r="P258" s="1" t="s">
        <v>9158</v>
      </c>
      <c r="Q258" s="1" t="s">
        <v>9158</v>
      </c>
    </row>
    <row r="259" spans="1:18">
      <c r="A259" s="1">
        <v>64403</v>
      </c>
      <c r="B259" s="1" t="s">
        <v>334</v>
      </c>
      <c r="C259" s="1" t="s">
        <v>191</v>
      </c>
      <c r="D259" s="19" t="s">
        <v>887</v>
      </c>
      <c r="E259" s="15" t="str">
        <f>HYPERLINK("https://stat100.ameba.jp/tnk47/ratio20/illustrations/card/ill_64403_imagawaminehime03.jpg?201907-3-RELEASE-dice-e-419", "■")</f>
        <v>■</v>
      </c>
      <c r="F259" s="1" t="s">
        <v>888</v>
      </c>
      <c r="G259" s="1">
        <v>62414</v>
      </c>
      <c r="H259" s="1">
        <v>110924</v>
      </c>
      <c r="I259" s="1">
        <v>23</v>
      </c>
      <c r="J259" s="1" t="s">
        <v>315</v>
      </c>
      <c r="K259" s="1" t="s">
        <v>889</v>
      </c>
      <c r="L259" s="1" t="s">
        <v>608</v>
      </c>
      <c r="M259" s="1" t="s">
        <v>9158</v>
      </c>
      <c r="N259" s="1" t="s">
        <v>9158</v>
      </c>
      <c r="O259" s="1" t="s">
        <v>9158</v>
      </c>
      <c r="P259" s="1" t="s">
        <v>9158</v>
      </c>
      <c r="Q259" s="1" t="s">
        <v>9158</v>
      </c>
    </row>
    <row r="260" spans="1:18">
      <c r="A260" s="1">
        <v>66863</v>
      </c>
      <c r="B260" s="1" t="s">
        <v>5654</v>
      </c>
      <c r="C260" s="1" t="s">
        <v>5682</v>
      </c>
      <c r="D260" s="19" t="s">
        <v>10373</v>
      </c>
      <c r="E260" s="15" t="str">
        <f>HYPERLINK("https://stat100.ameba.jp/tnk47/ratio20/illustrations/card/ill_66863_haikaramomijibidorozaikuchan03.jpg?201907-3-RELEASE-dice-e-419", "■")</f>
        <v>■</v>
      </c>
      <c r="F260" s="1" t="s">
        <v>5683</v>
      </c>
      <c r="G260" s="1">
        <v>90885</v>
      </c>
      <c r="H260" s="1">
        <v>97766</v>
      </c>
      <c r="I260" s="1">
        <v>23</v>
      </c>
      <c r="J260" s="1" t="s">
        <v>5670</v>
      </c>
      <c r="K260" s="1" t="s">
        <v>5684</v>
      </c>
      <c r="L260" s="1" t="s">
        <v>5685</v>
      </c>
      <c r="M260" s="1" t="s">
        <v>9158</v>
      </c>
      <c r="N260" s="1" t="s">
        <v>9158</v>
      </c>
      <c r="O260" s="1" t="s">
        <v>9158</v>
      </c>
      <c r="P260" s="1" t="s">
        <v>9158</v>
      </c>
      <c r="Q260" s="1" t="s">
        <v>9158</v>
      </c>
    </row>
    <row r="262" spans="1:18">
      <c r="A262" s="1" t="s">
        <v>13358</v>
      </c>
    </row>
    <row r="263" spans="1:18">
      <c r="A263" s="1" t="s">
        <v>5686</v>
      </c>
    </row>
    <row r="264" spans="1:18">
      <c r="A264" s="1">
        <v>78085</v>
      </c>
      <c r="B264" s="1" t="s">
        <v>5654</v>
      </c>
      <c r="C264" s="1" t="s">
        <v>5690</v>
      </c>
      <c r="D264" s="19" t="s">
        <v>10374</v>
      </c>
      <c r="E264" s="15" t="str">
        <f>HYPERLINK("https://stat100.ameba.jp/tnk47/ratio20/illustrations/card/ill_78085_ryoribatoruhidarukami05.jpg?201907-3-RELEASE-dice-e-419", "■")</f>
        <v>■</v>
      </c>
      <c r="F264" s="1" t="s">
        <v>5692</v>
      </c>
      <c r="G264" s="1">
        <v>119173</v>
      </c>
      <c r="H264" s="1">
        <v>164590</v>
      </c>
      <c r="I264" s="1">
        <v>23</v>
      </c>
      <c r="J264" s="1" t="s">
        <v>5666</v>
      </c>
      <c r="K264" s="1" t="s">
        <v>5694</v>
      </c>
      <c r="L264" s="1" t="s">
        <v>5693</v>
      </c>
      <c r="M264" s="1" t="s">
        <v>9158</v>
      </c>
      <c r="N264" s="1" t="s">
        <v>9158</v>
      </c>
      <c r="O264" s="1" t="s">
        <v>9158</v>
      </c>
      <c r="P264" s="1" t="s">
        <v>9158</v>
      </c>
      <c r="Q264" s="1" t="s">
        <v>9158</v>
      </c>
      <c r="R264" s="1" t="s">
        <v>5687</v>
      </c>
    </row>
    <row r="265" spans="1:18">
      <c r="A265" s="1">
        <v>78083</v>
      </c>
      <c r="B265" s="1" t="s">
        <v>5655</v>
      </c>
      <c r="C265" s="1" t="s">
        <v>5691</v>
      </c>
      <c r="D265" s="19" t="s">
        <v>10374</v>
      </c>
      <c r="E265" s="15" t="str">
        <f>HYPERLINK("https://stat100.ameba.jp/tnk47/ratio20/illustrations/card/ill_78083_ryoribatoruhidarukami03.jpg?201907-3-RELEASE-dice-e-419", "■")</f>
        <v>■</v>
      </c>
      <c r="F265" s="1" t="s">
        <v>5692</v>
      </c>
      <c r="G265" s="1">
        <v>87802</v>
      </c>
      <c r="H265" s="1">
        <v>121268</v>
      </c>
      <c r="I265" s="1">
        <v>23</v>
      </c>
      <c r="J265" s="1" t="s">
        <v>5666</v>
      </c>
      <c r="K265" s="1" t="s">
        <v>5694</v>
      </c>
      <c r="L265" s="1" t="s">
        <v>5695</v>
      </c>
      <c r="M265" s="1" t="s">
        <v>9158</v>
      </c>
      <c r="N265" s="1" t="s">
        <v>9158</v>
      </c>
      <c r="O265" s="1" t="s">
        <v>9158</v>
      </c>
      <c r="P265" s="1" t="s">
        <v>9158</v>
      </c>
      <c r="Q265" s="1" t="s">
        <v>9158</v>
      </c>
      <c r="R265" s="1" t="s">
        <v>5688</v>
      </c>
    </row>
    <row r="266" spans="1:18">
      <c r="A266" s="1">
        <v>78081</v>
      </c>
      <c r="B266" s="1" t="s">
        <v>5655</v>
      </c>
      <c r="C266" s="1" t="s">
        <v>5691</v>
      </c>
      <c r="D266" s="19" t="s">
        <v>10374</v>
      </c>
      <c r="E266" s="15" t="str">
        <f>HYPERLINK("https://stat100.ameba.jp/tnk47/ratio20/illustrations/card/ill_78081_ryoribatoruhidarukami01.jpg?201907-3-RELEASE-dice-e-419", "■")</f>
        <v>■</v>
      </c>
      <c r="F266" s="1" t="s">
        <v>5692</v>
      </c>
      <c r="G266" s="1">
        <v>55867</v>
      </c>
      <c r="H266" s="1">
        <v>77142</v>
      </c>
      <c r="I266" s="1">
        <v>23</v>
      </c>
      <c r="J266" s="1" t="s">
        <v>5666</v>
      </c>
      <c r="K266" s="1" t="s">
        <v>5694</v>
      </c>
      <c r="L266" s="1" t="s">
        <v>5696</v>
      </c>
      <c r="M266" s="1" t="s">
        <v>9158</v>
      </c>
      <c r="N266" s="1" t="s">
        <v>9158</v>
      </c>
      <c r="O266" s="1" t="s">
        <v>9158</v>
      </c>
      <c r="P266" s="1" t="s">
        <v>9158</v>
      </c>
      <c r="Q266" s="1" t="s">
        <v>9158</v>
      </c>
      <c r="R266" s="1" t="s">
        <v>5689</v>
      </c>
    </row>
    <row r="268" spans="1:18">
      <c r="A268" s="1" t="s">
        <v>10433</v>
      </c>
    </row>
    <row r="269" spans="1:18">
      <c r="A269" s="1" t="s">
        <v>5697</v>
      </c>
    </row>
    <row r="270" spans="1:18">
      <c r="A270" s="1">
        <v>59743</v>
      </c>
      <c r="B270" s="1" t="s">
        <v>5654</v>
      </c>
      <c r="C270" s="1" t="s">
        <v>5698</v>
      </c>
      <c r="D270" s="19" t="s">
        <v>10375</v>
      </c>
      <c r="E270" s="15" t="str">
        <f>HYPERLINK("https://stat100.ameba.jp/tnk47/ratio20/illustrations/card/ill_59743_kaitokiuifurutsuchan03.jpg?201907-3-RELEASE-dice-e-419", "■")</f>
        <v>■</v>
      </c>
      <c r="F270" s="1" t="s">
        <v>5699</v>
      </c>
      <c r="G270" s="1">
        <v>101002</v>
      </c>
      <c r="H270" s="1">
        <v>108617</v>
      </c>
      <c r="I270" s="1">
        <v>23</v>
      </c>
      <c r="J270" s="1" t="s">
        <v>5674</v>
      </c>
      <c r="K270" s="1" t="s">
        <v>5700</v>
      </c>
      <c r="L270" s="1" t="s">
        <v>5701</v>
      </c>
      <c r="M270" s="1" t="s">
        <v>9158</v>
      </c>
      <c r="N270" s="1" t="s">
        <v>9158</v>
      </c>
      <c r="O270" s="1" t="s">
        <v>9158</v>
      </c>
      <c r="P270" s="1" t="s">
        <v>9158</v>
      </c>
      <c r="Q270" s="1" t="s">
        <v>9158</v>
      </c>
    </row>
    <row r="271" spans="1:18">
      <c r="A271" s="1">
        <v>77243</v>
      </c>
      <c r="B271" s="1" t="s">
        <v>334</v>
      </c>
      <c r="C271" s="1" t="s">
        <v>185</v>
      </c>
      <c r="D271" s="19" t="s">
        <v>1435</v>
      </c>
      <c r="E271" s="15" t="str">
        <f>HYPERLINK("https://stat100.ameba.jp/tnk47/ratio20/illustrations/card/ill_77243_seikimatsuniijimayae03.jpg?201907-3-RELEASE-dice-e-419", "■")</f>
        <v>■</v>
      </c>
      <c r="F271" s="1" t="s">
        <v>1436</v>
      </c>
      <c r="G271" s="1">
        <v>89839</v>
      </c>
      <c r="H271" s="1">
        <v>83499</v>
      </c>
      <c r="I271" s="1">
        <v>23</v>
      </c>
      <c r="J271" s="1" t="s">
        <v>351</v>
      </c>
      <c r="K271" s="1" t="s">
        <v>1437</v>
      </c>
      <c r="L271" s="1" t="s">
        <v>1438</v>
      </c>
      <c r="M271" s="1" t="s">
        <v>9158</v>
      </c>
      <c r="N271" s="1" t="s">
        <v>9158</v>
      </c>
      <c r="O271" s="1" t="s">
        <v>9158</v>
      </c>
      <c r="P271" s="1" t="s">
        <v>9158</v>
      </c>
      <c r="Q271" s="1" t="s">
        <v>9158</v>
      </c>
    </row>
    <row r="272" spans="1:18">
      <c r="A272" s="1">
        <v>51873</v>
      </c>
      <c r="B272" s="1" t="s">
        <v>5654</v>
      </c>
      <c r="C272" s="1" t="s">
        <v>5702</v>
      </c>
      <c r="D272" s="19" t="s">
        <v>10376</v>
      </c>
      <c r="E272" s="15" t="str">
        <f>HYPERLINK("https://stat100.ameba.jp/tnk47/ratio20/illustrations/card/ill_51873_kemonomizugigo03.jpg?201907-3-RELEASE-dice-e-419", "■")</f>
        <v>■</v>
      </c>
      <c r="F272" s="1" t="s">
        <v>5703</v>
      </c>
      <c r="G272" s="1">
        <v>88650</v>
      </c>
      <c r="H272" s="1">
        <v>82422</v>
      </c>
      <c r="I272" s="1">
        <v>23</v>
      </c>
      <c r="J272" s="1" t="s">
        <v>5704</v>
      </c>
      <c r="K272" s="1" t="s">
        <v>5705</v>
      </c>
      <c r="L272" s="1" t="s">
        <v>5706</v>
      </c>
      <c r="M272" s="1" t="s">
        <v>5707</v>
      </c>
      <c r="N272" s="1" t="s">
        <v>1310</v>
      </c>
      <c r="O272" s="1" t="s">
        <v>9158</v>
      </c>
      <c r="P272" s="1" t="s">
        <v>9158</v>
      </c>
      <c r="Q272" s="1" t="s">
        <v>9158</v>
      </c>
      <c r="R272" s="1" t="s">
        <v>13192</v>
      </c>
    </row>
    <row r="273" spans="1:17">
      <c r="A273" s="1">
        <v>68333</v>
      </c>
      <c r="B273" s="1" t="s">
        <v>5655</v>
      </c>
      <c r="C273" s="1" t="s">
        <v>5659</v>
      </c>
      <c r="D273" s="19" t="s">
        <v>10377</v>
      </c>
      <c r="E273" s="15" t="str">
        <f>HYPERLINK("https://stat100.ameba.jp/tnk47/ratio20/illustrations/card/ill_68333_shurambonenkaikawahime03.jpg?201907-3-RELEASE-dice-e-419", "■")</f>
        <v>■</v>
      </c>
      <c r="F273" s="1" t="s">
        <v>5708</v>
      </c>
      <c r="G273" s="1">
        <v>51078</v>
      </c>
      <c r="H273" s="1">
        <v>56316</v>
      </c>
      <c r="I273" s="1">
        <v>19</v>
      </c>
      <c r="J273" s="1" t="s">
        <v>5666</v>
      </c>
      <c r="K273" s="1" t="s">
        <v>5709</v>
      </c>
      <c r="L273" s="1" t="s">
        <v>5668</v>
      </c>
      <c r="M273" s="1" t="s">
        <v>9158</v>
      </c>
      <c r="N273" s="1" t="s">
        <v>9158</v>
      </c>
      <c r="O273" s="1" t="s">
        <v>9158</v>
      </c>
      <c r="P273" s="1" t="s">
        <v>9158</v>
      </c>
      <c r="Q273" s="1" t="s">
        <v>9158</v>
      </c>
    </row>
    <row r="274" spans="1:17">
      <c r="A274" s="1">
        <v>57913</v>
      </c>
      <c r="B274" s="1" t="s">
        <v>5655</v>
      </c>
      <c r="C274" s="1" t="s">
        <v>5658</v>
      </c>
      <c r="D274" s="19" t="s">
        <v>501</v>
      </c>
      <c r="E274" s="15" t="str">
        <f>HYPERLINK("https://stat100.ameba.jp/tnk47/ratio20/illustrations/card/ill_57913_otokuchurusahohime03.jpg?201907-3-RELEASE-dice-e-419", "■")</f>
        <v>■</v>
      </c>
      <c r="F274" s="1" t="s">
        <v>5710</v>
      </c>
      <c r="G274" s="1">
        <v>56316</v>
      </c>
      <c r="H274" s="1">
        <v>51078</v>
      </c>
      <c r="I274" s="1">
        <v>19</v>
      </c>
      <c r="J274" s="1" t="s">
        <v>5711</v>
      </c>
      <c r="K274" s="1" t="s">
        <v>5712</v>
      </c>
      <c r="L274" s="1" t="s">
        <v>5713</v>
      </c>
      <c r="M274" s="1" t="s">
        <v>9158</v>
      </c>
      <c r="N274" s="1" t="s">
        <v>9158</v>
      </c>
      <c r="O274" s="1" t="s">
        <v>9158</v>
      </c>
      <c r="P274" s="1" t="s">
        <v>9158</v>
      </c>
      <c r="Q274" s="1" t="s">
        <v>9158</v>
      </c>
    </row>
    <row r="275" spans="1:17">
      <c r="A275" s="1">
        <v>69003</v>
      </c>
      <c r="B275" s="1" t="s">
        <v>5655</v>
      </c>
      <c r="C275" s="1" t="s">
        <v>5660</v>
      </c>
      <c r="D275" s="19" t="s">
        <v>10378</v>
      </c>
      <c r="E275" s="15" t="str">
        <f>HYPERLINK("https://stat100.ameba.jp/tnk47/ratio20/illustrations/card/ill_69003_namahagetokuhime03.jpg?201907-3-RELEASE-dice-e-419", "■")</f>
        <v>■</v>
      </c>
      <c r="F275" s="1" t="s">
        <v>5714</v>
      </c>
      <c r="G275" s="1">
        <v>51078</v>
      </c>
      <c r="H275" s="1">
        <v>56316</v>
      </c>
      <c r="I275" s="1">
        <v>19</v>
      </c>
      <c r="J275" s="1" t="s">
        <v>5704</v>
      </c>
      <c r="K275" s="1" t="s">
        <v>5715</v>
      </c>
      <c r="L275" s="1" t="s">
        <v>5716</v>
      </c>
      <c r="M275" s="1" t="s">
        <v>9158</v>
      </c>
      <c r="N275" s="1" t="s">
        <v>9158</v>
      </c>
      <c r="O275" s="1" t="s">
        <v>9158</v>
      </c>
      <c r="P275" s="1" t="s">
        <v>9158</v>
      </c>
      <c r="Q275" s="1" t="s">
        <v>9158</v>
      </c>
    </row>
    <row r="277" spans="1:17">
      <c r="A277" s="1" t="s">
        <v>5717</v>
      </c>
    </row>
    <row r="278" spans="1:17">
      <c r="A278" s="1" t="s">
        <v>5718</v>
      </c>
    </row>
    <row r="279" spans="1:17">
      <c r="A279" s="1" t="s">
        <v>5719</v>
      </c>
      <c r="B279" s="1" t="s">
        <v>52</v>
      </c>
      <c r="C279" s="1" t="s">
        <v>165</v>
      </c>
      <c r="D279" s="19" t="s">
        <v>10379</v>
      </c>
      <c r="E279" s="15" t="str">
        <f>HYPERLINK("https://stat100.ameba.jp/tnk47/ratio20/illustrations/card/ill_54523_0_yonshunennionohime03.jpg?201907-3-RELEASE-dice-e-419", "■")</f>
        <v>■</v>
      </c>
      <c r="F279" s="1" t="s">
        <v>1773</v>
      </c>
      <c r="G279" s="1">
        <v>122776</v>
      </c>
      <c r="H279" s="1">
        <v>138212</v>
      </c>
      <c r="I279" s="1">
        <v>22</v>
      </c>
      <c r="J279" s="1" t="s">
        <v>38</v>
      </c>
      <c r="K279" s="1" t="s">
        <v>1774</v>
      </c>
      <c r="L279" s="1" t="s">
        <v>1775</v>
      </c>
      <c r="M279" s="1" t="s">
        <v>9158</v>
      </c>
      <c r="N279" s="1" t="s">
        <v>9158</v>
      </c>
      <c r="O279" s="19" t="s">
        <v>10094</v>
      </c>
      <c r="P279" s="1" t="s">
        <v>13168</v>
      </c>
      <c r="Q279" s="1">
        <v>1</v>
      </c>
    </row>
    <row r="280" spans="1:17">
      <c r="A280" s="1" t="s">
        <v>5720</v>
      </c>
      <c r="B280" s="1" t="s">
        <v>330</v>
      </c>
      <c r="C280" s="1" t="s">
        <v>191</v>
      </c>
      <c r="D280" s="19" t="s">
        <v>2871</v>
      </c>
      <c r="E280" s="15" t="str">
        <f>HYPERLINK("https://stat100.ameba.jp/tnk47/ratio20/illustrations/card/ill_51973_0_kemonomizugikuroyuridensetsu03.jpg?201907-3-RELEASE-dice-e-419", "■")</f>
        <v>■</v>
      </c>
      <c r="F280" s="1" t="s">
        <v>2872</v>
      </c>
      <c r="G280" s="1">
        <v>138212</v>
      </c>
      <c r="H280" s="1">
        <v>122776</v>
      </c>
      <c r="I280" s="1">
        <v>22</v>
      </c>
      <c r="J280" s="1" t="s">
        <v>274</v>
      </c>
      <c r="K280" s="1" t="s">
        <v>2873</v>
      </c>
      <c r="L280" s="1" t="s">
        <v>2874</v>
      </c>
      <c r="M280" s="1" t="s">
        <v>9158</v>
      </c>
      <c r="N280" s="1" t="s">
        <v>9158</v>
      </c>
      <c r="O280" s="19" t="s">
        <v>10088</v>
      </c>
      <c r="P280" s="1" t="s">
        <v>13172</v>
      </c>
      <c r="Q280" s="1">
        <v>1</v>
      </c>
    </row>
    <row r="281" spans="1:17">
      <c r="A281" s="1" t="s">
        <v>5721</v>
      </c>
      <c r="B281" s="1" t="s">
        <v>52</v>
      </c>
      <c r="C281" s="1" t="s">
        <v>1</v>
      </c>
      <c r="D281" s="19" t="s">
        <v>513</v>
      </c>
      <c r="E281" s="15" t="str">
        <f>HYPERLINK("https://stat100.ameba.jp/tnk47/ratio20/illustrations/card/ill_44283_0_izumonokuni03.jpg?201907-3-RELEASE-dice-e-419", "■")</f>
        <v>■</v>
      </c>
      <c r="F281" s="1" t="s">
        <v>1716</v>
      </c>
      <c r="G281" s="1">
        <v>128744</v>
      </c>
      <c r="H281" s="1">
        <v>120576</v>
      </c>
      <c r="I281" s="1">
        <v>22</v>
      </c>
      <c r="J281" s="1" t="s">
        <v>16</v>
      </c>
      <c r="K281" s="1" t="s">
        <v>2254</v>
      </c>
      <c r="L281" s="1" t="s">
        <v>1718</v>
      </c>
      <c r="M281" s="1" t="s">
        <v>9158</v>
      </c>
      <c r="N281" s="1" t="s">
        <v>9158</v>
      </c>
      <c r="O281" s="1" t="s">
        <v>9158</v>
      </c>
      <c r="P281" s="1" t="s">
        <v>9158</v>
      </c>
      <c r="Q281" s="1" t="s">
        <v>9158</v>
      </c>
    </row>
    <row r="282" spans="1:17">
      <c r="A282" s="1">
        <v>82663</v>
      </c>
      <c r="B282" s="1" t="s">
        <v>5654</v>
      </c>
      <c r="C282" s="1" t="s">
        <v>5658</v>
      </c>
      <c r="D282" s="19" t="s">
        <v>10368</v>
      </c>
      <c r="E282" s="15" t="str">
        <f>HYPERLINK("https://stat100.ameba.jp/tnk47/ratio20/illustrations/card/ill_82663_fuisshingukoshikibunonaishi03.jpg?201907-3-RELEASE-dice-e-419", "■")</f>
        <v>■</v>
      </c>
      <c r="F282" s="1" t="s">
        <v>5662</v>
      </c>
      <c r="G282" s="1">
        <v>97318</v>
      </c>
      <c r="H282" s="1">
        <v>90522</v>
      </c>
      <c r="I282" s="1">
        <v>24</v>
      </c>
      <c r="J282" s="1" t="s">
        <v>414</v>
      </c>
      <c r="K282" s="1" t="s">
        <v>5663</v>
      </c>
      <c r="L282" s="1" t="s">
        <v>5664</v>
      </c>
      <c r="M282" s="1" t="s">
        <v>9158</v>
      </c>
      <c r="N282" s="1" t="s">
        <v>9158</v>
      </c>
      <c r="O282" s="1" t="s">
        <v>9158</v>
      </c>
      <c r="P282" s="1" t="s">
        <v>9158</v>
      </c>
      <c r="Q282" s="1" t="s">
        <v>9158</v>
      </c>
    </row>
    <row r="283" spans="1:17">
      <c r="A283" s="1">
        <v>82673</v>
      </c>
      <c r="B283" s="1" t="s">
        <v>5655</v>
      </c>
      <c r="C283" s="1" t="s">
        <v>5659</v>
      </c>
      <c r="D283" s="19" t="s">
        <v>10369</v>
      </c>
      <c r="E283" s="15" t="str">
        <f>HYPERLINK("https://stat100.ameba.jp/tnk47/ratio20/illustrations/card/ill_82673_akakanaja03.jpg?201907-3-RELEASE-dice-e-419", "■")</f>
        <v>■</v>
      </c>
      <c r="F283" s="1" t="s">
        <v>5665</v>
      </c>
      <c r="G283" s="1">
        <v>48390</v>
      </c>
      <c r="H283" s="1">
        <v>53352</v>
      </c>
      <c r="I283" s="1">
        <v>18</v>
      </c>
      <c r="J283" s="1" t="s">
        <v>5666</v>
      </c>
      <c r="K283" s="1" t="s">
        <v>5667</v>
      </c>
      <c r="L283" s="1" t="s">
        <v>5668</v>
      </c>
      <c r="M283" s="1" t="s">
        <v>9158</v>
      </c>
      <c r="N283" s="1" t="s">
        <v>9158</v>
      </c>
      <c r="O283" s="1" t="s">
        <v>9158</v>
      </c>
      <c r="P283" s="1" t="s">
        <v>9158</v>
      </c>
      <c r="Q283" s="1" t="s">
        <v>9158</v>
      </c>
    </row>
    <row r="284" spans="1:17">
      <c r="A284" s="1">
        <v>82683</v>
      </c>
      <c r="B284" s="1" t="s">
        <v>5656</v>
      </c>
      <c r="C284" s="1" t="s">
        <v>5660</v>
      </c>
      <c r="D284" s="19" t="s">
        <v>10370</v>
      </c>
      <c r="E284" s="15" t="str">
        <f>HYPERLINK("https://stat100.ameba.jp/tnk47/ratio20/illustrations/card/ill_82683_umibirakikasekihakkutsumusume03.jpg?201907-3-RELEASE-dice-e-419", "■")</f>
        <v>■</v>
      </c>
      <c r="F284" s="1" t="s">
        <v>5669</v>
      </c>
      <c r="G284" s="1">
        <v>35346</v>
      </c>
      <c r="H284" s="1">
        <v>29388</v>
      </c>
      <c r="I284" s="1">
        <v>17</v>
      </c>
      <c r="J284" s="1" t="s">
        <v>5670</v>
      </c>
      <c r="K284" s="1" t="s">
        <v>5672</v>
      </c>
      <c r="L284" s="1" t="s">
        <v>5671</v>
      </c>
      <c r="M284" s="1" t="s">
        <v>9158</v>
      </c>
      <c r="N284" s="1" t="s">
        <v>9158</v>
      </c>
      <c r="O284" s="1" t="s">
        <v>9158</v>
      </c>
      <c r="P284" s="1" t="s">
        <v>9158</v>
      </c>
      <c r="Q284" s="1" t="s">
        <v>9158</v>
      </c>
    </row>
    <row r="285" spans="1:17">
      <c r="A285" s="1">
        <v>82693</v>
      </c>
      <c r="B285" s="1" t="s">
        <v>5657</v>
      </c>
      <c r="C285" s="1" t="s">
        <v>5661</v>
      </c>
      <c r="D285" s="19" t="s">
        <v>10371</v>
      </c>
      <c r="E285" s="15" t="str">
        <f>HYPERLINK("https://stat100.ameba.jp/tnk47/ratio20/illustrations/card/ill_82693_wakasagi03.jpg?201907-3-RELEASE-dice-e-419", "■")</f>
        <v>■</v>
      </c>
      <c r="F285" s="1" t="s">
        <v>5673</v>
      </c>
      <c r="G285" s="1">
        <v>17972</v>
      </c>
      <c r="H285" s="1">
        <v>21398</v>
      </c>
      <c r="I285" s="1">
        <v>17</v>
      </c>
      <c r="J285" s="1" t="s">
        <v>5674</v>
      </c>
      <c r="K285" s="1" t="s">
        <v>5676</v>
      </c>
      <c r="L285" s="1" t="s">
        <v>5675</v>
      </c>
      <c r="M285" s="1" t="s">
        <v>9158</v>
      </c>
      <c r="N285" s="1" t="s">
        <v>9158</v>
      </c>
      <c r="O285" s="1" t="s">
        <v>9158</v>
      </c>
      <c r="P285" s="1" t="s">
        <v>9158</v>
      </c>
      <c r="Q285" s="1" t="s">
        <v>9158</v>
      </c>
    </row>
    <row r="287" spans="1:17">
      <c r="A287" s="1" t="s">
        <v>5722</v>
      </c>
    </row>
    <row r="288" spans="1:17">
      <c r="A288" s="1" t="s">
        <v>5723</v>
      </c>
    </row>
    <row r="289" spans="1:17">
      <c r="A289" s="1" t="s">
        <v>5724</v>
      </c>
      <c r="B289" s="1" t="s">
        <v>330</v>
      </c>
      <c r="C289" s="1" t="s">
        <v>335</v>
      </c>
      <c r="D289" s="19" t="s">
        <v>698</v>
      </c>
      <c r="E289" s="15" t="str">
        <f>HYPERLINK("https://stat100.ameba.jp/tnk47/ratio20/illustrations/card/ill_66433_0_haroinfujishirogozen03.jpg?201907-3-RELEASE-dice-e-419", "■")</f>
        <v>■</v>
      </c>
      <c r="F289" s="1" t="s">
        <v>699</v>
      </c>
      <c r="G289" s="1">
        <v>91807</v>
      </c>
      <c r="H289" s="1">
        <v>98751</v>
      </c>
      <c r="I289" s="1">
        <v>15</v>
      </c>
      <c r="J289" s="1" t="s">
        <v>315</v>
      </c>
      <c r="K289" s="1" t="s">
        <v>700</v>
      </c>
      <c r="L289" s="1" t="s">
        <v>701</v>
      </c>
      <c r="M289" s="1" t="s">
        <v>9158</v>
      </c>
      <c r="N289" s="1" t="s">
        <v>9158</v>
      </c>
      <c r="O289" s="19" t="s">
        <v>10095</v>
      </c>
      <c r="P289" s="1" t="s">
        <v>3345</v>
      </c>
      <c r="Q289" s="1">
        <v>1</v>
      </c>
    </row>
    <row r="290" spans="1:17">
      <c r="A290" s="1" t="s">
        <v>5725</v>
      </c>
      <c r="B290" s="1" t="s">
        <v>52</v>
      </c>
      <c r="C290" s="1" t="s">
        <v>107</v>
      </c>
      <c r="D290" s="19" t="s">
        <v>543</v>
      </c>
      <c r="E290" s="15" t="str">
        <f>HYPERLINK("https://stat100.ameba.jp/tnk47/ratio20/illustrations/card/ill_52693_0_sengokumibirakiyanagiharabyakuren03.jpg?201907-3-RELEASE-dice-e-419", "■")</f>
        <v>■</v>
      </c>
      <c r="F290" s="1" t="s">
        <v>1246</v>
      </c>
      <c r="G290" s="1">
        <v>83712</v>
      </c>
      <c r="H290" s="1">
        <v>94236</v>
      </c>
      <c r="I290" s="1">
        <v>15</v>
      </c>
      <c r="J290" s="1" t="s">
        <v>16</v>
      </c>
      <c r="K290" s="1" t="s">
        <v>1247</v>
      </c>
      <c r="L290" s="1" t="s">
        <v>1248</v>
      </c>
      <c r="M290" s="1" t="s">
        <v>9158</v>
      </c>
      <c r="N290" s="1" t="s">
        <v>9158</v>
      </c>
      <c r="O290" s="19" t="s">
        <v>2886</v>
      </c>
      <c r="P290" s="1" t="s">
        <v>3304</v>
      </c>
      <c r="Q290" s="1">
        <v>1</v>
      </c>
    </row>
    <row r="291" spans="1:17">
      <c r="A291" s="1" t="s">
        <v>5608</v>
      </c>
      <c r="B291" s="1" t="s">
        <v>52</v>
      </c>
      <c r="C291" s="1" t="s">
        <v>96</v>
      </c>
      <c r="D291" s="19" t="s">
        <v>634</v>
      </c>
      <c r="E291" s="15" t="str">
        <f>HYPERLINK("https://stat100.ameba.jp/tnk47/ratio20/illustrations/card/ill_40963_0_makami03.jpg?201907-3-RELEASE-dice-e-419", "■")</f>
        <v>■</v>
      </c>
      <c r="F291" s="1" t="s">
        <v>2038</v>
      </c>
      <c r="G291" s="1">
        <v>87780</v>
      </c>
      <c r="H291" s="1">
        <v>82212</v>
      </c>
      <c r="I291" s="1">
        <v>15</v>
      </c>
      <c r="J291" s="1" t="s">
        <v>44</v>
      </c>
      <c r="K291" s="1" t="s">
        <v>2039</v>
      </c>
      <c r="L291" s="1" t="s">
        <v>2040</v>
      </c>
      <c r="M291" s="1" t="s">
        <v>9158</v>
      </c>
      <c r="N291" s="1" t="s">
        <v>9158</v>
      </c>
      <c r="O291" s="1" t="s">
        <v>9158</v>
      </c>
      <c r="P291" s="1" t="s">
        <v>9158</v>
      </c>
      <c r="Q291" s="1" t="s">
        <v>9158</v>
      </c>
    </row>
    <row r="292" spans="1:17">
      <c r="A292" s="1">
        <v>75573</v>
      </c>
      <c r="B292" s="1" t="s">
        <v>5654</v>
      </c>
      <c r="C292" s="1" t="s">
        <v>107</v>
      </c>
      <c r="D292" s="19" t="s">
        <v>10380</v>
      </c>
      <c r="E292" s="15" t="str">
        <f>HYPERLINK("https://stat100.ameba.jp/tnk47/ratio20/illustrations/card/ill_75573_niirotadamoto03.jpg?201907-3-RELEASE-dice-e-419", "■")</f>
        <v>■</v>
      </c>
      <c r="F292" s="1" t="s">
        <v>5726</v>
      </c>
      <c r="G292" s="1">
        <v>142674</v>
      </c>
      <c r="H292" s="1">
        <v>132658</v>
      </c>
      <c r="I292" s="1">
        <v>24</v>
      </c>
      <c r="J292" s="1" t="s">
        <v>5727</v>
      </c>
      <c r="K292" s="1" t="s">
        <v>5728</v>
      </c>
      <c r="L292" s="1" t="s">
        <v>5729</v>
      </c>
      <c r="M292" s="1" t="s">
        <v>9158</v>
      </c>
      <c r="N292" s="1" t="s">
        <v>9158</v>
      </c>
      <c r="O292" s="1" t="s">
        <v>9158</v>
      </c>
      <c r="P292" s="1" t="s">
        <v>9158</v>
      </c>
      <c r="Q292" s="1" t="s">
        <v>9158</v>
      </c>
    </row>
    <row r="293" spans="1:17">
      <c r="A293" s="1">
        <v>77353</v>
      </c>
      <c r="B293" s="1" t="s">
        <v>334</v>
      </c>
      <c r="C293" s="1" t="s">
        <v>200</v>
      </c>
      <c r="D293" s="19" t="s">
        <v>1529</v>
      </c>
      <c r="E293" s="15" t="str">
        <f>HYPERLINK("https://stat100.ameba.jp/tnk47/ratio20/illustrations/card/ill_77353_chayamusumekandamatsuri03.jpg?201907-3-RELEASE-dice-e-419", "■")</f>
        <v>■</v>
      </c>
      <c r="F293" s="1" t="s">
        <v>1530</v>
      </c>
      <c r="G293" s="1">
        <v>109334</v>
      </c>
      <c r="H293" s="1">
        <v>101656</v>
      </c>
      <c r="I293" s="1">
        <v>24</v>
      </c>
      <c r="J293" s="1" t="s">
        <v>369</v>
      </c>
      <c r="K293" s="1" t="s">
        <v>1531</v>
      </c>
      <c r="L293" s="1" t="s">
        <v>1532</v>
      </c>
      <c r="M293" s="1" t="s">
        <v>9158</v>
      </c>
      <c r="N293" s="1" t="s">
        <v>9158</v>
      </c>
      <c r="O293" s="1" t="s">
        <v>9158</v>
      </c>
      <c r="P293" s="1" t="s">
        <v>9158</v>
      </c>
      <c r="Q293" s="1" t="s">
        <v>9158</v>
      </c>
    </row>
    <row r="294" spans="1:17">
      <c r="A294" s="1">
        <v>65643</v>
      </c>
      <c r="B294" s="1" t="s">
        <v>0</v>
      </c>
      <c r="C294" s="1" t="s">
        <v>209</v>
      </c>
      <c r="D294" s="19" t="s">
        <v>1681</v>
      </c>
      <c r="E294" s="15" t="str">
        <f>HYPERLINK("https://stat100.ameba.jp/tnk47/ratio20/illustrations/card/ill_65643_shitompekamui03.jpg?201907-3-RELEASE-dice-e-419", "■")</f>
        <v>■</v>
      </c>
      <c r="F294" s="1" t="s">
        <v>1250</v>
      </c>
      <c r="G294" s="1">
        <v>79348</v>
      </c>
      <c r="H294" s="1">
        <v>109554</v>
      </c>
      <c r="I294" s="1">
        <v>24</v>
      </c>
      <c r="J294" s="1" t="s">
        <v>44</v>
      </c>
      <c r="K294" s="1" t="s">
        <v>1251</v>
      </c>
      <c r="L294" s="1" t="s">
        <v>1252</v>
      </c>
      <c r="M294" s="1" t="s">
        <v>9158</v>
      </c>
      <c r="N294" s="1" t="s">
        <v>9158</v>
      </c>
      <c r="O294" s="19" t="s">
        <v>10096</v>
      </c>
      <c r="P294" s="1" t="s">
        <v>3245</v>
      </c>
      <c r="Q294" s="1">
        <v>1</v>
      </c>
    </row>
    <row r="296" spans="1:17">
      <c r="A296" s="1" t="s">
        <v>5731</v>
      </c>
    </row>
    <row r="297" spans="1:17">
      <c r="A297" s="1" t="s">
        <v>5732</v>
      </c>
    </row>
    <row r="298" spans="1:17">
      <c r="A298" s="1" t="s">
        <v>5733</v>
      </c>
      <c r="B298" s="1" t="s">
        <v>330</v>
      </c>
      <c r="C298" s="1" t="s">
        <v>202</v>
      </c>
      <c r="D298" s="19" t="s">
        <v>2744</v>
      </c>
      <c r="E298" s="15" t="str">
        <f>HYPERLINK("https://stat100.ameba.jp/tnk47/ratio20/illustrations/card/ill_78693_0_kyupittokoinomikoto03.jpg?201907-3-RELEASE-dice-e-419", "■")</f>
        <v>■</v>
      </c>
      <c r="F298" s="1" t="s">
        <v>2745</v>
      </c>
      <c r="G298" s="1">
        <v>230556</v>
      </c>
      <c r="H298" s="1">
        <v>255104</v>
      </c>
      <c r="I298" s="1">
        <v>22</v>
      </c>
      <c r="J298" s="1" t="s">
        <v>274</v>
      </c>
      <c r="K298" s="1" t="s">
        <v>2746</v>
      </c>
      <c r="L298" s="1" t="s">
        <v>2747</v>
      </c>
      <c r="M298" s="1" t="s">
        <v>9158</v>
      </c>
      <c r="N298" s="1" t="s">
        <v>9158</v>
      </c>
      <c r="O298" s="19" t="s">
        <v>10097</v>
      </c>
      <c r="P298" s="1" t="s">
        <v>2748</v>
      </c>
      <c r="Q298" s="1">
        <v>1</v>
      </c>
    </row>
    <row r="299" spans="1:17">
      <c r="A299" s="1" t="s">
        <v>5734</v>
      </c>
      <c r="B299" s="1" t="s">
        <v>330</v>
      </c>
      <c r="C299" s="1" t="s">
        <v>202</v>
      </c>
      <c r="D299" s="19" t="s">
        <v>1497</v>
      </c>
      <c r="E299" s="15" t="str">
        <f>HYPERLINK("https://stat100.ameba.jp/tnk47/ratio20/illustrations/card/ill_74593_0_natsuyuenchikoshihikari03.jpg?201907-3-RELEASE-dice-e-419", "■")</f>
        <v>■</v>
      </c>
      <c r="F299" s="1" t="s">
        <v>1498</v>
      </c>
      <c r="G299" s="1">
        <v>238328</v>
      </c>
      <c r="H299" s="1">
        <v>221566</v>
      </c>
      <c r="I299" s="1">
        <v>22</v>
      </c>
      <c r="J299" s="1" t="s">
        <v>283</v>
      </c>
      <c r="K299" s="1" t="s">
        <v>1499</v>
      </c>
      <c r="L299" s="1" t="s">
        <v>1500</v>
      </c>
      <c r="M299" s="1" t="s">
        <v>9158</v>
      </c>
      <c r="N299" s="1" t="s">
        <v>9158</v>
      </c>
      <c r="O299" s="19" t="s">
        <v>2731</v>
      </c>
      <c r="P299" s="1" t="s">
        <v>2732</v>
      </c>
      <c r="Q299" s="1">
        <v>1</v>
      </c>
    </row>
    <row r="300" spans="1:17">
      <c r="A300" s="1">
        <v>83393</v>
      </c>
      <c r="B300" s="1" t="s">
        <v>334</v>
      </c>
      <c r="C300" s="1" t="s">
        <v>209</v>
      </c>
      <c r="D300" s="19" t="s">
        <v>10381</v>
      </c>
      <c r="E300" s="15" t="str">
        <f>HYPERLINK("https://stat100.ameba.jp/tnk47/ratio20/illustrations/card/ill_83393_rito03.jpg?201907-3-RELEASE-dice-e-419", "■")</f>
        <v>■</v>
      </c>
      <c r="F300" s="1" t="s">
        <v>5735</v>
      </c>
      <c r="G300" s="1">
        <v>122476</v>
      </c>
      <c r="H300" s="1">
        <v>88706</v>
      </c>
      <c r="I300" s="1">
        <v>24</v>
      </c>
      <c r="J300" s="1" t="s">
        <v>5736</v>
      </c>
      <c r="K300" s="1" t="s">
        <v>5738</v>
      </c>
      <c r="L300" s="1" t="s">
        <v>5737</v>
      </c>
      <c r="M300" s="1" t="s">
        <v>9158</v>
      </c>
      <c r="N300" s="1" t="s">
        <v>9158</v>
      </c>
      <c r="O300" s="19" t="s">
        <v>10098</v>
      </c>
      <c r="P300" s="1" t="s">
        <v>5739</v>
      </c>
      <c r="Q300" s="1">
        <v>1</v>
      </c>
    </row>
    <row r="301" spans="1:17">
      <c r="A301" s="1">
        <v>66343</v>
      </c>
      <c r="B301" s="1" t="s">
        <v>0</v>
      </c>
      <c r="C301" s="1" t="s">
        <v>209</v>
      </c>
      <c r="D301" s="19" t="s">
        <v>832</v>
      </c>
      <c r="E301" s="15" t="str">
        <f>HYPERLINK("https://stat100.ameba.jp/tnk47/ratio20/illustrations/card/ill_66343_shunobon03.jpg?201907-3-RELEASE-dice-e-419", "■")</f>
        <v>■</v>
      </c>
      <c r="F301" s="1" t="s">
        <v>1254</v>
      </c>
      <c r="G301" s="1">
        <v>70942</v>
      </c>
      <c r="H301" s="1">
        <v>97925</v>
      </c>
      <c r="I301" s="1">
        <v>21</v>
      </c>
      <c r="J301" s="1" t="s">
        <v>73</v>
      </c>
      <c r="K301" s="1" t="s">
        <v>1255</v>
      </c>
      <c r="L301" s="1" t="s">
        <v>1256</v>
      </c>
      <c r="M301" s="1" t="s">
        <v>9158</v>
      </c>
      <c r="N301" s="1" t="s">
        <v>9158</v>
      </c>
      <c r="O301" s="1" t="s">
        <v>9158</v>
      </c>
      <c r="P301" s="1" t="s">
        <v>9158</v>
      </c>
      <c r="Q301" s="1" t="s">
        <v>9158</v>
      </c>
    </row>
    <row r="302" spans="1:17">
      <c r="A302" s="1">
        <v>49403</v>
      </c>
      <c r="B302" s="1" t="s">
        <v>334</v>
      </c>
      <c r="C302" s="1" t="s">
        <v>5740</v>
      </c>
      <c r="D302" s="19" t="s">
        <v>10382</v>
      </c>
      <c r="E302" s="15" t="str">
        <f>HYPERLINK("https://stat100.ameba.jp/tnk47/ratio20/illustrations/card/ill_49403_hyakkiyagyouemaki03.jpg?201907-3-RELEASE-dice-e-419", "■")</f>
        <v>■</v>
      </c>
      <c r="F302" s="1" t="s">
        <v>5741</v>
      </c>
      <c r="G302" s="1">
        <v>86668</v>
      </c>
      <c r="H302" s="1">
        <v>63547</v>
      </c>
      <c r="I302" s="1">
        <v>21</v>
      </c>
      <c r="J302" s="1" t="s">
        <v>5736</v>
      </c>
      <c r="K302" s="1" t="s">
        <v>5743</v>
      </c>
      <c r="L302" s="1" t="s">
        <v>5742</v>
      </c>
      <c r="M302" s="1" t="s">
        <v>9158</v>
      </c>
      <c r="N302" s="1" t="s">
        <v>9158</v>
      </c>
      <c r="O302" s="1" t="s">
        <v>9158</v>
      </c>
      <c r="P302" s="1" t="s">
        <v>9158</v>
      </c>
      <c r="Q302" s="1" t="s">
        <v>9158</v>
      </c>
    </row>
    <row r="303" spans="1:17">
      <c r="A303" s="1">
        <v>55703</v>
      </c>
      <c r="B303" s="1" t="s">
        <v>334</v>
      </c>
      <c r="C303" s="1" t="s">
        <v>5740</v>
      </c>
      <c r="D303" s="19" t="s">
        <v>10383</v>
      </c>
      <c r="E303" s="15" t="str">
        <f>HYPERLINK("https://stat100.ameba.jp/tnk47/ratio20/illustrations/card/ill_55703_goyachampuru03.jpg?201907-3-RELEASE-dice-e-419", "■")</f>
        <v>■</v>
      </c>
      <c r="F303" s="1" t="s">
        <v>5744</v>
      </c>
      <c r="G303" s="1">
        <v>86668</v>
      </c>
      <c r="H303" s="1">
        <v>63547</v>
      </c>
      <c r="I303" s="1">
        <v>21</v>
      </c>
      <c r="J303" s="1" t="s">
        <v>283</v>
      </c>
      <c r="K303" s="1" t="s">
        <v>5746</v>
      </c>
      <c r="L303" s="1" t="s">
        <v>5745</v>
      </c>
      <c r="M303" s="1" t="s">
        <v>9158</v>
      </c>
      <c r="N303" s="1" t="s">
        <v>9158</v>
      </c>
      <c r="O303" s="1" t="s">
        <v>9158</v>
      </c>
      <c r="P303" s="1" t="s">
        <v>9158</v>
      </c>
      <c r="Q303" s="1" t="s">
        <v>9158</v>
      </c>
    </row>
    <row r="304" spans="1:17">
      <c r="A304" s="1">
        <v>71323</v>
      </c>
      <c r="B304" s="1" t="s">
        <v>334</v>
      </c>
      <c r="C304" s="1" t="s">
        <v>154</v>
      </c>
      <c r="D304" s="19" t="s">
        <v>10184</v>
      </c>
      <c r="E304" s="15" t="str">
        <f>HYPERLINK("https://stat100.ameba.jp/tnk47/ratio20/illustrations/card/ill_71323_kodanobu03.jpg?201907-3-RELEASE-dice-e-419", "■")</f>
        <v>■</v>
      </c>
      <c r="F304" s="1" t="s">
        <v>1879</v>
      </c>
      <c r="G304" s="1">
        <v>105000</v>
      </c>
      <c r="H304" s="1">
        <v>97629</v>
      </c>
      <c r="I304" s="1">
        <v>21</v>
      </c>
      <c r="J304" s="1" t="s">
        <v>159</v>
      </c>
      <c r="K304" s="1" t="s">
        <v>2694</v>
      </c>
      <c r="L304" s="1" t="s">
        <v>13182</v>
      </c>
      <c r="M304" s="1" t="s">
        <v>9158</v>
      </c>
      <c r="N304" s="1" t="s">
        <v>9158</v>
      </c>
      <c r="O304" s="19" t="s">
        <v>10082</v>
      </c>
      <c r="P304" s="1" t="s">
        <v>13124</v>
      </c>
      <c r="Q304" s="1">
        <v>1</v>
      </c>
    </row>
    <row r="305" spans="1:18">
      <c r="A305" s="1">
        <v>52083</v>
      </c>
      <c r="B305" s="1" t="s">
        <v>0</v>
      </c>
      <c r="C305" s="1" t="s">
        <v>158</v>
      </c>
      <c r="D305" s="19" t="s">
        <v>2913</v>
      </c>
      <c r="E305" s="15" t="str">
        <f>HYPERLINK("https://stat100.ameba.jp/tnk47/ratio20/illustrations/card/ill_52083_berubetto03.jpg?201907-3-RELEASE-dice-e-419", "■")</f>
        <v>■</v>
      </c>
      <c r="F305" s="1" t="s">
        <v>944</v>
      </c>
      <c r="G305" s="1">
        <v>72356</v>
      </c>
      <c r="H305" s="1">
        <v>99889</v>
      </c>
      <c r="I305" s="1">
        <v>21</v>
      </c>
      <c r="J305" s="1" t="s">
        <v>26</v>
      </c>
      <c r="K305" s="1" t="s">
        <v>1864</v>
      </c>
      <c r="L305" s="1" t="s">
        <v>1865</v>
      </c>
      <c r="M305" s="1" t="s">
        <v>9158</v>
      </c>
      <c r="N305" s="1" t="s">
        <v>9158</v>
      </c>
      <c r="O305" s="19" t="s">
        <v>2917</v>
      </c>
      <c r="P305" s="1" t="s">
        <v>2918</v>
      </c>
      <c r="Q305" s="1">
        <v>1</v>
      </c>
    </row>
    <row r="307" spans="1:18">
      <c r="A307" s="1" t="s">
        <v>13326</v>
      </c>
    </row>
    <row r="308" spans="1:18">
      <c r="A308" s="1" t="s">
        <v>5730</v>
      </c>
    </row>
    <row r="309" spans="1:18">
      <c r="A309" s="1">
        <v>66113</v>
      </c>
      <c r="B309" s="1" t="s">
        <v>334</v>
      </c>
      <c r="C309" s="1" t="s">
        <v>185</v>
      </c>
      <c r="D309" s="19" t="s">
        <v>1292</v>
      </c>
      <c r="E309" s="15" t="str">
        <f>HYPERLINK("https://stat100.ameba.jp/tnk47/ratio20/illustrations/card/ill_66113_shirarikahime03.jpg?201907-3-RELEASE-dice-e-419", "■")</f>
        <v>■</v>
      </c>
      <c r="F309" s="1" t="s">
        <v>1293</v>
      </c>
      <c r="G309" s="1">
        <v>118152</v>
      </c>
      <c r="H309" s="1">
        <v>109852</v>
      </c>
      <c r="I309" s="1">
        <v>24</v>
      </c>
      <c r="J309" s="1" t="s">
        <v>274</v>
      </c>
      <c r="K309" s="1" t="s">
        <v>1304</v>
      </c>
      <c r="L309" s="2" t="s">
        <v>9908</v>
      </c>
      <c r="M309" s="1" t="s">
        <v>13151</v>
      </c>
      <c r="N309" s="1" t="s">
        <v>251</v>
      </c>
      <c r="O309" s="1" t="s">
        <v>9158</v>
      </c>
      <c r="P309" s="1" t="s">
        <v>9158</v>
      </c>
      <c r="Q309" s="1" t="s">
        <v>9158</v>
      </c>
      <c r="R309" s="14" t="s">
        <v>14858</v>
      </c>
    </row>
    <row r="310" spans="1:18">
      <c r="A310" s="1">
        <v>66112</v>
      </c>
      <c r="B310" s="1" t="s">
        <v>334</v>
      </c>
      <c r="C310" s="1" t="s">
        <v>185</v>
      </c>
      <c r="D310" s="19" t="s">
        <v>1292</v>
      </c>
      <c r="E310" s="15" t="str">
        <f>HYPERLINK("https://stat100.ameba.jp/tnk47/ratio20/illustrations/card/ill_66112_shirarikahime02.jpg?201907-3-RELEASE-dice-e-419", "■")</f>
        <v>■</v>
      </c>
      <c r="F310" s="1" t="s">
        <v>1293</v>
      </c>
      <c r="G310" s="1">
        <v>98768</v>
      </c>
      <c r="H310" s="1">
        <v>90984</v>
      </c>
      <c r="I310" s="1">
        <v>24</v>
      </c>
      <c r="J310" s="1" t="s">
        <v>274</v>
      </c>
      <c r="K310" s="1" t="s">
        <v>1304</v>
      </c>
      <c r="L310" s="2" t="s">
        <v>9908</v>
      </c>
      <c r="M310" s="1" t="s">
        <v>13156</v>
      </c>
      <c r="N310" s="1" t="s">
        <v>1310</v>
      </c>
      <c r="O310" s="1" t="s">
        <v>9158</v>
      </c>
      <c r="P310" s="1" t="s">
        <v>9158</v>
      </c>
      <c r="Q310" s="1" t="s">
        <v>9158</v>
      </c>
      <c r="R310" s="14" t="s">
        <v>14858</v>
      </c>
    </row>
    <row r="311" spans="1:18">
      <c r="A311" s="1">
        <v>66111</v>
      </c>
      <c r="B311" s="1" t="s">
        <v>334</v>
      </c>
      <c r="C311" s="1" t="s">
        <v>185</v>
      </c>
      <c r="D311" s="19" t="s">
        <v>1292</v>
      </c>
      <c r="E311" s="15" t="str">
        <f>HYPERLINK("https://stat100.ameba.jp/tnk47/ratio20/illustrations/card/ill_66111_shirarikahime01.jpg?201907-3-RELEASE-dice-e-419", "■")</f>
        <v>■</v>
      </c>
      <c r="F311" s="1" t="s">
        <v>1293</v>
      </c>
      <c r="G311" s="1">
        <v>75408</v>
      </c>
      <c r="H311" s="1">
        <v>70200</v>
      </c>
      <c r="I311" s="1">
        <v>24</v>
      </c>
      <c r="J311" s="1" t="s">
        <v>274</v>
      </c>
      <c r="K311" s="1" t="s">
        <v>1304</v>
      </c>
      <c r="L311" s="2" t="s">
        <v>9908</v>
      </c>
      <c r="M311" s="1" t="s">
        <v>13156</v>
      </c>
      <c r="N311" s="1" t="s">
        <v>1310</v>
      </c>
      <c r="O311" s="1" t="s">
        <v>9158</v>
      </c>
      <c r="P311" s="1" t="s">
        <v>9158</v>
      </c>
      <c r="Q311" s="1" t="s">
        <v>9158</v>
      </c>
      <c r="R311" s="14" t="s">
        <v>14858</v>
      </c>
    </row>
    <row r="312" spans="1:18">
      <c r="A312" s="1">
        <v>65383</v>
      </c>
      <c r="B312" s="1" t="s">
        <v>334</v>
      </c>
      <c r="C312" s="1" t="s">
        <v>200</v>
      </c>
      <c r="D312" s="19" t="s">
        <v>1294</v>
      </c>
      <c r="E312" s="15" t="str">
        <f>HYPERLINK("https://stat100.ameba.jp/tnk47/ratio20/illustrations/card/ill_65383_aogashimachan03.jpg?201907-3-RELEASE-dice-e-419", "■")</f>
        <v>■</v>
      </c>
      <c r="F312" s="1" t="s">
        <v>1295</v>
      </c>
      <c r="G312" s="1">
        <v>109852</v>
      </c>
      <c r="H312" s="1">
        <v>118152</v>
      </c>
      <c r="I312" s="1">
        <v>24</v>
      </c>
      <c r="J312" s="1" t="s">
        <v>369</v>
      </c>
      <c r="K312" s="1" t="s">
        <v>1305</v>
      </c>
      <c r="L312" s="2" t="s">
        <v>9909</v>
      </c>
      <c r="M312" s="1" t="s">
        <v>13151</v>
      </c>
      <c r="N312" s="1" t="s">
        <v>251</v>
      </c>
      <c r="O312" s="1" t="s">
        <v>9158</v>
      </c>
      <c r="P312" s="1" t="s">
        <v>9158</v>
      </c>
      <c r="Q312" s="1" t="s">
        <v>9158</v>
      </c>
      <c r="R312" s="14" t="s">
        <v>14858</v>
      </c>
    </row>
    <row r="313" spans="1:18">
      <c r="A313" s="1">
        <v>66123</v>
      </c>
      <c r="B313" s="1" t="s">
        <v>334</v>
      </c>
      <c r="C313" s="1" t="s">
        <v>191</v>
      </c>
      <c r="D313" s="19" t="s">
        <v>1296</v>
      </c>
      <c r="E313" s="15" t="str">
        <f>HYPERLINK("https://stat100.ameba.jp/tnk47/ratio20/illustrations/card/ill_66123_taikemmoninnohorikawa03.jpg?201907-3-RELEASE-dice-e-419", "■")</f>
        <v>■</v>
      </c>
      <c r="F313" s="1" t="s">
        <v>1297</v>
      </c>
      <c r="G313" s="1">
        <v>118152</v>
      </c>
      <c r="H313" s="1">
        <v>109852</v>
      </c>
      <c r="I313" s="1">
        <v>24</v>
      </c>
      <c r="J313" s="1" t="s">
        <v>414</v>
      </c>
      <c r="K313" s="1" t="s">
        <v>1306</v>
      </c>
      <c r="L313" s="2" t="s">
        <v>9910</v>
      </c>
      <c r="M313" s="1" t="s">
        <v>13151</v>
      </c>
      <c r="N313" s="1" t="s">
        <v>251</v>
      </c>
      <c r="O313" s="1" t="s">
        <v>9158</v>
      </c>
      <c r="P313" s="1" t="s">
        <v>9158</v>
      </c>
      <c r="Q313" s="1" t="s">
        <v>9158</v>
      </c>
      <c r="R313" s="14" t="s">
        <v>14858</v>
      </c>
    </row>
    <row r="314" spans="1:18">
      <c r="A314" s="1">
        <v>66133</v>
      </c>
      <c r="B314" s="1" t="s">
        <v>334</v>
      </c>
      <c r="C314" s="1" t="s">
        <v>165</v>
      </c>
      <c r="D314" s="19" t="s">
        <v>1298</v>
      </c>
      <c r="E314" s="15" t="str">
        <f>HYPERLINK("https://stat100.ameba.jp/tnk47/ratio20/illustrations/card/ill_66133_iinaosuke03.jpg?201907-3-RELEASE-dice-e-419", "■")</f>
        <v>■</v>
      </c>
      <c r="F314" s="1" t="s">
        <v>1299</v>
      </c>
      <c r="G314" s="1">
        <v>109852</v>
      </c>
      <c r="H314" s="1">
        <v>118152</v>
      </c>
      <c r="I314" s="1">
        <v>24</v>
      </c>
      <c r="J314" s="1" t="s">
        <v>351</v>
      </c>
      <c r="K314" s="1" t="s">
        <v>1307</v>
      </c>
      <c r="L314" s="2" t="s">
        <v>9911</v>
      </c>
      <c r="M314" s="1" t="s">
        <v>13151</v>
      </c>
      <c r="N314" s="1" t="s">
        <v>251</v>
      </c>
      <c r="O314" s="1" t="s">
        <v>9158</v>
      </c>
      <c r="P314" s="1" t="s">
        <v>9158</v>
      </c>
      <c r="Q314" s="1" t="s">
        <v>9158</v>
      </c>
      <c r="R314" s="14" t="s">
        <v>14858</v>
      </c>
    </row>
    <row r="315" spans="1:18">
      <c r="A315" s="1">
        <v>65393</v>
      </c>
      <c r="B315" s="1" t="s">
        <v>334</v>
      </c>
      <c r="C315" s="1" t="s">
        <v>205</v>
      </c>
      <c r="D315" s="19" t="s">
        <v>1300</v>
      </c>
      <c r="E315" s="15" t="str">
        <f>HYPERLINK("https://stat100.ameba.jp/tnk47/ratio20/illustrations/card/ill_65393_motochikafujin03.jpg?201907-3-RELEASE-dice-e-419", "■")</f>
        <v>■</v>
      </c>
      <c r="F315" s="1" t="s">
        <v>1301</v>
      </c>
      <c r="G315" s="1">
        <v>109852</v>
      </c>
      <c r="H315" s="1">
        <v>118152</v>
      </c>
      <c r="I315" s="1">
        <v>24</v>
      </c>
      <c r="J315" s="1" t="s">
        <v>315</v>
      </c>
      <c r="K315" s="1" t="s">
        <v>1308</v>
      </c>
      <c r="L315" s="2" t="s">
        <v>9912</v>
      </c>
      <c r="M315" s="1" t="s">
        <v>13151</v>
      </c>
      <c r="N315" s="1" t="s">
        <v>251</v>
      </c>
      <c r="O315" s="1" t="s">
        <v>9158</v>
      </c>
      <c r="P315" s="1" t="s">
        <v>9158</v>
      </c>
      <c r="Q315" s="1" t="s">
        <v>9158</v>
      </c>
      <c r="R315" s="14" t="s">
        <v>14858</v>
      </c>
    </row>
    <row r="316" spans="1:18">
      <c r="A316" s="1">
        <v>65403</v>
      </c>
      <c r="B316" s="1" t="s">
        <v>334</v>
      </c>
      <c r="C316" s="1" t="s">
        <v>206</v>
      </c>
      <c r="D316" s="19" t="s">
        <v>1302</v>
      </c>
      <c r="E316" s="15" t="str">
        <f>HYPERLINK("https://stat100.ameba.jp/tnk47/ratio20/illustrations/card/ill_65403_amenokoyanenomikoto03.jpg?201907-3-RELEASE-dice-e-419", "■")</f>
        <v>■</v>
      </c>
      <c r="F316" s="1" t="s">
        <v>1303</v>
      </c>
      <c r="G316" s="1">
        <v>118152</v>
      </c>
      <c r="H316" s="1">
        <v>109852</v>
      </c>
      <c r="I316" s="1">
        <v>24</v>
      </c>
      <c r="J316" s="1" t="s">
        <v>401</v>
      </c>
      <c r="K316" s="1" t="s">
        <v>1309</v>
      </c>
      <c r="L316" s="2" t="s">
        <v>9913</v>
      </c>
      <c r="M316" s="1" t="s">
        <v>13151</v>
      </c>
      <c r="N316" s="1" t="s">
        <v>251</v>
      </c>
      <c r="O316" s="1" t="s">
        <v>9158</v>
      </c>
      <c r="P316" s="1" t="s">
        <v>9158</v>
      </c>
      <c r="Q316" s="1" t="s">
        <v>9158</v>
      </c>
      <c r="R316" s="14" t="s">
        <v>14858</v>
      </c>
    </row>
    <row r="318" spans="1:18">
      <c r="A318" s="1" t="s">
        <v>5747</v>
      </c>
    </row>
    <row r="319" spans="1:18">
      <c r="A319" s="1" t="s">
        <v>5748</v>
      </c>
    </row>
    <row r="320" spans="1:18">
      <c r="A320" s="1">
        <v>79495</v>
      </c>
      <c r="B320" s="1" t="s">
        <v>5749</v>
      </c>
      <c r="C320" s="1" t="s">
        <v>5751</v>
      </c>
      <c r="D320" s="19" t="s">
        <v>10384</v>
      </c>
      <c r="E320" s="15" t="str">
        <f>HYPERLINK("https://stat100.ameba.jp/tnk47/ratio20/illustrations/card/ill_79495_kyabinatendantofukuhime05.jpg?201907-4-RELEASE-guildbattle-420", "■")</f>
        <v>■</v>
      </c>
      <c r="F320" s="1" t="s">
        <v>5757</v>
      </c>
      <c r="G320" s="1">
        <v>81692</v>
      </c>
      <c r="H320" s="1">
        <v>112832</v>
      </c>
      <c r="I320" s="1">
        <v>24</v>
      </c>
      <c r="J320" s="1" t="s">
        <v>5758</v>
      </c>
      <c r="K320" s="1" t="s">
        <v>5759</v>
      </c>
      <c r="L320" s="1" t="s">
        <v>5760</v>
      </c>
      <c r="M320" s="1" t="s">
        <v>9158</v>
      </c>
      <c r="N320" s="1" t="s">
        <v>9158</v>
      </c>
      <c r="O320" s="1" t="s">
        <v>9158</v>
      </c>
      <c r="P320" s="1" t="s">
        <v>9158</v>
      </c>
      <c r="Q320" s="1" t="s">
        <v>9158</v>
      </c>
      <c r="R320" s="1" t="s">
        <v>5752</v>
      </c>
    </row>
    <row r="321" spans="1:18">
      <c r="A321" s="1">
        <v>79493</v>
      </c>
      <c r="B321" s="1" t="s">
        <v>5750</v>
      </c>
      <c r="C321" s="1" t="s">
        <v>5755</v>
      </c>
      <c r="D321" s="19" t="s">
        <v>10384</v>
      </c>
      <c r="E321" s="15" t="str">
        <f>HYPERLINK("https://stat100.ameba.jp/tnk47/ratio20/illustrations/card/ill_79493_kyabinatendantofukuhime03.jpg?201907-4-RELEASE-guildbattle-420", "■")</f>
        <v>■</v>
      </c>
      <c r="F321" s="1" t="s">
        <v>5757</v>
      </c>
      <c r="G321" s="1">
        <v>60186</v>
      </c>
      <c r="H321" s="1">
        <v>83124</v>
      </c>
      <c r="I321" s="1">
        <v>24</v>
      </c>
      <c r="J321" s="1" t="s">
        <v>5758</v>
      </c>
      <c r="K321" s="1" t="s">
        <v>5759</v>
      </c>
      <c r="L321" s="1" t="s">
        <v>5762</v>
      </c>
      <c r="M321" s="1" t="s">
        <v>9158</v>
      </c>
      <c r="N321" s="1" t="s">
        <v>9158</v>
      </c>
      <c r="O321" s="1" t="s">
        <v>9158</v>
      </c>
      <c r="P321" s="1" t="s">
        <v>9158</v>
      </c>
      <c r="Q321" s="1" t="s">
        <v>9158</v>
      </c>
      <c r="R321" s="1" t="s">
        <v>5753</v>
      </c>
    </row>
    <row r="322" spans="1:18">
      <c r="A322" s="1">
        <v>79491</v>
      </c>
      <c r="B322" s="1" t="s">
        <v>5750</v>
      </c>
      <c r="C322" s="1" t="s">
        <v>5755</v>
      </c>
      <c r="D322" s="19" t="s">
        <v>10384</v>
      </c>
      <c r="E322" s="15" t="str">
        <f>HYPERLINK("https://stat100.ameba.jp/tnk47/ratio20/illustrations/card/ill_79491_kyabinatendantofukuhime01.jpg?201907-4-RELEASE-guildbattle-420", "■")</f>
        <v>■</v>
      </c>
      <c r="F322" s="1" t="s">
        <v>5757</v>
      </c>
      <c r="G322" s="1">
        <v>38280</v>
      </c>
      <c r="H322" s="1">
        <v>52872</v>
      </c>
      <c r="I322" s="1">
        <v>24</v>
      </c>
      <c r="J322" s="1" t="s">
        <v>5758</v>
      </c>
      <c r="K322" s="1" t="s">
        <v>5759</v>
      </c>
      <c r="L322" s="1" t="s">
        <v>5761</v>
      </c>
      <c r="M322" s="1" t="s">
        <v>9158</v>
      </c>
      <c r="N322" s="1" t="s">
        <v>9158</v>
      </c>
      <c r="O322" s="1" t="s">
        <v>9158</v>
      </c>
      <c r="P322" s="1" t="s">
        <v>9158</v>
      </c>
      <c r="Q322" s="1" t="s">
        <v>9158</v>
      </c>
      <c r="R322" s="1" t="s">
        <v>5754</v>
      </c>
    </row>
    <row r="323" spans="1:18">
      <c r="A323" s="1">
        <v>77575</v>
      </c>
      <c r="B323" s="1" t="s">
        <v>5749</v>
      </c>
      <c r="C323" s="1" t="s">
        <v>5751</v>
      </c>
      <c r="D323" s="19" t="s">
        <v>10385</v>
      </c>
      <c r="E323" s="15" t="str">
        <f>HYPERLINK("https://stat100.ameba.jp/tnk47/ratio20/illustrations/card/ill_77575_chayamusumewakaruhimenomikoto05.jpg?201907-4-RELEASE-guildbattle-420", "■")</f>
        <v>■</v>
      </c>
      <c r="F323" s="1" t="s">
        <v>5763</v>
      </c>
      <c r="G323" s="1">
        <v>112832</v>
      </c>
      <c r="H323" s="1">
        <v>81692</v>
      </c>
      <c r="I323" s="1">
        <v>24</v>
      </c>
      <c r="J323" s="1" t="s">
        <v>5764</v>
      </c>
      <c r="K323" s="1" t="s">
        <v>5765</v>
      </c>
      <c r="L323" s="1" t="s">
        <v>5766</v>
      </c>
      <c r="M323" s="1" t="s">
        <v>9158</v>
      </c>
      <c r="N323" s="1" t="s">
        <v>9158</v>
      </c>
      <c r="O323" s="1" t="s">
        <v>9158</v>
      </c>
      <c r="P323" s="1" t="s">
        <v>9158</v>
      </c>
      <c r="Q323" s="1" t="s">
        <v>9158</v>
      </c>
      <c r="R323" s="1" t="s">
        <v>5752</v>
      </c>
    </row>
    <row r="324" spans="1:18">
      <c r="A324" s="1">
        <v>77573</v>
      </c>
      <c r="B324" s="1" t="s">
        <v>5750</v>
      </c>
      <c r="C324" s="1" t="s">
        <v>5756</v>
      </c>
      <c r="D324" s="19" t="s">
        <v>10385</v>
      </c>
      <c r="E324" s="15" t="str">
        <f>HYPERLINK("https://stat100.ameba.jp/tnk47/ratio20/illustrations/card/ill_77573_chayamusumewakaruhimenomikoto03.jpg?201907-4-RELEASE-guildbattle-420", "■")</f>
        <v>■</v>
      </c>
      <c r="F324" s="1" t="s">
        <v>5763</v>
      </c>
      <c r="G324" s="1">
        <v>83124</v>
      </c>
      <c r="H324" s="1">
        <v>60186</v>
      </c>
      <c r="I324" s="1">
        <v>24</v>
      </c>
      <c r="J324" s="1" t="s">
        <v>5764</v>
      </c>
      <c r="K324" s="1" t="s">
        <v>5765</v>
      </c>
      <c r="L324" s="1" t="s">
        <v>5768</v>
      </c>
      <c r="M324" s="1" t="s">
        <v>9158</v>
      </c>
      <c r="N324" s="1" t="s">
        <v>9158</v>
      </c>
      <c r="O324" s="1" t="s">
        <v>9158</v>
      </c>
      <c r="P324" s="1" t="s">
        <v>9158</v>
      </c>
      <c r="Q324" s="1" t="s">
        <v>9158</v>
      </c>
      <c r="R324" s="1" t="s">
        <v>5753</v>
      </c>
    </row>
    <row r="325" spans="1:18">
      <c r="A325" s="1">
        <v>77571</v>
      </c>
      <c r="B325" s="1" t="s">
        <v>5750</v>
      </c>
      <c r="C325" s="1" t="s">
        <v>5756</v>
      </c>
      <c r="D325" s="19" t="s">
        <v>10385</v>
      </c>
      <c r="E325" s="15" t="str">
        <f>HYPERLINK("https://stat100.ameba.jp/tnk47/ratio20/illustrations/card/ill_77571_chayamusumewakaruhimenomikoto01.jpg?201907-4-RELEASE-guildbattle-420", "■")</f>
        <v>■</v>
      </c>
      <c r="F325" s="1" t="s">
        <v>5763</v>
      </c>
      <c r="G325" s="1">
        <v>52872</v>
      </c>
      <c r="H325" s="1">
        <v>38280</v>
      </c>
      <c r="I325" s="1">
        <v>24</v>
      </c>
      <c r="J325" s="1" t="s">
        <v>5764</v>
      </c>
      <c r="K325" s="1" t="s">
        <v>5765</v>
      </c>
      <c r="L325" s="1" t="s">
        <v>5767</v>
      </c>
      <c r="M325" s="1" t="s">
        <v>9158</v>
      </c>
      <c r="N325" s="1" t="s">
        <v>9158</v>
      </c>
      <c r="O325" s="1" t="s">
        <v>9158</v>
      </c>
      <c r="P325" s="1" t="s">
        <v>9158</v>
      </c>
      <c r="Q325" s="1" t="s">
        <v>9158</v>
      </c>
      <c r="R325" s="1" t="s">
        <v>5754</v>
      </c>
    </row>
    <row r="326" spans="1:18">
      <c r="A326" s="1">
        <v>73055</v>
      </c>
      <c r="B326" s="1" t="s">
        <v>5749</v>
      </c>
      <c r="C326" s="1" t="s">
        <v>5751</v>
      </c>
      <c r="D326" s="19" t="s">
        <v>517</v>
      </c>
      <c r="E326" s="15" t="str">
        <f>HYPERLINK("https://stat100.ameba.jp/tnk47/ratio20/illustrations/card/ill_73055_tengubi05.jpg?201907-4-RELEASE-guildbattle-420", "■")</f>
        <v>■</v>
      </c>
      <c r="F326" s="1" t="s">
        <v>5769</v>
      </c>
      <c r="G326" s="1">
        <v>54064</v>
      </c>
      <c r="H326" s="1">
        <v>74668</v>
      </c>
      <c r="I326" s="1">
        <v>24</v>
      </c>
      <c r="J326" s="1" t="s">
        <v>5770</v>
      </c>
      <c r="K326" s="1" t="s">
        <v>5772</v>
      </c>
      <c r="L326" s="1" t="s">
        <v>5771</v>
      </c>
      <c r="M326" s="1" t="s">
        <v>9158</v>
      </c>
      <c r="N326" s="1" t="s">
        <v>9158</v>
      </c>
      <c r="O326" s="1" t="s">
        <v>9158</v>
      </c>
      <c r="P326" s="1" t="s">
        <v>9158</v>
      </c>
      <c r="Q326" s="1" t="s">
        <v>9158</v>
      </c>
      <c r="R326" s="1" t="s">
        <v>5752</v>
      </c>
    </row>
    <row r="327" spans="1:18">
      <c r="A327" s="1">
        <v>73053</v>
      </c>
      <c r="B327" s="1" t="s">
        <v>5750</v>
      </c>
      <c r="C327" s="1" t="s">
        <v>5755</v>
      </c>
      <c r="D327" s="19" t="s">
        <v>517</v>
      </c>
      <c r="E327" s="15" t="str">
        <f>HYPERLINK("https://stat100.ameba.jp/tnk47/ratio20/illustrations/card/ill_73053_tengubi03.jpg?201907-4-RELEASE-guildbattle-420", "■")</f>
        <v>■</v>
      </c>
      <c r="F327" s="1" t="s">
        <v>5769</v>
      </c>
      <c r="G327" s="1">
        <v>39070</v>
      </c>
      <c r="H327" s="1">
        <v>54008</v>
      </c>
      <c r="I327" s="1">
        <v>24</v>
      </c>
      <c r="J327" s="1" t="s">
        <v>5770</v>
      </c>
      <c r="K327" s="1" t="s">
        <v>5772</v>
      </c>
      <c r="L327" s="1" t="s">
        <v>5774</v>
      </c>
      <c r="M327" s="1" t="s">
        <v>9158</v>
      </c>
      <c r="N327" s="1" t="s">
        <v>9158</v>
      </c>
      <c r="O327" s="1" t="s">
        <v>9158</v>
      </c>
      <c r="P327" s="1" t="s">
        <v>9158</v>
      </c>
      <c r="Q327" s="1" t="s">
        <v>9158</v>
      </c>
      <c r="R327" s="1" t="s">
        <v>5753</v>
      </c>
    </row>
    <row r="328" spans="1:18">
      <c r="A328" s="1">
        <v>73051</v>
      </c>
      <c r="B328" s="1" t="s">
        <v>5750</v>
      </c>
      <c r="C328" s="1" t="s">
        <v>5755</v>
      </c>
      <c r="D328" s="19" t="s">
        <v>517</v>
      </c>
      <c r="E328" s="15" t="str">
        <f>HYPERLINK("https://stat100.ameba.jp/tnk47/ratio20/illustrations/card/ill_73051_tengubi01.jpg?201907-4-RELEASE-guildbattle-420", "■")</f>
        <v>■</v>
      </c>
      <c r="F328" s="1" t="s">
        <v>5769</v>
      </c>
      <c r="G328" s="1">
        <v>22656</v>
      </c>
      <c r="H328" s="1">
        <v>31296</v>
      </c>
      <c r="I328" s="1">
        <v>24</v>
      </c>
      <c r="J328" s="1" t="s">
        <v>5770</v>
      </c>
      <c r="K328" s="1" t="s">
        <v>5772</v>
      </c>
      <c r="L328" s="1" t="s">
        <v>5773</v>
      </c>
      <c r="M328" s="1" t="s">
        <v>9158</v>
      </c>
      <c r="N328" s="1" t="s">
        <v>9158</v>
      </c>
      <c r="O328" s="1" t="s">
        <v>9158</v>
      </c>
      <c r="P328" s="1" t="s">
        <v>9158</v>
      </c>
      <c r="Q328" s="1" t="s">
        <v>9158</v>
      </c>
      <c r="R328" s="1" t="s">
        <v>5754</v>
      </c>
    </row>
    <row r="330" spans="1:18">
      <c r="A330" s="1" t="s">
        <v>5775</v>
      </c>
    </row>
    <row r="331" spans="1:18">
      <c r="A331" s="1" t="s">
        <v>5776</v>
      </c>
    </row>
    <row r="332" spans="1:18">
      <c r="A332" s="1" t="s">
        <v>5777</v>
      </c>
      <c r="B332" s="1" t="s">
        <v>330</v>
      </c>
      <c r="C332" s="1" t="s">
        <v>200</v>
      </c>
      <c r="D332" s="19" t="s">
        <v>389</v>
      </c>
      <c r="E332" s="15" t="str">
        <f>HYPERLINK("https://stat100.ameba.jp/tnk47/ratio20/illustrations/card/ill_53753_0_natsumatsuritokugawaieyasu03.jpg?201907-4-RELEASE-guildbattle-420", "■")</f>
        <v>■</v>
      </c>
      <c r="F332" s="1" t="s">
        <v>902</v>
      </c>
      <c r="G332" s="1">
        <v>94236</v>
      </c>
      <c r="H332" s="1">
        <v>83712</v>
      </c>
      <c r="I332" s="1">
        <v>15</v>
      </c>
      <c r="J332" s="1" t="s">
        <v>143</v>
      </c>
      <c r="K332" s="1" t="s">
        <v>903</v>
      </c>
      <c r="L332" s="1" t="s">
        <v>904</v>
      </c>
      <c r="M332" s="1" t="s">
        <v>9158</v>
      </c>
      <c r="N332" s="1" t="s">
        <v>9158</v>
      </c>
      <c r="O332" s="19" t="s">
        <v>10076</v>
      </c>
      <c r="P332" s="1" t="s">
        <v>13121</v>
      </c>
      <c r="Q332" s="1">
        <v>1</v>
      </c>
    </row>
    <row r="333" spans="1:18">
      <c r="A333" s="1" t="s">
        <v>5778</v>
      </c>
      <c r="B333" s="1" t="s">
        <v>330</v>
      </c>
      <c r="C333" s="1" t="s">
        <v>205</v>
      </c>
      <c r="D333" s="19" t="s">
        <v>272</v>
      </c>
      <c r="E333" s="15" t="str">
        <f>HYPERLINK("https://stat100.ameba.jp/tnk47/ratio20/illustrations/card/ill_68783_0_gantammomotaro03.jpg?201907-4-RELEASE-guildbattle-420", "■")</f>
        <v>■</v>
      </c>
      <c r="F333" s="1" t="s">
        <v>273</v>
      </c>
      <c r="G333" s="1">
        <v>102590</v>
      </c>
      <c r="H333" s="1">
        <v>95371</v>
      </c>
      <c r="I333" s="1">
        <v>15</v>
      </c>
      <c r="J333" s="1" t="s">
        <v>274</v>
      </c>
      <c r="K333" s="1" t="s">
        <v>275</v>
      </c>
      <c r="L333" s="1" t="s">
        <v>276</v>
      </c>
      <c r="M333" s="1" t="s">
        <v>9158</v>
      </c>
      <c r="N333" s="1" t="s">
        <v>9158</v>
      </c>
      <c r="O333" s="19" t="s">
        <v>10099</v>
      </c>
      <c r="P333" s="1" t="s">
        <v>3085</v>
      </c>
      <c r="Q333" s="1">
        <v>1</v>
      </c>
    </row>
    <row r="334" spans="1:18">
      <c r="A334" s="1" t="s">
        <v>5779</v>
      </c>
      <c r="B334" s="1" t="s">
        <v>52</v>
      </c>
      <c r="C334" s="1" t="s">
        <v>165</v>
      </c>
      <c r="D334" s="19" t="s">
        <v>789</v>
      </c>
      <c r="E334" s="15" t="str">
        <f>HYPERLINK("https://stat100.ameba.jp/tnk47/ratio20/illustrations/card/ill_49193_0_onmyoudouabenoseimei03.jpg?201907-4-RELEASE-guildbattle-420", "■")</f>
        <v>■</v>
      </c>
      <c r="F334" s="1" t="s">
        <v>1896</v>
      </c>
      <c r="G334" s="1">
        <v>83712</v>
      </c>
      <c r="H334" s="1">
        <v>94236</v>
      </c>
      <c r="I334" s="1">
        <v>15</v>
      </c>
      <c r="J334" s="1" t="s">
        <v>10</v>
      </c>
      <c r="K334" s="1" t="s">
        <v>1897</v>
      </c>
      <c r="L334" s="1" t="s">
        <v>1898</v>
      </c>
      <c r="M334" s="1" t="s">
        <v>9158</v>
      </c>
      <c r="N334" s="1" t="s">
        <v>9158</v>
      </c>
      <c r="O334" s="1" t="s">
        <v>9158</v>
      </c>
      <c r="P334" s="1" t="s">
        <v>9158</v>
      </c>
      <c r="Q334" s="1" t="s">
        <v>9158</v>
      </c>
    </row>
    <row r="335" spans="1:18">
      <c r="A335" s="1">
        <v>76873</v>
      </c>
      <c r="B335" s="1" t="s">
        <v>0</v>
      </c>
      <c r="C335" s="1" t="s">
        <v>154</v>
      </c>
      <c r="D335" s="19" t="s">
        <v>10195</v>
      </c>
      <c r="E335" s="15" t="str">
        <f>HYPERLINK("https://stat100.ameba.jp/tnk47/ratio20/illustrations/card/ill_76873_torerokamomiro03.jpg?201907-4-RELEASE-guildbattle-420", "■")</f>
        <v>■</v>
      </c>
      <c r="F335" s="1" t="s">
        <v>1940</v>
      </c>
      <c r="G335" s="1">
        <v>176200</v>
      </c>
      <c r="H335" s="1">
        <v>99132</v>
      </c>
      <c r="I335" s="1">
        <v>24</v>
      </c>
      <c r="J335" s="1" t="s">
        <v>10</v>
      </c>
      <c r="K335" s="1" t="s">
        <v>1941</v>
      </c>
      <c r="L335" s="1" t="s">
        <v>1942</v>
      </c>
      <c r="M335" s="1" t="s">
        <v>9158</v>
      </c>
      <c r="N335" s="1" t="s">
        <v>9158</v>
      </c>
      <c r="O335" s="1" t="s">
        <v>9158</v>
      </c>
      <c r="P335" s="1" t="s">
        <v>9158</v>
      </c>
      <c r="Q335" s="1" t="s">
        <v>9158</v>
      </c>
    </row>
    <row r="336" spans="1:18">
      <c r="A336" s="1">
        <v>76953</v>
      </c>
      <c r="B336" s="1" t="s">
        <v>334</v>
      </c>
      <c r="C336" s="1" t="s">
        <v>154</v>
      </c>
      <c r="D336" s="19" t="s">
        <v>10386</v>
      </c>
      <c r="E336" s="15" t="str">
        <f>HYPERLINK("https://stat100.ameba.jp/tnk47/ratio20/illustrations/card/ill_76953_gureteru03.jpg?201907-4-RELEASE-guildbattle-420", "■")</f>
        <v>■</v>
      </c>
      <c r="F336" s="1" t="s">
        <v>1932</v>
      </c>
      <c r="G336" s="1">
        <v>76052</v>
      </c>
      <c r="H336" s="1">
        <v>135132</v>
      </c>
      <c r="I336" s="1">
        <v>24</v>
      </c>
      <c r="J336" s="1" t="s">
        <v>38</v>
      </c>
      <c r="K336" s="1" t="s">
        <v>1933</v>
      </c>
      <c r="L336" s="1" t="s">
        <v>1934</v>
      </c>
      <c r="M336" s="1" t="s">
        <v>9158</v>
      </c>
      <c r="N336" s="1" t="s">
        <v>9158</v>
      </c>
      <c r="O336" s="1" t="s">
        <v>9158</v>
      </c>
      <c r="P336" s="1" t="s">
        <v>9158</v>
      </c>
      <c r="Q336" s="1" t="s">
        <v>9158</v>
      </c>
    </row>
    <row r="337" spans="1:17">
      <c r="A337" s="1">
        <v>76123</v>
      </c>
      <c r="B337" s="1" t="s">
        <v>334</v>
      </c>
      <c r="C337" s="1" t="s">
        <v>203</v>
      </c>
      <c r="D337" s="19" t="s">
        <v>10302</v>
      </c>
      <c r="E337" s="15" t="str">
        <f>HYPERLINK("https://stat100.ameba.jp/tnk47/ratio20/illustrations/card/ill_76123_hoshiyominotemmongakusha03.jpg?201907-4-RELEASE-guildbattle-420", "■")</f>
        <v>■</v>
      </c>
      <c r="F337" s="1" t="s">
        <v>987</v>
      </c>
      <c r="G337" s="1">
        <v>176200</v>
      </c>
      <c r="H337" s="1">
        <v>99132</v>
      </c>
      <c r="I337" s="1">
        <v>24</v>
      </c>
      <c r="J337" s="1" t="s">
        <v>16</v>
      </c>
      <c r="K337" s="1" t="s">
        <v>988</v>
      </c>
      <c r="L337" s="1" t="s">
        <v>989</v>
      </c>
      <c r="M337" s="1" t="s">
        <v>9158</v>
      </c>
      <c r="N337" s="1" t="s">
        <v>9158</v>
      </c>
      <c r="O337" s="1" t="s">
        <v>9158</v>
      </c>
      <c r="P337" s="1" t="s">
        <v>9158</v>
      </c>
      <c r="Q337" s="1" t="s">
        <v>9158</v>
      </c>
    </row>
    <row r="338" spans="1:17">
      <c r="A338" s="1">
        <v>69083</v>
      </c>
      <c r="B338" s="1" t="s">
        <v>348</v>
      </c>
      <c r="C338" s="1" t="s">
        <v>206</v>
      </c>
      <c r="D338" s="19" t="s">
        <v>3014</v>
      </c>
      <c r="E338" s="15" t="str">
        <f>HYPERLINK("https://stat100.ameba.jp/tnk47/ratio20/illustrations/card/ill_69083_uintasupotsukuwahime03.jpg?201907-4-RELEASE-guildbattle-420", "■")</f>
        <v>■</v>
      </c>
      <c r="F338" s="1" t="s">
        <v>3015</v>
      </c>
      <c r="G338" s="1">
        <v>61832</v>
      </c>
      <c r="H338" s="1">
        <v>68172</v>
      </c>
      <c r="I338" s="1">
        <v>23</v>
      </c>
      <c r="J338" s="1" t="s">
        <v>315</v>
      </c>
      <c r="K338" s="1" t="s">
        <v>3016</v>
      </c>
      <c r="L338" s="1" t="s">
        <v>596</v>
      </c>
      <c r="M338" s="1" t="s">
        <v>9158</v>
      </c>
      <c r="N338" s="1" t="s">
        <v>9158</v>
      </c>
      <c r="O338" s="1" t="s">
        <v>9158</v>
      </c>
      <c r="P338" s="1" t="s">
        <v>9158</v>
      </c>
      <c r="Q338" s="1" t="s">
        <v>9158</v>
      </c>
    </row>
    <row r="339" spans="1:17">
      <c r="A339" s="1">
        <v>76573</v>
      </c>
      <c r="B339" s="1" t="s">
        <v>348</v>
      </c>
      <c r="C339" s="1" t="s">
        <v>335</v>
      </c>
      <c r="D339" s="19" t="s">
        <v>744</v>
      </c>
      <c r="E339" s="15" t="str">
        <f>HYPERLINK("https://stat100.ameba.jp/tnk47/ratio20/illustrations/card/ill_76573_daria03.jpg?201907-4-RELEASE-guildbattle-420", "■")</f>
        <v>■</v>
      </c>
      <c r="F339" s="1" t="s">
        <v>745</v>
      </c>
      <c r="G339" s="1">
        <v>61832</v>
      </c>
      <c r="H339" s="1">
        <v>68172</v>
      </c>
      <c r="I339" s="1">
        <v>23</v>
      </c>
      <c r="J339" s="1" t="s">
        <v>369</v>
      </c>
      <c r="K339" s="1" t="s">
        <v>746</v>
      </c>
      <c r="L339" s="1" t="s">
        <v>747</v>
      </c>
      <c r="M339" s="1" t="s">
        <v>9158</v>
      </c>
      <c r="N339" s="1" t="s">
        <v>9158</v>
      </c>
      <c r="O339" s="1" t="s">
        <v>9158</v>
      </c>
      <c r="P339" s="1" t="s">
        <v>9158</v>
      </c>
      <c r="Q339" s="1" t="s">
        <v>9158</v>
      </c>
    </row>
    <row r="340" spans="1:17">
      <c r="A340" s="1">
        <v>75663</v>
      </c>
      <c r="B340" s="1" t="s">
        <v>348</v>
      </c>
      <c r="C340" s="1" t="s">
        <v>5780</v>
      </c>
      <c r="D340" s="19" t="s">
        <v>10387</v>
      </c>
      <c r="E340" s="15" t="str">
        <f>HYPERLINK("https://stat100.ameba.jp/tnk47/ratio20/illustrations/card/ill_75663_ikumatsu03.jpg?201907-4-RELEASE-guildbattle-420", "■")</f>
        <v>■</v>
      </c>
      <c r="F340" s="1" t="s">
        <v>5781</v>
      </c>
      <c r="G340" s="1">
        <v>68172</v>
      </c>
      <c r="H340" s="1">
        <v>61832</v>
      </c>
      <c r="I340" s="1">
        <v>23</v>
      </c>
      <c r="J340" s="1" t="s">
        <v>5782</v>
      </c>
      <c r="K340" s="1" t="s">
        <v>5783</v>
      </c>
      <c r="L340" s="1" t="s">
        <v>5784</v>
      </c>
      <c r="M340" s="1" t="s">
        <v>9158</v>
      </c>
      <c r="N340" s="1" t="s">
        <v>9158</v>
      </c>
      <c r="O340" s="1" t="s">
        <v>9158</v>
      </c>
      <c r="P340" s="1" t="s">
        <v>9158</v>
      </c>
      <c r="Q340" s="1" t="s">
        <v>9158</v>
      </c>
    </row>
    <row r="342" spans="1:17">
      <c r="A342" s="1" t="s">
        <v>5785</v>
      </c>
    </row>
    <row r="343" spans="1:17">
      <c r="A343" s="1" t="s">
        <v>5786</v>
      </c>
    </row>
    <row r="344" spans="1:17">
      <c r="A344" s="1" t="s">
        <v>5787</v>
      </c>
      <c r="B344" s="1" t="s">
        <v>52</v>
      </c>
      <c r="C344" s="1" t="s">
        <v>202</v>
      </c>
      <c r="D344" s="19" t="s">
        <v>331</v>
      </c>
      <c r="E344" s="15" t="str">
        <f>HYPERLINK("https://stat100.ameba.jp/tnk47/ratio20/illustrations/card/ill_76303_0_haroinkaguya03.jpg?201907-4-RELEASE-guildbattle-420", "■")</f>
        <v>■</v>
      </c>
      <c r="F344" s="1" t="s">
        <v>1102</v>
      </c>
      <c r="G344" s="1">
        <v>249911</v>
      </c>
      <c r="H344" s="1">
        <v>232335</v>
      </c>
      <c r="I344" s="1">
        <v>21</v>
      </c>
      <c r="J344" s="1" t="s">
        <v>38</v>
      </c>
      <c r="K344" s="1" t="s">
        <v>1103</v>
      </c>
      <c r="L344" s="1" t="s">
        <v>1104</v>
      </c>
      <c r="M344" s="1" t="s">
        <v>9158</v>
      </c>
      <c r="N344" s="1" t="s">
        <v>9158</v>
      </c>
      <c r="O344" s="19" t="s">
        <v>2976</v>
      </c>
      <c r="P344" s="1" t="s">
        <v>2724</v>
      </c>
      <c r="Q344" s="1">
        <v>1</v>
      </c>
    </row>
    <row r="345" spans="1:17">
      <c r="A345" s="1">
        <v>73893</v>
      </c>
      <c r="B345" s="1" t="s">
        <v>334</v>
      </c>
      <c r="C345" s="1" t="s">
        <v>203</v>
      </c>
      <c r="D345" s="19" t="s">
        <v>10388</v>
      </c>
      <c r="E345" s="15" t="str">
        <f>HYPERLINK("https://stat100.ameba.jp/tnk47/ratio20/illustrations/card/ill_73893_kurohachidaimyojintookami03.jpg?201907-4-RELEASE-guildbattle-420", "■")</f>
        <v>■</v>
      </c>
      <c r="F345" s="1" t="s">
        <v>685</v>
      </c>
      <c r="G345" s="1">
        <v>117374</v>
      </c>
      <c r="H345" s="1">
        <v>85010</v>
      </c>
      <c r="I345" s="1">
        <v>23</v>
      </c>
      <c r="J345" s="1" t="s">
        <v>274</v>
      </c>
      <c r="K345" s="1" t="s">
        <v>686</v>
      </c>
      <c r="L345" s="1" t="s">
        <v>428</v>
      </c>
      <c r="M345" s="1" t="s">
        <v>9158</v>
      </c>
      <c r="N345" s="1" t="s">
        <v>9158</v>
      </c>
      <c r="O345" s="19" t="s">
        <v>10100</v>
      </c>
      <c r="P345" s="1" t="s">
        <v>3810</v>
      </c>
      <c r="Q345" s="1">
        <v>1</v>
      </c>
    </row>
    <row r="346" spans="1:17">
      <c r="A346" s="1">
        <v>71333</v>
      </c>
      <c r="B346" s="1" t="s">
        <v>0</v>
      </c>
      <c r="C346" s="1" t="s">
        <v>41</v>
      </c>
      <c r="D346" s="19" t="s">
        <v>10256</v>
      </c>
      <c r="E346" s="15" t="str">
        <f>HYPERLINK("https://stat100.ameba.jp/tnk47/ratio20/illustrations/card/ill_71333_fujiwaranokamatari03.jpg?201907-4-RELEASE-guildbattle-420", "■")</f>
        <v>■</v>
      </c>
      <c r="F346" s="1" t="s">
        <v>58</v>
      </c>
      <c r="G346" s="1">
        <v>100519</v>
      </c>
      <c r="H346" s="1">
        <v>72819</v>
      </c>
      <c r="I346" s="1">
        <v>23</v>
      </c>
      <c r="J346" s="1" t="s">
        <v>10</v>
      </c>
      <c r="K346" s="1" t="s">
        <v>59</v>
      </c>
      <c r="L346" s="1" t="s">
        <v>60</v>
      </c>
      <c r="M346" s="1" t="s">
        <v>9158</v>
      </c>
      <c r="N346" s="1" t="s">
        <v>9158</v>
      </c>
      <c r="O346" s="19" t="s">
        <v>10098</v>
      </c>
      <c r="P346" s="1" t="s">
        <v>3491</v>
      </c>
      <c r="Q346" s="1">
        <v>1</v>
      </c>
    </row>
    <row r="347" spans="1:17">
      <c r="A347" s="1">
        <v>73913</v>
      </c>
      <c r="B347" s="1" t="s">
        <v>334</v>
      </c>
      <c r="C347" s="1" t="s">
        <v>154</v>
      </c>
      <c r="D347" s="19" t="s">
        <v>3202</v>
      </c>
      <c r="E347" s="15" t="str">
        <f>HYPERLINK("https://stat100.ameba.jp/tnk47/ratio20/illustrations/card/ill_73913_atsutajingu03.jpg?201907-4-RELEASE-guildbattle-420", "■")</f>
        <v>■</v>
      </c>
      <c r="F347" s="1" t="s">
        <v>1207</v>
      </c>
      <c r="G347" s="1">
        <v>76042</v>
      </c>
      <c r="H347" s="1">
        <v>104989</v>
      </c>
      <c r="I347" s="1">
        <v>23</v>
      </c>
      <c r="J347" s="1" t="s">
        <v>44</v>
      </c>
      <c r="K347" s="1" t="s">
        <v>1208</v>
      </c>
      <c r="L347" s="1" t="s">
        <v>1209</v>
      </c>
      <c r="M347" s="1" t="s">
        <v>9158</v>
      </c>
      <c r="N347" s="1" t="s">
        <v>9158</v>
      </c>
      <c r="O347" s="19" t="s">
        <v>10074</v>
      </c>
      <c r="P347" s="1" t="s">
        <v>2822</v>
      </c>
      <c r="Q347" s="1">
        <v>1</v>
      </c>
    </row>
    <row r="349" spans="1:17">
      <c r="A349" s="1" t="s">
        <v>208</v>
      </c>
    </row>
    <row r="350" spans="1:17">
      <c r="A350" s="1" t="s">
        <v>5788</v>
      </c>
    </row>
    <row r="351" spans="1:17">
      <c r="A351" s="1" t="s">
        <v>5626</v>
      </c>
      <c r="B351" s="1" t="s">
        <v>330</v>
      </c>
      <c r="C351" s="1" t="s">
        <v>200</v>
      </c>
      <c r="D351" s="19" t="s">
        <v>3160</v>
      </c>
      <c r="E351" s="15" t="str">
        <f>HYPERLINK("https://stat100.ameba.jp/tnk47/ratio20/illustrations/card/ill_72963_0_amenohanayomehiguchiichiyo03.jpg?201907-4-RELEASE-guildbattle-420", "■")</f>
        <v>■</v>
      </c>
      <c r="F351" s="1" t="s">
        <v>1139</v>
      </c>
      <c r="G351" s="1">
        <v>100502</v>
      </c>
      <c r="H351" s="1">
        <v>93450</v>
      </c>
      <c r="I351" s="1">
        <v>15</v>
      </c>
      <c r="J351" s="1" t="s">
        <v>173</v>
      </c>
      <c r="K351" s="1" t="s">
        <v>1140</v>
      </c>
      <c r="L351" s="1" t="s">
        <v>1141</v>
      </c>
      <c r="M351" s="1" t="s">
        <v>9158</v>
      </c>
      <c r="N351" s="1" t="s">
        <v>9158</v>
      </c>
      <c r="O351" s="19" t="s">
        <v>3162</v>
      </c>
      <c r="P351" s="1" t="s">
        <v>3410</v>
      </c>
      <c r="Q351" s="1">
        <v>1</v>
      </c>
    </row>
    <row r="352" spans="1:17">
      <c r="A352" s="1" t="s">
        <v>5610</v>
      </c>
      <c r="B352" s="1" t="s">
        <v>330</v>
      </c>
      <c r="C352" s="1" t="s">
        <v>185</v>
      </c>
      <c r="D352" s="19" t="s">
        <v>539</v>
      </c>
      <c r="E352" s="15" t="str">
        <f>HYPERLINK("https://stat100.ameba.jp/tnk47/ratio20/illustrations/card/ill_60633_0_harumaisentoin03.jpg?201907-4-RELEASE-guildbattle-420", "■")</f>
        <v>■</v>
      </c>
      <c r="F352" s="1" t="s">
        <v>540</v>
      </c>
      <c r="G352" s="1">
        <v>95371</v>
      </c>
      <c r="H352" s="1">
        <v>102590</v>
      </c>
      <c r="I352" s="1">
        <v>15</v>
      </c>
      <c r="J352" s="1" t="s">
        <v>274</v>
      </c>
      <c r="K352" s="1" t="s">
        <v>541</v>
      </c>
      <c r="L352" s="1" t="s">
        <v>542</v>
      </c>
      <c r="M352" s="1" t="s">
        <v>9158</v>
      </c>
      <c r="N352" s="1" t="s">
        <v>9158</v>
      </c>
      <c r="O352" s="19" t="s">
        <v>2888</v>
      </c>
      <c r="P352" s="1" t="s">
        <v>3144</v>
      </c>
      <c r="Q352" s="1">
        <v>1</v>
      </c>
    </row>
    <row r="353" spans="1:19">
      <c r="A353" s="1" t="s">
        <v>5627</v>
      </c>
      <c r="B353" s="1" t="s">
        <v>330</v>
      </c>
      <c r="C353" s="1" t="s">
        <v>191</v>
      </c>
      <c r="D353" s="19" t="s">
        <v>393</v>
      </c>
      <c r="E353" s="15" t="str">
        <f>HYPERLINK("https://stat100.ameba.jp/tnk47/ratio20/illustrations/card/ill_46283_0_odanobunaga03.jpg?201907-4-RELEASE-guildbattle-420", "■")</f>
        <v>■</v>
      </c>
      <c r="F353" s="1" t="s">
        <v>1073</v>
      </c>
      <c r="G353" s="1">
        <v>82212</v>
      </c>
      <c r="H353" s="1">
        <v>87780</v>
      </c>
      <c r="I353" s="1">
        <v>15</v>
      </c>
      <c r="J353" s="1" t="s">
        <v>143</v>
      </c>
      <c r="K353" s="1" t="s">
        <v>1074</v>
      </c>
      <c r="L353" s="1" t="s">
        <v>1075</v>
      </c>
      <c r="M353" s="1" t="s">
        <v>9158</v>
      </c>
      <c r="N353" s="1" t="s">
        <v>9158</v>
      </c>
      <c r="O353" s="1" t="s">
        <v>9158</v>
      </c>
      <c r="P353" s="1" t="s">
        <v>9158</v>
      </c>
      <c r="Q353" s="1" t="s">
        <v>9158</v>
      </c>
    </row>
    <row r="354" spans="1:19">
      <c r="A354" s="1">
        <v>77473</v>
      </c>
      <c r="B354" s="1" t="s">
        <v>0</v>
      </c>
      <c r="C354" s="1" t="s">
        <v>158</v>
      </c>
      <c r="D354" s="19" t="s">
        <v>11802</v>
      </c>
      <c r="E354" s="15" t="str">
        <f>HYPERLINK("https://stat100.ameba.jp/tnk47/ratio20/illustrations/card/ill_77473_miyakonotawasetouchiremon03.jpg?201907-4-RELEASE-guildbattle-420", "■")</f>
        <v>■</v>
      </c>
      <c r="F354" s="1" t="s">
        <v>5789</v>
      </c>
      <c r="G354" s="1">
        <v>105394</v>
      </c>
      <c r="H354" s="1">
        <v>113340</v>
      </c>
      <c r="I354" s="1">
        <v>24</v>
      </c>
      <c r="J354" s="1" t="s">
        <v>5790</v>
      </c>
      <c r="K354" s="1" t="s">
        <v>5791</v>
      </c>
      <c r="L354" s="1" t="s">
        <v>5792</v>
      </c>
      <c r="M354" s="1" t="s">
        <v>9158</v>
      </c>
      <c r="N354" s="1" t="s">
        <v>9158</v>
      </c>
      <c r="O354" s="1" t="s">
        <v>9158</v>
      </c>
      <c r="P354" s="1" t="s">
        <v>9158</v>
      </c>
      <c r="Q354" s="1" t="s">
        <v>9158</v>
      </c>
      <c r="S354" s="14" t="s">
        <v>11803</v>
      </c>
    </row>
    <row r="355" spans="1:19">
      <c r="A355" s="1">
        <v>78153</v>
      </c>
      <c r="B355" s="1" t="s">
        <v>0</v>
      </c>
      <c r="C355" s="1" t="s">
        <v>209</v>
      </c>
      <c r="D355" s="19" t="s">
        <v>11804</v>
      </c>
      <c r="E355" s="15" t="str">
        <f>HYPERLINK("https://stat100.ameba.jp/tnk47/ratio20/illustrations/card/ill_78153_otomarijoshikaiichijomikako03.jpg?201907-4-RELEASE-guildbattle-420", "■")</f>
        <v>■</v>
      </c>
      <c r="F355" s="1" t="s">
        <v>5793</v>
      </c>
      <c r="G355" s="1">
        <v>87128</v>
      </c>
      <c r="H355" s="1">
        <v>93746</v>
      </c>
      <c r="I355" s="1">
        <v>24</v>
      </c>
      <c r="J355" s="1" t="s">
        <v>5794</v>
      </c>
      <c r="K355" s="1" t="s">
        <v>5795</v>
      </c>
      <c r="L355" s="1" t="s">
        <v>5796</v>
      </c>
      <c r="M355" s="1" t="s">
        <v>9158</v>
      </c>
      <c r="N355" s="1" t="s">
        <v>9158</v>
      </c>
      <c r="O355" s="1" t="s">
        <v>9158</v>
      </c>
      <c r="P355" s="1" t="s">
        <v>9158</v>
      </c>
      <c r="Q355" s="1" t="s">
        <v>9158</v>
      </c>
      <c r="S355" s="14" t="s">
        <v>11805</v>
      </c>
    </row>
    <row r="356" spans="1:19">
      <c r="A356" s="1">
        <v>76643</v>
      </c>
      <c r="B356" s="1" t="s">
        <v>0</v>
      </c>
      <c r="C356" s="1" t="s">
        <v>158</v>
      </c>
      <c r="D356" s="19" t="s">
        <v>11806</v>
      </c>
      <c r="E356" s="15" t="str">
        <f>HYPERLINK("https://stat100.ameba.jp/tnk47/ratio20/illustrations/card/ill_76643_funanyobo03.jpg?201907-4-RELEASE-guildbattle-420", "■")</f>
        <v>■</v>
      </c>
      <c r="F356" s="1" t="s">
        <v>5797</v>
      </c>
      <c r="G356" s="1">
        <v>109528</v>
      </c>
      <c r="H356" s="1">
        <v>101656</v>
      </c>
      <c r="I356" s="1">
        <v>24</v>
      </c>
      <c r="J356" s="1" t="s">
        <v>5798</v>
      </c>
      <c r="K356" s="1" t="s">
        <v>5800</v>
      </c>
      <c r="L356" s="1" t="s">
        <v>5799</v>
      </c>
      <c r="M356" s="1" t="s">
        <v>9158</v>
      </c>
      <c r="N356" s="1" t="s">
        <v>9158</v>
      </c>
      <c r="O356" s="1" t="s">
        <v>9158</v>
      </c>
      <c r="P356" s="1" t="s">
        <v>9158</v>
      </c>
      <c r="Q356" s="1" t="s">
        <v>9158</v>
      </c>
      <c r="S356" s="14" t="s">
        <v>11807</v>
      </c>
    </row>
    <row r="357" spans="1:19">
      <c r="A357" s="1">
        <v>71173</v>
      </c>
      <c r="B357" s="1" t="s">
        <v>15</v>
      </c>
      <c r="C357" s="1" t="s">
        <v>107</v>
      </c>
      <c r="D357" s="19" t="s">
        <v>11808</v>
      </c>
      <c r="E357" s="15" t="str">
        <f>HYPERLINK("https://stat100.ameba.jp/tnk47/ratio20/illustrations/card/ill_71173_dekamoritakoraisu03.jpg?201907-4-RELEASE-guildbattle-420", "■")</f>
        <v>■</v>
      </c>
      <c r="F357" s="1" t="s">
        <v>5588</v>
      </c>
      <c r="G357" s="1">
        <v>59280</v>
      </c>
      <c r="H357" s="1">
        <v>53768</v>
      </c>
      <c r="I357" s="1">
        <v>20</v>
      </c>
      <c r="J357" s="1" t="s">
        <v>104</v>
      </c>
      <c r="K357" s="1" t="s">
        <v>5591</v>
      </c>
      <c r="L357" s="1" t="s">
        <v>5590</v>
      </c>
      <c r="M357" s="1" t="s">
        <v>9158</v>
      </c>
      <c r="N357" s="1" t="s">
        <v>9158</v>
      </c>
      <c r="O357" s="1" t="s">
        <v>9158</v>
      </c>
      <c r="P357" s="1" t="s">
        <v>9158</v>
      </c>
      <c r="Q357" s="1" t="s">
        <v>9158</v>
      </c>
      <c r="S357" s="14" t="s">
        <v>11777</v>
      </c>
    </row>
    <row r="358" spans="1:19">
      <c r="A358" s="1">
        <v>75243</v>
      </c>
      <c r="B358" s="1" t="s">
        <v>15</v>
      </c>
      <c r="C358" s="1" t="s">
        <v>107</v>
      </c>
      <c r="D358" s="19" t="s">
        <v>11809</v>
      </c>
      <c r="E358" s="15" t="str">
        <f>HYPERLINK("https://stat100.ameba.jp/tnk47/ratio20/illustrations/card/ill_75243_funehikikagura03.jpg?201907-4-RELEASE-guildbattle-420", "■")</f>
        <v>■</v>
      </c>
      <c r="F358" s="1" t="s">
        <v>5592</v>
      </c>
      <c r="G358" s="1">
        <v>53768</v>
      </c>
      <c r="H358" s="1">
        <v>59280</v>
      </c>
      <c r="I358" s="1">
        <v>20</v>
      </c>
      <c r="J358" s="1" t="s">
        <v>38</v>
      </c>
      <c r="K358" s="1" t="s">
        <v>5595</v>
      </c>
      <c r="L358" s="1" t="s">
        <v>5594</v>
      </c>
      <c r="M358" s="1" t="s">
        <v>9158</v>
      </c>
      <c r="N358" s="1" t="s">
        <v>9158</v>
      </c>
      <c r="O358" s="1" t="s">
        <v>9158</v>
      </c>
      <c r="P358" s="1" t="s">
        <v>9158</v>
      </c>
      <c r="Q358" s="1" t="s">
        <v>9158</v>
      </c>
      <c r="S358" s="14" t="s">
        <v>11795</v>
      </c>
    </row>
    <row r="359" spans="1:19">
      <c r="A359" s="1">
        <v>77023</v>
      </c>
      <c r="B359" s="1" t="s">
        <v>15</v>
      </c>
      <c r="C359" s="1" t="s">
        <v>107</v>
      </c>
      <c r="D359" s="19" t="s">
        <v>11810</v>
      </c>
      <c r="E359" s="15" t="str">
        <f>HYPERLINK("https://stat100.ameba.jp/tnk47/ratio20/illustrations/card/ill_77023_meianshiranui03.jpg?201907-4-RELEASE-guildbattle-420", "■")</f>
        <v>■</v>
      </c>
      <c r="F359" s="1" t="s">
        <v>5596</v>
      </c>
      <c r="G359" s="1">
        <v>59280</v>
      </c>
      <c r="H359" s="1">
        <v>53768</v>
      </c>
      <c r="I359" s="1">
        <v>20</v>
      </c>
      <c r="J359" s="1" t="s">
        <v>73</v>
      </c>
      <c r="K359" s="1" t="s">
        <v>5598</v>
      </c>
      <c r="L359" s="1" t="s">
        <v>5599</v>
      </c>
      <c r="M359" s="1" t="s">
        <v>9158</v>
      </c>
      <c r="N359" s="1" t="s">
        <v>9158</v>
      </c>
      <c r="O359" s="1" t="s">
        <v>9158</v>
      </c>
      <c r="P359" s="1" t="s">
        <v>9158</v>
      </c>
      <c r="Q359" s="1" t="s">
        <v>9158</v>
      </c>
      <c r="S359" s="14" t="s">
        <v>11811</v>
      </c>
    </row>
    <row r="361" spans="1:19">
      <c r="A361" s="1" t="s">
        <v>5802</v>
      </c>
    </row>
    <row r="362" spans="1:19">
      <c r="A362" s="1" t="s">
        <v>5803</v>
      </c>
    </row>
    <row r="363" spans="1:19">
      <c r="A363" s="1" t="s">
        <v>5804</v>
      </c>
      <c r="B363" s="1" t="s">
        <v>52</v>
      </c>
      <c r="C363" s="1" t="s">
        <v>14</v>
      </c>
      <c r="D363" s="19" t="s">
        <v>3195</v>
      </c>
      <c r="E363" s="15" t="str">
        <f>HYPERLINK("https://stat100.ameba.jp/tnk47/ratio20/illustrations/card/ill_75393_0_resukuinotsukisamaniittausagi03.jpg?201907-4-RELEASE-guildbattle-420", "■")</f>
        <v>■</v>
      </c>
      <c r="F363" s="1" t="s">
        <v>3248</v>
      </c>
      <c r="G363" s="1">
        <v>273368</v>
      </c>
      <c r="H363" s="1">
        <v>254160</v>
      </c>
      <c r="I363" s="1">
        <v>24</v>
      </c>
      <c r="J363" s="1" t="s">
        <v>26</v>
      </c>
      <c r="K363" s="1" t="s">
        <v>3249</v>
      </c>
      <c r="L363" s="1" t="s">
        <v>3250</v>
      </c>
      <c r="M363" s="1" t="s">
        <v>9158</v>
      </c>
      <c r="N363" s="1" t="s">
        <v>9158</v>
      </c>
      <c r="O363" s="19" t="s">
        <v>10101</v>
      </c>
      <c r="P363" s="1" t="s">
        <v>3251</v>
      </c>
      <c r="Q363" s="1">
        <v>2</v>
      </c>
    </row>
    <row r="364" spans="1:19">
      <c r="A364" s="1">
        <v>74553</v>
      </c>
      <c r="B364" s="1" t="s">
        <v>0</v>
      </c>
      <c r="C364" s="1" t="s">
        <v>107</v>
      </c>
      <c r="D364" s="19" t="s">
        <v>10389</v>
      </c>
      <c r="E364" s="15" t="str">
        <f>HYPERLINK("https://stat100.ameba.jp/tnk47/ratio20/illustrations/card/ill_74553_natsuyuenchikusumotoine03.jpg?201907-4-RELEASE-guildbattle-420", "■")</f>
        <v>■</v>
      </c>
      <c r="F364" s="1" t="s">
        <v>4109</v>
      </c>
      <c r="G364" s="1">
        <v>97318</v>
      </c>
      <c r="H364" s="1">
        <v>90522</v>
      </c>
      <c r="I364" s="1">
        <v>24</v>
      </c>
      <c r="J364" s="1" t="s">
        <v>16</v>
      </c>
      <c r="K364" s="1" t="s">
        <v>4110</v>
      </c>
      <c r="L364" s="1" t="s">
        <v>1149</v>
      </c>
      <c r="M364" s="1" t="s">
        <v>9158</v>
      </c>
      <c r="N364" s="1" t="s">
        <v>9158</v>
      </c>
      <c r="O364" s="19" t="s">
        <v>10090</v>
      </c>
      <c r="P364" s="1" t="s">
        <v>3460</v>
      </c>
      <c r="Q364" s="1">
        <v>1</v>
      </c>
    </row>
    <row r="365" spans="1:19">
      <c r="A365" s="1">
        <v>66353</v>
      </c>
      <c r="B365" s="1" t="s">
        <v>0</v>
      </c>
      <c r="C365" s="1" t="s">
        <v>41</v>
      </c>
      <c r="D365" s="19" t="s">
        <v>440</v>
      </c>
      <c r="E365" s="15" t="str">
        <f>HYPERLINK("https://stat100.ameba.jp/tnk47/ratio20/illustrations/card/ill_66353_kajiwaranyudotoan03.jpg?201907-4-RELEASE-guildbattle-420", "■")</f>
        <v>■</v>
      </c>
      <c r="F365" s="1" t="s">
        <v>142</v>
      </c>
      <c r="G365" s="1">
        <v>159674</v>
      </c>
      <c r="H365" s="1">
        <v>106018</v>
      </c>
      <c r="I365" s="1">
        <v>24</v>
      </c>
      <c r="J365" s="1" t="s">
        <v>143</v>
      </c>
      <c r="K365" s="1" t="s">
        <v>144</v>
      </c>
      <c r="L365" s="1" t="s">
        <v>145</v>
      </c>
      <c r="M365" s="1" t="s">
        <v>9158</v>
      </c>
      <c r="N365" s="1" t="s">
        <v>9158</v>
      </c>
      <c r="O365" s="19" t="s">
        <v>10102</v>
      </c>
      <c r="P365" s="1" t="s">
        <v>3672</v>
      </c>
      <c r="Q365" s="1">
        <v>1</v>
      </c>
    </row>
    <row r="366" spans="1:19">
      <c r="A366" s="1">
        <v>80173</v>
      </c>
      <c r="B366" s="1" t="s">
        <v>334</v>
      </c>
      <c r="C366" s="1" t="s">
        <v>47</v>
      </c>
      <c r="D366" s="19" t="s">
        <v>10390</v>
      </c>
      <c r="E366" s="15" t="str">
        <f>HYPERLINK("https://stat100.ameba.jp/tnk47/ratio20/illustrations/card/ill_80173_jusomedeia03.jpg?201907-4-RELEASE-guildbattle-420", "■")</f>
        <v>■</v>
      </c>
      <c r="F366" s="1" t="s">
        <v>3914</v>
      </c>
      <c r="G366" s="1">
        <v>91876</v>
      </c>
      <c r="H366" s="1">
        <v>126858</v>
      </c>
      <c r="I366" s="1">
        <v>24</v>
      </c>
      <c r="J366" s="1" t="s">
        <v>73</v>
      </c>
      <c r="K366" s="1" t="s">
        <v>3915</v>
      </c>
      <c r="L366" s="1" t="s">
        <v>1033</v>
      </c>
      <c r="M366" s="1" t="s">
        <v>9158</v>
      </c>
      <c r="N366" s="1" t="s">
        <v>9158</v>
      </c>
      <c r="O366" s="19" t="s">
        <v>10074</v>
      </c>
      <c r="P366" s="1" t="s">
        <v>3592</v>
      </c>
      <c r="Q366" s="1">
        <v>1</v>
      </c>
    </row>
    <row r="368" spans="1:19">
      <c r="A368" s="1" t="s">
        <v>195</v>
      </c>
    </row>
    <row r="369" spans="1:17">
      <c r="A369" s="1" t="s">
        <v>5801</v>
      </c>
    </row>
    <row r="370" spans="1:17">
      <c r="A370" s="1">
        <v>62203</v>
      </c>
      <c r="B370" s="1" t="s">
        <v>334</v>
      </c>
      <c r="C370" s="1" t="s">
        <v>154</v>
      </c>
      <c r="D370" s="19" t="s">
        <v>3039</v>
      </c>
      <c r="E370" s="15" t="str">
        <f>HYPERLINK("https://stat100.ameba.jp/tnk47/ratio20/illustrations/card/ill_62203_keishoimmasahime03.jpg?201907-4-RELEASE-guildbattle-420", "■")</f>
        <v>■</v>
      </c>
      <c r="F370" s="1" t="s">
        <v>2261</v>
      </c>
      <c r="G370" s="1">
        <v>96246</v>
      </c>
      <c r="H370" s="1">
        <v>103512</v>
      </c>
      <c r="I370" s="1">
        <v>24</v>
      </c>
      <c r="J370" s="1" t="s">
        <v>77</v>
      </c>
      <c r="K370" s="1" t="s">
        <v>2262</v>
      </c>
      <c r="L370" s="1" t="s">
        <v>2263</v>
      </c>
      <c r="M370" s="1" t="s">
        <v>9158</v>
      </c>
      <c r="N370" s="1" t="s">
        <v>9158</v>
      </c>
      <c r="O370" s="1" t="s">
        <v>9158</v>
      </c>
      <c r="P370" s="1" t="s">
        <v>9158</v>
      </c>
      <c r="Q370" s="1" t="s">
        <v>9158</v>
      </c>
    </row>
    <row r="371" spans="1:17">
      <c r="A371" s="1">
        <v>69723</v>
      </c>
      <c r="B371" s="1" t="s">
        <v>334</v>
      </c>
      <c r="C371" s="1" t="s">
        <v>158</v>
      </c>
      <c r="D371" s="19" t="s">
        <v>3042</v>
      </c>
      <c r="E371" s="15" t="str">
        <f>HYPERLINK("https://stat100.ameba.jp/tnk47/ratio20/illustrations/card/ill_69723_nakaurajurian03.jpg?201907-4-RELEASE-guildbattle-420", "■")</f>
        <v>■</v>
      </c>
      <c r="F371" s="1" t="s">
        <v>2257</v>
      </c>
      <c r="G371" s="1">
        <v>96246</v>
      </c>
      <c r="H371" s="1">
        <v>103512</v>
      </c>
      <c r="I371" s="1">
        <v>24</v>
      </c>
      <c r="J371" s="1" t="s">
        <v>173</v>
      </c>
      <c r="K371" s="1" t="s">
        <v>2258</v>
      </c>
      <c r="L371" s="1" t="s">
        <v>2259</v>
      </c>
      <c r="M371" s="1" t="s">
        <v>9158</v>
      </c>
      <c r="N371" s="1" t="s">
        <v>9158</v>
      </c>
      <c r="O371" s="1" t="s">
        <v>9158</v>
      </c>
      <c r="P371" s="1" t="s">
        <v>9158</v>
      </c>
      <c r="Q371" s="1" t="s">
        <v>9158</v>
      </c>
    </row>
    <row r="372" spans="1:17">
      <c r="A372" s="1">
        <v>69883</v>
      </c>
      <c r="B372" s="1" t="s">
        <v>334</v>
      </c>
      <c r="C372" s="1" t="s">
        <v>185</v>
      </c>
      <c r="D372" s="19" t="s">
        <v>10293</v>
      </c>
      <c r="E372" s="15" t="str">
        <f>HYPERLINK("https://stat100.ameba.jp/tnk47/ratio20/illustrations/card/ill_69883_kyupiddotominushihime03.jpg?201907-4-RELEASE-guildbattle-420", "■")</f>
        <v>■</v>
      </c>
      <c r="F372" s="1" t="s">
        <v>4142</v>
      </c>
      <c r="G372" s="1">
        <v>91010</v>
      </c>
      <c r="H372" s="1">
        <v>97894</v>
      </c>
      <c r="I372" s="1">
        <v>24</v>
      </c>
      <c r="J372" s="1" t="s">
        <v>169</v>
      </c>
      <c r="K372" s="1" t="s">
        <v>4143</v>
      </c>
      <c r="L372" s="1" t="s">
        <v>13190</v>
      </c>
      <c r="M372" s="1" t="s">
        <v>9158</v>
      </c>
      <c r="N372" s="1" t="s">
        <v>9158</v>
      </c>
      <c r="O372" s="1" t="s">
        <v>9158</v>
      </c>
      <c r="P372" s="1" t="s">
        <v>9158</v>
      </c>
      <c r="Q372" s="1" t="s">
        <v>9158</v>
      </c>
    </row>
    <row r="373" spans="1:17">
      <c r="A373" s="1">
        <v>71833</v>
      </c>
      <c r="B373" s="1" t="s">
        <v>334</v>
      </c>
      <c r="C373" s="1" t="s">
        <v>165</v>
      </c>
      <c r="D373" s="19" t="s">
        <v>10294</v>
      </c>
      <c r="E373" s="15" t="str">
        <f>HYPERLINK("https://stat100.ameba.jp/tnk47/ratio20/illustrations/card/ill_71833_autodoanuregamidoji03.jpg?201907-4-RELEASE-guildbattle-420", "■")</f>
        <v>■</v>
      </c>
      <c r="F373" s="1" t="s">
        <v>5291</v>
      </c>
      <c r="G373" s="1">
        <v>92996</v>
      </c>
      <c r="H373" s="1">
        <v>99996</v>
      </c>
      <c r="I373" s="1">
        <v>24</v>
      </c>
      <c r="J373" s="1" t="s">
        <v>320</v>
      </c>
      <c r="K373" s="1" t="s">
        <v>4244</v>
      </c>
      <c r="L373" s="1" t="s">
        <v>4245</v>
      </c>
      <c r="M373" s="1" t="s">
        <v>9158</v>
      </c>
      <c r="N373" s="1" t="s">
        <v>9158</v>
      </c>
      <c r="O373" s="1" t="s">
        <v>9158</v>
      </c>
      <c r="P373" s="1" t="s">
        <v>9158</v>
      </c>
      <c r="Q373" s="1" t="s">
        <v>9158</v>
      </c>
    </row>
    <row r="375" spans="1:17">
      <c r="A375" s="1" t="s">
        <v>5805</v>
      </c>
    </row>
    <row r="376" spans="1:17">
      <c r="A376" s="1" t="s">
        <v>5806</v>
      </c>
    </row>
    <row r="377" spans="1:17">
      <c r="A377" s="1" t="s">
        <v>5807</v>
      </c>
      <c r="B377" s="1" t="s">
        <v>330</v>
      </c>
      <c r="C377" s="1" t="s">
        <v>206</v>
      </c>
      <c r="D377" s="19" t="s">
        <v>669</v>
      </c>
      <c r="E377" s="15" t="str">
        <f>HYPERLINK("https://stat100.ameba.jp/tnk47/ratio20/illustrations/card/ill_67173_0_yukemuriawamorichan03.jpg?201907-4-RELEASE-guildbattle-420", "■")</f>
        <v>■</v>
      </c>
      <c r="F377" s="1" t="s">
        <v>670</v>
      </c>
      <c r="G377" s="1">
        <v>169032</v>
      </c>
      <c r="H377" s="1">
        <v>157150</v>
      </c>
      <c r="I377" s="1">
        <v>22</v>
      </c>
      <c r="J377" s="1" t="s">
        <v>283</v>
      </c>
      <c r="K377" s="1" t="s">
        <v>671</v>
      </c>
      <c r="L377" s="1" t="s">
        <v>672</v>
      </c>
      <c r="M377" s="1" t="s">
        <v>9158</v>
      </c>
      <c r="N377" s="1" t="s">
        <v>9158</v>
      </c>
      <c r="O377" s="19" t="s">
        <v>10087</v>
      </c>
      <c r="P377" s="1" t="s">
        <v>3455</v>
      </c>
      <c r="Q377" s="1">
        <v>1</v>
      </c>
    </row>
    <row r="378" spans="1:17">
      <c r="A378" s="1" t="s">
        <v>5808</v>
      </c>
      <c r="B378" s="1" t="s">
        <v>52</v>
      </c>
      <c r="C378" s="1" t="s">
        <v>23</v>
      </c>
      <c r="D378" s="19" t="s">
        <v>809</v>
      </c>
      <c r="E378" s="15" t="str">
        <f>HYPERLINK("https://stat100.ameba.jp/tnk47/ratio20/illustrations/card/ill_68033_0_kurisumasupateikandamyojin03.jpg?201907-4-RELEASE-guildbattle-420", "■")</f>
        <v>■</v>
      </c>
      <c r="F378" s="1" t="s">
        <v>1871</v>
      </c>
      <c r="G378" s="1">
        <v>139878</v>
      </c>
      <c r="H378" s="1">
        <v>150466</v>
      </c>
      <c r="I378" s="1">
        <v>22</v>
      </c>
      <c r="J378" s="1" t="s">
        <v>44</v>
      </c>
      <c r="K378" s="1" t="s">
        <v>1872</v>
      </c>
      <c r="L378" s="1" t="s">
        <v>1873</v>
      </c>
      <c r="M378" s="1" t="s">
        <v>9158</v>
      </c>
      <c r="N378" s="1" t="s">
        <v>9158</v>
      </c>
      <c r="O378" s="19" t="s">
        <v>2997</v>
      </c>
      <c r="P378" s="1" t="s">
        <v>3483</v>
      </c>
      <c r="Q378" s="1">
        <v>2</v>
      </c>
    </row>
    <row r="379" spans="1:17">
      <c r="A379" s="1">
        <v>78143</v>
      </c>
      <c r="B379" s="1" t="s">
        <v>334</v>
      </c>
      <c r="C379" s="1" t="s">
        <v>203</v>
      </c>
      <c r="D379" s="19" t="s">
        <v>10285</v>
      </c>
      <c r="E379" s="15" t="str">
        <f>HYPERLINK("https://stat100.ameba.jp/tnk47/ratio20/illustrations/card/ill_78143_kanibarukuin03.jpg?201907-4-RELEASE-guildbattle-420", "■")</f>
        <v>■</v>
      </c>
      <c r="F379" s="1" t="s">
        <v>2687</v>
      </c>
      <c r="G379" s="1">
        <v>88624</v>
      </c>
      <c r="H379" s="1">
        <v>122366</v>
      </c>
      <c r="I379" s="1">
        <v>24</v>
      </c>
      <c r="J379" s="1" t="s">
        <v>26</v>
      </c>
      <c r="K379" s="1" t="s">
        <v>2688</v>
      </c>
      <c r="L379" s="1" t="s">
        <v>2137</v>
      </c>
      <c r="M379" s="1" t="s">
        <v>9158</v>
      </c>
      <c r="N379" s="1" t="s">
        <v>9158</v>
      </c>
      <c r="O379" s="19" t="s">
        <v>10103</v>
      </c>
      <c r="P379" s="1" t="s">
        <v>3897</v>
      </c>
      <c r="Q379" s="1">
        <v>1</v>
      </c>
    </row>
    <row r="380" spans="1:17">
      <c r="A380" s="1">
        <v>57123</v>
      </c>
      <c r="B380" s="1" t="s">
        <v>334</v>
      </c>
      <c r="C380" s="1" t="s">
        <v>3860</v>
      </c>
      <c r="D380" s="19" t="s">
        <v>10225</v>
      </c>
      <c r="E380" s="15" t="str">
        <f>HYPERLINK("https://stat100.ameba.jp/tnk47/ratio20/illustrations/card/ill_57123_igamaria03.jpg?201907-4-RELEASE-guildbattle-420", "■")</f>
        <v>■</v>
      </c>
      <c r="F380" s="1" t="s">
        <v>5113</v>
      </c>
      <c r="G380" s="1">
        <v>86668</v>
      </c>
      <c r="H380" s="1">
        <v>63547</v>
      </c>
      <c r="I380" s="1">
        <v>21</v>
      </c>
      <c r="J380" s="1" t="s">
        <v>77</v>
      </c>
      <c r="K380" s="1" t="s">
        <v>5115</v>
      </c>
      <c r="L380" s="1" t="s">
        <v>5116</v>
      </c>
      <c r="M380" s="1" t="s">
        <v>9158</v>
      </c>
      <c r="N380" s="1" t="s">
        <v>9158</v>
      </c>
      <c r="O380" s="1" t="s">
        <v>9158</v>
      </c>
      <c r="P380" s="1" t="s">
        <v>9158</v>
      </c>
      <c r="Q380" s="1" t="s">
        <v>9158</v>
      </c>
    </row>
    <row r="381" spans="1:17">
      <c r="A381" s="1">
        <v>67943</v>
      </c>
      <c r="B381" s="1" t="s">
        <v>334</v>
      </c>
      <c r="C381" s="1" t="s">
        <v>154</v>
      </c>
      <c r="D381" s="19" t="s">
        <v>3175</v>
      </c>
      <c r="E381" s="15" t="str">
        <f>HYPERLINK("https://stat100.ameba.jp/tnk47/ratio20/illustrations/card/ill_67943_hoshinamasayuki03.jpg?201907-4-RELEASE-guildbattle-420", "■")</f>
        <v>■</v>
      </c>
      <c r="F381" s="1" t="s">
        <v>1781</v>
      </c>
      <c r="G381" s="1">
        <v>65335</v>
      </c>
      <c r="H381" s="1">
        <v>60733</v>
      </c>
      <c r="I381" s="1">
        <v>21</v>
      </c>
      <c r="J381" s="1" t="s">
        <v>10</v>
      </c>
      <c r="K381" s="1" t="s">
        <v>1782</v>
      </c>
      <c r="L381" s="1" t="s">
        <v>1783</v>
      </c>
      <c r="M381" s="1" t="s">
        <v>9158</v>
      </c>
      <c r="N381" s="1" t="s">
        <v>9158</v>
      </c>
      <c r="O381" s="1" t="s">
        <v>9158</v>
      </c>
      <c r="P381" s="1" t="s">
        <v>9158</v>
      </c>
      <c r="Q381" s="1" t="s">
        <v>9158</v>
      </c>
    </row>
    <row r="382" spans="1:17">
      <c r="A382" s="1">
        <v>68703</v>
      </c>
      <c r="B382" s="1" t="s">
        <v>0</v>
      </c>
      <c r="C382" s="1" t="s">
        <v>47</v>
      </c>
      <c r="D382" s="19" t="s">
        <v>687</v>
      </c>
      <c r="E382" s="15" t="str">
        <f>HYPERLINK("https://stat100.ameba.jp/tnk47/ratio20/illustrations/card/ill_68703_manryu03.jpg?201907-4-RELEASE-guildbattle-420", "■")</f>
        <v>■</v>
      </c>
      <c r="F382" s="1" t="s">
        <v>80</v>
      </c>
      <c r="G382" s="1">
        <v>66487</v>
      </c>
      <c r="H382" s="1">
        <v>91779</v>
      </c>
      <c r="I382" s="1">
        <v>21</v>
      </c>
      <c r="J382" s="1" t="s">
        <v>16</v>
      </c>
      <c r="K382" s="1" t="s">
        <v>81</v>
      </c>
      <c r="L382" s="1" t="s">
        <v>82</v>
      </c>
      <c r="M382" s="1" t="s">
        <v>9158</v>
      </c>
      <c r="N382" s="1" t="s">
        <v>9158</v>
      </c>
      <c r="O382" s="1" t="s">
        <v>9158</v>
      </c>
      <c r="P382" s="1" t="s">
        <v>9158</v>
      </c>
      <c r="Q382" s="1" t="s">
        <v>9158</v>
      </c>
    </row>
    <row r="383" spans="1:17">
      <c r="A383" s="1">
        <v>80163</v>
      </c>
      <c r="B383" s="1" t="s">
        <v>5809</v>
      </c>
      <c r="C383" s="1" t="s">
        <v>158</v>
      </c>
      <c r="D383" s="19" t="s">
        <v>10391</v>
      </c>
      <c r="E383" s="15" t="str">
        <f>HYPERLINK("https://stat100.ameba.jp/tnk47/ratio20/illustrations/card/ill_80163_kuronosu03.jpg?201907-4-RELEASE-guildbattle-420", "■")</f>
        <v>■</v>
      </c>
      <c r="F383" s="1" t="s">
        <v>3766</v>
      </c>
      <c r="G383" s="1">
        <v>69430</v>
      </c>
      <c r="H383" s="1">
        <v>95859</v>
      </c>
      <c r="I383" s="1">
        <v>21</v>
      </c>
      <c r="J383" s="1" t="s">
        <v>44</v>
      </c>
      <c r="K383" s="1" t="s">
        <v>3767</v>
      </c>
      <c r="L383" s="1" t="s">
        <v>1209</v>
      </c>
      <c r="M383" s="1" t="s">
        <v>9158</v>
      </c>
      <c r="N383" s="1" t="s">
        <v>9158</v>
      </c>
      <c r="O383" s="19" t="s">
        <v>2752</v>
      </c>
      <c r="P383" s="1" t="s">
        <v>13123</v>
      </c>
      <c r="Q383" s="1">
        <v>1</v>
      </c>
    </row>
    <row r="384" spans="1:17">
      <c r="A384" s="1">
        <v>78123</v>
      </c>
      <c r="B384" s="1" t="s">
        <v>334</v>
      </c>
      <c r="C384" s="1" t="s">
        <v>209</v>
      </c>
      <c r="D384" s="19" t="s">
        <v>3023</v>
      </c>
      <c r="E384" s="15" t="str">
        <f>HYPERLINK("https://stat100.ameba.jp/tnk47/ratio20/illustrations/card/ill_78123_madannoteirusorushieru03.jpg?201907-4-RELEASE-guildbattle-420", "■")</f>
        <v>■</v>
      </c>
      <c r="F384" s="1" t="s">
        <v>3024</v>
      </c>
      <c r="G384" s="1">
        <v>139716</v>
      </c>
      <c r="H384" s="1">
        <v>101199</v>
      </c>
      <c r="I384" s="1">
        <v>21</v>
      </c>
      <c r="J384" s="1" t="s">
        <v>310</v>
      </c>
      <c r="K384" s="1" t="s">
        <v>3025</v>
      </c>
      <c r="L384" s="1" t="s">
        <v>443</v>
      </c>
      <c r="M384" s="1" t="s">
        <v>9158</v>
      </c>
      <c r="N384" s="1" t="s">
        <v>9158</v>
      </c>
      <c r="O384" s="19" t="s">
        <v>2951</v>
      </c>
      <c r="P384" s="1" t="s">
        <v>13122</v>
      </c>
      <c r="Q384" s="1">
        <v>1</v>
      </c>
    </row>
    <row r="386" spans="1:17">
      <c r="A386" s="1" t="s">
        <v>5810</v>
      </c>
    </row>
    <row r="387" spans="1:17">
      <c r="A387" s="1" t="s">
        <v>5811</v>
      </c>
    </row>
    <row r="388" spans="1:17">
      <c r="A388" s="1" t="s">
        <v>5822</v>
      </c>
      <c r="B388" s="1" t="s">
        <v>330</v>
      </c>
      <c r="C388" s="1" t="s">
        <v>191</v>
      </c>
      <c r="D388" s="19" t="s">
        <v>306</v>
      </c>
      <c r="E388" s="15" t="str">
        <f>HYPERLINK("https://stat100.ameba.jp/tnk47/ratio20/illustrations/card/ill_71403_0_ohanamisanadayukimura03.jpg?201907-4-RELEASE-guildbattle-420", "■")</f>
        <v>■</v>
      </c>
      <c r="F388" s="1" t="s">
        <v>309</v>
      </c>
      <c r="G388" s="1">
        <v>140016</v>
      </c>
      <c r="H388" s="1">
        <v>130194</v>
      </c>
      <c r="I388" s="1">
        <v>15</v>
      </c>
      <c r="J388" s="1" t="s">
        <v>310</v>
      </c>
      <c r="K388" s="1" t="s">
        <v>311</v>
      </c>
      <c r="L388" s="1" t="s">
        <v>312</v>
      </c>
      <c r="M388" s="1" t="s">
        <v>9158</v>
      </c>
      <c r="N388" s="1" t="s">
        <v>9158</v>
      </c>
      <c r="O388" s="19" t="s">
        <v>10104</v>
      </c>
      <c r="P388" s="1" t="s">
        <v>3418</v>
      </c>
      <c r="Q388" s="1">
        <v>2</v>
      </c>
    </row>
    <row r="389" spans="1:17">
      <c r="A389" s="1" t="s">
        <v>5821</v>
      </c>
      <c r="B389" s="1" t="s">
        <v>330</v>
      </c>
      <c r="C389" s="1" t="s">
        <v>165</v>
      </c>
      <c r="D389" s="19" t="s">
        <v>3146</v>
      </c>
      <c r="E389" s="15" t="str">
        <f>HYPERLINK("https://stat100.ameba.jp/tnk47/ratio20/illustrations/card/ill_65713_0_undokaionikirimaru03.jpg?201907-4-RELEASE-guildbattle-420", "■")</f>
        <v>■</v>
      </c>
      <c r="F389" s="1" t="s">
        <v>535</v>
      </c>
      <c r="G389" s="1">
        <v>113525</v>
      </c>
      <c r="H389" s="1">
        <v>105545</v>
      </c>
      <c r="I389" s="1">
        <v>15</v>
      </c>
      <c r="J389" s="1" t="s">
        <v>320</v>
      </c>
      <c r="K389" s="1" t="s">
        <v>3147</v>
      </c>
      <c r="L389" s="1" t="s">
        <v>3148</v>
      </c>
      <c r="M389" s="1" t="s">
        <v>9158</v>
      </c>
      <c r="N389" s="1" t="s">
        <v>9158</v>
      </c>
      <c r="O389" s="19" t="s">
        <v>2869</v>
      </c>
      <c r="P389" s="1" t="s">
        <v>2870</v>
      </c>
      <c r="Q389" s="1">
        <v>1</v>
      </c>
    </row>
    <row r="390" spans="1:17">
      <c r="A390" s="1" t="s">
        <v>5820</v>
      </c>
      <c r="B390" s="1" t="s">
        <v>330</v>
      </c>
      <c r="C390" s="1" t="s">
        <v>271</v>
      </c>
      <c r="D390" s="19" t="s">
        <v>630</v>
      </c>
      <c r="E390" s="15" t="str">
        <f>HYPERLINK("https://stat100.ameba.jp/tnk47/ratio20/illustrations/card/ill_48283_0_kyuubitamamonomae03.jpg?201907-4-RELEASE-guildbattle-420", "■")</f>
        <v>■</v>
      </c>
      <c r="F390" s="1" t="s">
        <v>631</v>
      </c>
      <c r="G390" s="1">
        <v>94236</v>
      </c>
      <c r="H390" s="1">
        <v>83712</v>
      </c>
      <c r="I390" s="1">
        <v>15</v>
      </c>
      <c r="J390" s="1" t="s">
        <v>320</v>
      </c>
      <c r="K390" s="1" t="s">
        <v>632</v>
      </c>
      <c r="L390" s="1" t="s">
        <v>633</v>
      </c>
      <c r="M390" s="1" t="s">
        <v>9158</v>
      </c>
      <c r="N390" s="1" t="s">
        <v>9158</v>
      </c>
      <c r="O390" s="1" t="s">
        <v>9158</v>
      </c>
      <c r="P390" s="1" t="s">
        <v>9158</v>
      </c>
      <c r="Q390" s="1" t="s">
        <v>9158</v>
      </c>
    </row>
    <row r="391" spans="1:17">
      <c r="A391" s="1">
        <v>82723</v>
      </c>
      <c r="B391" s="1" t="s">
        <v>334</v>
      </c>
      <c r="C391" s="1" t="s">
        <v>5816</v>
      </c>
      <c r="D391" s="19" t="s">
        <v>10392</v>
      </c>
      <c r="E391" s="15" t="str">
        <f>HYPERLINK("https://stat100.ameba.jp/tnk47/ratio20/illustrations/card/ill_82723_natsufuesuyamakawatomiko03.jpg?201907-4-RELEASE-guildbattle-420", "■")</f>
        <v>■</v>
      </c>
      <c r="F391" s="1" t="s">
        <v>5817</v>
      </c>
      <c r="G391" s="1">
        <v>115746</v>
      </c>
      <c r="H391" s="1">
        <v>65128</v>
      </c>
      <c r="I391" s="1">
        <v>24</v>
      </c>
      <c r="J391" s="1" t="s">
        <v>5794</v>
      </c>
      <c r="K391" s="1" t="s">
        <v>5818</v>
      </c>
      <c r="L391" s="1" t="s">
        <v>5819</v>
      </c>
      <c r="M391" s="1" t="s">
        <v>9158</v>
      </c>
      <c r="N391" s="1" t="s">
        <v>9158</v>
      </c>
      <c r="O391" s="1" t="s">
        <v>9158</v>
      </c>
      <c r="P391" s="1" t="s">
        <v>9158</v>
      </c>
      <c r="Q391" s="1" t="s">
        <v>9158</v>
      </c>
    </row>
    <row r="392" spans="1:17">
      <c r="A392" s="1">
        <v>78453</v>
      </c>
      <c r="B392" s="1" t="s">
        <v>334</v>
      </c>
      <c r="C392" s="1" t="s">
        <v>165</v>
      </c>
      <c r="D392" s="19" t="s">
        <v>10393</v>
      </c>
      <c r="E392" s="15" t="str">
        <f>HYPERLINK("https://stat100.ameba.jp/tnk47/ratio20/illustrations/card/ill_78453_dobutsunoshimahashihime03.jpg?201907-4-RELEASE-guildbattle-420", "■")</f>
        <v>■</v>
      </c>
      <c r="F392" s="1" t="s">
        <v>2555</v>
      </c>
      <c r="G392" s="1">
        <v>129501</v>
      </c>
      <c r="H392" s="1">
        <v>72883</v>
      </c>
      <c r="I392" s="1">
        <v>23</v>
      </c>
      <c r="J392" s="1" t="s">
        <v>38</v>
      </c>
      <c r="K392" s="1" t="s">
        <v>2556</v>
      </c>
      <c r="L392" s="1" t="s">
        <v>2557</v>
      </c>
      <c r="M392" s="1" t="s">
        <v>9158</v>
      </c>
      <c r="N392" s="1" t="s">
        <v>9158</v>
      </c>
      <c r="O392" s="1" t="s">
        <v>9158</v>
      </c>
      <c r="P392" s="1" t="s">
        <v>9158</v>
      </c>
      <c r="Q392" s="1" t="s">
        <v>9158</v>
      </c>
    </row>
    <row r="393" spans="1:17">
      <c r="A393" s="1">
        <v>77433</v>
      </c>
      <c r="B393" s="1" t="s">
        <v>334</v>
      </c>
      <c r="C393" s="1" t="s">
        <v>344</v>
      </c>
      <c r="D393" s="19" t="s">
        <v>10181</v>
      </c>
      <c r="E393" s="15" t="str">
        <f>HYPERLINK("https://stat100.ameba.jp/tnk47/ratio20/illustrations/card/ill_77433_yamagaruakinomurabotoni03.jpg?201907-4-RELEASE-guildbattle-420", "■")</f>
        <v>■</v>
      </c>
      <c r="F393" s="1" t="s">
        <v>1664</v>
      </c>
      <c r="G393" s="1">
        <v>93263</v>
      </c>
      <c r="H393" s="1">
        <v>86751</v>
      </c>
      <c r="I393" s="1">
        <v>23</v>
      </c>
      <c r="J393" s="1" t="s">
        <v>414</v>
      </c>
      <c r="K393" s="1" t="s">
        <v>1665</v>
      </c>
      <c r="L393" s="1" t="s">
        <v>855</v>
      </c>
      <c r="M393" s="1" t="s">
        <v>9158</v>
      </c>
      <c r="N393" s="1" t="s">
        <v>9158</v>
      </c>
      <c r="O393" s="1" t="s">
        <v>9158</v>
      </c>
      <c r="P393" s="1" t="s">
        <v>9158</v>
      </c>
      <c r="Q393" s="1" t="s">
        <v>9158</v>
      </c>
    </row>
    <row r="394" spans="1:17">
      <c r="A394" s="1">
        <v>59113</v>
      </c>
      <c r="B394" s="1" t="s">
        <v>348</v>
      </c>
      <c r="C394" s="1" t="s">
        <v>185</v>
      </c>
      <c r="D394" s="19" t="s">
        <v>2898</v>
      </c>
      <c r="E394" s="15" t="str">
        <f>HYPERLINK("https://stat100.ameba.jp/tnk47/ratio20/illustrations/card/ill_59113_hananodayunakanotakeko03.jpg?201907-4-RELEASE-guildbattle-420", "■")</f>
        <v>■</v>
      </c>
      <c r="F394" s="1" t="s">
        <v>2899</v>
      </c>
      <c r="G394" s="1">
        <v>68172</v>
      </c>
      <c r="H394" s="1">
        <v>61832</v>
      </c>
      <c r="I394" s="1">
        <v>23</v>
      </c>
      <c r="J394" s="1" t="s">
        <v>310</v>
      </c>
      <c r="K394" s="1" t="s">
        <v>2900</v>
      </c>
      <c r="L394" s="1" t="s">
        <v>1525</v>
      </c>
      <c r="M394" s="1" t="s">
        <v>9158</v>
      </c>
      <c r="N394" s="1" t="s">
        <v>9158</v>
      </c>
      <c r="O394" s="1" t="s">
        <v>9158</v>
      </c>
      <c r="P394" s="1" t="s">
        <v>9158</v>
      </c>
      <c r="Q394" s="1" t="s">
        <v>9158</v>
      </c>
    </row>
    <row r="395" spans="1:17">
      <c r="A395" s="1">
        <v>66723</v>
      </c>
      <c r="B395" s="1" t="s">
        <v>15</v>
      </c>
      <c r="C395" s="1" t="s">
        <v>206</v>
      </c>
      <c r="D395" s="19" t="s">
        <v>10394</v>
      </c>
      <c r="E395" s="15" t="str">
        <f>HYPERLINK("https://stat100.ameba.jp/tnk47/ratio20/illustrations/card/ill_66723_shogiamanozume03.jpg?201907-4-RELEASE-guildbattle-420", "■")</f>
        <v>■</v>
      </c>
      <c r="F395" s="1" t="s">
        <v>4359</v>
      </c>
      <c r="G395" s="1">
        <v>68172</v>
      </c>
      <c r="H395" s="1">
        <v>61832</v>
      </c>
      <c r="I395" s="1">
        <v>23</v>
      </c>
      <c r="J395" s="1" t="s">
        <v>44</v>
      </c>
      <c r="K395" s="1" t="s">
        <v>3541</v>
      </c>
      <c r="L395" s="1" t="s">
        <v>3271</v>
      </c>
      <c r="M395" s="1" t="s">
        <v>9158</v>
      </c>
      <c r="N395" s="1" t="s">
        <v>9158</v>
      </c>
      <c r="O395" s="1" t="s">
        <v>9158</v>
      </c>
      <c r="P395" s="1" t="s">
        <v>9158</v>
      </c>
      <c r="Q395" s="1" t="s">
        <v>9158</v>
      </c>
    </row>
    <row r="396" spans="1:17">
      <c r="A396" s="1">
        <v>53673</v>
      </c>
      <c r="B396" s="1" t="s">
        <v>15</v>
      </c>
      <c r="C396" s="1" t="s">
        <v>5812</v>
      </c>
      <c r="D396" s="19" t="s">
        <v>10395</v>
      </c>
      <c r="E396" s="15" t="str">
        <f>HYPERLINK("https://stat100.ameba.jp/tnk47/ratio20/illustrations/card/ill_53673_kanibaruizumonokuni03.jpg?201907-4-RELEASE-guildbattle-420", "■")</f>
        <v>■</v>
      </c>
      <c r="F396" s="1" t="s">
        <v>5813</v>
      </c>
      <c r="G396" s="1">
        <v>68172</v>
      </c>
      <c r="H396" s="1">
        <v>61832</v>
      </c>
      <c r="I396" s="1">
        <v>23</v>
      </c>
      <c r="J396" s="1" t="s">
        <v>10</v>
      </c>
      <c r="K396" s="1" t="s">
        <v>5814</v>
      </c>
      <c r="L396" s="1" t="s">
        <v>5815</v>
      </c>
      <c r="M396" s="1" t="s">
        <v>9158</v>
      </c>
      <c r="N396" s="1" t="s">
        <v>9158</v>
      </c>
      <c r="O396" s="1" t="s">
        <v>9158</v>
      </c>
      <c r="P396" s="1" t="s">
        <v>9158</v>
      </c>
      <c r="Q396" s="1" t="s">
        <v>9158</v>
      </c>
    </row>
    <row r="398" spans="1:17">
      <c r="A398" s="1" t="s">
        <v>5826</v>
      </c>
    </row>
    <row r="399" spans="1:17">
      <c r="A399" s="1" t="s">
        <v>5827</v>
      </c>
    </row>
    <row r="400" spans="1:17">
      <c r="A400" s="1" t="s">
        <v>5828</v>
      </c>
      <c r="B400" s="1" t="s">
        <v>330</v>
      </c>
      <c r="C400" s="1" t="s">
        <v>185</v>
      </c>
      <c r="D400" s="19" t="s">
        <v>3086</v>
      </c>
      <c r="E400" s="15" t="str">
        <f>HYPERLINK("https://stat100.ameba.jp/tnk47/ratio20/illustrations/card/ill_69593_0_setsubunyukionna03.jpg?201907-4-RELEASE-guildbattle-420", "■")</f>
        <v>■</v>
      </c>
      <c r="F400" s="1" t="s">
        <v>3087</v>
      </c>
      <c r="G400" s="1">
        <v>107146</v>
      </c>
      <c r="H400" s="1">
        <v>115249</v>
      </c>
      <c r="I400" s="1">
        <v>15</v>
      </c>
      <c r="J400" s="1" t="s">
        <v>320</v>
      </c>
      <c r="K400" s="1" t="s">
        <v>3088</v>
      </c>
      <c r="L400" s="1" t="s">
        <v>3089</v>
      </c>
      <c r="M400" s="1" t="s">
        <v>9158</v>
      </c>
      <c r="N400" s="1" t="s">
        <v>9158</v>
      </c>
      <c r="O400" s="19" t="s">
        <v>3090</v>
      </c>
      <c r="P400" s="1" t="s">
        <v>3091</v>
      </c>
      <c r="Q400" s="1">
        <v>2</v>
      </c>
    </row>
    <row r="401" spans="1:17">
      <c r="A401" s="1" t="s">
        <v>5829</v>
      </c>
      <c r="B401" s="1" t="s">
        <v>52</v>
      </c>
      <c r="C401" s="1" t="s">
        <v>23</v>
      </c>
      <c r="D401" s="19" t="s">
        <v>665</v>
      </c>
      <c r="E401" s="15" t="str">
        <f>HYPERLINK("https://stat100.ameba.jp/tnk47/ratio20/illustrations/card/ill_63173_0_minazukikonakaiteruko03.jpg?201907-4-RELEASE-guildbattle-420", "■")</f>
        <v>■</v>
      </c>
      <c r="F401" s="1" t="s">
        <v>1188</v>
      </c>
      <c r="G401" s="1">
        <v>130194</v>
      </c>
      <c r="H401" s="1">
        <v>140016</v>
      </c>
      <c r="I401" s="1">
        <v>15</v>
      </c>
      <c r="J401" s="1" t="s">
        <v>143</v>
      </c>
      <c r="K401" s="1" t="s">
        <v>1189</v>
      </c>
      <c r="L401" s="1" t="s">
        <v>1190</v>
      </c>
      <c r="M401" s="1" t="s">
        <v>9158</v>
      </c>
      <c r="N401" s="1" t="s">
        <v>9158</v>
      </c>
      <c r="O401" s="19" t="s">
        <v>10079</v>
      </c>
      <c r="P401" s="1" t="s">
        <v>3329</v>
      </c>
      <c r="Q401" s="1">
        <v>1</v>
      </c>
    </row>
    <row r="402" spans="1:17">
      <c r="A402" s="1" t="s">
        <v>5830</v>
      </c>
      <c r="B402" s="1" t="s">
        <v>330</v>
      </c>
      <c r="C402" s="1" t="s">
        <v>191</v>
      </c>
      <c r="D402" s="19" t="s">
        <v>793</v>
      </c>
      <c r="E402" s="15" t="str">
        <f>HYPERLINK("https://stat100.ameba.jp/tnk47/ratio20/illustrations/card/ill_39933_0_reihiiinaotora03.jpg?201907-4-RELEASE-guildbattle-420", "■")</f>
        <v>■</v>
      </c>
      <c r="F402" s="1" t="s">
        <v>794</v>
      </c>
      <c r="G402" s="1">
        <v>82212</v>
      </c>
      <c r="H402" s="1">
        <v>87780</v>
      </c>
      <c r="I402" s="1">
        <v>15</v>
      </c>
      <c r="J402" s="1" t="s">
        <v>315</v>
      </c>
      <c r="K402" s="1" t="s">
        <v>795</v>
      </c>
      <c r="L402" s="1" t="s">
        <v>796</v>
      </c>
      <c r="M402" s="1" t="s">
        <v>9158</v>
      </c>
      <c r="N402" s="1" t="s">
        <v>9158</v>
      </c>
      <c r="O402" s="1" t="s">
        <v>9158</v>
      </c>
      <c r="P402" s="1" t="s">
        <v>9158</v>
      </c>
      <c r="Q402" s="1" t="s">
        <v>9158</v>
      </c>
    </row>
    <row r="403" spans="1:17">
      <c r="A403" s="1">
        <v>82733</v>
      </c>
      <c r="B403" s="1" t="s">
        <v>334</v>
      </c>
      <c r="C403" s="1" t="s">
        <v>205</v>
      </c>
      <c r="D403" s="19" t="s">
        <v>10396</v>
      </c>
      <c r="E403" s="15" t="str">
        <f>HYPERLINK("https://stat100.ameba.jp/tnk47/ratio20/illustrations/card/ill_82733_natsufuesukyogokuichiko03.jpg?201907-4-RELEASE-guildbattle-420", "■")</f>
        <v>■</v>
      </c>
      <c r="F403" s="1" t="s">
        <v>5837</v>
      </c>
      <c r="G403" s="1">
        <v>67636</v>
      </c>
      <c r="H403" s="1">
        <v>120204</v>
      </c>
      <c r="I403" s="1">
        <v>24</v>
      </c>
      <c r="J403" s="1" t="s">
        <v>5838</v>
      </c>
      <c r="K403" s="1" t="s">
        <v>5839</v>
      </c>
      <c r="L403" s="1" t="s">
        <v>5840</v>
      </c>
      <c r="M403" s="1" t="s">
        <v>9158</v>
      </c>
      <c r="N403" s="1" t="s">
        <v>9158</v>
      </c>
      <c r="O403" s="1" t="s">
        <v>9158</v>
      </c>
      <c r="P403" s="1" t="s">
        <v>9158</v>
      </c>
      <c r="Q403" s="1" t="s">
        <v>9158</v>
      </c>
    </row>
    <row r="404" spans="1:17">
      <c r="A404" s="1">
        <v>80413</v>
      </c>
      <c r="B404" s="1" t="s">
        <v>334</v>
      </c>
      <c r="C404" s="1" t="s">
        <v>14</v>
      </c>
      <c r="D404" s="19" t="s">
        <v>10397</v>
      </c>
      <c r="E404" s="15" t="str">
        <f>HYPERLINK("https://stat100.ameba.jp/tnk47/ratio20/illustrations/card/ill_80413_shikyushikitadanomakuzu03.jpg?201907-4-RELEASE-guildbattle-420", "■")</f>
        <v>■</v>
      </c>
      <c r="F404" s="1" t="s">
        <v>4079</v>
      </c>
      <c r="G404" s="1">
        <v>65176</v>
      </c>
      <c r="H404" s="1">
        <v>115855</v>
      </c>
      <c r="I404" s="1">
        <v>23</v>
      </c>
      <c r="J404" s="1" t="s">
        <v>10</v>
      </c>
      <c r="K404" s="1" t="s">
        <v>4080</v>
      </c>
      <c r="L404" s="1" t="s">
        <v>4081</v>
      </c>
      <c r="M404" s="1" t="s">
        <v>9158</v>
      </c>
      <c r="N404" s="1" t="s">
        <v>9158</v>
      </c>
      <c r="O404" s="1" t="s">
        <v>9158</v>
      </c>
      <c r="P404" s="1" t="s">
        <v>9158</v>
      </c>
      <c r="Q404" s="1" t="s">
        <v>9158</v>
      </c>
    </row>
    <row r="405" spans="1:17">
      <c r="A405" s="1">
        <v>74773</v>
      </c>
      <c r="B405" s="1" t="s">
        <v>334</v>
      </c>
      <c r="C405" s="1" t="s">
        <v>200</v>
      </c>
      <c r="D405" s="19" t="s">
        <v>2735</v>
      </c>
      <c r="E405" s="15" t="str">
        <f>HYPERLINK("https://stat100.ameba.jp/tnk47/ratio20/illustrations/card/ill_74773_natsumatsurinasunoyoichi03.jpg?201907-4-RELEASE-guildbattle-420", "■")</f>
        <v>■</v>
      </c>
      <c r="F405" s="1" t="s">
        <v>2736</v>
      </c>
      <c r="G405" s="1">
        <v>127130</v>
      </c>
      <c r="H405" s="1">
        <v>136729</v>
      </c>
      <c r="I405" s="1">
        <v>23</v>
      </c>
      <c r="J405" s="1" t="s">
        <v>310</v>
      </c>
      <c r="K405" s="1" t="s">
        <v>2737</v>
      </c>
      <c r="L405" s="1" t="s">
        <v>407</v>
      </c>
      <c r="M405" s="1" t="s">
        <v>9158</v>
      </c>
      <c r="N405" s="1" t="s">
        <v>9158</v>
      </c>
      <c r="O405" s="1" t="s">
        <v>9158</v>
      </c>
      <c r="P405" s="1" t="s">
        <v>9158</v>
      </c>
      <c r="Q405" s="1" t="s">
        <v>9158</v>
      </c>
    </row>
    <row r="406" spans="1:17">
      <c r="A406" s="1">
        <v>78043</v>
      </c>
      <c r="B406" s="1" t="s">
        <v>15</v>
      </c>
      <c r="C406" s="1" t="s">
        <v>165</v>
      </c>
      <c r="D406" s="19" t="s">
        <v>10398</v>
      </c>
      <c r="E406" s="15" t="str">
        <f>HYPERLINK("https://stat100.ameba.jp/tnk47/ratio20/illustrations/card/ill_78043_yushinaishinno03.jpg?201907-4-RELEASE-guildbattle-420", "■")</f>
        <v>■</v>
      </c>
      <c r="F406" s="1" t="s">
        <v>2213</v>
      </c>
      <c r="G406" s="1">
        <v>61832</v>
      </c>
      <c r="H406" s="1">
        <v>68172</v>
      </c>
      <c r="I406" s="1">
        <v>23</v>
      </c>
      <c r="J406" s="1" t="s">
        <v>16</v>
      </c>
      <c r="K406" s="1" t="s">
        <v>2214</v>
      </c>
      <c r="L406" s="1" t="s">
        <v>981</v>
      </c>
      <c r="M406" s="1" t="s">
        <v>9158</v>
      </c>
      <c r="N406" s="1" t="s">
        <v>9158</v>
      </c>
      <c r="O406" s="1" t="s">
        <v>9158</v>
      </c>
      <c r="P406" s="1" t="s">
        <v>9158</v>
      </c>
      <c r="Q406" s="1" t="s">
        <v>9158</v>
      </c>
    </row>
    <row r="407" spans="1:17">
      <c r="A407" s="1">
        <v>60103</v>
      </c>
      <c r="B407" s="1" t="s">
        <v>15</v>
      </c>
      <c r="C407" s="1" t="s">
        <v>206</v>
      </c>
      <c r="D407" s="19" t="s">
        <v>10399</v>
      </c>
      <c r="E407" s="15" t="str">
        <f>HYPERLINK("https://stat100.ameba.jp/tnk47/ratio20/illustrations/card/ill_60103_bukibidorozaikuchan03.jpg?201907-4-RELEASE-guildbattle-420", "■")</f>
        <v>■</v>
      </c>
      <c r="F407" s="1" t="s">
        <v>5831</v>
      </c>
      <c r="G407" s="1">
        <v>61832</v>
      </c>
      <c r="H407" s="1">
        <v>68172</v>
      </c>
      <c r="I407" s="1">
        <v>23</v>
      </c>
      <c r="J407" s="1" t="s">
        <v>26</v>
      </c>
      <c r="K407" s="1" t="s">
        <v>5832</v>
      </c>
      <c r="L407" s="1" t="s">
        <v>5833</v>
      </c>
      <c r="M407" s="1" t="s">
        <v>9158</v>
      </c>
      <c r="N407" s="1" t="s">
        <v>9158</v>
      </c>
      <c r="O407" s="1" t="s">
        <v>9158</v>
      </c>
      <c r="P407" s="1" t="s">
        <v>9158</v>
      </c>
      <c r="Q407" s="1" t="s">
        <v>9158</v>
      </c>
    </row>
    <row r="408" spans="1:17">
      <c r="A408" s="1">
        <v>75003</v>
      </c>
      <c r="B408" s="1" t="s">
        <v>15</v>
      </c>
      <c r="C408" s="1" t="s">
        <v>191</v>
      </c>
      <c r="D408" s="19" t="s">
        <v>10400</v>
      </c>
      <c r="E408" s="15" t="str">
        <f>HYPERLINK("https://stat100.ameba.jp/tnk47/ratio20/illustrations/card/ill_75003_kogetsunowa03.jpg?201907-4-RELEASE-guildbattle-420", "■")</f>
        <v>■</v>
      </c>
      <c r="F408" s="1" t="s">
        <v>5834</v>
      </c>
      <c r="G408" s="1">
        <v>61832</v>
      </c>
      <c r="H408" s="1">
        <v>68172</v>
      </c>
      <c r="I408" s="1">
        <v>23</v>
      </c>
      <c r="J408" s="1" t="s">
        <v>38</v>
      </c>
      <c r="K408" s="1" t="s">
        <v>5835</v>
      </c>
      <c r="L408" s="1" t="s">
        <v>5836</v>
      </c>
      <c r="M408" s="1" t="s">
        <v>9158</v>
      </c>
      <c r="N408" s="1" t="s">
        <v>9158</v>
      </c>
      <c r="O408" s="1" t="s">
        <v>9158</v>
      </c>
      <c r="P408" s="1" t="s">
        <v>9158</v>
      </c>
      <c r="Q408" s="1" t="s">
        <v>9158</v>
      </c>
    </row>
    <row r="410" spans="1:17">
      <c r="A410" s="1" t="s">
        <v>5823</v>
      </c>
    </row>
    <row r="411" spans="1:17">
      <c r="A411" s="1" t="s">
        <v>5824</v>
      </c>
    </row>
    <row r="412" spans="1:17">
      <c r="A412" s="1" t="s">
        <v>5825</v>
      </c>
      <c r="B412" s="1" t="s">
        <v>330</v>
      </c>
      <c r="C412" s="1" t="s">
        <v>202</v>
      </c>
      <c r="D412" s="19" t="s">
        <v>1497</v>
      </c>
      <c r="E412" s="15" t="str">
        <f>HYPERLINK("https://stat100.ameba.jp/tnk47/ratio20/illustrations/card/ill_74593_0_natsuyuenchikoshihikari03.jpg?201907-4-RELEASE-guildbattle-420", "■")</f>
        <v>■</v>
      </c>
      <c r="F412" s="1" t="s">
        <v>1498</v>
      </c>
      <c r="G412" s="1">
        <v>227496</v>
      </c>
      <c r="H412" s="1">
        <v>211495</v>
      </c>
      <c r="I412" s="1">
        <v>21</v>
      </c>
      <c r="J412" s="1" t="s">
        <v>283</v>
      </c>
      <c r="K412" s="1" t="s">
        <v>1499</v>
      </c>
      <c r="L412" s="1" t="s">
        <v>1500</v>
      </c>
      <c r="M412" s="1" t="s">
        <v>9158</v>
      </c>
      <c r="N412" s="1" t="s">
        <v>9158</v>
      </c>
      <c r="O412" s="19" t="s">
        <v>2731</v>
      </c>
      <c r="P412" s="1" t="s">
        <v>2732</v>
      </c>
      <c r="Q412" s="1">
        <v>1</v>
      </c>
    </row>
    <row r="413" spans="1:17">
      <c r="A413" s="1">
        <v>75083</v>
      </c>
      <c r="B413" s="1" t="s">
        <v>334</v>
      </c>
      <c r="C413" s="1" t="s">
        <v>209</v>
      </c>
      <c r="D413" s="19" t="s">
        <v>10401</v>
      </c>
      <c r="E413" s="15" t="str">
        <f>HYPERLINK("https://stat100.ameba.jp/tnk47/ratio20/illustrations/card/ill_75083_sukumizuhanakosan03.jpg?201907-4-RELEASE-guildbattle-420", "■")</f>
        <v>■</v>
      </c>
      <c r="F413" s="1" t="s">
        <v>1020</v>
      </c>
      <c r="G413" s="1">
        <v>107251</v>
      </c>
      <c r="H413" s="1">
        <v>77700</v>
      </c>
      <c r="I413" s="1">
        <v>23</v>
      </c>
      <c r="J413" s="1" t="s">
        <v>73</v>
      </c>
      <c r="K413" s="1" t="s">
        <v>1021</v>
      </c>
      <c r="L413" s="1" t="s">
        <v>1022</v>
      </c>
      <c r="M413" s="1" t="s">
        <v>9158</v>
      </c>
      <c r="N413" s="1" t="s">
        <v>9158</v>
      </c>
      <c r="O413" s="19" t="s">
        <v>10105</v>
      </c>
      <c r="P413" s="1" t="s">
        <v>3416</v>
      </c>
      <c r="Q413" s="1">
        <v>1</v>
      </c>
    </row>
    <row r="414" spans="1:17">
      <c r="A414" s="1">
        <v>75883</v>
      </c>
      <c r="B414" s="1" t="s">
        <v>334</v>
      </c>
      <c r="C414" s="1" t="s">
        <v>154</v>
      </c>
      <c r="D414" s="19" t="s">
        <v>10402</v>
      </c>
      <c r="E414" s="15" t="str">
        <f>HYPERLINK("https://stat100.ameba.jp/tnk47/ratio20/illustrations/card/ill_75883_kitajokagehiro03.jpg?201907-4-RELEASE-guildbattle-420", "■")</f>
        <v>■</v>
      </c>
      <c r="F414" s="1" t="s">
        <v>2411</v>
      </c>
      <c r="G414" s="1">
        <v>110837</v>
      </c>
      <c r="H414" s="1">
        <v>153022</v>
      </c>
      <c r="I414" s="1">
        <v>23</v>
      </c>
      <c r="J414" s="1" t="s">
        <v>143</v>
      </c>
      <c r="K414" s="1" t="s">
        <v>2412</v>
      </c>
      <c r="L414" s="1" t="s">
        <v>1148</v>
      </c>
      <c r="M414" s="1" t="s">
        <v>9158</v>
      </c>
      <c r="N414" s="1" t="s">
        <v>9158</v>
      </c>
      <c r="O414" s="19" t="s">
        <v>10106</v>
      </c>
      <c r="P414" s="1" t="s">
        <v>3330</v>
      </c>
      <c r="Q414" s="1">
        <v>2</v>
      </c>
    </row>
    <row r="415" spans="1:17">
      <c r="A415" s="1">
        <v>75093</v>
      </c>
      <c r="B415" s="1" t="s">
        <v>334</v>
      </c>
      <c r="C415" s="1" t="s">
        <v>158</v>
      </c>
      <c r="D415" s="19" t="s">
        <v>10403</v>
      </c>
      <c r="E415" s="15" t="str">
        <f>HYPERLINK("https://stat100.ameba.jp/tnk47/ratio20/illustrations/card/ill_75093_hangonko03.jpg?201907-4-RELEASE-guildbattle-420", "■")</f>
        <v>■</v>
      </c>
      <c r="F415" s="1" t="s">
        <v>2614</v>
      </c>
      <c r="G415" s="1">
        <v>121572</v>
      </c>
      <c r="H415" s="1">
        <v>88047</v>
      </c>
      <c r="I415" s="1">
        <v>23</v>
      </c>
      <c r="J415" s="1" t="s">
        <v>44</v>
      </c>
      <c r="K415" s="1" t="s">
        <v>2615</v>
      </c>
      <c r="L415" s="1" t="s">
        <v>1108</v>
      </c>
      <c r="M415" s="1" t="s">
        <v>9158</v>
      </c>
      <c r="N415" s="1" t="s">
        <v>9158</v>
      </c>
      <c r="O415" s="19" t="s">
        <v>2951</v>
      </c>
      <c r="P415" s="1" t="s">
        <v>13122</v>
      </c>
      <c r="Q415" s="1">
        <v>1</v>
      </c>
    </row>
    <row r="417" spans="1:17">
      <c r="A417" s="1" t="s">
        <v>5841</v>
      </c>
    </row>
    <row r="418" spans="1:17">
      <c r="A418" s="1" t="s">
        <v>5842</v>
      </c>
    </row>
    <row r="419" spans="1:17">
      <c r="A419" s="1" t="s">
        <v>5843</v>
      </c>
      <c r="B419" s="1" t="s">
        <v>52</v>
      </c>
      <c r="C419" s="1" t="s">
        <v>202</v>
      </c>
      <c r="D419" s="19" t="s">
        <v>10291</v>
      </c>
      <c r="E419" s="15" t="str">
        <f>HYPERLINK("https://stat100.ameba.jp/tnk47/ratio20/illustrations/card/ill_77963_0_kurisumasudaisakusentakiyashahime03.jpg?201907-4-RELEASE-guildbattle-420", "■")</f>
        <v>■</v>
      </c>
      <c r="F419" s="1" t="s">
        <v>2127</v>
      </c>
      <c r="G419" s="1">
        <v>294746</v>
      </c>
      <c r="H419" s="1">
        <v>266388</v>
      </c>
      <c r="I419" s="1">
        <v>24</v>
      </c>
      <c r="J419" s="1" t="s">
        <v>77</v>
      </c>
      <c r="K419" s="1" t="s">
        <v>2128</v>
      </c>
      <c r="L419" s="1" t="s">
        <v>2129</v>
      </c>
      <c r="M419" s="1" t="s">
        <v>9158</v>
      </c>
      <c r="N419" s="1" t="s">
        <v>9158</v>
      </c>
      <c r="O419" s="19" t="s">
        <v>10107</v>
      </c>
      <c r="P419" s="1" t="s">
        <v>3589</v>
      </c>
      <c r="Q419" s="1">
        <v>2</v>
      </c>
    </row>
    <row r="420" spans="1:17">
      <c r="A420" s="1">
        <v>79513</v>
      </c>
      <c r="B420" s="1" t="s">
        <v>334</v>
      </c>
      <c r="C420" s="1" t="s">
        <v>209</v>
      </c>
      <c r="D420" s="19" t="s">
        <v>10404</v>
      </c>
      <c r="E420" s="15" t="str">
        <f>HYPERLINK("https://stat100.ameba.jp/tnk47/ratio20/illustrations/card/ill_79513_suzafuonia03.jpg?201907-4-RELEASE-guildbattle-420", "■")</f>
        <v>■</v>
      </c>
      <c r="F420" s="1" t="s">
        <v>3529</v>
      </c>
      <c r="G420" s="1">
        <v>75984</v>
      </c>
      <c r="H420" s="1">
        <v>104890</v>
      </c>
      <c r="I420" s="1">
        <v>24</v>
      </c>
      <c r="J420" s="1" t="s">
        <v>10</v>
      </c>
      <c r="K420" s="1" t="s">
        <v>3532</v>
      </c>
      <c r="L420" s="1" t="s">
        <v>12</v>
      </c>
      <c r="M420" s="1" t="s">
        <v>9158</v>
      </c>
      <c r="N420" s="1" t="s">
        <v>9158</v>
      </c>
      <c r="O420" s="19" t="s">
        <v>2917</v>
      </c>
      <c r="P420" s="1" t="s">
        <v>3531</v>
      </c>
      <c r="Q420" s="1">
        <v>1</v>
      </c>
    </row>
    <row r="421" spans="1:17">
      <c r="A421" s="1">
        <v>77903</v>
      </c>
      <c r="B421" s="1" t="s">
        <v>0</v>
      </c>
      <c r="C421" s="1" t="s">
        <v>185</v>
      </c>
      <c r="D421" s="19" t="s">
        <v>10405</v>
      </c>
      <c r="E421" s="15" t="str">
        <f>HYPERLINK("https://stat100.ameba.jp/tnk47/ratio20/illustrations/card/ill_77903_kurisumasudaisakusendongurikorokoro03.jpg?201907-4-RELEASE-guildbattle-420", "■")</f>
        <v>■</v>
      </c>
      <c r="F421" s="1" t="s">
        <v>2131</v>
      </c>
      <c r="G421" s="1">
        <v>109528</v>
      </c>
      <c r="H421" s="1">
        <v>101656</v>
      </c>
      <c r="I421" s="1">
        <v>24</v>
      </c>
      <c r="J421" s="1" t="s">
        <v>38</v>
      </c>
      <c r="K421" s="1" t="s">
        <v>2132</v>
      </c>
      <c r="L421" s="1" t="s">
        <v>2133</v>
      </c>
      <c r="M421" s="1" t="s">
        <v>9158</v>
      </c>
      <c r="N421" s="1" t="s">
        <v>9158</v>
      </c>
      <c r="O421" s="19" t="s">
        <v>10090</v>
      </c>
      <c r="P421" s="1" t="s">
        <v>3460</v>
      </c>
      <c r="Q421" s="1">
        <v>1</v>
      </c>
    </row>
    <row r="422" spans="1:17">
      <c r="A422" s="1">
        <v>75893</v>
      </c>
      <c r="B422" s="1" t="s">
        <v>0</v>
      </c>
      <c r="C422" s="1" t="s">
        <v>158</v>
      </c>
      <c r="D422" s="19" t="s">
        <v>3095</v>
      </c>
      <c r="E422" s="15" t="str">
        <f>HYPERLINK("https://stat100.ameba.jp/tnk47/ratio20/illustrations/card/ill_75893_hamamatsutakuni03.jpg?201907-4-RELEASE-guildbattle-420", "■")</f>
        <v>■</v>
      </c>
      <c r="F422" s="1" t="s">
        <v>3594</v>
      </c>
      <c r="G422" s="1">
        <v>108924</v>
      </c>
      <c r="H422" s="1">
        <v>78916</v>
      </c>
      <c r="I422" s="1">
        <v>24</v>
      </c>
      <c r="J422" s="1" t="s">
        <v>16</v>
      </c>
      <c r="K422" s="1" t="s">
        <v>3595</v>
      </c>
      <c r="L422" s="1" t="s">
        <v>920</v>
      </c>
      <c r="M422" s="1" t="s">
        <v>9158</v>
      </c>
      <c r="N422" s="1" t="s">
        <v>9158</v>
      </c>
      <c r="O422" s="19" t="s">
        <v>3037</v>
      </c>
      <c r="P422" s="1" t="s">
        <v>13128</v>
      </c>
      <c r="Q422" s="1">
        <v>1</v>
      </c>
    </row>
    <row r="424" spans="1:17">
      <c r="A424" s="1" t="s">
        <v>1357</v>
      </c>
    </row>
    <row r="425" spans="1:17">
      <c r="A425" s="1" t="s">
        <v>5886</v>
      </c>
    </row>
    <row r="426" spans="1:17">
      <c r="A426" s="1" t="s">
        <v>5603</v>
      </c>
      <c r="B426" s="1" t="s">
        <v>330</v>
      </c>
      <c r="C426" s="1" t="s">
        <v>205</v>
      </c>
      <c r="D426" s="19" t="s">
        <v>611</v>
      </c>
      <c r="E426" s="15" t="str">
        <f>HYPERLINK("https://stat100.ameba.jp/tnk47/ratio20/illustrations/card/ill_61893_0_onikirishumiyamotomusashi03.jpg?201907-4-RELEASE-guildbattle-420", "■")</f>
        <v>■</v>
      </c>
      <c r="F426" s="1" t="s">
        <v>612</v>
      </c>
      <c r="G426" s="1">
        <v>140016</v>
      </c>
      <c r="H426" s="1">
        <v>130194</v>
      </c>
      <c r="I426" s="1">
        <v>15</v>
      </c>
      <c r="J426" s="1" t="s">
        <v>310</v>
      </c>
      <c r="K426" s="1" t="s">
        <v>613</v>
      </c>
      <c r="L426" s="1" t="s">
        <v>312</v>
      </c>
      <c r="M426" s="1" t="s">
        <v>9158</v>
      </c>
      <c r="N426" s="1" t="s">
        <v>9158</v>
      </c>
      <c r="O426" s="19" t="s">
        <v>10071</v>
      </c>
      <c r="P426" s="1" t="s">
        <v>3253</v>
      </c>
      <c r="Q426" s="1">
        <v>1</v>
      </c>
    </row>
    <row r="427" spans="1:17">
      <c r="A427" s="1" t="s">
        <v>5844</v>
      </c>
      <c r="B427" s="1" t="s">
        <v>330</v>
      </c>
      <c r="C427" s="1" t="s">
        <v>165</v>
      </c>
      <c r="D427" s="19" t="s">
        <v>385</v>
      </c>
      <c r="E427" s="15" t="str">
        <f>HYPERLINK("https://stat100.ameba.jp/tnk47/ratio20/illustrations/card/ill_59673_0_oheyashutendoji03.jpg?201907-4-RELEASE-guildbattle-420", "■")</f>
        <v>■</v>
      </c>
      <c r="F427" s="1" t="s">
        <v>983</v>
      </c>
      <c r="G427" s="1">
        <v>105545</v>
      </c>
      <c r="H427" s="1">
        <v>113525</v>
      </c>
      <c r="I427" s="1">
        <v>15</v>
      </c>
      <c r="J427" s="1" t="s">
        <v>73</v>
      </c>
      <c r="K427" s="1" t="s">
        <v>984</v>
      </c>
      <c r="L427" s="1" t="s">
        <v>985</v>
      </c>
      <c r="M427" s="1" t="s">
        <v>9158</v>
      </c>
      <c r="N427" s="1" t="s">
        <v>9158</v>
      </c>
      <c r="O427" s="19" t="s">
        <v>10078</v>
      </c>
      <c r="P427" s="1" t="s">
        <v>3022</v>
      </c>
      <c r="Q427" s="1">
        <v>1</v>
      </c>
    </row>
    <row r="428" spans="1:17">
      <c r="A428" s="1" t="s">
        <v>5616</v>
      </c>
      <c r="B428" s="1" t="s">
        <v>52</v>
      </c>
      <c r="C428" s="1" t="s">
        <v>14</v>
      </c>
      <c r="D428" s="19" t="s">
        <v>638</v>
      </c>
      <c r="E428" s="15" t="str">
        <f>HYPERLINK("https://stat100.ameba.jp/tnk47/ratio20/illustrations/card/ill_44253_0_dokuganryudatemasamune03.jpg?201907-4-RELEASE-guildbattle-420", "■")</f>
        <v>■</v>
      </c>
      <c r="F428" s="1" t="s">
        <v>1181</v>
      </c>
      <c r="G428" s="1">
        <v>82212</v>
      </c>
      <c r="H428" s="1">
        <v>87780</v>
      </c>
      <c r="I428" s="1">
        <v>15</v>
      </c>
      <c r="J428" s="1" t="s">
        <v>143</v>
      </c>
      <c r="K428" s="1" t="s">
        <v>1182</v>
      </c>
      <c r="L428" s="1" t="s">
        <v>1183</v>
      </c>
      <c r="M428" s="1" t="s">
        <v>9158</v>
      </c>
      <c r="N428" s="1" t="s">
        <v>9158</v>
      </c>
      <c r="O428" s="1" t="s">
        <v>9158</v>
      </c>
      <c r="P428" s="1" t="s">
        <v>9158</v>
      </c>
      <c r="Q428" s="1" t="s">
        <v>9158</v>
      </c>
    </row>
    <row r="429" spans="1:17">
      <c r="A429" s="1">
        <v>76963</v>
      </c>
      <c r="B429" s="1" t="s">
        <v>334</v>
      </c>
      <c r="C429" s="1" t="s">
        <v>154</v>
      </c>
      <c r="D429" s="19" t="s">
        <v>2891</v>
      </c>
      <c r="E429" s="15" t="str">
        <f>HYPERLINK("https://stat100.ameba.jp/tnk47/ratio20/illustrations/card/ill_76963_pavariaojo03.jpg?201907-4-RELEASE-guildbattle-420", "■")</f>
        <v>■</v>
      </c>
      <c r="F429" s="1" t="s">
        <v>2892</v>
      </c>
      <c r="G429" s="1">
        <v>115746</v>
      </c>
      <c r="H429" s="1">
        <v>65128</v>
      </c>
      <c r="I429" s="1">
        <v>24</v>
      </c>
      <c r="J429" s="1" t="s">
        <v>315</v>
      </c>
      <c r="K429" s="1" t="s">
        <v>2893</v>
      </c>
      <c r="L429" s="1" t="s">
        <v>1432</v>
      </c>
      <c r="M429" s="1" t="s">
        <v>9158</v>
      </c>
      <c r="N429" s="1" t="s">
        <v>9158</v>
      </c>
      <c r="O429" s="1" t="s">
        <v>9158</v>
      </c>
      <c r="P429" s="1" t="s">
        <v>9158</v>
      </c>
      <c r="Q429" s="1" t="s">
        <v>9158</v>
      </c>
    </row>
    <row r="430" spans="1:17">
      <c r="A430" s="1">
        <v>75203</v>
      </c>
      <c r="B430" s="1" t="s">
        <v>334</v>
      </c>
      <c r="C430" s="1" t="s">
        <v>209</v>
      </c>
      <c r="D430" s="19" t="s">
        <v>10259</v>
      </c>
      <c r="E430" s="15" t="str">
        <f>HYPERLINK("https://stat100.ameba.jp/tnk47/ratio20/illustrations/card/ill_75203_hisuitsuraratsukainoyama03.jpg?201907-4-RELEASE-guildbattle-420", "■")</f>
        <v>■</v>
      </c>
      <c r="F430" s="1" t="s">
        <v>487</v>
      </c>
      <c r="G430" s="1">
        <v>106666</v>
      </c>
      <c r="H430" s="1">
        <v>99182</v>
      </c>
      <c r="I430" s="1">
        <v>24</v>
      </c>
      <c r="J430" s="1" t="s">
        <v>274</v>
      </c>
      <c r="K430" s="1" t="s">
        <v>488</v>
      </c>
      <c r="L430" s="1" t="s">
        <v>489</v>
      </c>
      <c r="M430" s="1" t="s">
        <v>9158</v>
      </c>
      <c r="N430" s="1" t="s">
        <v>9158</v>
      </c>
      <c r="O430" s="1" t="s">
        <v>9158</v>
      </c>
      <c r="P430" s="1" t="s">
        <v>9158</v>
      </c>
      <c r="Q430" s="1" t="s">
        <v>9158</v>
      </c>
    </row>
    <row r="431" spans="1:17">
      <c r="A431" s="1">
        <v>78113</v>
      </c>
      <c r="B431" s="1" t="s">
        <v>334</v>
      </c>
      <c r="C431" s="1" t="s">
        <v>158</v>
      </c>
      <c r="D431" s="19" t="s">
        <v>10406</v>
      </c>
      <c r="E431" s="15" t="str">
        <f>HYPERLINK("https://stat100.ameba.jp/tnk47/ratio20/illustrations/card/ill_78113_santaokokusantakuin03.jpg?201907-4-RELEASE-guildbattle-420", "■")</f>
        <v>■</v>
      </c>
      <c r="F431" s="1" t="s">
        <v>2603</v>
      </c>
      <c r="G431" s="1">
        <v>92246</v>
      </c>
      <c r="H431" s="1">
        <v>99202</v>
      </c>
      <c r="I431" s="1">
        <v>24</v>
      </c>
      <c r="J431" s="1" t="s">
        <v>44</v>
      </c>
      <c r="K431" s="1" t="s">
        <v>2604</v>
      </c>
      <c r="L431" s="1" t="s">
        <v>2605</v>
      </c>
      <c r="M431" s="1" t="s">
        <v>9158</v>
      </c>
      <c r="N431" s="1" t="s">
        <v>9158</v>
      </c>
      <c r="O431" s="1" t="s">
        <v>9158</v>
      </c>
      <c r="P431" s="1" t="s">
        <v>9158</v>
      </c>
      <c r="Q431" s="1" t="s">
        <v>9158</v>
      </c>
    </row>
    <row r="432" spans="1:17">
      <c r="A432" s="1">
        <v>56293</v>
      </c>
      <c r="B432" s="1" t="s">
        <v>15</v>
      </c>
      <c r="C432" s="1" t="s">
        <v>101</v>
      </c>
      <c r="D432" s="19" t="s">
        <v>10407</v>
      </c>
      <c r="E432" s="15" t="str">
        <f>HYPERLINK("https://stat100.ameba.jp/tnk47/ratio20/illustrations/card/ill_56293_miritarimizugimizuhanome03.jpg?201907-4-RELEASE-guildbattle-420", "■")</f>
        <v>■</v>
      </c>
      <c r="F432" s="1" t="s">
        <v>3806</v>
      </c>
      <c r="G432" s="1">
        <v>61832</v>
      </c>
      <c r="H432" s="1">
        <v>68172</v>
      </c>
      <c r="I432" s="1">
        <v>23</v>
      </c>
      <c r="J432" s="1" t="s">
        <v>44</v>
      </c>
      <c r="K432" s="1" t="s">
        <v>3807</v>
      </c>
      <c r="L432" s="1" t="s">
        <v>3808</v>
      </c>
      <c r="M432" s="1" t="s">
        <v>9158</v>
      </c>
      <c r="N432" s="1" t="s">
        <v>9158</v>
      </c>
      <c r="O432" s="1" t="s">
        <v>9158</v>
      </c>
      <c r="P432" s="1" t="s">
        <v>9158</v>
      </c>
      <c r="Q432" s="1" t="s">
        <v>9158</v>
      </c>
    </row>
    <row r="433" spans="1:18">
      <c r="A433" s="1">
        <v>69223</v>
      </c>
      <c r="B433" s="1" t="s">
        <v>348</v>
      </c>
      <c r="C433" s="1" t="s">
        <v>344</v>
      </c>
      <c r="D433" s="19" t="s">
        <v>780</v>
      </c>
      <c r="E433" s="15" t="str">
        <f>HYPERLINK("https://stat100.ameba.jp/tnk47/ratio20/illustrations/card/ill_69223_burodoeiruisufuroisu03.jpg?201907-4-RELEASE-guildbattle-420", "■")</f>
        <v>■</v>
      </c>
      <c r="F433" s="1" t="s">
        <v>781</v>
      </c>
      <c r="G433" s="1">
        <v>68172</v>
      </c>
      <c r="H433" s="1">
        <v>61832</v>
      </c>
      <c r="I433" s="1">
        <v>23</v>
      </c>
      <c r="J433" s="1" t="s">
        <v>351</v>
      </c>
      <c r="K433" s="1" t="s">
        <v>782</v>
      </c>
      <c r="L433" s="1" t="s">
        <v>473</v>
      </c>
      <c r="M433" s="1" t="s">
        <v>9158</v>
      </c>
      <c r="N433" s="1" t="s">
        <v>9158</v>
      </c>
      <c r="O433" s="1" t="s">
        <v>9158</v>
      </c>
      <c r="P433" s="1" t="s">
        <v>9158</v>
      </c>
      <c r="Q433" s="1" t="s">
        <v>9158</v>
      </c>
    </row>
    <row r="434" spans="1:18">
      <c r="A434" s="1">
        <v>66063</v>
      </c>
      <c r="B434" s="1" t="s">
        <v>348</v>
      </c>
      <c r="C434" s="1" t="s">
        <v>200</v>
      </c>
      <c r="D434" s="19" t="s">
        <v>1462</v>
      </c>
      <c r="E434" s="15" t="str">
        <f>HYPERLINK("https://stat100.ameba.jp/tnk47/ratio20/illustrations/card/ill_66063_serebuedomurasaki03.jpg?201907-4-RELEASE-guildbattle-420", "■")</f>
        <v>■</v>
      </c>
      <c r="F434" s="1" t="s">
        <v>1751</v>
      </c>
      <c r="G434" s="1">
        <v>61832</v>
      </c>
      <c r="H434" s="1">
        <v>68172</v>
      </c>
      <c r="I434" s="1">
        <v>23</v>
      </c>
      <c r="J434" s="1" t="s">
        <v>38</v>
      </c>
      <c r="K434" s="1" t="s">
        <v>1752</v>
      </c>
      <c r="L434" s="1" t="s">
        <v>1753</v>
      </c>
      <c r="M434" s="1" t="s">
        <v>9158</v>
      </c>
      <c r="N434" s="1" t="s">
        <v>9158</v>
      </c>
      <c r="O434" s="1" t="s">
        <v>9158</v>
      </c>
      <c r="P434" s="1" t="s">
        <v>9158</v>
      </c>
      <c r="Q434" s="1" t="s">
        <v>9158</v>
      </c>
    </row>
    <row r="436" spans="1:18">
      <c r="A436" s="1" t="s">
        <v>6513</v>
      </c>
    </row>
    <row r="437" spans="1:18">
      <c r="A437" s="1" t="s">
        <v>5847</v>
      </c>
    </row>
    <row r="438" spans="1:18">
      <c r="A438" s="1" t="s">
        <v>5848</v>
      </c>
      <c r="B438" s="1" t="s">
        <v>330</v>
      </c>
      <c r="C438" s="1" t="s">
        <v>200</v>
      </c>
      <c r="D438" s="19" t="s">
        <v>3160</v>
      </c>
      <c r="E438" s="15" t="str">
        <f>HYPERLINK("https://stat100.ameba.jp/tnk47/ratio20/illustrations/card/ill_72963_0_amenohanayomehiguchiichiyo03.jpg?201907-6-RELEASE-conquest-e-421", "■")</f>
        <v>■</v>
      </c>
      <c r="F438" s="1" t="s">
        <v>1139</v>
      </c>
      <c r="G438" s="1">
        <v>147404</v>
      </c>
      <c r="H438" s="1">
        <v>137060</v>
      </c>
      <c r="I438" s="1">
        <v>22</v>
      </c>
      <c r="J438" s="1" t="s">
        <v>10</v>
      </c>
      <c r="K438" s="1" t="s">
        <v>1140</v>
      </c>
      <c r="L438" s="1" t="s">
        <v>1141</v>
      </c>
      <c r="M438" s="1" t="s">
        <v>9158</v>
      </c>
      <c r="N438" s="1" t="s">
        <v>9158</v>
      </c>
      <c r="O438" s="19" t="s">
        <v>3162</v>
      </c>
      <c r="P438" s="1" t="s">
        <v>3163</v>
      </c>
      <c r="Q438" s="1">
        <v>1</v>
      </c>
    </row>
    <row r="439" spans="1:18">
      <c r="A439" s="1" t="s">
        <v>5613</v>
      </c>
      <c r="B439" s="1" t="s">
        <v>52</v>
      </c>
      <c r="C439" s="1" t="s">
        <v>205</v>
      </c>
      <c r="D439" s="19" t="s">
        <v>313</v>
      </c>
      <c r="E439" s="15" t="str">
        <f>HYPERLINK("https://stat100.ameba.jp/tnk47/ratio20/illustrations/card/ill_56223_0_onsempanikkugohime03.jpg?201907-6-RELEASE-conquest-e-421", "■")</f>
        <v>■</v>
      </c>
      <c r="F439" s="1" t="s">
        <v>948</v>
      </c>
      <c r="G439" s="1">
        <v>122776</v>
      </c>
      <c r="H439" s="1">
        <v>138212</v>
      </c>
      <c r="I439" s="1">
        <v>22</v>
      </c>
      <c r="J439" s="1" t="s">
        <v>77</v>
      </c>
      <c r="K439" s="1" t="s">
        <v>949</v>
      </c>
      <c r="L439" s="1" t="s">
        <v>950</v>
      </c>
      <c r="M439" s="1" t="s">
        <v>9158</v>
      </c>
      <c r="N439" s="1" t="s">
        <v>9158</v>
      </c>
      <c r="O439" s="19" t="s">
        <v>3021</v>
      </c>
      <c r="P439" s="1" t="s">
        <v>2890</v>
      </c>
      <c r="Q439" s="1">
        <v>1</v>
      </c>
    </row>
    <row r="440" spans="1:18">
      <c r="A440" s="1" t="s">
        <v>5849</v>
      </c>
      <c r="B440" s="1" t="s">
        <v>330</v>
      </c>
      <c r="C440" s="1" t="s">
        <v>335</v>
      </c>
      <c r="D440" s="19" t="s">
        <v>509</v>
      </c>
      <c r="E440" s="15" t="str">
        <f>HYPERLINK("https://stat100.ameba.jp/tnk47/ratio20/illustrations/card/ill_49953_0_yushamarihime03.jpg?201907-6-RELEASE-conquest-e-421", "■")</f>
        <v>■</v>
      </c>
      <c r="F440" s="1" t="s">
        <v>510</v>
      </c>
      <c r="G440" s="1">
        <v>138212</v>
      </c>
      <c r="H440" s="1">
        <v>122776</v>
      </c>
      <c r="I440" s="1">
        <v>22</v>
      </c>
      <c r="J440" s="1" t="s">
        <v>315</v>
      </c>
      <c r="K440" s="1" t="s">
        <v>511</v>
      </c>
      <c r="L440" s="1" t="s">
        <v>512</v>
      </c>
      <c r="M440" s="1" t="s">
        <v>9158</v>
      </c>
      <c r="N440" s="1" t="s">
        <v>9158</v>
      </c>
      <c r="O440" s="1" t="s">
        <v>9158</v>
      </c>
      <c r="P440" s="1" t="s">
        <v>9158</v>
      </c>
      <c r="Q440" s="1" t="s">
        <v>9158</v>
      </c>
    </row>
    <row r="441" spans="1:18">
      <c r="A441" s="1">
        <v>56613</v>
      </c>
      <c r="B441" s="1" t="s">
        <v>0</v>
      </c>
      <c r="C441" s="1" t="s">
        <v>150</v>
      </c>
      <c r="D441" s="19" t="s">
        <v>10182</v>
      </c>
      <c r="E441" s="15" t="str">
        <f>HYPERLINK("https://stat100.ameba.jp/tnk47/ratio20/illustrations/card/ill_56613_genjushimasakon03.jpg?201907-6-RELEASE-conquest-e-421", "■")</f>
        <v>■</v>
      </c>
      <c r="F441" s="1" t="s">
        <v>147</v>
      </c>
      <c r="G441" s="1">
        <v>118560</v>
      </c>
      <c r="H441" s="1">
        <v>71672</v>
      </c>
      <c r="I441" s="1">
        <v>20</v>
      </c>
      <c r="J441" s="1" t="s">
        <v>143</v>
      </c>
      <c r="K441" s="1" t="s">
        <v>148</v>
      </c>
      <c r="L441" s="1" t="s">
        <v>149</v>
      </c>
      <c r="M441" s="1" t="s">
        <v>9158</v>
      </c>
      <c r="N441" s="1" t="s">
        <v>9158</v>
      </c>
      <c r="O441" s="19" t="s">
        <v>10108</v>
      </c>
      <c r="P441" s="1" t="s">
        <v>3853</v>
      </c>
      <c r="Q441" s="1">
        <v>1</v>
      </c>
    </row>
    <row r="442" spans="1:18">
      <c r="A442" s="1">
        <v>72663</v>
      </c>
      <c r="B442" s="1" t="s">
        <v>5850</v>
      </c>
      <c r="C442" s="1" t="s">
        <v>308</v>
      </c>
      <c r="D442" s="19" t="s">
        <v>3017</v>
      </c>
      <c r="E442" s="15" t="str">
        <f>HYPERLINK("https://stat100.ameba.jp/tnk47/ratio20/illustrations/card/ill_72663_shokanoseisomadorenuchan03.jpg?201907-6-RELEASE-conquest-e-421", "■")</f>
        <v>■</v>
      </c>
      <c r="F442" s="1" t="s">
        <v>3018</v>
      </c>
      <c r="G442" s="1">
        <v>48390</v>
      </c>
      <c r="H442" s="1">
        <v>53352</v>
      </c>
      <c r="I442" s="1">
        <v>18</v>
      </c>
      <c r="J442" s="1" t="s">
        <v>283</v>
      </c>
      <c r="K442" s="1" t="s">
        <v>3019</v>
      </c>
      <c r="L442" s="1" t="s">
        <v>1442</v>
      </c>
      <c r="M442" s="1" t="s">
        <v>9158</v>
      </c>
      <c r="N442" s="1" t="s">
        <v>9158</v>
      </c>
      <c r="O442" s="1" t="s">
        <v>9158</v>
      </c>
      <c r="P442" s="1" t="s">
        <v>9158</v>
      </c>
      <c r="Q442" s="1" t="s">
        <v>9158</v>
      </c>
    </row>
    <row r="443" spans="1:18">
      <c r="A443" s="1">
        <v>62173</v>
      </c>
      <c r="B443" s="1" t="s">
        <v>5851</v>
      </c>
      <c r="C443" s="1" t="s">
        <v>344</v>
      </c>
      <c r="D443" s="19" t="s">
        <v>10408</v>
      </c>
      <c r="E443" s="15" t="str">
        <f>HYPERLINK("https://stat100.ameba.jp/tnk47/ratio20/illustrations/card/ill_62173_shinseisuitopi03.jpg?201907-6-RELEASE-conquest-e-421", "■")</f>
        <v>■</v>
      </c>
      <c r="F443" s="1" t="s">
        <v>5852</v>
      </c>
      <c r="G443" s="1">
        <v>29388</v>
      </c>
      <c r="H443" s="1">
        <v>35346</v>
      </c>
      <c r="I443" s="1">
        <v>17</v>
      </c>
      <c r="J443" s="1" t="s">
        <v>229</v>
      </c>
      <c r="K443" s="1" t="s">
        <v>5853</v>
      </c>
      <c r="L443" s="1" t="s">
        <v>5854</v>
      </c>
      <c r="M443" s="1" t="s">
        <v>9158</v>
      </c>
      <c r="N443" s="1" t="s">
        <v>9158</v>
      </c>
      <c r="O443" s="1" t="s">
        <v>9158</v>
      </c>
      <c r="P443" s="1" t="s">
        <v>9158</v>
      </c>
      <c r="Q443" s="1" t="s">
        <v>9158</v>
      </c>
    </row>
    <row r="444" spans="1:18">
      <c r="A444" s="1">
        <v>74883</v>
      </c>
      <c r="B444" s="1" t="s">
        <v>5855</v>
      </c>
      <c r="C444" s="1" t="s">
        <v>5856</v>
      </c>
      <c r="D444" s="19" t="s">
        <v>10409</v>
      </c>
      <c r="E444" s="15" t="str">
        <f>HYPERLINK("https://stat100.ameba.jp/tnk47/ratio20/illustrations/card/ill_74883_kawaasobibidamachan03.jpg?201907-6-RELEASE-conquest-e-421", "■")</f>
        <v>■</v>
      </c>
      <c r="F444" s="1" t="s">
        <v>5857</v>
      </c>
      <c r="G444" s="1">
        <v>21398</v>
      </c>
      <c r="H444" s="1">
        <v>17972</v>
      </c>
      <c r="I444" s="1">
        <v>17</v>
      </c>
      <c r="J444" s="1" t="s">
        <v>155</v>
      </c>
      <c r="K444" s="1" t="s">
        <v>5858</v>
      </c>
      <c r="L444" s="1" t="s">
        <v>5859</v>
      </c>
      <c r="M444" s="1" t="s">
        <v>9158</v>
      </c>
      <c r="N444" s="1" t="s">
        <v>9158</v>
      </c>
      <c r="O444" s="1" t="s">
        <v>9158</v>
      </c>
      <c r="P444" s="1" t="s">
        <v>9158</v>
      </c>
      <c r="Q444" s="1" t="s">
        <v>9158</v>
      </c>
    </row>
    <row r="446" spans="1:18">
      <c r="A446" s="1" t="s">
        <v>13326</v>
      </c>
    </row>
    <row r="447" spans="1:18">
      <c r="A447" s="1" t="s">
        <v>5845</v>
      </c>
    </row>
    <row r="448" spans="1:18">
      <c r="A448" s="1">
        <v>70073</v>
      </c>
      <c r="B448" s="1" t="s">
        <v>334</v>
      </c>
      <c r="C448" s="1" t="s">
        <v>185</v>
      </c>
      <c r="D448" s="19" t="s">
        <v>859</v>
      </c>
      <c r="E448" s="15" t="str">
        <f>HYPERLINK("https://stat100.ameba.jp/tnk47/ratio20/illustrations/card/ill_70073_muhime03.jpg?201907-6-RELEASE-conquest-e-421", "■")</f>
        <v>■</v>
      </c>
      <c r="F448" s="1" t="s">
        <v>5846</v>
      </c>
      <c r="G448" s="1">
        <v>109852</v>
      </c>
      <c r="H448" s="1">
        <v>118152</v>
      </c>
      <c r="I448" s="1">
        <v>24</v>
      </c>
      <c r="J448" s="1" t="s">
        <v>315</v>
      </c>
      <c r="K448" s="1" t="s">
        <v>861</v>
      </c>
      <c r="L448" s="1" t="s">
        <v>862</v>
      </c>
      <c r="M448" s="1" t="s">
        <v>250</v>
      </c>
      <c r="N448" s="1" t="s">
        <v>251</v>
      </c>
      <c r="O448" s="1" t="s">
        <v>9158</v>
      </c>
      <c r="P448" s="1" t="s">
        <v>9158</v>
      </c>
      <c r="Q448" s="1" t="s">
        <v>9158</v>
      </c>
      <c r="R448" s="14"/>
    </row>
    <row r="449" spans="1:18">
      <c r="A449" s="1">
        <v>70072</v>
      </c>
      <c r="B449" s="1" t="s">
        <v>334</v>
      </c>
      <c r="C449" s="1" t="s">
        <v>185</v>
      </c>
      <c r="D449" s="19" t="s">
        <v>859</v>
      </c>
      <c r="E449" s="15" t="str">
        <f>HYPERLINK("https://stat100.ameba.jp/tnk47/ratio20/illustrations/card/ill_70072_muhime02.jpg?201907-6-RELEASE-conquest-e-421", "■")</f>
        <v>■</v>
      </c>
      <c r="F449" s="1" t="s">
        <v>860</v>
      </c>
      <c r="G449" s="1">
        <v>90984</v>
      </c>
      <c r="H449" s="1">
        <v>98768</v>
      </c>
      <c r="I449" s="1">
        <v>24</v>
      </c>
      <c r="J449" s="1" t="s">
        <v>315</v>
      </c>
      <c r="K449" s="1" t="s">
        <v>861</v>
      </c>
      <c r="L449" s="1" t="s">
        <v>862</v>
      </c>
      <c r="M449" s="1" t="s">
        <v>250</v>
      </c>
      <c r="N449" s="1" t="s">
        <v>251</v>
      </c>
      <c r="O449" s="1" t="s">
        <v>9158</v>
      </c>
      <c r="P449" s="1" t="s">
        <v>9158</v>
      </c>
      <c r="Q449" s="1" t="s">
        <v>9158</v>
      </c>
      <c r="R449" s="14"/>
    </row>
    <row r="450" spans="1:18">
      <c r="A450" s="1">
        <v>70071</v>
      </c>
      <c r="B450" s="1" t="s">
        <v>334</v>
      </c>
      <c r="C450" s="1" t="s">
        <v>185</v>
      </c>
      <c r="D450" s="19" t="s">
        <v>859</v>
      </c>
      <c r="E450" s="15" t="str">
        <f>HYPERLINK("https://stat100.ameba.jp/tnk47/ratio20/illustrations/card/ill_70071_muhime01.jpg?201907-6-RELEASE-conquest-e-421", "■")</f>
        <v>■</v>
      </c>
      <c r="F450" s="1" t="s">
        <v>860</v>
      </c>
      <c r="G450" s="1">
        <v>70200</v>
      </c>
      <c r="H450" s="1">
        <v>75408</v>
      </c>
      <c r="I450" s="1">
        <v>24</v>
      </c>
      <c r="J450" s="1" t="s">
        <v>315</v>
      </c>
      <c r="K450" s="1" t="s">
        <v>861</v>
      </c>
      <c r="L450" s="1" t="s">
        <v>862</v>
      </c>
      <c r="M450" s="1" t="s">
        <v>250</v>
      </c>
      <c r="N450" s="1" t="s">
        <v>251</v>
      </c>
      <c r="O450" s="1" t="s">
        <v>9158</v>
      </c>
      <c r="P450" s="1" t="s">
        <v>9158</v>
      </c>
      <c r="Q450" s="1" t="s">
        <v>9158</v>
      </c>
      <c r="R450" s="14"/>
    </row>
    <row r="451" spans="1:18">
      <c r="A451" s="1">
        <v>70083</v>
      </c>
      <c r="B451" s="1" t="s">
        <v>334</v>
      </c>
      <c r="C451" s="1" t="s">
        <v>200</v>
      </c>
      <c r="D451" s="19" t="s">
        <v>10212</v>
      </c>
      <c r="E451" s="15" t="str">
        <f>HYPERLINK("https://stat100.ameba.jp/tnk47/ratio20/illustrations/card/ill_70083_kimurakaishu03.jpg?201907-6-RELEASE-conquest-e-421", "■")</f>
        <v>■</v>
      </c>
      <c r="F451" s="1" t="s">
        <v>863</v>
      </c>
      <c r="G451" s="1">
        <v>118152</v>
      </c>
      <c r="H451" s="1">
        <v>109852</v>
      </c>
      <c r="I451" s="1">
        <v>24</v>
      </c>
      <c r="J451" s="1" t="s">
        <v>173</v>
      </c>
      <c r="K451" s="1" t="s">
        <v>257</v>
      </c>
      <c r="L451" s="1" t="s">
        <v>9897</v>
      </c>
      <c r="M451" s="1" t="s">
        <v>250</v>
      </c>
      <c r="N451" s="1" t="s">
        <v>251</v>
      </c>
      <c r="O451" s="1" t="s">
        <v>9158</v>
      </c>
      <c r="P451" s="1" t="s">
        <v>9158</v>
      </c>
      <c r="Q451" s="1" t="s">
        <v>9158</v>
      </c>
    </row>
    <row r="452" spans="1:18">
      <c r="A452" s="1">
        <v>70923</v>
      </c>
      <c r="B452" s="1" t="s">
        <v>334</v>
      </c>
      <c r="C452" s="1" t="s">
        <v>191</v>
      </c>
      <c r="D452" s="19" t="s">
        <v>10213</v>
      </c>
      <c r="E452" s="15" t="str">
        <f>HYPERLINK("https://stat100.ameba.jp/tnk47/ratio20/illustrations/card/ill_70923_hidawagyu03.jpg?201907-6-RELEASE-conquest-e-421", "■")</f>
        <v>■</v>
      </c>
      <c r="F452" s="1" t="s">
        <v>864</v>
      </c>
      <c r="G452" s="1">
        <v>118152</v>
      </c>
      <c r="H452" s="1">
        <v>109852</v>
      </c>
      <c r="I452" s="1">
        <v>24</v>
      </c>
      <c r="J452" s="1" t="s">
        <v>216</v>
      </c>
      <c r="K452" s="1" t="s">
        <v>258</v>
      </c>
      <c r="L452" s="1" t="s">
        <v>9898</v>
      </c>
      <c r="M452" s="1" t="s">
        <v>250</v>
      </c>
      <c r="N452" s="1" t="s">
        <v>251</v>
      </c>
      <c r="O452" s="1" t="s">
        <v>9158</v>
      </c>
      <c r="P452" s="1" t="s">
        <v>9158</v>
      </c>
      <c r="Q452" s="1" t="s">
        <v>9158</v>
      </c>
    </row>
    <row r="453" spans="1:18">
      <c r="A453" s="1">
        <v>70093</v>
      </c>
      <c r="B453" s="1" t="s">
        <v>334</v>
      </c>
      <c r="C453" s="1" t="s">
        <v>308</v>
      </c>
      <c r="D453" s="19" t="s">
        <v>10214</v>
      </c>
      <c r="E453" s="15" t="str">
        <f>HYPERLINK("https://stat100.ameba.jp/tnk47/ratio20/illustrations/card/ill_70093_sarutahikonookami03.jpg?201907-6-RELEASE-conquest-e-421", "■")</f>
        <v>■</v>
      </c>
      <c r="F453" s="1" t="s">
        <v>865</v>
      </c>
      <c r="G453" s="1">
        <v>109852</v>
      </c>
      <c r="H453" s="1">
        <v>118152</v>
      </c>
      <c r="I453" s="1">
        <v>24</v>
      </c>
      <c r="J453" s="1" t="s">
        <v>169</v>
      </c>
      <c r="K453" s="1" t="s">
        <v>259</v>
      </c>
      <c r="L453" s="1" t="s">
        <v>9899</v>
      </c>
      <c r="M453" s="1" t="s">
        <v>250</v>
      </c>
      <c r="N453" s="1" t="s">
        <v>251</v>
      </c>
      <c r="O453" s="1" t="s">
        <v>9158</v>
      </c>
      <c r="P453" s="1" t="s">
        <v>9158</v>
      </c>
      <c r="Q453" s="1" t="s">
        <v>9158</v>
      </c>
    </row>
    <row r="454" spans="1:18">
      <c r="A454" s="1">
        <v>70933</v>
      </c>
      <c r="B454" s="1" t="s">
        <v>334</v>
      </c>
      <c r="C454" s="1" t="s">
        <v>267</v>
      </c>
      <c r="D454" s="19" t="s">
        <v>10215</v>
      </c>
      <c r="E454" s="15" t="str">
        <f>HYPERLINK("https://stat100.ameba.jp/tnk47/ratio20/illustrations/card/ill_70933_zenigatasunae03.jpg?201907-6-RELEASE-conquest-e-421", "■")</f>
        <v>■</v>
      </c>
      <c r="F454" s="1" t="s">
        <v>866</v>
      </c>
      <c r="G454" s="1">
        <v>109852</v>
      </c>
      <c r="H454" s="1">
        <v>118152</v>
      </c>
      <c r="I454" s="1">
        <v>24</v>
      </c>
      <c r="J454" s="1" t="s">
        <v>229</v>
      </c>
      <c r="K454" s="1" t="s">
        <v>260</v>
      </c>
      <c r="L454" s="1" t="s">
        <v>9900</v>
      </c>
      <c r="M454" s="1" t="s">
        <v>250</v>
      </c>
      <c r="N454" s="1" t="s">
        <v>251</v>
      </c>
      <c r="O454" s="1" t="s">
        <v>9158</v>
      </c>
      <c r="P454" s="1" t="s">
        <v>9158</v>
      </c>
      <c r="Q454" s="1" t="s">
        <v>9158</v>
      </c>
    </row>
    <row r="455" spans="1:18">
      <c r="A455" s="1">
        <v>70943</v>
      </c>
      <c r="B455" s="1" t="s">
        <v>334</v>
      </c>
      <c r="C455" s="1" t="s">
        <v>344</v>
      </c>
      <c r="D455" s="19" t="s">
        <v>10216</v>
      </c>
      <c r="E455" s="15" t="str">
        <f>HYPERLINK("https://stat100.ameba.jp/tnk47/ratio20/illustrations/card/ill_70943_tengunokakuremino03.jpg?201907-6-RELEASE-conquest-e-421", "■")</f>
        <v>■</v>
      </c>
      <c r="F455" s="1" t="s">
        <v>867</v>
      </c>
      <c r="G455" s="1">
        <v>118152</v>
      </c>
      <c r="H455" s="1">
        <v>109852</v>
      </c>
      <c r="I455" s="1">
        <v>24</v>
      </c>
      <c r="J455" s="1" t="s">
        <v>155</v>
      </c>
      <c r="K455" s="1" t="s">
        <v>261</v>
      </c>
      <c r="L455" s="1" t="s">
        <v>9901</v>
      </c>
      <c r="M455" s="1" t="s">
        <v>250</v>
      </c>
      <c r="N455" s="1" t="s">
        <v>251</v>
      </c>
      <c r="O455" s="1" t="s">
        <v>9158</v>
      </c>
      <c r="P455" s="1" t="s">
        <v>9158</v>
      </c>
      <c r="Q455" s="1" t="s">
        <v>9158</v>
      </c>
    </row>
    <row r="457" spans="1:18">
      <c r="A457" s="1" t="s">
        <v>5861</v>
      </c>
    </row>
    <row r="458" spans="1:18">
      <c r="A458" s="1" t="s">
        <v>5862</v>
      </c>
    </row>
    <row r="459" spans="1:18">
      <c r="A459" s="1" t="s">
        <v>7661</v>
      </c>
    </row>
    <row r="460" spans="1:18">
      <c r="A460" s="1" t="s">
        <v>5601</v>
      </c>
      <c r="B460" s="1" t="s">
        <v>330</v>
      </c>
      <c r="C460" s="1" t="s">
        <v>35</v>
      </c>
      <c r="D460" s="19" t="s">
        <v>10318</v>
      </c>
      <c r="E460" s="15" t="str">
        <f>HYPERLINK("https://stat100.ameba.jp/tnk47/ratio20/illustrations/card/ill_82423_0_bikinigarukishi03.jpg?201907-6-RELEASE-conquest-e-421", "■")</f>
        <v>■</v>
      </c>
      <c r="F460" s="1" t="s">
        <v>5391</v>
      </c>
      <c r="G460" s="1">
        <v>181624</v>
      </c>
      <c r="H460" s="1">
        <v>164155</v>
      </c>
      <c r="I460" s="1">
        <v>15</v>
      </c>
      <c r="J460" s="1" t="s">
        <v>77</v>
      </c>
      <c r="K460" s="1" t="s">
        <v>5392</v>
      </c>
      <c r="L460" s="1" t="s">
        <v>5393</v>
      </c>
      <c r="M460" s="1" t="s">
        <v>9158</v>
      </c>
      <c r="N460" s="1" t="s">
        <v>9158</v>
      </c>
      <c r="O460" s="19" t="s">
        <v>10069</v>
      </c>
      <c r="P460" s="1" t="s">
        <v>5394</v>
      </c>
      <c r="Q460" s="1">
        <v>1</v>
      </c>
    </row>
    <row r="461" spans="1:18">
      <c r="A461" s="1">
        <v>82773</v>
      </c>
      <c r="B461" s="1" t="s">
        <v>5863</v>
      </c>
      <c r="C461" s="1" t="s">
        <v>5867</v>
      </c>
      <c r="D461" s="19" t="s">
        <v>10410</v>
      </c>
      <c r="E461" s="15" t="str">
        <f>HYPERLINK("https://stat100.ameba.jp/tnk47/ratio20/illustrations/card/ill_82773_furesshumirukuraguzatama03.jpg?201907-6-RELEASE-conquest-e-421", "■")</f>
        <v>■</v>
      </c>
      <c r="F461" s="1" t="s">
        <v>5871</v>
      </c>
      <c r="G461" s="1">
        <v>90522</v>
      </c>
      <c r="H461" s="1">
        <v>97318</v>
      </c>
      <c r="I461" s="1">
        <v>24</v>
      </c>
      <c r="J461" s="1" t="s">
        <v>5872</v>
      </c>
      <c r="K461" s="1" t="s">
        <v>5873</v>
      </c>
      <c r="L461" s="1" t="s">
        <v>5874</v>
      </c>
      <c r="M461" s="1" t="s">
        <v>9158</v>
      </c>
      <c r="N461" s="1" t="s">
        <v>9158</v>
      </c>
      <c r="O461" s="1" t="s">
        <v>9158</v>
      </c>
      <c r="P461" s="1" t="s">
        <v>9158</v>
      </c>
      <c r="Q461" s="1" t="s">
        <v>9158</v>
      </c>
    </row>
    <row r="462" spans="1:18">
      <c r="A462" s="1">
        <v>82783</v>
      </c>
      <c r="B462" s="1" t="s">
        <v>5864</v>
      </c>
      <c r="C462" s="1" t="s">
        <v>5868</v>
      </c>
      <c r="D462" s="19" t="s">
        <v>10411</v>
      </c>
      <c r="E462" s="15" t="str">
        <f>HYPERLINK("https://stat100.ameba.jp/tnk47/ratio20/illustrations/card/ill_82783_rodobaikuhashimotosanai03.jpg?201907-6-RELEASE-conquest-e-421", "■")</f>
        <v>■</v>
      </c>
      <c r="F462" s="1" t="s">
        <v>5875</v>
      </c>
      <c r="G462" s="1">
        <v>68172</v>
      </c>
      <c r="H462" s="1">
        <v>61832</v>
      </c>
      <c r="I462" s="1">
        <v>23</v>
      </c>
      <c r="J462" s="1" t="s">
        <v>5876</v>
      </c>
      <c r="K462" s="1" t="s">
        <v>5877</v>
      </c>
      <c r="L462" s="1" t="s">
        <v>5878</v>
      </c>
      <c r="M462" s="1" t="s">
        <v>9158</v>
      </c>
      <c r="N462" s="1" t="s">
        <v>9158</v>
      </c>
      <c r="O462" s="1" t="s">
        <v>9158</v>
      </c>
      <c r="P462" s="1" t="s">
        <v>9158</v>
      </c>
      <c r="Q462" s="1" t="s">
        <v>9158</v>
      </c>
    </row>
    <row r="463" spans="1:18">
      <c r="A463" s="1">
        <v>82793</v>
      </c>
      <c r="B463" s="1" t="s">
        <v>5865</v>
      </c>
      <c r="C463" s="1" t="s">
        <v>5869</v>
      </c>
      <c r="D463" s="19" t="s">
        <v>10412</v>
      </c>
      <c r="E463" s="15" t="str">
        <f>HYPERLINK("https://stat100.ameba.jp/tnk47/ratio20/illustrations/card/ill_82793_katawaguruma03.jpg?201907-6-RELEASE-conquest-e-421", "■")</f>
        <v>■</v>
      </c>
      <c r="F463" s="1" t="s">
        <v>5879</v>
      </c>
      <c r="G463" s="1">
        <v>34576</v>
      </c>
      <c r="H463" s="1">
        <v>41584</v>
      </c>
      <c r="I463" s="1">
        <v>20</v>
      </c>
      <c r="J463" s="1" t="s">
        <v>182</v>
      </c>
      <c r="K463" s="1" t="s">
        <v>5880</v>
      </c>
      <c r="L463" s="1" t="s">
        <v>5881</v>
      </c>
      <c r="M463" s="1" t="s">
        <v>9158</v>
      </c>
      <c r="N463" s="1" t="s">
        <v>9158</v>
      </c>
      <c r="O463" s="1" t="s">
        <v>9158</v>
      </c>
      <c r="P463" s="1" t="s">
        <v>9158</v>
      </c>
      <c r="Q463" s="1" t="s">
        <v>9158</v>
      </c>
    </row>
    <row r="464" spans="1:18">
      <c r="A464" s="1">
        <v>82803</v>
      </c>
      <c r="B464" s="1" t="s">
        <v>5866</v>
      </c>
      <c r="C464" s="1" t="s">
        <v>5870</v>
      </c>
      <c r="D464" s="19" t="s">
        <v>10413</v>
      </c>
      <c r="E464" s="15" t="str">
        <f>HYPERLINK("https://stat100.ameba.jp/tnk47/ratio20/illustrations/card/ill_82803_raundogaruhokkaidogyunyuchan03.jpg?201907-6-RELEASE-conquest-e-421", "■")</f>
        <v>■</v>
      </c>
      <c r="F464" s="1" t="s">
        <v>5882</v>
      </c>
      <c r="G464" s="1">
        <v>25176</v>
      </c>
      <c r="H464" s="1">
        <v>21144</v>
      </c>
      <c r="I464" s="1">
        <v>20</v>
      </c>
      <c r="J464" s="1" t="s">
        <v>5883</v>
      </c>
      <c r="K464" s="1" t="s">
        <v>5884</v>
      </c>
      <c r="L464" s="1" t="s">
        <v>5885</v>
      </c>
      <c r="M464" s="1" t="s">
        <v>9158</v>
      </c>
      <c r="N464" s="1" t="s">
        <v>9158</v>
      </c>
      <c r="O464" s="1" t="s">
        <v>9158</v>
      </c>
      <c r="P464" s="1" t="s">
        <v>9158</v>
      </c>
      <c r="Q464" s="1" t="s">
        <v>9158</v>
      </c>
    </row>
    <row r="466" spans="1:17">
      <c r="A466" s="1" t="s">
        <v>195</v>
      </c>
    </row>
    <row r="467" spans="1:17">
      <c r="A467" s="1" t="s">
        <v>5860</v>
      </c>
    </row>
    <row r="468" spans="1:17">
      <c r="A468" s="1">
        <v>71013</v>
      </c>
      <c r="B468" s="1" t="s">
        <v>334</v>
      </c>
      <c r="C468" s="1" t="s">
        <v>154</v>
      </c>
      <c r="D468" s="19" t="s">
        <v>837</v>
      </c>
      <c r="E468" s="15" t="str">
        <f>HYPERLINK("https://stat100.ameba.jp/tnk47/ratio20/illustrations/card/ill_71013_fujutsushisarashina03.jpg?201907-6-RELEASE-conquest-e-421", "■")</f>
        <v>■</v>
      </c>
      <c r="F468" s="1" t="s">
        <v>838</v>
      </c>
      <c r="G468" s="1">
        <v>96246</v>
      </c>
      <c r="H468" s="1">
        <v>103512</v>
      </c>
      <c r="I468" s="1">
        <v>24</v>
      </c>
      <c r="J468" s="1" t="s">
        <v>155</v>
      </c>
      <c r="K468" s="1" t="s">
        <v>1231</v>
      </c>
      <c r="L468" s="1" t="s">
        <v>13152</v>
      </c>
      <c r="M468" s="1" t="s">
        <v>9158</v>
      </c>
      <c r="N468" s="1" t="s">
        <v>9158</v>
      </c>
      <c r="O468" s="1" t="s">
        <v>9158</v>
      </c>
      <c r="P468" s="1" t="s">
        <v>9158</v>
      </c>
      <c r="Q468" s="1" t="s">
        <v>9158</v>
      </c>
    </row>
    <row r="469" spans="1:17">
      <c r="A469" s="1">
        <v>71023</v>
      </c>
      <c r="B469" s="1" t="s">
        <v>334</v>
      </c>
      <c r="C469" s="1" t="s">
        <v>158</v>
      </c>
      <c r="D469" s="19" t="s">
        <v>841</v>
      </c>
      <c r="E469" s="15" t="str">
        <f>HYPERLINK("https://stat100.ameba.jp/tnk47/ratio20/illustrations/card/ill_71023_ommyojiiroha03.jpg?201907-6-RELEASE-conquest-e-421", "■")</f>
        <v>■</v>
      </c>
      <c r="F469" s="1" t="s">
        <v>842</v>
      </c>
      <c r="G469" s="1">
        <v>96246</v>
      </c>
      <c r="H469" s="1">
        <v>103512</v>
      </c>
      <c r="I469" s="1">
        <v>24</v>
      </c>
      <c r="J469" s="1" t="s">
        <v>159</v>
      </c>
      <c r="K469" s="1" t="s">
        <v>1232</v>
      </c>
      <c r="L469" s="1" t="s">
        <v>1233</v>
      </c>
      <c r="M469" s="1" t="s">
        <v>9158</v>
      </c>
      <c r="N469" s="1" t="s">
        <v>9158</v>
      </c>
      <c r="O469" s="1" t="s">
        <v>9158</v>
      </c>
      <c r="P469" s="1" t="s">
        <v>9158</v>
      </c>
      <c r="Q469" s="1" t="s">
        <v>9158</v>
      </c>
    </row>
    <row r="470" spans="1:17">
      <c r="A470" s="1">
        <v>66053</v>
      </c>
      <c r="B470" s="1" t="s">
        <v>334</v>
      </c>
      <c r="C470" s="1" t="s">
        <v>205</v>
      </c>
      <c r="D470" s="19" t="s">
        <v>3046</v>
      </c>
      <c r="E470" s="15" t="str">
        <f>HYPERLINK("https://stat100.ameba.jp/tnk47/ratio20/illustrations/card/ill_66053_serebukushiyatamanokami03.jpg?201907-6-RELEASE-conquest-e-421", "■")</f>
        <v>■</v>
      </c>
      <c r="F470" s="1" t="s">
        <v>2265</v>
      </c>
      <c r="G470" s="1">
        <v>97894</v>
      </c>
      <c r="H470" s="1">
        <v>91010</v>
      </c>
      <c r="I470" s="1">
        <v>24</v>
      </c>
      <c r="J470" s="1" t="s">
        <v>44</v>
      </c>
      <c r="K470" s="1" t="s">
        <v>2266</v>
      </c>
      <c r="L470" s="1" t="s">
        <v>1860</v>
      </c>
      <c r="M470" s="1" t="s">
        <v>9158</v>
      </c>
      <c r="N470" s="1" t="s">
        <v>9158</v>
      </c>
      <c r="O470" s="1" t="s">
        <v>9158</v>
      </c>
      <c r="P470" s="1" t="s">
        <v>9158</v>
      </c>
      <c r="Q470" s="1" t="s">
        <v>9158</v>
      </c>
    </row>
    <row r="471" spans="1:17">
      <c r="A471" s="1">
        <v>65923</v>
      </c>
      <c r="B471" s="1" t="s">
        <v>334</v>
      </c>
      <c r="C471" s="1" t="s">
        <v>185</v>
      </c>
      <c r="D471" s="19" t="s">
        <v>10204</v>
      </c>
      <c r="E471" s="15" t="str">
        <f>HYPERLINK("https://stat100.ameba.jp/tnk47/ratio20/illustrations/card/ill_65923_arabianginko03.jpg?201907-6-RELEASE-conquest-e-421", "■")</f>
        <v>■</v>
      </c>
      <c r="F471" s="1" t="s">
        <v>4978</v>
      </c>
      <c r="G471" s="1">
        <v>99996</v>
      </c>
      <c r="H471" s="1">
        <v>92996</v>
      </c>
      <c r="I471" s="1">
        <v>24</v>
      </c>
      <c r="J471" s="1" t="s">
        <v>182</v>
      </c>
      <c r="K471" s="1" t="s">
        <v>3679</v>
      </c>
      <c r="L471" s="1" t="s">
        <v>13188</v>
      </c>
      <c r="M471" s="1" t="s">
        <v>9158</v>
      </c>
      <c r="N471" s="1" t="s">
        <v>9158</v>
      </c>
      <c r="O471" s="1" t="s">
        <v>9158</v>
      </c>
      <c r="P471" s="1" t="s">
        <v>9158</v>
      </c>
      <c r="Q471" s="1" t="s">
        <v>9158</v>
      </c>
    </row>
    <row r="473" spans="1:17">
      <c r="A473" s="1" t="s">
        <v>5887</v>
      </c>
    </row>
    <row r="474" spans="1:17">
      <c r="A474" s="1" t="s">
        <v>5888</v>
      </c>
    </row>
    <row r="475" spans="1:17">
      <c r="A475" s="1" t="s">
        <v>5892</v>
      </c>
      <c r="B475" s="1" t="s">
        <v>330</v>
      </c>
      <c r="C475" s="1" t="s">
        <v>205</v>
      </c>
      <c r="D475" s="19" t="s">
        <v>272</v>
      </c>
      <c r="E475" s="15" t="str">
        <f>HYPERLINK("https://stat100.ameba.jp/tnk47/ratio20/illustrations/card/ill_68783_0_gantammomotaro03.jpg?201907-6-RELEASE-conquest-e-421", "■")</f>
        <v>■</v>
      </c>
      <c r="F475" s="1" t="s">
        <v>273</v>
      </c>
      <c r="G475" s="1">
        <v>150466</v>
      </c>
      <c r="H475" s="1">
        <v>139878</v>
      </c>
      <c r="I475" s="1">
        <v>22</v>
      </c>
      <c r="J475" s="1" t="s">
        <v>274</v>
      </c>
      <c r="K475" s="1" t="s">
        <v>275</v>
      </c>
      <c r="L475" s="1" t="s">
        <v>276</v>
      </c>
      <c r="M475" s="1" t="s">
        <v>9158</v>
      </c>
      <c r="N475" s="1" t="s">
        <v>9158</v>
      </c>
      <c r="O475" s="19" t="s">
        <v>10099</v>
      </c>
      <c r="P475" s="1" t="s">
        <v>3451</v>
      </c>
      <c r="Q475" s="1">
        <v>1</v>
      </c>
    </row>
    <row r="476" spans="1:17">
      <c r="A476" s="1" t="s">
        <v>5724</v>
      </c>
      <c r="B476" s="1" t="s">
        <v>330</v>
      </c>
      <c r="C476" s="1" t="s">
        <v>335</v>
      </c>
      <c r="D476" s="19" t="s">
        <v>698</v>
      </c>
      <c r="E476" s="15" t="str">
        <f>HYPERLINK("https://stat100.ameba.jp/tnk47/ratio20/illustrations/card/ill_66433_0_haroinfujishirogozen03.jpg?201907-6-RELEASE-conquest-e-421", "■")</f>
        <v>■</v>
      </c>
      <c r="F476" s="1" t="s">
        <v>699</v>
      </c>
      <c r="G476" s="1">
        <v>134652</v>
      </c>
      <c r="H476" s="1">
        <v>144834</v>
      </c>
      <c r="I476" s="1">
        <v>22</v>
      </c>
      <c r="J476" s="1" t="s">
        <v>315</v>
      </c>
      <c r="K476" s="1" t="s">
        <v>700</v>
      </c>
      <c r="L476" s="1" t="s">
        <v>701</v>
      </c>
      <c r="M476" s="1" t="s">
        <v>9158</v>
      </c>
      <c r="N476" s="1" t="s">
        <v>9158</v>
      </c>
      <c r="O476" s="19" t="s">
        <v>10095</v>
      </c>
      <c r="P476" s="1" t="s">
        <v>3345</v>
      </c>
      <c r="Q476" s="1">
        <v>1</v>
      </c>
    </row>
    <row r="477" spans="1:17">
      <c r="A477" s="1">
        <v>80743</v>
      </c>
      <c r="B477" s="1" t="s">
        <v>0</v>
      </c>
      <c r="C477" s="1" t="s">
        <v>209</v>
      </c>
      <c r="D477" s="19" t="s">
        <v>10414</v>
      </c>
      <c r="E477" s="15" t="str">
        <f>HYPERLINK("https://stat100.ameba.jp/tnk47/ratio20/illustrations/card/ill_80743_senseijutsushi03.jpg?201907-6-RELEASE-conquest-e-421", "■")</f>
        <v>■</v>
      </c>
      <c r="F477" s="1" t="s">
        <v>4249</v>
      </c>
      <c r="G477" s="1">
        <v>75984</v>
      </c>
      <c r="H477" s="1">
        <v>104890</v>
      </c>
      <c r="I477" s="1">
        <v>24</v>
      </c>
      <c r="J477" s="1" t="s">
        <v>16</v>
      </c>
      <c r="K477" s="1" t="s">
        <v>4250</v>
      </c>
      <c r="L477" s="1" t="s">
        <v>4251</v>
      </c>
      <c r="M477" s="1" t="s">
        <v>9158</v>
      </c>
      <c r="N477" s="1" t="s">
        <v>9158</v>
      </c>
      <c r="O477" s="19" t="s">
        <v>10109</v>
      </c>
      <c r="P477" s="1" t="s">
        <v>3625</v>
      </c>
      <c r="Q477" s="1">
        <v>1</v>
      </c>
    </row>
    <row r="478" spans="1:17">
      <c r="A478" s="1">
        <v>58333</v>
      </c>
      <c r="B478" s="1" t="s">
        <v>334</v>
      </c>
      <c r="C478" s="1" t="s">
        <v>158</v>
      </c>
      <c r="D478" s="19" t="s">
        <v>10415</v>
      </c>
      <c r="E478" s="15" t="str">
        <f>HYPERLINK("https://stat100.ameba.jp/tnk47/ratio20/illustrations/card/ill_58333_chikinnamban03.jpg?201907-6-RELEASE-conquest-e-421", "■")</f>
        <v>■</v>
      </c>
      <c r="F478" s="1" t="s">
        <v>1789</v>
      </c>
      <c r="G478" s="1">
        <v>86668</v>
      </c>
      <c r="H478" s="1">
        <v>63547</v>
      </c>
      <c r="I478" s="1">
        <v>21</v>
      </c>
      <c r="J478" s="1" t="s">
        <v>104</v>
      </c>
      <c r="K478" s="1" t="s">
        <v>1790</v>
      </c>
      <c r="L478" s="1" t="s">
        <v>1791</v>
      </c>
      <c r="M478" s="1" t="s">
        <v>9158</v>
      </c>
      <c r="N478" s="1" t="s">
        <v>9158</v>
      </c>
      <c r="O478" s="1" t="s">
        <v>9158</v>
      </c>
      <c r="P478" s="1" t="s">
        <v>9158</v>
      </c>
      <c r="Q478" s="1" t="s">
        <v>9158</v>
      </c>
    </row>
    <row r="479" spans="1:17">
      <c r="A479" s="1">
        <v>51353</v>
      </c>
      <c r="B479" s="1" t="s">
        <v>334</v>
      </c>
      <c r="C479" s="1" t="s">
        <v>200</v>
      </c>
      <c r="D479" s="19" t="s">
        <v>10416</v>
      </c>
      <c r="E479" s="15" t="str">
        <f>HYPERLINK("https://stat100.ameba.jp/tnk47/ratio20/illustrations/card/ill_51353_toriimototada03.jpg?201907-6-RELEASE-conquest-e-421", "■")</f>
        <v>■</v>
      </c>
      <c r="F479" s="1" t="s">
        <v>1204</v>
      </c>
      <c r="G479" s="1">
        <v>101199</v>
      </c>
      <c r="H479" s="1">
        <v>139716</v>
      </c>
      <c r="I479" s="1">
        <v>21</v>
      </c>
      <c r="J479" s="1" t="s">
        <v>143</v>
      </c>
      <c r="K479" s="1" t="s">
        <v>1205</v>
      </c>
      <c r="L479" s="1" t="s">
        <v>1148</v>
      </c>
      <c r="M479" s="1" t="s">
        <v>9158</v>
      </c>
      <c r="N479" s="1" t="s">
        <v>9158</v>
      </c>
      <c r="O479" s="1" t="s">
        <v>9158</v>
      </c>
      <c r="P479" s="1" t="s">
        <v>9158</v>
      </c>
      <c r="Q479" s="1" t="s">
        <v>9158</v>
      </c>
    </row>
    <row r="480" spans="1:17">
      <c r="A480" s="1">
        <v>61353</v>
      </c>
      <c r="B480" s="1" t="s">
        <v>334</v>
      </c>
      <c r="C480" s="1" t="s">
        <v>203</v>
      </c>
      <c r="D480" s="19" t="s">
        <v>10417</v>
      </c>
      <c r="E480" s="15" t="str">
        <f>HYPERLINK("https://stat100.ameba.jp/tnk47/ratio20/illustrations/card/ill_61353_shinkidohimiko03.jpg?201907-6-RELEASE-conquest-e-421", "■")</f>
        <v>■</v>
      </c>
      <c r="F480" s="1" t="s">
        <v>1200</v>
      </c>
      <c r="G480" s="1">
        <v>91779</v>
      </c>
      <c r="H480" s="1">
        <v>66487</v>
      </c>
      <c r="I480" s="1">
        <v>21</v>
      </c>
      <c r="J480" s="1" t="s">
        <v>10</v>
      </c>
      <c r="K480" s="1" t="s">
        <v>1201</v>
      </c>
      <c r="L480" s="1" t="s">
        <v>1202</v>
      </c>
      <c r="M480" s="1" t="s">
        <v>9158</v>
      </c>
      <c r="N480" s="1" t="s">
        <v>9158</v>
      </c>
      <c r="O480" s="1" t="s">
        <v>9158</v>
      </c>
      <c r="P480" s="1" t="s">
        <v>9158</v>
      </c>
      <c r="Q480" s="1" t="s">
        <v>9158</v>
      </c>
    </row>
    <row r="481" spans="1:17">
      <c r="A481" s="1">
        <v>63273</v>
      </c>
      <c r="B481" s="1" t="s">
        <v>334</v>
      </c>
      <c r="C481" s="1" t="s">
        <v>158</v>
      </c>
      <c r="D481" s="19" t="s">
        <v>828</v>
      </c>
      <c r="E481" s="15" t="str">
        <f>HYPERLINK("https://stat100.ameba.jp/tnk47/ratio20/illustrations/card/ill_63273_tsukushimai03.jpg?201907-6-RELEASE-conquest-e-421", "■")</f>
        <v>■</v>
      </c>
      <c r="F481" s="1" t="s">
        <v>1211</v>
      </c>
      <c r="G481" s="1">
        <v>107166</v>
      </c>
      <c r="H481" s="1">
        <v>77618</v>
      </c>
      <c r="I481" s="1">
        <v>21</v>
      </c>
      <c r="J481" s="1" t="s">
        <v>38</v>
      </c>
      <c r="K481" s="1" t="s">
        <v>1212</v>
      </c>
      <c r="L481" s="1" t="s">
        <v>1213</v>
      </c>
      <c r="M481" s="1" t="s">
        <v>9158</v>
      </c>
      <c r="N481" s="1" t="s">
        <v>9158</v>
      </c>
      <c r="O481" s="19" t="s">
        <v>10110</v>
      </c>
      <c r="P481" s="1" t="s">
        <v>13128</v>
      </c>
      <c r="Q481" s="1">
        <v>1</v>
      </c>
    </row>
    <row r="482" spans="1:17">
      <c r="A482" s="1">
        <v>75873</v>
      </c>
      <c r="B482" s="1" t="s">
        <v>334</v>
      </c>
      <c r="C482" s="1" t="s">
        <v>209</v>
      </c>
      <c r="D482" s="19" t="s">
        <v>10221</v>
      </c>
      <c r="E482" s="15" t="str">
        <f>HYPERLINK("https://stat100.ameba.jp/tnk47/ratio20/illustrations/card/ill_75873_harajukuroriitachan03.jpg?201907-6-RELEASE-conquest-e-421", "■")</f>
        <v>■</v>
      </c>
      <c r="F482" s="1" t="s">
        <v>1945</v>
      </c>
      <c r="G482" s="1">
        <v>92220</v>
      </c>
      <c r="H482" s="1">
        <v>99173</v>
      </c>
      <c r="I482" s="1">
        <v>21</v>
      </c>
      <c r="J482" s="1" t="s">
        <v>26</v>
      </c>
      <c r="K482" s="1" t="s">
        <v>1946</v>
      </c>
      <c r="L482" s="1" t="s">
        <v>1947</v>
      </c>
      <c r="M482" s="1" t="s">
        <v>9158</v>
      </c>
      <c r="N482" s="1" t="s">
        <v>9158</v>
      </c>
      <c r="O482" s="19" t="s">
        <v>2752</v>
      </c>
      <c r="P482" s="1" t="s">
        <v>13123</v>
      </c>
      <c r="Q482" s="1">
        <v>1</v>
      </c>
    </row>
    <row r="484" spans="1:17">
      <c r="A484" s="1" t="s">
        <v>5889</v>
      </c>
    </row>
    <row r="485" spans="1:17">
      <c r="A485" s="1" t="s">
        <v>5890</v>
      </c>
    </row>
    <row r="486" spans="1:17">
      <c r="A486" s="1" t="s">
        <v>5891</v>
      </c>
      <c r="B486" s="1" t="s">
        <v>330</v>
      </c>
      <c r="C486" s="1" t="s">
        <v>202</v>
      </c>
      <c r="D486" s="19" t="s">
        <v>1371</v>
      </c>
      <c r="E486" s="15" t="str">
        <f>HYPERLINK("https://stat100.ameba.jp/tnk47/ratio20/illustrations/card/ill_77173_0_yukemuritomoegozen03.jpg?201907-6-RELEASE-conquest-e-421", "■")</f>
        <v>■</v>
      </c>
      <c r="F486" s="1" t="s">
        <v>1372</v>
      </c>
      <c r="G486" s="1">
        <v>240586</v>
      </c>
      <c r="H486" s="1">
        <v>266192</v>
      </c>
      <c r="I486" s="1">
        <v>24</v>
      </c>
      <c r="J486" s="1" t="s">
        <v>310</v>
      </c>
      <c r="K486" s="1" t="s">
        <v>1373</v>
      </c>
      <c r="L486" s="1" t="s">
        <v>1374</v>
      </c>
      <c r="M486" s="1" t="s">
        <v>9158</v>
      </c>
      <c r="N486" s="1" t="s">
        <v>9158</v>
      </c>
      <c r="O486" s="19" t="s">
        <v>4067</v>
      </c>
      <c r="P486" s="1" t="s">
        <v>3879</v>
      </c>
      <c r="Q486" s="1">
        <v>2</v>
      </c>
    </row>
    <row r="487" spans="1:17">
      <c r="A487" s="1">
        <v>69533</v>
      </c>
      <c r="B487" s="1" t="s">
        <v>0</v>
      </c>
      <c r="C487" s="1" t="s">
        <v>101</v>
      </c>
      <c r="D487" s="19" t="s">
        <v>10418</v>
      </c>
      <c r="E487" s="15" t="str">
        <f>HYPERLINK("https://stat100.ameba.jp/tnk47/ratio20/illustrations/card/ill_69533_setsubunodainokata03.jpg?201907-6-RELEASE-conquest-e-421", "■")</f>
        <v>■</v>
      </c>
      <c r="F487" s="1" t="s">
        <v>138</v>
      </c>
      <c r="G487" s="1">
        <v>93746</v>
      </c>
      <c r="H487" s="1">
        <v>87128</v>
      </c>
      <c r="I487" s="1">
        <v>24</v>
      </c>
      <c r="J487" s="1" t="s">
        <v>10</v>
      </c>
      <c r="K487" s="1" t="s">
        <v>139</v>
      </c>
      <c r="L487" s="1" t="s">
        <v>140</v>
      </c>
      <c r="M487" s="1" t="s">
        <v>9158</v>
      </c>
      <c r="N487" s="1" t="s">
        <v>9158</v>
      </c>
      <c r="O487" s="19" t="s">
        <v>10082</v>
      </c>
      <c r="P487" s="1" t="s">
        <v>13124</v>
      </c>
      <c r="Q487" s="1">
        <v>1</v>
      </c>
    </row>
    <row r="488" spans="1:17">
      <c r="A488" s="1">
        <v>81143</v>
      </c>
      <c r="B488" s="1" t="s">
        <v>334</v>
      </c>
      <c r="C488" s="1" t="s">
        <v>205</v>
      </c>
      <c r="D488" s="19" t="s">
        <v>10419</v>
      </c>
      <c r="E488" s="15" t="str">
        <f>HYPERLINK("https://stat100.ameba.jp/tnk47/ratio20/illustrations/card/ill_81143_shinryokunokisetsumerompan03.jpg?201907-6-RELEASE-conquest-e-421", "■")</f>
        <v>■</v>
      </c>
      <c r="F488" s="1" t="s">
        <v>4517</v>
      </c>
      <c r="G488" s="1">
        <v>113340</v>
      </c>
      <c r="H488" s="1">
        <v>105394</v>
      </c>
      <c r="I488" s="1">
        <v>24</v>
      </c>
      <c r="J488" s="1" t="s">
        <v>104</v>
      </c>
      <c r="K488" s="1" t="s">
        <v>4518</v>
      </c>
      <c r="L488" s="1" t="s">
        <v>3489</v>
      </c>
      <c r="M488" s="1" t="s">
        <v>9158</v>
      </c>
      <c r="N488" s="1" t="s">
        <v>9158</v>
      </c>
      <c r="O488" s="19" t="s">
        <v>10111</v>
      </c>
      <c r="P488" s="1" t="s">
        <v>3610</v>
      </c>
      <c r="Q488" s="1">
        <v>1</v>
      </c>
    </row>
    <row r="489" spans="1:17">
      <c r="A489" s="1">
        <v>60763</v>
      </c>
      <c r="B489" s="1" t="s">
        <v>334</v>
      </c>
      <c r="C489" s="1" t="s">
        <v>203</v>
      </c>
      <c r="D489" s="19" t="s">
        <v>10420</v>
      </c>
      <c r="E489" s="15" t="str">
        <f>HYPERLINK("https://stat100.ameba.jp/tnk47/ratio20/illustrations/card/ill_60763_fujiwarakagekiyo03.jpg?201907-6-RELEASE-conquest-e-421", "■")</f>
        <v>■</v>
      </c>
      <c r="F489" s="1" t="s">
        <v>1146</v>
      </c>
      <c r="G489" s="1">
        <v>115656</v>
      </c>
      <c r="H489" s="1">
        <v>159674</v>
      </c>
      <c r="I489" s="1">
        <v>24</v>
      </c>
      <c r="J489" s="1" t="s">
        <v>143</v>
      </c>
      <c r="K489" s="1" t="s">
        <v>1147</v>
      </c>
      <c r="L489" s="1" t="s">
        <v>1148</v>
      </c>
      <c r="M489" s="1" t="s">
        <v>9158</v>
      </c>
      <c r="N489" s="1" t="s">
        <v>9158</v>
      </c>
      <c r="O489" s="19" t="s">
        <v>10112</v>
      </c>
      <c r="P489" s="1" t="s">
        <v>13150</v>
      </c>
      <c r="Q489" s="1">
        <v>1</v>
      </c>
    </row>
    <row r="491" spans="1:17">
      <c r="A491" s="1" t="s">
        <v>5893</v>
      </c>
    </row>
    <row r="492" spans="1:17">
      <c r="A492" s="1" t="s">
        <v>5894</v>
      </c>
    </row>
    <row r="493" spans="1:17">
      <c r="A493" s="1" t="s">
        <v>5895</v>
      </c>
      <c r="B493" s="1" t="s">
        <v>330</v>
      </c>
      <c r="C493" s="1" t="s">
        <v>185</v>
      </c>
      <c r="D493" s="19" t="s">
        <v>813</v>
      </c>
      <c r="E493" s="15" t="str">
        <f>HYPERLINK("https://stat100.ameba.jp/tnk47/ratio20/illustrations/card/ill_55313_0_haroinononokomachi03.jpg?201907-6-RELEASE-conquest-e-421", "■")</f>
        <v>■</v>
      </c>
      <c r="F493" s="1" t="s">
        <v>814</v>
      </c>
      <c r="G493" s="1">
        <v>138212</v>
      </c>
      <c r="H493" s="1">
        <v>122776</v>
      </c>
      <c r="I493" s="1">
        <v>22</v>
      </c>
      <c r="J493" s="1" t="s">
        <v>351</v>
      </c>
      <c r="K493" s="1" t="s">
        <v>815</v>
      </c>
      <c r="L493" s="1" t="s">
        <v>816</v>
      </c>
      <c r="M493" s="1" t="s">
        <v>9158</v>
      </c>
      <c r="N493" s="1" t="s">
        <v>9158</v>
      </c>
      <c r="O493" s="19" t="s">
        <v>2733</v>
      </c>
      <c r="P493" s="1" t="s">
        <v>2734</v>
      </c>
      <c r="Q493" s="1">
        <v>1</v>
      </c>
    </row>
    <row r="494" spans="1:17">
      <c r="A494" s="1" t="s">
        <v>5896</v>
      </c>
      <c r="B494" s="1" t="s">
        <v>52</v>
      </c>
      <c r="C494" s="1" t="s">
        <v>206</v>
      </c>
      <c r="D494" s="19" t="s">
        <v>2936</v>
      </c>
      <c r="E494" s="15" t="str">
        <f>HYPERLINK("https://stat100.ameba.jp/tnk47/ratio20/illustrations/card/ill_72233_0_koinoboriryugujin03.jpg?201907-6-RELEASE-conquest-e-421", "■")</f>
        <v>■</v>
      </c>
      <c r="F494" s="1" t="s">
        <v>1012</v>
      </c>
      <c r="G494" s="1">
        <v>144312</v>
      </c>
      <c r="H494" s="1">
        <v>155224</v>
      </c>
      <c r="I494" s="1">
        <v>22</v>
      </c>
      <c r="J494" s="1" t="s">
        <v>44</v>
      </c>
      <c r="K494" s="1" t="s">
        <v>1013</v>
      </c>
      <c r="L494" s="1" t="s">
        <v>1014</v>
      </c>
      <c r="M494" s="1" t="s">
        <v>9158</v>
      </c>
      <c r="N494" s="1" t="s">
        <v>9158</v>
      </c>
      <c r="O494" s="19" t="s">
        <v>2940</v>
      </c>
      <c r="P494" s="1" t="s">
        <v>3420</v>
      </c>
      <c r="Q494" s="1">
        <v>2</v>
      </c>
    </row>
    <row r="495" spans="1:17">
      <c r="A495" s="1" t="s">
        <v>5897</v>
      </c>
      <c r="B495" s="1" t="s">
        <v>52</v>
      </c>
      <c r="C495" s="1" t="s">
        <v>23</v>
      </c>
      <c r="D495" s="19" t="s">
        <v>277</v>
      </c>
      <c r="E495" s="15" t="str">
        <f>HYPERLINK("https://stat100.ameba.jp/tnk47/ratio20/illustrations/card/ill_40913_0_reigyokudensetsufusehime03.jpg?201907-6-RELEASE-conquest-e-421", "■")</f>
        <v>■</v>
      </c>
      <c r="F495" s="1" t="s">
        <v>955</v>
      </c>
      <c r="G495" s="1">
        <v>120576</v>
      </c>
      <c r="H495" s="1">
        <v>128744</v>
      </c>
      <c r="I495" s="1">
        <v>22</v>
      </c>
      <c r="J495" s="1" t="s">
        <v>38</v>
      </c>
      <c r="K495" s="1" t="s">
        <v>956</v>
      </c>
      <c r="L495" s="1" t="s">
        <v>957</v>
      </c>
      <c r="M495" s="1" t="s">
        <v>9158</v>
      </c>
      <c r="N495" s="1" t="s">
        <v>9158</v>
      </c>
      <c r="O495" s="1" t="s">
        <v>9158</v>
      </c>
      <c r="P495" s="1" t="s">
        <v>9158</v>
      </c>
      <c r="Q495" s="1" t="s">
        <v>9158</v>
      </c>
    </row>
    <row r="496" spans="1:17">
      <c r="A496" s="1">
        <v>82773</v>
      </c>
      <c r="B496" s="1" t="s">
        <v>0</v>
      </c>
      <c r="C496" s="1" t="s">
        <v>200</v>
      </c>
      <c r="D496" s="19" t="s">
        <v>10410</v>
      </c>
      <c r="E496" s="15" t="str">
        <f>HYPERLINK("https://stat100.ameba.jp/tnk47/ratio20/illustrations/card/ill_82773_furesshumirukuraguzatama03.jpg?201907-6-RELEASE-conquest-e-421", "■")</f>
        <v>■</v>
      </c>
      <c r="F496" s="1" t="s">
        <v>5871</v>
      </c>
      <c r="G496" s="1">
        <v>90522</v>
      </c>
      <c r="H496" s="1">
        <v>97318</v>
      </c>
      <c r="I496" s="1">
        <v>24</v>
      </c>
      <c r="J496" s="1" t="s">
        <v>16</v>
      </c>
      <c r="K496" s="1" t="s">
        <v>5873</v>
      </c>
      <c r="L496" s="1" t="s">
        <v>124</v>
      </c>
      <c r="M496" s="1" t="s">
        <v>9158</v>
      </c>
      <c r="N496" s="1" t="s">
        <v>9158</v>
      </c>
      <c r="O496" s="1" t="s">
        <v>9158</v>
      </c>
      <c r="P496" s="1" t="s">
        <v>9158</v>
      </c>
      <c r="Q496" s="1" t="s">
        <v>9158</v>
      </c>
    </row>
    <row r="497" spans="1:17">
      <c r="A497" s="1">
        <v>82783</v>
      </c>
      <c r="B497" s="1" t="s">
        <v>15</v>
      </c>
      <c r="C497" s="1" t="s">
        <v>191</v>
      </c>
      <c r="D497" s="19" t="s">
        <v>10411</v>
      </c>
      <c r="E497" s="15" t="str">
        <f>HYPERLINK("https://stat100.ameba.jp/tnk47/ratio20/illustrations/card/ill_82783_rodobaikuhashimotosanai03.jpg?201907-6-RELEASE-conquest-e-421", "■")</f>
        <v>■</v>
      </c>
      <c r="F497" s="1" t="s">
        <v>5875</v>
      </c>
      <c r="G497" s="1">
        <v>53352</v>
      </c>
      <c r="H497" s="1">
        <v>48390</v>
      </c>
      <c r="I497" s="1">
        <v>18</v>
      </c>
      <c r="J497" s="1" t="s">
        <v>10</v>
      </c>
      <c r="K497" s="1" t="s">
        <v>5877</v>
      </c>
      <c r="L497" s="1" t="s">
        <v>3275</v>
      </c>
      <c r="M497" s="1" t="s">
        <v>9158</v>
      </c>
      <c r="N497" s="1" t="s">
        <v>9158</v>
      </c>
      <c r="O497" s="1" t="s">
        <v>9158</v>
      </c>
      <c r="P497" s="1" t="s">
        <v>9158</v>
      </c>
      <c r="Q497" s="1" t="s">
        <v>9158</v>
      </c>
    </row>
    <row r="498" spans="1:17">
      <c r="A498" s="1">
        <v>82793</v>
      </c>
      <c r="B498" s="1" t="s">
        <v>22</v>
      </c>
      <c r="C498" s="1" t="s">
        <v>5869</v>
      </c>
      <c r="D498" s="19" t="s">
        <v>10412</v>
      </c>
      <c r="E498" s="15" t="str">
        <f>HYPERLINK("https://stat100.ameba.jp/tnk47/ratio20/illustrations/card/ill_82793_katawaguruma03.jpg?201907-6-RELEASE-conquest-e-421", "■")</f>
        <v>■</v>
      </c>
      <c r="F498" s="1" t="s">
        <v>5879</v>
      </c>
      <c r="G498" s="1">
        <v>29388</v>
      </c>
      <c r="H498" s="1">
        <v>35346</v>
      </c>
      <c r="I498" s="1">
        <v>17</v>
      </c>
      <c r="J498" s="1" t="s">
        <v>182</v>
      </c>
      <c r="K498" s="1" t="s">
        <v>5880</v>
      </c>
      <c r="L498" s="1" t="s">
        <v>5881</v>
      </c>
      <c r="M498" s="1" t="s">
        <v>9158</v>
      </c>
      <c r="N498" s="1" t="s">
        <v>9158</v>
      </c>
      <c r="O498" s="1" t="s">
        <v>9158</v>
      </c>
      <c r="P498" s="1" t="s">
        <v>9158</v>
      </c>
      <c r="Q498" s="1" t="s">
        <v>9158</v>
      </c>
    </row>
    <row r="499" spans="1:17">
      <c r="A499" s="1">
        <v>82803</v>
      </c>
      <c r="B499" s="1" t="s">
        <v>30</v>
      </c>
      <c r="C499" s="1" t="s">
        <v>185</v>
      </c>
      <c r="D499" s="19" t="s">
        <v>10413</v>
      </c>
      <c r="E499" s="15" t="str">
        <f>HYPERLINK("https://stat100.ameba.jp/tnk47/ratio20/illustrations/card/ill_82803_raundogaruhokkaidogyunyuchan03.jpg?201907-6-RELEASE-conquest-e-421", "■")</f>
        <v>■</v>
      </c>
      <c r="F499" s="1" t="s">
        <v>5882</v>
      </c>
      <c r="G499" s="1">
        <v>21398</v>
      </c>
      <c r="H499" s="1">
        <v>17972</v>
      </c>
      <c r="I499" s="1">
        <v>17</v>
      </c>
      <c r="J499" s="1" t="s">
        <v>104</v>
      </c>
      <c r="K499" s="1" t="s">
        <v>5884</v>
      </c>
      <c r="L499" s="1" t="s">
        <v>2019</v>
      </c>
      <c r="M499" s="1" t="s">
        <v>9158</v>
      </c>
      <c r="N499" s="1" t="s">
        <v>9158</v>
      </c>
      <c r="O499" s="1" t="s">
        <v>9158</v>
      </c>
      <c r="P499" s="1" t="s">
        <v>9158</v>
      </c>
      <c r="Q499" s="1" t="s">
        <v>9158</v>
      </c>
    </row>
    <row r="501" spans="1:17">
      <c r="A501" s="1" t="s">
        <v>5898</v>
      </c>
    </row>
    <row r="502" spans="1:17">
      <c r="A502" s="1" t="s">
        <v>5900</v>
      </c>
    </row>
    <row r="503" spans="1:17">
      <c r="A503" s="1" t="s">
        <v>5899</v>
      </c>
      <c r="B503" s="1" t="s">
        <v>52</v>
      </c>
      <c r="C503" s="1" t="s">
        <v>205</v>
      </c>
      <c r="D503" s="19" t="s">
        <v>1559</v>
      </c>
      <c r="E503" s="15" t="str">
        <f>HYPERLINK("https://stat100.ameba.jp/tnk47/ratio20/illustrations/card/ill_73773_0_umibirakiinugamigyobu03.jpg?201907-6-RELEASE-conquest-e-421", "■")</f>
        <v>■</v>
      </c>
      <c r="F503" s="1" t="s">
        <v>935</v>
      </c>
      <c r="G503" s="1">
        <v>130160</v>
      </c>
      <c r="H503" s="1">
        <v>139999</v>
      </c>
      <c r="I503" s="1">
        <v>15</v>
      </c>
      <c r="J503" s="1" t="s">
        <v>73</v>
      </c>
      <c r="K503" s="1" t="s">
        <v>1186</v>
      </c>
      <c r="L503" s="1" t="s">
        <v>1187</v>
      </c>
      <c r="M503" s="1" t="s">
        <v>9158</v>
      </c>
      <c r="N503" s="1" t="s">
        <v>9158</v>
      </c>
      <c r="O503" s="19" t="s">
        <v>2978</v>
      </c>
      <c r="P503" s="1" t="s">
        <v>2979</v>
      </c>
      <c r="Q503" s="1">
        <v>2</v>
      </c>
    </row>
    <row r="504" spans="1:17">
      <c r="A504" s="1" t="s">
        <v>5901</v>
      </c>
      <c r="B504" s="1" t="s">
        <v>52</v>
      </c>
      <c r="C504" s="1" t="s">
        <v>101</v>
      </c>
      <c r="D504" s="19" t="s">
        <v>1426</v>
      </c>
      <c r="E504" s="15" t="str">
        <f>HYPERLINK("https://stat100.ameba.jp/tnk47/ratio20/illustrations/card/ill_64953_0_yukatatokugawayoshinobu03.jpg?201907-6-RELEASE-conquest-e-421", "■")</f>
        <v>■</v>
      </c>
      <c r="F504" s="1" t="s">
        <v>2090</v>
      </c>
      <c r="G504" s="1">
        <v>93450</v>
      </c>
      <c r="H504" s="1">
        <v>100502</v>
      </c>
      <c r="I504" s="1">
        <v>15</v>
      </c>
      <c r="J504" s="1" t="s">
        <v>10</v>
      </c>
      <c r="K504" s="1" t="s">
        <v>2091</v>
      </c>
      <c r="L504" s="1" t="s">
        <v>2092</v>
      </c>
      <c r="M504" s="1" t="s">
        <v>9158</v>
      </c>
      <c r="N504" s="1" t="s">
        <v>9158</v>
      </c>
      <c r="O504" s="19" t="s">
        <v>2889</v>
      </c>
      <c r="P504" s="1" t="s">
        <v>2890</v>
      </c>
      <c r="Q504" s="1">
        <v>1</v>
      </c>
    </row>
    <row r="505" spans="1:17">
      <c r="A505" s="1" t="s">
        <v>5902</v>
      </c>
      <c r="B505" s="1" t="s">
        <v>330</v>
      </c>
      <c r="C505" s="1" t="s">
        <v>206</v>
      </c>
      <c r="D505" s="19" t="s">
        <v>483</v>
      </c>
      <c r="E505" s="15" t="str">
        <f>HYPERLINK("https://stat100.ameba.jp/tnk47/ratio20/illustrations/card/ill_40343_0_heshikirihasebekurodakambe03.jpg?201907-6-RELEASE-conquest-e-421", "■")</f>
        <v>■</v>
      </c>
      <c r="F505" s="1" t="s">
        <v>906</v>
      </c>
      <c r="G505" s="1">
        <v>87780</v>
      </c>
      <c r="H505" s="1">
        <v>82212</v>
      </c>
      <c r="I505" s="1">
        <v>15</v>
      </c>
      <c r="J505" s="1" t="s">
        <v>16</v>
      </c>
      <c r="K505" s="1" t="s">
        <v>907</v>
      </c>
      <c r="L505" s="1" t="s">
        <v>908</v>
      </c>
      <c r="M505" s="1" t="s">
        <v>9158</v>
      </c>
      <c r="N505" s="1" t="s">
        <v>9158</v>
      </c>
      <c r="O505" s="1" t="s">
        <v>9158</v>
      </c>
      <c r="P505" s="1" t="s">
        <v>9158</v>
      </c>
      <c r="Q505" s="1" t="s">
        <v>9158</v>
      </c>
    </row>
    <row r="506" spans="1:17">
      <c r="A506" s="1">
        <v>60803</v>
      </c>
      <c r="B506" s="1" t="s">
        <v>334</v>
      </c>
      <c r="C506" s="1" t="s">
        <v>191</v>
      </c>
      <c r="D506" s="19" t="s">
        <v>10421</v>
      </c>
      <c r="E506" s="15" t="str">
        <f>HYPERLINK("https://stat100.ameba.jp/tnk47/ratio20/illustrations/card/ill_60803_intonkonohatengu03.jpg?201907-6-RELEASE-conquest-e-421", "■")</f>
        <v>■</v>
      </c>
      <c r="F506" s="1" t="s">
        <v>4602</v>
      </c>
      <c r="G506" s="1">
        <v>99996</v>
      </c>
      <c r="H506" s="1">
        <v>92996</v>
      </c>
      <c r="I506" s="1">
        <v>24</v>
      </c>
      <c r="J506" s="1" t="s">
        <v>73</v>
      </c>
      <c r="K506" s="1" t="s">
        <v>4603</v>
      </c>
      <c r="L506" s="1" t="s">
        <v>4604</v>
      </c>
      <c r="M506" s="1" t="s">
        <v>9158</v>
      </c>
      <c r="N506" s="1" t="s">
        <v>9158</v>
      </c>
      <c r="O506" s="1" t="s">
        <v>9158</v>
      </c>
      <c r="P506" s="1" t="s">
        <v>9158</v>
      </c>
      <c r="Q506" s="1" t="s">
        <v>9158</v>
      </c>
    </row>
    <row r="507" spans="1:17">
      <c r="A507" s="1">
        <v>72523</v>
      </c>
      <c r="B507" s="1" t="s">
        <v>334</v>
      </c>
      <c r="C507" s="1" t="s">
        <v>96</v>
      </c>
      <c r="D507" s="19" t="s">
        <v>10422</v>
      </c>
      <c r="E507" s="15" t="str">
        <f>HYPERLINK("https://stat100.ameba.jp/tnk47/ratio20/illustrations/card/ill_72523_safuaripakunakisawame03.jpg?201907-6-RELEASE-conquest-e-421", "■")</f>
        <v>■</v>
      </c>
      <c r="F507" s="1" t="s">
        <v>4264</v>
      </c>
      <c r="G507" s="1">
        <v>91010</v>
      </c>
      <c r="H507" s="1">
        <v>97894</v>
      </c>
      <c r="I507" s="1">
        <v>24</v>
      </c>
      <c r="J507" s="1" t="s">
        <v>401</v>
      </c>
      <c r="K507" s="1" t="s">
        <v>4262</v>
      </c>
      <c r="L507" s="1" t="s">
        <v>4263</v>
      </c>
      <c r="M507" s="1" t="s">
        <v>9158</v>
      </c>
      <c r="N507" s="1" t="s">
        <v>9158</v>
      </c>
      <c r="O507" s="1" t="s">
        <v>9158</v>
      </c>
      <c r="P507" s="1" t="s">
        <v>9158</v>
      </c>
      <c r="Q507" s="1" t="s">
        <v>9158</v>
      </c>
    </row>
    <row r="508" spans="1:17">
      <c r="A508" s="1">
        <v>73103</v>
      </c>
      <c r="B508" s="1" t="s">
        <v>334</v>
      </c>
      <c r="C508" s="1" t="s">
        <v>41</v>
      </c>
      <c r="D508" s="19" t="s">
        <v>10423</v>
      </c>
      <c r="E508" s="15" t="str">
        <f>HYPERLINK("https://stat100.ameba.jp/tnk47/ratio20/illustrations/card/ill_73103_nominookata03.jpg?201907-6-RELEASE-conquest-e-421", "■")</f>
        <v>■</v>
      </c>
      <c r="F508" s="1" t="s">
        <v>2106</v>
      </c>
      <c r="G508" s="1">
        <v>75984</v>
      </c>
      <c r="H508" s="1">
        <v>104890</v>
      </c>
      <c r="I508" s="1">
        <v>24</v>
      </c>
      <c r="J508" s="1" t="s">
        <v>77</v>
      </c>
      <c r="K508" s="1" t="s">
        <v>2107</v>
      </c>
      <c r="L508" s="1" t="s">
        <v>969</v>
      </c>
      <c r="M508" s="1" t="s">
        <v>9158</v>
      </c>
      <c r="N508" s="1" t="s">
        <v>9158</v>
      </c>
      <c r="O508" s="19" t="s">
        <v>2752</v>
      </c>
      <c r="P508" s="1" t="s">
        <v>13173</v>
      </c>
      <c r="Q508" s="1">
        <v>1</v>
      </c>
    </row>
    <row r="510" spans="1:17">
      <c r="A510" s="1" t="s">
        <v>5903</v>
      </c>
    </row>
    <row r="511" spans="1:17">
      <c r="A511" s="1" t="s">
        <v>5904</v>
      </c>
    </row>
    <row r="512" spans="1:17">
      <c r="A512" s="1" t="s">
        <v>5617</v>
      </c>
      <c r="B512" s="1" t="s">
        <v>330</v>
      </c>
      <c r="C512" s="1" t="s">
        <v>308</v>
      </c>
      <c r="D512" s="19" t="s">
        <v>385</v>
      </c>
      <c r="E512" s="15" t="str">
        <f>HYPERLINK("https://stat100.ameba.jp/tnk47/ratio20/illustrations/card/ill_59673_0_oheyashutendoji03.jpg?201907-6-RELEASE-conquest-e-421", "■")</f>
        <v>■</v>
      </c>
      <c r="F512" s="1" t="s">
        <v>386</v>
      </c>
      <c r="G512" s="1">
        <v>168874</v>
      </c>
      <c r="H512" s="1">
        <v>181640</v>
      </c>
      <c r="I512" s="1">
        <v>24</v>
      </c>
      <c r="J512" s="1" t="s">
        <v>320</v>
      </c>
      <c r="K512" s="1" t="s">
        <v>387</v>
      </c>
      <c r="L512" s="1" t="s">
        <v>388</v>
      </c>
      <c r="M512" s="1" t="s">
        <v>9158</v>
      </c>
      <c r="N512" s="1" t="s">
        <v>9158</v>
      </c>
      <c r="O512" s="19" t="s">
        <v>10078</v>
      </c>
      <c r="P512" s="1" t="s">
        <v>3022</v>
      </c>
      <c r="Q512" s="1">
        <v>1</v>
      </c>
    </row>
    <row r="513" spans="1:18">
      <c r="A513" s="1">
        <v>78873</v>
      </c>
      <c r="B513" s="1" t="s">
        <v>334</v>
      </c>
      <c r="C513" s="1" t="s">
        <v>209</v>
      </c>
      <c r="D513" s="19" t="s">
        <v>2818</v>
      </c>
      <c r="E513" s="15" t="str">
        <f>HYPERLINK("https://stat100.ameba.jp/tnk47/ratio20/illustrations/card/ill_78873_furutsutomato03.jpg?201907-6-RELEASE-conquest-e-421", "■")</f>
        <v>■</v>
      </c>
      <c r="F513" s="1" t="s">
        <v>2819</v>
      </c>
      <c r="G513" s="1">
        <v>91876</v>
      </c>
      <c r="H513" s="1">
        <v>126858</v>
      </c>
      <c r="I513" s="1">
        <v>24</v>
      </c>
      <c r="J513" s="1" t="s">
        <v>283</v>
      </c>
      <c r="K513" s="1" t="s">
        <v>2820</v>
      </c>
      <c r="L513" s="1" t="s">
        <v>2821</v>
      </c>
      <c r="M513" s="1" t="s">
        <v>9158</v>
      </c>
      <c r="N513" s="1" t="s">
        <v>9158</v>
      </c>
      <c r="O513" s="19" t="s">
        <v>10074</v>
      </c>
      <c r="P513" s="1" t="s">
        <v>2822</v>
      </c>
      <c r="Q513" s="1">
        <v>1</v>
      </c>
    </row>
    <row r="514" spans="1:18">
      <c r="A514" s="1">
        <v>81023</v>
      </c>
      <c r="B514" s="1" t="s">
        <v>334</v>
      </c>
      <c r="C514" s="1" t="s">
        <v>41</v>
      </c>
      <c r="D514" s="19" t="s">
        <v>10274</v>
      </c>
      <c r="E514" s="15" t="str">
        <f>HYPERLINK("https://stat100.ameba.jp/tnk47/ratio20/illustrations/card/ill_81023_momonokenki03.jpg?201907-6-RELEASE-conquest-e-421", "■")</f>
        <v>■</v>
      </c>
      <c r="F514" s="1" t="s">
        <v>4088</v>
      </c>
      <c r="G514" s="1">
        <v>126858</v>
      </c>
      <c r="H514" s="1">
        <v>91876</v>
      </c>
      <c r="I514" s="1">
        <v>24</v>
      </c>
      <c r="J514" s="1" t="s">
        <v>143</v>
      </c>
      <c r="K514" s="1" t="s">
        <v>4089</v>
      </c>
      <c r="L514" s="1" t="s">
        <v>2049</v>
      </c>
      <c r="M514" s="1" t="s">
        <v>9158</v>
      </c>
      <c r="N514" s="1" t="s">
        <v>9158</v>
      </c>
      <c r="O514" s="19" t="s">
        <v>10096</v>
      </c>
      <c r="P514" s="1" t="s">
        <v>3245</v>
      </c>
      <c r="Q514" s="1">
        <v>1</v>
      </c>
    </row>
    <row r="515" spans="1:18">
      <c r="A515" s="1">
        <v>77123</v>
      </c>
      <c r="B515" s="1" t="s">
        <v>334</v>
      </c>
      <c r="C515" s="1" t="s">
        <v>191</v>
      </c>
      <c r="D515" s="19" t="s">
        <v>10424</v>
      </c>
      <c r="E515" s="15" t="str">
        <f>HYPERLINK("https://stat100.ameba.jp/tnk47/ratio20/illustrations/card/ill_77123_yukemuriizuna03.jpg?201907-6-RELEASE-conquest-e-421", "■")</f>
        <v>■</v>
      </c>
      <c r="F515" s="1" t="s">
        <v>1377</v>
      </c>
      <c r="G515" s="1">
        <v>99996</v>
      </c>
      <c r="H515" s="1">
        <v>92996</v>
      </c>
      <c r="I515" s="1">
        <v>24</v>
      </c>
      <c r="J515" s="1" t="s">
        <v>320</v>
      </c>
      <c r="K515" s="1" t="s">
        <v>1378</v>
      </c>
      <c r="L515" s="1" t="s">
        <v>1379</v>
      </c>
      <c r="M515" s="1" t="s">
        <v>9158</v>
      </c>
      <c r="N515" s="1" t="s">
        <v>9158</v>
      </c>
      <c r="O515" s="19" t="s">
        <v>2838</v>
      </c>
      <c r="P515" s="1" t="s">
        <v>3579</v>
      </c>
      <c r="Q515" s="1">
        <v>1</v>
      </c>
    </row>
    <row r="517" spans="1:18">
      <c r="A517" s="1" t="s">
        <v>5905</v>
      </c>
    </row>
    <row r="518" spans="1:18">
      <c r="A518" s="1" t="s">
        <v>5930</v>
      </c>
    </row>
    <row r="519" spans="1:18">
      <c r="A519" s="1">
        <v>65353</v>
      </c>
      <c r="B519" s="1" t="s">
        <v>334</v>
      </c>
      <c r="C519" s="1" t="s">
        <v>5906</v>
      </c>
      <c r="D519" s="19" t="s">
        <v>10425</v>
      </c>
      <c r="E519" s="15" t="str">
        <f>HYPERLINK("https://stat100.ameba.jp/tnk47/ratio20/illustrations/card/ill_65353_natsuyasuminotomochan03.jpg?201907-6-RELEASE-conquest-e-421", "■")</f>
        <v>■</v>
      </c>
      <c r="F519" s="1" t="s">
        <v>5907</v>
      </c>
      <c r="G519" s="1">
        <v>97766</v>
      </c>
      <c r="H519" s="1">
        <v>90885</v>
      </c>
      <c r="I519" s="1">
        <v>23</v>
      </c>
      <c r="J519" s="1" t="s">
        <v>5908</v>
      </c>
      <c r="K519" s="1" t="s">
        <v>5909</v>
      </c>
      <c r="L519" s="1" t="s">
        <v>5910</v>
      </c>
      <c r="M519" s="1" t="s">
        <v>9158</v>
      </c>
      <c r="N519" s="1" t="s">
        <v>9158</v>
      </c>
      <c r="O519" s="1" t="s">
        <v>9158</v>
      </c>
      <c r="P519" s="1" t="s">
        <v>9158</v>
      </c>
      <c r="Q519" s="1" t="s">
        <v>9158</v>
      </c>
    </row>
    <row r="520" spans="1:18">
      <c r="A520" s="1">
        <v>52613</v>
      </c>
      <c r="B520" s="1" t="s">
        <v>334</v>
      </c>
      <c r="C520" s="1" t="s">
        <v>308</v>
      </c>
      <c r="D520" s="19" t="s">
        <v>10426</v>
      </c>
      <c r="E520" s="15" t="str">
        <f>HYPERLINK("https://stat100.ameba.jp/tnk47/ratio20/illustrations/card/ill_52613_sengokumibirakirubichan03.jpg?201907-6-RELEASE-conquest-e-421", "■")</f>
        <v>■</v>
      </c>
      <c r="F520" s="1" t="s">
        <v>5911</v>
      </c>
      <c r="G520" s="1">
        <v>88650</v>
      </c>
      <c r="H520" s="1">
        <v>82422</v>
      </c>
      <c r="I520" s="1">
        <v>23</v>
      </c>
      <c r="J520" s="1" t="s">
        <v>5908</v>
      </c>
      <c r="K520" s="1" t="s">
        <v>5912</v>
      </c>
      <c r="L520" s="1" t="s">
        <v>5913</v>
      </c>
      <c r="M520" s="1" t="s">
        <v>5914</v>
      </c>
      <c r="N520" s="1" t="s">
        <v>5915</v>
      </c>
      <c r="O520" s="1" t="s">
        <v>9158</v>
      </c>
      <c r="P520" s="1" t="s">
        <v>9158</v>
      </c>
      <c r="Q520" s="1" t="s">
        <v>9158</v>
      </c>
      <c r="R520" s="1" t="s">
        <v>13193</v>
      </c>
    </row>
    <row r="521" spans="1:18">
      <c r="A521" s="1">
        <v>52603</v>
      </c>
      <c r="B521" s="1" t="s">
        <v>334</v>
      </c>
      <c r="C521" s="1" t="s">
        <v>191</v>
      </c>
      <c r="D521" s="19" t="s">
        <v>10427</v>
      </c>
      <c r="E521" s="15" t="str">
        <f>HYPERLINK("https://stat100.ameba.jp/tnk47/ratio20/illustrations/card/ill_52603_sengokumibirakikimmedai03.jpg?201907-6-RELEASE-conquest-e-421", "■")</f>
        <v>■</v>
      </c>
      <c r="F521" s="1" t="s">
        <v>5916</v>
      </c>
      <c r="G521" s="1">
        <v>82422</v>
      </c>
      <c r="H521" s="1">
        <v>88650</v>
      </c>
      <c r="I521" s="1">
        <v>23</v>
      </c>
      <c r="J521" s="1" t="s">
        <v>283</v>
      </c>
      <c r="K521" s="1" t="s">
        <v>5917</v>
      </c>
      <c r="L521" s="1" t="s">
        <v>5918</v>
      </c>
      <c r="M521" s="1" t="s">
        <v>5914</v>
      </c>
      <c r="N521" s="1" t="s">
        <v>5915</v>
      </c>
      <c r="O521" s="1" t="s">
        <v>9158</v>
      </c>
      <c r="P521" s="1" t="s">
        <v>9158</v>
      </c>
      <c r="Q521" s="1" t="s">
        <v>9158</v>
      </c>
      <c r="R521" s="1" t="s">
        <v>13193</v>
      </c>
    </row>
    <row r="522" spans="1:18">
      <c r="A522" s="1">
        <v>73743</v>
      </c>
      <c r="B522" s="1" t="s">
        <v>5919</v>
      </c>
      <c r="C522" s="1" t="s">
        <v>185</v>
      </c>
      <c r="D522" s="19" t="s">
        <v>10428</v>
      </c>
      <c r="E522" s="15" t="str">
        <f>HYPERLINK("https://stat100.ameba.jp/tnk47/ratio20/illustrations/card/ill_73743_umibirakikitsunenohoju03.jpg?201907-6-RELEASE-conquest-e-421", "■")</f>
        <v>■</v>
      </c>
      <c r="F522" s="1" t="s">
        <v>5920</v>
      </c>
      <c r="G522" s="1">
        <v>51078</v>
      </c>
      <c r="H522" s="1">
        <v>51078</v>
      </c>
      <c r="I522" s="1">
        <v>19</v>
      </c>
      <c r="J522" s="1" t="s">
        <v>38</v>
      </c>
      <c r="K522" s="1" t="s">
        <v>5921</v>
      </c>
      <c r="L522" s="1" t="s">
        <v>5922</v>
      </c>
      <c r="M522" s="1" t="s">
        <v>9158</v>
      </c>
      <c r="N522" s="1" t="s">
        <v>9158</v>
      </c>
      <c r="O522" s="1" t="s">
        <v>9158</v>
      </c>
      <c r="P522" s="1" t="s">
        <v>9158</v>
      </c>
      <c r="Q522" s="1" t="s">
        <v>9158</v>
      </c>
    </row>
    <row r="523" spans="1:18">
      <c r="A523" s="1">
        <v>74583</v>
      </c>
      <c r="B523" s="1" t="s">
        <v>5919</v>
      </c>
      <c r="C523" s="1" t="s">
        <v>205</v>
      </c>
      <c r="D523" s="19" t="s">
        <v>10429</v>
      </c>
      <c r="E523" s="15" t="str">
        <f>HYPERLINK("https://stat100.ameba.jp/tnk47/ratio20/illustrations/card/ill_74583_natsuyuenchimomonohasui03.jpg?201907-6-RELEASE-conquest-e-421", "■")</f>
        <v>■</v>
      </c>
      <c r="F523" s="1" t="s">
        <v>5923</v>
      </c>
      <c r="G523" s="1">
        <v>56316</v>
      </c>
      <c r="H523" s="1">
        <v>51078</v>
      </c>
      <c r="I523" s="1">
        <v>19</v>
      </c>
      <c r="J523" s="1" t="s">
        <v>5924</v>
      </c>
      <c r="K523" s="1" t="s">
        <v>5925</v>
      </c>
      <c r="L523" s="1" t="s">
        <v>5926</v>
      </c>
      <c r="M523" s="1" t="s">
        <v>9158</v>
      </c>
      <c r="N523" s="1" t="s">
        <v>9158</v>
      </c>
      <c r="O523" s="1" t="s">
        <v>9158</v>
      </c>
      <c r="P523" s="1" t="s">
        <v>9158</v>
      </c>
      <c r="Q523" s="1" t="s">
        <v>9158</v>
      </c>
    </row>
    <row r="524" spans="1:18">
      <c r="A524" s="1">
        <v>57993</v>
      </c>
      <c r="B524" s="1" t="s">
        <v>5919</v>
      </c>
      <c r="C524" s="1" t="s">
        <v>206</v>
      </c>
      <c r="D524" s="19" t="s">
        <v>10430</v>
      </c>
      <c r="E524" s="15" t="str">
        <f>HYPERLINK("https://stat100.ameba.jp/tnk47/ratio20/illustrations/card/ill_57993_pawasupottomurasakiimotarutochan03.jpg?201907-6-RELEASE-conquest-e-421", "■")</f>
        <v>■</v>
      </c>
      <c r="F524" s="1" t="s">
        <v>5927</v>
      </c>
      <c r="G524" s="1">
        <v>51078</v>
      </c>
      <c r="H524" s="1">
        <v>56316</v>
      </c>
      <c r="I524" s="1">
        <v>19</v>
      </c>
      <c r="J524" s="1" t="s">
        <v>283</v>
      </c>
      <c r="K524" s="1" t="s">
        <v>5928</v>
      </c>
      <c r="L524" s="1" t="s">
        <v>5929</v>
      </c>
      <c r="M524" s="1" t="s">
        <v>9158</v>
      </c>
      <c r="N524" s="1" t="s">
        <v>9158</v>
      </c>
      <c r="O524" s="1" t="s">
        <v>9158</v>
      </c>
      <c r="P524" s="1" t="s">
        <v>9158</v>
      </c>
      <c r="Q524" s="1" t="s">
        <v>9158</v>
      </c>
    </row>
    <row r="526" spans="1:18">
      <c r="A526" s="1" t="s">
        <v>5931</v>
      </c>
    </row>
    <row r="527" spans="1:18">
      <c r="A527" s="1" t="s">
        <v>5932</v>
      </c>
    </row>
    <row r="528" spans="1:18">
      <c r="A528" s="1" t="s">
        <v>5933</v>
      </c>
      <c r="B528" s="1" t="s">
        <v>330</v>
      </c>
      <c r="C528" s="1" t="s">
        <v>206</v>
      </c>
      <c r="D528" s="19" t="s">
        <v>2814</v>
      </c>
      <c r="E528" s="15" t="str">
        <f>HYPERLINK("https://stat100.ameba.jp/tnk47/ratio20/illustrations/card/ill_57733_0_shogatsunisenjunanaamakusashiro03.jpg?201907-6-RELEASE-conquest-e-421", "■")</f>
        <v>■</v>
      </c>
      <c r="F528" s="1" t="s">
        <v>2815</v>
      </c>
      <c r="G528" s="1">
        <v>117196</v>
      </c>
      <c r="H528" s="1">
        <v>117196</v>
      </c>
      <c r="I528" s="1">
        <v>21</v>
      </c>
      <c r="J528" s="1" t="s">
        <v>351</v>
      </c>
      <c r="K528" s="1" t="s">
        <v>2816</v>
      </c>
      <c r="L528" s="1" t="s">
        <v>2817</v>
      </c>
      <c r="M528" s="1" t="s">
        <v>9158</v>
      </c>
      <c r="N528" s="1" t="s">
        <v>9158</v>
      </c>
      <c r="O528" s="19" t="s">
        <v>10077</v>
      </c>
      <c r="P528" s="1" t="s">
        <v>3062</v>
      </c>
      <c r="Q528" s="1">
        <v>1</v>
      </c>
    </row>
    <row r="529" spans="1:19">
      <c r="A529" s="1">
        <v>60173</v>
      </c>
      <c r="B529" s="1" t="s">
        <v>0</v>
      </c>
      <c r="C529" s="1" t="s">
        <v>41</v>
      </c>
      <c r="D529" s="19" t="s">
        <v>10231</v>
      </c>
      <c r="E529" s="15" t="str">
        <f>HYPERLINK("https://stat100.ameba.jp/tnk47/ratio20/illustrations/card/ill_60173_kugutsushi03.jpg?201907-6-RELEASE-conquest-e-421", "■")</f>
        <v>■</v>
      </c>
      <c r="F529" s="1" t="s">
        <v>4282</v>
      </c>
      <c r="G529" s="1">
        <v>85010</v>
      </c>
      <c r="H529" s="1">
        <v>117374</v>
      </c>
      <c r="I529" s="1">
        <v>23</v>
      </c>
      <c r="J529" s="1" t="s">
        <v>38</v>
      </c>
      <c r="K529" s="1" t="s">
        <v>4283</v>
      </c>
      <c r="L529" s="1" t="s">
        <v>2714</v>
      </c>
      <c r="M529" s="1" t="s">
        <v>9158</v>
      </c>
      <c r="N529" s="1" t="s">
        <v>9158</v>
      </c>
      <c r="O529" s="19" t="s">
        <v>10113</v>
      </c>
      <c r="P529" s="1" t="s">
        <v>4285</v>
      </c>
      <c r="Q529" s="1">
        <v>1</v>
      </c>
    </row>
    <row r="530" spans="1:19">
      <c r="A530" s="1">
        <v>70363</v>
      </c>
      <c r="B530" s="1" t="s">
        <v>334</v>
      </c>
      <c r="C530" s="1" t="s">
        <v>209</v>
      </c>
      <c r="D530" s="19" t="s">
        <v>10266</v>
      </c>
      <c r="E530" s="15" t="str">
        <f>HYPERLINK("https://stat100.ameba.jp/tnk47/ratio20/illustrations/card/ill_70363_hokushimmyokembosatsu03.jpg?201907-6-RELEASE-conquest-e-421", "■")</f>
        <v>■</v>
      </c>
      <c r="F530" s="1" t="s">
        <v>2502</v>
      </c>
      <c r="G530" s="1">
        <v>153022</v>
      </c>
      <c r="H530" s="1">
        <v>110837</v>
      </c>
      <c r="I530" s="1">
        <v>23</v>
      </c>
      <c r="J530" s="1" t="s">
        <v>44</v>
      </c>
      <c r="K530" s="1" t="s">
        <v>2503</v>
      </c>
      <c r="L530" s="1" t="s">
        <v>2504</v>
      </c>
      <c r="M530" s="1" t="s">
        <v>9158</v>
      </c>
      <c r="N530" s="1" t="s">
        <v>9158</v>
      </c>
      <c r="O530" s="19" t="s">
        <v>10114</v>
      </c>
      <c r="P530" s="1" t="s">
        <v>3658</v>
      </c>
      <c r="Q530" s="1">
        <v>1</v>
      </c>
    </row>
    <row r="531" spans="1:19">
      <c r="A531" s="1">
        <v>67953</v>
      </c>
      <c r="B531" s="1" t="s">
        <v>334</v>
      </c>
      <c r="C531" s="1" t="s">
        <v>154</v>
      </c>
      <c r="D531" s="19" t="s">
        <v>10202</v>
      </c>
      <c r="E531" s="15" t="str">
        <f>HYPERLINK("https://stat100.ameba.jp/tnk47/ratio20/illustrations/card/ill_67953_kutaniyaki03.jpg?201907-6-RELEASE-conquest-e-421", "■")</f>
        <v>■</v>
      </c>
      <c r="F531" s="1" t="s">
        <v>2487</v>
      </c>
      <c r="G531" s="1">
        <v>75627</v>
      </c>
      <c r="H531" s="1">
        <v>104385</v>
      </c>
      <c r="I531" s="1">
        <v>23</v>
      </c>
      <c r="J531" s="1" t="s">
        <v>26</v>
      </c>
      <c r="K531" s="1" t="s">
        <v>2488</v>
      </c>
      <c r="L531" s="1" t="s">
        <v>2489</v>
      </c>
      <c r="M531" s="1" t="s">
        <v>9158</v>
      </c>
      <c r="N531" s="1" t="s">
        <v>9158</v>
      </c>
      <c r="O531" s="19" t="s">
        <v>10074</v>
      </c>
      <c r="P531" s="1" t="s">
        <v>3592</v>
      </c>
      <c r="Q531" s="1">
        <v>1</v>
      </c>
    </row>
    <row r="533" spans="1:19">
      <c r="A533" s="1" t="s">
        <v>5935</v>
      </c>
    </row>
    <row r="534" spans="1:19">
      <c r="A534" s="1" t="s">
        <v>5934</v>
      </c>
    </row>
    <row r="535" spans="1:19">
      <c r="A535" s="1" t="s">
        <v>5626</v>
      </c>
      <c r="B535" s="1" t="s">
        <v>330</v>
      </c>
      <c r="C535" s="1" t="s">
        <v>200</v>
      </c>
      <c r="D535" s="19" t="s">
        <v>3160</v>
      </c>
      <c r="E535" s="15" t="str">
        <f>HYPERLINK("https://stat100.ameba.jp/tnk47/ratio20/illustrations/card/ill_72963_0_amenohanayomehiguchiichiyo03.jpg?201907-6-RELEASE-conquest-e-421", "■")</f>
        <v>■</v>
      </c>
      <c r="F535" s="1" t="s">
        <v>1139</v>
      </c>
      <c r="G535" s="1">
        <v>100502</v>
      </c>
      <c r="H535" s="1">
        <v>93450</v>
      </c>
      <c r="I535" s="1">
        <v>15</v>
      </c>
      <c r="J535" s="1" t="s">
        <v>173</v>
      </c>
      <c r="K535" s="1" t="s">
        <v>1140</v>
      </c>
      <c r="L535" s="1" t="s">
        <v>1141</v>
      </c>
      <c r="M535" s="1" t="s">
        <v>9158</v>
      </c>
      <c r="N535" s="1" t="s">
        <v>9158</v>
      </c>
      <c r="O535" s="19" t="s">
        <v>3162</v>
      </c>
      <c r="P535" s="1" t="s">
        <v>3410</v>
      </c>
      <c r="Q535" s="1">
        <v>1</v>
      </c>
    </row>
    <row r="536" spans="1:19">
      <c r="A536" s="1" t="s">
        <v>5610</v>
      </c>
      <c r="B536" s="1" t="s">
        <v>330</v>
      </c>
      <c r="C536" s="1" t="s">
        <v>185</v>
      </c>
      <c r="D536" s="19" t="s">
        <v>539</v>
      </c>
      <c r="E536" s="15" t="str">
        <f>HYPERLINK("https://stat100.ameba.jp/tnk47/ratio20/illustrations/card/ill_60633_0_harumaisentoin03.jpg?201907-6-RELEASE-conquest-e-421", "■")</f>
        <v>■</v>
      </c>
      <c r="F536" s="1" t="s">
        <v>540</v>
      </c>
      <c r="G536" s="1">
        <v>95371</v>
      </c>
      <c r="H536" s="1">
        <v>102590</v>
      </c>
      <c r="I536" s="1">
        <v>15</v>
      </c>
      <c r="J536" s="1" t="s">
        <v>274</v>
      </c>
      <c r="K536" s="1" t="s">
        <v>541</v>
      </c>
      <c r="L536" s="1" t="s">
        <v>542</v>
      </c>
      <c r="M536" s="1" t="s">
        <v>9158</v>
      </c>
      <c r="N536" s="1" t="s">
        <v>9158</v>
      </c>
      <c r="O536" s="19" t="s">
        <v>2888</v>
      </c>
      <c r="P536" s="1" t="s">
        <v>3144</v>
      </c>
      <c r="Q536" s="1">
        <v>1</v>
      </c>
    </row>
    <row r="537" spans="1:19">
      <c r="A537" s="1" t="s">
        <v>5627</v>
      </c>
      <c r="B537" s="1" t="s">
        <v>330</v>
      </c>
      <c r="C537" s="1" t="s">
        <v>191</v>
      </c>
      <c r="D537" s="19" t="s">
        <v>393</v>
      </c>
      <c r="E537" s="15" t="str">
        <f>HYPERLINK("https://stat100.ameba.jp/tnk47/ratio20/illustrations/card/ill_46283_0_odanobunaga03.jpg?201907-6-RELEASE-conquest-e-421", "■")</f>
        <v>■</v>
      </c>
      <c r="F537" s="1" t="s">
        <v>1073</v>
      </c>
      <c r="G537" s="1">
        <v>82212</v>
      </c>
      <c r="H537" s="1">
        <v>87780</v>
      </c>
      <c r="I537" s="1">
        <v>15</v>
      </c>
      <c r="J537" s="1" t="s">
        <v>143</v>
      </c>
      <c r="K537" s="1" t="s">
        <v>1074</v>
      </c>
      <c r="L537" s="1" t="s">
        <v>1075</v>
      </c>
      <c r="M537" s="1" t="s">
        <v>9158</v>
      </c>
      <c r="N537" s="1" t="s">
        <v>9158</v>
      </c>
      <c r="O537" s="1" t="s">
        <v>9158</v>
      </c>
      <c r="P537" s="1" t="s">
        <v>9158</v>
      </c>
      <c r="Q537" s="1" t="s">
        <v>9158</v>
      </c>
    </row>
    <row r="538" spans="1:19">
      <c r="A538" s="1">
        <v>69033</v>
      </c>
      <c r="B538" s="1" t="s">
        <v>334</v>
      </c>
      <c r="C538" s="1" t="s">
        <v>41</v>
      </c>
      <c r="D538" s="19" t="s">
        <v>11817</v>
      </c>
      <c r="E538" s="15" t="str">
        <f>HYPERLINK("https://stat100.ameba.jp/tnk47/ratio20/illustrations/card/ill_69033_uintasupotsukimuraakebono03.jpg?201907-6-RELEASE-conquest-e-421", "■")</f>
        <v>■</v>
      </c>
      <c r="F538" s="1" t="s">
        <v>5939</v>
      </c>
      <c r="G538" s="1">
        <v>90522</v>
      </c>
      <c r="H538" s="1">
        <v>97318</v>
      </c>
      <c r="I538" s="1">
        <v>24</v>
      </c>
      <c r="J538" s="1" t="s">
        <v>5936</v>
      </c>
      <c r="K538" s="1" t="s">
        <v>5937</v>
      </c>
      <c r="L538" s="1" t="s">
        <v>5938</v>
      </c>
      <c r="M538" s="1" t="s">
        <v>9158</v>
      </c>
      <c r="N538" s="1" t="s">
        <v>9158</v>
      </c>
      <c r="O538" s="1" t="s">
        <v>9158</v>
      </c>
      <c r="P538" s="1" t="s">
        <v>9158</v>
      </c>
      <c r="Q538" s="1" t="s">
        <v>9158</v>
      </c>
      <c r="S538" s="14" t="s">
        <v>11818</v>
      </c>
    </row>
    <row r="539" spans="1:19">
      <c r="A539" s="1">
        <v>76523</v>
      </c>
      <c r="B539" s="1" t="s">
        <v>334</v>
      </c>
      <c r="C539" s="1" t="s">
        <v>41</v>
      </c>
      <c r="D539" s="19" t="s">
        <v>11819</v>
      </c>
      <c r="E539" s="15" t="str">
        <f>HYPERLINK("https://stat100.ameba.jp/tnk47/ratio20/illustrations/card/ill_76523_furawapakurashima03.jpg?201907-6-RELEASE-conquest-e-421", "■")</f>
        <v>■</v>
      </c>
      <c r="F539" s="1" t="s">
        <v>5940</v>
      </c>
      <c r="G539" s="1">
        <v>109334</v>
      </c>
      <c r="H539" s="1">
        <v>101656</v>
      </c>
      <c r="I539" s="1">
        <v>24</v>
      </c>
      <c r="J539" s="1" t="s">
        <v>26</v>
      </c>
      <c r="K539" s="1" t="s">
        <v>5941</v>
      </c>
      <c r="L539" s="1" t="s">
        <v>5942</v>
      </c>
      <c r="M539" s="1" t="s">
        <v>9158</v>
      </c>
      <c r="N539" s="1" t="s">
        <v>9158</v>
      </c>
      <c r="O539" s="1" t="s">
        <v>9158</v>
      </c>
      <c r="P539" s="1" t="s">
        <v>9158</v>
      </c>
      <c r="Q539" s="1" t="s">
        <v>9158</v>
      </c>
      <c r="S539" s="14" t="s">
        <v>11820</v>
      </c>
    </row>
    <row r="540" spans="1:19">
      <c r="A540" s="1">
        <v>77393</v>
      </c>
      <c r="B540" s="1" t="s">
        <v>334</v>
      </c>
      <c r="C540" s="1" t="s">
        <v>209</v>
      </c>
      <c r="D540" s="19" t="s">
        <v>11821</v>
      </c>
      <c r="E540" s="15" t="str">
        <f>HYPERLINK("https://stat100.ameba.jp/tnk47/ratio20/illustrations/card/ill_77393_yamagaruakiakaiteruko03.jpg?201907-6-RELEASE-conquest-e-421", "■")</f>
        <v>■</v>
      </c>
      <c r="F540" s="1" t="s">
        <v>5943</v>
      </c>
      <c r="G540" s="1">
        <v>132658</v>
      </c>
      <c r="H540" s="1">
        <v>142674</v>
      </c>
      <c r="I540" s="1">
        <v>24</v>
      </c>
      <c r="J540" s="1" t="s">
        <v>5944</v>
      </c>
      <c r="K540" s="1" t="s">
        <v>5945</v>
      </c>
      <c r="L540" s="1" t="s">
        <v>5946</v>
      </c>
      <c r="M540" s="1" t="s">
        <v>9158</v>
      </c>
      <c r="N540" s="1" t="s">
        <v>9158</v>
      </c>
      <c r="O540" s="1" t="s">
        <v>9158</v>
      </c>
      <c r="P540" s="1" t="s">
        <v>9158</v>
      </c>
      <c r="Q540" s="1" t="s">
        <v>9158</v>
      </c>
      <c r="S540" s="14" t="s">
        <v>11822</v>
      </c>
    </row>
    <row r="541" spans="1:19">
      <c r="A541" s="1">
        <v>71173</v>
      </c>
      <c r="B541" s="1" t="s">
        <v>15</v>
      </c>
      <c r="C541" s="1" t="s">
        <v>107</v>
      </c>
      <c r="D541" s="19" t="s">
        <v>10360</v>
      </c>
      <c r="E541" s="15" t="str">
        <f>HYPERLINK("https://stat100.ameba.jp/tnk47/ratio20/illustrations/card/ill_71173_dekamoritakoraisu03.jpg?201907-6-RELEASE-conquest-e-421", "■")</f>
        <v>■</v>
      </c>
      <c r="F541" s="1" t="s">
        <v>5588</v>
      </c>
      <c r="G541" s="1">
        <v>59280</v>
      </c>
      <c r="H541" s="1">
        <v>53768</v>
      </c>
      <c r="I541" s="1">
        <v>20</v>
      </c>
      <c r="J541" s="1" t="s">
        <v>104</v>
      </c>
      <c r="K541" s="1" t="s">
        <v>5591</v>
      </c>
      <c r="L541" s="1" t="s">
        <v>5590</v>
      </c>
      <c r="M541" s="1" t="s">
        <v>9158</v>
      </c>
      <c r="N541" s="1" t="s">
        <v>9158</v>
      </c>
      <c r="O541" s="1" t="s">
        <v>9158</v>
      </c>
      <c r="P541" s="1" t="s">
        <v>9158</v>
      </c>
      <c r="Q541" s="1" t="s">
        <v>9158</v>
      </c>
      <c r="S541" s="14" t="s">
        <v>11777</v>
      </c>
    </row>
    <row r="542" spans="1:19">
      <c r="A542" s="1">
        <v>75243</v>
      </c>
      <c r="B542" s="1" t="s">
        <v>15</v>
      </c>
      <c r="C542" s="1" t="s">
        <v>107</v>
      </c>
      <c r="D542" s="19" t="s">
        <v>10361</v>
      </c>
      <c r="E542" s="15" t="str">
        <f>HYPERLINK("https://stat100.ameba.jp/tnk47/ratio20/illustrations/card/ill_75243_funehikikagura03.jpg?201907-6-RELEASE-conquest-e-421", "■")</f>
        <v>■</v>
      </c>
      <c r="F542" s="1" t="s">
        <v>5592</v>
      </c>
      <c r="G542" s="1">
        <v>53768</v>
      </c>
      <c r="H542" s="1">
        <v>59280</v>
      </c>
      <c r="I542" s="1">
        <v>20</v>
      </c>
      <c r="J542" s="1" t="s">
        <v>38</v>
      </c>
      <c r="K542" s="1" t="s">
        <v>5595</v>
      </c>
      <c r="L542" s="1" t="s">
        <v>5594</v>
      </c>
      <c r="M542" s="1" t="s">
        <v>9158</v>
      </c>
      <c r="N542" s="1" t="s">
        <v>9158</v>
      </c>
      <c r="O542" s="1" t="s">
        <v>9158</v>
      </c>
      <c r="P542" s="1" t="s">
        <v>9158</v>
      </c>
      <c r="Q542" s="1" t="s">
        <v>9158</v>
      </c>
      <c r="S542" s="14" t="s">
        <v>11795</v>
      </c>
    </row>
    <row r="543" spans="1:19">
      <c r="A543" s="1">
        <v>77023</v>
      </c>
      <c r="B543" s="1" t="s">
        <v>15</v>
      </c>
      <c r="C543" s="1" t="s">
        <v>107</v>
      </c>
      <c r="D543" s="19" t="s">
        <v>10362</v>
      </c>
      <c r="E543" s="15" t="str">
        <f>HYPERLINK("https://stat100.ameba.jp/tnk47/ratio20/illustrations/card/ill_77023_meianshiranui03.jpg?201907-6-RELEASE-conquest-e-421", "■")</f>
        <v>■</v>
      </c>
      <c r="F543" s="1" t="s">
        <v>5596</v>
      </c>
      <c r="G543" s="1">
        <v>59280</v>
      </c>
      <c r="H543" s="1">
        <v>53768</v>
      </c>
      <c r="I543" s="1">
        <v>20</v>
      </c>
      <c r="J543" s="1" t="s">
        <v>73</v>
      </c>
      <c r="K543" s="1" t="s">
        <v>5598</v>
      </c>
      <c r="L543" s="1" t="s">
        <v>5599</v>
      </c>
      <c r="M543" s="1" t="s">
        <v>9158</v>
      </c>
      <c r="N543" s="1" t="s">
        <v>9158</v>
      </c>
      <c r="O543" s="1" t="s">
        <v>9158</v>
      </c>
      <c r="P543" s="1" t="s">
        <v>9158</v>
      </c>
      <c r="Q543" s="1" t="s">
        <v>9158</v>
      </c>
      <c r="S543" s="14" t="s">
        <v>11811</v>
      </c>
    </row>
    <row r="545" spans="1:17">
      <c r="A545" s="1" t="s">
        <v>5947</v>
      </c>
    </row>
    <row r="546" spans="1:17">
      <c r="A546" s="1" t="s">
        <v>5948</v>
      </c>
    </row>
    <row r="547" spans="1:17">
      <c r="A547" s="1" t="s">
        <v>5605</v>
      </c>
      <c r="B547" s="1" t="s">
        <v>52</v>
      </c>
      <c r="C547" s="1" t="s">
        <v>202</v>
      </c>
      <c r="D547" s="19" t="s">
        <v>10332</v>
      </c>
      <c r="E547" s="15" t="str">
        <f>HYPERLINK("https://stat100.ameba.jp/tnk47/ratio20/illustrations/card/ill_79373_0_hommeichokotennyohime03.jpg?201908-1-RELEASE-raid-422", "■")</f>
        <v>■</v>
      </c>
      <c r="F547" s="1" t="s">
        <v>3495</v>
      </c>
      <c r="G547" s="1">
        <v>296766</v>
      </c>
      <c r="H547" s="1">
        <v>268230</v>
      </c>
      <c r="I547" s="1">
        <v>24</v>
      </c>
      <c r="J547" s="1" t="s">
        <v>104</v>
      </c>
      <c r="K547" s="1" t="s">
        <v>3496</v>
      </c>
      <c r="L547" s="1" t="s">
        <v>3497</v>
      </c>
      <c r="M547" s="1" t="s">
        <v>9158</v>
      </c>
      <c r="N547" s="1" t="s">
        <v>9158</v>
      </c>
      <c r="O547" s="19" t="s">
        <v>10072</v>
      </c>
      <c r="P547" s="1" t="s">
        <v>3498</v>
      </c>
      <c r="Q547" s="1">
        <v>1</v>
      </c>
    </row>
    <row r="548" spans="1:17">
      <c r="A548" s="1">
        <v>56183</v>
      </c>
      <c r="B548" s="1" t="s">
        <v>0</v>
      </c>
      <c r="C548" s="1" t="s">
        <v>191</v>
      </c>
      <c r="D548" s="19" t="s">
        <v>10333</v>
      </c>
      <c r="E548" s="15" t="str">
        <f>HYPERLINK("https://stat100.ameba.jp/tnk47/ratio20/illustrations/card/ill_56183_onsempanikkukoteipenginchan03.jpg?201908-1-RELEASE-raid-422", "■")</f>
        <v>■</v>
      </c>
      <c r="F548" s="1" t="s">
        <v>2025</v>
      </c>
      <c r="G548" s="1">
        <v>92504</v>
      </c>
      <c r="H548" s="1">
        <v>86006</v>
      </c>
      <c r="I548" s="1">
        <v>24</v>
      </c>
      <c r="J548" s="1" t="s">
        <v>229</v>
      </c>
      <c r="K548" s="1" t="s">
        <v>2026</v>
      </c>
      <c r="L548" s="1" t="s">
        <v>13170</v>
      </c>
      <c r="M548" s="1" t="s">
        <v>9158</v>
      </c>
      <c r="N548" s="1" t="s">
        <v>9158</v>
      </c>
      <c r="O548" s="19" t="s">
        <v>10073</v>
      </c>
      <c r="P548" s="1" t="s">
        <v>3895</v>
      </c>
      <c r="Q548" s="1">
        <v>1</v>
      </c>
    </row>
    <row r="549" spans="1:17">
      <c r="A549" s="1">
        <v>79313</v>
      </c>
      <c r="B549" s="1" t="s">
        <v>334</v>
      </c>
      <c r="C549" s="1" t="s">
        <v>185</v>
      </c>
      <c r="D549" s="19" t="s">
        <v>10334</v>
      </c>
      <c r="E549" s="15" t="str">
        <f>HYPERLINK("https://stat100.ameba.jp/tnk47/ratio20/illustrations/card/ill_79313_hommeichokodatemasamune03.jpg?201908-1-RELEASE-raid-422", "■")</f>
        <v>■</v>
      </c>
      <c r="F549" s="1" t="s">
        <v>3499</v>
      </c>
      <c r="G549" s="1">
        <v>132658</v>
      </c>
      <c r="H549" s="1">
        <v>142674</v>
      </c>
      <c r="I549" s="1">
        <v>24</v>
      </c>
      <c r="J549" s="1" t="s">
        <v>143</v>
      </c>
      <c r="K549" s="1" t="s">
        <v>3500</v>
      </c>
      <c r="L549" s="1" t="s">
        <v>1148</v>
      </c>
      <c r="M549" s="1" t="s">
        <v>9158</v>
      </c>
      <c r="N549" s="1" t="s">
        <v>9158</v>
      </c>
      <c r="O549" s="19" t="s">
        <v>2752</v>
      </c>
      <c r="P549" s="1" t="s">
        <v>13123</v>
      </c>
      <c r="Q549" s="1">
        <v>1</v>
      </c>
    </row>
    <row r="550" spans="1:17">
      <c r="A550" s="1">
        <v>66363</v>
      </c>
      <c r="B550" s="1" t="s">
        <v>334</v>
      </c>
      <c r="C550" s="1" t="s">
        <v>158</v>
      </c>
      <c r="D550" s="19" t="s">
        <v>2910</v>
      </c>
      <c r="E550" s="15" t="str">
        <f>HYPERLINK("https://stat100.ameba.jp/tnk47/ratio20/illustrations/card/ill_66363_iharasaikaku03.jpg?201908-1-RELEASE-raid-422", "■")</f>
        <v>■</v>
      </c>
      <c r="F550" s="1" t="s">
        <v>122</v>
      </c>
      <c r="G550" s="1">
        <v>78916</v>
      </c>
      <c r="H550" s="1">
        <v>108924</v>
      </c>
      <c r="I550" s="1">
        <v>24</v>
      </c>
      <c r="J550" s="1" t="s">
        <v>414</v>
      </c>
      <c r="K550" s="1" t="s">
        <v>2911</v>
      </c>
      <c r="L550" s="1" t="s">
        <v>1575</v>
      </c>
      <c r="M550" s="1" t="s">
        <v>9158</v>
      </c>
      <c r="N550" s="1" t="s">
        <v>9158</v>
      </c>
      <c r="O550" s="19" t="s">
        <v>10074</v>
      </c>
      <c r="P550" s="1" t="s">
        <v>2822</v>
      </c>
      <c r="Q550" s="1">
        <v>1</v>
      </c>
    </row>
    <row r="552" spans="1:17">
      <c r="A552" s="1" t="s">
        <v>5949</v>
      </c>
    </row>
    <row r="553" spans="1:17">
      <c r="A553" s="1" t="s">
        <v>5950</v>
      </c>
    </row>
    <row r="554" spans="1:17">
      <c r="A554" s="1" t="s">
        <v>5650</v>
      </c>
      <c r="B554" s="1" t="s">
        <v>330</v>
      </c>
      <c r="C554" s="1" t="s">
        <v>23</v>
      </c>
      <c r="D554" s="19" t="s">
        <v>809</v>
      </c>
      <c r="E554" s="15" t="str">
        <f>HYPERLINK("https://stat100.ameba.jp/tnk47/ratio20/illustrations/card/ill_68033_0_kurisumasupateikandamyojin03.jpg?201908-1-RELEASE-raid-422", "■")</f>
        <v>■</v>
      </c>
      <c r="F554" s="1" t="s">
        <v>1871</v>
      </c>
      <c r="G554" s="1">
        <v>133519</v>
      </c>
      <c r="H554" s="1">
        <v>143626</v>
      </c>
      <c r="I554" s="1">
        <v>21</v>
      </c>
      <c r="J554" s="1" t="s">
        <v>44</v>
      </c>
      <c r="K554" s="1" t="s">
        <v>1872</v>
      </c>
      <c r="L554" s="1" t="s">
        <v>1873</v>
      </c>
      <c r="M554" s="1" t="s">
        <v>9158</v>
      </c>
      <c r="N554" s="1" t="s">
        <v>9158</v>
      </c>
      <c r="O554" s="19" t="s">
        <v>2997</v>
      </c>
      <c r="P554" s="1" t="s">
        <v>3483</v>
      </c>
      <c r="Q554" s="1">
        <v>2</v>
      </c>
    </row>
    <row r="555" spans="1:17">
      <c r="A555" s="1">
        <v>62473</v>
      </c>
      <c r="B555" s="1" t="s">
        <v>334</v>
      </c>
      <c r="C555" s="1" t="s">
        <v>203</v>
      </c>
      <c r="D555" s="19" t="s">
        <v>2834</v>
      </c>
      <c r="E555" s="15" t="str">
        <f>HYPERLINK("https://stat100.ameba.jp/tnk47/ratio20/illustrations/card/ill_62473_kokuriko03.jpg?201908-1-RELEASE-raid-422", "■")</f>
        <v>■</v>
      </c>
      <c r="F555" s="1" t="s">
        <v>2835</v>
      </c>
      <c r="G555" s="1">
        <v>104989</v>
      </c>
      <c r="H555" s="1">
        <v>76042</v>
      </c>
      <c r="I555" s="1">
        <v>23</v>
      </c>
      <c r="J555" s="1" t="s">
        <v>401</v>
      </c>
      <c r="K555" s="1" t="s">
        <v>2836</v>
      </c>
      <c r="L555" s="1" t="s">
        <v>2837</v>
      </c>
      <c r="M555" s="1" t="s">
        <v>9158</v>
      </c>
      <c r="N555" s="1" t="s">
        <v>9158</v>
      </c>
      <c r="O555" s="19" t="s">
        <v>2838</v>
      </c>
      <c r="P555" s="1" t="s">
        <v>2839</v>
      </c>
      <c r="Q555" s="1">
        <v>1</v>
      </c>
    </row>
    <row r="556" spans="1:17">
      <c r="A556" s="1">
        <v>78133</v>
      </c>
      <c r="B556" s="1" t="s">
        <v>0</v>
      </c>
      <c r="C556" s="1" t="s">
        <v>154</v>
      </c>
      <c r="D556" s="19" t="s">
        <v>10313</v>
      </c>
      <c r="E556" s="15" t="str">
        <f>HYPERLINK("https://stat100.ameba.jp/tnk47/ratio20/illustrations/card/ill_78133_akazukin03.jpg?201908-1-RELEASE-raid-422", "■")</f>
        <v>■</v>
      </c>
      <c r="F556" s="1" t="s">
        <v>2202</v>
      </c>
      <c r="G556" s="1">
        <v>85010</v>
      </c>
      <c r="H556" s="1">
        <v>117374</v>
      </c>
      <c r="I556" s="1">
        <v>23</v>
      </c>
      <c r="J556" s="1" t="s">
        <v>38</v>
      </c>
      <c r="K556" s="1" t="s">
        <v>2203</v>
      </c>
      <c r="L556" s="1" t="s">
        <v>2204</v>
      </c>
      <c r="M556" s="1" t="s">
        <v>9158</v>
      </c>
      <c r="N556" s="1" t="s">
        <v>9158</v>
      </c>
      <c r="O556" s="19" t="s">
        <v>2917</v>
      </c>
      <c r="P556" s="1" t="s">
        <v>3531</v>
      </c>
      <c r="Q556" s="1">
        <v>1</v>
      </c>
    </row>
    <row r="557" spans="1:17">
      <c r="A557" s="1">
        <v>76783</v>
      </c>
      <c r="B557" s="1" t="s">
        <v>334</v>
      </c>
      <c r="C557" s="1" t="s">
        <v>203</v>
      </c>
      <c r="D557" s="19" t="s">
        <v>10367</v>
      </c>
      <c r="E557" s="15" t="str">
        <f>HYPERLINK("https://stat100.ameba.jp/tnk47/ratio20/illustrations/card/ill_76783_monsutaakashirejina03.jpg?201908-1-RELEASE-raid-422", "■")</f>
        <v>■</v>
      </c>
      <c r="F557" s="1" t="s">
        <v>1192</v>
      </c>
      <c r="G557" s="1">
        <v>72819</v>
      </c>
      <c r="H557" s="1">
        <v>100519</v>
      </c>
      <c r="I557" s="1">
        <v>23</v>
      </c>
      <c r="J557" s="1" t="s">
        <v>10</v>
      </c>
      <c r="K557" s="1" t="s">
        <v>1193</v>
      </c>
      <c r="L557" s="1" t="s">
        <v>1194</v>
      </c>
      <c r="M557" s="1" t="s">
        <v>9158</v>
      </c>
      <c r="N557" s="1" t="s">
        <v>9158</v>
      </c>
      <c r="O557" s="19" t="s">
        <v>2752</v>
      </c>
      <c r="P557" s="1" t="s">
        <v>13123</v>
      </c>
      <c r="Q557" s="1">
        <v>1</v>
      </c>
    </row>
    <row r="559" spans="1:17">
      <c r="A559" s="1" t="s">
        <v>13327</v>
      </c>
    </row>
    <row r="560" spans="1:17">
      <c r="A560" s="1" t="s">
        <v>5951</v>
      </c>
    </row>
    <row r="561" spans="1:18">
      <c r="A561" s="1">
        <v>71873</v>
      </c>
      <c r="B561" s="1" t="s">
        <v>334</v>
      </c>
      <c r="C561" s="1" t="s">
        <v>185</v>
      </c>
      <c r="D561" s="19" t="s">
        <v>10234</v>
      </c>
      <c r="E561" s="15" t="str">
        <f>HYPERLINK("https://stat100.ameba.jp/tnk47/ratio20/illustrations/card/ill_71873_akashita03.jpg?201908-1-RELEASE-raid-422", "■")</f>
        <v>■</v>
      </c>
      <c r="F561" s="6" t="s">
        <v>5952</v>
      </c>
      <c r="G561" s="1">
        <v>120818</v>
      </c>
      <c r="H561" s="1">
        <v>112324</v>
      </c>
      <c r="I561" s="1">
        <v>24</v>
      </c>
      <c r="J561" s="1" t="s">
        <v>182</v>
      </c>
      <c r="K561" s="1" t="s">
        <v>217</v>
      </c>
      <c r="L561" s="1" t="s">
        <v>13140</v>
      </c>
      <c r="M561" s="1" t="s">
        <v>13131</v>
      </c>
      <c r="N561" s="1" t="s">
        <v>251</v>
      </c>
      <c r="O561" s="1" t="s">
        <v>9158</v>
      </c>
      <c r="P561" s="1" t="s">
        <v>9158</v>
      </c>
      <c r="Q561" s="1" t="s">
        <v>9158</v>
      </c>
      <c r="R561" s="14"/>
    </row>
    <row r="562" spans="1:18">
      <c r="A562" s="1">
        <v>71872</v>
      </c>
      <c r="B562" s="1" t="s">
        <v>334</v>
      </c>
      <c r="C562" s="1" t="s">
        <v>185</v>
      </c>
      <c r="D562" s="19" t="s">
        <v>10234</v>
      </c>
      <c r="E562" s="15" t="str">
        <f>HYPERLINK("https://stat100.ameba.jp/tnk47/ratio20/illustrations/card/ill_71872_akashita02.jpg?201908-1-RELEASE-raid-422", "■")</f>
        <v>■</v>
      </c>
      <c r="F562" s="1" t="s">
        <v>5952</v>
      </c>
      <c r="G562" s="1">
        <v>100934</v>
      </c>
      <c r="H562" s="1">
        <v>93028</v>
      </c>
      <c r="I562" s="1">
        <v>24</v>
      </c>
      <c r="J562" s="1" t="s">
        <v>182</v>
      </c>
      <c r="K562" s="1" t="s">
        <v>217</v>
      </c>
      <c r="L562" s="1" t="s">
        <v>13140</v>
      </c>
      <c r="M562" s="1" t="s">
        <v>13131</v>
      </c>
      <c r="N562" s="1" t="s">
        <v>251</v>
      </c>
      <c r="O562" s="1" t="s">
        <v>9158</v>
      </c>
      <c r="P562" s="1" t="s">
        <v>9158</v>
      </c>
      <c r="Q562" s="1" t="s">
        <v>9158</v>
      </c>
      <c r="R562" s="14"/>
    </row>
    <row r="563" spans="1:18">
      <c r="A563" s="1">
        <v>71871</v>
      </c>
      <c r="B563" s="1" t="s">
        <v>334</v>
      </c>
      <c r="C563" s="1" t="s">
        <v>185</v>
      </c>
      <c r="D563" s="19" t="s">
        <v>10234</v>
      </c>
      <c r="E563" s="15" t="str">
        <f>HYPERLINK("https://stat100.ameba.jp/tnk47/ratio20/illustrations/card/ill_71871_akashita01.jpg?201908-1-RELEASE-raid-422", "■")</f>
        <v>■</v>
      </c>
      <c r="F563" s="1" t="s">
        <v>691</v>
      </c>
      <c r="G563" s="1">
        <v>77112</v>
      </c>
      <c r="H563" s="1">
        <v>71784</v>
      </c>
      <c r="I563" s="1">
        <v>24</v>
      </c>
      <c r="J563" s="1" t="s">
        <v>182</v>
      </c>
      <c r="K563" s="1" t="s">
        <v>217</v>
      </c>
      <c r="L563" s="1" t="s">
        <v>13140</v>
      </c>
      <c r="M563" s="1" t="s">
        <v>13131</v>
      </c>
      <c r="N563" s="1" t="s">
        <v>251</v>
      </c>
      <c r="O563" s="1" t="s">
        <v>9158</v>
      </c>
      <c r="P563" s="1" t="s">
        <v>9158</v>
      </c>
      <c r="Q563" s="1" t="s">
        <v>9158</v>
      </c>
      <c r="R563" s="14"/>
    </row>
    <row r="564" spans="1:18">
      <c r="A564" s="1">
        <v>72693</v>
      </c>
      <c r="B564" s="1" t="s">
        <v>334</v>
      </c>
      <c r="C564" s="1" t="s">
        <v>200</v>
      </c>
      <c r="D564" s="19" t="s">
        <v>10235</v>
      </c>
      <c r="E564" s="15" t="str">
        <f>HYPERLINK("https://stat100.ameba.jp/tnk47/ratio20/illustrations/card/ill_72693_sagarasozo03.jpg?201908-1-RELEASE-raid-422", "■")</f>
        <v>■</v>
      </c>
      <c r="F564" s="1" t="s">
        <v>692</v>
      </c>
      <c r="G564" s="1">
        <v>112324</v>
      </c>
      <c r="H564" s="1">
        <v>120818</v>
      </c>
      <c r="I564" s="1">
        <v>24</v>
      </c>
      <c r="J564" s="1" t="s">
        <v>194</v>
      </c>
      <c r="K564" s="1" t="s">
        <v>218</v>
      </c>
      <c r="L564" s="1" t="s">
        <v>9892</v>
      </c>
      <c r="M564" s="1" t="s">
        <v>13131</v>
      </c>
      <c r="N564" s="1" t="s">
        <v>251</v>
      </c>
      <c r="O564" s="1" t="s">
        <v>9158</v>
      </c>
      <c r="P564" s="1" t="s">
        <v>9158</v>
      </c>
      <c r="Q564" s="1" t="s">
        <v>9158</v>
      </c>
    </row>
    <row r="565" spans="1:18">
      <c r="A565" s="1">
        <v>72703</v>
      </c>
      <c r="B565" s="1" t="s">
        <v>334</v>
      </c>
      <c r="C565" s="1" t="s">
        <v>191</v>
      </c>
      <c r="D565" s="19" t="s">
        <v>10236</v>
      </c>
      <c r="E565" s="15" t="str">
        <f>HYPERLINK("https://stat100.ameba.jp/tnk47/ratio20/illustrations/card/ill_72703_hayakawanoritsugu03.jpg?201908-1-RELEASE-raid-422", "■")</f>
        <v>■</v>
      </c>
      <c r="F565" s="1" t="s">
        <v>693</v>
      </c>
      <c r="G565" s="1">
        <v>120818</v>
      </c>
      <c r="H565" s="1">
        <v>112324</v>
      </c>
      <c r="I565" s="1">
        <v>24</v>
      </c>
      <c r="J565" s="1" t="s">
        <v>173</v>
      </c>
      <c r="K565" s="1" t="s">
        <v>219</v>
      </c>
      <c r="L565" s="1" t="s">
        <v>9893</v>
      </c>
      <c r="M565" s="1" t="s">
        <v>13131</v>
      </c>
      <c r="N565" s="1" t="s">
        <v>251</v>
      </c>
      <c r="O565" s="1" t="s">
        <v>9158</v>
      </c>
      <c r="P565" s="1" t="s">
        <v>9158</v>
      </c>
      <c r="Q565" s="1" t="s">
        <v>9158</v>
      </c>
    </row>
    <row r="566" spans="1:18">
      <c r="A566" s="1">
        <v>73523</v>
      </c>
      <c r="B566" s="1" t="s">
        <v>334</v>
      </c>
      <c r="C566" s="1" t="s">
        <v>165</v>
      </c>
      <c r="D566" s="19" t="s">
        <v>10237</v>
      </c>
      <c r="E566" s="15" t="str">
        <f>HYPERLINK("https://stat100.ameba.jp/tnk47/ratio20/illustrations/card/ill_73523_marunomarudono03.jpg?201908-1-RELEASE-raid-422", "■")</f>
        <v>■</v>
      </c>
      <c r="F566" s="1" t="s">
        <v>694</v>
      </c>
      <c r="G566" s="1">
        <v>112324</v>
      </c>
      <c r="H566" s="1">
        <v>120818</v>
      </c>
      <c r="I566" s="1">
        <v>24</v>
      </c>
      <c r="J566" s="1" t="s">
        <v>187</v>
      </c>
      <c r="K566" s="1" t="s">
        <v>220</v>
      </c>
      <c r="L566" s="1" t="s">
        <v>9894</v>
      </c>
      <c r="M566" s="1" t="s">
        <v>13131</v>
      </c>
      <c r="N566" s="1" t="s">
        <v>251</v>
      </c>
      <c r="O566" s="1" t="s">
        <v>9158</v>
      </c>
      <c r="P566" s="1" t="s">
        <v>9158</v>
      </c>
      <c r="Q566" s="1" t="s">
        <v>9158</v>
      </c>
    </row>
    <row r="567" spans="1:18">
      <c r="A567" s="1">
        <v>72713</v>
      </c>
      <c r="B567" s="1" t="s">
        <v>334</v>
      </c>
      <c r="C567" s="1" t="s">
        <v>205</v>
      </c>
      <c r="D567" s="19" t="s">
        <v>10238</v>
      </c>
      <c r="E567" s="15" t="str">
        <f>HYPERLINK("https://stat100.ameba.jp/tnk47/ratio20/illustrations/card/ill_72713_okamuzuminomikoto03.jpg?201908-1-RELEASE-raid-422", "■")</f>
        <v>■</v>
      </c>
      <c r="F567" s="1" t="s">
        <v>695</v>
      </c>
      <c r="G567" s="1">
        <v>112324</v>
      </c>
      <c r="H567" s="1">
        <v>120818</v>
      </c>
      <c r="I567" s="1">
        <v>24</v>
      </c>
      <c r="J567" s="1" t="s">
        <v>169</v>
      </c>
      <c r="K567" s="1" t="s">
        <v>221</v>
      </c>
      <c r="L567" s="1" t="s">
        <v>9895</v>
      </c>
      <c r="M567" s="1" t="s">
        <v>13131</v>
      </c>
      <c r="N567" s="1" t="s">
        <v>251</v>
      </c>
      <c r="O567" s="1" t="s">
        <v>9158</v>
      </c>
      <c r="P567" s="1" t="s">
        <v>9158</v>
      </c>
      <c r="Q567" s="1" t="s">
        <v>9158</v>
      </c>
    </row>
    <row r="568" spans="1:18">
      <c r="A568" s="1">
        <v>73533</v>
      </c>
      <c r="B568" s="1" t="s">
        <v>334</v>
      </c>
      <c r="C568" s="1" t="s">
        <v>206</v>
      </c>
      <c r="D568" s="19" t="s">
        <v>10239</v>
      </c>
      <c r="E568" s="15" t="str">
        <f>HYPERLINK("https://stat100.ameba.jp/tnk47/ratio20/illustrations/card/ill_73533_agubutachan03.jpg?201908-1-RELEASE-raid-422", "■")</f>
        <v>■</v>
      </c>
      <c r="F568" s="1" t="s">
        <v>696</v>
      </c>
      <c r="G568" s="1">
        <v>120818</v>
      </c>
      <c r="H568" s="1">
        <v>112324</v>
      </c>
      <c r="I568" s="1">
        <v>24</v>
      </c>
      <c r="J568" s="1" t="s">
        <v>216</v>
      </c>
      <c r="K568" s="1" t="s">
        <v>697</v>
      </c>
      <c r="L568" s="1" t="s">
        <v>9896</v>
      </c>
      <c r="M568" s="1" t="s">
        <v>13131</v>
      </c>
      <c r="N568" s="1" t="s">
        <v>251</v>
      </c>
      <c r="O568" s="1" t="s">
        <v>9158</v>
      </c>
      <c r="P568" s="1" t="s">
        <v>9158</v>
      </c>
      <c r="Q568" s="1" t="s">
        <v>9158</v>
      </c>
    </row>
    <row r="570" spans="1:18">
      <c r="A570" s="1" t="s">
        <v>5953</v>
      </c>
    </row>
    <row r="571" spans="1:18">
      <c r="A571" s="1" t="s">
        <v>5954</v>
      </c>
    </row>
    <row r="572" spans="1:18">
      <c r="A572" s="1">
        <v>79485</v>
      </c>
      <c r="B572" s="1" t="s">
        <v>5955</v>
      </c>
      <c r="C572" s="1" t="s">
        <v>202</v>
      </c>
      <c r="D572" s="19" t="s">
        <v>10431</v>
      </c>
      <c r="E572" s="15" t="str">
        <f>HYPERLINK("https://stat100.ameba.jp/tnk47/ratio20/illustrations/card/ill_79485_kyabinatendantokurohime05.jpg?201908-1-RELEASE-raid-422x", "■")</f>
        <v>■</v>
      </c>
      <c r="F572" s="1" t="s">
        <v>3508</v>
      </c>
      <c r="G572" s="1">
        <v>89062</v>
      </c>
      <c r="H572" s="1">
        <v>122994</v>
      </c>
      <c r="I572" s="1">
        <v>24</v>
      </c>
      <c r="J572" s="1" t="s">
        <v>5960</v>
      </c>
      <c r="K572" s="1" t="s">
        <v>5961</v>
      </c>
      <c r="L572" s="1" t="s">
        <v>124</v>
      </c>
      <c r="M572" s="1" t="s">
        <v>9158</v>
      </c>
      <c r="N572" s="1" t="s">
        <v>9158</v>
      </c>
      <c r="O572" s="1" t="s">
        <v>9158</v>
      </c>
      <c r="P572" s="1" t="s">
        <v>9158</v>
      </c>
      <c r="Q572" s="1" t="s">
        <v>9158</v>
      </c>
      <c r="R572" s="1" t="s">
        <v>5957</v>
      </c>
    </row>
    <row r="573" spans="1:18">
      <c r="A573" s="1">
        <v>79483</v>
      </c>
      <c r="B573" s="1" t="s">
        <v>5956</v>
      </c>
      <c r="C573" s="1" t="s">
        <v>158</v>
      </c>
      <c r="D573" s="19" t="s">
        <v>10431</v>
      </c>
      <c r="E573" s="15" t="str">
        <f>HYPERLINK("https://stat100.ameba.jp/tnk47/ratio20/illustrations/card/ill_79483_kyabinatendantokurohime03.jpg?201908-1-RELEASE-raid-422x", "■")</f>
        <v>■</v>
      </c>
      <c r="F573" s="1" t="s">
        <v>3508</v>
      </c>
      <c r="G573" s="1">
        <v>65604</v>
      </c>
      <c r="H573" s="1">
        <v>90616</v>
      </c>
      <c r="I573" s="1">
        <v>24</v>
      </c>
      <c r="J573" s="1" t="s">
        <v>5960</v>
      </c>
      <c r="K573" s="1" t="s">
        <v>5961</v>
      </c>
      <c r="L573" s="1" t="s">
        <v>3509</v>
      </c>
      <c r="M573" s="1" t="s">
        <v>9158</v>
      </c>
      <c r="N573" s="1" t="s">
        <v>9158</v>
      </c>
      <c r="O573" s="1" t="s">
        <v>9158</v>
      </c>
      <c r="P573" s="1" t="s">
        <v>9158</v>
      </c>
      <c r="Q573" s="1" t="s">
        <v>9158</v>
      </c>
      <c r="R573" s="1" t="s">
        <v>5958</v>
      </c>
    </row>
    <row r="574" spans="1:18">
      <c r="A574" s="1">
        <v>79481</v>
      </c>
      <c r="B574" s="1" t="s">
        <v>5956</v>
      </c>
      <c r="C574" s="1" t="s">
        <v>158</v>
      </c>
      <c r="D574" s="19" t="s">
        <v>10431</v>
      </c>
      <c r="E574" s="15" t="str">
        <f>HYPERLINK("https://stat100.ameba.jp/tnk47/ratio20/illustrations/card/ill_79481_kyabinatendantokurohime01.jpg?201908-1-RELEASE-raid-422x", "■")</f>
        <v>■</v>
      </c>
      <c r="F574" s="1" t="s">
        <v>3508</v>
      </c>
      <c r="G574" s="1">
        <v>41736</v>
      </c>
      <c r="H574" s="1">
        <v>57648</v>
      </c>
      <c r="I574" s="1">
        <v>24</v>
      </c>
      <c r="J574" s="1" t="s">
        <v>5960</v>
      </c>
      <c r="K574" s="1" t="s">
        <v>5961</v>
      </c>
      <c r="L574" s="1" t="s">
        <v>3510</v>
      </c>
      <c r="M574" s="1" t="s">
        <v>9158</v>
      </c>
      <c r="N574" s="1" t="s">
        <v>9158</v>
      </c>
      <c r="O574" s="1" t="s">
        <v>9158</v>
      </c>
      <c r="P574" s="1" t="s">
        <v>9158</v>
      </c>
      <c r="Q574" s="1" t="s">
        <v>9158</v>
      </c>
      <c r="R574" s="1" t="s">
        <v>5959</v>
      </c>
    </row>
    <row r="575" spans="1:18">
      <c r="A575" s="1">
        <v>78825</v>
      </c>
      <c r="B575" s="1" t="s">
        <v>334</v>
      </c>
      <c r="C575" s="1" t="s">
        <v>202</v>
      </c>
      <c r="D575" s="19" t="s">
        <v>2969</v>
      </c>
      <c r="E575" s="15" t="str">
        <f>HYPERLINK("https://stat100.ameba.jp/tnk47/ratio20/illustrations/card/ill_78825_waishatsuononokomachi05.jpg?201908-1-RELEASE-raid-422x", "■")</f>
        <v>■</v>
      </c>
      <c r="F575" s="1" t="s">
        <v>2970</v>
      </c>
      <c r="G575" s="1">
        <v>112832</v>
      </c>
      <c r="H575" s="1">
        <v>81692</v>
      </c>
      <c r="I575" s="1">
        <v>24</v>
      </c>
      <c r="J575" s="1" t="s">
        <v>351</v>
      </c>
      <c r="K575" s="1" t="s">
        <v>2971</v>
      </c>
      <c r="L575" s="1" t="s">
        <v>2972</v>
      </c>
      <c r="M575" s="1" t="s">
        <v>9158</v>
      </c>
      <c r="N575" s="1" t="s">
        <v>9158</v>
      </c>
      <c r="O575" s="1" t="s">
        <v>9158</v>
      </c>
      <c r="P575" s="1" t="s">
        <v>9158</v>
      </c>
      <c r="Q575" s="1" t="s">
        <v>9158</v>
      </c>
      <c r="R575" s="1" t="s">
        <v>5957</v>
      </c>
    </row>
    <row r="576" spans="1:18">
      <c r="A576" s="1">
        <v>78823</v>
      </c>
      <c r="B576" s="1" t="s">
        <v>348</v>
      </c>
      <c r="C576" s="1" t="s">
        <v>209</v>
      </c>
      <c r="D576" s="19" t="s">
        <v>2969</v>
      </c>
      <c r="E576" s="15" t="str">
        <f>HYPERLINK("https://stat100.ameba.jp/tnk47/ratio20/illustrations/card/ill_78823_waishatsuononokomachi03.jpg?201908-1-RELEASE-raid-422x", "■")</f>
        <v>■</v>
      </c>
      <c r="F576" s="1" t="s">
        <v>2970</v>
      </c>
      <c r="G576" s="1">
        <v>83124</v>
      </c>
      <c r="H576" s="1">
        <v>60186</v>
      </c>
      <c r="I576" s="1">
        <v>24</v>
      </c>
      <c r="J576" s="1" t="s">
        <v>351</v>
      </c>
      <c r="K576" s="1" t="s">
        <v>2971</v>
      </c>
      <c r="L576" s="1" t="s">
        <v>2973</v>
      </c>
      <c r="M576" s="1" t="s">
        <v>9158</v>
      </c>
      <c r="N576" s="1" t="s">
        <v>9158</v>
      </c>
      <c r="O576" s="1" t="s">
        <v>9158</v>
      </c>
      <c r="P576" s="1" t="s">
        <v>9158</v>
      </c>
      <c r="Q576" s="1" t="s">
        <v>9158</v>
      </c>
      <c r="R576" s="1" t="s">
        <v>5958</v>
      </c>
    </row>
    <row r="577" spans="1:18">
      <c r="A577" s="1">
        <v>78821</v>
      </c>
      <c r="B577" s="1" t="s">
        <v>348</v>
      </c>
      <c r="C577" s="1" t="s">
        <v>209</v>
      </c>
      <c r="D577" s="19" t="s">
        <v>2969</v>
      </c>
      <c r="E577" s="15" t="str">
        <f>HYPERLINK("https://stat100.ameba.jp/tnk47/ratio20/illustrations/card/ill_78821_waishatsuononokomachi01.jpg?201908-1-RELEASE-raid-422x", "■")</f>
        <v>■</v>
      </c>
      <c r="F577" s="1" t="s">
        <v>2970</v>
      </c>
      <c r="G577" s="1">
        <v>52872</v>
      </c>
      <c r="H577" s="1">
        <v>38280</v>
      </c>
      <c r="I577" s="1">
        <v>24</v>
      </c>
      <c r="J577" s="1" t="s">
        <v>351</v>
      </c>
      <c r="K577" s="1" t="s">
        <v>2971</v>
      </c>
      <c r="L577" s="1" t="s">
        <v>2974</v>
      </c>
      <c r="M577" s="1" t="s">
        <v>9158</v>
      </c>
      <c r="N577" s="1" t="s">
        <v>9158</v>
      </c>
      <c r="O577" s="1" t="s">
        <v>9158</v>
      </c>
      <c r="P577" s="1" t="s">
        <v>9158</v>
      </c>
      <c r="Q577" s="1" t="s">
        <v>9158</v>
      </c>
      <c r="R577" s="1" t="s">
        <v>5959</v>
      </c>
    </row>
    <row r="578" spans="1:18">
      <c r="A578" s="1">
        <v>71265</v>
      </c>
      <c r="B578" s="1" t="s">
        <v>0</v>
      </c>
      <c r="C578" s="1" t="s">
        <v>202</v>
      </c>
      <c r="D578" s="19" t="s">
        <v>10432</v>
      </c>
      <c r="E578" s="15" t="str">
        <f>HYPERLINK("https://stat100.ameba.jp/tnk47/ratio20/illustrations/card/ill_71265_kisoyoshinaka05.jpg?201908-1-RELEASE-raid-422x", "■")</f>
        <v>■</v>
      </c>
      <c r="F578" s="1" t="s">
        <v>3645</v>
      </c>
      <c r="G578" s="1">
        <v>180306</v>
      </c>
      <c r="H578" s="1">
        <v>130562</v>
      </c>
      <c r="I578" s="1">
        <v>24</v>
      </c>
      <c r="J578" s="1" t="s">
        <v>143</v>
      </c>
      <c r="K578" s="1" t="s">
        <v>3646</v>
      </c>
      <c r="L578" s="1" t="s">
        <v>145</v>
      </c>
      <c r="M578" s="1" t="s">
        <v>9158</v>
      </c>
      <c r="N578" s="1" t="s">
        <v>9158</v>
      </c>
      <c r="O578" s="1" t="s">
        <v>9158</v>
      </c>
      <c r="P578" s="1" t="s">
        <v>9158</v>
      </c>
      <c r="Q578" s="1" t="s">
        <v>9158</v>
      </c>
      <c r="R578" s="1" t="s">
        <v>5957</v>
      </c>
    </row>
    <row r="579" spans="1:18">
      <c r="A579" s="1">
        <v>71263</v>
      </c>
      <c r="B579" s="1" t="s">
        <v>15</v>
      </c>
      <c r="C579" s="1" t="s">
        <v>209</v>
      </c>
      <c r="D579" s="19" t="s">
        <v>10432</v>
      </c>
      <c r="E579" s="15" t="str">
        <f>HYPERLINK("https://stat100.ameba.jp/tnk47/ratio20/illustrations/card/ill_71263_kisoyoshinaka03.jpg?201908-1-RELEASE-raid-422x", "■")</f>
        <v>■</v>
      </c>
      <c r="F579" s="1" t="s">
        <v>3645</v>
      </c>
      <c r="G579" s="1">
        <v>132850</v>
      </c>
      <c r="H579" s="1">
        <v>96200</v>
      </c>
      <c r="I579" s="1">
        <v>24</v>
      </c>
      <c r="J579" s="1" t="s">
        <v>143</v>
      </c>
      <c r="K579" s="1" t="s">
        <v>3646</v>
      </c>
      <c r="L579" s="1" t="s">
        <v>3647</v>
      </c>
      <c r="M579" s="1" t="s">
        <v>9158</v>
      </c>
      <c r="N579" s="1" t="s">
        <v>9158</v>
      </c>
      <c r="O579" s="1" t="s">
        <v>9158</v>
      </c>
      <c r="P579" s="1" t="s">
        <v>9158</v>
      </c>
      <c r="Q579" s="1" t="s">
        <v>9158</v>
      </c>
      <c r="R579" s="1" t="s">
        <v>5958</v>
      </c>
    </row>
    <row r="580" spans="1:18">
      <c r="A580" s="1">
        <v>71261</v>
      </c>
      <c r="B580" s="1" t="s">
        <v>15</v>
      </c>
      <c r="C580" s="1" t="s">
        <v>209</v>
      </c>
      <c r="D580" s="19" t="s">
        <v>10432</v>
      </c>
      <c r="E580" s="15" t="str">
        <f>HYPERLINK("https://stat100.ameba.jp/tnk47/ratio20/illustrations/card/ill_71261_kisoyoshinaka01.jpg?201908-1-RELEASE-raid-422x", "■")</f>
        <v>■</v>
      </c>
      <c r="F580" s="1" t="s">
        <v>3645</v>
      </c>
      <c r="G580" s="1">
        <v>84504</v>
      </c>
      <c r="H580" s="1">
        <v>61200</v>
      </c>
      <c r="I580" s="1">
        <v>24</v>
      </c>
      <c r="J580" s="1" t="s">
        <v>143</v>
      </c>
      <c r="K580" s="1" t="s">
        <v>3646</v>
      </c>
      <c r="L580" s="1" t="s">
        <v>3648</v>
      </c>
      <c r="M580" s="1" t="s">
        <v>9158</v>
      </c>
      <c r="N580" s="1" t="s">
        <v>9158</v>
      </c>
      <c r="O580" s="1" t="s">
        <v>9158</v>
      </c>
      <c r="P580" s="1" t="s">
        <v>9158</v>
      </c>
      <c r="Q580" s="1" t="s">
        <v>9158</v>
      </c>
      <c r="R580" s="1" t="s">
        <v>5959</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9A79-E904-4DAF-BC83-6AAF17563B4E}">
  <dimension ref="A1:S622"/>
  <sheetViews>
    <sheetView zoomScale="55" zoomScaleNormal="55" workbookViewId="0">
      <pane ySplit="1" topLeftCell="A423" activePane="bottomLeft" state="frozen"/>
      <selection activeCell="A485" sqref="A485:Q485"/>
      <selection pane="bottomLeft" activeCell="D78" sqref="D78"/>
    </sheetView>
  </sheetViews>
  <sheetFormatPr defaultColWidth="8.9140625" defaultRowHeight="18"/>
  <cols>
    <col min="1" max="1" width="6.4140625" style="1" customWidth="1"/>
    <col min="2" max="2" width="3.9140625" style="1" customWidth="1"/>
    <col min="3" max="3" width="8.75" style="1" customWidth="1"/>
    <col min="4" max="4" width="25.75" style="1" customWidth="1"/>
    <col min="5" max="5" width="3.9140625" style="14" customWidth="1"/>
    <col min="6" max="6" width="8.9140625" style="1"/>
    <col min="7" max="8" width="7.08203125" style="1" customWidth="1"/>
    <col min="9" max="9" width="3.75" style="1" customWidth="1"/>
    <col min="10" max="10" width="5.4140625" style="1" customWidth="1"/>
    <col min="11" max="11" width="8.9140625" style="1"/>
    <col min="12" max="12" width="50.75" style="1" customWidth="1"/>
    <col min="13" max="16" width="8.9140625" style="1"/>
    <col min="17" max="17" width="3.9140625" style="1" customWidth="1"/>
    <col min="18" max="19" width="14.33203125" style="1" customWidth="1"/>
    <col min="20" max="16384" width="8.9140625" style="1"/>
  </cols>
  <sheetData>
    <row r="1" spans="1:19">
      <c r="A1" s="4" t="s">
        <v>5600</v>
      </c>
      <c r="B1" s="4"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6016</v>
      </c>
    </row>
    <row r="4" spans="1:19">
      <c r="A4" s="1" t="s">
        <v>5962</v>
      </c>
    </row>
    <row r="5" spans="1:19">
      <c r="A5" s="1" t="s">
        <v>7660</v>
      </c>
    </row>
    <row r="6" spans="1:19">
      <c r="A6" s="1" t="s">
        <v>5963</v>
      </c>
      <c r="B6" s="1" t="s">
        <v>330</v>
      </c>
      <c r="C6" s="1" t="s">
        <v>35</v>
      </c>
      <c r="D6" s="19" t="s">
        <v>10438</v>
      </c>
      <c r="E6" s="15" t="str">
        <f>HYPERLINK("https://stat100.ameba.jp/tnk47/ratio20/illustrations/card/ill_82963_0_yukatamatsuritomokazuki03.jpg?201908-1-RELEASE-raid-422x", "■")</f>
        <v>■</v>
      </c>
      <c r="F6" s="1" t="s">
        <v>5964</v>
      </c>
      <c r="G6" s="1">
        <v>333538</v>
      </c>
      <c r="H6" s="1">
        <v>369052</v>
      </c>
      <c r="I6" s="1">
        <v>28</v>
      </c>
      <c r="J6" s="1" t="s">
        <v>5965</v>
      </c>
      <c r="K6" s="1" t="s">
        <v>5966</v>
      </c>
      <c r="L6" s="1" t="s">
        <v>5967</v>
      </c>
      <c r="M6" s="1" t="s">
        <v>9158</v>
      </c>
      <c r="N6" s="1" t="s">
        <v>9158</v>
      </c>
      <c r="O6" s="19" t="s">
        <v>10115</v>
      </c>
      <c r="P6" s="1" t="s">
        <v>5968</v>
      </c>
      <c r="Q6" s="1">
        <v>1</v>
      </c>
    </row>
    <row r="7" spans="1:19">
      <c r="A7" s="1">
        <v>82903</v>
      </c>
      <c r="B7" s="1" t="s">
        <v>334</v>
      </c>
      <c r="C7" s="1" t="s">
        <v>5969</v>
      </c>
      <c r="D7" s="19" t="s">
        <v>10439</v>
      </c>
      <c r="E7" s="15" t="str">
        <f>HYPERLINK("https://stat100.ameba.jp/tnk47/ratio20/illustrations/card/ill_82903_yukatamatsurisonobehideo03.jpg?201908-1-RELEASE-raid-422x", "■")</f>
        <v>■</v>
      </c>
      <c r="F7" s="1" t="s">
        <v>5970</v>
      </c>
      <c r="G7" s="1">
        <v>93746</v>
      </c>
      <c r="H7" s="1">
        <v>87128</v>
      </c>
      <c r="I7" s="1">
        <v>24</v>
      </c>
      <c r="J7" s="1" t="s">
        <v>5971</v>
      </c>
      <c r="K7" s="1" t="s">
        <v>5972</v>
      </c>
      <c r="L7" s="1" t="s">
        <v>5973</v>
      </c>
      <c r="M7" s="1" t="s">
        <v>9158</v>
      </c>
      <c r="N7" s="1" t="s">
        <v>9158</v>
      </c>
      <c r="O7" s="19" t="s">
        <v>10102</v>
      </c>
      <c r="P7" s="1" t="s">
        <v>3672</v>
      </c>
      <c r="Q7" s="1">
        <v>1</v>
      </c>
    </row>
    <row r="8" spans="1:19">
      <c r="A8" s="1">
        <v>82913</v>
      </c>
      <c r="B8" s="1" t="s">
        <v>334</v>
      </c>
      <c r="C8" s="1" t="s">
        <v>5974</v>
      </c>
      <c r="D8" s="19" t="s">
        <v>10440</v>
      </c>
      <c r="E8" s="15" t="str">
        <f>HYPERLINK("https://stat100.ameba.jp/tnk47/ratio20/illustrations/card/ill_82913_yukatamatsurikujotakeko03.jpg?201908-1-RELEASE-raid-422x", "■")</f>
        <v>■</v>
      </c>
      <c r="F8" s="1" t="s">
        <v>5975</v>
      </c>
      <c r="G8" s="1">
        <v>90522</v>
      </c>
      <c r="H8" s="1">
        <v>97318</v>
      </c>
      <c r="I8" s="1">
        <v>24</v>
      </c>
      <c r="J8" s="1" t="s">
        <v>5976</v>
      </c>
      <c r="K8" s="1" t="s">
        <v>5978</v>
      </c>
      <c r="L8" s="1" t="s">
        <v>5977</v>
      </c>
      <c r="M8" s="1" t="s">
        <v>2138</v>
      </c>
      <c r="N8" s="1" t="s">
        <v>2139</v>
      </c>
      <c r="O8" s="1" t="s">
        <v>9158</v>
      </c>
      <c r="P8" s="1" t="s">
        <v>9158</v>
      </c>
      <c r="Q8" s="1" t="s">
        <v>9158</v>
      </c>
      <c r="R8" s="1" t="s">
        <v>13120</v>
      </c>
    </row>
    <row r="9" spans="1:19">
      <c r="A9" s="1">
        <v>82923</v>
      </c>
      <c r="B9" s="1" t="s">
        <v>334</v>
      </c>
      <c r="C9" s="1" t="s">
        <v>5979</v>
      </c>
      <c r="D9" s="19" t="s">
        <v>10441</v>
      </c>
      <c r="E9" s="15" t="str">
        <f>HYPERLINK("https://stat100.ameba.jp/tnk47/ratio20/illustrations/card/ill_82923_yukatamatsurimunakatasanjojin03.jpg?201908-1-RELEASE-raid-422x", "■")</f>
        <v>■</v>
      </c>
      <c r="F9" s="1" t="s">
        <v>5981</v>
      </c>
      <c r="G9" s="1">
        <v>97894</v>
      </c>
      <c r="H9" s="1">
        <v>91010</v>
      </c>
      <c r="I9" s="1">
        <v>24</v>
      </c>
      <c r="J9" s="1" t="s">
        <v>5980</v>
      </c>
      <c r="K9" s="1" t="s">
        <v>5983</v>
      </c>
      <c r="L9" s="1" t="s">
        <v>5982</v>
      </c>
      <c r="M9" s="1" t="s">
        <v>2138</v>
      </c>
      <c r="N9" s="1" t="s">
        <v>2139</v>
      </c>
      <c r="O9" s="1" t="s">
        <v>9158</v>
      </c>
      <c r="P9" s="1" t="s">
        <v>9158</v>
      </c>
      <c r="Q9" s="1" t="s">
        <v>9158</v>
      </c>
      <c r="R9" s="1" t="s">
        <v>13120</v>
      </c>
    </row>
    <row r="10" spans="1:19">
      <c r="A10" s="1">
        <v>82933</v>
      </c>
      <c r="B10" s="1" t="s">
        <v>348</v>
      </c>
      <c r="C10" s="1" t="s">
        <v>5984</v>
      </c>
      <c r="D10" s="19" t="s">
        <v>10442</v>
      </c>
      <c r="E10" s="15" t="str">
        <f>HYPERLINK("https://stat100.ameba.jp/tnk47/ratio20/illustrations/card/ill_82933_natsumatsurikaihime03.jpg?201908-1-RELEASE-raid-422x", "■")</f>
        <v>■</v>
      </c>
      <c r="F10" s="1" t="s">
        <v>5986</v>
      </c>
      <c r="G10" s="1">
        <v>68172</v>
      </c>
      <c r="H10" s="1">
        <v>61832</v>
      </c>
      <c r="I10" s="1">
        <v>23</v>
      </c>
      <c r="J10" s="1" t="s">
        <v>5985</v>
      </c>
      <c r="K10" s="1" t="s">
        <v>5988</v>
      </c>
      <c r="L10" s="1" t="s">
        <v>5987</v>
      </c>
      <c r="M10" s="1" t="s">
        <v>9158</v>
      </c>
      <c r="N10" s="1" t="s">
        <v>9158</v>
      </c>
      <c r="O10" s="1" t="s">
        <v>9158</v>
      </c>
      <c r="P10" s="1" t="s">
        <v>9158</v>
      </c>
      <c r="Q10" s="1" t="s">
        <v>9158</v>
      </c>
    </row>
    <row r="11" spans="1:19">
      <c r="A11" s="1">
        <v>82943</v>
      </c>
      <c r="B11" s="1" t="s">
        <v>348</v>
      </c>
      <c r="C11" s="1" t="s">
        <v>5989</v>
      </c>
      <c r="D11" s="19" t="s">
        <v>10443</v>
      </c>
      <c r="E11" s="15" t="str">
        <f>HYPERLINK("https://stat100.ameba.jp/tnk47/ratio20/illustrations/card/ill_82943_natsumatsurikamomiruchan03.jpg?201908-1-RELEASE-raid-422x", "■")</f>
        <v>■</v>
      </c>
      <c r="F11" s="1" t="s">
        <v>5991</v>
      </c>
      <c r="G11" s="1">
        <v>61832</v>
      </c>
      <c r="H11" s="1">
        <v>68172</v>
      </c>
      <c r="I11" s="1">
        <v>23</v>
      </c>
      <c r="J11" s="1" t="s">
        <v>5990</v>
      </c>
      <c r="K11" s="1" t="s">
        <v>5992</v>
      </c>
      <c r="L11" s="1" t="s">
        <v>5993</v>
      </c>
      <c r="M11" s="1" t="s">
        <v>9158</v>
      </c>
      <c r="N11" s="1" t="s">
        <v>9158</v>
      </c>
      <c r="O11" s="1" t="s">
        <v>9158</v>
      </c>
      <c r="P11" s="1" t="s">
        <v>9158</v>
      </c>
      <c r="Q11" s="1" t="s">
        <v>9158</v>
      </c>
    </row>
    <row r="12" spans="1:19">
      <c r="A12" s="1">
        <v>82953</v>
      </c>
      <c r="B12" s="1" t="s">
        <v>348</v>
      </c>
      <c r="C12" s="1" t="s">
        <v>5994</v>
      </c>
      <c r="D12" s="19" t="s">
        <v>10444</v>
      </c>
      <c r="E12" s="15" t="str">
        <f>HYPERLINK("https://stat100.ameba.jp/tnk47/ratio20/illustrations/card/ill_82953_yukatatamayanotsubaki03.jpg?201908-1-RELEASE-raid-422x", "■")</f>
        <v>■</v>
      </c>
      <c r="F12" s="1" t="s">
        <v>5996</v>
      </c>
      <c r="G12" s="1">
        <v>68172</v>
      </c>
      <c r="H12" s="1">
        <v>61832</v>
      </c>
      <c r="I12" s="1">
        <v>23</v>
      </c>
      <c r="J12" s="1" t="s">
        <v>5995</v>
      </c>
      <c r="K12" s="1" t="s">
        <v>5998</v>
      </c>
      <c r="L12" s="1" t="s">
        <v>5997</v>
      </c>
      <c r="M12" s="1" t="s">
        <v>9158</v>
      </c>
      <c r="N12" s="1" t="s">
        <v>9158</v>
      </c>
      <c r="O12" s="1" t="s">
        <v>9158</v>
      </c>
      <c r="P12" s="1" t="s">
        <v>9158</v>
      </c>
      <c r="Q12" s="1" t="s">
        <v>9158</v>
      </c>
    </row>
    <row r="13" spans="1:19">
      <c r="A13" s="1">
        <v>82973</v>
      </c>
      <c r="B13" s="1" t="s">
        <v>362</v>
      </c>
      <c r="C13" s="1" t="s">
        <v>5999</v>
      </c>
      <c r="D13" s="19" t="s">
        <v>10445</v>
      </c>
      <c r="E13" s="15" t="str">
        <f>HYPERLINK("https://stat100.ameba.jp/tnk47/ratio20/illustrations/card/ill_82973_matsuriokojo03.jpg?201908-1-RELEASE-raid-422x", "■")</f>
        <v>■</v>
      </c>
      <c r="F13" s="1" t="s">
        <v>6001</v>
      </c>
      <c r="G13" s="1">
        <v>39762</v>
      </c>
      <c r="H13" s="1">
        <v>47820</v>
      </c>
      <c r="I13" s="1">
        <v>23</v>
      </c>
      <c r="J13" s="1" t="s">
        <v>6000</v>
      </c>
      <c r="K13" s="1" t="s">
        <v>6003</v>
      </c>
      <c r="L13" s="1" t="s">
        <v>6002</v>
      </c>
      <c r="M13" s="1" t="s">
        <v>9158</v>
      </c>
      <c r="N13" s="1" t="s">
        <v>9158</v>
      </c>
      <c r="O13" s="1" t="s">
        <v>9158</v>
      </c>
      <c r="P13" s="1" t="s">
        <v>9158</v>
      </c>
      <c r="Q13" s="1" t="s">
        <v>9158</v>
      </c>
    </row>
    <row r="14" spans="1:19">
      <c r="A14" s="1">
        <v>82983</v>
      </c>
      <c r="B14" s="1" t="s">
        <v>362</v>
      </c>
      <c r="C14" s="1" t="s">
        <v>5969</v>
      </c>
      <c r="D14" s="19" t="s">
        <v>10446</v>
      </c>
      <c r="E14" s="15" t="str">
        <f>HYPERLINK("https://stat100.ameba.jp/tnk47/ratio20/illustrations/card/ill_82983_natsumatsuriryokusogame03.jpg?201908-1-RELEASE-raid-422x", "■")</f>
        <v>■</v>
      </c>
      <c r="F14" s="1" t="s">
        <v>6004</v>
      </c>
      <c r="G14" s="1">
        <v>47820</v>
      </c>
      <c r="H14" s="1">
        <v>39762</v>
      </c>
      <c r="I14" s="1">
        <v>23</v>
      </c>
      <c r="J14" s="1" t="s">
        <v>5980</v>
      </c>
      <c r="K14" s="1" t="s">
        <v>6006</v>
      </c>
      <c r="L14" s="1" t="s">
        <v>6005</v>
      </c>
      <c r="M14" s="1" t="s">
        <v>9158</v>
      </c>
      <c r="N14" s="1" t="s">
        <v>9158</v>
      </c>
      <c r="O14" s="1" t="s">
        <v>9158</v>
      </c>
      <c r="P14" s="1" t="s">
        <v>9158</v>
      </c>
      <c r="Q14" s="1" t="s">
        <v>9158</v>
      </c>
    </row>
    <row r="15" spans="1:19">
      <c r="A15" s="1">
        <v>82993</v>
      </c>
      <c r="B15" s="1" t="s">
        <v>372</v>
      </c>
      <c r="C15" s="1" t="s">
        <v>6010</v>
      </c>
      <c r="D15" s="19" t="s">
        <v>10447</v>
      </c>
      <c r="E15" s="15" t="str">
        <f>HYPERLINK("https://stat100.ameba.jp/tnk47/ratio20/illustrations/card/ill_82993_natsumatsuritanegashimashigetoki03.jpg?201908-1-RELEASE-raid-422x", "■")</f>
        <v>■</v>
      </c>
      <c r="F15" s="1" t="s">
        <v>6011</v>
      </c>
      <c r="G15" s="1">
        <v>24314</v>
      </c>
      <c r="H15" s="1">
        <v>28952</v>
      </c>
      <c r="I15" s="1">
        <v>23</v>
      </c>
      <c r="J15" s="1" t="s">
        <v>6012</v>
      </c>
      <c r="K15" s="1" t="s">
        <v>6013</v>
      </c>
      <c r="L15" s="1" t="s">
        <v>6014</v>
      </c>
      <c r="M15" s="1" t="s">
        <v>9158</v>
      </c>
      <c r="N15" s="1" t="s">
        <v>9158</v>
      </c>
      <c r="O15" s="1" t="s">
        <v>9158</v>
      </c>
      <c r="P15" s="1" t="s">
        <v>9158</v>
      </c>
      <c r="Q15" s="1" t="s">
        <v>9158</v>
      </c>
    </row>
    <row r="16" spans="1:19">
      <c r="A16" s="1">
        <v>83003</v>
      </c>
      <c r="B16" s="1" t="s">
        <v>372</v>
      </c>
      <c r="C16" s="1" t="s">
        <v>6007</v>
      </c>
      <c r="D16" s="19" t="s">
        <v>10448</v>
      </c>
      <c r="E16" s="15" t="str">
        <f>HYPERLINK("https://stat100.ameba.jp/tnk47/ratio20/illustrations/card/ill_83003_natsumatsurisarubobo03.jpg?201908-1-RELEASE-raid-422x", "■")</f>
        <v>■</v>
      </c>
      <c r="F16" s="1" t="s">
        <v>6008</v>
      </c>
      <c r="G16" s="1">
        <v>28952</v>
      </c>
      <c r="H16" s="1">
        <v>24314</v>
      </c>
      <c r="I16" s="1">
        <v>23</v>
      </c>
      <c r="J16" s="1" t="s">
        <v>6000</v>
      </c>
      <c r="K16" s="1" t="s">
        <v>6009</v>
      </c>
      <c r="L16" s="1" t="s">
        <v>6015</v>
      </c>
      <c r="M16" s="1" t="s">
        <v>9158</v>
      </c>
      <c r="N16" s="1" t="s">
        <v>9158</v>
      </c>
      <c r="O16" s="1" t="s">
        <v>9158</v>
      </c>
      <c r="P16" s="1" t="s">
        <v>9158</v>
      </c>
      <c r="Q16" s="1" t="s">
        <v>9158</v>
      </c>
    </row>
    <row r="18" spans="1:18">
      <c r="A18" s="1" t="s">
        <v>13359</v>
      </c>
    </row>
    <row r="19" spans="1:18">
      <c r="A19" s="1" t="s">
        <v>6017</v>
      </c>
    </row>
    <row r="20" spans="1:18">
      <c r="A20" s="1">
        <v>83055</v>
      </c>
      <c r="B20" s="1" t="s">
        <v>0</v>
      </c>
      <c r="C20" s="1" t="s">
        <v>202</v>
      </c>
      <c r="D20" s="19" t="s">
        <v>10449</v>
      </c>
      <c r="E20" s="15" t="str">
        <f>HYPERLINK("https://stat100.ameba.jp/tnk47/ratio20/illustrations/card/ill_83055_kyofunobyotohakutsuru05.jpg?201908-1-RELEASE-raid-422x", "■")</f>
        <v>■</v>
      </c>
      <c r="F20" s="1" t="s">
        <v>6018</v>
      </c>
      <c r="G20" s="1">
        <v>115364</v>
      </c>
      <c r="H20" s="1">
        <v>83544</v>
      </c>
      <c r="I20" s="1">
        <v>23</v>
      </c>
      <c r="J20" s="1" t="s">
        <v>6019</v>
      </c>
      <c r="K20" s="1" t="s">
        <v>6021</v>
      </c>
      <c r="L20" s="1" t="s">
        <v>6020</v>
      </c>
      <c r="M20" s="1" t="s">
        <v>9158</v>
      </c>
      <c r="N20" s="1" t="s">
        <v>9158</v>
      </c>
      <c r="O20" s="1" t="s">
        <v>9158</v>
      </c>
      <c r="P20" s="1" t="s">
        <v>9158</v>
      </c>
      <c r="Q20" s="1" t="s">
        <v>9158</v>
      </c>
      <c r="R20" s="1" t="s">
        <v>174</v>
      </c>
    </row>
    <row r="21" spans="1:18">
      <c r="A21" s="1">
        <v>83053</v>
      </c>
      <c r="B21" s="1" t="s">
        <v>15</v>
      </c>
      <c r="C21" s="1" t="s">
        <v>6022</v>
      </c>
      <c r="D21" s="19" t="s">
        <v>10449</v>
      </c>
      <c r="E21" s="15" t="str">
        <f>HYPERLINK("https://stat100.ameba.jp/tnk47/ratio20/illustrations/card/ill_83053_kyofunobyotohakutsuru03.jpg?201908-1-RELEASE-raid-422x", "■")</f>
        <v>■</v>
      </c>
      <c r="F21" s="1" t="s">
        <v>6018</v>
      </c>
      <c r="G21" s="1">
        <v>85013</v>
      </c>
      <c r="H21" s="1">
        <v>61545</v>
      </c>
      <c r="I21" s="1">
        <v>23</v>
      </c>
      <c r="J21" s="1" t="s">
        <v>6019</v>
      </c>
      <c r="K21" s="1" t="s">
        <v>6021</v>
      </c>
      <c r="L21" s="1" t="s">
        <v>6024</v>
      </c>
      <c r="M21" s="1" t="s">
        <v>9158</v>
      </c>
      <c r="N21" s="1" t="s">
        <v>9158</v>
      </c>
      <c r="O21" s="1" t="s">
        <v>9158</v>
      </c>
      <c r="P21" s="1" t="s">
        <v>9158</v>
      </c>
      <c r="Q21" s="1" t="s">
        <v>9158</v>
      </c>
      <c r="R21" s="1" t="s">
        <v>175</v>
      </c>
    </row>
    <row r="22" spans="1:18">
      <c r="A22" s="1">
        <v>83051</v>
      </c>
      <c r="B22" s="1" t="s">
        <v>15</v>
      </c>
      <c r="C22" s="1" t="s">
        <v>6022</v>
      </c>
      <c r="D22" s="19" t="s">
        <v>10449</v>
      </c>
      <c r="E22" s="15" t="str">
        <f>HYPERLINK("https://stat100.ameba.jp/tnk47/ratio20/illustrations/card/ill_83051_kyofunobyotohakutsuru01.jpg?201908-1-RELEASE-raid-422x", "■")</f>
        <v>■</v>
      </c>
      <c r="F22" s="1" t="s">
        <v>6018</v>
      </c>
      <c r="G22" s="1">
        <v>54073</v>
      </c>
      <c r="H22" s="1">
        <v>39146</v>
      </c>
      <c r="I22" s="1">
        <v>23</v>
      </c>
      <c r="J22" s="1" t="s">
        <v>6019</v>
      </c>
      <c r="K22" s="1" t="s">
        <v>6021</v>
      </c>
      <c r="L22" s="1" t="s">
        <v>6023</v>
      </c>
      <c r="M22" s="1" t="s">
        <v>9158</v>
      </c>
      <c r="N22" s="1" t="s">
        <v>9158</v>
      </c>
      <c r="O22" s="1" t="s">
        <v>9158</v>
      </c>
      <c r="P22" s="1" t="s">
        <v>9158</v>
      </c>
      <c r="Q22" s="1" t="s">
        <v>9158</v>
      </c>
      <c r="R22" s="1" t="s">
        <v>176</v>
      </c>
    </row>
    <row r="24" spans="1:18">
      <c r="A24" s="1" t="s">
        <v>6025</v>
      </c>
    </row>
    <row r="25" spans="1:18">
      <c r="A25" s="1" t="s">
        <v>6026</v>
      </c>
    </row>
    <row r="26" spans="1:18">
      <c r="A26" s="1" t="s">
        <v>6027</v>
      </c>
      <c r="B26" s="1" t="s">
        <v>52</v>
      </c>
      <c r="C26" s="1" t="s">
        <v>14</v>
      </c>
      <c r="D26" s="19" t="s">
        <v>813</v>
      </c>
      <c r="E26" s="15" t="str">
        <f>HYPERLINK("https://stat100.ameba.jp/tnk47/ratio20/illustrations/card/ill_55313_0_haroinononokomachi03.jpg?201908-1-RELEASE-raid-422x", "■")</f>
        <v>■</v>
      </c>
      <c r="F26" s="1" t="s">
        <v>2094</v>
      </c>
      <c r="G26" s="1">
        <v>94236</v>
      </c>
      <c r="H26" s="1">
        <v>83712</v>
      </c>
      <c r="I26" s="1">
        <v>15</v>
      </c>
      <c r="J26" s="1" t="s">
        <v>10</v>
      </c>
      <c r="K26" s="1" t="s">
        <v>2095</v>
      </c>
      <c r="L26" s="1" t="s">
        <v>2096</v>
      </c>
      <c r="M26" s="1" t="s">
        <v>9158</v>
      </c>
      <c r="N26" s="1" t="s">
        <v>9158</v>
      </c>
      <c r="O26" s="19" t="s">
        <v>2733</v>
      </c>
      <c r="P26" s="1" t="s">
        <v>2734</v>
      </c>
      <c r="Q26" s="1">
        <v>1</v>
      </c>
    </row>
    <row r="27" spans="1:18">
      <c r="A27" s="1" t="s">
        <v>5603</v>
      </c>
      <c r="B27" s="1" t="s">
        <v>330</v>
      </c>
      <c r="C27" s="1" t="s">
        <v>205</v>
      </c>
      <c r="D27" s="19" t="s">
        <v>611</v>
      </c>
      <c r="E27" s="15" t="str">
        <f>HYPERLINK("https://stat100.ameba.jp/tnk47/ratio20/illustrations/card/ill_61893_0_onikirishumiyamotomusashi03.jpg?201908-1-RELEASE-raid-422x", "■")</f>
        <v>■</v>
      </c>
      <c r="F27" s="1" t="s">
        <v>612</v>
      </c>
      <c r="G27" s="1">
        <v>140016</v>
      </c>
      <c r="H27" s="1">
        <v>130194</v>
      </c>
      <c r="I27" s="1">
        <v>15</v>
      </c>
      <c r="J27" s="1" t="s">
        <v>310</v>
      </c>
      <c r="K27" s="1" t="s">
        <v>613</v>
      </c>
      <c r="L27" s="1" t="s">
        <v>312</v>
      </c>
      <c r="M27" s="1" t="s">
        <v>9158</v>
      </c>
      <c r="N27" s="1" t="s">
        <v>9158</v>
      </c>
      <c r="O27" s="19" t="s">
        <v>10071</v>
      </c>
      <c r="P27" s="1" t="s">
        <v>3253</v>
      </c>
      <c r="Q27" s="1">
        <v>1</v>
      </c>
    </row>
    <row r="28" spans="1:18">
      <c r="A28" s="1" t="s">
        <v>5604</v>
      </c>
      <c r="B28" s="1" t="s">
        <v>330</v>
      </c>
      <c r="C28" s="1" t="s">
        <v>206</v>
      </c>
      <c r="D28" s="19" t="s">
        <v>614</v>
      </c>
      <c r="E28" s="15" t="str">
        <f>HYPERLINK("https://stat100.ameba.jp/tnk47/ratio20/illustrations/card/ill_47263_0_oukyuuatsuhime03.jpg?201908-1-RELEASE-raid-422x", "■")</f>
        <v>■</v>
      </c>
      <c r="F28" s="1" t="s">
        <v>615</v>
      </c>
      <c r="G28" s="1">
        <v>94236</v>
      </c>
      <c r="H28" s="1">
        <v>83712</v>
      </c>
      <c r="I28" s="1">
        <v>15</v>
      </c>
      <c r="J28" s="1" t="s">
        <v>315</v>
      </c>
      <c r="K28" s="1" t="s">
        <v>616</v>
      </c>
      <c r="L28" s="1" t="s">
        <v>617</v>
      </c>
      <c r="M28" s="1" t="s">
        <v>9158</v>
      </c>
      <c r="N28" s="1" t="s">
        <v>9158</v>
      </c>
      <c r="O28" s="1" t="s">
        <v>9158</v>
      </c>
      <c r="P28" s="1" t="s">
        <v>9158</v>
      </c>
      <c r="Q28" s="1" t="s">
        <v>9158</v>
      </c>
    </row>
    <row r="29" spans="1:18">
      <c r="A29" s="1">
        <v>79163</v>
      </c>
      <c r="B29" s="1" t="s">
        <v>334</v>
      </c>
      <c r="C29" s="1" t="s">
        <v>185</v>
      </c>
      <c r="D29" s="19" t="s">
        <v>10450</v>
      </c>
      <c r="E29" s="15" t="str">
        <f>HYPERLINK("https://stat100.ameba.jp/tnk47/ratio20/illustrations/card/ill_79163_karutaonamihime03.jpg?201908-1-RELEASE-raid-422x", "■")</f>
        <v>■</v>
      </c>
      <c r="F29" s="1" t="s">
        <v>3255</v>
      </c>
      <c r="G29" s="1">
        <v>168858</v>
      </c>
      <c r="H29" s="1">
        <v>95001</v>
      </c>
      <c r="I29" s="1">
        <v>23</v>
      </c>
      <c r="J29" s="1" t="s">
        <v>143</v>
      </c>
      <c r="K29" s="1" t="s">
        <v>3256</v>
      </c>
      <c r="L29" s="1" t="s">
        <v>145</v>
      </c>
      <c r="M29" s="1" t="s">
        <v>9158</v>
      </c>
      <c r="N29" s="1" t="s">
        <v>9158</v>
      </c>
      <c r="O29" s="1" t="s">
        <v>9158</v>
      </c>
      <c r="P29" s="1" t="s">
        <v>9158</v>
      </c>
      <c r="Q29" s="1" t="s">
        <v>9158</v>
      </c>
    </row>
    <row r="30" spans="1:18">
      <c r="A30" s="1">
        <v>65233</v>
      </c>
      <c r="B30" s="1" t="s">
        <v>334</v>
      </c>
      <c r="C30" s="1" t="s">
        <v>2553</v>
      </c>
      <c r="D30" s="19" t="s">
        <v>10451</v>
      </c>
      <c r="E30" s="15" t="str">
        <f>HYPERLINK("https://stat100.ameba.jp/tnk47/ratio20/illustrations/card/ill_65233_togakushisoba03.jpg?201908-1-RELEASE-raid-422x", "■")</f>
        <v>■</v>
      </c>
      <c r="F30" s="1" t="s">
        <v>2558</v>
      </c>
      <c r="G30" s="1">
        <v>134152</v>
      </c>
      <c r="H30" s="1">
        <v>75467</v>
      </c>
      <c r="I30" s="1">
        <v>23</v>
      </c>
      <c r="J30" s="1" t="s">
        <v>2559</v>
      </c>
      <c r="K30" s="1" t="s">
        <v>2560</v>
      </c>
      <c r="L30" s="1" t="s">
        <v>2561</v>
      </c>
      <c r="M30" s="1" t="s">
        <v>9158</v>
      </c>
      <c r="N30" s="1" t="s">
        <v>9158</v>
      </c>
      <c r="O30" s="1" t="s">
        <v>9158</v>
      </c>
      <c r="P30" s="1" t="s">
        <v>9158</v>
      </c>
      <c r="Q30" s="1" t="s">
        <v>9158</v>
      </c>
    </row>
    <row r="31" spans="1:18">
      <c r="A31" s="1">
        <v>75463</v>
      </c>
      <c r="B31" s="1" t="s">
        <v>334</v>
      </c>
      <c r="C31" s="1" t="s">
        <v>308</v>
      </c>
      <c r="D31" s="19" t="s">
        <v>10249</v>
      </c>
      <c r="E31" s="15" t="str">
        <f>HYPERLINK("https://stat100.ameba.jp/tnk47/ratio20/illustrations/card/ill_75463_kiiui03.jpg?201908-1-RELEASE-raid-422x", "■")</f>
        <v>■</v>
      </c>
      <c r="F31" s="1" t="s">
        <v>4420</v>
      </c>
      <c r="G31" s="1">
        <v>104778</v>
      </c>
      <c r="H31" s="1">
        <v>97420</v>
      </c>
      <c r="I31" s="1">
        <v>23</v>
      </c>
      <c r="J31" s="1" t="s">
        <v>26</v>
      </c>
      <c r="K31" s="1" t="s">
        <v>4421</v>
      </c>
      <c r="L31" s="1" t="s">
        <v>1086</v>
      </c>
      <c r="M31" s="1" t="s">
        <v>9158</v>
      </c>
      <c r="N31" s="1" t="s">
        <v>9158</v>
      </c>
      <c r="O31" s="1" t="s">
        <v>9158</v>
      </c>
      <c r="P31" s="1" t="s">
        <v>9158</v>
      </c>
      <c r="Q31" s="1" t="s">
        <v>9158</v>
      </c>
    </row>
    <row r="32" spans="1:18">
      <c r="A32" s="1">
        <v>60953</v>
      </c>
      <c r="B32" s="1" t="s">
        <v>348</v>
      </c>
      <c r="C32" s="1" t="s">
        <v>307</v>
      </c>
      <c r="D32" s="19" t="s">
        <v>1522</v>
      </c>
      <c r="E32" s="15" t="str">
        <f>HYPERLINK("https://stat100.ameba.jp/tnk47/ratio20/illustrations/card/ill_60953_sukurugaruikedasen03.jpg?201908-1-RELEASE-raid-422x", "■")</f>
        <v>■</v>
      </c>
      <c r="F32" s="1" t="s">
        <v>1523</v>
      </c>
      <c r="G32" s="1">
        <v>56316</v>
      </c>
      <c r="H32" s="1">
        <v>51078</v>
      </c>
      <c r="I32" s="1">
        <v>19</v>
      </c>
      <c r="J32" s="1" t="s">
        <v>310</v>
      </c>
      <c r="K32" s="1" t="s">
        <v>1524</v>
      </c>
      <c r="L32" s="1" t="s">
        <v>1525</v>
      </c>
      <c r="M32" s="1" t="s">
        <v>9158</v>
      </c>
      <c r="N32" s="1" t="s">
        <v>9158</v>
      </c>
      <c r="O32" s="1" t="s">
        <v>9158</v>
      </c>
      <c r="P32" s="1" t="s">
        <v>9158</v>
      </c>
      <c r="Q32" s="1" t="s">
        <v>9158</v>
      </c>
    </row>
    <row r="33" spans="1:18">
      <c r="A33" s="1">
        <v>59873</v>
      </c>
      <c r="B33" s="1" t="s">
        <v>15</v>
      </c>
      <c r="C33" s="1" t="s">
        <v>200</v>
      </c>
      <c r="D33" s="19" t="s">
        <v>1526</v>
      </c>
      <c r="E33" s="15" t="str">
        <f>HYPERLINK("https://stat100.ameba.jp/tnk47/ratio20/illustrations/card/ill_59873_yoseinakajimautako03.jpg?201908-1-RELEASE-raid-422x", "■")</f>
        <v>■</v>
      </c>
      <c r="F33" s="1" t="s">
        <v>3526</v>
      </c>
      <c r="G33" s="1">
        <v>56316</v>
      </c>
      <c r="H33" s="1">
        <v>51078</v>
      </c>
      <c r="I33" s="1">
        <v>19</v>
      </c>
      <c r="J33" s="1" t="s">
        <v>10</v>
      </c>
      <c r="K33" s="1" t="s">
        <v>3527</v>
      </c>
      <c r="L33" s="1" t="s">
        <v>3275</v>
      </c>
      <c r="M33" s="1" t="s">
        <v>9158</v>
      </c>
      <c r="N33" s="1" t="s">
        <v>9158</v>
      </c>
      <c r="O33" s="1" t="s">
        <v>9158</v>
      </c>
      <c r="P33" s="1" t="s">
        <v>9158</v>
      </c>
      <c r="Q33" s="1" t="s">
        <v>9158</v>
      </c>
    </row>
    <row r="34" spans="1:18">
      <c r="A34" s="1">
        <v>78303</v>
      </c>
      <c r="B34" s="1" t="s">
        <v>15</v>
      </c>
      <c r="C34" s="1" t="s">
        <v>165</v>
      </c>
      <c r="D34" s="19" t="s">
        <v>10452</v>
      </c>
      <c r="E34" s="15" t="str">
        <f>HYPERLINK("https://stat100.ameba.jp/tnk47/ratio20/illustrations/card/ill_78303_kobewain03.jpg?201908-1-RELEASE-raid-422x", "■")</f>
        <v>■</v>
      </c>
      <c r="F34" s="1" t="s">
        <v>2419</v>
      </c>
      <c r="G34" s="1">
        <v>56316</v>
      </c>
      <c r="H34" s="1">
        <v>51078</v>
      </c>
      <c r="I34" s="1">
        <v>19</v>
      </c>
      <c r="J34" s="1" t="s">
        <v>104</v>
      </c>
      <c r="K34" s="1" t="s">
        <v>2420</v>
      </c>
      <c r="L34" s="1" t="s">
        <v>13178</v>
      </c>
      <c r="M34" s="1" t="s">
        <v>9158</v>
      </c>
      <c r="N34" s="1" t="s">
        <v>9158</v>
      </c>
      <c r="O34" s="1" t="s">
        <v>9158</v>
      </c>
      <c r="P34" s="1" t="s">
        <v>9158</v>
      </c>
      <c r="Q34" s="1" t="s">
        <v>9158</v>
      </c>
    </row>
    <row r="36" spans="1:18">
      <c r="A36" s="1" t="s">
        <v>4654</v>
      </c>
    </row>
    <row r="37" spans="1:18">
      <c r="A37" s="1" t="s">
        <v>6028</v>
      </c>
    </row>
    <row r="38" spans="1:18">
      <c r="A38" s="1" t="s">
        <v>6030</v>
      </c>
      <c r="B38" s="1" t="s">
        <v>52</v>
      </c>
      <c r="C38" s="1" t="s">
        <v>202</v>
      </c>
      <c r="D38" s="19" t="s">
        <v>10453</v>
      </c>
      <c r="E38" s="15" t="str">
        <f>HYPERLINK("https://stat100.ameba.jp/tnk47/ratio20/illustrations/card/ill_80023_0_hinamatsurikyogokumaria03.jpg?201908-1-RELEASE-raid-422x", "■")</f>
        <v>■</v>
      </c>
      <c r="F38" s="1" t="s">
        <v>3709</v>
      </c>
      <c r="G38" s="1">
        <v>323430</v>
      </c>
      <c r="H38" s="1">
        <v>357888</v>
      </c>
      <c r="I38" s="1">
        <v>24</v>
      </c>
      <c r="J38" s="1" t="s">
        <v>26</v>
      </c>
      <c r="K38" s="1" t="s">
        <v>3710</v>
      </c>
      <c r="L38" s="1" t="s">
        <v>3711</v>
      </c>
      <c r="M38" s="1" t="s">
        <v>9158</v>
      </c>
      <c r="N38" s="1" t="s">
        <v>9158</v>
      </c>
      <c r="O38" s="19" t="s">
        <v>10116</v>
      </c>
      <c r="P38" s="1" t="s">
        <v>3713</v>
      </c>
      <c r="Q38" s="1">
        <v>1</v>
      </c>
    </row>
    <row r="39" spans="1:18">
      <c r="A39" s="1">
        <v>77673</v>
      </c>
      <c r="B39" s="1" t="s">
        <v>334</v>
      </c>
      <c r="C39" s="1" t="s">
        <v>158</v>
      </c>
      <c r="D39" s="19" t="s">
        <v>10270</v>
      </c>
      <c r="E39" s="15" t="str">
        <f>HYPERLINK("https://stat100.ameba.jp/tnk47/ratio20/illustrations/card/ill_77673_ryunochoji03.jpg?201908-1-RELEASE-raid-422x", "■")</f>
        <v>■</v>
      </c>
      <c r="F39" s="1" t="s">
        <v>1777</v>
      </c>
      <c r="G39" s="1">
        <v>111914</v>
      </c>
      <c r="H39" s="1">
        <v>81078</v>
      </c>
      <c r="I39" s="1">
        <v>24</v>
      </c>
      <c r="J39" s="1" t="s">
        <v>73</v>
      </c>
      <c r="K39" s="1" t="s">
        <v>1778</v>
      </c>
      <c r="L39" s="1" t="s">
        <v>1779</v>
      </c>
      <c r="M39" s="1" t="s">
        <v>9158</v>
      </c>
      <c r="N39" s="1" t="s">
        <v>9158</v>
      </c>
      <c r="O39" s="19" t="s">
        <v>10090</v>
      </c>
      <c r="P39" s="1" t="s">
        <v>3460</v>
      </c>
      <c r="Q39" s="1">
        <v>1</v>
      </c>
    </row>
    <row r="40" spans="1:18">
      <c r="A40" s="1">
        <v>81903</v>
      </c>
      <c r="B40" s="1" t="s">
        <v>334</v>
      </c>
      <c r="C40" s="1" t="s">
        <v>47</v>
      </c>
      <c r="D40" s="19" t="s">
        <v>10200</v>
      </c>
      <c r="E40" s="15" t="str">
        <f>HYPERLINK("https://stat100.ameba.jp/tnk47/ratio20/illustrations/card/ill_81903_kiryuhimeiren03.jpg?201908-1-RELEASE-raid-422x", "■")</f>
        <v>■</v>
      </c>
      <c r="F40" s="1" t="s">
        <v>4983</v>
      </c>
      <c r="G40" s="1">
        <v>79348</v>
      </c>
      <c r="H40" s="1">
        <v>109554</v>
      </c>
      <c r="I40" s="1">
        <v>24</v>
      </c>
      <c r="J40" s="1" t="s">
        <v>77</v>
      </c>
      <c r="K40" s="1" t="s">
        <v>4985</v>
      </c>
      <c r="L40" s="1" t="s">
        <v>4986</v>
      </c>
      <c r="M40" s="1" t="s">
        <v>9158</v>
      </c>
      <c r="N40" s="1" t="s">
        <v>9158</v>
      </c>
      <c r="O40" s="19" t="s">
        <v>10112</v>
      </c>
      <c r="P40" s="1" t="s">
        <v>13150</v>
      </c>
      <c r="Q40" s="1">
        <v>1</v>
      </c>
    </row>
    <row r="41" spans="1:18">
      <c r="A41" s="1">
        <v>76803</v>
      </c>
      <c r="B41" s="1" t="s">
        <v>334</v>
      </c>
      <c r="C41" s="1" t="s">
        <v>202</v>
      </c>
      <c r="D41" s="19" t="s">
        <v>673</v>
      </c>
      <c r="E41" s="15" t="str">
        <f>HYPERLINK("https://stat100.ameba.jp/tnk47/ratio20/illustrations/card/ill_76803_monsutakujirachan03.jpg?201908-1-RELEASE-raid-422x", "■")</f>
        <v>■</v>
      </c>
      <c r="F41" s="1" t="s">
        <v>674</v>
      </c>
      <c r="G41" s="1">
        <v>159674</v>
      </c>
      <c r="H41" s="1">
        <v>115656</v>
      </c>
      <c r="I41" s="1">
        <v>24</v>
      </c>
      <c r="J41" s="1" t="s">
        <v>283</v>
      </c>
      <c r="K41" s="1" t="s">
        <v>675</v>
      </c>
      <c r="L41" s="1" t="s">
        <v>435</v>
      </c>
      <c r="M41" s="1" t="s">
        <v>9158</v>
      </c>
      <c r="N41" s="1" t="s">
        <v>9158</v>
      </c>
      <c r="O41" s="19" t="s">
        <v>3165</v>
      </c>
      <c r="P41" s="1" t="s">
        <v>13139</v>
      </c>
      <c r="Q41" s="1">
        <v>1</v>
      </c>
    </row>
    <row r="43" spans="1:18">
      <c r="A43" s="1" t="s">
        <v>13327</v>
      </c>
    </row>
    <row r="44" spans="1:18">
      <c r="A44" s="1" t="s">
        <v>6029</v>
      </c>
    </row>
    <row r="45" spans="1:18">
      <c r="A45" s="1">
        <v>82213</v>
      </c>
      <c r="B45" s="1" t="s">
        <v>0</v>
      </c>
      <c r="C45" s="1" t="s">
        <v>185</v>
      </c>
      <c r="D45" s="19" t="s">
        <v>10185</v>
      </c>
      <c r="E45" s="15" t="str">
        <f>HYPERLINK("https://stat100.ameba.jp/tnk47/ratio20/illustrations/card/ill_82213_tatarimokke03.jpg?201908-1-RELEASE-raid-422x", "■")</f>
        <v>■</v>
      </c>
      <c r="F45" s="1" t="s">
        <v>4935</v>
      </c>
      <c r="G45" s="1">
        <v>109852</v>
      </c>
      <c r="H45" s="1">
        <v>118152</v>
      </c>
      <c r="I45" s="1">
        <v>24</v>
      </c>
      <c r="J45" s="1" t="s">
        <v>182</v>
      </c>
      <c r="K45" s="1" t="s">
        <v>4937</v>
      </c>
      <c r="L45" s="1" t="s">
        <v>13191</v>
      </c>
      <c r="M45" s="1" t="s">
        <v>13130</v>
      </c>
      <c r="N45" s="1" t="s">
        <v>343</v>
      </c>
      <c r="O45" s="1" t="s">
        <v>9158</v>
      </c>
      <c r="P45" s="1" t="s">
        <v>9158</v>
      </c>
      <c r="Q45" s="1" t="s">
        <v>9158</v>
      </c>
      <c r="R45" s="14" t="s">
        <v>14748</v>
      </c>
    </row>
    <row r="46" spans="1:18">
      <c r="A46" s="1">
        <v>82212</v>
      </c>
      <c r="B46" s="1" t="s">
        <v>334</v>
      </c>
      <c r="C46" s="1" t="s">
        <v>185</v>
      </c>
      <c r="D46" s="19" t="s">
        <v>10185</v>
      </c>
      <c r="E46" s="15" t="str">
        <f>HYPERLINK("https://stat100.ameba.jp/tnk47/ratio20/illustrations/card/ill_82212_tatarimokke02.jpg?201908-1-RELEASE-raid-422x", "■")</f>
        <v>■</v>
      </c>
      <c r="F46" s="1" t="s">
        <v>4935</v>
      </c>
      <c r="G46" s="1">
        <v>90984</v>
      </c>
      <c r="H46" s="1">
        <v>98768</v>
      </c>
      <c r="I46" s="1">
        <v>24</v>
      </c>
      <c r="J46" s="1" t="s">
        <v>182</v>
      </c>
      <c r="K46" s="1" t="s">
        <v>4937</v>
      </c>
      <c r="L46" s="1" t="s">
        <v>13191</v>
      </c>
      <c r="M46" s="1" t="s">
        <v>13131</v>
      </c>
      <c r="N46" s="1" t="s">
        <v>251</v>
      </c>
      <c r="O46" s="1" t="s">
        <v>9158</v>
      </c>
      <c r="P46" s="1" t="s">
        <v>9158</v>
      </c>
      <c r="Q46" s="1" t="s">
        <v>9158</v>
      </c>
      <c r="R46" s="14" t="s">
        <v>14748</v>
      </c>
    </row>
    <row r="47" spans="1:18">
      <c r="A47" s="1">
        <v>82211</v>
      </c>
      <c r="B47" s="1" t="s">
        <v>0</v>
      </c>
      <c r="C47" s="1" t="s">
        <v>185</v>
      </c>
      <c r="D47" s="19" t="s">
        <v>10185</v>
      </c>
      <c r="E47" s="15" t="str">
        <f>HYPERLINK("https://stat100.ameba.jp/tnk47/ratio20/illustrations/card/ill_82211_tatarimokke01.jpg?201908-1-RELEASE-raid-422x", "■")</f>
        <v>■</v>
      </c>
      <c r="F47" s="1" t="s">
        <v>4935</v>
      </c>
      <c r="G47" s="1">
        <v>70200</v>
      </c>
      <c r="H47" s="1">
        <v>75408</v>
      </c>
      <c r="I47" s="1">
        <v>24</v>
      </c>
      <c r="J47" s="1" t="s">
        <v>182</v>
      </c>
      <c r="K47" s="1" t="s">
        <v>4937</v>
      </c>
      <c r="L47" s="1" t="s">
        <v>13191</v>
      </c>
      <c r="M47" s="1" t="s">
        <v>13131</v>
      </c>
      <c r="N47" s="1" t="s">
        <v>251</v>
      </c>
      <c r="O47" s="1" t="s">
        <v>9158</v>
      </c>
      <c r="P47" s="1" t="s">
        <v>9158</v>
      </c>
      <c r="Q47" s="1" t="s">
        <v>9158</v>
      </c>
      <c r="R47" s="14" t="s">
        <v>14748</v>
      </c>
    </row>
    <row r="48" spans="1:18">
      <c r="A48" s="1">
        <v>82223</v>
      </c>
      <c r="B48" s="1" t="s">
        <v>334</v>
      </c>
      <c r="C48" s="1" t="s">
        <v>200</v>
      </c>
      <c r="D48" s="19" t="s">
        <v>10186</v>
      </c>
      <c r="E48" s="15" t="str">
        <f>HYPERLINK("https://stat100.ameba.jp/tnk47/ratio20/illustrations/card/ill_82223_oyayubihime03.jpg?201908-1-RELEASE-raid-422x", "■")</f>
        <v>■</v>
      </c>
      <c r="F48" s="1" t="s">
        <v>4931</v>
      </c>
      <c r="G48" s="1">
        <v>118152</v>
      </c>
      <c r="H48" s="1">
        <v>109852</v>
      </c>
      <c r="I48" s="1">
        <v>24</v>
      </c>
      <c r="J48" s="1" t="s">
        <v>155</v>
      </c>
      <c r="K48" s="1" t="s">
        <v>4933</v>
      </c>
      <c r="L48" s="1" t="s">
        <v>4934</v>
      </c>
      <c r="M48" s="1" t="s">
        <v>13130</v>
      </c>
      <c r="N48" s="1" t="s">
        <v>343</v>
      </c>
      <c r="O48" s="1" t="s">
        <v>9158</v>
      </c>
      <c r="P48" s="1" t="s">
        <v>9158</v>
      </c>
      <c r="Q48" s="1" t="s">
        <v>9158</v>
      </c>
      <c r="R48" s="14" t="s">
        <v>14748</v>
      </c>
    </row>
    <row r="49" spans="1:18">
      <c r="A49" s="1">
        <v>82233</v>
      </c>
      <c r="B49" s="1" t="s">
        <v>334</v>
      </c>
      <c r="C49" s="1" t="s">
        <v>191</v>
      </c>
      <c r="D49" s="19" t="s">
        <v>10187</v>
      </c>
      <c r="E49" s="15" t="str">
        <f>HYPERLINK("https://stat100.ameba.jp/tnk47/ratio20/illustrations/card/ill_82233_iseokiku03.jpg?201908-1-RELEASE-raid-422x", "■")</f>
        <v>■</v>
      </c>
      <c r="F49" s="1" t="s">
        <v>4924</v>
      </c>
      <c r="G49" s="1">
        <v>118152</v>
      </c>
      <c r="H49" s="1">
        <v>109852</v>
      </c>
      <c r="I49" s="1">
        <v>24</v>
      </c>
      <c r="J49" s="1" t="s">
        <v>187</v>
      </c>
      <c r="K49" s="1" t="s">
        <v>4926</v>
      </c>
      <c r="L49" s="1" t="s">
        <v>4930</v>
      </c>
      <c r="M49" s="1" t="s">
        <v>13130</v>
      </c>
      <c r="N49" s="1" t="s">
        <v>343</v>
      </c>
      <c r="O49" s="1" t="s">
        <v>9158</v>
      </c>
      <c r="P49" s="1" t="s">
        <v>9158</v>
      </c>
      <c r="Q49" s="1" t="s">
        <v>9158</v>
      </c>
      <c r="R49" s="14" t="s">
        <v>14748</v>
      </c>
    </row>
    <row r="50" spans="1:18">
      <c r="A50" s="1">
        <v>82243</v>
      </c>
      <c r="B50" s="1" t="s">
        <v>0</v>
      </c>
      <c r="C50" s="1" t="s">
        <v>165</v>
      </c>
      <c r="D50" s="19" t="s">
        <v>10188</v>
      </c>
      <c r="E50" s="15" t="str">
        <f>HYPERLINK("https://stat100.ameba.jp/tnk47/ratio20/illustrations/card/ill_82243_nanohana03.jpg?201908-1-RELEASE-raid-422x", "■")</f>
        <v>■</v>
      </c>
      <c r="F50" s="1" t="s">
        <v>4921</v>
      </c>
      <c r="G50" s="1">
        <v>118152</v>
      </c>
      <c r="H50" s="1">
        <v>109852</v>
      </c>
      <c r="I50" s="1">
        <v>24</v>
      </c>
      <c r="J50" s="1" t="s">
        <v>229</v>
      </c>
      <c r="K50" s="1" t="s">
        <v>4923</v>
      </c>
      <c r="L50" s="1" t="s">
        <v>4929</v>
      </c>
      <c r="M50" s="1" t="s">
        <v>13130</v>
      </c>
      <c r="N50" s="1" t="s">
        <v>343</v>
      </c>
      <c r="O50" s="1" t="s">
        <v>9158</v>
      </c>
      <c r="P50" s="1" t="s">
        <v>9158</v>
      </c>
      <c r="Q50" s="1" t="s">
        <v>9158</v>
      </c>
      <c r="R50" s="14" t="s">
        <v>14748</v>
      </c>
    </row>
    <row r="51" spans="1:18">
      <c r="A51" s="1">
        <v>82253</v>
      </c>
      <c r="B51" s="1" t="s">
        <v>334</v>
      </c>
      <c r="C51" s="1" t="s">
        <v>205</v>
      </c>
      <c r="D51" s="19" t="s">
        <v>10189</v>
      </c>
      <c r="E51" s="15" t="str">
        <f>HYPERLINK("https://stat100.ameba.jp/tnk47/ratio20/illustrations/card/ill_82253_ajisaikyogokuichiko03.jpg?201908-1-RELEASE-raid-422x", "■")</f>
        <v>■</v>
      </c>
      <c r="F51" s="1" t="s">
        <v>4920</v>
      </c>
      <c r="G51" s="1">
        <v>109852</v>
      </c>
      <c r="H51" s="1">
        <v>118152</v>
      </c>
      <c r="I51" s="1">
        <v>24</v>
      </c>
      <c r="J51" s="1" t="s">
        <v>159</v>
      </c>
      <c r="K51" s="1" t="s">
        <v>4919</v>
      </c>
      <c r="L51" s="1" t="s">
        <v>4927</v>
      </c>
      <c r="M51" s="1" t="s">
        <v>13130</v>
      </c>
      <c r="N51" s="1" t="s">
        <v>343</v>
      </c>
      <c r="O51" s="1" t="s">
        <v>9158</v>
      </c>
      <c r="P51" s="1" t="s">
        <v>9158</v>
      </c>
      <c r="Q51" s="1" t="s">
        <v>9158</v>
      </c>
      <c r="R51" s="14" t="s">
        <v>14748</v>
      </c>
    </row>
    <row r="52" spans="1:18">
      <c r="A52" s="1">
        <v>82263</v>
      </c>
      <c r="B52" s="1" t="s">
        <v>334</v>
      </c>
      <c r="C52" s="1" t="s">
        <v>206</v>
      </c>
      <c r="D52" s="19" t="s">
        <v>10190</v>
      </c>
      <c r="E52" s="15" t="str">
        <f>HYPERLINK("https://stat100.ameba.jp/tnk47/ratio20/illustrations/card/ill_82263_euterupe03.jpg?201908-1-RELEASE-raid-422x", "■")</f>
        <v>■</v>
      </c>
      <c r="F52" s="1" t="s">
        <v>4915</v>
      </c>
      <c r="G52" s="1">
        <v>109852</v>
      </c>
      <c r="H52" s="1">
        <v>118152</v>
      </c>
      <c r="I52" s="1">
        <v>24</v>
      </c>
      <c r="J52" s="1" t="s">
        <v>169</v>
      </c>
      <c r="K52" s="1" t="s">
        <v>4917</v>
      </c>
      <c r="L52" s="1" t="s">
        <v>4928</v>
      </c>
      <c r="M52" s="1" t="s">
        <v>13130</v>
      </c>
      <c r="N52" s="1" t="s">
        <v>343</v>
      </c>
      <c r="O52" s="1" t="s">
        <v>9158</v>
      </c>
      <c r="P52" s="1" t="s">
        <v>9158</v>
      </c>
      <c r="Q52" s="1" t="s">
        <v>9158</v>
      </c>
      <c r="R52" s="14" t="s">
        <v>14748</v>
      </c>
    </row>
    <row r="54" spans="1:18">
      <c r="A54" s="1" t="s">
        <v>6031</v>
      </c>
    </row>
    <row r="55" spans="1:18">
      <c r="A55" s="1" t="s">
        <v>6032</v>
      </c>
    </row>
    <row r="56" spans="1:18">
      <c r="A56" s="1" t="s">
        <v>7659</v>
      </c>
    </row>
    <row r="57" spans="1:18">
      <c r="A57" s="1" t="s">
        <v>5963</v>
      </c>
      <c r="B57" s="1" t="s">
        <v>330</v>
      </c>
      <c r="C57" s="1" t="s">
        <v>35</v>
      </c>
      <c r="D57" s="19" t="s">
        <v>10438</v>
      </c>
      <c r="E57" s="15" t="str">
        <f>HYPERLINK("https://stat100.ameba.jp/tnk47/ratio20/illustrations/card/ill_82963_0_yukatamatsuritomokazuki03.jpg?201908-1-RELEASE-raid-422x", "■")</f>
        <v>■</v>
      </c>
      <c r="F57" s="1" t="s">
        <v>5964</v>
      </c>
      <c r="G57" s="1">
        <v>178681</v>
      </c>
      <c r="H57" s="1">
        <v>197707</v>
      </c>
      <c r="I57" s="1">
        <v>15</v>
      </c>
      <c r="J57" s="1" t="s">
        <v>73</v>
      </c>
      <c r="K57" s="1" t="s">
        <v>5966</v>
      </c>
      <c r="L57" s="1" t="s">
        <v>5967</v>
      </c>
      <c r="M57" s="1" t="s">
        <v>9158</v>
      </c>
      <c r="N57" s="1" t="s">
        <v>9158</v>
      </c>
      <c r="O57" s="19" t="s">
        <v>10115</v>
      </c>
      <c r="P57" s="1" t="s">
        <v>5968</v>
      </c>
      <c r="Q57" s="1">
        <v>1</v>
      </c>
    </row>
    <row r="58" spans="1:18">
      <c r="A58" s="1">
        <v>83013</v>
      </c>
      <c r="B58" s="1" t="s">
        <v>6033</v>
      </c>
      <c r="C58" s="1" t="s">
        <v>6034</v>
      </c>
      <c r="D58" s="19" t="s">
        <v>10454</v>
      </c>
      <c r="E58" s="15" t="str">
        <f>HYPERLINK("https://stat100.ameba.jp/tnk47/ratio20/illustrations/card/ill_83013_kyofunobyotosuseribime03.jpg?201908-1-RELEASE-raid-422x", "■")</f>
        <v>■</v>
      </c>
      <c r="F58" s="1" t="s">
        <v>6035</v>
      </c>
      <c r="G58" s="1">
        <v>91010</v>
      </c>
      <c r="H58" s="1">
        <v>97894</v>
      </c>
      <c r="I58" s="1">
        <v>24</v>
      </c>
      <c r="J58" s="1" t="s">
        <v>6036</v>
      </c>
      <c r="K58" s="1" t="s">
        <v>6037</v>
      </c>
      <c r="L58" s="1" t="s">
        <v>13194</v>
      </c>
      <c r="M58" s="1" t="s">
        <v>9158</v>
      </c>
      <c r="N58" s="1" t="s">
        <v>9158</v>
      </c>
      <c r="O58" s="1" t="s">
        <v>9158</v>
      </c>
      <c r="P58" s="1" t="s">
        <v>9158</v>
      </c>
      <c r="Q58" s="1" t="s">
        <v>9158</v>
      </c>
    </row>
    <row r="59" spans="1:18">
      <c r="A59" s="1">
        <v>83023</v>
      </c>
      <c r="B59" s="1" t="s">
        <v>6038</v>
      </c>
      <c r="C59" s="1" t="s">
        <v>6042</v>
      </c>
      <c r="D59" s="19" t="s">
        <v>10455</v>
      </c>
      <c r="E59" s="15" t="str">
        <f>HYPERLINK("https://stat100.ameba.jp/tnk47/ratio20/illustrations/card/ill_83023_obakeyashikiochihime03.jpg?201908-1-RELEASE-raid-422x", "■")</f>
        <v>■</v>
      </c>
      <c r="F59" s="1" t="s">
        <v>6041</v>
      </c>
      <c r="G59" s="1">
        <v>68172</v>
      </c>
      <c r="H59" s="1">
        <v>61832</v>
      </c>
      <c r="I59" s="1">
        <v>23</v>
      </c>
      <c r="J59" s="1" t="s">
        <v>6043</v>
      </c>
      <c r="K59" s="1" t="s">
        <v>6044</v>
      </c>
      <c r="L59" s="1" t="s">
        <v>13195</v>
      </c>
      <c r="M59" s="1" t="s">
        <v>9158</v>
      </c>
      <c r="N59" s="1" t="s">
        <v>9158</v>
      </c>
      <c r="O59" s="1" t="s">
        <v>9158</v>
      </c>
      <c r="P59" s="1" t="s">
        <v>9158</v>
      </c>
      <c r="Q59" s="1" t="s">
        <v>9158</v>
      </c>
    </row>
    <row r="60" spans="1:18">
      <c r="A60" s="1">
        <v>83033</v>
      </c>
      <c r="B60" s="1" t="s">
        <v>6039</v>
      </c>
      <c r="C60" s="1" t="s">
        <v>6045</v>
      </c>
      <c r="D60" s="19" t="s">
        <v>10456</v>
      </c>
      <c r="E60" s="15" t="str">
        <f>HYPERLINK("https://stat100.ameba.jp/tnk47/ratio20/illustrations/card/ill_83033_obakeyashikisakurambochan03.jpg?201908-1-RELEASE-raid-422x", "■")</f>
        <v>■</v>
      </c>
      <c r="F60" s="1" t="s">
        <v>6048</v>
      </c>
      <c r="G60" s="1">
        <v>34576</v>
      </c>
      <c r="H60" s="1">
        <v>41584</v>
      </c>
      <c r="I60" s="1">
        <v>20</v>
      </c>
      <c r="J60" s="1" t="s">
        <v>6046</v>
      </c>
      <c r="K60" s="1" t="s">
        <v>6047</v>
      </c>
      <c r="L60" s="1" t="s">
        <v>13196</v>
      </c>
      <c r="M60" s="1" t="s">
        <v>9158</v>
      </c>
      <c r="N60" s="1" t="s">
        <v>9158</v>
      </c>
      <c r="O60" s="1" t="s">
        <v>9158</v>
      </c>
      <c r="P60" s="1" t="s">
        <v>9158</v>
      </c>
      <c r="Q60" s="1" t="s">
        <v>9158</v>
      </c>
    </row>
    <row r="61" spans="1:18">
      <c r="A61" s="1">
        <v>83043</v>
      </c>
      <c r="B61" s="1" t="s">
        <v>6040</v>
      </c>
      <c r="C61" s="1" t="s">
        <v>6049</v>
      </c>
      <c r="D61" s="19" t="s">
        <v>10457</v>
      </c>
      <c r="E61" s="15" t="str">
        <f>HYPERLINK("https://stat100.ameba.jp/tnk47/ratio20/illustrations/card/ill_83043_monsutakinoko03.jpg?201908-1-RELEASE-raid-422x", "■")</f>
        <v>■</v>
      </c>
      <c r="F61" s="1" t="s">
        <v>6050</v>
      </c>
      <c r="G61" s="1">
        <v>25176</v>
      </c>
      <c r="H61" s="1">
        <v>21144</v>
      </c>
      <c r="I61" s="1">
        <v>20</v>
      </c>
      <c r="J61" s="1" t="s">
        <v>6051</v>
      </c>
      <c r="K61" s="1" t="s">
        <v>6052</v>
      </c>
      <c r="L61" s="1" t="s">
        <v>13197</v>
      </c>
      <c r="M61" s="1" t="s">
        <v>9158</v>
      </c>
      <c r="N61" s="1" t="s">
        <v>9158</v>
      </c>
      <c r="O61" s="1" t="s">
        <v>9158</v>
      </c>
      <c r="P61" s="1" t="s">
        <v>9158</v>
      </c>
      <c r="Q61" s="1" t="s">
        <v>9158</v>
      </c>
    </row>
    <row r="63" spans="1:18">
      <c r="A63" s="1" t="s">
        <v>6053</v>
      </c>
    </row>
    <row r="64" spans="1:18">
      <c r="A64" s="1" t="s">
        <v>6054</v>
      </c>
    </row>
    <row r="65" spans="1:17">
      <c r="A65" s="1" t="s">
        <v>6055</v>
      </c>
      <c r="B65" s="1" t="s">
        <v>52</v>
      </c>
      <c r="C65" s="1" t="s">
        <v>200</v>
      </c>
      <c r="D65" s="19" t="s">
        <v>809</v>
      </c>
      <c r="E65" s="15" t="str">
        <f>HYPERLINK("https://stat100.ameba.jp/tnk47/ratio20/illustrations/card/ill_68033_0_kurisumasupateikandamyojin03.jpg?201908-1-RELEASE-raid-422x", "■")</f>
        <v>■</v>
      </c>
      <c r="F65" s="1" t="s">
        <v>1871</v>
      </c>
      <c r="G65" s="1">
        <v>95371</v>
      </c>
      <c r="H65" s="1">
        <v>102590</v>
      </c>
      <c r="I65" s="1">
        <v>15</v>
      </c>
      <c r="J65" s="1" t="s">
        <v>44</v>
      </c>
      <c r="K65" s="1" t="s">
        <v>1872</v>
      </c>
      <c r="L65" s="1" t="s">
        <v>1873</v>
      </c>
      <c r="M65" s="14" t="s">
        <v>9158</v>
      </c>
      <c r="N65" s="14" t="s">
        <v>9158</v>
      </c>
      <c r="O65" s="19" t="s">
        <v>2997</v>
      </c>
      <c r="P65" s="1" t="s">
        <v>3483</v>
      </c>
      <c r="Q65" s="1">
        <v>2</v>
      </c>
    </row>
    <row r="66" spans="1:17">
      <c r="A66" s="1" t="s">
        <v>5725</v>
      </c>
      <c r="B66" s="1" t="s">
        <v>52</v>
      </c>
      <c r="C66" s="1" t="s">
        <v>107</v>
      </c>
      <c r="D66" s="19" t="s">
        <v>543</v>
      </c>
      <c r="E66" s="15" t="str">
        <f>HYPERLINK("https://stat100.ameba.jp/tnk47/ratio20/illustrations/card/ill_52693_0_sengokumibirakiyanagiharabyakuren03.jpg?201908-1-RELEASE-raid-422x", "■")</f>
        <v>■</v>
      </c>
      <c r="F66" s="1" t="s">
        <v>1246</v>
      </c>
      <c r="G66" s="1">
        <v>83712</v>
      </c>
      <c r="H66" s="1">
        <v>94236</v>
      </c>
      <c r="I66" s="1">
        <v>15</v>
      </c>
      <c r="J66" s="1" t="s">
        <v>16</v>
      </c>
      <c r="K66" s="1" t="s">
        <v>1247</v>
      </c>
      <c r="L66" s="1" t="s">
        <v>1248</v>
      </c>
      <c r="M66" s="1" t="s">
        <v>9158</v>
      </c>
      <c r="N66" s="1" t="s">
        <v>9158</v>
      </c>
      <c r="O66" s="19" t="s">
        <v>2886</v>
      </c>
      <c r="P66" s="1" t="s">
        <v>3304</v>
      </c>
      <c r="Q66" s="1">
        <v>1</v>
      </c>
    </row>
    <row r="67" spans="1:17">
      <c r="A67" s="1" t="s">
        <v>5608</v>
      </c>
      <c r="B67" s="1" t="s">
        <v>52</v>
      </c>
      <c r="C67" s="1" t="s">
        <v>96</v>
      </c>
      <c r="D67" s="19" t="s">
        <v>634</v>
      </c>
      <c r="E67" s="15" t="str">
        <f>HYPERLINK("https://stat100.ameba.jp/tnk47/ratio20/illustrations/card/ill_40963_0_makami03.jpg?201908-1-RELEASE-raid-422x", "■")</f>
        <v>■</v>
      </c>
      <c r="F67" s="1" t="s">
        <v>2038</v>
      </c>
      <c r="G67" s="1">
        <v>87780</v>
      </c>
      <c r="H67" s="1">
        <v>82212</v>
      </c>
      <c r="I67" s="1">
        <v>15</v>
      </c>
      <c r="J67" s="1" t="s">
        <v>44</v>
      </c>
      <c r="K67" s="1" t="s">
        <v>2039</v>
      </c>
      <c r="L67" s="1" t="s">
        <v>2040</v>
      </c>
      <c r="M67" s="1" t="s">
        <v>9158</v>
      </c>
      <c r="N67" s="1" t="s">
        <v>9158</v>
      </c>
      <c r="O67" s="1" t="s">
        <v>9158</v>
      </c>
      <c r="P67" s="1" t="s">
        <v>9158</v>
      </c>
      <c r="Q67" s="1" t="s">
        <v>9158</v>
      </c>
    </row>
    <row r="68" spans="1:17">
      <c r="A68" s="1">
        <v>75193</v>
      </c>
      <c r="B68" s="1" t="s">
        <v>334</v>
      </c>
      <c r="C68" s="1" t="s">
        <v>269</v>
      </c>
      <c r="D68" s="19" t="s">
        <v>10458</v>
      </c>
      <c r="E68" s="15" t="str">
        <f>HYPERLINK("https://stat100.ameba.jp/tnk47/ratio20/illustrations/card/ill_75193_rabanommyonojiomansa03.jpg?201908-1-RELEASE-raid-422x", "■")</f>
        <v>■</v>
      </c>
      <c r="F68" s="1" t="s">
        <v>490</v>
      </c>
      <c r="G68" s="1">
        <v>92246</v>
      </c>
      <c r="H68" s="1">
        <v>99202</v>
      </c>
      <c r="I68" s="1">
        <v>24</v>
      </c>
      <c r="J68" s="1" t="s">
        <v>401</v>
      </c>
      <c r="K68" s="1" t="s">
        <v>491</v>
      </c>
      <c r="L68" s="1" t="s">
        <v>492</v>
      </c>
      <c r="M68" s="1" t="s">
        <v>9158</v>
      </c>
      <c r="N68" s="1" t="s">
        <v>9158</v>
      </c>
      <c r="O68" s="1" t="s">
        <v>9158</v>
      </c>
      <c r="P68" s="1" t="s">
        <v>9158</v>
      </c>
      <c r="Q68" s="1" t="s">
        <v>9158</v>
      </c>
    </row>
    <row r="69" spans="1:17">
      <c r="A69" s="1">
        <v>79833</v>
      </c>
      <c r="B69" s="1" t="s">
        <v>334</v>
      </c>
      <c r="C69" s="1" t="s">
        <v>154</v>
      </c>
      <c r="D69" s="19" t="s">
        <v>10303</v>
      </c>
      <c r="E69" s="15" t="str">
        <f>HYPERLINK("https://stat100.ameba.jp/tnk47/ratio20/illustrations/card/ill_79833_jiyunomegamimariannu03.jpg?201908-1-RELEASE-raid-422x", "■")</f>
        <v>■</v>
      </c>
      <c r="F69" s="1" t="s">
        <v>3332</v>
      </c>
      <c r="G69" s="1">
        <v>99182</v>
      </c>
      <c r="H69" s="1">
        <v>106680</v>
      </c>
      <c r="I69" s="1">
        <v>24</v>
      </c>
      <c r="J69" s="1" t="s">
        <v>10</v>
      </c>
      <c r="K69" s="1" t="s">
        <v>3333</v>
      </c>
      <c r="L69" s="1" t="s">
        <v>12</v>
      </c>
      <c r="M69" s="1" t="s">
        <v>9158</v>
      </c>
      <c r="N69" s="1" t="s">
        <v>9158</v>
      </c>
      <c r="O69" s="1" t="s">
        <v>9158</v>
      </c>
      <c r="P69" s="1" t="s">
        <v>9158</v>
      </c>
      <c r="Q69" s="1" t="s">
        <v>9158</v>
      </c>
    </row>
    <row r="70" spans="1:17">
      <c r="A70" s="1">
        <v>78103</v>
      </c>
      <c r="B70" s="1" t="s">
        <v>0</v>
      </c>
      <c r="C70" s="1" t="s">
        <v>154</v>
      </c>
      <c r="D70" s="19" t="s">
        <v>10459</v>
      </c>
      <c r="E70" s="15" t="str">
        <f>HYPERLINK("https://stat100.ameba.jp/tnk47/ratio20/illustrations/card/ill_78103_santaokokunaitomea03.jpg?201908-1-RELEASE-raid-422x", "■")</f>
        <v>■</v>
      </c>
      <c r="F70" s="1" t="s">
        <v>2306</v>
      </c>
      <c r="G70" s="1">
        <v>123490</v>
      </c>
      <c r="H70" s="1">
        <v>69502</v>
      </c>
      <c r="I70" s="1">
        <v>24</v>
      </c>
      <c r="J70" s="1" t="s">
        <v>73</v>
      </c>
      <c r="K70" s="1" t="s">
        <v>2307</v>
      </c>
      <c r="L70" s="1" t="s">
        <v>2308</v>
      </c>
      <c r="M70" s="1" t="s">
        <v>9158</v>
      </c>
      <c r="N70" s="1" t="s">
        <v>9158</v>
      </c>
      <c r="O70" s="1" t="s">
        <v>9158</v>
      </c>
      <c r="P70" s="1" t="s">
        <v>9158</v>
      </c>
      <c r="Q70" s="1" t="s">
        <v>9158</v>
      </c>
    </row>
    <row r="71" spans="1:17">
      <c r="A71" s="1">
        <v>61993</v>
      </c>
      <c r="B71" s="1" t="s">
        <v>6038</v>
      </c>
      <c r="C71" s="1" t="s">
        <v>6056</v>
      </c>
      <c r="D71" s="19" t="s">
        <v>10460</v>
      </c>
      <c r="E71" s="15" t="str">
        <f>HYPERLINK("https://stat100.ameba.jp/tnk47/ratio20/illustrations/card/ill_61993_koinoborihosekichan03.jpg?201908-1-RELEASE-raid-422x", "■")</f>
        <v>■</v>
      </c>
      <c r="F71" s="1" t="s">
        <v>6057</v>
      </c>
      <c r="G71" s="1">
        <v>61832</v>
      </c>
      <c r="H71" s="1">
        <v>68172</v>
      </c>
      <c r="I71" s="1">
        <v>23</v>
      </c>
      <c r="J71" s="1" t="s">
        <v>6058</v>
      </c>
      <c r="K71" s="1" t="s">
        <v>6059</v>
      </c>
      <c r="L71" s="1" t="s">
        <v>13198</v>
      </c>
      <c r="M71" s="1" t="s">
        <v>9158</v>
      </c>
      <c r="N71" s="1" t="s">
        <v>9158</v>
      </c>
      <c r="O71" s="1" t="s">
        <v>9158</v>
      </c>
      <c r="P71" s="1" t="s">
        <v>9158</v>
      </c>
      <c r="Q71" s="1" t="s">
        <v>9158</v>
      </c>
    </row>
    <row r="72" spans="1:17">
      <c r="A72" s="1">
        <v>68253</v>
      </c>
      <c r="B72" s="1" t="s">
        <v>6038</v>
      </c>
      <c r="C72" s="1" t="s">
        <v>6034</v>
      </c>
      <c r="D72" s="19" t="s">
        <v>10461</v>
      </c>
      <c r="E72" s="15" t="str">
        <f>HYPERLINK("https://stat100.ameba.jp/tnk47/ratio20/illustrations/card/ill_68253_yakeimimuratsuru03.jpg?201908-1-RELEASE-raid-422x", "■")</f>
        <v>■</v>
      </c>
      <c r="F72" s="1" t="s">
        <v>6060</v>
      </c>
      <c r="G72" s="1">
        <v>68172</v>
      </c>
      <c r="H72" s="1">
        <v>61832</v>
      </c>
      <c r="I72" s="1">
        <v>23</v>
      </c>
      <c r="J72" s="1" t="s">
        <v>6061</v>
      </c>
      <c r="K72" s="1" t="s">
        <v>6062</v>
      </c>
      <c r="L72" s="1" t="s">
        <v>13199</v>
      </c>
      <c r="M72" s="1" t="s">
        <v>9158</v>
      </c>
      <c r="N72" s="1" t="s">
        <v>9158</v>
      </c>
      <c r="O72" s="1" t="s">
        <v>9158</v>
      </c>
      <c r="P72" s="1" t="s">
        <v>9158</v>
      </c>
      <c r="Q72" s="1" t="s">
        <v>9158</v>
      </c>
    </row>
    <row r="73" spans="1:17">
      <c r="A73" s="1">
        <v>75803</v>
      </c>
      <c r="B73" s="1" t="s">
        <v>6038</v>
      </c>
      <c r="C73" s="1" t="s">
        <v>6045</v>
      </c>
      <c r="D73" s="19" t="s">
        <v>10462</v>
      </c>
      <c r="E73" s="15" t="str">
        <f>HYPERLINK("https://stat100.ameba.jp/tnk47/ratio20/illustrations/card/ill_75803_hasekuratsunenaga03.jpg?201908-1-RELEASE-raid-422x", "■")</f>
        <v>■</v>
      </c>
      <c r="F73" s="1" t="s">
        <v>6063</v>
      </c>
      <c r="G73" s="1">
        <v>68172</v>
      </c>
      <c r="H73" s="1">
        <v>61832</v>
      </c>
      <c r="I73" s="1">
        <v>23</v>
      </c>
      <c r="J73" s="1" t="s">
        <v>6064</v>
      </c>
      <c r="K73" s="1" t="s">
        <v>6065</v>
      </c>
      <c r="L73" s="1" t="s">
        <v>13200</v>
      </c>
      <c r="M73" s="1" t="s">
        <v>9158</v>
      </c>
      <c r="N73" s="1" t="s">
        <v>9158</v>
      </c>
      <c r="O73" s="1" t="s">
        <v>9158</v>
      </c>
      <c r="P73" s="1" t="s">
        <v>9158</v>
      </c>
      <c r="Q73" s="1" t="s">
        <v>9158</v>
      </c>
    </row>
    <row r="75" spans="1:17">
      <c r="A75" s="1" t="s">
        <v>6068</v>
      </c>
    </row>
    <row r="76" spans="1:17">
      <c r="A76" s="1" t="s">
        <v>6069</v>
      </c>
    </row>
    <row r="77" spans="1:17">
      <c r="A77" s="1" t="s">
        <v>5624</v>
      </c>
      <c r="B77" s="1" t="s">
        <v>52</v>
      </c>
      <c r="C77" s="1" t="s">
        <v>101</v>
      </c>
      <c r="D77" s="19" t="s">
        <v>1426</v>
      </c>
      <c r="E77" s="15" t="str">
        <f>HYPERLINK("https://stat100.ameba.jp/tnk47/ratio20/illustrations/card/ill_64953_0_yukatatokugawayoshinobu03.jpg?201908-1-RELEASE-raid-422x", "■")</f>
        <v>■</v>
      </c>
      <c r="F77" s="1" t="s">
        <v>2090</v>
      </c>
      <c r="G77" s="1">
        <v>137060</v>
      </c>
      <c r="H77" s="1">
        <v>147404</v>
      </c>
      <c r="I77" s="1">
        <v>22</v>
      </c>
      <c r="J77" s="1" t="s">
        <v>10</v>
      </c>
      <c r="K77" s="1" t="s">
        <v>2091</v>
      </c>
      <c r="L77" s="1" t="s">
        <v>2092</v>
      </c>
      <c r="M77" s="1" t="s">
        <v>9158</v>
      </c>
      <c r="N77" s="1" t="s">
        <v>9158</v>
      </c>
      <c r="O77" s="19" t="s">
        <v>2889</v>
      </c>
      <c r="P77" s="1" t="s">
        <v>2890</v>
      </c>
      <c r="Q77" s="1">
        <v>1</v>
      </c>
    </row>
    <row r="78" spans="1:17">
      <c r="A78" s="1" t="s">
        <v>6066</v>
      </c>
      <c r="B78" s="1" t="s">
        <v>52</v>
      </c>
      <c r="C78" s="1" t="s">
        <v>206</v>
      </c>
      <c r="D78" s="19" t="s">
        <v>2936</v>
      </c>
      <c r="E78" s="15" t="str">
        <f>HYPERLINK("https://stat100.ameba.jp/tnk47/ratio20/illustrations/card/ill_72233_0_koinoboriryugujin03.jpg?201908-1-RELEASE-raid-422x", "■")</f>
        <v>■</v>
      </c>
      <c r="F78" s="1" t="s">
        <v>1012</v>
      </c>
      <c r="G78" s="1">
        <v>144312</v>
      </c>
      <c r="H78" s="1">
        <v>155224</v>
      </c>
      <c r="I78" s="1">
        <v>22</v>
      </c>
      <c r="J78" s="1" t="s">
        <v>44</v>
      </c>
      <c r="K78" s="1" t="s">
        <v>1013</v>
      </c>
      <c r="L78" s="1" t="s">
        <v>1014</v>
      </c>
      <c r="M78" s="1" t="s">
        <v>9158</v>
      </c>
      <c r="N78" s="1" t="s">
        <v>9158</v>
      </c>
      <c r="O78" s="19" t="s">
        <v>2940</v>
      </c>
      <c r="P78" s="1" t="s">
        <v>3420</v>
      </c>
      <c r="Q78" s="1">
        <v>2</v>
      </c>
    </row>
    <row r="79" spans="1:17">
      <c r="A79" s="1" t="s">
        <v>6067</v>
      </c>
      <c r="B79" s="1" t="s">
        <v>330</v>
      </c>
      <c r="C79" s="1" t="s">
        <v>200</v>
      </c>
      <c r="D79" s="19" t="s">
        <v>630</v>
      </c>
      <c r="E79" s="15" t="str">
        <f>HYPERLINK("https://stat100.ameba.jp/tnk47/ratio20/illustrations/card/ill_48283_0_kyuubitamamonomae03.jpg?201908-1-RELEASE-raid-422x", "■")</f>
        <v>■</v>
      </c>
      <c r="F79" s="1" t="s">
        <v>631</v>
      </c>
      <c r="G79" s="1">
        <v>138212</v>
      </c>
      <c r="H79" s="1">
        <v>122776</v>
      </c>
      <c r="I79" s="1">
        <v>22</v>
      </c>
      <c r="J79" s="1" t="s">
        <v>320</v>
      </c>
      <c r="K79" s="1" t="s">
        <v>632</v>
      </c>
      <c r="L79" s="1" t="s">
        <v>633</v>
      </c>
      <c r="M79" s="1" t="s">
        <v>9158</v>
      </c>
      <c r="N79" s="1" t="s">
        <v>9158</v>
      </c>
      <c r="O79" s="1" t="s">
        <v>9158</v>
      </c>
      <c r="P79" s="1" t="s">
        <v>9158</v>
      </c>
      <c r="Q79" s="1" t="s">
        <v>9158</v>
      </c>
    </row>
    <row r="80" spans="1:17">
      <c r="A80" s="1">
        <v>83013</v>
      </c>
      <c r="B80" s="1" t="s">
        <v>0</v>
      </c>
      <c r="C80" s="1" t="s">
        <v>205</v>
      </c>
      <c r="D80" s="19" t="s">
        <v>10454</v>
      </c>
      <c r="E80" s="15" t="str">
        <f>HYPERLINK("https://stat100.ameba.jp/tnk47/ratio20/illustrations/card/ill_83013_kyofunobyotosuseribime03.jpg?201908-1-RELEASE-raid-422x", "■")</f>
        <v>■</v>
      </c>
      <c r="F80" s="1" t="s">
        <v>6035</v>
      </c>
      <c r="G80" s="1">
        <v>91010</v>
      </c>
      <c r="H80" s="1">
        <v>97894</v>
      </c>
      <c r="I80" s="1">
        <v>24</v>
      </c>
      <c r="J80" s="1" t="s">
        <v>169</v>
      </c>
      <c r="K80" s="1" t="s">
        <v>6037</v>
      </c>
      <c r="L80" s="1" t="s">
        <v>13194</v>
      </c>
      <c r="M80" s="1" t="s">
        <v>9158</v>
      </c>
      <c r="N80" s="1" t="s">
        <v>9158</v>
      </c>
      <c r="O80" s="1" t="s">
        <v>9158</v>
      </c>
      <c r="P80" s="1" t="s">
        <v>9158</v>
      </c>
      <c r="Q80" s="1" t="s">
        <v>9158</v>
      </c>
    </row>
    <row r="81" spans="1:17">
      <c r="A81" s="1">
        <v>83023</v>
      </c>
      <c r="B81" s="1" t="s">
        <v>15</v>
      </c>
      <c r="C81" s="1" t="s">
        <v>206</v>
      </c>
      <c r="D81" s="19" t="s">
        <v>10455</v>
      </c>
      <c r="E81" s="15" t="str">
        <f>HYPERLINK("https://stat100.ameba.jp/tnk47/ratio20/illustrations/card/ill_83023_obakeyashikiochihime03.jpg?201908-1-RELEASE-raid-422x", "■")</f>
        <v>■</v>
      </c>
      <c r="F81" s="1" t="s">
        <v>6041</v>
      </c>
      <c r="G81" s="1">
        <v>53352</v>
      </c>
      <c r="H81" s="1">
        <v>48390</v>
      </c>
      <c r="I81" s="1">
        <v>18</v>
      </c>
      <c r="J81" s="1" t="s">
        <v>155</v>
      </c>
      <c r="K81" s="1" t="s">
        <v>6044</v>
      </c>
      <c r="L81" s="1" t="s">
        <v>13195</v>
      </c>
      <c r="M81" s="1" t="s">
        <v>9158</v>
      </c>
      <c r="N81" s="1" t="s">
        <v>9158</v>
      </c>
      <c r="O81" s="1" t="s">
        <v>9158</v>
      </c>
      <c r="P81" s="1" t="s">
        <v>9158</v>
      </c>
      <c r="Q81" s="1" t="s">
        <v>9158</v>
      </c>
    </row>
    <row r="82" spans="1:17">
      <c r="A82" s="1">
        <v>83033</v>
      </c>
      <c r="B82" s="1" t="s">
        <v>22</v>
      </c>
      <c r="C82" s="1" t="s">
        <v>185</v>
      </c>
      <c r="D82" s="19" t="s">
        <v>10456</v>
      </c>
      <c r="E82" s="15" t="str">
        <f>HYPERLINK("https://stat100.ameba.jp/tnk47/ratio20/illustrations/card/ill_83033_obakeyashikisakurambochan03.jpg?201908-1-RELEASE-raid-422x", "■")</f>
        <v>■</v>
      </c>
      <c r="F82" s="1" t="s">
        <v>6048</v>
      </c>
      <c r="G82" s="1">
        <v>29388</v>
      </c>
      <c r="H82" s="1">
        <v>35346</v>
      </c>
      <c r="I82" s="1">
        <v>17</v>
      </c>
      <c r="J82" s="1" t="s">
        <v>216</v>
      </c>
      <c r="K82" s="1" t="s">
        <v>6047</v>
      </c>
      <c r="L82" s="1" t="s">
        <v>13196</v>
      </c>
      <c r="M82" s="1" t="s">
        <v>9158</v>
      </c>
      <c r="N82" s="1" t="s">
        <v>9158</v>
      </c>
      <c r="O82" s="1" t="s">
        <v>9158</v>
      </c>
      <c r="P82" s="1" t="s">
        <v>9158</v>
      </c>
      <c r="Q82" s="1" t="s">
        <v>9158</v>
      </c>
    </row>
    <row r="83" spans="1:17">
      <c r="A83" s="1">
        <v>83043</v>
      </c>
      <c r="B83" s="1" t="s">
        <v>30</v>
      </c>
      <c r="C83" s="1" t="s">
        <v>4170</v>
      </c>
      <c r="D83" s="19" t="s">
        <v>10457</v>
      </c>
      <c r="E83" s="15" t="str">
        <f>HYPERLINK("https://stat100.ameba.jp/tnk47/ratio20/illustrations/card/ill_83043_monsutakinoko03.jpg?201908-1-RELEASE-raid-422x", "■")</f>
        <v>■</v>
      </c>
      <c r="F83" s="1" t="s">
        <v>6050</v>
      </c>
      <c r="G83" s="1">
        <v>21398</v>
      </c>
      <c r="H83" s="1">
        <v>17972</v>
      </c>
      <c r="I83" s="1">
        <v>17</v>
      </c>
      <c r="J83" s="1" t="s">
        <v>182</v>
      </c>
      <c r="K83" s="1" t="s">
        <v>6052</v>
      </c>
      <c r="L83" s="1" t="s">
        <v>13197</v>
      </c>
      <c r="M83" s="1" t="s">
        <v>9158</v>
      </c>
      <c r="N83" s="1" t="s">
        <v>9158</v>
      </c>
      <c r="O83" s="1" t="s">
        <v>9158</v>
      </c>
      <c r="P83" s="1" t="s">
        <v>9158</v>
      </c>
      <c r="Q83" s="1" t="s">
        <v>9158</v>
      </c>
    </row>
    <row r="85" spans="1:17">
      <c r="A85" s="1" t="s">
        <v>6070</v>
      </c>
    </row>
    <row r="86" spans="1:17">
      <c r="A86" s="1" t="s">
        <v>6071</v>
      </c>
    </row>
    <row r="87" spans="1:17">
      <c r="A87" s="1" t="s">
        <v>5614</v>
      </c>
      <c r="B87" s="1" t="s">
        <v>330</v>
      </c>
      <c r="C87" s="1" t="s">
        <v>267</v>
      </c>
      <c r="D87" s="19" t="s">
        <v>313</v>
      </c>
      <c r="E87" s="15" t="str">
        <f>HYPERLINK("https://stat100.ameba.jp/tnk47/ratio20/illustrations/card/ill_56223_0_onsempanikkugohime03.jpg?201908-1-RELEASE-raid-422x", "■")</f>
        <v>■</v>
      </c>
      <c r="F87" s="1" t="s">
        <v>314</v>
      </c>
      <c r="G87" s="1">
        <v>83712</v>
      </c>
      <c r="H87" s="1">
        <v>94236</v>
      </c>
      <c r="I87" s="1">
        <v>15</v>
      </c>
      <c r="J87" s="1" t="s">
        <v>315</v>
      </c>
      <c r="K87" s="1" t="s">
        <v>316</v>
      </c>
      <c r="L87" s="1" t="s">
        <v>317</v>
      </c>
      <c r="M87" s="1" t="s">
        <v>9158</v>
      </c>
      <c r="N87" s="1" t="s">
        <v>9158</v>
      </c>
      <c r="O87" s="19" t="s">
        <v>3021</v>
      </c>
      <c r="P87" s="1" t="s">
        <v>2890</v>
      </c>
      <c r="Q87" s="1">
        <v>1</v>
      </c>
    </row>
    <row r="88" spans="1:17">
      <c r="A88" s="1" t="s">
        <v>5615</v>
      </c>
      <c r="B88" s="1" t="s">
        <v>330</v>
      </c>
      <c r="C88" s="1" t="s">
        <v>206</v>
      </c>
      <c r="D88" s="19" t="s">
        <v>2814</v>
      </c>
      <c r="E88" s="15" t="str">
        <f>HYPERLINK("https://stat100.ameba.jp/tnk47/ratio20/illustrations/card/ill_57733_0_shogatsunisenjunanaamakusashiro03.jpg?201908-1-RELEASE-raid-422x", "■")</f>
        <v>■</v>
      </c>
      <c r="F88" s="1" t="s">
        <v>2815</v>
      </c>
      <c r="G88" s="1">
        <v>83712</v>
      </c>
      <c r="H88" s="1">
        <v>94236</v>
      </c>
      <c r="I88" s="1">
        <v>15</v>
      </c>
      <c r="J88" s="1" t="s">
        <v>351</v>
      </c>
      <c r="K88" s="1" t="s">
        <v>2816</v>
      </c>
      <c r="L88" s="1" t="s">
        <v>2817</v>
      </c>
      <c r="M88" s="1" t="s">
        <v>9158</v>
      </c>
      <c r="N88" s="1" t="s">
        <v>9158</v>
      </c>
      <c r="O88" s="19" t="s">
        <v>10077</v>
      </c>
      <c r="P88" s="1" t="s">
        <v>3062</v>
      </c>
      <c r="Q88" s="1">
        <v>1</v>
      </c>
    </row>
    <row r="89" spans="1:17">
      <c r="A89" s="1" t="s">
        <v>5616</v>
      </c>
      <c r="B89" s="1" t="s">
        <v>52</v>
      </c>
      <c r="C89" s="1" t="s">
        <v>14</v>
      </c>
      <c r="D89" s="19" t="s">
        <v>638</v>
      </c>
      <c r="E89" s="15" t="str">
        <f>HYPERLINK("https://stat100.ameba.jp/tnk47/ratio20/illustrations/card/ill_44253_0_dokuganryudatemasamune03.jpg?201908-1-RELEASE-raid-422x", "■")</f>
        <v>■</v>
      </c>
      <c r="F89" s="1" t="s">
        <v>1181</v>
      </c>
      <c r="G89" s="1">
        <v>82212</v>
      </c>
      <c r="H89" s="1">
        <v>87780</v>
      </c>
      <c r="I89" s="1">
        <v>15</v>
      </c>
      <c r="J89" s="1" t="s">
        <v>143</v>
      </c>
      <c r="K89" s="1" t="s">
        <v>1182</v>
      </c>
      <c r="L89" s="1" t="s">
        <v>1183</v>
      </c>
      <c r="M89" s="1" t="s">
        <v>9158</v>
      </c>
      <c r="N89" s="1" t="s">
        <v>9158</v>
      </c>
      <c r="O89" s="1" t="s">
        <v>9158</v>
      </c>
      <c r="P89" s="1" t="s">
        <v>9158</v>
      </c>
      <c r="Q89" s="1" t="s">
        <v>9158</v>
      </c>
    </row>
    <row r="90" spans="1:17">
      <c r="A90" s="1">
        <v>79153</v>
      </c>
      <c r="B90" s="1" t="s">
        <v>0</v>
      </c>
      <c r="C90" s="1" t="s">
        <v>6072</v>
      </c>
      <c r="D90" s="19" t="s">
        <v>10463</v>
      </c>
      <c r="E90" s="15" t="str">
        <f>HYPERLINK("https://stat100.ameba.jp/tnk47/ratio20/illustrations/card/ill_79153_karutafutaoijimanoyamanokami03.jpg?201908-1-RELEASE-raid-422x", "■")</f>
        <v>■</v>
      </c>
      <c r="F90" s="1" t="s">
        <v>6076</v>
      </c>
      <c r="G90" s="1">
        <v>65176</v>
      </c>
      <c r="H90" s="1">
        <v>115855</v>
      </c>
      <c r="I90" s="1">
        <v>23</v>
      </c>
      <c r="J90" s="1" t="s">
        <v>6077</v>
      </c>
      <c r="K90" s="1" t="s">
        <v>6078</v>
      </c>
      <c r="L90" s="1" t="s">
        <v>6079</v>
      </c>
      <c r="M90" s="1" t="s">
        <v>9158</v>
      </c>
      <c r="N90" s="1" t="s">
        <v>9158</v>
      </c>
      <c r="O90" s="1" t="s">
        <v>9158</v>
      </c>
      <c r="P90" s="1" t="s">
        <v>9158</v>
      </c>
      <c r="Q90" s="1" t="s">
        <v>9158</v>
      </c>
    </row>
    <row r="91" spans="1:17">
      <c r="A91" s="1">
        <v>69953</v>
      </c>
      <c r="B91" s="1" t="s">
        <v>334</v>
      </c>
      <c r="C91" s="1" t="s">
        <v>200</v>
      </c>
      <c r="D91" s="19" t="s">
        <v>10464</v>
      </c>
      <c r="E91" s="15" t="str">
        <f>HYPERLINK("https://stat100.ameba.jp/tnk47/ratio20/illustrations/card/ill_69953_hyoketsunonikusutopatororu03.jpg?201908-1-RELEASE-raid-422x", "■")</f>
        <v>■</v>
      </c>
      <c r="F91" s="1" t="s">
        <v>1259</v>
      </c>
      <c r="G91" s="1">
        <v>75467</v>
      </c>
      <c r="H91" s="1">
        <v>134152</v>
      </c>
      <c r="I91" s="1">
        <v>23</v>
      </c>
      <c r="J91" s="1" t="s">
        <v>143</v>
      </c>
      <c r="K91" s="1" t="s">
        <v>1260</v>
      </c>
      <c r="L91" s="1" t="s">
        <v>1190</v>
      </c>
      <c r="M91" s="1" t="s">
        <v>9158</v>
      </c>
      <c r="N91" s="1" t="s">
        <v>9158</v>
      </c>
      <c r="O91" s="1" t="s">
        <v>9158</v>
      </c>
      <c r="P91" s="1" t="s">
        <v>9158</v>
      </c>
      <c r="Q91" s="1" t="s">
        <v>9158</v>
      </c>
    </row>
    <row r="92" spans="1:17">
      <c r="A92" s="1">
        <v>60943</v>
      </c>
      <c r="B92" s="1" t="s">
        <v>334</v>
      </c>
      <c r="C92" s="1" t="s">
        <v>206</v>
      </c>
      <c r="D92" s="19" t="s">
        <v>10465</v>
      </c>
      <c r="E92" s="15" t="str">
        <f>HYPERLINK("https://stat100.ameba.jp/tnk47/ratio20/illustrations/card/ill_60943_sukurugarutenshoin03.jpg?201908-1-RELEASE-raid-422x", "■")</f>
        <v>■</v>
      </c>
      <c r="F92" s="1" t="s">
        <v>3958</v>
      </c>
      <c r="G92" s="1">
        <v>83499</v>
      </c>
      <c r="H92" s="1">
        <v>89839</v>
      </c>
      <c r="I92" s="1">
        <v>23</v>
      </c>
      <c r="J92" s="1" t="s">
        <v>10</v>
      </c>
      <c r="K92" s="1" t="s">
        <v>3959</v>
      </c>
      <c r="L92" s="1" t="s">
        <v>12</v>
      </c>
      <c r="M92" s="1" t="s">
        <v>9158</v>
      </c>
      <c r="N92" s="1" t="s">
        <v>9158</v>
      </c>
      <c r="O92" s="1" t="s">
        <v>9158</v>
      </c>
      <c r="P92" s="1" t="s">
        <v>9158</v>
      </c>
      <c r="Q92" s="1" t="s">
        <v>9158</v>
      </c>
    </row>
    <row r="93" spans="1:17">
      <c r="A93" s="1">
        <v>71623</v>
      </c>
      <c r="B93" s="1" t="s">
        <v>6073</v>
      </c>
      <c r="C93" s="1" t="s">
        <v>6075</v>
      </c>
      <c r="D93" s="19" t="s">
        <v>10466</v>
      </c>
      <c r="E93" s="15" t="str">
        <f>HYPERLINK("https://stat100.ameba.jp/tnk47/ratio20/illustrations/card/ill_71623_suikotenno03.jpg?201908-1-RELEASE-raid-422x", "■")</f>
        <v>■</v>
      </c>
      <c r="F93" s="1" t="s">
        <v>6080</v>
      </c>
      <c r="G93" s="1">
        <v>51078</v>
      </c>
      <c r="H93" s="1">
        <v>56316</v>
      </c>
      <c r="I93" s="1">
        <v>19</v>
      </c>
      <c r="J93" s="1" t="s">
        <v>10</v>
      </c>
      <c r="K93" s="1" t="s">
        <v>6081</v>
      </c>
      <c r="L93" s="1" t="s">
        <v>6082</v>
      </c>
      <c r="M93" s="1" t="s">
        <v>9158</v>
      </c>
      <c r="N93" s="1" t="s">
        <v>9158</v>
      </c>
      <c r="O93" s="1" t="s">
        <v>9158</v>
      </c>
      <c r="P93" s="1" t="s">
        <v>9158</v>
      </c>
      <c r="Q93" s="1" t="s">
        <v>9158</v>
      </c>
    </row>
    <row r="94" spans="1:17">
      <c r="A94" s="1">
        <v>62163</v>
      </c>
      <c r="B94" s="1" t="s">
        <v>6073</v>
      </c>
      <c r="C94" s="1" t="s">
        <v>6074</v>
      </c>
      <c r="D94" s="19" t="s">
        <v>10467</v>
      </c>
      <c r="E94" s="15" t="str">
        <f>HYPERLINK("https://stat100.ameba.jp/tnk47/ratio20/illustrations/card/ill_62163_obentoarisubekon03.jpg?201908-1-RELEASE-raid-422x", "■")</f>
        <v>■</v>
      </c>
      <c r="F94" s="1" t="s">
        <v>6083</v>
      </c>
      <c r="G94" s="1">
        <v>51078</v>
      </c>
      <c r="H94" s="1">
        <v>56316</v>
      </c>
      <c r="I94" s="1">
        <v>19</v>
      </c>
      <c r="J94" s="1" t="s">
        <v>6084</v>
      </c>
      <c r="K94" s="1" t="s">
        <v>6085</v>
      </c>
      <c r="L94" s="1" t="s">
        <v>6086</v>
      </c>
      <c r="M94" s="1" t="s">
        <v>9158</v>
      </c>
      <c r="N94" s="1" t="s">
        <v>9158</v>
      </c>
      <c r="O94" s="1" t="s">
        <v>9158</v>
      </c>
      <c r="P94" s="1" t="s">
        <v>9158</v>
      </c>
      <c r="Q94" s="1" t="s">
        <v>9158</v>
      </c>
    </row>
    <row r="95" spans="1:17">
      <c r="A95" s="1">
        <v>56683</v>
      </c>
      <c r="B95" s="1" t="s">
        <v>15</v>
      </c>
      <c r="C95" s="1" t="s">
        <v>107</v>
      </c>
      <c r="D95" s="19" t="s">
        <v>10468</v>
      </c>
      <c r="E95" s="15" t="str">
        <f>HYPERLINK("https://stat100.ameba.jp/tnk47/ratio20/illustrations/card/ill_56683_daibingusakyogabashinohebi03.jpg?201908-1-RELEASE-raid-422x", "■")</f>
        <v>■</v>
      </c>
      <c r="F95" s="1" t="s">
        <v>109</v>
      </c>
      <c r="G95" s="1">
        <v>51078</v>
      </c>
      <c r="H95" s="1">
        <v>56316</v>
      </c>
      <c r="I95" s="1">
        <v>19</v>
      </c>
      <c r="J95" s="1" t="s">
        <v>38</v>
      </c>
      <c r="K95" s="1" t="s">
        <v>110</v>
      </c>
      <c r="L95" s="1" t="s">
        <v>111</v>
      </c>
      <c r="M95" s="1" t="s">
        <v>9158</v>
      </c>
      <c r="N95" s="1" t="s">
        <v>9158</v>
      </c>
      <c r="O95" s="1" t="s">
        <v>9158</v>
      </c>
      <c r="P95" s="1" t="s">
        <v>9158</v>
      </c>
      <c r="Q95" s="1" t="s">
        <v>9158</v>
      </c>
    </row>
    <row r="97" spans="1:19">
      <c r="A97" s="1" t="s">
        <v>6087</v>
      </c>
    </row>
    <row r="98" spans="1:19">
      <c r="A98" s="1" t="s">
        <v>6088</v>
      </c>
    </row>
    <row r="99" spans="1:19">
      <c r="A99" s="1" t="s">
        <v>5605</v>
      </c>
      <c r="B99" s="1" t="s">
        <v>52</v>
      </c>
      <c r="C99" s="1" t="s">
        <v>202</v>
      </c>
      <c r="D99" s="19" t="s">
        <v>10332</v>
      </c>
      <c r="E99" s="15" t="str">
        <f>HYPERLINK("https://stat100.ameba.jp/tnk47/ratio20/illustrations/card/ill_79373_0_hommeichokotennyohime03.jpg?201908-2-RELEASE-unionbattle-423", "■")</f>
        <v>■</v>
      </c>
      <c r="F99" s="1" t="s">
        <v>3495</v>
      </c>
      <c r="G99" s="1">
        <v>272036</v>
      </c>
      <c r="H99" s="1">
        <v>245878</v>
      </c>
      <c r="I99" s="1">
        <v>22</v>
      </c>
      <c r="J99" s="1" t="s">
        <v>104</v>
      </c>
      <c r="K99" s="1" t="s">
        <v>3496</v>
      </c>
      <c r="L99" s="1" t="s">
        <v>3497</v>
      </c>
      <c r="M99" s="1" t="s">
        <v>9158</v>
      </c>
      <c r="N99" s="1" t="s">
        <v>9158</v>
      </c>
      <c r="O99" s="19" t="s">
        <v>10072</v>
      </c>
      <c r="P99" s="1" t="s">
        <v>3498</v>
      </c>
      <c r="Q99" s="1">
        <v>1</v>
      </c>
    </row>
    <row r="100" spans="1:19">
      <c r="A100" s="1" t="s">
        <v>6090</v>
      </c>
      <c r="B100" s="1" t="s">
        <v>52</v>
      </c>
      <c r="C100" s="1" t="s">
        <v>14</v>
      </c>
      <c r="D100" s="19" t="s">
        <v>3195</v>
      </c>
      <c r="E100" s="15" t="str">
        <f>HYPERLINK("https://stat100.ameba.jp/tnk47/ratio20/illustrations/card/ill_75393_0_resukuinotsukisamaniittausagi03.jpg?201908-2-RELEASE-unionbattle-423", "■")</f>
        <v>■</v>
      </c>
      <c r="F100" s="1" t="s">
        <v>3248</v>
      </c>
      <c r="G100" s="1">
        <v>250588</v>
      </c>
      <c r="H100" s="1">
        <v>232980</v>
      </c>
      <c r="I100" s="1">
        <v>22</v>
      </c>
      <c r="J100" s="1" t="s">
        <v>26</v>
      </c>
      <c r="K100" s="1" t="s">
        <v>3249</v>
      </c>
      <c r="L100" s="1" t="s">
        <v>3250</v>
      </c>
      <c r="M100" s="1" t="s">
        <v>9158</v>
      </c>
      <c r="N100" s="1" t="s">
        <v>9158</v>
      </c>
      <c r="O100" s="19" t="s">
        <v>10101</v>
      </c>
      <c r="P100" s="1" t="s">
        <v>3251</v>
      </c>
      <c r="Q100" s="1">
        <v>2</v>
      </c>
    </row>
    <row r="101" spans="1:19">
      <c r="A101" s="1">
        <v>83083</v>
      </c>
      <c r="B101" s="1" t="s">
        <v>0</v>
      </c>
      <c r="C101" s="1" t="s">
        <v>6091</v>
      </c>
      <c r="D101" s="19" t="s">
        <v>10469</v>
      </c>
      <c r="E101" s="15" t="str">
        <f>HYPERLINK("https://stat100.ameba.jp/tnk47/ratio20/illustrations/card/ill_83083_burakkukingu03.jpg?201908-2-RELEASE-unionbattle-423", "■")</f>
        <v>■</v>
      </c>
      <c r="F101" s="1" t="s">
        <v>6093</v>
      </c>
      <c r="G101" s="1">
        <v>115656</v>
      </c>
      <c r="H101" s="1">
        <v>159674</v>
      </c>
      <c r="I101" s="1">
        <v>24</v>
      </c>
      <c r="J101" s="1" t="s">
        <v>6094</v>
      </c>
      <c r="K101" s="1" t="s">
        <v>6095</v>
      </c>
      <c r="L101" s="1" t="s">
        <v>6096</v>
      </c>
      <c r="M101" s="1" t="s">
        <v>9158</v>
      </c>
      <c r="N101" s="1" t="s">
        <v>9158</v>
      </c>
      <c r="O101" s="19" t="s">
        <v>10117</v>
      </c>
      <c r="P101" s="1" t="s">
        <v>3625</v>
      </c>
      <c r="Q101" s="1">
        <v>1</v>
      </c>
    </row>
    <row r="102" spans="1:19">
      <c r="A102" s="1">
        <v>58353</v>
      </c>
      <c r="B102" s="1" t="s">
        <v>334</v>
      </c>
      <c r="C102" s="1" t="s">
        <v>6092</v>
      </c>
      <c r="D102" s="19" t="s">
        <v>10470</v>
      </c>
      <c r="E102" s="15" t="str">
        <f>HYPERLINK("https://stat100.ameba.jp/tnk47/ratio20/illustrations/card/ill_58353_tajihinoayako03.jpg?201908-2-RELEASE-unionbattle-423", "■")</f>
        <v>■</v>
      </c>
      <c r="F102" s="1" t="s">
        <v>6097</v>
      </c>
      <c r="G102" s="1">
        <v>69599</v>
      </c>
      <c r="H102" s="1">
        <v>94922</v>
      </c>
      <c r="I102" s="1">
        <v>23</v>
      </c>
      <c r="J102" s="1" t="s">
        <v>16</v>
      </c>
      <c r="K102" s="1" t="s">
        <v>6099</v>
      </c>
      <c r="L102" s="1" t="s">
        <v>6098</v>
      </c>
      <c r="M102" s="1" t="s">
        <v>9158</v>
      </c>
      <c r="N102" s="1" t="s">
        <v>9158</v>
      </c>
      <c r="O102" s="1" t="s">
        <v>9158</v>
      </c>
      <c r="P102" s="1" t="s">
        <v>9158</v>
      </c>
      <c r="Q102" s="1" t="s">
        <v>9158</v>
      </c>
    </row>
    <row r="103" spans="1:19">
      <c r="A103" s="1">
        <v>58263</v>
      </c>
      <c r="B103" s="1" t="s">
        <v>334</v>
      </c>
      <c r="C103" s="1" t="s">
        <v>203</v>
      </c>
      <c r="D103" s="19" t="s">
        <v>679</v>
      </c>
      <c r="E103" s="15" t="str">
        <f>HYPERLINK("https://stat100.ameba.jp/tnk47/ratio20/illustrations/card/ill_58263_tamayorigozen03.jpg?201908-2-RELEASE-unionbattle-423", "■")</f>
        <v>■</v>
      </c>
      <c r="F103" s="1" t="s">
        <v>680</v>
      </c>
      <c r="G103" s="1">
        <v>72819</v>
      </c>
      <c r="H103" s="1">
        <v>100519</v>
      </c>
      <c r="I103" s="1">
        <v>23</v>
      </c>
      <c r="J103" s="1" t="s">
        <v>351</v>
      </c>
      <c r="K103" s="1" t="s">
        <v>681</v>
      </c>
      <c r="L103" s="1" t="s">
        <v>682</v>
      </c>
      <c r="M103" s="1" t="s">
        <v>9158</v>
      </c>
      <c r="N103" s="1" t="s">
        <v>9158</v>
      </c>
      <c r="O103" s="1" t="s">
        <v>9158</v>
      </c>
      <c r="P103" s="1" t="s">
        <v>9158</v>
      </c>
      <c r="Q103" s="1" t="s">
        <v>9158</v>
      </c>
    </row>
    <row r="104" spans="1:19">
      <c r="A104" s="1">
        <v>76773</v>
      </c>
      <c r="B104" s="1" t="s">
        <v>334</v>
      </c>
      <c r="C104" s="1" t="s">
        <v>209</v>
      </c>
      <c r="D104" s="19" t="s">
        <v>10471</v>
      </c>
      <c r="E104" s="15" t="str">
        <f>HYPERLINK("https://stat100.ameba.jp/tnk47/ratio20/illustrations/card/ill_76773_monsutatominushihime03.jpg?201908-2-RELEASE-unionbattle-423", "■")</f>
        <v>■</v>
      </c>
      <c r="F104" s="1" t="s">
        <v>817</v>
      </c>
      <c r="G104" s="1">
        <v>104989</v>
      </c>
      <c r="H104" s="1">
        <v>76042</v>
      </c>
      <c r="I104" s="1">
        <v>23</v>
      </c>
      <c r="J104" s="1" t="s">
        <v>401</v>
      </c>
      <c r="K104" s="1" t="s">
        <v>818</v>
      </c>
      <c r="L104" s="1" t="s">
        <v>819</v>
      </c>
      <c r="M104" s="1" t="s">
        <v>9158</v>
      </c>
      <c r="N104" s="1" t="s">
        <v>9158</v>
      </c>
      <c r="O104" s="1" t="s">
        <v>9158</v>
      </c>
      <c r="P104" s="1" t="s">
        <v>9158</v>
      </c>
      <c r="Q104" s="1" t="s">
        <v>9158</v>
      </c>
    </row>
    <row r="105" spans="1:19">
      <c r="A105" s="1">
        <v>68693</v>
      </c>
      <c r="B105" s="1" t="s">
        <v>334</v>
      </c>
      <c r="C105" s="1" t="s">
        <v>154</v>
      </c>
      <c r="D105" s="19" t="s">
        <v>10232</v>
      </c>
      <c r="E105" s="15" t="str">
        <f>HYPERLINK("https://stat100.ameba.jp/tnk47/ratio20/illustrations/card/ill_68693_mayoiga03.jpg?201908-2-RELEASE-unionbattle-423", "■")</f>
        <v>■</v>
      </c>
      <c r="F105" s="1" t="s">
        <v>3466</v>
      </c>
      <c r="G105" s="1">
        <v>121572</v>
      </c>
      <c r="H105" s="1">
        <v>88047</v>
      </c>
      <c r="I105" s="1">
        <v>23</v>
      </c>
      <c r="J105" s="1" t="s">
        <v>73</v>
      </c>
      <c r="K105" s="1" t="s">
        <v>3467</v>
      </c>
      <c r="L105" s="1" t="s">
        <v>3468</v>
      </c>
      <c r="M105" s="1" t="s">
        <v>9158</v>
      </c>
      <c r="N105" s="1" t="s">
        <v>9158</v>
      </c>
      <c r="O105" s="19" t="s">
        <v>3037</v>
      </c>
      <c r="P105" s="1" t="s">
        <v>13128</v>
      </c>
      <c r="Q105" s="1">
        <v>1</v>
      </c>
    </row>
    <row r="106" spans="1:19">
      <c r="A106" s="1">
        <v>73893</v>
      </c>
      <c r="B106" s="1" t="s">
        <v>334</v>
      </c>
      <c r="C106" s="1" t="s">
        <v>203</v>
      </c>
      <c r="D106" s="19" t="s">
        <v>10388</v>
      </c>
      <c r="E106" s="15" t="str">
        <f>HYPERLINK("https://stat100.ameba.jp/tnk47/ratio20/illustrations/card/ill_73893_kurohachidaimyojintookami03.jpg?201908-2-RELEASE-unionbattle-423", "■")</f>
        <v>■</v>
      </c>
      <c r="F106" s="1" t="s">
        <v>685</v>
      </c>
      <c r="G106" s="1">
        <v>117374</v>
      </c>
      <c r="H106" s="1">
        <v>85010</v>
      </c>
      <c r="I106" s="1">
        <v>23</v>
      </c>
      <c r="J106" s="1" t="s">
        <v>274</v>
      </c>
      <c r="K106" s="1" t="s">
        <v>686</v>
      </c>
      <c r="L106" s="1" t="s">
        <v>428</v>
      </c>
      <c r="M106" s="1" t="s">
        <v>9158</v>
      </c>
      <c r="N106" s="1" t="s">
        <v>9158</v>
      </c>
      <c r="O106" s="19" t="s">
        <v>10118</v>
      </c>
      <c r="P106" s="1" t="s">
        <v>3810</v>
      </c>
      <c r="Q106" s="1">
        <v>1</v>
      </c>
    </row>
    <row r="108" spans="1:19">
      <c r="A108" s="1" t="s">
        <v>3916</v>
      </c>
    </row>
    <row r="109" spans="1:19">
      <c r="A109" s="1" t="s">
        <v>6089</v>
      </c>
    </row>
    <row r="110" spans="1:19">
      <c r="A110" s="1">
        <v>76103</v>
      </c>
      <c r="B110" s="1" t="s">
        <v>334</v>
      </c>
      <c r="C110" s="1" t="s">
        <v>154</v>
      </c>
      <c r="D110" s="19" t="s">
        <v>570</v>
      </c>
      <c r="E110" s="15" t="str">
        <f>HYPERLINK("https://stat100.ameba.jp/tnk47/ratio20/illustrations/card/ill_76103_shibuaji03.jpg?201908-2-RELEASE-unionbattle-423", "■")</f>
        <v>■</v>
      </c>
      <c r="F110" s="1" t="s">
        <v>1122</v>
      </c>
      <c r="G110" s="1">
        <v>103512</v>
      </c>
      <c r="H110" s="1">
        <v>96246</v>
      </c>
      <c r="I110" s="1">
        <v>24</v>
      </c>
      <c r="J110" s="1" t="s">
        <v>143</v>
      </c>
      <c r="K110" s="1" t="s">
        <v>1123</v>
      </c>
      <c r="L110" s="1" t="s">
        <v>1124</v>
      </c>
      <c r="M110" s="1" t="s">
        <v>9158</v>
      </c>
      <c r="N110" s="1" t="s">
        <v>9158</v>
      </c>
      <c r="O110" s="1" t="s">
        <v>9158</v>
      </c>
      <c r="P110" s="1" t="s">
        <v>9158</v>
      </c>
      <c r="Q110" s="1" t="s">
        <v>9158</v>
      </c>
    </row>
    <row r="111" spans="1:19">
      <c r="A111" s="1">
        <v>66103</v>
      </c>
      <c r="B111" s="1" t="s">
        <v>0</v>
      </c>
      <c r="C111" s="1" t="s">
        <v>158</v>
      </c>
      <c r="D111" s="19" t="s">
        <v>10229</v>
      </c>
      <c r="E111" s="15" t="str">
        <f>HYPERLINK("https://stat100.ameba.jp/tnk47/ratio20/illustrations/card/ill_66103_kokentenno03.jpg?201908-2-RELEASE-unionbattle-423", "■")</f>
        <v>■</v>
      </c>
      <c r="F111" s="1" t="s">
        <v>1764</v>
      </c>
      <c r="G111" s="1">
        <v>103512</v>
      </c>
      <c r="H111" s="1">
        <v>96246</v>
      </c>
      <c r="I111" s="1">
        <v>24</v>
      </c>
      <c r="J111" s="1" t="s">
        <v>77</v>
      </c>
      <c r="K111" s="1" t="s">
        <v>1765</v>
      </c>
      <c r="L111" s="1" t="s">
        <v>1766</v>
      </c>
      <c r="M111" s="1" t="s">
        <v>9158</v>
      </c>
      <c r="N111" s="1" t="s">
        <v>9158</v>
      </c>
      <c r="O111" s="1" t="s">
        <v>9158</v>
      </c>
      <c r="P111" s="1" t="s">
        <v>9158</v>
      </c>
      <c r="Q111" s="1" t="s">
        <v>9158</v>
      </c>
      <c r="S111" s="1" t="s">
        <v>6190</v>
      </c>
    </row>
    <row r="112" spans="1:19">
      <c r="A112" s="1">
        <v>76113</v>
      </c>
      <c r="B112" s="1" t="s">
        <v>334</v>
      </c>
      <c r="C112" s="1" t="s">
        <v>158</v>
      </c>
      <c r="D112" s="19" t="s">
        <v>10268</v>
      </c>
      <c r="E112" s="15" t="str">
        <f>HYPERLINK("https://stat100.ameba.jp/tnk47/ratio20/illustrations/card/ill_76113_jannudaruku03.jpg?201908-2-RELEASE-unionbattle-423", "■")</f>
        <v>■</v>
      </c>
      <c r="F112" s="1" t="s">
        <v>1126</v>
      </c>
      <c r="G112" s="1">
        <v>103512</v>
      </c>
      <c r="H112" s="1">
        <v>96246</v>
      </c>
      <c r="I112" s="1">
        <v>24</v>
      </c>
      <c r="J112" s="1" t="s">
        <v>10</v>
      </c>
      <c r="K112" s="1" t="s">
        <v>1127</v>
      </c>
      <c r="L112" s="1" t="s">
        <v>1128</v>
      </c>
      <c r="M112" s="1" t="s">
        <v>9158</v>
      </c>
      <c r="N112" s="1" t="s">
        <v>9158</v>
      </c>
      <c r="O112" s="1" t="s">
        <v>9158</v>
      </c>
      <c r="P112" s="1" t="s">
        <v>9158</v>
      </c>
      <c r="Q112" s="1" t="s">
        <v>9158</v>
      </c>
    </row>
    <row r="113" spans="1:19">
      <c r="A113" s="1">
        <v>63323</v>
      </c>
      <c r="B113" s="1" t="s">
        <v>0</v>
      </c>
      <c r="C113" s="1" t="s">
        <v>200</v>
      </c>
      <c r="D113" s="19" t="s">
        <v>10269</v>
      </c>
      <c r="E113" s="15" t="str">
        <f>HYPERLINK("https://stat100.ameba.jp/tnk47/ratio20/illustrations/card/ill_63323_ajisaikushinadahime03.jpg?201908-2-RELEASE-unionbattle-423", "■")</f>
        <v>■</v>
      </c>
      <c r="F113" s="1" t="s">
        <v>3583</v>
      </c>
      <c r="G113" s="1">
        <v>91010</v>
      </c>
      <c r="H113" s="1">
        <v>97894</v>
      </c>
      <c r="I113" s="1">
        <v>24</v>
      </c>
      <c r="J113" s="1" t="s">
        <v>44</v>
      </c>
      <c r="K113" s="1" t="s">
        <v>3584</v>
      </c>
      <c r="L113" s="1" t="s">
        <v>2400</v>
      </c>
      <c r="M113" s="1" t="s">
        <v>9158</v>
      </c>
      <c r="N113" s="1" t="s">
        <v>9158</v>
      </c>
      <c r="O113" s="1" t="s">
        <v>9158</v>
      </c>
      <c r="P113" s="1" t="s">
        <v>9158</v>
      </c>
      <c r="Q113" s="1" t="s">
        <v>9158</v>
      </c>
    </row>
    <row r="114" spans="1:19">
      <c r="A114" s="1">
        <v>76483</v>
      </c>
      <c r="B114" s="1" t="s">
        <v>334</v>
      </c>
      <c r="C114" s="1" t="s">
        <v>307</v>
      </c>
      <c r="D114" s="19" t="s">
        <v>589</v>
      </c>
      <c r="E114" s="15" t="str">
        <f>HYPERLINK("https://stat100.ameba.jp/tnk47/ratio20/illustrations/card/ill_76483_yukemurimizuhanome03.jpg?201908-2-RELEASE-unionbattle-423", "■")</f>
        <v>■</v>
      </c>
      <c r="F114" s="1" t="s">
        <v>590</v>
      </c>
      <c r="G114" s="1">
        <v>97894</v>
      </c>
      <c r="H114" s="1">
        <v>91010</v>
      </c>
      <c r="I114" s="1">
        <v>24</v>
      </c>
      <c r="J114" s="1" t="s">
        <v>401</v>
      </c>
      <c r="K114" s="1" t="s">
        <v>591</v>
      </c>
      <c r="L114" s="1" t="s">
        <v>592</v>
      </c>
      <c r="M114" s="1" t="s">
        <v>9158</v>
      </c>
      <c r="N114" s="1" t="s">
        <v>9158</v>
      </c>
      <c r="O114" s="1" t="s">
        <v>9158</v>
      </c>
      <c r="P114" s="1" t="s">
        <v>9158</v>
      </c>
      <c r="Q114" s="1" t="s">
        <v>9158</v>
      </c>
      <c r="S114" s="1" t="s">
        <v>6190</v>
      </c>
    </row>
    <row r="115" spans="1:19">
      <c r="A115" s="1">
        <v>59863</v>
      </c>
      <c r="B115" s="1" t="s">
        <v>334</v>
      </c>
      <c r="C115" s="1" t="s">
        <v>165</v>
      </c>
      <c r="D115" s="19" t="s">
        <v>318</v>
      </c>
      <c r="E115" s="15" t="str">
        <f>HYPERLINK("https://stat100.ameba.jp/tnk47/ratio20/illustrations/card/ill_59863_yoseiichimokuren03.jpg?201908-2-RELEASE-unionbattle-423", "■")</f>
        <v>■</v>
      </c>
      <c r="F115" s="1" t="s">
        <v>319</v>
      </c>
      <c r="G115" s="1">
        <v>99996</v>
      </c>
      <c r="H115" s="1">
        <v>92996</v>
      </c>
      <c r="I115" s="1">
        <v>24</v>
      </c>
      <c r="J115" s="1" t="s">
        <v>320</v>
      </c>
      <c r="K115" s="1" t="s">
        <v>321</v>
      </c>
      <c r="L115" s="1" t="s">
        <v>322</v>
      </c>
      <c r="M115" s="1" t="s">
        <v>9158</v>
      </c>
      <c r="N115" s="1" t="s">
        <v>9158</v>
      </c>
      <c r="O115" s="1" t="s">
        <v>9158</v>
      </c>
      <c r="P115" s="1" t="s">
        <v>9158</v>
      </c>
      <c r="Q115" s="1" t="s">
        <v>9158</v>
      </c>
    </row>
    <row r="116" spans="1:19">
      <c r="A116" s="1">
        <v>70023</v>
      </c>
      <c r="B116" s="1" t="s">
        <v>334</v>
      </c>
      <c r="C116" s="1" t="s">
        <v>344</v>
      </c>
      <c r="D116" s="19" t="s">
        <v>10230</v>
      </c>
      <c r="E116" s="15" t="str">
        <f>HYPERLINK("https://stat100.ameba.jp/tnk47/ratio20/illustrations/card/ill_70023_yukinoukokunabeshimanobakeneko03.jpg?201908-2-RELEASE-unionbattle-423", "■")</f>
        <v>■</v>
      </c>
      <c r="F116" s="1" t="s">
        <v>769</v>
      </c>
      <c r="G116" s="1">
        <v>92996</v>
      </c>
      <c r="H116" s="1">
        <v>99996</v>
      </c>
      <c r="I116" s="1">
        <v>24</v>
      </c>
      <c r="J116" s="1" t="s">
        <v>320</v>
      </c>
      <c r="K116" s="1" t="s">
        <v>770</v>
      </c>
      <c r="L116" s="1" t="s">
        <v>771</v>
      </c>
      <c r="M116" s="1" t="s">
        <v>9158</v>
      </c>
      <c r="N116" s="1" t="s">
        <v>9158</v>
      </c>
      <c r="O116" s="1" t="s">
        <v>9158</v>
      </c>
      <c r="P116" s="1" t="s">
        <v>9158</v>
      </c>
      <c r="Q116" s="1" t="s">
        <v>9158</v>
      </c>
      <c r="S116" s="1" t="s">
        <v>6190</v>
      </c>
    </row>
    <row r="118" spans="1:19">
      <c r="A118" s="1" t="s">
        <v>6100</v>
      </c>
    </row>
    <row r="119" spans="1:19">
      <c r="A119" s="1" t="s">
        <v>6101</v>
      </c>
    </row>
    <row r="120" spans="1:19">
      <c r="A120" s="1">
        <v>80135</v>
      </c>
      <c r="B120" s="1" t="s">
        <v>6102</v>
      </c>
      <c r="C120" s="1" t="s">
        <v>6104</v>
      </c>
      <c r="D120" s="19" t="s">
        <v>10472</v>
      </c>
      <c r="E120" s="15" t="str">
        <f>HYPERLINK("https://stat100.ameba.jp/tnk47/ratio20/illustrations/card/ill_80135_asashinsukurutemma05.jpg?201908-2-RELEASE-unionbattle-423", "■")</f>
        <v>■</v>
      </c>
      <c r="F120" s="1" t="s">
        <v>6110</v>
      </c>
      <c r="G120" s="1">
        <v>67964</v>
      </c>
      <c r="H120" s="1">
        <v>93866</v>
      </c>
      <c r="I120" s="1">
        <v>24</v>
      </c>
      <c r="J120" s="1" t="s">
        <v>6113</v>
      </c>
      <c r="K120" s="1" t="s">
        <v>6112</v>
      </c>
      <c r="L120" s="1" t="s">
        <v>6111</v>
      </c>
      <c r="M120" s="1" t="s">
        <v>9158</v>
      </c>
      <c r="N120" s="1" t="s">
        <v>9158</v>
      </c>
      <c r="O120" s="1" t="s">
        <v>9158</v>
      </c>
      <c r="P120" s="1" t="s">
        <v>9158</v>
      </c>
      <c r="Q120" s="1" t="s">
        <v>9158</v>
      </c>
      <c r="R120" s="1" t="s">
        <v>6107</v>
      </c>
    </row>
    <row r="121" spans="1:19">
      <c r="A121" s="1">
        <v>80133</v>
      </c>
      <c r="B121" s="1" t="s">
        <v>6103</v>
      </c>
      <c r="C121" s="1" t="s">
        <v>6105</v>
      </c>
      <c r="D121" s="19" t="s">
        <v>10472</v>
      </c>
      <c r="E121" s="15" t="str">
        <f>HYPERLINK("https://stat100.ameba.jp/tnk47/ratio20/illustrations/card/ill_80133_asashinsukurutemma03.jpg?201908-2-RELEASE-unionbattle-423", "■")</f>
        <v>■</v>
      </c>
      <c r="F121" s="1" t="s">
        <v>6110</v>
      </c>
      <c r="G121" s="1">
        <v>49120</v>
      </c>
      <c r="H121" s="1">
        <v>67760</v>
      </c>
      <c r="I121" s="1">
        <v>24</v>
      </c>
      <c r="J121" s="1" t="s">
        <v>6113</v>
      </c>
      <c r="K121" s="1" t="s">
        <v>6112</v>
      </c>
      <c r="L121" s="1" t="s">
        <v>6115</v>
      </c>
      <c r="M121" s="1" t="s">
        <v>9158</v>
      </c>
      <c r="N121" s="1" t="s">
        <v>9158</v>
      </c>
      <c r="O121" s="1" t="s">
        <v>9158</v>
      </c>
      <c r="P121" s="1" t="s">
        <v>9158</v>
      </c>
      <c r="Q121" s="1" t="s">
        <v>9158</v>
      </c>
      <c r="R121" s="1" t="s">
        <v>6108</v>
      </c>
    </row>
    <row r="122" spans="1:19">
      <c r="A122" s="1">
        <v>80131</v>
      </c>
      <c r="B122" s="1" t="s">
        <v>6103</v>
      </c>
      <c r="C122" s="1" t="s">
        <v>6105</v>
      </c>
      <c r="D122" s="19" t="s">
        <v>10472</v>
      </c>
      <c r="E122" s="15" t="str">
        <f>HYPERLINK("https://stat100.ameba.jp/tnk47/ratio20/illustrations/card/ill_80131_asashinsukurutemma01.jpg?201908-2-RELEASE-unionbattle-423", "■")</f>
        <v>■</v>
      </c>
      <c r="F122" s="1" t="s">
        <v>6110</v>
      </c>
      <c r="G122" s="1">
        <v>28488</v>
      </c>
      <c r="H122" s="1">
        <v>39336</v>
      </c>
      <c r="I122" s="1">
        <v>24</v>
      </c>
      <c r="J122" s="1" t="s">
        <v>6113</v>
      </c>
      <c r="K122" s="1" t="s">
        <v>6112</v>
      </c>
      <c r="L122" s="1" t="s">
        <v>6114</v>
      </c>
      <c r="M122" s="1" t="s">
        <v>9158</v>
      </c>
      <c r="N122" s="1" t="s">
        <v>9158</v>
      </c>
      <c r="O122" s="1" t="s">
        <v>9158</v>
      </c>
      <c r="P122" s="1" t="s">
        <v>9158</v>
      </c>
      <c r="Q122" s="1" t="s">
        <v>9158</v>
      </c>
      <c r="R122" s="1" t="s">
        <v>6109</v>
      </c>
    </row>
    <row r="123" spans="1:19">
      <c r="A123" s="1">
        <v>79215</v>
      </c>
      <c r="B123" s="1" t="s">
        <v>6102</v>
      </c>
      <c r="C123" s="1" t="s">
        <v>6104</v>
      </c>
      <c r="D123" s="19" t="s">
        <v>10473</v>
      </c>
      <c r="E123" s="15" t="str">
        <f>HYPERLINK("https://stat100.ameba.jp/tnk47/ratio20/illustrations/card/ill_79215_jizainoimpu05.jpg?201908-2-RELEASE-unionbattle-423", "■")</f>
        <v>■</v>
      </c>
      <c r="F123" s="1" t="s">
        <v>6116</v>
      </c>
      <c r="G123" s="1">
        <v>74668</v>
      </c>
      <c r="H123" s="1">
        <v>54064</v>
      </c>
      <c r="I123" s="1">
        <v>24</v>
      </c>
      <c r="J123" s="1" t="s">
        <v>6119</v>
      </c>
      <c r="K123" s="1" t="s">
        <v>6117</v>
      </c>
      <c r="L123" s="1" t="s">
        <v>6118</v>
      </c>
      <c r="M123" s="1" t="s">
        <v>9158</v>
      </c>
      <c r="N123" s="1" t="s">
        <v>9158</v>
      </c>
      <c r="O123" s="1" t="s">
        <v>9158</v>
      </c>
      <c r="P123" s="1" t="s">
        <v>9158</v>
      </c>
      <c r="Q123" s="1" t="s">
        <v>9158</v>
      </c>
      <c r="R123" s="1" t="s">
        <v>6107</v>
      </c>
    </row>
    <row r="124" spans="1:19">
      <c r="A124" s="1">
        <v>79213</v>
      </c>
      <c r="B124" s="1" t="s">
        <v>6103</v>
      </c>
      <c r="C124" s="1" t="s">
        <v>6106</v>
      </c>
      <c r="D124" s="19" t="s">
        <v>10473</v>
      </c>
      <c r="E124" s="15" t="str">
        <f>HYPERLINK("https://stat100.ameba.jp/tnk47/ratio20/illustrations/card/ill_79213_jizainoimpu03.jpg?201908-2-RELEASE-unionbattle-423", "■")</f>
        <v>■</v>
      </c>
      <c r="F124" s="1" t="s">
        <v>6116</v>
      </c>
      <c r="G124" s="1">
        <v>54008</v>
      </c>
      <c r="H124" s="1">
        <v>39070</v>
      </c>
      <c r="I124" s="1">
        <v>24</v>
      </c>
      <c r="J124" s="1" t="s">
        <v>6119</v>
      </c>
      <c r="K124" s="1" t="s">
        <v>6117</v>
      </c>
      <c r="L124" s="1" t="s">
        <v>6120</v>
      </c>
      <c r="M124" s="1" t="s">
        <v>9158</v>
      </c>
      <c r="N124" s="1" t="s">
        <v>9158</v>
      </c>
      <c r="O124" s="1" t="s">
        <v>9158</v>
      </c>
      <c r="P124" s="1" t="s">
        <v>9158</v>
      </c>
      <c r="Q124" s="1" t="s">
        <v>9158</v>
      </c>
      <c r="R124" s="1" t="s">
        <v>6108</v>
      </c>
    </row>
    <row r="125" spans="1:19">
      <c r="A125" s="1">
        <v>79211</v>
      </c>
      <c r="B125" s="1" t="s">
        <v>6103</v>
      </c>
      <c r="C125" s="1" t="s">
        <v>6106</v>
      </c>
      <c r="D125" s="19" t="s">
        <v>10473</v>
      </c>
      <c r="E125" s="15" t="str">
        <f>HYPERLINK("https://stat100.ameba.jp/tnk47/ratio20/illustrations/card/ill_79211_jizainoimpu01.jpg?201908-2-RELEASE-unionbattle-423", "■")</f>
        <v>■</v>
      </c>
      <c r="F125" s="1" t="s">
        <v>6116</v>
      </c>
      <c r="G125" s="1">
        <v>31296</v>
      </c>
      <c r="H125" s="1">
        <v>22656</v>
      </c>
      <c r="I125" s="1">
        <v>24</v>
      </c>
      <c r="J125" s="1" t="s">
        <v>6119</v>
      </c>
      <c r="K125" s="1" t="s">
        <v>6117</v>
      </c>
      <c r="L125" s="1" t="s">
        <v>6121</v>
      </c>
      <c r="M125" s="1" t="s">
        <v>9158</v>
      </c>
      <c r="N125" s="1" t="s">
        <v>9158</v>
      </c>
      <c r="O125" s="1" t="s">
        <v>9158</v>
      </c>
      <c r="P125" s="1" t="s">
        <v>9158</v>
      </c>
      <c r="Q125" s="1" t="s">
        <v>9158</v>
      </c>
      <c r="R125" s="1" t="s">
        <v>6109</v>
      </c>
    </row>
    <row r="126" spans="1:19">
      <c r="A126" s="1">
        <v>72115</v>
      </c>
      <c r="B126" s="1" t="s">
        <v>6102</v>
      </c>
      <c r="C126" s="1" t="s">
        <v>6104</v>
      </c>
      <c r="D126" s="19" t="s">
        <v>10474</v>
      </c>
      <c r="E126" s="15" t="str">
        <f>HYPERLINK("https://stat100.ameba.jp/tnk47/ratio20/illustrations/card/ill_72115_yamainunyobo05.jpg?201908-2-RELEASE-unionbattle-423", "■")</f>
        <v>■</v>
      </c>
      <c r="F126" s="1" t="s">
        <v>6122</v>
      </c>
      <c r="G126" s="1">
        <v>131754</v>
      </c>
      <c r="H126" s="1">
        <v>95392</v>
      </c>
      <c r="I126" s="1">
        <v>24</v>
      </c>
      <c r="J126" s="1" t="s">
        <v>6125</v>
      </c>
      <c r="K126" s="1" t="s">
        <v>6124</v>
      </c>
      <c r="L126" s="1" t="s">
        <v>6123</v>
      </c>
      <c r="M126" s="1" t="s">
        <v>9158</v>
      </c>
      <c r="N126" s="1" t="s">
        <v>9158</v>
      </c>
      <c r="O126" s="1" t="s">
        <v>9158</v>
      </c>
      <c r="P126" s="1" t="s">
        <v>9158</v>
      </c>
      <c r="Q126" s="1" t="s">
        <v>9158</v>
      </c>
      <c r="R126" s="1" t="s">
        <v>6107</v>
      </c>
    </row>
    <row r="127" spans="1:19">
      <c r="A127" s="1">
        <v>72113</v>
      </c>
      <c r="B127" s="1" t="s">
        <v>6103</v>
      </c>
      <c r="C127" s="1" t="s">
        <v>6106</v>
      </c>
      <c r="D127" s="19" t="s">
        <v>10474</v>
      </c>
      <c r="E127" s="15" t="str">
        <f>HYPERLINK("https://stat100.ameba.jp/tnk47/ratio20/illustrations/card/ill_72113_yamainunyobo03.jpg?201908-2-RELEASE-unionbattle-423", "■")</f>
        <v>■</v>
      </c>
      <c r="F127" s="1" t="s">
        <v>6122</v>
      </c>
      <c r="G127" s="1">
        <v>97068</v>
      </c>
      <c r="H127" s="1">
        <v>70274</v>
      </c>
      <c r="I127" s="1">
        <v>24</v>
      </c>
      <c r="J127" s="1" t="s">
        <v>6125</v>
      </c>
      <c r="K127" s="1" t="s">
        <v>6124</v>
      </c>
      <c r="L127" s="1" t="s">
        <v>6126</v>
      </c>
      <c r="M127" s="1" t="s">
        <v>9158</v>
      </c>
      <c r="N127" s="1" t="s">
        <v>9158</v>
      </c>
      <c r="O127" s="1" t="s">
        <v>9158</v>
      </c>
      <c r="P127" s="1" t="s">
        <v>9158</v>
      </c>
      <c r="Q127" s="1" t="s">
        <v>9158</v>
      </c>
      <c r="R127" s="1" t="s">
        <v>6108</v>
      </c>
    </row>
    <row r="128" spans="1:19">
      <c r="A128" s="1">
        <v>72111</v>
      </c>
      <c r="B128" s="1" t="s">
        <v>6103</v>
      </c>
      <c r="C128" s="1" t="s">
        <v>6106</v>
      </c>
      <c r="D128" s="19" t="s">
        <v>10474</v>
      </c>
      <c r="E128" s="15" t="str">
        <f>HYPERLINK("https://stat100.ameba.jp/tnk47/ratio20/illustrations/card/ill_72111_yamainunyobo01.jpg?201908-2-RELEASE-unionbattle-423", "■")</f>
        <v>■</v>
      </c>
      <c r="F128" s="1" t="s">
        <v>6122</v>
      </c>
      <c r="G128" s="1">
        <v>61752</v>
      </c>
      <c r="H128" s="1">
        <v>44712</v>
      </c>
      <c r="I128" s="1">
        <v>24</v>
      </c>
      <c r="J128" s="1" t="s">
        <v>6125</v>
      </c>
      <c r="K128" s="1" t="s">
        <v>6124</v>
      </c>
      <c r="L128" s="1" t="s">
        <v>6127</v>
      </c>
      <c r="M128" s="1" t="s">
        <v>9158</v>
      </c>
      <c r="N128" s="1" t="s">
        <v>9158</v>
      </c>
      <c r="O128" s="1" t="s">
        <v>9158</v>
      </c>
      <c r="P128" s="1" t="s">
        <v>9158</v>
      </c>
      <c r="Q128" s="1" t="s">
        <v>9158</v>
      </c>
      <c r="R128" s="1" t="s">
        <v>6109</v>
      </c>
    </row>
    <row r="130" spans="1:17">
      <c r="A130" s="1" t="s">
        <v>6128</v>
      </c>
    </row>
    <row r="131" spans="1:17">
      <c r="A131" s="1" t="s">
        <v>6129</v>
      </c>
    </row>
    <row r="132" spans="1:17">
      <c r="A132" s="1" t="s">
        <v>6130</v>
      </c>
      <c r="B132" s="1" t="s">
        <v>330</v>
      </c>
      <c r="C132" s="1" t="s">
        <v>202</v>
      </c>
      <c r="D132" s="19" t="s">
        <v>2744</v>
      </c>
      <c r="E132" s="15" t="str">
        <f>HYPERLINK("https://stat100.ameba.jp/tnk47/ratio20/illustrations/card/ill_78693_0_kyupittokoinomikoto03.jpg?201908-2-RELEASE-unionbattle-423", "■")</f>
        <v>■</v>
      </c>
      <c r="F132" s="1" t="s">
        <v>2745</v>
      </c>
      <c r="G132" s="1">
        <v>251516</v>
      </c>
      <c r="H132" s="1">
        <v>278294</v>
      </c>
      <c r="I132" s="1">
        <v>24</v>
      </c>
      <c r="J132" s="1" t="s">
        <v>274</v>
      </c>
      <c r="K132" s="1" t="s">
        <v>2746</v>
      </c>
      <c r="L132" s="1" t="s">
        <v>2747</v>
      </c>
      <c r="M132" s="1" t="s">
        <v>9158</v>
      </c>
      <c r="N132" s="1" t="s">
        <v>9158</v>
      </c>
      <c r="O132" s="19" t="s">
        <v>10097</v>
      </c>
      <c r="P132" s="1" t="s">
        <v>2748</v>
      </c>
      <c r="Q132" s="1">
        <v>1</v>
      </c>
    </row>
    <row r="133" spans="1:17">
      <c r="A133" s="1">
        <v>67103</v>
      </c>
      <c r="B133" s="1" t="s">
        <v>334</v>
      </c>
      <c r="C133" s="1" t="s">
        <v>154</v>
      </c>
      <c r="D133" s="19" t="s">
        <v>10253</v>
      </c>
      <c r="E133" s="15" t="str">
        <f>HYPERLINK("https://stat100.ameba.jp/tnk47/ratio20/illustrations/card/ill_67103_ankonabe03.jpg?201908-2-RELEASE-unionbattle-423", "■")</f>
        <v>■</v>
      </c>
      <c r="F133" s="1" t="s">
        <v>1283</v>
      </c>
      <c r="G133" s="1">
        <v>91876</v>
      </c>
      <c r="H133" s="1">
        <v>126858</v>
      </c>
      <c r="I133" s="1">
        <v>24</v>
      </c>
      <c r="J133" s="1" t="s">
        <v>216</v>
      </c>
      <c r="K133" s="1" t="s">
        <v>1284</v>
      </c>
      <c r="L133" s="1" t="s">
        <v>13153</v>
      </c>
      <c r="M133" s="1" t="s">
        <v>9158</v>
      </c>
      <c r="N133" s="1" t="s">
        <v>9158</v>
      </c>
      <c r="O133" s="19" t="s">
        <v>4074</v>
      </c>
      <c r="P133" s="1" t="s">
        <v>3462</v>
      </c>
      <c r="Q133" s="1">
        <v>1</v>
      </c>
    </row>
    <row r="134" spans="1:17">
      <c r="A134" s="1">
        <v>80573</v>
      </c>
      <c r="B134" s="1" t="s">
        <v>334</v>
      </c>
      <c r="C134" s="1" t="s">
        <v>165</v>
      </c>
      <c r="D134" s="19" t="s">
        <v>10301</v>
      </c>
      <c r="E134" s="15" t="str">
        <f>HYPERLINK("https://stat100.ameba.jp/tnk47/ratio20/illustrations/card/ill_80573_ohanamigurampingusotorihime03.jpg?201908-2-RELEASE-unionbattle-423", "■")</f>
        <v>■</v>
      </c>
      <c r="F134" s="1" t="s">
        <v>4176</v>
      </c>
      <c r="G134" s="1">
        <v>109528</v>
      </c>
      <c r="H134" s="1">
        <v>101656</v>
      </c>
      <c r="I134" s="1">
        <v>24</v>
      </c>
      <c r="J134" s="1" t="s">
        <v>38</v>
      </c>
      <c r="K134" s="1" t="s">
        <v>4177</v>
      </c>
      <c r="L134" s="1" t="s">
        <v>4178</v>
      </c>
      <c r="M134" s="1" t="s">
        <v>9158</v>
      </c>
      <c r="N134" s="1" t="s">
        <v>9158</v>
      </c>
      <c r="O134" s="19" t="s">
        <v>10119</v>
      </c>
      <c r="P134" s="1" t="s">
        <v>3662</v>
      </c>
      <c r="Q134" s="1">
        <v>1</v>
      </c>
    </row>
    <row r="135" spans="1:17">
      <c r="A135" s="1">
        <v>59613</v>
      </c>
      <c r="B135" s="1" t="s">
        <v>0</v>
      </c>
      <c r="C135" s="1" t="s">
        <v>185</v>
      </c>
      <c r="D135" s="19" t="s">
        <v>10267</v>
      </c>
      <c r="E135" s="15" t="str">
        <f>HYPERLINK("https://stat100.ameba.jp/tnk47/ratio20/illustrations/card/ill_59613_oheyadaria03.jpg?201908-2-RELEASE-unionbattle-423", "■")</f>
        <v>■</v>
      </c>
      <c r="F135" s="1" t="s">
        <v>2293</v>
      </c>
      <c r="G135" s="1">
        <v>102016</v>
      </c>
      <c r="H135" s="1">
        <v>94838</v>
      </c>
      <c r="I135" s="1">
        <v>24</v>
      </c>
      <c r="J135" s="1" t="s">
        <v>26</v>
      </c>
      <c r="K135" s="1" t="s">
        <v>2294</v>
      </c>
      <c r="L135" s="1" t="s">
        <v>2295</v>
      </c>
      <c r="M135" s="1" t="s">
        <v>9158</v>
      </c>
      <c r="N135" s="1" t="s">
        <v>9158</v>
      </c>
      <c r="O135" s="19" t="s">
        <v>10111</v>
      </c>
      <c r="P135" s="1" t="s">
        <v>3610</v>
      </c>
      <c r="Q135" s="1">
        <v>1</v>
      </c>
    </row>
    <row r="137" spans="1:17">
      <c r="A137" s="1" t="s">
        <v>12969</v>
      </c>
    </row>
    <row r="138" spans="1:17">
      <c r="A138" s="1" t="s">
        <v>6131</v>
      </c>
    </row>
    <row r="139" spans="1:17">
      <c r="A139" s="1" t="s">
        <v>5620</v>
      </c>
      <c r="B139" s="1" t="s">
        <v>330</v>
      </c>
      <c r="C139" s="1" t="s">
        <v>206</v>
      </c>
      <c r="D139" s="19" t="s">
        <v>669</v>
      </c>
      <c r="E139" s="15" t="str">
        <f>HYPERLINK("https://stat100.ameba.jp/tnk47/ratio20/illustrations/card/ill_67173_0_yukemuriawamorichan03.jpg?201907-2-RELEASE-unionbattle-418", "■")</f>
        <v>■</v>
      </c>
      <c r="F139" s="1" t="s">
        <v>670</v>
      </c>
      <c r="G139" s="1">
        <v>115249</v>
      </c>
      <c r="H139" s="1">
        <v>107146</v>
      </c>
      <c r="I139" s="1">
        <v>15</v>
      </c>
      <c r="J139" s="1" t="s">
        <v>283</v>
      </c>
      <c r="K139" s="1" t="s">
        <v>671</v>
      </c>
      <c r="L139" s="1" t="s">
        <v>672</v>
      </c>
      <c r="M139" s="1" t="s">
        <v>9158</v>
      </c>
      <c r="N139" s="1" t="s">
        <v>9158</v>
      </c>
      <c r="O139" s="19" t="s">
        <v>10087</v>
      </c>
      <c r="P139" s="1" t="s">
        <v>3455</v>
      </c>
      <c r="Q139" s="1">
        <v>1</v>
      </c>
    </row>
    <row r="140" spans="1:17">
      <c r="A140" s="1" t="s">
        <v>5607</v>
      </c>
      <c r="B140" s="1" t="s">
        <v>330</v>
      </c>
      <c r="C140" s="1" t="s">
        <v>200</v>
      </c>
      <c r="D140" s="19" t="s">
        <v>421</v>
      </c>
      <c r="E140" s="15" t="str">
        <f>HYPERLINK("https://stat100.ameba.jp/tnk47/ratio20/illustrations/card/ill_58853_0_setsubumpanikkuhiratsukaraicho03.jpg?201908-2-RELEASE-unionbattle-423", "■")</f>
        <v>■</v>
      </c>
      <c r="F140" s="1" t="s">
        <v>1040</v>
      </c>
      <c r="G140" s="1">
        <v>94236</v>
      </c>
      <c r="H140" s="1">
        <v>83712</v>
      </c>
      <c r="I140" s="1">
        <v>15</v>
      </c>
      <c r="J140" s="1" t="s">
        <v>16</v>
      </c>
      <c r="K140" s="1" t="s">
        <v>1041</v>
      </c>
      <c r="L140" s="1" t="s">
        <v>1042</v>
      </c>
      <c r="M140" s="1" t="s">
        <v>9158</v>
      </c>
      <c r="N140" s="1" t="s">
        <v>9158</v>
      </c>
      <c r="O140" s="19" t="s">
        <v>10075</v>
      </c>
      <c r="P140" s="1" t="s">
        <v>2870</v>
      </c>
      <c r="Q140" s="1">
        <v>1</v>
      </c>
    </row>
    <row r="141" spans="1:17">
      <c r="A141" s="1" t="s">
        <v>6132</v>
      </c>
      <c r="B141" s="1" t="s">
        <v>52</v>
      </c>
      <c r="C141" s="1" t="s">
        <v>205</v>
      </c>
      <c r="D141" s="19" t="s">
        <v>702</v>
      </c>
      <c r="E141" s="15" t="str">
        <f>HYPERLINK("https://stat100.ameba.jp/tnk47/ratio20/illustrations/card/ill_50693_0_hanamizugimimuratsuru03.jpg?201908-2-RELEASE-unionbattle-423", "■")</f>
        <v>■</v>
      </c>
      <c r="F141" s="1" t="s">
        <v>2282</v>
      </c>
      <c r="G141" s="1">
        <v>83712</v>
      </c>
      <c r="H141" s="1">
        <v>94236</v>
      </c>
      <c r="I141" s="1">
        <v>15</v>
      </c>
      <c r="J141" s="1" t="s">
        <v>143</v>
      </c>
      <c r="K141" s="1" t="s">
        <v>2283</v>
      </c>
      <c r="L141" s="1" t="s">
        <v>2284</v>
      </c>
      <c r="M141" s="1" t="s">
        <v>9158</v>
      </c>
      <c r="N141" s="1" t="s">
        <v>9158</v>
      </c>
      <c r="O141" s="1" t="s">
        <v>9158</v>
      </c>
      <c r="P141" s="1" t="s">
        <v>9158</v>
      </c>
      <c r="Q141" s="1" t="s">
        <v>9158</v>
      </c>
    </row>
    <row r="142" spans="1:17">
      <c r="A142" s="1">
        <v>70743</v>
      </c>
      <c r="B142" s="1" t="s">
        <v>6102</v>
      </c>
      <c r="C142" s="1" t="s">
        <v>6133</v>
      </c>
      <c r="D142" s="19" t="s">
        <v>10475</v>
      </c>
      <c r="E142" s="15" t="str">
        <f>HYPERLINK("https://stat100.ameba.jp/tnk47/ratio20/illustrations/card/ill_70743_howaitodekitanokata03.jpg?201908-2-RELEASE-unionbattle-423", "■")</f>
        <v>■</v>
      </c>
      <c r="F142" s="1" t="s">
        <v>6134</v>
      </c>
      <c r="G142" s="1">
        <v>142674</v>
      </c>
      <c r="H142" s="1">
        <v>132658</v>
      </c>
      <c r="I142" s="1">
        <v>24</v>
      </c>
      <c r="J142" s="1" t="s">
        <v>143</v>
      </c>
      <c r="K142" s="1" t="s">
        <v>6136</v>
      </c>
      <c r="L142" s="1" t="s">
        <v>6135</v>
      </c>
      <c r="M142" s="1" t="s">
        <v>9158</v>
      </c>
      <c r="N142" s="1" t="s">
        <v>9158</v>
      </c>
      <c r="O142" s="1" t="s">
        <v>9158</v>
      </c>
      <c r="P142" s="1" t="s">
        <v>9158</v>
      </c>
      <c r="Q142" s="1" t="s">
        <v>9158</v>
      </c>
    </row>
    <row r="143" spans="1:17">
      <c r="A143" s="1">
        <v>74063</v>
      </c>
      <c r="B143" s="1" t="s">
        <v>6102</v>
      </c>
      <c r="C143" s="1" t="s">
        <v>185</v>
      </c>
      <c r="D143" s="19" t="s">
        <v>10476</v>
      </c>
      <c r="E143" s="15" t="str">
        <f>HYPERLINK("https://stat100.ameba.jp/tnk47/ratio20/illustrations/card/ill_74063_yokoyamamatsusaburo03.jpg?201908-2-RELEASE-unionbattle-423", "■")</f>
        <v>■</v>
      </c>
      <c r="F143" s="1" t="s">
        <v>6139</v>
      </c>
      <c r="G143" s="1">
        <v>90522</v>
      </c>
      <c r="H143" s="1">
        <v>97318</v>
      </c>
      <c r="I143" s="1">
        <v>24</v>
      </c>
      <c r="J143" s="1" t="s">
        <v>16</v>
      </c>
      <c r="K143" s="1" t="s">
        <v>6138</v>
      </c>
      <c r="L143" s="1" t="s">
        <v>6137</v>
      </c>
      <c r="M143" s="1" t="s">
        <v>9158</v>
      </c>
      <c r="N143" s="1" t="s">
        <v>9158</v>
      </c>
      <c r="O143" s="1" t="s">
        <v>9158</v>
      </c>
      <c r="P143" s="1" t="s">
        <v>9158</v>
      </c>
      <c r="Q143" s="1" t="s">
        <v>9158</v>
      </c>
    </row>
    <row r="144" spans="1:17">
      <c r="A144" s="1">
        <v>79963</v>
      </c>
      <c r="B144" s="1" t="s">
        <v>6102</v>
      </c>
      <c r="C144" s="1" t="s">
        <v>200</v>
      </c>
      <c r="D144" s="19" t="s">
        <v>10477</v>
      </c>
      <c r="E144" s="15" t="str">
        <f>HYPERLINK("https://stat100.ameba.jp/tnk47/ratio20/illustrations/card/ill_79963_hinamatsurirakko03.jpg?201908-2-RELEASE-unionbattle-423", "■")</f>
        <v>■</v>
      </c>
      <c r="F144" s="1" t="s">
        <v>6140</v>
      </c>
      <c r="G144" s="1">
        <v>109334</v>
      </c>
      <c r="H144" s="1">
        <v>101656</v>
      </c>
      <c r="I144" s="1">
        <v>24</v>
      </c>
      <c r="J144" s="1" t="s">
        <v>26</v>
      </c>
      <c r="K144" s="1" t="s">
        <v>6142</v>
      </c>
      <c r="L144" s="1" t="s">
        <v>6141</v>
      </c>
      <c r="M144" s="1" t="s">
        <v>9158</v>
      </c>
      <c r="N144" s="1" t="s">
        <v>9158</v>
      </c>
      <c r="O144" s="19" t="s">
        <v>10090</v>
      </c>
      <c r="P144" s="1" t="s">
        <v>3460</v>
      </c>
      <c r="Q144" s="1">
        <v>1</v>
      </c>
    </row>
    <row r="145" spans="1:17">
      <c r="A145" s="1">
        <v>69671</v>
      </c>
      <c r="B145" s="1" t="s">
        <v>6103</v>
      </c>
      <c r="C145" s="1" t="s">
        <v>205</v>
      </c>
      <c r="D145" s="19" t="s">
        <v>10478</v>
      </c>
      <c r="E145" s="15" t="str">
        <f>HYPERLINK("https://stat100.ameba.jp/tnk47/ratio20/illustrations/card/ill_69671_massajimurakamisuigun01.jpg?201908-2-RELEASE-unionbattle-423", "■")</f>
        <v>■</v>
      </c>
      <c r="F145" s="1" t="s">
        <v>6143</v>
      </c>
      <c r="G145" s="1">
        <v>38000</v>
      </c>
      <c r="H145" s="1">
        <v>34200</v>
      </c>
      <c r="I145" s="1">
        <v>20</v>
      </c>
      <c r="J145" s="1" t="s">
        <v>6144</v>
      </c>
      <c r="K145" s="1" t="s">
        <v>6145</v>
      </c>
      <c r="L145" s="1" t="s">
        <v>6146</v>
      </c>
      <c r="M145" s="1" t="s">
        <v>9158</v>
      </c>
      <c r="N145" s="1" t="s">
        <v>9158</v>
      </c>
      <c r="O145" s="1" t="s">
        <v>9158</v>
      </c>
      <c r="P145" s="1" t="s">
        <v>9158</v>
      </c>
      <c r="Q145" s="1" t="s">
        <v>9158</v>
      </c>
    </row>
    <row r="146" spans="1:17">
      <c r="A146" s="1">
        <v>67251</v>
      </c>
      <c r="B146" s="1" t="s">
        <v>6103</v>
      </c>
      <c r="C146" s="1" t="s">
        <v>185</v>
      </c>
      <c r="D146" s="19" t="s">
        <v>10479</v>
      </c>
      <c r="E146" s="15" t="str">
        <f>HYPERLINK("https://stat100.ameba.jp/tnk47/ratio20/illustrations/card/ill_67251_onsenyadosokuroinari01.jpg?201908-2-RELEASE-unionbattle-423", "■")</f>
        <v>■</v>
      </c>
      <c r="F146" s="1" t="s">
        <v>6147</v>
      </c>
      <c r="G146" s="1">
        <v>38000</v>
      </c>
      <c r="H146" s="1">
        <v>34200</v>
      </c>
      <c r="I146" s="1">
        <v>20</v>
      </c>
      <c r="J146" s="1" t="s">
        <v>6148</v>
      </c>
      <c r="K146" s="1" t="s">
        <v>6149</v>
      </c>
      <c r="L146" s="1" t="s">
        <v>6150</v>
      </c>
      <c r="M146" s="1" t="s">
        <v>9158</v>
      </c>
      <c r="N146" s="1" t="s">
        <v>9158</v>
      </c>
      <c r="O146" s="1" t="s">
        <v>9158</v>
      </c>
      <c r="P146" s="1" t="s">
        <v>9158</v>
      </c>
      <c r="Q146" s="1" t="s">
        <v>9158</v>
      </c>
    </row>
    <row r="147" spans="1:17">
      <c r="A147" s="1">
        <v>66511</v>
      </c>
      <c r="B147" s="1" t="s">
        <v>6103</v>
      </c>
      <c r="C147" s="1" t="s">
        <v>6133</v>
      </c>
      <c r="D147" s="19" t="s">
        <v>10306</v>
      </c>
      <c r="E147" s="15" t="str">
        <f>HYPERLINK("https://stat100.ameba.jp/tnk47/ratio20/illustrations/card/ill_66511_yuenchigishumoninnotango01.jpg?201908-2-RELEASE-unionbattle-423", "■")</f>
        <v>■</v>
      </c>
      <c r="F147" s="1" t="s">
        <v>3335</v>
      </c>
      <c r="G147" s="1">
        <v>34200</v>
      </c>
      <c r="H147" s="1">
        <v>38000</v>
      </c>
      <c r="I147" s="1">
        <v>20</v>
      </c>
      <c r="J147" s="1" t="s">
        <v>10</v>
      </c>
      <c r="K147" s="1" t="s">
        <v>3336</v>
      </c>
      <c r="L147" s="1" t="s">
        <v>3337</v>
      </c>
      <c r="M147" s="1" t="s">
        <v>9158</v>
      </c>
      <c r="N147" s="1" t="s">
        <v>9158</v>
      </c>
      <c r="O147" s="1" t="s">
        <v>9158</v>
      </c>
      <c r="P147" s="1" t="s">
        <v>9158</v>
      </c>
      <c r="Q147" s="1" t="s">
        <v>9158</v>
      </c>
    </row>
    <row r="149" spans="1:17">
      <c r="A149" s="1" t="s">
        <v>6154</v>
      </c>
    </row>
    <row r="150" spans="1:17">
      <c r="A150" s="1" t="s">
        <v>6155</v>
      </c>
    </row>
    <row r="151" spans="1:17">
      <c r="A151" s="1" t="s">
        <v>7658</v>
      </c>
    </row>
    <row r="152" spans="1:17">
      <c r="A152" s="1" t="s">
        <v>5963</v>
      </c>
      <c r="B152" s="1" t="s">
        <v>330</v>
      </c>
      <c r="C152" s="1" t="s">
        <v>35</v>
      </c>
      <c r="D152" s="19" t="s">
        <v>10438</v>
      </c>
      <c r="E152" s="15" t="str">
        <f>HYPERLINK("https://stat100.ameba.jp/tnk47/ratio20/illustrations/card/ill_82963_0_yukatamatsuritomokazuki03.jpg?201908-2-RELEASE-unionbattle-423", "■")</f>
        <v>■</v>
      </c>
      <c r="F152" s="1" t="s">
        <v>5964</v>
      </c>
      <c r="G152" s="1">
        <v>178681</v>
      </c>
      <c r="H152" s="1">
        <v>197707</v>
      </c>
      <c r="I152" s="1">
        <v>15</v>
      </c>
      <c r="J152" s="1" t="s">
        <v>73</v>
      </c>
      <c r="K152" s="1" t="s">
        <v>5966</v>
      </c>
      <c r="L152" s="1" t="s">
        <v>5967</v>
      </c>
      <c r="M152" s="1" t="s">
        <v>9158</v>
      </c>
      <c r="N152" s="1" t="s">
        <v>9158</v>
      </c>
      <c r="O152" s="19" t="s">
        <v>10115</v>
      </c>
      <c r="P152" s="1" t="s">
        <v>5968</v>
      </c>
      <c r="Q152" s="1">
        <v>1</v>
      </c>
    </row>
    <row r="153" spans="1:17">
      <c r="A153" s="1">
        <v>83163</v>
      </c>
      <c r="B153" s="1" t="s">
        <v>6160</v>
      </c>
      <c r="C153" s="1" t="s">
        <v>6156</v>
      </c>
      <c r="D153" s="19" t="s">
        <v>10480</v>
      </c>
      <c r="E153" s="15" t="str">
        <f>HYPERLINK("https://stat100.ameba.jp/tnk47/ratio20/illustrations/card/ill_83163_mangamatsurifutomakimatsurizushi03.jpg?201908-2-RELEASE-unionbattle-423", "■")</f>
        <v>■</v>
      </c>
      <c r="F153" s="1" t="s">
        <v>6164</v>
      </c>
      <c r="G153" s="1">
        <v>113340</v>
      </c>
      <c r="H153" s="1">
        <v>105394</v>
      </c>
      <c r="I153" s="1">
        <v>24</v>
      </c>
      <c r="J153" s="1" t="s">
        <v>6165</v>
      </c>
      <c r="K153" s="1" t="s">
        <v>6166</v>
      </c>
      <c r="L153" s="1" t="s">
        <v>6167</v>
      </c>
      <c r="M153" s="1" t="s">
        <v>9158</v>
      </c>
      <c r="N153" s="1" t="s">
        <v>9158</v>
      </c>
      <c r="O153" s="1" t="s">
        <v>9158</v>
      </c>
      <c r="P153" s="1" t="s">
        <v>9158</v>
      </c>
      <c r="Q153" s="1" t="s">
        <v>9158</v>
      </c>
    </row>
    <row r="154" spans="1:17">
      <c r="A154" s="1">
        <v>83173</v>
      </c>
      <c r="B154" s="1" t="s">
        <v>6161</v>
      </c>
      <c r="C154" s="1" t="s">
        <v>6157</v>
      </c>
      <c r="D154" s="19" t="s">
        <v>10481</v>
      </c>
      <c r="E154" s="15" t="str">
        <f>HYPERLINK("https://stat100.ameba.jp/tnk47/ratio20/illustrations/card/ill_83173_mahoushoujosanagaoume03.jpg?201908-2-RELEASE-unionbattle-423", "■")</f>
        <v>■</v>
      </c>
      <c r="F154" s="1" t="s">
        <v>6168</v>
      </c>
      <c r="G154" s="1">
        <v>61832</v>
      </c>
      <c r="H154" s="1">
        <v>68172</v>
      </c>
      <c r="I154" s="1">
        <v>23</v>
      </c>
      <c r="J154" s="1" t="s">
        <v>6169</v>
      </c>
      <c r="K154" s="1" t="s">
        <v>6170</v>
      </c>
      <c r="L154" s="1" t="s">
        <v>6171</v>
      </c>
      <c r="M154" s="1" t="s">
        <v>9158</v>
      </c>
      <c r="N154" s="1" t="s">
        <v>9158</v>
      </c>
      <c r="O154" s="1" t="s">
        <v>9158</v>
      </c>
      <c r="P154" s="1" t="s">
        <v>9158</v>
      </c>
      <c r="Q154" s="1" t="s">
        <v>9158</v>
      </c>
    </row>
    <row r="155" spans="1:17">
      <c r="A155" s="1">
        <v>83183</v>
      </c>
      <c r="B155" s="1" t="s">
        <v>6162</v>
      </c>
      <c r="C155" s="1" t="s">
        <v>6158</v>
      </c>
      <c r="D155" s="19" t="s">
        <v>10482</v>
      </c>
      <c r="E155" s="15" t="str">
        <f>HYPERLINK("https://stat100.ameba.jp/tnk47/ratio20/illustrations/card/ill_83183_kaizokuoourakei03.jpg?201908-2-RELEASE-unionbattle-423", "■")</f>
        <v>■</v>
      </c>
      <c r="F155" s="1" t="s">
        <v>6172</v>
      </c>
      <c r="G155" s="1">
        <v>41584</v>
      </c>
      <c r="H155" s="1">
        <v>34576</v>
      </c>
      <c r="I155" s="1">
        <v>20</v>
      </c>
      <c r="J155" s="1" t="s">
        <v>6173</v>
      </c>
      <c r="K155" s="1" t="s">
        <v>6175</v>
      </c>
      <c r="L155" s="1" t="s">
        <v>6174</v>
      </c>
      <c r="M155" s="1" t="s">
        <v>9158</v>
      </c>
      <c r="N155" s="1" t="s">
        <v>9158</v>
      </c>
      <c r="O155" s="1" t="s">
        <v>9158</v>
      </c>
      <c r="P155" s="1" t="s">
        <v>9158</v>
      </c>
      <c r="Q155" s="1" t="s">
        <v>9158</v>
      </c>
    </row>
    <row r="156" spans="1:17">
      <c r="A156" s="1">
        <v>83193</v>
      </c>
      <c r="B156" s="1" t="s">
        <v>6163</v>
      </c>
      <c r="C156" s="1" t="s">
        <v>6159</v>
      </c>
      <c r="D156" s="19" t="s">
        <v>10483</v>
      </c>
      <c r="E156" s="15" t="str">
        <f>HYPERLINK("https://stat100.ameba.jp/tnk47/ratio20/illustrations/card/ill_83193_yukiusagichan03.jpg?201908-2-RELEASE-unionbattle-423", "■")</f>
        <v>■</v>
      </c>
      <c r="F156" s="1" t="s">
        <v>6176</v>
      </c>
      <c r="G156" s="1">
        <v>21144</v>
      </c>
      <c r="H156" s="1">
        <v>25176</v>
      </c>
      <c r="I156" s="1">
        <v>20</v>
      </c>
      <c r="J156" s="1" t="s">
        <v>6177</v>
      </c>
      <c r="K156" s="1" t="s">
        <v>6179</v>
      </c>
      <c r="L156" s="1" t="s">
        <v>6178</v>
      </c>
      <c r="M156" s="1" t="s">
        <v>9158</v>
      </c>
      <c r="N156" s="1" t="s">
        <v>9158</v>
      </c>
      <c r="O156" s="1" t="s">
        <v>9158</v>
      </c>
      <c r="P156" s="1" t="s">
        <v>9158</v>
      </c>
      <c r="Q156" s="1" t="s">
        <v>9158</v>
      </c>
    </row>
    <row r="158" spans="1:17">
      <c r="A158" s="1" t="s">
        <v>6151</v>
      </c>
    </row>
    <row r="159" spans="1:17">
      <c r="A159" s="1" t="s">
        <v>6152</v>
      </c>
    </row>
    <row r="160" spans="1:17">
      <c r="A160" s="1" t="s">
        <v>6153</v>
      </c>
      <c r="B160" s="1" t="s">
        <v>330</v>
      </c>
      <c r="C160" s="1" t="s">
        <v>185</v>
      </c>
      <c r="D160" s="19" t="s">
        <v>3086</v>
      </c>
      <c r="E160" s="15" t="str">
        <f>HYPERLINK("https://stat100.ameba.jp/tnk47/ratio20/illustrations/card/ill_69593_0_setsubunyukionna03.jpg?201908-2-RELEASE-unionbattle-423", "■")</f>
        <v>■</v>
      </c>
      <c r="F160" s="1" t="s">
        <v>3087</v>
      </c>
      <c r="G160" s="1">
        <v>150006</v>
      </c>
      <c r="H160" s="1">
        <v>161349</v>
      </c>
      <c r="I160" s="1">
        <v>21</v>
      </c>
      <c r="J160" s="1" t="s">
        <v>320</v>
      </c>
      <c r="K160" s="1" t="s">
        <v>3088</v>
      </c>
      <c r="L160" s="1" t="s">
        <v>3089</v>
      </c>
      <c r="M160" s="1" t="s">
        <v>9158</v>
      </c>
      <c r="N160" s="1" t="s">
        <v>9158</v>
      </c>
      <c r="O160" s="19" t="s">
        <v>3090</v>
      </c>
      <c r="P160" s="1" t="s">
        <v>3091</v>
      </c>
      <c r="Q160" s="1">
        <v>2</v>
      </c>
    </row>
    <row r="161" spans="1:18">
      <c r="A161" s="1">
        <v>56443</v>
      </c>
      <c r="B161" s="1" t="s">
        <v>0</v>
      </c>
      <c r="C161" s="1" t="s">
        <v>205</v>
      </c>
      <c r="D161" s="19" t="s">
        <v>10314</v>
      </c>
      <c r="E161" s="15" t="str">
        <f>HYPERLINK("https://stat100.ameba.jp/tnk47/ratio20/illustrations/card/ill_56443_poppukurisumasuizumonokuni03.jpg?201908-2-RELEASE-unionbattle-423", "■")</f>
        <v>■</v>
      </c>
      <c r="F161" s="1" t="s">
        <v>1151</v>
      </c>
      <c r="G161" s="1">
        <v>82422</v>
      </c>
      <c r="H161" s="1">
        <v>88650</v>
      </c>
      <c r="I161" s="1">
        <v>23</v>
      </c>
      <c r="J161" s="1" t="s">
        <v>10</v>
      </c>
      <c r="K161" s="1" t="s">
        <v>1152</v>
      </c>
      <c r="L161" s="1" t="s">
        <v>1153</v>
      </c>
      <c r="M161" s="1" t="s">
        <v>9158</v>
      </c>
      <c r="N161" s="1" t="s">
        <v>9158</v>
      </c>
      <c r="O161" s="19" t="s">
        <v>10119</v>
      </c>
      <c r="P161" s="1" t="s">
        <v>3662</v>
      </c>
      <c r="Q161" s="1">
        <v>1</v>
      </c>
    </row>
    <row r="162" spans="1:18">
      <c r="A162" s="1">
        <v>74553</v>
      </c>
      <c r="B162" s="1" t="s">
        <v>0</v>
      </c>
      <c r="C162" s="1" t="s">
        <v>107</v>
      </c>
      <c r="D162" s="19" t="s">
        <v>10389</v>
      </c>
      <c r="E162" s="15" t="str">
        <f>HYPERLINK("https://stat100.ameba.jp/tnk47/ratio20/illustrations/card/ill_74553_natsuyuenchikusumotoine03.jpg?201908-2-RELEASE-unionbattle-423", "■")</f>
        <v>■</v>
      </c>
      <c r="F162" s="1" t="s">
        <v>4109</v>
      </c>
      <c r="G162" s="1">
        <v>93263</v>
      </c>
      <c r="H162" s="1">
        <v>86751</v>
      </c>
      <c r="I162" s="1">
        <v>23</v>
      </c>
      <c r="J162" s="1" t="s">
        <v>16</v>
      </c>
      <c r="K162" s="1" t="s">
        <v>4110</v>
      </c>
      <c r="L162" s="1" t="s">
        <v>1149</v>
      </c>
      <c r="M162" s="1" t="s">
        <v>9158</v>
      </c>
      <c r="N162" s="1" t="s">
        <v>9158</v>
      </c>
      <c r="O162" s="19" t="s">
        <v>10090</v>
      </c>
      <c r="P162" s="1" t="s">
        <v>3460</v>
      </c>
      <c r="Q162" s="1">
        <v>1</v>
      </c>
    </row>
    <row r="163" spans="1:18">
      <c r="A163" s="1">
        <v>78123</v>
      </c>
      <c r="B163" s="1" t="s">
        <v>334</v>
      </c>
      <c r="C163" s="1" t="s">
        <v>209</v>
      </c>
      <c r="D163" s="19" t="s">
        <v>3023</v>
      </c>
      <c r="E163" s="15" t="str">
        <f>HYPERLINK("https://stat100.ameba.jp/tnk47/ratio20/illustrations/card/ill_78123_madannoteirusorushieru03.jpg?201908-2-RELEASE-unionbattle-423", "■")</f>
        <v>■</v>
      </c>
      <c r="F163" s="1" t="s">
        <v>3024</v>
      </c>
      <c r="G163" s="1">
        <v>153022</v>
      </c>
      <c r="H163" s="1">
        <v>110837</v>
      </c>
      <c r="I163" s="1">
        <v>23</v>
      </c>
      <c r="J163" s="1" t="s">
        <v>310</v>
      </c>
      <c r="K163" s="1" t="s">
        <v>3025</v>
      </c>
      <c r="L163" s="1" t="s">
        <v>443</v>
      </c>
      <c r="M163" s="1" t="s">
        <v>9158</v>
      </c>
      <c r="N163" s="1" t="s">
        <v>9158</v>
      </c>
      <c r="O163" s="19" t="s">
        <v>2951</v>
      </c>
      <c r="P163" s="1" t="s">
        <v>13122</v>
      </c>
      <c r="Q163" s="1">
        <v>1</v>
      </c>
    </row>
    <row r="165" spans="1:18">
      <c r="A165" s="1" t="s">
        <v>13360</v>
      </c>
    </row>
    <row r="166" spans="1:18">
      <c r="A166" s="1" t="s">
        <v>6188</v>
      </c>
    </row>
    <row r="167" spans="1:18">
      <c r="A167" s="1">
        <v>83065</v>
      </c>
      <c r="B167" s="1" t="s">
        <v>334</v>
      </c>
      <c r="C167" s="1" t="s">
        <v>35</v>
      </c>
      <c r="D167" s="19" t="s">
        <v>10484</v>
      </c>
      <c r="E167" s="15" t="str">
        <f>HYPERLINK("https://stat100.ameba.jp/tnk47/ratio20/illustrations/card/ill_83065_aisumajishan05.jpg?201908-3-RELEASE-dice-e-424", "■")</f>
        <v>■</v>
      </c>
      <c r="F167" s="1" t="s">
        <v>6180</v>
      </c>
      <c r="G167" s="1">
        <v>94697</v>
      </c>
      <c r="H167" s="1">
        <v>130772</v>
      </c>
      <c r="I167" s="1">
        <v>23</v>
      </c>
      <c r="J167" s="1" t="s">
        <v>104</v>
      </c>
      <c r="K167" s="1" t="s">
        <v>6181</v>
      </c>
      <c r="L167" s="1" t="s">
        <v>6182</v>
      </c>
      <c r="M167" s="1" t="s">
        <v>9158</v>
      </c>
      <c r="N167" s="1" t="s">
        <v>9158</v>
      </c>
      <c r="O167" s="1" t="s">
        <v>9158</v>
      </c>
      <c r="P167" s="1" t="s">
        <v>9158</v>
      </c>
      <c r="Q167" s="1" t="s">
        <v>9158</v>
      </c>
      <c r="R167" s="1" t="s">
        <v>6183</v>
      </c>
    </row>
    <row r="168" spans="1:18">
      <c r="A168" s="1">
        <v>83063</v>
      </c>
      <c r="B168" s="1" t="s">
        <v>15</v>
      </c>
      <c r="C168" s="1" t="s">
        <v>158</v>
      </c>
      <c r="D168" s="19" t="s">
        <v>10484</v>
      </c>
      <c r="E168" s="15" t="str">
        <f>HYPERLINK("https://stat100.ameba.jp/tnk47/ratio20/illustrations/card/ill_83063_aisumajishan03.jpg?201908-3-RELEASE-dice-e-424", "■")</f>
        <v>■</v>
      </c>
      <c r="F168" s="1" t="s">
        <v>6180</v>
      </c>
      <c r="G168" s="1">
        <v>69771</v>
      </c>
      <c r="H168" s="1">
        <v>96360</v>
      </c>
      <c r="I168" s="1">
        <v>23</v>
      </c>
      <c r="J168" s="1" t="s">
        <v>104</v>
      </c>
      <c r="K168" s="1" t="s">
        <v>6181</v>
      </c>
      <c r="L168" s="1" t="s">
        <v>6186</v>
      </c>
      <c r="M168" s="1" t="s">
        <v>9158</v>
      </c>
      <c r="N168" s="1" t="s">
        <v>9158</v>
      </c>
      <c r="O168" s="1" t="s">
        <v>9158</v>
      </c>
      <c r="P168" s="1" t="s">
        <v>9158</v>
      </c>
      <c r="Q168" s="1" t="s">
        <v>9158</v>
      </c>
      <c r="R168" s="1" t="s">
        <v>6184</v>
      </c>
    </row>
    <row r="169" spans="1:18">
      <c r="A169" s="1">
        <v>83061</v>
      </c>
      <c r="B169" s="1" t="s">
        <v>15</v>
      </c>
      <c r="C169" s="1" t="s">
        <v>158</v>
      </c>
      <c r="D169" s="19" t="s">
        <v>10484</v>
      </c>
      <c r="E169" s="15" t="str">
        <f>HYPERLINK("https://stat100.ameba.jp/tnk47/ratio20/illustrations/card/ill_83061_aisumajishan01.jpg?201908-3-RELEASE-dice-e-424", "■")</f>
        <v>■</v>
      </c>
      <c r="F169" s="1" t="s">
        <v>6180</v>
      </c>
      <c r="G169" s="1">
        <v>44390</v>
      </c>
      <c r="H169" s="1">
        <v>61295</v>
      </c>
      <c r="I169" s="1">
        <v>23</v>
      </c>
      <c r="J169" s="1" t="s">
        <v>104</v>
      </c>
      <c r="K169" s="1" t="s">
        <v>6181</v>
      </c>
      <c r="L169" s="1" t="s">
        <v>6187</v>
      </c>
      <c r="M169" s="1" t="s">
        <v>9158</v>
      </c>
      <c r="N169" s="1" t="s">
        <v>9158</v>
      </c>
      <c r="O169" s="1" t="s">
        <v>9158</v>
      </c>
      <c r="P169" s="1" t="s">
        <v>9158</v>
      </c>
      <c r="Q169" s="1" t="s">
        <v>9158</v>
      </c>
      <c r="R169" s="1" t="s">
        <v>6185</v>
      </c>
    </row>
    <row r="171" spans="1:18">
      <c r="A171" s="1" t="s">
        <v>13327</v>
      </c>
    </row>
    <row r="172" spans="1:18">
      <c r="A172" s="1" t="s">
        <v>6189</v>
      </c>
    </row>
    <row r="173" spans="1:18">
      <c r="A173" s="1">
        <v>75113</v>
      </c>
      <c r="B173" s="1" t="s">
        <v>334</v>
      </c>
      <c r="C173" s="1" t="s">
        <v>335</v>
      </c>
      <c r="D173" s="19" t="s">
        <v>448</v>
      </c>
      <c r="E173" s="15" t="str">
        <f>HYPERLINK("https://stat100.ameba.jp/tnk47/ratio20/illustrations/card/ill_75113_hatahata03.jpg?201908-3-RELEASE-dice-e-424", "■")</f>
        <v>■</v>
      </c>
      <c r="F173" s="1" t="s">
        <v>449</v>
      </c>
      <c r="G173" s="1">
        <v>118152</v>
      </c>
      <c r="H173" s="1">
        <v>109852</v>
      </c>
      <c r="I173" s="1">
        <v>24</v>
      </c>
      <c r="J173" s="1" t="s">
        <v>283</v>
      </c>
      <c r="K173" s="1" t="s">
        <v>450</v>
      </c>
      <c r="L173" s="1" t="s">
        <v>13129</v>
      </c>
      <c r="M173" s="1" t="s">
        <v>13130</v>
      </c>
      <c r="N173" s="1" t="s">
        <v>343</v>
      </c>
      <c r="O173" s="1" t="s">
        <v>9158</v>
      </c>
      <c r="P173" s="1" t="s">
        <v>9158</v>
      </c>
      <c r="Q173" s="1" t="s">
        <v>9158</v>
      </c>
      <c r="R173" s="14" t="s">
        <v>14748</v>
      </c>
    </row>
    <row r="174" spans="1:18">
      <c r="A174" s="1">
        <v>75112</v>
      </c>
      <c r="B174" s="1" t="s">
        <v>334</v>
      </c>
      <c r="C174" s="1" t="s">
        <v>335</v>
      </c>
      <c r="D174" s="19" t="s">
        <v>448</v>
      </c>
      <c r="E174" s="15" t="str">
        <f>HYPERLINK("https://stat100.ameba.jp/tnk47/ratio20/illustrations/card/ill_75112_hatahata02.jpg?201908-3-RELEASE-dice-e-424", "■")</f>
        <v>■</v>
      </c>
      <c r="F174" s="1" t="s">
        <v>449</v>
      </c>
      <c r="G174" s="1">
        <v>98768</v>
      </c>
      <c r="H174" s="1">
        <v>90984</v>
      </c>
      <c r="I174" s="1">
        <v>24</v>
      </c>
      <c r="J174" s="1" t="s">
        <v>283</v>
      </c>
      <c r="K174" s="1" t="s">
        <v>450</v>
      </c>
      <c r="L174" s="1" t="s">
        <v>13129</v>
      </c>
      <c r="M174" s="1" t="s">
        <v>13131</v>
      </c>
      <c r="N174" s="1" t="s">
        <v>251</v>
      </c>
      <c r="O174" s="1" t="s">
        <v>9158</v>
      </c>
      <c r="P174" s="1" t="s">
        <v>9158</v>
      </c>
      <c r="Q174" s="1" t="s">
        <v>9158</v>
      </c>
      <c r="R174" s="14" t="s">
        <v>14748</v>
      </c>
    </row>
    <row r="175" spans="1:18">
      <c r="A175" s="1">
        <v>75111</v>
      </c>
      <c r="B175" s="1" t="s">
        <v>334</v>
      </c>
      <c r="C175" s="1" t="s">
        <v>335</v>
      </c>
      <c r="D175" s="19" t="s">
        <v>448</v>
      </c>
      <c r="E175" s="15" t="str">
        <f>HYPERLINK("https://stat100.ameba.jp/tnk47/ratio20/illustrations/card/ill_75111_hatahata01.jpg?201908-3-RELEASE-dice-e-424", "■")</f>
        <v>■</v>
      </c>
      <c r="F175" s="1" t="s">
        <v>449</v>
      </c>
      <c r="G175" s="1">
        <v>75408</v>
      </c>
      <c r="H175" s="1">
        <v>70200</v>
      </c>
      <c r="I175" s="1">
        <v>24</v>
      </c>
      <c r="J175" s="1" t="s">
        <v>283</v>
      </c>
      <c r="K175" s="1" t="s">
        <v>450</v>
      </c>
      <c r="L175" s="1" t="s">
        <v>13129</v>
      </c>
      <c r="M175" s="1" t="s">
        <v>13131</v>
      </c>
      <c r="N175" s="1" t="s">
        <v>251</v>
      </c>
      <c r="O175" s="1" t="s">
        <v>9158</v>
      </c>
      <c r="P175" s="1" t="s">
        <v>9158</v>
      </c>
      <c r="Q175" s="1" t="s">
        <v>9158</v>
      </c>
      <c r="R175" s="14" t="s">
        <v>14748</v>
      </c>
    </row>
    <row r="176" spans="1:18">
      <c r="A176" s="1">
        <v>75123</v>
      </c>
      <c r="B176" s="1" t="s">
        <v>334</v>
      </c>
      <c r="C176" s="1" t="s">
        <v>307</v>
      </c>
      <c r="D176" s="19" t="s">
        <v>451</v>
      </c>
      <c r="E176" s="15" t="str">
        <f>HYPERLINK("https://stat100.ameba.jp/tnk47/ratio20/illustrations/card/ill_75123_nankintamasudare03.jpg?201908-3-RELEASE-dice-e-424", "■")</f>
        <v>■</v>
      </c>
      <c r="F176" s="1" t="s">
        <v>452</v>
      </c>
      <c r="G176" s="1">
        <v>109852</v>
      </c>
      <c r="H176" s="1">
        <v>118152</v>
      </c>
      <c r="I176" s="1">
        <v>24</v>
      </c>
      <c r="J176" s="1" t="s">
        <v>274</v>
      </c>
      <c r="K176" s="1" t="s">
        <v>453</v>
      </c>
      <c r="L176" s="1" t="s">
        <v>6711</v>
      </c>
      <c r="M176" s="1" t="s">
        <v>13130</v>
      </c>
      <c r="N176" s="1" t="s">
        <v>343</v>
      </c>
      <c r="O176" s="1" t="s">
        <v>9158</v>
      </c>
      <c r="P176" s="1" t="s">
        <v>9158</v>
      </c>
      <c r="Q176" s="1" t="s">
        <v>9158</v>
      </c>
      <c r="R176" s="14" t="s">
        <v>14748</v>
      </c>
    </row>
    <row r="177" spans="1:18">
      <c r="A177" s="1">
        <v>76013</v>
      </c>
      <c r="B177" s="1" t="s">
        <v>334</v>
      </c>
      <c r="C177" s="1" t="s">
        <v>344</v>
      </c>
      <c r="D177" s="19" t="s">
        <v>454</v>
      </c>
      <c r="E177" s="15" t="str">
        <f>HYPERLINK("https://stat100.ameba.jp/tnk47/ratio20/illustrations/card/ill_76013_miyakojima03.jpg?201908-3-RELEASE-dice-e-424", "■")</f>
        <v>■</v>
      </c>
      <c r="F177" s="1" t="s">
        <v>455</v>
      </c>
      <c r="G177" s="1">
        <v>118152</v>
      </c>
      <c r="H177" s="1">
        <v>109852</v>
      </c>
      <c r="I177" s="1">
        <v>24</v>
      </c>
      <c r="J177" s="1" t="s">
        <v>369</v>
      </c>
      <c r="K177" s="1" t="s">
        <v>456</v>
      </c>
      <c r="L177" s="1" t="s">
        <v>6712</v>
      </c>
      <c r="M177" s="1" t="s">
        <v>13130</v>
      </c>
      <c r="N177" s="1" t="s">
        <v>343</v>
      </c>
      <c r="O177" s="1" t="s">
        <v>9158</v>
      </c>
      <c r="P177" s="1" t="s">
        <v>9158</v>
      </c>
      <c r="Q177" s="1" t="s">
        <v>9158</v>
      </c>
      <c r="R177" s="14" t="s">
        <v>14748</v>
      </c>
    </row>
    <row r="178" spans="1:18">
      <c r="A178" s="1">
        <v>74333</v>
      </c>
      <c r="B178" s="1" t="s">
        <v>334</v>
      </c>
      <c r="C178" s="1" t="s">
        <v>271</v>
      </c>
      <c r="D178" s="19" t="s">
        <v>457</v>
      </c>
      <c r="E178" s="15" t="str">
        <f>HYPERLINK("https://stat100.ameba.jp/tnk47/ratio20/illustrations/card/ill_74333_iizukaigashichi03.jpg?201908-3-RELEASE-dice-e-424", "■")</f>
        <v>■</v>
      </c>
      <c r="F178" s="1" t="s">
        <v>458</v>
      </c>
      <c r="G178" s="1">
        <v>109852</v>
      </c>
      <c r="H178" s="1">
        <v>118152</v>
      </c>
      <c r="I178" s="1">
        <v>24</v>
      </c>
      <c r="J178" s="1" t="s">
        <v>414</v>
      </c>
      <c r="K178" s="1" t="s">
        <v>459</v>
      </c>
      <c r="L178" s="1" t="s">
        <v>6713</v>
      </c>
      <c r="M178" s="1" t="s">
        <v>13130</v>
      </c>
      <c r="N178" s="1" t="s">
        <v>343</v>
      </c>
      <c r="O178" s="1" t="s">
        <v>9158</v>
      </c>
      <c r="P178" s="1" t="s">
        <v>9158</v>
      </c>
      <c r="Q178" s="1" t="s">
        <v>9158</v>
      </c>
      <c r="R178" s="14" t="s">
        <v>14748</v>
      </c>
    </row>
    <row r="179" spans="1:18">
      <c r="A179" s="1">
        <v>74343</v>
      </c>
      <c r="B179" s="1" t="s">
        <v>334</v>
      </c>
      <c r="C179" s="1" t="s">
        <v>308</v>
      </c>
      <c r="D179" s="19" t="s">
        <v>460</v>
      </c>
      <c r="E179" s="15" t="str">
        <f>HYPERLINK("https://stat100.ameba.jp/tnk47/ratio20/illustrations/card/ill_74343_wadakoremasa03.jpg?201908-3-RELEASE-dice-e-424", "■")</f>
        <v>■</v>
      </c>
      <c r="F179" s="1" t="s">
        <v>461</v>
      </c>
      <c r="G179" s="1">
        <v>109852</v>
      </c>
      <c r="H179" s="1">
        <v>118152</v>
      </c>
      <c r="I179" s="1">
        <v>24</v>
      </c>
      <c r="J179" s="1" t="s">
        <v>310</v>
      </c>
      <c r="K179" s="1" t="s">
        <v>462</v>
      </c>
      <c r="L179" s="1" t="s">
        <v>6714</v>
      </c>
      <c r="M179" s="1" t="s">
        <v>13130</v>
      </c>
      <c r="N179" s="1" t="s">
        <v>343</v>
      </c>
      <c r="O179" s="1" t="s">
        <v>9158</v>
      </c>
      <c r="P179" s="1" t="s">
        <v>9158</v>
      </c>
      <c r="Q179" s="1" t="s">
        <v>9158</v>
      </c>
      <c r="R179" s="14" t="s">
        <v>14748</v>
      </c>
    </row>
    <row r="180" spans="1:18">
      <c r="A180" s="1">
        <v>74353</v>
      </c>
      <c r="B180" s="1" t="s">
        <v>334</v>
      </c>
      <c r="C180" s="1" t="s">
        <v>267</v>
      </c>
      <c r="D180" s="19" t="s">
        <v>463</v>
      </c>
      <c r="E180" s="15" t="str">
        <f>HYPERLINK("https://stat100.ameba.jp/tnk47/ratio20/illustrations/card/ill_74353_takechizuizan03.jpg?201908-3-RELEASE-dice-e-424", "■")</f>
        <v>■</v>
      </c>
      <c r="F180" s="1" t="s">
        <v>464</v>
      </c>
      <c r="G180" s="1">
        <v>118152</v>
      </c>
      <c r="H180" s="1">
        <v>109852</v>
      </c>
      <c r="I180" s="1">
        <v>24</v>
      </c>
      <c r="J180" s="1" t="s">
        <v>351</v>
      </c>
      <c r="K180" s="1" t="s">
        <v>465</v>
      </c>
      <c r="L180" s="1" t="s">
        <v>6715</v>
      </c>
      <c r="M180" s="1" t="s">
        <v>13130</v>
      </c>
      <c r="N180" s="1" t="s">
        <v>343</v>
      </c>
      <c r="O180" s="1" t="s">
        <v>9158</v>
      </c>
      <c r="P180" s="1" t="s">
        <v>9158</v>
      </c>
      <c r="Q180" s="1" t="s">
        <v>9158</v>
      </c>
      <c r="R180" s="14" t="s">
        <v>14748</v>
      </c>
    </row>
    <row r="182" spans="1:18">
      <c r="A182" s="1" t="s">
        <v>6191</v>
      </c>
    </row>
    <row r="183" spans="1:18">
      <c r="A183" s="1" t="s">
        <v>6192</v>
      </c>
    </row>
    <row r="184" spans="1:18">
      <c r="A184" s="1" t="s">
        <v>5611</v>
      </c>
      <c r="B184" s="1" t="s">
        <v>330</v>
      </c>
      <c r="C184" s="1" t="s">
        <v>185</v>
      </c>
      <c r="D184" s="19" t="s">
        <v>539</v>
      </c>
      <c r="E184" s="15" t="str">
        <f>HYPERLINK("https://stat100.ameba.jp/tnk47/ratio20/illustrations/card/ill_60633_0_harumaisentoin03.jpg?201908-3-RELEASE-dice-e-424", "■")</f>
        <v>■</v>
      </c>
      <c r="F184" s="1" t="s">
        <v>540</v>
      </c>
      <c r="G184" s="1">
        <v>139878</v>
      </c>
      <c r="H184" s="1">
        <v>150466</v>
      </c>
      <c r="I184" s="1">
        <v>22</v>
      </c>
      <c r="J184" s="1" t="s">
        <v>274</v>
      </c>
      <c r="K184" s="1" t="s">
        <v>541</v>
      </c>
      <c r="L184" s="1" t="s">
        <v>542</v>
      </c>
      <c r="M184" s="1" t="s">
        <v>9158</v>
      </c>
      <c r="N184" s="1" t="s">
        <v>9158</v>
      </c>
      <c r="O184" s="19" t="s">
        <v>2888</v>
      </c>
      <c r="P184" s="1" t="s">
        <v>3144</v>
      </c>
      <c r="Q184" s="1">
        <v>1</v>
      </c>
    </row>
    <row r="185" spans="1:18">
      <c r="A185" s="1" t="s">
        <v>5621</v>
      </c>
      <c r="B185" s="1" t="s">
        <v>330</v>
      </c>
      <c r="C185" s="1" t="s">
        <v>191</v>
      </c>
      <c r="D185" s="19" t="s">
        <v>2871</v>
      </c>
      <c r="E185" s="15" t="str">
        <f>HYPERLINK("https://stat100.ameba.jp/tnk47/ratio20/illustrations/card/ill_51973_0_kemonomizugikuroyuridensetsu03.jpg?201908-3-RELEASE-dice-e-424", "■")</f>
        <v>■</v>
      </c>
      <c r="F185" s="1" t="s">
        <v>2872</v>
      </c>
      <c r="G185" s="1">
        <v>138212</v>
      </c>
      <c r="H185" s="1">
        <v>122776</v>
      </c>
      <c r="I185" s="1">
        <v>22</v>
      </c>
      <c r="J185" s="1" t="s">
        <v>274</v>
      </c>
      <c r="K185" s="1" t="s">
        <v>2873</v>
      </c>
      <c r="L185" s="1" t="s">
        <v>2874</v>
      </c>
      <c r="M185" s="1" t="s">
        <v>9158</v>
      </c>
      <c r="N185" s="1" t="s">
        <v>9158</v>
      </c>
      <c r="O185" s="19" t="s">
        <v>10088</v>
      </c>
      <c r="P185" s="1" t="s">
        <v>13172</v>
      </c>
      <c r="Q185" s="1">
        <v>1</v>
      </c>
    </row>
    <row r="186" spans="1:18">
      <c r="A186" s="1" t="s">
        <v>5612</v>
      </c>
      <c r="B186" s="1" t="s">
        <v>330</v>
      </c>
      <c r="C186" s="1" t="s">
        <v>165</v>
      </c>
      <c r="D186" s="19" t="s">
        <v>789</v>
      </c>
      <c r="E186" s="15" t="str">
        <f>HYPERLINK("https://stat100.ameba.jp/tnk47/ratio20/illustrations/card/ill_49193_0_onmyoudouabenoseimei03.jpg?201908-3-RELEASE-dice-e-424", "■")</f>
        <v>■</v>
      </c>
      <c r="F186" s="1" t="s">
        <v>790</v>
      </c>
      <c r="G186" s="1">
        <v>122776</v>
      </c>
      <c r="H186" s="1">
        <v>138212</v>
      </c>
      <c r="I186" s="1">
        <v>22</v>
      </c>
      <c r="J186" s="1" t="s">
        <v>351</v>
      </c>
      <c r="K186" s="1" t="s">
        <v>791</v>
      </c>
      <c r="L186" s="1" t="s">
        <v>792</v>
      </c>
      <c r="M186" s="1" t="s">
        <v>9158</v>
      </c>
      <c r="N186" s="1" t="s">
        <v>9158</v>
      </c>
      <c r="O186" s="1" t="s">
        <v>9158</v>
      </c>
      <c r="P186" s="1" t="s">
        <v>9158</v>
      </c>
      <c r="Q186" s="1" t="s">
        <v>9158</v>
      </c>
    </row>
    <row r="187" spans="1:18">
      <c r="A187" s="1">
        <v>83163</v>
      </c>
      <c r="B187" s="1" t="s">
        <v>0</v>
      </c>
      <c r="C187" s="1" t="s">
        <v>200</v>
      </c>
      <c r="D187" s="19" t="s">
        <v>10480</v>
      </c>
      <c r="E187" s="15" t="str">
        <f>HYPERLINK("https://stat100.ameba.jp/tnk47/ratio20/illustrations/card/ill_83163_mangamatsurifutomakimatsurizushi03.jpg?201908-3-RELEASE-dice-e-424", "■")</f>
        <v>■</v>
      </c>
      <c r="F187" s="1" t="s">
        <v>6164</v>
      </c>
      <c r="G187" s="1">
        <v>113340</v>
      </c>
      <c r="H187" s="1">
        <v>105394</v>
      </c>
      <c r="I187" s="1">
        <v>24</v>
      </c>
      <c r="J187" s="1" t="s">
        <v>104</v>
      </c>
      <c r="K187" s="1" t="s">
        <v>6166</v>
      </c>
      <c r="L187" s="1" t="s">
        <v>2409</v>
      </c>
      <c r="M187" s="1" t="s">
        <v>9158</v>
      </c>
      <c r="N187" s="1" t="s">
        <v>9158</v>
      </c>
      <c r="O187" s="1" t="s">
        <v>9158</v>
      </c>
      <c r="P187" s="1" t="s">
        <v>9158</v>
      </c>
      <c r="Q187" s="1" t="s">
        <v>9158</v>
      </c>
    </row>
    <row r="188" spans="1:18">
      <c r="A188" s="1">
        <v>83173</v>
      </c>
      <c r="B188" s="1" t="s">
        <v>15</v>
      </c>
      <c r="C188" s="1" t="s">
        <v>191</v>
      </c>
      <c r="D188" s="19" t="s">
        <v>10481</v>
      </c>
      <c r="E188" s="15" t="str">
        <f>HYPERLINK("https://stat100.ameba.jp/tnk47/ratio20/illustrations/card/ill_83173_mahoushoujosanagaoume03.jpg?201908-3-RELEASE-dice-e-424", "■")</f>
        <v>■</v>
      </c>
      <c r="F188" s="1" t="s">
        <v>6168</v>
      </c>
      <c r="G188" s="1">
        <v>48390</v>
      </c>
      <c r="H188" s="1">
        <v>53352</v>
      </c>
      <c r="I188" s="1">
        <v>18</v>
      </c>
      <c r="J188" s="1" t="s">
        <v>77</v>
      </c>
      <c r="K188" s="1" t="s">
        <v>6170</v>
      </c>
      <c r="L188" s="1" t="s">
        <v>973</v>
      </c>
      <c r="M188" s="1" t="s">
        <v>9158</v>
      </c>
      <c r="N188" s="1" t="s">
        <v>9158</v>
      </c>
      <c r="O188" s="1" t="s">
        <v>9158</v>
      </c>
      <c r="P188" s="1" t="s">
        <v>9158</v>
      </c>
      <c r="Q188" s="1" t="s">
        <v>9158</v>
      </c>
    </row>
    <row r="189" spans="1:18">
      <c r="A189" s="1">
        <v>83183</v>
      </c>
      <c r="B189" s="1" t="s">
        <v>22</v>
      </c>
      <c r="C189" s="1" t="s">
        <v>206</v>
      </c>
      <c r="D189" s="19" t="s">
        <v>10482</v>
      </c>
      <c r="E189" s="15" t="str">
        <f>HYPERLINK("https://stat100.ameba.jp/tnk47/ratio20/illustrations/card/ill_83183_kaizokuoourakei03.jpg?201908-3-RELEASE-dice-e-424", "■")</f>
        <v>■</v>
      </c>
      <c r="F189" s="1" t="s">
        <v>6172</v>
      </c>
      <c r="G189" s="1">
        <v>35346</v>
      </c>
      <c r="H189" s="1">
        <v>29388</v>
      </c>
      <c r="I189" s="1">
        <v>17</v>
      </c>
      <c r="J189" s="1" t="s">
        <v>10</v>
      </c>
      <c r="K189" s="1" t="s">
        <v>6175</v>
      </c>
      <c r="L189" s="1" t="s">
        <v>2321</v>
      </c>
      <c r="M189" s="1" t="s">
        <v>9158</v>
      </c>
      <c r="N189" s="1" t="s">
        <v>9158</v>
      </c>
      <c r="O189" s="1" t="s">
        <v>9158</v>
      </c>
      <c r="P189" s="1" t="s">
        <v>9158</v>
      </c>
      <c r="Q189" s="1" t="s">
        <v>9158</v>
      </c>
    </row>
    <row r="190" spans="1:18">
      <c r="A190" s="1">
        <v>83193</v>
      </c>
      <c r="B190" s="1" t="s">
        <v>30</v>
      </c>
      <c r="C190" s="1" t="s">
        <v>185</v>
      </c>
      <c r="D190" s="19" t="s">
        <v>10483</v>
      </c>
      <c r="E190" s="15" t="str">
        <f>HYPERLINK("https://stat100.ameba.jp/tnk47/ratio20/illustrations/card/ill_83193_yukiusagichan03.jpg?201908-3-RELEASE-dice-e-424", "■")</f>
        <v>■</v>
      </c>
      <c r="F190" s="1" t="s">
        <v>6176</v>
      </c>
      <c r="G190" s="1">
        <v>17972</v>
      </c>
      <c r="H190" s="1">
        <v>17972</v>
      </c>
      <c r="I190" s="1">
        <v>17</v>
      </c>
      <c r="J190" s="1" t="s">
        <v>26</v>
      </c>
      <c r="K190" s="1" t="s">
        <v>6179</v>
      </c>
      <c r="L190" s="1" t="s">
        <v>3947</v>
      </c>
      <c r="M190" s="1" t="s">
        <v>9158</v>
      </c>
      <c r="N190" s="1" t="s">
        <v>9158</v>
      </c>
      <c r="O190" s="1" t="s">
        <v>9158</v>
      </c>
      <c r="P190" s="1" t="s">
        <v>9158</v>
      </c>
      <c r="Q190" s="1" t="s">
        <v>9158</v>
      </c>
    </row>
    <row r="192" spans="1:18">
      <c r="A192" s="1" t="s">
        <v>6193</v>
      </c>
    </row>
    <row r="193" spans="1:19">
      <c r="A193" s="1" t="s">
        <v>6194</v>
      </c>
    </row>
    <row r="194" spans="1:19">
      <c r="A194" s="1" t="s">
        <v>6195</v>
      </c>
      <c r="B194" s="1" t="s">
        <v>52</v>
      </c>
      <c r="C194" s="1" t="s">
        <v>191</v>
      </c>
      <c r="D194" s="19" t="s">
        <v>10217</v>
      </c>
      <c r="E194" s="15" t="str">
        <f>HYPERLINK("https://stat100.ameba.jp/tnk47/ratio20/illustrations/card/ill_56493_0_poppukurisumasuikomakitsuno03.jpg?201908-3-RELEASE-dice-e-424", "■")</f>
        <v>■</v>
      </c>
      <c r="F194" s="1" t="s">
        <v>1769</v>
      </c>
      <c r="G194" s="1">
        <v>94236</v>
      </c>
      <c r="H194" s="1">
        <v>83712</v>
      </c>
      <c r="I194" s="1">
        <v>15</v>
      </c>
      <c r="J194" s="1" t="s">
        <v>77</v>
      </c>
      <c r="K194" s="1" t="s">
        <v>1770</v>
      </c>
      <c r="L194" s="1" t="s">
        <v>1771</v>
      </c>
      <c r="M194" s="1" t="s">
        <v>9158</v>
      </c>
      <c r="N194" s="1" t="s">
        <v>9158</v>
      </c>
      <c r="O194" s="19" t="s">
        <v>10120</v>
      </c>
      <c r="P194" s="1" t="s">
        <v>2724</v>
      </c>
      <c r="Q194" s="1">
        <v>1</v>
      </c>
    </row>
    <row r="195" spans="1:19">
      <c r="A195" s="1" t="s">
        <v>5724</v>
      </c>
      <c r="B195" s="1" t="s">
        <v>330</v>
      </c>
      <c r="C195" s="1" t="s">
        <v>335</v>
      </c>
      <c r="D195" s="19" t="s">
        <v>698</v>
      </c>
      <c r="E195" s="15" t="str">
        <f>HYPERLINK("https://stat100.ameba.jp/tnk47/ratio20/illustrations/card/ill_66433_0_haroinfujishirogozen03.jpg?201908-3-RELEASE-dice-e-424", "■")</f>
        <v>■</v>
      </c>
      <c r="F195" s="1" t="s">
        <v>699</v>
      </c>
      <c r="G195" s="1">
        <v>91807</v>
      </c>
      <c r="H195" s="1">
        <v>98751</v>
      </c>
      <c r="I195" s="1">
        <v>15</v>
      </c>
      <c r="J195" s="1" t="s">
        <v>315</v>
      </c>
      <c r="K195" s="1" t="s">
        <v>700</v>
      </c>
      <c r="L195" s="1" t="s">
        <v>701</v>
      </c>
      <c r="M195" s="1" t="s">
        <v>9158</v>
      </c>
      <c r="N195" s="1" t="s">
        <v>9158</v>
      </c>
      <c r="O195" s="19" t="s">
        <v>10095</v>
      </c>
      <c r="P195" s="1" t="s">
        <v>3345</v>
      </c>
      <c r="Q195" s="1">
        <v>1</v>
      </c>
    </row>
    <row r="196" spans="1:19">
      <c r="A196" s="1" t="s">
        <v>6196</v>
      </c>
      <c r="B196" s="1" t="s">
        <v>330</v>
      </c>
      <c r="C196" s="1" t="s">
        <v>205</v>
      </c>
      <c r="D196" s="19" t="s">
        <v>513</v>
      </c>
      <c r="E196" s="15" t="str">
        <f>HYPERLINK("https://stat100.ameba.jp/tnk47/ratio20/illustrations/card/ill_44283_0_izumonokuni03.jpg?201908-3-RELEASE-dice-e-424", "■")</f>
        <v>■</v>
      </c>
      <c r="F196" s="1" t="s">
        <v>514</v>
      </c>
      <c r="G196" s="1">
        <v>87780</v>
      </c>
      <c r="H196" s="1">
        <v>82212</v>
      </c>
      <c r="I196" s="1">
        <v>15</v>
      </c>
      <c r="J196" s="1" t="s">
        <v>159</v>
      </c>
      <c r="K196" s="1" t="s">
        <v>1717</v>
      </c>
      <c r="L196" s="1" t="s">
        <v>516</v>
      </c>
      <c r="M196" s="1" t="s">
        <v>9158</v>
      </c>
      <c r="N196" s="1" t="s">
        <v>9158</v>
      </c>
      <c r="O196" s="1" t="s">
        <v>9158</v>
      </c>
      <c r="P196" s="1" t="s">
        <v>9158</v>
      </c>
      <c r="Q196" s="1" t="s">
        <v>9158</v>
      </c>
    </row>
    <row r="197" spans="1:19">
      <c r="A197" s="1">
        <v>74183</v>
      </c>
      <c r="B197" s="1" t="s">
        <v>0</v>
      </c>
      <c r="C197" s="1" t="s">
        <v>6197</v>
      </c>
      <c r="D197" s="19" t="s">
        <v>10485</v>
      </c>
      <c r="E197" s="15" t="str">
        <f>HYPERLINK("https://stat100.ameba.jp/tnk47/ratio20/illustrations/card/ill_74183_bimbogamitofukunokami03.jpg?201908-3-RELEASE-dice-e-424", "■")</f>
        <v>■</v>
      </c>
      <c r="F197" s="1" t="s">
        <v>6201</v>
      </c>
      <c r="G197" s="1">
        <v>109528</v>
      </c>
      <c r="H197" s="1">
        <v>101656</v>
      </c>
      <c r="I197" s="1">
        <v>24</v>
      </c>
      <c r="J197" s="1" t="s">
        <v>274</v>
      </c>
      <c r="K197" s="1" t="s">
        <v>6202</v>
      </c>
      <c r="L197" s="1" t="s">
        <v>6203</v>
      </c>
      <c r="M197" s="1" t="s">
        <v>9158</v>
      </c>
      <c r="N197" s="1" t="s">
        <v>9158</v>
      </c>
      <c r="O197" s="1" t="s">
        <v>9158</v>
      </c>
      <c r="P197" s="1" t="s">
        <v>9158</v>
      </c>
      <c r="Q197" s="1" t="s">
        <v>9158</v>
      </c>
      <c r="S197" s="14" t="s">
        <v>11828</v>
      </c>
    </row>
    <row r="198" spans="1:19">
      <c r="A198" s="1">
        <v>74933</v>
      </c>
      <c r="B198" s="1" t="s">
        <v>0</v>
      </c>
      <c r="C198" s="1" t="s">
        <v>6198</v>
      </c>
      <c r="D198" s="19" t="s">
        <v>11829</v>
      </c>
      <c r="E198" s="15" t="str">
        <f>HYPERLINK("https://stat100.ameba.jp/tnk47/ratio20/illustrations/card/ill_74933_amenonukadonomikoto03.jpg?201908-3-RELEASE-dice-e-424", "■")</f>
        <v>■</v>
      </c>
      <c r="F198" s="1" t="s">
        <v>6204</v>
      </c>
      <c r="G198" s="1">
        <v>91010</v>
      </c>
      <c r="H198" s="1">
        <v>97894</v>
      </c>
      <c r="I198" s="1">
        <v>24</v>
      </c>
      <c r="J198" s="1" t="s">
        <v>6205</v>
      </c>
      <c r="K198" s="1" t="s">
        <v>6206</v>
      </c>
      <c r="L198" s="1" t="s">
        <v>6207</v>
      </c>
      <c r="M198" s="1" t="s">
        <v>9158</v>
      </c>
      <c r="N198" s="1" t="s">
        <v>9158</v>
      </c>
      <c r="O198" s="1" t="s">
        <v>9158</v>
      </c>
      <c r="P198" s="1" t="s">
        <v>9158</v>
      </c>
      <c r="Q198" s="1" t="s">
        <v>9158</v>
      </c>
      <c r="S198" s="14" t="s">
        <v>11773</v>
      </c>
    </row>
    <row r="199" spans="1:19">
      <c r="A199" s="1">
        <v>77003</v>
      </c>
      <c r="B199" s="1" t="s">
        <v>0</v>
      </c>
      <c r="C199" s="1" t="s">
        <v>6199</v>
      </c>
      <c r="D199" s="19" t="s">
        <v>11830</v>
      </c>
      <c r="E199" s="15" t="str">
        <f>HYPERLINK("https://stat100.ameba.jp/tnk47/ratio20/illustrations/card/ill_77003_seikimatsunurarihyon03.jpg?201908-3-RELEASE-dice-e-424", "■")</f>
        <v>■</v>
      </c>
      <c r="F199" s="1" t="s">
        <v>6208</v>
      </c>
      <c r="G199" s="1">
        <v>104638</v>
      </c>
      <c r="H199" s="1">
        <v>97310</v>
      </c>
      <c r="I199" s="1">
        <v>24</v>
      </c>
      <c r="J199" s="1" t="s">
        <v>6209</v>
      </c>
      <c r="K199" s="1" t="s">
        <v>6210</v>
      </c>
      <c r="L199" s="1" t="s">
        <v>6211</v>
      </c>
      <c r="M199" s="1" t="s">
        <v>9158</v>
      </c>
      <c r="N199" s="1" t="s">
        <v>9158</v>
      </c>
      <c r="O199" s="1" t="s">
        <v>9158</v>
      </c>
      <c r="P199" s="1" t="s">
        <v>9158</v>
      </c>
      <c r="Q199" s="1" t="s">
        <v>9158</v>
      </c>
      <c r="S199" s="14" t="s">
        <v>11811</v>
      </c>
    </row>
    <row r="200" spans="1:19">
      <c r="A200" s="1">
        <v>74443</v>
      </c>
      <c r="B200" s="1" t="s">
        <v>15</v>
      </c>
      <c r="C200" s="1" t="s">
        <v>6200</v>
      </c>
      <c r="D200" s="19" t="s">
        <v>11823</v>
      </c>
      <c r="E200" s="15" t="str">
        <f>HYPERLINK("https://stat100.ameba.jp/tnk47/ratio20/illustrations/card/ill_74443_heikegani03.jpg?201908-3-RELEASE-dice-e-424", "■")</f>
        <v>■</v>
      </c>
      <c r="F200" s="1" t="s">
        <v>6212</v>
      </c>
      <c r="G200" s="1">
        <v>59280</v>
      </c>
      <c r="H200" s="1">
        <v>53768</v>
      </c>
      <c r="I200" s="1">
        <v>20</v>
      </c>
      <c r="J200" s="1" t="s">
        <v>6209</v>
      </c>
      <c r="K200" s="1" t="s">
        <v>6214</v>
      </c>
      <c r="L200" s="1" t="s">
        <v>6213</v>
      </c>
      <c r="M200" s="1" t="s">
        <v>9158</v>
      </c>
      <c r="N200" s="1" t="s">
        <v>9158</v>
      </c>
      <c r="O200" s="1" t="s">
        <v>9158</v>
      </c>
      <c r="P200" s="1" t="s">
        <v>9158</v>
      </c>
      <c r="Q200" s="1" t="s">
        <v>9158</v>
      </c>
      <c r="S200" s="14" t="s">
        <v>11801</v>
      </c>
    </row>
    <row r="201" spans="1:19">
      <c r="A201" s="1">
        <v>73163</v>
      </c>
      <c r="B201" s="1" t="s">
        <v>15</v>
      </c>
      <c r="C201" s="1" t="s">
        <v>6200</v>
      </c>
      <c r="D201" s="19" t="s">
        <v>11824</v>
      </c>
      <c r="E201" s="15" t="str">
        <f>HYPERLINK("https://stat100.ameba.jp/tnk47/ratio20/illustrations/card/ill_73163_kibitsuhikonomikoto03.jpg?201908-3-RELEASE-dice-e-424", "■")</f>
        <v>■</v>
      </c>
      <c r="F201" s="1" t="s">
        <v>6215</v>
      </c>
      <c r="G201" s="1">
        <v>53768</v>
      </c>
      <c r="H201" s="1">
        <v>59280</v>
      </c>
      <c r="I201" s="1">
        <v>20</v>
      </c>
      <c r="J201" s="1" t="s">
        <v>6216</v>
      </c>
      <c r="K201" s="1" t="s">
        <v>6218</v>
      </c>
      <c r="L201" s="1" t="s">
        <v>6217</v>
      </c>
      <c r="M201" s="1" t="s">
        <v>9158</v>
      </c>
      <c r="N201" s="1" t="s">
        <v>9158</v>
      </c>
      <c r="O201" s="1" t="s">
        <v>9158</v>
      </c>
      <c r="P201" s="1" t="s">
        <v>9158</v>
      </c>
      <c r="Q201" s="1" t="s">
        <v>9158</v>
      </c>
      <c r="S201" s="14" t="s">
        <v>11825</v>
      </c>
    </row>
    <row r="202" spans="1:19">
      <c r="A202" s="1">
        <v>67563</v>
      </c>
      <c r="B202" s="1" t="s">
        <v>15</v>
      </c>
      <c r="C202" s="1" t="s">
        <v>6200</v>
      </c>
      <c r="D202" s="19" t="s">
        <v>11826</v>
      </c>
      <c r="E202" s="15" t="str">
        <f>HYPERLINK("https://stat100.ameba.jp/tnk47/ratio20/illustrations/card/ill_67563_udonge03.jpg?201908-3-RELEASE-dice-e-424", "■")</f>
        <v>■</v>
      </c>
      <c r="F202" s="1" t="s">
        <v>6219</v>
      </c>
      <c r="G202" s="1">
        <v>59280</v>
      </c>
      <c r="H202" s="1">
        <v>53768</v>
      </c>
      <c r="I202" s="1">
        <v>20</v>
      </c>
      <c r="J202" s="1" t="s">
        <v>6205</v>
      </c>
      <c r="K202" s="1" t="s">
        <v>6221</v>
      </c>
      <c r="L202" s="1" t="s">
        <v>6220</v>
      </c>
      <c r="M202" s="1" t="s">
        <v>9158</v>
      </c>
      <c r="N202" s="1" t="s">
        <v>9158</v>
      </c>
      <c r="O202" s="1" t="s">
        <v>9158</v>
      </c>
      <c r="P202" s="1" t="s">
        <v>9158</v>
      </c>
      <c r="Q202" s="1" t="s">
        <v>9158</v>
      </c>
      <c r="S202" s="14" t="s">
        <v>11827</v>
      </c>
    </row>
    <row r="204" spans="1:19">
      <c r="A204" s="1" t="s">
        <v>6222</v>
      </c>
    </row>
    <row r="205" spans="1:19">
      <c r="A205" s="1" t="s">
        <v>6223</v>
      </c>
    </row>
    <row r="206" spans="1:19">
      <c r="A206" s="1" t="s">
        <v>6224</v>
      </c>
      <c r="B206" s="1" t="s">
        <v>52</v>
      </c>
      <c r="C206" s="1" t="s">
        <v>200</v>
      </c>
      <c r="D206" s="19" t="s">
        <v>3160</v>
      </c>
      <c r="E206" s="15" t="str">
        <f>HYPERLINK("https://stat100.ameba.jp/tnk47/ratio20/illustrations/card/ill_72963_0_amenohanayomehiguchiichiyo03.jpg?201908-3-RELEASE-dice-e-424", "■")</f>
        <v>■</v>
      </c>
      <c r="F206" s="1" t="s">
        <v>1139</v>
      </c>
      <c r="G206" s="1">
        <v>160804</v>
      </c>
      <c r="H206" s="1">
        <v>149520</v>
      </c>
      <c r="I206" s="1">
        <v>24</v>
      </c>
      <c r="J206" s="1" t="s">
        <v>10</v>
      </c>
      <c r="K206" s="1" t="s">
        <v>1140</v>
      </c>
      <c r="L206" s="1" t="s">
        <v>1141</v>
      </c>
      <c r="M206" s="1" t="s">
        <v>9158</v>
      </c>
      <c r="N206" s="1" t="s">
        <v>9158</v>
      </c>
      <c r="O206" s="19" t="s">
        <v>3162</v>
      </c>
      <c r="P206" s="1" t="s">
        <v>3410</v>
      </c>
      <c r="Q206" s="1">
        <v>1</v>
      </c>
    </row>
    <row r="207" spans="1:19">
      <c r="A207" s="1">
        <v>81303</v>
      </c>
      <c r="B207" s="1" t="s">
        <v>334</v>
      </c>
      <c r="C207" s="1" t="s">
        <v>41</v>
      </c>
      <c r="D207" s="19" t="s">
        <v>10349</v>
      </c>
      <c r="E207" s="15" t="str">
        <f>HYPERLINK("https://stat100.ameba.jp/tnk47/ratio20/illustrations/card/ill_81303_suteirukuin03.jpg?201908-3-RELEASE-dice-e-424", "■")</f>
        <v>■</v>
      </c>
      <c r="F207" s="1" t="s">
        <v>4581</v>
      </c>
      <c r="G207" s="1">
        <v>115656</v>
      </c>
      <c r="H207" s="1">
        <v>159674</v>
      </c>
      <c r="I207" s="1">
        <v>24</v>
      </c>
      <c r="J207" s="1" t="s">
        <v>104</v>
      </c>
      <c r="K207" s="1" t="s">
        <v>4582</v>
      </c>
      <c r="L207" s="1" t="s">
        <v>2304</v>
      </c>
      <c r="M207" s="1" t="s">
        <v>9158</v>
      </c>
      <c r="N207" s="1" t="s">
        <v>9158</v>
      </c>
      <c r="O207" s="19" t="s">
        <v>10084</v>
      </c>
      <c r="P207" s="1" t="s">
        <v>4584</v>
      </c>
      <c r="Q207" s="1">
        <v>1</v>
      </c>
    </row>
    <row r="208" spans="1:19">
      <c r="A208" s="1">
        <v>81743</v>
      </c>
      <c r="B208" s="1" t="s">
        <v>334</v>
      </c>
      <c r="C208" s="1" t="s">
        <v>107</v>
      </c>
      <c r="D208" s="19" t="s">
        <v>10171</v>
      </c>
      <c r="E208" s="15" t="str">
        <f>HYPERLINK("https://stat100.ameba.jp/tnk47/ratio20/illustrations/card/ill_81743_denshagarusakyogabashinohebi03.jpg?201908-3-RELEASE-dice-e-424", "■")</f>
        <v>■</v>
      </c>
      <c r="F208" s="1" t="s">
        <v>4853</v>
      </c>
      <c r="G208" s="1">
        <v>109528</v>
      </c>
      <c r="H208" s="1">
        <v>101656</v>
      </c>
      <c r="I208" s="1">
        <v>24</v>
      </c>
      <c r="J208" s="1" t="s">
        <v>38</v>
      </c>
      <c r="K208" s="1" t="s">
        <v>4855</v>
      </c>
      <c r="L208" s="1" t="s">
        <v>4856</v>
      </c>
      <c r="M208" s="1" t="s">
        <v>9158</v>
      </c>
      <c r="N208" s="1" t="s">
        <v>9158</v>
      </c>
      <c r="O208" s="19" t="s">
        <v>10091</v>
      </c>
      <c r="P208" s="1" t="s">
        <v>3670</v>
      </c>
      <c r="Q208" s="1">
        <v>1</v>
      </c>
    </row>
    <row r="209" spans="1:17">
      <c r="A209" s="1">
        <v>64043</v>
      </c>
      <c r="B209" s="1" t="s">
        <v>334</v>
      </c>
      <c r="C209" s="1" t="s">
        <v>209</v>
      </c>
      <c r="D209" s="19" t="s">
        <v>10262</v>
      </c>
      <c r="E209" s="15" t="str">
        <f>HYPERLINK("https://stat100.ameba.jp/tnk47/ratio20/illustrations/card/ill_64043_kegonnotaki03.jpg?201908-3-RELEASE-dice-e-424", "■")</f>
        <v>■</v>
      </c>
      <c r="F209" s="1" t="s">
        <v>759</v>
      </c>
      <c r="G209" s="1">
        <v>114160</v>
      </c>
      <c r="H209" s="1">
        <v>82694</v>
      </c>
      <c r="I209" s="1">
        <v>24</v>
      </c>
      <c r="J209" s="1" t="s">
        <v>229</v>
      </c>
      <c r="K209" s="1" t="s">
        <v>230</v>
      </c>
      <c r="L209" s="1" t="s">
        <v>13143</v>
      </c>
      <c r="M209" s="1" t="s">
        <v>9158</v>
      </c>
      <c r="N209" s="1" t="s">
        <v>9158</v>
      </c>
      <c r="O209" s="19" t="s">
        <v>10070</v>
      </c>
      <c r="P209" s="1" t="s">
        <v>3579</v>
      </c>
      <c r="Q209" s="1">
        <v>1</v>
      </c>
    </row>
    <row r="211" spans="1:17">
      <c r="A211" s="1" t="s">
        <v>6225</v>
      </c>
    </row>
    <row r="212" spans="1:17">
      <c r="A212" s="1" t="s">
        <v>6226</v>
      </c>
    </row>
    <row r="213" spans="1:17">
      <c r="A213" s="1" t="s">
        <v>5602</v>
      </c>
      <c r="B213" s="1" t="s">
        <v>52</v>
      </c>
      <c r="C213" s="1" t="s">
        <v>14</v>
      </c>
      <c r="D213" s="19" t="s">
        <v>813</v>
      </c>
      <c r="E213" s="15" t="str">
        <f>HYPERLINK("https://stat100.ameba.jp/tnk47/ratio20/illustrations/card/ill_55313_0_haroinononokomachi03.jpg?201908-3-RELEASE-dice-e-424", "■")</f>
        <v>■</v>
      </c>
      <c r="F213" s="1" t="s">
        <v>2094</v>
      </c>
      <c r="G213" s="1">
        <v>94236</v>
      </c>
      <c r="H213" s="1">
        <v>83712</v>
      </c>
      <c r="I213" s="1">
        <v>15</v>
      </c>
      <c r="J213" s="1" t="s">
        <v>10</v>
      </c>
      <c r="K213" s="1" t="s">
        <v>2095</v>
      </c>
      <c r="L213" s="1" t="s">
        <v>2096</v>
      </c>
      <c r="M213" s="1" t="s">
        <v>9158</v>
      </c>
      <c r="N213" s="1" t="s">
        <v>9158</v>
      </c>
      <c r="O213" s="19" t="s">
        <v>2733</v>
      </c>
      <c r="P213" s="1" t="s">
        <v>2734</v>
      </c>
      <c r="Q213" s="1">
        <v>1</v>
      </c>
    </row>
    <row r="214" spans="1:17">
      <c r="A214" s="1" t="s">
        <v>5603</v>
      </c>
      <c r="B214" s="1" t="s">
        <v>330</v>
      </c>
      <c r="C214" s="1" t="s">
        <v>205</v>
      </c>
      <c r="D214" s="19" t="s">
        <v>611</v>
      </c>
      <c r="E214" s="15" t="str">
        <f>HYPERLINK("https://stat100.ameba.jp/tnk47/ratio20/illustrations/card/ill_61893_0_onikirishumiyamotomusashi03.jpg?201908-3-RELEASE-dice-e-424", "■")</f>
        <v>■</v>
      </c>
      <c r="F214" s="1" t="s">
        <v>612</v>
      </c>
      <c r="G214" s="1">
        <v>140016</v>
      </c>
      <c r="H214" s="1">
        <v>130194</v>
      </c>
      <c r="I214" s="1">
        <v>15</v>
      </c>
      <c r="J214" s="1" t="s">
        <v>310</v>
      </c>
      <c r="K214" s="1" t="s">
        <v>613</v>
      </c>
      <c r="L214" s="1" t="s">
        <v>312</v>
      </c>
      <c r="M214" s="1" t="s">
        <v>9158</v>
      </c>
      <c r="N214" s="1" t="s">
        <v>9158</v>
      </c>
      <c r="O214" s="19" t="s">
        <v>10071</v>
      </c>
      <c r="P214" s="1" t="s">
        <v>3253</v>
      </c>
      <c r="Q214" s="1">
        <v>1</v>
      </c>
    </row>
    <row r="215" spans="1:17">
      <c r="A215" s="1" t="s">
        <v>5604</v>
      </c>
      <c r="B215" s="1" t="s">
        <v>330</v>
      </c>
      <c r="C215" s="1" t="s">
        <v>206</v>
      </c>
      <c r="D215" s="19" t="s">
        <v>614</v>
      </c>
      <c r="E215" s="15" t="str">
        <f>HYPERLINK("https://stat100.ameba.jp/tnk47/ratio20/illustrations/card/ill_47263_0_oukyuuatsuhime03.jpg?201908-3-RELEASE-dice-e-424", "■")</f>
        <v>■</v>
      </c>
      <c r="F215" s="1" t="s">
        <v>615</v>
      </c>
      <c r="G215" s="1">
        <v>94236</v>
      </c>
      <c r="H215" s="1">
        <v>83712</v>
      </c>
      <c r="I215" s="1">
        <v>15</v>
      </c>
      <c r="J215" s="1" t="s">
        <v>315</v>
      </c>
      <c r="K215" s="1" t="s">
        <v>616</v>
      </c>
      <c r="L215" s="1" t="s">
        <v>617</v>
      </c>
      <c r="M215" s="1" t="s">
        <v>9158</v>
      </c>
      <c r="N215" s="1" t="s">
        <v>9158</v>
      </c>
      <c r="O215" s="1" t="s">
        <v>9158</v>
      </c>
      <c r="P215" s="1" t="s">
        <v>9158</v>
      </c>
      <c r="Q215" s="1" t="s">
        <v>9158</v>
      </c>
    </row>
    <row r="216" spans="1:17">
      <c r="A216" s="1">
        <v>80423</v>
      </c>
      <c r="B216" s="1" t="s">
        <v>334</v>
      </c>
      <c r="C216" s="1" t="s">
        <v>165</v>
      </c>
      <c r="D216" s="19" t="s">
        <v>10489</v>
      </c>
      <c r="E216" s="15" t="str">
        <f>HYPERLINK("https://stat100.ameba.jp/tnk47/ratio20/illustrations/card/ill_80423_shikyushikimurasakishikibu03.jpg?201908-3-RELEASE-dice-e-424", "■")</f>
        <v>■</v>
      </c>
      <c r="F216" s="1" t="s">
        <v>6228</v>
      </c>
      <c r="G216" s="1">
        <v>110924</v>
      </c>
      <c r="H216" s="1">
        <v>62414</v>
      </c>
      <c r="I216" s="1">
        <v>23</v>
      </c>
      <c r="J216" s="1" t="s">
        <v>6229</v>
      </c>
      <c r="K216" s="1" t="s">
        <v>6230</v>
      </c>
      <c r="L216" s="1" t="s">
        <v>6231</v>
      </c>
      <c r="M216" s="1" t="s">
        <v>9158</v>
      </c>
      <c r="N216" s="1" t="s">
        <v>9158</v>
      </c>
      <c r="O216" s="1" t="s">
        <v>9158</v>
      </c>
      <c r="P216" s="1" t="s">
        <v>9158</v>
      </c>
      <c r="Q216" s="1" t="s">
        <v>9158</v>
      </c>
    </row>
    <row r="217" spans="1:17">
      <c r="A217" s="1">
        <v>67523</v>
      </c>
      <c r="B217" s="1" t="s">
        <v>334</v>
      </c>
      <c r="C217" s="1" t="s">
        <v>200</v>
      </c>
      <c r="D217" s="19" t="s">
        <v>1414</v>
      </c>
      <c r="E217" s="15" t="str">
        <f>HYPERLINK("https://stat100.ameba.jp/tnk47/ratio20/illustrations/card/ill_67523_shirazuyawatanomori03.jpg?201908-3-RELEASE-dice-e-424", "■")</f>
        <v>■</v>
      </c>
      <c r="F217" s="1" t="s">
        <v>6232</v>
      </c>
      <c r="G217" s="1">
        <v>129501</v>
      </c>
      <c r="H217" s="1">
        <v>72883</v>
      </c>
      <c r="I217" s="1">
        <v>23</v>
      </c>
      <c r="J217" s="1" t="s">
        <v>6233</v>
      </c>
      <c r="K217" s="1" t="s">
        <v>6235</v>
      </c>
      <c r="L217" s="1" t="s">
        <v>6234</v>
      </c>
      <c r="M217" s="1" t="s">
        <v>9158</v>
      </c>
      <c r="N217" s="1" t="s">
        <v>9158</v>
      </c>
      <c r="O217" s="1" t="s">
        <v>9158</v>
      </c>
      <c r="P217" s="1" t="s">
        <v>9158</v>
      </c>
      <c r="Q217" s="1" t="s">
        <v>9158</v>
      </c>
    </row>
    <row r="218" spans="1:17">
      <c r="A218" s="1">
        <v>76563</v>
      </c>
      <c r="B218" s="1" t="s">
        <v>334</v>
      </c>
      <c r="C218" s="1" t="s">
        <v>6227</v>
      </c>
      <c r="D218" s="19" t="s">
        <v>10247</v>
      </c>
      <c r="E218" s="15" t="str">
        <f>HYPERLINK("https://stat100.ameba.jp/tnk47/ratio20/illustrations/card/ill_76563_hannarideru03.jpg?201908-3-RELEASE-dice-e-424", "■")</f>
        <v>■</v>
      </c>
      <c r="F218" s="1" t="s">
        <v>6236</v>
      </c>
      <c r="G218" s="1">
        <v>89839</v>
      </c>
      <c r="H218" s="1">
        <v>83499</v>
      </c>
      <c r="I218" s="1">
        <v>23</v>
      </c>
      <c r="J218" s="1" t="s">
        <v>6237</v>
      </c>
      <c r="K218" s="1" t="s">
        <v>6239</v>
      </c>
      <c r="L218" s="1" t="s">
        <v>6238</v>
      </c>
      <c r="M218" s="1" t="s">
        <v>9158</v>
      </c>
      <c r="N218" s="1" t="s">
        <v>9158</v>
      </c>
      <c r="O218" s="1" t="s">
        <v>9158</v>
      </c>
      <c r="P218" s="1" t="s">
        <v>9158</v>
      </c>
      <c r="Q218" s="1" t="s">
        <v>9158</v>
      </c>
    </row>
    <row r="219" spans="1:17">
      <c r="A219" s="1">
        <v>60953</v>
      </c>
      <c r="B219" s="1" t="s">
        <v>348</v>
      </c>
      <c r="C219" s="1" t="s">
        <v>307</v>
      </c>
      <c r="D219" s="19" t="s">
        <v>1522</v>
      </c>
      <c r="E219" s="15" t="str">
        <f>HYPERLINK("https://stat100.ameba.jp/tnk47/ratio20/illustrations/card/ill_60953_sukurugaruikedasen03.jpg?201908-3-RELEASE-dice-e-424", "■")</f>
        <v>■</v>
      </c>
      <c r="F219" s="1" t="s">
        <v>1523</v>
      </c>
      <c r="G219" s="1">
        <v>56316</v>
      </c>
      <c r="H219" s="1">
        <v>51078</v>
      </c>
      <c r="I219" s="1">
        <v>19</v>
      </c>
      <c r="J219" s="1" t="s">
        <v>310</v>
      </c>
      <c r="K219" s="1" t="s">
        <v>1524</v>
      </c>
      <c r="L219" s="1" t="s">
        <v>1525</v>
      </c>
      <c r="M219" s="1" t="s">
        <v>9158</v>
      </c>
      <c r="N219" s="1" t="s">
        <v>9158</v>
      </c>
      <c r="O219" s="1" t="s">
        <v>9158</v>
      </c>
      <c r="P219" s="1" t="s">
        <v>9158</v>
      </c>
      <c r="Q219" s="1" t="s">
        <v>9158</v>
      </c>
    </row>
    <row r="220" spans="1:17">
      <c r="A220" s="1">
        <v>59873</v>
      </c>
      <c r="B220" s="1" t="s">
        <v>15</v>
      </c>
      <c r="C220" s="1" t="s">
        <v>200</v>
      </c>
      <c r="D220" s="19" t="s">
        <v>1526</v>
      </c>
      <c r="E220" s="15" t="str">
        <f>HYPERLINK("https://stat100.ameba.jp/tnk47/ratio20/illustrations/card/ill_59873_yoseinakajimautako03.jpg?201908-3-RELEASE-dice-e-424", "■")</f>
        <v>■</v>
      </c>
      <c r="F220" s="1" t="s">
        <v>3526</v>
      </c>
      <c r="G220" s="1">
        <v>56316</v>
      </c>
      <c r="H220" s="1">
        <v>51078</v>
      </c>
      <c r="I220" s="1">
        <v>19</v>
      </c>
      <c r="J220" s="1" t="s">
        <v>10</v>
      </c>
      <c r="K220" s="1" t="s">
        <v>3527</v>
      </c>
      <c r="L220" s="1" t="s">
        <v>3275</v>
      </c>
      <c r="M220" s="1" t="s">
        <v>9158</v>
      </c>
      <c r="N220" s="1" t="s">
        <v>9158</v>
      </c>
      <c r="O220" s="1" t="s">
        <v>9158</v>
      </c>
      <c r="P220" s="1" t="s">
        <v>9158</v>
      </c>
      <c r="Q220" s="1" t="s">
        <v>9158</v>
      </c>
    </row>
    <row r="221" spans="1:17">
      <c r="A221" s="1">
        <v>78303</v>
      </c>
      <c r="B221" s="1" t="s">
        <v>15</v>
      </c>
      <c r="C221" s="1" t="s">
        <v>165</v>
      </c>
      <c r="D221" s="19" t="s">
        <v>10452</v>
      </c>
      <c r="E221" s="15" t="str">
        <f>HYPERLINK("https://stat100.ameba.jp/tnk47/ratio20/illustrations/card/ill_78303_kobewain03.jpg?201908-3-RELEASE-dice-e-424", "■")</f>
        <v>■</v>
      </c>
      <c r="F221" s="1" t="s">
        <v>2419</v>
      </c>
      <c r="G221" s="1">
        <v>56316</v>
      </c>
      <c r="H221" s="1">
        <v>51078</v>
      </c>
      <c r="I221" s="1">
        <v>19</v>
      </c>
      <c r="J221" s="1" t="s">
        <v>104</v>
      </c>
      <c r="K221" s="1" t="s">
        <v>2420</v>
      </c>
      <c r="L221" s="1" t="s">
        <v>13178</v>
      </c>
      <c r="M221" s="1" t="s">
        <v>9158</v>
      </c>
      <c r="N221" s="1" t="s">
        <v>9158</v>
      </c>
      <c r="O221" s="1" t="s">
        <v>9158</v>
      </c>
      <c r="P221" s="1" t="s">
        <v>9158</v>
      </c>
      <c r="Q221" s="1" t="s">
        <v>9158</v>
      </c>
    </row>
    <row r="223" spans="1:17">
      <c r="A223" s="1" t="s">
        <v>6262</v>
      </c>
    </row>
    <row r="224" spans="1:17">
      <c r="A224" s="1" t="s">
        <v>6263</v>
      </c>
    </row>
    <row r="225" spans="1:17">
      <c r="A225" s="1" t="s">
        <v>5618</v>
      </c>
      <c r="B225" s="1" t="s">
        <v>330</v>
      </c>
      <c r="C225" s="1" t="s">
        <v>200</v>
      </c>
      <c r="D225" s="19" t="s">
        <v>665</v>
      </c>
      <c r="E225" s="15" t="str">
        <f>HYPERLINK("https://stat100.ameba.jp/tnk47/ratio20/illustrations/card/ill_63173_0_minazukikonakaiteruko03.jpg?201908-3-RELEASE-dice-e-424", "■")</f>
        <v>■</v>
      </c>
      <c r="F225" s="1" t="s">
        <v>666</v>
      </c>
      <c r="G225" s="1">
        <v>190952</v>
      </c>
      <c r="H225" s="1">
        <v>205358</v>
      </c>
      <c r="I225" s="1">
        <v>22</v>
      </c>
      <c r="J225" s="1" t="s">
        <v>310</v>
      </c>
      <c r="K225" s="1" t="s">
        <v>667</v>
      </c>
      <c r="L225" s="1" t="s">
        <v>668</v>
      </c>
      <c r="M225" s="1" t="s">
        <v>9158</v>
      </c>
      <c r="N225" s="1" t="s">
        <v>9158</v>
      </c>
      <c r="O225" s="19" t="s">
        <v>10079</v>
      </c>
      <c r="P225" s="1" t="s">
        <v>3329</v>
      </c>
      <c r="Q225" s="1">
        <v>1</v>
      </c>
    </row>
    <row r="226" spans="1:17">
      <c r="A226" s="1" t="s">
        <v>5734</v>
      </c>
      <c r="B226" s="1" t="s">
        <v>330</v>
      </c>
      <c r="C226" s="1" t="s">
        <v>202</v>
      </c>
      <c r="D226" s="19" t="s">
        <v>1497</v>
      </c>
      <c r="E226" s="15" t="str">
        <f>HYPERLINK("https://stat100.ameba.jp/tnk47/ratio20/illustrations/card/ill_74593_0_natsuyuenchikoshihikari03.jpg?201908-3-RELEASE-dice-e-424", "■")</f>
        <v>■</v>
      </c>
      <c r="F226" s="1" t="s">
        <v>1498</v>
      </c>
      <c r="G226" s="1">
        <v>238328</v>
      </c>
      <c r="H226" s="1">
        <v>221566</v>
      </c>
      <c r="I226" s="1">
        <v>22</v>
      </c>
      <c r="J226" s="1" t="s">
        <v>283</v>
      </c>
      <c r="K226" s="1" t="s">
        <v>1499</v>
      </c>
      <c r="L226" s="1" t="s">
        <v>1500</v>
      </c>
      <c r="M226" s="1" t="s">
        <v>9158</v>
      </c>
      <c r="N226" s="1" t="s">
        <v>9158</v>
      </c>
      <c r="O226" s="19" t="s">
        <v>2731</v>
      </c>
      <c r="P226" s="1" t="s">
        <v>2732</v>
      </c>
      <c r="Q226" s="1">
        <v>1</v>
      </c>
    </row>
    <row r="227" spans="1:17">
      <c r="A227" s="1">
        <v>83093</v>
      </c>
      <c r="B227" s="1" t="s">
        <v>0</v>
      </c>
      <c r="C227" s="1" t="s">
        <v>158</v>
      </c>
      <c r="D227" s="19" t="s">
        <v>10490</v>
      </c>
      <c r="E227" s="15" t="str">
        <f>HYPERLINK("https://stat100.ameba.jp/tnk47/ratio20/illustrations/card/ill_83093_yusuraume03.jpg?201908-3-RELEASE-dice-e-424", "■")</f>
        <v>■</v>
      </c>
      <c r="F227" s="1" t="s">
        <v>6267</v>
      </c>
      <c r="G227" s="1">
        <v>126858</v>
      </c>
      <c r="H227" s="1">
        <v>91876</v>
      </c>
      <c r="I227" s="1">
        <v>24</v>
      </c>
      <c r="J227" s="1" t="s">
        <v>104</v>
      </c>
      <c r="K227" s="1" t="s">
        <v>6266</v>
      </c>
      <c r="L227" s="1" t="s">
        <v>6265</v>
      </c>
      <c r="M227" s="1" t="s">
        <v>9158</v>
      </c>
      <c r="N227" s="1" t="s">
        <v>9158</v>
      </c>
      <c r="O227" s="19" t="s">
        <v>10090</v>
      </c>
      <c r="P227" s="1" t="s">
        <v>6264</v>
      </c>
      <c r="Q227" s="1">
        <v>1</v>
      </c>
    </row>
    <row r="228" spans="1:17">
      <c r="A228" s="1">
        <v>64873</v>
      </c>
      <c r="B228" s="1" t="s">
        <v>334</v>
      </c>
      <c r="C228" s="1" t="s">
        <v>203</v>
      </c>
      <c r="D228" s="19" t="s">
        <v>2840</v>
      </c>
      <c r="E228" s="15" t="str">
        <f>HYPERLINK("https://stat100.ameba.jp/tnk47/ratio20/illustrations/card/ill_64873_sessofujin03.jpg?201908-3-RELEASE-dice-e-424", "■")</f>
        <v>■</v>
      </c>
      <c r="F228" s="1" t="s">
        <v>2841</v>
      </c>
      <c r="G228" s="1">
        <v>72819</v>
      </c>
      <c r="H228" s="1">
        <v>100519</v>
      </c>
      <c r="I228" s="1">
        <v>23</v>
      </c>
      <c r="J228" s="1" t="s">
        <v>315</v>
      </c>
      <c r="K228" s="1" t="s">
        <v>2842</v>
      </c>
      <c r="L228" s="1" t="s">
        <v>2843</v>
      </c>
      <c r="M228" s="1" t="s">
        <v>9158</v>
      </c>
      <c r="N228" s="1" t="s">
        <v>9158</v>
      </c>
      <c r="O228" s="1" t="s">
        <v>9158</v>
      </c>
      <c r="P228" s="1" t="s">
        <v>9158</v>
      </c>
      <c r="Q228" s="1" t="s">
        <v>9158</v>
      </c>
    </row>
    <row r="229" spans="1:17">
      <c r="A229" s="1">
        <v>64023</v>
      </c>
      <c r="B229" s="1" t="s">
        <v>334</v>
      </c>
      <c r="C229" s="1" t="s">
        <v>154</v>
      </c>
      <c r="D229" s="19" t="s">
        <v>10255</v>
      </c>
      <c r="E229" s="15" t="str">
        <f>HYPERLINK("https://stat100.ameba.jp/tnk47/ratio20/illustrations/card/ill_64023_mojabune03.jpg?201907-2-RELEASE-unionbattle-418", "■")</f>
        <v>■</v>
      </c>
      <c r="F229" s="1" t="s">
        <v>1785</v>
      </c>
      <c r="G229" s="1">
        <v>77700</v>
      </c>
      <c r="H229" s="1">
        <v>107251</v>
      </c>
      <c r="I229" s="1">
        <v>23</v>
      </c>
      <c r="J229" s="1" t="s">
        <v>73</v>
      </c>
      <c r="K229" s="1" t="s">
        <v>1786</v>
      </c>
      <c r="L229" s="1" t="s">
        <v>1787</v>
      </c>
      <c r="M229" s="1" t="s">
        <v>9158</v>
      </c>
      <c r="N229" s="1" t="s">
        <v>9158</v>
      </c>
      <c r="O229" s="1" t="s">
        <v>9158</v>
      </c>
      <c r="P229" s="1" t="s">
        <v>9158</v>
      </c>
      <c r="Q229" s="1" t="s">
        <v>9158</v>
      </c>
    </row>
    <row r="230" spans="1:17">
      <c r="A230" s="1">
        <v>60183</v>
      </c>
      <c r="B230" s="1" t="s">
        <v>334</v>
      </c>
      <c r="C230" s="1" t="s">
        <v>209</v>
      </c>
      <c r="D230" s="19" t="s">
        <v>444</v>
      </c>
      <c r="E230" s="15" t="str">
        <f>HYPERLINK("https://stat100.ameba.jp/tnk47/ratio20/illustrations/card/ill_60183_aizuyaichi03.jpg?201907-3-RELEASE-dice-e-419", "■")</f>
        <v>■</v>
      </c>
      <c r="F230" s="1" t="s">
        <v>1035</v>
      </c>
      <c r="G230" s="1">
        <v>75627</v>
      </c>
      <c r="H230" s="1">
        <v>104385</v>
      </c>
      <c r="I230" s="1">
        <v>23</v>
      </c>
      <c r="J230" s="1" t="s">
        <v>16</v>
      </c>
      <c r="K230" s="1" t="s">
        <v>1036</v>
      </c>
      <c r="L230" s="1" t="s">
        <v>1037</v>
      </c>
      <c r="M230" s="1" t="s">
        <v>9158</v>
      </c>
      <c r="N230" s="1" t="s">
        <v>9158</v>
      </c>
      <c r="O230" s="1" t="s">
        <v>9158</v>
      </c>
      <c r="P230" s="1" t="s">
        <v>9158</v>
      </c>
      <c r="Q230" s="1" t="s">
        <v>9158</v>
      </c>
    </row>
    <row r="231" spans="1:17">
      <c r="A231" s="1">
        <v>58343</v>
      </c>
      <c r="B231" s="1" t="s">
        <v>334</v>
      </c>
      <c r="C231" s="1" t="s">
        <v>268</v>
      </c>
      <c r="D231" s="19" t="s">
        <v>585</v>
      </c>
      <c r="E231" s="15" t="str">
        <f>HYPERLINK("https://stat100.ameba.jp/tnk47/ratio20/illustrations/card/ill_58343_agemakidayu03.jpg?201908-3-RELEASE-dice-e-424", "■")</f>
        <v>■</v>
      </c>
      <c r="F231" s="1" t="s">
        <v>586</v>
      </c>
      <c r="G231" s="1">
        <v>94922</v>
      </c>
      <c r="H231" s="1">
        <v>69599</v>
      </c>
      <c r="I231" s="1">
        <v>23</v>
      </c>
      <c r="J231" s="1" t="s">
        <v>274</v>
      </c>
      <c r="K231" s="1" t="s">
        <v>587</v>
      </c>
      <c r="L231" s="1" t="s">
        <v>588</v>
      </c>
      <c r="M231" s="1" t="s">
        <v>9158</v>
      </c>
      <c r="N231" s="1" t="s">
        <v>9158</v>
      </c>
      <c r="O231" s="19" t="s">
        <v>2912</v>
      </c>
      <c r="P231" s="1" t="s">
        <v>13122</v>
      </c>
      <c r="Q231" s="1">
        <v>1</v>
      </c>
    </row>
    <row r="232" spans="1:17">
      <c r="A232" s="1">
        <v>76783</v>
      </c>
      <c r="B232" s="1" t="s">
        <v>334</v>
      </c>
      <c r="C232" s="1" t="s">
        <v>203</v>
      </c>
      <c r="D232" s="19" t="s">
        <v>10367</v>
      </c>
      <c r="E232" s="15" t="str">
        <f>HYPERLINK("https://stat100.ameba.jp/tnk47/ratio20/illustrations/card/ill_76783_monsutaakashirejina03.jpg?201908-3-RELEASE-dice-e-424", "■")</f>
        <v>■</v>
      </c>
      <c r="F232" s="1" t="s">
        <v>1192</v>
      </c>
      <c r="G232" s="1">
        <v>72819</v>
      </c>
      <c r="H232" s="1">
        <v>100519</v>
      </c>
      <c r="I232" s="1">
        <v>23</v>
      </c>
      <c r="J232" s="1" t="s">
        <v>10</v>
      </c>
      <c r="K232" s="1" t="s">
        <v>1193</v>
      </c>
      <c r="L232" s="1" t="s">
        <v>1194</v>
      </c>
      <c r="M232" s="1" t="s">
        <v>9158</v>
      </c>
      <c r="N232" s="1" t="s">
        <v>9158</v>
      </c>
      <c r="O232" s="19" t="s">
        <v>2752</v>
      </c>
      <c r="P232" s="1" t="s">
        <v>13123</v>
      </c>
      <c r="Q232" s="1">
        <v>1</v>
      </c>
    </row>
    <row r="234" spans="1:17">
      <c r="A234" s="1" t="s">
        <v>195</v>
      </c>
    </row>
    <row r="235" spans="1:17">
      <c r="A235" s="1" t="s">
        <v>6240</v>
      </c>
    </row>
    <row r="236" spans="1:17">
      <c r="A236" s="1">
        <v>66093</v>
      </c>
      <c r="B236" s="1" t="s">
        <v>0</v>
      </c>
      <c r="C236" s="1" t="s">
        <v>209</v>
      </c>
      <c r="D236" s="19" t="s">
        <v>10228</v>
      </c>
      <c r="E236" s="15" t="str">
        <f>HYPERLINK("https://stat100.ameba.jp/tnk47/ratio20/illustrations/card/ill_66093_sasanishiki03.jpg?201908-3-RELEASE-dice-e-424", "■")</f>
        <v>■</v>
      </c>
      <c r="F236" s="1" t="s">
        <v>1760</v>
      </c>
      <c r="G236" s="1">
        <v>94886</v>
      </c>
      <c r="H236" s="1">
        <v>88226</v>
      </c>
      <c r="I236" s="1">
        <v>24</v>
      </c>
      <c r="J236" s="1" t="s">
        <v>104</v>
      </c>
      <c r="K236" s="1" t="s">
        <v>1761</v>
      </c>
      <c r="L236" s="1" t="s">
        <v>1762</v>
      </c>
      <c r="M236" s="1" t="s">
        <v>9158</v>
      </c>
      <c r="N236" s="1" t="s">
        <v>9158</v>
      </c>
      <c r="O236" s="1" t="s">
        <v>9158</v>
      </c>
      <c r="P236" s="1" t="s">
        <v>9158</v>
      </c>
      <c r="Q236" s="1" t="s">
        <v>9158</v>
      </c>
    </row>
    <row r="237" spans="1:17">
      <c r="A237" s="1">
        <v>66103</v>
      </c>
      <c r="B237" s="1" t="s">
        <v>0</v>
      </c>
      <c r="C237" s="1" t="s">
        <v>158</v>
      </c>
      <c r="D237" s="19" t="s">
        <v>10229</v>
      </c>
      <c r="E237" s="15" t="str">
        <f>HYPERLINK("https://stat100.ameba.jp/tnk47/ratio20/illustrations/card/ill_66103_kokentenno03.jpg?201908-3-RELEASE-dice-e-424", "■")</f>
        <v>■</v>
      </c>
      <c r="F237" s="1" t="s">
        <v>1764</v>
      </c>
      <c r="G237" s="1">
        <v>94886</v>
      </c>
      <c r="H237" s="1">
        <v>88226</v>
      </c>
      <c r="I237" s="1">
        <v>24</v>
      </c>
      <c r="J237" s="1" t="s">
        <v>77</v>
      </c>
      <c r="K237" s="1" t="s">
        <v>1765</v>
      </c>
      <c r="L237" s="1" t="s">
        <v>1766</v>
      </c>
      <c r="M237" s="1" t="s">
        <v>9158</v>
      </c>
      <c r="N237" s="1" t="s">
        <v>9158</v>
      </c>
      <c r="O237" s="1" t="s">
        <v>9158</v>
      </c>
      <c r="P237" s="1" t="s">
        <v>9158</v>
      </c>
      <c r="Q237" s="1" t="s">
        <v>9158</v>
      </c>
    </row>
    <row r="238" spans="1:17">
      <c r="A238" s="1">
        <v>76483</v>
      </c>
      <c r="B238" s="1" t="s">
        <v>334</v>
      </c>
      <c r="C238" s="1" t="s">
        <v>307</v>
      </c>
      <c r="D238" s="19" t="s">
        <v>589</v>
      </c>
      <c r="E238" s="15" t="str">
        <f>HYPERLINK("https://stat100.ameba.jp/tnk47/ratio20/illustrations/card/ill_76483_yukemurimizuhanome03.jpg?201908-3-RELEASE-dice-e-424", "■")</f>
        <v>■</v>
      </c>
      <c r="F238" s="1" t="s">
        <v>590</v>
      </c>
      <c r="G238" s="1">
        <v>89736</v>
      </c>
      <c r="H238" s="1">
        <v>83426</v>
      </c>
      <c r="I238" s="1">
        <v>24</v>
      </c>
      <c r="J238" s="1" t="s">
        <v>401</v>
      </c>
      <c r="K238" s="1" t="s">
        <v>591</v>
      </c>
      <c r="L238" s="1" t="s">
        <v>592</v>
      </c>
      <c r="M238" s="1" t="s">
        <v>9158</v>
      </c>
      <c r="N238" s="1" t="s">
        <v>9158</v>
      </c>
      <c r="O238" s="1" t="s">
        <v>9158</v>
      </c>
      <c r="P238" s="1" t="s">
        <v>9158</v>
      </c>
      <c r="Q238" s="1" t="s">
        <v>9158</v>
      </c>
    </row>
    <row r="239" spans="1:17">
      <c r="A239" s="1">
        <v>70023</v>
      </c>
      <c r="B239" s="1" t="s">
        <v>334</v>
      </c>
      <c r="C239" s="1" t="s">
        <v>344</v>
      </c>
      <c r="D239" s="19" t="s">
        <v>10230</v>
      </c>
      <c r="E239" s="15" t="str">
        <f>HYPERLINK("https://stat100.ameba.jp/tnk47/ratio20/illustrations/card/ill_70023_yukinoukokunabeshimanobakeneko03.jpg?201908-3-RELEASE-dice-e-424", "■")</f>
        <v>■</v>
      </c>
      <c r="F239" s="1" t="s">
        <v>769</v>
      </c>
      <c r="G239" s="1">
        <v>85246</v>
      </c>
      <c r="H239" s="1">
        <v>91664</v>
      </c>
      <c r="I239" s="1">
        <v>24</v>
      </c>
      <c r="J239" s="1" t="s">
        <v>320</v>
      </c>
      <c r="K239" s="1" t="s">
        <v>770</v>
      </c>
      <c r="L239" s="1" t="s">
        <v>771</v>
      </c>
      <c r="M239" s="1" t="s">
        <v>9158</v>
      </c>
      <c r="N239" s="1" t="s">
        <v>9158</v>
      </c>
      <c r="O239" s="1" t="s">
        <v>9158</v>
      </c>
      <c r="P239" s="1" t="s">
        <v>9158</v>
      </c>
      <c r="Q239" s="1" t="s">
        <v>9158</v>
      </c>
    </row>
    <row r="240" spans="1:17">
      <c r="A240" s="1">
        <v>52733</v>
      </c>
      <c r="B240" s="1" t="s">
        <v>6241</v>
      </c>
      <c r="C240" s="1" t="s">
        <v>6242</v>
      </c>
      <c r="D240" s="19" t="s">
        <v>10491</v>
      </c>
      <c r="E240" s="15" t="str">
        <f>HYPERLINK("https://stat100.ameba.jp/tnk47/ratio20/illustrations/card/ill_52733_sekkinambutsuruhime03.jpg?201908-3-RELEASE-dice-e-424", "■")</f>
        <v>■</v>
      </c>
      <c r="F240" s="1" t="s">
        <v>6246</v>
      </c>
      <c r="G240" s="1">
        <v>51078</v>
      </c>
      <c r="H240" s="1">
        <v>56316</v>
      </c>
      <c r="I240" s="1">
        <v>19</v>
      </c>
      <c r="J240" s="1" t="s">
        <v>6247</v>
      </c>
      <c r="K240" s="1" t="s">
        <v>6248</v>
      </c>
      <c r="L240" s="1" t="s">
        <v>6249</v>
      </c>
      <c r="M240" s="1" t="s">
        <v>9158</v>
      </c>
      <c r="N240" s="1" t="s">
        <v>9158</v>
      </c>
      <c r="O240" s="1" t="s">
        <v>9158</v>
      </c>
      <c r="P240" s="1" t="s">
        <v>9158</v>
      </c>
      <c r="Q240" s="1" t="s">
        <v>9158</v>
      </c>
    </row>
    <row r="241" spans="1:18">
      <c r="A241" s="1">
        <v>54003</v>
      </c>
      <c r="B241" s="1" t="s">
        <v>6241</v>
      </c>
      <c r="C241" s="1" t="s">
        <v>6243</v>
      </c>
      <c r="D241" s="19" t="s">
        <v>10492</v>
      </c>
      <c r="E241" s="15" t="str">
        <f>HYPERLINK("https://stat100.ameba.jp/tnk47/ratio20/illustrations/card/ill_54003_seiryumegurihiguchiichiyo03.jpg?201908-3-RELEASE-dice-e-424", "■")</f>
        <v>■</v>
      </c>
      <c r="F241" s="1" t="s">
        <v>6250</v>
      </c>
      <c r="G241" s="1">
        <v>56316</v>
      </c>
      <c r="H241" s="1">
        <v>51078</v>
      </c>
      <c r="I241" s="1">
        <v>19</v>
      </c>
      <c r="J241" s="1" t="s">
        <v>6251</v>
      </c>
      <c r="K241" s="1" t="s">
        <v>6252</v>
      </c>
      <c r="L241" s="1" t="s">
        <v>6253</v>
      </c>
      <c r="M241" s="1" t="s">
        <v>9158</v>
      </c>
      <c r="N241" s="1" t="s">
        <v>9158</v>
      </c>
      <c r="O241" s="1" t="s">
        <v>9158</v>
      </c>
      <c r="P241" s="1" t="s">
        <v>9158</v>
      </c>
      <c r="Q241" s="1" t="s">
        <v>9158</v>
      </c>
    </row>
    <row r="242" spans="1:18">
      <c r="A242" s="1">
        <v>51833</v>
      </c>
      <c r="B242" s="1" t="s">
        <v>6241</v>
      </c>
      <c r="C242" s="1" t="s">
        <v>6244</v>
      </c>
      <c r="D242" s="19" t="s">
        <v>10493</v>
      </c>
      <c r="E242" s="15" t="str">
        <f>HYPERLINK("https://stat100.ameba.jp/tnk47/ratio20/illustrations/card/ill_51833_jukimakitsuhikonomikoto03.jpg?201908-3-RELEASE-dice-e-424", "■")</f>
        <v>■</v>
      </c>
      <c r="F242" s="1" t="s">
        <v>6254</v>
      </c>
      <c r="G242" s="1">
        <v>56316</v>
      </c>
      <c r="H242" s="1">
        <v>51078</v>
      </c>
      <c r="I242" s="1">
        <v>19</v>
      </c>
      <c r="J242" s="1" t="s">
        <v>6255</v>
      </c>
      <c r="K242" s="1" t="s">
        <v>6257</v>
      </c>
      <c r="L242" s="1" t="s">
        <v>6256</v>
      </c>
      <c r="M242" s="1" t="s">
        <v>9158</v>
      </c>
      <c r="N242" s="1" t="s">
        <v>9158</v>
      </c>
      <c r="O242" s="1" t="s">
        <v>9158</v>
      </c>
      <c r="P242" s="1" t="s">
        <v>9158</v>
      </c>
      <c r="Q242" s="1" t="s">
        <v>9158</v>
      </c>
    </row>
    <row r="243" spans="1:18">
      <c r="A243" s="1">
        <v>53203</v>
      </c>
      <c r="B243" s="1" t="s">
        <v>6241</v>
      </c>
      <c r="C243" s="1" t="s">
        <v>6245</v>
      </c>
      <c r="D243" s="19" t="s">
        <v>10494</v>
      </c>
      <c r="E243" s="15" t="str">
        <f>HYPERLINK("https://stat100.ameba.jp/tnk47/ratio20/illustrations/card/ill_53203_buruhawaichan03.jpg?201908-3-RELEASE-dice-e-424", "■")</f>
        <v>■</v>
      </c>
      <c r="F243" s="1" t="s">
        <v>6258</v>
      </c>
      <c r="G243" s="1">
        <v>51078</v>
      </c>
      <c r="H243" s="1">
        <v>56316</v>
      </c>
      <c r="I243" s="1">
        <v>19</v>
      </c>
      <c r="J243" s="1" t="s">
        <v>6259</v>
      </c>
      <c r="K243" s="1" t="s">
        <v>6261</v>
      </c>
      <c r="L243" s="1" t="s">
        <v>6260</v>
      </c>
      <c r="M243" s="1" t="s">
        <v>9158</v>
      </c>
      <c r="N243" s="1" t="s">
        <v>9158</v>
      </c>
      <c r="O243" s="1" t="s">
        <v>9158</v>
      </c>
      <c r="P243" s="1" t="s">
        <v>9158</v>
      </c>
      <c r="Q243" s="1" t="s">
        <v>9158</v>
      </c>
    </row>
    <row r="245" spans="1:18">
      <c r="A245" s="1" t="s">
        <v>6268</v>
      </c>
    </row>
    <row r="246" spans="1:18">
      <c r="A246" s="1" t="s">
        <v>6269</v>
      </c>
    </row>
    <row r="247" spans="1:18">
      <c r="A247" s="1" t="s">
        <v>5603</v>
      </c>
      <c r="B247" s="1" t="s">
        <v>330</v>
      </c>
      <c r="C247" s="1" t="s">
        <v>205</v>
      </c>
      <c r="D247" s="19" t="s">
        <v>611</v>
      </c>
      <c r="E247" s="15" t="str">
        <f>HYPERLINK("https://stat100.ameba.jp/tnk47/ratio20/illustrations/card/ill_61893_0_onikirishumiyamotomusashi03.jpg?201908-3-RELEASE-dice-e-424", "■")</f>
        <v>■</v>
      </c>
      <c r="F247" s="1" t="s">
        <v>612</v>
      </c>
      <c r="G247" s="1">
        <v>196022</v>
      </c>
      <c r="H247" s="1">
        <v>182272</v>
      </c>
      <c r="I247" s="1">
        <v>21</v>
      </c>
      <c r="J247" s="1" t="s">
        <v>310</v>
      </c>
      <c r="K247" s="1" t="s">
        <v>613</v>
      </c>
      <c r="L247" s="1" t="s">
        <v>312</v>
      </c>
      <c r="M247" s="1" t="s">
        <v>9158</v>
      </c>
      <c r="N247" s="1" t="s">
        <v>9158</v>
      </c>
      <c r="O247" s="19" t="s">
        <v>10071</v>
      </c>
      <c r="P247" s="1" t="s">
        <v>3253</v>
      </c>
      <c r="Q247" s="1">
        <v>1</v>
      </c>
    </row>
    <row r="248" spans="1:18">
      <c r="A248" s="1">
        <v>63853</v>
      </c>
      <c r="B248" s="1" t="s">
        <v>334</v>
      </c>
      <c r="C248" s="1" t="s">
        <v>200</v>
      </c>
      <c r="D248" s="19" t="s">
        <v>10284</v>
      </c>
      <c r="E248" s="15" t="str">
        <f>HYPERLINK("https://stat100.ameba.jp/tnk47/ratio20/illustrations/card/ill_63853_daikokaijidainansosatomihakkenden03.jpg?201908-3-RELEASE-dice-e-424", "■")</f>
        <v>■</v>
      </c>
      <c r="F248" s="1" t="s">
        <v>941</v>
      </c>
      <c r="G248" s="1">
        <v>97420</v>
      </c>
      <c r="H248" s="1">
        <v>104964</v>
      </c>
      <c r="I248" s="1">
        <v>23</v>
      </c>
      <c r="J248" s="1" t="s">
        <v>155</v>
      </c>
      <c r="K248" s="1" t="s">
        <v>942</v>
      </c>
      <c r="L248" s="1" t="s">
        <v>13149</v>
      </c>
      <c r="M248" s="1" t="s">
        <v>9158</v>
      </c>
      <c r="N248" s="1" t="s">
        <v>9158</v>
      </c>
      <c r="O248" s="19" t="s">
        <v>10121</v>
      </c>
      <c r="P248" s="1" t="s">
        <v>3330</v>
      </c>
      <c r="Q248" s="1">
        <v>1</v>
      </c>
    </row>
    <row r="249" spans="1:18">
      <c r="A249" s="1">
        <v>62473</v>
      </c>
      <c r="B249" s="1" t="s">
        <v>334</v>
      </c>
      <c r="C249" s="1" t="s">
        <v>203</v>
      </c>
      <c r="D249" s="19" t="s">
        <v>2834</v>
      </c>
      <c r="E249" s="15" t="str">
        <f>HYPERLINK("https://stat100.ameba.jp/tnk47/ratio20/illustrations/card/ill_62473_kokuriko03.jpg?201908-3-RELEASE-dice-e-424", "■")</f>
        <v>■</v>
      </c>
      <c r="F249" s="1" t="s">
        <v>2835</v>
      </c>
      <c r="G249" s="1">
        <v>104989</v>
      </c>
      <c r="H249" s="1">
        <v>76042</v>
      </c>
      <c r="I249" s="1">
        <v>23</v>
      </c>
      <c r="J249" s="1" t="s">
        <v>401</v>
      </c>
      <c r="K249" s="1" t="s">
        <v>2836</v>
      </c>
      <c r="L249" s="1" t="s">
        <v>2837</v>
      </c>
      <c r="M249" s="1" t="s">
        <v>9158</v>
      </c>
      <c r="N249" s="1" t="s">
        <v>9158</v>
      </c>
      <c r="O249" s="19" t="s">
        <v>2838</v>
      </c>
      <c r="P249" s="1" t="s">
        <v>2839</v>
      </c>
      <c r="Q249" s="1">
        <v>1</v>
      </c>
    </row>
    <row r="250" spans="1:18">
      <c r="A250" s="1">
        <v>68693</v>
      </c>
      <c r="B250" s="1" t="s">
        <v>334</v>
      </c>
      <c r="C250" s="1" t="s">
        <v>154</v>
      </c>
      <c r="D250" s="19" t="s">
        <v>10232</v>
      </c>
      <c r="E250" s="15" t="str">
        <f>HYPERLINK("https://stat100.ameba.jp/tnk47/ratio20/illustrations/card/ill_68693_mayoiga03.jpg?201908-3-RELEASE-dice-e-424", "■")</f>
        <v>■</v>
      </c>
      <c r="F250" s="1" t="s">
        <v>3466</v>
      </c>
      <c r="G250" s="1">
        <v>121572</v>
      </c>
      <c r="H250" s="1">
        <v>88047</v>
      </c>
      <c r="I250" s="1">
        <v>23</v>
      </c>
      <c r="J250" s="1" t="s">
        <v>73</v>
      </c>
      <c r="K250" s="1" t="s">
        <v>3467</v>
      </c>
      <c r="L250" s="1" t="s">
        <v>3468</v>
      </c>
      <c r="M250" s="1" t="s">
        <v>9158</v>
      </c>
      <c r="N250" s="1" t="s">
        <v>9158</v>
      </c>
      <c r="O250" s="19" t="s">
        <v>3037</v>
      </c>
      <c r="P250" s="1" t="s">
        <v>13128</v>
      </c>
      <c r="Q250" s="1">
        <v>1</v>
      </c>
    </row>
    <row r="252" spans="1:18">
      <c r="A252" s="1" t="s">
        <v>13326</v>
      </c>
    </row>
    <row r="253" spans="1:18">
      <c r="A253" s="1" t="s">
        <v>6270</v>
      </c>
    </row>
    <row r="254" spans="1:18">
      <c r="A254" s="1">
        <v>66113</v>
      </c>
      <c r="B254" s="1" t="s">
        <v>334</v>
      </c>
      <c r="C254" s="1" t="s">
        <v>185</v>
      </c>
      <c r="D254" s="19" t="s">
        <v>1292</v>
      </c>
      <c r="E254" s="15" t="str">
        <f>HYPERLINK("https://stat100.ameba.jp/tnk47/ratio20/illustrations/card/ill_66113_shirarikahime03.jpg?201908-3-RELEASE-dice-e-424", "■")</f>
        <v>■</v>
      </c>
      <c r="F254" s="1" t="s">
        <v>1293</v>
      </c>
      <c r="G254" s="1">
        <v>118152</v>
      </c>
      <c r="H254" s="1">
        <v>109852</v>
      </c>
      <c r="I254" s="1">
        <v>24</v>
      </c>
      <c r="J254" s="1" t="s">
        <v>274</v>
      </c>
      <c r="K254" s="1" t="s">
        <v>1304</v>
      </c>
      <c r="L254" s="2" t="s">
        <v>9908</v>
      </c>
      <c r="M254" s="1" t="s">
        <v>13151</v>
      </c>
      <c r="N254" s="1" t="s">
        <v>251</v>
      </c>
      <c r="O254" s="1" t="s">
        <v>9158</v>
      </c>
      <c r="P254" s="1" t="s">
        <v>9158</v>
      </c>
      <c r="Q254" s="1" t="s">
        <v>9158</v>
      </c>
      <c r="R254" s="14" t="s">
        <v>14858</v>
      </c>
    </row>
    <row r="255" spans="1:18">
      <c r="A255" s="1">
        <v>66112</v>
      </c>
      <c r="B255" s="1" t="s">
        <v>334</v>
      </c>
      <c r="C255" s="1" t="s">
        <v>185</v>
      </c>
      <c r="D255" s="19" t="s">
        <v>1292</v>
      </c>
      <c r="E255" s="15" t="str">
        <f>HYPERLINK("https://stat100.ameba.jp/tnk47/ratio20/illustrations/card/ill_66112_shirarikahime02.jpg?201908-3-RELEASE-dice-e-424", "■")</f>
        <v>■</v>
      </c>
      <c r="F255" s="1" t="s">
        <v>1293</v>
      </c>
      <c r="G255" s="1">
        <v>98768</v>
      </c>
      <c r="H255" s="1">
        <v>90984</v>
      </c>
      <c r="I255" s="1">
        <v>24</v>
      </c>
      <c r="J255" s="1" t="s">
        <v>274</v>
      </c>
      <c r="K255" s="1" t="s">
        <v>1304</v>
      </c>
      <c r="L255" s="2" t="s">
        <v>9908</v>
      </c>
      <c r="M255" s="1" t="s">
        <v>13156</v>
      </c>
      <c r="N255" s="1" t="s">
        <v>1310</v>
      </c>
      <c r="O255" s="1" t="s">
        <v>9158</v>
      </c>
      <c r="P255" s="1" t="s">
        <v>9158</v>
      </c>
      <c r="Q255" s="1" t="s">
        <v>9158</v>
      </c>
      <c r="R255" s="14" t="s">
        <v>14858</v>
      </c>
    </row>
    <row r="256" spans="1:18">
      <c r="A256" s="1">
        <v>66111</v>
      </c>
      <c r="B256" s="1" t="s">
        <v>334</v>
      </c>
      <c r="C256" s="1" t="s">
        <v>185</v>
      </c>
      <c r="D256" s="19" t="s">
        <v>1292</v>
      </c>
      <c r="E256" s="15" t="str">
        <f>HYPERLINK("https://stat100.ameba.jp/tnk47/ratio20/illustrations/card/ill_66111_shirarikahime01.jpg?201908-3-RELEASE-dice-e-424", "■")</f>
        <v>■</v>
      </c>
      <c r="F256" s="1" t="s">
        <v>1293</v>
      </c>
      <c r="G256" s="1">
        <v>75408</v>
      </c>
      <c r="H256" s="1">
        <v>70200</v>
      </c>
      <c r="I256" s="1">
        <v>24</v>
      </c>
      <c r="J256" s="1" t="s">
        <v>274</v>
      </c>
      <c r="K256" s="1" t="s">
        <v>1304</v>
      </c>
      <c r="L256" s="2" t="s">
        <v>9908</v>
      </c>
      <c r="M256" s="1" t="s">
        <v>13156</v>
      </c>
      <c r="N256" s="1" t="s">
        <v>1310</v>
      </c>
      <c r="O256" s="1" t="s">
        <v>9158</v>
      </c>
      <c r="P256" s="1" t="s">
        <v>9158</v>
      </c>
      <c r="Q256" s="1" t="s">
        <v>9158</v>
      </c>
      <c r="R256" s="14" t="s">
        <v>14858</v>
      </c>
    </row>
    <row r="257" spans="1:18">
      <c r="A257" s="1">
        <v>65383</v>
      </c>
      <c r="B257" s="1" t="s">
        <v>334</v>
      </c>
      <c r="C257" s="1" t="s">
        <v>200</v>
      </c>
      <c r="D257" s="19" t="s">
        <v>1294</v>
      </c>
      <c r="E257" s="15" t="str">
        <f>HYPERLINK("https://stat100.ameba.jp/tnk47/ratio20/illustrations/card/ill_65383_aogashimachan03.jpg?201908-3-RELEASE-dice-e-424", "■")</f>
        <v>■</v>
      </c>
      <c r="F257" s="1" t="s">
        <v>1295</v>
      </c>
      <c r="G257" s="1">
        <v>109852</v>
      </c>
      <c r="H257" s="1">
        <v>118152</v>
      </c>
      <c r="I257" s="1">
        <v>24</v>
      </c>
      <c r="J257" s="1" t="s">
        <v>369</v>
      </c>
      <c r="K257" s="1" t="s">
        <v>1305</v>
      </c>
      <c r="L257" s="2" t="s">
        <v>9909</v>
      </c>
      <c r="M257" s="1" t="s">
        <v>13151</v>
      </c>
      <c r="N257" s="1" t="s">
        <v>251</v>
      </c>
      <c r="O257" s="1" t="s">
        <v>9158</v>
      </c>
      <c r="P257" s="1" t="s">
        <v>9158</v>
      </c>
      <c r="Q257" s="1" t="s">
        <v>9158</v>
      </c>
      <c r="R257" s="14" t="s">
        <v>14858</v>
      </c>
    </row>
    <row r="258" spans="1:18">
      <c r="A258" s="1">
        <v>66123</v>
      </c>
      <c r="B258" s="1" t="s">
        <v>334</v>
      </c>
      <c r="C258" s="1" t="s">
        <v>191</v>
      </c>
      <c r="D258" s="19" t="s">
        <v>1296</v>
      </c>
      <c r="E258" s="15" t="str">
        <f>HYPERLINK("https://stat100.ameba.jp/tnk47/ratio20/illustrations/card/ill_66123_taikemmoninnohorikawa03.jpg?201908-3-RELEASE-dice-e-424", "■")</f>
        <v>■</v>
      </c>
      <c r="F258" s="1" t="s">
        <v>1297</v>
      </c>
      <c r="G258" s="1">
        <v>118152</v>
      </c>
      <c r="H258" s="1">
        <v>109852</v>
      </c>
      <c r="I258" s="1">
        <v>24</v>
      </c>
      <c r="J258" s="1" t="s">
        <v>414</v>
      </c>
      <c r="K258" s="1" t="s">
        <v>1306</v>
      </c>
      <c r="L258" s="2" t="s">
        <v>9910</v>
      </c>
      <c r="M258" s="1" t="s">
        <v>13151</v>
      </c>
      <c r="N258" s="1" t="s">
        <v>251</v>
      </c>
      <c r="O258" s="1" t="s">
        <v>9158</v>
      </c>
      <c r="P258" s="1" t="s">
        <v>9158</v>
      </c>
      <c r="Q258" s="1" t="s">
        <v>9158</v>
      </c>
      <c r="R258" s="14" t="s">
        <v>14858</v>
      </c>
    </row>
    <row r="259" spans="1:18">
      <c r="A259" s="1">
        <v>66133</v>
      </c>
      <c r="B259" s="1" t="s">
        <v>334</v>
      </c>
      <c r="C259" s="1" t="s">
        <v>165</v>
      </c>
      <c r="D259" s="19" t="s">
        <v>1298</v>
      </c>
      <c r="E259" s="15" t="str">
        <f>HYPERLINK("https://stat100.ameba.jp/tnk47/ratio20/illustrations/card/ill_66133_iinaosuke03.jpg?201908-3-RELEASE-dice-e-424", "■")</f>
        <v>■</v>
      </c>
      <c r="F259" s="1" t="s">
        <v>1299</v>
      </c>
      <c r="G259" s="1">
        <v>109852</v>
      </c>
      <c r="H259" s="1">
        <v>118152</v>
      </c>
      <c r="I259" s="1">
        <v>24</v>
      </c>
      <c r="J259" s="1" t="s">
        <v>351</v>
      </c>
      <c r="K259" s="1" t="s">
        <v>1307</v>
      </c>
      <c r="L259" s="2" t="s">
        <v>9911</v>
      </c>
      <c r="M259" s="1" t="s">
        <v>13151</v>
      </c>
      <c r="N259" s="1" t="s">
        <v>251</v>
      </c>
      <c r="O259" s="1" t="s">
        <v>9158</v>
      </c>
      <c r="P259" s="1" t="s">
        <v>9158</v>
      </c>
      <c r="Q259" s="1" t="s">
        <v>9158</v>
      </c>
      <c r="R259" s="14" t="s">
        <v>14858</v>
      </c>
    </row>
    <row r="260" spans="1:18">
      <c r="A260" s="1">
        <v>65393</v>
      </c>
      <c r="B260" s="1" t="s">
        <v>334</v>
      </c>
      <c r="C260" s="1" t="s">
        <v>205</v>
      </c>
      <c r="D260" s="19" t="s">
        <v>1300</v>
      </c>
      <c r="E260" s="15" t="str">
        <f>HYPERLINK("https://stat100.ameba.jp/tnk47/ratio20/illustrations/card/ill_65393_motochikafujin03.jpg?201908-3-RELEASE-dice-e-424", "■")</f>
        <v>■</v>
      </c>
      <c r="F260" s="1" t="s">
        <v>1301</v>
      </c>
      <c r="G260" s="1">
        <v>109852</v>
      </c>
      <c r="H260" s="1">
        <v>118152</v>
      </c>
      <c r="I260" s="1">
        <v>24</v>
      </c>
      <c r="J260" s="1" t="s">
        <v>315</v>
      </c>
      <c r="K260" s="1" t="s">
        <v>1308</v>
      </c>
      <c r="L260" s="2" t="s">
        <v>9912</v>
      </c>
      <c r="M260" s="1" t="s">
        <v>13151</v>
      </c>
      <c r="N260" s="1" t="s">
        <v>251</v>
      </c>
      <c r="O260" s="1" t="s">
        <v>9158</v>
      </c>
      <c r="P260" s="1" t="s">
        <v>9158</v>
      </c>
      <c r="Q260" s="1" t="s">
        <v>9158</v>
      </c>
      <c r="R260" s="14" t="s">
        <v>14858</v>
      </c>
    </row>
    <row r="261" spans="1:18">
      <c r="A261" s="1">
        <v>65403</v>
      </c>
      <c r="B261" s="1" t="s">
        <v>334</v>
      </c>
      <c r="C261" s="1" t="s">
        <v>206</v>
      </c>
      <c r="D261" s="19" t="s">
        <v>1302</v>
      </c>
      <c r="E261" s="15" t="str">
        <f>HYPERLINK("https://stat100.ameba.jp/tnk47/ratio20/illustrations/card/ill_65403_amenokoyanenomikoto03.jpg?201908-3-RELEASE-dice-e-424", "■")</f>
        <v>■</v>
      </c>
      <c r="F261" s="1" t="s">
        <v>1303</v>
      </c>
      <c r="G261" s="1">
        <v>118152</v>
      </c>
      <c r="H261" s="1">
        <v>109852</v>
      </c>
      <c r="I261" s="1">
        <v>24</v>
      </c>
      <c r="J261" s="1" t="s">
        <v>401</v>
      </c>
      <c r="K261" s="1" t="s">
        <v>1309</v>
      </c>
      <c r="L261" s="2" t="s">
        <v>9913</v>
      </c>
      <c r="M261" s="1" t="s">
        <v>13151</v>
      </c>
      <c r="N261" s="1" t="s">
        <v>251</v>
      </c>
      <c r="O261" s="1" t="s">
        <v>9158</v>
      </c>
      <c r="P261" s="1" t="s">
        <v>9158</v>
      </c>
      <c r="Q261" s="1" t="s">
        <v>9158</v>
      </c>
      <c r="R261" s="14" t="s">
        <v>14858</v>
      </c>
    </row>
    <row r="263" spans="1:18">
      <c r="A263" s="1" t="s">
        <v>6271</v>
      </c>
    </row>
    <row r="264" spans="1:18">
      <c r="A264" s="1" t="s">
        <v>6272</v>
      </c>
    </row>
    <row r="265" spans="1:18">
      <c r="A265" s="1" t="s">
        <v>7657</v>
      </c>
    </row>
    <row r="266" spans="1:18">
      <c r="A266" s="1" t="s">
        <v>5963</v>
      </c>
      <c r="B266" s="1" t="s">
        <v>330</v>
      </c>
      <c r="C266" s="1" t="s">
        <v>35</v>
      </c>
      <c r="D266" s="19" t="s">
        <v>10438</v>
      </c>
      <c r="E266" s="15" t="str">
        <f>HYPERLINK("https://stat100.ameba.jp/tnk47/ratio20/illustrations/card/ill_82963_0_yukatamatsuritomokazuki03.jpg?201908-3-RELEASE-dice-e-424", "■")</f>
        <v>■</v>
      </c>
      <c r="F266" s="1" t="s">
        <v>5964</v>
      </c>
      <c r="G266" s="1">
        <v>178681</v>
      </c>
      <c r="H266" s="1">
        <v>197707</v>
      </c>
      <c r="I266" s="1">
        <v>15</v>
      </c>
      <c r="J266" s="1" t="s">
        <v>73</v>
      </c>
      <c r="K266" s="1" t="s">
        <v>5966</v>
      </c>
      <c r="L266" s="1" t="s">
        <v>5967</v>
      </c>
      <c r="M266" s="1" t="s">
        <v>9158</v>
      </c>
      <c r="N266" s="1" t="s">
        <v>9158</v>
      </c>
      <c r="O266" s="19" t="s">
        <v>10115</v>
      </c>
      <c r="P266" s="1" t="s">
        <v>5968</v>
      </c>
      <c r="Q266" s="1">
        <v>1</v>
      </c>
    </row>
    <row r="267" spans="1:18">
      <c r="A267" s="1">
        <v>83213</v>
      </c>
      <c r="B267" s="1" t="s">
        <v>6273</v>
      </c>
      <c r="C267" s="1" t="s">
        <v>6277</v>
      </c>
      <c r="D267" s="19" t="s">
        <v>10495</v>
      </c>
      <c r="E267" s="15" t="str">
        <f>HYPERLINK("https://stat100.ameba.jp/tnk47/ratio20/illustrations/card/ill_83213_hanabishiechizenganinabechan03.jpg?201908-3-RELEASE-dice-e-424", "■")</f>
        <v>■</v>
      </c>
      <c r="F267" s="1" t="s">
        <v>6282</v>
      </c>
      <c r="G267" s="1">
        <v>105394</v>
      </c>
      <c r="H267" s="1">
        <v>113340</v>
      </c>
      <c r="I267" s="1">
        <v>24</v>
      </c>
      <c r="J267" s="1" t="s">
        <v>6283</v>
      </c>
      <c r="K267" s="1" t="s">
        <v>6285</v>
      </c>
      <c r="L267" s="1" t="s">
        <v>6284</v>
      </c>
      <c r="M267" s="1" t="s">
        <v>9158</v>
      </c>
      <c r="N267" s="1" t="s">
        <v>9158</v>
      </c>
      <c r="O267" s="1" t="s">
        <v>9158</v>
      </c>
      <c r="P267" s="1" t="s">
        <v>9158</v>
      </c>
      <c r="Q267" s="1" t="s">
        <v>9158</v>
      </c>
    </row>
    <row r="268" spans="1:18">
      <c r="A268" s="1">
        <v>83963</v>
      </c>
      <c r="B268" s="1" t="s">
        <v>6273</v>
      </c>
      <c r="C268" s="1" t="s">
        <v>6278</v>
      </c>
      <c r="D268" s="19" t="s">
        <v>10496</v>
      </c>
      <c r="E268" s="15" t="str">
        <f>HYPERLINK("https://stat100.ameba.jp/tnk47/ratio20/illustrations/card/ill_83963_natsumatsurikaguya03.jpg?201908-3-RELEASE-dice-e-424", "■")</f>
        <v>■</v>
      </c>
      <c r="F268" s="1" t="s">
        <v>6286</v>
      </c>
      <c r="G268" s="1">
        <v>101656</v>
      </c>
      <c r="H268" s="1">
        <v>109528</v>
      </c>
      <c r="I268" s="1">
        <v>24</v>
      </c>
      <c r="J268" s="1" t="s">
        <v>6287</v>
      </c>
      <c r="K268" s="1" t="s">
        <v>6289</v>
      </c>
      <c r="L268" s="1" t="s">
        <v>6288</v>
      </c>
      <c r="M268" s="1" t="s">
        <v>9158</v>
      </c>
      <c r="N268" s="1" t="s">
        <v>9158</v>
      </c>
      <c r="O268" s="1" t="s">
        <v>9158</v>
      </c>
      <c r="P268" s="1" t="s">
        <v>9158</v>
      </c>
      <c r="Q268" s="1" t="s">
        <v>9158</v>
      </c>
    </row>
    <row r="269" spans="1:18">
      <c r="A269" s="1">
        <v>83223</v>
      </c>
      <c r="B269" s="1" t="s">
        <v>6274</v>
      </c>
      <c r="C269" s="1" t="s">
        <v>6279</v>
      </c>
      <c r="D269" s="19" t="s">
        <v>10497</v>
      </c>
      <c r="E269" s="15" t="str">
        <f>HYPERLINK("https://stat100.ameba.jp/tnk47/ratio20/illustrations/card/ill_83223_hanabikijimuna03.jpg?201908-3-RELEASE-dice-e-424", "■")</f>
        <v>■</v>
      </c>
      <c r="F269" s="1" t="s">
        <v>6290</v>
      </c>
      <c r="G269" s="1">
        <v>68172</v>
      </c>
      <c r="H269" s="1">
        <v>61832</v>
      </c>
      <c r="I269" s="1">
        <v>23</v>
      </c>
      <c r="J269" s="1" t="s">
        <v>6291</v>
      </c>
      <c r="K269" s="1" t="s">
        <v>6293</v>
      </c>
      <c r="L269" s="1" t="s">
        <v>6292</v>
      </c>
      <c r="M269" s="1" t="s">
        <v>9158</v>
      </c>
      <c r="N269" s="1" t="s">
        <v>9158</v>
      </c>
      <c r="O269" s="1" t="s">
        <v>9158</v>
      </c>
      <c r="P269" s="1" t="s">
        <v>9158</v>
      </c>
      <c r="Q269" s="1" t="s">
        <v>9158</v>
      </c>
    </row>
    <row r="270" spans="1:18">
      <c r="A270" s="1">
        <v>83233</v>
      </c>
      <c r="B270" s="1" t="s">
        <v>6275</v>
      </c>
      <c r="C270" s="1" t="s">
        <v>6280</v>
      </c>
      <c r="D270" s="19" t="s">
        <v>10498</v>
      </c>
      <c r="E270" s="15" t="str">
        <f>HYPERLINK("https://stat100.ameba.jp/tnk47/ratio20/illustrations/card/ill_83233_asakawanohanabichan03.jpg?201908-3-RELEASE-dice-e-424", "■")</f>
        <v>■</v>
      </c>
      <c r="F270" s="1" t="s">
        <v>6294</v>
      </c>
      <c r="G270" s="1">
        <v>34576</v>
      </c>
      <c r="H270" s="1">
        <v>41584</v>
      </c>
      <c r="I270" s="1">
        <v>20</v>
      </c>
      <c r="J270" s="1" t="s">
        <v>6295</v>
      </c>
      <c r="K270" s="1" t="s">
        <v>6297</v>
      </c>
      <c r="L270" s="1" t="s">
        <v>6296</v>
      </c>
      <c r="M270" s="1" t="s">
        <v>9158</v>
      </c>
      <c r="N270" s="1" t="s">
        <v>9158</v>
      </c>
      <c r="O270" s="1" t="s">
        <v>9158</v>
      </c>
      <c r="P270" s="1" t="s">
        <v>9158</v>
      </c>
      <c r="Q270" s="1" t="s">
        <v>9158</v>
      </c>
    </row>
    <row r="271" spans="1:18">
      <c r="A271" s="1">
        <v>83243</v>
      </c>
      <c r="B271" s="1" t="s">
        <v>6276</v>
      </c>
      <c r="C271" s="1" t="s">
        <v>6281</v>
      </c>
      <c r="D271" s="19" t="s">
        <v>10499</v>
      </c>
      <c r="E271" s="15" t="str">
        <f>HYPERLINK("https://stat100.ameba.jp/tnk47/ratio20/illustrations/card/ill_83243_otokomatsuritakigawaichimasu03.jpg?201908-3-RELEASE-dice-e-424", "■")</f>
        <v>■</v>
      </c>
      <c r="F271" s="1" t="s">
        <v>6301</v>
      </c>
      <c r="G271" s="1">
        <v>25176</v>
      </c>
      <c r="H271" s="1">
        <v>21144</v>
      </c>
      <c r="I271" s="1">
        <v>20</v>
      </c>
      <c r="J271" s="1" t="s">
        <v>6300</v>
      </c>
      <c r="K271" s="1" t="s">
        <v>6299</v>
      </c>
      <c r="L271" s="1" t="s">
        <v>6298</v>
      </c>
      <c r="M271" s="1" t="s">
        <v>9158</v>
      </c>
      <c r="N271" s="1" t="s">
        <v>9158</v>
      </c>
      <c r="O271" s="1" t="s">
        <v>9158</v>
      </c>
      <c r="P271" s="1" t="s">
        <v>9158</v>
      </c>
      <c r="Q271" s="1" t="s">
        <v>9158</v>
      </c>
    </row>
    <row r="273" spans="1:18">
      <c r="A273" s="1" t="s">
        <v>6302</v>
      </c>
    </row>
    <row r="274" spans="1:18">
      <c r="A274" s="1" t="s">
        <v>6303</v>
      </c>
    </row>
    <row r="275" spans="1:18">
      <c r="A275" s="1" t="s">
        <v>5614</v>
      </c>
      <c r="B275" s="1" t="s">
        <v>330</v>
      </c>
      <c r="C275" s="1" t="s">
        <v>267</v>
      </c>
      <c r="D275" s="19" t="s">
        <v>313</v>
      </c>
      <c r="E275" s="15" t="str">
        <f>HYPERLINK("https://stat100.ameba.jp/tnk47/ratio20/illustrations/card/ill_56223_0_onsempanikkugohime03.jpg?201908-3-RELEASE-dice-e-424", "■")</f>
        <v>■</v>
      </c>
      <c r="F275" s="1" t="s">
        <v>314</v>
      </c>
      <c r="G275" s="1">
        <v>83712</v>
      </c>
      <c r="H275" s="1">
        <v>94236</v>
      </c>
      <c r="I275" s="1">
        <v>15</v>
      </c>
      <c r="J275" s="1" t="s">
        <v>315</v>
      </c>
      <c r="K275" s="1" t="s">
        <v>316</v>
      </c>
      <c r="L275" s="1" t="s">
        <v>317</v>
      </c>
      <c r="M275" s="1" t="s">
        <v>9158</v>
      </c>
      <c r="N275" s="1" t="s">
        <v>9158</v>
      </c>
      <c r="O275" s="19" t="s">
        <v>3021</v>
      </c>
      <c r="P275" s="1" t="s">
        <v>2890</v>
      </c>
      <c r="Q275" s="1">
        <v>1</v>
      </c>
    </row>
    <row r="276" spans="1:18">
      <c r="A276" s="1" t="s">
        <v>5615</v>
      </c>
      <c r="B276" s="1" t="s">
        <v>330</v>
      </c>
      <c r="C276" s="1" t="s">
        <v>206</v>
      </c>
      <c r="D276" s="19" t="s">
        <v>2814</v>
      </c>
      <c r="E276" s="15" t="str">
        <f>HYPERLINK("https://stat100.ameba.jp/tnk47/ratio20/illustrations/card/ill_57733_0_shogatsunisenjunanaamakusashiro03.jpg?201908-3-RELEASE-dice-e-424", "■")</f>
        <v>■</v>
      </c>
      <c r="F276" s="1" t="s">
        <v>2815</v>
      </c>
      <c r="G276" s="1">
        <v>83712</v>
      </c>
      <c r="H276" s="1">
        <v>94236</v>
      </c>
      <c r="I276" s="1">
        <v>15</v>
      </c>
      <c r="J276" s="1" t="s">
        <v>351</v>
      </c>
      <c r="K276" s="1" t="s">
        <v>2816</v>
      </c>
      <c r="L276" s="1" t="s">
        <v>2817</v>
      </c>
      <c r="M276" s="1" t="s">
        <v>9158</v>
      </c>
      <c r="N276" s="1" t="s">
        <v>9158</v>
      </c>
      <c r="O276" s="19" t="s">
        <v>10077</v>
      </c>
      <c r="P276" s="1" t="s">
        <v>3062</v>
      </c>
      <c r="Q276" s="1">
        <v>1</v>
      </c>
    </row>
    <row r="277" spans="1:18">
      <c r="A277" s="1" t="s">
        <v>5616</v>
      </c>
      <c r="B277" s="1" t="s">
        <v>52</v>
      </c>
      <c r="C277" s="1" t="s">
        <v>14</v>
      </c>
      <c r="D277" s="19" t="s">
        <v>638</v>
      </c>
      <c r="E277" s="15" t="str">
        <f>HYPERLINK("https://stat100.ameba.jp/tnk47/ratio20/illustrations/card/ill_44253_0_dokuganryudatemasamune03.jpg?201908-3-RELEASE-dice-e-424", "■")</f>
        <v>■</v>
      </c>
      <c r="F277" s="1" t="s">
        <v>1181</v>
      </c>
      <c r="G277" s="1">
        <v>82212</v>
      </c>
      <c r="H277" s="1">
        <v>87780</v>
      </c>
      <c r="I277" s="1">
        <v>15</v>
      </c>
      <c r="J277" s="1" t="s">
        <v>143</v>
      </c>
      <c r="K277" s="1" t="s">
        <v>1182</v>
      </c>
      <c r="L277" s="1" t="s">
        <v>1183</v>
      </c>
      <c r="M277" s="1" t="s">
        <v>9158</v>
      </c>
      <c r="N277" s="1" t="s">
        <v>9158</v>
      </c>
      <c r="O277" s="1" t="s">
        <v>9158</v>
      </c>
      <c r="P277" s="1" t="s">
        <v>9158</v>
      </c>
      <c r="Q277" s="1" t="s">
        <v>9158</v>
      </c>
    </row>
    <row r="278" spans="1:18">
      <c r="A278" s="1">
        <v>77613</v>
      </c>
      <c r="B278" s="1" t="s">
        <v>0</v>
      </c>
      <c r="C278" s="1" t="s">
        <v>200</v>
      </c>
      <c r="D278" s="19" t="s">
        <v>10500</v>
      </c>
      <c r="E278" s="15" t="str">
        <f>HYPERLINK("https://stat100.ameba.jp/tnk47/ratio20/illustrations/card/ill_77613_kajinotochiotomechan03.jpg?201908-3-RELEASE-dice-e-424", "■")</f>
        <v>■</v>
      </c>
      <c r="F278" s="1" t="s">
        <v>1922</v>
      </c>
      <c r="G278" s="1">
        <v>75467</v>
      </c>
      <c r="H278" s="1">
        <v>134152</v>
      </c>
      <c r="I278" s="1">
        <v>23</v>
      </c>
      <c r="J278" s="1" t="s">
        <v>104</v>
      </c>
      <c r="K278" s="1" t="s">
        <v>1923</v>
      </c>
      <c r="L278" s="1" t="s">
        <v>1924</v>
      </c>
      <c r="M278" s="1" t="s">
        <v>9158</v>
      </c>
      <c r="N278" s="1" t="s">
        <v>9158</v>
      </c>
      <c r="O278" s="1" t="s">
        <v>9158</v>
      </c>
      <c r="P278" s="1" t="s">
        <v>9158</v>
      </c>
      <c r="Q278" s="1" t="s">
        <v>9158</v>
      </c>
    </row>
    <row r="279" spans="1:18">
      <c r="A279" s="1">
        <v>80413</v>
      </c>
      <c r="B279" s="1" t="s">
        <v>334</v>
      </c>
      <c r="C279" s="1" t="s">
        <v>14</v>
      </c>
      <c r="D279" s="19" t="s">
        <v>10397</v>
      </c>
      <c r="E279" s="15" t="str">
        <f>HYPERLINK("https://stat100.ameba.jp/tnk47/ratio20/illustrations/card/ill_80413_shikyushikitadanomakuzu03.jpg?201908-3-RELEASE-dice-e-424", "■")</f>
        <v>■</v>
      </c>
      <c r="F279" s="1" t="s">
        <v>4079</v>
      </c>
      <c r="G279" s="1">
        <v>65176</v>
      </c>
      <c r="H279" s="1">
        <v>115855</v>
      </c>
      <c r="I279" s="1">
        <v>23</v>
      </c>
      <c r="J279" s="1" t="s">
        <v>10</v>
      </c>
      <c r="K279" s="1" t="s">
        <v>4080</v>
      </c>
      <c r="L279" s="1" t="s">
        <v>4081</v>
      </c>
      <c r="M279" s="1" t="s">
        <v>9158</v>
      </c>
      <c r="N279" s="1" t="s">
        <v>9158</v>
      </c>
      <c r="O279" s="1" t="s">
        <v>9158</v>
      </c>
      <c r="P279" s="1" t="s">
        <v>9158</v>
      </c>
      <c r="Q279" s="1" t="s">
        <v>9158</v>
      </c>
    </row>
    <row r="280" spans="1:18">
      <c r="A280" s="1">
        <v>79443</v>
      </c>
      <c r="B280" s="1" t="s">
        <v>0</v>
      </c>
      <c r="C280" s="1" t="s">
        <v>191</v>
      </c>
      <c r="D280" s="19" t="s">
        <v>10501</v>
      </c>
      <c r="E280" s="15" t="str">
        <f>HYPERLINK("https://stat100.ameba.jp/tnk47/ratio20/illustrations/card/ill_79443_shogitanukinongaeshi03.jpg?201908-3-RELEASE-dice-e-424", "■")</f>
        <v>■</v>
      </c>
      <c r="F280" s="1" t="s">
        <v>3537</v>
      </c>
      <c r="G280" s="1">
        <v>97420</v>
      </c>
      <c r="H280" s="1">
        <v>104964</v>
      </c>
      <c r="I280" s="1">
        <v>23</v>
      </c>
      <c r="J280" s="1" t="s">
        <v>38</v>
      </c>
      <c r="K280" s="1" t="s">
        <v>3538</v>
      </c>
      <c r="L280" s="1" t="s">
        <v>3539</v>
      </c>
      <c r="M280" s="1" t="s">
        <v>9158</v>
      </c>
      <c r="N280" s="1" t="s">
        <v>9158</v>
      </c>
      <c r="O280" s="1" t="s">
        <v>9158</v>
      </c>
      <c r="P280" s="1" t="s">
        <v>9158</v>
      </c>
      <c r="Q280" s="1" t="s">
        <v>9158</v>
      </c>
    </row>
    <row r="281" spans="1:18">
      <c r="A281" s="1">
        <v>71623</v>
      </c>
      <c r="B281" s="1" t="s">
        <v>15</v>
      </c>
      <c r="C281" s="1" t="s">
        <v>165</v>
      </c>
      <c r="D281" s="19" t="s">
        <v>10466</v>
      </c>
      <c r="E281" s="15" t="str">
        <f>HYPERLINK("https://stat100.ameba.jp/tnk47/ratio20/illustrations/card/ill_71623_suikotenno03.jpg?201908-3-RELEASE-dice-e-424", "■")</f>
        <v>■</v>
      </c>
      <c r="F281" s="1" t="s">
        <v>6080</v>
      </c>
      <c r="G281" s="1">
        <v>51078</v>
      </c>
      <c r="H281" s="1">
        <v>56316</v>
      </c>
      <c r="I281" s="1">
        <v>19</v>
      </c>
      <c r="J281" s="1" t="s">
        <v>10</v>
      </c>
      <c r="K281" s="1" t="s">
        <v>6081</v>
      </c>
      <c r="L281" s="1" t="s">
        <v>3337</v>
      </c>
      <c r="M281" s="1" t="s">
        <v>9158</v>
      </c>
      <c r="N281" s="1" t="s">
        <v>9158</v>
      </c>
      <c r="O281" s="1" t="s">
        <v>9158</v>
      </c>
      <c r="P281" s="1" t="s">
        <v>9158</v>
      </c>
      <c r="Q281" s="1" t="s">
        <v>9158</v>
      </c>
    </row>
    <row r="282" spans="1:18">
      <c r="A282" s="1">
        <v>62163</v>
      </c>
      <c r="B282" s="1" t="s">
        <v>15</v>
      </c>
      <c r="C282" s="1" t="s">
        <v>200</v>
      </c>
      <c r="D282" s="19" t="s">
        <v>10467</v>
      </c>
      <c r="E282" s="15" t="str">
        <f>HYPERLINK("https://stat100.ameba.jp/tnk47/ratio20/illustrations/card/ill_62163_obentoarisubekon03.jpg?201908-3-RELEASE-dice-e-424", "■")</f>
        <v>■</v>
      </c>
      <c r="F282" s="1" t="s">
        <v>6083</v>
      </c>
      <c r="G282" s="1">
        <v>51078</v>
      </c>
      <c r="H282" s="1">
        <v>56316</v>
      </c>
      <c r="I282" s="1">
        <v>19</v>
      </c>
      <c r="J282" s="1" t="s">
        <v>16</v>
      </c>
      <c r="K282" s="1" t="s">
        <v>6085</v>
      </c>
      <c r="L282" s="1" t="s">
        <v>981</v>
      </c>
      <c r="M282" s="1" t="s">
        <v>9158</v>
      </c>
      <c r="N282" s="1" t="s">
        <v>9158</v>
      </c>
      <c r="O282" s="1" t="s">
        <v>9158</v>
      </c>
      <c r="P282" s="1" t="s">
        <v>9158</v>
      </c>
      <c r="Q282" s="1" t="s">
        <v>9158</v>
      </c>
    </row>
    <row r="283" spans="1:18">
      <c r="A283" s="1">
        <v>56683</v>
      </c>
      <c r="B283" s="1" t="s">
        <v>15</v>
      </c>
      <c r="C283" s="1" t="s">
        <v>107</v>
      </c>
      <c r="D283" s="19" t="s">
        <v>10468</v>
      </c>
      <c r="E283" s="15" t="str">
        <f>HYPERLINK("https://stat100.ameba.jp/tnk47/ratio20/illustrations/card/ill_56683_daibingusakyogabashinohebi03.jpg?201908-3-RELEASE-dice-e-424", "■")</f>
        <v>■</v>
      </c>
      <c r="F283" s="1" t="s">
        <v>109</v>
      </c>
      <c r="G283" s="1">
        <v>51078</v>
      </c>
      <c r="H283" s="1">
        <v>56316</v>
      </c>
      <c r="I283" s="1">
        <v>19</v>
      </c>
      <c r="J283" s="1" t="s">
        <v>38</v>
      </c>
      <c r="K283" s="1" t="s">
        <v>110</v>
      </c>
      <c r="L283" s="1" t="s">
        <v>111</v>
      </c>
      <c r="M283" s="1" t="s">
        <v>9158</v>
      </c>
      <c r="N283" s="1" t="s">
        <v>9158</v>
      </c>
      <c r="O283" s="1" t="s">
        <v>9158</v>
      </c>
      <c r="P283" s="1" t="s">
        <v>9158</v>
      </c>
      <c r="Q283" s="1" t="s">
        <v>9158</v>
      </c>
    </row>
    <row r="285" spans="1:18">
      <c r="A285" s="1" t="s">
        <v>13361</v>
      </c>
    </row>
    <row r="286" spans="1:18">
      <c r="A286" s="1" t="s">
        <v>6304</v>
      </c>
    </row>
    <row r="287" spans="1:18">
      <c r="A287" s="1">
        <v>83075</v>
      </c>
      <c r="B287" s="1" t="s">
        <v>6306</v>
      </c>
      <c r="C287" s="1" t="s">
        <v>6308</v>
      </c>
      <c r="D287" s="19" t="s">
        <v>10502</v>
      </c>
      <c r="E287" s="15" t="str">
        <f>HYPERLINK("https://stat100.ameba.jp/tnk47/ratio20/illustrations/card/ill_83075_parakerusutera05.jpg?201908-3-RELEASE-dice-e-424", "■")</f>
        <v>■</v>
      </c>
      <c r="F287" s="1" t="s">
        <v>6305</v>
      </c>
      <c r="G287" s="1">
        <v>78289</v>
      </c>
      <c r="H287" s="1">
        <v>108130</v>
      </c>
      <c r="I287" s="1">
        <v>23</v>
      </c>
      <c r="J287" s="1" t="s">
        <v>6315</v>
      </c>
      <c r="K287" s="1" t="s">
        <v>6314</v>
      </c>
      <c r="L287" s="1" t="s">
        <v>6313</v>
      </c>
      <c r="M287" s="1" t="s">
        <v>9158</v>
      </c>
      <c r="N287" s="1" t="s">
        <v>9158</v>
      </c>
      <c r="O287" s="1" t="s">
        <v>9158</v>
      </c>
      <c r="P287" s="1" t="s">
        <v>9158</v>
      </c>
      <c r="Q287" s="1" t="s">
        <v>9158</v>
      </c>
      <c r="R287" s="1" t="s">
        <v>6310</v>
      </c>
    </row>
    <row r="288" spans="1:18">
      <c r="A288" s="1">
        <v>83073</v>
      </c>
      <c r="B288" s="1" t="s">
        <v>6307</v>
      </c>
      <c r="C288" s="1" t="s">
        <v>6309</v>
      </c>
      <c r="D288" s="19" t="s">
        <v>10502</v>
      </c>
      <c r="E288" s="15" t="str">
        <f>HYPERLINK("https://stat100.ameba.jp/tnk47/ratio20/illustrations/card/ill_83073_parakerusutera03.jpg?201908-3-RELEASE-dice-e-424", "■")</f>
        <v>■</v>
      </c>
      <c r="F288" s="1" t="s">
        <v>6305</v>
      </c>
      <c r="G288" s="1">
        <v>57679</v>
      </c>
      <c r="H288" s="1">
        <v>79659</v>
      </c>
      <c r="I288" s="1">
        <v>23</v>
      </c>
      <c r="J288" s="1" t="s">
        <v>6315</v>
      </c>
      <c r="K288" s="1" t="s">
        <v>6314</v>
      </c>
      <c r="L288" s="1" t="s">
        <v>6316</v>
      </c>
      <c r="M288" s="1" t="s">
        <v>9158</v>
      </c>
      <c r="N288" s="1" t="s">
        <v>9158</v>
      </c>
      <c r="O288" s="1" t="s">
        <v>9158</v>
      </c>
      <c r="P288" s="1" t="s">
        <v>9158</v>
      </c>
      <c r="Q288" s="1" t="s">
        <v>9158</v>
      </c>
      <c r="R288" s="1" t="s">
        <v>6311</v>
      </c>
    </row>
    <row r="289" spans="1:18">
      <c r="A289" s="1">
        <v>83071</v>
      </c>
      <c r="B289" s="1" t="s">
        <v>6307</v>
      </c>
      <c r="C289" s="1" t="s">
        <v>6309</v>
      </c>
      <c r="D289" s="19" t="s">
        <v>10502</v>
      </c>
      <c r="E289" s="15" t="str">
        <f>HYPERLINK("https://stat100.ameba.jp/tnk47/ratio20/illustrations/card/ill_83071_parakerusutera01.jpg?201908-3-RELEASE-dice-e-424", "■")</f>
        <v>■</v>
      </c>
      <c r="F289" s="1" t="s">
        <v>6305</v>
      </c>
      <c r="G289" s="1">
        <v>36685</v>
      </c>
      <c r="H289" s="1">
        <v>50669</v>
      </c>
      <c r="I289" s="1">
        <v>23</v>
      </c>
      <c r="J289" s="1" t="s">
        <v>6315</v>
      </c>
      <c r="K289" s="1" t="s">
        <v>6314</v>
      </c>
      <c r="L289" s="1" t="s">
        <v>6317</v>
      </c>
      <c r="M289" s="1" t="s">
        <v>9158</v>
      </c>
      <c r="N289" s="1" t="s">
        <v>9158</v>
      </c>
      <c r="O289" s="1" t="s">
        <v>9158</v>
      </c>
      <c r="P289" s="1" t="s">
        <v>9158</v>
      </c>
      <c r="Q289" s="1" t="s">
        <v>9158</v>
      </c>
      <c r="R289" s="1" t="s">
        <v>6312</v>
      </c>
    </row>
    <row r="291" spans="1:18">
      <c r="A291" s="1" t="s">
        <v>10548</v>
      </c>
    </row>
    <row r="292" spans="1:18">
      <c r="A292" s="1" t="s">
        <v>6318</v>
      </c>
    </row>
    <row r="293" spans="1:18">
      <c r="A293" s="1">
        <v>65173</v>
      </c>
      <c r="B293" s="1" t="s">
        <v>0</v>
      </c>
      <c r="C293" s="1" t="s">
        <v>191</v>
      </c>
      <c r="D293" s="19" t="s">
        <v>10503</v>
      </c>
      <c r="E293" s="15" t="str">
        <f>HYPERLINK("https://stat100.ameba.jp/tnk47/ratio20/illustrations/card/ill_65173_kimodameshihorahamahime03.jpg?201908-3-RELEASE-dice-e-424", "■")</f>
        <v>■</v>
      </c>
      <c r="F293" s="1" t="s">
        <v>3565</v>
      </c>
      <c r="G293" s="1">
        <v>89121</v>
      </c>
      <c r="H293" s="1">
        <v>95830</v>
      </c>
      <c r="I293" s="1">
        <v>23</v>
      </c>
      <c r="J293" s="1" t="s">
        <v>182</v>
      </c>
      <c r="K293" s="1" t="s">
        <v>3566</v>
      </c>
      <c r="L293" s="1" t="s">
        <v>13185</v>
      </c>
      <c r="M293" s="1" t="s">
        <v>9158</v>
      </c>
      <c r="N293" s="1" t="s">
        <v>9158</v>
      </c>
      <c r="O293" s="1" t="s">
        <v>9158</v>
      </c>
      <c r="P293" s="1" t="s">
        <v>9158</v>
      </c>
      <c r="Q293" s="1" t="s">
        <v>9158</v>
      </c>
    </row>
    <row r="294" spans="1:18">
      <c r="A294" s="1">
        <v>59183</v>
      </c>
      <c r="B294" s="1" t="s">
        <v>334</v>
      </c>
      <c r="C294" s="1" t="s">
        <v>209</v>
      </c>
      <c r="D294" s="19" t="s">
        <v>10504</v>
      </c>
      <c r="E294" s="15" t="str">
        <f>HYPERLINK("https://stat100.ameba.jp/tnk47/ratio20/illustrations/card/ill_59183_otonanoasobikyoho03.jpg?201908-3-RELEASE-dice-e-424", "■")</f>
        <v>■</v>
      </c>
      <c r="F294" s="1" t="s">
        <v>1266</v>
      </c>
      <c r="G294" s="1">
        <v>82422</v>
      </c>
      <c r="H294" s="1">
        <v>88650</v>
      </c>
      <c r="I294" s="1">
        <v>23</v>
      </c>
      <c r="J294" s="1" t="s">
        <v>104</v>
      </c>
      <c r="K294" s="1" t="s">
        <v>1267</v>
      </c>
      <c r="L294" s="1" t="s">
        <v>1268</v>
      </c>
      <c r="M294" s="1" t="s">
        <v>9158</v>
      </c>
      <c r="N294" s="1" t="s">
        <v>9158</v>
      </c>
      <c r="O294" s="1" t="s">
        <v>9158</v>
      </c>
      <c r="P294" s="1" t="s">
        <v>9158</v>
      </c>
      <c r="Q294" s="1" t="s">
        <v>9158</v>
      </c>
    </row>
    <row r="295" spans="1:18">
      <c r="A295" s="1">
        <v>75573</v>
      </c>
      <c r="B295" s="1" t="s">
        <v>0</v>
      </c>
      <c r="C295" s="1" t="s">
        <v>107</v>
      </c>
      <c r="D295" s="19" t="s">
        <v>10380</v>
      </c>
      <c r="E295" s="15" t="str">
        <f>HYPERLINK("https://stat100.ameba.jp/tnk47/ratio20/illustrations/card/ill_75573_niirotadamoto03.jpg?201908-3-RELEASE-dice-e-424", "■")</f>
        <v>■</v>
      </c>
      <c r="F295" s="1" t="s">
        <v>5726</v>
      </c>
      <c r="G295" s="1">
        <v>136729</v>
      </c>
      <c r="H295" s="1">
        <v>127130</v>
      </c>
      <c r="I295" s="1">
        <v>23</v>
      </c>
      <c r="J295" s="1" t="s">
        <v>143</v>
      </c>
      <c r="K295" s="1" t="s">
        <v>5728</v>
      </c>
      <c r="L295" s="1" t="s">
        <v>3459</v>
      </c>
      <c r="M295" s="1" t="s">
        <v>9158</v>
      </c>
      <c r="N295" s="1" t="s">
        <v>9158</v>
      </c>
      <c r="O295" s="1" t="s">
        <v>9158</v>
      </c>
      <c r="P295" s="1" t="s">
        <v>9158</v>
      </c>
      <c r="Q295" s="1" t="s">
        <v>9158</v>
      </c>
    </row>
    <row r="296" spans="1:18">
      <c r="A296" s="1">
        <v>53453</v>
      </c>
      <c r="B296" s="1" t="s">
        <v>6307</v>
      </c>
      <c r="C296" s="1" t="s">
        <v>6319</v>
      </c>
      <c r="D296" s="19" t="s">
        <v>10505</v>
      </c>
      <c r="E296" s="15" t="str">
        <f>HYPERLINK("https://stat100.ameba.jp/tnk47/ratio20/illustrations/card/ill_53453_natsumatsuritatsukohime03.jpg?201908-3-RELEASE-dice-e-424", "■")</f>
        <v>■</v>
      </c>
      <c r="F296" s="1" t="s">
        <v>6333</v>
      </c>
      <c r="G296" s="1">
        <v>56316</v>
      </c>
      <c r="H296" s="1">
        <v>51078</v>
      </c>
      <c r="I296" s="1">
        <v>19</v>
      </c>
      <c r="J296" s="1" t="s">
        <v>6320</v>
      </c>
      <c r="K296" s="1" t="s">
        <v>6332</v>
      </c>
      <c r="L296" s="1" t="s">
        <v>6331</v>
      </c>
      <c r="M296" s="1" t="s">
        <v>9158</v>
      </c>
      <c r="N296" s="1" t="s">
        <v>9158</v>
      </c>
      <c r="O296" s="1" t="s">
        <v>9158</v>
      </c>
      <c r="P296" s="1" t="s">
        <v>9158</v>
      </c>
      <c r="Q296" s="1" t="s">
        <v>9158</v>
      </c>
    </row>
    <row r="297" spans="1:18">
      <c r="A297" s="1">
        <v>64943</v>
      </c>
      <c r="B297" s="1" t="s">
        <v>6307</v>
      </c>
      <c r="C297" s="1" t="s">
        <v>6321</v>
      </c>
      <c r="D297" s="19" t="s">
        <v>10506</v>
      </c>
      <c r="E297" s="15" t="str">
        <f>HYPERLINK("https://stat100.ameba.jp/tnk47/ratio20/illustrations/card/ill_64943_yukataperoperokyandeichan03.jpg?201908-3-RELEASE-dice-e-424", "■")</f>
        <v>■</v>
      </c>
      <c r="F297" s="1" t="s">
        <v>6328</v>
      </c>
      <c r="G297" s="1">
        <v>56316</v>
      </c>
      <c r="H297" s="1">
        <v>51078</v>
      </c>
      <c r="I297" s="1">
        <v>19</v>
      </c>
      <c r="J297" s="1" t="s">
        <v>6323</v>
      </c>
      <c r="K297" s="1" t="s">
        <v>6329</v>
      </c>
      <c r="L297" s="1" t="s">
        <v>6330</v>
      </c>
      <c r="M297" s="1" t="s">
        <v>9158</v>
      </c>
      <c r="N297" s="1" t="s">
        <v>9158</v>
      </c>
      <c r="O297" s="1" t="s">
        <v>9158</v>
      </c>
      <c r="P297" s="1" t="s">
        <v>9158</v>
      </c>
      <c r="Q297" s="1" t="s">
        <v>9158</v>
      </c>
    </row>
    <row r="298" spans="1:18">
      <c r="A298" s="1">
        <v>41453</v>
      </c>
      <c r="B298" s="1" t="s">
        <v>6307</v>
      </c>
      <c r="C298" s="1" t="s">
        <v>6322</v>
      </c>
      <c r="D298" s="19" t="s">
        <v>10507</v>
      </c>
      <c r="E298" s="15" t="str">
        <f>HYPERLINK("https://stat100.ameba.jp/tnk47/ratio20/illustrations/card/ill_41453_baikukitahideie03.jpg?201908-3-RELEASE-dice-e-424", "■")</f>
        <v>■</v>
      </c>
      <c r="F298" s="1" t="s">
        <v>6325</v>
      </c>
      <c r="G298" s="1">
        <v>56316</v>
      </c>
      <c r="H298" s="1">
        <v>51078</v>
      </c>
      <c r="I298" s="1">
        <v>19</v>
      </c>
      <c r="J298" s="1" t="s">
        <v>6324</v>
      </c>
      <c r="K298" s="1" t="s">
        <v>6326</v>
      </c>
      <c r="L298" s="1" t="s">
        <v>6327</v>
      </c>
      <c r="M298" s="1" t="s">
        <v>9158</v>
      </c>
      <c r="N298" s="1" t="s">
        <v>9158</v>
      </c>
      <c r="O298" s="1" t="s">
        <v>9158</v>
      </c>
      <c r="P298" s="1" t="s">
        <v>9158</v>
      </c>
      <c r="Q298" s="1" t="s">
        <v>9158</v>
      </c>
    </row>
    <row r="300" spans="1:18">
      <c r="A300" s="1" t="s">
        <v>6334</v>
      </c>
    </row>
    <row r="301" spans="1:18">
      <c r="A301" s="1" t="s">
        <v>6335</v>
      </c>
    </row>
    <row r="302" spans="1:18">
      <c r="A302" s="1" t="s">
        <v>5609</v>
      </c>
      <c r="B302" s="1" t="s">
        <v>330</v>
      </c>
      <c r="C302" s="1" t="s">
        <v>200</v>
      </c>
      <c r="D302" s="19" t="s">
        <v>389</v>
      </c>
      <c r="E302" s="15" t="str">
        <f>HYPERLINK("https://stat100.ameba.jp/tnk47/ratio20/illustrations/card/ill_53753_0_natsumatsuritokugawaieyasu03.jpg?201908-4-RELEASE-guildbattle-425", "■")</f>
        <v>■</v>
      </c>
      <c r="F302" s="1" t="s">
        <v>902</v>
      </c>
      <c r="G302" s="1">
        <v>138212</v>
      </c>
      <c r="H302" s="1">
        <v>122776</v>
      </c>
      <c r="I302" s="1">
        <v>22</v>
      </c>
      <c r="J302" s="1" t="s">
        <v>143</v>
      </c>
      <c r="K302" s="1" t="s">
        <v>903</v>
      </c>
      <c r="L302" s="1" t="s">
        <v>904</v>
      </c>
      <c r="M302" s="1" t="s">
        <v>9158</v>
      </c>
      <c r="N302" s="1" t="s">
        <v>9158</v>
      </c>
      <c r="O302" s="19" t="s">
        <v>10076</v>
      </c>
      <c r="P302" s="1" t="s">
        <v>13121</v>
      </c>
      <c r="Q302" s="1">
        <v>1</v>
      </c>
    </row>
    <row r="303" spans="1:18">
      <c r="A303" s="1" t="s">
        <v>5621</v>
      </c>
      <c r="B303" s="1" t="s">
        <v>330</v>
      </c>
      <c r="C303" s="1" t="s">
        <v>191</v>
      </c>
      <c r="D303" s="19" t="s">
        <v>2871</v>
      </c>
      <c r="E303" s="15" t="str">
        <f>HYPERLINK("https://stat100.ameba.jp/tnk47/ratio20/illustrations/card/ill_51973_0_kemonomizugikuroyuridensetsu03.jpg?201908-4-RELEASE-guildbattle-425", "■")</f>
        <v>■</v>
      </c>
      <c r="F303" s="1" t="s">
        <v>2872</v>
      </c>
      <c r="G303" s="1">
        <v>138212</v>
      </c>
      <c r="H303" s="1">
        <v>122776</v>
      </c>
      <c r="I303" s="1">
        <v>22</v>
      </c>
      <c r="J303" s="1" t="s">
        <v>274</v>
      </c>
      <c r="K303" s="1" t="s">
        <v>2873</v>
      </c>
      <c r="L303" s="1" t="s">
        <v>2874</v>
      </c>
      <c r="M303" s="1" t="s">
        <v>9158</v>
      </c>
      <c r="N303" s="1" t="s">
        <v>9158</v>
      </c>
      <c r="O303" s="19" t="s">
        <v>10088</v>
      </c>
      <c r="P303" s="1" t="s">
        <v>13172</v>
      </c>
      <c r="Q303" s="1">
        <v>1</v>
      </c>
    </row>
    <row r="304" spans="1:18">
      <c r="A304" s="1" t="s">
        <v>5608</v>
      </c>
      <c r="B304" s="1" t="s">
        <v>52</v>
      </c>
      <c r="C304" s="1" t="s">
        <v>96</v>
      </c>
      <c r="D304" s="19" t="s">
        <v>634</v>
      </c>
      <c r="E304" s="15" t="str">
        <f>HYPERLINK("https://stat100.ameba.jp/tnk47/ratio20/illustrations/card/ill_40963_0_makami03.jpg?201908-4-RELEASE-guildbattle-425", "■")</f>
        <v>■</v>
      </c>
      <c r="F304" s="1" t="s">
        <v>2038</v>
      </c>
      <c r="G304" s="1">
        <v>128744</v>
      </c>
      <c r="H304" s="1">
        <v>120576</v>
      </c>
      <c r="I304" s="1">
        <v>22</v>
      </c>
      <c r="J304" s="1" t="s">
        <v>44</v>
      </c>
      <c r="K304" s="1" t="s">
        <v>2039</v>
      </c>
      <c r="L304" s="1" t="s">
        <v>2040</v>
      </c>
      <c r="M304" s="1" t="s">
        <v>9158</v>
      </c>
      <c r="N304" s="1" t="s">
        <v>9158</v>
      </c>
      <c r="O304" s="1" t="s">
        <v>9158</v>
      </c>
      <c r="P304" s="1" t="s">
        <v>9158</v>
      </c>
      <c r="Q304" s="1" t="s">
        <v>9158</v>
      </c>
    </row>
    <row r="305" spans="1:17">
      <c r="A305" s="1">
        <v>83213</v>
      </c>
      <c r="B305" s="1" t="s">
        <v>0</v>
      </c>
      <c r="C305" s="1" t="s">
        <v>191</v>
      </c>
      <c r="D305" s="19" t="s">
        <v>10495</v>
      </c>
      <c r="E305" s="15" t="str">
        <f>HYPERLINK("https://stat100.ameba.jp/tnk47/ratio20/illustrations/card/ill_83213_hanabishiechizenganinabechan03.jpg?201908-4-RELEASE-guildbattle-425", "■")</f>
        <v>■</v>
      </c>
      <c r="F305" s="1" t="s">
        <v>6282</v>
      </c>
      <c r="G305" s="1">
        <v>105394</v>
      </c>
      <c r="H305" s="1">
        <v>113340</v>
      </c>
      <c r="I305" s="1">
        <v>24</v>
      </c>
      <c r="J305" s="1" t="s">
        <v>104</v>
      </c>
      <c r="K305" s="1" t="s">
        <v>6285</v>
      </c>
      <c r="L305" s="1" t="s">
        <v>131</v>
      </c>
      <c r="M305" s="1" t="s">
        <v>9158</v>
      </c>
      <c r="N305" s="1" t="s">
        <v>9158</v>
      </c>
      <c r="O305" s="1" t="s">
        <v>9158</v>
      </c>
      <c r="P305" s="1" t="s">
        <v>9158</v>
      </c>
      <c r="Q305" s="1" t="s">
        <v>9158</v>
      </c>
    </row>
    <row r="306" spans="1:17">
      <c r="A306" s="1">
        <v>83223</v>
      </c>
      <c r="B306" s="1" t="s">
        <v>15</v>
      </c>
      <c r="C306" s="1" t="s">
        <v>206</v>
      </c>
      <c r="D306" s="19" t="s">
        <v>10497</v>
      </c>
      <c r="E306" s="15" t="str">
        <f>HYPERLINK("https://stat100.ameba.jp/tnk47/ratio20/illustrations/card/ill_83223_hanabikijimuna03.jpg?201908-4-RELEASE-guildbattle-425", "■")</f>
        <v>■</v>
      </c>
      <c r="F306" s="1" t="s">
        <v>6290</v>
      </c>
      <c r="G306" s="1">
        <v>53352</v>
      </c>
      <c r="H306" s="1">
        <v>48390</v>
      </c>
      <c r="I306" s="1">
        <v>18</v>
      </c>
      <c r="J306" s="1" t="s">
        <v>73</v>
      </c>
      <c r="K306" s="1" t="s">
        <v>6293</v>
      </c>
      <c r="L306" s="1" t="s">
        <v>3835</v>
      </c>
      <c r="M306" s="1" t="s">
        <v>9158</v>
      </c>
      <c r="N306" s="1" t="s">
        <v>9158</v>
      </c>
      <c r="O306" s="1" t="s">
        <v>9158</v>
      </c>
      <c r="P306" s="1" t="s">
        <v>9158</v>
      </c>
      <c r="Q306" s="1" t="s">
        <v>9158</v>
      </c>
    </row>
    <row r="307" spans="1:17">
      <c r="A307" s="1">
        <v>83233</v>
      </c>
      <c r="B307" s="1" t="s">
        <v>22</v>
      </c>
      <c r="C307" s="1" t="s">
        <v>185</v>
      </c>
      <c r="D307" s="19" t="s">
        <v>10498</v>
      </c>
      <c r="E307" s="15" t="str">
        <f>HYPERLINK("https://stat100.ameba.jp/tnk47/ratio20/illustrations/card/ill_83233_asakawanohanabichan03.jpg?201908-4-RELEASE-guildbattle-425", "■")</f>
        <v>■</v>
      </c>
      <c r="F307" s="1" t="s">
        <v>6294</v>
      </c>
      <c r="G307" s="1">
        <v>29388</v>
      </c>
      <c r="H307" s="1">
        <v>35346</v>
      </c>
      <c r="I307" s="1">
        <v>17</v>
      </c>
      <c r="J307" s="1" t="s">
        <v>26</v>
      </c>
      <c r="K307" s="1" t="s">
        <v>6297</v>
      </c>
      <c r="L307" s="1" t="s">
        <v>28</v>
      </c>
      <c r="M307" s="1" t="s">
        <v>9158</v>
      </c>
      <c r="N307" s="1" t="s">
        <v>9158</v>
      </c>
      <c r="O307" s="1" t="s">
        <v>9158</v>
      </c>
      <c r="P307" s="1" t="s">
        <v>9158</v>
      </c>
      <c r="Q307" s="1" t="s">
        <v>9158</v>
      </c>
    </row>
    <row r="308" spans="1:17">
      <c r="A308" s="1">
        <v>83243</v>
      </c>
      <c r="B308" s="1" t="s">
        <v>30</v>
      </c>
      <c r="C308" s="1" t="s">
        <v>5315</v>
      </c>
      <c r="D308" s="19" t="s">
        <v>10499</v>
      </c>
      <c r="E308" s="15" t="str">
        <f>HYPERLINK("https://stat100.ameba.jp/tnk47/ratio20/illustrations/card/ill_83243_otokomatsuritakigawaichimasu03.jpg?201908-4-RELEASE-guildbattle-425", "■")</f>
        <v>■</v>
      </c>
      <c r="F308" s="1" t="s">
        <v>6301</v>
      </c>
      <c r="G308" s="1">
        <v>21398</v>
      </c>
      <c r="H308" s="1">
        <v>17972</v>
      </c>
      <c r="I308" s="1">
        <v>17</v>
      </c>
      <c r="J308" s="1" t="s">
        <v>194</v>
      </c>
      <c r="K308" s="1" t="s">
        <v>6299</v>
      </c>
      <c r="L308" s="1" t="s">
        <v>3843</v>
      </c>
      <c r="M308" s="1" t="s">
        <v>9158</v>
      </c>
      <c r="N308" s="1" t="s">
        <v>9158</v>
      </c>
      <c r="O308" s="1" t="s">
        <v>9158</v>
      </c>
      <c r="P308" s="1" t="s">
        <v>9158</v>
      </c>
      <c r="Q308" s="1" t="s">
        <v>9158</v>
      </c>
    </row>
    <row r="309" spans="1:17">
      <c r="A309" s="1" t="s">
        <v>6336</v>
      </c>
    </row>
    <row r="311" spans="1:17">
      <c r="A311" s="1" t="s">
        <v>6337</v>
      </c>
    </row>
    <row r="312" spans="1:17">
      <c r="A312" s="1" t="s">
        <v>6338</v>
      </c>
    </row>
    <row r="313" spans="1:17">
      <c r="A313" s="1" t="s">
        <v>5606</v>
      </c>
      <c r="B313" s="1" t="s">
        <v>52</v>
      </c>
      <c r="C313" s="1" t="s">
        <v>206</v>
      </c>
      <c r="D313" s="19" t="s">
        <v>2936</v>
      </c>
      <c r="E313" s="15" t="str">
        <f>HYPERLINK("https://stat100.ameba.jp/tnk47/ratio20/illustrations/card/ill_72233_0_koinoboriryugujin03.jpg?201908-4-RELEASE-guildbattle-425", "■")</f>
        <v>■</v>
      </c>
      <c r="F313" s="1" t="s">
        <v>1012</v>
      </c>
      <c r="G313" s="1">
        <v>98395</v>
      </c>
      <c r="H313" s="1">
        <v>105833</v>
      </c>
      <c r="I313" s="1">
        <v>15</v>
      </c>
      <c r="J313" s="1" t="s">
        <v>44</v>
      </c>
      <c r="K313" s="1" t="s">
        <v>1013</v>
      </c>
      <c r="L313" s="1" t="s">
        <v>1014</v>
      </c>
      <c r="M313" s="1" t="s">
        <v>9158</v>
      </c>
      <c r="N313" s="1" t="s">
        <v>9158</v>
      </c>
      <c r="O313" s="19" t="s">
        <v>2940</v>
      </c>
      <c r="P313" s="1" t="s">
        <v>2941</v>
      </c>
      <c r="Q313" s="1">
        <v>2</v>
      </c>
    </row>
    <row r="314" spans="1:17">
      <c r="A314" s="1" t="s">
        <v>5650</v>
      </c>
      <c r="B314" s="1" t="s">
        <v>52</v>
      </c>
      <c r="C314" s="1" t="s">
        <v>200</v>
      </c>
      <c r="D314" s="19" t="s">
        <v>809</v>
      </c>
      <c r="E314" s="15" t="str">
        <f>HYPERLINK("https://stat100.ameba.jp/tnk47/ratio20/illustrations/card/ill_68033_0_kurisumasupateikandamyojin03.jpg?201908-4-RELEASE-guildbattle-425", "■")</f>
        <v>■</v>
      </c>
      <c r="F314" s="1" t="s">
        <v>1871</v>
      </c>
      <c r="G314" s="1">
        <v>95371</v>
      </c>
      <c r="H314" s="1">
        <v>102590</v>
      </c>
      <c r="I314" s="1">
        <v>15</v>
      </c>
      <c r="J314" s="1" t="s">
        <v>44</v>
      </c>
      <c r="K314" s="1" t="s">
        <v>1872</v>
      </c>
      <c r="L314" s="1" t="s">
        <v>1873</v>
      </c>
      <c r="M314" s="14" t="s">
        <v>9158</v>
      </c>
      <c r="N314" s="14" t="s">
        <v>9158</v>
      </c>
      <c r="O314" s="19" t="s">
        <v>2997</v>
      </c>
      <c r="P314" s="1" t="s">
        <v>3483</v>
      </c>
      <c r="Q314" s="1">
        <v>2</v>
      </c>
    </row>
    <row r="315" spans="1:17">
      <c r="A315" s="1" t="s">
        <v>5622</v>
      </c>
      <c r="B315" s="1" t="s">
        <v>330</v>
      </c>
      <c r="C315" s="1" t="s">
        <v>335</v>
      </c>
      <c r="D315" s="19" t="s">
        <v>509</v>
      </c>
      <c r="E315" s="15" t="str">
        <f>HYPERLINK("https://stat100.ameba.jp/tnk47/ratio20/illustrations/card/ill_49953_0_yushamarihime03.jpg?201908-4-RELEASE-guildbattle-425", "■")</f>
        <v>■</v>
      </c>
      <c r="F315" s="1" t="s">
        <v>510</v>
      </c>
      <c r="G315" s="1">
        <v>94236</v>
      </c>
      <c r="H315" s="1">
        <v>83712</v>
      </c>
      <c r="I315" s="1">
        <v>15</v>
      </c>
      <c r="J315" s="1" t="s">
        <v>315</v>
      </c>
      <c r="K315" s="1" t="s">
        <v>511</v>
      </c>
      <c r="L315" s="1" t="s">
        <v>512</v>
      </c>
      <c r="M315" s="1" t="s">
        <v>9158</v>
      </c>
      <c r="N315" s="1" t="s">
        <v>9158</v>
      </c>
      <c r="O315" s="1" t="s">
        <v>9158</v>
      </c>
      <c r="P315" s="1" t="s">
        <v>9158</v>
      </c>
      <c r="Q315" s="1" t="s">
        <v>9158</v>
      </c>
    </row>
    <row r="316" spans="1:17">
      <c r="A316" s="1">
        <v>71473</v>
      </c>
      <c r="B316" s="1" t="s">
        <v>334</v>
      </c>
      <c r="C316" s="1" t="s">
        <v>1</v>
      </c>
      <c r="D316" s="19" t="s">
        <v>10508</v>
      </c>
      <c r="E316" s="15" t="str">
        <f>HYPERLINK("https://stat100.ameba.jp/tnk47/ratio20/illustrations/card/ill_71473_nyugakushikishirubaakusechan03.jpg?201908-4-RELEASE-guildbattle-425", "■")</f>
        <v>■</v>
      </c>
      <c r="F316" s="1" t="s">
        <v>4212</v>
      </c>
      <c r="G316" s="1">
        <v>109334</v>
      </c>
      <c r="H316" s="1">
        <v>101656</v>
      </c>
      <c r="I316" s="1">
        <v>24</v>
      </c>
      <c r="J316" s="1" t="s">
        <v>26</v>
      </c>
      <c r="K316" s="1" t="s">
        <v>4213</v>
      </c>
      <c r="L316" s="1" t="s">
        <v>2181</v>
      </c>
      <c r="M316" s="1" t="s">
        <v>9158</v>
      </c>
      <c r="N316" s="1" t="s">
        <v>9158</v>
      </c>
      <c r="O316" s="1" t="s">
        <v>9158</v>
      </c>
      <c r="P316" s="1" t="s">
        <v>9158</v>
      </c>
      <c r="Q316" s="1" t="s">
        <v>9158</v>
      </c>
    </row>
    <row r="317" spans="1:17">
      <c r="A317" s="1">
        <v>78213</v>
      </c>
      <c r="B317" s="1" t="s">
        <v>0</v>
      </c>
      <c r="C317" s="1" t="s">
        <v>191</v>
      </c>
      <c r="D317" s="19" t="s">
        <v>10205</v>
      </c>
      <c r="E317" s="15" t="str">
        <f>HYPERLINK("https://stat100.ameba.jp/tnk47/ratio20/illustrations/card/ill_78213_otomarijoshikaitaiyakichan03.jpg?201908-4-RELEASE-guildbattle-425", "■")</f>
        <v>■</v>
      </c>
      <c r="F317" s="1" t="s">
        <v>2313</v>
      </c>
      <c r="G317" s="1">
        <v>142674</v>
      </c>
      <c r="H317" s="1">
        <v>132658</v>
      </c>
      <c r="I317" s="1">
        <v>24</v>
      </c>
      <c r="J317" s="1" t="s">
        <v>104</v>
      </c>
      <c r="K317" s="1" t="s">
        <v>2314</v>
      </c>
      <c r="L317" s="1" t="s">
        <v>1029</v>
      </c>
      <c r="M317" s="1" t="s">
        <v>9158</v>
      </c>
      <c r="N317" s="1" t="s">
        <v>9158</v>
      </c>
      <c r="O317" s="1" t="s">
        <v>9158</v>
      </c>
      <c r="P317" s="1" t="s">
        <v>9158</v>
      </c>
      <c r="Q317" s="1" t="s">
        <v>9158</v>
      </c>
    </row>
    <row r="318" spans="1:17">
      <c r="A318" s="1">
        <v>79523</v>
      </c>
      <c r="B318" s="1" t="s">
        <v>0</v>
      </c>
      <c r="C318" s="1" t="s">
        <v>203</v>
      </c>
      <c r="D318" s="19" t="s">
        <v>10309</v>
      </c>
      <c r="E318" s="15" t="str">
        <f>HYPERLINK("https://stat100.ameba.jp/tnk47/ratio20/illustrations/card/ill_79523_shikyokunoashurato03.jpg?201908-4-RELEASE-guildbattle-425", "■")</f>
        <v>■</v>
      </c>
      <c r="F318" s="1" t="s">
        <v>3590</v>
      </c>
      <c r="G318" s="1">
        <v>75984</v>
      </c>
      <c r="H318" s="1">
        <v>104890</v>
      </c>
      <c r="I318" s="1">
        <v>24</v>
      </c>
      <c r="J318" s="1" t="s">
        <v>77</v>
      </c>
      <c r="K318" s="1" t="s">
        <v>3591</v>
      </c>
      <c r="L318" s="1" t="s">
        <v>1955</v>
      </c>
      <c r="M318" s="1" t="s">
        <v>9158</v>
      </c>
      <c r="N318" s="1" t="s">
        <v>9158</v>
      </c>
      <c r="O318" s="19" t="s">
        <v>10074</v>
      </c>
      <c r="P318" s="1" t="s">
        <v>3592</v>
      </c>
      <c r="Q318" s="1">
        <v>1</v>
      </c>
    </row>
    <row r="319" spans="1:17">
      <c r="A319" s="1">
        <v>65183</v>
      </c>
      <c r="B319" s="1" t="s">
        <v>15</v>
      </c>
      <c r="C319" s="1" t="s">
        <v>96</v>
      </c>
      <c r="D319" s="19" t="s">
        <v>10509</v>
      </c>
      <c r="E319" s="15" t="str">
        <f>HYPERLINK("https://stat100.ameba.jp/tnk47/ratio20/illustrations/card/ill_65183_kimodameshihorakagaminookimi03.jpg?201908-4-RELEASE-guildbattle-425", "■")</f>
        <v>■</v>
      </c>
      <c r="F319" s="1" t="s">
        <v>4569</v>
      </c>
      <c r="G319" s="1">
        <v>59280</v>
      </c>
      <c r="H319" s="1">
        <v>53768</v>
      </c>
      <c r="I319" s="1">
        <v>20</v>
      </c>
      <c r="J319" s="1" t="s">
        <v>16</v>
      </c>
      <c r="K319" s="1" t="s">
        <v>4570</v>
      </c>
      <c r="L319" s="1" t="s">
        <v>21</v>
      </c>
      <c r="M319" s="1" t="s">
        <v>9158</v>
      </c>
      <c r="N319" s="1" t="s">
        <v>9158</v>
      </c>
      <c r="O319" s="1" t="s">
        <v>9158</v>
      </c>
      <c r="P319" s="1" t="s">
        <v>9158</v>
      </c>
      <c r="Q319" s="1" t="s">
        <v>9158</v>
      </c>
    </row>
    <row r="320" spans="1:17">
      <c r="A320" s="1">
        <v>68473</v>
      </c>
      <c r="B320" s="1" t="s">
        <v>348</v>
      </c>
      <c r="C320" s="1" t="s">
        <v>185</v>
      </c>
      <c r="D320" s="19" t="s">
        <v>10510</v>
      </c>
      <c r="E320" s="15" t="str">
        <f>HYPERLINK("https://stat100.ameba.jp/tnk47/ratio20/illustrations/card/ill_68473_sunogurabianakanotakeko03.jpg?201908-4-RELEASE-guildbattle-425", "■")</f>
        <v>■</v>
      </c>
      <c r="F320" s="1" t="s">
        <v>3324</v>
      </c>
      <c r="G320" s="1">
        <v>53768</v>
      </c>
      <c r="H320" s="1">
        <v>59280</v>
      </c>
      <c r="I320" s="1">
        <v>20</v>
      </c>
      <c r="J320" s="1" t="s">
        <v>143</v>
      </c>
      <c r="K320" s="1" t="s">
        <v>3325</v>
      </c>
      <c r="L320" s="1" t="s">
        <v>3326</v>
      </c>
      <c r="M320" s="1" t="s">
        <v>9158</v>
      </c>
      <c r="N320" s="1" t="s">
        <v>9158</v>
      </c>
      <c r="O320" s="1" t="s">
        <v>9158</v>
      </c>
      <c r="P320" s="1" t="s">
        <v>9158</v>
      </c>
      <c r="Q320" s="1" t="s">
        <v>9158</v>
      </c>
    </row>
    <row r="321" spans="1:18">
      <c r="A321" s="1">
        <v>77443</v>
      </c>
      <c r="B321" s="1" t="s">
        <v>15</v>
      </c>
      <c r="C321" s="1" t="s">
        <v>191</v>
      </c>
      <c r="D321" s="19" t="s">
        <v>1666</v>
      </c>
      <c r="E321" s="15" t="str">
        <f>HYPERLINK("https://stat100.ameba.jp/tnk47/ratio20/illustrations/card/ill_77443_kaiinu03.jpg?201908-4-RELEASE-guildbattle-425", "■")</f>
        <v>■</v>
      </c>
      <c r="F321" s="1" t="s">
        <v>1727</v>
      </c>
      <c r="G321" s="1">
        <v>53768</v>
      </c>
      <c r="H321" s="1">
        <v>59280</v>
      </c>
      <c r="I321" s="1">
        <v>20</v>
      </c>
      <c r="J321" s="1" t="s">
        <v>26</v>
      </c>
      <c r="K321" s="1" t="s">
        <v>1728</v>
      </c>
      <c r="L321" s="1" t="s">
        <v>977</v>
      </c>
      <c r="M321" s="1" t="s">
        <v>9158</v>
      </c>
      <c r="N321" s="1" t="s">
        <v>9158</v>
      </c>
      <c r="O321" s="1" t="s">
        <v>9158</v>
      </c>
      <c r="P321" s="1" t="s">
        <v>9158</v>
      </c>
      <c r="Q321" s="1" t="s">
        <v>9158</v>
      </c>
    </row>
    <row r="323" spans="1:18">
      <c r="A323" s="1" t="s">
        <v>6339</v>
      </c>
    </row>
    <row r="324" spans="1:18">
      <c r="A324" s="1" t="s">
        <v>6340</v>
      </c>
    </row>
    <row r="325" spans="1:18">
      <c r="A325" s="1" t="s">
        <v>5617</v>
      </c>
      <c r="B325" s="1" t="s">
        <v>330</v>
      </c>
      <c r="C325" s="1" t="s">
        <v>308</v>
      </c>
      <c r="D325" s="19" t="s">
        <v>385</v>
      </c>
      <c r="E325" s="15" t="str">
        <f>HYPERLINK("https://stat100.ameba.jp/tnk47/ratio20/illustrations/card/ill_59673_0_oheyashutendoji03.jpg?201908-4-RELEASE-guildbattle-425", "■")</f>
        <v>■</v>
      </c>
      <c r="F325" s="1" t="s">
        <v>386</v>
      </c>
      <c r="G325" s="1">
        <v>154800</v>
      </c>
      <c r="H325" s="1">
        <v>166504</v>
      </c>
      <c r="I325" s="1">
        <v>22</v>
      </c>
      <c r="J325" s="1" t="s">
        <v>320</v>
      </c>
      <c r="K325" s="1" t="s">
        <v>387</v>
      </c>
      <c r="L325" s="1" t="s">
        <v>388</v>
      </c>
      <c r="M325" s="1" t="s">
        <v>9158</v>
      </c>
      <c r="N325" s="1" t="s">
        <v>9158</v>
      </c>
      <c r="O325" s="19" t="s">
        <v>10078</v>
      </c>
      <c r="P325" s="1" t="s">
        <v>3022</v>
      </c>
      <c r="Q325" s="1">
        <v>1</v>
      </c>
    </row>
    <row r="326" spans="1:18">
      <c r="A326" s="1" t="s">
        <v>6342</v>
      </c>
      <c r="B326" s="1" t="s">
        <v>330</v>
      </c>
      <c r="C326" s="1" t="s">
        <v>205</v>
      </c>
      <c r="D326" s="19" t="s">
        <v>1559</v>
      </c>
      <c r="E326" s="15" t="str">
        <f>HYPERLINK("https://stat100.ameba.jp/tnk47/ratio20/illustrations/card/ill_73773_0_umibirakiinugamigyobu03.jpg?201908-4-RELEASE-guildbattle-425", "■")</f>
        <v>■</v>
      </c>
      <c r="F326" s="1" t="s">
        <v>935</v>
      </c>
      <c r="G326" s="1">
        <v>190902</v>
      </c>
      <c r="H326" s="1">
        <v>205334</v>
      </c>
      <c r="I326" s="1">
        <v>22</v>
      </c>
      <c r="J326" s="1" t="s">
        <v>182</v>
      </c>
      <c r="K326" s="1" t="s">
        <v>936</v>
      </c>
      <c r="L326" s="1" t="s">
        <v>13147</v>
      </c>
      <c r="M326" s="1" t="s">
        <v>9158</v>
      </c>
      <c r="N326" s="1" t="s">
        <v>9158</v>
      </c>
      <c r="O326" s="19" t="s">
        <v>2978</v>
      </c>
      <c r="P326" s="1" t="s">
        <v>2979</v>
      </c>
      <c r="Q326" s="1">
        <v>2</v>
      </c>
    </row>
    <row r="327" spans="1:18">
      <c r="A327" s="1">
        <v>81313</v>
      </c>
      <c r="B327" s="1" t="s">
        <v>0</v>
      </c>
      <c r="C327" s="1" t="s">
        <v>154</v>
      </c>
      <c r="D327" s="19" t="s">
        <v>10511</v>
      </c>
      <c r="E327" s="15" t="str">
        <f>HYPERLINK("https://stat100.ameba.jp/tnk47/ratio20/illustrations/card/ill_81313_harihara03.jpg?201908-4-RELEASE-guildbattle-425", "■")</f>
        <v>■</v>
      </c>
      <c r="F327" s="1" t="s">
        <v>4667</v>
      </c>
      <c r="G327" s="1">
        <v>159674</v>
      </c>
      <c r="H327" s="1">
        <v>115656</v>
      </c>
      <c r="I327" s="1">
        <v>24</v>
      </c>
      <c r="J327" s="1" t="s">
        <v>44</v>
      </c>
      <c r="K327" s="1" t="s">
        <v>4668</v>
      </c>
      <c r="L327" s="1" t="s">
        <v>4669</v>
      </c>
      <c r="M327" s="1" t="s">
        <v>9158</v>
      </c>
      <c r="N327" s="1" t="s">
        <v>9158</v>
      </c>
      <c r="O327" s="19" t="s">
        <v>10114</v>
      </c>
      <c r="P327" s="1" t="s">
        <v>3658</v>
      </c>
      <c r="Q327" s="1">
        <v>1</v>
      </c>
    </row>
    <row r="328" spans="1:18">
      <c r="A328" s="1">
        <v>65633</v>
      </c>
      <c r="B328" s="1" t="s">
        <v>0</v>
      </c>
      <c r="C328" s="1" t="s">
        <v>41</v>
      </c>
      <c r="D328" s="19" t="s">
        <v>10227</v>
      </c>
      <c r="E328" s="15" t="str">
        <f>HYPERLINK("https://stat100.ameba.jp/tnk47/ratio20/illustrations/card/ill_65633_shinnoakugoro03.jpg?201908-4-RELEASE-guildbattle-425", "■")</f>
        <v>■</v>
      </c>
      <c r="F328" s="1" t="s">
        <v>70</v>
      </c>
      <c r="G328" s="1">
        <v>107251</v>
      </c>
      <c r="H328" s="1">
        <v>77700</v>
      </c>
      <c r="I328" s="1">
        <v>23</v>
      </c>
      <c r="J328" s="1" t="s">
        <v>73</v>
      </c>
      <c r="K328" s="1" t="s">
        <v>71</v>
      </c>
      <c r="L328" s="1" t="s">
        <v>72</v>
      </c>
      <c r="M328" s="1" t="s">
        <v>9158</v>
      </c>
      <c r="N328" s="1" t="s">
        <v>9158</v>
      </c>
      <c r="O328" s="1" t="s">
        <v>9158</v>
      </c>
      <c r="P328" s="1" t="s">
        <v>9158</v>
      </c>
      <c r="Q328" s="1" t="s">
        <v>9158</v>
      </c>
    </row>
    <row r="329" spans="1:18">
      <c r="A329" s="1">
        <v>67963</v>
      </c>
      <c r="B329" s="1" t="s">
        <v>334</v>
      </c>
      <c r="C329" s="1" t="s">
        <v>203</v>
      </c>
      <c r="D329" s="19" t="s">
        <v>10307</v>
      </c>
      <c r="E329" s="15" t="str">
        <f>HYPERLINK("https://stat100.ameba.jp/tnk47/ratio20/illustrations/card/ill_67963_kinokuniyabunzaemon03.jpg?201908-4-RELEASE-guildbattle-425", "■")</f>
        <v>■</v>
      </c>
      <c r="F329" s="1" t="s">
        <v>825</v>
      </c>
      <c r="G329" s="1">
        <v>104385</v>
      </c>
      <c r="H329" s="1">
        <v>75627</v>
      </c>
      <c r="I329" s="1">
        <v>23</v>
      </c>
      <c r="J329" s="1" t="s">
        <v>414</v>
      </c>
      <c r="K329" s="1" t="s">
        <v>826</v>
      </c>
      <c r="L329" s="1" t="s">
        <v>827</v>
      </c>
      <c r="M329" s="1" t="s">
        <v>9158</v>
      </c>
      <c r="N329" s="1" t="s">
        <v>9158</v>
      </c>
      <c r="O329" s="1" t="s">
        <v>9158</v>
      </c>
      <c r="P329" s="1" t="s">
        <v>9158</v>
      </c>
      <c r="Q329" s="1" t="s">
        <v>9158</v>
      </c>
    </row>
    <row r="330" spans="1:18">
      <c r="A330" s="1">
        <v>64883</v>
      </c>
      <c r="B330" s="1" t="s">
        <v>0</v>
      </c>
      <c r="C330" s="1" t="s">
        <v>47</v>
      </c>
      <c r="D330" s="19" t="s">
        <v>10272</v>
      </c>
      <c r="E330" s="15" t="str">
        <f>HYPERLINK("https://stat100.ameba.jp/tnk47/ratio20/illustrations/card/ill_64883_kasane03.jpg?201908-4-RELEASE-guildbattle-425", "■")</f>
        <v>■</v>
      </c>
      <c r="F330" s="1" t="s">
        <v>126</v>
      </c>
      <c r="G330" s="1">
        <v>85010</v>
      </c>
      <c r="H330" s="1">
        <v>117374</v>
      </c>
      <c r="I330" s="1">
        <v>23</v>
      </c>
      <c r="J330" s="1" t="s">
        <v>38</v>
      </c>
      <c r="K330" s="1" t="s">
        <v>127</v>
      </c>
      <c r="L330" s="1" t="s">
        <v>128</v>
      </c>
      <c r="M330" s="1" t="s">
        <v>9158</v>
      </c>
      <c r="N330" s="1" t="s">
        <v>9158</v>
      </c>
      <c r="O330" s="1" t="s">
        <v>9158</v>
      </c>
      <c r="P330" s="1" t="s">
        <v>9158</v>
      </c>
      <c r="Q330" s="1" t="s">
        <v>9158</v>
      </c>
    </row>
    <row r="331" spans="1:18">
      <c r="A331" s="1">
        <v>67953</v>
      </c>
      <c r="B331" s="1" t="s">
        <v>334</v>
      </c>
      <c r="C331" s="1" t="s">
        <v>154</v>
      </c>
      <c r="D331" s="19" t="s">
        <v>10202</v>
      </c>
      <c r="E331" s="15" t="str">
        <f>HYPERLINK("https://stat100.ameba.jp/tnk47/ratio20/illustrations/card/ill_67953_kutaniyaki03.jpg?201908-4-RELEASE-guildbattle-425", "■")</f>
        <v>■</v>
      </c>
      <c r="F331" s="1" t="s">
        <v>2487</v>
      </c>
      <c r="G331" s="1">
        <v>75627</v>
      </c>
      <c r="H331" s="1">
        <v>104385</v>
      </c>
      <c r="I331" s="1">
        <v>23</v>
      </c>
      <c r="J331" s="1" t="s">
        <v>26</v>
      </c>
      <c r="K331" s="1" t="s">
        <v>2488</v>
      </c>
      <c r="L331" s="1" t="s">
        <v>2489</v>
      </c>
      <c r="M331" s="1" t="s">
        <v>9158</v>
      </c>
      <c r="N331" s="1" t="s">
        <v>9158</v>
      </c>
      <c r="O331" s="19" t="s">
        <v>10074</v>
      </c>
      <c r="P331" s="1" t="s">
        <v>3592</v>
      </c>
      <c r="Q331" s="1">
        <v>1</v>
      </c>
    </row>
    <row r="332" spans="1:18">
      <c r="A332" s="1">
        <v>77683</v>
      </c>
      <c r="B332" s="1" t="s">
        <v>0</v>
      </c>
      <c r="C332" s="1" t="s">
        <v>203</v>
      </c>
      <c r="D332" s="19" t="s">
        <v>10220</v>
      </c>
      <c r="E332" s="15" t="str">
        <f>HYPERLINK("https://stat100.ameba.jp/tnk47/ratio20/illustrations/card/ill_77683_shukusainoujohoride03.jpg?201908-4-RELEASE-guildbattle-425", "■")</f>
        <v>■</v>
      </c>
      <c r="F332" s="1" t="s">
        <v>1430</v>
      </c>
      <c r="G332" s="1">
        <v>100519</v>
      </c>
      <c r="H332" s="1">
        <v>72819</v>
      </c>
      <c r="I332" s="1">
        <v>23</v>
      </c>
      <c r="J332" s="1" t="s">
        <v>315</v>
      </c>
      <c r="K332" s="1" t="s">
        <v>1431</v>
      </c>
      <c r="L332" s="1" t="s">
        <v>1432</v>
      </c>
      <c r="M332" s="1" t="s">
        <v>9158</v>
      </c>
      <c r="N332" s="1" t="s">
        <v>9158</v>
      </c>
      <c r="O332" s="19" t="s">
        <v>10090</v>
      </c>
      <c r="P332" s="1" t="s">
        <v>3460</v>
      </c>
      <c r="Q332" s="1">
        <v>1</v>
      </c>
    </row>
    <row r="334" spans="1:18">
      <c r="A334" s="1" t="s">
        <v>13326</v>
      </c>
    </row>
    <row r="335" spans="1:18">
      <c r="A335" s="1" t="s">
        <v>6341</v>
      </c>
    </row>
    <row r="336" spans="1:18">
      <c r="A336" s="1">
        <v>69293</v>
      </c>
      <c r="B336" s="1" t="s">
        <v>334</v>
      </c>
      <c r="C336" s="1" t="s">
        <v>185</v>
      </c>
      <c r="D336" s="19" t="s">
        <v>1155</v>
      </c>
      <c r="E336" s="15" t="str">
        <f>HYPERLINK("https://stat100.ameba.jp/tnk47/ratio20/illustrations/card/ill_69293_merukishiru03.jpg?201908-4-RELEASE-guildbattle-425", "■")</f>
        <v>■</v>
      </c>
      <c r="F336" s="1" t="s">
        <v>1156</v>
      </c>
      <c r="G336" s="1">
        <v>118152</v>
      </c>
      <c r="H336" s="1">
        <v>109852</v>
      </c>
      <c r="I336" s="1">
        <v>24</v>
      </c>
      <c r="J336" s="1" t="s">
        <v>414</v>
      </c>
      <c r="K336" s="1" t="s">
        <v>1170</v>
      </c>
      <c r="L336" s="1" t="s">
        <v>9902</v>
      </c>
      <c r="M336" s="1" t="s">
        <v>13151</v>
      </c>
      <c r="N336" s="1" t="s">
        <v>251</v>
      </c>
      <c r="O336" s="1" t="s">
        <v>9158</v>
      </c>
      <c r="P336" s="1" t="s">
        <v>9158</v>
      </c>
      <c r="Q336" s="1" t="s">
        <v>9158</v>
      </c>
      <c r="R336" s="14"/>
    </row>
    <row r="337" spans="1:18">
      <c r="A337" s="1">
        <v>69292</v>
      </c>
      <c r="B337" s="1" t="s">
        <v>334</v>
      </c>
      <c r="C337" s="1" t="s">
        <v>185</v>
      </c>
      <c r="D337" s="19" t="s">
        <v>1155</v>
      </c>
      <c r="E337" s="15" t="str">
        <f>HYPERLINK("https://stat100.ameba.jp/tnk47/ratio20/illustrations/card/ill_69292_merukishiru02.jpg?201908-4-RELEASE-guildbattle-425", "■")</f>
        <v>■</v>
      </c>
      <c r="F337" s="1" t="s">
        <v>1156</v>
      </c>
      <c r="G337" s="1">
        <v>98768</v>
      </c>
      <c r="H337" s="1">
        <v>90984</v>
      </c>
      <c r="I337" s="1">
        <v>24</v>
      </c>
      <c r="J337" s="1" t="s">
        <v>414</v>
      </c>
      <c r="K337" s="1" t="s">
        <v>1170</v>
      </c>
      <c r="L337" s="1" t="s">
        <v>9902</v>
      </c>
      <c r="M337" s="1" t="s">
        <v>13151</v>
      </c>
      <c r="N337" s="1" t="s">
        <v>251</v>
      </c>
      <c r="O337" s="1" t="s">
        <v>9158</v>
      </c>
      <c r="P337" s="1" t="s">
        <v>9158</v>
      </c>
      <c r="Q337" s="1" t="s">
        <v>9158</v>
      </c>
      <c r="R337" s="14"/>
    </row>
    <row r="338" spans="1:18">
      <c r="A338" s="1">
        <v>69291</v>
      </c>
      <c r="B338" s="1" t="s">
        <v>334</v>
      </c>
      <c r="C338" s="1" t="s">
        <v>185</v>
      </c>
      <c r="D338" s="19" t="s">
        <v>1155</v>
      </c>
      <c r="E338" s="15" t="str">
        <f>HYPERLINK("https://stat100.ameba.jp/tnk47/ratio20/illustrations/card/ill_69291_merukishiru01.jpg?201908-4-RELEASE-guildbattle-425", "■")</f>
        <v>■</v>
      </c>
      <c r="F338" s="1" t="s">
        <v>1156</v>
      </c>
      <c r="G338" s="1">
        <v>75408</v>
      </c>
      <c r="H338" s="1">
        <v>70200</v>
      </c>
      <c r="I338" s="1">
        <v>24</v>
      </c>
      <c r="J338" s="1" t="s">
        <v>414</v>
      </c>
      <c r="K338" s="1" t="s">
        <v>1170</v>
      </c>
      <c r="L338" s="1" t="s">
        <v>9902</v>
      </c>
      <c r="M338" s="1" t="s">
        <v>13151</v>
      </c>
      <c r="N338" s="1" t="s">
        <v>251</v>
      </c>
      <c r="O338" s="1" t="s">
        <v>9158</v>
      </c>
      <c r="P338" s="1" t="s">
        <v>9158</v>
      </c>
      <c r="Q338" s="1" t="s">
        <v>9158</v>
      </c>
      <c r="R338" s="14"/>
    </row>
    <row r="339" spans="1:18">
      <c r="A339" s="1">
        <v>69303</v>
      </c>
      <c r="B339" s="1" t="s">
        <v>334</v>
      </c>
      <c r="C339" s="1" t="s">
        <v>200</v>
      </c>
      <c r="D339" s="19" t="s">
        <v>1157</v>
      </c>
      <c r="E339" s="15" t="str">
        <f>HYPERLINK("https://stat100.ameba.jp/tnk47/ratio20/illustrations/card/ill_69303_torumushaito03.jpg?201908-4-RELEASE-guildbattle-425", "■")</f>
        <v>■</v>
      </c>
      <c r="F339" s="1" t="s">
        <v>1162</v>
      </c>
      <c r="G339" s="1">
        <v>118152</v>
      </c>
      <c r="H339" s="1">
        <v>109852</v>
      </c>
      <c r="I339" s="1">
        <v>24</v>
      </c>
      <c r="J339" s="1" t="s">
        <v>369</v>
      </c>
      <c r="K339" s="1" t="s">
        <v>1171</v>
      </c>
      <c r="L339" s="1" t="s">
        <v>9903</v>
      </c>
      <c r="M339" s="1" t="s">
        <v>13151</v>
      </c>
      <c r="N339" s="1" t="s">
        <v>251</v>
      </c>
      <c r="O339" s="1" t="s">
        <v>9158</v>
      </c>
      <c r="P339" s="1" t="s">
        <v>9158</v>
      </c>
      <c r="Q339" s="1" t="s">
        <v>9158</v>
      </c>
    </row>
    <row r="340" spans="1:18">
      <c r="A340" s="1">
        <v>69313</v>
      </c>
      <c r="B340" s="1" t="s">
        <v>334</v>
      </c>
      <c r="C340" s="1" t="s">
        <v>191</v>
      </c>
      <c r="D340" s="19" t="s">
        <v>1158</v>
      </c>
      <c r="E340" s="15" t="str">
        <f>HYPERLINK("https://stat100.ameba.jp/tnk47/ratio20/illustrations/card/ill_69313_teishutoriya03.jpg?201908-4-RELEASE-guildbattle-425", "■")</f>
        <v>■</v>
      </c>
      <c r="F340" s="1" t="s">
        <v>1163</v>
      </c>
      <c r="G340" s="1">
        <v>109852</v>
      </c>
      <c r="H340" s="1">
        <v>118152</v>
      </c>
      <c r="I340" s="1">
        <v>24</v>
      </c>
      <c r="J340" s="1" t="s">
        <v>401</v>
      </c>
      <c r="K340" s="1" t="s">
        <v>1172</v>
      </c>
      <c r="L340" s="1" t="s">
        <v>9904</v>
      </c>
      <c r="M340" s="1" t="s">
        <v>13151</v>
      </c>
      <c r="N340" s="1" t="s">
        <v>251</v>
      </c>
      <c r="O340" s="1" t="s">
        <v>9158</v>
      </c>
      <c r="P340" s="1" t="s">
        <v>9158</v>
      </c>
      <c r="Q340" s="1" t="s">
        <v>9158</v>
      </c>
    </row>
    <row r="341" spans="1:18">
      <c r="A341" s="1">
        <v>69323</v>
      </c>
      <c r="B341" s="1" t="s">
        <v>334</v>
      </c>
      <c r="C341" s="1" t="s">
        <v>165</v>
      </c>
      <c r="D341" s="19" t="s">
        <v>10257</v>
      </c>
      <c r="E341" s="15" t="str">
        <f>HYPERLINK("https://stat100.ameba.jp/tnk47/ratio20/illustrations/card/ill_69323_fujitsubonomiya03.jpg?201908-4-RELEASE-guildbattle-425", "■")</f>
        <v>■</v>
      </c>
      <c r="F341" s="1" t="s">
        <v>1164</v>
      </c>
      <c r="G341" s="1">
        <v>109852</v>
      </c>
      <c r="H341" s="1">
        <v>118152</v>
      </c>
      <c r="I341" s="1">
        <v>24</v>
      </c>
      <c r="J341" s="1" t="s">
        <v>1167</v>
      </c>
      <c r="K341" s="1" t="s">
        <v>1173</v>
      </c>
      <c r="L341" s="1" t="s">
        <v>9905</v>
      </c>
      <c r="M341" s="1" t="s">
        <v>13151</v>
      </c>
      <c r="N341" s="1" t="s">
        <v>251</v>
      </c>
      <c r="O341" s="1" t="s">
        <v>9158</v>
      </c>
      <c r="P341" s="1" t="s">
        <v>9158</v>
      </c>
      <c r="Q341" s="1" t="s">
        <v>9158</v>
      </c>
    </row>
    <row r="342" spans="1:18">
      <c r="A342" s="1">
        <v>69333</v>
      </c>
      <c r="B342" s="1" t="s">
        <v>334</v>
      </c>
      <c r="C342" s="1" t="s">
        <v>205</v>
      </c>
      <c r="D342" s="19" t="s">
        <v>1160</v>
      </c>
      <c r="E342" s="15" t="str">
        <f>HYPERLINK("https://stat100.ameba.jp/tnk47/ratio20/illustrations/card/ill_69333_mefuisutofueresu03.jpg?201908-4-RELEASE-guildbattle-425", "■")</f>
        <v>■</v>
      </c>
      <c r="F342" s="1" t="s">
        <v>1165</v>
      </c>
      <c r="G342" s="1">
        <v>118152</v>
      </c>
      <c r="H342" s="1">
        <v>109852</v>
      </c>
      <c r="I342" s="1">
        <v>24</v>
      </c>
      <c r="J342" s="1" t="s">
        <v>1168</v>
      </c>
      <c r="K342" s="1" t="s">
        <v>1174</v>
      </c>
      <c r="L342" s="1" t="s">
        <v>9906</v>
      </c>
      <c r="M342" s="1" t="s">
        <v>13151</v>
      </c>
      <c r="N342" s="1" t="s">
        <v>251</v>
      </c>
      <c r="O342" s="1" t="s">
        <v>9158</v>
      </c>
      <c r="P342" s="1" t="s">
        <v>9158</v>
      </c>
      <c r="Q342" s="1" t="s">
        <v>9158</v>
      </c>
    </row>
    <row r="343" spans="1:18">
      <c r="A343" s="1">
        <v>69343</v>
      </c>
      <c r="B343" s="1" t="s">
        <v>334</v>
      </c>
      <c r="C343" s="1" t="s">
        <v>206</v>
      </c>
      <c r="D343" s="19" t="s">
        <v>10258</v>
      </c>
      <c r="E343" s="15" t="str">
        <f>HYPERLINK("https://stat100.ameba.jp/tnk47/ratio20/illustrations/card/ill_69343_teikinnofuire03.jpg?201908-4-RELEASE-guildbattle-425", "■")</f>
        <v>■</v>
      </c>
      <c r="F343" s="1" t="s">
        <v>1166</v>
      </c>
      <c r="G343" s="1">
        <v>109852</v>
      </c>
      <c r="H343" s="1">
        <v>118152</v>
      </c>
      <c r="I343" s="1">
        <v>24</v>
      </c>
      <c r="J343" s="1" t="s">
        <v>1169</v>
      </c>
      <c r="K343" s="1" t="s">
        <v>1175</v>
      </c>
      <c r="L343" s="1" t="s">
        <v>9907</v>
      </c>
      <c r="M343" s="1" t="s">
        <v>13151</v>
      </c>
      <c r="N343" s="1" t="s">
        <v>251</v>
      </c>
      <c r="O343" s="1" t="s">
        <v>9158</v>
      </c>
      <c r="P343" s="1" t="s">
        <v>9158</v>
      </c>
      <c r="Q343" s="1" t="s">
        <v>9158</v>
      </c>
    </row>
    <row r="345" spans="1:18">
      <c r="A345" s="1" t="s">
        <v>6343</v>
      </c>
    </row>
    <row r="346" spans="1:18">
      <c r="A346" s="1" t="s">
        <v>6344</v>
      </c>
    </row>
    <row r="347" spans="1:18">
      <c r="A347" s="1">
        <v>80155</v>
      </c>
      <c r="B347" s="1" t="s">
        <v>6345</v>
      </c>
      <c r="C347" s="1" t="s">
        <v>6347</v>
      </c>
      <c r="D347" s="19" t="s">
        <v>10512</v>
      </c>
      <c r="E347" s="15" t="str">
        <f>HYPERLINK("https://stat100.ameba.jp/tnk47/ratio20/illustrations/card/ill_80155_asashinsukurutsuneyamagozen05.jpg?201908-4-RELEASE-guildbattle-425", "■")</f>
        <v>■</v>
      </c>
      <c r="F347" s="1" t="s">
        <v>6353</v>
      </c>
      <c r="G347" s="1">
        <v>85758</v>
      </c>
      <c r="H347" s="1">
        <v>118460</v>
      </c>
      <c r="I347" s="1">
        <v>24</v>
      </c>
      <c r="J347" s="1" t="s">
        <v>6354</v>
      </c>
      <c r="K347" s="1" t="s">
        <v>6356</v>
      </c>
      <c r="L347" s="1" t="s">
        <v>6355</v>
      </c>
      <c r="M347" s="1" t="s">
        <v>9158</v>
      </c>
      <c r="N347" s="1" t="s">
        <v>9158</v>
      </c>
      <c r="O347" s="1" t="s">
        <v>9158</v>
      </c>
      <c r="P347" s="1" t="s">
        <v>9158</v>
      </c>
      <c r="Q347" s="1" t="s">
        <v>9158</v>
      </c>
      <c r="R347" s="1" t="s">
        <v>6349</v>
      </c>
    </row>
    <row r="348" spans="1:18">
      <c r="A348" s="1">
        <v>80153</v>
      </c>
      <c r="B348" s="1" t="s">
        <v>6346</v>
      </c>
      <c r="C348" s="1" t="s">
        <v>6348</v>
      </c>
      <c r="D348" s="19" t="s">
        <v>10512</v>
      </c>
      <c r="E348" s="15" t="str">
        <f>HYPERLINK("https://stat100.ameba.jp/tnk47/ratio20/illustrations/card/ill_80153_asashinsukurutsuneyamagozen03.jpg?201908-4-RELEASE-guildbattle-425", "■")</f>
        <v>■</v>
      </c>
      <c r="F348" s="1" t="s">
        <v>6353</v>
      </c>
      <c r="G348" s="1">
        <v>63180</v>
      </c>
      <c r="H348" s="1">
        <v>87270</v>
      </c>
      <c r="I348" s="1">
        <v>24</v>
      </c>
      <c r="J348" s="1" t="s">
        <v>6354</v>
      </c>
      <c r="K348" s="1" t="s">
        <v>6356</v>
      </c>
      <c r="L348" s="1" t="s">
        <v>6357</v>
      </c>
      <c r="M348" s="1" t="s">
        <v>9158</v>
      </c>
      <c r="N348" s="1" t="s">
        <v>9158</v>
      </c>
      <c r="O348" s="1" t="s">
        <v>9158</v>
      </c>
      <c r="P348" s="1" t="s">
        <v>9158</v>
      </c>
      <c r="Q348" s="1" t="s">
        <v>9158</v>
      </c>
      <c r="R348" s="1" t="s">
        <v>6350</v>
      </c>
    </row>
    <row r="349" spans="1:18">
      <c r="A349" s="1">
        <v>80151</v>
      </c>
      <c r="B349" s="1" t="s">
        <v>6346</v>
      </c>
      <c r="C349" s="1" t="s">
        <v>6348</v>
      </c>
      <c r="D349" s="19" t="s">
        <v>10512</v>
      </c>
      <c r="E349" s="15" t="str">
        <f>HYPERLINK("https://stat100.ameba.jp/tnk47/ratio20/illustrations/card/ill_80151_asashinsukurutsuneyamagozen01.jpg?201908-4-RELEASE-guildbattle-425", "■")</f>
        <v>■</v>
      </c>
      <c r="F349" s="1" t="s">
        <v>6353</v>
      </c>
      <c r="G349" s="1">
        <v>40176</v>
      </c>
      <c r="H349" s="1">
        <v>55512</v>
      </c>
      <c r="I349" s="1">
        <v>24</v>
      </c>
      <c r="J349" s="1" t="s">
        <v>6354</v>
      </c>
      <c r="K349" s="1" t="s">
        <v>6356</v>
      </c>
      <c r="L349" s="1" t="s">
        <v>6358</v>
      </c>
      <c r="M349" s="1" t="s">
        <v>9158</v>
      </c>
      <c r="N349" s="1" t="s">
        <v>9158</v>
      </c>
      <c r="O349" s="1" t="s">
        <v>9158</v>
      </c>
      <c r="P349" s="1" t="s">
        <v>9158</v>
      </c>
      <c r="Q349" s="1" t="s">
        <v>9158</v>
      </c>
      <c r="R349" s="1" t="s">
        <v>6351</v>
      </c>
    </row>
    <row r="350" spans="1:18">
      <c r="A350" s="1">
        <v>78075</v>
      </c>
      <c r="B350" s="1" t="s">
        <v>6345</v>
      </c>
      <c r="C350" s="1" t="s">
        <v>6347</v>
      </c>
      <c r="D350" s="19" t="s">
        <v>10513</v>
      </c>
      <c r="E350" s="15" t="str">
        <f>HYPERLINK("https://stat100.ameba.jp/tnk47/ratio20/illustrations/card/ill_78075_ryoribatorukanomitamanokami05.jpg?201908-4-RELEASE-guildbattle-425", "■")</f>
        <v>■</v>
      </c>
      <c r="F350" s="1" t="s">
        <v>6362</v>
      </c>
      <c r="G350" s="1">
        <v>100444</v>
      </c>
      <c r="H350" s="1">
        <v>138746</v>
      </c>
      <c r="I350" s="1">
        <v>24</v>
      </c>
      <c r="J350" s="1" t="s">
        <v>6361</v>
      </c>
      <c r="K350" s="1" t="s">
        <v>6360</v>
      </c>
      <c r="L350" s="1" t="s">
        <v>6359</v>
      </c>
      <c r="M350" s="1" t="s">
        <v>9158</v>
      </c>
      <c r="N350" s="1" t="s">
        <v>9158</v>
      </c>
      <c r="O350" s="1" t="s">
        <v>9158</v>
      </c>
      <c r="P350" s="1" t="s">
        <v>9158</v>
      </c>
      <c r="Q350" s="1" t="s">
        <v>9158</v>
      </c>
      <c r="R350" s="1" t="s">
        <v>6349</v>
      </c>
    </row>
    <row r="351" spans="1:18">
      <c r="A351" s="1">
        <v>78073</v>
      </c>
      <c r="B351" s="1" t="s">
        <v>6346</v>
      </c>
      <c r="C351" s="1" t="s">
        <v>6348</v>
      </c>
      <c r="D351" s="19" t="s">
        <v>10513</v>
      </c>
      <c r="E351" s="15" t="str">
        <f>HYPERLINK("https://stat100.ameba.jp/tnk47/ratio20/illustrations/card/ill_78073_ryoribatorukanomitamanokami03.jpg?201908-4-RELEASE-guildbattle-425", "■")</f>
        <v>■</v>
      </c>
      <c r="F351" s="1" t="s">
        <v>6362</v>
      </c>
      <c r="G351" s="1">
        <v>72594</v>
      </c>
      <c r="H351" s="1">
        <v>100254</v>
      </c>
      <c r="I351" s="1">
        <v>24</v>
      </c>
      <c r="J351" s="1" t="s">
        <v>6361</v>
      </c>
      <c r="K351" s="1" t="s">
        <v>6360</v>
      </c>
      <c r="L351" s="1" t="s">
        <v>6363</v>
      </c>
      <c r="M351" s="1" t="s">
        <v>9158</v>
      </c>
      <c r="N351" s="1" t="s">
        <v>9158</v>
      </c>
      <c r="O351" s="1" t="s">
        <v>9158</v>
      </c>
      <c r="P351" s="1" t="s">
        <v>9158</v>
      </c>
      <c r="Q351" s="1" t="s">
        <v>9158</v>
      </c>
      <c r="R351" s="1" t="s">
        <v>6350</v>
      </c>
    </row>
    <row r="352" spans="1:18">
      <c r="A352" s="1">
        <v>78071</v>
      </c>
      <c r="B352" s="1" t="s">
        <v>6346</v>
      </c>
      <c r="C352" s="1" t="s">
        <v>6348</v>
      </c>
      <c r="D352" s="19" t="s">
        <v>10513</v>
      </c>
      <c r="E352" s="15" t="str">
        <f>HYPERLINK("https://stat100.ameba.jp/tnk47/ratio20/illustrations/card/ill_78071_ryoribatorukanomitamanokami01.jpg?201908-4-RELEASE-guildbattle-425", "■")</f>
        <v>■</v>
      </c>
      <c r="F352" s="1" t="s">
        <v>6362</v>
      </c>
      <c r="G352" s="1">
        <v>42096</v>
      </c>
      <c r="H352" s="1">
        <v>58152</v>
      </c>
      <c r="I352" s="1">
        <v>24</v>
      </c>
      <c r="J352" s="1" t="s">
        <v>6361</v>
      </c>
      <c r="K352" s="1" t="s">
        <v>6360</v>
      </c>
      <c r="L352" s="1" t="s">
        <v>6364</v>
      </c>
      <c r="M352" s="1" t="s">
        <v>9158</v>
      </c>
      <c r="N352" s="1" t="s">
        <v>9158</v>
      </c>
      <c r="O352" s="1" t="s">
        <v>9158</v>
      </c>
      <c r="P352" s="1" t="s">
        <v>9158</v>
      </c>
      <c r="Q352" s="1" t="s">
        <v>9158</v>
      </c>
      <c r="R352" s="1" t="s">
        <v>6351</v>
      </c>
    </row>
    <row r="353" spans="1:18">
      <c r="A353" s="1">
        <v>73855</v>
      </c>
      <c r="B353" s="1" t="s">
        <v>6345</v>
      </c>
      <c r="C353" s="1" t="s">
        <v>6347</v>
      </c>
      <c r="D353" s="19" t="s">
        <v>1476</v>
      </c>
      <c r="E353" s="15" t="str">
        <f>HYPERLINK("https://stat100.ameba.jp/tnk47/ratio20/illustrations/card/ill_73855_hirayamanarinobu05.jpg?201908-4-RELEASE-guildbattle-425", "■")</f>
        <v>■</v>
      </c>
      <c r="F353" s="1" t="s">
        <v>6368</v>
      </c>
      <c r="G353" s="1">
        <v>171746</v>
      </c>
      <c r="H353" s="1">
        <v>124356</v>
      </c>
      <c r="I353" s="1">
        <v>24</v>
      </c>
      <c r="J353" s="1" t="s">
        <v>6367</v>
      </c>
      <c r="K353" s="1" t="s">
        <v>6366</v>
      </c>
      <c r="L353" s="1" t="s">
        <v>6365</v>
      </c>
      <c r="M353" s="1" t="s">
        <v>9158</v>
      </c>
      <c r="N353" s="1" t="s">
        <v>9158</v>
      </c>
      <c r="O353" s="1" t="s">
        <v>9158</v>
      </c>
      <c r="P353" s="1" t="s">
        <v>9158</v>
      </c>
      <c r="Q353" s="1" t="s">
        <v>9158</v>
      </c>
      <c r="R353" s="1" t="s">
        <v>6349</v>
      </c>
    </row>
    <row r="354" spans="1:18">
      <c r="A354" s="1">
        <v>73853</v>
      </c>
      <c r="B354" s="1" t="s">
        <v>6346</v>
      </c>
      <c r="C354" s="1" t="s">
        <v>6352</v>
      </c>
      <c r="D354" s="19" t="s">
        <v>1476</v>
      </c>
      <c r="E354" s="15" t="str">
        <f>HYPERLINK("https://stat100.ameba.jp/tnk47/ratio20/illustrations/card/ill_73853_hirayamanarinobu03.jpg?201908-4-RELEASE-guildbattle-425", "■")</f>
        <v>■</v>
      </c>
      <c r="F354" s="1" t="s">
        <v>6368</v>
      </c>
      <c r="G354" s="1">
        <v>126540</v>
      </c>
      <c r="H354" s="1">
        <v>91620</v>
      </c>
      <c r="I354" s="1">
        <v>24</v>
      </c>
      <c r="J354" s="1" t="s">
        <v>6367</v>
      </c>
      <c r="K354" s="1" t="s">
        <v>6366</v>
      </c>
      <c r="L354" s="1" t="s">
        <v>6369</v>
      </c>
      <c r="M354" s="1" t="s">
        <v>9158</v>
      </c>
      <c r="N354" s="1" t="s">
        <v>9158</v>
      </c>
      <c r="O354" s="1" t="s">
        <v>9158</v>
      </c>
      <c r="P354" s="1" t="s">
        <v>9158</v>
      </c>
      <c r="Q354" s="1" t="s">
        <v>9158</v>
      </c>
      <c r="R354" s="1" t="s">
        <v>6350</v>
      </c>
    </row>
    <row r="355" spans="1:18">
      <c r="A355" s="1">
        <v>73851</v>
      </c>
      <c r="B355" s="1" t="s">
        <v>6346</v>
      </c>
      <c r="C355" s="1" t="s">
        <v>6352</v>
      </c>
      <c r="D355" s="19" t="s">
        <v>1476</v>
      </c>
      <c r="E355" s="15" t="str">
        <f>HYPERLINK("https://stat100.ameba.jp/tnk47/ratio20/illustrations/card/ill_73851_hirayamanarinobu01.jpg?201908-4-RELEASE-guildbattle-425", "■")</f>
        <v>■</v>
      </c>
      <c r="F355" s="1" t="s">
        <v>6368</v>
      </c>
      <c r="G355" s="1">
        <v>80496</v>
      </c>
      <c r="H355" s="1">
        <v>58296</v>
      </c>
      <c r="I355" s="1">
        <v>24</v>
      </c>
      <c r="J355" s="1" t="s">
        <v>6367</v>
      </c>
      <c r="K355" s="1" t="s">
        <v>6366</v>
      </c>
      <c r="L355" s="1" t="s">
        <v>6370</v>
      </c>
      <c r="M355" s="1" t="s">
        <v>9158</v>
      </c>
      <c r="N355" s="1" t="s">
        <v>9158</v>
      </c>
      <c r="O355" s="1" t="s">
        <v>9158</v>
      </c>
      <c r="P355" s="1" t="s">
        <v>9158</v>
      </c>
      <c r="Q355" s="1" t="s">
        <v>9158</v>
      </c>
      <c r="R355" s="1" t="s">
        <v>6351</v>
      </c>
    </row>
    <row r="357" spans="1:18">
      <c r="A357" s="1" t="s">
        <v>6371</v>
      </c>
    </row>
    <row r="358" spans="1:18">
      <c r="A358" s="1" t="s">
        <v>6372</v>
      </c>
    </row>
    <row r="359" spans="1:18">
      <c r="A359" s="1" t="s">
        <v>5901</v>
      </c>
      <c r="B359" s="1" t="s">
        <v>52</v>
      </c>
      <c r="C359" s="1" t="s">
        <v>101</v>
      </c>
      <c r="D359" s="19" t="s">
        <v>1426</v>
      </c>
      <c r="E359" s="15" t="str">
        <f>HYPERLINK("https://stat100.ameba.jp/tnk47/ratio20/illustrations/card/ill_64953_0_yukatatokugawayoshinobu03.jpg?201908-4-RELEASE-guildbattle-425", "■")</f>
        <v>■</v>
      </c>
      <c r="F359" s="1" t="s">
        <v>2090</v>
      </c>
      <c r="G359" s="1">
        <v>93450</v>
      </c>
      <c r="H359" s="1">
        <v>100502</v>
      </c>
      <c r="I359" s="1">
        <v>15</v>
      </c>
      <c r="J359" s="1" t="s">
        <v>10</v>
      </c>
      <c r="K359" s="1" t="s">
        <v>2091</v>
      </c>
      <c r="L359" s="1" t="s">
        <v>2092</v>
      </c>
      <c r="M359" s="1" t="s">
        <v>9158</v>
      </c>
      <c r="N359" s="1" t="s">
        <v>9158</v>
      </c>
      <c r="O359" s="19" t="s">
        <v>2889</v>
      </c>
      <c r="P359" s="1" t="s">
        <v>2890</v>
      </c>
      <c r="Q359" s="1">
        <v>1</v>
      </c>
    </row>
    <row r="360" spans="1:18">
      <c r="A360" s="1" t="s">
        <v>5778</v>
      </c>
      <c r="B360" s="1" t="s">
        <v>330</v>
      </c>
      <c r="C360" s="1" t="s">
        <v>205</v>
      </c>
      <c r="D360" s="19" t="s">
        <v>272</v>
      </c>
      <c r="E360" s="15" t="str">
        <f>HYPERLINK("https://stat100.ameba.jp/tnk47/ratio20/illustrations/card/ill_68783_0_gantammomotaro03.jpg?201908-4-RELEASE-guildbattle-425", "■")</f>
        <v>■</v>
      </c>
      <c r="F360" s="1" t="s">
        <v>273</v>
      </c>
      <c r="G360" s="1">
        <v>102590</v>
      </c>
      <c r="H360" s="1">
        <v>95371</v>
      </c>
      <c r="I360" s="1">
        <v>15</v>
      </c>
      <c r="J360" s="1" t="s">
        <v>274</v>
      </c>
      <c r="K360" s="1" t="s">
        <v>275</v>
      </c>
      <c r="L360" s="1" t="s">
        <v>276</v>
      </c>
      <c r="M360" s="1" t="s">
        <v>9158</v>
      </c>
      <c r="N360" s="1" t="s">
        <v>9158</v>
      </c>
      <c r="O360" s="19" t="s">
        <v>10099</v>
      </c>
      <c r="P360" s="1" t="s">
        <v>3085</v>
      </c>
      <c r="Q360" s="1">
        <v>1</v>
      </c>
    </row>
    <row r="361" spans="1:18">
      <c r="A361" s="1" t="s">
        <v>6373</v>
      </c>
      <c r="B361" s="1" t="s">
        <v>330</v>
      </c>
      <c r="C361" s="1" t="s">
        <v>200</v>
      </c>
      <c r="D361" s="19" t="s">
        <v>277</v>
      </c>
      <c r="E361" s="15" t="str">
        <f>HYPERLINK("https://stat100.ameba.jp/tnk47/ratio20/illustrations/card/ill_40913_0_reigyokudensetsufusehime03.jpg?201908-4-RELEASE-guildbattle-425", "■")</f>
        <v>■</v>
      </c>
      <c r="F361" s="1" t="s">
        <v>278</v>
      </c>
      <c r="G361" s="1">
        <v>82212</v>
      </c>
      <c r="H361" s="1">
        <v>87780</v>
      </c>
      <c r="I361" s="1">
        <v>15</v>
      </c>
      <c r="J361" s="1" t="s">
        <v>274</v>
      </c>
      <c r="K361" s="1" t="s">
        <v>279</v>
      </c>
      <c r="L361" s="1" t="s">
        <v>280</v>
      </c>
      <c r="M361" s="1" t="s">
        <v>9158</v>
      </c>
      <c r="N361" s="1" t="s">
        <v>9158</v>
      </c>
      <c r="O361" s="1" t="s">
        <v>9158</v>
      </c>
      <c r="P361" s="1" t="s">
        <v>9158</v>
      </c>
      <c r="Q361" s="1" t="s">
        <v>9158</v>
      </c>
    </row>
    <row r="362" spans="1:18">
      <c r="A362" s="1">
        <v>77753</v>
      </c>
      <c r="B362" s="1" t="s">
        <v>334</v>
      </c>
      <c r="C362" s="1" t="s">
        <v>203</v>
      </c>
      <c r="D362" s="19" t="s">
        <v>1515</v>
      </c>
      <c r="E362" s="15" t="str">
        <f>HYPERLINK("https://stat100.ameba.jp/tnk47/ratio20/illustrations/card/ill_77753_sekiennotorisu03.jpg?201908-4-RELEASE-guildbattle-425", "■")</f>
        <v>■</v>
      </c>
      <c r="F362" s="1" t="s">
        <v>995</v>
      </c>
      <c r="G362" s="1">
        <v>176200</v>
      </c>
      <c r="H362" s="1">
        <v>99132</v>
      </c>
      <c r="I362" s="1">
        <v>24</v>
      </c>
      <c r="J362" s="1" t="s">
        <v>143</v>
      </c>
      <c r="K362" s="1" t="s">
        <v>996</v>
      </c>
      <c r="L362" s="1" t="s">
        <v>145</v>
      </c>
      <c r="M362" s="1" t="s">
        <v>9158</v>
      </c>
      <c r="N362" s="1" t="s">
        <v>9158</v>
      </c>
      <c r="O362" s="1" t="s">
        <v>9158</v>
      </c>
      <c r="P362" s="1" t="s">
        <v>9158</v>
      </c>
      <c r="Q362" s="1" t="s">
        <v>9158</v>
      </c>
    </row>
    <row r="363" spans="1:18">
      <c r="A363" s="1">
        <v>76873</v>
      </c>
      <c r="B363" s="1" t="s">
        <v>0</v>
      </c>
      <c r="C363" s="1" t="s">
        <v>154</v>
      </c>
      <c r="D363" s="19" t="s">
        <v>10195</v>
      </c>
      <c r="E363" s="15" t="str">
        <f>HYPERLINK("https://stat100.ameba.jp/tnk47/ratio20/illustrations/card/ill_76873_torerokamomiro03.jpg?201908-4-RELEASE-guildbattle-425", "■")</f>
        <v>■</v>
      </c>
      <c r="F363" s="1" t="s">
        <v>1940</v>
      </c>
      <c r="G363" s="1">
        <v>176200</v>
      </c>
      <c r="H363" s="1">
        <v>99132</v>
      </c>
      <c r="I363" s="1">
        <v>24</v>
      </c>
      <c r="J363" s="1" t="s">
        <v>10</v>
      </c>
      <c r="K363" s="1" t="s">
        <v>1941</v>
      </c>
      <c r="L363" s="1" t="s">
        <v>1942</v>
      </c>
      <c r="M363" s="1" t="s">
        <v>9158</v>
      </c>
      <c r="N363" s="1" t="s">
        <v>9158</v>
      </c>
      <c r="O363" s="1" t="s">
        <v>9158</v>
      </c>
      <c r="P363" s="1" t="s">
        <v>9158</v>
      </c>
      <c r="Q363" s="1" t="s">
        <v>9158</v>
      </c>
    </row>
    <row r="364" spans="1:18">
      <c r="A364" s="1">
        <v>79823</v>
      </c>
      <c r="B364" s="1" t="s">
        <v>334</v>
      </c>
      <c r="C364" s="1" t="s">
        <v>158</v>
      </c>
      <c r="D364" s="19" t="s">
        <v>2894</v>
      </c>
      <c r="E364" s="15" t="str">
        <f>HYPERLINK("https://stat100.ameba.jp/tnk47/ratio20/illustrations/card/ill_79823_agehamishieru03.jpg?201908-4-RELEASE-guildbattle-425", "■")</f>
        <v>■</v>
      </c>
      <c r="F364" s="1" t="s">
        <v>2895</v>
      </c>
      <c r="G364" s="1">
        <v>99132</v>
      </c>
      <c r="H364" s="1">
        <v>176200</v>
      </c>
      <c r="I364" s="1">
        <v>24</v>
      </c>
      <c r="J364" s="1" t="s">
        <v>414</v>
      </c>
      <c r="K364" s="1" t="s">
        <v>2896</v>
      </c>
      <c r="L364" s="1" t="s">
        <v>2897</v>
      </c>
      <c r="M364" s="1" t="s">
        <v>9158</v>
      </c>
      <c r="N364" s="1" t="s">
        <v>9158</v>
      </c>
      <c r="O364" s="1" t="s">
        <v>9158</v>
      </c>
      <c r="P364" s="1" t="s">
        <v>9158</v>
      </c>
      <c r="Q364" s="1" t="s">
        <v>9158</v>
      </c>
    </row>
    <row r="365" spans="1:18">
      <c r="A365" s="1">
        <v>62213</v>
      </c>
      <c r="B365" s="1" t="s">
        <v>15</v>
      </c>
      <c r="C365" s="1" t="s">
        <v>6378</v>
      </c>
      <c r="D365" s="19" t="s">
        <v>10514</v>
      </c>
      <c r="E365" s="15" t="str">
        <f>HYPERLINK("https://stat100.ameba.jp/tnk47/ratio20/illustrations/card/ill_62213_teikyoin03.jpg?201908-4-RELEASE-guildbattle-425", "■")</f>
        <v>■</v>
      </c>
      <c r="F365" s="1" t="s">
        <v>6379</v>
      </c>
      <c r="G365" s="1">
        <v>68172</v>
      </c>
      <c r="H365" s="1">
        <v>61832</v>
      </c>
      <c r="I365" s="1">
        <v>23</v>
      </c>
      <c r="J365" s="1" t="s">
        <v>6380</v>
      </c>
      <c r="K365" s="1" t="s">
        <v>6382</v>
      </c>
      <c r="L365" s="1" t="s">
        <v>6381</v>
      </c>
      <c r="M365" s="1" t="s">
        <v>9158</v>
      </c>
      <c r="N365" s="1" t="s">
        <v>9158</v>
      </c>
      <c r="O365" s="1" t="s">
        <v>9158</v>
      </c>
      <c r="P365" s="1" t="s">
        <v>9158</v>
      </c>
      <c r="Q365" s="1" t="s">
        <v>9158</v>
      </c>
    </row>
    <row r="366" spans="1:18">
      <c r="A366" s="1">
        <v>65103</v>
      </c>
      <c r="B366" s="1" t="s">
        <v>15</v>
      </c>
      <c r="C366" s="1" t="s">
        <v>185</v>
      </c>
      <c r="D366" s="19" t="s">
        <v>10282</v>
      </c>
      <c r="E366" s="15" t="str">
        <f>HYPERLINK("https://stat100.ameba.jp/tnk47/ratio20/illustrations/card/ill_65103_kyusukumizutsuraraonna03.jpg?201908-4-RELEASE-guildbattle-425", "■")</f>
        <v>■</v>
      </c>
      <c r="F366" s="1" t="s">
        <v>2457</v>
      </c>
      <c r="G366" s="1">
        <v>61832</v>
      </c>
      <c r="H366" s="1">
        <v>68172</v>
      </c>
      <c r="I366" s="1">
        <v>23</v>
      </c>
      <c r="J366" s="1" t="s">
        <v>73</v>
      </c>
      <c r="K366" s="1" t="s">
        <v>2458</v>
      </c>
      <c r="L366" s="1" t="s">
        <v>1706</v>
      </c>
      <c r="M366" s="1" t="s">
        <v>9158</v>
      </c>
      <c r="N366" s="1" t="s">
        <v>9158</v>
      </c>
      <c r="O366" s="1" t="s">
        <v>9158</v>
      </c>
      <c r="P366" s="1" t="s">
        <v>9158</v>
      </c>
      <c r="Q366" s="1" t="s">
        <v>9158</v>
      </c>
    </row>
    <row r="367" spans="1:18">
      <c r="A367" s="1">
        <v>60013</v>
      </c>
      <c r="B367" s="1" t="s">
        <v>15</v>
      </c>
      <c r="C367" s="1" t="s">
        <v>6374</v>
      </c>
      <c r="D367" s="19" t="s">
        <v>10515</v>
      </c>
      <c r="E367" s="15" t="str">
        <f>HYPERLINK("https://stat100.ameba.jp/tnk47/ratio20/illustrations/card/ill_60013_hantaraikirimaru03.jpg?201908-4-RELEASE-guildbattle-425", "■")</f>
        <v>■</v>
      </c>
      <c r="F367" s="1" t="s">
        <v>6377</v>
      </c>
      <c r="G367" s="1">
        <v>68172</v>
      </c>
      <c r="H367" s="1">
        <v>61832</v>
      </c>
      <c r="I367" s="1">
        <v>23</v>
      </c>
      <c r="J367" s="1" t="s">
        <v>6361</v>
      </c>
      <c r="K367" s="1" t="s">
        <v>6376</v>
      </c>
      <c r="L367" s="1" t="s">
        <v>6375</v>
      </c>
      <c r="M367" s="1" t="s">
        <v>9158</v>
      </c>
      <c r="N367" s="1" t="s">
        <v>9158</v>
      </c>
      <c r="O367" s="1" t="s">
        <v>9158</v>
      </c>
      <c r="P367" s="1" t="s">
        <v>9158</v>
      </c>
      <c r="Q367" s="1" t="s">
        <v>9158</v>
      </c>
    </row>
    <row r="369" spans="1:19">
      <c r="A369" s="1" t="s">
        <v>6383</v>
      </c>
    </row>
    <row r="370" spans="1:19">
      <c r="A370" s="1" t="s">
        <v>6384</v>
      </c>
    </row>
    <row r="371" spans="1:19">
      <c r="A371" s="1" t="s">
        <v>6385</v>
      </c>
      <c r="B371" s="1" t="s">
        <v>330</v>
      </c>
      <c r="C371" s="1" t="s">
        <v>185</v>
      </c>
      <c r="D371" s="19" t="s">
        <v>3195</v>
      </c>
      <c r="E371" s="15" t="str">
        <f>HYPERLINK("https://stat100.ameba.jp/tnk47/ratio20/illustrations/card/ill_75393_0_resukuinotsukisamaniittausagi03.jpg?201908-4-RELEASE-guildbattle-425", "■")</f>
        <v>■</v>
      </c>
      <c r="F371" s="1" t="s">
        <v>3248</v>
      </c>
      <c r="G371" s="1">
        <v>239198</v>
      </c>
      <c r="H371" s="1">
        <v>222390</v>
      </c>
      <c r="I371" s="1">
        <v>21</v>
      </c>
      <c r="J371" s="1" t="s">
        <v>26</v>
      </c>
      <c r="K371" s="1" t="s">
        <v>3249</v>
      </c>
      <c r="L371" s="1" t="s">
        <v>3250</v>
      </c>
      <c r="M371" s="1" t="s">
        <v>9158</v>
      </c>
      <c r="N371" s="1" t="s">
        <v>9158</v>
      </c>
      <c r="O371" s="19" t="s">
        <v>10101</v>
      </c>
      <c r="P371" s="1" t="s">
        <v>3251</v>
      </c>
      <c r="Q371" s="1">
        <v>2</v>
      </c>
    </row>
    <row r="372" spans="1:19">
      <c r="A372" s="1">
        <v>75333</v>
      </c>
      <c r="B372" s="1" t="s">
        <v>334</v>
      </c>
      <c r="C372" s="1" t="s">
        <v>200</v>
      </c>
      <c r="D372" s="19" t="s">
        <v>3206</v>
      </c>
      <c r="E372" s="15" t="str">
        <f>HYPERLINK("https://stat100.ameba.jp/tnk47/ratio20/illustrations/card/ill_75333_resukuintamamonomae03.jpg?201908-4-RELEASE-guildbattle-425", "■")</f>
        <v>■</v>
      </c>
      <c r="F372" s="1" t="s">
        <v>3207</v>
      </c>
      <c r="G372" s="1">
        <v>89121</v>
      </c>
      <c r="H372" s="1">
        <v>95830</v>
      </c>
      <c r="I372" s="1">
        <v>23</v>
      </c>
      <c r="J372" s="1" t="s">
        <v>320</v>
      </c>
      <c r="K372" s="1" t="s">
        <v>3208</v>
      </c>
      <c r="L372" s="1" t="s">
        <v>3209</v>
      </c>
      <c r="M372" s="1" t="s">
        <v>9158</v>
      </c>
      <c r="N372" s="1" t="s">
        <v>9158</v>
      </c>
      <c r="O372" s="19" t="s">
        <v>10074</v>
      </c>
      <c r="P372" s="1" t="s">
        <v>2822</v>
      </c>
      <c r="Q372" s="1">
        <v>1</v>
      </c>
    </row>
    <row r="373" spans="1:19">
      <c r="A373" s="1">
        <v>66353</v>
      </c>
      <c r="B373" s="1" t="s">
        <v>0</v>
      </c>
      <c r="C373" s="1" t="s">
        <v>41</v>
      </c>
      <c r="D373" s="19" t="s">
        <v>440</v>
      </c>
      <c r="E373" s="15" t="str">
        <f>HYPERLINK("https://stat100.ameba.jp/tnk47/ratio20/illustrations/card/ill_66353_kajiwaranyudotoan03.jpg?201908-4-RELEASE-guildbattle-425", "■")</f>
        <v>■</v>
      </c>
      <c r="F373" s="1" t="s">
        <v>142</v>
      </c>
      <c r="G373" s="1">
        <v>153022</v>
      </c>
      <c r="H373" s="1">
        <v>110837</v>
      </c>
      <c r="I373" s="1">
        <v>23</v>
      </c>
      <c r="J373" s="1" t="s">
        <v>143</v>
      </c>
      <c r="K373" s="1" t="s">
        <v>144</v>
      </c>
      <c r="L373" s="1" t="s">
        <v>145</v>
      </c>
      <c r="M373" s="1" t="s">
        <v>9158</v>
      </c>
      <c r="N373" s="1" t="s">
        <v>9158</v>
      </c>
      <c r="O373" s="19" t="s">
        <v>10102</v>
      </c>
      <c r="P373" s="1" t="s">
        <v>3672</v>
      </c>
      <c r="Q373" s="1">
        <v>1</v>
      </c>
    </row>
    <row r="374" spans="1:19">
      <c r="A374" s="1">
        <v>73093</v>
      </c>
      <c r="B374" s="1" t="s">
        <v>334</v>
      </c>
      <c r="C374" s="1" t="s">
        <v>209</v>
      </c>
      <c r="D374" s="19" t="s">
        <v>433</v>
      </c>
      <c r="E374" s="15" t="str">
        <f>HYPERLINK("https://stat100.ameba.jp/tnk47/ratio20/illustrations/card/ill_73093_aisukurinchan03.jpg?201908-4-RELEASE-guildbattle-425", "■")</f>
        <v>■</v>
      </c>
      <c r="F374" s="1" t="s">
        <v>1027</v>
      </c>
      <c r="G374" s="1">
        <v>153022</v>
      </c>
      <c r="H374" s="1">
        <v>110837</v>
      </c>
      <c r="I374" s="1">
        <v>23</v>
      </c>
      <c r="J374" s="1" t="s">
        <v>104</v>
      </c>
      <c r="K374" s="1" t="s">
        <v>1028</v>
      </c>
      <c r="L374" s="1" t="s">
        <v>1029</v>
      </c>
      <c r="M374" s="1" t="s">
        <v>9158</v>
      </c>
      <c r="N374" s="1" t="s">
        <v>9158</v>
      </c>
      <c r="O374" s="19" t="s">
        <v>2741</v>
      </c>
      <c r="P374" s="1" t="s">
        <v>2742</v>
      </c>
      <c r="Q374" s="1">
        <v>1</v>
      </c>
    </row>
    <row r="376" spans="1:19">
      <c r="A376" s="1" t="s">
        <v>6386</v>
      </c>
    </row>
    <row r="377" spans="1:19">
      <c r="A377" s="1" t="s">
        <v>6387</v>
      </c>
    </row>
    <row r="378" spans="1:19">
      <c r="A378" s="1" t="s">
        <v>6195</v>
      </c>
      <c r="B378" s="1" t="s">
        <v>52</v>
      </c>
      <c r="C378" s="1" t="s">
        <v>191</v>
      </c>
      <c r="D378" s="19" t="s">
        <v>10217</v>
      </c>
      <c r="E378" s="15" t="str">
        <f>HYPERLINK("https://stat100.ameba.jp/tnk47/ratio20/illustrations/card/ill_56493_0_poppukurisumasuikomakitsuno03.jpg?201908-4-RELEASE-guildbattle-425", "■")</f>
        <v>■</v>
      </c>
      <c r="F378" s="1" t="s">
        <v>1769</v>
      </c>
      <c r="G378" s="1">
        <v>94236</v>
      </c>
      <c r="H378" s="1">
        <v>83712</v>
      </c>
      <c r="I378" s="1">
        <v>15</v>
      </c>
      <c r="J378" s="1" t="s">
        <v>77</v>
      </c>
      <c r="K378" s="1" t="s">
        <v>1770</v>
      </c>
      <c r="L378" s="1" t="s">
        <v>1771</v>
      </c>
      <c r="M378" s="1" t="s">
        <v>9158</v>
      </c>
      <c r="N378" s="1" t="s">
        <v>9158</v>
      </c>
      <c r="O378" s="19" t="s">
        <v>10120</v>
      </c>
      <c r="P378" s="1" t="s">
        <v>2724</v>
      </c>
      <c r="Q378" s="1">
        <v>1</v>
      </c>
    </row>
    <row r="379" spans="1:19">
      <c r="A379" s="1" t="s">
        <v>5724</v>
      </c>
      <c r="B379" s="1" t="s">
        <v>330</v>
      </c>
      <c r="C379" s="1" t="s">
        <v>335</v>
      </c>
      <c r="D379" s="19" t="s">
        <v>698</v>
      </c>
      <c r="E379" s="15" t="str">
        <f>HYPERLINK("https://stat100.ameba.jp/tnk47/ratio20/illustrations/card/ill_66433_0_haroinfujishirogozen03.jpg?201908-4-RELEASE-guildbattle-425", "■")</f>
        <v>■</v>
      </c>
      <c r="F379" s="1" t="s">
        <v>699</v>
      </c>
      <c r="G379" s="1">
        <v>91807</v>
      </c>
      <c r="H379" s="1">
        <v>98751</v>
      </c>
      <c r="I379" s="1">
        <v>15</v>
      </c>
      <c r="J379" s="1" t="s">
        <v>315</v>
      </c>
      <c r="K379" s="1" t="s">
        <v>700</v>
      </c>
      <c r="L379" s="1" t="s">
        <v>701</v>
      </c>
      <c r="M379" s="1" t="s">
        <v>9158</v>
      </c>
      <c r="N379" s="1" t="s">
        <v>9158</v>
      </c>
      <c r="O379" s="19" t="s">
        <v>10095</v>
      </c>
      <c r="P379" s="1" t="s">
        <v>3345</v>
      </c>
      <c r="Q379" s="1">
        <v>1</v>
      </c>
    </row>
    <row r="380" spans="1:19">
      <c r="A380" s="1" t="s">
        <v>5721</v>
      </c>
      <c r="B380" s="1" t="s">
        <v>330</v>
      </c>
      <c r="C380" s="1" t="s">
        <v>205</v>
      </c>
      <c r="D380" s="19" t="s">
        <v>513</v>
      </c>
      <c r="E380" s="15" t="str">
        <f>HYPERLINK("https://stat100.ameba.jp/tnk47/ratio20/illustrations/card/ill_44283_0_izumonokuni03.jpg?201908-4-RELEASE-guildbattle-425", "■")</f>
        <v>■</v>
      </c>
      <c r="F380" s="1" t="s">
        <v>514</v>
      </c>
      <c r="G380" s="1">
        <v>87780</v>
      </c>
      <c r="H380" s="1">
        <v>82212</v>
      </c>
      <c r="I380" s="1">
        <v>15</v>
      </c>
      <c r="J380" s="1" t="s">
        <v>159</v>
      </c>
      <c r="K380" s="1" t="s">
        <v>1717</v>
      </c>
      <c r="L380" s="1" t="s">
        <v>516</v>
      </c>
      <c r="M380" s="1" t="s">
        <v>9158</v>
      </c>
      <c r="N380" s="1" t="s">
        <v>9158</v>
      </c>
      <c r="O380" s="1" t="s">
        <v>9158</v>
      </c>
      <c r="P380" s="1" t="s">
        <v>9158</v>
      </c>
      <c r="Q380" s="1" t="s">
        <v>9158</v>
      </c>
    </row>
    <row r="381" spans="1:19">
      <c r="A381" s="1">
        <v>78333</v>
      </c>
      <c r="B381" s="1" t="s">
        <v>0</v>
      </c>
      <c r="C381" s="1" t="s">
        <v>154</v>
      </c>
      <c r="D381" s="19" t="s">
        <v>11831</v>
      </c>
      <c r="E381" s="15" t="str">
        <f>HYPERLINK("https://stat100.ameba.jp/tnk47/ratio20/illustrations/card/ill_78333_nemmatsuosojiaputoruyamupeuenyuku03.jpg?201908-4-RELEASE-guildbattle-425", "■")</f>
        <v>■</v>
      </c>
      <c r="F381" s="1" t="s">
        <v>6399</v>
      </c>
      <c r="G381" s="1">
        <v>92996</v>
      </c>
      <c r="H381" s="1">
        <v>99996</v>
      </c>
      <c r="I381" s="1">
        <v>24</v>
      </c>
      <c r="J381" s="1" t="s">
        <v>6398</v>
      </c>
      <c r="K381" s="1" t="s">
        <v>6397</v>
      </c>
      <c r="L381" s="1" t="s">
        <v>6396</v>
      </c>
      <c r="M381" s="1" t="s">
        <v>9158</v>
      </c>
      <c r="N381" s="1" t="s">
        <v>9158</v>
      </c>
      <c r="O381" s="1" t="s">
        <v>9158</v>
      </c>
      <c r="P381" s="1" t="s">
        <v>9158</v>
      </c>
      <c r="Q381" s="1" t="s">
        <v>9158</v>
      </c>
      <c r="S381" s="14" t="s">
        <v>11832</v>
      </c>
    </row>
    <row r="382" spans="1:19">
      <c r="A382" s="1">
        <v>73153</v>
      </c>
      <c r="B382" s="1" t="s">
        <v>0</v>
      </c>
      <c r="C382" s="1" t="s">
        <v>158</v>
      </c>
      <c r="D382" s="19" t="s">
        <v>11833</v>
      </c>
      <c r="E382" s="15" t="str">
        <f>HYPERLINK("https://stat100.ameba.jp/tnk47/ratio20/illustrations/card/ill_73153_sengokuhidehisa03.jpg?201908-4-RELEASE-guildbattle-425", "■")</f>
        <v>■</v>
      </c>
      <c r="F382" s="1" t="s">
        <v>6395</v>
      </c>
      <c r="G382" s="1">
        <v>132658</v>
      </c>
      <c r="H382" s="1">
        <v>142674</v>
      </c>
      <c r="I382" s="1">
        <v>24</v>
      </c>
      <c r="J382" s="1" t="s">
        <v>6394</v>
      </c>
      <c r="K382" s="1" t="s">
        <v>6393</v>
      </c>
      <c r="L382" s="1" t="s">
        <v>6392</v>
      </c>
      <c r="M382" s="1" t="s">
        <v>9158</v>
      </c>
      <c r="N382" s="1" t="s">
        <v>9158</v>
      </c>
      <c r="O382" s="1" t="s">
        <v>9158</v>
      </c>
      <c r="P382" s="1" t="s">
        <v>9158</v>
      </c>
      <c r="Q382" s="1" t="s">
        <v>9158</v>
      </c>
      <c r="S382" s="14" t="s">
        <v>11825</v>
      </c>
    </row>
    <row r="383" spans="1:19">
      <c r="A383" s="1">
        <v>75613</v>
      </c>
      <c r="B383" s="1" t="s">
        <v>0</v>
      </c>
      <c r="C383" s="1" t="s">
        <v>154</v>
      </c>
      <c r="D383" s="19" t="s">
        <v>11834</v>
      </c>
      <c r="E383" s="15" t="str">
        <f>HYPERLINK("https://stat100.ameba.jp/tnk47/ratio20/illustrations/card/ill_75613_kuebiko03.jpg?201908-4-RELEASE-guildbattle-425", "■")</f>
        <v>■</v>
      </c>
      <c r="F383" s="1" t="s">
        <v>6388</v>
      </c>
      <c r="G383" s="1">
        <v>97894</v>
      </c>
      <c r="H383" s="1">
        <v>91010</v>
      </c>
      <c r="I383" s="1">
        <v>24</v>
      </c>
      <c r="J383" s="1" t="s">
        <v>6391</v>
      </c>
      <c r="K383" s="1" t="s">
        <v>6390</v>
      </c>
      <c r="L383" s="1" t="s">
        <v>6389</v>
      </c>
      <c r="M383" s="1" t="s">
        <v>9158</v>
      </c>
      <c r="N383" s="1" t="s">
        <v>9158</v>
      </c>
      <c r="O383" s="1" t="s">
        <v>9158</v>
      </c>
      <c r="P383" s="1" t="s">
        <v>9158</v>
      </c>
      <c r="Q383" s="1" t="s">
        <v>9158</v>
      </c>
      <c r="S383" s="14" t="s">
        <v>11835</v>
      </c>
    </row>
    <row r="384" spans="1:19">
      <c r="A384" s="1">
        <v>74443</v>
      </c>
      <c r="B384" s="1" t="s">
        <v>15</v>
      </c>
      <c r="C384" s="1" t="s">
        <v>205</v>
      </c>
      <c r="D384" s="19" t="s">
        <v>10486</v>
      </c>
      <c r="E384" s="15" t="str">
        <f>HYPERLINK("https://stat100.ameba.jp/tnk47/ratio20/illustrations/card/ill_74443_heikegani03.jpg?201908-4-RELEASE-guildbattle-425", "■")</f>
        <v>■</v>
      </c>
      <c r="F384" s="1" t="s">
        <v>6212</v>
      </c>
      <c r="G384" s="1">
        <v>59280</v>
      </c>
      <c r="H384" s="1">
        <v>53768</v>
      </c>
      <c r="I384" s="1">
        <v>20</v>
      </c>
      <c r="J384" s="1" t="s">
        <v>73</v>
      </c>
      <c r="K384" s="1" t="s">
        <v>6214</v>
      </c>
      <c r="L384" s="1" t="s">
        <v>5599</v>
      </c>
      <c r="M384" s="1" t="s">
        <v>9158</v>
      </c>
      <c r="N384" s="1" t="s">
        <v>9158</v>
      </c>
      <c r="O384" s="1" t="s">
        <v>9158</v>
      </c>
      <c r="P384" s="1" t="s">
        <v>9158</v>
      </c>
      <c r="Q384" s="1" t="s">
        <v>9158</v>
      </c>
      <c r="S384" s="14" t="s">
        <v>11801</v>
      </c>
    </row>
    <row r="385" spans="1:19">
      <c r="A385" s="1">
        <v>73163</v>
      </c>
      <c r="B385" s="1" t="s">
        <v>15</v>
      </c>
      <c r="C385" s="1" t="s">
        <v>205</v>
      </c>
      <c r="D385" s="19" t="s">
        <v>10487</v>
      </c>
      <c r="E385" s="15" t="str">
        <f>HYPERLINK("https://stat100.ameba.jp/tnk47/ratio20/illustrations/card/ill_73163_kibitsuhikonomikoto03.jpg?201908-4-RELEASE-guildbattle-425", "■")</f>
        <v>■</v>
      </c>
      <c r="F385" s="1" t="s">
        <v>6215</v>
      </c>
      <c r="G385" s="1">
        <v>53768</v>
      </c>
      <c r="H385" s="1">
        <v>59280</v>
      </c>
      <c r="I385" s="1">
        <v>20</v>
      </c>
      <c r="J385" s="1" t="s">
        <v>143</v>
      </c>
      <c r="K385" s="1" t="s">
        <v>6218</v>
      </c>
      <c r="L385" s="1" t="s">
        <v>6217</v>
      </c>
      <c r="M385" s="1" t="s">
        <v>9158</v>
      </c>
      <c r="N385" s="1" t="s">
        <v>9158</v>
      </c>
      <c r="O385" s="1" t="s">
        <v>9158</v>
      </c>
      <c r="P385" s="1" t="s">
        <v>9158</v>
      </c>
      <c r="Q385" s="1" t="s">
        <v>9158</v>
      </c>
      <c r="S385" s="14" t="s">
        <v>11825</v>
      </c>
    </row>
    <row r="386" spans="1:19">
      <c r="A386" s="1">
        <v>67563</v>
      </c>
      <c r="B386" s="1" t="s">
        <v>15</v>
      </c>
      <c r="C386" s="1" t="s">
        <v>205</v>
      </c>
      <c r="D386" s="19" t="s">
        <v>10488</v>
      </c>
      <c r="E386" s="15" t="str">
        <f>HYPERLINK("https://stat100.ameba.jp/tnk47/ratio20/illustrations/card/ill_67563_udonge03.jpg?201908-4-RELEASE-guildbattle-425", "■")</f>
        <v>■</v>
      </c>
      <c r="F386" s="1" t="s">
        <v>6219</v>
      </c>
      <c r="G386" s="1">
        <v>59280</v>
      </c>
      <c r="H386" s="1">
        <v>53768</v>
      </c>
      <c r="I386" s="1">
        <v>20</v>
      </c>
      <c r="J386" s="1" t="s">
        <v>44</v>
      </c>
      <c r="K386" s="1" t="s">
        <v>6221</v>
      </c>
      <c r="L386" s="1" t="s">
        <v>6220</v>
      </c>
      <c r="M386" s="1" t="s">
        <v>9158</v>
      </c>
      <c r="N386" s="1" t="s">
        <v>9158</v>
      </c>
      <c r="O386" s="1" t="s">
        <v>9158</v>
      </c>
      <c r="P386" s="1" t="s">
        <v>9158</v>
      </c>
      <c r="Q386" s="1" t="s">
        <v>9158</v>
      </c>
      <c r="S386" s="14" t="s">
        <v>11827</v>
      </c>
    </row>
    <row r="388" spans="1:19">
      <c r="A388" s="1" t="s">
        <v>135</v>
      </c>
    </row>
    <row r="389" spans="1:19">
      <c r="A389" s="1" t="s">
        <v>6405</v>
      </c>
    </row>
    <row r="390" spans="1:19">
      <c r="A390" s="1" t="s">
        <v>5605</v>
      </c>
      <c r="B390" s="1" t="s">
        <v>52</v>
      </c>
      <c r="C390" s="1" t="s">
        <v>202</v>
      </c>
      <c r="D390" s="19" t="s">
        <v>10332</v>
      </c>
      <c r="E390" s="15" t="str">
        <f>HYPERLINK("https://stat100.ameba.jp/tnk47/ratio20/illustrations/card/ill_79373_0_hommeichokotennyohime03.jpg?201908-4-RELEASE-guildbattle-425", "■")</f>
        <v>■</v>
      </c>
      <c r="F390" s="1" t="s">
        <v>3495</v>
      </c>
      <c r="G390" s="1">
        <v>296766</v>
      </c>
      <c r="H390" s="1">
        <v>268230</v>
      </c>
      <c r="I390" s="1">
        <v>24</v>
      </c>
      <c r="J390" s="1" t="s">
        <v>104</v>
      </c>
      <c r="K390" s="1" t="s">
        <v>3496</v>
      </c>
      <c r="L390" s="1" t="s">
        <v>3497</v>
      </c>
      <c r="M390" s="1" t="s">
        <v>9158</v>
      </c>
      <c r="N390" s="1" t="s">
        <v>9158</v>
      </c>
      <c r="O390" s="19" t="s">
        <v>10072</v>
      </c>
      <c r="P390" s="1" t="s">
        <v>3498</v>
      </c>
      <c r="Q390" s="1">
        <v>1</v>
      </c>
    </row>
    <row r="391" spans="1:19">
      <c r="A391" s="1">
        <v>79203</v>
      </c>
      <c r="B391" s="1" t="s">
        <v>0</v>
      </c>
      <c r="C391" s="1" t="s">
        <v>202</v>
      </c>
      <c r="D391" s="19" t="s">
        <v>10351</v>
      </c>
      <c r="E391" s="15" t="str">
        <f>HYPERLINK("https://stat100.ameba.jp/tnk47/ratio20/illustrations/card/ill_79203_santaokokuredeisanta03.jpg?201908-4-RELEASE-guildbattle-425", "■")</f>
        <v>■</v>
      </c>
      <c r="F391" s="1" t="s">
        <v>2621</v>
      </c>
      <c r="G391" s="1">
        <v>106680</v>
      </c>
      <c r="H391" s="1">
        <v>99182</v>
      </c>
      <c r="I391" s="1">
        <v>24</v>
      </c>
      <c r="J391" s="1" t="s">
        <v>38</v>
      </c>
      <c r="K391" s="1" t="s">
        <v>2622</v>
      </c>
      <c r="L391" s="1" t="s">
        <v>2623</v>
      </c>
      <c r="M391" s="1" t="s">
        <v>9158</v>
      </c>
      <c r="N391" s="1" t="s">
        <v>9158</v>
      </c>
      <c r="O391" s="19" t="s">
        <v>10086</v>
      </c>
      <c r="P391" s="1" t="s">
        <v>3701</v>
      </c>
      <c r="Q391" s="1">
        <v>1</v>
      </c>
    </row>
    <row r="392" spans="1:19">
      <c r="A392" s="1">
        <v>65643</v>
      </c>
      <c r="B392" s="1" t="s">
        <v>0</v>
      </c>
      <c r="C392" s="1" t="s">
        <v>209</v>
      </c>
      <c r="D392" s="19" t="s">
        <v>1681</v>
      </c>
      <c r="E392" s="15" t="str">
        <f>HYPERLINK("https://stat100.ameba.jp/tnk47/ratio20/illustrations/card/ill_65643_shitompekamui03.jpg?201908-4-RELEASE-guildbattle-425", "■")</f>
        <v>■</v>
      </c>
      <c r="F392" s="1" t="s">
        <v>1250</v>
      </c>
      <c r="G392" s="1">
        <v>79348</v>
      </c>
      <c r="H392" s="1">
        <v>109554</v>
      </c>
      <c r="I392" s="1">
        <v>24</v>
      </c>
      <c r="J392" s="1" t="s">
        <v>44</v>
      </c>
      <c r="K392" s="1" t="s">
        <v>1251</v>
      </c>
      <c r="L392" s="1" t="s">
        <v>1252</v>
      </c>
      <c r="M392" s="1" t="s">
        <v>9158</v>
      </c>
      <c r="N392" s="1" t="s">
        <v>9158</v>
      </c>
      <c r="O392" s="19" t="s">
        <v>10096</v>
      </c>
      <c r="P392" s="1" t="s">
        <v>3245</v>
      </c>
      <c r="Q392" s="1">
        <v>1</v>
      </c>
    </row>
    <row r="393" spans="1:19">
      <c r="A393" s="1">
        <v>71333</v>
      </c>
      <c r="B393" s="1" t="s">
        <v>0</v>
      </c>
      <c r="C393" s="1" t="s">
        <v>41</v>
      </c>
      <c r="D393" s="19" t="s">
        <v>10256</v>
      </c>
      <c r="E393" s="15" t="str">
        <f>HYPERLINK("https://stat100.ameba.jp/tnk47/ratio20/illustrations/card/ill_71333_fujiwaranokamatari03.jpg?201908-4-RELEASE-guildbattle-425", "■")</f>
        <v>■</v>
      </c>
      <c r="F393" s="1" t="s">
        <v>58</v>
      </c>
      <c r="G393" s="1">
        <v>104890</v>
      </c>
      <c r="H393" s="1">
        <v>75984</v>
      </c>
      <c r="I393" s="1">
        <v>24</v>
      </c>
      <c r="J393" s="1" t="s">
        <v>10</v>
      </c>
      <c r="K393" s="1" t="s">
        <v>59</v>
      </c>
      <c r="L393" s="1" t="s">
        <v>60</v>
      </c>
      <c r="M393" s="1" t="s">
        <v>9158</v>
      </c>
      <c r="N393" s="1" t="s">
        <v>9158</v>
      </c>
      <c r="O393" s="19" t="s">
        <v>10098</v>
      </c>
      <c r="P393" s="1" t="s">
        <v>3491</v>
      </c>
      <c r="Q393" s="1">
        <v>1</v>
      </c>
    </row>
    <row r="395" spans="1:19">
      <c r="A395" s="1" t="s">
        <v>195</v>
      </c>
    </row>
    <row r="396" spans="1:19">
      <c r="A396" s="1" t="s">
        <v>7063</v>
      </c>
    </row>
    <row r="397" spans="1:19">
      <c r="A397" s="1">
        <v>71013</v>
      </c>
      <c r="B397" s="1" t="s">
        <v>334</v>
      </c>
      <c r="C397" s="1" t="s">
        <v>154</v>
      </c>
      <c r="D397" s="19" t="s">
        <v>837</v>
      </c>
      <c r="E397" s="15" t="str">
        <f>HYPERLINK("https://stat100.ameba.jp/tnk47/ratio20/illustrations/card/ill_71013_fujutsushisarashina03.jpg?201908-i_prefecture_active_user", "■")</f>
        <v>■</v>
      </c>
      <c r="F397" s="1" t="s">
        <v>838</v>
      </c>
      <c r="G397" s="1">
        <v>96246</v>
      </c>
      <c r="H397" s="1">
        <v>103512</v>
      </c>
      <c r="I397" s="1">
        <v>24</v>
      </c>
      <c r="J397" s="1" t="s">
        <v>155</v>
      </c>
      <c r="K397" s="1" t="s">
        <v>1231</v>
      </c>
      <c r="L397" s="1" t="s">
        <v>13152</v>
      </c>
      <c r="M397" s="1" t="s">
        <v>9158</v>
      </c>
      <c r="N397" s="1" t="s">
        <v>9158</v>
      </c>
      <c r="O397" s="1" t="s">
        <v>9158</v>
      </c>
      <c r="P397" s="1" t="s">
        <v>9158</v>
      </c>
      <c r="Q397" s="1" t="s">
        <v>9158</v>
      </c>
    </row>
    <row r="398" spans="1:19">
      <c r="A398" s="1">
        <v>71023</v>
      </c>
      <c r="B398" s="1" t="s">
        <v>334</v>
      </c>
      <c r="C398" s="1" t="s">
        <v>158</v>
      </c>
      <c r="D398" s="19" t="s">
        <v>841</v>
      </c>
      <c r="E398" s="15" t="str">
        <f>HYPERLINK("https://stat100.ameba.jp/tnk47/ratio20/illustrations/card/ill_71023_ommyojiiroha03.jpg?201908-i_prefecture_active_user", "■")</f>
        <v>■</v>
      </c>
      <c r="F398" s="1" t="s">
        <v>842</v>
      </c>
      <c r="G398" s="1">
        <v>96246</v>
      </c>
      <c r="H398" s="1">
        <v>103512</v>
      </c>
      <c r="I398" s="1">
        <v>24</v>
      </c>
      <c r="J398" s="1" t="s">
        <v>159</v>
      </c>
      <c r="K398" s="1" t="s">
        <v>1232</v>
      </c>
      <c r="L398" s="1" t="s">
        <v>1233</v>
      </c>
      <c r="M398" s="1" t="s">
        <v>9158</v>
      </c>
      <c r="N398" s="1" t="s">
        <v>9158</v>
      </c>
      <c r="O398" s="1" t="s">
        <v>9158</v>
      </c>
      <c r="P398" s="1" t="s">
        <v>9158</v>
      </c>
      <c r="Q398" s="1" t="s">
        <v>9158</v>
      </c>
    </row>
    <row r="399" spans="1:19">
      <c r="A399" s="1">
        <v>66053</v>
      </c>
      <c r="B399" s="1" t="s">
        <v>334</v>
      </c>
      <c r="C399" s="1" t="s">
        <v>205</v>
      </c>
      <c r="D399" s="19" t="s">
        <v>3046</v>
      </c>
      <c r="E399" s="15" t="str">
        <f>HYPERLINK("https://stat100.ameba.jp/tnk47/ratio20/illustrations/card/ill_66053_serebukushiyatamanokami03.jpg?201908-i_prefecture_active_user", "■")</f>
        <v>■</v>
      </c>
      <c r="F399" s="1" t="s">
        <v>2265</v>
      </c>
      <c r="G399" s="1">
        <v>97894</v>
      </c>
      <c r="H399" s="1">
        <v>91010</v>
      </c>
      <c r="I399" s="1">
        <v>24</v>
      </c>
      <c r="J399" s="1" t="s">
        <v>44</v>
      </c>
      <c r="K399" s="1" t="s">
        <v>2266</v>
      </c>
      <c r="L399" s="1" t="s">
        <v>1860</v>
      </c>
      <c r="M399" s="1" t="s">
        <v>9158</v>
      </c>
      <c r="N399" s="1" t="s">
        <v>9158</v>
      </c>
      <c r="O399" s="1" t="s">
        <v>9158</v>
      </c>
      <c r="P399" s="1" t="s">
        <v>9158</v>
      </c>
      <c r="Q399" s="1" t="s">
        <v>9158</v>
      </c>
    </row>
    <row r="400" spans="1:19">
      <c r="A400" s="1">
        <v>65923</v>
      </c>
      <c r="B400" s="1" t="s">
        <v>334</v>
      </c>
      <c r="C400" s="1" t="s">
        <v>185</v>
      </c>
      <c r="D400" s="19" t="s">
        <v>10204</v>
      </c>
      <c r="E400" s="15" t="str">
        <f>HYPERLINK("https://stat100.ameba.jp/tnk47/ratio20/illustrations/card/ill_65923_arabianginko03.jpg?201908-i_prefecture_active_user", "■")</f>
        <v>■</v>
      </c>
      <c r="F400" s="1" t="s">
        <v>4978</v>
      </c>
      <c r="G400" s="1">
        <v>99996</v>
      </c>
      <c r="H400" s="1">
        <v>92996</v>
      </c>
      <c r="I400" s="1">
        <v>24</v>
      </c>
      <c r="J400" s="1" t="s">
        <v>182</v>
      </c>
      <c r="K400" s="1" t="s">
        <v>3679</v>
      </c>
      <c r="L400" s="1" t="s">
        <v>13188</v>
      </c>
      <c r="M400" s="1" t="s">
        <v>9158</v>
      </c>
      <c r="N400" s="1" t="s">
        <v>9158</v>
      </c>
      <c r="O400" s="1" t="s">
        <v>9158</v>
      </c>
      <c r="P400" s="1" t="s">
        <v>9158</v>
      </c>
      <c r="Q400" s="1" t="s">
        <v>9158</v>
      </c>
    </row>
    <row r="401" spans="1:17">
      <c r="A401" s="1">
        <v>52863</v>
      </c>
      <c r="B401" s="1" t="s">
        <v>6400</v>
      </c>
      <c r="C401" s="1" t="s">
        <v>6401</v>
      </c>
      <c r="D401" s="19" t="s">
        <v>10516</v>
      </c>
      <c r="E401" s="15" t="str">
        <f>HYPERLINK("https://stat100.ameba.jp/tnk47/ratio20/illustrations/card/ill_52863_andoroidokingyonota03.jpg?201908-i_prefecture_active_user", "■")</f>
        <v>■</v>
      </c>
      <c r="F401" s="1" t="s">
        <v>6409</v>
      </c>
      <c r="G401" s="1">
        <v>51078</v>
      </c>
      <c r="H401" s="1">
        <v>56316</v>
      </c>
      <c r="I401" s="1">
        <v>19</v>
      </c>
      <c r="J401" s="1" t="s">
        <v>6408</v>
      </c>
      <c r="K401" s="1" t="s">
        <v>6407</v>
      </c>
      <c r="L401" s="1" t="s">
        <v>6406</v>
      </c>
      <c r="M401" s="1" t="s">
        <v>9158</v>
      </c>
      <c r="N401" s="1" t="s">
        <v>9158</v>
      </c>
      <c r="O401" s="1" t="s">
        <v>9158</v>
      </c>
      <c r="P401" s="1" t="s">
        <v>9158</v>
      </c>
      <c r="Q401" s="1" t="s">
        <v>9158</v>
      </c>
    </row>
    <row r="402" spans="1:17">
      <c r="A402" s="1">
        <v>51593</v>
      </c>
      <c r="B402" s="1" t="s">
        <v>6400</v>
      </c>
      <c r="C402" s="1" t="s">
        <v>6402</v>
      </c>
      <c r="D402" s="19" t="s">
        <v>10517</v>
      </c>
      <c r="E402" s="15" t="str">
        <f>HYPERLINK("https://stat100.ameba.jp/tnk47/ratio20/illustrations/card/ill_51593_kishuhondatadakatsu03.jpg?201908-i_prefecture_active_user", "■")</f>
        <v>■</v>
      </c>
      <c r="F402" s="1" t="s">
        <v>6413</v>
      </c>
      <c r="G402" s="1">
        <v>51078</v>
      </c>
      <c r="H402" s="1">
        <v>56316</v>
      </c>
      <c r="I402" s="1">
        <v>19</v>
      </c>
      <c r="J402" s="1" t="s">
        <v>6412</v>
      </c>
      <c r="K402" s="1" t="s">
        <v>6411</v>
      </c>
      <c r="L402" s="1" t="s">
        <v>6410</v>
      </c>
      <c r="M402" s="1" t="s">
        <v>9158</v>
      </c>
      <c r="N402" s="1" t="s">
        <v>9158</v>
      </c>
      <c r="O402" s="1" t="s">
        <v>9158</v>
      </c>
      <c r="P402" s="1" t="s">
        <v>9158</v>
      </c>
      <c r="Q402" s="1" t="s">
        <v>9158</v>
      </c>
    </row>
    <row r="403" spans="1:17">
      <c r="A403" s="1">
        <v>55403</v>
      </c>
      <c r="B403" s="1" t="s">
        <v>6400</v>
      </c>
      <c r="C403" s="1" t="s">
        <v>6403</v>
      </c>
      <c r="D403" s="19" t="s">
        <v>10518</v>
      </c>
      <c r="E403" s="15" t="str">
        <f>HYPERLINK("https://stat100.ameba.jp/tnk47/ratio20/illustrations/card/ill_55403_undokaikyogokumaria03.jpg?201908-i_prefecture_active_user", "■")</f>
        <v>■</v>
      </c>
      <c r="F403" s="1" t="s">
        <v>6417</v>
      </c>
      <c r="G403" s="1">
        <v>56316</v>
      </c>
      <c r="H403" s="1">
        <v>51078</v>
      </c>
      <c r="I403" s="1">
        <v>19</v>
      </c>
      <c r="J403" s="1" t="s">
        <v>6416</v>
      </c>
      <c r="K403" s="1" t="s">
        <v>6415</v>
      </c>
      <c r="L403" s="1" t="s">
        <v>6414</v>
      </c>
      <c r="M403" s="1" t="s">
        <v>9158</v>
      </c>
      <c r="N403" s="1" t="s">
        <v>9158</v>
      </c>
      <c r="O403" s="1" t="s">
        <v>9158</v>
      </c>
      <c r="P403" s="1" t="s">
        <v>9158</v>
      </c>
      <c r="Q403" s="1" t="s">
        <v>9158</v>
      </c>
    </row>
    <row r="404" spans="1:17">
      <c r="A404" s="1">
        <v>52973</v>
      </c>
      <c r="B404" s="1" t="s">
        <v>6400</v>
      </c>
      <c r="C404" s="1" t="s">
        <v>6404</v>
      </c>
      <c r="D404" s="19" t="s">
        <v>10519</v>
      </c>
      <c r="E404" s="15" t="str">
        <f>HYPERLINK("https://stat100.ameba.jp/tnk47/ratio20/illustrations/card/ill_52973_torampuamoronagu03.jpg?201908-i_prefecture_active_user", "■")</f>
        <v>■</v>
      </c>
      <c r="F404" s="1" t="s">
        <v>6421</v>
      </c>
      <c r="G404" s="1">
        <v>56316</v>
      </c>
      <c r="H404" s="1">
        <v>51078</v>
      </c>
      <c r="I404" s="1">
        <v>19</v>
      </c>
      <c r="J404" s="1" t="s">
        <v>6420</v>
      </c>
      <c r="K404" s="1" t="s">
        <v>6419</v>
      </c>
      <c r="L404" s="1" t="s">
        <v>6418</v>
      </c>
      <c r="M404" s="1" t="s">
        <v>9158</v>
      </c>
      <c r="N404" s="1" t="s">
        <v>9158</v>
      </c>
      <c r="O404" s="1" t="s">
        <v>9158</v>
      </c>
      <c r="P404" s="1" t="s">
        <v>9158</v>
      </c>
      <c r="Q404" s="1" t="s">
        <v>9158</v>
      </c>
    </row>
    <row r="406" spans="1:17">
      <c r="A406" s="1" t="s">
        <v>6422</v>
      </c>
    </row>
    <row r="407" spans="1:17">
      <c r="A407" s="1" t="s">
        <v>6423</v>
      </c>
    </row>
    <row r="408" spans="1:17">
      <c r="A408" s="1" t="s">
        <v>6424</v>
      </c>
      <c r="B408" s="1" t="s">
        <v>330</v>
      </c>
      <c r="C408" s="1" t="s">
        <v>270</v>
      </c>
      <c r="D408" s="19" t="s">
        <v>331</v>
      </c>
      <c r="E408" s="15" t="str">
        <f>HYPERLINK("https://stat100.ameba.jp/tnk47/ratio20/illustrations/card/ill_76303_0_haroinkaguya03.jpg?201908-i_prefecture_active_user", "■")</f>
        <v>■</v>
      </c>
      <c r="F408" s="1" t="s">
        <v>332</v>
      </c>
      <c r="G408" s="1">
        <v>261812</v>
      </c>
      <c r="H408" s="1">
        <v>243398</v>
      </c>
      <c r="I408" s="1">
        <v>22</v>
      </c>
      <c r="J408" s="1" t="s">
        <v>274</v>
      </c>
      <c r="K408" s="1" t="s">
        <v>333</v>
      </c>
      <c r="L408" s="1" t="s">
        <v>276</v>
      </c>
      <c r="M408" s="1" t="s">
        <v>9158</v>
      </c>
      <c r="N408" s="1" t="s">
        <v>9158</v>
      </c>
      <c r="O408" s="19" t="s">
        <v>2976</v>
      </c>
      <c r="P408" s="1" t="s">
        <v>2724</v>
      </c>
      <c r="Q408" s="1">
        <v>1</v>
      </c>
    </row>
    <row r="409" spans="1:17">
      <c r="A409" s="1" t="s">
        <v>6425</v>
      </c>
      <c r="B409" s="1" t="s">
        <v>330</v>
      </c>
      <c r="C409" s="1" t="s">
        <v>200</v>
      </c>
      <c r="D409" s="19" t="s">
        <v>421</v>
      </c>
      <c r="E409" s="15" t="str">
        <f>HYPERLINK("https://stat100.ameba.jp/tnk47/ratio20/illustrations/card/ill_58853_0_setsubumpanikkuhiratsukaraicho03.jpg?201908-i_prefecture_active_user", "■")</f>
        <v>■</v>
      </c>
      <c r="F409" s="1" t="s">
        <v>1040</v>
      </c>
      <c r="G409" s="1">
        <v>138212</v>
      </c>
      <c r="H409" s="1">
        <v>122776</v>
      </c>
      <c r="I409" s="1">
        <v>22</v>
      </c>
      <c r="J409" s="1" t="s">
        <v>16</v>
      </c>
      <c r="K409" s="1" t="s">
        <v>1041</v>
      </c>
      <c r="L409" s="1" t="s">
        <v>1042</v>
      </c>
      <c r="M409" s="1" t="s">
        <v>9158</v>
      </c>
      <c r="N409" s="1" t="s">
        <v>9158</v>
      </c>
      <c r="O409" s="19" t="s">
        <v>10075</v>
      </c>
      <c r="P409" s="1" t="s">
        <v>2870</v>
      </c>
      <c r="Q409" s="1">
        <v>1</v>
      </c>
    </row>
    <row r="410" spans="1:17">
      <c r="A410" s="1">
        <v>80163</v>
      </c>
      <c r="B410" s="1" t="s">
        <v>334</v>
      </c>
      <c r="C410" s="1" t="s">
        <v>158</v>
      </c>
      <c r="D410" s="19" t="s">
        <v>10391</v>
      </c>
      <c r="E410" s="15" t="str">
        <f>HYPERLINK("https://stat100.ameba.jp/tnk47/ratio20/illustrations/card/ill_80163_kuronosu03.jpg?201908-i_prefecture_active_user", "■")</f>
        <v>■</v>
      </c>
      <c r="F410" s="1" t="s">
        <v>3766</v>
      </c>
      <c r="G410" s="1">
        <v>79348</v>
      </c>
      <c r="H410" s="1">
        <v>109554</v>
      </c>
      <c r="I410" s="1">
        <v>24</v>
      </c>
      <c r="J410" s="1" t="s">
        <v>44</v>
      </c>
      <c r="K410" s="1" t="s">
        <v>3767</v>
      </c>
      <c r="L410" s="1" t="s">
        <v>1209</v>
      </c>
      <c r="M410" s="1" t="s">
        <v>9158</v>
      </c>
      <c r="N410" s="1" t="s">
        <v>9158</v>
      </c>
      <c r="O410" s="19" t="s">
        <v>2752</v>
      </c>
      <c r="P410" s="1" t="s">
        <v>13123</v>
      </c>
      <c r="Q410" s="1">
        <v>1</v>
      </c>
    </row>
    <row r="411" spans="1:17">
      <c r="A411" s="1">
        <v>61343</v>
      </c>
      <c r="B411" s="1" t="s">
        <v>334</v>
      </c>
      <c r="C411" s="1" t="s">
        <v>154</v>
      </c>
      <c r="D411" s="19" t="s">
        <v>10520</v>
      </c>
      <c r="E411" s="15" t="str">
        <f>HYPERLINK("https://stat100.ameba.jp/tnk47/ratio20/illustrations/card/ill_61343_amaiyumechacha03.jpg?201908-i_prefecture_active_user", "■")</f>
        <v>■</v>
      </c>
      <c r="F411" s="1" t="s">
        <v>683</v>
      </c>
      <c r="G411" s="1">
        <v>72819</v>
      </c>
      <c r="H411" s="1">
        <v>100519</v>
      </c>
      <c r="I411" s="1">
        <v>23</v>
      </c>
      <c r="J411" s="1" t="s">
        <v>315</v>
      </c>
      <c r="K411" s="1" t="s">
        <v>684</v>
      </c>
      <c r="L411" s="1" t="s">
        <v>608</v>
      </c>
      <c r="M411" s="1" t="s">
        <v>9158</v>
      </c>
      <c r="N411" s="1" t="s">
        <v>9158</v>
      </c>
      <c r="O411" s="1" t="s">
        <v>9158</v>
      </c>
      <c r="P411" s="1" t="s">
        <v>9158</v>
      </c>
      <c r="Q411" s="1" t="s">
        <v>9158</v>
      </c>
    </row>
    <row r="412" spans="1:17">
      <c r="A412" s="1">
        <v>68703</v>
      </c>
      <c r="B412" s="1" t="s">
        <v>0</v>
      </c>
      <c r="C412" s="1" t="s">
        <v>47</v>
      </c>
      <c r="D412" s="19" t="s">
        <v>687</v>
      </c>
      <c r="E412" s="15" t="str">
        <f>HYPERLINK("https://stat100.ameba.jp/tnk47/ratio20/illustrations/card/ill_68703_manryu03.jpg?201908-i_prefecture_active_user", "■")</f>
        <v>■</v>
      </c>
      <c r="F412" s="1" t="s">
        <v>80</v>
      </c>
      <c r="G412" s="1">
        <v>72819</v>
      </c>
      <c r="H412" s="1">
        <v>100519</v>
      </c>
      <c r="I412" s="1">
        <v>23</v>
      </c>
      <c r="J412" s="1" t="s">
        <v>16</v>
      </c>
      <c r="K412" s="1" t="s">
        <v>81</v>
      </c>
      <c r="L412" s="1" t="s">
        <v>82</v>
      </c>
      <c r="M412" s="1" t="s">
        <v>9158</v>
      </c>
      <c r="N412" s="1" t="s">
        <v>9158</v>
      </c>
      <c r="O412" s="1" t="s">
        <v>9158</v>
      </c>
      <c r="P412" s="1" t="s">
        <v>9158</v>
      </c>
      <c r="Q412" s="1" t="s">
        <v>9158</v>
      </c>
    </row>
    <row r="413" spans="1:17">
      <c r="A413" s="1">
        <v>72153</v>
      </c>
      <c r="B413" s="1" t="s">
        <v>334</v>
      </c>
      <c r="C413" s="1" t="s">
        <v>203</v>
      </c>
      <c r="D413" s="19" t="s">
        <v>436</v>
      </c>
      <c r="E413" s="15" t="str">
        <f>HYPERLINK("https://stat100.ameba.jp/tnk47/ratio20/illustrations/card/ill_72153_bakki03.jpg?201908-i_prefecture_active_user", "■")</f>
        <v>■</v>
      </c>
      <c r="F413" s="1" t="s">
        <v>1031</v>
      </c>
      <c r="G413" s="1">
        <v>88047</v>
      </c>
      <c r="H413" s="1">
        <v>121572</v>
      </c>
      <c r="I413" s="1">
        <v>23</v>
      </c>
      <c r="J413" s="1" t="s">
        <v>73</v>
      </c>
      <c r="K413" s="1" t="s">
        <v>1032</v>
      </c>
      <c r="L413" s="1" t="s">
        <v>1033</v>
      </c>
      <c r="M413" s="1" t="s">
        <v>9158</v>
      </c>
      <c r="N413" s="1" t="s">
        <v>9158</v>
      </c>
      <c r="O413" s="1" t="s">
        <v>9158</v>
      </c>
      <c r="P413" s="1" t="s">
        <v>9158</v>
      </c>
      <c r="Q413" s="1" t="s">
        <v>9158</v>
      </c>
    </row>
    <row r="414" spans="1:17">
      <c r="A414" s="1">
        <v>66353</v>
      </c>
      <c r="B414" s="1" t="s">
        <v>0</v>
      </c>
      <c r="C414" s="1" t="s">
        <v>41</v>
      </c>
      <c r="D414" s="19" t="s">
        <v>440</v>
      </c>
      <c r="E414" s="15" t="str">
        <f>HYPERLINK("https://stat100.ameba.jp/tnk47/ratio20/illustrations/card/ill_66353_kajiwaranyudotoan03.jpg?201908-i_prefecture_active_user", "■")</f>
        <v>■</v>
      </c>
      <c r="F414" s="1" t="s">
        <v>142</v>
      </c>
      <c r="G414" s="1">
        <v>153022</v>
      </c>
      <c r="H414" s="1">
        <v>110837</v>
      </c>
      <c r="I414" s="1">
        <v>23</v>
      </c>
      <c r="J414" s="1" t="s">
        <v>143</v>
      </c>
      <c r="K414" s="1" t="s">
        <v>144</v>
      </c>
      <c r="L414" s="1" t="s">
        <v>145</v>
      </c>
      <c r="M414" s="1" t="s">
        <v>9158</v>
      </c>
      <c r="N414" s="1" t="s">
        <v>9158</v>
      </c>
      <c r="O414" s="19" t="s">
        <v>10102</v>
      </c>
      <c r="P414" s="1" t="s">
        <v>3672</v>
      </c>
      <c r="Q414" s="1">
        <v>1</v>
      </c>
    </row>
    <row r="415" spans="1:17">
      <c r="A415" s="1">
        <v>75083</v>
      </c>
      <c r="B415" s="1" t="s">
        <v>334</v>
      </c>
      <c r="C415" s="1" t="s">
        <v>209</v>
      </c>
      <c r="D415" s="19" t="s">
        <v>10401</v>
      </c>
      <c r="E415" s="15" t="str">
        <f>HYPERLINK("https://stat100.ameba.jp/tnk47/ratio20/illustrations/card/ill_75083_sukumizuhanakosan03.jpg?201908-i_prefecture_active_user", "■")</f>
        <v>■</v>
      </c>
      <c r="F415" s="1" t="s">
        <v>1020</v>
      </c>
      <c r="G415" s="1">
        <v>107251</v>
      </c>
      <c r="H415" s="1">
        <v>77700</v>
      </c>
      <c r="I415" s="1">
        <v>23</v>
      </c>
      <c r="J415" s="1" t="s">
        <v>73</v>
      </c>
      <c r="K415" s="1" t="s">
        <v>1021</v>
      </c>
      <c r="L415" s="1" t="s">
        <v>1022</v>
      </c>
      <c r="M415" s="1" t="s">
        <v>9158</v>
      </c>
      <c r="N415" s="1" t="s">
        <v>9158</v>
      </c>
      <c r="O415" s="19" t="s">
        <v>10105</v>
      </c>
      <c r="P415" s="1" t="s">
        <v>3416</v>
      </c>
      <c r="Q415" s="1">
        <v>1</v>
      </c>
    </row>
    <row r="417" spans="1:17">
      <c r="A417" s="1" t="s">
        <v>6426</v>
      </c>
    </row>
    <row r="418" spans="1:17">
      <c r="A418" s="1" t="s">
        <v>6427</v>
      </c>
    </row>
    <row r="419" spans="1:17">
      <c r="A419" s="1" t="s">
        <v>5822</v>
      </c>
      <c r="B419" s="1" t="s">
        <v>330</v>
      </c>
      <c r="C419" s="1" t="s">
        <v>191</v>
      </c>
      <c r="D419" s="19" t="s">
        <v>306</v>
      </c>
      <c r="E419" s="15" t="str">
        <f>HYPERLINK("https://stat100.ameba.jp/tnk47/ratio20/illustrations/card/ill_71403_0_ohanamisanadayukimura03.jpg?201908-i_prefecture_active_user", "■")</f>
        <v>■</v>
      </c>
      <c r="F419" s="1" t="s">
        <v>309</v>
      </c>
      <c r="G419" s="1">
        <v>140016</v>
      </c>
      <c r="H419" s="1">
        <v>130194</v>
      </c>
      <c r="I419" s="1">
        <v>15</v>
      </c>
      <c r="J419" s="1" t="s">
        <v>310</v>
      </c>
      <c r="K419" s="1" t="s">
        <v>311</v>
      </c>
      <c r="L419" s="1" t="s">
        <v>312</v>
      </c>
      <c r="M419" s="1" t="s">
        <v>9158</v>
      </c>
      <c r="N419" s="1" t="s">
        <v>9158</v>
      </c>
      <c r="O419" s="19" t="s">
        <v>10104</v>
      </c>
      <c r="P419" s="1" t="s">
        <v>3418</v>
      </c>
      <c r="Q419" s="1">
        <v>2</v>
      </c>
    </row>
    <row r="420" spans="1:17">
      <c r="A420" s="1" t="s">
        <v>5623</v>
      </c>
      <c r="B420" s="1" t="s">
        <v>330</v>
      </c>
      <c r="C420" s="1" t="s">
        <v>165</v>
      </c>
      <c r="D420" s="19" t="s">
        <v>3146</v>
      </c>
      <c r="E420" s="15" t="str">
        <f>HYPERLINK("https://stat100.ameba.jp/tnk47/ratio20/illustrations/card/ill_65713_0_undokaionikirimaru03.jpg?201908-i_prefecture_active_user", "■")</f>
        <v>■</v>
      </c>
      <c r="F420" s="1" t="s">
        <v>535</v>
      </c>
      <c r="G420" s="1">
        <v>113525</v>
      </c>
      <c r="H420" s="1">
        <v>105545</v>
      </c>
      <c r="I420" s="1">
        <v>15</v>
      </c>
      <c r="J420" s="1" t="s">
        <v>320</v>
      </c>
      <c r="K420" s="1" t="s">
        <v>3147</v>
      </c>
      <c r="L420" s="1" t="s">
        <v>3148</v>
      </c>
      <c r="M420" s="1" t="s">
        <v>9158</v>
      </c>
      <c r="N420" s="1" t="s">
        <v>9158</v>
      </c>
      <c r="O420" s="19" t="s">
        <v>2869</v>
      </c>
      <c r="P420" s="1" t="s">
        <v>2870</v>
      </c>
      <c r="Q420" s="1">
        <v>1</v>
      </c>
    </row>
    <row r="421" spans="1:17">
      <c r="A421" s="1" t="s">
        <v>5820</v>
      </c>
      <c r="B421" s="1" t="s">
        <v>330</v>
      </c>
      <c r="C421" s="1" t="s">
        <v>271</v>
      </c>
      <c r="D421" s="19" t="s">
        <v>630</v>
      </c>
      <c r="E421" s="15" t="str">
        <f>HYPERLINK("https://stat100.ameba.jp/tnk47/ratio20/illustrations/card/ill_48283_0_kyuubitamamonomae03.jpg?201908-i_prefecture_active_user", "■")</f>
        <v>■</v>
      </c>
      <c r="F421" s="1" t="s">
        <v>631</v>
      </c>
      <c r="G421" s="1">
        <v>94236</v>
      </c>
      <c r="H421" s="1">
        <v>83712</v>
      </c>
      <c r="I421" s="1">
        <v>15</v>
      </c>
      <c r="J421" s="1" t="s">
        <v>320</v>
      </c>
      <c r="K421" s="1" t="s">
        <v>632</v>
      </c>
      <c r="L421" s="1" t="s">
        <v>633</v>
      </c>
      <c r="M421" s="1" t="s">
        <v>9158</v>
      </c>
      <c r="N421" s="1" t="s">
        <v>9158</v>
      </c>
      <c r="O421" s="1" t="s">
        <v>9158</v>
      </c>
      <c r="P421" s="1" t="s">
        <v>9158</v>
      </c>
      <c r="Q421" s="1" t="s">
        <v>9158</v>
      </c>
    </row>
    <row r="422" spans="1:17">
      <c r="A422" s="1">
        <v>83283</v>
      </c>
      <c r="B422" s="1" t="s">
        <v>334</v>
      </c>
      <c r="C422" s="1" t="s">
        <v>271</v>
      </c>
      <c r="D422" s="19" t="s">
        <v>10521</v>
      </c>
      <c r="E422" s="15" t="str">
        <f>HYPERLINK("https://stat100.ameba.jp/tnk47/ratio20/illustrations/card/ill_83283_suikawarihondatadakatsu03.jpg?201908-i_prefecture_active_user", "■")</f>
        <v>■</v>
      </c>
      <c r="F422" s="1" t="s">
        <v>6431</v>
      </c>
      <c r="G422" s="1">
        <v>176200</v>
      </c>
      <c r="H422" s="1">
        <v>99132</v>
      </c>
      <c r="I422" s="1">
        <v>24</v>
      </c>
      <c r="J422" s="1" t="s">
        <v>310</v>
      </c>
      <c r="K422" s="1" t="s">
        <v>6430</v>
      </c>
      <c r="L422" s="1" t="s">
        <v>6429</v>
      </c>
      <c r="M422" s="1" t="s">
        <v>9158</v>
      </c>
      <c r="N422" s="1" t="s">
        <v>9158</v>
      </c>
      <c r="O422" s="1" t="s">
        <v>9158</v>
      </c>
      <c r="P422" s="1" t="s">
        <v>9158</v>
      </c>
      <c r="Q422" s="1" t="s">
        <v>9158</v>
      </c>
    </row>
    <row r="423" spans="1:17">
      <c r="A423" s="1">
        <v>74323</v>
      </c>
      <c r="B423" s="1" t="s">
        <v>334</v>
      </c>
      <c r="C423" s="1" t="s">
        <v>165</v>
      </c>
      <c r="D423" s="19" t="s">
        <v>10222</v>
      </c>
      <c r="E423" s="15" t="str">
        <f>HYPERLINK("https://stat100.ameba.jp/tnk47/ratio20/illustrations/card/ill_74323_nadanosake03.jpg?201908-i_prefecture_active_user", "■")</f>
        <v>■</v>
      </c>
      <c r="F423" s="1" t="s">
        <v>6434</v>
      </c>
      <c r="G423" s="1">
        <v>134152</v>
      </c>
      <c r="H423" s="1">
        <v>75467</v>
      </c>
      <c r="I423" s="1">
        <v>23</v>
      </c>
      <c r="J423" s="1" t="s">
        <v>6428</v>
      </c>
      <c r="K423" s="1" t="s">
        <v>6433</v>
      </c>
      <c r="L423" s="1" t="s">
        <v>6432</v>
      </c>
      <c r="M423" s="1" t="s">
        <v>9158</v>
      </c>
      <c r="N423" s="1" t="s">
        <v>9158</v>
      </c>
      <c r="O423" s="1" t="s">
        <v>9158</v>
      </c>
      <c r="P423" s="1" t="s">
        <v>9158</v>
      </c>
      <c r="Q423" s="1" t="s">
        <v>9158</v>
      </c>
    </row>
    <row r="424" spans="1:17">
      <c r="A424" s="1">
        <v>78943</v>
      </c>
      <c r="B424" s="1" t="s">
        <v>334</v>
      </c>
      <c r="C424" s="1" t="s">
        <v>185</v>
      </c>
      <c r="D424" s="19" t="s">
        <v>2953</v>
      </c>
      <c r="E424" s="15" t="str">
        <f>HYPERLINK("https://stat100.ameba.jp/tnk47/ratio20/illustrations/card/ill_78943_idoshiiwaisepo03.jpg?201908-i_prefecture_active_user", "■")</f>
        <v>■</v>
      </c>
      <c r="F424" s="1" t="s">
        <v>6437</v>
      </c>
      <c r="G424" s="1">
        <v>95830</v>
      </c>
      <c r="H424" s="1">
        <v>89121</v>
      </c>
      <c r="I424" s="1">
        <v>23</v>
      </c>
      <c r="J424" s="1" t="s">
        <v>320</v>
      </c>
      <c r="K424" s="1" t="s">
        <v>6436</v>
      </c>
      <c r="L424" s="1" t="s">
        <v>6435</v>
      </c>
      <c r="M424" s="1" t="s">
        <v>9158</v>
      </c>
      <c r="N424" s="1" t="s">
        <v>9158</v>
      </c>
      <c r="O424" s="1" t="s">
        <v>9158</v>
      </c>
      <c r="P424" s="1" t="s">
        <v>9158</v>
      </c>
      <c r="Q424" s="1" t="s">
        <v>9158</v>
      </c>
    </row>
    <row r="425" spans="1:17">
      <c r="A425" s="1">
        <v>59113</v>
      </c>
      <c r="B425" s="1" t="s">
        <v>348</v>
      </c>
      <c r="C425" s="1" t="s">
        <v>185</v>
      </c>
      <c r="D425" s="19" t="s">
        <v>2898</v>
      </c>
      <c r="E425" s="15" t="str">
        <f>HYPERLINK("https://stat100.ameba.jp/tnk47/ratio20/illustrations/card/ill_59113_hananodayunakanotakeko03.jpg?201908-i_prefecture_active_user", "■")</f>
        <v>■</v>
      </c>
      <c r="F425" s="1" t="s">
        <v>2899</v>
      </c>
      <c r="G425" s="1">
        <v>68172</v>
      </c>
      <c r="H425" s="1">
        <v>61832</v>
      </c>
      <c r="I425" s="1">
        <v>23</v>
      </c>
      <c r="J425" s="1" t="s">
        <v>310</v>
      </c>
      <c r="K425" s="1" t="s">
        <v>2900</v>
      </c>
      <c r="L425" s="1" t="s">
        <v>1525</v>
      </c>
      <c r="M425" s="1" t="s">
        <v>9158</v>
      </c>
      <c r="N425" s="1" t="s">
        <v>9158</v>
      </c>
      <c r="O425" s="1" t="s">
        <v>9158</v>
      </c>
      <c r="P425" s="1" t="s">
        <v>9158</v>
      </c>
      <c r="Q425" s="1" t="s">
        <v>9158</v>
      </c>
    </row>
    <row r="426" spans="1:17">
      <c r="A426" s="1">
        <v>66723</v>
      </c>
      <c r="B426" s="1" t="s">
        <v>15</v>
      </c>
      <c r="C426" s="1" t="s">
        <v>206</v>
      </c>
      <c r="D426" s="19" t="s">
        <v>10394</v>
      </c>
      <c r="E426" s="15" t="str">
        <f>HYPERLINK("https://stat100.ameba.jp/tnk47/ratio20/illustrations/card/ill_66723_shogiamanozume03.jpg?201908-i_prefecture_active_user", "■")</f>
        <v>■</v>
      </c>
      <c r="F426" s="1" t="s">
        <v>4359</v>
      </c>
      <c r="G426" s="1">
        <v>68172</v>
      </c>
      <c r="H426" s="1">
        <v>61832</v>
      </c>
      <c r="I426" s="1">
        <v>23</v>
      </c>
      <c r="J426" s="1" t="s">
        <v>44</v>
      </c>
      <c r="K426" s="1" t="s">
        <v>3541</v>
      </c>
      <c r="L426" s="1" t="s">
        <v>3271</v>
      </c>
      <c r="M426" s="1" t="s">
        <v>9158</v>
      </c>
      <c r="N426" s="1" t="s">
        <v>9158</v>
      </c>
      <c r="O426" s="1" t="s">
        <v>9158</v>
      </c>
      <c r="P426" s="1" t="s">
        <v>9158</v>
      </c>
      <c r="Q426" s="1" t="s">
        <v>9158</v>
      </c>
    </row>
    <row r="427" spans="1:17">
      <c r="A427" s="1">
        <v>53673</v>
      </c>
      <c r="B427" s="1" t="s">
        <v>15</v>
      </c>
      <c r="C427" s="1" t="s">
        <v>205</v>
      </c>
      <c r="D427" s="19" t="s">
        <v>10395</v>
      </c>
      <c r="E427" s="15" t="str">
        <f>HYPERLINK("https://stat100.ameba.jp/tnk47/ratio20/illustrations/card/ill_53673_kanibaruizumonokuni03.jpg?201908-i_prefecture_active_user", "■")</f>
        <v>■</v>
      </c>
      <c r="F427" s="1" t="s">
        <v>5813</v>
      </c>
      <c r="G427" s="1">
        <v>68172</v>
      </c>
      <c r="H427" s="1">
        <v>61832</v>
      </c>
      <c r="I427" s="1">
        <v>23</v>
      </c>
      <c r="J427" s="1" t="s">
        <v>10</v>
      </c>
      <c r="K427" s="1" t="s">
        <v>5814</v>
      </c>
      <c r="L427" s="1" t="s">
        <v>5815</v>
      </c>
      <c r="M427" s="1" t="s">
        <v>9158</v>
      </c>
      <c r="N427" s="1" t="s">
        <v>9158</v>
      </c>
      <c r="O427" s="1" t="s">
        <v>9158</v>
      </c>
      <c r="P427" s="1" t="s">
        <v>9158</v>
      </c>
      <c r="Q427" s="1" t="s">
        <v>9158</v>
      </c>
    </row>
    <row r="429" spans="1:17">
      <c r="A429" s="1" t="s">
        <v>946</v>
      </c>
    </row>
    <row r="430" spans="1:17">
      <c r="A430" s="1" t="s">
        <v>6439</v>
      </c>
    </row>
    <row r="431" spans="1:17">
      <c r="A431" s="1" t="s">
        <v>5642</v>
      </c>
      <c r="B431" s="1" t="s">
        <v>330</v>
      </c>
      <c r="C431" s="1" t="s">
        <v>185</v>
      </c>
      <c r="D431" s="19" t="s">
        <v>3086</v>
      </c>
      <c r="E431" s="15" t="str">
        <f>HYPERLINK("https://stat100.ameba.jp/tnk47/ratio20/illustrations/card/ill_69593_0_setsubunyukionna03.jpg?201908-i_prefecture_active_user", "■")</f>
        <v>■</v>
      </c>
      <c r="F431" s="1" t="s">
        <v>3087</v>
      </c>
      <c r="G431" s="1">
        <v>107146</v>
      </c>
      <c r="H431" s="1">
        <v>115249</v>
      </c>
      <c r="I431" s="1">
        <v>15</v>
      </c>
      <c r="J431" s="1" t="s">
        <v>320</v>
      </c>
      <c r="K431" s="1" t="s">
        <v>3088</v>
      </c>
      <c r="L431" s="1" t="s">
        <v>3089</v>
      </c>
      <c r="M431" s="1" t="s">
        <v>9158</v>
      </c>
      <c r="N431" s="1" t="s">
        <v>9158</v>
      </c>
      <c r="O431" s="19" t="s">
        <v>3090</v>
      </c>
      <c r="P431" s="1" t="s">
        <v>3091</v>
      </c>
      <c r="Q431" s="1">
        <v>2</v>
      </c>
    </row>
    <row r="432" spans="1:17">
      <c r="A432" s="1" t="s">
        <v>5618</v>
      </c>
      <c r="B432" s="1" t="s">
        <v>52</v>
      </c>
      <c r="C432" s="1" t="s">
        <v>23</v>
      </c>
      <c r="D432" s="19" t="s">
        <v>665</v>
      </c>
      <c r="E432" s="15" t="str">
        <f>HYPERLINK("https://stat100.ameba.jp/tnk47/ratio20/illustrations/card/ill_63173_0_minazukikonakaiteruko03.jpg?201908-i_prefecture_active_user", "■")</f>
        <v>■</v>
      </c>
      <c r="F432" s="1" t="s">
        <v>1188</v>
      </c>
      <c r="G432" s="1">
        <v>130194</v>
      </c>
      <c r="H432" s="1">
        <v>140016</v>
      </c>
      <c r="I432" s="1">
        <v>15</v>
      </c>
      <c r="J432" s="1" t="s">
        <v>143</v>
      </c>
      <c r="K432" s="1" t="s">
        <v>1189</v>
      </c>
      <c r="L432" s="1" t="s">
        <v>1190</v>
      </c>
      <c r="M432" s="1" t="s">
        <v>9158</v>
      </c>
      <c r="N432" s="1" t="s">
        <v>9158</v>
      </c>
      <c r="O432" s="19" t="s">
        <v>10079</v>
      </c>
      <c r="P432" s="1" t="s">
        <v>3329</v>
      </c>
      <c r="Q432" s="1">
        <v>1</v>
      </c>
    </row>
    <row r="433" spans="1:17">
      <c r="A433" s="1" t="s">
        <v>6132</v>
      </c>
      <c r="B433" s="1" t="s">
        <v>52</v>
      </c>
      <c r="C433" s="1" t="s">
        <v>205</v>
      </c>
      <c r="D433" s="19" t="s">
        <v>702</v>
      </c>
      <c r="E433" s="15" t="str">
        <f>HYPERLINK("https://stat100.ameba.jp/tnk47/ratio20/illustrations/card/ill_50693_0_hanamizugimimuratsuru03.jpg?201908-i_prefecture_active_user", "■")</f>
        <v>■</v>
      </c>
      <c r="F433" s="1" t="s">
        <v>2282</v>
      </c>
      <c r="G433" s="1">
        <v>83712</v>
      </c>
      <c r="H433" s="1">
        <v>94236</v>
      </c>
      <c r="I433" s="1">
        <v>15</v>
      </c>
      <c r="J433" s="1" t="s">
        <v>143</v>
      </c>
      <c r="K433" s="1" t="s">
        <v>2283</v>
      </c>
      <c r="L433" s="1" t="s">
        <v>2284</v>
      </c>
      <c r="M433" s="1" t="s">
        <v>9158</v>
      </c>
      <c r="N433" s="1" t="s">
        <v>9158</v>
      </c>
      <c r="O433" s="1" t="s">
        <v>9158</v>
      </c>
      <c r="P433" s="1" t="s">
        <v>9158</v>
      </c>
      <c r="Q433" s="1" t="s">
        <v>9158</v>
      </c>
    </row>
    <row r="434" spans="1:17">
      <c r="A434" s="1">
        <v>83273</v>
      </c>
      <c r="B434" s="1" t="s">
        <v>334</v>
      </c>
      <c r="C434" s="1" t="s">
        <v>14</v>
      </c>
      <c r="D434" s="19" t="s">
        <v>10522</v>
      </c>
      <c r="E434" s="15" t="str">
        <f>HYPERLINK("https://stat100.ameba.jp/tnk47/ratio20/illustrations/card/ill_83273_suikawariebinarin03.jpg?201908-i_prefecture_active_user", "■")</f>
        <v>■</v>
      </c>
      <c r="F434" s="1" t="s">
        <v>6443</v>
      </c>
      <c r="G434" s="1">
        <v>67636</v>
      </c>
      <c r="H434" s="1">
        <v>120204</v>
      </c>
      <c r="I434" s="1">
        <v>24</v>
      </c>
      <c r="J434" s="1" t="s">
        <v>6442</v>
      </c>
      <c r="K434" s="1" t="s">
        <v>6441</v>
      </c>
      <c r="L434" s="1" t="s">
        <v>6440</v>
      </c>
      <c r="M434" s="1" t="s">
        <v>9158</v>
      </c>
      <c r="N434" s="1" t="s">
        <v>9158</v>
      </c>
      <c r="O434" s="1" t="s">
        <v>9158</v>
      </c>
      <c r="P434" s="1" t="s">
        <v>9158</v>
      </c>
      <c r="Q434" s="1" t="s">
        <v>9158</v>
      </c>
    </row>
    <row r="435" spans="1:17">
      <c r="A435" s="1">
        <v>67533</v>
      </c>
      <c r="B435" s="1" t="s">
        <v>334</v>
      </c>
      <c r="C435" s="1" t="s">
        <v>206</v>
      </c>
      <c r="D435" s="19" t="s">
        <v>890</v>
      </c>
      <c r="E435" s="15" t="str">
        <f>HYPERLINK("https://stat100.ameba.jp/tnk47/ratio20/illustrations/card/ill_67533_makkurazore03.jpg?201908-i_prefecture_active_user", "■")</f>
        <v>■</v>
      </c>
      <c r="F435" s="1" t="s">
        <v>891</v>
      </c>
      <c r="G435" s="1">
        <v>64817</v>
      </c>
      <c r="H435" s="1">
        <v>115195</v>
      </c>
      <c r="I435" s="1">
        <v>23</v>
      </c>
      <c r="J435" s="1" t="s">
        <v>320</v>
      </c>
      <c r="K435" s="1" t="s">
        <v>892</v>
      </c>
      <c r="L435" s="1" t="s">
        <v>893</v>
      </c>
      <c r="M435" s="1" t="s">
        <v>9158</v>
      </c>
      <c r="N435" s="1" t="s">
        <v>9158</v>
      </c>
      <c r="O435" s="1" t="s">
        <v>9158</v>
      </c>
      <c r="P435" s="1" t="s">
        <v>9158</v>
      </c>
      <c r="Q435" s="1" t="s">
        <v>9158</v>
      </c>
    </row>
    <row r="436" spans="1:17">
      <c r="A436" s="1">
        <v>62193</v>
      </c>
      <c r="B436" s="1" t="s">
        <v>334</v>
      </c>
      <c r="C436" s="1" t="s">
        <v>191</v>
      </c>
      <c r="D436" s="19" t="s">
        <v>10523</v>
      </c>
      <c r="E436" s="15" t="str">
        <f>HYPERLINK("https://stat100.ameba.jp/tnk47/ratio20/illustrations/card/ill_62193_sakakibaramichiko03.jpg?201908-i_prefecture_active_user", "■")</f>
        <v>■</v>
      </c>
      <c r="F436" s="1" t="s">
        <v>967</v>
      </c>
      <c r="G436" s="1">
        <v>83499</v>
      </c>
      <c r="H436" s="1">
        <v>89839</v>
      </c>
      <c r="I436" s="1">
        <v>23</v>
      </c>
      <c r="J436" s="1" t="s">
        <v>77</v>
      </c>
      <c r="K436" s="1" t="s">
        <v>968</v>
      </c>
      <c r="L436" s="1" t="s">
        <v>969</v>
      </c>
      <c r="M436" s="1" t="s">
        <v>9158</v>
      </c>
      <c r="N436" s="1" t="s">
        <v>9158</v>
      </c>
      <c r="O436" s="1" t="s">
        <v>9158</v>
      </c>
      <c r="P436" s="1" t="s">
        <v>9158</v>
      </c>
      <c r="Q436" s="1" t="s">
        <v>9158</v>
      </c>
    </row>
    <row r="437" spans="1:17">
      <c r="A437" s="1">
        <v>78043</v>
      </c>
      <c r="B437" s="1" t="s">
        <v>15</v>
      </c>
      <c r="C437" s="1" t="s">
        <v>165</v>
      </c>
      <c r="D437" s="19" t="s">
        <v>10398</v>
      </c>
      <c r="E437" s="15" t="str">
        <f>HYPERLINK("https://stat100.ameba.jp/tnk47/ratio20/illustrations/card/ill_78043_yushinaishinno03.jpg?201908-i_prefecture_active_user", "■")</f>
        <v>■</v>
      </c>
      <c r="F437" s="1" t="s">
        <v>2213</v>
      </c>
      <c r="G437" s="1">
        <v>61832</v>
      </c>
      <c r="H437" s="1">
        <v>68172</v>
      </c>
      <c r="I437" s="1">
        <v>23</v>
      </c>
      <c r="J437" s="1" t="s">
        <v>16</v>
      </c>
      <c r="K437" s="1" t="s">
        <v>2214</v>
      </c>
      <c r="L437" s="1" t="s">
        <v>981</v>
      </c>
      <c r="M437" s="1" t="s">
        <v>9158</v>
      </c>
      <c r="N437" s="1" t="s">
        <v>9158</v>
      </c>
      <c r="O437" s="1" t="s">
        <v>9158</v>
      </c>
      <c r="P437" s="1" t="s">
        <v>9158</v>
      </c>
      <c r="Q437" s="1" t="s">
        <v>9158</v>
      </c>
    </row>
    <row r="438" spans="1:17">
      <c r="A438" s="1">
        <v>60103</v>
      </c>
      <c r="B438" s="1" t="s">
        <v>15</v>
      </c>
      <c r="C438" s="1" t="s">
        <v>206</v>
      </c>
      <c r="D438" s="19" t="s">
        <v>10399</v>
      </c>
      <c r="E438" s="15" t="str">
        <f>HYPERLINK("https://stat100.ameba.jp/tnk47/ratio20/illustrations/card/ill_60103_bukibidorozaikuchan03.jpg?201908-i_prefecture_active_user", "■")</f>
        <v>■</v>
      </c>
      <c r="F438" s="1" t="s">
        <v>5831</v>
      </c>
      <c r="G438" s="1">
        <v>61832</v>
      </c>
      <c r="H438" s="1">
        <v>68172</v>
      </c>
      <c r="I438" s="1">
        <v>23</v>
      </c>
      <c r="J438" s="1" t="s">
        <v>26</v>
      </c>
      <c r="K438" s="1" t="s">
        <v>5832</v>
      </c>
      <c r="L438" s="1" t="s">
        <v>5833</v>
      </c>
      <c r="M438" s="1" t="s">
        <v>9158</v>
      </c>
      <c r="N438" s="1" t="s">
        <v>9158</v>
      </c>
      <c r="O438" s="1" t="s">
        <v>9158</v>
      </c>
      <c r="P438" s="1" t="s">
        <v>9158</v>
      </c>
      <c r="Q438" s="1" t="s">
        <v>9158</v>
      </c>
    </row>
    <row r="439" spans="1:17">
      <c r="A439" s="1">
        <v>75003</v>
      </c>
      <c r="B439" s="1" t="s">
        <v>15</v>
      </c>
      <c r="C439" s="1" t="s">
        <v>191</v>
      </c>
      <c r="D439" s="19" t="s">
        <v>10400</v>
      </c>
      <c r="E439" s="15" t="str">
        <f>HYPERLINK("https://stat100.ameba.jp/tnk47/ratio20/illustrations/card/ill_75003_kogetsunowa03.jpg?201908-i_prefecture_active_user", "■")</f>
        <v>■</v>
      </c>
      <c r="F439" s="1" t="s">
        <v>5834</v>
      </c>
      <c r="G439" s="1">
        <v>61832</v>
      </c>
      <c r="H439" s="1">
        <v>68172</v>
      </c>
      <c r="I439" s="1">
        <v>23</v>
      </c>
      <c r="J439" s="1" t="s">
        <v>38</v>
      </c>
      <c r="K439" s="1" t="s">
        <v>5835</v>
      </c>
      <c r="L439" s="1" t="s">
        <v>1753</v>
      </c>
      <c r="M439" s="1" t="s">
        <v>9158</v>
      </c>
      <c r="N439" s="1" t="s">
        <v>9158</v>
      </c>
      <c r="O439" s="1" t="s">
        <v>9158</v>
      </c>
      <c r="P439" s="1" t="s">
        <v>9158</v>
      </c>
      <c r="Q439" s="1" t="s">
        <v>9158</v>
      </c>
    </row>
    <row r="441" spans="1:17">
      <c r="A441" s="1" t="s">
        <v>2075</v>
      </c>
    </row>
    <row r="442" spans="1:17">
      <c r="A442" s="1" t="s">
        <v>6572</v>
      </c>
    </row>
    <row r="443" spans="1:17">
      <c r="A443" s="1" t="s">
        <v>6438</v>
      </c>
      <c r="B443" s="1" t="s">
        <v>330</v>
      </c>
      <c r="C443" s="1" t="s">
        <v>185</v>
      </c>
      <c r="D443" s="19" t="s">
        <v>698</v>
      </c>
      <c r="E443" s="15" t="str">
        <f>HYPERLINK("https://stat100.ameba.jp/tnk47/ratio20/illustrations/card/ill_66433_0_haroinfujishirogozen03.jpg?201908-i_prefecture_active_user", "■")</f>
        <v>■</v>
      </c>
      <c r="F443" s="1" t="s">
        <v>1243</v>
      </c>
      <c r="G443" s="1">
        <v>128531</v>
      </c>
      <c r="H443" s="1">
        <v>138251</v>
      </c>
      <c r="I443" s="1">
        <v>21</v>
      </c>
      <c r="J443" s="1" t="s">
        <v>77</v>
      </c>
      <c r="K443" s="1" t="s">
        <v>1244</v>
      </c>
      <c r="L443" s="1" t="s">
        <v>1245</v>
      </c>
      <c r="M443" s="1" t="s">
        <v>9158</v>
      </c>
      <c r="N443" s="1" t="s">
        <v>9158</v>
      </c>
      <c r="O443" s="19" t="s">
        <v>10095</v>
      </c>
      <c r="P443" s="1" t="s">
        <v>3345</v>
      </c>
      <c r="Q443" s="1">
        <v>1</v>
      </c>
    </row>
    <row r="444" spans="1:17">
      <c r="A444" s="1">
        <v>58743</v>
      </c>
      <c r="B444" s="1" t="s">
        <v>334</v>
      </c>
      <c r="C444" s="1" t="s">
        <v>209</v>
      </c>
      <c r="D444" s="19" t="s">
        <v>10273</v>
      </c>
      <c r="E444" s="15" t="str">
        <f>HYPERLINK("https://stat100.ameba.jp/tnk47/ratio20/illustrations/card/ill_58743_enkirienoki03.jpg?201908-i_prefecture_active_user", "■")</f>
        <v>■</v>
      </c>
      <c r="F444" s="1" t="s">
        <v>2550</v>
      </c>
      <c r="G444" s="1">
        <v>69599</v>
      </c>
      <c r="H444" s="1">
        <v>94922</v>
      </c>
      <c r="I444" s="1">
        <v>23</v>
      </c>
      <c r="J444" s="1" t="s">
        <v>44</v>
      </c>
      <c r="K444" s="1" t="s">
        <v>2551</v>
      </c>
      <c r="L444" s="1" t="s">
        <v>95</v>
      </c>
      <c r="M444" s="1" t="s">
        <v>9158</v>
      </c>
      <c r="N444" s="1" t="s">
        <v>9158</v>
      </c>
      <c r="O444" s="19" t="s">
        <v>10091</v>
      </c>
      <c r="P444" s="1" t="s">
        <v>3670</v>
      </c>
      <c r="Q444" s="1">
        <v>1</v>
      </c>
    </row>
    <row r="445" spans="1:17">
      <c r="A445" s="1">
        <v>56183</v>
      </c>
      <c r="B445" s="1" t="s">
        <v>0</v>
      </c>
      <c r="C445" s="1" t="s">
        <v>191</v>
      </c>
      <c r="D445" s="19" t="s">
        <v>10333</v>
      </c>
      <c r="E445" s="15" t="str">
        <f>HYPERLINK("https://stat100.ameba.jp/tnk47/ratio20/illustrations/card/ill_56183_onsempanikkukoteipenginchan03.jpg?201908-i_prefecture_active_user", "■")</f>
        <v>■</v>
      </c>
      <c r="F445" s="1" t="s">
        <v>2025</v>
      </c>
      <c r="G445" s="1">
        <v>88650</v>
      </c>
      <c r="H445" s="1">
        <v>82422</v>
      </c>
      <c r="I445" s="1">
        <v>23</v>
      </c>
      <c r="J445" s="1" t="s">
        <v>229</v>
      </c>
      <c r="K445" s="1" t="s">
        <v>2026</v>
      </c>
      <c r="L445" s="1" t="s">
        <v>13170</v>
      </c>
      <c r="M445" s="1" t="s">
        <v>9158</v>
      </c>
      <c r="N445" s="1" t="s">
        <v>9158</v>
      </c>
      <c r="O445" s="19" t="s">
        <v>10073</v>
      </c>
      <c r="P445" s="1" t="s">
        <v>3895</v>
      </c>
      <c r="Q445" s="1">
        <v>1</v>
      </c>
    </row>
    <row r="446" spans="1:17">
      <c r="A446" s="1">
        <v>80753</v>
      </c>
      <c r="B446" s="1" t="s">
        <v>334</v>
      </c>
      <c r="C446" s="1" t="s">
        <v>41</v>
      </c>
      <c r="D446" s="19" t="s">
        <v>10524</v>
      </c>
      <c r="E446" s="15" t="str">
        <f>HYPERLINK("https://stat100.ameba.jp/tnk47/ratio20/illustrations/card/ill_80753_hakubutsukannojoze03.jpg?201908-i_prefecture_active_user", "■")</f>
        <v>■</v>
      </c>
      <c r="F446" s="1" t="s">
        <v>4318</v>
      </c>
      <c r="G446" s="1">
        <v>75627</v>
      </c>
      <c r="H446" s="1">
        <v>104385</v>
      </c>
      <c r="I446" s="1">
        <v>23</v>
      </c>
      <c r="J446" s="1" t="s">
        <v>38</v>
      </c>
      <c r="K446" s="1" t="s">
        <v>4319</v>
      </c>
      <c r="L446" s="1" t="s">
        <v>4320</v>
      </c>
      <c r="M446" s="1" t="s">
        <v>9158</v>
      </c>
      <c r="N446" s="1" t="s">
        <v>9158</v>
      </c>
      <c r="O446" s="19" t="s">
        <v>10074</v>
      </c>
      <c r="P446" s="1" t="s">
        <v>3592</v>
      </c>
      <c r="Q446" s="1">
        <v>1</v>
      </c>
    </row>
    <row r="448" spans="1:17">
      <c r="A448" s="1" t="s">
        <v>6444</v>
      </c>
    </row>
    <row r="449" spans="1:17">
      <c r="A449" s="1" t="s">
        <v>6445</v>
      </c>
    </row>
    <row r="450" spans="1:17">
      <c r="A450" s="1" t="s">
        <v>5843</v>
      </c>
      <c r="B450" s="1" t="s">
        <v>52</v>
      </c>
      <c r="C450" s="1" t="s">
        <v>202</v>
      </c>
      <c r="D450" s="19" t="s">
        <v>10291</v>
      </c>
      <c r="E450" s="15" t="str">
        <f>HYPERLINK("https://stat100.ameba.jp/tnk47/ratio20/illustrations/card/ill_77963_0_kurisumasudaisakusentakiyashahime03.jpg?201908-5-RELEASE-marathon-426", "■")</f>
        <v>■</v>
      </c>
      <c r="F450" s="1" t="s">
        <v>2127</v>
      </c>
      <c r="G450" s="1">
        <v>294746</v>
      </c>
      <c r="H450" s="1">
        <v>266388</v>
      </c>
      <c r="I450" s="1">
        <v>24</v>
      </c>
      <c r="J450" s="1" t="s">
        <v>77</v>
      </c>
      <c r="K450" s="1" t="s">
        <v>2128</v>
      </c>
      <c r="L450" s="1" t="s">
        <v>2129</v>
      </c>
      <c r="M450" s="1" t="s">
        <v>9158</v>
      </c>
      <c r="N450" s="1" t="s">
        <v>9158</v>
      </c>
      <c r="O450" s="19" t="s">
        <v>10107</v>
      </c>
      <c r="P450" s="1" t="s">
        <v>3589</v>
      </c>
      <c r="Q450" s="1">
        <v>2</v>
      </c>
    </row>
    <row r="451" spans="1:17">
      <c r="A451" s="1">
        <v>75093</v>
      </c>
      <c r="B451" s="1" t="s">
        <v>334</v>
      </c>
      <c r="C451" s="1" t="s">
        <v>158</v>
      </c>
      <c r="D451" s="19" t="s">
        <v>10403</v>
      </c>
      <c r="E451" s="15" t="str">
        <f>HYPERLINK("https://stat100.ameba.jp/tnk47/ratio20/illustrations/card/ill_75093_hangonko03.jpg?201908-5-RELEASE-marathon-426", "■")</f>
        <v>■</v>
      </c>
      <c r="F451" s="1" t="s">
        <v>2614</v>
      </c>
      <c r="G451" s="1">
        <v>126858</v>
      </c>
      <c r="H451" s="1">
        <v>91876</v>
      </c>
      <c r="I451" s="1">
        <v>24</v>
      </c>
      <c r="J451" s="1" t="s">
        <v>44</v>
      </c>
      <c r="K451" s="1" t="s">
        <v>2615</v>
      </c>
      <c r="L451" s="1" t="s">
        <v>1108</v>
      </c>
      <c r="M451" s="1" t="s">
        <v>9158</v>
      </c>
      <c r="N451" s="1" t="s">
        <v>9158</v>
      </c>
      <c r="O451" s="19" t="s">
        <v>2951</v>
      </c>
      <c r="P451" s="1" t="s">
        <v>13122</v>
      </c>
      <c r="Q451" s="1">
        <v>1</v>
      </c>
    </row>
    <row r="452" spans="1:17">
      <c r="A452" s="1">
        <v>67993</v>
      </c>
      <c r="B452" s="1" t="s">
        <v>334</v>
      </c>
      <c r="C452" s="1" t="s">
        <v>205</v>
      </c>
      <c r="D452" s="19" t="s">
        <v>10183</v>
      </c>
      <c r="E452" s="15" t="str">
        <f>HYPERLINK("https://stat100.ameba.jp/tnk47/ratio20/illustrations/card/ill_67993_kurisumasupateikanekomisuzu03.jpg?201908-5-RELEASE-marathon-426", "■")</f>
        <v>■</v>
      </c>
      <c r="F452" s="1" t="s">
        <v>1286</v>
      </c>
      <c r="G452" s="1">
        <v>93746</v>
      </c>
      <c r="H452" s="1">
        <v>87128</v>
      </c>
      <c r="I452" s="1">
        <v>24</v>
      </c>
      <c r="J452" s="1" t="s">
        <v>10</v>
      </c>
      <c r="K452" s="1" t="s">
        <v>2547</v>
      </c>
      <c r="L452" s="1" t="s">
        <v>2548</v>
      </c>
      <c r="M452" s="1" t="s">
        <v>9158</v>
      </c>
      <c r="N452" s="1" t="s">
        <v>9158</v>
      </c>
      <c r="O452" s="19" t="s">
        <v>10086</v>
      </c>
      <c r="P452" s="1" t="s">
        <v>3701</v>
      </c>
      <c r="Q452" s="1">
        <v>1</v>
      </c>
    </row>
    <row r="453" spans="1:17">
      <c r="A453" s="1">
        <v>75883</v>
      </c>
      <c r="B453" s="1" t="s">
        <v>334</v>
      </c>
      <c r="C453" s="1" t="s">
        <v>154</v>
      </c>
      <c r="D453" s="19" t="s">
        <v>10402</v>
      </c>
      <c r="E453" s="15" t="str">
        <f>HYPERLINK("https://stat100.ameba.jp/tnk47/ratio20/illustrations/card/ill_75883_kitajokagehiro03.jpg?201908-5-RELEASE-marathon-426", "■")</f>
        <v>■</v>
      </c>
      <c r="F453" s="1" t="s">
        <v>2411</v>
      </c>
      <c r="G453" s="1">
        <v>115656</v>
      </c>
      <c r="H453" s="1">
        <v>159674</v>
      </c>
      <c r="I453" s="1">
        <v>24</v>
      </c>
      <c r="J453" s="1" t="s">
        <v>143</v>
      </c>
      <c r="K453" s="1" t="s">
        <v>2412</v>
      </c>
      <c r="L453" s="1" t="s">
        <v>1148</v>
      </c>
      <c r="M453" s="1" t="s">
        <v>9158</v>
      </c>
      <c r="N453" s="1" t="s">
        <v>9158</v>
      </c>
      <c r="O453" s="19" t="s">
        <v>10106</v>
      </c>
      <c r="P453" s="1" t="s">
        <v>3330</v>
      </c>
      <c r="Q453" s="1">
        <v>2</v>
      </c>
    </row>
    <row r="455" spans="1:17">
      <c r="A455" s="1" t="s">
        <v>6446</v>
      </c>
    </row>
    <row r="456" spans="1:17">
      <c r="A456" s="1" t="s">
        <v>6447</v>
      </c>
    </row>
    <row r="457" spans="1:17">
      <c r="A457" s="1" t="s">
        <v>5626</v>
      </c>
      <c r="B457" s="1" t="s">
        <v>330</v>
      </c>
      <c r="C457" s="1" t="s">
        <v>200</v>
      </c>
      <c r="D457" s="19" t="s">
        <v>3160</v>
      </c>
      <c r="E457" s="15" t="str">
        <f>HYPERLINK("https://stat100.ameba.jp/tnk47/ratio20/illustrations/card/ill_72963_0_amenohanayomehiguchiichiyo03.jpg?201908-5-RELEASE-marathon-426", "■")</f>
        <v>■</v>
      </c>
      <c r="F457" s="1" t="s">
        <v>1139</v>
      </c>
      <c r="G457" s="1">
        <v>100502</v>
      </c>
      <c r="H457" s="1">
        <v>93450</v>
      </c>
      <c r="I457" s="1">
        <v>15</v>
      </c>
      <c r="J457" s="1" t="s">
        <v>173</v>
      </c>
      <c r="K457" s="1" t="s">
        <v>1140</v>
      </c>
      <c r="L457" s="1" t="s">
        <v>1141</v>
      </c>
      <c r="M457" s="1" t="s">
        <v>9158</v>
      </c>
      <c r="N457" s="1" t="s">
        <v>9158</v>
      </c>
      <c r="O457" s="19" t="s">
        <v>3162</v>
      </c>
      <c r="P457" s="1" t="s">
        <v>3410</v>
      </c>
      <c r="Q457" s="1">
        <v>1</v>
      </c>
    </row>
    <row r="458" spans="1:17">
      <c r="A458" s="1" t="s">
        <v>5610</v>
      </c>
      <c r="B458" s="1" t="s">
        <v>330</v>
      </c>
      <c r="C458" s="1" t="s">
        <v>185</v>
      </c>
      <c r="D458" s="19" t="s">
        <v>539</v>
      </c>
      <c r="E458" s="15" t="str">
        <f>HYPERLINK("https://stat100.ameba.jp/tnk47/ratio20/illustrations/card/ill_60633_0_harumaisentoin03.jpg?201908-5-RELEASE-marathon-426", "■")</f>
        <v>■</v>
      </c>
      <c r="F458" s="1" t="s">
        <v>540</v>
      </c>
      <c r="G458" s="1">
        <v>95371</v>
      </c>
      <c r="H458" s="1">
        <v>102590</v>
      </c>
      <c r="I458" s="1">
        <v>15</v>
      </c>
      <c r="J458" s="1" t="s">
        <v>274</v>
      </c>
      <c r="K458" s="1" t="s">
        <v>541</v>
      </c>
      <c r="L458" s="1" t="s">
        <v>542</v>
      </c>
      <c r="M458" s="1" t="s">
        <v>9158</v>
      </c>
      <c r="N458" s="1" t="s">
        <v>9158</v>
      </c>
      <c r="O458" s="19" t="s">
        <v>2888</v>
      </c>
      <c r="P458" s="1" t="s">
        <v>3144</v>
      </c>
      <c r="Q458" s="1">
        <v>1</v>
      </c>
    </row>
    <row r="459" spans="1:17">
      <c r="A459" s="1" t="s">
        <v>5902</v>
      </c>
      <c r="B459" s="1" t="s">
        <v>330</v>
      </c>
      <c r="C459" s="1" t="s">
        <v>206</v>
      </c>
      <c r="D459" s="19" t="s">
        <v>483</v>
      </c>
      <c r="E459" s="15" t="str">
        <f>HYPERLINK("https://stat100.ameba.jp/tnk47/ratio20/illustrations/card/ill_40343_0_heshikirihasebekurodakambe03.jpg?201908-5-RELEASE-marathon-426", "■")</f>
        <v>■</v>
      </c>
      <c r="F459" s="1" t="s">
        <v>906</v>
      </c>
      <c r="G459" s="1">
        <v>87780</v>
      </c>
      <c r="H459" s="1">
        <v>82212</v>
      </c>
      <c r="I459" s="1">
        <v>15</v>
      </c>
      <c r="J459" s="1" t="s">
        <v>16</v>
      </c>
      <c r="K459" s="1" t="s">
        <v>907</v>
      </c>
      <c r="L459" s="1" t="s">
        <v>908</v>
      </c>
      <c r="M459" s="1" t="s">
        <v>9158</v>
      </c>
      <c r="N459" s="1" t="s">
        <v>9158</v>
      </c>
      <c r="O459" s="1" t="s">
        <v>9158</v>
      </c>
      <c r="P459" s="1" t="s">
        <v>9158</v>
      </c>
      <c r="Q459" s="1" t="s">
        <v>9158</v>
      </c>
    </row>
    <row r="460" spans="1:17">
      <c r="A460" s="1">
        <v>76963</v>
      </c>
      <c r="B460" s="1" t="s">
        <v>334</v>
      </c>
      <c r="C460" s="1" t="s">
        <v>154</v>
      </c>
      <c r="D460" s="19" t="s">
        <v>2891</v>
      </c>
      <c r="E460" s="15" t="str">
        <f>HYPERLINK("https://stat100.ameba.jp/tnk47/ratio20/illustrations/card/ill_76963_pavariaojo03.jpg?201908-5-RELEASE-marathon-426", "■")</f>
        <v>■</v>
      </c>
      <c r="F460" s="1" t="s">
        <v>2892</v>
      </c>
      <c r="G460" s="1">
        <v>115746</v>
      </c>
      <c r="H460" s="1">
        <v>65128</v>
      </c>
      <c r="I460" s="1">
        <v>24</v>
      </c>
      <c r="J460" s="1" t="s">
        <v>315</v>
      </c>
      <c r="K460" s="1" t="s">
        <v>2893</v>
      </c>
      <c r="L460" s="1" t="s">
        <v>1432</v>
      </c>
      <c r="M460" s="1" t="s">
        <v>9158</v>
      </c>
      <c r="N460" s="1" t="s">
        <v>9158</v>
      </c>
      <c r="O460" s="1" t="s">
        <v>9158</v>
      </c>
      <c r="P460" s="1" t="s">
        <v>9158</v>
      </c>
      <c r="Q460" s="1" t="s">
        <v>9158</v>
      </c>
    </row>
    <row r="461" spans="1:17">
      <c r="A461" s="1">
        <v>75213</v>
      </c>
      <c r="B461" s="1" t="s">
        <v>0</v>
      </c>
      <c r="C461" s="1" t="s">
        <v>41</v>
      </c>
      <c r="D461" s="19" t="s">
        <v>10525</v>
      </c>
      <c r="E461" s="15" t="str">
        <f>HYPERLINK("https://stat100.ameba.jp/tnk47/ratio20/illustrations/card/ill_75213_rengokunoshishapuratea03.jpg?201908-5-RELEASE-marathon-426", "■")</f>
        <v>■</v>
      </c>
      <c r="F461" s="1" t="s">
        <v>3798</v>
      </c>
      <c r="G461" s="1">
        <v>92478</v>
      </c>
      <c r="H461" s="1">
        <v>99468</v>
      </c>
      <c r="I461" s="1">
        <v>24</v>
      </c>
      <c r="J461" s="1" t="s">
        <v>73</v>
      </c>
      <c r="K461" s="1" t="s">
        <v>3799</v>
      </c>
      <c r="L461" s="1" t="s">
        <v>3379</v>
      </c>
      <c r="M461" s="1" t="s">
        <v>9158</v>
      </c>
      <c r="N461" s="1" t="s">
        <v>9158</v>
      </c>
      <c r="O461" s="19" t="s">
        <v>10122</v>
      </c>
      <c r="P461" s="1" t="s">
        <v>13189</v>
      </c>
      <c r="Q461" s="1">
        <v>1</v>
      </c>
    </row>
    <row r="462" spans="1:17">
      <c r="A462" s="1">
        <v>75973</v>
      </c>
      <c r="B462" s="1" t="s">
        <v>334</v>
      </c>
      <c r="C462" s="1" t="s">
        <v>268</v>
      </c>
      <c r="D462" s="19" t="s">
        <v>1511</v>
      </c>
      <c r="E462" s="15" t="str">
        <f>HYPERLINK("https://stat100.ameba.jp/tnk47/ratio20/illustrations/card/ill_75973_hojonomegamifuriggu03.jpg?201908-5-RELEASE-marathon-426", "■")</f>
        <v>■</v>
      </c>
      <c r="F462" s="1" t="s">
        <v>1512</v>
      </c>
      <c r="G462" s="1">
        <v>99132</v>
      </c>
      <c r="H462" s="1">
        <v>176200</v>
      </c>
      <c r="I462" s="1">
        <v>24</v>
      </c>
      <c r="J462" s="1" t="s">
        <v>283</v>
      </c>
      <c r="K462" s="1" t="s">
        <v>1513</v>
      </c>
      <c r="L462" s="1" t="s">
        <v>1514</v>
      </c>
      <c r="M462" s="1" t="s">
        <v>9158</v>
      </c>
      <c r="N462" s="1" t="s">
        <v>9158</v>
      </c>
      <c r="O462" s="1" t="s">
        <v>9158</v>
      </c>
      <c r="P462" s="1" t="s">
        <v>9158</v>
      </c>
      <c r="Q462" s="1" t="s">
        <v>9158</v>
      </c>
    </row>
    <row r="463" spans="1:17">
      <c r="A463" s="1">
        <v>78223</v>
      </c>
      <c r="B463" s="1" t="s">
        <v>15</v>
      </c>
      <c r="C463" s="1" t="s">
        <v>205</v>
      </c>
      <c r="D463" s="19" t="s">
        <v>10526</v>
      </c>
      <c r="E463" s="15" t="str">
        <f>HYPERLINK("https://stat100.ameba.jp/tnk47/ratio20/illustrations/card/ill_78223_kurenootometsubaki03.jpg?201908-5-RELEASE-marathon-426", "■")</f>
        <v>■</v>
      </c>
      <c r="F463" s="1" t="s">
        <v>2316</v>
      </c>
      <c r="G463" s="1">
        <v>61832</v>
      </c>
      <c r="H463" s="1">
        <v>68172</v>
      </c>
      <c r="I463" s="1">
        <v>23</v>
      </c>
      <c r="J463" s="1" t="s">
        <v>38</v>
      </c>
      <c r="K463" s="1" t="s">
        <v>2317</v>
      </c>
      <c r="L463" s="1" t="s">
        <v>1753</v>
      </c>
      <c r="M463" s="1" t="s">
        <v>9158</v>
      </c>
      <c r="N463" s="1" t="s">
        <v>9158</v>
      </c>
      <c r="O463" s="1" t="s">
        <v>9158</v>
      </c>
      <c r="P463" s="1" t="s">
        <v>9158</v>
      </c>
      <c r="Q463" s="1" t="s">
        <v>9158</v>
      </c>
    </row>
    <row r="464" spans="1:17">
      <c r="A464" s="1">
        <v>77543</v>
      </c>
      <c r="B464" s="1" t="s">
        <v>15</v>
      </c>
      <c r="C464" s="1" t="s">
        <v>165</v>
      </c>
      <c r="D464" s="19" t="s">
        <v>10527</v>
      </c>
      <c r="E464" s="15" t="str">
        <f>HYPERLINK("https://stat100.ameba.jp/tnk47/ratio20/illustrations/card/ill_77543_tsutenkaku03.jpg?201908-5-RELEASE-marathon-426", "■")</f>
        <v>■</v>
      </c>
      <c r="F464" s="1" t="s">
        <v>2009</v>
      </c>
      <c r="G464" s="1">
        <v>68172</v>
      </c>
      <c r="H464" s="1">
        <v>61832</v>
      </c>
      <c r="I464" s="1">
        <v>23</v>
      </c>
      <c r="J464" s="1" t="s">
        <v>26</v>
      </c>
      <c r="K464" s="1" t="s">
        <v>2010</v>
      </c>
      <c r="L464" s="1" t="s">
        <v>2011</v>
      </c>
      <c r="M464" s="1" t="s">
        <v>9158</v>
      </c>
      <c r="N464" s="1" t="s">
        <v>9158</v>
      </c>
      <c r="O464" s="1" t="s">
        <v>9158</v>
      </c>
      <c r="P464" s="1" t="s">
        <v>9158</v>
      </c>
      <c r="Q464" s="1" t="s">
        <v>9158</v>
      </c>
    </row>
    <row r="465" spans="1:18">
      <c r="A465" s="1">
        <v>70973</v>
      </c>
      <c r="B465" s="1" t="s">
        <v>15</v>
      </c>
      <c r="C465" s="1" t="s">
        <v>6452</v>
      </c>
      <c r="D465" s="19" t="s">
        <v>10528</v>
      </c>
      <c r="E465" s="15" t="str">
        <f>HYPERLINK("https://stat100.ameba.jp/tnk47/ratio20/illustrations/card/ill_70973_rozutei03.jpg?201908-5-RELEASE-marathon-426", "■")</f>
        <v>■</v>
      </c>
      <c r="F465" s="1" t="s">
        <v>6451</v>
      </c>
      <c r="G465" s="1">
        <v>61832</v>
      </c>
      <c r="H465" s="1">
        <v>68172</v>
      </c>
      <c r="I465" s="1">
        <v>23</v>
      </c>
      <c r="J465" s="1" t="s">
        <v>6448</v>
      </c>
      <c r="K465" s="1" t="s">
        <v>6450</v>
      </c>
      <c r="L465" s="1" t="s">
        <v>6449</v>
      </c>
      <c r="M465" s="1" t="s">
        <v>9158</v>
      </c>
      <c r="N465" s="1" t="s">
        <v>9158</v>
      </c>
      <c r="O465" s="1" t="s">
        <v>9158</v>
      </c>
      <c r="P465" s="1" t="s">
        <v>9158</v>
      </c>
      <c r="Q465" s="1" t="s">
        <v>9158</v>
      </c>
    </row>
    <row r="467" spans="1:18">
      <c r="A467" s="1" t="s">
        <v>6512</v>
      </c>
    </row>
    <row r="468" spans="1:18">
      <c r="A468" s="1" t="s">
        <v>6453</v>
      </c>
    </row>
    <row r="469" spans="1:18">
      <c r="A469" s="1" t="s">
        <v>5650</v>
      </c>
      <c r="B469" s="1" t="s">
        <v>52</v>
      </c>
      <c r="C469" s="1" t="s">
        <v>23</v>
      </c>
      <c r="D469" s="19" t="s">
        <v>809</v>
      </c>
      <c r="E469" s="15" t="str">
        <f>HYPERLINK("https://stat100.ameba.jp/tnk47/ratio20/illustrations/card/ill_68033_0_kurisumasupateikandamyojin03.jpg?201908-5-RELEASE-marathon-426", "■")</f>
        <v>■</v>
      </c>
      <c r="F469" s="1" t="s">
        <v>1871</v>
      </c>
      <c r="G469" s="1">
        <v>139878</v>
      </c>
      <c r="H469" s="1">
        <v>150466</v>
      </c>
      <c r="I469" s="1">
        <v>22</v>
      </c>
      <c r="J469" s="1" t="s">
        <v>44</v>
      </c>
      <c r="K469" s="1" t="s">
        <v>1872</v>
      </c>
      <c r="L469" s="1" t="s">
        <v>1873</v>
      </c>
      <c r="M469" s="1" t="s">
        <v>9158</v>
      </c>
      <c r="N469" s="1" t="s">
        <v>9158</v>
      </c>
      <c r="O469" s="19" t="s">
        <v>2997</v>
      </c>
      <c r="P469" s="1" t="s">
        <v>3483</v>
      </c>
      <c r="Q469" s="1">
        <v>2</v>
      </c>
    </row>
    <row r="470" spans="1:18">
      <c r="A470" s="1" t="s">
        <v>5613</v>
      </c>
      <c r="B470" s="1" t="s">
        <v>52</v>
      </c>
      <c r="C470" s="1" t="s">
        <v>205</v>
      </c>
      <c r="D470" s="19" t="s">
        <v>313</v>
      </c>
      <c r="E470" s="15" t="str">
        <f>HYPERLINK("https://stat100.ameba.jp/tnk47/ratio20/illustrations/card/ill_56223_0_onsempanikkugohime03.jpg?201908-5-RELEASE-marathon-426", "■")</f>
        <v>■</v>
      </c>
      <c r="F470" s="1" t="s">
        <v>948</v>
      </c>
      <c r="G470" s="1">
        <v>122776</v>
      </c>
      <c r="H470" s="1">
        <v>138212</v>
      </c>
      <c r="I470" s="1">
        <v>22</v>
      </c>
      <c r="J470" s="1" t="s">
        <v>77</v>
      </c>
      <c r="K470" s="1" t="s">
        <v>949</v>
      </c>
      <c r="L470" s="1" t="s">
        <v>950</v>
      </c>
      <c r="M470" s="1" t="s">
        <v>9158</v>
      </c>
      <c r="N470" s="1" t="s">
        <v>9158</v>
      </c>
      <c r="O470" s="19" t="s">
        <v>3021</v>
      </c>
      <c r="P470" s="1" t="s">
        <v>2890</v>
      </c>
      <c r="Q470" s="1">
        <v>1</v>
      </c>
    </row>
    <row r="471" spans="1:18">
      <c r="A471" s="1" t="s">
        <v>5604</v>
      </c>
      <c r="B471" s="1" t="s">
        <v>330</v>
      </c>
      <c r="C471" s="1" t="s">
        <v>206</v>
      </c>
      <c r="D471" s="19" t="s">
        <v>614</v>
      </c>
      <c r="E471" s="15" t="str">
        <f>HYPERLINK("https://stat100.ameba.jp/tnk47/ratio20/illustrations/card/ill_47263_0_oukyuuatsuhime03.jpg?201908-5-RELEASE-marathon-426", "■")</f>
        <v>■</v>
      </c>
      <c r="F471" s="1" t="s">
        <v>615</v>
      </c>
      <c r="G471" s="1">
        <v>138212</v>
      </c>
      <c r="H471" s="1">
        <v>122776</v>
      </c>
      <c r="I471" s="1">
        <v>22</v>
      </c>
      <c r="J471" s="1" t="s">
        <v>315</v>
      </c>
      <c r="K471" s="1" t="s">
        <v>616</v>
      </c>
      <c r="L471" s="1" t="s">
        <v>617</v>
      </c>
      <c r="M471" s="1" t="s">
        <v>9158</v>
      </c>
      <c r="N471" s="1" t="s">
        <v>9158</v>
      </c>
      <c r="O471" s="1" t="s">
        <v>9158</v>
      </c>
      <c r="P471" s="1" t="s">
        <v>9158</v>
      </c>
      <c r="Q471" s="1" t="s">
        <v>9158</v>
      </c>
    </row>
    <row r="472" spans="1:18">
      <c r="A472" s="1">
        <v>51803</v>
      </c>
      <c r="B472" s="1" t="s">
        <v>334</v>
      </c>
      <c r="C472" s="1" t="s">
        <v>335</v>
      </c>
      <c r="D472" s="19" t="s">
        <v>10529</v>
      </c>
      <c r="E472" s="15" t="str">
        <f>HYPERLINK("https://stat100.ameba.jp/tnk47/ratio20/illustrations/card/ill_51803_jukifujiwaranokiyohira03.jpg?201908-5-RELEASE-marathon-426", "■")</f>
        <v>■</v>
      </c>
      <c r="F472" s="1" t="s">
        <v>1507</v>
      </c>
      <c r="G472" s="1">
        <v>92504</v>
      </c>
      <c r="H472" s="1">
        <v>86006</v>
      </c>
      <c r="I472" s="1">
        <v>24</v>
      </c>
      <c r="J472" s="1" t="s">
        <v>351</v>
      </c>
      <c r="K472" s="1" t="s">
        <v>1508</v>
      </c>
      <c r="L472" s="1" t="s">
        <v>1509</v>
      </c>
      <c r="M472" s="1" t="s">
        <v>9158</v>
      </c>
      <c r="N472" s="1" t="s">
        <v>9158</v>
      </c>
      <c r="O472" s="19" t="s">
        <v>10123</v>
      </c>
      <c r="P472" s="1" t="s">
        <v>13124</v>
      </c>
      <c r="Q472" s="1">
        <v>1</v>
      </c>
    </row>
    <row r="473" spans="1:18">
      <c r="A473" s="1">
        <v>70533</v>
      </c>
      <c r="B473" s="1" t="s">
        <v>348</v>
      </c>
      <c r="C473" s="1" t="s">
        <v>206</v>
      </c>
      <c r="D473" s="19" t="s">
        <v>4054</v>
      </c>
      <c r="E473" s="15" t="str">
        <f>HYPERLINK("https://stat100.ameba.jp/tnk47/ratio20/illustrations/card/ill_70533_shitsunaipuruchochofujin03.jpg?201908-5-RELEASE-marathon-426", "■")</f>
        <v>■</v>
      </c>
      <c r="F473" s="1" t="s">
        <v>3265</v>
      </c>
      <c r="G473" s="1">
        <v>53352</v>
      </c>
      <c r="H473" s="1">
        <v>48390</v>
      </c>
      <c r="I473" s="1">
        <v>18</v>
      </c>
      <c r="J473" s="1" t="s">
        <v>38</v>
      </c>
      <c r="K473" s="1" t="s">
        <v>3266</v>
      </c>
      <c r="L473" s="1" t="s">
        <v>3267</v>
      </c>
      <c r="M473" s="1" t="s">
        <v>9158</v>
      </c>
      <c r="N473" s="1" t="s">
        <v>9158</v>
      </c>
      <c r="O473" s="1" t="s">
        <v>9158</v>
      </c>
      <c r="P473" s="1" t="s">
        <v>9158</v>
      </c>
      <c r="Q473" s="1" t="s">
        <v>9158</v>
      </c>
    </row>
    <row r="474" spans="1:18">
      <c r="A474" s="1">
        <v>74793</v>
      </c>
      <c r="B474" s="1" t="s">
        <v>6454</v>
      </c>
      <c r="C474" s="1" t="s">
        <v>6455</v>
      </c>
      <c r="D474" s="19" t="s">
        <v>10530</v>
      </c>
      <c r="E474" s="15" t="str">
        <f>HYPERLINK("https://stat100.ameba.jp/tnk47/ratio20/illustrations/card/ill_74793_yukatafuraribi03.jpg?201908-5-RELEASE-marathon-426", "■")</f>
        <v>■</v>
      </c>
      <c r="F474" s="1" t="s">
        <v>6459</v>
      </c>
      <c r="G474" s="1">
        <v>29388</v>
      </c>
      <c r="H474" s="1">
        <v>35346</v>
      </c>
      <c r="I474" s="1">
        <v>17</v>
      </c>
      <c r="J474" s="1" t="s">
        <v>6456</v>
      </c>
      <c r="K474" s="1" t="s">
        <v>6458</v>
      </c>
      <c r="L474" s="1" t="s">
        <v>6457</v>
      </c>
      <c r="M474" s="1" t="s">
        <v>9158</v>
      </c>
      <c r="N474" s="1" t="s">
        <v>9158</v>
      </c>
      <c r="O474" s="1" t="s">
        <v>9158</v>
      </c>
      <c r="P474" s="1" t="s">
        <v>9158</v>
      </c>
      <c r="Q474" s="1" t="s">
        <v>9158</v>
      </c>
    </row>
    <row r="475" spans="1:18">
      <c r="A475" s="1">
        <v>65123</v>
      </c>
      <c r="B475" s="1" t="s">
        <v>6460</v>
      </c>
      <c r="C475" s="1" t="s">
        <v>6461</v>
      </c>
      <c r="D475" s="19" t="s">
        <v>10531</v>
      </c>
      <c r="E475" s="15" t="str">
        <f>HYPERLINK("https://stat100.ameba.jp/tnk47/ratio20/illustrations/card/ill_65123_shinobikoganinja03.jpg?201908-5-RELEASE-marathon-426", "■")</f>
        <v>■</v>
      </c>
      <c r="F475" s="1" t="s">
        <v>6465</v>
      </c>
      <c r="G475" s="1">
        <v>17972</v>
      </c>
      <c r="H475" s="1">
        <v>21398</v>
      </c>
      <c r="I475" s="1">
        <v>17</v>
      </c>
      <c r="J475" s="1" t="s">
        <v>6462</v>
      </c>
      <c r="K475" s="1" t="s">
        <v>6464</v>
      </c>
      <c r="L475" s="1" t="s">
        <v>6463</v>
      </c>
      <c r="M475" s="1" t="s">
        <v>9158</v>
      </c>
      <c r="N475" s="1" t="s">
        <v>9158</v>
      </c>
      <c r="O475" s="1" t="s">
        <v>9158</v>
      </c>
      <c r="P475" s="1" t="s">
        <v>9158</v>
      </c>
      <c r="Q475" s="1" t="s">
        <v>9158</v>
      </c>
    </row>
    <row r="477" spans="1:18">
      <c r="A477" s="1" t="s">
        <v>13326</v>
      </c>
    </row>
    <row r="478" spans="1:18">
      <c r="A478" s="1" t="s">
        <v>6466</v>
      </c>
    </row>
    <row r="479" spans="1:18">
      <c r="A479" s="1">
        <v>70073</v>
      </c>
      <c r="B479" s="1" t="s">
        <v>334</v>
      </c>
      <c r="C479" s="1" t="s">
        <v>185</v>
      </c>
      <c r="D479" s="19" t="s">
        <v>859</v>
      </c>
      <c r="E479" s="15" t="str">
        <f>HYPERLINK("https://stat100.ameba.jp/tnk47/ratio20/illustrations/card/ill_70073_muhime03.jpg?201908-5-RELEASE-marathon-426", "■")</f>
        <v>■</v>
      </c>
      <c r="F479" s="1" t="s">
        <v>5846</v>
      </c>
      <c r="G479" s="1">
        <v>109852</v>
      </c>
      <c r="H479" s="1">
        <v>118152</v>
      </c>
      <c r="I479" s="1">
        <v>24</v>
      </c>
      <c r="J479" s="1" t="s">
        <v>315</v>
      </c>
      <c r="K479" s="1" t="s">
        <v>861</v>
      </c>
      <c r="L479" s="1" t="s">
        <v>862</v>
      </c>
      <c r="M479" s="1" t="s">
        <v>250</v>
      </c>
      <c r="N479" s="1" t="s">
        <v>251</v>
      </c>
      <c r="O479" s="1" t="s">
        <v>9158</v>
      </c>
      <c r="P479" s="1" t="s">
        <v>9158</v>
      </c>
      <c r="Q479" s="1" t="s">
        <v>9158</v>
      </c>
      <c r="R479" s="14"/>
    </row>
    <row r="480" spans="1:18">
      <c r="A480" s="1">
        <v>70072</v>
      </c>
      <c r="B480" s="1" t="s">
        <v>334</v>
      </c>
      <c r="C480" s="1" t="s">
        <v>185</v>
      </c>
      <c r="D480" s="19" t="s">
        <v>859</v>
      </c>
      <c r="E480" s="15" t="str">
        <f>HYPERLINK("https://stat100.ameba.jp/tnk47/ratio20/illustrations/card/ill_70072_muhime02.jpg?201908-5-RELEASE-marathon-426", "■")</f>
        <v>■</v>
      </c>
      <c r="F480" s="1" t="s">
        <v>860</v>
      </c>
      <c r="G480" s="1">
        <v>90984</v>
      </c>
      <c r="H480" s="1">
        <v>98768</v>
      </c>
      <c r="I480" s="1">
        <v>24</v>
      </c>
      <c r="J480" s="1" t="s">
        <v>315</v>
      </c>
      <c r="K480" s="1" t="s">
        <v>861</v>
      </c>
      <c r="L480" s="1" t="s">
        <v>862</v>
      </c>
      <c r="M480" s="1" t="s">
        <v>250</v>
      </c>
      <c r="N480" s="1" t="s">
        <v>251</v>
      </c>
      <c r="O480" s="1" t="s">
        <v>9158</v>
      </c>
      <c r="P480" s="1" t="s">
        <v>9158</v>
      </c>
      <c r="Q480" s="1" t="s">
        <v>9158</v>
      </c>
      <c r="R480" s="14"/>
    </row>
    <row r="481" spans="1:18">
      <c r="A481" s="1">
        <v>70071</v>
      </c>
      <c r="B481" s="1" t="s">
        <v>334</v>
      </c>
      <c r="C481" s="1" t="s">
        <v>185</v>
      </c>
      <c r="D481" s="19" t="s">
        <v>859</v>
      </c>
      <c r="E481" s="15" t="str">
        <f>HYPERLINK("https://stat100.ameba.jp/tnk47/ratio20/illustrations/card/ill_70071_muhime01.jpg?201908-5-RELEASE-marathon-426", "■")</f>
        <v>■</v>
      </c>
      <c r="F481" s="1" t="s">
        <v>860</v>
      </c>
      <c r="G481" s="1">
        <v>70200</v>
      </c>
      <c r="H481" s="1">
        <v>75408</v>
      </c>
      <c r="I481" s="1">
        <v>24</v>
      </c>
      <c r="J481" s="1" t="s">
        <v>315</v>
      </c>
      <c r="K481" s="1" t="s">
        <v>861</v>
      </c>
      <c r="L481" s="1" t="s">
        <v>862</v>
      </c>
      <c r="M481" s="1" t="s">
        <v>250</v>
      </c>
      <c r="N481" s="1" t="s">
        <v>251</v>
      </c>
      <c r="O481" s="1" t="s">
        <v>9158</v>
      </c>
      <c r="P481" s="1" t="s">
        <v>9158</v>
      </c>
      <c r="Q481" s="1" t="s">
        <v>9158</v>
      </c>
      <c r="R481" s="14"/>
    </row>
    <row r="482" spans="1:18">
      <c r="A482" s="1">
        <v>70083</v>
      </c>
      <c r="B482" s="1" t="s">
        <v>334</v>
      </c>
      <c r="C482" s="1" t="s">
        <v>200</v>
      </c>
      <c r="D482" s="19" t="s">
        <v>10212</v>
      </c>
      <c r="E482" s="15" t="str">
        <f>HYPERLINK("https://stat100.ameba.jp/tnk47/ratio20/illustrations/card/ill_70083_kimurakaishu03.jpg?201908-5-RELEASE-marathon-426", "■")</f>
        <v>■</v>
      </c>
      <c r="F482" s="1" t="s">
        <v>863</v>
      </c>
      <c r="G482" s="1">
        <v>118152</v>
      </c>
      <c r="H482" s="1">
        <v>109852</v>
      </c>
      <c r="I482" s="1">
        <v>24</v>
      </c>
      <c r="J482" s="1" t="s">
        <v>173</v>
      </c>
      <c r="K482" s="1" t="s">
        <v>257</v>
      </c>
      <c r="L482" s="1" t="s">
        <v>9897</v>
      </c>
      <c r="M482" s="1" t="s">
        <v>250</v>
      </c>
      <c r="N482" s="1" t="s">
        <v>251</v>
      </c>
      <c r="O482" s="1" t="s">
        <v>9158</v>
      </c>
      <c r="P482" s="1" t="s">
        <v>9158</v>
      </c>
      <c r="Q482" s="1" t="s">
        <v>9158</v>
      </c>
    </row>
    <row r="483" spans="1:18">
      <c r="A483" s="1">
        <v>70923</v>
      </c>
      <c r="B483" s="1" t="s">
        <v>334</v>
      </c>
      <c r="C483" s="1" t="s">
        <v>191</v>
      </c>
      <c r="D483" s="19" t="s">
        <v>10213</v>
      </c>
      <c r="E483" s="15" t="str">
        <f>HYPERLINK("https://stat100.ameba.jp/tnk47/ratio20/illustrations/card/ill_70923_hidawagyu03.jpg?201908-5-RELEASE-marathon-426", "■")</f>
        <v>■</v>
      </c>
      <c r="F483" s="1" t="s">
        <v>864</v>
      </c>
      <c r="G483" s="1">
        <v>118152</v>
      </c>
      <c r="H483" s="1">
        <v>109852</v>
      </c>
      <c r="I483" s="1">
        <v>24</v>
      </c>
      <c r="J483" s="1" t="s">
        <v>216</v>
      </c>
      <c r="K483" s="1" t="s">
        <v>258</v>
      </c>
      <c r="L483" s="1" t="s">
        <v>9898</v>
      </c>
      <c r="M483" s="1" t="s">
        <v>250</v>
      </c>
      <c r="N483" s="1" t="s">
        <v>251</v>
      </c>
      <c r="O483" s="1" t="s">
        <v>9158</v>
      </c>
      <c r="P483" s="1" t="s">
        <v>9158</v>
      </c>
      <c r="Q483" s="1" t="s">
        <v>9158</v>
      </c>
    </row>
    <row r="484" spans="1:18">
      <c r="A484" s="1">
        <v>70093</v>
      </c>
      <c r="B484" s="1" t="s">
        <v>334</v>
      </c>
      <c r="C484" s="1" t="s">
        <v>308</v>
      </c>
      <c r="D484" s="19" t="s">
        <v>10214</v>
      </c>
      <c r="E484" s="15" t="str">
        <f>HYPERLINK("https://stat100.ameba.jp/tnk47/ratio20/illustrations/card/ill_70093_sarutahikonookami03.jpg?201908-5-RELEASE-marathon-426", "■")</f>
        <v>■</v>
      </c>
      <c r="F484" s="1" t="s">
        <v>865</v>
      </c>
      <c r="G484" s="1">
        <v>109852</v>
      </c>
      <c r="H484" s="1">
        <v>118152</v>
      </c>
      <c r="I484" s="1">
        <v>24</v>
      </c>
      <c r="J484" s="1" t="s">
        <v>169</v>
      </c>
      <c r="K484" s="1" t="s">
        <v>259</v>
      </c>
      <c r="L484" s="1" t="s">
        <v>9899</v>
      </c>
      <c r="M484" s="1" t="s">
        <v>250</v>
      </c>
      <c r="N484" s="1" t="s">
        <v>251</v>
      </c>
      <c r="O484" s="1" t="s">
        <v>9158</v>
      </c>
      <c r="P484" s="1" t="s">
        <v>9158</v>
      </c>
      <c r="Q484" s="1" t="s">
        <v>9158</v>
      </c>
    </row>
    <row r="485" spans="1:18">
      <c r="A485" s="1">
        <v>70933</v>
      </c>
      <c r="B485" s="1" t="s">
        <v>334</v>
      </c>
      <c r="C485" s="1" t="s">
        <v>267</v>
      </c>
      <c r="D485" s="19" t="s">
        <v>10215</v>
      </c>
      <c r="E485" s="15" t="str">
        <f>HYPERLINK("https://stat100.ameba.jp/tnk47/ratio20/illustrations/card/ill_70933_zenigatasunae03.jpg?201908-5-RELEASE-marathon-426", "■")</f>
        <v>■</v>
      </c>
      <c r="F485" s="1" t="s">
        <v>866</v>
      </c>
      <c r="G485" s="1">
        <v>109852</v>
      </c>
      <c r="H485" s="1">
        <v>118152</v>
      </c>
      <c r="I485" s="1">
        <v>24</v>
      </c>
      <c r="J485" s="1" t="s">
        <v>229</v>
      </c>
      <c r="K485" s="1" t="s">
        <v>260</v>
      </c>
      <c r="L485" s="1" t="s">
        <v>9900</v>
      </c>
      <c r="M485" s="1" t="s">
        <v>250</v>
      </c>
      <c r="N485" s="1" t="s">
        <v>251</v>
      </c>
      <c r="O485" s="1" t="s">
        <v>9158</v>
      </c>
      <c r="P485" s="1" t="s">
        <v>9158</v>
      </c>
      <c r="Q485" s="1" t="s">
        <v>9158</v>
      </c>
    </row>
    <row r="486" spans="1:18">
      <c r="A486" s="1">
        <v>70943</v>
      </c>
      <c r="B486" s="1" t="s">
        <v>334</v>
      </c>
      <c r="C486" s="1" t="s">
        <v>344</v>
      </c>
      <c r="D486" s="19" t="s">
        <v>10216</v>
      </c>
      <c r="E486" s="15" t="str">
        <f>HYPERLINK("https://stat100.ameba.jp/tnk47/ratio20/illustrations/card/ill_70943_tengunokakuremino03.jpg?201908-5-RELEASE-marathon-426", "■")</f>
        <v>■</v>
      </c>
      <c r="F486" s="1" t="s">
        <v>867</v>
      </c>
      <c r="G486" s="1">
        <v>118152</v>
      </c>
      <c r="H486" s="1">
        <v>109852</v>
      </c>
      <c r="I486" s="1">
        <v>24</v>
      </c>
      <c r="J486" s="1" t="s">
        <v>155</v>
      </c>
      <c r="K486" s="1" t="s">
        <v>261</v>
      </c>
      <c r="L486" s="1" t="s">
        <v>9901</v>
      </c>
      <c r="M486" s="1" t="s">
        <v>250</v>
      </c>
      <c r="N486" s="1" t="s">
        <v>251</v>
      </c>
      <c r="O486" s="1" t="s">
        <v>9158</v>
      </c>
      <c r="P486" s="1" t="s">
        <v>9158</v>
      </c>
      <c r="Q486" s="1" t="s">
        <v>9158</v>
      </c>
    </row>
    <row r="488" spans="1:18">
      <c r="A488" s="1" t="s">
        <v>6467</v>
      </c>
    </row>
    <row r="489" spans="1:18">
      <c r="A489" s="1" t="s">
        <v>6482</v>
      </c>
    </row>
    <row r="490" spans="1:18">
      <c r="A490" s="1" t="s">
        <v>7656</v>
      </c>
    </row>
    <row r="491" spans="1:18">
      <c r="A491" s="1" t="s">
        <v>5963</v>
      </c>
      <c r="B491" s="1" t="s">
        <v>330</v>
      </c>
      <c r="C491" s="1" t="s">
        <v>35</v>
      </c>
      <c r="D491" s="19" t="s">
        <v>10438</v>
      </c>
      <c r="E491" s="15" t="str">
        <f>HYPERLINK("https://stat100.ameba.jp/tnk47/ratio20/illustrations/card/ill_82963_0_yukatamatsuritomokazuki03.jpg?201908-5-RELEASE-marathon-426", "■")</f>
        <v>■</v>
      </c>
      <c r="F491" s="1" t="s">
        <v>5964</v>
      </c>
      <c r="G491" s="1">
        <v>178681</v>
      </c>
      <c r="H491" s="1">
        <v>197707</v>
      </c>
      <c r="I491" s="1">
        <v>15</v>
      </c>
      <c r="J491" s="1" t="s">
        <v>73</v>
      </c>
      <c r="K491" s="1" t="s">
        <v>5966</v>
      </c>
      <c r="L491" s="1" t="s">
        <v>5967</v>
      </c>
      <c r="M491" s="1" t="s">
        <v>9158</v>
      </c>
      <c r="N491" s="1" t="s">
        <v>9158</v>
      </c>
      <c r="O491" s="19" t="s">
        <v>10115</v>
      </c>
      <c r="P491" s="1" t="s">
        <v>5968</v>
      </c>
      <c r="Q491" s="1">
        <v>1</v>
      </c>
    </row>
    <row r="492" spans="1:18">
      <c r="A492" s="1">
        <v>83353</v>
      </c>
      <c r="B492" s="1" t="s">
        <v>6468</v>
      </c>
      <c r="C492" s="1" t="s">
        <v>267</v>
      </c>
      <c r="D492" s="19" t="s">
        <v>10532</v>
      </c>
      <c r="E492" s="15" t="str">
        <f>HYPERLINK("https://stat100.ameba.jp/tnk47/ratio20/illustrations/card/ill_83353_kunoichikumanofudechan03.jpg?201908-5-RELEASE-marathon-426", "■")</f>
        <v>■</v>
      </c>
      <c r="F492" s="1" t="s">
        <v>6475</v>
      </c>
      <c r="G492" s="1">
        <v>109334</v>
      </c>
      <c r="H492" s="1">
        <v>101656</v>
      </c>
      <c r="I492" s="1">
        <v>24</v>
      </c>
      <c r="J492" s="1" t="s">
        <v>229</v>
      </c>
      <c r="K492" s="1" t="s">
        <v>6474</v>
      </c>
      <c r="L492" s="1" t="s">
        <v>6473</v>
      </c>
      <c r="M492" s="1" t="s">
        <v>9158</v>
      </c>
      <c r="N492" s="1" t="s">
        <v>9158</v>
      </c>
      <c r="O492" s="1" t="s">
        <v>9158</v>
      </c>
      <c r="P492" s="1" t="s">
        <v>9158</v>
      </c>
      <c r="Q492" s="1" t="s">
        <v>9158</v>
      </c>
    </row>
    <row r="493" spans="1:18">
      <c r="A493" s="1">
        <v>84033</v>
      </c>
      <c r="B493" s="1" t="s">
        <v>6468</v>
      </c>
      <c r="C493" s="1" t="s">
        <v>344</v>
      </c>
      <c r="D493" s="19" t="s">
        <v>10533</v>
      </c>
      <c r="E493" s="15" t="str">
        <f>HYPERLINK("https://stat100.ameba.jp/tnk47/ratio20/illustrations/card/ill_84033_ogiyaka03.jpg?201908-5-RELEASE-marathon-426", "■")</f>
        <v>■</v>
      </c>
      <c r="F493" s="1" t="s">
        <v>6479</v>
      </c>
      <c r="G493" s="1">
        <v>87128</v>
      </c>
      <c r="H493" s="1">
        <v>93746</v>
      </c>
      <c r="I493" s="1">
        <v>24</v>
      </c>
      <c r="J493" s="1" t="s">
        <v>6478</v>
      </c>
      <c r="K493" s="1" t="s">
        <v>6477</v>
      </c>
      <c r="L493" s="1" t="s">
        <v>6476</v>
      </c>
      <c r="M493" s="1" t="s">
        <v>9158</v>
      </c>
      <c r="N493" s="1" t="s">
        <v>9158</v>
      </c>
      <c r="O493" s="1" t="s">
        <v>9158</v>
      </c>
      <c r="P493" s="1" t="s">
        <v>9158</v>
      </c>
      <c r="Q493" s="1" t="s">
        <v>9158</v>
      </c>
    </row>
    <row r="494" spans="1:18">
      <c r="A494" s="1">
        <v>84043</v>
      </c>
      <c r="B494" s="1" t="s">
        <v>6469</v>
      </c>
      <c r="C494" s="1" t="s">
        <v>185</v>
      </c>
      <c r="D494" s="19" t="s">
        <v>10534</v>
      </c>
      <c r="E494" s="15" t="str">
        <f>HYPERLINK("https://stat100.ameba.jp/tnk47/ratio20/illustrations/card/ill_84043_intonnambutsuruhime03.jpg?201908-5-RELEASE-marathon-426", "■")</f>
        <v>■</v>
      </c>
      <c r="F494" s="1" t="s">
        <v>6483</v>
      </c>
      <c r="G494" s="1">
        <v>61832</v>
      </c>
      <c r="H494" s="1">
        <v>68172</v>
      </c>
      <c r="I494" s="1">
        <v>23</v>
      </c>
      <c r="J494" s="1" t="s">
        <v>6478</v>
      </c>
      <c r="K494" s="1" t="s">
        <v>6481</v>
      </c>
      <c r="L494" s="1" t="s">
        <v>6480</v>
      </c>
      <c r="M494" s="1" t="s">
        <v>9158</v>
      </c>
      <c r="N494" s="1" t="s">
        <v>9158</v>
      </c>
      <c r="O494" s="1" t="s">
        <v>9158</v>
      </c>
      <c r="P494" s="1" t="s">
        <v>9158</v>
      </c>
      <c r="Q494" s="1" t="s">
        <v>9158</v>
      </c>
    </row>
    <row r="495" spans="1:18">
      <c r="A495" s="1">
        <v>83373</v>
      </c>
      <c r="B495" s="1" t="s">
        <v>6470</v>
      </c>
      <c r="C495" s="1" t="s">
        <v>191</v>
      </c>
      <c r="D495" s="19" t="s">
        <v>10535</v>
      </c>
      <c r="E495" s="15" t="str">
        <f>HYPERLINK("https://stat100.ameba.jp/tnk47/ratio20/illustrations/card/ill_83373_mokutommochizukichiyome03.jpg?201908-5-RELEASE-marathon-426", "■")</f>
        <v>■</v>
      </c>
      <c r="F495" s="1" t="s">
        <v>6484</v>
      </c>
      <c r="G495" s="1">
        <v>41584</v>
      </c>
      <c r="H495" s="1">
        <v>34576</v>
      </c>
      <c r="I495" s="1">
        <v>20</v>
      </c>
      <c r="J495" s="1" t="s">
        <v>6487</v>
      </c>
      <c r="K495" s="1" t="s">
        <v>6486</v>
      </c>
      <c r="L495" s="1" t="s">
        <v>6485</v>
      </c>
      <c r="M495" s="1" t="s">
        <v>9158</v>
      </c>
      <c r="N495" s="1" t="s">
        <v>9158</v>
      </c>
      <c r="O495" s="1" t="s">
        <v>9158</v>
      </c>
      <c r="P495" s="1" t="s">
        <v>9158</v>
      </c>
      <c r="Q495" s="1" t="s">
        <v>9158</v>
      </c>
    </row>
    <row r="496" spans="1:18">
      <c r="A496" s="1">
        <v>83383</v>
      </c>
      <c r="B496" s="1" t="s">
        <v>6471</v>
      </c>
      <c r="C496" s="1" t="s">
        <v>6472</v>
      </c>
      <c r="D496" s="19" t="s">
        <v>10536</v>
      </c>
      <c r="E496" s="15" t="str">
        <f>HYPERLINK("https://stat100.ameba.jp/tnk47/ratio20/illustrations/card/ill_83383_otoshiana03.jpg?201908-5-RELEASE-marathon-426", "■")</f>
        <v>■</v>
      </c>
      <c r="F496" s="1" t="s">
        <v>6491</v>
      </c>
      <c r="G496" s="1">
        <v>21144</v>
      </c>
      <c r="H496" s="1">
        <v>25176</v>
      </c>
      <c r="I496" s="1">
        <v>20</v>
      </c>
      <c r="J496" s="1" t="s">
        <v>6490</v>
      </c>
      <c r="K496" s="1" t="s">
        <v>6489</v>
      </c>
      <c r="L496" s="1" t="s">
        <v>6488</v>
      </c>
      <c r="M496" s="1" t="s">
        <v>9158</v>
      </c>
      <c r="N496" s="1" t="s">
        <v>9158</v>
      </c>
      <c r="O496" s="1" t="s">
        <v>9158</v>
      </c>
      <c r="P496" s="1" t="s">
        <v>9158</v>
      </c>
      <c r="Q496" s="1" t="s">
        <v>9158</v>
      </c>
    </row>
    <row r="498" spans="1:17">
      <c r="A498" s="1" t="s">
        <v>6492</v>
      </c>
    </row>
    <row r="499" spans="1:17">
      <c r="A499" s="1" t="s">
        <v>6493</v>
      </c>
    </row>
    <row r="500" spans="1:17">
      <c r="A500" s="1" t="s">
        <v>6494</v>
      </c>
      <c r="B500" s="1" t="s">
        <v>330</v>
      </c>
      <c r="C500" s="1" t="s">
        <v>308</v>
      </c>
      <c r="D500" s="19" t="s">
        <v>385</v>
      </c>
      <c r="E500" s="15" t="str">
        <f>HYPERLINK("https://stat100.ameba.jp/tnk47/ratio20/illustrations/card/ill_59673_0_oheyashutendoji03.jpg?201908-5-RELEASE-marathon-426", "■")</f>
        <v>■</v>
      </c>
      <c r="F500" s="1" t="s">
        <v>386</v>
      </c>
      <c r="G500" s="1">
        <v>147765</v>
      </c>
      <c r="H500" s="1">
        <v>158935</v>
      </c>
      <c r="I500" s="1">
        <v>21</v>
      </c>
      <c r="J500" s="1" t="s">
        <v>320</v>
      </c>
      <c r="K500" s="1" t="s">
        <v>387</v>
      </c>
      <c r="L500" s="1" t="s">
        <v>388</v>
      </c>
      <c r="M500" s="1" t="s">
        <v>9158</v>
      </c>
      <c r="N500" s="1" t="s">
        <v>9158</v>
      </c>
      <c r="O500" s="19" t="s">
        <v>10078</v>
      </c>
      <c r="P500" s="1" t="s">
        <v>3022</v>
      </c>
      <c r="Q500" s="1">
        <v>1</v>
      </c>
    </row>
    <row r="501" spans="1:17">
      <c r="A501" s="1">
        <v>76243</v>
      </c>
      <c r="B501" s="1" t="s">
        <v>334</v>
      </c>
      <c r="C501" s="1" t="s">
        <v>335</v>
      </c>
      <c r="D501" s="19" t="s">
        <v>10263</v>
      </c>
      <c r="E501" s="15" t="str">
        <f>HYPERLINK("https://stat100.ameba.jp/tnk47/ratio20/illustrations/card/ill_76243_haroinkaraguchinihonshuchan03.jpg?201908-5-RELEASE-marathon-426", "■")</f>
        <v>■</v>
      </c>
      <c r="F501" s="1" t="s">
        <v>336</v>
      </c>
      <c r="G501" s="1">
        <v>108617</v>
      </c>
      <c r="H501" s="1">
        <v>101002</v>
      </c>
      <c r="I501" s="1">
        <v>23</v>
      </c>
      <c r="J501" s="1" t="s">
        <v>283</v>
      </c>
      <c r="K501" s="1" t="s">
        <v>337</v>
      </c>
      <c r="L501" s="1" t="s">
        <v>338</v>
      </c>
      <c r="M501" s="1" t="s">
        <v>9158</v>
      </c>
      <c r="N501" s="1" t="s">
        <v>9158</v>
      </c>
      <c r="O501" s="19" t="s">
        <v>10090</v>
      </c>
      <c r="P501" s="1" t="s">
        <v>3561</v>
      </c>
      <c r="Q501" s="1">
        <v>1</v>
      </c>
    </row>
    <row r="502" spans="1:17">
      <c r="A502" s="1">
        <v>69533</v>
      </c>
      <c r="B502" s="1" t="s">
        <v>0</v>
      </c>
      <c r="C502" s="1" t="s">
        <v>101</v>
      </c>
      <c r="D502" s="19" t="s">
        <v>10418</v>
      </c>
      <c r="E502" s="15" t="str">
        <f>HYPERLINK("https://stat100.ameba.jp/tnk47/ratio20/illustrations/card/ill_69533_setsubunodainokata03.jpg?201908-5-RELEASE-marathon-426", "■")</f>
        <v>■</v>
      </c>
      <c r="F502" s="1" t="s">
        <v>138</v>
      </c>
      <c r="G502" s="1">
        <v>89839</v>
      </c>
      <c r="H502" s="1">
        <v>83499</v>
      </c>
      <c r="I502" s="1">
        <v>23</v>
      </c>
      <c r="J502" s="1" t="s">
        <v>10</v>
      </c>
      <c r="K502" s="1" t="s">
        <v>139</v>
      </c>
      <c r="L502" s="1" t="s">
        <v>140</v>
      </c>
      <c r="M502" s="1" t="s">
        <v>9158</v>
      </c>
      <c r="N502" s="1" t="s">
        <v>9158</v>
      </c>
      <c r="O502" s="19" t="s">
        <v>10082</v>
      </c>
      <c r="P502" s="1" t="s">
        <v>13124</v>
      </c>
      <c r="Q502" s="1">
        <v>1</v>
      </c>
    </row>
    <row r="503" spans="1:17">
      <c r="A503" s="1">
        <v>58803</v>
      </c>
      <c r="B503" s="1" t="s">
        <v>0</v>
      </c>
      <c r="C503" s="1" t="s">
        <v>205</v>
      </c>
      <c r="D503" s="19" t="s">
        <v>10210</v>
      </c>
      <c r="E503" s="15" t="str">
        <f>HYPERLINK("https://stat100.ameba.jp/tnk47/ratio20/illustrations/card/ill_58803_setsubumpanikkumimuratsuru03.jpg?201908-5-RELEASE-marathon-426", "■")</f>
        <v>■</v>
      </c>
      <c r="F503" s="1" t="s">
        <v>2028</v>
      </c>
      <c r="G503" s="1">
        <v>136343</v>
      </c>
      <c r="H503" s="1">
        <v>82422</v>
      </c>
      <c r="I503" s="1">
        <v>23</v>
      </c>
      <c r="J503" s="1" t="s">
        <v>194</v>
      </c>
      <c r="K503" s="1" t="s">
        <v>2029</v>
      </c>
      <c r="L503" s="1" t="s">
        <v>13171</v>
      </c>
      <c r="M503" s="1" t="s">
        <v>9158</v>
      </c>
      <c r="N503" s="1" t="s">
        <v>9158</v>
      </c>
      <c r="O503" s="19" t="s">
        <v>10092</v>
      </c>
      <c r="P503" s="1" t="s">
        <v>3704</v>
      </c>
      <c r="Q503" s="1">
        <v>1</v>
      </c>
    </row>
    <row r="505" spans="1:17">
      <c r="A505" s="1" t="s">
        <v>6495</v>
      </c>
    </row>
    <row r="506" spans="1:17">
      <c r="A506" s="1" t="s">
        <v>6496</v>
      </c>
    </row>
    <row r="507" spans="1:17">
      <c r="A507" s="1">
        <v>62203</v>
      </c>
      <c r="B507" s="1" t="s">
        <v>334</v>
      </c>
      <c r="C507" s="1" t="s">
        <v>154</v>
      </c>
      <c r="D507" s="19" t="s">
        <v>3039</v>
      </c>
      <c r="E507" s="15" t="str">
        <f>HYPERLINK("https://stat100.ameba.jp/tnk47/ratio20/illustrations/card/ill_62203_keishoimmasahime03.jpg?201908-5-RELEASE-marathon-426", "■")</f>
        <v>■</v>
      </c>
      <c r="F507" s="1" t="s">
        <v>2261</v>
      </c>
      <c r="G507" s="1">
        <v>96246</v>
      </c>
      <c r="H507" s="1">
        <v>103512</v>
      </c>
      <c r="I507" s="1">
        <v>24</v>
      </c>
      <c r="J507" s="1" t="s">
        <v>77</v>
      </c>
      <c r="K507" s="1" t="s">
        <v>2262</v>
      </c>
      <c r="L507" s="1" t="s">
        <v>2263</v>
      </c>
      <c r="M507" s="1" t="s">
        <v>9158</v>
      </c>
      <c r="N507" s="1" t="s">
        <v>9158</v>
      </c>
      <c r="O507" s="1" t="s">
        <v>9158</v>
      </c>
      <c r="P507" s="1" t="s">
        <v>9158</v>
      </c>
      <c r="Q507" s="1" t="s">
        <v>9158</v>
      </c>
    </row>
    <row r="508" spans="1:17">
      <c r="A508" s="1">
        <v>69723</v>
      </c>
      <c r="B508" s="1" t="s">
        <v>334</v>
      </c>
      <c r="C508" s="1" t="s">
        <v>158</v>
      </c>
      <c r="D508" s="19" t="s">
        <v>3042</v>
      </c>
      <c r="E508" s="15" t="str">
        <f>HYPERLINK("https://stat100.ameba.jp/tnk47/ratio20/illustrations/card/ill_69723_nakaurajurian03.jpg?201908-5-RELEASE-marathon-426", "■")</f>
        <v>■</v>
      </c>
      <c r="F508" s="1" t="s">
        <v>2257</v>
      </c>
      <c r="G508" s="1">
        <v>96246</v>
      </c>
      <c r="H508" s="1">
        <v>103512</v>
      </c>
      <c r="I508" s="1">
        <v>24</v>
      </c>
      <c r="J508" s="1" t="s">
        <v>173</v>
      </c>
      <c r="K508" s="1" t="s">
        <v>2258</v>
      </c>
      <c r="L508" s="1" t="s">
        <v>2259</v>
      </c>
      <c r="M508" s="1" t="s">
        <v>9158</v>
      </c>
      <c r="N508" s="1" t="s">
        <v>9158</v>
      </c>
      <c r="O508" s="1" t="s">
        <v>9158</v>
      </c>
      <c r="P508" s="1" t="s">
        <v>9158</v>
      </c>
      <c r="Q508" s="1" t="s">
        <v>9158</v>
      </c>
    </row>
    <row r="509" spans="1:17">
      <c r="A509" s="1">
        <v>69883</v>
      </c>
      <c r="B509" s="1" t="s">
        <v>334</v>
      </c>
      <c r="C509" s="1" t="s">
        <v>185</v>
      </c>
      <c r="D509" s="19" t="s">
        <v>10293</v>
      </c>
      <c r="E509" s="15" t="str">
        <f>HYPERLINK("https://stat100.ameba.jp/tnk47/ratio20/illustrations/card/ill_69883_kyupiddotominushihime03.jpg?201908-5-RELEASE-marathon-426", "■")</f>
        <v>■</v>
      </c>
      <c r="F509" s="1" t="s">
        <v>4142</v>
      </c>
      <c r="G509" s="1">
        <v>91010</v>
      </c>
      <c r="H509" s="1">
        <v>97894</v>
      </c>
      <c r="I509" s="1">
        <v>24</v>
      </c>
      <c r="J509" s="1" t="s">
        <v>169</v>
      </c>
      <c r="K509" s="1" t="s">
        <v>4143</v>
      </c>
      <c r="L509" s="1" t="s">
        <v>13190</v>
      </c>
      <c r="M509" s="1" t="s">
        <v>9158</v>
      </c>
      <c r="N509" s="1" t="s">
        <v>9158</v>
      </c>
      <c r="O509" s="1" t="s">
        <v>9158</v>
      </c>
      <c r="P509" s="1" t="s">
        <v>9158</v>
      </c>
      <c r="Q509" s="1" t="s">
        <v>9158</v>
      </c>
    </row>
    <row r="510" spans="1:17">
      <c r="A510" s="1">
        <v>71833</v>
      </c>
      <c r="B510" s="1" t="s">
        <v>334</v>
      </c>
      <c r="C510" s="1" t="s">
        <v>165</v>
      </c>
      <c r="D510" s="19" t="s">
        <v>10294</v>
      </c>
      <c r="E510" s="15" t="str">
        <f>HYPERLINK("https://stat100.ameba.jp/tnk47/ratio20/illustrations/card/ill_71833_autodoanuregamidoji03.jpg?201908-5-RELEASE-marathon-426", "■")</f>
        <v>■</v>
      </c>
      <c r="F510" s="1" t="s">
        <v>5291</v>
      </c>
      <c r="G510" s="1">
        <v>92996</v>
      </c>
      <c r="H510" s="1">
        <v>99996</v>
      </c>
      <c r="I510" s="1">
        <v>24</v>
      </c>
      <c r="J510" s="1" t="s">
        <v>320</v>
      </c>
      <c r="K510" s="1" t="s">
        <v>4244</v>
      </c>
      <c r="L510" s="1" t="s">
        <v>4245</v>
      </c>
      <c r="M510" s="1" t="s">
        <v>9158</v>
      </c>
      <c r="N510" s="1" t="s">
        <v>9158</v>
      </c>
      <c r="O510" s="1" t="s">
        <v>9158</v>
      </c>
      <c r="P510" s="1" t="s">
        <v>9158</v>
      </c>
      <c r="Q510" s="1" t="s">
        <v>9158</v>
      </c>
    </row>
    <row r="511" spans="1:17">
      <c r="A511" s="1">
        <v>52973</v>
      </c>
      <c r="B511" s="1" t="s">
        <v>15</v>
      </c>
      <c r="C511" s="1" t="s">
        <v>206</v>
      </c>
      <c r="D511" s="19" t="s">
        <v>10519</v>
      </c>
      <c r="E511" s="15" t="str">
        <f>HYPERLINK("https://stat100.ameba.jp/tnk47/ratio20/illustrations/card/ill_52973_torampuamoronagu03.jpg?201908-5-RELEASE-marathon-426", "■")</f>
        <v>■</v>
      </c>
      <c r="F511" s="1" t="s">
        <v>6421</v>
      </c>
      <c r="G511" s="1">
        <v>56316</v>
      </c>
      <c r="H511" s="1">
        <v>51078</v>
      </c>
      <c r="I511" s="1">
        <v>19</v>
      </c>
      <c r="J511" s="1" t="s">
        <v>44</v>
      </c>
      <c r="K511" s="1" t="s">
        <v>6419</v>
      </c>
      <c r="L511" s="1" t="s">
        <v>6418</v>
      </c>
      <c r="M511" s="1" t="s">
        <v>9158</v>
      </c>
      <c r="N511" s="1" t="s">
        <v>9158</v>
      </c>
      <c r="O511" s="1" t="s">
        <v>9158</v>
      </c>
      <c r="P511" s="1" t="s">
        <v>9158</v>
      </c>
      <c r="Q511" s="1" t="s">
        <v>9158</v>
      </c>
    </row>
    <row r="512" spans="1:17">
      <c r="A512" s="1">
        <v>52333</v>
      </c>
      <c r="B512" s="1" t="s">
        <v>15</v>
      </c>
      <c r="C512" s="1" t="s">
        <v>200</v>
      </c>
      <c r="D512" s="19" t="s">
        <v>10537</v>
      </c>
      <c r="E512" s="15" t="str">
        <f>HYPERLINK("https://stat100.ameba.jp/tnk47/ratio20/illustrations/card/ill_52333_chichibuyomatsuri03.jpg?201908-5-RELEASE-marathon-426", "■")</f>
        <v>■</v>
      </c>
      <c r="F512" s="1" t="s">
        <v>3614</v>
      </c>
      <c r="G512" s="1">
        <v>56316</v>
      </c>
      <c r="H512" s="1">
        <v>51078</v>
      </c>
      <c r="I512" s="1">
        <v>19</v>
      </c>
      <c r="J512" s="1" t="s">
        <v>38</v>
      </c>
      <c r="K512" s="1" t="s">
        <v>3615</v>
      </c>
      <c r="L512" s="1" t="s">
        <v>3616</v>
      </c>
      <c r="M512" s="1" t="s">
        <v>9158</v>
      </c>
      <c r="N512" s="1" t="s">
        <v>9158</v>
      </c>
      <c r="O512" s="1" t="s">
        <v>9158</v>
      </c>
      <c r="P512" s="1" t="s">
        <v>9158</v>
      </c>
      <c r="Q512" s="1" t="s">
        <v>9158</v>
      </c>
    </row>
    <row r="513" spans="1:17">
      <c r="A513" s="1">
        <v>51913</v>
      </c>
      <c r="B513" s="1" t="s">
        <v>15</v>
      </c>
      <c r="C513" s="1" t="s">
        <v>6497</v>
      </c>
      <c r="D513" s="19" t="s">
        <v>10538</v>
      </c>
      <c r="E513" s="15" t="str">
        <f>HYPERLINK("https://stat100.ameba.jp/tnk47/ratio20/illustrations/card/ill_51913_kemonomizugihamahime03.jpg?201908-5-RELEASE-marathon-426", "■")</f>
        <v>■</v>
      </c>
      <c r="F513" s="1" t="s">
        <v>6501</v>
      </c>
      <c r="G513" s="1">
        <v>51078</v>
      </c>
      <c r="H513" s="1">
        <v>56316</v>
      </c>
      <c r="I513" s="1">
        <v>19</v>
      </c>
      <c r="J513" s="1" t="s">
        <v>6498</v>
      </c>
      <c r="K513" s="1" t="s">
        <v>6500</v>
      </c>
      <c r="L513" s="1" t="s">
        <v>6499</v>
      </c>
      <c r="M513" s="1" t="s">
        <v>9158</v>
      </c>
      <c r="N513" s="1" t="s">
        <v>9158</v>
      </c>
      <c r="O513" s="1" t="s">
        <v>9158</v>
      </c>
      <c r="P513" s="1" t="s">
        <v>9158</v>
      </c>
      <c r="Q513" s="1" t="s">
        <v>9158</v>
      </c>
    </row>
    <row r="514" spans="1:17">
      <c r="A514" s="1">
        <v>51833</v>
      </c>
      <c r="B514" s="1" t="s">
        <v>15</v>
      </c>
      <c r="C514" s="1" t="s">
        <v>205</v>
      </c>
      <c r="D514" s="19" t="s">
        <v>10493</v>
      </c>
      <c r="E514" s="15" t="str">
        <f>HYPERLINK("https://stat100.ameba.jp/tnk47/ratio20/illustrations/card/ill_51833_jukimakitsuhikonomikoto03.jpg?201908-5-RELEASE-marathon-426", "■")</f>
        <v>■</v>
      </c>
      <c r="F514" s="1" t="s">
        <v>6254</v>
      </c>
      <c r="G514" s="1">
        <v>56316</v>
      </c>
      <c r="H514" s="1">
        <v>51078</v>
      </c>
      <c r="I514" s="1">
        <v>19</v>
      </c>
      <c r="J514" s="1" t="s">
        <v>44</v>
      </c>
      <c r="K514" s="1" t="s">
        <v>6257</v>
      </c>
      <c r="L514" s="1" t="s">
        <v>6256</v>
      </c>
      <c r="M514" s="1" t="s">
        <v>9158</v>
      </c>
      <c r="N514" s="1" t="s">
        <v>9158</v>
      </c>
      <c r="O514" s="1" t="s">
        <v>9158</v>
      </c>
      <c r="P514" s="1" t="s">
        <v>9158</v>
      </c>
      <c r="Q514" s="1" t="s">
        <v>9158</v>
      </c>
    </row>
    <row r="516" spans="1:17">
      <c r="A516" s="1" t="s">
        <v>6502</v>
      </c>
    </row>
    <row r="517" spans="1:17">
      <c r="A517" s="1" t="s">
        <v>6503</v>
      </c>
    </row>
    <row r="518" spans="1:17">
      <c r="A518" s="1" t="s">
        <v>6504</v>
      </c>
      <c r="B518" s="1" t="s">
        <v>330</v>
      </c>
      <c r="C518" s="1" t="s">
        <v>307</v>
      </c>
      <c r="D518" s="19" t="s">
        <v>306</v>
      </c>
      <c r="E518" s="15" t="str">
        <f>HYPERLINK("https://stat100.ameba.jp/tnk47/ratio20/illustrations/card/ill_71403_0_ohanamisanadayukimura03.jpg?201908-5-RELEASE-marathon-426", "■")</f>
        <v>■</v>
      </c>
      <c r="F518" s="1" t="s">
        <v>309</v>
      </c>
      <c r="G518" s="1">
        <v>205358</v>
      </c>
      <c r="H518" s="1">
        <v>190952</v>
      </c>
      <c r="I518" s="1">
        <v>22</v>
      </c>
      <c r="J518" s="1" t="s">
        <v>310</v>
      </c>
      <c r="K518" s="1" t="s">
        <v>311</v>
      </c>
      <c r="L518" s="1" t="s">
        <v>312</v>
      </c>
      <c r="M518" s="1" t="s">
        <v>9158</v>
      </c>
      <c r="N518" s="1" t="s">
        <v>9158</v>
      </c>
      <c r="O518" s="19" t="s">
        <v>10104</v>
      </c>
      <c r="P518" s="1" t="s">
        <v>3418</v>
      </c>
      <c r="Q518" s="1">
        <v>2</v>
      </c>
    </row>
    <row r="519" spans="1:17">
      <c r="A519" s="1" t="s">
        <v>6505</v>
      </c>
      <c r="B519" s="1" t="s">
        <v>330</v>
      </c>
      <c r="C519" s="1" t="s">
        <v>206</v>
      </c>
      <c r="D519" s="19" t="s">
        <v>2814</v>
      </c>
      <c r="E519" s="15" t="str">
        <f>HYPERLINK("https://stat100.ameba.jp/tnk47/ratio20/illustrations/card/ill_57733_0_shogatsunisenjunanaamakusashiro03.jpg?201908-5-RELEASE-marathon-426", "■")</f>
        <v>■</v>
      </c>
      <c r="F519" s="1" t="s">
        <v>1016</v>
      </c>
      <c r="G519" s="1">
        <v>122776</v>
      </c>
      <c r="H519" s="1">
        <v>138212</v>
      </c>
      <c r="I519" s="1">
        <v>22</v>
      </c>
      <c r="J519" s="1" t="s">
        <v>10</v>
      </c>
      <c r="K519" s="1" t="s">
        <v>1017</v>
      </c>
      <c r="L519" s="1" t="s">
        <v>1018</v>
      </c>
      <c r="M519" s="1" t="s">
        <v>9158</v>
      </c>
      <c r="N519" s="1" t="s">
        <v>9158</v>
      </c>
      <c r="O519" s="19" t="s">
        <v>10077</v>
      </c>
      <c r="P519" s="1" t="s">
        <v>3062</v>
      </c>
      <c r="Q519" s="1">
        <v>1</v>
      </c>
    </row>
    <row r="520" spans="1:17">
      <c r="A520" s="1">
        <v>81023</v>
      </c>
      <c r="B520" s="1" t="s">
        <v>334</v>
      </c>
      <c r="C520" s="1" t="s">
        <v>41</v>
      </c>
      <c r="D520" s="19" t="s">
        <v>10274</v>
      </c>
      <c r="E520" s="15" t="str">
        <f>HYPERLINK("https://stat100.ameba.jp/tnk47/ratio20/illustrations/card/ill_81023_momonokenki03.jpg?201908-5-RELEASE-marathon-426", "■")</f>
        <v>■</v>
      </c>
      <c r="F520" s="1" t="s">
        <v>4088</v>
      </c>
      <c r="G520" s="1">
        <v>126858</v>
      </c>
      <c r="H520" s="1">
        <v>91876</v>
      </c>
      <c r="I520" s="1">
        <v>24</v>
      </c>
      <c r="J520" s="1" t="s">
        <v>143</v>
      </c>
      <c r="K520" s="1" t="s">
        <v>4089</v>
      </c>
      <c r="L520" s="1" t="s">
        <v>2049</v>
      </c>
      <c r="M520" s="1" t="s">
        <v>9158</v>
      </c>
      <c r="N520" s="1" t="s">
        <v>9158</v>
      </c>
      <c r="O520" s="19" t="s">
        <v>10096</v>
      </c>
      <c r="P520" s="1" t="s">
        <v>3245</v>
      </c>
      <c r="Q520" s="1">
        <v>1</v>
      </c>
    </row>
    <row r="521" spans="1:17">
      <c r="A521" s="1">
        <v>69503</v>
      </c>
      <c r="B521" s="1" t="s">
        <v>0</v>
      </c>
      <c r="C521" s="1" t="s">
        <v>47</v>
      </c>
      <c r="D521" s="19" t="s">
        <v>2949</v>
      </c>
      <c r="E521" s="15" t="str">
        <f>HYPERLINK("https://stat100.ameba.jp/tnk47/ratio20/illustrations/card/ill_69503_azusayumi03.jpg?201908-5-RELEASE-marathon-426", "■")</f>
        <v>■</v>
      </c>
      <c r="F521" s="1" t="s">
        <v>66</v>
      </c>
      <c r="G521" s="1">
        <v>104385</v>
      </c>
      <c r="H521" s="1">
        <v>75627</v>
      </c>
      <c r="I521" s="1">
        <v>23</v>
      </c>
      <c r="J521" s="1" t="s">
        <v>38</v>
      </c>
      <c r="K521" s="1" t="s">
        <v>67</v>
      </c>
      <c r="L521" s="1" t="s">
        <v>68</v>
      </c>
      <c r="M521" s="1" t="s">
        <v>9158</v>
      </c>
      <c r="N521" s="1" t="s">
        <v>9158</v>
      </c>
      <c r="O521" s="19" t="s">
        <v>2951</v>
      </c>
      <c r="P521" s="1" t="s">
        <v>13122</v>
      </c>
      <c r="Q521" s="1">
        <v>1</v>
      </c>
    </row>
    <row r="522" spans="1:17">
      <c r="A522" s="1">
        <v>62043</v>
      </c>
      <c r="B522" s="1" t="s">
        <v>0</v>
      </c>
      <c r="C522" s="1" t="s">
        <v>158</v>
      </c>
      <c r="D522" s="19" t="s">
        <v>10233</v>
      </c>
      <c r="E522" s="15" t="str">
        <f>HYPERLINK("https://stat100.ameba.jp/tnk47/ratio20/illustrations/card/ill_62043_niutsuhimenookami03.jpg?201908-5-RELEASE-marathon-426", "■")</f>
        <v>■</v>
      </c>
      <c r="F522" s="1" t="s">
        <v>2022</v>
      </c>
      <c r="G522" s="1">
        <v>76042</v>
      </c>
      <c r="H522" s="1">
        <v>104989</v>
      </c>
      <c r="I522" s="1">
        <v>23</v>
      </c>
      <c r="J522" s="1" t="s">
        <v>169</v>
      </c>
      <c r="K522" s="1" t="s">
        <v>2023</v>
      </c>
      <c r="L522" s="1" t="s">
        <v>13144</v>
      </c>
      <c r="M522" s="1" t="s">
        <v>9158</v>
      </c>
      <c r="N522" s="1" t="s">
        <v>9158</v>
      </c>
      <c r="O522" s="19" t="s">
        <v>10093</v>
      </c>
      <c r="P522" s="1" t="s">
        <v>13145</v>
      </c>
      <c r="Q522" s="1">
        <v>1</v>
      </c>
    </row>
    <row r="523" spans="1:17">
      <c r="A523" s="1">
        <v>73083</v>
      </c>
      <c r="B523" s="1" t="s">
        <v>334</v>
      </c>
      <c r="C523" s="1" t="s">
        <v>154</v>
      </c>
      <c r="D523" s="19" t="s">
        <v>10308</v>
      </c>
      <c r="E523" s="15" t="str">
        <f>HYPERLINK("https://stat100.ameba.jp/tnk47/ratio20/illustrations/card/ill_73083_inochinoamekobayashiissa03.jpg?201908-5-RELEASE-marathon-426", "■")</f>
        <v>■</v>
      </c>
      <c r="F523" s="1" t="s">
        <v>3350</v>
      </c>
      <c r="G523" s="1">
        <v>100519</v>
      </c>
      <c r="H523" s="1">
        <v>72819</v>
      </c>
      <c r="I523" s="1">
        <v>23</v>
      </c>
      <c r="J523" s="1" t="s">
        <v>10</v>
      </c>
      <c r="K523" s="1" t="s">
        <v>3351</v>
      </c>
      <c r="L523" s="1" t="s">
        <v>3352</v>
      </c>
      <c r="M523" s="1" t="s">
        <v>9158</v>
      </c>
      <c r="N523" s="1" t="s">
        <v>9158</v>
      </c>
      <c r="O523" s="1" t="s">
        <v>9158</v>
      </c>
      <c r="P523" s="1" t="s">
        <v>9158</v>
      </c>
      <c r="Q523" s="1" t="s">
        <v>9158</v>
      </c>
    </row>
    <row r="524" spans="1:17">
      <c r="A524" s="1">
        <v>59403</v>
      </c>
      <c r="B524" s="1" t="s">
        <v>334</v>
      </c>
      <c r="C524" s="1" t="s">
        <v>158</v>
      </c>
      <c r="D524" s="19" t="s">
        <v>10539</v>
      </c>
      <c r="E524" s="15" t="str">
        <f>HYPERLINK("https://stat100.ameba.jp/tnk47/ratio20/illustrations/card/ill_59403_hakuzosu03.jpg?201908-5-RELEASE-marathon-426", "■")</f>
        <v>■</v>
      </c>
      <c r="F524" s="1" t="s">
        <v>3697</v>
      </c>
      <c r="G524" s="1">
        <v>95830</v>
      </c>
      <c r="H524" s="1">
        <v>89121</v>
      </c>
      <c r="I524" s="1">
        <v>23</v>
      </c>
      <c r="J524" s="1" t="s">
        <v>73</v>
      </c>
      <c r="K524" s="1" t="s">
        <v>3698</v>
      </c>
      <c r="L524" s="1" t="s">
        <v>3699</v>
      </c>
      <c r="M524" s="1" t="s">
        <v>9158</v>
      </c>
      <c r="N524" s="1" t="s">
        <v>9158</v>
      </c>
      <c r="O524" s="1" t="s">
        <v>9158</v>
      </c>
      <c r="P524" s="1" t="s">
        <v>9158</v>
      </c>
      <c r="Q524" s="1" t="s">
        <v>9158</v>
      </c>
    </row>
    <row r="525" spans="1:17">
      <c r="A525" s="1">
        <v>60183</v>
      </c>
      <c r="B525" s="1" t="s">
        <v>334</v>
      </c>
      <c r="C525" s="1" t="s">
        <v>209</v>
      </c>
      <c r="D525" s="19" t="s">
        <v>444</v>
      </c>
      <c r="E525" s="15" t="str">
        <f>HYPERLINK("https://stat100.ameba.jp/tnk47/ratio20/illustrations/card/ill_60183_aizuyaichi03.jpg?201908-5-RELEASE-marathon-426", "■")</f>
        <v>■</v>
      </c>
      <c r="F525" s="1" t="s">
        <v>1035</v>
      </c>
      <c r="G525" s="1">
        <v>75627</v>
      </c>
      <c r="H525" s="1">
        <v>104385</v>
      </c>
      <c r="I525" s="1">
        <v>23</v>
      </c>
      <c r="J525" s="1" t="s">
        <v>16</v>
      </c>
      <c r="K525" s="1" t="s">
        <v>1036</v>
      </c>
      <c r="L525" s="1" t="s">
        <v>1037</v>
      </c>
      <c r="M525" s="1" t="s">
        <v>9158</v>
      </c>
      <c r="N525" s="1" t="s">
        <v>9158</v>
      </c>
      <c r="O525" s="1" t="s">
        <v>9158</v>
      </c>
      <c r="P525" s="1" t="s">
        <v>9158</v>
      </c>
      <c r="Q525" s="1" t="s">
        <v>9158</v>
      </c>
    </row>
    <row r="527" spans="1:17">
      <c r="A527" s="1" t="s">
        <v>6506</v>
      </c>
    </row>
    <row r="528" spans="1:17">
      <c r="A528" s="1" t="s">
        <v>6507</v>
      </c>
    </row>
    <row r="529" spans="1:17">
      <c r="A529" s="1" t="s">
        <v>6508</v>
      </c>
      <c r="B529" s="1" t="s">
        <v>330</v>
      </c>
      <c r="C529" s="1" t="s">
        <v>35</v>
      </c>
      <c r="D529" s="19" t="s">
        <v>10168</v>
      </c>
      <c r="E529" s="15" t="str">
        <f>HYPERLINK("https://stat100.ameba.jp/tnk47/ratio20/illustrations/card/ill_81783_0_denshagarukoteipenginchan03.jpg?201908-5-RELEASE-marathon-426", "■")</f>
        <v>■</v>
      </c>
      <c r="F529" s="1" t="s">
        <v>4834</v>
      </c>
      <c r="G529" s="1">
        <v>279102</v>
      </c>
      <c r="H529" s="1">
        <v>252236</v>
      </c>
      <c r="I529" s="1">
        <v>24</v>
      </c>
      <c r="J529" s="1" t="s">
        <v>26</v>
      </c>
      <c r="K529" s="1" t="s">
        <v>4836</v>
      </c>
      <c r="L529" s="1" t="s">
        <v>1783</v>
      </c>
      <c r="M529" s="1" t="s">
        <v>9158</v>
      </c>
      <c r="N529" s="1" t="s">
        <v>9158</v>
      </c>
      <c r="O529" s="19" t="s">
        <v>10124</v>
      </c>
      <c r="P529" s="1" t="s">
        <v>4838</v>
      </c>
      <c r="Q529" s="1">
        <v>1</v>
      </c>
    </row>
    <row r="530" spans="1:17">
      <c r="A530" s="1">
        <v>78143</v>
      </c>
      <c r="B530" s="1" t="s">
        <v>334</v>
      </c>
      <c r="C530" s="1" t="s">
        <v>203</v>
      </c>
      <c r="D530" s="19" t="s">
        <v>10285</v>
      </c>
      <c r="E530" s="15" t="str">
        <f>HYPERLINK("https://stat100.ameba.jp/tnk47/ratio20/illustrations/card/ill_78143_kanibarukuin03.jpg?201908-5-RELEASE-marathon-426", "■")</f>
        <v>■</v>
      </c>
      <c r="F530" s="1" t="s">
        <v>2687</v>
      </c>
      <c r="G530" s="1">
        <v>88624</v>
      </c>
      <c r="H530" s="1">
        <v>122366</v>
      </c>
      <c r="I530" s="1">
        <v>24</v>
      </c>
      <c r="J530" s="1" t="s">
        <v>26</v>
      </c>
      <c r="K530" s="1" t="s">
        <v>2688</v>
      </c>
      <c r="L530" s="1" t="s">
        <v>2137</v>
      </c>
      <c r="M530" s="1" t="s">
        <v>9158</v>
      </c>
      <c r="N530" s="1" t="s">
        <v>9158</v>
      </c>
      <c r="O530" s="19" t="s">
        <v>10103</v>
      </c>
      <c r="P530" s="1" t="s">
        <v>3897</v>
      </c>
      <c r="Q530" s="1">
        <v>1</v>
      </c>
    </row>
    <row r="531" spans="1:17">
      <c r="A531" s="1">
        <v>76803</v>
      </c>
      <c r="B531" s="1" t="s">
        <v>334</v>
      </c>
      <c r="C531" s="1" t="s">
        <v>202</v>
      </c>
      <c r="D531" s="19" t="s">
        <v>673</v>
      </c>
      <c r="E531" s="15" t="str">
        <f>HYPERLINK("https://stat100.ameba.jp/tnk47/ratio20/illustrations/card/ill_76803_monsutakujirachan03.jpg?201908-5-RELEASE-marathon-426", "■")</f>
        <v>■</v>
      </c>
      <c r="F531" s="1" t="s">
        <v>674</v>
      </c>
      <c r="G531" s="1">
        <v>159674</v>
      </c>
      <c r="H531" s="1">
        <v>115656</v>
      </c>
      <c r="I531" s="1">
        <v>24</v>
      </c>
      <c r="J531" s="1" t="s">
        <v>283</v>
      </c>
      <c r="K531" s="1" t="s">
        <v>675</v>
      </c>
      <c r="L531" s="1" t="s">
        <v>435</v>
      </c>
      <c r="M531" s="1" t="s">
        <v>9158</v>
      </c>
      <c r="N531" s="1" t="s">
        <v>9158</v>
      </c>
      <c r="O531" s="19" t="s">
        <v>3165</v>
      </c>
      <c r="P531" s="1" t="s">
        <v>13139</v>
      </c>
      <c r="Q531" s="1">
        <v>1</v>
      </c>
    </row>
    <row r="532" spans="1:17">
      <c r="A532" s="1">
        <v>80743</v>
      </c>
      <c r="B532" s="1" t="s">
        <v>0</v>
      </c>
      <c r="C532" s="1" t="s">
        <v>209</v>
      </c>
      <c r="D532" s="19" t="s">
        <v>10414</v>
      </c>
      <c r="E532" s="15" t="str">
        <f>HYPERLINK("https://stat100.ameba.jp/tnk47/ratio20/illustrations/card/ill_80743_senseijutsushi03.jpg?201908-5-RELEASE-marathon-426", "■")</f>
        <v>■</v>
      </c>
      <c r="F532" s="1" t="s">
        <v>4249</v>
      </c>
      <c r="G532" s="1">
        <v>75984</v>
      </c>
      <c r="H532" s="1">
        <v>104890</v>
      </c>
      <c r="I532" s="1">
        <v>24</v>
      </c>
      <c r="J532" s="1" t="s">
        <v>16</v>
      </c>
      <c r="K532" s="1" t="s">
        <v>4250</v>
      </c>
      <c r="L532" s="1" t="s">
        <v>4251</v>
      </c>
      <c r="M532" s="1" t="s">
        <v>9158</v>
      </c>
      <c r="N532" s="1" t="s">
        <v>9158</v>
      </c>
      <c r="O532" s="19" t="s">
        <v>10109</v>
      </c>
      <c r="P532" s="1" t="s">
        <v>3625</v>
      </c>
      <c r="Q532" s="1">
        <v>1</v>
      </c>
    </row>
    <row r="534" spans="1:17">
      <c r="A534" s="1" t="s">
        <v>6511</v>
      </c>
    </row>
    <row r="535" spans="1:17">
      <c r="A535" s="1" t="s">
        <v>6509</v>
      </c>
    </row>
    <row r="536" spans="1:17">
      <c r="A536" s="1" t="s">
        <v>6510</v>
      </c>
      <c r="B536" s="1" t="s">
        <v>52</v>
      </c>
      <c r="C536" s="1" t="s">
        <v>107</v>
      </c>
      <c r="D536" s="19" t="s">
        <v>543</v>
      </c>
      <c r="E536" s="15" t="str">
        <f>HYPERLINK("https://stat100.ameba.jp/tnk47/ratio20/illustrations/card/ill_52693_0_sengokumibirakiyanagiharabyakuren03.jpg?201908-5-RELEASE-marathon-426", "■")</f>
        <v>■</v>
      </c>
      <c r="F536" s="1" t="s">
        <v>1246</v>
      </c>
      <c r="G536" s="1">
        <v>122776</v>
      </c>
      <c r="H536" s="1">
        <v>138212</v>
      </c>
      <c r="I536" s="1">
        <v>22</v>
      </c>
      <c r="J536" s="1" t="s">
        <v>16</v>
      </c>
      <c r="K536" s="1" t="s">
        <v>1247</v>
      </c>
      <c r="L536" s="1" t="s">
        <v>1248</v>
      </c>
      <c r="M536" s="1" t="s">
        <v>9158</v>
      </c>
      <c r="N536" s="1" t="s">
        <v>9158</v>
      </c>
      <c r="O536" s="19" t="s">
        <v>2886</v>
      </c>
      <c r="P536" s="1" t="s">
        <v>3304</v>
      </c>
      <c r="Q536" s="1">
        <v>1</v>
      </c>
    </row>
    <row r="537" spans="1:17">
      <c r="A537" s="1" t="s">
        <v>5603</v>
      </c>
      <c r="B537" s="1" t="s">
        <v>330</v>
      </c>
      <c r="C537" s="1" t="s">
        <v>205</v>
      </c>
      <c r="D537" s="19" t="s">
        <v>611</v>
      </c>
      <c r="E537" s="15" t="str">
        <f>HYPERLINK("https://stat100.ameba.jp/tnk47/ratio20/illustrations/card/ill_61893_0_onikirishumiyamotomusashi03.jpg?201908-5-RELEASE-marathon-426", "■")</f>
        <v>■</v>
      </c>
      <c r="F537" s="1" t="s">
        <v>612</v>
      </c>
      <c r="G537" s="1">
        <v>205358</v>
      </c>
      <c r="H537" s="1">
        <v>190952</v>
      </c>
      <c r="I537" s="1">
        <v>22</v>
      </c>
      <c r="J537" s="1" t="s">
        <v>310</v>
      </c>
      <c r="K537" s="1" t="s">
        <v>613</v>
      </c>
      <c r="L537" s="1" t="s">
        <v>312</v>
      </c>
      <c r="M537" s="1" t="s">
        <v>9158</v>
      </c>
      <c r="N537" s="1" t="s">
        <v>9158</v>
      </c>
      <c r="O537" s="19" t="s">
        <v>10071</v>
      </c>
      <c r="P537" s="1" t="s">
        <v>3253</v>
      </c>
      <c r="Q537" s="1">
        <v>1</v>
      </c>
    </row>
    <row r="538" spans="1:17">
      <c r="A538" s="1" t="s">
        <v>5897</v>
      </c>
      <c r="B538" s="1" t="s">
        <v>52</v>
      </c>
      <c r="C538" s="1" t="s">
        <v>23</v>
      </c>
      <c r="D538" s="19" t="s">
        <v>277</v>
      </c>
      <c r="E538" s="15" t="str">
        <f>HYPERLINK("https://stat100.ameba.jp/tnk47/ratio20/illustrations/card/ill_40913_0_reigyokudensetsufusehime03.jpg?201908-5-RELEASE-marathon-426", "■")</f>
        <v>■</v>
      </c>
      <c r="F538" s="1" t="s">
        <v>955</v>
      </c>
      <c r="G538" s="1">
        <v>120576</v>
      </c>
      <c r="H538" s="1">
        <v>128744</v>
      </c>
      <c r="I538" s="1">
        <v>22</v>
      </c>
      <c r="J538" s="1" t="s">
        <v>38</v>
      </c>
      <c r="K538" s="1" t="s">
        <v>956</v>
      </c>
      <c r="L538" s="1" t="s">
        <v>957</v>
      </c>
      <c r="M538" s="1" t="s">
        <v>9158</v>
      </c>
      <c r="N538" s="1" t="s">
        <v>9158</v>
      </c>
      <c r="O538" s="1" t="s">
        <v>9158</v>
      </c>
      <c r="P538" s="1" t="s">
        <v>9158</v>
      </c>
      <c r="Q538" s="1" t="s">
        <v>9158</v>
      </c>
    </row>
    <row r="539" spans="1:17">
      <c r="A539" s="1">
        <v>83353</v>
      </c>
      <c r="B539" s="1" t="s">
        <v>0</v>
      </c>
      <c r="C539" s="1" t="s">
        <v>267</v>
      </c>
      <c r="D539" s="19" t="s">
        <v>10532</v>
      </c>
      <c r="E539" s="15" t="str">
        <f>HYPERLINK("https://stat100.ameba.jp/tnk47/ratio20/illustrations/card/ill_83353_kunoichikumanofudechan03.jpg?201908-5-RELEASE-marathon-426", "■")</f>
        <v>■</v>
      </c>
      <c r="F539" s="1" t="s">
        <v>6475</v>
      </c>
      <c r="G539" s="1">
        <v>109334</v>
      </c>
      <c r="H539" s="1">
        <v>101656</v>
      </c>
      <c r="I539" s="1">
        <v>24</v>
      </c>
      <c r="J539" s="1" t="s">
        <v>229</v>
      </c>
      <c r="K539" s="1" t="s">
        <v>6474</v>
      </c>
      <c r="L539" s="1" t="s">
        <v>6473</v>
      </c>
      <c r="M539" s="1" t="s">
        <v>9158</v>
      </c>
      <c r="N539" s="1" t="s">
        <v>9158</v>
      </c>
      <c r="O539" s="1" t="s">
        <v>9158</v>
      </c>
      <c r="P539" s="1" t="s">
        <v>9158</v>
      </c>
      <c r="Q539" s="1" t="s">
        <v>9158</v>
      </c>
    </row>
    <row r="540" spans="1:17">
      <c r="A540" s="1">
        <v>84043</v>
      </c>
      <c r="B540" s="1" t="s">
        <v>15</v>
      </c>
      <c r="C540" s="1" t="s">
        <v>185</v>
      </c>
      <c r="D540" s="19" t="s">
        <v>10534</v>
      </c>
      <c r="E540" s="15" t="str">
        <f>HYPERLINK("https://stat100.ameba.jp/tnk47/ratio20/illustrations/card/ill_84043_intonnambutsuruhime03.jpg?201908-5-RELEASE-marathon-426", "■")</f>
        <v>■</v>
      </c>
      <c r="F540" s="1" t="s">
        <v>6483</v>
      </c>
      <c r="G540" s="1">
        <v>48390</v>
      </c>
      <c r="H540" s="1">
        <v>53352</v>
      </c>
      <c r="I540" s="1">
        <v>18</v>
      </c>
      <c r="J540" s="1" t="s">
        <v>77</v>
      </c>
      <c r="K540" s="1" t="s">
        <v>5215</v>
      </c>
      <c r="L540" s="1" t="s">
        <v>973</v>
      </c>
      <c r="M540" s="1" t="s">
        <v>9158</v>
      </c>
      <c r="N540" s="1" t="s">
        <v>9158</v>
      </c>
      <c r="O540" s="1" t="s">
        <v>9158</v>
      </c>
      <c r="P540" s="1" t="s">
        <v>9158</v>
      </c>
      <c r="Q540" s="1" t="s">
        <v>9158</v>
      </c>
    </row>
    <row r="541" spans="1:17">
      <c r="A541" s="1">
        <v>83373</v>
      </c>
      <c r="B541" s="1" t="s">
        <v>22</v>
      </c>
      <c r="C541" s="1" t="s">
        <v>191</v>
      </c>
      <c r="D541" s="19" t="s">
        <v>10535</v>
      </c>
      <c r="E541" s="15" t="str">
        <f>HYPERLINK("https://stat100.ameba.jp/tnk47/ratio20/illustrations/card/ill_83373_mokutommochizukichiyome03.jpg?201908-5-RELEASE-marathon-426", "■")</f>
        <v>■</v>
      </c>
      <c r="F541" s="1" t="s">
        <v>6484</v>
      </c>
      <c r="G541" s="1">
        <v>35346</v>
      </c>
      <c r="H541" s="1">
        <v>29388</v>
      </c>
      <c r="I541" s="1">
        <v>17</v>
      </c>
      <c r="J541" s="1" t="s">
        <v>16</v>
      </c>
      <c r="K541" s="1" t="s">
        <v>6486</v>
      </c>
      <c r="L541" s="1" t="s">
        <v>1115</v>
      </c>
      <c r="M541" s="1" t="s">
        <v>9158</v>
      </c>
      <c r="N541" s="1" t="s">
        <v>9158</v>
      </c>
      <c r="O541" s="1" t="s">
        <v>9158</v>
      </c>
      <c r="P541" s="1" t="s">
        <v>9158</v>
      </c>
      <c r="Q541" s="1" t="s">
        <v>9158</v>
      </c>
    </row>
    <row r="542" spans="1:17">
      <c r="A542" s="1">
        <v>83383</v>
      </c>
      <c r="B542" s="1" t="s">
        <v>30</v>
      </c>
      <c r="C542" s="1" t="s">
        <v>2611</v>
      </c>
      <c r="D542" s="19" t="s">
        <v>10536</v>
      </c>
      <c r="E542" s="15" t="str">
        <f>HYPERLINK("https://stat100.ameba.jp/tnk47/ratio20/illustrations/card/ill_83383_otoshiana03.jpg?201908-5-RELEASE-marathon-426", "■")</f>
        <v>■</v>
      </c>
      <c r="F542" s="1" t="s">
        <v>6491</v>
      </c>
      <c r="G542" s="1">
        <v>17972</v>
      </c>
      <c r="H542" s="1">
        <v>21398</v>
      </c>
      <c r="I542" s="1">
        <v>17</v>
      </c>
      <c r="J542" s="1" t="s">
        <v>26</v>
      </c>
      <c r="K542" s="1" t="s">
        <v>6489</v>
      </c>
      <c r="L542" s="1" t="s">
        <v>2221</v>
      </c>
      <c r="M542" s="1" t="s">
        <v>9158</v>
      </c>
      <c r="N542" s="1" t="s">
        <v>9158</v>
      </c>
      <c r="O542" s="1" t="s">
        <v>9158</v>
      </c>
      <c r="P542" s="1" t="s">
        <v>9158</v>
      </c>
      <c r="Q542" s="1" t="s">
        <v>9158</v>
      </c>
    </row>
    <row r="544" spans="1:17">
      <c r="A544" s="1" t="s">
        <v>6514</v>
      </c>
    </row>
    <row r="545" spans="1:17">
      <c r="A545" s="1" t="s">
        <v>6515</v>
      </c>
    </row>
    <row r="546" spans="1:17">
      <c r="A546" s="1" t="s">
        <v>6516</v>
      </c>
      <c r="B546" s="1" t="s">
        <v>330</v>
      </c>
      <c r="C546" s="1" t="s">
        <v>202</v>
      </c>
      <c r="D546" s="19" t="s">
        <v>1497</v>
      </c>
      <c r="E546" s="15" t="str">
        <f>HYPERLINK("https://stat100.ameba.jp/tnk47/ratio20/illustrations/card/ill_74593_0_natsuyuenchikoshihikari03.jpg?201908-5-RELEASE-marathon-426", "■")</f>
        <v>■</v>
      </c>
      <c r="F546" s="1" t="s">
        <v>1498</v>
      </c>
      <c r="G546" s="1">
        <v>162496</v>
      </c>
      <c r="H546" s="1">
        <v>151067</v>
      </c>
      <c r="I546" s="1">
        <v>15</v>
      </c>
      <c r="J546" s="1" t="s">
        <v>283</v>
      </c>
      <c r="K546" s="1" t="s">
        <v>1499</v>
      </c>
      <c r="L546" s="1" t="s">
        <v>1500</v>
      </c>
      <c r="M546" s="1" t="s">
        <v>9158</v>
      </c>
      <c r="N546" s="1" t="s">
        <v>9158</v>
      </c>
      <c r="O546" s="19" t="s">
        <v>2731</v>
      </c>
      <c r="P546" s="1" t="s">
        <v>2732</v>
      </c>
      <c r="Q546" s="1">
        <v>1</v>
      </c>
    </row>
    <row r="547" spans="1:17">
      <c r="A547" s="1" t="s">
        <v>5778</v>
      </c>
      <c r="B547" s="1" t="s">
        <v>330</v>
      </c>
      <c r="C547" s="1" t="s">
        <v>205</v>
      </c>
      <c r="D547" s="19" t="s">
        <v>272</v>
      </c>
      <c r="E547" s="15" t="str">
        <f>HYPERLINK("https://stat100.ameba.jp/tnk47/ratio20/illustrations/card/ill_68783_0_gantammomotaro03.jpg?201908-5-RELEASE-marathon-426", "■")</f>
        <v>■</v>
      </c>
      <c r="F547" s="1" t="s">
        <v>273</v>
      </c>
      <c r="G547" s="1">
        <v>102590</v>
      </c>
      <c r="H547" s="1">
        <v>95371</v>
      </c>
      <c r="I547" s="1">
        <v>15</v>
      </c>
      <c r="J547" s="1" t="s">
        <v>274</v>
      </c>
      <c r="K547" s="1" t="s">
        <v>275</v>
      </c>
      <c r="L547" s="1" t="s">
        <v>276</v>
      </c>
      <c r="M547" s="1" t="s">
        <v>9158</v>
      </c>
      <c r="N547" s="1" t="s">
        <v>9158</v>
      </c>
      <c r="O547" s="19" t="s">
        <v>10099</v>
      </c>
      <c r="P547" s="1" t="s">
        <v>3085</v>
      </c>
      <c r="Q547" s="1">
        <v>1</v>
      </c>
    </row>
    <row r="548" spans="1:17">
      <c r="A548" s="1" t="s">
        <v>5627</v>
      </c>
      <c r="B548" s="1" t="s">
        <v>330</v>
      </c>
      <c r="C548" s="1" t="s">
        <v>191</v>
      </c>
      <c r="D548" s="19" t="s">
        <v>393</v>
      </c>
      <c r="E548" s="15" t="str">
        <f>HYPERLINK("https://stat100.ameba.jp/tnk47/ratio20/illustrations/card/ill_46283_0_odanobunaga03.jpg?201908-5-RELEASE-marathon-426", "■")</f>
        <v>■</v>
      </c>
      <c r="F548" s="1" t="s">
        <v>1073</v>
      </c>
      <c r="G548" s="1">
        <v>82212</v>
      </c>
      <c r="H548" s="1">
        <v>87780</v>
      </c>
      <c r="I548" s="1">
        <v>15</v>
      </c>
      <c r="J548" s="1" t="s">
        <v>143</v>
      </c>
      <c r="K548" s="1" t="s">
        <v>1074</v>
      </c>
      <c r="L548" s="1" t="s">
        <v>1075</v>
      </c>
      <c r="M548" s="1" t="s">
        <v>9158</v>
      </c>
      <c r="N548" s="1" t="s">
        <v>9158</v>
      </c>
      <c r="O548" s="1" t="s">
        <v>9158</v>
      </c>
      <c r="P548" s="1" t="s">
        <v>9158</v>
      </c>
      <c r="Q548" s="1" t="s">
        <v>9158</v>
      </c>
    </row>
    <row r="549" spans="1:17">
      <c r="A549" s="1">
        <v>80673</v>
      </c>
      <c r="B549" s="1" t="s">
        <v>0</v>
      </c>
      <c r="C549" s="1" t="s">
        <v>107</v>
      </c>
      <c r="D549" s="19" t="s">
        <v>10540</v>
      </c>
      <c r="E549" s="15" t="str">
        <f>HYPERLINK("https://stat100.ameba.jp/tnk47/ratio20/illustrations/card/ill_80673_banchoshishirianraisu03.jpg?201908-5-RELEASE-marathon-426", "■")</f>
        <v>■</v>
      </c>
      <c r="F549" s="1" t="s">
        <v>4220</v>
      </c>
      <c r="G549" s="1">
        <v>132658</v>
      </c>
      <c r="H549" s="1">
        <v>142674</v>
      </c>
      <c r="I549" s="1">
        <v>24</v>
      </c>
      <c r="J549" s="1" t="s">
        <v>104</v>
      </c>
      <c r="K549" s="1" t="s">
        <v>4221</v>
      </c>
      <c r="L549" s="1" t="s">
        <v>2304</v>
      </c>
      <c r="M549" s="1" t="s">
        <v>9158</v>
      </c>
      <c r="N549" s="1" t="s">
        <v>9158</v>
      </c>
      <c r="O549" s="1" t="s">
        <v>9158</v>
      </c>
      <c r="P549" s="1" t="s">
        <v>9158</v>
      </c>
      <c r="Q549" s="1" t="s">
        <v>9158</v>
      </c>
    </row>
    <row r="550" spans="1:17">
      <c r="A550" s="1">
        <v>80823</v>
      </c>
      <c r="B550" s="1" t="s">
        <v>334</v>
      </c>
      <c r="C550" s="1" t="s">
        <v>96</v>
      </c>
      <c r="D550" s="19" t="s">
        <v>10541</v>
      </c>
      <c r="E550" s="15" t="str">
        <f>HYPERLINK("https://stat100.ameba.jp/tnk47/ratio20/illustrations/card/ill_80823_utatanekitanokata03.jpg?201908-5-RELEASE-marathon-426", "■")</f>
        <v>■</v>
      </c>
      <c r="F550" s="1" t="s">
        <v>4268</v>
      </c>
      <c r="G550" s="1">
        <v>132658</v>
      </c>
      <c r="H550" s="1">
        <v>142674</v>
      </c>
      <c r="I550" s="1">
        <v>24</v>
      </c>
      <c r="J550" s="1" t="s">
        <v>143</v>
      </c>
      <c r="K550" s="1" t="s">
        <v>4269</v>
      </c>
      <c r="L550" s="1" t="s">
        <v>1148</v>
      </c>
      <c r="M550" s="1" t="s">
        <v>9158</v>
      </c>
      <c r="N550" s="1" t="s">
        <v>9158</v>
      </c>
      <c r="O550" s="1" t="s">
        <v>9158</v>
      </c>
      <c r="P550" s="1" t="s">
        <v>9158</v>
      </c>
      <c r="Q550" s="1" t="s">
        <v>9158</v>
      </c>
    </row>
    <row r="551" spans="1:17">
      <c r="A551" s="1">
        <v>77123</v>
      </c>
      <c r="B551" s="1" t="s">
        <v>334</v>
      </c>
      <c r="C551" s="1" t="s">
        <v>191</v>
      </c>
      <c r="D551" s="19" t="s">
        <v>10424</v>
      </c>
      <c r="E551" s="15" t="str">
        <f>HYPERLINK("https://stat100.ameba.jp/tnk47/ratio20/illustrations/card/ill_77123_yukemuriizuna03.jpg?201908-5-RELEASE-marathon-426", "■")</f>
        <v>■</v>
      </c>
      <c r="F551" s="1" t="s">
        <v>1377</v>
      </c>
      <c r="G551" s="1">
        <v>99996</v>
      </c>
      <c r="H551" s="1">
        <v>92996</v>
      </c>
      <c r="I551" s="1">
        <v>24</v>
      </c>
      <c r="J551" s="1" t="s">
        <v>320</v>
      </c>
      <c r="K551" s="1" t="s">
        <v>1378</v>
      </c>
      <c r="L551" s="1" t="s">
        <v>1379</v>
      </c>
      <c r="M551" s="1" t="s">
        <v>9158</v>
      </c>
      <c r="N551" s="1" t="s">
        <v>9158</v>
      </c>
      <c r="O551" s="19" t="s">
        <v>2838</v>
      </c>
      <c r="P551" s="1" t="s">
        <v>3579</v>
      </c>
      <c r="Q551" s="1">
        <v>1</v>
      </c>
    </row>
    <row r="552" spans="1:17">
      <c r="A552" s="1">
        <v>79103</v>
      </c>
      <c r="B552" s="1" t="s">
        <v>15</v>
      </c>
      <c r="C552" s="1" t="s">
        <v>200</v>
      </c>
      <c r="D552" s="19" t="s">
        <v>10542</v>
      </c>
      <c r="E552" s="15" t="str">
        <f>HYPERLINK("https://stat100.ameba.jp/tnk47/ratio20/illustrations/card/ill_79103_burabankitaharareiko03.jpg?201908-5-RELEASE-marathon-426", "■")</f>
        <v>■</v>
      </c>
      <c r="F552" s="1" t="s">
        <v>3398</v>
      </c>
      <c r="G552" s="1">
        <v>59280</v>
      </c>
      <c r="H552" s="1">
        <v>53768</v>
      </c>
      <c r="I552" s="1">
        <v>20</v>
      </c>
      <c r="J552" s="1" t="s">
        <v>10</v>
      </c>
      <c r="K552" s="1" t="s">
        <v>3399</v>
      </c>
      <c r="L552" s="1" t="s">
        <v>3275</v>
      </c>
      <c r="M552" s="1" t="s">
        <v>9158</v>
      </c>
      <c r="N552" s="1" t="s">
        <v>9158</v>
      </c>
      <c r="O552" s="1" t="s">
        <v>9158</v>
      </c>
      <c r="P552" s="1" t="s">
        <v>9158</v>
      </c>
      <c r="Q552" s="1" t="s">
        <v>9158</v>
      </c>
    </row>
    <row r="553" spans="1:17">
      <c r="A553" s="1">
        <v>76493</v>
      </c>
      <c r="B553" s="1" t="s">
        <v>348</v>
      </c>
      <c r="C553" s="1" t="s">
        <v>165</v>
      </c>
      <c r="D553" s="19" t="s">
        <v>593</v>
      </c>
      <c r="E553" s="15" t="str">
        <f>HYPERLINK("https://stat100.ameba.jp/tnk47/ratio20/illustrations/card/ill_76493_yukemurikyogokumaria03.jpg?201908-5-RELEASE-marathon-426", "■")</f>
        <v>■</v>
      </c>
      <c r="F553" s="1" t="s">
        <v>594</v>
      </c>
      <c r="G553" s="1">
        <v>53768</v>
      </c>
      <c r="H553" s="1">
        <v>59280</v>
      </c>
      <c r="I553" s="1">
        <v>20</v>
      </c>
      <c r="J553" s="1" t="s">
        <v>315</v>
      </c>
      <c r="K553" s="1" t="s">
        <v>595</v>
      </c>
      <c r="L553" s="1" t="s">
        <v>596</v>
      </c>
      <c r="M553" s="1" t="s">
        <v>9158</v>
      </c>
      <c r="N553" s="1" t="s">
        <v>9158</v>
      </c>
      <c r="O553" s="1" t="s">
        <v>9158</v>
      </c>
      <c r="P553" s="1" t="s">
        <v>9158</v>
      </c>
      <c r="Q553" s="1" t="s">
        <v>9158</v>
      </c>
    </row>
    <row r="554" spans="1:17">
      <c r="A554" s="1">
        <v>71703</v>
      </c>
      <c r="B554" s="1" t="s">
        <v>15</v>
      </c>
      <c r="C554" s="1" t="s">
        <v>206</v>
      </c>
      <c r="D554" s="19" t="s">
        <v>10543</v>
      </c>
      <c r="E554" s="15" t="str">
        <f>HYPERLINK("https://stat100.ameba.jp/tnk47/ratio20/illustrations/card/ill_71703_shokugyotaikenkusumotoine03.jpg?201908-5-RELEASE-marathon-426", "■")</f>
        <v>■</v>
      </c>
      <c r="F554" s="1" t="s">
        <v>4239</v>
      </c>
      <c r="G554" s="1">
        <v>59280</v>
      </c>
      <c r="H554" s="1">
        <v>53768</v>
      </c>
      <c r="I554" s="1">
        <v>20</v>
      </c>
      <c r="J554" s="1" t="s">
        <v>16</v>
      </c>
      <c r="K554" s="1" t="s">
        <v>4240</v>
      </c>
      <c r="L554" s="1" t="s">
        <v>21</v>
      </c>
      <c r="M554" s="1" t="s">
        <v>9158</v>
      </c>
      <c r="N554" s="1" t="s">
        <v>9158</v>
      </c>
      <c r="O554" s="1" t="s">
        <v>9158</v>
      </c>
      <c r="P554" s="1" t="s">
        <v>9158</v>
      </c>
      <c r="Q554" s="1" t="s">
        <v>9158</v>
      </c>
    </row>
    <row r="556" spans="1:17">
      <c r="A556" s="1" t="s">
        <v>6511</v>
      </c>
    </row>
    <row r="557" spans="1:17">
      <c r="A557" s="1" t="s">
        <v>6517</v>
      </c>
    </row>
    <row r="558" spans="1:17">
      <c r="A558" s="1" t="s">
        <v>5804</v>
      </c>
      <c r="B558" s="1" t="s">
        <v>52</v>
      </c>
      <c r="C558" s="1" t="s">
        <v>14</v>
      </c>
      <c r="D558" s="19" t="s">
        <v>3195</v>
      </c>
      <c r="E558" s="15" t="str">
        <f>HYPERLINK("https://stat100.ameba.jp/tnk47/ratio20/illustrations/card/ill_75393_0_resukuinotsukisamaniittausagi03.jpg?201909-1-RELEASE-raid-427", "■")</f>
        <v>■</v>
      </c>
      <c r="F558" s="1" t="s">
        <v>3248</v>
      </c>
      <c r="G558" s="1">
        <v>250588</v>
      </c>
      <c r="H558" s="1">
        <v>232980</v>
      </c>
      <c r="I558" s="1">
        <v>22</v>
      </c>
      <c r="J558" s="1" t="s">
        <v>26</v>
      </c>
      <c r="K558" s="1" t="s">
        <v>3249</v>
      </c>
      <c r="L558" s="1" t="s">
        <v>3250</v>
      </c>
      <c r="M558" s="1" t="s">
        <v>9158</v>
      </c>
      <c r="N558" s="1" t="s">
        <v>9158</v>
      </c>
      <c r="O558" s="19" t="s">
        <v>10101</v>
      </c>
      <c r="P558" s="1" t="s">
        <v>3251</v>
      </c>
      <c r="Q558" s="1">
        <v>2</v>
      </c>
    </row>
    <row r="559" spans="1:17">
      <c r="A559" s="1" t="s">
        <v>5618</v>
      </c>
      <c r="B559" s="1" t="s">
        <v>330</v>
      </c>
      <c r="C559" s="1" t="s">
        <v>200</v>
      </c>
      <c r="D559" s="19" t="s">
        <v>665</v>
      </c>
      <c r="E559" s="15" t="str">
        <f>HYPERLINK("https://stat100.ameba.jp/tnk47/ratio20/illustrations/card/ill_63173_0_minazukikonakaiteruko03.jpg?201909-1-RELEASE-raid-427", "■")</f>
        <v>■</v>
      </c>
      <c r="F559" s="1" t="s">
        <v>666</v>
      </c>
      <c r="G559" s="1">
        <v>190952</v>
      </c>
      <c r="H559" s="1">
        <v>205358</v>
      </c>
      <c r="I559" s="1">
        <v>22</v>
      </c>
      <c r="J559" s="1" t="s">
        <v>310</v>
      </c>
      <c r="K559" s="1" t="s">
        <v>667</v>
      </c>
      <c r="L559" s="1" t="s">
        <v>668</v>
      </c>
      <c r="M559" s="1" t="s">
        <v>9158</v>
      </c>
      <c r="N559" s="1" t="s">
        <v>9158</v>
      </c>
      <c r="O559" s="19" t="s">
        <v>10079</v>
      </c>
      <c r="P559" s="1" t="s">
        <v>3329</v>
      </c>
      <c r="Q559" s="1">
        <v>1</v>
      </c>
    </row>
    <row r="560" spans="1:17">
      <c r="A560" s="1" t="s">
        <v>6519</v>
      </c>
      <c r="B560" s="1" t="s">
        <v>330</v>
      </c>
      <c r="C560" s="1" t="s">
        <v>205</v>
      </c>
      <c r="D560" s="19" t="s">
        <v>702</v>
      </c>
      <c r="E560" s="15" t="str">
        <f>HYPERLINK("https://stat100.ameba.jp/tnk47/ratio20/illustrations/card/ill_50693_0_hanamizugimimuratsuru03.jpg?201909-1-RELEASE-raid-427", "■")</f>
        <v>■</v>
      </c>
      <c r="F560" s="1" t="s">
        <v>703</v>
      </c>
      <c r="G560" s="1">
        <v>122776</v>
      </c>
      <c r="H560" s="1">
        <v>138212</v>
      </c>
      <c r="I560" s="1">
        <v>22</v>
      </c>
      <c r="J560" s="1" t="s">
        <v>310</v>
      </c>
      <c r="K560" s="1" t="s">
        <v>704</v>
      </c>
      <c r="L560" s="1" t="s">
        <v>705</v>
      </c>
      <c r="M560" s="1" t="s">
        <v>9158</v>
      </c>
      <c r="N560" s="1" t="s">
        <v>9158</v>
      </c>
      <c r="O560" s="1" t="s">
        <v>9158</v>
      </c>
      <c r="P560" s="1" t="s">
        <v>9158</v>
      </c>
      <c r="Q560" s="1" t="s">
        <v>9158</v>
      </c>
    </row>
    <row r="561" spans="1:17">
      <c r="A561" s="1">
        <v>84033</v>
      </c>
      <c r="B561" s="1" t="s">
        <v>0</v>
      </c>
      <c r="C561" s="1" t="s">
        <v>6518</v>
      </c>
      <c r="D561" s="19" t="s">
        <v>10533</v>
      </c>
      <c r="E561" s="15" t="str">
        <f>HYPERLINK("https://stat100.ameba.jp/tnk47/ratio20/illustrations/card/ill_84033_ogiyaka03.jpg?201909-1-RELEASE-raid-427", "■")</f>
        <v>■</v>
      </c>
      <c r="F561" s="1" t="s">
        <v>6479</v>
      </c>
      <c r="G561" s="1">
        <v>87128</v>
      </c>
      <c r="H561" s="1">
        <v>93746</v>
      </c>
      <c r="I561" s="1">
        <v>24</v>
      </c>
      <c r="J561" s="1" t="s">
        <v>187</v>
      </c>
      <c r="K561" s="1" t="s">
        <v>6477</v>
      </c>
      <c r="L561" s="1" t="s">
        <v>969</v>
      </c>
      <c r="M561" s="1" t="s">
        <v>9158</v>
      </c>
      <c r="N561" s="1" t="s">
        <v>9158</v>
      </c>
      <c r="O561" s="1" t="s">
        <v>9158</v>
      </c>
      <c r="P561" s="1" t="s">
        <v>9158</v>
      </c>
      <c r="Q561" s="1" t="s">
        <v>9158</v>
      </c>
    </row>
    <row r="562" spans="1:17">
      <c r="A562" s="1">
        <v>84043</v>
      </c>
      <c r="B562" s="1" t="s">
        <v>15</v>
      </c>
      <c r="C562" s="1" t="s">
        <v>185</v>
      </c>
      <c r="D562" s="19" t="s">
        <v>10534</v>
      </c>
      <c r="E562" s="15" t="str">
        <f>HYPERLINK("https://stat100.ameba.jp/tnk47/ratio20/illustrations/card/ill_84043_intonnambutsuruhime03.jpg?201909-1-RELEASE-raid-427", "■")</f>
        <v>■</v>
      </c>
      <c r="F562" s="1" t="s">
        <v>6483</v>
      </c>
      <c r="G562" s="1">
        <v>48390</v>
      </c>
      <c r="H562" s="1">
        <v>53352</v>
      </c>
      <c r="I562" s="1">
        <v>18</v>
      </c>
      <c r="J562" s="1" t="s">
        <v>77</v>
      </c>
      <c r="K562" s="1" t="s">
        <v>5215</v>
      </c>
      <c r="L562" s="1" t="s">
        <v>973</v>
      </c>
      <c r="M562" s="1" t="s">
        <v>9158</v>
      </c>
      <c r="N562" s="1" t="s">
        <v>9158</v>
      </c>
      <c r="O562" s="1" t="s">
        <v>9158</v>
      </c>
      <c r="P562" s="1" t="s">
        <v>9158</v>
      </c>
      <c r="Q562" s="1" t="s">
        <v>9158</v>
      </c>
    </row>
    <row r="563" spans="1:17">
      <c r="A563" s="1">
        <v>83373</v>
      </c>
      <c r="B563" s="1" t="s">
        <v>22</v>
      </c>
      <c r="C563" s="1" t="s">
        <v>191</v>
      </c>
      <c r="D563" s="19" t="s">
        <v>10535</v>
      </c>
      <c r="E563" s="15" t="str">
        <f>HYPERLINK("https://stat100.ameba.jp/tnk47/ratio20/illustrations/card/ill_83373_mokutommochizukichiyome03.jpg?201909-1-RELEASE-raid-427", "■")</f>
        <v>■</v>
      </c>
      <c r="F563" s="1" t="s">
        <v>6484</v>
      </c>
      <c r="G563" s="1">
        <v>35346</v>
      </c>
      <c r="H563" s="1">
        <v>29388</v>
      </c>
      <c r="I563" s="1">
        <v>17</v>
      </c>
      <c r="J563" s="1" t="s">
        <v>16</v>
      </c>
      <c r="K563" s="1" t="s">
        <v>6486</v>
      </c>
      <c r="L563" s="1" t="s">
        <v>1115</v>
      </c>
      <c r="M563" s="1" t="s">
        <v>9158</v>
      </c>
      <c r="N563" s="1" t="s">
        <v>9158</v>
      </c>
      <c r="O563" s="1" t="s">
        <v>9158</v>
      </c>
      <c r="P563" s="1" t="s">
        <v>9158</v>
      </c>
      <c r="Q563" s="1" t="s">
        <v>9158</v>
      </c>
    </row>
    <row r="564" spans="1:17">
      <c r="A564" s="1">
        <v>83383</v>
      </c>
      <c r="B564" s="1" t="s">
        <v>30</v>
      </c>
      <c r="C564" s="1" t="s">
        <v>2611</v>
      </c>
      <c r="D564" s="19" t="s">
        <v>10536</v>
      </c>
      <c r="E564" s="15" t="str">
        <f>HYPERLINK("https://stat100.ameba.jp/tnk47/ratio20/illustrations/card/ill_83383_otoshiana03.jpg?201909-1-RELEASE-raid-427", "■")</f>
        <v>■</v>
      </c>
      <c r="F564" s="1" t="s">
        <v>6491</v>
      </c>
      <c r="G564" s="1">
        <v>17972</v>
      </c>
      <c r="H564" s="1">
        <v>21398</v>
      </c>
      <c r="I564" s="1">
        <v>17</v>
      </c>
      <c r="J564" s="1" t="s">
        <v>26</v>
      </c>
      <c r="K564" s="1" t="s">
        <v>6489</v>
      </c>
      <c r="L564" s="1" t="s">
        <v>2221</v>
      </c>
      <c r="M564" s="1" t="s">
        <v>9158</v>
      </c>
      <c r="N564" s="1" t="s">
        <v>9158</v>
      </c>
      <c r="O564" s="1" t="s">
        <v>9158</v>
      </c>
      <c r="P564" s="1" t="s">
        <v>9158</v>
      </c>
      <c r="Q564" s="1" t="s">
        <v>9158</v>
      </c>
    </row>
    <row r="566" spans="1:17">
      <c r="A566" s="1" t="s">
        <v>6520</v>
      </c>
    </row>
    <row r="567" spans="1:17">
      <c r="A567" s="1" t="s">
        <v>6521</v>
      </c>
    </row>
    <row r="568" spans="1:17">
      <c r="A568" s="1" t="s">
        <v>5891</v>
      </c>
      <c r="B568" s="1" t="s">
        <v>330</v>
      </c>
      <c r="C568" s="1" t="s">
        <v>202</v>
      </c>
      <c r="D568" s="19" t="s">
        <v>1371</v>
      </c>
      <c r="E568" s="15" t="str">
        <f>HYPERLINK("https://stat100.ameba.jp/tnk47/ratio20/illustrations/card/ill_77173_0_yukemuritomoegozen03.jpg?201909-1-RELEASE-raid-427", "■")</f>
        <v>■</v>
      </c>
      <c r="F568" s="1" t="s">
        <v>1372</v>
      </c>
      <c r="G568" s="1">
        <v>240586</v>
      </c>
      <c r="H568" s="1">
        <v>266192</v>
      </c>
      <c r="I568" s="1">
        <v>24</v>
      </c>
      <c r="J568" s="1" t="s">
        <v>310</v>
      </c>
      <c r="K568" s="1" t="s">
        <v>1373</v>
      </c>
      <c r="L568" s="1" t="s">
        <v>1374</v>
      </c>
      <c r="M568" s="1" t="s">
        <v>9158</v>
      </c>
      <c r="N568" s="1" t="s">
        <v>9158</v>
      </c>
      <c r="O568" s="19" t="s">
        <v>4067</v>
      </c>
      <c r="P568" s="1" t="s">
        <v>3879</v>
      </c>
      <c r="Q568" s="1">
        <v>2</v>
      </c>
    </row>
    <row r="569" spans="1:17">
      <c r="A569" s="1">
        <v>78633</v>
      </c>
      <c r="B569" s="1" t="s">
        <v>334</v>
      </c>
      <c r="C569" s="1" t="s">
        <v>200</v>
      </c>
      <c r="D569" s="19" t="s">
        <v>2749</v>
      </c>
      <c r="E569" s="15" t="str">
        <f>HYPERLINK("https://stat100.ameba.jp/tnk47/ratio20/illustrations/card/ill_78633_geishunyuramyoinni03.jpg?201909-1-RELEASE-raid-427", "■")</f>
        <v>■</v>
      </c>
      <c r="F569" s="1" t="s">
        <v>2750</v>
      </c>
      <c r="G569" s="1">
        <v>87128</v>
      </c>
      <c r="H569" s="1">
        <v>93746</v>
      </c>
      <c r="I569" s="1">
        <v>24</v>
      </c>
      <c r="J569" s="1" t="s">
        <v>315</v>
      </c>
      <c r="K569" s="1" t="s">
        <v>2751</v>
      </c>
      <c r="L569" s="1" t="s">
        <v>608</v>
      </c>
      <c r="M569" s="1" t="s">
        <v>9158</v>
      </c>
      <c r="N569" s="1" t="s">
        <v>9158</v>
      </c>
      <c r="O569" s="19" t="s">
        <v>2752</v>
      </c>
      <c r="P569" s="1" t="s">
        <v>13123</v>
      </c>
      <c r="Q569" s="1">
        <v>1</v>
      </c>
    </row>
    <row r="570" spans="1:17">
      <c r="A570" s="1">
        <v>81143</v>
      </c>
      <c r="B570" s="1" t="s">
        <v>334</v>
      </c>
      <c r="C570" s="1" t="s">
        <v>205</v>
      </c>
      <c r="D570" s="19" t="s">
        <v>10419</v>
      </c>
      <c r="E570" s="15" t="str">
        <f>HYPERLINK("https://stat100.ameba.jp/tnk47/ratio20/illustrations/card/ill_81143_shinryokunokisetsumerompan03.jpg?201909-1-RELEASE-raid-427", "■")</f>
        <v>■</v>
      </c>
      <c r="F570" s="1" t="s">
        <v>4517</v>
      </c>
      <c r="G570" s="1">
        <v>113340</v>
      </c>
      <c r="H570" s="1">
        <v>105394</v>
      </c>
      <c r="I570" s="1">
        <v>24</v>
      </c>
      <c r="J570" s="1" t="s">
        <v>104</v>
      </c>
      <c r="K570" s="1" t="s">
        <v>4518</v>
      </c>
      <c r="L570" s="1" t="s">
        <v>3489</v>
      </c>
      <c r="M570" s="1" t="s">
        <v>9158</v>
      </c>
      <c r="N570" s="1" t="s">
        <v>9158</v>
      </c>
      <c r="O570" s="19" t="s">
        <v>10111</v>
      </c>
      <c r="P570" s="1" t="s">
        <v>3610</v>
      </c>
      <c r="Q570" s="1">
        <v>1</v>
      </c>
    </row>
    <row r="571" spans="1:17">
      <c r="A571" s="1">
        <v>79513</v>
      </c>
      <c r="B571" s="1" t="s">
        <v>334</v>
      </c>
      <c r="C571" s="1" t="s">
        <v>209</v>
      </c>
      <c r="D571" s="19" t="s">
        <v>10404</v>
      </c>
      <c r="E571" s="15" t="str">
        <f>HYPERLINK("https://stat100.ameba.jp/tnk47/ratio20/illustrations/card/ill_79513_suzafuonia03.jpg?201909-1-RELEASE-raid-427", "■")</f>
        <v>■</v>
      </c>
      <c r="F571" s="1" t="s">
        <v>3529</v>
      </c>
      <c r="G571" s="1">
        <v>75984</v>
      </c>
      <c r="H571" s="1">
        <v>104890</v>
      </c>
      <c r="I571" s="1">
        <v>24</v>
      </c>
      <c r="J571" s="1" t="s">
        <v>10</v>
      </c>
      <c r="K571" s="1" t="s">
        <v>3532</v>
      </c>
      <c r="L571" s="1" t="s">
        <v>12</v>
      </c>
      <c r="M571" s="1" t="s">
        <v>9158</v>
      </c>
      <c r="N571" s="1" t="s">
        <v>9158</v>
      </c>
      <c r="O571" s="19" t="s">
        <v>2917</v>
      </c>
      <c r="P571" s="1" t="s">
        <v>3531</v>
      </c>
      <c r="Q571" s="1">
        <v>1</v>
      </c>
    </row>
    <row r="573" spans="1:17">
      <c r="A573" s="1" t="s">
        <v>6522</v>
      </c>
    </row>
    <row r="574" spans="1:17">
      <c r="A574" s="1" t="s">
        <v>6523</v>
      </c>
    </row>
    <row r="575" spans="1:17">
      <c r="A575" s="1" t="s">
        <v>6525</v>
      </c>
      <c r="B575" s="1" t="s">
        <v>330</v>
      </c>
      <c r="C575" s="1" t="s">
        <v>206</v>
      </c>
      <c r="D575" s="19" t="s">
        <v>669</v>
      </c>
      <c r="E575" s="15" t="str">
        <f>HYPERLINK("https://stat100.ameba.jp/tnk47/ratio20/illustrations/card/ill_67173_0_yukemuriawamorichan03.jpg?201909-1-RELEASE-raid-427", "■")</f>
        <v>■</v>
      </c>
      <c r="F575" s="1" t="s">
        <v>6524</v>
      </c>
      <c r="G575" s="1">
        <v>161349</v>
      </c>
      <c r="H575" s="1">
        <v>150006</v>
      </c>
      <c r="I575" s="1">
        <v>21</v>
      </c>
      <c r="J575" s="1" t="s">
        <v>283</v>
      </c>
      <c r="K575" s="1" t="s">
        <v>671</v>
      </c>
      <c r="L575" s="1" t="s">
        <v>672</v>
      </c>
      <c r="M575" s="1" t="s">
        <v>9158</v>
      </c>
      <c r="N575" s="1" t="s">
        <v>9158</v>
      </c>
      <c r="O575" s="19" t="s">
        <v>10087</v>
      </c>
      <c r="P575" s="1" t="s">
        <v>3164</v>
      </c>
      <c r="Q575" s="1">
        <v>1</v>
      </c>
    </row>
    <row r="576" spans="1:17">
      <c r="A576" s="1">
        <v>63283</v>
      </c>
      <c r="B576" s="1" t="s">
        <v>334</v>
      </c>
      <c r="C576" s="1" t="s">
        <v>209</v>
      </c>
      <c r="D576" s="19" t="s">
        <v>327</v>
      </c>
      <c r="E576" s="15" t="str">
        <f>HYPERLINK("https://stat100.ameba.jp/tnk47/ratio20/illustrations/card/ill_63283_mizuyokanchan03.jpg?201909-1-RELEASE-raid-427", "■")</f>
        <v>■</v>
      </c>
      <c r="F576" s="1" t="s">
        <v>327</v>
      </c>
      <c r="G576" s="1">
        <v>108617</v>
      </c>
      <c r="H576" s="1">
        <v>101002</v>
      </c>
      <c r="I576" s="1">
        <v>23</v>
      </c>
      <c r="J576" s="1" t="s">
        <v>283</v>
      </c>
      <c r="K576" s="1" t="s">
        <v>328</v>
      </c>
      <c r="L576" s="1" t="s">
        <v>329</v>
      </c>
      <c r="M576" s="1" t="s">
        <v>9158</v>
      </c>
      <c r="N576" s="1" t="s">
        <v>9158</v>
      </c>
      <c r="O576" s="19" t="s">
        <v>10084</v>
      </c>
      <c r="P576" s="1" t="s">
        <v>3563</v>
      </c>
      <c r="Q576" s="1">
        <v>1</v>
      </c>
    </row>
    <row r="577" spans="1:19">
      <c r="A577" s="1">
        <v>71343</v>
      </c>
      <c r="B577" s="1" t="s">
        <v>334</v>
      </c>
      <c r="C577" s="1" t="s">
        <v>185</v>
      </c>
      <c r="D577" s="19" t="s">
        <v>10544</v>
      </c>
      <c r="E577" s="15" t="str">
        <f>HYPERLINK("https://stat100.ameba.jp/tnk47/ratio20/illustrations/card/ill_71343_ohanamimatehime03.jpg?201909-1-RELEASE-raid-427", "■")</f>
        <v>■</v>
      </c>
      <c r="F577" s="1" t="s">
        <v>536</v>
      </c>
      <c r="G577" s="1">
        <v>83499</v>
      </c>
      <c r="H577" s="1">
        <v>89839</v>
      </c>
      <c r="I577" s="1">
        <v>23</v>
      </c>
      <c r="J577" s="1" t="s">
        <v>187</v>
      </c>
      <c r="K577" s="1" t="s">
        <v>188</v>
      </c>
      <c r="L577" s="1" t="s">
        <v>13132</v>
      </c>
      <c r="M577" s="1" t="s">
        <v>9158</v>
      </c>
      <c r="N577" s="1" t="s">
        <v>9158</v>
      </c>
      <c r="O577" s="19" t="s">
        <v>2752</v>
      </c>
      <c r="P577" s="1" t="s">
        <v>13123</v>
      </c>
      <c r="Q577" s="1">
        <v>1</v>
      </c>
    </row>
    <row r="578" spans="1:19">
      <c r="A578" s="1">
        <v>72193</v>
      </c>
      <c r="B578" s="1" t="s">
        <v>334</v>
      </c>
      <c r="C578" s="1" t="s">
        <v>165</v>
      </c>
      <c r="D578" s="19" t="s">
        <v>3112</v>
      </c>
      <c r="E578" s="15" t="str">
        <f>HYPERLINK("https://stat100.ameba.jp/tnk47/ratio20/illustrations/card/ill_72193_koinoborikomyokogo03.jpg?201909-1-RELEASE-raid-427", "■")</f>
        <v>■</v>
      </c>
      <c r="F578" s="1" t="s">
        <v>2539</v>
      </c>
      <c r="G578" s="1">
        <v>89839</v>
      </c>
      <c r="H578" s="1">
        <v>83499</v>
      </c>
      <c r="I578" s="1">
        <v>23</v>
      </c>
      <c r="J578" s="1" t="s">
        <v>10</v>
      </c>
      <c r="K578" s="1" t="s">
        <v>2540</v>
      </c>
      <c r="L578" s="1" t="s">
        <v>60</v>
      </c>
      <c r="M578" s="1" t="s">
        <v>9158</v>
      </c>
      <c r="N578" s="1" t="s">
        <v>9158</v>
      </c>
      <c r="O578" s="19" t="s">
        <v>10090</v>
      </c>
      <c r="P578" s="1" t="s">
        <v>3460</v>
      </c>
      <c r="Q578" s="1">
        <v>1</v>
      </c>
    </row>
    <row r="580" spans="1:19">
      <c r="A580" s="1" t="s">
        <v>6538</v>
      </c>
    </row>
    <row r="581" spans="1:19">
      <c r="A581" s="1" t="s">
        <v>6526</v>
      </c>
    </row>
    <row r="582" spans="1:19">
      <c r="A582" s="1" t="s">
        <v>6195</v>
      </c>
      <c r="B582" s="1" t="s">
        <v>52</v>
      </c>
      <c r="C582" s="1" t="s">
        <v>191</v>
      </c>
      <c r="D582" s="19" t="s">
        <v>10217</v>
      </c>
      <c r="E582" s="15" t="str">
        <f>HYPERLINK("https://stat100.ameba.jp/tnk47/ratio20/illustrations/card/ill_56493_0_poppukurisumasuikomakitsuno03.jpg?201909-1-RELEASE-raid-427", "■")</f>
        <v>■</v>
      </c>
      <c r="F582" s="1" t="s">
        <v>1769</v>
      </c>
      <c r="G582" s="1">
        <v>94236</v>
      </c>
      <c r="H582" s="1">
        <v>83712</v>
      </c>
      <c r="I582" s="1">
        <v>15</v>
      </c>
      <c r="J582" s="1" t="s">
        <v>77</v>
      </c>
      <c r="K582" s="1" t="s">
        <v>1770</v>
      </c>
      <c r="L582" s="1" t="s">
        <v>1771</v>
      </c>
      <c r="M582" s="1" t="s">
        <v>9158</v>
      </c>
      <c r="N582" s="1" t="s">
        <v>9158</v>
      </c>
      <c r="O582" s="19" t="s">
        <v>10120</v>
      </c>
      <c r="P582" s="1" t="s">
        <v>2724</v>
      </c>
      <c r="Q582" s="1">
        <v>1</v>
      </c>
    </row>
    <row r="583" spans="1:19">
      <c r="A583" s="1" t="s">
        <v>5724</v>
      </c>
      <c r="B583" s="1" t="s">
        <v>330</v>
      </c>
      <c r="C583" s="1" t="s">
        <v>335</v>
      </c>
      <c r="D583" s="19" t="s">
        <v>698</v>
      </c>
      <c r="E583" s="15" t="str">
        <f>HYPERLINK("https://stat100.ameba.jp/tnk47/ratio20/illustrations/card/ill_66433_0_haroinfujishirogozen03.jpg?201909-1-RELEASE-raid-427", "■")</f>
        <v>■</v>
      </c>
      <c r="F583" s="1" t="s">
        <v>699</v>
      </c>
      <c r="G583" s="1">
        <v>91807</v>
      </c>
      <c r="H583" s="1">
        <v>98751</v>
      </c>
      <c r="I583" s="1">
        <v>15</v>
      </c>
      <c r="J583" s="1" t="s">
        <v>315</v>
      </c>
      <c r="K583" s="1" t="s">
        <v>700</v>
      </c>
      <c r="L583" s="1" t="s">
        <v>701</v>
      </c>
      <c r="M583" s="1" t="s">
        <v>9158</v>
      </c>
      <c r="N583" s="1" t="s">
        <v>9158</v>
      </c>
      <c r="O583" s="19" t="s">
        <v>10095</v>
      </c>
      <c r="P583" s="1" t="s">
        <v>3345</v>
      </c>
      <c r="Q583" s="1">
        <v>1</v>
      </c>
    </row>
    <row r="584" spans="1:19">
      <c r="A584" s="1" t="s">
        <v>5721</v>
      </c>
      <c r="B584" s="1" t="s">
        <v>330</v>
      </c>
      <c r="C584" s="1" t="s">
        <v>205</v>
      </c>
      <c r="D584" s="19" t="s">
        <v>513</v>
      </c>
      <c r="E584" s="15" t="str">
        <f>HYPERLINK("https://stat100.ameba.jp/tnk47/ratio20/illustrations/card/ill_44283_0_izumonokuni03.jpg?201909-1-RELEASE-raid-427", "■")</f>
        <v>■</v>
      </c>
      <c r="F584" s="1" t="s">
        <v>514</v>
      </c>
      <c r="G584" s="1">
        <v>87780</v>
      </c>
      <c r="H584" s="1">
        <v>82212</v>
      </c>
      <c r="I584" s="1">
        <v>15</v>
      </c>
      <c r="J584" s="1" t="s">
        <v>159</v>
      </c>
      <c r="K584" s="1" t="s">
        <v>1717</v>
      </c>
      <c r="L584" s="1" t="s">
        <v>516</v>
      </c>
      <c r="M584" s="1" t="s">
        <v>9158</v>
      </c>
      <c r="N584" s="1" t="s">
        <v>9158</v>
      </c>
      <c r="O584" s="1" t="s">
        <v>9158</v>
      </c>
      <c r="P584" s="1" t="s">
        <v>9158</v>
      </c>
      <c r="Q584" s="1" t="s">
        <v>9158</v>
      </c>
    </row>
    <row r="585" spans="1:19">
      <c r="A585" s="1">
        <v>78983</v>
      </c>
      <c r="B585" s="1" t="s">
        <v>0</v>
      </c>
      <c r="C585" s="1" t="s">
        <v>158</v>
      </c>
      <c r="D585" s="19" t="s">
        <v>11836</v>
      </c>
      <c r="E585" s="15" t="str">
        <f>HYPERLINK("https://stat100.ameba.jp/tnk47/ratio20/illustrations/card/ill_78983_uintasupotsurubi03.jpg?201909-1-RELEASE-raid-427", "■")</f>
        <v>■</v>
      </c>
      <c r="F585" s="1" t="s">
        <v>6530</v>
      </c>
      <c r="G585" s="1">
        <v>101656</v>
      </c>
      <c r="H585" s="1">
        <v>109334</v>
      </c>
      <c r="I585" s="1">
        <v>24</v>
      </c>
      <c r="J585" s="1" t="s">
        <v>6529</v>
      </c>
      <c r="K585" s="1" t="s">
        <v>6528</v>
      </c>
      <c r="L585" s="1" t="s">
        <v>6527</v>
      </c>
      <c r="M585" s="1" t="s">
        <v>9158</v>
      </c>
      <c r="N585" s="1" t="s">
        <v>9158</v>
      </c>
      <c r="O585" s="1" t="s">
        <v>9158</v>
      </c>
      <c r="P585" s="1" t="s">
        <v>9158</v>
      </c>
      <c r="Q585" s="1" t="s">
        <v>9158</v>
      </c>
      <c r="S585" s="14" t="s">
        <v>11837</v>
      </c>
    </row>
    <row r="586" spans="1:19">
      <c r="A586" s="1">
        <v>78253</v>
      </c>
      <c r="B586" s="1" t="s">
        <v>0</v>
      </c>
      <c r="C586" s="1" t="s">
        <v>154</v>
      </c>
      <c r="D586" s="19" t="s">
        <v>11838</v>
      </c>
      <c r="E586" s="15" t="str">
        <f>HYPERLINK("https://stat100.ameba.jp/tnk47/ratio20/illustrations/card/ill_78253_yukinotahasegawashigure03.jpg?201909-1-RELEASE-raid-427", "■")</f>
        <v>■</v>
      </c>
      <c r="F586" s="1" t="s">
        <v>6533</v>
      </c>
      <c r="G586" s="1">
        <v>97318</v>
      </c>
      <c r="H586" s="1">
        <v>90522</v>
      </c>
      <c r="I586" s="1">
        <v>24</v>
      </c>
      <c r="J586" s="1" t="s">
        <v>159</v>
      </c>
      <c r="K586" s="1" t="s">
        <v>6532</v>
      </c>
      <c r="L586" s="1" t="s">
        <v>6531</v>
      </c>
      <c r="M586" s="1" t="s">
        <v>9158</v>
      </c>
      <c r="N586" s="1" t="s">
        <v>9158</v>
      </c>
      <c r="O586" s="1" t="s">
        <v>9158</v>
      </c>
      <c r="P586" s="1" t="s">
        <v>9158</v>
      </c>
      <c r="Q586" s="1" t="s">
        <v>9158</v>
      </c>
      <c r="S586" s="14" t="s">
        <v>11839</v>
      </c>
    </row>
    <row r="587" spans="1:19">
      <c r="A587" s="1">
        <v>77793</v>
      </c>
      <c r="B587" s="1" t="s">
        <v>0</v>
      </c>
      <c r="C587" s="1" t="s">
        <v>202</v>
      </c>
      <c r="D587" s="19" t="s">
        <v>11840</v>
      </c>
      <c r="E587" s="15" t="str">
        <f>HYPERLINK("https://stat100.ameba.jp/tnk47/ratio20/illustrations/card/ill_77793_bonenkaiiinaomasa03.jpg?201909-1-RELEASE-raid-427", "■")</f>
        <v>■</v>
      </c>
      <c r="F587" s="1" t="s">
        <v>6537</v>
      </c>
      <c r="G587" s="1">
        <v>149304</v>
      </c>
      <c r="H587" s="1">
        <v>138816</v>
      </c>
      <c r="I587" s="1">
        <v>24</v>
      </c>
      <c r="J587" s="1" t="s">
        <v>6536</v>
      </c>
      <c r="K587" s="1" t="s">
        <v>6535</v>
      </c>
      <c r="L587" s="1" t="s">
        <v>6534</v>
      </c>
      <c r="M587" s="1" t="s">
        <v>9158</v>
      </c>
      <c r="N587" s="1" t="s">
        <v>9158</v>
      </c>
      <c r="O587" s="1" t="s">
        <v>9158</v>
      </c>
      <c r="P587" s="1" t="s">
        <v>9158</v>
      </c>
      <c r="Q587" s="1" t="s">
        <v>9158</v>
      </c>
      <c r="S587" s="14" t="s">
        <v>11841</v>
      </c>
    </row>
    <row r="588" spans="1:19">
      <c r="A588" s="1">
        <v>74443</v>
      </c>
      <c r="B588" s="1" t="s">
        <v>15</v>
      </c>
      <c r="C588" s="1" t="s">
        <v>205</v>
      </c>
      <c r="D588" s="19" t="s">
        <v>10486</v>
      </c>
      <c r="E588" s="15" t="str">
        <f>HYPERLINK("https://stat100.ameba.jp/tnk47/ratio20/illustrations/card/ill_74443_heikegani03.jpg?201909-1-RELEASE-raid-427", "■")</f>
        <v>■</v>
      </c>
      <c r="F588" s="1" t="s">
        <v>6212</v>
      </c>
      <c r="G588" s="1">
        <v>59280</v>
      </c>
      <c r="H588" s="1">
        <v>53768</v>
      </c>
      <c r="I588" s="1">
        <v>20</v>
      </c>
      <c r="J588" s="1" t="s">
        <v>73</v>
      </c>
      <c r="K588" s="1" t="s">
        <v>6214</v>
      </c>
      <c r="L588" s="1" t="s">
        <v>5599</v>
      </c>
      <c r="M588" s="1" t="s">
        <v>9158</v>
      </c>
      <c r="N588" s="1" t="s">
        <v>9158</v>
      </c>
      <c r="O588" s="1" t="s">
        <v>9158</v>
      </c>
      <c r="P588" s="1" t="s">
        <v>9158</v>
      </c>
      <c r="Q588" s="1" t="s">
        <v>9158</v>
      </c>
      <c r="S588" s="14" t="s">
        <v>11801</v>
      </c>
    </row>
    <row r="589" spans="1:19">
      <c r="A589" s="1">
        <v>73163</v>
      </c>
      <c r="B589" s="1" t="s">
        <v>15</v>
      </c>
      <c r="C589" s="1" t="s">
        <v>205</v>
      </c>
      <c r="D589" s="19" t="s">
        <v>10487</v>
      </c>
      <c r="E589" s="15" t="str">
        <f>HYPERLINK("https://stat100.ameba.jp/tnk47/ratio20/illustrations/card/ill_73163_kibitsuhikonomikoto03.jpg?201909-1-RELEASE-raid-427", "■")</f>
        <v>■</v>
      </c>
      <c r="F589" s="1" t="s">
        <v>6215</v>
      </c>
      <c r="G589" s="1">
        <v>53768</v>
      </c>
      <c r="H589" s="1">
        <v>59280</v>
      </c>
      <c r="I589" s="1">
        <v>20</v>
      </c>
      <c r="J589" s="1" t="s">
        <v>143</v>
      </c>
      <c r="K589" s="1" t="s">
        <v>6218</v>
      </c>
      <c r="L589" s="1" t="s">
        <v>6217</v>
      </c>
      <c r="M589" s="1" t="s">
        <v>9158</v>
      </c>
      <c r="N589" s="1" t="s">
        <v>9158</v>
      </c>
      <c r="O589" s="1" t="s">
        <v>9158</v>
      </c>
      <c r="P589" s="1" t="s">
        <v>9158</v>
      </c>
      <c r="Q589" s="1" t="s">
        <v>9158</v>
      </c>
      <c r="S589" s="14" t="s">
        <v>11825</v>
      </c>
    </row>
    <row r="590" spans="1:19">
      <c r="A590" s="1">
        <v>67563</v>
      </c>
      <c r="B590" s="1" t="s">
        <v>15</v>
      </c>
      <c r="C590" s="1" t="s">
        <v>205</v>
      </c>
      <c r="D590" s="19" t="s">
        <v>10488</v>
      </c>
      <c r="E590" s="15" t="str">
        <f>HYPERLINK("https://stat100.ameba.jp/tnk47/ratio20/illustrations/card/ill_67563_udonge03.jpg?201909-1-RELEASE-raid-427", "■")</f>
        <v>■</v>
      </c>
      <c r="F590" s="1" t="s">
        <v>6219</v>
      </c>
      <c r="G590" s="1">
        <v>59280</v>
      </c>
      <c r="H590" s="1">
        <v>53768</v>
      </c>
      <c r="I590" s="1">
        <v>20</v>
      </c>
      <c r="J590" s="1" t="s">
        <v>44</v>
      </c>
      <c r="K590" s="1" t="s">
        <v>6221</v>
      </c>
      <c r="L590" s="1" t="s">
        <v>6220</v>
      </c>
      <c r="M590" s="1" t="s">
        <v>9158</v>
      </c>
      <c r="N590" s="1" t="s">
        <v>9158</v>
      </c>
      <c r="O590" s="1" t="s">
        <v>9158</v>
      </c>
      <c r="P590" s="1" t="s">
        <v>9158</v>
      </c>
      <c r="Q590" s="1" t="s">
        <v>9158</v>
      </c>
      <c r="S590" s="14" t="s">
        <v>11827</v>
      </c>
    </row>
    <row r="592" spans="1:19">
      <c r="A592" s="1" t="s">
        <v>6539</v>
      </c>
    </row>
    <row r="593" spans="1:18">
      <c r="A593" s="1" t="s">
        <v>6540</v>
      </c>
    </row>
    <row r="594" spans="1:18">
      <c r="A594" s="1" t="s">
        <v>6541</v>
      </c>
      <c r="B594" s="1" t="s">
        <v>117</v>
      </c>
      <c r="C594" s="1" t="s">
        <v>202</v>
      </c>
      <c r="D594" s="19" t="s">
        <v>10545</v>
      </c>
      <c r="E594" s="15" t="str">
        <f>HYPERLINK("https://stat100.ameba.jp/tnk47/ratio20/illustrations/card/ill_65413_0_sengokusaneiketsu03.jpg?201909-1-RELEASE-raid-427x", "■")</f>
        <v>■</v>
      </c>
      <c r="F594" s="1" t="s">
        <v>2068</v>
      </c>
      <c r="G594" s="1">
        <v>94274</v>
      </c>
      <c r="H594" s="1">
        <v>87622</v>
      </c>
      <c r="I594" s="1">
        <v>28</v>
      </c>
      <c r="J594" s="1" t="s">
        <v>143</v>
      </c>
      <c r="K594" s="1" t="s">
        <v>2069</v>
      </c>
      <c r="L594" s="1" t="s">
        <v>2070</v>
      </c>
      <c r="M594" s="1" t="s">
        <v>9158</v>
      </c>
      <c r="N594" s="1" t="s">
        <v>9158</v>
      </c>
      <c r="O594" s="1" t="s">
        <v>9158</v>
      </c>
      <c r="P594" s="1" t="s">
        <v>9158</v>
      </c>
      <c r="Q594" s="1" t="s">
        <v>9158</v>
      </c>
    </row>
    <row r="595" spans="1:18">
      <c r="A595" s="1" t="s">
        <v>6542</v>
      </c>
      <c r="B595" s="1" t="s">
        <v>52</v>
      </c>
      <c r="C595" s="1" t="s">
        <v>23</v>
      </c>
      <c r="D595" s="19" t="s">
        <v>665</v>
      </c>
      <c r="E595" s="15" t="str">
        <f>HYPERLINK("https://stat100.ameba.jp/tnk47/ratio20/illustrations/card/ill_63173_0_minazukikonakaiteruko03.jpg?201909-1-RELEASE-raid-427x", "■")</f>
        <v>■</v>
      </c>
      <c r="F595" s="1" t="s">
        <v>1188</v>
      </c>
      <c r="G595" s="1">
        <v>208310</v>
      </c>
      <c r="H595" s="1">
        <v>224026</v>
      </c>
      <c r="I595" s="1">
        <v>24</v>
      </c>
      <c r="J595" s="1" t="s">
        <v>143</v>
      </c>
      <c r="K595" s="1" t="s">
        <v>1189</v>
      </c>
      <c r="L595" s="1" t="s">
        <v>1190</v>
      </c>
      <c r="M595" s="1" t="s">
        <v>9158</v>
      </c>
      <c r="N595" s="1" t="s">
        <v>9158</v>
      </c>
      <c r="O595" s="19" t="s">
        <v>10079</v>
      </c>
      <c r="P595" s="1" t="s">
        <v>3329</v>
      </c>
      <c r="Q595" s="1">
        <v>1</v>
      </c>
    </row>
    <row r="596" spans="1:18">
      <c r="A596" s="1" t="s">
        <v>5604</v>
      </c>
      <c r="B596" s="1" t="s">
        <v>330</v>
      </c>
      <c r="C596" s="1" t="s">
        <v>206</v>
      </c>
      <c r="D596" s="19" t="s">
        <v>614</v>
      </c>
      <c r="E596" s="15" t="str">
        <f>HYPERLINK("https://stat100.ameba.jp/tnk47/ratio20/illustrations/card/ill_47263_0_oukyuuatsuhime03.jpg?201909-1-RELEASE-raid-427x", "■")</f>
        <v>■</v>
      </c>
      <c r="F596" s="1" t="s">
        <v>615</v>
      </c>
      <c r="G596" s="1">
        <v>150776</v>
      </c>
      <c r="H596" s="1">
        <v>133938</v>
      </c>
      <c r="I596" s="1">
        <v>24</v>
      </c>
      <c r="J596" s="1" t="s">
        <v>315</v>
      </c>
      <c r="K596" s="1" t="s">
        <v>616</v>
      </c>
      <c r="L596" s="1" t="s">
        <v>617</v>
      </c>
      <c r="M596" s="1" t="s">
        <v>9158</v>
      </c>
      <c r="N596" s="1" t="s">
        <v>9158</v>
      </c>
      <c r="O596" s="1" t="s">
        <v>9158</v>
      </c>
      <c r="P596" s="1" t="s">
        <v>9158</v>
      </c>
      <c r="Q596" s="1" t="s">
        <v>9158</v>
      </c>
    </row>
    <row r="597" spans="1:18">
      <c r="A597" s="1">
        <v>60763</v>
      </c>
      <c r="B597" s="1" t="s">
        <v>334</v>
      </c>
      <c r="C597" s="1" t="s">
        <v>203</v>
      </c>
      <c r="D597" s="19" t="s">
        <v>10420</v>
      </c>
      <c r="E597" s="15" t="str">
        <f>HYPERLINK("https://stat100.ameba.jp/tnk47/ratio20/illustrations/card/ill_60763_fujiwarakagekiyo03.jpg?201909-1-RELEASE-raid-427x", "■")</f>
        <v>■</v>
      </c>
      <c r="F597" s="1" t="s">
        <v>1146</v>
      </c>
      <c r="G597" s="1">
        <v>115656</v>
      </c>
      <c r="H597" s="1">
        <v>159674</v>
      </c>
      <c r="I597" s="1">
        <v>24</v>
      </c>
      <c r="J597" s="1" t="s">
        <v>143</v>
      </c>
      <c r="K597" s="1" t="s">
        <v>1147</v>
      </c>
      <c r="L597" s="1" t="s">
        <v>1148</v>
      </c>
      <c r="M597" s="1" t="s">
        <v>9158</v>
      </c>
      <c r="N597" s="1" t="s">
        <v>9158</v>
      </c>
      <c r="O597" s="19" t="s">
        <v>10112</v>
      </c>
      <c r="P597" s="1" t="s">
        <v>13150</v>
      </c>
      <c r="Q597" s="1">
        <v>1</v>
      </c>
    </row>
    <row r="598" spans="1:18">
      <c r="A598" s="1">
        <v>67943</v>
      </c>
      <c r="B598" s="1" t="s">
        <v>334</v>
      </c>
      <c r="C598" s="1" t="s">
        <v>154</v>
      </c>
      <c r="D598" s="19" t="s">
        <v>3175</v>
      </c>
      <c r="E598" s="15" t="str">
        <f>HYPERLINK("https://stat100.ameba.jp/tnk47/ratio20/illustrations/card/ill_67943_hoshinamasayuki03.jpg?201909-1-RELEASE-raid-427x", "■")</f>
        <v>■</v>
      </c>
      <c r="F598" s="1" t="s">
        <v>1781</v>
      </c>
      <c r="G598" s="1">
        <v>74668</v>
      </c>
      <c r="H598" s="1">
        <v>69408</v>
      </c>
      <c r="I598" s="1">
        <v>24</v>
      </c>
      <c r="J598" s="1" t="s">
        <v>10</v>
      </c>
      <c r="K598" s="1" t="s">
        <v>1782</v>
      </c>
      <c r="L598" s="1" t="s">
        <v>1783</v>
      </c>
      <c r="M598" s="1" t="s">
        <v>9158</v>
      </c>
      <c r="N598" s="1" t="s">
        <v>9158</v>
      </c>
      <c r="O598" s="1" t="s">
        <v>9158</v>
      </c>
      <c r="P598" s="1" t="s">
        <v>9158</v>
      </c>
      <c r="Q598" s="1" t="s">
        <v>9158</v>
      </c>
    </row>
    <row r="599" spans="1:18">
      <c r="A599" s="1">
        <v>54153</v>
      </c>
      <c r="B599" s="1" t="s">
        <v>0</v>
      </c>
      <c r="C599" s="1" t="s">
        <v>264</v>
      </c>
      <c r="D599" s="19" t="s">
        <v>3030</v>
      </c>
      <c r="E599" s="15" t="str">
        <f>HYPERLINK("https://stat100.ameba.jp/tnk47/ratio20/illustrations/card/ill_54153_gekkao03.jpg?201909-1-RELEASE-raid-427x", "■")</f>
        <v>■</v>
      </c>
      <c r="F599" s="1" t="s">
        <v>2072</v>
      </c>
      <c r="G599" s="1">
        <v>72626</v>
      </c>
      <c r="H599" s="1">
        <v>99050</v>
      </c>
      <c r="I599" s="1">
        <v>24</v>
      </c>
      <c r="J599" s="1" t="s">
        <v>44</v>
      </c>
      <c r="K599" s="1" t="s">
        <v>2073</v>
      </c>
      <c r="L599" s="1" t="s">
        <v>95</v>
      </c>
      <c r="M599" s="1" t="s">
        <v>9158</v>
      </c>
      <c r="N599" s="1" t="s">
        <v>9158</v>
      </c>
      <c r="O599" s="1" t="s">
        <v>9158</v>
      </c>
      <c r="P599" s="1" t="s">
        <v>9158</v>
      </c>
      <c r="Q599" s="1" t="s">
        <v>9158</v>
      </c>
    </row>
    <row r="601" spans="1:18">
      <c r="A601" s="1" t="s">
        <v>13327</v>
      </c>
    </row>
    <row r="602" spans="1:18">
      <c r="A602" s="1" t="s">
        <v>6571</v>
      </c>
    </row>
    <row r="603" spans="1:18">
      <c r="A603" s="1">
        <v>71873</v>
      </c>
      <c r="B603" s="1" t="s">
        <v>334</v>
      </c>
      <c r="C603" s="1" t="s">
        <v>185</v>
      </c>
      <c r="D603" s="19" t="s">
        <v>10234</v>
      </c>
      <c r="E603" s="15" t="str">
        <f>HYPERLINK("https://stat100.ameba.jp/tnk47/ratio20/illustrations/card/ill_71873_akashita03.jpg?201909-1-RELEASE-raid-427x", "■")</f>
        <v>■</v>
      </c>
      <c r="F603" s="6" t="s">
        <v>5952</v>
      </c>
      <c r="G603" s="1">
        <v>120818</v>
      </c>
      <c r="H603" s="1">
        <v>112324</v>
      </c>
      <c r="I603" s="1">
        <v>24</v>
      </c>
      <c r="J603" s="1" t="s">
        <v>182</v>
      </c>
      <c r="K603" s="1" t="s">
        <v>217</v>
      </c>
      <c r="L603" s="1" t="s">
        <v>13140</v>
      </c>
      <c r="M603" s="1" t="s">
        <v>13131</v>
      </c>
      <c r="N603" s="1" t="s">
        <v>251</v>
      </c>
      <c r="O603" s="1" t="s">
        <v>9158</v>
      </c>
      <c r="P603" s="1" t="s">
        <v>9158</v>
      </c>
      <c r="Q603" s="1" t="s">
        <v>9158</v>
      </c>
      <c r="R603" s="14"/>
    </row>
    <row r="604" spans="1:18">
      <c r="A604" s="1">
        <v>71872</v>
      </c>
      <c r="B604" s="1" t="s">
        <v>334</v>
      </c>
      <c r="C604" s="1" t="s">
        <v>185</v>
      </c>
      <c r="D604" s="19" t="s">
        <v>10234</v>
      </c>
      <c r="E604" s="15" t="str">
        <f>HYPERLINK("https://stat100.ameba.jp/tnk47/ratio20/illustrations/card/ill_71872_akashita02.jpg?201909-1-RELEASE-raid-427x", "■")</f>
        <v>■</v>
      </c>
      <c r="F604" s="1" t="s">
        <v>5952</v>
      </c>
      <c r="G604" s="1">
        <v>100934</v>
      </c>
      <c r="H604" s="1">
        <v>93028</v>
      </c>
      <c r="I604" s="1">
        <v>24</v>
      </c>
      <c r="J604" s="1" t="s">
        <v>182</v>
      </c>
      <c r="K604" s="1" t="s">
        <v>217</v>
      </c>
      <c r="L604" s="1" t="s">
        <v>13140</v>
      </c>
      <c r="M604" s="1" t="s">
        <v>13131</v>
      </c>
      <c r="N604" s="1" t="s">
        <v>251</v>
      </c>
      <c r="O604" s="1" t="s">
        <v>9158</v>
      </c>
      <c r="P604" s="1" t="s">
        <v>9158</v>
      </c>
      <c r="Q604" s="1" t="s">
        <v>9158</v>
      </c>
      <c r="R604" s="14"/>
    </row>
    <row r="605" spans="1:18">
      <c r="A605" s="1">
        <v>71871</v>
      </c>
      <c r="B605" s="1" t="s">
        <v>334</v>
      </c>
      <c r="C605" s="1" t="s">
        <v>185</v>
      </c>
      <c r="D605" s="19" t="s">
        <v>10234</v>
      </c>
      <c r="E605" s="15" t="str">
        <f>HYPERLINK("https://stat100.ameba.jp/tnk47/ratio20/illustrations/card/ill_71871_akashita01.jpg?201909-1-RELEASE-raid-427x", "■")</f>
        <v>■</v>
      </c>
      <c r="F605" s="1" t="s">
        <v>691</v>
      </c>
      <c r="G605" s="1">
        <v>77112</v>
      </c>
      <c r="H605" s="1">
        <v>71784</v>
      </c>
      <c r="I605" s="1">
        <v>24</v>
      </c>
      <c r="J605" s="1" t="s">
        <v>182</v>
      </c>
      <c r="K605" s="1" t="s">
        <v>217</v>
      </c>
      <c r="L605" s="1" t="s">
        <v>13140</v>
      </c>
      <c r="M605" s="1" t="s">
        <v>13131</v>
      </c>
      <c r="N605" s="1" t="s">
        <v>251</v>
      </c>
      <c r="O605" s="1" t="s">
        <v>9158</v>
      </c>
      <c r="P605" s="1" t="s">
        <v>9158</v>
      </c>
      <c r="Q605" s="1" t="s">
        <v>9158</v>
      </c>
      <c r="R605" s="14"/>
    </row>
    <row r="606" spans="1:18">
      <c r="A606" s="1">
        <v>72693</v>
      </c>
      <c r="B606" s="1" t="s">
        <v>334</v>
      </c>
      <c r="C606" s="1" t="s">
        <v>200</v>
      </c>
      <c r="D606" s="19" t="s">
        <v>10235</v>
      </c>
      <c r="E606" s="15" t="str">
        <f>HYPERLINK("https://stat100.ameba.jp/tnk47/ratio20/illustrations/card/ill_72693_sagarasozo03.jpg?201909-1-RELEASE-raid-427x", "■")</f>
        <v>■</v>
      </c>
      <c r="F606" s="1" t="s">
        <v>692</v>
      </c>
      <c r="G606" s="1">
        <v>112324</v>
      </c>
      <c r="H606" s="1">
        <v>120818</v>
      </c>
      <c r="I606" s="1">
        <v>24</v>
      </c>
      <c r="J606" s="1" t="s">
        <v>194</v>
      </c>
      <c r="K606" s="1" t="s">
        <v>218</v>
      </c>
      <c r="L606" s="1" t="s">
        <v>9892</v>
      </c>
      <c r="M606" s="1" t="s">
        <v>13131</v>
      </c>
      <c r="N606" s="1" t="s">
        <v>251</v>
      </c>
      <c r="O606" s="1" t="s">
        <v>9158</v>
      </c>
      <c r="P606" s="1" t="s">
        <v>9158</v>
      </c>
      <c r="Q606" s="1" t="s">
        <v>9158</v>
      </c>
    </row>
    <row r="607" spans="1:18">
      <c r="A607" s="1">
        <v>72703</v>
      </c>
      <c r="B607" s="1" t="s">
        <v>334</v>
      </c>
      <c r="C607" s="1" t="s">
        <v>191</v>
      </c>
      <c r="D607" s="19" t="s">
        <v>10236</v>
      </c>
      <c r="E607" s="15" t="str">
        <f>HYPERLINK("https://stat100.ameba.jp/tnk47/ratio20/illustrations/card/ill_72703_hayakawanoritsugu03.jpg?201909-1-RELEASE-raid-427x", "■")</f>
        <v>■</v>
      </c>
      <c r="F607" s="1" t="s">
        <v>693</v>
      </c>
      <c r="G607" s="1">
        <v>120818</v>
      </c>
      <c r="H607" s="1">
        <v>112324</v>
      </c>
      <c r="I607" s="1">
        <v>24</v>
      </c>
      <c r="J607" s="1" t="s">
        <v>173</v>
      </c>
      <c r="K607" s="1" t="s">
        <v>219</v>
      </c>
      <c r="L607" s="1" t="s">
        <v>9893</v>
      </c>
      <c r="M607" s="1" t="s">
        <v>13131</v>
      </c>
      <c r="N607" s="1" t="s">
        <v>251</v>
      </c>
      <c r="O607" s="1" t="s">
        <v>9158</v>
      </c>
      <c r="P607" s="1" t="s">
        <v>9158</v>
      </c>
      <c r="Q607" s="1" t="s">
        <v>9158</v>
      </c>
    </row>
    <row r="608" spans="1:18">
      <c r="A608" s="1">
        <v>73523</v>
      </c>
      <c r="B608" s="1" t="s">
        <v>334</v>
      </c>
      <c r="C608" s="1" t="s">
        <v>165</v>
      </c>
      <c r="D608" s="19" t="s">
        <v>10237</v>
      </c>
      <c r="E608" s="15" t="str">
        <f>HYPERLINK("https://stat100.ameba.jp/tnk47/ratio20/illustrations/card/ill_73523_marunomarudono03.jpg?201909-1-RELEASE-raid-427x", "■")</f>
        <v>■</v>
      </c>
      <c r="F608" s="1" t="s">
        <v>694</v>
      </c>
      <c r="G608" s="1">
        <v>112324</v>
      </c>
      <c r="H608" s="1">
        <v>120818</v>
      </c>
      <c r="I608" s="1">
        <v>24</v>
      </c>
      <c r="J608" s="1" t="s">
        <v>187</v>
      </c>
      <c r="K608" s="1" t="s">
        <v>220</v>
      </c>
      <c r="L608" s="1" t="s">
        <v>9894</v>
      </c>
      <c r="M608" s="1" t="s">
        <v>13131</v>
      </c>
      <c r="N608" s="1" t="s">
        <v>251</v>
      </c>
      <c r="O608" s="1" t="s">
        <v>9158</v>
      </c>
      <c r="P608" s="1" t="s">
        <v>9158</v>
      </c>
      <c r="Q608" s="1" t="s">
        <v>9158</v>
      </c>
    </row>
    <row r="609" spans="1:18">
      <c r="A609" s="1">
        <v>72713</v>
      </c>
      <c r="B609" s="1" t="s">
        <v>334</v>
      </c>
      <c r="C609" s="1" t="s">
        <v>205</v>
      </c>
      <c r="D609" s="19" t="s">
        <v>10238</v>
      </c>
      <c r="E609" s="15" t="str">
        <f>HYPERLINK("https://stat100.ameba.jp/tnk47/ratio20/illustrations/card/ill_72713_okamuzuminomikoto03.jpg?201909-1-RELEASE-raid-427x", "■")</f>
        <v>■</v>
      </c>
      <c r="F609" s="1" t="s">
        <v>695</v>
      </c>
      <c r="G609" s="1">
        <v>112324</v>
      </c>
      <c r="H609" s="1">
        <v>120818</v>
      </c>
      <c r="I609" s="1">
        <v>24</v>
      </c>
      <c r="J609" s="1" t="s">
        <v>169</v>
      </c>
      <c r="K609" s="1" t="s">
        <v>221</v>
      </c>
      <c r="L609" s="1" t="s">
        <v>9895</v>
      </c>
      <c r="M609" s="1" t="s">
        <v>13131</v>
      </c>
      <c r="N609" s="1" t="s">
        <v>251</v>
      </c>
      <c r="O609" s="1" t="s">
        <v>9158</v>
      </c>
      <c r="P609" s="1" t="s">
        <v>9158</v>
      </c>
      <c r="Q609" s="1" t="s">
        <v>9158</v>
      </c>
    </row>
    <row r="610" spans="1:18">
      <c r="A610" s="1">
        <v>73533</v>
      </c>
      <c r="B610" s="1" t="s">
        <v>334</v>
      </c>
      <c r="C610" s="1" t="s">
        <v>206</v>
      </c>
      <c r="D610" s="19" t="s">
        <v>10239</v>
      </c>
      <c r="E610" s="15" t="str">
        <f>HYPERLINK("https://stat100.ameba.jp/tnk47/ratio20/illustrations/card/ill_73533_agubutachan03.jpg?201909-1-RELEASE-raid-427x", "■")</f>
        <v>■</v>
      </c>
      <c r="F610" s="1" t="s">
        <v>696</v>
      </c>
      <c r="G610" s="1">
        <v>120818</v>
      </c>
      <c r="H610" s="1">
        <v>112324</v>
      </c>
      <c r="I610" s="1">
        <v>24</v>
      </c>
      <c r="J610" s="1" t="s">
        <v>216</v>
      </c>
      <c r="K610" s="1" t="s">
        <v>697</v>
      </c>
      <c r="L610" s="1" t="s">
        <v>9896</v>
      </c>
      <c r="M610" s="1" t="s">
        <v>13131</v>
      </c>
      <c r="N610" s="1" t="s">
        <v>251</v>
      </c>
      <c r="O610" s="1" t="s">
        <v>9158</v>
      </c>
      <c r="P610" s="1" t="s">
        <v>9158</v>
      </c>
      <c r="Q610" s="1" t="s">
        <v>9158</v>
      </c>
    </row>
    <row r="612" spans="1:18">
      <c r="A612" s="1" t="s">
        <v>6543</v>
      </c>
    </row>
    <row r="613" spans="1:18">
      <c r="A613" s="1" t="s">
        <v>6544</v>
      </c>
    </row>
    <row r="614" spans="1:18">
      <c r="A614" s="1">
        <v>80145</v>
      </c>
      <c r="B614" s="1" t="s">
        <v>6548</v>
      </c>
      <c r="C614" s="1" t="s">
        <v>6545</v>
      </c>
      <c r="D614" s="19" t="s">
        <v>10546</v>
      </c>
      <c r="E614" s="15" t="str">
        <f>HYPERLINK("https://stat100.ameba.jp/tnk47/ratio20/illustrations/card/ill_80145_kajitsushunohebe05.jpg?201909-1-RELEASE-raid-427x", "■")</f>
        <v>■</v>
      </c>
      <c r="F614" s="1" t="s">
        <v>6556</v>
      </c>
      <c r="G614" s="1">
        <v>98816</v>
      </c>
      <c r="H614" s="1">
        <v>136458</v>
      </c>
      <c r="I614" s="1">
        <v>24</v>
      </c>
      <c r="J614" s="1" t="s">
        <v>6553</v>
      </c>
      <c r="K614" s="1" t="s">
        <v>6558</v>
      </c>
      <c r="L614" s="1" t="s">
        <v>6557</v>
      </c>
      <c r="M614" s="1" t="s">
        <v>9158</v>
      </c>
      <c r="N614" s="1" t="s">
        <v>9158</v>
      </c>
      <c r="O614" s="1" t="s">
        <v>9158</v>
      </c>
      <c r="P614" s="1" t="s">
        <v>9158</v>
      </c>
      <c r="Q614" s="1" t="s">
        <v>9158</v>
      </c>
      <c r="R614" s="1" t="s">
        <v>6550</v>
      </c>
    </row>
    <row r="615" spans="1:18">
      <c r="A615" s="1">
        <v>80143</v>
      </c>
      <c r="B615" s="1" t="s">
        <v>6549</v>
      </c>
      <c r="C615" s="1" t="s">
        <v>6546</v>
      </c>
      <c r="D615" s="19" t="s">
        <v>10546</v>
      </c>
      <c r="E615" s="15" t="str">
        <f>HYPERLINK("https://stat100.ameba.jp/tnk47/ratio20/illustrations/card/ill_80143_kajitsushunohebe03.jpg?201909-1-RELEASE-raid-427x", "■")</f>
        <v>■</v>
      </c>
      <c r="F615" s="1" t="s">
        <v>6556</v>
      </c>
      <c r="G615" s="1">
        <v>72806</v>
      </c>
      <c r="H615" s="1">
        <v>100550</v>
      </c>
      <c r="I615" s="1">
        <v>24</v>
      </c>
      <c r="J615" s="1" t="s">
        <v>6553</v>
      </c>
      <c r="K615" s="1" t="s">
        <v>6558</v>
      </c>
      <c r="L615" s="1" t="s">
        <v>6559</v>
      </c>
      <c r="M615" s="1" t="s">
        <v>9158</v>
      </c>
      <c r="N615" s="1" t="s">
        <v>9158</v>
      </c>
      <c r="O615" s="1" t="s">
        <v>9158</v>
      </c>
      <c r="P615" s="1" t="s">
        <v>9158</v>
      </c>
      <c r="Q615" s="1" t="s">
        <v>9158</v>
      </c>
      <c r="R615" s="1" t="s">
        <v>6551</v>
      </c>
    </row>
    <row r="616" spans="1:18">
      <c r="A616" s="1">
        <v>80141</v>
      </c>
      <c r="B616" s="1" t="s">
        <v>6549</v>
      </c>
      <c r="C616" s="1" t="s">
        <v>6546</v>
      </c>
      <c r="D616" s="19" t="s">
        <v>10546</v>
      </c>
      <c r="E616" s="15" t="str">
        <f>HYPERLINK("https://stat100.ameba.jp/tnk47/ratio20/illustrations/card/ill_80141_kajitsushunohebe01.jpg?201909-1-RELEASE-raid-427x", "■")</f>
        <v>■</v>
      </c>
      <c r="F616" s="1" t="s">
        <v>6556</v>
      </c>
      <c r="G616" s="1">
        <v>46320</v>
      </c>
      <c r="H616" s="1">
        <v>63960</v>
      </c>
      <c r="I616" s="1">
        <v>24</v>
      </c>
      <c r="J616" s="1" t="s">
        <v>6553</v>
      </c>
      <c r="K616" s="1" t="s">
        <v>6558</v>
      </c>
      <c r="L616" s="1" t="s">
        <v>6560</v>
      </c>
      <c r="M616" s="1" t="s">
        <v>9158</v>
      </c>
      <c r="N616" s="1" t="s">
        <v>9158</v>
      </c>
      <c r="O616" s="1" t="s">
        <v>9158</v>
      </c>
      <c r="P616" s="1" t="s">
        <v>9158</v>
      </c>
      <c r="Q616" s="1" t="s">
        <v>9158</v>
      </c>
      <c r="R616" s="1" t="s">
        <v>6552</v>
      </c>
    </row>
    <row r="617" spans="1:18">
      <c r="A617" s="1">
        <v>78805</v>
      </c>
      <c r="B617" s="1" t="s">
        <v>6548</v>
      </c>
      <c r="C617" s="1" t="s">
        <v>6545</v>
      </c>
      <c r="D617" s="19" t="s">
        <v>2783</v>
      </c>
      <c r="E617" s="15" t="str">
        <f>HYPERLINK("https://stat100.ameba.jp/tnk47/ratio20/illustrations/card/ill_78805_waishatsuakaiteruko05.jpg?201909-1-RELEASE-raid-427x", "■")</f>
        <v>■</v>
      </c>
      <c r="F617" s="1" t="s">
        <v>6561</v>
      </c>
      <c r="G617" s="1">
        <v>180306</v>
      </c>
      <c r="H617" s="1">
        <v>130562</v>
      </c>
      <c r="I617" s="1">
        <v>24</v>
      </c>
      <c r="J617" s="1" t="s">
        <v>6554</v>
      </c>
      <c r="K617" s="1" t="s">
        <v>6562</v>
      </c>
      <c r="L617" s="1" t="s">
        <v>6563</v>
      </c>
      <c r="M617" s="1" t="s">
        <v>9158</v>
      </c>
      <c r="N617" s="1" t="s">
        <v>9158</v>
      </c>
      <c r="O617" s="1" t="s">
        <v>9158</v>
      </c>
      <c r="P617" s="1" t="s">
        <v>9158</v>
      </c>
      <c r="Q617" s="1" t="s">
        <v>9158</v>
      </c>
      <c r="R617" s="1" t="s">
        <v>6550</v>
      </c>
    </row>
    <row r="618" spans="1:18">
      <c r="A618" s="1">
        <v>78803</v>
      </c>
      <c r="B618" s="1" t="s">
        <v>6549</v>
      </c>
      <c r="C618" s="1" t="s">
        <v>6546</v>
      </c>
      <c r="D618" s="19" t="s">
        <v>2783</v>
      </c>
      <c r="E618" s="15" t="str">
        <f>HYPERLINK("https://stat100.ameba.jp/tnk47/ratio20/illustrations/card/ill_78803_waishatsuakaiteruko03.jpg?201909-1-RELEASE-raid-427x", "■")</f>
        <v>■</v>
      </c>
      <c r="F618" s="1" t="s">
        <v>6561</v>
      </c>
      <c r="G618" s="1">
        <v>132850</v>
      </c>
      <c r="H618" s="1">
        <v>96200</v>
      </c>
      <c r="I618" s="1">
        <v>24</v>
      </c>
      <c r="J618" s="1" t="s">
        <v>6554</v>
      </c>
      <c r="K618" s="1" t="s">
        <v>6562</v>
      </c>
      <c r="L618" s="1" t="s">
        <v>6564</v>
      </c>
      <c r="M618" s="1" t="s">
        <v>9158</v>
      </c>
      <c r="N618" s="1" t="s">
        <v>9158</v>
      </c>
      <c r="O618" s="1" t="s">
        <v>9158</v>
      </c>
      <c r="P618" s="1" t="s">
        <v>9158</v>
      </c>
      <c r="Q618" s="1" t="s">
        <v>9158</v>
      </c>
      <c r="R618" s="1" t="s">
        <v>6551</v>
      </c>
    </row>
    <row r="619" spans="1:18">
      <c r="A619" s="1">
        <v>78801</v>
      </c>
      <c r="B619" s="1" t="s">
        <v>6549</v>
      </c>
      <c r="C619" s="1" t="s">
        <v>6546</v>
      </c>
      <c r="D619" s="19" t="s">
        <v>2783</v>
      </c>
      <c r="E619" s="15" t="str">
        <f>HYPERLINK("https://stat100.ameba.jp/tnk47/ratio20/illustrations/card/ill_78801_waishatsuakaiteruko01.jpg?201909-1-RELEASE-raid-427x", "■")</f>
        <v>■</v>
      </c>
      <c r="F619" s="1" t="s">
        <v>6561</v>
      </c>
      <c r="G619" s="1">
        <v>84504</v>
      </c>
      <c r="H619" s="1">
        <v>61200</v>
      </c>
      <c r="I619" s="1">
        <v>24</v>
      </c>
      <c r="J619" s="1" t="s">
        <v>6554</v>
      </c>
      <c r="K619" s="1" t="s">
        <v>6562</v>
      </c>
      <c r="L619" s="1" t="s">
        <v>6565</v>
      </c>
      <c r="M619" s="1" t="s">
        <v>9158</v>
      </c>
      <c r="N619" s="1" t="s">
        <v>9158</v>
      </c>
      <c r="O619" s="1" t="s">
        <v>9158</v>
      </c>
      <c r="P619" s="1" t="s">
        <v>9158</v>
      </c>
      <c r="Q619" s="1" t="s">
        <v>9158</v>
      </c>
      <c r="R619" s="1" t="s">
        <v>6552</v>
      </c>
    </row>
    <row r="620" spans="1:18">
      <c r="A620" s="1">
        <v>73035</v>
      </c>
      <c r="B620" s="1" t="s">
        <v>6548</v>
      </c>
      <c r="C620" s="1" t="s">
        <v>6545</v>
      </c>
      <c r="D620" s="19" t="s">
        <v>10547</v>
      </c>
      <c r="E620" s="15" t="str">
        <f>HYPERLINK("https://stat100.ameba.jp/tnk47/ratio20/illustrations/card/ill_73035_biwako05.jpg?201909-1-RELEASE-raid-427x", "■")</f>
        <v>■</v>
      </c>
      <c r="F620" s="1" t="s">
        <v>6568</v>
      </c>
      <c r="G620" s="1">
        <v>132156</v>
      </c>
      <c r="H620" s="1">
        <v>95684</v>
      </c>
      <c r="I620" s="1">
        <v>24</v>
      </c>
      <c r="J620" s="1" t="s">
        <v>6555</v>
      </c>
      <c r="K620" s="1" t="s">
        <v>6567</v>
      </c>
      <c r="L620" s="1" t="s">
        <v>6566</v>
      </c>
      <c r="M620" s="1" t="s">
        <v>9158</v>
      </c>
      <c r="N620" s="1" t="s">
        <v>9158</v>
      </c>
      <c r="O620" s="1" t="s">
        <v>9158</v>
      </c>
      <c r="P620" s="1" t="s">
        <v>9158</v>
      </c>
      <c r="Q620" s="1" t="s">
        <v>9158</v>
      </c>
      <c r="R620" s="1" t="s">
        <v>6550</v>
      </c>
    </row>
    <row r="621" spans="1:18">
      <c r="A621" s="1">
        <v>73033</v>
      </c>
      <c r="B621" s="1" t="s">
        <v>6549</v>
      </c>
      <c r="C621" s="1" t="s">
        <v>6547</v>
      </c>
      <c r="D621" s="19" t="s">
        <v>10547</v>
      </c>
      <c r="E621" s="15" t="str">
        <f>HYPERLINK("https://stat100.ameba.jp/tnk47/ratio20/illustrations/card/ill_73033_biwako03.jpg?201909-1-RELEASE-raid-427x", "■")</f>
        <v>■</v>
      </c>
      <c r="F621" s="1" t="s">
        <v>6568</v>
      </c>
      <c r="G621" s="1">
        <v>95498</v>
      </c>
      <c r="H621" s="1">
        <v>69140</v>
      </c>
      <c r="I621" s="1">
        <v>24</v>
      </c>
      <c r="J621" s="1" t="s">
        <v>6555</v>
      </c>
      <c r="K621" s="1" t="s">
        <v>6567</v>
      </c>
      <c r="L621" s="1" t="s">
        <v>6569</v>
      </c>
      <c r="M621" s="1" t="s">
        <v>9158</v>
      </c>
      <c r="N621" s="1" t="s">
        <v>9158</v>
      </c>
      <c r="O621" s="1" t="s">
        <v>9158</v>
      </c>
      <c r="P621" s="1" t="s">
        <v>9158</v>
      </c>
      <c r="Q621" s="1" t="s">
        <v>9158</v>
      </c>
      <c r="R621" s="1" t="s">
        <v>6551</v>
      </c>
    </row>
    <row r="622" spans="1:18">
      <c r="A622" s="1">
        <v>73031</v>
      </c>
      <c r="B622" s="1" t="s">
        <v>6549</v>
      </c>
      <c r="C622" s="1" t="s">
        <v>6547</v>
      </c>
      <c r="D622" s="19" t="s">
        <v>10547</v>
      </c>
      <c r="E622" s="15" t="str">
        <f>HYPERLINK("https://stat100.ameba.jp/tnk47/ratio20/illustrations/card/ill_73031_biwako01.jpg?201909-1-RELEASE-raid-427x", "■")</f>
        <v>■</v>
      </c>
      <c r="F622" s="1" t="s">
        <v>6568</v>
      </c>
      <c r="G622" s="1">
        <v>55392</v>
      </c>
      <c r="H622" s="1">
        <v>40104</v>
      </c>
      <c r="I622" s="1">
        <v>24</v>
      </c>
      <c r="J622" s="1" t="s">
        <v>6555</v>
      </c>
      <c r="K622" s="1" t="s">
        <v>6567</v>
      </c>
      <c r="L622" s="1" t="s">
        <v>6570</v>
      </c>
      <c r="M622" s="1" t="s">
        <v>9158</v>
      </c>
      <c r="N622" s="1" t="s">
        <v>9158</v>
      </c>
      <c r="O622" s="1" t="s">
        <v>9158</v>
      </c>
      <c r="P622" s="1" t="s">
        <v>9158</v>
      </c>
      <c r="Q622" s="1" t="s">
        <v>9158</v>
      </c>
      <c r="R622" s="1" t="s">
        <v>6552</v>
      </c>
    </row>
  </sheetData>
  <phoneticPr fontId="1"/>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C7D1D-2646-4E8B-8414-4AF8EE779041}">
  <dimension ref="A1:S597"/>
  <sheetViews>
    <sheetView zoomScale="55" zoomScaleNormal="55" workbookViewId="0">
      <pane ySplit="1" topLeftCell="A420" activePane="bottomLeft" state="frozen"/>
      <selection activeCell="A266" sqref="A266:Q266"/>
      <selection pane="bottomLeft" activeCell="D299" sqref="D299"/>
    </sheetView>
  </sheetViews>
  <sheetFormatPr defaultColWidth="8.9140625" defaultRowHeight="18"/>
  <cols>
    <col min="1" max="1" width="6.4140625" style="1" customWidth="1"/>
    <col min="2" max="2" width="3.9140625" style="1" customWidth="1"/>
    <col min="3" max="3" width="8.75" style="1" customWidth="1"/>
    <col min="4" max="4" width="25.75" style="1" customWidth="1"/>
    <col min="5" max="5" width="3.9140625" style="14" customWidth="1"/>
    <col min="6" max="6" width="8.9140625" style="1"/>
    <col min="7" max="8" width="7.08203125" style="1" customWidth="1"/>
    <col min="9" max="9" width="3.75" style="1" customWidth="1"/>
    <col min="10" max="10" width="5.4140625" style="1" customWidth="1"/>
    <col min="11" max="11" width="8.9140625" style="1"/>
    <col min="12" max="12" width="50.75" style="1" customWidth="1"/>
    <col min="13" max="16" width="8.9140625" style="1"/>
    <col min="17" max="17" width="3.9140625" style="1" customWidth="1"/>
    <col min="18" max="19" width="14.33203125" style="1" customWidth="1"/>
    <col min="20" max="16384" width="8.9140625" style="1"/>
  </cols>
  <sheetData>
    <row r="1" spans="1:19">
      <c r="A1" s="4" t="s">
        <v>5600</v>
      </c>
      <c r="B1" s="4"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14769</v>
      </c>
    </row>
    <row r="4" spans="1:19">
      <c r="A4" s="1" t="s">
        <v>6573</v>
      </c>
    </row>
    <row r="5" spans="1:19">
      <c r="A5" s="1" t="s">
        <v>7655</v>
      </c>
    </row>
    <row r="6" spans="1:19">
      <c r="A6" s="1" t="s">
        <v>6598</v>
      </c>
      <c r="B6" s="1" t="s">
        <v>330</v>
      </c>
      <c r="C6" s="1" t="s">
        <v>35</v>
      </c>
      <c r="D6" s="19" t="s">
        <v>11497</v>
      </c>
      <c r="E6" s="15" t="str">
        <f>HYPERLINK("https://stat100.ameba.jp/tnk47/ratio20/illustrations/card/ill_83553_0_kajuenamoronagu03.jpg?201909-1-RELEASE-raid-427x", "■")</f>
        <v>■</v>
      </c>
      <c r="F6" s="1" t="s">
        <v>6597</v>
      </c>
      <c r="G6" s="1">
        <v>294746</v>
      </c>
      <c r="H6" s="1">
        <v>326126</v>
      </c>
      <c r="I6" s="1">
        <v>28</v>
      </c>
      <c r="J6" s="1" t="s">
        <v>6582</v>
      </c>
      <c r="K6" s="1" t="s">
        <v>6595</v>
      </c>
      <c r="L6" s="1" t="s">
        <v>6594</v>
      </c>
      <c r="M6" s="1" t="s">
        <v>9158</v>
      </c>
      <c r="N6" s="1" t="s">
        <v>9158</v>
      </c>
      <c r="O6" s="19" t="s">
        <v>10125</v>
      </c>
      <c r="P6" s="1" t="s">
        <v>6599</v>
      </c>
      <c r="Q6" s="1">
        <v>1</v>
      </c>
    </row>
    <row r="7" spans="1:19">
      <c r="A7" s="1">
        <v>83513</v>
      </c>
      <c r="B7" s="1" t="s">
        <v>334</v>
      </c>
      <c r="C7" s="1" t="s">
        <v>6579</v>
      </c>
      <c r="D7" s="19" t="s">
        <v>10556</v>
      </c>
      <c r="E7" s="15" t="str">
        <f>HYPERLINK("https://stat100.ameba.jp/tnk47/ratio20/illustrations/card/ill_83513_kajuemmimuratsuru03.jpg?201909-1-RELEASE-raid-427x", "■")</f>
        <v>■</v>
      </c>
      <c r="F7" s="1" t="s">
        <v>6603</v>
      </c>
      <c r="G7" s="1">
        <v>142674</v>
      </c>
      <c r="H7" s="1">
        <v>132658</v>
      </c>
      <c r="I7" s="1">
        <v>24</v>
      </c>
      <c r="J7" s="1" t="s">
        <v>6602</v>
      </c>
      <c r="K7" s="1" t="s">
        <v>6601</v>
      </c>
      <c r="L7" s="1" t="s">
        <v>6600</v>
      </c>
      <c r="M7" s="1" t="s">
        <v>9158</v>
      </c>
      <c r="N7" s="1" t="s">
        <v>9158</v>
      </c>
      <c r="O7" s="19" t="s">
        <v>2951</v>
      </c>
      <c r="P7" s="1" t="s">
        <v>13122</v>
      </c>
      <c r="Q7" s="1">
        <v>1</v>
      </c>
    </row>
    <row r="8" spans="1:19">
      <c r="A8" s="1">
        <v>83493</v>
      </c>
      <c r="B8" s="1" t="s">
        <v>334</v>
      </c>
      <c r="C8" s="1" t="s">
        <v>6584</v>
      </c>
      <c r="D8" s="19" t="s">
        <v>10557</v>
      </c>
      <c r="E8" s="15" t="str">
        <f>HYPERLINK("https://stat100.ameba.jp/tnk47/ratio20/illustrations/card/ill_83493_kajuenfurutsubakinorei03.jpg?201909-1-RELEASE-raid-427x", "■")</f>
        <v>■</v>
      </c>
      <c r="F8" s="1" t="s">
        <v>6606</v>
      </c>
      <c r="G8" s="1">
        <v>92996</v>
      </c>
      <c r="H8" s="1">
        <v>99996</v>
      </c>
      <c r="I8" s="1">
        <v>24</v>
      </c>
      <c r="J8" s="1" t="s">
        <v>6577</v>
      </c>
      <c r="K8" s="1" t="s">
        <v>6605</v>
      </c>
      <c r="L8" s="1" t="s">
        <v>6604</v>
      </c>
      <c r="M8" s="1" t="s">
        <v>2138</v>
      </c>
      <c r="N8" s="1" t="s">
        <v>2139</v>
      </c>
      <c r="O8" s="1" t="s">
        <v>9158</v>
      </c>
      <c r="P8" s="1" t="s">
        <v>9158</v>
      </c>
      <c r="Q8" s="1" t="s">
        <v>9158</v>
      </c>
      <c r="R8" s="1" t="s">
        <v>13120</v>
      </c>
    </row>
    <row r="9" spans="1:19">
      <c r="A9" s="1">
        <v>83503</v>
      </c>
      <c r="B9" s="1" t="s">
        <v>334</v>
      </c>
      <c r="C9" s="1" t="s">
        <v>6607</v>
      </c>
      <c r="D9" s="19" t="s">
        <v>10558</v>
      </c>
      <c r="E9" s="15" t="str">
        <f>HYPERLINK("https://stat100.ameba.jp/tnk47/ratio20/illustrations/card/ill_83503_kajuenkurohime03.jpg?201909-1-RELEASE-raid-427x", "■")</f>
        <v>■</v>
      </c>
      <c r="F9" s="1" t="s">
        <v>6611</v>
      </c>
      <c r="G9" s="1">
        <v>109528</v>
      </c>
      <c r="H9" s="1">
        <v>101656</v>
      </c>
      <c r="I9" s="1">
        <v>24</v>
      </c>
      <c r="J9" s="1" t="s">
        <v>6610</v>
      </c>
      <c r="K9" s="1" t="s">
        <v>6609</v>
      </c>
      <c r="L9" s="1" t="s">
        <v>6608</v>
      </c>
      <c r="M9" s="1" t="s">
        <v>2138</v>
      </c>
      <c r="N9" s="1" t="s">
        <v>2139</v>
      </c>
      <c r="O9" s="1" t="s">
        <v>9158</v>
      </c>
      <c r="P9" s="1" t="s">
        <v>9158</v>
      </c>
      <c r="Q9" s="1" t="s">
        <v>9158</v>
      </c>
      <c r="R9" s="1" t="s">
        <v>13120</v>
      </c>
    </row>
    <row r="10" spans="1:19">
      <c r="A10" s="1">
        <v>83523</v>
      </c>
      <c r="B10" s="1" t="s">
        <v>348</v>
      </c>
      <c r="C10" s="1" t="s">
        <v>6612</v>
      </c>
      <c r="D10" s="19" t="s">
        <v>10559</v>
      </c>
      <c r="E10" s="15" t="str">
        <f>HYPERLINK("https://stat100.ameba.jp/tnk47/ratio20/illustrations/card/ill_83523_natadekoko03.jpg?201909-1-RELEASE-raid-427x", "■")</f>
        <v>■</v>
      </c>
      <c r="F10" s="1" t="s">
        <v>6615</v>
      </c>
      <c r="G10" s="1">
        <v>64520</v>
      </c>
      <c r="H10" s="1">
        <v>71136</v>
      </c>
      <c r="I10" s="1">
        <v>24</v>
      </c>
      <c r="J10" s="1" t="s">
        <v>6586</v>
      </c>
      <c r="K10" s="1" t="s">
        <v>6614</v>
      </c>
      <c r="L10" s="1" t="s">
        <v>6613</v>
      </c>
      <c r="M10" s="1" t="s">
        <v>9158</v>
      </c>
      <c r="N10" s="1" t="s">
        <v>9158</v>
      </c>
      <c r="O10" s="1" t="s">
        <v>9158</v>
      </c>
      <c r="P10" s="1" t="s">
        <v>9158</v>
      </c>
      <c r="Q10" s="1" t="s">
        <v>9158</v>
      </c>
    </row>
    <row r="11" spans="1:19">
      <c r="A11" s="1">
        <v>83533</v>
      </c>
      <c r="B11" s="1" t="s">
        <v>348</v>
      </c>
      <c r="C11" s="1" t="s">
        <v>6616</v>
      </c>
      <c r="D11" s="19" t="s">
        <v>10560</v>
      </c>
      <c r="E11" s="15" t="str">
        <f>HYPERLINK("https://stat100.ameba.jp/tnk47/ratio20/illustrations/card/ill_83533_benitombo03.jpg?201909-1-RELEASE-raid-427x", "■")</f>
        <v>■</v>
      </c>
      <c r="F11" s="1" t="s">
        <v>6619</v>
      </c>
      <c r="G11" s="1">
        <v>71136</v>
      </c>
      <c r="H11" s="1">
        <v>64520</v>
      </c>
      <c r="I11" s="1">
        <v>24</v>
      </c>
      <c r="J11" s="1" t="s">
        <v>6590</v>
      </c>
      <c r="K11" s="1" t="s">
        <v>6618</v>
      </c>
      <c r="L11" s="1" t="s">
        <v>6617</v>
      </c>
      <c r="M11" s="1" t="s">
        <v>9158</v>
      </c>
      <c r="N11" s="1" t="s">
        <v>9158</v>
      </c>
      <c r="O11" s="1" t="s">
        <v>9158</v>
      </c>
      <c r="P11" s="1" t="s">
        <v>9158</v>
      </c>
      <c r="Q11" s="1" t="s">
        <v>9158</v>
      </c>
    </row>
    <row r="12" spans="1:19">
      <c r="A12" s="1">
        <v>83543</v>
      </c>
      <c r="B12" s="1" t="s">
        <v>348</v>
      </c>
      <c r="C12" s="1" t="s">
        <v>6620</v>
      </c>
      <c r="D12" s="19" t="s">
        <v>10561</v>
      </c>
      <c r="E12" s="15" t="str">
        <f>HYPERLINK("https://stat100.ameba.jp/tnk47/ratio20/illustrations/card/ill_83543_engekiyamamurokieko03.jpg?201909-1-RELEASE-raid-427x", "■")</f>
        <v>■</v>
      </c>
      <c r="F12" s="1" t="s">
        <v>6624</v>
      </c>
      <c r="G12" s="1">
        <v>64520</v>
      </c>
      <c r="H12" s="1">
        <v>71136</v>
      </c>
      <c r="I12" s="1">
        <v>24</v>
      </c>
      <c r="J12" s="1" t="s">
        <v>6623</v>
      </c>
      <c r="K12" s="1" t="s">
        <v>6622</v>
      </c>
      <c r="L12" s="1" t="s">
        <v>6621</v>
      </c>
      <c r="M12" s="1" t="s">
        <v>9158</v>
      </c>
      <c r="N12" s="1" t="s">
        <v>9158</v>
      </c>
      <c r="O12" s="1" t="s">
        <v>9158</v>
      </c>
      <c r="P12" s="1" t="s">
        <v>9158</v>
      </c>
      <c r="Q12" s="1" t="s">
        <v>9158</v>
      </c>
    </row>
    <row r="13" spans="1:19">
      <c r="A13" s="1">
        <v>83563</v>
      </c>
      <c r="B13" s="1" t="s">
        <v>362</v>
      </c>
      <c r="C13" s="1" t="s">
        <v>6574</v>
      </c>
      <c r="D13" s="19" t="s">
        <v>10562</v>
      </c>
      <c r="E13" s="15" t="str">
        <f>HYPERLINK("https://stat100.ameba.jp/tnk47/ratio20/illustrations/card/ill_83563_kusabiragami03.jpg?201909-1-RELEASE-raid-427x", "■")</f>
        <v>■</v>
      </c>
      <c r="F13" s="1" t="s">
        <v>6578</v>
      </c>
      <c r="G13" s="1">
        <v>49900</v>
      </c>
      <c r="H13" s="1">
        <v>41490</v>
      </c>
      <c r="I13" s="1">
        <v>24</v>
      </c>
      <c r="J13" s="1" t="s">
        <v>6577</v>
      </c>
      <c r="K13" s="1" t="s">
        <v>6576</v>
      </c>
      <c r="L13" s="1" t="s">
        <v>6575</v>
      </c>
      <c r="M13" s="1" t="s">
        <v>9158</v>
      </c>
      <c r="N13" s="1" t="s">
        <v>9158</v>
      </c>
      <c r="O13" s="1" t="s">
        <v>9158</v>
      </c>
      <c r="P13" s="1" t="s">
        <v>9158</v>
      </c>
      <c r="Q13" s="1" t="s">
        <v>9158</v>
      </c>
    </row>
    <row r="14" spans="1:19">
      <c r="A14" s="1">
        <v>83573</v>
      </c>
      <c r="B14" s="1" t="s">
        <v>362</v>
      </c>
      <c r="C14" s="1" t="s">
        <v>6579</v>
      </c>
      <c r="D14" s="19" t="s">
        <v>10563</v>
      </c>
      <c r="E14" s="15" t="str">
        <f>HYPERLINK("https://stat100.ameba.jp/tnk47/ratio20/illustrations/card/ill_83573_yaegakijinjakagaminoike03.jpg?201909-1-RELEASE-raid-427x", "■")</f>
        <v>■</v>
      </c>
      <c r="F14" s="1" t="s">
        <v>6583</v>
      </c>
      <c r="G14" s="1">
        <v>41490</v>
      </c>
      <c r="H14" s="1">
        <v>49900</v>
      </c>
      <c r="I14" s="1">
        <v>24</v>
      </c>
      <c r="J14" s="1" t="s">
        <v>6582</v>
      </c>
      <c r="K14" s="1" t="s">
        <v>6581</v>
      </c>
      <c r="L14" s="1" t="s">
        <v>6580</v>
      </c>
      <c r="M14" s="1" t="s">
        <v>9158</v>
      </c>
      <c r="N14" s="1" t="s">
        <v>9158</v>
      </c>
      <c r="O14" s="1" t="s">
        <v>9158</v>
      </c>
      <c r="P14" s="1" t="s">
        <v>9158</v>
      </c>
      <c r="Q14" s="1" t="s">
        <v>9158</v>
      </c>
    </row>
    <row r="15" spans="1:19">
      <c r="A15" s="1">
        <v>83583</v>
      </c>
      <c r="B15" s="1" t="s">
        <v>372</v>
      </c>
      <c r="C15" s="1" t="s">
        <v>6584</v>
      </c>
      <c r="D15" s="19" t="s">
        <v>10564</v>
      </c>
      <c r="E15" s="15" t="str">
        <f>HYPERLINK("https://stat100.ameba.jp/tnk47/ratio20/illustrations/card/ill_83583_baresukuburuberichan03.jpg?201909-1-RELEASE-raid-427x", "■")</f>
        <v>■</v>
      </c>
      <c r="F15" s="1" t="s">
        <v>6587</v>
      </c>
      <c r="G15" s="14" t="s">
        <v>12934</v>
      </c>
      <c r="H15" s="14" t="s">
        <v>12934</v>
      </c>
      <c r="I15" s="1">
        <v>24</v>
      </c>
      <c r="J15" s="1" t="s">
        <v>6586</v>
      </c>
      <c r="K15" s="1" t="s">
        <v>6585</v>
      </c>
      <c r="L15" s="1" t="s">
        <v>6592</v>
      </c>
      <c r="M15" s="1" t="s">
        <v>9158</v>
      </c>
      <c r="N15" s="1" t="s">
        <v>9158</v>
      </c>
      <c r="O15" s="1" t="s">
        <v>9158</v>
      </c>
      <c r="P15" s="1" t="s">
        <v>9158</v>
      </c>
      <c r="Q15" s="1" t="s">
        <v>9158</v>
      </c>
    </row>
    <row r="16" spans="1:19">
      <c r="A16" s="1">
        <v>83593</v>
      </c>
      <c r="B16" s="1" t="s">
        <v>372</v>
      </c>
      <c r="C16" s="1" t="s">
        <v>6588</v>
      </c>
      <c r="D16" s="19" t="s">
        <v>10565</v>
      </c>
      <c r="E16" s="15" t="str">
        <f>HYPERLINK("https://stat100.ameba.jp/tnk47/ratio20/illustrations/card/ill_83593_tsumabenichou03.jpg?201909-1-RELEASE-raid-427x", "■")</f>
        <v>■</v>
      </c>
      <c r="F16" s="1" t="s">
        <v>6591</v>
      </c>
      <c r="G16" s="14" t="s">
        <v>12934</v>
      </c>
      <c r="H16" s="14" t="s">
        <v>12934</v>
      </c>
      <c r="I16" s="1">
        <v>24</v>
      </c>
      <c r="J16" s="1" t="s">
        <v>6590</v>
      </c>
      <c r="K16" s="1" t="s">
        <v>6589</v>
      </c>
      <c r="L16" s="1" t="s">
        <v>6593</v>
      </c>
      <c r="M16" s="1" t="s">
        <v>9158</v>
      </c>
      <c r="N16" s="1" t="s">
        <v>9158</v>
      </c>
      <c r="O16" s="1" t="s">
        <v>9158</v>
      </c>
      <c r="P16" s="1" t="s">
        <v>9158</v>
      </c>
      <c r="Q16" s="1" t="s">
        <v>9158</v>
      </c>
    </row>
    <row r="18" spans="1:18">
      <c r="A18" s="1" t="s">
        <v>13362</v>
      </c>
    </row>
    <row r="19" spans="1:18">
      <c r="A19" s="1" t="s">
        <v>6635</v>
      </c>
    </row>
    <row r="20" spans="1:18">
      <c r="A20" s="1">
        <v>83645</v>
      </c>
      <c r="B20" s="1" t="s">
        <v>6632</v>
      </c>
      <c r="C20" s="1" t="s">
        <v>6630</v>
      </c>
      <c r="D20" s="19" t="s">
        <v>10566</v>
      </c>
      <c r="E20" s="15" t="str">
        <f>HYPERLINK("https://stat100.ameba.jp/tnk47/ratio20/illustrations/card/ill_83645_yuenchihazadoehimenomikoto05.jpg?201909-1-RELEASE-raid-427xx", "■")</f>
        <v>■</v>
      </c>
      <c r="F20" s="1" t="s">
        <v>6625</v>
      </c>
      <c r="G20" s="1">
        <v>112832</v>
      </c>
      <c r="H20" s="1">
        <v>81692</v>
      </c>
      <c r="I20" s="1">
        <v>24</v>
      </c>
      <c r="J20" s="1" t="s">
        <v>6628</v>
      </c>
      <c r="K20" s="1" t="s">
        <v>6627</v>
      </c>
      <c r="L20" s="1" t="s">
        <v>6634</v>
      </c>
      <c r="M20" s="1" t="s">
        <v>9158</v>
      </c>
      <c r="N20" s="1" t="s">
        <v>9158</v>
      </c>
      <c r="O20" s="1" t="s">
        <v>9158</v>
      </c>
      <c r="P20" s="1" t="s">
        <v>9158</v>
      </c>
      <c r="Q20" s="1" t="s">
        <v>9158</v>
      </c>
      <c r="R20" s="14" t="s">
        <v>174</v>
      </c>
    </row>
    <row r="21" spans="1:18">
      <c r="A21" s="1">
        <v>83643</v>
      </c>
      <c r="B21" s="1" t="s">
        <v>6633</v>
      </c>
      <c r="C21" s="1" t="s">
        <v>6631</v>
      </c>
      <c r="D21" s="19" t="s">
        <v>10566</v>
      </c>
      <c r="E21" s="15" t="str">
        <f>HYPERLINK("https://stat100.ameba.jp/tnk47/ratio20/illustrations/card/ill_83643_yuenchihazadoehimenomikoto03.jpg?201909-1-RELEASE-raid-427xx", "■")</f>
        <v>■</v>
      </c>
      <c r="F21" s="1" t="s">
        <v>6625</v>
      </c>
      <c r="G21" s="1">
        <v>83124</v>
      </c>
      <c r="H21" s="1">
        <v>60186</v>
      </c>
      <c r="I21" s="1">
        <v>24</v>
      </c>
      <c r="J21" s="1" t="s">
        <v>6628</v>
      </c>
      <c r="K21" s="1" t="s">
        <v>6627</v>
      </c>
      <c r="L21" s="1" t="s">
        <v>6629</v>
      </c>
      <c r="M21" s="1" t="s">
        <v>9158</v>
      </c>
      <c r="N21" s="1" t="s">
        <v>9158</v>
      </c>
      <c r="O21" s="1" t="s">
        <v>9158</v>
      </c>
      <c r="P21" s="1" t="s">
        <v>9158</v>
      </c>
      <c r="Q21" s="1" t="s">
        <v>9158</v>
      </c>
      <c r="R21" s="14" t="s">
        <v>175</v>
      </c>
    </row>
    <row r="22" spans="1:18">
      <c r="A22" s="1">
        <v>83641</v>
      </c>
      <c r="B22" s="1" t="s">
        <v>6633</v>
      </c>
      <c r="C22" s="1" t="s">
        <v>6631</v>
      </c>
      <c r="D22" s="19" t="s">
        <v>10566</v>
      </c>
      <c r="E22" s="15" t="str">
        <f>HYPERLINK("https://stat100.ameba.jp/tnk47/ratio20/illustrations/card/ill_83641_yuenchihazadoehimenomikoto01.jpg?201909-1-RELEASE-raid-427xx", "■")</f>
        <v>■</v>
      </c>
      <c r="F22" s="1" t="s">
        <v>6625</v>
      </c>
      <c r="G22" s="1">
        <v>52872</v>
      </c>
      <c r="H22" s="1">
        <v>38280</v>
      </c>
      <c r="I22" s="1">
        <v>24</v>
      </c>
      <c r="J22" s="1" t="s">
        <v>6628</v>
      </c>
      <c r="K22" s="1" t="s">
        <v>6627</v>
      </c>
      <c r="L22" s="1" t="s">
        <v>6626</v>
      </c>
      <c r="M22" s="1" t="s">
        <v>9158</v>
      </c>
      <c r="N22" s="1" t="s">
        <v>9158</v>
      </c>
      <c r="O22" s="1" t="s">
        <v>9158</v>
      </c>
      <c r="P22" s="1" t="s">
        <v>9158</v>
      </c>
      <c r="Q22" s="1" t="s">
        <v>9158</v>
      </c>
      <c r="R22" s="14" t="s">
        <v>176</v>
      </c>
    </row>
    <row r="23" spans="1:18">
      <c r="D23" s="3"/>
      <c r="E23" s="15"/>
    </row>
    <row r="24" spans="1:18">
      <c r="A24" s="1" t="s">
        <v>6636</v>
      </c>
    </row>
    <row r="25" spans="1:18">
      <c r="A25" s="1" t="s">
        <v>6637</v>
      </c>
    </row>
    <row r="26" spans="1:18">
      <c r="A26" s="1" t="s">
        <v>5621</v>
      </c>
      <c r="B26" s="1" t="s">
        <v>330</v>
      </c>
      <c r="C26" s="1" t="s">
        <v>191</v>
      </c>
      <c r="D26" s="19" t="s">
        <v>2871</v>
      </c>
      <c r="E26" s="15" t="str">
        <f>HYPERLINK("https://stat100.ameba.jp/tnk47/ratio20/illustrations/card/ill_51973_0_kemonomizugikuroyuridensetsu03.jpg?201909-1-RELEASE-raid-427xx", "■")</f>
        <v>■</v>
      </c>
      <c r="F26" s="1" t="s">
        <v>2034</v>
      </c>
      <c r="G26" s="1">
        <v>94236</v>
      </c>
      <c r="H26" s="1">
        <v>83712</v>
      </c>
      <c r="I26" s="1">
        <v>15</v>
      </c>
      <c r="J26" s="1" t="s">
        <v>38</v>
      </c>
      <c r="K26" s="1" t="s">
        <v>2035</v>
      </c>
      <c r="L26" s="1" t="s">
        <v>2036</v>
      </c>
      <c r="M26" s="1" t="s">
        <v>9158</v>
      </c>
      <c r="N26" s="1" t="s">
        <v>9158</v>
      </c>
      <c r="O26" s="19" t="s">
        <v>10088</v>
      </c>
      <c r="P26" s="1" t="s">
        <v>13172</v>
      </c>
      <c r="Q26" s="1">
        <v>1</v>
      </c>
    </row>
    <row r="27" spans="1:18">
      <c r="A27" s="1" t="s">
        <v>5787</v>
      </c>
      <c r="B27" s="1" t="s">
        <v>330</v>
      </c>
      <c r="C27" s="1" t="s">
        <v>270</v>
      </c>
      <c r="D27" s="19" t="s">
        <v>331</v>
      </c>
      <c r="E27" s="15" t="str">
        <f>HYPERLINK("https://stat100.ameba.jp/tnk47/ratio20/illustrations/card/ill_76303_0_haroinkaguya03.jpg?201909-1-RELEASE-raid-427xx", "■")</f>
        <v>■</v>
      </c>
      <c r="F27" s="1" t="s">
        <v>332</v>
      </c>
      <c r="G27" s="1">
        <v>178507</v>
      </c>
      <c r="H27" s="1">
        <v>165953</v>
      </c>
      <c r="I27" s="1">
        <v>15</v>
      </c>
      <c r="J27" s="1" t="s">
        <v>274</v>
      </c>
      <c r="K27" s="1" t="s">
        <v>333</v>
      </c>
      <c r="L27" s="1" t="s">
        <v>276</v>
      </c>
      <c r="M27" s="1" t="s">
        <v>9158</v>
      </c>
      <c r="N27" s="1" t="s">
        <v>9158</v>
      </c>
      <c r="O27" s="19" t="s">
        <v>2976</v>
      </c>
      <c r="P27" s="1" t="s">
        <v>2724</v>
      </c>
      <c r="Q27" s="1">
        <v>1</v>
      </c>
    </row>
    <row r="28" spans="1:18">
      <c r="A28" s="1" t="s">
        <v>5622</v>
      </c>
      <c r="B28" s="1" t="s">
        <v>330</v>
      </c>
      <c r="C28" s="1" t="s">
        <v>335</v>
      </c>
      <c r="D28" s="19" t="s">
        <v>509</v>
      </c>
      <c r="E28" s="15" t="str">
        <f>HYPERLINK("https://stat100.ameba.jp/tnk47/ratio20/illustrations/card/ill_49953_0_yushamarihime03.jpg?201909-1-RELEASE-raid-427xx", "■")</f>
        <v>■</v>
      </c>
      <c r="F28" s="1" t="s">
        <v>510</v>
      </c>
      <c r="G28" s="1">
        <v>94236</v>
      </c>
      <c r="H28" s="1">
        <v>83712</v>
      </c>
      <c r="I28" s="1">
        <v>15</v>
      </c>
      <c r="J28" s="1" t="s">
        <v>315</v>
      </c>
      <c r="K28" s="1" t="s">
        <v>511</v>
      </c>
      <c r="L28" s="1" t="s">
        <v>512</v>
      </c>
      <c r="M28" s="1" t="s">
        <v>9158</v>
      </c>
      <c r="N28" s="1" t="s">
        <v>9158</v>
      </c>
      <c r="O28" s="1" t="s">
        <v>9158</v>
      </c>
      <c r="P28" s="1" t="s">
        <v>9158</v>
      </c>
      <c r="Q28" s="1" t="s">
        <v>9158</v>
      </c>
    </row>
    <row r="29" spans="1:18">
      <c r="A29" s="1">
        <v>78453</v>
      </c>
      <c r="B29" s="1" t="s">
        <v>6632</v>
      </c>
      <c r="C29" s="1" t="s">
        <v>6638</v>
      </c>
      <c r="D29" s="19" t="s">
        <v>10393</v>
      </c>
      <c r="E29" s="15" t="str">
        <f>HYPERLINK("https://stat100.ameba.jp/tnk47/ratio20/illustrations/card/ill_78453_dobutsunoshimahashihime03.jpg?201909-1-RELEASE-raid-427xx", "■")</f>
        <v>■</v>
      </c>
      <c r="F29" s="1" t="s">
        <v>6642</v>
      </c>
      <c r="G29" s="1">
        <v>135132</v>
      </c>
      <c r="H29" s="1">
        <v>76052</v>
      </c>
      <c r="I29" s="1">
        <v>24</v>
      </c>
      <c r="J29" s="1" t="s">
        <v>6641</v>
      </c>
      <c r="K29" s="1" t="s">
        <v>6640</v>
      </c>
      <c r="L29" s="1" t="s">
        <v>6639</v>
      </c>
      <c r="M29" s="1" t="s">
        <v>9158</v>
      </c>
      <c r="N29" s="1" t="s">
        <v>9158</v>
      </c>
      <c r="O29" s="1" t="s">
        <v>9158</v>
      </c>
      <c r="P29" s="1" t="s">
        <v>9158</v>
      </c>
      <c r="Q29" s="1" t="s">
        <v>9158</v>
      </c>
    </row>
    <row r="30" spans="1:18">
      <c r="A30" s="1">
        <v>59443</v>
      </c>
      <c r="B30" s="1" t="s">
        <v>6632</v>
      </c>
      <c r="C30" s="1" t="s">
        <v>6643</v>
      </c>
      <c r="D30" s="19" t="s">
        <v>10276</v>
      </c>
      <c r="E30" s="15" t="str">
        <f>HYPERLINK("https://stat100.ameba.jp/tnk47/ratio20/illustrations/card/ill_59443_kumanokusubinomikoto03.jpg?201909-1-RELEASE-raid-427xx", "■")</f>
        <v>■</v>
      </c>
      <c r="F30" s="1" t="s">
        <v>6646</v>
      </c>
      <c r="G30" s="1">
        <v>104130</v>
      </c>
      <c r="H30" s="1">
        <v>74860</v>
      </c>
      <c r="I30" s="1">
        <v>24</v>
      </c>
      <c r="J30" s="1" t="s">
        <v>6628</v>
      </c>
      <c r="K30" s="1" t="s">
        <v>6645</v>
      </c>
      <c r="L30" s="1" t="s">
        <v>6644</v>
      </c>
      <c r="M30" s="1" t="s">
        <v>9158</v>
      </c>
      <c r="N30" s="1" t="s">
        <v>9158</v>
      </c>
      <c r="O30" s="1" t="s">
        <v>9158</v>
      </c>
      <c r="P30" s="1" t="s">
        <v>9158</v>
      </c>
      <c r="Q30" s="1" t="s">
        <v>9158</v>
      </c>
    </row>
    <row r="31" spans="1:18">
      <c r="A31" s="1">
        <v>67383</v>
      </c>
      <c r="B31" s="1" t="s">
        <v>6632</v>
      </c>
      <c r="C31" s="1" t="s">
        <v>191</v>
      </c>
      <c r="D31" s="19" t="s">
        <v>576</v>
      </c>
      <c r="E31" s="15" t="str">
        <f>HYPERLINK("https://stat100.ameba.jp/tnk47/ratio20/illustrations/card/ill_67383_jobayamakawatomiko03.jpg?201909-1-RELEASE-raid-427xx", "■")</f>
        <v>■</v>
      </c>
      <c r="F31" s="1" t="s">
        <v>6649</v>
      </c>
      <c r="G31" s="1">
        <v>93746</v>
      </c>
      <c r="H31" s="1">
        <v>87128</v>
      </c>
      <c r="I31" s="1">
        <v>24</v>
      </c>
      <c r="J31" s="1" t="s">
        <v>10</v>
      </c>
      <c r="K31" s="1" t="s">
        <v>6648</v>
      </c>
      <c r="L31" s="1" t="s">
        <v>6647</v>
      </c>
      <c r="M31" s="1" t="s">
        <v>9158</v>
      </c>
      <c r="N31" s="1" t="s">
        <v>9158</v>
      </c>
      <c r="O31" s="1" t="s">
        <v>9158</v>
      </c>
      <c r="P31" s="1" t="s">
        <v>9158</v>
      </c>
      <c r="Q31" s="1" t="s">
        <v>9158</v>
      </c>
    </row>
    <row r="32" spans="1:18">
      <c r="A32" s="1">
        <v>80103</v>
      </c>
      <c r="B32" s="1" t="s">
        <v>6633</v>
      </c>
      <c r="C32" s="1" t="s">
        <v>6650</v>
      </c>
      <c r="D32" s="19" t="s">
        <v>10567</v>
      </c>
      <c r="E32" s="15" t="str">
        <f>HYPERLINK("https://stat100.ameba.jp/tnk47/ratio20/illustrations/card/ill_80103_sakimidarebara03.jpg?201909-1-RELEASE-raid-427xx", "■")</f>
        <v>■</v>
      </c>
      <c r="F32" s="1" t="s">
        <v>6654</v>
      </c>
      <c r="G32" s="1">
        <v>56316</v>
      </c>
      <c r="H32" s="1">
        <v>51078</v>
      </c>
      <c r="I32" s="1">
        <v>19</v>
      </c>
      <c r="J32" s="1" t="s">
        <v>6653</v>
      </c>
      <c r="K32" s="1" t="s">
        <v>6652</v>
      </c>
      <c r="L32" s="1" t="s">
        <v>6651</v>
      </c>
      <c r="M32" s="1" t="s">
        <v>9158</v>
      </c>
      <c r="N32" s="1" t="s">
        <v>9158</v>
      </c>
      <c r="O32" s="1" t="s">
        <v>9158</v>
      </c>
      <c r="P32" s="1" t="s">
        <v>9158</v>
      </c>
      <c r="Q32" s="1" t="s">
        <v>9158</v>
      </c>
    </row>
    <row r="33" spans="1:18">
      <c r="A33" s="1">
        <v>79453</v>
      </c>
      <c r="B33" s="1" t="s">
        <v>6633</v>
      </c>
      <c r="C33" s="1" t="s">
        <v>6655</v>
      </c>
      <c r="D33" s="19" t="s">
        <v>10568</v>
      </c>
      <c r="E33" s="15" t="str">
        <f>HYPERLINK("https://stat100.ameba.jp/tnk47/ratio20/illustrations/card/ill_79453_shogiamanozume03.jpg?201909-1-RELEASE-raid-427xx", "■")</f>
        <v>■</v>
      </c>
      <c r="F33" s="1" t="s">
        <v>6658</v>
      </c>
      <c r="G33" s="1">
        <v>56316</v>
      </c>
      <c r="H33" s="1">
        <v>51078</v>
      </c>
      <c r="I33" s="1">
        <v>19</v>
      </c>
      <c r="J33" s="1" t="s">
        <v>6628</v>
      </c>
      <c r="K33" s="1" t="s">
        <v>6657</v>
      </c>
      <c r="L33" s="1" t="s">
        <v>6656</v>
      </c>
      <c r="M33" s="1" t="s">
        <v>9158</v>
      </c>
      <c r="N33" s="1" t="s">
        <v>9158</v>
      </c>
      <c r="O33" s="1" t="s">
        <v>9158</v>
      </c>
      <c r="P33" s="1" t="s">
        <v>9158</v>
      </c>
      <c r="Q33" s="1" t="s">
        <v>9158</v>
      </c>
    </row>
    <row r="34" spans="1:18">
      <c r="A34" s="1">
        <v>79603</v>
      </c>
      <c r="B34" s="1" t="s">
        <v>6633</v>
      </c>
      <c r="C34" s="1" t="s">
        <v>6643</v>
      </c>
      <c r="D34" s="19" t="s">
        <v>10569</v>
      </c>
      <c r="E34" s="15" t="str">
        <f>HYPERLINK("https://stat100.ameba.jp/tnk47/ratio20/illustrations/card/ill_79603_ushikaeshinji03.jpg?201909-1-RELEASE-raid-427xx", "■")</f>
        <v>■</v>
      </c>
      <c r="F34" s="1" t="s">
        <v>6661</v>
      </c>
      <c r="G34" s="1">
        <v>56316</v>
      </c>
      <c r="H34" s="1">
        <v>51078</v>
      </c>
      <c r="I34" s="1">
        <v>19</v>
      </c>
      <c r="J34" s="1" t="s">
        <v>6641</v>
      </c>
      <c r="K34" s="1" t="s">
        <v>6660</v>
      </c>
      <c r="L34" s="1" t="s">
        <v>6659</v>
      </c>
      <c r="M34" s="1" t="s">
        <v>9158</v>
      </c>
      <c r="N34" s="1" t="s">
        <v>9158</v>
      </c>
      <c r="O34" s="1" t="s">
        <v>9158</v>
      </c>
      <c r="P34" s="1" t="s">
        <v>9158</v>
      </c>
      <c r="Q34" s="1" t="s">
        <v>9158</v>
      </c>
    </row>
    <row r="36" spans="1:18">
      <c r="A36" s="1" t="s">
        <v>6703</v>
      </c>
    </row>
    <row r="37" spans="1:18">
      <c r="A37" s="1" t="s">
        <v>6704</v>
      </c>
    </row>
    <row r="38" spans="1:18">
      <c r="A38" s="1" t="s">
        <v>5601</v>
      </c>
      <c r="B38" s="1" t="s">
        <v>330</v>
      </c>
      <c r="C38" s="1" t="s">
        <v>35</v>
      </c>
      <c r="D38" s="19" t="s">
        <v>10318</v>
      </c>
      <c r="E38" s="15" t="str">
        <f>HYPERLINK("https://stat100.ameba.jp/tnk47/ratio20/illustrations/card/ill_82423_0_bikinigarukishi03.jpg?201909-1-RELEASE-raid-427xx", "■")</f>
        <v>■</v>
      </c>
      <c r="F38" s="1" t="s">
        <v>5391</v>
      </c>
      <c r="G38" s="1">
        <v>290598</v>
      </c>
      <c r="H38" s="1">
        <v>262648</v>
      </c>
      <c r="I38" s="1">
        <v>24</v>
      </c>
      <c r="J38" s="1" t="s">
        <v>77</v>
      </c>
      <c r="K38" s="1" t="s">
        <v>5392</v>
      </c>
      <c r="L38" s="1" t="s">
        <v>5393</v>
      </c>
      <c r="M38" s="1" t="s">
        <v>9158</v>
      </c>
      <c r="N38" s="1" t="s">
        <v>9158</v>
      </c>
      <c r="O38" s="19" t="s">
        <v>10069</v>
      </c>
      <c r="P38" s="1" t="s">
        <v>5394</v>
      </c>
      <c r="Q38" s="1">
        <v>1</v>
      </c>
    </row>
    <row r="39" spans="1:18">
      <c r="A39" s="1">
        <v>82373</v>
      </c>
      <c r="B39" s="1" t="s">
        <v>334</v>
      </c>
      <c r="C39" s="1" t="s">
        <v>191</v>
      </c>
      <c r="D39" s="19" t="s">
        <v>10320</v>
      </c>
      <c r="E39" s="15" t="str">
        <f>HYPERLINK("https://stat100.ameba.jp/tnk47/ratio20/illustrations/card/ill_82373_bikinigaruyasharyujin03.jpg?201909-1-RELEASE-raid-427xx", "■")</f>
        <v>■</v>
      </c>
      <c r="F39" s="1" t="s">
        <v>5397</v>
      </c>
      <c r="G39" s="1">
        <v>97894</v>
      </c>
      <c r="H39" s="1">
        <v>91010</v>
      </c>
      <c r="I39" s="1">
        <v>24</v>
      </c>
      <c r="J39" s="1" t="s">
        <v>44</v>
      </c>
      <c r="K39" s="1" t="s">
        <v>5398</v>
      </c>
      <c r="L39" s="1" t="s">
        <v>3356</v>
      </c>
      <c r="M39" s="1" t="s">
        <v>9158</v>
      </c>
      <c r="N39" s="1" t="s">
        <v>9158</v>
      </c>
      <c r="O39" s="19" t="s">
        <v>10070</v>
      </c>
      <c r="P39" s="1" t="s">
        <v>3579</v>
      </c>
      <c r="Q39" s="1">
        <v>1</v>
      </c>
    </row>
    <row r="40" spans="1:18">
      <c r="A40" s="1">
        <v>56443</v>
      </c>
      <c r="B40" s="1" t="s">
        <v>0</v>
      </c>
      <c r="C40" s="1" t="s">
        <v>205</v>
      </c>
      <c r="D40" s="19" t="s">
        <v>10314</v>
      </c>
      <c r="E40" s="15" t="str">
        <f>HYPERLINK("https://stat100.ameba.jp/tnk47/ratio20/illustrations/card/ill_56443_poppukurisumasuizumonokuni03.jpg?201909-1-RELEASE-raid-427xx", "■")</f>
        <v>■</v>
      </c>
      <c r="F40" s="1" t="s">
        <v>1151</v>
      </c>
      <c r="G40" s="1">
        <v>86006</v>
      </c>
      <c r="H40" s="1">
        <v>92504</v>
      </c>
      <c r="I40" s="1">
        <v>24</v>
      </c>
      <c r="J40" s="1" t="s">
        <v>10</v>
      </c>
      <c r="K40" s="1" t="s">
        <v>1152</v>
      </c>
      <c r="L40" s="1" t="s">
        <v>1153</v>
      </c>
      <c r="M40" s="1" t="s">
        <v>9158</v>
      </c>
      <c r="N40" s="1" t="s">
        <v>9158</v>
      </c>
      <c r="O40" s="19" t="s">
        <v>10119</v>
      </c>
      <c r="P40" s="1" t="s">
        <v>3662</v>
      </c>
      <c r="Q40" s="1">
        <v>1</v>
      </c>
    </row>
    <row r="41" spans="1:18">
      <c r="A41" s="1">
        <v>78123</v>
      </c>
      <c r="B41" s="1" t="s">
        <v>334</v>
      </c>
      <c r="C41" s="1" t="s">
        <v>209</v>
      </c>
      <c r="D41" s="19" t="s">
        <v>3023</v>
      </c>
      <c r="E41" s="15" t="str">
        <f>HYPERLINK("https://stat100.ameba.jp/tnk47/ratio20/illustrations/card/ill_78123_madannoteirusorushieru03.jpg?201909-1-RELEASE-raid-427xx", "■")</f>
        <v>■</v>
      </c>
      <c r="F41" s="1" t="s">
        <v>3024</v>
      </c>
      <c r="G41" s="1">
        <v>159674</v>
      </c>
      <c r="H41" s="1">
        <v>115656</v>
      </c>
      <c r="I41" s="1">
        <v>24</v>
      </c>
      <c r="J41" s="1" t="s">
        <v>310</v>
      </c>
      <c r="K41" s="1" t="s">
        <v>3025</v>
      </c>
      <c r="L41" s="1" t="s">
        <v>443</v>
      </c>
      <c r="M41" s="1" t="s">
        <v>9158</v>
      </c>
      <c r="N41" s="1" t="s">
        <v>9158</v>
      </c>
      <c r="O41" s="19" t="s">
        <v>2951</v>
      </c>
      <c r="P41" s="1" t="s">
        <v>13122</v>
      </c>
      <c r="Q41" s="1">
        <v>1</v>
      </c>
    </row>
    <row r="43" spans="1:18">
      <c r="A43" s="1" t="s">
        <v>13327</v>
      </c>
    </row>
    <row r="44" spans="1:18">
      <c r="A44" s="1" t="s">
        <v>6705</v>
      </c>
    </row>
    <row r="45" spans="1:18">
      <c r="A45" s="1">
        <v>83973</v>
      </c>
      <c r="B45" s="1" t="s">
        <v>334</v>
      </c>
      <c r="C45" s="1" t="s">
        <v>14</v>
      </c>
      <c r="D45" s="19" t="s">
        <v>10570</v>
      </c>
      <c r="E45" s="15" t="str">
        <f>HYPERLINK("https://stat100.ameba.jp/tnk47/ratio20/illustrations/card/ill_83973_nekokishiirurosu03.jpg?201909-1-RELEASE-raid-427xx", "■")</f>
        <v>■</v>
      </c>
      <c r="F45" s="1" t="s">
        <v>6706</v>
      </c>
      <c r="G45" s="1">
        <v>118152</v>
      </c>
      <c r="H45" s="1">
        <v>109852</v>
      </c>
      <c r="I45" s="1">
        <v>24</v>
      </c>
      <c r="J45" s="1" t="s">
        <v>6653</v>
      </c>
      <c r="K45" s="1" t="s">
        <v>6707</v>
      </c>
      <c r="L45" s="1" t="s">
        <v>13202</v>
      </c>
      <c r="M45" s="1" t="s">
        <v>13130</v>
      </c>
      <c r="N45" s="1" t="s">
        <v>343</v>
      </c>
      <c r="O45" s="1" t="s">
        <v>9158</v>
      </c>
      <c r="P45" s="1" t="s">
        <v>9158</v>
      </c>
      <c r="Q45" s="1" t="s">
        <v>9158</v>
      </c>
      <c r="R45" s="14"/>
    </row>
    <row r="46" spans="1:18">
      <c r="A46" s="1">
        <v>83972</v>
      </c>
      <c r="B46" s="1" t="s">
        <v>334</v>
      </c>
      <c r="C46" s="1" t="s">
        <v>14</v>
      </c>
      <c r="D46" s="19" t="s">
        <v>10570</v>
      </c>
      <c r="E46" s="15" t="str">
        <f>HYPERLINK("https://stat100.ameba.jp/tnk47/ratio20/illustrations/card/ill_83972_nekokishiirurosu02.jpg?201909-1-RELEASE-raid-427xx", "■")</f>
        <v>■</v>
      </c>
      <c r="F46" s="1" t="s">
        <v>6706</v>
      </c>
      <c r="G46" s="1">
        <v>98768</v>
      </c>
      <c r="H46" s="1">
        <v>90984</v>
      </c>
      <c r="I46" s="1">
        <v>24</v>
      </c>
      <c r="J46" s="1" t="s">
        <v>6653</v>
      </c>
      <c r="K46" s="1" t="s">
        <v>6707</v>
      </c>
      <c r="L46" s="1" t="s">
        <v>13201</v>
      </c>
      <c r="M46" s="1" t="s">
        <v>13131</v>
      </c>
      <c r="N46" s="1" t="s">
        <v>251</v>
      </c>
      <c r="O46" s="1" t="s">
        <v>9158</v>
      </c>
      <c r="P46" s="1" t="s">
        <v>9158</v>
      </c>
      <c r="Q46" s="1" t="s">
        <v>9158</v>
      </c>
      <c r="R46" s="14"/>
    </row>
    <row r="47" spans="1:18">
      <c r="A47" s="1">
        <v>83971</v>
      </c>
      <c r="B47" s="1" t="s">
        <v>6632</v>
      </c>
      <c r="C47" s="1" t="s">
        <v>14</v>
      </c>
      <c r="D47" s="19" t="s">
        <v>10570</v>
      </c>
      <c r="E47" s="15" t="str">
        <f>HYPERLINK("https://stat100.ameba.jp/tnk47/ratio20/illustrations/card/ill_83971_nekokishiirurosu01.jpg?201909-1-RELEASE-raid-427xx", "■")</f>
        <v>■</v>
      </c>
      <c r="F47" s="1" t="s">
        <v>6706</v>
      </c>
      <c r="G47" s="1">
        <v>75408</v>
      </c>
      <c r="H47" s="1">
        <v>70200</v>
      </c>
      <c r="I47" s="1">
        <v>24</v>
      </c>
      <c r="J47" s="1" t="s">
        <v>6653</v>
      </c>
      <c r="K47" s="1" t="s">
        <v>6707</v>
      </c>
      <c r="L47" s="1" t="s">
        <v>13201</v>
      </c>
      <c r="M47" s="1" t="s">
        <v>13131</v>
      </c>
      <c r="N47" s="1" t="s">
        <v>251</v>
      </c>
      <c r="O47" s="1" t="s">
        <v>9158</v>
      </c>
      <c r="P47" s="1" t="s">
        <v>9158</v>
      </c>
      <c r="Q47" s="1" t="s">
        <v>9158</v>
      </c>
      <c r="R47" s="14"/>
    </row>
    <row r="48" spans="1:18">
      <c r="A48" s="1">
        <v>83983</v>
      </c>
      <c r="B48" s="1" t="s">
        <v>334</v>
      </c>
      <c r="C48" s="1" t="s">
        <v>23</v>
      </c>
      <c r="D48" s="19" t="s">
        <v>10571</v>
      </c>
      <c r="E48" s="15" t="str">
        <f>HYPERLINK("https://stat100.ameba.jp/tnk47/ratio20/illustrations/card/ill_83983_ryujinsui03.jpg?201909-1-RELEASE-raid-427xx", "■")</f>
        <v>■</v>
      </c>
      <c r="F48" s="1" t="s">
        <v>6708</v>
      </c>
      <c r="G48" s="1">
        <v>109852</v>
      </c>
      <c r="H48" s="1">
        <v>118152</v>
      </c>
      <c r="I48" s="1">
        <v>24</v>
      </c>
      <c r="J48" s="1" t="s">
        <v>6709</v>
      </c>
      <c r="K48" s="1" t="s">
        <v>6710</v>
      </c>
      <c r="L48" s="1" t="s">
        <v>6721</v>
      </c>
      <c r="M48" s="1" t="s">
        <v>13130</v>
      </c>
      <c r="N48" s="1" t="s">
        <v>343</v>
      </c>
      <c r="O48" s="1" t="s">
        <v>9158</v>
      </c>
      <c r="P48" s="1" t="s">
        <v>9158</v>
      </c>
      <c r="Q48" s="1" t="s">
        <v>9158</v>
      </c>
    </row>
    <row r="49" spans="1:17">
      <c r="A49" s="1">
        <v>83993</v>
      </c>
      <c r="B49" s="1" t="s">
        <v>334</v>
      </c>
      <c r="C49" s="1" t="s">
        <v>6699</v>
      </c>
      <c r="D49" s="19" t="s">
        <v>10572</v>
      </c>
      <c r="E49" s="15" t="str">
        <f>HYPERLINK("https://stat100.ameba.jp/tnk47/ratio20/illustrations/card/ill_83993_enjieruzuranotamagochan03.jpg?201909-1-RELEASE-raid-427xx", "■")</f>
        <v>■</v>
      </c>
      <c r="F49" s="1" t="s">
        <v>6722</v>
      </c>
      <c r="G49" s="1">
        <v>109852</v>
      </c>
      <c r="H49" s="1">
        <v>118152</v>
      </c>
      <c r="I49" s="1">
        <v>24</v>
      </c>
      <c r="J49" s="1" t="s">
        <v>6682</v>
      </c>
      <c r="K49" s="1" t="s">
        <v>6723</v>
      </c>
      <c r="L49" s="1" t="s">
        <v>6724</v>
      </c>
      <c r="M49" s="1" t="s">
        <v>13130</v>
      </c>
      <c r="N49" s="1" t="s">
        <v>343</v>
      </c>
      <c r="O49" s="1" t="s">
        <v>9158</v>
      </c>
      <c r="P49" s="1" t="s">
        <v>9158</v>
      </c>
      <c r="Q49" s="1" t="s">
        <v>9158</v>
      </c>
    </row>
    <row r="50" spans="1:17">
      <c r="A50" s="1">
        <v>84003</v>
      </c>
      <c r="B50" s="1" t="s">
        <v>6632</v>
      </c>
      <c r="C50" s="1" t="s">
        <v>6691</v>
      </c>
      <c r="D50" s="19" t="s">
        <v>10573</v>
      </c>
      <c r="E50" s="15" t="str">
        <f>HYPERLINK("https://stat100.ameba.jp/tnk47/ratio20/illustrations/card/ill_84003_sukoropendora03.jpg?201909-1-RELEASE-raid-427xx", "■")</f>
        <v>■</v>
      </c>
      <c r="F50" s="1" t="s">
        <v>6725</v>
      </c>
      <c r="G50" s="1">
        <v>118152</v>
      </c>
      <c r="H50" s="1">
        <v>109852</v>
      </c>
      <c r="I50" s="1">
        <v>24</v>
      </c>
      <c r="J50" s="1" t="s">
        <v>6726</v>
      </c>
      <c r="K50" s="1" t="s">
        <v>6727</v>
      </c>
      <c r="L50" s="1" t="s">
        <v>6728</v>
      </c>
      <c r="M50" s="1" t="s">
        <v>13130</v>
      </c>
      <c r="N50" s="1" t="s">
        <v>343</v>
      </c>
      <c r="O50" s="1" t="s">
        <v>9158</v>
      </c>
      <c r="P50" s="1" t="s">
        <v>9158</v>
      </c>
      <c r="Q50" s="1" t="s">
        <v>9158</v>
      </c>
    </row>
    <row r="51" spans="1:17">
      <c r="A51" s="1">
        <v>84013</v>
      </c>
      <c r="B51" s="1" t="s">
        <v>334</v>
      </c>
      <c r="C51" s="1" t="s">
        <v>205</v>
      </c>
      <c r="D51" s="19" t="s">
        <v>10574</v>
      </c>
      <c r="E51" s="15" t="str">
        <f>HYPERLINK("https://stat100.ameba.jp/tnk47/ratio20/illustrations/card/ill_84013_neikiddo03.jpg?201909-1-RELEASE-raid-427xx", "■")</f>
        <v>■</v>
      </c>
      <c r="F51" s="1" t="s">
        <v>6729</v>
      </c>
      <c r="G51" s="1">
        <v>109852</v>
      </c>
      <c r="H51" s="1">
        <v>118152</v>
      </c>
      <c r="I51" s="1">
        <v>24</v>
      </c>
      <c r="J51" s="1" t="s">
        <v>6730</v>
      </c>
      <c r="K51" s="1" t="s">
        <v>6731</v>
      </c>
      <c r="L51" s="1" t="s">
        <v>6732</v>
      </c>
      <c r="M51" s="1" t="s">
        <v>13130</v>
      </c>
      <c r="N51" s="1" t="s">
        <v>343</v>
      </c>
      <c r="O51" s="1" t="s">
        <v>9158</v>
      </c>
      <c r="P51" s="1" t="s">
        <v>9158</v>
      </c>
      <c r="Q51" s="1" t="s">
        <v>9158</v>
      </c>
    </row>
    <row r="52" spans="1:17">
      <c r="A52" s="1">
        <v>76763</v>
      </c>
      <c r="B52" s="1" t="s">
        <v>334</v>
      </c>
      <c r="C52" s="1" t="s">
        <v>6664</v>
      </c>
      <c r="D52" s="19" t="s">
        <v>10575</v>
      </c>
      <c r="E52" s="15" t="str">
        <f>HYPERLINK("https://stat100.ameba.jp/tnk47/ratio20/illustrations/card/ill_76763_monsutanabeshimakeiginni03.jpg?201909-1-RELEASE-raid-427xx", "■")</f>
        <v>■</v>
      </c>
      <c r="F52" s="1" t="s">
        <v>6733</v>
      </c>
      <c r="G52" s="1">
        <v>118152</v>
      </c>
      <c r="H52" s="1">
        <v>109852</v>
      </c>
      <c r="I52" s="1">
        <v>24</v>
      </c>
      <c r="J52" s="1" t="s">
        <v>6734</v>
      </c>
      <c r="K52" s="1" t="s">
        <v>6735</v>
      </c>
      <c r="L52" s="1" t="s">
        <v>6736</v>
      </c>
      <c r="M52" s="1" t="s">
        <v>13130</v>
      </c>
      <c r="N52" s="1" t="s">
        <v>343</v>
      </c>
      <c r="O52" s="1" t="s">
        <v>9158</v>
      </c>
      <c r="P52" s="1" t="s">
        <v>9158</v>
      </c>
      <c r="Q52" s="1" t="s">
        <v>9158</v>
      </c>
    </row>
    <row r="54" spans="1:17">
      <c r="A54" s="1" t="s">
        <v>6662</v>
      </c>
    </row>
    <row r="55" spans="1:17">
      <c r="A55" s="1" t="s">
        <v>6663</v>
      </c>
    </row>
    <row r="56" spans="1:17">
      <c r="A56" s="1" t="s">
        <v>7654</v>
      </c>
    </row>
    <row r="57" spans="1:17">
      <c r="A57" s="1" t="s">
        <v>6598</v>
      </c>
      <c r="B57" s="1" t="s">
        <v>330</v>
      </c>
      <c r="C57" s="1" t="s">
        <v>35</v>
      </c>
      <c r="D57" s="19" t="s">
        <v>10555</v>
      </c>
      <c r="E57" s="15" t="str">
        <f>HYPERLINK("https://stat100.ameba.jp/tnk47/ratio20/illustrations/card/ill_83553_0_kajuenamoronagu03.jpg?201909-1-RELEASE-raid-427xx", "■")</f>
        <v>■</v>
      </c>
      <c r="F57" s="1" t="s">
        <v>6597</v>
      </c>
      <c r="G57" s="1">
        <v>157899</v>
      </c>
      <c r="H57" s="1">
        <v>174710</v>
      </c>
      <c r="I57" s="1">
        <v>15</v>
      </c>
      <c r="J57" s="1" t="s">
        <v>44</v>
      </c>
      <c r="K57" s="1" t="s">
        <v>6595</v>
      </c>
      <c r="L57" s="1" t="s">
        <v>6594</v>
      </c>
      <c r="M57" s="1" t="s">
        <v>9158</v>
      </c>
      <c r="N57" s="1" t="s">
        <v>9158</v>
      </c>
      <c r="O57" s="19" t="s">
        <v>10125</v>
      </c>
      <c r="P57" s="1" t="s">
        <v>6599</v>
      </c>
      <c r="Q57" s="1">
        <v>1</v>
      </c>
    </row>
    <row r="58" spans="1:17">
      <c r="A58" s="1">
        <v>83603</v>
      </c>
      <c r="B58" s="1" t="s">
        <v>6632</v>
      </c>
      <c r="C58" s="1" t="s">
        <v>6664</v>
      </c>
      <c r="D58" s="19" t="s">
        <v>10576</v>
      </c>
      <c r="E58" s="15" t="str">
        <f>HYPERLINK("https://stat100.ameba.jp/tnk47/ratio20/illustrations/card/ill_83603_yuenchihazadojingukogo03.jpg?201909-1-RELEASE-raid-427xx", "■")</f>
        <v>■</v>
      </c>
      <c r="F58" s="1" t="s">
        <v>6668</v>
      </c>
      <c r="G58" s="1">
        <v>87128</v>
      </c>
      <c r="H58" s="1">
        <v>93746</v>
      </c>
      <c r="I58" s="1">
        <v>24</v>
      </c>
      <c r="J58" s="1" t="s">
        <v>6667</v>
      </c>
      <c r="K58" s="1" t="s">
        <v>6666</v>
      </c>
      <c r="L58" s="1" t="s">
        <v>6665</v>
      </c>
      <c r="M58" s="1" t="s">
        <v>9158</v>
      </c>
      <c r="N58" s="1" t="s">
        <v>9158</v>
      </c>
      <c r="O58" s="1" t="s">
        <v>9158</v>
      </c>
      <c r="P58" s="1" t="s">
        <v>9158</v>
      </c>
      <c r="Q58" s="1" t="s">
        <v>9158</v>
      </c>
    </row>
    <row r="59" spans="1:17">
      <c r="A59" s="1">
        <v>83613</v>
      </c>
      <c r="B59" s="1" t="s">
        <v>6633</v>
      </c>
      <c r="C59" s="1" t="s">
        <v>6650</v>
      </c>
      <c r="D59" s="19" t="s">
        <v>10577</v>
      </c>
      <c r="E59" s="15" t="str">
        <f>HYPERLINK("https://stat100.ameba.jp/tnk47/ratio20/illustrations/card/ill_83613_detoyuramyoinni03.jpg?201909-1-RELEASE-raid-427xx", "■")</f>
        <v>■</v>
      </c>
      <c r="F59" s="1" t="s">
        <v>6672</v>
      </c>
      <c r="G59" s="1">
        <v>68172</v>
      </c>
      <c r="H59" s="1">
        <v>61832</v>
      </c>
      <c r="I59" s="1">
        <v>23</v>
      </c>
      <c r="J59" s="1" t="s">
        <v>6671</v>
      </c>
      <c r="K59" s="1" t="s">
        <v>6670</v>
      </c>
      <c r="L59" s="1" t="s">
        <v>6669</v>
      </c>
      <c r="M59" s="1" t="s">
        <v>9158</v>
      </c>
      <c r="N59" s="1" t="s">
        <v>9158</v>
      </c>
      <c r="O59" s="1" t="s">
        <v>9158</v>
      </c>
      <c r="P59" s="1" t="s">
        <v>9158</v>
      </c>
      <c r="Q59" s="1" t="s">
        <v>9158</v>
      </c>
    </row>
    <row r="60" spans="1:17">
      <c r="A60" s="1">
        <v>83623</v>
      </c>
      <c r="B60" s="1" t="s">
        <v>6673</v>
      </c>
      <c r="C60" s="1" t="s">
        <v>6638</v>
      </c>
      <c r="D60" s="19" t="s">
        <v>10578</v>
      </c>
      <c r="E60" s="15" t="str">
        <f>HYPERLINK("https://stat100.ameba.jp/tnk47/ratio20/illustrations/card/ill_83623_yoasobikujotakeko03.jpg?201909-1-RELEASE-raid-427xx", "■")</f>
        <v>■</v>
      </c>
      <c r="F60" s="1" t="s">
        <v>6678</v>
      </c>
      <c r="G60" s="1">
        <v>36304</v>
      </c>
      <c r="H60" s="1">
        <v>43662</v>
      </c>
      <c r="I60" s="1">
        <v>21</v>
      </c>
      <c r="J60" s="1" t="s">
        <v>6677</v>
      </c>
      <c r="K60" s="1" t="s">
        <v>6676</v>
      </c>
      <c r="L60" s="1" t="s">
        <v>6675</v>
      </c>
      <c r="M60" s="1" t="s">
        <v>9158</v>
      </c>
      <c r="N60" s="1" t="s">
        <v>9158</v>
      </c>
      <c r="O60" s="1" t="s">
        <v>9158</v>
      </c>
      <c r="P60" s="1" t="s">
        <v>9158</v>
      </c>
      <c r="Q60" s="1" t="s">
        <v>9158</v>
      </c>
    </row>
    <row r="61" spans="1:17">
      <c r="A61" s="1">
        <v>83633</v>
      </c>
      <c r="B61" s="1" t="s">
        <v>6674</v>
      </c>
      <c r="C61" s="1" t="s">
        <v>6679</v>
      </c>
      <c r="D61" s="19" t="s">
        <v>10579</v>
      </c>
      <c r="E61" s="15" t="str">
        <f>HYPERLINK("https://stat100.ameba.jp/tnk47/ratio20/illustrations/card/ill_83633_korakuuirosan03.jpg?201909-1-RELEASE-raid-427xx", "■")</f>
        <v>■</v>
      </c>
      <c r="F61" s="1" t="s">
        <v>6683</v>
      </c>
      <c r="G61" s="1">
        <v>26434</v>
      </c>
      <c r="H61" s="1">
        <v>22200</v>
      </c>
      <c r="I61" s="1">
        <v>21</v>
      </c>
      <c r="J61" s="1" t="s">
        <v>6682</v>
      </c>
      <c r="K61" s="1" t="s">
        <v>6681</v>
      </c>
      <c r="L61" s="1" t="s">
        <v>6680</v>
      </c>
      <c r="M61" s="1" t="s">
        <v>9158</v>
      </c>
      <c r="N61" s="1" t="s">
        <v>9158</v>
      </c>
      <c r="O61" s="1" t="s">
        <v>9158</v>
      </c>
      <c r="P61" s="1" t="s">
        <v>9158</v>
      </c>
      <c r="Q61" s="1" t="s">
        <v>9158</v>
      </c>
    </row>
    <row r="63" spans="1:17">
      <c r="A63" s="1" t="s">
        <v>6684</v>
      </c>
    </row>
    <row r="64" spans="1:17">
      <c r="A64" s="1" t="s">
        <v>6685</v>
      </c>
    </row>
    <row r="65" spans="1:17">
      <c r="A65" s="1" t="s">
        <v>5778</v>
      </c>
      <c r="B65" s="1" t="s">
        <v>330</v>
      </c>
      <c r="C65" s="1" t="s">
        <v>205</v>
      </c>
      <c r="D65" s="19" t="s">
        <v>272</v>
      </c>
      <c r="E65" s="15" t="str">
        <f>HYPERLINK("https://stat100.ameba.jp/tnk47/ratio20/illustrations/card/ill_68783_0_gantammomotaro03.jpg?201909-1-RELEASE-raid-427xx", "■")</f>
        <v>■</v>
      </c>
      <c r="F65" s="1" t="s">
        <v>273</v>
      </c>
      <c r="G65" s="1">
        <v>102590</v>
      </c>
      <c r="H65" s="1">
        <v>95371</v>
      </c>
      <c r="I65" s="1">
        <v>15</v>
      </c>
      <c r="J65" s="1" t="s">
        <v>274</v>
      </c>
      <c r="K65" s="1" t="s">
        <v>275</v>
      </c>
      <c r="L65" s="1" t="s">
        <v>276</v>
      </c>
      <c r="M65" s="1" t="s">
        <v>9158</v>
      </c>
      <c r="N65" s="1" t="s">
        <v>9158</v>
      </c>
      <c r="O65" s="19" t="s">
        <v>10099</v>
      </c>
      <c r="P65" s="1" t="s">
        <v>3085</v>
      </c>
      <c r="Q65" s="1">
        <v>1</v>
      </c>
    </row>
    <row r="66" spans="1:17">
      <c r="A66" s="1" t="s">
        <v>5618</v>
      </c>
      <c r="B66" s="1" t="s">
        <v>52</v>
      </c>
      <c r="C66" s="1" t="s">
        <v>23</v>
      </c>
      <c r="D66" s="19" t="s">
        <v>665</v>
      </c>
      <c r="E66" s="15" t="str">
        <f>HYPERLINK("https://stat100.ameba.jp/tnk47/ratio20/illustrations/card/ill_63173_0_minazukikonakaiteruko03.jpg?201909-1-RELEASE-raid-427xx", "■")</f>
        <v>■</v>
      </c>
      <c r="F66" s="1" t="s">
        <v>1188</v>
      </c>
      <c r="G66" s="1">
        <v>130194</v>
      </c>
      <c r="H66" s="1">
        <v>140016</v>
      </c>
      <c r="I66" s="1">
        <v>15</v>
      </c>
      <c r="J66" s="1" t="s">
        <v>143</v>
      </c>
      <c r="K66" s="1" t="s">
        <v>1189</v>
      </c>
      <c r="L66" s="1" t="s">
        <v>1190</v>
      </c>
      <c r="M66" s="1" t="s">
        <v>9158</v>
      </c>
      <c r="N66" s="1" t="s">
        <v>9158</v>
      </c>
      <c r="O66" s="19" t="s">
        <v>10079</v>
      </c>
      <c r="P66" s="1" t="s">
        <v>3329</v>
      </c>
      <c r="Q66" s="1">
        <v>1</v>
      </c>
    </row>
    <row r="67" spans="1:17">
      <c r="A67" s="1" t="s">
        <v>5616</v>
      </c>
      <c r="B67" s="1" t="s">
        <v>52</v>
      </c>
      <c r="C67" s="1" t="s">
        <v>14</v>
      </c>
      <c r="D67" s="19" t="s">
        <v>638</v>
      </c>
      <c r="E67" s="15" t="str">
        <f>HYPERLINK("https://stat100.ameba.jp/tnk47/ratio20/illustrations/card/ill_44253_0_dokuganryudatemasamune03.jpg?201909-1-RELEASE-raid-427xx", "■")</f>
        <v>■</v>
      </c>
      <c r="F67" s="1" t="s">
        <v>1181</v>
      </c>
      <c r="G67" s="1">
        <v>82212</v>
      </c>
      <c r="H67" s="1">
        <v>87780</v>
      </c>
      <c r="I67" s="1">
        <v>15</v>
      </c>
      <c r="J67" s="1" t="s">
        <v>143</v>
      </c>
      <c r="K67" s="1" t="s">
        <v>1182</v>
      </c>
      <c r="L67" s="1" t="s">
        <v>1183</v>
      </c>
      <c r="M67" s="1" t="s">
        <v>9158</v>
      </c>
      <c r="N67" s="1" t="s">
        <v>9158</v>
      </c>
      <c r="O67" s="1" t="s">
        <v>9158</v>
      </c>
      <c r="P67" s="1" t="s">
        <v>9158</v>
      </c>
      <c r="Q67" s="1" t="s">
        <v>9158</v>
      </c>
    </row>
    <row r="68" spans="1:17">
      <c r="A68" s="1">
        <v>77753</v>
      </c>
      <c r="B68" s="1" t="s">
        <v>334</v>
      </c>
      <c r="C68" s="1" t="s">
        <v>203</v>
      </c>
      <c r="D68" s="19" t="s">
        <v>1515</v>
      </c>
      <c r="E68" s="15" t="str">
        <f>HYPERLINK("https://stat100.ameba.jp/tnk47/ratio20/illustrations/card/ill_77753_sekiennotorisu03.jpg?201909-1-RELEASE-raid-427xx", "■")</f>
        <v>■</v>
      </c>
      <c r="F68" s="1" t="s">
        <v>995</v>
      </c>
      <c r="G68" s="1">
        <v>176200</v>
      </c>
      <c r="H68" s="1">
        <v>99132</v>
      </c>
      <c r="I68" s="1">
        <v>24</v>
      </c>
      <c r="J68" s="1" t="s">
        <v>143</v>
      </c>
      <c r="K68" s="1" t="s">
        <v>996</v>
      </c>
      <c r="L68" s="1" t="s">
        <v>145</v>
      </c>
      <c r="M68" s="1" t="s">
        <v>9158</v>
      </c>
      <c r="N68" s="1" t="s">
        <v>9158</v>
      </c>
      <c r="O68" s="1" t="s">
        <v>9158</v>
      </c>
      <c r="P68" s="1" t="s">
        <v>9158</v>
      </c>
      <c r="Q68" s="1" t="s">
        <v>9158</v>
      </c>
    </row>
    <row r="69" spans="1:17">
      <c r="A69" s="1">
        <v>77743</v>
      </c>
      <c r="B69" s="1" t="s">
        <v>334</v>
      </c>
      <c r="C69" s="1" t="s">
        <v>269</v>
      </c>
      <c r="D69" s="19" t="s">
        <v>493</v>
      </c>
      <c r="E69" s="15" t="str">
        <f>HYPERLINK("https://stat100.ameba.jp/tnk47/ratio20/illustrations/card/ill_77743_kaerude03.jpg?201909-1-RELEASE-raid-427xx", "■")</f>
        <v>■</v>
      </c>
      <c r="F69" s="1" t="s">
        <v>494</v>
      </c>
      <c r="G69" s="1">
        <v>75980</v>
      </c>
      <c r="H69" s="1">
        <v>135010</v>
      </c>
      <c r="I69" s="1">
        <v>24</v>
      </c>
      <c r="J69" s="1" t="s">
        <v>369</v>
      </c>
      <c r="K69" s="1" t="s">
        <v>495</v>
      </c>
      <c r="L69" s="1" t="s">
        <v>496</v>
      </c>
      <c r="M69" s="1" t="s">
        <v>9158</v>
      </c>
      <c r="N69" s="1" t="s">
        <v>9158</v>
      </c>
      <c r="O69" s="1" t="s">
        <v>9158</v>
      </c>
      <c r="P69" s="1" t="s">
        <v>9158</v>
      </c>
      <c r="Q69" s="1" t="s">
        <v>9158</v>
      </c>
    </row>
    <row r="70" spans="1:17">
      <c r="A70" s="1">
        <v>83673</v>
      </c>
      <c r="B70" s="1" t="s">
        <v>6632</v>
      </c>
      <c r="C70" s="1" t="s">
        <v>6686</v>
      </c>
      <c r="D70" s="19" t="s">
        <v>10580</v>
      </c>
      <c r="E70" s="15" t="str">
        <f>HYPERLINK("https://stat100.ameba.jp/tnk47/ratio20/illustrations/card/ill_83673_erementara03.jpg?201909-1-RELEASE-raid-427xx", "■")</f>
        <v>■</v>
      </c>
      <c r="F70" s="1" t="s">
        <v>6690</v>
      </c>
      <c r="G70" s="1">
        <v>67636</v>
      </c>
      <c r="H70" s="1">
        <v>120204</v>
      </c>
      <c r="I70" s="1">
        <v>24</v>
      </c>
      <c r="J70" s="1" t="s">
        <v>6688</v>
      </c>
      <c r="K70" s="1" t="s">
        <v>6689</v>
      </c>
      <c r="L70" s="1" t="s">
        <v>6687</v>
      </c>
      <c r="M70" s="1" t="s">
        <v>9158</v>
      </c>
      <c r="N70" s="1" t="s">
        <v>9158</v>
      </c>
      <c r="O70" s="1" t="s">
        <v>9158</v>
      </c>
      <c r="P70" s="1" t="s">
        <v>9158</v>
      </c>
      <c r="Q70" s="1" t="s">
        <v>9158</v>
      </c>
    </row>
    <row r="71" spans="1:17">
      <c r="A71" s="1">
        <v>74673</v>
      </c>
      <c r="B71" s="1" t="s">
        <v>6633</v>
      </c>
      <c r="C71" s="1" t="s">
        <v>6691</v>
      </c>
      <c r="D71" s="19" t="s">
        <v>10581</v>
      </c>
      <c r="E71" s="15" t="str">
        <f>HYPERLINK("https://stat100.ameba.jp/tnk47/ratio20/illustrations/card/ill_74673_sakanouenotamuramaro03.jpg?201909-1-RELEASE-raid-427xx", "■")</f>
        <v>■</v>
      </c>
      <c r="F71" s="1" t="s">
        <v>6695</v>
      </c>
      <c r="G71" s="1">
        <v>53768</v>
      </c>
      <c r="H71" s="1">
        <v>59280</v>
      </c>
      <c r="I71" s="1">
        <v>20</v>
      </c>
      <c r="J71" s="1" t="s">
        <v>6694</v>
      </c>
      <c r="K71" s="1" t="s">
        <v>6693</v>
      </c>
      <c r="L71" s="1" t="s">
        <v>6692</v>
      </c>
      <c r="M71" s="1" t="s">
        <v>9158</v>
      </c>
      <c r="N71" s="1" t="s">
        <v>9158</v>
      </c>
      <c r="O71" s="1" t="s">
        <v>9158</v>
      </c>
      <c r="P71" s="1" t="s">
        <v>9158</v>
      </c>
      <c r="Q71" s="1" t="s">
        <v>9158</v>
      </c>
    </row>
    <row r="72" spans="1:17">
      <c r="A72" s="1">
        <v>69223</v>
      </c>
      <c r="B72" s="1" t="s">
        <v>6633</v>
      </c>
      <c r="C72" s="1" t="s">
        <v>6664</v>
      </c>
      <c r="D72" s="19" t="s">
        <v>780</v>
      </c>
      <c r="E72" s="15" t="str">
        <f>HYPERLINK("https://stat100.ameba.jp/tnk47/ratio20/illustrations/card/ill_69223_burodoeiruisufuroisu03.jpg?201909-1-RELEASE-raid-427xx", "■")</f>
        <v>■</v>
      </c>
      <c r="F72" s="1" t="s">
        <v>6698</v>
      </c>
      <c r="G72" s="1">
        <v>59280</v>
      </c>
      <c r="H72" s="1">
        <v>53768</v>
      </c>
      <c r="I72" s="1">
        <v>20</v>
      </c>
      <c r="J72" s="1" t="s">
        <v>6667</v>
      </c>
      <c r="K72" s="1" t="s">
        <v>6697</v>
      </c>
      <c r="L72" s="1" t="s">
        <v>6696</v>
      </c>
      <c r="M72" s="1" t="s">
        <v>9158</v>
      </c>
      <c r="N72" s="1" t="s">
        <v>9158</v>
      </c>
      <c r="O72" s="1" t="s">
        <v>9158</v>
      </c>
      <c r="P72" s="1" t="s">
        <v>9158</v>
      </c>
      <c r="Q72" s="1" t="s">
        <v>9158</v>
      </c>
    </row>
    <row r="73" spans="1:17">
      <c r="A73" s="1">
        <v>60993</v>
      </c>
      <c r="B73" s="1" t="s">
        <v>6633</v>
      </c>
      <c r="C73" s="1" t="s">
        <v>6699</v>
      </c>
      <c r="D73" s="19" t="s">
        <v>10582</v>
      </c>
      <c r="E73" s="15" t="str">
        <f>HYPERLINK("https://stat100.ameba.jp/tnk47/ratio20/illustrations/card/ill_60993_majutsushijukeini03.jpg?201909-1-RELEASE-raid-427xx", "■")</f>
        <v>■</v>
      </c>
      <c r="F73" s="1" t="s">
        <v>6702</v>
      </c>
      <c r="G73" s="1">
        <v>53768</v>
      </c>
      <c r="H73" s="1">
        <v>59280</v>
      </c>
      <c r="I73" s="1">
        <v>20</v>
      </c>
      <c r="J73" s="1" t="s">
        <v>6688</v>
      </c>
      <c r="K73" s="1" t="s">
        <v>6701</v>
      </c>
      <c r="L73" s="1" t="s">
        <v>6700</v>
      </c>
      <c r="M73" s="1" t="s">
        <v>9158</v>
      </c>
      <c r="N73" s="1" t="s">
        <v>9158</v>
      </c>
      <c r="O73" s="1" t="s">
        <v>9158</v>
      </c>
      <c r="P73" s="1" t="s">
        <v>9158</v>
      </c>
      <c r="Q73" s="1" t="s">
        <v>9158</v>
      </c>
    </row>
    <row r="75" spans="1:17">
      <c r="A75" s="1" t="s">
        <v>6737</v>
      </c>
    </row>
    <row r="76" spans="1:17">
      <c r="A76" s="1" t="s">
        <v>6738</v>
      </c>
    </row>
    <row r="77" spans="1:17">
      <c r="A77" s="1" t="s">
        <v>5609</v>
      </c>
      <c r="B77" s="1" t="s">
        <v>52</v>
      </c>
      <c r="C77" s="1" t="s">
        <v>200</v>
      </c>
      <c r="D77" s="19" t="s">
        <v>389</v>
      </c>
      <c r="E77" s="15" t="str">
        <f>HYPERLINK("https://stat100.ameba.jp/tnk47/ratio20/illustrations/card/ill_53753_0_natsumatsuritokugawaieyasu03.jpg?201909-1-RELEASE-raid-427xx", "■")</f>
        <v>■</v>
      </c>
      <c r="F77" s="1" t="s">
        <v>902</v>
      </c>
      <c r="G77" s="1">
        <v>144494</v>
      </c>
      <c r="H77" s="1">
        <v>128358</v>
      </c>
      <c r="I77" s="1">
        <v>23</v>
      </c>
      <c r="J77" s="1" t="s">
        <v>194</v>
      </c>
      <c r="K77" s="1" t="s">
        <v>1714</v>
      </c>
      <c r="L77" s="1" t="s">
        <v>904</v>
      </c>
      <c r="M77" s="1" t="s">
        <v>9158</v>
      </c>
      <c r="N77" s="1" t="s">
        <v>9158</v>
      </c>
      <c r="O77" s="19" t="s">
        <v>10076</v>
      </c>
      <c r="P77" s="1" t="s">
        <v>13121</v>
      </c>
      <c r="Q77" s="1">
        <v>1</v>
      </c>
    </row>
    <row r="78" spans="1:17">
      <c r="A78" s="1" t="s">
        <v>5611</v>
      </c>
      <c r="B78" s="1" t="s">
        <v>330</v>
      </c>
      <c r="C78" s="1" t="s">
        <v>185</v>
      </c>
      <c r="D78" s="19" t="s">
        <v>539</v>
      </c>
      <c r="E78" s="15" t="str">
        <f>HYPERLINK("https://stat100.ameba.jp/tnk47/ratio20/illustrations/card/ill_60633_0_harumaisentoin03.jpg?201909-1-RELEASE-raid-427xx", "■")</f>
        <v>■</v>
      </c>
      <c r="F78" s="1" t="s">
        <v>540</v>
      </c>
      <c r="G78" s="1">
        <v>146235</v>
      </c>
      <c r="H78" s="1">
        <v>157306</v>
      </c>
      <c r="I78" s="1">
        <v>23</v>
      </c>
      <c r="J78" s="1" t="s">
        <v>274</v>
      </c>
      <c r="K78" s="1" t="s">
        <v>541</v>
      </c>
      <c r="L78" s="1" t="s">
        <v>542</v>
      </c>
      <c r="M78" s="1" t="s">
        <v>9158</v>
      </c>
      <c r="N78" s="1" t="s">
        <v>9158</v>
      </c>
      <c r="O78" s="19" t="s">
        <v>2888</v>
      </c>
      <c r="P78" s="1" t="s">
        <v>3144</v>
      </c>
      <c r="Q78" s="1">
        <v>1</v>
      </c>
    </row>
    <row r="79" spans="1:17">
      <c r="A79" s="1" t="s">
        <v>5608</v>
      </c>
      <c r="B79" s="1" t="s">
        <v>52</v>
      </c>
      <c r="C79" s="1" t="s">
        <v>96</v>
      </c>
      <c r="D79" s="19" t="s">
        <v>634</v>
      </c>
      <c r="E79" s="15" t="str">
        <f>HYPERLINK("https://stat100.ameba.jp/tnk47/ratio20/illustrations/card/ill_40963_0_makami03.jpg?201909-1-RELEASE-raid-427xx", "■")</f>
        <v>■</v>
      </c>
      <c r="F79" s="1" t="s">
        <v>2038</v>
      </c>
      <c r="G79" s="1">
        <v>134596</v>
      </c>
      <c r="H79" s="1">
        <v>126058</v>
      </c>
      <c r="I79" s="1">
        <v>23</v>
      </c>
      <c r="J79" s="1" t="s">
        <v>44</v>
      </c>
      <c r="K79" s="1" t="s">
        <v>2039</v>
      </c>
      <c r="L79" s="1" t="s">
        <v>2040</v>
      </c>
      <c r="M79" s="1" t="s">
        <v>9158</v>
      </c>
      <c r="N79" s="1" t="s">
        <v>9158</v>
      </c>
      <c r="O79" s="1" t="s">
        <v>9158</v>
      </c>
      <c r="P79" s="1" t="s">
        <v>9158</v>
      </c>
      <c r="Q79" s="1" t="s">
        <v>9158</v>
      </c>
    </row>
    <row r="80" spans="1:17">
      <c r="A80" s="1">
        <v>83603</v>
      </c>
      <c r="B80" s="1" t="s">
        <v>0</v>
      </c>
      <c r="C80" s="1" t="s">
        <v>107</v>
      </c>
      <c r="D80" s="19" t="s">
        <v>10576</v>
      </c>
      <c r="E80" s="15" t="str">
        <f>HYPERLINK("https://stat100.ameba.jp/tnk47/ratio20/illustrations/card/ill_83603_yuenchihazadojingukogo03.jpg?201909-1-RELEASE-raid-427xx", "■")</f>
        <v>■</v>
      </c>
      <c r="F80" s="1" t="s">
        <v>6668</v>
      </c>
      <c r="G80" s="1">
        <v>87128</v>
      </c>
      <c r="H80" s="1">
        <v>93746</v>
      </c>
      <c r="I80" s="1">
        <v>24</v>
      </c>
      <c r="J80" s="1" t="s">
        <v>10</v>
      </c>
      <c r="K80" s="1" t="s">
        <v>6666</v>
      </c>
      <c r="L80" s="1" t="s">
        <v>2057</v>
      </c>
      <c r="M80" s="1" t="s">
        <v>9158</v>
      </c>
      <c r="N80" s="1" t="s">
        <v>9158</v>
      </c>
      <c r="O80" s="1" t="s">
        <v>9158</v>
      </c>
      <c r="P80" s="1" t="s">
        <v>9158</v>
      </c>
      <c r="Q80" s="1" t="s">
        <v>9158</v>
      </c>
    </row>
    <row r="81" spans="1:17">
      <c r="A81" s="1">
        <v>83613</v>
      </c>
      <c r="B81" s="1" t="s">
        <v>15</v>
      </c>
      <c r="C81" s="1" t="s">
        <v>200</v>
      </c>
      <c r="D81" s="19" t="s">
        <v>10577</v>
      </c>
      <c r="E81" s="15" t="str">
        <f>HYPERLINK("https://stat100.ameba.jp/tnk47/ratio20/illustrations/card/ill_83613_detoyuramyoinni03.jpg?201909-1-RELEASE-raid-427xx", "■")</f>
        <v>■</v>
      </c>
      <c r="F81" s="1" t="s">
        <v>6672</v>
      </c>
      <c r="G81" s="1">
        <v>53352</v>
      </c>
      <c r="H81" s="1">
        <v>48390</v>
      </c>
      <c r="I81" s="1">
        <v>18</v>
      </c>
      <c r="J81" s="1" t="s">
        <v>77</v>
      </c>
      <c r="K81" s="1" t="s">
        <v>6670</v>
      </c>
      <c r="L81" s="1" t="s">
        <v>932</v>
      </c>
      <c r="M81" s="1" t="s">
        <v>9158</v>
      </c>
      <c r="N81" s="1" t="s">
        <v>9158</v>
      </c>
      <c r="O81" s="1" t="s">
        <v>9158</v>
      </c>
      <c r="P81" s="1" t="s">
        <v>9158</v>
      </c>
      <c r="Q81" s="1" t="s">
        <v>9158</v>
      </c>
    </row>
    <row r="82" spans="1:17">
      <c r="A82" s="1">
        <v>83623</v>
      </c>
      <c r="B82" s="1" t="s">
        <v>22</v>
      </c>
      <c r="C82" s="1" t="s">
        <v>165</v>
      </c>
      <c r="D82" s="19" t="s">
        <v>10578</v>
      </c>
      <c r="E82" s="15" t="str">
        <f>HYPERLINK("https://stat100.ameba.jp/tnk47/ratio20/illustrations/card/ill_83623_yoasobikujotakeko03.jpg?201909-1-RELEASE-raid-427xx", "■")</f>
        <v>■</v>
      </c>
      <c r="F82" s="1" t="s">
        <v>6678</v>
      </c>
      <c r="G82" s="1">
        <v>29388</v>
      </c>
      <c r="H82" s="1">
        <v>35346</v>
      </c>
      <c r="I82" s="1">
        <v>17</v>
      </c>
      <c r="J82" s="1" t="s">
        <v>159</v>
      </c>
      <c r="K82" s="1" t="s">
        <v>6676</v>
      </c>
      <c r="L82" s="1" t="s">
        <v>6675</v>
      </c>
      <c r="M82" s="1" t="s">
        <v>9158</v>
      </c>
      <c r="N82" s="1" t="s">
        <v>9158</v>
      </c>
      <c r="O82" s="1" t="s">
        <v>9158</v>
      </c>
      <c r="P82" s="1" t="s">
        <v>9158</v>
      </c>
      <c r="Q82" s="1" t="s">
        <v>9158</v>
      </c>
    </row>
    <row r="83" spans="1:17">
      <c r="A83" s="1">
        <v>83633</v>
      </c>
      <c r="B83" s="1" t="s">
        <v>30</v>
      </c>
      <c r="C83" s="1" t="s">
        <v>5315</v>
      </c>
      <c r="D83" s="19" t="s">
        <v>10579</v>
      </c>
      <c r="E83" s="15" t="str">
        <f>HYPERLINK("https://stat100.ameba.jp/tnk47/ratio20/illustrations/card/ill_83633_korakuuirosan03.jpg?201909-1-RELEASE-raid-427xx", "■")</f>
        <v>■</v>
      </c>
      <c r="F83" s="1" t="s">
        <v>6683</v>
      </c>
      <c r="G83" s="1">
        <v>21398</v>
      </c>
      <c r="H83" s="1">
        <v>17972</v>
      </c>
      <c r="I83" s="1">
        <v>17</v>
      </c>
      <c r="J83" s="1" t="s">
        <v>216</v>
      </c>
      <c r="K83" s="1" t="s">
        <v>6681</v>
      </c>
      <c r="L83" s="1" t="s">
        <v>4233</v>
      </c>
      <c r="M83" s="1" t="s">
        <v>9158</v>
      </c>
      <c r="N83" s="1" t="s">
        <v>9158</v>
      </c>
      <c r="O83" s="1" t="s">
        <v>9158</v>
      </c>
      <c r="P83" s="1" t="s">
        <v>9158</v>
      </c>
      <c r="Q83" s="1" t="s">
        <v>9158</v>
      </c>
    </row>
    <row r="85" spans="1:17">
      <c r="A85" s="1" t="s">
        <v>6755</v>
      </c>
    </row>
    <row r="86" spans="1:17">
      <c r="A86" s="1" t="s">
        <v>6756</v>
      </c>
    </row>
    <row r="87" spans="1:17">
      <c r="A87" s="1" t="s">
        <v>5899</v>
      </c>
      <c r="B87" s="1" t="s">
        <v>52</v>
      </c>
      <c r="C87" s="1" t="s">
        <v>205</v>
      </c>
      <c r="D87" s="19" t="s">
        <v>1559</v>
      </c>
      <c r="E87" s="15" t="str">
        <f>HYPERLINK("https://stat100.ameba.jp/tnk47/ratio20/illustrations/card/ill_73773_0_umibirakiinugamigyobu03.jpg?201909-1-RELEASE-raid-427xx", "■")</f>
        <v>■</v>
      </c>
      <c r="F87" s="1" t="s">
        <v>935</v>
      </c>
      <c r="G87" s="1">
        <v>130160</v>
      </c>
      <c r="H87" s="1">
        <v>139999</v>
      </c>
      <c r="I87" s="1">
        <v>15</v>
      </c>
      <c r="J87" s="1" t="s">
        <v>73</v>
      </c>
      <c r="K87" s="1" t="s">
        <v>1186</v>
      </c>
      <c r="L87" s="1" t="s">
        <v>1187</v>
      </c>
      <c r="M87" s="1" t="s">
        <v>9158</v>
      </c>
      <c r="N87" s="1" t="s">
        <v>9158</v>
      </c>
      <c r="O87" s="19" t="s">
        <v>2978</v>
      </c>
      <c r="P87" s="1" t="s">
        <v>2979</v>
      </c>
      <c r="Q87" s="1">
        <v>2</v>
      </c>
    </row>
    <row r="88" spans="1:17">
      <c r="A88" s="1" t="s">
        <v>5617</v>
      </c>
      <c r="B88" s="1" t="s">
        <v>330</v>
      </c>
      <c r="C88" s="1" t="s">
        <v>165</v>
      </c>
      <c r="D88" s="19" t="s">
        <v>385</v>
      </c>
      <c r="E88" s="15" t="str">
        <f>HYPERLINK("https://stat100.ameba.jp/tnk47/ratio20/illustrations/card/ill_59673_0_oheyashutendoji03.jpg?201909-1-RELEASE-raid-427xx", "■")</f>
        <v>■</v>
      </c>
      <c r="F88" s="1" t="s">
        <v>983</v>
      </c>
      <c r="G88" s="1">
        <v>105545</v>
      </c>
      <c r="H88" s="1">
        <v>113525</v>
      </c>
      <c r="I88" s="1">
        <v>15</v>
      </c>
      <c r="J88" s="1" t="s">
        <v>73</v>
      </c>
      <c r="K88" s="1" t="s">
        <v>984</v>
      </c>
      <c r="L88" s="1" t="s">
        <v>985</v>
      </c>
      <c r="M88" s="1" t="s">
        <v>9158</v>
      </c>
      <c r="N88" s="1" t="s">
        <v>9158</v>
      </c>
      <c r="O88" s="19" t="s">
        <v>10078</v>
      </c>
      <c r="P88" s="1" t="s">
        <v>3022</v>
      </c>
      <c r="Q88" s="1">
        <v>1</v>
      </c>
    </row>
    <row r="89" spans="1:17">
      <c r="A89" s="1" t="s">
        <v>5830</v>
      </c>
      <c r="B89" s="1" t="s">
        <v>330</v>
      </c>
      <c r="C89" s="1" t="s">
        <v>191</v>
      </c>
      <c r="D89" s="19" t="s">
        <v>793</v>
      </c>
      <c r="E89" s="15" t="str">
        <f>HYPERLINK("https://stat100.ameba.jp/tnk47/ratio20/illustrations/card/ill_39933_0_reihiiinaotora03.jpg?201909-1-RELEASE-raid-427xx", "■")</f>
        <v>■</v>
      </c>
      <c r="F89" s="1" t="s">
        <v>794</v>
      </c>
      <c r="G89" s="1">
        <v>82212</v>
      </c>
      <c r="H89" s="1">
        <v>87780</v>
      </c>
      <c r="I89" s="1">
        <v>15</v>
      </c>
      <c r="J89" s="1" t="s">
        <v>315</v>
      </c>
      <c r="K89" s="1" t="s">
        <v>795</v>
      </c>
      <c r="L89" s="1" t="s">
        <v>796</v>
      </c>
      <c r="M89" s="1" t="s">
        <v>9158</v>
      </c>
      <c r="N89" s="1" t="s">
        <v>9158</v>
      </c>
      <c r="O89" s="1" t="s">
        <v>9158</v>
      </c>
      <c r="P89" s="1" t="s">
        <v>9158</v>
      </c>
      <c r="Q89" s="1" t="s">
        <v>9158</v>
      </c>
    </row>
    <row r="90" spans="1:17">
      <c r="A90" s="1">
        <v>81003</v>
      </c>
      <c r="B90" s="1" t="s">
        <v>334</v>
      </c>
      <c r="C90" s="1" t="s">
        <v>200</v>
      </c>
      <c r="D90" s="19" t="s">
        <v>10583</v>
      </c>
      <c r="E90" s="15" t="str">
        <f>HYPERLINK("https://stat100.ameba.jp/tnk47/ratio20/illustrations/card/ill_81003_furudenshago03.jpg?201909-1-RELEASE-raid-427xx", "■")</f>
        <v>■</v>
      </c>
      <c r="F90" s="1" t="s">
        <v>4427</v>
      </c>
      <c r="G90" s="1">
        <v>65128</v>
      </c>
      <c r="H90" s="1">
        <v>115746</v>
      </c>
      <c r="I90" s="1">
        <v>24</v>
      </c>
      <c r="J90" s="1" t="s">
        <v>187</v>
      </c>
      <c r="K90" s="1" t="s">
        <v>4428</v>
      </c>
      <c r="L90" s="1" t="s">
        <v>969</v>
      </c>
      <c r="M90" s="1" t="s">
        <v>9158</v>
      </c>
      <c r="N90" s="1" t="s">
        <v>9158</v>
      </c>
      <c r="O90" s="1" t="s">
        <v>9158</v>
      </c>
      <c r="P90" s="1" t="s">
        <v>9158</v>
      </c>
      <c r="Q90" s="1" t="s">
        <v>9158</v>
      </c>
    </row>
    <row r="91" spans="1:17">
      <c r="A91" s="1">
        <v>61423</v>
      </c>
      <c r="B91" s="1" t="s">
        <v>334</v>
      </c>
      <c r="C91" s="1" t="s">
        <v>107</v>
      </c>
      <c r="D91" s="19" t="s">
        <v>10584</v>
      </c>
      <c r="E91" s="15" t="str">
        <f>HYPERLINK("https://stat100.ameba.jp/tnk47/ratio20/illustrations/card/ill_61423_itogemboku03.jpg?201909-1-RELEASE-raid-427xx", "■")</f>
        <v>■</v>
      </c>
      <c r="F91" s="1" t="s">
        <v>6759</v>
      </c>
      <c r="G91" s="1">
        <v>78916</v>
      </c>
      <c r="H91" s="1">
        <v>108924</v>
      </c>
      <c r="I91" s="1">
        <v>24</v>
      </c>
      <c r="J91" s="1" t="s">
        <v>159</v>
      </c>
      <c r="K91" s="1" t="s">
        <v>6758</v>
      </c>
      <c r="L91" s="1" t="s">
        <v>6757</v>
      </c>
      <c r="M91" s="1" t="s">
        <v>9158</v>
      </c>
      <c r="N91" s="1" t="s">
        <v>9158</v>
      </c>
      <c r="O91" s="1" t="s">
        <v>9158</v>
      </c>
      <c r="P91" s="1" t="s">
        <v>9158</v>
      </c>
      <c r="Q91" s="1" t="s">
        <v>9158</v>
      </c>
    </row>
    <row r="92" spans="1:17">
      <c r="A92" s="1">
        <v>70663</v>
      </c>
      <c r="B92" s="1" t="s">
        <v>334</v>
      </c>
      <c r="C92" s="1" t="s">
        <v>185</v>
      </c>
      <c r="D92" s="19" t="s">
        <v>10281</v>
      </c>
      <c r="E92" s="15" t="str">
        <f>HYPERLINK("https://stat100.ameba.jp/tnk47/ratio20/illustrations/card/ill_70663_shitsujikissanagasawarosetsu03.jpg?201909-1-RELEASE-raid-427xx", "■")</f>
        <v>■</v>
      </c>
      <c r="F92" s="1" t="s">
        <v>4702</v>
      </c>
      <c r="G92" s="1">
        <v>87128</v>
      </c>
      <c r="H92" s="1">
        <v>93746</v>
      </c>
      <c r="I92" s="1">
        <v>24</v>
      </c>
      <c r="J92" s="1" t="s">
        <v>10</v>
      </c>
      <c r="K92" s="1" t="s">
        <v>4703</v>
      </c>
      <c r="L92" s="1" t="s">
        <v>2057</v>
      </c>
      <c r="M92" s="1" t="s">
        <v>9158</v>
      </c>
      <c r="N92" s="1" t="s">
        <v>9158</v>
      </c>
      <c r="O92" s="1" t="s">
        <v>9158</v>
      </c>
      <c r="P92" s="1" t="s">
        <v>9158</v>
      </c>
      <c r="Q92" s="1" t="s">
        <v>9158</v>
      </c>
    </row>
    <row r="93" spans="1:17">
      <c r="A93" s="1">
        <v>69003</v>
      </c>
      <c r="B93" s="1" t="s">
        <v>15</v>
      </c>
      <c r="C93" s="1" t="s">
        <v>191</v>
      </c>
      <c r="D93" s="19" t="s">
        <v>10378</v>
      </c>
      <c r="E93" s="15" t="str">
        <f>HYPERLINK("https://stat100.ameba.jp/tnk47/ratio20/illustrations/card/ill_69003_namahagetokuhime03.jpg?201909-1-RELEASE-raid-427xx", "■")</f>
        <v>■</v>
      </c>
      <c r="F93" s="1" t="s">
        <v>5714</v>
      </c>
      <c r="G93" s="1">
        <v>51078</v>
      </c>
      <c r="H93" s="1">
        <v>56316</v>
      </c>
      <c r="I93" s="1">
        <v>19</v>
      </c>
      <c r="J93" s="1" t="s">
        <v>77</v>
      </c>
      <c r="K93" s="1" t="s">
        <v>5715</v>
      </c>
      <c r="L93" s="1" t="s">
        <v>973</v>
      </c>
      <c r="M93" s="1" t="s">
        <v>9158</v>
      </c>
      <c r="N93" s="1" t="s">
        <v>9158</v>
      </c>
      <c r="O93" s="1" t="s">
        <v>9158</v>
      </c>
      <c r="P93" s="1" t="s">
        <v>9158</v>
      </c>
      <c r="Q93" s="1" t="s">
        <v>9158</v>
      </c>
    </row>
    <row r="94" spans="1:17">
      <c r="A94" s="1">
        <v>80293</v>
      </c>
      <c r="B94" s="1" t="s">
        <v>348</v>
      </c>
      <c r="C94" s="1" t="s">
        <v>185</v>
      </c>
      <c r="D94" s="19" t="s">
        <v>3974</v>
      </c>
      <c r="E94" s="15" t="str">
        <f>HYPERLINK("https://stat100.ameba.jp/tnk47/ratio20/illustrations/card/ill_80293_howaitodehowaitochokochan03.jpg?201909-1-RELEASE-raid-427xx", "■")</f>
        <v>■</v>
      </c>
      <c r="F94" s="1" t="s">
        <v>3975</v>
      </c>
      <c r="G94" s="1">
        <v>51078</v>
      </c>
      <c r="H94" s="1">
        <v>56316</v>
      </c>
      <c r="I94" s="1">
        <v>19</v>
      </c>
      <c r="J94" s="1" t="s">
        <v>283</v>
      </c>
      <c r="K94" s="1" t="s">
        <v>3976</v>
      </c>
      <c r="L94" s="1" t="s">
        <v>1442</v>
      </c>
      <c r="M94" s="1" t="s">
        <v>9158</v>
      </c>
      <c r="N94" s="1" t="s">
        <v>9158</v>
      </c>
      <c r="O94" s="1" t="s">
        <v>9158</v>
      </c>
      <c r="P94" s="1" t="s">
        <v>9158</v>
      </c>
      <c r="Q94" s="1" t="s">
        <v>9158</v>
      </c>
    </row>
    <row r="95" spans="1:17">
      <c r="A95" s="1">
        <v>76713</v>
      </c>
      <c r="B95" s="1" t="s">
        <v>15</v>
      </c>
      <c r="C95" s="1" t="s">
        <v>165</v>
      </c>
      <c r="D95" s="19" t="s">
        <v>10585</v>
      </c>
      <c r="E95" s="15" t="str">
        <f>HYPERLINK("https://stat100.ameba.jp/tnk47/ratio20/illustrations/card/ill_76713_byofuoinhoodo03.jpg?201909-1-RELEASE-raid-427xx", "■")</f>
        <v>■</v>
      </c>
      <c r="F95" s="1" t="s">
        <v>1110</v>
      </c>
      <c r="G95" s="1">
        <v>51078</v>
      </c>
      <c r="H95" s="1">
        <v>56316</v>
      </c>
      <c r="I95" s="1">
        <v>19</v>
      </c>
      <c r="J95" s="1" t="s">
        <v>26</v>
      </c>
      <c r="K95" s="1" t="s">
        <v>1111</v>
      </c>
      <c r="L95" s="1" t="s">
        <v>977</v>
      </c>
      <c r="M95" s="1" t="s">
        <v>9158</v>
      </c>
      <c r="N95" s="1" t="s">
        <v>9158</v>
      </c>
      <c r="O95" s="1" t="s">
        <v>9158</v>
      </c>
      <c r="P95" s="1" t="s">
        <v>9158</v>
      </c>
      <c r="Q95" s="1" t="s">
        <v>9158</v>
      </c>
    </row>
    <row r="97" spans="1:17">
      <c r="A97" s="1" t="s">
        <v>6760</v>
      </c>
    </row>
    <row r="98" spans="1:17">
      <c r="A98" s="1" t="s">
        <v>6761</v>
      </c>
    </row>
    <row r="99" spans="1:17">
      <c r="A99" s="1" t="s">
        <v>5623</v>
      </c>
      <c r="B99" s="1" t="s">
        <v>330</v>
      </c>
      <c r="C99" s="1" t="s">
        <v>165</v>
      </c>
      <c r="D99" s="19" t="s">
        <v>3146</v>
      </c>
      <c r="E99" s="15" t="str">
        <f>HYPERLINK("https://stat100.ameba.jp/tnk47/ratio20/illustrations/card/ill_65713_0_undokaionikirimaru03.jpg?201909-2-RELEASE-unionbattle-428", "■")</f>
        <v>■</v>
      </c>
      <c r="F99" s="1" t="s">
        <v>535</v>
      </c>
      <c r="G99" s="1">
        <v>166504</v>
      </c>
      <c r="H99" s="1">
        <v>154800</v>
      </c>
      <c r="I99" s="1">
        <v>22</v>
      </c>
      <c r="J99" s="1" t="s">
        <v>182</v>
      </c>
      <c r="K99" s="1" t="s">
        <v>183</v>
      </c>
      <c r="L99" s="1" t="s">
        <v>184</v>
      </c>
      <c r="M99" s="1" t="s">
        <v>9158</v>
      </c>
      <c r="N99" s="1" t="s">
        <v>9158</v>
      </c>
      <c r="O99" s="19" t="s">
        <v>2869</v>
      </c>
      <c r="P99" s="1" t="s">
        <v>2870</v>
      </c>
      <c r="Q99" s="1">
        <v>1</v>
      </c>
    </row>
    <row r="100" spans="1:17">
      <c r="A100" s="1" t="s">
        <v>5642</v>
      </c>
      <c r="B100" s="1" t="s">
        <v>52</v>
      </c>
      <c r="C100" s="1" t="s">
        <v>185</v>
      </c>
      <c r="D100" s="19" t="s">
        <v>3086</v>
      </c>
      <c r="E100" s="15" t="str">
        <f>HYPERLINK("https://stat100.ameba.jp/tnk47/ratio20/illustrations/card/ill_69593_0_setsubunyukionna03.jpg?201909-2-RELEASE-unionbattle-428", "■")</f>
        <v>■</v>
      </c>
      <c r="F100" s="1" t="s">
        <v>2431</v>
      </c>
      <c r="G100" s="1">
        <v>157150</v>
      </c>
      <c r="H100" s="1">
        <v>169032</v>
      </c>
      <c r="I100" s="1">
        <v>22</v>
      </c>
      <c r="J100" s="1" t="s">
        <v>73</v>
      </c>
      <c r="K100" s="1" t="s">
        <v>2432</v>
      </c>
      <c r="L100" s="1" t="s">
        <v>2433</v>
      </c>
      <c r="M100" s="1" t="s">
        <v>9158</v>
      </c>
      <c r="N100" s="1" t="s">
        <v>9158</v>
      </c>
      <c r="O100" s="19" t="s">
        <v>3090</v>
      </c>
      <c r="P100" s="1" t="s">
        <v>3600</v>
      </c>
      <c r="Q100" s="1">
        <v>2</v>
      </c>
    </row>
    <row r="101" spans="1:17">
      <c r="A101" s="1">
        <v>84633</v>
      </c>
      <c r="B101" s="1" t="s">
        <v>334</v>
      </c>
      <c r="C101" s="1" t="s">
        <v>154</v>
      </c>
      <c r="D101" s="19" t="s">
        <v>10586</v>
      </c>
      <c r="E101" s="15" t="str">
        <f>HYPERLINK("https://stat100.ameba.jp/tnk47/ratio20/illustrations/card/ill_84633_akubishoppu03.jpg?201909-2-RELEASE-unionbattle-428", "■")</f>
        <v>■</v>
      </c>
      <c r="F101" s="1" t="s">
        <v>6762</v>
      </c>
      <c r="G101" s="1">
        <v>104890</v>
      </c>
      <c r="H101" s="1">
        <v>75984</v>
      </c>
      <c r="I101" s="1">
        <v>24</v>
      </c>
      <c r="J101" s="1" t="s">
        <v>10</v>
      </c>
      <c r="K101" s="1" t="s">
        <v>6764</v>
      </c>
      <c r="L101" s="1" t="s">
        <v>6763</v>
      </c>
      <c r="M101" s="1" t="s">
        <v>9158</v>
      </c>
      <c r="N101" s="1" t="s">
        <v>9158</v>
      </c>
      <c r="O101" s="19" t="s">
        <v>10090</v>
      </c>
      <c r="P101" s="1" t="s">
        <v>3460</v>
      </c>
      <c r="Q101" s="1">
        <v>1</v>
      </c>
    </row>
    <row r="102" spans="1:17">
      <c r="A102" s="1">
        <v>63273</v>
      </c>
      <c r="B102" s="1" t="s">
        <v>334</v>
      </c>
      <c r="C102" s="1" t="s">
        <v>203</v>
      </c>
      <c r="D102" s="19" t="s">
        <v>828</v>
      </c>
      <c r="E102" s="15" t="str">
        <f>HYPERLINK("https://stat100.ameba.jp/tnk47/ratio20/illustrations/card/ill_63273_tsukushimai03.jpg?201909-2-RELEASE-unionbattle-428", "■")</f>
        <v>■</v>
      </c>
      <c r="F102" s="1" t="s">
        <v>829</v>
      </c>
      <c r="G102" s="1">
        <v>117374</v>
      </c>
      <c r="H102" s="1">
        <v>85010</v>
      </c>
      <c r="I102" s="1">
        <v>23</v>
      </c>
      <c r="J102" s="1" t="s">
        <v>274</v>
      </c>
      <c r="K102" s="1" t="s">
        <v>830</v>
      </c>
      <c r="L102" s="1" t="s">
        <v>831</v>
      </c>
      <c r="M102" s="1" t="s">
        <v>9158</v>
      </c>
      <c r="N102" s="1" t="s">
        <v>9158</v>
      </c>
      <c r="O102" s="19" t="s">
        <v>10110</v>
      </c>
      <c r="P102" s="1" t="s">
        <v>13128</v>
      </c>
      <c r="Q102" s="1">
        <v>1</v>
      </c>
    </row>
    <row r="103" spans="1:17">
      <c r="A103" s="1">
        <v>70363</v>
      </c>
      <c r="B103" s="1" t="s">
        <v>334</v>
      </c>
      <c r="C103" s="1" t="s">
        <v>209</v>
      </c>
      <c r="D103" s="19" t="s">
        <v>10266</v>
      </c>
      <c r="E103" s="15" t="str">
        <f>HYPERLINK("https://stat100.ameba.jp/tnk47/ratio20/illustrations/card/ill_70363_hokushimmyokembosatsu03.jpg?201909-2-RELEASE-unionbattle-428", "■")</f>
        <v>■</v>
      </c>
      <c r="F103" s="1" t="s">
        <v>2502</v>
      </c>
      <c r="G103" s="1">
        <v>153022</v>
      </c>
      <c r="H103" s="1">
        <v>110837</v>
      </c>
      <c r="I103" s="1">
        <v>23</v>
      </c>
      <c r="J103" s="1" t="s">
        <v>44</v>
      </c>
      <c r="K103" s="1" t="s">
        <v>2503</v>
      </c>
      <c r="L103" s="1" t="s">
        <v>2504</v>
      </c>
      <c r="M103" s="1" t="s">
        <v>9158</v>
      </c>
      <c r="N103" s="1" t="s">
        <v>9158</v>
      </c>
      <c r="O103" s="19" t="s">
        <v>10114</v>
      </c>
      <c r="P103" s="1" t="s">
        <v>3658</v>
      </c>
      <c r="Q103" s="1">
        <v>1</v>
      </c>
    </row>
    <row r="104" spans="1:17">
      <c r="A104" s="1">
        <v>70383</v>
      </c>
      <c r="B104" s="1" t="s">
        <v>0</v>
      </c>
      <c r="C104" s="1" t="s">
        <v>41</v>
      </c>
      <c r="D104" s="19" t="s">
        <v>10201</v>
      </c>
      <c r="E104" s="15" t="str">
        <f>HYPERLINK("https://stat100.ameba.jp/tnk47/ratio20/illustrations/card/ill_70383_saraudon03.jpg?201909-2-RELEASE-unionbattle-428", "■")</f>
        <v>■</v>
      </c>
      <c r="F104" s="1" t="s">
        <v>3487</v>
      </c>
      <c r="G104" s="1">
        <v>121572</v>
      </c>
      <c r="H104" s="1">
        <v>88047</v>
      </c>
      <c r="I104" s="1">
        <v>23</v>
      </c>
      <c r="J104" s="1" t="s">
        <v>104</v>
      </c>
      <c r="K104" s="1" t="s">
        <v>3488</v>
      </c>
      <c r="L104" s="1" t="s">
        <v>3489</v>
      </c>
      <c r="M104" s="1" t="s">
        <v>9158</v>
      </c>
      <c r="N104" s="1" t="s">
        <v>9158</v>
      </c>
      <c r="O104" s="1" t="s">
        <v>9158</v>
      </c>
      <c r="P104" s="1" t="s">
        <v>9158</v>
      </c>
      <c r="Q104" s="1" t="s">
        <v>9158</v>
      </c>
    </row>
    <row r="105" spans="1:17">
      <c r="A105" s="1">
        <v>65623</v>
      </c>
      <c r="B105" s="1" t="s">
        <v>334</v>
      </c>
      <c r="C105" s="1" t="s">
        <v>209</v>
      </c>
      <c r="D105" s="19" t="s">
        <v>10254</v>
      </c>
      <c r="E105" s="15" t="str">
        <f>HYPERLINK("https://stat100.ameba.jp/tnk47/ratio20/illustrations/card/ill_65623_hosoyajudayu03.jpg?201909-2-RELEASE-unionbattle-428", "■")</f>
        <v>■</v>
      </c>
      <c r="F105" s="1" t="s">
        <v>823</v>
      </c>
      <c r="G105" s="1">
        <v>153022</v>
      </c>
      <c r="H105" s="1">
        <v>110837</v>
      </c>
      <c r="I105" s="1">
        <v>23</v>
      </c>
      <c r="J105" s="1" t="s">
        <v>310</v>
      </c>
      <c r="K105" s="1" t="s">
        <v>824</v>
      </c>
      <c r="L105" s="1" t="s">
        <v>443</v>
      </c>
      <c r="M105" s="1" t="s">
        <v>9158</v>
      </c>
      <c r="N105" s="1" t="s">
        <v>9158</v>
      </c>
      <c r="O105" s="1" t="s">
        <v>9158</v>
      </c>
      <c r="P105" s="1" t="s">
        <v>9158</v>
      </c>
      <c r="Q105" s="1" t="s">
        <v>9158</v>
      </c>
    </row>
    <row r="106" spans="1:17">
      <c r="A106" s="1">
        <v>65633</v>
      </c>
      <c r="B106" s="1" t="s">
        <v>0</v>
      </c>
      <c r="C106" s="1" t="s">
        <v>41</v>
      </c>
      <c r="D106" s="19" t="s">
        <v>10227</v>
      </c>
      <c r="E106" s="15" t="str">
        <f>HYPERLINK("https://stat100.ameba.jp/tnk47/ratio20/illustrations/card/ill_65633_shinnoakugoro03.jpg?201909-2-RELEASE-unionbattle-428", "■")</f>
        <v>■</v>
      </c>
      <c r="F106" s="1" t="s">
        <v>70</v>
      </c>
      <c r="G106" s="1">
        <v>107251</v>
      </c>
      <c r="H106" s="1">
        <v>77700</v>
      </c>
      <c r="I106" s="1">
        <v>23</v>
      </c>
      <c r="J106" s="1" t="s">
        <v>73</v>
      </c>
      <c r="K106" s="1" t="s">
        <v>71</v>
      </c>
      <c r="L106" s="1" t="s">
        <v>72</v>
      </c>
      <c r="M106" s="1" t="s">
        <v>9158</v>
      </c>
      <c r="N106" s="1" t="s">
        <v>9158</v>
      </c>
      <c r="O106" s="1" t="s">
        <v>9158</v>
      </c>
      <c r="P106" s="1" t="s">
        <v>9158</v>
      </c>
      <c r="Q106" s="1" t="s">
        <v>9158</v>
      </c>
    </row>
    <row r="108" spans="1:17">
      <c r="A108" s="1" t="s">
        <v>6739</v>
      </c>
    </row>
    <row r="109" spans="1:17">
      <c r="A109" s="1" t="s">
        <v>6740</v>
      </c>
    </row>
    <row r="110" spans="1:17">
      <c r="A110" s="1">
        <v>76103</v>
      </c>
      <c r="B110" s="1" t="s">
        <v>334</v>
      </c>
      <c r="C110" s="1" t="s">
        <v>154</v>
      </c>
      <c r="D110" s="19" t="s">
        <v>570</v>
      </c>
      <c r="E110" s="15" t="str">
        <f>HYPERLINK("https://stat100.ameba.jp/tnk47/ratio20/illustrations/card/ill_76103_shibuaji03.jpg?201909-2-RELEASE-unionbattle-428", "■")</f>
        <v>■</v>
      </c>
      <c r="F110" s="1" t="s">
        <v>1122</v>
      </c>
      <c r="G110" s="1">
        <v>103512</v>
      </c>
      <c r="H110" s="1">
        <v>96246</v>
      </c>
      <c r="I110" s="1">
        <v>24</v>
      </c>
      <c r="J110" s="1" t="s">
        <v>143</v>
      </c>
      <c r="K110" s="1" t="s">
        <v>1123</v>
      </c>
      <c r="L110" s="1" t="s">
        <v>1124</v>
      </c>
      <c r="M110" s="1" t="s">
        <v>9158</v>
      </c>
      <c r="N110" s="1" t="s">
        <v>9158</v>
      </c>
      <c r="O110" s="1" t="s">
        <v>9158</v>
      </c>
      <c r="P110" s="1" t="s">
        <v>9158</v>
      </c>
      <c r="Q110" s="1" t="s">
        <v>9158</v>
      </c>
    </row>
    <row r="111" spans="1:17">
      <c r="A111" s="1">
        <v>76113</v>
      </c>
      <c r="B111" s="1" t="s">
        <v>334</v>
      </c>
      <c r="C111" s="1" t="s">
        <v>158</v>
      </c>
      <c r="D111" s="19" t="s">
        <v>10268</v>
      </c>
      <c r="E111" s="15" t="str">
        <f>HYPERLINK("https://stat100.ameba.jp/tnk47/ratio20/illustrations/card/ill_76113_jannudaruku03.jpg?201909-2-RELEASE-unionbattle-428", "■")</f>
        <v>■</v>
      </c>
      <c r="F111" s="1" t="s">
        <v>1126</v>
      </c>
      <c r="G111" s="1">
        <v>103512</v>
      </c>
      <c r="H111" s="1">
        <v>96246</v>
      </c>
      <c r="I111" s="1">
        <v>24</v>
      </c>
      <c r="J111" s="1" t="s">
        <v>10</v>
      </c>
      <c r="K111" s="1" t="s">
        <v>1127</v>
      </c>
      <c r="L111" s="1" t="s">
        <v>1128</v>
      </c>
      <c r="M111" s="1" t="s">
        <v>9158</v>
      </c>
      <c r="N111" s="1" t="s">
        <v>9158</v>
      </c>
      <c r="O111" s="1" t="s">
        <v>9158</v>
      </c>
      <c r="P111" s="1" t="s">
        <v>9158</v>
      </c>
      <c r="Q111" s="1" t="s">
        <v>9158</v>
      </c>
    </row>
    <row r="112" spans="1:17">
      <c r="A112" s="1">
        <v>63323</v>
      </c>
      <c r="B112" s="1" t="s">
        <v>0</v>
      </c>
      <c r="C112" s="1" t="s">
        <v>200</v>
      </c>
      <c r="D112" s="19" t="s">
        <v>10269</v>
      </c>
      <c r="E112" s="15" t="str">
        <f>HYPERLINK("https://stat100.ameba.jp/tnk47/ratio20/illustrations/card/ill_63323_ajisaikushinadahime03.jpg?201909-2-RELEASE-unionbattle-428", "■")</f>
        <v>■</v>
      </c>
      <c r="F112" s="1" t="s">
        <v>3583</v>
      </c>
      <c r="G112" s="1">
        <v>91010</v>
      </c>
      <c r="H112" s="1">
        <v>97894</v>
      </c>
      <c r="I112" s="1">
        <v>24</v>
      </c>
      <c r="J112" s="1" t="s">
        <v>44</v>
      </c>
      <c r="K112" s="1" t="s">
        <v>3584</v>
      </c>
      <c r="L112" s="1" t="s">
        <v>2400</v>
      </c>
      <c r="M112" s="1" t="s">
        <v>9158</v>
      </c>
      <c r="N112" s="1" t="s">
        <v>9158</v>
      </c>
      <c r="O112" s="1" t="s">
        <v>9158</v>
      </c>
      <c r="P112" s="1" t="s">
        <v>9158</v>
      </c>
      <c r="Q112" s="1" t="s">
        <v>9158</v>
      </c>
    </row>
    <row r="113" spans="1:17">
      <c r="A113" s="1">
        <v>59863</v>
      </c>
      <c r="B113" s="1" t="s">
        <v>334</v>
      </c>
      <c r="C113" s="1" t="s">
        <v>165</v>
      </c>
      <c r="D113" s="19" t="s">
        <v>318</v>
      </c>
      <c r="E113" s="15" t="str">
        <f>HYPERLINK("https://stat100.ameba.jp/tnk47/ratio20/illustrations/card/ill_59863_yoseiichimokuren03.jpg?201909-2-RELEASE-unionbattle-428", "■")</f>
        <v>■</v>
      </c>
      <c r="F113" s="1" t="s">
        <v>319</v>
      </c>
      <c r="G113" s="1">
        <v>99996</v>
      </c>
      <c r="H113" s="1">
        <v>92996</v>
      </c>
      <c r="I113" s="1">
        <v>24</v>
      </c>
      <c r="J113" s="1" t="s">
        <v>320</v>
      </c>
      <c r="K113" s="1" t="s">
        <v>321</v>
      </c>
      <c r="L113" s="1" t="s">
        <v>322</v>
      </c>
      <c r="M113" s="1" t="s">
        <v>9158</v>
      </c>
      <c r="N113" s="1" t="s">
        <v>9158</v>
      </c>
      <c r="O113" s="1" t="s">
        <v>9158</v>
      </c>
      <c r="P113" s="1" t="s">
        <v>9158</v>
      </c>
      <c r="Q113" s="1" t="s">
        <v>9158</v>
      </c>
    </row>
    <row r="114" spans="1:17">
      <c r="A114" s="1">
        <v>51823</v>
      </c>
      <c r="B114" s="1" t="s">
        <v>6741</v>
      </c>
      <c r="C114" s="1" t="s">
        <v>101</v>
      </c>
      <c r="D114" s="19" t="s">
        <v>10587</v>
      </c>
      <c r="E114" s="15" t="str">
        <f>HYPERLINK("https://stat100.ameba.jp/tnk47/ratio20/illustrations/card/ill_51823_jukimatsu03.jpg?201909-2-RELEASE-unionbattle-428", "■")</f>
        <v>■</v>
      </c>
      <c r="F114" s="1" t="s">
        <v>6742</v>
      </c>
      <c r="G114" s="1">
        <v>51078</v>
      </c>
      <c r="H114" s="1">
        <v>56316</v>
      </c>
      <c r="I114" s="1">
        <v>19</v>
      </c>
      <c r="J114" s="1" t="s">
        <v>77</v>
      </c>
      <c r="K114" s="1" t="s">
        <v>6743</v>
      </c>
      <c r="L114" s="1" t="s">
        <v>6744</v>
      </c>
      <c r="M114" s="1" t="s">
        <v>9158</v>
      </c>
      <c r="N114" s="1" t="s">
        <v>9158</v>
      </c>
      <c r="O114" s="1" t="s">
        <v>9158</v>
      </c>
      <c r="P114" s="1" t="s">
        <v>9158</v>
      </c>
      <c r="Q114" s="1" t="s">
        <v>9158</v>
      </c>
    </row>
    <row r="115" spans="1:17">
      <c r="A115" s="1">
        <v>51773</v>
      </c>
      <c r="B115" s="1" t="s">
        <v>6741</v>
      </c>
      <c r="C115" s="1" t="s">
        <v>205</v>
      </c>
      <c r="D115" s="19" t="s">
        <v>10588</v>
      </c>
      <c r="E115" s="15" t="str">
        <f>HYPERLINK("https://stat100.ameba.jp/tnk47/ratio20/illustrations/card/ill_51773_kawaasobikanekomisuzu03.jpg?201909-2-RELEASE-unionbattle-428", "■")</f>
        <v>■</v>
      </c>
      <c r="F115" s="1" t="s">
        <v>6747</v>
      </c>
      <c r="G115" s="1">
        <v>56316</v>
      </c>
      <c r="H115" s="1">
        <v>51078</v>
      </c>
      <c r="I115" s="1">
        <v>19</v>
      </c>
      <c r="J115" s="1" t="s">
        <v>10</v>
      </c>
      <c r="K115" s="1" t="s">
        <v>6746</v>
      </c>
      <c r="L115" s="1" t="s">
        <v>6745</v>
      </c>
      <c r="M115" s="1" t="s">
        <v>9158</v>
      </c>
      <c r="N115" s="1" t="s">
        <v>9158</v>
      </c>
      <c r="O115" s="1" t="s">
        <v>9158</v>
      </c>
      <c r="P115" s="1" t="s">
        <v>9158</v>
      </c>
      <c r="Q115" s="1" t="s">
        <v>9158</v>
      </c>
    </row>
    <row r="116" spans="1:17">
      <c r="A116" s="1">
        <v>51733</v>
      </c>
      <c r="B116" s="1" t="s">
        <v>6741</v>
      </c>
      <c r="C116" s="1" t="s">
        <v>185</v>
      </c>
      <c r="D116" s="19" t="s">
        <v>10589</v>
      </c>
      <c r="E116" s="15" t="str">
        <f>HYPERLINK("https://stat100.ameba.jp/tnk47/ratio20/illustrations/card/ill_51733_ekusoshisutopoiyampe03.jpg?201909-2-RELEASE-unionbattle-428", "■")</f>
        <v>■</v>
      </c>
      <c r="F116" s="1" t="s">
        <v>6750</v>
      </c>
      <c r="G116" s="1">
        <v>51078</v>
      </c>
      <c r="H116" s="1">
        <v>56316</v>
      </c>
      <c r="I116" s="1">
        <v>19</v>
      </c>
      <c r="J116" s="1" t="s">
        <v>274</v>
      </c>
      <c r="K116" s="1" t="s">
        <v>6749</v>
      </c>
      <c r="L116" s="1" t="s">
        <v>6748</v>
      </c>
      <c r="M116" s="1" t="s">
        <v>9158</v>
      </c>
      <c r="N116" s="1" t="s">
        <v>9158</v>
      </c>
      <c r="O116" s="1" t="s">
        <v>9158</v>
      </c>
      <c r="P116" s="1" t="s">
        <v>9158</v>
      </c>
      <c r="Q116" s="1" t="s">
        <v>9158</v>
      </c>
    </row>
    <row r="117" spans="1:17">
      <c r="A117" s="1">
        <v>55743</v>
      </c>
      <c r="B117" s="1" t="s">
        <v>6741</v>
      </c>
      <c r="C117" s="1" t="s">
        <v>6751</v>
      </c>
      <c r="D117" s="19" t="s">
        <v>10590</v>
      </c>
      <c r="E117" s="15" t="str">
        <f>HYPERLINK("https://stat100.ameba.jp/tnk47/ratio20/illustrations/card/ill_55743_nankoume03.jpg?201909-2-RELEASE-unionbattle-428", "■")</f>
        <v>■</v>
      </c>
      <c r="F117" s="1" t="s">
        <v>6754</v>
      </c>
      <c r="G117" s="1">
        <v>51078</v>
      </c>
      <c r="H117" s="1">
        <v>56316</v>
      </c>
      <c r="I117" s="1">
        <v>19</v>
      </c>
      <c r="J117" s="1" t="s">
        <v>216</v>
      </c>
      <c r="K117" s="1" t="s">
        <v>6753</v>
      </c>
      <c r="L117" s="1" t="s">
        <v>6752</v>
      </c>
      <c r="M117" s="1" t="s">
        <v>9158</v>
      </c>
      <c r="N117" s="1" t="s">
        <v>9158</v>
      </c>
      <c r="O117" s="1" t="s">
        <v>9158</v>
      </c>
      <c r="P117" s="1" t="s">
        <v>9158</v>
      </c>
      <c r="Q117" s="1" t="s">
        <v>9158</v>
      </c>
    </row>
    <row r="119" spans="1:17">
      <c r="A119" s="1" t="s">
        <v>6765</v>
      </c>
    </row>
    <row r="120" spans="1:17">
      <c r="A120" s="1" t="s">
        <v>6766</v>
      </c>
    </row>
    <row r="121" spans="1:17">
      <c r="A121" s="1" t="s">
        <v>5733</v>
      </c>
      <c r="B121" s="1" t="s">
        <v>330</v>
      </c>
      <c r="C121" s="1" t="s">
        <v>202</v>
      </c>
      <c r="D121" s="19" t="s">
        <v>2744</v>
      </c>
      <c r="E121" s="15" t="str">
        <f>HYPERLINK("https://stat100.ameba.jp/tnk47/ratio20/illustrations/card/ill_78693_0_kyupittokoinomikoto03.jpg?201909-2-RELEASE-unionbattle-428", "■")</f>
        <v>■</v>
      </c>
      <c r="F121" s="1" t="s">
        <v>2745</v>
      </c>
      <c r="G121" s="1">
        <v>251516</v>
      </c>
      <c r="H121" s="1">
        <v>278294</v>
      </c>
      <c r="I121" s="1">
        <v>24</v>
      </c>
      <c r="J121" s="1" t="s">
        <v>274</v>
      </c>
      <c r="K121" s="1" t="s">
        <v>2746</v>
      </c>
      <c r="L121" s="1" t="s">
        <v>2747</v>
      </c>
      <c r="M121" s="1" t="s">
        <v>9158</v>
      </c>
      <c r="N121" s="1" t="s">
        <v>9158</v>
      </c>
      <c r="O121" s="19" t="s">
        <v>10097</v>
      </c>
      <c r="P121" s="1" t="s">
        <v>2748</v>
      </c>
      <c r="Q121" s="1">
        <v>1</v>
      </c>
    </row>
    <row r="122" spans="1:17">
      <c r="A122" s="1">
        <v>71333</v>
      </c>
      <c r="B122" s="1" t="s">
        <v>0</v>
      </c>
      <c r="C122" s="1" t="s">
        <v>41</v>
      </c>
      <c r="D122" s="19" t="s">
        <v>10256</v>
      </c>
      <c r="E122" s="15" t="str">
        <f>HYPERLINK("https://stat100.ameba.jp/tnk47/ratio20/illustrations/card/ill_71333_fujiwaranokamatari03.jpg?201909-2-RELEASE-unionbattle-428", "■")</f>
        <v>■</v>
      </c>
      <c r="F122" s="1" t="s">
        <v>58</v>
      </c>
      <c r="G122" s="1">
        <v>104890</v>
      </c>
      <c r="H122" s="1">
        <v>75984</v>
      </c>
      <c r="I122" s="1">
        <v>24</v>
      </c>
      <c r="J122" s="1" t="s">
        <v>10</v>
      </c>
      <c r="K122" s="1" t="s">
        <v>59</v>
      </c>
      <c r="L122" s="1" t="s">
        <v>60</v>
      </c>
      <c r="M122" s="1" t="s">
        <v>9158</v>
      </c>
      <c r="N122" s="1" t="s">
        <v>9158</v>
      </c>
      <c r="O122" s="19" t="s">
        <v>10098</v>
      </c>
      <c r="P122" s="1" t="s">
        <v>3491</v>
      </c>
      <c r="Q122" s="1">
        <v>1</v>
      </c>
    </row>
    <row r="123" spans="1:17">
      <c r="A123" s="1">
        <v>75893</v>
      </c>
      <c r="B123" s="1" t="s">
        <v>0</v>
      </c>
      <c r="C123" s="1" t="s">
        <v>158</v>
      </c>
      <c r="D123" s="19" t="s">
        <v>3095</v>
      </c>
      <c r="E123" s="15" t="str">
        <f>HYPERLINK("https://stat100.ameba.jp/tnk47/ratio20/illustrations/card/ill_75893_hamamatsutakuni03.jpg?201909-2-RELEASE-unionbattle-428", "■")</f>
        <v>■</v>
      </c>
      <c r="F123" s="1" t="s">
        <v>3594</v>
      </c>
      <c r="G123" s="1">
        <v>108924</v>
      </c>
      <c r="H123" s="1">
        <v>78916</v>
      </c>
      <c r="I123" s="1">
        <v>24</v>
      </c>
      <c r="J123" s="1" t="s">
        <v>16</v>
      </c>
      <c r="K123" s="1" t="s">
        <v>3595</v>
      </c>
      <c r="L123" s="1" t="s">
        <v>920</v>
      </c>
      <c r="M123" s="1" t="s">
        <v>9158</v>
      </c>
      <c r="N123" s="1" t="s">
        <v>9158</v>
      </c>
      <c r="O123" s="19" t="s">
        <v>3037</v>
      </c>
      <c r="P123" s="1" t="s">
        <v>13128</v>
      </c>
      <c r="Q123" s="1">
        <v>1</v>
      </c>
    </row>
    <row r="124" spans="1:17">
      <c r="A124" s="1">
        <v>78133</v>
      </c>
      <c r="B124" s="1" t="s">
        <v>0</v>
      </c>
      <c r="C124" s="1" t="s">
        <v>154</v>
      </c>
      <c r="D124" s="19" t="s">
        <v>10313</v>
      </c>
      <c r="E124" s="15" t="str">
        <f>HYPERLINK("https://stat100.ameba.jp/tnk47/ratio20/illustrations/card/ill_78133_akazukin03.jpg?201909-2-RELEASE-unionbattle-428", "■")</f>
        <v>■</v>
      </c>
      <c r="F124" s="1" t="s">
        <v>2202</v>
      </c>
      <c r="G124" s="1">
        <v>88706</v>
      </c>
      <c r="H124" s="1">
        <v>122476</v>
      </c>
      <c r="I124" s="1">
        <v>24</v>
      </c>
      <c r="J124" s="1" t="s">
        <v>38</v>
      </c>
      <c r="K124" s="1" t="s">
        <v>2203</v>
      </c>
      <c r="L124" s="1" t="s">
        <v>2204</v>
      </c>
      <c r="M124" s="1" t="s">
        <v>9158</v>
      </c>
      <c r="N124" s="1" t="s">
        <v>9158</v>
      </c>
      <c r="O124" s="19" t="s">
        <v>2917</v>
      </c>
      <c r="P124" s="1" t="s">
        <v>3531</v>
      </c>
      <c r="Q124" s="1">
        <v>1</v>
      </c>
    </row>
    <row r="126" spans="1:17">
      <c r="A126" s="1" t="s">
        <v>6767</v>
      </c>
    </row>
    <row r="127" spans="1:17">
      <c r="A127" s="1" t="s">
        <v>6768</v>
      </c>
    </row>
    <row r="128" spans="1:17">
      <c r="A128" s="1" t="s">
        <v>6769</v>
      </c>
      <c r="B128" s="1" t="s">
        <v>52</v>
      </c>
      <c r="C128" s="1" t="s">
        <v>14</v>
      </c>
      <c r="D128" s="19" t="s">
        <v>3195</v>
      </c>
      <c r="E128" s="15" t="str">
        <f>HYPERLINK("https://stat100.ameba.jp/tnk47/ratio20/illustrations/card/ill_75393_0_resukuinotsukisamaniittausagi03.jpg?201909-2-RELEASE-unionbattle-428", "■")</f>
        <v>■</v>
      </c>
      <c r="F128" s="1" t="s">
        <v>3248</v>
      </c>
      <c r="G128" s="1">
        <v>170856</v>
      </c>
      <c r="H128" s="1">
        <v>158850</v>
      </c>
      <c r="I128" s="1">
        <v>15</v>
      </c>
      <c r="J128" s="1" t="s">
        <v>26</v>
      </c>
      <c r="K128" s="1" t="s">
        <v>3249</v>
      </c>
      <c r="L128" s="1" t="s">
        <v>3250</v>
      </c>
      <c r="M128" s="1" t="s">
        <v>9158</v>
      </c>
      <c r="N128" s="1" t="s">
        <v>9158</v>
      </c>
      <c r="O128" s="19" t="s">
        <v>10101</v>
      </c>
      <c r="P128" s="1" t="s">
        <v>3251</v>
      </c>
      <c r="Q128" s="1">
        <v>2</v>
      </c>
    </row>
    <row r="129" spans="1:17">
      <c r="A129" s="1" t="s">
        <v>5615</v>
      </c>
      <c r="B129" s="1" t="s">
        <v>330</v>
      </c>
      <c r="C129" s="1" t="s">
        <v>206</v>
      </c>
      <c r="D129" s="19" t="s">
        <v>2814</v>
      </c>
      <c r="E129" s="15" t="str">
        <f>HYPERLINK("https://stat100.ameba.jp/tnk47/ratio20/illustrations/card/ill_57733_0_shogatsunisenjunanaamakusashiro03.jpg?201909-2-RELEASE-unionbattle-428", "■")</f>
        <v>■</v>
      </c>
      <c r="F129" s="1" t="s">
        <v>2815</v>
      </c>
      <c r="G129" s="1">
        <v>83712</v>
      </c>
      <c r="H129" s="1">
        <v>94236</v>
      </c>
      <c r="I129" s="1">
        <v>15</v>
      </c>
      <c r="J129" s="1" t="s">
        <v>351</v>
      </c>
      <c r="K129" s="1" t="s">
        <v>2816</v>
      </c>
      <c r="L129" s="1" t="s">
        <v>2817</v>
      </c>
      <c r="M129" s="1" t="s">
        <v>9158</v>
      </c>
      <c r="N129" s="1" t="s">
        <v>9158</v>
      </c>
      <c r="O129" s="19" t="s">
        <v>10077</v>
      </c>
      <c r="P129" s="1" t="s">
        <v>3062</v>
      </c>
      <c r="Q129" s="1">
        <v>1</v>
      </c>
    </row>
    <row r="130" spans="1:17">
      <c r="A130" s="1" t="s">
        <v>5612</v>
      </c>
      <c r="B130" s="1" t="s">
        <v>52</v>
      </c>
      <c r="C130" s="1" t="s">
        <v>165</v>
      </c>
      <c r="D130" s="19" t="s">
        <v>789</v>
      </c>
      <c r="E130" s="15" t="str">
        <f>HYPERLINK("https://stat100.ameba.jp/tnk47/ratio20/illustrations/card/ill_49193_0_onmyoudouabenoseimei03.jpg?201909-2-RELEASE-unionbattle-428", "■")</f>
        <v>■</v>
      </c>
      <c r="F130" s="1" t="s">
        <v>1896</v>
      </c>
      <c r="G130" s="1">
        <v>83712</v>
      </c>
      <c r="H130" s="1">
        <v>94236</v>
      </c>
      <c r="I130" s="1">
        <v>15</v>
      </c>
      <c r="J130" s="1" t="s">
        <v>10</v>
      </c>
      <c r="K130" s="1" t="s">
        <v>1897</v>
      </c>
      <c r="L130" s="1" t="s">
        <v>1898</v>
      </c>
      <c r="M130" s="1" t="s">
        <v>9158</v>
      </c>
      <c r="N130" s="1" t="s">
        <v>9158</v>
      </c>
      <c r="O130" s="1" t="s">
        <v>9158</v>
      </c>
      <c r="P130" s="1" t="s">
        <v>9158</v>
      </c>
      <c r="Q130" s="1" t="s">
        <v>9158</v>
      </c>
    </row>
    <row r="131" spans="1:17">
      <c r="A131" s="1">
        <v>78293</v>
      </c>
      <c r="B131" s="1" t="s">
        <v>334</v>
      </c>
      <c r="C131" s="1" t="s">
        <v>205</v>
      </c>
      <c r="D131" s="19" t="s">
        <v>10591</v>
      </c>
      <c r="E131" s="15" t="str">
        <f>HYPERLINK("https://stat100.ameba.jp/tnk47/ratio20/illustrations/card/ill_78293_yukinotaawaodori03.jpg?201909-2-RELEASE-unionbattle-428", "■")</f>
        <v>■</v>
      </c>
      <c r="F131" s="1" t="s">
        <v>2416</v>
      </c>
      <c r="G131" s="1">
        <v>101656</v>
      </c>
      <c r="H131" s="1">
        <v>109334</v>
      </c>
      <c r="I131" s="1">
        <v>24</v>
      </c>
      <c r="J131" s="1" t="s">
        <v>26</v>
      </c>
      <c r="K131" s="1" t="s">
        <v>2417</v>
      </c>
      <c r="L131" s="1" t="s">
        <v>2137</v>
      </c>
      <c r="M131" s="1" t="s">
        <v>9158</v>
      </c>
      <c r="N131" s="1" t="s">
        <v>9158</v>
      </c>
      <c r="O131" s="1" t="s">
        <v>9158</v>
      </c>
      <c r="P131" s="1" t="s">
        <v>9158</v>
      </c>
      <c r="Q131" s="1" t="s">
        <v>9158</v>
      </c>
    </row>
    <row r="132" spans="1:17">
      <c r="A132" s="1">
        <v>79593</v>
      </c>
      <c r="B132" s="1" t="s">
        <v>334</v>
      </c>
      <c r="C132" s="1" t="s">
        <v>200</v>
      </c>
      <c r="D132" s="19" t="s">
        <v>10592</v>
      </c>
      <c r="E132" s="15" t="str">
        <f>HYPERLINK("https://stat100.ameba.jp/tnk47/ratio20/illustrations/card/ill_79593_nabepateihonoikazuchinookami03.jpg?201909-2-RELEASE-unionbattle-428", "■")</f>
        <v>■</v>
      </c>
      <c r="F132" s="1" t="s">
        <v>3572</v>
      </c>
      <c r="G132" s="1">
        <v>91010</v>
      </c>
      <c r="H132" s="1">
        <v>97894</v>
      </c>
      <c r="I132" s="1">
        <v>24</v>
      </c>
      <c r="J132" s="1" t="s">
        <v>44</v>
      </c>
      <c r="K132" s="1" t="s">
        <v>3573</v>
      </c>
      <c r="L132" s="1" t="s">
        <v>1209</v>
      </c>
      <c r="M132" s="1" t="s">
        <v>9158</v>
      </c>
      <c r="N132" s="1" t="s">
        <v>9158</v>
      </c>
      <c r="O132" s="1" t="s">
        <v>9158</v>
      </c>
      <c r="P132" s="1" t="s">
        <v>9158</v>
      </c>
      <c r="Q132" s="1" t="s">
        <v>9158</v>
      </c>
    </row>
    <row r="133" spans="1:17">
      <c r="A133" s="1">
        <v>73723</v>
      </c>
      <c r="B133" s="1" t="s">
        <v>334</v>
      </c>
      <c r="C133" s="1" t="s">
        <v>191</v>
      </c>
      <c r="D133" s="19" t="s">
        <v>10292</v>
      </c>
      <c r="E133" s="15" t="str">
        <f>HYPERLINK("https://stat100.ameba.jp/tnk47/ratio20/illustrations/card/ill_73723_umibirakitomoegozen03.jpg?201909-2-RELEASE-unionbattle-428", "■")</f>
        <v>■</v>
      </c>
      <c r="F133" s="1" t="s">
        <v>3457</v>
      </c>
      <c r="G133" s="1">
        <v>142674</v>
      </c>
      <c r="H133" s="1">
        <v>132658</v>
      </c>
      <c r="I133" s="1">
        <v>24</v>
      </c>
      <c r="J133" s="1" t="s">
        <v>143</v>
      </c>
      <c r="K133" s="1" t="s">
        <v>3458</v>
      </c>
      <c r="L133" s="1" t="s">
        <v>3459</v>
      </c>
      <c r="M133" s="1" t="s">
        <v>9158</v>
      </c>
      <c r="N133" s="1" t="s">
        <v>9158</v>
      </c>
      <c r="O133" s="19" t="s">
        <v>10090</v>
      </c>
      <c r="P133" s="1" t="s">
        <v>3460</v>
      </c>
      <c r="Q133" s="1">
        <v>1</v>
      </c>
    </row>
    <row r="134" spans="1:17">
      <c r="A134" s="1">
        <v>79653</v>
      </c>
      <c r="B134" s="1" t="s">
        <v>15</v>
      </c>
      <c r="C134" s="1" t="s">
        <v>1</v>
      </c>
      <c r="D134" s="19" t="s">
        <v>10593</v>
      </c>
      <c r="E134" s="15" t="str">
        <f>HYPERLINK("https://stat100.ameba.jp/tnk47/ratio20/illustrations/card/ill_79653_oiri03.jpg?201909-2-RELEASE-unionbattle-428", "■")</f>
        <v>■</v>
      </c>
      <c r="F134" s="1" t="s">
        <v>3605</v>
      </c>
      <c r="G134" s="1">
        <v>59280</v>
      </c>
      <c r="H134" s="1">
        <v>53768</v>
      </c>
      <c r="I134" s="1">
        <v>20</v>
      </c>
      <c r="J134" s="1" t="s">
        <v>104</v>
      </c>
      <c r="K134" s="1" t="s">
        <v>3606</v>
      </c>
      <c r="L134" s="1" t="s">
        <v>3607</v>
      </c>
      <c r="M134" s="1" t="s">
        <v>9158</v>
      </c>
      <c r="N134" s="1" t="s">
        <v>9158</v>
      </c>
      <c r="O134" s="1" t="s">
        <v>9158</v>
      </c>
      <c r="P134" s="1" t="s">
        <v>9158</v>
      </c>
      <c r="Q134" s="1" t="s">
        <v>9158</v>
      </c>
    </row>
    <row r="135" spans="1:17">
      <c r="A135" s="1">
        <v>81383</v>
      </c>
      <c r="B135" s="1" t="s">
        <v>15</v>
      </c>
      <c r="C135" s="1" t="s">
        <v>206</v>
      </c>
      <c r="D135" s="19" t="s">
        <v>10594</v>
      </c>
      <c r="E135" s="15" t="str">
        <f>HYPERLINK("https://stat100.ameba.jp/tnk47/ratio20/illustrations/card/ill_81383_hakatadontaku03.jpg?201909-2-RELEASE-unionbattle-428", "■")</f>
        <v>■</v>
      </c>
      <c r="F135" s="1" t="s">
        <v>4614</v>
      </c>
      <c r="G135" s="1">
        <v>59280</v>
      </c>
      <c r="H135" s="1">
        <v>53768</v>
      </c>
      <c r="I135" s="1">
        <v>20</v>
      </c>
      <c r="J135" s="1" t="s">
        <v>26</v>
      </c>
      <c r="K135" s="1" t="s">
        <v>4615</v>
      </c>
      <c r="L135" s="1" t="s">
        <v>2011</v>
      </c>
      <c r="M135" s="1" t="s">
        <v>9158</v>
      </c>
      <c r="N135" s="1" t="s">
        <v>9158</v>
      </c>
      <c r="O135" s="1" t="s">
        <v>9158</v>
      </c>
      <c r="P135" s="1" t="s">
        <v>9158</v>
      </c>
      <c r="Q135" s="1" t="s">
        <v>9158</v>
      </c>
    </row>
    <row r="136" spans="1:17">
      <c r="A136" s="1">
        <v>78953</v>
      </c>
      <c r="B136" s="1" t="s">
        <v>348</v>
      </c>
      <c r="C136" s="1" t="s">
        <v>165</v>
      </c>
      <c r="D136" s="19" t="s">
        <v>2957</v>
      </c>
      <c r="E136" s="15" t="str">
        <f>HYPERLINK("https://stat100.ameba.jp/tnk47/ratio20/illustrations/card/ill_78953_baikukitanokata03.jpg?201909-2-RELEASE-unionbattle-428", "■")</f>
        <v>■</v>
      </c>
      <c r="F136" s="1" t="s">
        <v>2958</v>
      </c>
      <c r="G136" s="1">
        <v>53768</v>
      </c>
      <c r="H136" s="1">
        <v>59280</v>
      </c>
      <c r="I136" s="1">
        <v>20</v>
      </c>
      <c r="J136" s="1" t="s">
        <v>310</v>
      </c>
      <c r="K136" s="1" t="s">
        <v>2959</v>
      </c>
      <c r="L136" s="1" t="s">
        <v>2960</v>
      </c>
      <c r="M136" s="1" t="s">
        <v>9158</v>
      </c>
      <c r="N136" s="1" t="s">
        <v>9158</v>
      </c>
      <c r="O136" s="1" t="s">
        <v>9158</v>
      </c>
      <c r="P136" s="1" t="s">
        <v>9158</v>
      </c>
      <c r="Q136" s="1" t="s">
        <v>9158</v>
      </c>
    </row>
    <row r="138" spans="1:17">
      <c r="A138" s="1" t="s">
        <v>6772</v>
      </c>
    </row>
    <row r="139" spans="1:17">
      <c r="A139" s="1" t="s">
        <v>6773</v>
      </c>
    </row>
    <row r="140" spans="1:17">
      <c r="A140" s="1" t="s">
        <v>7653</v>
      </c>
    </row>
    <row r="141" spans="1:17">
      <c r="A141" s="1" t="s">
        <v>6598</v>
      </c>
      <c r="B141" s="1" t="s">
        <v>330</v>
      </c>
      <c r="C141" s="1" t="s">
        <v>35</v>
      </c>
      <c r="D141" s="19" t="s">
        <v>10555</v>
      </c>
      <c r="E141" s="15" t="str">
        <f>HYPERLINK("https://stat100.ameba.jp/tnk47/ratio20/illustrations/card/ill_83553_0_kajuenamoronagu03.jpg?201909-2-RELEASE-unionbattle-428", "■")</f>
        <v>■</v>
      </c>
      <c r="F141" s="1" t="s">
        <v>6597</v>
      </c>
      <c r="G141" s="1">
        <v>157899</v>
      </c>
      <c r="H141" s="1">
        <v>174710</v>
      </c>
      <c r="I141" s="1">
        <v>15</v>
      </c>
      <c r="J141" s="1" t="s">
        <v>44</v>
      </c>
      <c r="K141" s="1" t="s">
        <v>6595</v>
      </c>
      <c r="L141" s="1" t="s">
        <v>6594</v>
      </c>
      <c r="M141" s="1" t="s">
        <v>9158</v>
      </c>
      <c r="N141" s="1" t="s">
        <v>9158</v>
      </c>
      <c r="O141" s="19" t="s">
        <v>10125</v>
      </c>
      <c r="P141" s="1" t="s">
        <v>6599</v>
      </c>
      <c r="Q141" s="1">
        <v>1</v>
      </c>
    </row>
    <row r="142" spans="1:17">
      <c r="A142" s="1">
        <v>83743</v>
      </c>
      <c r="B142" s="1" t="s">
        <v>6774</v>
      </c>
      <c r="C142" s="1" t="s">
        <v>6778</v>
      </c>
      <c r="D142" s="19" t="s">
        <v>10595</v>
      </c>
      <c r="E142" s="15" t="str">
        <f>HYPERLINK("https://stat100.ameba.jp/tnk47/ratio20/illustrations/card/ill_83743_usaginosatosahohime03.jpg?201909-2-RELEASE-unionbattle-428", "■")</f>
        <v>■</v>
      </c>
      <c r="F142" s="1" t="s">
        <v>6784</v>
      </c>
      <c r="G142" s="1">
        <v>91010</v>
      </c>
      <c r="H142" s="1">
        <v>97894</v>
      </c>
      <c r="I142" s="1">
        <v>24</v>
      </c>
      <c r="J142" s="1" t="s">
        <v>44</v>
      </c>
      <c r="K142" s="1" t="s">
        <v>6783</v>
      </c>
      <c r="L142" s="1" t="s">
        <v>6782</v>
      </c>
      <c r="M142" s="1" t="s">
        <v>9158</v>
      </c>
      <c r="N142" s="1" t="s">
        <v>9158</v>
      </c>
      <c r="O142" s="1" t="s">
        <v>9158</v>
      </c>
      <c r="P142" s="1" t="s">
        <v>9158</v>
      </c>
      <c r="Q142" s="1" t="s">
        <v>9158</v>
      </c>
    </row>
    <row r="143" spans="1:17">
      <c r="A143" s="1">
        <v>83753</v>
      </c>
      <c r="B143" s="1" t="s">
        <v>6775</v>
      </c>
      <c r="C143" s="1" t="s">
        <v>6779</v>
      </c>
      <c r="D143" s="19" t="s">
        <v>10596</v>
      </c>
      <c r="E143" s="15" t="str">
        <f>HYPERLINK("https://stat100.ameba.jp/tnk47/ratio20/illustrations/card/ill_83753_otsukisamaniittausagi03.jpg?201909-2-RELEASE-unionbattle-428", "■")</f>
        <v>■</v>
      </c>
      <c r="F143" s="1" t="s">
        <v>6787</v>
      </c>
      <c r="G143" s="1">
        <v>68172</v>
      </c>
      <c r="H143" s="1">
        <v>61832</v>
      </c>
      <c r="I143" s="1">
        <v>23</v>
      </c>
      <c r="J143" s="1" t="s">
        <v>38</v>
      </c>
      <c r="K143" s="1" t="s">
        <v>6786</v>
      </c>
      <c r="L143" s="1" t="s">
        <v>6785</v>
      </c>
      <c r="M143" s="1" t="s">
        <v>9158</v>
      </c>
      <c r="N143" s="1" t="s">
        <v>9158</v>
      </c>
      <c r="O143" s="1" t="s">
        <v>9158</v>
      </c>
      <c r="P143" s="1" t="s">
        <v>9158</v>
      </c>
      <c r="Q143" s="1" t="s">
        <v>9158</v>
      </c>
    </row>
    <row r="144" spans="1:17">
      <c r="A144" s="1">
        <v>83763</v>
      </c>
      <c r="B144" s="1" t="s">
        <v>6776</v>
      </c>
      <c r="C144" s="1" t="s">
        <v>6780</v>
      </c>
      <c r="D144" s="19" t="s">
        <v>10597</v>
      </c>
      <c r="E144" s="15" t="str">
        <f>HYPERLINK("https://stat100.ameba.jp/tnk47/ratio20/illustrations/card/ill_83763_fujibakama03.jpg?201909-2-RELEASE-unionbattle-428", "■")</f>
        <v>■</v>
      </c>
      <c r="F144" s="1" t="s">
        <v>6791</v>
      </c>
      <c r="G144" s="1">
        <v>36304</v>
      </c>
      <c r="H144" s="1">
        <v>43662</v>
      </c>
      <c r="I144" s="1">
        <v>21</v>
      </c>
      <c r="J144" s="1" t="s">
        <v>6790</v>
      </c>
      <c r="K144" s="1" t="s">
        <v>6789</v>
      </c>
      <c r="L144" s="1" t="s">
        <v>6788</v>
      </c>
      <c r="M144" s="1" t="s">
        <v>9158</v>
      </c>
      <c r="N144" s="1" t="s">
        <v>9158</v>
      </c>
      <c r="O144" s="1" t="s">
        <v>9158</v>
      </c>
      <c r="P144" s="1" t="s">
        <v>9158</v>
      </c>
      <c r="Q144" s="1" t="s">
        <v>9158</v>
      </c>
    </row>
    <row r="145" spans="1:18">
      <c r="A145" s="1">
        <v>83773</v>
      </c>
      <c r="B145" s="1" t="s">
        <v>6777</v>
      </c>
      <c r="C145" s="1" t="s">
        <v>6781</v>
      </c>
      <c r="D145" s="19" t="s">
        <v>10598</v>
      </c>
      <c r="E145" s="15" t="str">
        <f>HYPERLINK("https://stat100.ameba.jp/tnk47/ratio20/illustrations/card/ill_83773_otsukimidangochan03.jpg?201909-2-RELEASE-unionbattle-428", "■")</f>
        <v>■</v>
      </c>
      <c r="F145" s="1" t="s">
        <v>6795</v>
      </c>
      <c r="G145" s="1">
        <v>26434</v>
      </c>
      <c r="H145" s="1">
        <v>22200</v>
      </c>
      <c r="I145" s="1">
        <v>21</v>
      </c>
      <c r="J145" s="1" t="s">
        <v>6794</v>
      </c>
      <c r="K145" s="1" t="s">
        <v>6793</v>
      </c>
      <c r="L145" s="1" t="s">
        <v>6792</v>
      </c>
      <c r="M145" s="1" t="s">
        <v>9158</v>
      </c>
      <c r="N145" s="1" t="s">
        <v>9158</v>
      </c>
      <c r="O145" s="1" t="s">
        <v>9158</v>
      </c>
      <c r="P145" s="1" t="s">
        <v>9158</v>
      </c>
      <c r="Q145" s="1" t="s">
        <v>9158</v>
      </c>
    </row>
    <row r="147" spans="1:18">
      <c r="A147" s="1" t="s">
        <v>6770</v>
      </c>
    </row>
    <row r="148" spans="1:18">
      <c r="A148" s="1" t="s">
        <v>6771</v>
      </c>
    </row>
    <row r="149" spans="1:18">
      <c r="A149" s="1" t="s">
        <v>5848</v>
      </c>
      <c r="B149" s="1" t="s">
        <v>330</v>
      </c>
      <c r="C149" s="1" t="s">
        <v>200</v>
      </c>
      <c r="D149" s="19" t="s">
        <v>3160</v>
      </c>
      <c r="E149" s="15" t="str">
        <f>HYPERLINK("https://stat100.ameba.jp/tnk47/ratio20/illustrations/card/ill_72963_0_amenohanayomehiguchiichiyo03.jpg?201909-2-RELEASE-unionbattle-428", "■")</f>
        <v>■</v>
      </c>
      <c r="F149" s="1" t="s">
        <v>1139</v>
      </c>
      <c r="G149" s="1">
        <v>147404</v>
      </c>
      <c r="H149" s="1">
        <v>137060</v>
      </c>
      <c r="I149" s="1">
        <v>22</v>
      </c>
      <c r="J149" s="1" t="s">
        <v>10</v>
      </c>
      <c r="K149" s="1" t="s">
        <v>1140</v>
      </c>
      <c r="L149" s="1" t="s">
        <v>1141</v>
      </c>
      <c r="M149" s="1" t="s">
        <v>9158</v>
      </c>
      <c r="N149" s="1" t="s">
        <v>9158</v>
      </c>
      <c r="O149" s="19" t="s">
        <v>3162</v>
      </c>
      <c r="P149" s="1" t="s">
        <v>3163</v>
      </c>
      <c r="Q149" s="1">
        <v>1</v>
      </c>
    </row>
    <row r="150" spans="1:18">
      <c r="A150" s="1">
        <v>72923</v>
      </c>
      <c r="B150" s="1" t="s">
        <v>0</v>
      </c>
      <c r="C150" s="1" t="s">
        <v>206</v>
      </c>
      <c r="D150" s="19" t="s">
        <v>3199</v>
      </c>
      <c r="E150" s="15" t="str">
        <f>HYPERLINK("https://stat100.ameba.jp/tnk47/ratio20/illustrations/card/ill_72923_amenohanayomemyorinni03.jpg?201909-2-RELEASE-unionbattle-428", "■")</f>
        <v>■</v>
      </c>
      <c r="F150" s="1" t="s">
        <v>1837</v>
      </c>
      <c r="G150" s="1">
        <v>132658</v>
      </c>
      <c r="H150" s="1">
        <v>142674</v>
      </c>
      <c r="I150" s="1">
        <v>24</v>
      </c>
      <c r="J150" s="1" t="s">
        <v>194</v>
      </c>
      <c r="K150" s="1" t="s">
        <v>1838</v>
      </c>
      <c r="L150" s="1" t="s">
        <v>13160</v>
      </c>
      <c r="M150" s="1" t="s">
        <v>9158</v>
      </c>
      <c r="N150" s="1" t="s">
        <v>9158</v>
      </c>
      <c r="O150" s="19" t="s">
        <v>2752</v>
      </c>
      <c r="P150" s="1" t="s">
        <v>13123</v>
      </c>
      <c r="Q150" s="1">
        <v>1</v>
      </c>
    </row>
    <row r="151" spans="1:18">
      <c r="A151" s="1">
        <v>65643</v>
      </c>
      <c r="B151" s="1" t="s">
        <v>0</v>
      </c>
      <c r="C151" s="1" t="s">
        <v>209</v>
      </c>
      <c r="D151" s="19" t="s">
        <v>1681</v>
      </c>
      <c r="E151" s="15" t="str">
        <f>HYPERLINK("https://stat100.ameba.jp/tnk47/ratio20/illustrations/card/ill_65643_shitompekamui03.jpg?201909-2-RELEASE-unionbattle-428", "■")</f>
        <v>■</v>
      </c>
      <c r="F151" s="1" t="s">
        <v>1250</v>
      </c>
      <c r="G151" s="1">
        <v>79348</v>
      </c>
      <c r="H151" s="1">
        <v>109554</v>
      </c>
      <c r="I151" s="1">
        <v>24</v>
      </c>
      <c r="J151" s="1" t="s">
        <v>44</v>
      </c>
      <c r="K151" s="1" t="s">
        <v>1251</v>
      </c>
      <c r="L151" s="1" t="s">
        <v>1252</v>
      </c>
      <c r="M151" s="1" t="s">
        <v>9158</v>
      </c>
      <c r="N151" s="1" t="s">
        <v>9158</v>
      </c>
      <c r="O151" s="19" t="s">
        <v>10096</v>
      </c>
      <c r="P151" s="1" t="s">
        <v>3245</v>
      </c>
      <c r="Q151" s="1">
        <v>1</v>
      </c>
    </row>
    <row r="152" spans="1:18">
      <c r="A152" s="1">
        <v>77673</v>
      </c>
      <c r="B152" s="1" t="s">
        <v>334</v>
      </c>
      <c r="C152" s="1" t="s">
        <v>158</v>
      </c>
      <c r="D152" s="19" t="s">
        <v>10270</v>
      </c>
      <c r="E152" s="15" t="str">
        <f>HYPERLINK("https://stat100.ameba.jp/tnk47/ratio20/illustrations/card/ill_77673_ryunochoji03.jpg?201909-2-RELEASE-unionbattle-428", "■")</f>
        <v>■</v>
      </c>
      <c r="F152" s="1" t="s">
        <v>1777</v>
      </c>
      <c r="G152" s="1">
        <v>111914</v>
      </c>
      <c r="H152" s="1">
        <v>81078</v>
      </c>
      <c r="I152" s="1">
        <v>24</v>
      </c>
      <c r="J152" s="1" t="s">
        <v>73</v>
      </c>
      <c r="K152" s="1" t="s">
        <v>1778</v>
      </c>
      <c r="L152" s="1" t="s">
        <v>1779</v>
      </c>
      <c r="M152" s="1" t="s">
        <v>9158</v>
      </c>
      <c r="N152" s="1" t="s">
        <v>9158</v>
      </c>
      <c r="O152" s="19" t="s">
        <v>10090</v>
      </c>
      <c r="P152" s="1" t="s">
        <v>3460</v>
      </c>
      <c r="Q152" s="1">
        <v>1</v>
      </c>
    </row>
    <row r="154" spans="1:18">
      <c r="A154" s="1" t="s">
        <v>13363</v>
      </c>
    </row>
    <row r="155" spans="1:18">
      <c r="A155" s="1" t="s">
        <v>6796</v>
      </c>
    </row>
    <row r="156" spans="1:18">
      <c r="A156" s="1">
        <v>83655</v>
      </c>
      <c r="B156" s="1" t="s">
        <v>0</v>
      </c>
      <c r="C156" s="1" t="s">
        <v>6800</v>
      </c>
      <c r="D156" s="19" t="s">
        <v>10599</v>
      </c>
      <c r="E156" s="15" t="str">
        <f>HYPERLINK("https://stat100.ameba.jp/tnk47/ratio20/illustrations/card/ill_83655_madamubatafurai05.jpg?201909-2-RELEASE-unionbattle-428", "■")</f>
        <v>■</v>
      </c>
      <c r="F156" s="1" t="s">
        <v>6805</v>
      </c>
      <c r="G156" s="1">
        <v>136458</v>
      </c>
      <c r="H156" s="1">
        <v>98816</v>
      </c>
      <c r="I156" s="1">
        <v>24</v>
      </c>
      <c r="J156" s="1" t="s">
        <v>6804</v>
      </c>
      <c r="K156" s="1" t="s">
        <v>6803</v>
      </c>
      <c r="L156" s="1" t="s">
        <v>6802</v>
      </c>
      <c r="M156" s="1" t="s">
        <v>9158</v>
      </c>
      <c r="N156" s="1" t="s">
        <v>9158</v>
      </c>
      <c r="O156" s="1" t="s">
        <v>9158</v>
      </c>
      <c r="P156" s="1" t="s">
        <v>9158</v>
      </c>
      <c r="Q156" s="1" t="s">
        <v>9158</v>
      </c>
      <c r="R156" s="1" t="s">
        <v>6797</v>
      </c>
    </row>
    <row r="157" spans="1:18">
      <c r="A157" s="1">
        <v>83653</v>
      </c>
      <c r="B157" s="1" t="s">
        <v>15</v>
      </c>
      <c r="C157" s="1" t="s">
        <v>6801</v>
      </c>
      <c r="D157" s="19" t="s">
        <v>10599</v>
      </c>
      <c r="E157" s="15" t="str">
        <f>HYPERLINK("https://stat100.ameba.jp/tnk47/ratio20/illustrations/card/ill_83653_madamubatafurai03.jpg?201909-2-RELEASE-unionbattle-428", "■")</f>
        <v>■</v>
      </c>
      <c r="F157" s="1" t="s">
        <v>6805</v>
      </c>
      <c r="G157" s="1">
        <v>100550</v>
      </c>
      <c r="H157" s="1">
        <v>72806</v>
      </c>
      <c r="I157" s="1">
        <v>24</v>
      </c>
      <c r="J157" s="1" t="s">
        <v>6804</v>
      </c>
      <c r="K157" s="1" t="s">
        <v>6803</v>
      </c>
      <c r="L157" s="1" t="s">
        <v>6806</v>
      </c>
      <c r="M157" s="1" t="s">
        <v>9158</v>
      </c>
      <c r="N157" s="1" t="s">
        <v>9158</v>
      </c>
      <c r="O157" s="1" t="s">
        <v>9158</v>
      </c>
      <c r="P157" s="1" t="s">
        <v>9158</v>
      </c>
      <c r="Q157" s="1" t="s">
        <v>9158</v>
      </c>
      <c r="R157" s="1" t="s">
        <v>6798</v>
      </c>
    </row>
    <row r="158" spans="1:18">
      <c r="A158" s="1">
        <v>83651</v>
      </c>
      <c r="B158" s="1" t="s">
        <v>15</v>
      </c>
      <c r="C158" s="1" t="s">
        <v>6801</v>
      </c>
      <c r="D158" s="19" t="s">
        <v>10599</v>
      </c>
      <c r="E158" s="15" t="str">
        <f>HYPERLINK("https://stat100.ameba.jp/tnk47/ratio20/illustrations/card/ill_83651_madamubatafurai01.jpg?201909-2-RELEASE-unionbattle-428", "■")</f>
        <v>■</v>
      </c>
      <c r="F158" s="1" t="s">
        <v>6805</v>
      </c>
      <c r="G158" s="1">
        <v>63960</v>
      </c>
      <c r="H158" s="1">
        <v>46320</v>
      </c>
      <c r="I158" s="1">
        <v>24</v>
      </c>
      <c r="J158" s="1" t="s">
        <v>6804</v>
      </c>
      <c r="K158" s="1" t="s">
        <v>6803</v>
      </c>
      <c r="L158" s="1" t="s">
        <v>6807</v>
      </c>
      <c r="M158" s="1" t="s">
        <v>9158</v>
      </c>
      <c r="N158" s="1" t="s">
        <v>9158</v>
      </c>
      <c r="O158" s="1" t="s">
        <v>9158</v>
      </c>
      <c r="P158" s="1" t="s">
        <v>9158</v>
      </c>
      <c r="Q158" s="1" t="s">
        <v>9158</v>
      </c>
      <c r="R158" s="1" t="s">
        <v>6799</v>
      </c>
    </row>
    <row r="160" spans="1:18">
      <c r="A160" s="1" t="s">
        <v>13327</v>
      </c>
    </row>
    <row r="161" spans="1:18">
      <c r="A161" s="1" t="s">
        <v>6808</v>
      </c>
    </row>
    <row r="162" spans="1:18">
      <c r="A162" s="1">
        <v>82213</v>
      </c>
      <c r="B162" s="1" t="s">
        <v>0</v>
      </c>
      <c r="C162" s="1" t="s">
        <v>185</v>
      </c>
      <c r="D162" s="19" t="s">
        <v>10185</v>
      </c>
      <c r="E162" s="15" t="str">
        <f>HYPERLINK("https://stat100.ameba.jp/tnk47/ratio20/illustrations/card/ill_82213_tatarimokke03.jpg?201909-2-RELEASE-unionbattle-428", "■")</f>
        <v>■</v>
      </c>
      <c r="F162" s="1" t="s">
        <v>4935</v>
      </c>
      <c r="G162" s="1">
        <v>109852</v>
      </c>
      <c r="H162" s="1">
        <v>118152</v>
      </c>
      <c r="I162" s="1">
        <v>24</v>
      </c>
      <c r="J162" s="1" t="s">
        <v>182</v>
      </c>
      <c r="K162" s="1" t="s">
        <v>4937</v>
      </c>
      <c r="L162" s="1" t="s">
        <v>13191</v>
      </c>
      <c r="M162" s="1" t="s">
        <v>13130</v>
      </c>
      <c r="N162" s="1" t="s">
        <v>343</v>
      </c>
      <c r="O162" s="1" t="s">
        <v>9158</v>
      </c>
      <c r="P162" s="1" t="s">
        <v>9158</v>
      </c>
      <c r="Q162" s="1" t="s">
        <v>9158</v>
      </c>
      <c r="R162" s="14" t="s">
        <v>14748</v>
      </c>
    </row>
    <row r="163" spans="1:18">
      <c r="A163" s="1">
        <v>82212</v>
      </c>
      <c r="B163" s="1" t="s">
        <v>334</v>
      </c>
      <c r="C163" s="1" t="s">
        <v>185</v>
      </c>
      <c r="D163" s="19" t="s">
        <v>10185</v>
      </c>
      <c r="E163" s="15" t="str">
        <f>HYPERLINK("https://stat100.ameba.jp/tnk47/ratio20/illustrations/card/ill_82212_tatarimokke02.jpg?201909-2-RELEASE-unionbattle-428", "■")</f>
        <v>■</v>
      </c>
      <c r="F163" s="1" t="s">
        <v>4935</v>
      </c>
      <c r="G163" s="1">
        <v>90984</v>
      </c>
      <c r="H163" s="1">
        <v>98768</v>
      </c>
      <c r="I163" s="1">
        <v>24</v>
      </c>
      <c r="J163" s="1" t="s">
        <v>182</v>
      </c>
      <c r="K163" s="1" t="s">
        <v>4937</v>
      </c>
      <c r="L163" s="1" t="s">
        <v>13191</v>
      </c>
      <c r="M163" s="1" t="s">
        <v>13131</v>
      </c>
      <c r="N163" s="1" t="s">
        <v>251</v>
      </c>
      <c r="O163" s="1" t="s">
        <v>9158</v>
      </c>
      <c r="P163" s="1" t="s">
        <v>9158</v>
      </c>
      <c r="Q163" s="1" t="s">
        <v>9158</v>
      </c>
      <c r="R163" s="14" t="s">
        <v>14748</v>
      </c>
    </row>
    <row r="164" spans="1:18">
      <c r="A164" s="1">
        <v>82211</v>
      </c>
      <c r="B164" s="1" t="s">
        <v>0</v>
      </c>
      <c r="C164" s="1" t="s">
        <v>185</v>
      </c>
      <c r="D164" s="19" t="s">
        <v>10185</v>
      </c>
      <c r="E164" s="15" t="str">
        <f>HYPERLINK("https://stat100.ameba.jp/tnk47/ratio20/illustrations/card/ill_82211_tatarimokke01.jpg?201909-2-RELEASE-unionbattle-428", "■")</f>
        <v>■</v>
      </c>
      <c r="F164" s="1" t="s">
        <v>4935</v>
      </c>
      <c r="G164" s="1">
        <v>70200</v>
      </c>
      <c r="H164" s="1">
        <v>75408</v>
      </c>
      <c r="I164" s="1">
        <v>24</v>
      </c>
      <c r="J164" s="1" t="s">
        <v>182</v>
      </c>
      <c r="K164" s="1" t="s">
        <v>4937</v>
      </c>
      <c r="L164" s="1" t="s">
        <v>13191</v>
      </c>
      <c r="M164" s="1" t="s">
        <v>13131</v>
      </c>
      <c r="N164" s="1" t="s">
        <v>251</v>
      </c>
      <c r="O164" s="1" t="s">
        <v>9158</v>
      </c>
      <c r="P164" s="1" t="s">
        <v>9158</v>
      </c>
      <c r="Q164" s="1" t="s">
        <v>9158</v>
      </c>
      <c r="R164" s="14" t="s">
        <v>14748</v>
      </c>
    </row>
    <row r="165" spans="1:18">
      <c r="A165" s="1">
        <v>82223</v>
      </c>
      <c r="B165" s="1" t="s">
        <v>334</v>
      </c>
      <c r="C165" s="1" t="s">
        <v>200</v>
      </c>
      <c r="D165" s="19" t="s">
        <v>10186</v>
      </c>
      <c r="E165" s="15" t="str">
        <f>HYPERLINK("https://stat100.ameba.jp/tnk47/ratio20/illustrations/card/ill_82223_oyayubihime03.jpg?201909-2-RELEASE-unionbattle-428", "■")</f>
        <v>■</v>
      </c>
      <c r="F165" s="1" t="s">
        <v>4931</v>
      </c>
      <c r="G165" s="1">
        <v>118152</v>
      </c>
      <c r="H165" s="1">
        <v>109852</v>
      </c>
      <c r="I165" s="1">
        <v>24</v>
      </c>
      <c r="J165" s="1" t="s">
        <v>155</v>
      </c>
      <c r="K165" s="1" t="s">
        <v>4933</v>
      </c>
      <c r="L165" s="1" t="s">
        <v>4934</v>
      </c>
      <c r="M165" s="1" t="s">
        <v>13130</v>
      </c>
      <c r="N165" s="1" t="s">
        <v>343</v>
      </c>
      <c r="O165" s="1" t="s">
        <v>9158</v>
      </c>
      <c r="P165" s="1" t="s">
        <v>9158</v>
      </c>
      <c r="Q165" s="1" t="s">
        <v>9158</v>
      </c>
      <c r="R165" s="14" t="s">
        <v>14748</v>
      </c>
    </row>
    <row r="166" spans="1:18">
      <c r="A166" s="1">
        <v>82233</v>
      </c>
      <c r="B166" s="1" t="s">
        <v>334</v>
      </c>
      <c r="C166" s="1" t="s">
        <v>191</v>
      </c>
      <c r="D166" s="19" t="s">
        <v>10187</v>
      </c>
      <c r="E166" s="15" t="str">
        <f>HYPERLINK("https://stat100.ameba.jp/tnk47/ratio20/illustrations/card/ill_82233_iseokiku03.jpg?201909-2-RELEASE-unionbattle-428", "■")</f>
        <v>■</v>
      </c>
      <c r="F166" s="1" t="s">
        <v>4924</v>
      </c>
      <c r="G166" s="1">
        <v>118152</v>
      </c>
      <c r="H166" s="1">
        <v>109852</v>
      </c>
      <c r="I166" s="1">
        <v>24</v>
      </c>
      <c r="J166" s="1" t="s">
        <v>187</v>
      </c>
      <c r="K166" s="1" t="s">
        <v>4926</v>
      </c>
      <c r="L166" s="1" t="s">
        <v>4930</v>
      </c>
      <c r="M166" s="1" t="s">
        <v>13130</v>
      </c>
      <c r="N166" s="1" t="s">
        <v>343</v>
      </c>
      <c r="O166" s="1" t="s">
        <v>9158</v>
      </c>
      <c r="P166" s="1" t="s">
        <v>9158</v>
      </c>
      <c r="Q166" s="1" t="s">
        <v>9158</v>
      </c>
      <c r="R166" s="14" t="s">
        <v>14748</v>
      </c>
    </row>
    <row r="167" spans="1:18">
      <c r="A167" s="1">
        <v>82243</v>
      </c>
      <c r="B167" s="1" t="s">
        <v>0</v>
      </c>
      <c r="C167" s="1" t="s">
        <v>165</v>
      </c>
      <c r="D167" s="19" t="s">
        <v>10188</v>
      </c>
      <c r="E167" s="15" t="str">
        <f>HYPERLINK("https://stat100.ameba.jp/tnk47/ratio20/illustrations/card/ill_82243_nanohana03.jpg?201909-2-RELEASE-unionbattle-428", "■")</f>
        <v>■</v>
      </c>
      <c r="F167" s="1" t="s">
        <v>4921</v>
      </c>
      <c r="G167" s="1">
        <v>118152</v>
      </c>
      <c r="H167" s="1">
        <v>109852</v>
      </c>
      <c r="I167" s="1">
        <v>24</v>
      </c>
      <c r="J167" s="1" t="s">
        <v>229</v>
      </c>
      <c r="K167" s="1" t="s">
        <v>4923</v>
      </c>
      <c r="L167" s="1" t="s">
        <v>4929</v>
      </c>
      <c r="M167" s="1" t="s">
        <v>13130</v>
      </c>
      <c r="N167" s="1" t="s">
        <v>343</v>
      </c>
      <c r="O167" s="1" t="s">
        <v>9158</v>
      </c>
      <c r="P167" s="1" t="s">
        <v>9158</v>
      </c>
      <c r="Q167" s="1" t="s">
        <v>9158</v>
      </c>
      <c r="R167" s="14" t="s">
        <v>14748</v>
      </c>
    </row>
    <row r="168" spans="1:18">
      <c r="A168" s="1">
        <v>82253</v>
      </c>
      <c r="B168" s="1" t="s">
        <v>334</v>
      </c>
      <c r="C168" s="1" t="s">
        <v>205</v>
      </c>
      <c r="D168" s="19" t="s">
        <v>10189</v>
      </c>
      <c r="E168" s="15" t="str">
        <f>HYPERLINK("https://stat100.ameba.jp/tnk47/ratio20/illustrations/card/ill_82253_ajisaikyogokuichiko03.jpg?201909-2-RELEASE-unionbattle-428", "■")</f>
        <v>■</v>
      </c>
      <c r="F168" s="1" t="s">
        <v>4920</v>
      </c>
      <c r="G168" s="1">
        <v>109852</v>
      </c>
      <c r="H168" s="1">
        <v>118152</v>
      </c>
      <c r="I168" s="1">
        <v>24</v>
      </c>
      <c r="J168" s="1" t="s">
        <v>159</v>
      </c>
      <c r="K168" s="1" t="s">
        <v>4919</v>
      </c>
      <c r="L168" s="1" t="s">
        <v>4927</v>
      </c>
      <c r="M168" s="1" t="s">
        <v>13130</v>
      </c>
      <c r="N168" s="1" t="s">
        <v>343</v>
      </c>
      <c r="O168" s="1" t="s">
        <v>9158</v>
      </c>
      <c r="P168" s="1" t="s">
        <v>9158</v>
      </c>
      <c r="Q168" s="1" t="s">
        <v>9158</v>
      </c>
      <c r="R168" s="14" t="s">
        <v>14748</v>
      </c>
    </row>
    <row r="169" spans="1:18">
      <c r="A169" s="1">
        <v>82263</v>
      </c>
      <c r="B169" s="1" t="s">
        <v>334</v>
      </c>
      <c r="C169" s="1" t="s">
        <v>206</v>
      </c>
      <c r="D169" s="19" t="s">
        <v>10190</v>
      </c>
      <c r="E169" s="15" t="str">
        <f>HYPERLINK("https://stat100.ameba.jp/tnk47/ratio20/illustrations/card/ill_82263_euterupe03.jpg?201909-2-RELEASE-unionbattle-428", "■")</f>
        <v>■</v>
      </c>
      <c r="F169" s="1" t="s">
        <v>4915</v>
      </c>
      <c r="G169" s="1">
        <v>109852</v>
      </c>
      <c r="H169" s="1">
        <v>118152</v>
      </c>
      <c r="I169" s="1">
        <v>24</v>
      </c>
      <c r="J169" s="1" t="s">
        <v>169</v>
      </c>
      <c r="K169" s="1" t="s">
        <v>4917</v>
      </c>
      <c r="L169" s="1" t="s">
        <v>4928</v>
      </c>
      <c r="M169" s="1" t="s">
        <v>13130</v>
      </c>
      <c r="N169" s="1" t="s">
        <v>343</v>
      </c>
      <c r="O169" s="1" t="s">
        <v>9158</v>
      </c>
      <c r="P169" s="1" t="s">
        <v>9158</v>
      </c>
      <c r="Q169" s="1" t="s">
        <v>9158</v>
      </c>
      <c r="R169" s="14" t="s">
        <v>14748</v>
      </c>
    </row>
    <row r="171" spans="1:18">
      <c r="A171" s="1" t="s">
        <v>6809</v>
      </c>
    </row>
    <row r="172" spans="1:18">
      <c r="A172" s="1" t="s">
        <v>6810</v>
      </c>
    </row>
    <row r="173" spans="1:18">
      <c r="A173" s="1" t="s">
        <v>5725</v>
      </c>
      <c r="B173" s="1" t="s">
        <v>52</v>
      </c>
      <c r="C173" s="1" t="s">
        <v>107</v>
      </c>
      <c r="D173" s="19" t="s">
        <v>543</v>
      </c>
      <c r="E173" s="15" t="str">
        <f>HYPERLINK("https://stat100.ameba.jp/tnk47/ratio20/illustrations/card/ill_52693_0_sengokumibirakiyanagiharabyakuren03.jpg?201909-2-RELEASE-unionbattle-428", "■")</f>
        <v>■</v>
      </c>
      <c r="F173" s="1" t="s">
        <v>1246</v>
      </c>
      <c r="G173" s="1">
        <v>128358</v>
      </c>
      <c r="H173" s="1">
        <v>144494</v>
      </c>
      <c r="I173" s="1">
        <v>23</v>
      </c>
      <c r="J173" s="1" t="s">
        <v>16</v>
      </c>
      <c r="K173" s="1" t="s">
        <v>1247</v>
      </c>
      <c r="L173" s="1" t="s">
        <v>1248</v>
      </c>
      <c r="M173" s="1" t="s">
        <v>9158</v>
      </c>
      <c r="N173" s="1" t="s">
        <v>9158</v>
      </c>
      <c r="O173" s="19" t="s">
        <v>2886</v>
      </c>
      <c r="P173" s="1" t="s">
        <v>3304</v>
      </c>
      <c r="Q173" s="1">
        <v>1</v>
      </c>
    </row>
    <row r="174" spans="1:18">
      <c r="A174" s="1" t="s">
        <v>5603</v>
      </c>
      <c r="B174" s="1" t="s">
        <v>330</v>
      </c>
      <c r="C174" s="1" t="s">
        <v>205</v>
      </c>
      <c r="D174" s="19" t="s">
        <v>611</v>
      </c>
      <c r="E174" s="15" t="str">
        <f>HYPERLINK("https://stat100.ameba.jp/tnk47/ratio20/illustrations/card/ill_61893_0_onikirishumiyamotomusashi03.jpg?201909-2-RELEASE-unionbattle-428", "■")</f>
        <v>■</v>
      </c>
      <c r="F174" s="1" t="s">
        <v>612</v>
      </c>
      <c r="G174" s="1">
        <v>214692</v>
      </c>
      <c r="H174" s="1">
        <v>199630</v>
      </c>
      <c r="I174" s="1">
        <v>23</v>
      </c>
      <c r="J174" s="1" t="s">
        <v>310</v>
      </c>
      <c r="K174" s="1" t="s">
        <v>613</v>
      </c>
      <c r="L174" s="1" t="s">
        <v>312</v>
      </c>
      <c r="M174" s="1" t="s">
        <v>9158</v>
      </c>
      <c r="N174" s="1" t="s">
        <v>9158</v>
      </c>
      <c r="O174" s="19" t="s">
        <v>10071</v>
      </c>
      <c r="P174" s="1" t="s">
        <v>3253</v>
      </c>
      <c r="Q174" s="1">
        <v>1</v>
      </c>
    </row>
    <row r="175" spans="1:18">
      <c r="A175" s="1" t="s">
        <v>5897</v>
      </c>
      <c r="B175" s="1" t="s">
        <v>52</v>
      </c>
      <c r="C175" s="1" t="s">
        <v>23</v>
      </c>
      <c r="D175" s="19" t="s">
        <v>277</v>
      </c>
      <c r="E175" s="15" t="str">
        <f>HYPERLINK("https://stat100.ameba.jp/tnk47/ratio20/illustrations/card/ill_40913_0_reigyokudensetsufusehime03.jpg?201909-2-RELEASE-unionbattle-428", "■")</f>
        <v>■</v>
      </c>
      <c r="F175" s="1" t="s">
        <v>955</v>
      </c>
      <c r="G175" s="1">
        <v>126058</v>
      </c>
      <c r="H175" s="1">
        <v>134596</v>
      </c>
      <c r="I175" s="1">
        <v>23</v>
      </c>
      <c r="J175" s="1" t="s">
        <v>38</v>
      </c>
      <c r="K175" s="1" t="s">
        <v>956</v>
      </c>
      <c r="L175" s="1" t="s">
        <v>957</v>
      </c>
      <c r="M175" s="1" t="s">
        <v>9158</v>
      </c>
      <c r="N175" s="1" t="s">
        <v>9158</v>
      </c>
      <c r="O175" s="1" t="s">
        <v>9158</v>
      </c>
      <c r="P175" s="1" t="s">
        <v>9158</v>
      </c>
      <c r="Q175" s="1" t="s">
        <v>9158</v>
      </c>
    </row>
    <row r="176" spans="1:18">
      <c r="A176" s="1">
        <v>83743</v>
      </c>
      <c r="B176" s="1" t="s">
        <v>0</v>
      </c>
      <c r="C176" s="1" t="s">
        <v>165</v>
      </c>
      <c r="D176" s="19" t="s">
        <v>10595</v>
      </c>
      <c r="E176" s="15" t="str">
        <f>HYPERLINK("https://stat100.ameba.jp/tnk47/ratio20/illustrations/card/ill_83743_usaginosatosahohime03.jpg?201909-2-RELEASE-unionbattle-428", "■")</f>
        <v>■</v>
      </c>
      <c r="F176" s="1" t="s">
        <v>6784</v>
      </c>
      <c r="G176" s="1">
        <v>91010</v>
      </c>
      <c r="H176" s="1">
        <v>97894</v>
      </c>
      <c r="I176" s="1">
        <v>24</v>
      </c>
      <c r="J176" s="1" t="s">
        <v>44</v>
      </c>
      <c r="K176" s="1" t="s">
        <v>6783</v>
      </c>
      <c r="L176" s="1" t="s">
        <v>6782</v>
      </c>
      <c r="M176" s="1" t="s">
        <v>9158</v>
      </c>
      <c r="N176" s="1" t="s">
        <v>9158</v>
      </c>
      <c r="O176" s="1" t="s">
        <v>9158</v>
      </c>
      <c r="P176" s="1" t="s">
        <v>9158</v>
      </c>
      <c r="Q176" s="1" t="s">
        <v>9158</v>
      </c>
    </row>
    <row r="177" spans="1:19">
      <c r="A177" s="1">
        <v>83753</v>
      </c>
      <c r="B177" s="1" t="s">
        <v>15</v>
      </c>
      <c r="C177" s="1" t="s">
        <v>185</v>
      </c>
      <c r="D177" s="19" t="s">
        <v>10596</v>
      </c>
      <c r="E177" s="15" t="str">
        <f>HYPERLINK("https://stat100.ameba.jp/tnk47/ratio20/illustrations/card/ill_83753_otsukisamaniittausagi03.jpg?201909-2-RELEASE-unionbattle-428", "■")</f>
        <v>■</v>
      </c>
      <c r="F177" s="1" t="s">
        <v>6787</v>
      </c>
      <c r="G177" s="1">
        <v>53352</v>
      </c>
      <c r="H177" s="1">
        <v>48390</v>
      </c>
      <c r="I177" s="1">
        <v>18</v>
      </c>
      <c r="J177" s="1" t="s">
        <v>38</v>
      </c>
      <c r="K177" s="1" t="s">
        <v>6786</v>
      </c>
      <c r="L177" s="1" t="s">
        <v>3267</v>
      </c>
      <c r="M177" s="1" t="s">
        <v>9158</v>
      </c>
      <c r="N177" s="1" t="s">
        <v>9158</v>
      </c>
      <c r="O177" s="1" t="s">
        <v>9158</v>
      </c>
      <c r="P177" s="1" t="s">
        <v>9158</v>
      </c>
      <c r="Q177" s="1" t="s">
        <v>9158</v>
      </c>
    </row>
    <row r="178" spans="1:19">
      <c r="A178" s="1">
        <v>83763</v>
      </c>
      <c r="B178" s="1" t="s">
        <v>22</v>
      </c>
      <c r="C178" s="1" t="s">
        <v>191</v>
      </c>
      <c r="D178" s="19" t="s">
        <v>10597</v>
      </c>
      <c r="E178" s="15" t="str">
        <f>HYPERLINK("https://stat100.ameba.jp/tnk47/ratio20/illustrations/card/ill_83763_fujibakama03.jpg?201909-2-RELEASE-unionbattle-428", "■")</f>
        <v>■</v>
      </c>
      <c r="F178" s="1" t="s">
        <v>6791</v>
      </c>
      <c r="G178" s="1">
        <v>29388</v>
      </c>
      <c r="H178" s="1">
        <v>35346</v>
      </c>
      <c r="I178" s="1">
        <v>17</v>
      </c>
      <c r="J178" s="1" t="s">
        <v>26</v>
      </c>
      <c r="K178" s="1" t="s">
        <v>6789</v>
      </c>
      <c r="L178" s="1" t="s">
        <v>28</v>
      </c>
      <c r="M178" s="1" t="s">
        <v>9158</v>
      </c>
      <c r="N178" s="1" t="s">
        <v>9158</v>
      </c>
      <c r="O178" s="1" t="s">
        <v>9158</v>
      </c>
      <c r="P178" s="1" t="s">
        <v>9158</v>
      </c>
      <c r="Q178" s="1" t="s">
        <v>9158</v>
      </c>
    </row>
    <row r="179" spans="1:19">
      <c r="A179" s="1">
        <v>83773</v>
      </c>
      <c r="B179" s="1" t="s">
        <v>30</v>
      </c>
      <c r="C179" s="1" t="s">
        <v>2611</v>
      </c>
      <c r="D179" s="19" t="s">
        <v>10598</v>
      </c>
      <c r="E179" s="15" t="str">
        <f>HYPERLINK("https://stat100.ameba.jp/tnk47/ratio20/illustrations/card/ill_83773_otsukimidangochan03.jpg?201909-2-RELEASE-unionbattle-428", "■")</f>
        <v>■</v>
      </c>
      <c r="F179" s="1" t="s">
        <v>6795</v>
      </c>
      <c r="G179" s="1">
        <v>21398</v>
      </c>
      <c r="H179" s="1">
        <v>17972</v>
      </c>
      <c r="I179" s="1">
        <v>17</v>
      </c>
      <c r="J179" s="1" t="s">
        <v>104</v>
      </c>
      <c r="K179" s="1" t="s">
        <v>6793</v>
      </c>
      <c r="L179" s="1" t="s">
        <v>4233</v>
      </c>
      <c r="M179" s="1" t="s">
        <v>9158</v>
      </c>
      <c r="N179" s="1" t="s">
        <v>9158</v>
      </c>
      <c r="O179" s="1" t="s">
        <v>9158</v>
      </c>
      <c r="P179" s="1" t="s">
        <v>9158</v>
      </c>
      <c r="Q179" s="1" t="s">
        <v>9158</v>
      </c>
    </row>
    <row r="181" spans="1:19">
      <c r="A181" s="1" t="s">
        <v>6811</v>
      </c>
    </row>
    <row r="182" spans="1:19">
      <c r="A182" s="1" t="s">
        <v>6812</v>
      </c>
    </row>
    <row r="183" spans="1:19">
      <c r="A183" s="1" t="s">
        <v>5620</v>
      </c>
      <c r="B183" s="1" t="s">
        <v>330</v>
      </c>
      <c r="C183" s="1" t="s">
        <v>206</v>
      </c>
      <c r="D183" s="19" t="s">
        <v>669</v>
      </c>
      <c r="E183" s="15" t="str">
        <f>HYPERLINK("https://stat100.ameba.jp/tnk47/ratio20/illustrations/card/ill_67173_0_yukemuriawamorichan03.jpg?201909-2-RELEASE-unionbattle-428", "■")</f>
        <v>■</v>
      </c>
      <c r="F183" s="1" t="s">
        <v>670</v>
      </c>
      <c r="G183" s="1">
        <v>115249</v>
      </c>
      <c r="H183" s="1">
        <v>107146</v>
      </c>
      <c r="I183" s="1">
        <v>15</v>
      </c>
      <c r="J183" s="1" t="s">
        <v>283</v>
      </c>
      <c r="K183" s="1" t="s">
        <v>671</v>
      </c>
      <c r="L183" s="1" t="s">
        <v>672</v>
      </c>
      <c r="M183" s="1" t="s">
        <v>9158</v>
      </c>
      <c r="N183" s="1" t="s">
        <v>9158</v>
      </c>
      <c r="O183" s="19" t="s">
        <v>10087</v>
      </c>
      <c r="P183" s="1" t="s">
        <v>3455</v>
      </c>
      <c r="Q183" s="1">
        <v>1</v>
      </c>
    </row>
    <row r="184" spans="1:19">
      <c r="A184" s="1" t="s">
        <v>5618</v>
      </c>
      <c r="B184" s="1" t="s">
        <v>52</v>
      </c>
      <c r="C184" s="1" t="s">
        <v>23</v>
      </c>
      <c r="D184" s="19" t="s">
        <v>665</v>
      </c>
      <c r="E184" s="15" t="str">
        <f>HYPERLINK("https://stat100.ameba.jp/tnk47/ratio20/illustrations/card/ill_63173_0_minazukikonakaiteruko03.jpg?201909-2-RELEASE-unionbattle-428", "■")</f>
        <v>■</v>
      </c>
      <c r="F184" s="1" t="s">
        <v>1188</v>
      </c>
      <c r="G184" s="1">
        <v>130194</v>
      </c>
      <c r="H184" s="1">
        <v>140016</v>
      </c>
      <c r="I184" s="1">
        <v>15</v>
      </c>
      <c r="J184" s="1" t="s">
        <v>143</v>
      </c>
      <c r="K184" s="1" t="s">
        <v>1189</v>
      </c>
      <c r="L184" s="1" t="s">
        <v>1190</v>
      </c>
      <c r="M184" s="1" t="s">
        <v>9158</v>
      </c>
      <c r="N184" s="1" t="s">
        <v>9158</v>
      </c>
      <c r="O184" s="19" t="s">
        <v>10079</v>
      </c>
      <c r="P184" s="1" t="s">
        <v>3329</v>
      </c>
      <c r="Q184" s="1">
        <v>1</v>
      </c>
    </row>
    <row r="185" spans="1:19">
      <c r="A185" s="1" t="s">
        <v>6132</v>
      </c>
      <c r="B185" s="1" t="s">
        <v>52</v>
      </c>
      <c r="C185" s="1" t="s">
        <v>205</v>
      </c>
      <c r="D185" s="19" t="s">
        <v>702</v>
      </c>
      <c r="E185" s="15" t="str">
        <f>HYPERLINK("https://stat100.ameba.jp/tnk47/ratio20/illustrations/card/ill_50693_0_hanamizugimimuratsuru03.jpg?201909-2-RELEASE-unionbattle-428", "■")</f>
        <v>■</v>
      </c>
      <c r="F185" s="1" t="s">
        <v>2282</v>
      </c>
      <c r="G185" s="1">
        <v>83712</v>
      </c>
      <c r="H185" s="1">
        <v>94236</v>
      </c>
      <c r="I185" s="1">
        <v>15</v>
      </c>
      <c r="J185" s="1" t="s">
        <v>143</v>
      </c>
      <c r="K185" s="1" t="s">
        <v>2283</v>
      </c>
      <c r="L185" s="1" t="s">
        <v>2284</v>
      </c>
      <c r="M185" s="1" t="s">
        <v>9158</v>
      </c>
      <c r="N185" s="1" t="s">
        <v>9158</v>
      </c>
      <c r="O185" s="1" t="s">
        <v>9158</v>
      </c>
      <c r="P185" s="1" t="s">
        <v>9158</v>
      </c>
      <c r="Q185" s="1" t="s">
        <v>9158</v>
      </c>
    </row>
    <row r="186" spans="1:19">
      <c r="A186" s="1">
        <v>80183</v>
      </c>
      <c r="B186" s="1" t="s">
        <v>6813</v>
      </c>
      <c r="C186" s="1" t="s">
        <v>6824</v>
      </c>
      <c r="D186" s="19" t="s">
        <v>11847</v>
      </c>
      <c r="E186" s="15" t="str">
        <f>HYPERLINK("https://stat100.ameba.jp/tnk47/ratio20/illustrations/card/ill_80183_haruichibanharajukuroritachan03.jpg?201909-2-RELEASE-unionbattle-428", "■")</f>
        <v>■</v>
      </c>
      <c r="F186" s="1" t="s">
        <v>6835</v>
      </c>
      <c r="G186" s="1">
        <v>101656</v>
      </c>
      <c r="H186" s="1">
        <v>109334</v>
      </c>
      <c r="I186" s="1">
        <v>24</v>
      </c>
      <c r="J186" s="1" t="s">
        <v>26</v>
      </c>
      <c r="K186" s="1" t="s">
        <v>6834</v>
      </c>
      <c r="L186" s="1" t="s">
        <v>6833</v>
      </c>
      <c r="M186" s="1" t="s">
        <v>9158</v>
      </c>
      <c r="N186" s="1" t="s">
        <v>9158</v>
      </c>
      <c r="O186" s="1" t="s">
        <v>9158</v>
      </c>
      <c r="P186" s="1" t="s">
        <v>9158</v>
      </c>
      <c r="Q186" s="1" t="s">
        <v>9158</v>
      </c>
      <c r="S186" s="14" t="s">
        <v>11848</v>
      </c>
    </row>
    <row r="187" spans="1:19">
      <c r="A187" s="1">
        <v>78883</v>
      </c>
      <c r="B187" s="1" t="s">
        <v>6813</v>
      </c>
      <c r="C187" s="1" t="s">
        <v>6825</v>
      </c>
      <c r="D187" s="19" t="s">
        <v>11849</v>
      </c>
      <c r="E187" s="15" t="str">
        <f>HYPERLINK("https://stat100.ameba.jp/tnk47/ratio20/illustrations/card/ill_78883_idoshimiminashihoichi03.jpg?201909-2-RELEASE-unionbattle-428", "■")</f>
        <v>■</v>
      </c>
      <c r="F187" s="1" t="s">
        <v>6832</v>
      </c>
      <c r="G187" s="1">
        <v>101656</v>
      </c>
      <c r="H187" s="1">
        <v>109528</v>
      </c>
      <c r="I187" s="1">
        <v>24</v>
      </c>
      <c r="J187" s="1" t="s">
        <v>38</v>
      </c>
      <c r="K187" s="1" t="s">
        <v>6831</v>
      </c>
      <c r="L187" s="1" t="s">
        <v>6830</v>
      </c>
      <c r="M187" s="1" t="s">
        <v>9158</v>
      </c>
      <c r="N187" s="1" t="s">
        <v>9158</v>
      </c>
      <c r="O187" s="1" t="s">
        <v>9158</v>
      </c>
      <c r="P187" s="1" t="s">
        <v>9158</v>
      </c>
      <c r="Q187" s="1" t="s">
        <v>9158</v>
      </c>
      <c r="S187" s="14" t="s">
        <v>11850</v>
      </c>
    </row>
    <row r="188" spans="1:19">
      <c r="A188" s="1">
        <v>78523</v>
      </c>
      <c r="B188" s="1" t="s">
        <v>6813</v>
      </c>
      <c r="C188" s="1" t="s">
        <v>6826</v>
      </c>
      <c r="D188" s="19" t="s">
        <v>11851</v>
      </c>
      <c r="E188" s="15" t="str">
        <f>HYPERLINK("https://stat100.ameba.jp/tnk47/ratio20/illustrations/card/ill_78523_shichifukujinwakaukanomenomikoto03.jpg?201909-2-RELEASE-unionbattle-428", "■")</f>
        <v>■</v>
      </c>
      <c r="F188" s="1" t="s">
        <v>6829</v>
      </c>
      <c r="G188" s="1">
        <v>97894</v>
      </c>
      <c r="H188" s="1">
        <v>91010</v>
      </c>
      <c r="I188" s="1">
        <v>24</v>
      </c>
      <c r="J188" s="1" t="s">
        <v>44</v>
      </c>
      <c r="K188" s="1" t="s">
        <v>6828</v>
      </c>
      <c r="L188" s="1" t="s">
        <v>6827</v>
      </c>
      <c r="M188" s="1" t="s">
        <v>9158</v>
      </c>
      <c r="N188" s="1" t="s">
        <v>9158</v>
      </c>
      <c r="O188" s="1" t="s">
        <v>9158</v>
      </c>
      <c r="P188" s="1" t="s">
        <v>9158</v>
      </c>
      <c r="Q188" s="1" t="s">
        <v>9158</v>
      </c>
      <c r="S188" s="14" t="s">
        <v>11852</v>
      </c>
    </row>
    <row r="189" spans="1:19">
      <c r="A189" s="1">
        <v>72363</v>
      </c>
      <c r="B189" s="1" t="s">
        <v>6814</v>
      </c>
      <c r="C189" s="1" t="s">
        <v>165</v>
      </c>
      <c r="D189" s="19" t="s">
        <v>11842</v>
      </c>
      <c r="E189" s="15" t="str">
        <f>HYPERLINK("https://stat100.ameba.jp/tnk47/ratio20/illustrations/card/ill_72363_zuwaigani03.jpg?201909-2-RELEASE-unionbattle-428", "■")</f>
        <v>■</v>
      </c>
      <c r="F189" s="1" t="s">
        <v>6817</v>
      </c>
      <c r="G189" s="1">
        <v>62244</v>
      </c>
      <c r="H189" s="1">
        <v>56456</v>
      </c>
      <c r="I189" s="1">
        <v>21</v>
      </c>
      <c r="J189" s="1" t="s">
        <v>104</v>
      </c>
      <c r="K189" s="1" t="s">
        <v>6816</v>
      </c>
      <c r="L189" s="1" t="s">
        <v>6815</v>
      </c>
      <c r="M189" s="1" t="s">
        <v>9158</v>
      </c>
      <c r="N189" s="1" t="s">
        <v>9158</v>
      </c>
      <c r="O189" s="1" t="s">
        <v>9158</v>
      </c>
      <c r="P189" s="1" t="s">
        <v>9158</v>
      </c>
      <c r="Q189" s="1" t="s">
        <v>9158</v>
      </c>
      <c r="S189" s="14" t="s">
        <v>11843</v>
      </c>
    </row>
    <row r="190" spans="1:19">
      <c r="A190" s="1">
        <v>76653</v>
      </c>
      <c r="B190" s="1" t="s">
        <v>6814</v>
      </c>
      <c r="C190" s="1" t="s">
        <v>185</v>
      </c>
      <c r="D190" s="19" t="s">
        <v>11844</v>
      </c>
      <c r="E190" s="15" t="str">
        <f>HYPERLINK("https://stat100.ameba.jp/tnk47/ratio20/illustrations/card/ill_76653_nishikienoanesama03.jpg?201909-2-RELEASE-unionbattle-428", "■")</f>
        <v>■</v>
      </c>
      <c r="F190" s="1" t="s">
        <v>6820</v>
      </c>
      <c r="G190" s="1">
        <v>56456</v>
      </c>
      <c r="H190" s="1">
        <v>62244</v>
      </c>
      <c r="I190" s="1">
        <v>21</v>
      </c>
      <c r="J190" s="1" t="s">
        <v>38</v>
      </c>
      <c r="K190" s="1" t="s">
        <v>6819</v>
      </c>
      <c r="L190" s="1" t="s">
        <v>6818</v>
      </c>
      <c r="M190" s="1" t="s">
        <v>9158</v>
      </c>
      <c r="N190" s="1" t="s">
        <v>9158</v>
      </c>
      <c r="O190" s="1" t="s">
        <v>9158</v>
      </c>
      <c r="P190" s="1" t="s">
        <v>9158</v>
      </c>
      <c r="Q190" s="1" t="s">
        <v>9158</v>
      </c>
      <c r="S190" s="14" t="s">
        <v>11807</v>
      </c>
    </row>
    <row r="191" spans="1:19">
      <c r="A191" s="1">
        <v>75523</v>
      </c>
      <c r="B191" s="1" t="s">
        <v>6814</v>
      </c>
      <c r="C191" s="1" t="s">
        <v>191</v>
      </c>
      <c r="D191" s="19" t="s">
        <v>11845</v>
      </c>
      <c r="E191" s="15" t="str">
        <f>HYPERLINK("https://stat100.ameba.jp/tnk47/ratio20/illustrations/card/ill_75523_shirakawago03.jpg?201909-2-RELEASE-unionbattle-428", "■")</f>
        <v>■</v>
      </c>
      <c r="F191" s="1" t="s">
        <v>6823</v>
      </c>
      <c r="G191" s="1">
        <v>62244</v>
      </c>
      <c r="H191" s="1">
        <v>56456</v>
      </c>
      <c r="I191" s="1">
        <v>21</v>
      </c>
      <c r="J191" s="1" t="s">
        <v>26</v>
      </c>
      <c r="K191" s="1" t="s">
        <v>6822</v>
      </c>
      <c r="L191" s="1" t="s">
        <v>6821</v>
      </c>
      <c r="M191" s="1" t="s">
        <v>9158</v>
      </c>
      <c r="N191" s="1" t="s">
        <v>9158</v>
      </c>
      <c r="O191" s="1" t="s">
        <v>9158</v>
      </c>
      <c r="P191" s="1" t="s">
        <v>9158</v>
      </c>
      <c r="Q191" s="1" t="s">
        <v>9158</v>
      </c>
      <c r="S191" s="14" t="s">
        <v>11846</v>
      </c>
    </row>
    <row r="193" spans="1:17">
      <c r="A193" s="1" t="s">
        <v>6836</v>
      </c>
    </row>
    <row r="194" spans="1:17">
      <c r="A194" s="1" t="s">
        <v>6837</v>
      </c>
    </row>
    <row r="195" spans="1:17">
      <c r="A195" s="1" t="s">
        <v>6030</v>
      </c>
      <c r="B195" s="1" t="s">
        <v>52</v>
      </c>
      <c r="C195" s="1" t="s">
        <v>202</v>
      </c>
      <c r="D195" s="19" t="s">
        <v>10453</v>
      </c>
      <c r="E195" s="15" t="str">
        <f>HYPERLINK("https://stat100.ameba.jp/tnk47/ratio20/illustrations/card/ill_80023_0_hinamatsurikyogokumaria03.jpg?201909-3-RELEASE-dice-e-429", "■")</f>
        <v>■</v>
      </c>
      <c r="F195" s="1" t="s">
        <v>3709</v>
      </c>
      <c r="G195" s="1">
        <v>323430</v>
      </c>
      <c r="H195" s="1">
        <v>357888</v>
      </c>
      <c r="I195" s="1">
        <v>24</v>
      </c>
      <c r="J195" s="1" t="s">
        <v>26</v>
      </c>
      <c r="K195" s="1" t="s">
        <v>3710</v>
      </c>
      <c r="L195" s="1" t="s">
        <v>3711</v>
      </c>
      <c r="M195" s="1" t="s">
        <v>9158</v>
      </c>
      <c r="N195" s="1" t="s">
        <v>9158</v>
      </c>
      <c r="O195" s="19" t="s">
        <v>10116</v>
      </c>
      <c r="P195" s="1" t="s">
        <v>3713</v>
      </c>
      <c r="Q195" s="1">
        <v>1</v>
      </c>
    </row>
    <row r="196" spans="1:17">
      <c r="A196" s="1">
        <v>67103</v>
      </c>
      <c r="B196" s="1" t="s">
        <v>334</v>
      </c>
      <c r="C196" s="1" t="s">
        <v>154</v>
      </c>
      <c r="D196" s="19" t="s">
        <v>10253</v>
      </c>
      <c r="E196" s="15" t="str">
        <f>HYPERLINK("https://stat100.ameba.jp/tnk47/ratio20/illustrations/card/ill_67103_ankonabe03.jpg?201909-3-RELEASE-dice-e-429", "■")</f>
        <v>■</v>
      </c>
      <c r="F196" s="1" t="s">
        <v>1283</v>
      </c>
      <c r="G196" s="1">
        <v>91876</v>
      </c>
      <c r="H196" s="1">
        <v>126858</v>
      </c>
      <c r="I196" s="1">
        <v>24</v>
      </c>
      <c r="J196" s="1" t="s">
        <v>216</v>
      </c>
      <c r="K196" s="1" t="s">
        <v>1284</v>
      </c>
      <c r="L196" s="1" t="s">
        <v>13153</v>
      </c>
      <c r="M196" s="1" t="s">
        <v>9158</v>
      </c>
      <c r="N196" s="1" t="s">
        <v>9158</v>
      </c>
      <c r="O196" s="19" t="s">
        <v>4074</v>
      </c>
      <c r="P196" s="1" t="s">
        <v>3462</v>
      </c>
      <c r="Q196" s="1">
        <v>1</v>
      </c>
    </row>
    <row r="197" spans="1:17">
      <c r="A197" s="1">
        <v>73893</v>
      </c>
      <c r="B197" s="1" t="s">
        <v>334</v>
      </c>
      <c r="C197" s="1" t="s">
        <v>203</v>
      </c>
      <c r="D197" s="19" t="s">
        <v>10388</v>
      </c>
      <c r="E197" s="15" t="str">
        <f>HYPERLINK("https://stat100.ameba.jp/tnk47/ratio20/illustrations/card/ill_73893_kurohachidaimyojintookami03.jpg?201909-3-RELEASE-dice-e-429", "■")</f>
        <v>■</v>
      </c>
      <c r="F197" s="1" t="s">
        <v>685</v>
      </c>
      <c r="G197" s="1">
        <v>122476</v>
      </c>
      <c r="H197" s="1">
        <v>88706</v>
      </c>
      <c r="I197" s="1">
        <v>24</v>
      </c>
      <c r="J197" s="1" t="s">
        <v>274</v>
      </c>
      <c r="K197" s="1" t="s">
        <v>686</v>
      </c>
      <c r="L197" s="1" t="s">
        <v>428</v>
      </c>
      <c r="M197" s="1" t="s">
        <v>9158</v>
      </c>
      <c r="N197" s="1" t="s">
        <v>9158</v>
      </c>
      <c r="O197" s="19" t="s">
        <v>10118</v>
      </c>
      <c r="P197" s="1" t="s">
        <v>3810</v>
      </c>
      <c r="Q197" s="1">
        <v>1</v>
      </c>
    </row>
    <row r="198" spans="1:17">
      <c r="A198" s="1">
        <v>75083</v>
      </c>
      <c r="B198" s="1" t="s">
        <v>334</v>
      </c>
      <c r="C198" s="1" t="s">
        <v>209</v>
      </c>
      <c r="D198" s="19" t="s">
        <v>10401</v>
      </c>
      <c r="E198" s="15" t="str">
        <f>HYPERLINK("https://stat100.ameba.jp/tnk47/ratio20/illustrations/card/ill_75083_sukumizuhanakosan03.jpg?201909-3-RELEASE-dice-e-429", "■")</f>
        <v>■</v>
      </c>
      <c r="F198" s="1" t="s">
        <v>1020</v>
      </c>
      <c r="G198" s="1">
        <v>111914</v>
      </c>
      <c r="H198" s="1">
        <v>81078</v>
      </c>
      <c r="I198" s="1">
        <v>24</v>
      </c>
      <c r="J198" s="1" t="s">
        <v>73</v>
      </c>
      <c r="K198" s="1" t="s">
        <v>1021</v>
      </c>
      <c r="L198" s="1" t="s">
        <v>1022</v>
      </c>
      <c r="M198" s="1" t="s">
        <v>9158</v>
      </c>
      <c r="N198" s="1" t="s">
        <v>9158</v>
      </c>
      <c r="O198" s="19" t="s">
        <v>10105</v>
      </c>
      <c r="P198" s="1" t="s">
        <v>3416</v>
      </c>
      <c r="Q198" s="1">
        <v>1</v>
      </c>
    </row>
    <row r="200" spans="1:17">
      <c r="A200" s="1" t="s">
        <v>6838</v>
      </c>
    </row>
    <row r="201" spans="1:17">
      <c r="A201" s="1" t="s">
        <v>6839</v>
      </c>
    </row>
    <row r="202" spans="1:17">
      <c r="A202" s="1" t="s">
        <v>5621</v>
      </c>
      <c r="B202" s="1" t="s">
        <v>330</v>
      </c>
      <c r="C202" s="1" t="s">
        <v>191</v>
      </c>
      <c r="D202" s="19" t="s">
        <v>2871</v>
      </c>
      <c r="E202" s="15" t="str">
        <f>HYPERLINK("https://stat100.ameba.jp/tnk47/ratio20/illustrations/card/ill_51973_0_kemonomizugikuroyuridensetsu03.jpg?201909-3-RELEASE-dice-e-429", "■")</f>
        <v>■</v>
      </c>
      <c r="F202" s="1" t="s">
        <v>2034</v>
      </c>
      <c r="G202" s="1">
        <v>94236</v>
      </c>
      <c r="H202" s="1">
        <v>83712</v>
      </c>
      <c r="I202" s="1">
        <v>15</v>
      </c>
      <c r="J202" s="1" t="s">
        <v>38</v>
      </c>
      <c r="K202" s="1" t="s">
        <v>2035</v>
      </c>
      <c r="L202" s="1" t="s">
        <v>2036</v>
      </c>
      <c r="M202" s="1" t="s">
        <v>9158</v>
      </c>
      <c r="N202" s="1" t="s">
        <v>9158</v>
      </c>
      <c r="O202" s="19" t="s">
        <v>10088</v>
      </c>
      <c r="P202" s="1" t="s">
        <v>13172</v>
      </c>
      <c r="Q202" s="1">
        <v>1</v>
      </c>
    </row>
    <row r="203" spans="1:17">
      <c r="A203" s="1" t="s">
        <v>5787</v>
      </c>
      <c r="B203" s="1" t="s">
        <v>330</v>
      </c>
      <c r="C203" s="1" t="s">
        <v>270</v>
      </c>
      <c r="D203" s="19" t="s">
        <v>331</v>
      </c>
      <c r="E203" s="15" t="str">
        <f>HYPERLINK("https://stat100.ameba.jp/tnk47/ratio20/illustrations/card/ill_76303_0_haroinkaguya03.jpg?201909-3-RELEASE-dice-e-429", "■")</f>
        <v>■</v>
      </c>
      <c r="F203" s="1" t="s">
        <v>332</v>
      </c>
      <c r="G203" s="1">
        <v>178507</v>
      </c>
      <c r="H203" s="1">
        <v>165953</v>
      </c>
      <c r="I203" s="1">
        <v>15</v>
      </c>
      <c r="J203" s="1" t="s">
        <v>274</v>
      </c>
      <c r="K203" s="1" t="s">
        <v>333</v>
      </c>
      <c r="L203" s="1" t="s">
        <v>276</v>
      </c>
      <c r="M203" s="1" t="s">
        <v>9158</v>
      </c>
      <c r="N203" s="1" t="s">
        <v>9158</v>
      </c>
      <c r="O203" s="19" t="s">
        <v>2976</v>
      </c>
      <c r="P203" s="1" t="s">
        <v>2724</v>
      </c>
      <c r="Q203" s="1">
        <v>1</v>
      </c>
    </row>
    <row r="204" spans="1:17">
      <c r="A204" s="1" t="s">
        <v>5622</v>
      </c>
      <c r="B204" s="1" t="s">
        <v>330</v>
      </c>
      <c r="C204" s="1" t="s">
        <v>335</v>
      </c>
      <c r="D204" s="19" t="s">
        <v>509</v>
      </c>
      <c r="E204" s="15" t="str">
        <f>HYPERLINK("https://stat100.ameba.jp/tnk47/ratio20/illustrations/card/ill_49953_0_yushamarihime03.jpg?201909-3-RELEASE-dice-e-429", "■")</f>
        <v>■</v>
      </c>
      <c r="F204" s="1" t="s">
        <v>510</v>
      </c>
      <c r="G204" s="1">
        <v>94236</v>
      </c>
      <c r="H204" s="1">
        <v>83712</v>
      </c>
      <c r="I204" s="1">
        <v>15</v>
      </c>
      <c r="J204" s="1" t="s">
        <v>315</v>
      </c>
      <c r="K204" s="1" t="s">
        <v>511</v>
      </c>
      <c r="L204" s="1" t="s">
        <v>512</v>
      </c>
      <c r="M204" s="1" t="s">
        <v>9158</v>
      </c>
      <c r="N204" s="1" t="s">
        <v>9158</v>
      </c>
      <c r="O204" s="1" t="s">
        <v>9158</v>
      </c>
      <c r="P204" s="1" t="s">
        <v>9158</v>
      </c>
      <c r="Q204" s="1" t="s">
        <v>9158</v>
      </c>
    </row>
    <row r="205" spans="1:17">
      <c r="A205" s="1">
        <v>77603</v>
      </c>
      <c r="B205" s="1" t="s">
        <v>0</v>
      </c>
      <c r="C205" s="1" t="s">
        <v>191</v>
      </c>
      <c r="D205" s="19" t="s">
        <v>10603</v>
      </c>
      <c r="E205" s="15" t="str">
        <f>HYPERLINK("https://stat100.ameba.jp/tnk47/ratio20/illustrations/card/ill_77603_kajinoikedasen03.jpg?201909-3-RELEASE-dice-e-429", "■")</f>
        <v>■</v>
      </c>
      <c r="F205" s="1" t="s">
        <v>6848</v>
      </c>
      <c r="G205" s="1">
        <v>176200</v>
      </c>
      <c r="H205" s="1">
        <v>99132</v>
      </c>
      <c r="I205" s="1">
        <v>24</v>
      </c>
      <c r="J205" s="1" t="s">
        <v>143</v>
      </c>
      <c r="K205" s="1" t="s">
        <v>6847</v>
      </c>
      <c r="L205" s="1" t="s">
        <v>6846</v>
      </c>
      <c r="M205" s="1" t="s">
        <v>9158</v>
      </c>
      <c r="N205" s="1" t="s">
        <v>9158</v>
      </c>
      <c r="O205" s="1" t="s">
        <v>9158</v>
      </c>
      <c r="P205" s="1" t="s">
        <v>9158</v>
      </c>
      <c r="Q205" s="1" t="s">
        <v>9158</v>
      </c>
    </row>
    <row r="206" spans="1:17">
      <c r="A206" s="1">
        <v>68383</v>
      </c>
      <c r="B206" s="1" t="s">
        <v>0</v>
      </c>
      <c r="C206" s="1" t="s">
        <v>206</v>
      </c>
      <c r="D206" s="19" t="s">
        <v>10604</v>
      </c>
      <c r="E206" s="15" t="str">
        <f>HYPERLINK("https://stat100.ameba.jp/tnk47/ratio20/illustrations/card/ill_68383_amudosukiasu03.jpg?201909-3-RELEASE-dice-e-429", "■")</f>
        <v>■</v>
      </c>
      <c r="F206" s="1" t="s">
        <v>6845</v>
      </c>
      <c r="G206" s="1">
        <v>176200</v>
      </c>
      <c r="H206" s="1">
        <v>99132</v>
      </c>
      <c r="I206" s="1">
        <v>24</v>
      </c>
      <c r="J206" s="1" t="s">
        <v>73</v>
      </c>
      <c r="K206" s="1" t="s">
        <v>6844</v>
      </c>
      <c r="L206" s="1" t="s">
        <v>6843</v>
      </c>
      <c r="M206" s="1" t="s">
        <v>9158</v>
      </c>
      <c r="N206" s="1" t="s">
        <v>9158</v>
      </c>
      <c r="O206" s="1" t="s">
        <v>9158</v>
      </c>
      <c r="P206" s="1" t="s">
        <v>9158</v>
      </c>
      <c r="Q206" s="1" t="s">
        <v>9158</v>
      </c>
    </row>
    <row r="207" spans="1:17">
      <c r="A207" s="1">
        <v>78993</v>
      </c>
      <c r="B207" s="1" t="s">
        <v>0</v>
      </c>
      <c r="C207" s="1" t="s">
        <v>165</v>
      </c>
      <c r="D207" s="19" t="s">
        <v>3099</v>
      </c>
      <c r="E207" s="15" t="str">
        <f>HYPERLINK("https://stat100.ameba.jp/tnk47/ratio20/illustrations/card/ill_78993_uintasupotsutsukimizakechan03.jpg?201909-3-RELEASE-dice-e-429", "■")</f>
        <v>■</v>
      </c>
      <c r="F207" s="1" t="s">
        <v>6842</v>
      </c>
      <c r="G207" s="1">
        <v>113340</v>
      </c>
      <c r="H207" s="1">
        <v>105394</v>
      </c>
      <c r="I207" s="1">
        <v>24</v>
      </c>
      <c r="J207" s="1" t="s">
        <v>216</v>
      </c>
      <c r="K207" s="1" t="s">
        <v>6841</v>
      </c>
      <c r="L207" s="1" t="s">
        <v>6840</v>
      </c>
      <c r="M207" s="1" t="s">
        <v>9158</v>
      </c>
      <c r="N207" s="1" t="s">
        <v>9158</v>
      </c>
      <c r="O207" s="1" t="s">
        <v>9158</v>
      </c>
      <c r="P207" s="1" t="s">
        <v>9158</v>
      </c>
      <c r="Q207" s="1" t="s">
        <v>9158</v>
      </c>
    </row>
    <row r="208" spans="1:17">
      <c r="A208" s="1">
        <v>80103</v>
      </c>
      <c r="B208" s="1" t="s">
        <v>15</v>
      </c>
      <c r="C208" s="1" t="s">
        <v>200</v>
      </c>
      <c r="D208" s="19" t="s">
        <v>10567</v>
      </c>
      <c r="E208" s="15" t="str">
        <f>HYPERLINK("https://stat100.ameba.jp/tnk47/ratio20/illustrations/card/ill_80103_sakimidarebara03.jpg?201909-3-RELEASE-dice-e-429", "■")</f>
        <v>■</v>
      </c>
      <c r="F208" s="1" t="s">
        <v>3775</v>
      </c>
      <c r="G208" s="1">
        <v>56316</v>
      </c>
      <c r="H208" s="1">
        <v>51078</v>
      </c>
      <c r="I208" s="1">
        <v>19</v>
      </c>
      <c r="J208" s="1" t="s">
        <v>229</v>
      </c>
      <c r="K208" s="1" t="s">
        <v>3776</v>
      </c>
      <c r="L208" s="1" t="s">
        <v>2011</v>
      </c>
      <c r="M208" s="1" t="s">
        <v>9158</v>
      </c>
      <c r="N208" s="1" t="s">
        <v>9158</v>
      </c>
      <c r="O208" s="1" t="s">
        <v>9158</v>
      </c>
      <c r="P208" s="1" t="s">
        <v>9158</v>
      </c>
      <c r="Q208" s="1" t="s">
        <v>9158</v>
      </c>
    </row>
    <row r="209" spans="1:17">
      <c r="A209" s="1">
        <v>79453</v>
      </c>
      <c r="B209" s="1" t="s">
        <v>15</v>
      </c>
      <c r="C209" s="1" t="s">
        <v>206</v>
      </c>
      <c r="D209" s="19" t="s">
        <v>10568</v>
      </c>
      <c r="E209" s="15" t="str">
        <f>HYPERLINK("https://stat100.ameba.jp/tnk47/ratio20/illustrations/card/ill_79453_shogiamanozume03.jpg?201909-3-RELEASE-dice-e-429", "■")</f>
        <v>■</v>
      </c>
      <c r="F209" s="1" t="s">
        <v>3540</v>
      </c>
      <c r="G209" s="1">
        <v>56316</v>
      </c>
      <c r="H209" s="1">
        <v>51078</v>
      </c>
      <c r="I209" s="1">
        <v>19</v>
      </c>
      <c r="J209" s="1" t="s">
        <v>44</v>
      </c>
      <c r="K209" s="1" t="s">
        <v>3541</v>
      </c>
      <c r="L209" s="1" t="s">
        <v>3271</v>
      </c>
      <c r="M209" s="1" t="s">
        <v>9158</v>
      </c>
      <c r="N209" s="1" t="s">
        <v>9158</v>
      </c>
      <c r="O209" s="1" t="s">
        <v>9158</v>
      </c>
      <c r="P209" s="1" t="s">
        <v>9158</v>
      </c>
      <c r="Q209" s="1" t="s">
        <v>9158</v>
      </c>
    </row>
    <row r="210" spans="1:17">
      <c r="A210" s="1">
        <v>79603</v>
      </c>
      <c r="B210" s="1" t="s">
        <v>15</v>
      </c>
      <c r="C210" s="1" t="s">
        <v>1</v>
      </c>
      <c r="D210" s="19" t="s">
        <v>10569</v>
      </c>
      <c r="E210" s="15" t="str">
        <f>HYPERLINK("https://stat100.ameba.jp/tnk47/ratio20/illustrations/card/ill_79603_ushikaeshinji03.jpg?201909-3-RELEASE-dice-e-429", "■")</f>
        <v>■</v>
      </c>
      <c r="F210" s="1" t="s">
        <v>3574</v>
      </c>
      <c r="G210" s="1">
        <v>56316</v>
      </c>
      <c r="H210" s="1">
        <v>51078</v>
      </c>
      <c r="I210" s="1">
        <v>19</v>
      </c>
      <c r="J210" s="1" t="s">
        <v>155</v>
      </c>
      <c r="K210" s="1" t="s">
        <v>3575</v>
      </c>
      <c r="L210" s="1" t="s">
        <v>3267</v>
      </c>
      <c r="M210" s="1" t="s">
        <v>9158</v>
      </c>
      <c r="N210" s="1" t="s">
        <v>9158</v>
      </c>
      <c r="O210" s="1" t="s">
        <v>9158</v>
      </c>
      <c r="P210" s="1" t="s">
        <v>9158</v>
      </c>
      <c r="Q210" s="1" t="s">
        <v>9158</v>
      </c>
    </row>
    <row r="212" spans="1:17">
      <c r="A212" s="1" t="s">
        <v>6850</v>
      </c>
    </row>
    <row r="213" spans="1:17">
      <c r="A213" s="1" t="s">
        <v>6849</v>
      </c>
    </row>
    <row r="214" spans="1:17">
      <c r="A214" s="1" t="s">
        <v>5650</v>
      </c>
      <c r="B214" s="1" t="s">
        <v>52</v>
      </c>
      <c r="C214" s="1" t="s">
        <v>23</v>
      </c>
      <c r="D214" s="19" t="s">
        <v>809</v>
      </c>
      <c r="E214" s="15" t="str">
        <f>HYPERLINK("https://stat100.ameba.jp/tnk47/ratio20/illustrations/card/ill_68033_0_kurisumasupateikandamyojin03.jpg?201909-3-RELEASE-dice-e-429x", "■")</f>
        <v>■</v>
      </c>
      <c r="F214" s="1" t="s">
        <v>1871</v>
      </c>
      <c r="G214" s="1">
        <v>139878</v>
      </c>
      <c r="H214" s="1">
        <v>150466</v>
      </c>
      <c r="I214" s="1">
        <v>22</v>
      </c>
      <c r="J214" s="1" t="s">
        <v>44</v>
      </c>
      <c r="K214" s="1" t="s">
        <v>1872</v>
      </c>
      <c r="L214" s="1" t="s">
        <v>1873</v>
      </c>
      <c r="M214" s="1" t="s">
        <v>9158</v>
      </c>
      <c r="N214" s="1" t="s">
        <v>9158</v>
      </c>
      <c r="O214" s="19" t="s">
        <v>2997</v>
      </c>
      <c r="P214" s="1" t="s">
        <v>3483</v>
      </c>
      <c r="Q214" s="1">
        <v>2</v>
      </c>
    </row>
    <row r="215" spans="1:17">
      <c r="A215" s="1" t="s">
        <v>5891</v>
      </c>
      <c r="B215" s="1" t="s">
        <v>330</v>
      </c>
      <c r="C215" s="1" t="s">
        <v>202</v>
      </c>
      <c r="D215" s="19" t="s">
        <v>11582</v>
      </c>
      <c r="E215" s="15" t="str">
        <f>HYPERLINK("https://stat100.ameba.jp/tnk47/ratio20/illustrations/card/ill_77173_0_yukemuritomoegozen03.jpg?201909-3-RELEASE-dice-e-429x", "■")</f>
        <v>■</v>
      </c>
      <c r="F215" s="1" t="s">
        <v>1372</v>
      </c>
      <c r="G215" s="1">
        <v>220536</v>
      </c>
      <c r="H215" s="1">
        <v>244008</v>
      </c>
      <c r="I215" s="1">
        <v>22</v>
      </c>
      <c r="J215" s="1" t="s">
        <v>310</v>
      </c>
      <c r="K215" s="1" t="s">
        <v>1373</v>
      </c>
      <c r="L215" s="1" t="s">
        <v>1374</v>
      </c>
      <c r="M215" s="1" t="s">
        <v>9158</v>
      </c>
      <c r="N215" s="1" t="s">
        <v>9158</v>
      </c>
      <c r="O215" s="19" t="s">
        <v>4067</v>
      </c>
      <c r="P215" s="1" t="s">
        <v>3879</v>
      </c>
      <c r="Q215" s="1">
        <v>2</v>
      </c>
    </row>
    <row r="216" spans="1:17">
      <c r="A216" s="1">
        <v>84643</v>
      </c>
      <c r="B216" s="1" t="s">
        <v>0</v>
      </c>
      <c r="C216" s="1" t="s">
        <v>203</v>
      </c>
      <c r="D216" s="19" t="s">
        <v>10605</v>
      </c>
      <c r="E216" s="15" t="str">
        <f>HYPERLINK("https://stat100.ameba.jp/tnk47/ratio20/illustrations/card/ill_84643_rikayaojo03.jpg?201909-3-RELEASE-dice-e-429x", "■")</f>
        <v>■</v>
      </c>
      <c r="F216" s="1" t="s">
        <v>6853</v>
      </c>
      <c r="G216" s="1">
        <v>159674</v>
      </c>
      <c r="H216" s="1">
        <v>115656</v>
      </c>
      <c r="I216" s="1">
        <v>24</v>
      </c>
      <c r="J216" s="1" t="s">
        <v>315</v>
      </c>
      <c r="K216" s="1" t="s">
        <v>6852</v>
      </c>
      <c r="L216" s="1" t="s">
        <v>6851</v>
      </c>
      <c r="M216" s="1" t="s">
        <v>9158</v>
      </c>
      <c r="N216" s="1" t="s">
        <v>9158</v>
      </c>
      <c r="O216" s="19" t="s">
        <v>10082</v>
      </c>
      <c r="P216" s="1" t="s">
        <v>13124</v>
      </c>
      <c r="Q216" s="1">
        <v>1</v>
      </c>
    </row>
    <row r="217" spans="1:17">
      <c r="A217" s="1">
        <v>70373</v>
      </c>
      <c r="B217" s="1" t="s">
        <v>334</v>
      </c>
      <c r="C217" s="1" t="s">
        <v>209</v>
      </c>
      <c r="D217" s="19" t="s">
        <v>10226</v>
      </c>
      <c r="E217" s="15" t="str">
        <f>HYPERLINK("https://stat100.ameba.jp/tnk47/ratio20/illustrations/card/ill_70373_amanoyasukage03.jpg?201909-3-RELEASE-dice-e-429x", "■")</f>
        <v>■</v>
      </c>
      <c r="F217" s="1" t="s">
        <v>2617</v>
      </c>
      <c r="G217" s="1">
        <v>118808</v>
      </c>
      <c r="H217" s="1">
        <v>127779</v>
      </c>
      <c r="I217" s="1">
        <v>23</v>
      </c>
      <c r="J217" s="1" t="s">
        <v>143</v>
      </c>
      <c r="K217" s="1" t="s">
        <v>2618</v>
      </c>
      <c r="L217" s="1" t="s">
        <v>2619</v>
      </c>
      <c r="M217" s="1" t="s">
        <v>9158</v>
      </c>
      <c r="N217" s="1" t="s">
        <v>9158</v>
      </c>
      <c r="O217" s="19" t="s">
        <v>10081</v>
      </c>
      <c r="P217" s="1" t="s">
        <v>4146</v>
      </c>
      <c r="Q217" s="1">
        <v>1</v>
      </c>
    </row>
    <row r="218" spans="1:17">
      <c r="A218" s="1">
        <v>66363</v>
      </c>
      <c r="B218" s="1" t="s">
        <v>334</v>
      </c>
      <c r="C218" s="1" t="s">
        <v>158</v>
      </c>
      <c r="D218" s="19" t="s">
        <v>2910</v>
      </c>
      <c r="E218" s="15" t="str">
        <f>HYPERLINK("https://stat100.ameba.jp/tnk47/ratio20/illustrations/card/ill_66363_iharasaikaku03.jpg?201909-3-RELEASE-dice-e-429x", "■")</f>
        <v>■</v>
      </c>
      <c r="F218" s="1" t="s">
        <v>122</v>
      </c>
      <c r="G218" s="1">
        <v>75627</v>
      </c>
      <c r="H218" s="1">
        <v>104385</v>
      </c>
      <c r="I218" s="1">
        <v>23</v>
      </c>
      <c r="J218" s="1" t="s">
        <v>414</v>
      </c>
      <c r="K218" s="1" t="s">
        <v>2911</v>
      </c>
      <c r="L218" s="1" t="s">
        <v>1575</v>
      </c>
      <c r="M218" s="1" t="s">
        <v>9158</v>
      </c>
      <c r="N218" s="1" t="s">
        <v>9158</v>
      </c>
      <c r="O218" s="19" t="s">
        <v>10074</v>
      </c>
      <c r="P218" s="1" t="s">
        <v>2822</v>
      </c>
      <c r="Q218" s="1">
        <v>1</v>
      </c>
    </row>
    <row r="219" spans="1:17">
      <c r="A219" s="1">
        <v>76773</v>
      </c>
      <c r="B219" s="1" t="s">
        <v>334</v>
      </c>
      <c r="C219" s="1" t="s">
        <v>209</v>
      </c>
      <c r="D219" s="19" t="s">
        <v>10471</v>
      </c>
      <c r="E219" s="15" t="str">
        <f>HYPERLINK("https://stat100.ameba.jp/tnk47/ratio20/illustrations/card/ill_76773_monsutatominushihime03.jpg?201909-3-RELEASE-dice-e-429x", "■")</f>
        <v>■</v>
      </c>
      <c r="F219" s="1" t="s">
        <v>817</v>
      </c>
      <c r="G219" s="1">
        <v>104989</v>
      </c>
      <c r="H219" s="1">
        <v>76042</v>
      </c>
      <c r="I219" s="1">
        <v>23</v>
      </c>
      <c r="J219" s="1" t="s">
        <v>401</v>
      </c>
      <c r="K219" s="1" t="s">
        <v>818</v>
      </c>
      <c r="L219" s="1" t="s">
        <v>819</v>
      </c>
      <c r="M219" s="1" t="s">
        <v>9158</v>
      </c>
      <c r="N219" s="1" t="s">
        <v>9158</v>
      </c>
      <c r="O219" s="1" t="s">
        <v>9158</v>
      </c>
      <c r="P219" s="1" t="s">
        <v>9158</v>
      </c>
      <c r="Q219" s="1" t="s">
        <v>9158</v>
      </c>
    </row>
    <row r="220" spans="1:17">
      <c r="A220" s="1">
        <v>61353</v>
      </c>
      <c r="B220" s="1" t="s">
        <v>334</v>
      </c>
      <c r="C220" s="1" t="s">
        <v>203</v>
      </c>
      <c r="D220" s="19" t="s">
        <v>10417</v>
      </c>
      <c r="E220" s="15" t="str">
        <f>HYPERLINK("https://stat100.ameba.jp/tnk47/ratio20/illustrations/card/ill_61353_shinkidohimiko03.jpg?201909-3-RELEASE-dice-e-429x", "■")</f>
        <v>■</v>
      </c>
      <c r="F220" s="1" t="s">
        <v>1200</v>
      </c>
      <c r="G220" s="1">
        <v>100519</v>
      </c>
      <c r="H220" s="1">
        <v>72819</v>
      </c>
      <c r="I220" s="1">
        <v>23</v>
      </c>
      <c r="J220" s="1" t="s">
        <v>10</v>
      </c>
      <c r="K220" s="1" t="s">
        <v>1201</v>
      </c>
      <c r="L220" s="1" t="s">
        <v>1202</v>
      </c>
      <c r="M220" s="1" t="s">
        <v>9158</v>
      </c>
      <c r="N220" s="1" t="s">
        <v>9158</v>
      </c>
      <c r="O220" s="1" t="s">
        <v>9158</v>
      </c>
      <c r="P220" s="1" t="s">
        <v>9158</v>
      </c>
      <c r="Q220" s="1" t="s">
        <v>9158</v>
      </c>
    </row>
    <row r="221" spans="1:17">
      <c r="A221" s="1">
        <v>66343</v>
      </c>
      <c r="B221" s="1" t="s">
        <v>0</v>
      </c>
      <c r="C221" s="1" t="s">
        <v>209</v>
      </c>
      <c r="D221" s="19" t="s">
        <v>832</v>
      </c>
      <c r="E221" s="15" t="str">
        <f>HYPERLINK("https://stat100.ameba.jp/tnk47/ratio20/illustrations/card/ill_66343_shunobon03.jpg?201909-3-RELEASE-dice-e-429x", "■")</f>
        <v>■</v>
      </c>
      <c r="F221" s="1" t="s">
        <v>1254</v>
      </c>
      <c r="G221" s="1">
        <v>77700</v>
      </c>
      <c r="H221" s="1">
        <v>107251</v>
      </c>
      <c r="I221" s="1">
        <v>23</v>
      </c>
      <c r="J221" s="1" t="s">
        <v>73</v>
      </c>
      <c r="K221" s="1" t="s">
        <v>1255</v>
      </c>
      <c r="L221" s="1" t="s">
        <v>1256</v>
      </c>
      <c r="M221" s="1" t="s">
        <v>9158</v>
      </c>
      <c r="N221" s="1" t="s">
        <v>9158</v>
      </c>
      <c r="O221" s="1" t="s">
        <v>9158</v>
      </c>
      <c r="P221" s="1" t="s">
        <v>9158</v>
      </c>
      <c r="Q221" s="1" t="s">
        <v>9158</v>
      </c>
    </row>
    <row r="223" spans="1:17">
      <c r="A223" s="1" t="s">
        <v>6855</v>
      </c>
    </row>
    <row r="224" spans="1:17">
      <c r="A224" s="1" t="s">
        <v>6854</v>
      </c>
    </row>
    <row r="225" spans="1:17">
      <c r="A225" s="1">
        <v>65373</v>
      </c>
      <c r="B225" s="1" t="s">
        <v>0</v>
      </c>
      <c r="C225" s="1" t="s">
        <v>203</v>
      </c>
      <c r="D225" s="19" t="s">
        <v>1593</v>
      </c>
      <c r="E225" s="15" t="str">
        <f>HYPERLINK("https://stat100.ameba.jp/tnk47/ratio20/illustrations/card/ill_65373_kotetsu03.jpg?201909-3-RELEASE-dice-e-429x", "■")</f>
        <v>■</v>
      </c>
      <c r="F225" s="1" t="s">
        <v>3631</v>
      </c>
      <c r="G225" s="1">
        <v>103512</v>
      </c>
      <c r="H225" s="1">
        <v>96246</v>
      </c>
      <c r="I225" s="1">
        <v>24</v>
      </c>
      <c r="J225" s="1" t="s">
        <v>16</v>
      </c>
      <c r="K225" s="1" t="s">
        <v>3632</v>
      </c>
      <c r="L225" s="1" t="s">
        <v>3633</v>
      </c>
      <c r="M225" s="1" t="s">
        <v>9158</v>
      </c>
      <c r="N225" s="1" t="s">
        <v>9158</v>
      </c>
      <c r="O225" s="1" t="s">
        <v>9158</v>
      </c>
      <c r="P225" s="1" t="s">
        <v>9158</v>
      </c>
      <c r="Q225" s="1" t="s">
        <v>9158</v>
      </c>
    </row>
    <row r="226" spans="1:17">
      <c r="A226" s="1">
        <v>65363</v>
      </c>
      <c r="B226" s="1" t="s">
        <v>0</v>
      </c>
      <c r="C226" s="1" t="s">
        <v>209</v>
      </c>
      <c r="D226" s="19" t="s">
        <v>1589</v>
      </c>
      <c r="E226" s="15" t="str">
        <f>HYPERLINK("https://stat100.ameba.jp/tnk47/ratio20/illustrations/card/ill_65363_yukihimemomijihime03.jpg?201909-3-RELEASE-dice-e-429x", "■")</f>
        <v>■</v>
      </c>
      <c r="F226" s="1" t="s">
        <v>3626</v>
      </c>
      <c r="G226" s="1">
        <v>103512</v>
      </c>
      <c r="H226" s="1">
        <v>96246</v>
      </c>
      <c r="I226" s="1">
        <v>24</v>
      </c>
      <c r="J226" s="1" t="s">
        <v>38</v>
      </c>
      <c r="K226" s="1" t="s">
        <v>3628</v>
      </c>
      <c r="L226" s="1" t="s">
        <v>3629</v>
      </c>
      <c r="M226" s="1" t="s">
        <v>9158</v>
      </c>
      <c r="N226" s="1" t="s">
        <v>9158</v>
      </c>
      <c r="O226" s="1" t="s">
        <v>9158</v>
      </c>
      <c r="P226" s="1" t="s">
        <v>9158</v>
      </c>
      <c r="Q226" s="1" t="s">
        <v>9158</v>
      </c>
    </row>
    <row r="227" spans="1:17">
      <c r="A227" s="1">
        <v>76483</v>
      </c>
      <c r="B227" s="1" t="s">
        <v>334</v>
      </c>
      <c r="C227" s="1" t="s">
        <v>307</v>
      </c>
      <c r="D227" s="19" t="s">
        <v>589</v>
      </c>
      <c r="E227" s="15" t="str">
        <f>HYPERLINK("https://stat100.ameba.jp/tnk47/ratio20/illustrations/card/ill_76483_yukemurimizuhanome03.jpg?201909-3-RELEASE-dice-e-429x", "■")</f>
        <v>■</v>
      </c>
      <c r="F227" s="1" t="s">
        <v>590</v>
      </c>
      <c r="G227" s="1">
        <v>97894</v>
      </c>
      <c r="H227" s="1">
        <v>91010</v>
      </c>
      <c r="I227" s="1">
        <v>24</v>
      </c>
      <c r="J227" s="1" t="s">
        <v>401</v>
      </c>
      <c r="K227" s="1" t="s">
        <v>591</v>
      </c>
      <c r="L227" s="1" t="s">
        <v>592</v>
      </c>
      <c r="M227" s="1" t="s">
        <v>9158</v>
      </c>
      <c r="N227" s="1" t="s">
        <v>9158</v>
      </c>
      <c r="O227" s="1" t="s">
        <v>9158</v>
      </c>
      <c r="P227" s="1" t="s">
        <v>9158</v>
      </c>
      <c r="Q227" s="1" t="s">
        <v>9158</v>
      </c>
    </row>
    <row r="228" spans="1:17">
      <c r="A228" s="1">
        <v>70023</v>
      </c>
      <c r="B228" s="1" t="s">
        <v>334</v>
      </c>
      <c r="C228" s="1" t="s">
        <v>344</v>
      </c>
      <c r="D228" s="19" t="s">
        <v>10230</v>
      </c>
      <c r="E228" s="15" t="str">
        <f>HYPERLINK("https://stat100.ameba.jp/tnk47/ratio20/illustrations/card/ill_70023_yukinoukokunabeshimanobakeneko03.jpg?201909-3-RELEASE-dice-e-429x", "■")</f>
        <v>■</v>
      </c>
      <c r="F228" s="1" t="s">
        <v>769</v>
      </c>
      <c r="G228" s="1">
        <v>92996</v>
      </c>
      <c r="H228" s="1">
        <v>99996</v>
      </c>
      <c r="I228" s="1">
        <v>24</v>
      </c>
      <c r="J228" s="1" t="s">
        <v>320</v>
      </c>
      <c r="K228" s="1" t="s">
        <v>770</v>
      </c>
      <c r="L228" s="1" t="s">
        <v>771</v>
      </c>
      <c r="M228" s="1" t="s">
        <v>9158</v>
      </c>
      <c r="N228" s="1" t="s">
        <v>9158</v>
      </c>
      <c r="O228" s="1" t="s">
        <v>9158</v>
      </c>
      <c r="P228" s="1" t="s">
        <v>9158</v>
      </c>
      <c r="Q228" s="1" t="s">
        <v>9158</v>
      </c>
    </row>
    <row r="229" spans="1:17">
      <c r="A229" s="1">
        <v>52733</v>
      </c>
      <c r="B229" s="1" t="s">
        <v>15</v>
      </c>
      <c r="C229" s="1" t="s">
        <v>185</v>
      </c>
      <c r="D229" s="19" t="s">
        <v>10491</v>
      </c>
      <c r="E229" s="15" t="str">
        <f>HYPERLINK("https://stat100.ameba.jp/tnk47/ratio20/illustrations/card/ill_52733_sekkinambutsuruhime03.jpg?201909-3-RELEASE-dice-e-429x", "■")</f>
        <v>■</v>
      </c>
      <c r="F229" s="1" t="s">
        <v>6246</v>
      </c>
      <c r="G229" s="1">
        <v>51078</v>
      </c>
      <c r="H229" s="1">
        <v>56316</v>
      </c>
      <c r="I229" s="1">
        <v>19</v>
      </c>
      <c r="J229" s="1" t="s">
        <v>77</v>
      </c>
      <c r="K229" s="1" t="s">
        <v>6248</v>
      </c>
      <c r="L229" s="1" t="s">
        <v>6249</v>
      </c>
      <c r="M229" s="1" t="s">
        <v>9158</v>
      </c>
      <c r="N229" s="1" t="s">
        <v>9158</v>
      </c>
      <c r="O229" s="1" t="s">
        <v>9158</v>
      </c>
      <c r="P229" s="1" t="s">
        <v>9158</v>
      </c>
      <c r="Q229" s="1" t="s">
        <v>9158</v>
      </c>
    </row>
    <row r="230" spans="1:17">
      <c r="A230" s="1">
        <v>54003</v>
      </c>
      <c r="B230" s="1" t="s">
        <v>15</v>
      </c>
      <c r="C230" s="1" t="s">
        <v>200</v>
      </c>
      <c r="D230" s="19" t="s">
        <v>10492</v>
      </c>
      <c r="E230" s="15" t="str">
        <f>HYPERLINK("https://stat100.ameba.jp/tnk47/ratio20/illustrations/card/ill_54003_seiryumegurihiguchiichiyo03.jpg?201909-3-RELEASE-dice-e-429x", "■")</f>
        <v>■</v>
      </c>
      <c r="F230" s="1" t="s">
        <v>6250</v>
      </c>
      <c r="G230" s="1">
        <v>56316</v>
      </c>
      <c r="H230" s="1">
        <v>51078</v>
      </c>
      <c r="I230" s="1">
        <v>19</v>
      </c>
      <c r="J230" s="1" t="s">
        <v>10</v>
      </c>
      <c r="K230" s="1" t="s">
        <v>6252</v>
      </c>
      <c r="L230" s="1" t="s">
        <v>6253</v>
      </c>
      <c r="M230" s="1" t="s">
        <v>9158</v>
      </c>
      <c r="N230" s="1" t="s">
        <v>9158</v>
      </c>
      <c r="O230" s="1" t="s">
        <v>9158</v>
      </c>
      <c r="P230" s="1" t="s">
        <v>9158</v>
      </c>
      <c r="Q230" s="1" t="s">
        <v>9158</v>
      </c>
    </row>
    <row r="231" spans="1:17">
      <c r="A231" s="1">
        <v>51833</v>
      </c>
      <c r="B231" s="1" t="s">
        <v>15</v>
      </c>
      <c r="C231" s="1" t="s">
        <v>205</v>
      </c>
      <c r="D231" s="19" t="s">
        <v>10493</v>
      </c>
      <c r="E231" s="15" t="str">
        <f>HYPERLINK("https://stat100.ameba.jp/tnk47/ratio20/illustrations/card/ill_51833_jukimakitsuhikonomikoto03.jpg?201909-3-RELEASE-dice-e-429x", "■")</f>
        <v>■</v>
      </c>
      <c r="F231" s="1" t="s">
        <v>6254</v>
      </c>
      <c r="G231" s="1">
        <v>56316</v>
      </c>
      <c r="H231" s="1">
        <v>51078</v>
      </c>
      <c r="I231" s="1">
        <v>19</v>
      </c>
      <c r="J231" s="1" t="s">
        <v>44</v>
      </c>
      <c r="K231" s="1" t="s">
        <v>6257</v>
      </c>
      <c r="L231" s="1" t="s">
        <v>6256</v>
      </c>
      <c r="M231" s="1" t="s">
        <v>9158</v>
      </c>
      <c r="N231" s="1" t="s">
        <v>9158</v>
      </c>
      <c r="O231" s="1" t="s">
        <v>9158</v>
      </c>
      <c r="P231" s="1" t="s">
        <v>9158</v>
      </c>
      <c r="Q231" s="1" t="s">
        <v>9158</v>
      </c>
    </row>
    <row r="232" spans="1:17">
      <c r="A232" s="1">
        <v>53203</v>
      </c>
      <c r="B232" s="1" t="s">
        <v>15</v>
      </c>
      <c r="C232" s="1" t="s">
        <v>165</v>
      </c>
      <c r="D232" s="19" t="s">
        <v>10494</v>
      </c>
      <c r="E232" s="15" t="str">
        <f>HYPERLINK("https://stat100.ameba.jp/tnk47/ratio20/illustrations/card/ill_53203_buruhawaichan03.jpg?201909-3-RELEASE-dice-e-429x", "■")</f>
        <v>■</v>
      </c>
      <c r="F232" s="1" t="s">
        <v>6258</v>
      </c>
      <c r="G232" s="1">
        <v>51078</v>
      </c>
      <c r="H232" s="1">
        <v>56316</v>
      </c>
      <c r="I232" s="1">
        <v>19</v>
      </c>
      <c r="J232" s="1" t="s">
        <v>104</v>
      </c>
      <c r="K232" s="1" t="s">
        <v>6261</v>
      </c>
      <c r="L232" s="1" t="s">
        <v>6260</v>
      </c>
      <c r="M232" s="1" t="s">
        <v>9158</v>
      </c>
      <c r="N232" s="1" t="s">
        <v>9158</v>
      </c>
      <c r="O232" s="1" t="s">
        <v>9158</v>
      </c>
      <c r="P232" s="1" t="s">
        <v>9158</v>
      </c>
      <c r="Q232" s="1" t="s">
        <v>9158</v>
      </c>
    </row>
    <row r="234" spans="1:17">
      <c r="A234" s="1" t="s">
        <v>6856</v>
      </c>
    </row>
    <row r="235" spans="1:17">
      <c r="A235" s="1" t="s">
        <v>6857</v>
      </c>
    </row>
    <row r="236" spans="1:17">
      <c r="A236" s="1" t="s">
        <v>5734</v>
      </c>
      <c r="B236" s="1" t="s">
        <v>330</v>
      </c>
      <c r="C236" s="1" t="s">
        <v>202</v>
      </c>
      <c r="D236" s="19" t="s">
        <v>1497</v>
      </c>
      <c r="E236" s="15" t="str">
        <f>HYPERLINK("https://stat100.ameba.jp/tnk47/ratio20/illustrations/card/ill_74593_0_natsuyuenchikoshihikari03.jpg?201909-3-RELEASE-dice-e-429x", "■")</f>
        <v>■</v>
      </c>
      <c r="F236" s="1" t="s">
        <v>1498</v>
      </c>
      <c r="G236" s="1">
        <v>238328</v>
      </c>
      <c r="H236" s="1">
        <v>221566</v>
      </c>
      <c r="I236" s="1">
        <v>22</v>
      </c>
      <c r="J236" s="1" t="s">
        <v>283</v>
      </c>
      <c r="K236" s="1" t="s">
        <v>1499</v>
      </c>
      <c r="L236" s="1" t="s">
        <v>1500</v>
      </c>
      <c r="M236" s="1" t="s">
        <v>9158</v>
      </c>
      <c r="N236" s="1" t="s">
        <v>9158</v>
      </c>
      <c r="O236" s="19" t="s">
        <v>2731</v>
      </c>
      <c r="P236" s="1" t="s">
        <v>2732</v>
      </c>
      <c r="Q236" s="1">
        <v>1</v>
      </c>
    </row>
    <row r="237" spans="1:17">
      <c r="A237" s="1">
        <v>73913</v>
      </c>
      <c r="B237" s="1" t="s">
        <v>334</v>
      </c>
      <c r="C237" s="1" t="s">
        <v>154</v>
      </c>
      <c r="D237" s="19" t="s">
        <v>3202</v>
      </c>
      <c r="E237" s="15" t="str">
        <f>HYPERLINK("https://stat100.ameba.jp/tnk47/ratio20/illustrations/card/ill_73913_atsutajingu03.jpg?201909-3-RELEASE-dice-e-429x", "■")</f>
        <v>■</v>
      </c>
      <c r="F237" s="1" t="s">
        <v>1207</v>
      </c>
      <c r="G237" s="1">
        <v>79348</v>
      </c>
      <c r="H237" s="1">
        <v>109554</v>
      </c>
      <c r="I237" s="1">
        <v>24</v>
      </c>
      <c r="J237" s="1" t="s">
        <v>44</v>
      </c>
      <c r="K237" s="1" t="s">
        <v>1208</v>
      </c>
      <c r="L237" s="1" t="s">
        <v>1209</v>
      </c>
      <c r="M237" s="1" t="s">
        <v>9158</v>
      </c>
      <c r="N237" s="1" t="s">
        <v>9158</v>
      </c>
      <c r="O237" s="19" t="s">
        <v>10074</v>
      </c>
      <c r="P237" s="1" t="s">
        <v>2822</v>
      </c>
      <c r="Q237" s="1">
        <v>1</v>
      </c>
    </row>
    <row r="238" spans="1:17">
      <c r="A238" s="1">
        <v>52083</v>
      </c>
      <c r="B238" s="1" t="s">
        <v>0</v>
      </c>
      <c r="C238" s="1" t="s">
        <v>158</v>
      </c>
      <c r="D238" s="19" t="s">
        <v>2913</v>
      </c>
      <c r="E238" s="15" t="str">
        <f>HYPERLINK("https://stat100.ameba.jp/tnk47/ratio20/illustrations/card/ill_52083_berubetto03.jpg?201909-3-RELEASE-dice-e-429x", "■")</f>
        <v>■</v>
      </c>
      <c r="F238" s="1" t="s">
        <v>944</v>
      </c>
      <c r="G238" s="1">
        <v>82694</v>
      </c>
      <c r="H238" s="1">
        <v>114160</v>
      </c>
      <c r="I238" s="1">
        <v>24</v>
      </c>
      <c r="J238" s="1" t="s">
        <v>26</v>
      </c>
      <c r="K238" s="1" t="s">
        <v>1864</v>
      </c>
      <c r="L238" s="1" t="s">
        <v>1865</v>
      </c>
      <c r="M238" s="1" t="s">
        <v>9158</v>
      </c>
      <c r="N238" s="1" t="s">
        <v>9158</v>
      </c>
      <c r="O238" s="19" t="s">
        <v>2917</v>
      </c>
      <c r="P238" s="1" t="s">
        <v>2918</v>
      </c>
      <c r="Q238" s="1">
        <v>1</v>
      </c>
    </row>
    <row r="239" spans="1:17">
      <c r="A239" s="1">
        <v>76793</v>
      </c>
      <c r="B239" s="1" t="s">
        <v>334</v>
      </c>
      <c r="C239" s="1" t="s">
        <v>268</v>
      </c>
      <c r="D239" s="19" t="s">
        <v>425</v>
      </c>
      <c r="E239" s="15" t="str">
        <f>HYPERLINK("https://stat100.ameba.jp/tnk47/ratio20/illustrations/card/ill_76793_monsutatamatebako03.jpg?201909-3-RELEASE-dice-e-429x", "■")</f>
        <v>■</v>
      </c>
      <c r="F239" s="1" t="s">
        <v>426</v>
      </c>
      <c r="G239" s="1">
        <v>108924</v>
      </c>
      <c r="H239" s="1">
        <v>78916</v>
      </c>
      <c r="I239" s="1">
        <v>24</v>
      </c>
      <c r="J239" s="1" t="s">
        <v>274</v>
      </c>
      <c r="K239" s="1" t="s">
        <v>427</v>
      </c>
      <c r="L239" s="1" t="s">
        <v>428</v>
      </c>
      <c r="M239" s="1" t="s">
        <v>9158</v>
      </c>
      <c r="N239" s="1" t="s">
        <v>9158</v>
      </c>
      <c r="O239" s="19" t="s">
        <v>3037</v>
      </c>
      <c r="P239" s="1" t="s">
        <v>13128</v>
      </c>
      <c r="Q239" s="1">
        <v>1</v>
      </c>
    </row>
    <row r="241" spans="1:18">
      <c r="A241" s="1" t="s">
        <v>13326</v>
      </c>
    </row>
    <row r="242" spans="1:18">
      <c r="A242" s="1" t="s">
        <v>6858</v>
      </c>
    </row>
    <row r="243" spans="1:18">
      <c r="A243" s="1">
        <v>70073</v>
      </c>
      <c r="B243" s="1" t="s">
        <v>334</v>
      </c>
      <c r="C243" s="1" t="s">
        <v>185</v>
      </c>
      <c r="D243" s="19" t="s">
        <v>859</v>
      </c>
      <c r="E243" s="15" t="str">
        <f>HYPERLINK("https://stat100.ameba.jp/tnk47/ratio20/illustrations/card/ill_70073_muhime03.jpg?201909-3-RELEASE-dice-e-429x", "■")</f>
        <v>■</v>
      </c>
      <c r="F243" s="1" t="s">
        <v>5846</v>
      </c>
      <c r="G243" s="1">
        <v>109852</v>
      </c>
      <c r="H243" s="1">
        <v>118152</v>
      </c>
      <c r="I243" s="1">
        <v>24</v>
      </c>
      <c r="J243" s="1" t="s">
        <v>315</v>
      </c>
      <c r="K243" s="1" t="s">
        <v>861</v>
      </c>
      <c r="L243" s="1" t="s">
        <v>862</v>
      </c>
      <c r="M243" s="1" t="s">
        <v>250</v>
      </c>
      <c r="N243" s="1" t="s">
        <v>251</v>
      </c>
      <c r="O243" s="1" t="s">
        <v>9158</v>
      </c>
      <c r="P243" s="1" t="s">
        <v>9158</v>
      </c>
      <c r="Q243" s="1" t="s">
        <v>9158</v>
      </c>
      <c r="R243" s="14"/>
    </row>
    <row r="244" spans="1:18">
      <c r="A244" s="1">
        <v>70072</v>
      </c>
      <c r="B244" s="1" t="s">
        <v>334</v>
      </c>
      <c r="C244" s="1" t="s">
        <v>185</v>
      </c>
      <c r="D244" s="19" t="s">
        <v>859</v>
      </c>
      <c r="E244" s="15" t="str">
        <f>HYPERLINK("https://stat100.ameba.jp/tnk47/ratio20/illustrations/card/ill_70072_muhime02.jpg?201909-3-RELEASE-dice-e-429x", "■")</f>
        <v>■</v>
      </c>
      <c r="F244" s="1" t="s">
        <v>860</v>
      </c>
      <c r="G244" s="1">
        <v>90984</v>
      </c>
      <c r="H244" s="1">
        <v>98768</v>
      </c>
      <c r="I244" s="1">
        <v>24</v>
      </c>
      <c r="J244" s="1" t="s">
        <v>315</v>
      </c>
      <c r="K244" s="1" t="s">
        <v>861</v>
      </c>
      <c r="L244" s="1" t="s">
        <v>862</v>
      </c>
      <c r="M244" s="1" t="s">
        <v>250</v>
      </c>
      <c r="N244" s="1" t="s">
        <v>251</v>
      </c>
      <c r="O244" s="1" t="s">
        <v>9158</v>
      </c>
      <c r="P244" s="1" t="s">
        <v>9158</v>
      </c>
      <c r="Q244" s="1" t="s">
        <v>9158</v>
      </c>
      <c r="R244" s="14"/>
    </row>
    <row r="245" spans="1:18">
      <c r="A245" s="1">
        <v>70071</v>
      </c>
      <c r="B245" s="1" t="s">
        <v>334</v>
      </c>
      <c r="C245" s="1" t="s">
        <v>185</v>
      </c>
      <c r="D245" s="19" t="s">
        <v>859</v>
      </c>
      <c r="E245" s="15" t="str">
        <f>HYPERLINK("https://stat100.ameba.jp/tnk47/ratio20/illustrations/card/ill_70071_muhime01.jpg?201909-3-RELEASE-dice-e-429x", "■")</f>
        <v>■</v>
      </c>
      <c r="F245" s="1" t="s">
        <v>860</v>
      </c>
      <c r="G245" s="1">
        <v>70200</v>
      </c>
      <c r="H245" s="1">
        <v>75408</v>
      </c>
      <c r="I245" s="1">
        <v>24</v>
      </c>
      <c r="J245" s="1" t="s">
        <v>315</v>
      </c>
      <c r="K245" s="1" t="s">
        <v>861</v>
      </c>
      <c r="L245" s="1" t="s">
        <v>862</v>
      </c>
      <c r="M245" s="1" t="s">
        <v>250</v>
      </c>
      <c r="N245" s="1" t="s">
        <v>251</v>
      </c>
      <c r="O245" s="1" t="s">
        <v>9158</v>
      </c>
      <c r="P245" s="1" t="s">
        <v>9158</v>
      </c>
      <c r="Q245" s="1" t="s">
        <v>9158</v>
      </c>
      <c r="R245" s="14"/>
    </row>
    <row r="246" spans="1:18">
      <c r="A246" s="1">
        <v>70083</v>
      </c>
      <c r="B246" s="1" t="s">
        <v>334</v>
      </c>
      <c r="C246" s="1" t="s">
        <v>200</v>
      </c>
      <c r="D246" s="19" t="s">
        <v>10212</v>
      </c>
      <c r="E246" s="15" t="str">
        <f>HYPERLINK("https://stat100.ameba.jp/tnk47/ratio20/illustrations/card/ill_70083_kimurakaishu03.jpg?201909-3-RELEASE-dice-e-429x", "■")</f>
        <v>■</v>
      </c>
      <c r="F246" s="1" t="s">
        <v>863</v>
      </c>
      <c r="G246" s="1">
        <v>118152</v>
      </c>
      <c r="H246" s="1">
        <v>109852</v>
      </c>
      <c r="I246" s="1">
        <v>24</v>
      </c>
      <c r="J246" s="1" t="s">
        <v>173</v>
      </c>
      <c r="K246" s="1" t="s">
        <v>257</v>
      </c>
      <c r="L246" s="1" t="s">
        <v>9897</v>
      </c>
      <c r="M246" s="1" t="s">
        <v>250</v>
      </c>
      <c r="N246" s="1" t="s">
        <v>251</v>
      </c>
      <c r="O246" s="1" t="s">
        <v>9158</v>
      </c>
      <c r="P246" s="1" t="s">
        <v>9158</v>
      </c>
      <c r="Q246" s="1" t="s">
        <v>9158</v>
      </c>
    </row>
    <row r="247" spans="1:18">
      <c r="A247" s="1">
        <v>70923</v>
      </c>
      <c r="B247" s="1" t="s">
        <v>334</v>
      </c>
      <c r="C247" s="1" t="s">
        <v>191</v>
      </c>
      <c r="D247" s="19" t="s">
        <v>10213</v>
      </c>
      <c r="E247" s="15" t="str">
        <f>HYPERLINK("https://stat100.ameba.jp/tnk47/ratio20/illustrations/card/ill_70923_hidawagyu03.jpg?201909-3-RELEASE-dice-e-429x", "■")</f>
        <v>■</v>
      </c>
      <c r="F247" s="1" t="s">
        <v>864</v>
      </c>
      <c r="G247" s="1">
        <v>118152</v>
      </c>
      <c r="H247" s="1">
        <v>109852</v>
      </c>
      <c r="I247" s="1">
        <v>24</v>
      </c>
      <c r="J247" s="1" t="s">
        <v>216</v>
      </c>
      <c r="K247" s="1" t="s">
        <v>258</v>
      </c>
      <c r="L247" s="1" t="s">
        <v>9898</v>
      </c>
      <c r="M247" s="1" t="s">
        <v>250</v>
      </c>
      <c r="N247" s="1" t="s">
        <v>251</v>
      </c>
      <c r="O247" s="1" t="s">
        <v>9158</v>
      </c>
      <c r="P247" s="1" t="s">
        <v>9158</v>
      </c>
      <c r="Q247" s="1" t="s">
        <v>9158</v>
      </c>
    </row>
    <row r="248" spans="1:18">
      <c r="A248" s="1">
        <v>70093</v>
      </c>
      <c r="B248" s="1" t="s">
        <v>334</v>
      </c>
      <c r="C248" s="1" t="s">
        <v>308</v>
      </c>
      <c r="D248" s="19" t="s">
        <v>10214</v>
      </c>
      <c r="E248" s="15" t="str">
        <f>HYPERLINK("https://stat100.ameba.jp/tnk47/ratio20/illustrations/card/ill_70093_sarutahikonookami03.jpg?201909-3-RELEASE-dice-e-429x", "■")</f>
        <v>■</v>
      </c>
      <c r="F248" s="1" t="s">
        <v>865</v>
      </c>
      <c r="G248" s="1">
        <v>109852</v>
      </c>
      <c r="H248" s="1">
        <v>118152</v>
      </c>
      <c r="I248" s="1">
        <v>24</v>
      </c>
      <c r="J248" s="1" t="s">
        <v>169</v>
      </c>
      <c r="K248" s="1" t="s">
        <v>259</v>
      </c>
      <c r="L248" s="1" t="s">
        <v>9899</v>
      </c>
      <c r="M248" s="1" t="s">
        <v>250</v>
      </c>
      <c r="N248" s="1" t="s">
        <v>251</v>
      </c>
      <c r="O248" s="1" t="s">
        <v>9158</v>
      </c>
      <c r="P248" s="1" t="s">
        <v>9158</v>
      </c>
      <c r="Q248" s="1" t="s">
        <v>9158</v>
      </c>
    </row>
    <row r="249" spans="1:18">
      <c r="A249" s="1">
        <v>70933</v>
      </c>
      <c r="B249" s="1" t="s">
        <v>334</v>
      </c>
      <c r="C249" s="1" t="s">
        <v>267</v>
      </c>
      <c r="D249" s="19" t="s">
        <v>10215</v>
      </c>
      <c r="E249" s="15" t="str">
        <f>HYPERLINK("https://stat100.ameba.jp/tnk47/ratio20/illustrations/card/ill_70933_zenigatasunae03.jpg?201909-3-RELEASE-dice-e-429x", "■")</f>
        <v>■</v>
      </c>
      <c r="F249" s="1" t="s">
        <v>866</v>
      </c>
      <c r="G249" s="1">
        <v>109852</v>
      </c>
      <c r="H249" s="1">
        <v>118152</v>
      </c>
      <c r="I249" s="1">
        <v>24</v>
      </c>
      <c r="J249" s="1" t="s">
        <v>229</v>
      </c>
      <c r="K249" s="1" t="s">
        <v>260</v>
      </c>
      <c r="L249" s="1" t="s">
        <v>9900</v>
      </c>
      <c r="M249" s="1" t="s">
        <v>250</v>
      </c>
      <c r="N249" s="1" t="s">
        <v>251</v>
      </c>
      <c r="O249" s="1" t="s">
        <v>9158</v>
      </c>
      <c r="P249" s="1" t="s">
        <v>9158</v>
      </c>
      <c r="Q249" s="1" t="s">
        <v>9158</v>
      </c>
    </row>
    <row r="250" spans="1:18">
      <c r="A250" s="1">
        <v>70943</v>
      </c>
      <c r="B250" s="1" t="s">
        <v>334</v>
      </c>
      <c r="C250" s="1" t="s">
        <v>344</v>
      </c>
      <c r="D250" s="19" t="s">
        <v>10216</v>
      </c>
      <c r="E250" s="15" t="str">
        <f>HYPERLINK("https://stat100.ameba.jp/tnk47/ratio20/illustrations/card/ill_70943_tengunokakuremino03.jpg?201909-3-RELEASE-dice-e-429x", "■")</f>
        <v>■</v>
      </c>
      <c r="F250" s="1" t="s">
        <v>867</v>
      </c>
      <c r="G250" s="1">
        <v>118152</v>
      </c>
      <c r="H250" s="1">
        <v>109852</v>
      </c>
      <c r="I250" s="1">
        <v>24</v>
      </c>
      <c r="J250" s="1" t="s">
        <v>155</v>
      </c>
      <c r="K250" s="1" t="s">
        <v>261</v>
      </c>
      <c r="L250" s="1" t="s">
        <v>9901</v>
      </c>
      <c r="M250" s="1" t="s">
        <v>250</v>
      </c>
      <c r="N250" s="1" t="s">
        <v>251</v>
      </c>
      <c r="O250" s="1" t="s">
        <v>9158</v>
      </c>
      <c r="P250" s="1" t="s">
        <v>9158</v>
      </c>
      <c r="Q250" s="1" t="s">
        <v>9158</v>
      </c>
    </row>
    <row r="252" spans="1:18">
      <c r="A252" s="1" t="s">
        <v>6859</v>
      </c>
    </row>
    <row r="253" spans="1:18">
      <c r="A253" s="1" t="s">
        <v>7652</v>
      </c>
    </row>
    <row r="254" spans="1:18">
      <c r="A254" s="1" t="s">
        <v>7651</v>
      </c>
    </row>
    <row r="255" spans="1:18">
      <c r="A255" s="1" t="s">
        <v>6598</v>
      </c>
      <c r="B255" s="1" t="s">
        <v>330</v>
      </c>
      <c r="C255" s="1" t="s">
        <v>35</v>
      </c>
      <c r="D255" s="19" t="s">
        <v>10555</v>
      </c>
      <c r="E255" s="15" t="str">
        <f>HYPERLINK("https://stat100.ameba.jp/tnk47/ratio20/illustrations/card/ill_83553_0_kajuenamoronagu03.jpg?201909-3-RELEASE-dice-e-429x", "■")</f>
        <v>■</v>
      </c>
      <c r="F255" s="1" t="s">
        <v>6597</v>
      </c>
      <c r="G255" s="1">
        <v>157899</v>
      </c>
      <c r="H255" s="1">
        <v>174710</v>
      </c>
      <c r="I255" s="1">
        <v>15</v>
      </c>
      <c r="J255" s="1" t="s">
        <v>44</v>
      </c>
      <c r="K255" s="1" t="s">
        <v>6595</v>
      </c>
      <c r="L255" s="1" t="s">
        <v>6594</v>
      </c>
      <c r="M255" s="1" t="s">
        <v>9158</v>
      </c>
      <c r="N255" s="1" t="s">
        <v>9158</v>
      </c>
      <c r="O255" s="19" t="s">
        <v>10125</v>
      </c>
      <c r="P255" s="1" t="s">
        <v>6599</v>
      </c>
      <c r="Q255" s="1">
        <v>1</v>
      </c>
    </row>
    <row r="256" spans="1:18">
      <c r="A256" s="1">
        <v>83793</v>
      </c>
      <c r="B256" s="1" t="s">
        <v>6860</v>
      </c>
      <c r="C256" s="1" t="s">
        <v>6864</v>
      </c>
      <c r="D256" s="19" t="s">
        <v>10606</v>
      </c>
      <c r="E256" s="15" t="str">
        <f>HYPERLINK("https://stat100.ameba.jp/tnk47/ratio20/illustrations/card/ill_83793_danjirisakurambochan03.jpg?201909-3-RELEASE-dice-e-429x", "■")</f>
        <v>■</v>
      </c>
      <c r="F256" s="1" t="s">
        <v>6872</v>
      </c>
      <c r="G256" s="1">
        <v>105394</v>
      </c>
      <c r="H256" s="1">
        <v>113340</v>
      </c>
      <c r="I256" s="1">
        <v>24</v>
      </c>
      <c r="J256" s="1" t="s">
        <v>6871</v>
      </c>
      <c r="K256" s="1" t="s">
        <v>6870</v>
      </c>
      <c r="L256" s="1" t="s">
        <v>6869</v>
      </c>
      <c r="M256" s="1" t="s">
        <v>9158</v>
      </c>
      <c r="N256" s="1" t="s">
        <v>9158</v>
      </c>
      <c r="O256" s="1" t="s">
        <v>9158</v>
      </c>
      <c r="P256" s="1" t="s">
        <v>9158</v>
      </c>
      <c r="Q256" s="1" t="s">
        <v>9158</v>
      </c>
    </row>
    <row r="257" spans="1:17">
      <c r="A257" s="1">
        <v>84673</v>
      </c>
      <c r="B257" s="1" t="s">
        <v>6860</v>
      </c>
      <c r="C257" s="1" t="s">
        <v>6865</v>
      </c>
      <c r="D257" s="19" t="s">
        <v>10607</v>
      </c>
      <c r="E257" s="15" t="str">
        <f>HYPERLINK("https://stat100.ameba.jp/tnk47/ratio20/illustrations/card/ill_84673_bujutsukahoshigamisama03.jpg?201909-3-RELEASE-dice-e-429x", "■")</f>
        <v>■</v>
      </c>
      <c r="F257" s="1" t="s">
        <v>6875</v>
      </c>
      <c r="G257" s="1">
        <v>109528</v>
      </c>
      <c r="H257" s="1">
        <v>109528</v>
      </c>
      <c r="I257" s="1">
        <v>24</v>
      </c>
      <c r="J257" s="1" t="s">
        <v>155</v>
      </c>
      <c r="K257" s="1" t="s">
        <v>6874</v>
      </c>
      <c r="L257" s="1" t="s">
        <v>6873</v>
      </c>
      <c r="M257" s="1" t="s">
        <v>9158</v>
      </c>
      <c r="N257" s="1" t="s">
        <v>9158</v>
      </c>
      <c r="O257" s="1" t="s">
        <v>9158</v>
      </c>
      <c r="P257" s="1" t="s">
        <v>9158</v>
      </c>
      <c r="Q257" s="1" t="s">
        <v>9158</v>
      </c>
    </row>
    <row r="258" spans="1:17">
      <c r="A258" s="1">
        <v>83803</v>
      </c>
      <c r="B258" s="1" t="s">
        <v>6861</v>
      </c>
      <c r="C258" s="1" t="s">
        <v>6866</v>
      </c>
      <c r="D258" s="19" t="s">
        <v>10608</v>
      </c>
      <c r="E258" s="15" t="str">
        <f>HYPERLINK("https://stat100.ameba.jp/tnk47/ratio20/illustrations/card/ill_83803_otokomatsurihashibahideyoshi03.jpg?201909-3-RELEASE-dice-e-429x", "■")</f>
        <v>■</v>
      </c>
      <c r="F258" s="1" t="s">
        <v>6878</v>
      </c>
      <c r="G258" s="1">
        <v>68172</v>
      </c>
      <c r="H258" s="1">
        <v>61832</v>
      </c>
      <c r="I258" s="1">
        <v>23</v>
      </c>
      <c r="J258" s="1" t="s">
        <v>310</v>
      </c>
      <c r="K258" s="1" t="s">
        <v>6877</v>
      </c>
      <c r="L258" s="1" t="s">
        <v>6876</v>
      </c>
      <c r="M258" s="1" t="s">
        <v>9158</v>
      </c>
      <c r="N258" s="1" t="s">
        <v>9158</v>
      </c>
      <c r="O258" s="1" t="s">
        <v>9158</v>
      </c>
      <c r="P258" s="1" t="s">
        <v>9158</v>
      </c>
      <c r="Q258" s="1" t="s">
        <v>9158</v>
      </c>
    </row>
    <row r="259" spans="1:17">
      <c r="A259" s="1">
        <v>83813</v>
      </c>
      <c r="B259" s="1" t="s">
        <v>6862</v>
      </c>
      <c r="C259" s="1" t="s">
        <v>6867</v>
      </c>
      <c r="D259" s="19" t="s">
        <v>10609</v>
      </c>
      <c r="E259" s="15" t="str">
        <f>HYPERLINK("https://stat100.ameba.jp/tnk47/ratio20/illustrations/card/ill_83813_nagahamahikiyama03.jpg?201909-3-RELEASE-dice-e-429x", "■")</f>
        <v>■</v>
      </c>
      <c r="F259" s="1" t="s">
        <v>6881</v>
      </c>
      <c r="G259" s="1">
        <v>36304</v>
      </c>
      <c r="H259" s="1">
        <v>36304</v>
      </c>
      <c r="I259" s="1">
        <v>21</v>
      </c>
      <c r="J259" s="1" t="s">
        <v>229</v>
      </c>
      <c r="K259" s="1" t="s">
        <v>6880</v>
      </c>
      <c r="L259" s="1" t="s">
        <v>6879</v>
      </c>
      <c r="M259" s="1" t="s">
        <v>9158</v>
      </c>
      <c r="N259" s="1" t="s">
        <v>9158</v>
      </c>
      <c r="O259" s="1" t="s">
        <v>9158</v>
      </c>
      <c r="P259" s="1" t="s">
        <v>9158</v>
      </c>
      <c r="Q259" s="1" t="s">
        <v>9158</v>
      </c>
    </row>
    <row r="260" spans="1:17">
      <c r="A260" s="1">
        <v>83823</v>
      </c>
      <c r="B260" s="1" t="s">
        <v>6863</v>
      </c>
      <c r="C260" s="1" t="s">
        <v>6868</v>
      </c>
      <c r="D260" s="19" t="s">
        <v>10610</v>
      </c>
      <c r="E260" s="15" t="str">
        <f>HYPERLINK("https://stat100.ameba.jp/tnk47/ratio20/illustrations/card/ill_83823_miyabiwagakkijuriakarozasu03.jpg?201909-3-RELEASE-dice-e-429x", "■")</f>
        <v>■</v>
      </c>
      <c r="F260" s="1" t="s">
        <v>6884</v>
      </c>
      <c r="G260" s="1">
        <v>26434</v>
      </c>
      <c r="H260" s="1">
        <v>22200</v>
      </c>
      <c r="I260" s="1">
        <v>21</v>
      </c>
      <c r="J260" s="1" t="s">
        <v>16</v>
      </c>
      <c r="K260" s="1" t="s">
        <v>6883</v>
      </c>
      <c r="L260" s="1" t="s">
        <v>6882</v>
      </c>
      <c r="M260" s="1" t="s">
        <v>9158</v>
      </c>
      <c r="N260" s="1" t="s">
        <v>9158</v>
      </c>
      <c r="O260" s="1" t="s">
        <v>9158</v>
      </c>
      <c r="P260" s="1" t="s">
        <v>9158</v>
      </c>
      <c r="Q260" s="1" t="s">
        <v>9158</v>
      </c>
    </row>
    <row r="262" spans="1:17">
      <c r="A262" s="1" t="s">
        <v>6885</v>
      </c>
    </row>
    <row r="263" spans="1:17">
      <c r="A263" s="1" t="s">
        <v>6886</v>
      </c>
    </row>
    <row r="264" spans="1:17">
      <c r="A264" s="1" t="s">
        <v>5899</v>
      </c>
      <c r="B264" s="1" t="s">
        <v>52</v>
      </c>
      <c r="C264" s="1" t="s">
        <v>205</v>
      </c>
      <c r="D264" s="19" t="s">
        <v>1559</v>
      </c>
      <c r="E264" s="15" t="str">
        <f>HYPERLINK("https://stat100.ameba.jp/tnk47/ratio20/illustrations/card/ill_73773_0_umibirakiinugamigyobu03.jpg?201909-3-RELEASE-dice-e-429x", "■")</f>
        <v>■</v>
      </c>
      <c r="F264" s="1" t="s">
        <v>935</v>
      </c>
      <c r="G264" s="1">
        <v>130160</v>
      </c>
      <c r="H264" s="1">
        <v>139999</v>
      </c>
      <c r="I264" s="1">
        <v>15</v>
      </c>
      <c r="J264" s="1" t="s">
        <v>73</v>
      </c>
      <c r="K264" s="1" t="s">
        <v>1186</v>
      </c>
      <c r="L264" s="1" t="s">
        <v>1187</v>
      </c>
      <c r="M264" s="1" t="s">
        <v>9158</v>
      </c>
      <c r="N264" s="1" t="s">
        <v>9158</v>
      </c>
      <c r="O264" s="19" t="s">
        <v>2978</v>
      </c>
      <c r="P264" s="1" t="s">
        <v>2979</v>
      </c>
      <c r="Q264" s="1">
        <v>2</v>
      </c>
    </row>
    <row r="265" spans="1:17">
      <c r="A265" s="1" t="s">
        <v>5617</v>
      </c>
      <c r="B265" s="1" t="s">
        <v>330</v>
      </c>
      <c r="C265" s="1" t="s">
        <v>165</v>
      </c>
      <c r="D265" s="19" t="s">
        <v>385</v>
      </c>
      <c r="E265" s="15" t="str">
        <f>HYPERLINK("https://stat100.ameba.jp/tnk47/ratio20/illustrations/card/ill_59673_0_oheyashutendoji03.jpg?201909-3-RELEASE-dice-e-429x", "■")</f>
        <v>■</v>
      </c>
      <c r="F265" s="1" t="s">
        <v>983</v>
      </c>
      <c r="G265" s="1">
        <v>105545</v>
      </c>
      <c r="H265" s="1">
        <v>113525</v>
      </c>
      <c r="I265" s="1">
        <v>15</v>
      </c>
      <c r="J265" s="1" t="s">
        <v>73</v>
      </c>
      <c r="K265" s="1" t="s">
        <v>984</v>
      </c>
      <c r="L265" s="1" t="s">
        <v>985</v>
      </c>
      <c r="M265" s="1" t="s">
        <v>9158</v>
      </c>
      <c r="N265" s="1" t="s">
        <v>9158</v>
      </c>
      <c r="O265" s="19" t="s">
        <v>10078</v>
      </c>
      <c r="P265" s="1" t="s">
        <v>3022</v>
      </c>
      <c r="Q265" s="1">
        <v>1</v>
      </c>
    </row>
    <row r="266" spans="1:17">
      <c r="A266" s="1" t="s">
        <v>5830</v>
      </c>
      <c r="B266" s="1" t="s">
        <v>330</v>
      </c>
      <c r="C266" s="1" t="s">
        <v>191</v>
      </c>
      <c r="D266" s="19" t="s">
        <v>793</v>
      </c>
      <c r="E266" s="15" t="str">
        <f>HYPERLINK("https://stat100.ameba.jp/tnk47/ratio20/illustrations/card/ill_39933_0_reihiiinaotora03.jpg?201909-3-RELEASE-dice-e-429x", "■")</f>
        <v>■</v>
      </c>
      <c r="F266" s="1" t="s">
        <v>794</v>
      </c>
      <c r="G266" s="1">
        <v>82212</v>
      </c>
      <c r="H266" s="1">
        <v>87780</v>
      </c>
      <c r="I266" s="1">
        <v>15</v>
      </c>
      <c r="J266" s="1" t="s">
        <v>315</v>
      </c>
      <c r="K266" s="1" t="s">
        <v>795</v>
      </c>
      <c r="L266" s="1" t="s">
        <v>796</v>
      </c>
      <c r="M266" s="1" t="s">
        <v>9158</v>
      </c>
      <c r="N266" s="1" t="s">
        <v>9158</v>
      </c>
      <c r="O266" s="1" t="s">
        <v>9158</v>
      </c>
      <c r="P266" s="1" t="s">
        <v>9158</v>
      </c>
      <c r="Q266" s="1" t="s">
        <v>9158</v>
      </c>
    </row>
    <row r="267" spans="1:17">
      <c r="A267" s="1">
        <v>60223</v>
      </c>
      <c r="B267" s="1" t="s">
        <v>334</v>
      </c>
      <c r="C267" s="1" t="s">
        <v>206</v>
      </c>
      <c r="D267" s="19" t="s">
        <v>728</v>
      </c>
      <c r="E267" s="15" t="str">
        <f>HYPERLINK("https://stat100.ameba.jp/tnk47/ratio20/illustrations/card/ill_60223_soyoshitoshi03.jpg?201909-3-RELEASE-dice-e-429x", "■")</f>
        <v>■</v>
      </c>
      <c r="F267" s="1" t="s">
        <v>6902</v>
      </c>
      <c r="G267" s="1">
        <v>123632</v>
      </c>
      <c r="H267" s="1">
        <v>170708</v>
      </c>
      <c r="I267" s="1">
        <v>24</v>
      </c>
      <c r="J267" s="1" t="s">
        <v>6899</v>
      </c>
      <c r="K267" s="1" t="s">
        <v>6901</v>
      </c>
      <c r="L267" s="1" t="s">
        <v>6900</v>
      </c>
      <c r="M267" s="1" t="s">
        <v>9158</v>
      </c>
      <c r="N267" s="1" t="s">
        <v>9158</v>
      </c>
      <c r="O267" s="1" t="s">
        <v>9158</v>
      </c>
      <c r="P267" s="1" t="s">
        <v>9158</v>
      </c>
      <c r="Q267" s="1" t="s">
        <v>9158</v>
      </c>
    </row>
    <row r="268" spans="1:17">
      <c r="A268" s="1">
        <v>78463</v>
      </c>
      <c r="B268" s="1" t="s">
        <v>334</v>
      </c>
      <c r="C268" s="1" t="s">
        <v>191</v>
      </c>
      <c r="D268" s="19" t="s">
        <v>10611</v>
      </c>
      <c r="E268" s="15" t="str">
        <f>HYPERLINK("https://stat100.ameba.jp/tnk47/ratio20/illustrations/card/ill_78463_dobutsunoshimatakuhatachijihime03.jpg?201909-3-RELEASE-dice-e-429x", "■")</f>
        <v>■</v>
      </c>
      <c r="F268" s="1" t="s">
        <v>6898</v>
      </c>
      <c r="G268" s="1">
        <v>68010</v>
      </c>
      <c r="H268" s="1">
        <v>120892</v>
      </c>
      <c r="I268" s="1">
        <v>24</v>
      </c>
      <c r="J268" s="1" t="s">
        <v>169</v>
      </c>
      <c r="K268" s="1" t="s">
        <v>6897</v>
      </c>
      <c r="L268" s="1" t="s">
        <v>6896</v>
      </c>
      <c r="M268" s="1" t="s">
        <v>9158</v>
      </c>
      <c r="N268" s="1" t="s">
        <v>9158</v>
      </c>
      <c r="O268" s="1" t="s">
        <v>9158</v>
      </c>
      <c r="P268" s="1" t="s">
        <v>9158</v>
      </c>
      <c r="Q268" s="1" t="s">
        <v>9158</v>
      </c>
    </row>
    <row r="269" spans="1:17">
      <c r="A269" s="1">
        <v>67243</v>
      </c>
      <c r="B269" s="1" t="s">
        <v>334</v>
      </c>
      <c r="C269" s="1" t="s">
        <v>205</v>
      </c>
      <c r="D269" s="19" t="s">
        <v>10199</v>
      </c>
      <c r="E269" s="15" t="str">
        <f>HYPERLINK("https://stat100.ameba.jp/tnk47/ratio20/illustrations/card/ill_67243_onsenyadomoryo03.jpg?201909-3-RELEASE-dice-e-429x", "■")</f>
        <v>■</v>
      </c>
      <c r="F269" s="1" t="s">
        <v>6895</v>
      </c>
      <c r="G269" s="1">
        <v>92996</v>
      </c>
      <c r="H269" s="1">
        <v>99996</v>
      </c>
      <c r="I269" s="1">
        <v>24</v>
      </c>
      <c r="J269" s="1" t="s">
        <v>73</v>
      </c>
      <c r="K269" s="1" t="s">
        <v>6894</v>
      </c>
      <c r="L269" s="1" t="s">
        <v>6893</v>
      </c>
      <c r="M269" s="1" t="s">
        <v>9158</v>
      </c>
      <c r="N269" s="1" t="s">
        <v>9158</v>
      </c>
      <c r="O269" s="1" t="s">
        <v>9158</v>
      </c>
      <c r="P269" s="1" t="s">
        <v>9158</v>
      </c>
      <c r="Q269" s="1" t="s">
        <v>9158</v>
      </c>
    </row>
    <row r="270" spans="1:17">
      <c r="A270" s="1">
        <v>80953</v>
      </c>
      <c r="B270" s="1" t="s">
        <v>15</v>
      </c>
      <c r="C270" s="1" t="s">
        <v>191</v>
      </c>
      <c r="D270" s="19" t="s">
        <v>10612</v>
      </c>
      <c r="E270" s="15" t="str">
        <f>HYPERLINK("https://stat100.ameba.jp/tnk47/ratio20/illustrations/card/ill_80953_akazomemon03.jpg?201909-3-RELEASE-dice-e-429x", "■")</f>
        <v>■</v>
      </c>
      <c r="F270" s="1" t="s">
        <v>6892</v>
      </c>
      <c r="G270" s="1">
        <v>51078</v>
      </c>
      <c r="H270" s="1">
        <v>56316</v>
      </c>
      <c r="I270" s="1">
        <v>19</v>
      </c>
      <c r="J270" s="1" t="s">
        <v>173</v>
      </c>
      <c r="K270" s="1" t="s">
        <v>6891</v>
      </c>
      <c r="L270" s="1" t="s">
        <v>6890</v>
      </c>
      <c r="M270" s="1" t="s">
        <v>9158</v>
      </c>
      <c r="N270" s="1" t="s">
        <v>9158</v>
      </c>
      <c r="O270" s="1" t="s">
        <v>9158</v>
      </c>
      <c r="P270" s="1" t="s">
        <v>9158</v>
      </c>
      <c r="Q270" s="1" t="s">
        <v>9158</v>
      </c>
    </row>
    <row r="271" spans="1:17">
      <c r="A271" s="1">
        <v>80293</v>
      </c>
      <c r="B271" s="1" t="s">
        <v>348</v>
      </c>
      <c r="C271" s="1" t="s">
        <v>185</v>
      </c>
      <c r="D271" s="19" t="s">
        <v>3974</v>
      </c>
      <c r="E271" s="15" t="str">
        <f>HYPERLINK("https://stat100.ameba.jp/tnk47/ratio20/illustrations/card/ill_80293_howaitodehowaitochokochan03.jpg?201909-3-RELEASE-dice-e-429x", "■")</f>
        <v>■</v>
      </c>
      <c r="F271" s="1" t="s">
        <v>3975</v>
      </c>
      <c r="G271" s="1">
        <v>51078</v>
      </c>
      <c r="H271" s="1">
        <v>56316</v>
      </c>
      <c r="I271" s="1">
        <v>19</v>
      </c>
      <c r="J271" s="1" t="s">
        <v>283</v>
      </c>
      <c r="K271" s="1" t="s">
        <v>3976</v>
      </c>
      <c r="L271" s="1" t="s">
        <v>1442</v>
      </c>
      <c r="M271" s="1" t="s">
        <v>9158</v>
      </c>
      <c r="N271" s="1" t="s">
        <v>9158</v>
      </c>
      <c r="O271" s="1" t="s">
        <v>9158</v>
      </c>
      <c r="P271" s="1" t="s">
        <v>9158</v>
      </c>
      <c r="Q271" s="1" t="s">
        <v>9158</v>
      </c>
    </row>
    <row r="272" spans="1:17">
      <c r="A272" s="1">
        <v>75473</v>
      </c>
      <c r="B272" s="1" t="s">
        <v>15</v>
      </c>
      <c r="C272" s="1" t="s">
        <v>206</v>
      </c>
      <c r="D272" s="19" t="s">
        <v>10613</v>
      </c>
      <c r="E272" s="15" t="str">
        <f>HYPERLINK("https://stat100.ameba.jp/tnk47/ratio20/illustrations/card/ill_75473_akizukitanetoki03.jpg?201909-3-RELEASE-dice-e-429x", "■")</f>
        <v>■</v>
      </c>
      <c r="F272" s="1" t="s">
        <v>6887</v>
      </c>
      <c r="G272" s="1">
        <v>51078</v>
      </c>
      <c r="H272" s="1">
        <v>56316</v>
      </c>
      <c r="I272" s="1">
        <v>19</v>
      </c>
      <c r="J272" s="1" t="s">
        <v>310</v>
      </c>
      <c r="K272" s="1" t="s">
        <v>6889</v>
      </c>
      <c r="L272" s="1" t="s">
        <v>6888</v>
      </c>
      <c r="M272" s="1" t="s">
        <v>9158</v>
      </c>
      <c r="N272" s="1" t="s">
        <v>9158</v>
      </c>
      <c r="O272" s="1" t="s">
        <v>9158</v>
      </c>
      <c r="P272" s="1" t="s">
        <v>9158</v>
      </c>
      <c r="Q272" s="1" t="s">
        <v>9158</v>
      </c>
    </row>
    <row r="274" spans="1:18">
      <c r="A274" s="1" t="s">
        <v>6903</v>
      </c>
    </row>
    <row r="275" spans="1:18">
      <c r="A275" s="1" t="s">
        <v>6904</v>
      </c>
    </row>
    <row r="276" spans="1:18">
      <c r="A276" s="1" t="s">
        <v>6905</v>
      </c>
      <c r="B276" s="1" t="s">
        <v>330</v>
      </c>
      <c r="C276" s="1" t="s">
        <v>35</v>
      </c>
      <c r="D276" s="19" t="s">
        <v>10299</v>
      </c>
      <c r="E276" s="15" t="str">
        <f>HYPERLINK("https://stat100.ameba.jp/tnk47/ratio20/illustrations/card/ill_80623_0_ohanamigurampingutominushihime03.jpg?201909-3-RELEASE-dice-e-429x", "■")</f>
        <v>■</v>
      </c>
      <c r="F276" s="1" t="s">
        <v>4162</v>
      </c>
      <c r="G276" s="1">
        <v>289274</v>
      </c>
      <c r="H276" s="1">
        <v>261472</v>
      </c>
      <c r="I276" s="1">
        <v>24</v>
      </c>
      <c r="J276" s="1" t="s">
        <v>44</v>
      </c>
      <c r="K276" s="1" t="s">
        <v>4163</v>
      </c>
      <c r="L276" s="1" t="s">
        <v>4164</v>
      </c>
      <c r="M276" s="1" t="s">
        <v>9158</v>
      </c>
      <c r="N276" s="1" t="s">
        <v>9158</v>
      </c>
      <c r="O276" s="19" t="s">
        <v>10126</v>
      </c>
      <c r="P276" s="1" t="s">
        <v>4166</v>
      </c>
      <c r="Q276" s="1">
        <v>1</v>
      </c>
    </row>
    <row r="277" spans="1:18">
      <c r="A277" s="1">
        <v>77663</v>
      </c>
      <c r="B277" s="1" t="s">
        <v>334</v>
      </c>
      <c r="C277" s="1" t="s">
        <v>202</v>
      </c>
      <c r="D277" s="19" t="s">
        <v>10614</v>
      </c>
      <c r="E277" s="15" t="str">
        <f>HYPERLINK("https://stat100.ameba.jp/tnk47/ratio20/illustrations/card/ill_77663_deipuburu03.jpg?201909-3-RELEASE-dice-e-429x", "■")</f>
        <v>■</v>
      </c>
      <c r="F277" s="1" t="s">
        <v>1573</v>
      </c>
      <c r="G277" s="1">
        <v>78916</v>
      </c>
      <c r="H277" s="1">
        <v>108924</v>
      </c>
      <c r="I277" s="1">
        <v>24</v>
      </c>
      <c r="J277" s="1" t="s">
        <v>414</v>
      </c>
      <c r="K277" s="1" t="s">
        <v>1574</v>
      </c>
      <c r="L277" s="1" t="s">
        <v>1575</v>
      </c>
      <c r="M277" s="1" t="s">
        <v>9158</v>
      </c>
      <c r="N277" s="1" t="s">
        <v>9158</v>
      </c>
      <c r="O277" s="19" t="s">
        <v>10117</v>
      </c>
      <c r="P277" s="1" t="s">
        <v>3625</v>
      </c>
      <c r="Q277" s="1">
        <v>1</v>
      </c>
    </row>
    <row r="278" spans="1:18">
      <c r="A278" s="1">
        <v>64043</v>
      </c>
      <c r="B278" s="1" t="s">
        <v>334</v>
      </c>
      <c r="C278" s="1" t="s">
        <v>209</v>
      </c>
      <c r="D278" s="19" t="s">
        <v>10262</v>
      </c>
      <c r="E278" s="15" t="str">
        <f>HYPERLINK("https://stat100.ameba.jp/tnk47/ratio20/illustrations/card/ill_64043_kegonnotaki03.jpg?201909-3-RELEASE-dice-e-429x", "■")</f>
        <v>■</v>
      </c>
      <c r="F278" s="1" t="s">
        <v>759</v>
      </c>
      <c r="G278" s="1">
        <v>114160</v>
      </c>
      <c r="H278" s="1">
        <v>82694</v>
      </c>
      <c r="I278" s="1">
        <v>24</v>
      </c>
      <c r="J278" s="1" t="s">
        <v>229</v>
      </c>
      <c r="K278" s="1" t="s">
        <v>230</v>
      </c>
      <c r="L278" s="1" t="s">
        <v>13143</v>
      </c>
      <c r="M278" s="1" t="s">
        <v>9158</v>
      </c>
      <c r="N278" s="1" t="s">
        <v>9158</v>
      </c>
      <c r="O278" s="19" t="s">
        <v>10070</v>
      </c>
      <c r="P278" s="1" t="s">
        <v>3579</v>
      </c>
      <c r="Q278" s="1">
        <v>1</v>
      </c>
    </row>
    <row r="279" spans="1:18">
      <c r="A279" s="1">
        <v>81023</v>
      </c>
      <c r="B279" s="1" t="s">
        <v>334</v>
      </c>
      <c r="C279" s="1" t="s">
        <v>41</v>
      </c>
      <c r="D279" s="19" t="s">
        <v>10274</v>
      </c>
      <c r="E279" s="15" t="str">
        <f>HYPERLINK("https://stat100.ameba.jp/tnk47/ratio20/illustrations/card/ill_81023_momonokenki03.jpg?201909-3-RELEASE-dice-e-429x", "■")</f>
        <v>■</v>
      </c>
      <c r="F279" s="1" t="s">
        <v>4088</v>
      </c>
      <c r="G279" s="1">
        <v>126858</v>
      </c>
      <c r="H279" s="1">
        <v>91876</v>
      </c>
      <c r="I279" s="1">
        <v>24</v>
      </c>
      <c r="J279" s="1" t="s">
        <v>143</v>
      </c>
      <c r="K279" s="1" t="s">
        <v>4089</v>
      </c>
      <c r="L279" s="1" t="s">
        <v>2049</v>
      </c>
      <c r="M279" s="1" t="s">
        <v>9158</v>
      </c>
      <c r="N279" s="1" t="s">
        <v>9158</v>
      </c>
      <c r="O279" s="19" t="s">
        <v>10096</v>
      </c>
      <c r="P279" s="1" t="s">
        <v>3245</v>
      </c>
      <c r="Q279" s="1">
        <v>1</v>
      </c>
    </row>
    <row r="281" spans="1:18">
      <c r="A281" s="1" t="s">
        <v>13364</v>
      </c>
    </row>
    <row r="282" spans="1:18">
      <c r="A282" s="1" t="s">
        <v>6919</v>
      </c>
    </row>
    <row r="283" spans="1:18">
      <c r="A283" s="1">
        <v>83665</v>
      </c>
      <c r="B283" s="1" t="s">
        <v>6906</v>
      </c>
      <c r="C283" s="1" t="s">
        <v>6908</v>
      </c>
      <c r="D283" s="19" t="s">
        <v>10615</v>
      </c>
      <c r="E283" s="15" t="str">
        <f>HYPERLINK("https://stat100.ameba.jp/tnk47/ratio20/illustrations/card/ill_83665_nijiironomajutsushitencha05.jpg?201909-3-RELEASE-dice-e-429x", "■")</f>
        <v>■</v>
      </c>
      <c r="F283" s="1" t="s">
        <v>6916</v>
      </c>
      <c r="G283" s="1">
        <v>180306</v>
      </c>
      <c r="H283" s="1">
        <v>130562</v>
      </c>
      <c r="I283" s="1">
        <v>24</v>
      </c>
      <c r="J283" s="1" t="s">
        <v>6913</v>
      </c>
      <c r="K283" s="1" t="s">
        <v>6914</v>
      </c>
      <c r="L283" s="1" t="s">
        <v>6915</v>
      </c>
      <c r="M283" s="1" t="s">
        <v>9158</v>
      </c>
      <c r="N283" s="1" t="s">
        <v>9158</v>
      </c>
      <c r="O283" s="1" t="s">
        <v>9158</v>
      </c>
      <c r="P283" s="1" t="s">
        <v>9158</v>
      </c>
      <c r="Q283" s="1" t="s">
        <v>9158</v>
      </c>
      <c r="R283" s="1" t="s">
        <v>6910</v>
      </c>
    </row>
    <row r="284" spans="1:18">
      <c r="A284" s="1">
        <v>83663</v>
      </c>
      <c r="B284" s="1" t="s">
        <v>6907</v>
      </c>
      <c r="C284" s="1" t="s">
        <v>6909</v>
      </c>
      <c r="D284" s="19" t="s">
        <v>10615</v>
      </c>
      <c r="E284" s="15" t="str">
        <f>HYPERLINK("https://stat100.ameba.jp/tnk47/ratio20/illustrations/card/ill_83663_nijiironomajutsushitencha03.jpg?201909-3-RELEASE-dice-e-429x", "■")</f>
        <v>■</v>
      </c>
      <c r="F284" s="1" t="s">
        <v>6916</v>
      </c>
      <c r="G284" s="1">
        <v>132850</v>
      </c>
      <c r="H284" s="1">
        <v>96200</v>
      </c>
      <c r="I284" s="1">
        <v>24</v>
      </c>
      <c r="J284" s="1" t="s">
        <v>6913</v>
      </c>
      <c r="K284" s="1" t="s">
        <v>6914</v>
      </c>
      <c r="L284" s="1" t="s">
        <v>6917</v>
      </c>
      <c r="M284" s="1" t="s">
        <v>9158</v>
      </c>
      <c r="N284" s="1" t="s">
        <v>9158</v>
      </c>
      <c r="O284" s="1" t="s">
        <v>9158</v>
      </c>
      <c r="P284" s="1" t="s">
        <v>9158</v>
      </c>
      <c r="Q284" s="1" t="s">
        <v>9158</v>
      </c>
      <c r="R284" s="1" t="s">
        <v>6911</v>
      </c>
    </row>
    <row r="285" spans="1:18">
      <c r="A285" s="1">
        <v>83661</v>
      </c>
      <c r="B285" s="1" t="s">
        <v>6907</v>
      </c>
      <c r="C285" s="1" t="s">
        <v>6909</v>
      </c>
      <c r="D285" s="19" t="s">
        <v>10615</v>
      </c>
      <c r="E285" s="15" t="str">
        <f>HYPERLINK("https://stat100.ameba.jp/tnk47/ratio20/illustrations/card/ill_83661_nijiironomajutsushitencha01.jpg?201909-3-RELEASE-dice-e-429x", "■")</f>
        <v>■</v>
      </c>
      <c r="F285" s="1" t="s">
        <v>6916</v>
      </c>
      <c r="G285" s="1">
        <v>84504</v>
      </c>
      <c r="H285" s="1">
        <v>61200</v>
      </c>
      <c r="I285" s="1">
        <v>24</v>
      </c>
      <c r="J285" s="1" t="s">
        <v>6913</v>
      </c>
      <c r="K285" s="1" t="s">
        <v>6914</v>
      </c>
      <c r="L285" s="1" t="s">
        <v>6918</v>
      </c>
      <c r="M285" s="1" t="s">
        <v>9158</v>
      </c>
      <c r="N285" s="1" t="s">
        <v>9158</v>
      </c>
      <c r="O285" s="1" t="s">
        <v>9158</v>
      </c>
      <c r="P285" s="1" t="s">
        <v>9158</v>
      </c>
      <c r="Q285" s="1" t="s">
        <v>9158</v>
      </c>
      <c r="R285" s="1" t="s">
        <v>6912</v>
      </c>
    </row>
    <row r="287" spans="1:18">
      <c r="A287" s="1" t="s">
        <v>10549</v>
      </c>
    </row>
    <row r="288" spans="1:18">
      <c r="A288" s="1" t="s">
        <v>6920</v>
      </c>
    </row>
    <row r="289" spans="1:17">
      <c r="A289" s="1">
        <v>71783</v>
      </c>
      <c r="B289" s="1" t="s">
        <v>6906</v>
      </c>
      <c r="C289" s="1" t="s">
        <v>165</v>
      </c>
      <c r="D289" s="19" t="s">
        <v>10616</v>
      </c>
      <c r="E289" s="15" t="str">
        <f>HYPERLINK("https://stat100.ameba.jp/tnk47/ratio20/illustrations/card/ill_71783_omikikannon03.jpg?201909-3-RELEASE-dice-e-429x", "■")</f>
        <v>■</v>
      </c>
      <c r="F289" s="1" t="s">
        <v>6936</v>
      </c>
      <c r="G289" s="1">
        <v>109528</v>
      </c>
      <c r="H289" s="1">
        <v>101656</v>
      </c>
      <c r="I289" s="1">
        <v>24</v>
      </c>
      <c r="J289" s="1" t="s">
        <v>6923</v>
      </c>
      <c r="K289" s="1" t="s">
        <v>6922</v>
      </c>
      <c r="L289" s="1" t="s">
        <v>6921</v>
      </c>
      <c r="M289" s="1" t="s">
        <v>9158</v>
      </c>
      <c r="N289" s="1" t="s">
        <v>9158</v>
      </c>
      <c r="O289" s="1" t="s">
        <v>9158</v>
      </c>
      <c r="P289" s="1" t="s">
        <v>9158</v>
      </c>
      <c r="Q289" s="1" t="s">
        <v>9158</v>
      </c>
    </row>
    <row r="290" spans="1:17">
      <c r="A290" s="1">
        <v>73903</v>
      </c>
      <c r="B290" s="1" t="s">
        <v>6906</v>
      </c>
      <c r="C290" s="1" t="s">
        <v>6909</v>
      </c>
      <c r="D290" s="19" t="s">
        <v>10617</v>
      </c>
      <c r="E290" s="15" t="str">
        <f>HYPERLINK("https://stat100.ameba.jp/tnk47/ratio20/illustrations/card/ill_73903_kokerazushi03.jpg?201909-3-RELEASE-dice-e-429x", "■")</f>
        <v>■</v>
      </c>
      <c r="F290" s="1" t="s">
        <v>6937</v>
      </c>
      <c r="G290" s="1">
        <v>113340</v>
      </c>
      <c r="H290" s="1">
        <v>105394</v>
      </c>
      <c r="I290" s="1">
        <v>24</v>
      </c>
      <c r="J290" s="1" t="s">
        <v>283</v>
      </c>
      <c r="K290" s="1" t="s">
        <v>6925</v>
      </c>
      <c r="L290" s="1" t="s">
        <v>6924</v>
      </c>
      <c r="M290" s="1" t="s">
        <v>9158</v>
      </c>
      <c r="N290" s="1" t="s">
        <v>9158</v>
      </c>
      <c r="O290" s="1" t="s">
        <v>9158</v>
      </c>
      <c r="P290" s="1" t="s">
        <v>9158</v>
      </c>
      <c r="Q290" s="1" t="s">
        <v>9158</v>
      </c>
    </row>
    <row r="291" spans="1:17">
      <c r="A291" s="1">
        <v>57983</v>
      </c>
      <c r="B291" s="1" t="s">
        <v>6906</v>
      </c>
      <c r="C291" s="1" t="s">
        <v>209</v>
      </c>
      <c r="D291" s="19" t="s">
        <v>10618</v>
      </c>
      <c r="E291" s="15" t="str">
        <f>HYPERLINK("https://stat100.ameba.jp/tnk47/ratio20/illustrations/card/ill_57983_pawasupottochokeshin03.jpg?201909-3-RELEASE-dice-e-429x", "■")</f>
        <v>■</v>
      </c>
      <c r="F291" s="1" t="s">
        <v>6938</v>
      </c>
      <c r="G291" s="1">
        <v>92504</v>
      </c>
      <c r="H291" s="1">
        <v>86006</v>
      </c>
      <c r="I291" s="1">
        <v>24</v>
      </c>
      <c r="J291" s="1" t="s">
        <v>6928</v>
      </c>
      <c r="K291" s="1" t="s">
        <v>6927</v>
      </c>
      <c r="L291" s="1" t="s">
        <v>6926</v>
      </c>
      <c r="M291" s="1" t="s">
        <v>9158</v>
      </c>
      <c r="N291" s="1" t="s">
        <v>9158</v>
      </c>
      <c r="O291" s="1" t="s">
        <v>9158</v>
      </c>
      <c r="P291" s="1" t="s">
        <v>9158</v>
      </c>
      <c r="Q291" s="1" t="s">
        <v>9158</v>
      </c>
    </row>
    <row r="292" spans="1:17">
      <c r="A292" s="1">
        <v>75363</v>
      </c>
      <c r="B292" s="1" t="s">
        <v>6907</v>
      </c>
      <c r="C292" s="1" t="s">
        <v>185</v>
      </c>
      <c r="D292" s="19" t="s">
        <v>10619</v>
      </c>
      <c r="E292" s="15" t="str">
        <f>HYPERLINK("https://stat100.ameba.jp/tnk47/ratio20/illustrations/card/ill_75363_resukuinjimboyuki03.jpg?201909-3-RELEASE-dice-e-429x", "■")</f>
        <v>■</v>
      </c>
      <c r="F292" s="1" t="s">
        <v>6939</v>
      </c>
      <c r="G292" s="1">
        <v>56316</v>
      </c>
      <c r="H292" s="1">
        <v>51078</v>
      </c>
      <c r="I292" s="1">
        <v>19</v>
      </c>
      <c r="J292" s="1" t="s">
        <v>6931</v>
      </c>
      <c r="K292" s="1" t="s">
        <v>6930</v>
      </c>
      <c r="L292" s="1" t="s">
        <v>6929</v>
      </c>
      <c r="M292" s="1" t="s">
        <v>9158</v>
      </c>
      <c r="N292" s="1" t="s">
        <v>9158</v>
      </c>
      <c r="O292" s="1" t="s">
        <v>9158</v>
      </c>
      <c r="P292" s="1" t="s">
        <v>9158</v>
      </c>
      <c r="Q292" s="1" t="s">
        <v>9158</v>
      </c>
    </row>
    <row r="293" spans="1:17">
      <c r="A293" s="1">
        <v>74573</v>
      </c>
      <c r="B293" s="1" t="s">
        <v>6907</v>
      </c>
      <c r="C293" s="1" t="s">
        <v>191</v>
      </c>
      <c r="D293" s="19" t="s">
        <v>10620</v>
      </c>
      <c r="E293" s="15" t="str">
        <f>HYPERLINK("https://stat100.ameba.jp/tnk47/ratio20/illustrations/card/ill_74573_natsuyuenchitamayanotsubaki03.jpg?201909-3-RELEASE-dice-e-429x", "■")</f>
        <v>■</v>
      </c>
      <c r="F293" s="1" t="s">
        <v>6940</v>
      </c>
      <c r="G293" s="1">
        <v>51078</v>
      </c>
      <c r="H293" s="1">
        <v>56316</v>
      </c>
      <c r="I293" s="1">
        <v>19</v>
      </c>
      <c r="J293" s="1" t="s">
        <v>6923</v>
      </c>
      <c r="K293" s="1" t="s">
        <v>6933</v>
      </c>
      <c r="L293" s="1" t="s">
        <v>6932</v>
      </c>
      <c r="M293" s="1" t="s">
        <v>9158</v>
      </c>
      <c r="N293" s="1" t="s">
        <v>9158</v>
      </c>
      <c r="O293" s="1" t="s">
        <v>9158</v>
      </c>
      <c r="P293" s="1" t="s">
        <v>9158</v>
      </c>
      <c r="Q293" s="1" t="s">
        <v>9158</v>
      </c>
    </row>
    <row r="294" spans="1:17">
      <c r="A294" s="1">
        <v>73123</v>
      </c>
      <c r="B294" s="1" t="s">
        <v>6907</v>
      </c>
      <c r="C294" s="1" t="s">
        <v>206</v>
      </c>
      <c r="D294" s="19" t="s">
        <v>10283</v>
      </c>
      <c r="E294" s="15" t="str">
        <f>HYPERLINK("https://stat100.ameba.jp/tnk47/ratio20/illustrations/card/ill_73123_raikiri03.jpg?201909-3-RELEASE-dice-e-429x", "■")</f>
        <v>■</v>
      </c>
      <c r="F294" s="1" t="s">
        <v>6941</v>
      </c>
      <c r="G294" s="1">
        <v>51078</v>
      </c>
      <c r="H294" s="1">
        <v>56316</v>
      </c>
      <c r="I294" s="1">
        <v>19</v>
      </c>
      <c r="J294" s="1" t="s">
        <v>44</v>
      </c>
      <c r="K294" s="1" t="s">
        <v>6935</v>
      </c>
      <c r="L294" s="1" t="s">
        <v>6934</v>
      </c>
      <c r="M294" s="1" t="s">
        <v>9158</v>
      </c>
      <c r="N294" s="1" t="s">
        <v>9158</v>
      </c>
      <c r="O294" s="1" t="s">
        <v>9158</v>
      </c>
      <c r="P294" s="1" t="s">
        <v>9158</v>
      </c>
      <c r="Q294" s="1" t="s">
        <v>9158</v>
      </c>
    </row>
    <row r="296" spans="1:17">
      <c r="A296" s="1" t="s">
        <v>6942</v>
      </c>
    </row>
    <row r="297" spans="1:17">
      <c r="A297" s="1" t="s">
        <v>6943</v>
      </c>
    </row>
    <row r="298" spans="1:17">
      <c r="A298" s="1" t="s">
        <v>5624</v>
      </c>
      <c r="B298" s="1" t="s">
        <v>52</v>
      </c>
      <c r="C298" s="1" t="s">
        <v>101</v>
      </c>
      <c r="D298" s="19" t="s">
        <v>1426</v>
      </c>
      <c r="E298" s="15" t="str">
        <f>HYPERLINK("https://stat100.ameba.jp/tnk47/ratio20/illustrations/card/ill_64953_0_yukatatokugawayoshinobu03.jpg?201909-3-RELEASE-dice-e-429x", "■")</f>
        <v>■</v>
      </c>
      <c r="F298" s="1" t="s">
        <v>2090</v>
      </c>
      <c r="G298" s="1">
        <v>143290</v>
      </c>
      <c r="H298" s="1">
        <v>154104</v>
      </c>
      <c r="I298" s="1">
        <v>23</v>
      </c>
      <c r="J298" s="1" t="s">
        <v>10</v>
      </c>
      <c r="K298" s="1" t="s">
        <v>2091</v>
      </c>
      <c r="L298" s="1" t="s">
        <v>2092</v>
      </c>
      <c r="M298" s="1" t="s">
        <v>9158</v>
      </c>
      <c r="N298" s="1" t="s">
        <v>9158</v>
      </c>
      <c r="O298" s="19" t="s">
        <v>2889</v>
      </c>
      <c r="P298" s="1" t="s">
        <v>2890</v>
      </c>
      <c r="Q298" s="1">
        <v>1</v>
      </c>
    </row>
    <row r="299" spans="1:17">
      <c r="A299" s="1" t="s">
        <v>5606</v>
      </c>
      <c r="B299" s="1" t="s">
        <v>52</v>
      </c>
      <c r="C299" s="1" t="s">
        <v>206</v>
      </c>
      <c r="D299" s="19" t="s">
        <v>2936</v>
      </c>
      <c r="E299" s="15" t="str">
        <f>HYPERLINK("https://stat100.ameba.jp/tnk47/ratio20/illustrations/card/ill_72233_0_koinoboriryugujin03.jpg?201909-3-RELEASE-dice-e-429x", "■")</f>
        <v>■</v>
      </c>
      <c r="F299" s="1" t="s">
        <v>1012</v>
      </c>
      <c r="G299" s="1">
        <v>150871</v>
      </c>
      <c r="H299" s="1">
        <v>162279</v>
      </c>
      <c r="I299" s="1">
        <v>23</v>
      </c>
      <c r="J299" s="1" t="s">
        <v>44</v>
      </c>
      <c r="K299" s="1" t="s">
        <v>1013</v>
      </c>
      <c r="L299" s="1" t="s">
        <v>1014</v>
      </c>
      <c r="M299" s="1" t="s">
        <v>9158</v>
      </c>
      <c r="N299" s="1" t="s">
        <v>9158</v>
      </c>
      <c r="O299" s="19" t="s">
        <v>2940</v>
      </c>
      <c r="P299" s="1" t="s">
        <v>3420</v>
      </c>
      <c r="Q299" s="1">
        <v>2</v>
      </c>
    </row>
    <row r="300" spans="1:17">
      <c r="A300" s="1" t="s">
        <v>5721</v>
      </c>
      <c r="B300" s="1" t="s">
        <v>52</v>
      </c>
      <c r="C300" s="1" t="s">
        <v>1</v>
      </c>
      <c r="D300" s="19" t="s">
        <v>513</v>
      </c>
      <c r="E300" s="15" t="str">
        <f>HYPERLINK("https://stat100.ameba.jp/tnk47/ratio20/illustrations/card/ill_44283_0_izumonokuni03.jpg?201909-3-RELEASE-dice-e-429x", "■")</f>
        <v>■</v>
      </c>
      <c r="F300" s="1" t="s">
        <v>1716</v>
      </c>
      <c r="G300" s="1">
        <v>134596</v>
      </c>
      <c r="H300" s="1">
        <v>126058</v>
      </c>
      <c r="I300" s="1">
        <v>23</v>
      </c>
      <c r="J300" s="1" t="s">
        <v>16</v>
      </c>
      <c r="K300" s="1" t="s">
        <v>2254</v>
      </c>
      <c r="L300" s="1" t="s">
        <v>1718</v>
      </c>
      <c r="M300" s="1" t="s">
        <v>9158</v>
      </c>
      <c r="N300" s="1" t="s">
        <v>9158</v>
      </c>
      <c r="O300" s="1" t="s">
        <v>9158</v>
      </c>
      <c r="P300" s="1" t="s">
        <v>9158</v>
      </c>
      <c r="Q300" s="1" t="s">
        <v>9158</v>
      </c>
    </row>
    <row r="301" spans="1:17">
      <c r="A301" s="1">
        <v>83793</v>
      </c>
      <c r="B301" s="1" t="s">
        <v>0</v>
      </c>
      <c r="C301" s="1" t="s">
        <v>185</v>
      </c>
      <c r="D301" s="19" t="s">
        <v>10606</v>
      </c>
      <c r="E301" s="15" t="str">
        <f>HYPERLINK("https://stat100.ameba.jp/tnk47/ratio20/illustrations/card/ill_83793_danjirisakurambochan03.jpg?201909-3-RELEASE-dice-e-429x", "■")</f>
        <v>■</v>
      </c>
      <c r="F301" s="1" t="s">
        <v>6872</v>
      </c>
      <c r="G301" s="1">
        <v>105394</v>
      </c>
      <c r="H301" s="1">
        <v>113340</v>
      </c>
      <c r="I301" s="1">
        <v>24</v>
      </c>
      <c r="J301" s="1" t="s">
        <v>104</v>
      </c>
      <c r="K301" s="1" t="s">
        <v>6870</v>
      </c>
      <c r="L301" s="1" t="s">
        <v>131</v>
      </c>
      <c r="M301" s="1" t="s">
        <v>9158</v>
      </c>
      <c r="N301" s="1" t="s">
        <v>9158</v>
      </c>
      <c r="O301" s="1" t="s">
        <v>9158</v>
      </c>
      <c r="P301" s="1" t="s">
        <v>9158</v>
      </c>
      <c r="Q301" s="1" t="s">
        <v>9158</v>
      </c>
    </row>
    <row r="302" spans="1:17">
      <c r="A302" s="1">
        <v>83803</v>
      </c>
      <c r="B302" s="1" t="s">
        <v>15</v>
      </c>
      <c r="C302" s="1" t="s">
        <v>191</v>
      </c>
      <c r="D302" s="19" t="s">
        <v>10608</v>
      </c>
      <c r="E302" s="15" t="str">
        <f>HYPERLINK("https://stat100.ameba.jp/tnk47/ratio20/illustrations/card/ill_83803_otokomatsurihashibahideyoshi03.jpg?201909-3-RELEASE-dice-e-429x", "■")</f>
        <v>■</v>
      </c>
      <c r="F302" s="1" t="s">
        <v>6878</v>
      </c>
      <c r="G302" s="1">
        <v>53352</v>
      </c>
      <c r="H302" s="1">
        <v>53352</v>
      </c>
      <c r="I302" s="1">
        <v>18</v>
      </c>
      <c r="J302" s="1" t="s">
        <v>310</v>
      </c>
      <c r="K302" s="1" t="s">
        <v>6877</v>
      </c>
      <c r="L302" s="1" t="s">
        <v>3524</v>
      </c>
      <c r="M302" s="1" t="s">
        <v>9158</v>
      </c>
      <c r="N302" s="1" t="s">
        <v>9158</v>
      </c>
      <c r="O302" s="1" t="s">
        <v>9158</v>
      </c>
      <c r="P302" s="1" t="s">
        <v>9158</v>
      </c>
      <c r="Q302" s="1" t="s">
        <v>9158</v>
      </c>
    </row>
    <row r="303" spans="1:17">
      <c r="A303" s="1">
        <v>83813</v>
      </c>
      <c r="B303" s="1" t="s">
        <v>22</v>
      </c>
      <c r="C303" s="1" t="s">
        <v>165</v>
      </c>
      <c r="D303" s="19" t="s">
        <v>10609</v>
      </c>
      <c r="E303" s="15" t="str">
        <f>HYPERLINK("https://stat100.ameba.jp/tnk47/ratio20/illustrations/card/ill_83813_nagahamahikiyama03.jpg?201909-3-RELEASE-dice-e-429x", "■")</f>
        <v>■</v>
      </c>
      <c r="F303" s="1" t="s">
        <v>6881</v>
      </c>
      <c r="G303" s="1">
        <v>29388</v>
      </c>
      <c r="H303" s="1">
        <v>35346</v>
      </c>
      <c r="I303" s="1">
        <v>17</v>
      </c>
      <c r="J303" s="1" t="s">
        <v>229</v>
      </c>
      <c r="K303" s="1" t="s">
        <v>6880</v>
      </c>
      <c r="L303" s="1" t="s">
        <v>28</v>
      </c>
      <c r="M303" s="1" t="s">
        <v>9158</v>
      </c>
      <c r="N303" s="1" t="s">
        <v>9158</v>
      </c>
      <c r="O303" s="1" t="s">
        <v>9158</v>
      </c>
      <c r="P303" s="1" t="s">
        <v>9158</v>
      </c>
      <c r="Q303" s="1" t="s">
        <v>9158</v>
      </c>
    </row>
    <row r="304" spans="1:17">
      <c r="A304" s="1">
        <v>83823</v>
      </c>
      <c r="B304" s="1" t="s">
        <v>30</v>
      </c>
      <c r="C304" s="1" t="s">
        <v>248</v>
      </c>
      <c r="D304" s="19" t="s">
        <v>10610</v>
      </c>
      <c r="E304" s="15" t="str">
        <f>HYPERLINK("https://stat100.ameba.jp/tnk47/ratio20/illustrations/card/ill_83823_miyabiwagakkijuriakarozasu03.jpg?201909-3-RELEASE-dice-e-429x", "■")</f>
        <v>■</v>
      </c>
      <c r="F304" s="1" t="s">
        <v>6884</v>
      </c>
      <c r="G304" s="1">
        <v>21398</v>
      </c>
      <c r="H304" s="1">
        <v>17972</v>
      </c>
      <c r="I304" s="1">
        <v>17</v>
      </c>
      <c r="J304" s="1" t="s">
        <v>16</v>
      </c>
      <c r="K304" s="1" t="s">
        <v>6883</v>
      </c>
      <c r="L304" s="1" t="s">
        <v>34</v>
      </c>
      <c r="M304" s="1" t="s">
        <v>9158</v>
      </c>
      <c r="N304" s="1" t="s">
        <v>9158</v>
      </c>
      <c r="O304" s="1" t="s">
        <v>9158</v>
      </c>
      <c r="P304" s="1" t="s">
        <v>9158</v>
      </c>
      <c r="Q304" s="1" t="s">
        <v>9158</v>
      </c>
    </row>
    <row r="306" spans="1:17">
      <c r="A306" s="1" t="s">
        <v>6944</v>
      </c>
    </row>
    <row r="307" spans="1:17">
      <c r="A307" s="1" t="s">
        <v>6945</v>
      </c>
    </row>
    <row r="308" spans="1:17">
      <c r="A308" s="1" t="s">
        <v>5607</v>
      </c>
      <c r="B308" s="1" t="s">
        <v>330</v>
      </c>
      <c r="C308" s="1" t="s">
        <v>200</v>
      </c>
      <c r="D308" s="19" t="s">
        <v>421</v>
      </c>
      <c r="E308" s="15" t="str">
        <f>HYPERLINK("https://stat100.ameba.jp/tnk47/ratio20/illustrations/card/ill_58853_0_setsubumpanikkuhiratsukaraicho03.jpg?201909-3-RELEASE-dice-e-429x", "■")</f>
        <v>■</v>
      </c>
      <c r="F308" s="1" t="s">
        <v>1040</v>
      </c>
      <c r="G308" s="1">
        <v>94236</v>
      </c>
      <c r="H308" s="1">
        <v>83712</v>
      </c>
      <c r="I308" s="1">
        <v>15</v>
      </c>
      <c r="J308" s="1" t="s">
        <v>16</v>
      </c>
      <c r="K308" s="1" t="s">
        <v>1041</v>
      </c>
      <c r="L308" s="1" t="s">
        <v>1042</v>
      </c>
      <c r="M308" s="1" t="s">
        <v>9158</v>
      </c>
      <c r="N308" s="1" t="s">
        <v>9158</v>
      </c>
      <c r="O308" s="19" t="s">
        <v>10075</v>
      </c>
      <c r="P308" s="1" t="s">
        <v>2870</v>
      </c>
      <c r="Q308" s="1">
        <v>1</v>
      </c>
    </row>
    <row r="309" spans="1:17">
      <c r="A309" s="1" t="s">
        <v>6195</v>
      </c>
      <c r="B309" s="1" t="s">
        <v>52</v>
      </c>
      <c r="C309" s="1" t="s">
        <v>191</v>
      </c>
      <c r="D309" s="19" t="s">
        <v>10217</v>
      </c>
      <c r="E309" s="15" t="str">
        <f>HYPERLINK("https://stat100.ameba.jp/tnk47/ratio20/illustrations/card/ill_56493_0_poppukurisumasuikomakitsuno03.jpg?201909-3-RELEASE-dice-e-429x", "■")</f>
        <v>■</v>
      </c>
      <c r="F309" s="1" t="s">
        <v>1769</v>
      </c>
      <c r="G309" s="1">
        <v>94236</v>
      </c>
      <c r="H309" s="1">
        <v>83712</v>
      </c>
      <c r="I309" s="1">
        <v>15</v>
      </c>
      <c r="J309" s="1" t="s">
        <v>77</v>
      </c>
      <c r="K309" s="1" t="s">
        <v>1770</v>
      </c>
      <c r="L309" s="1" t="s">
        <v>1771</v>
      </c>
      <c r="M309" s="1" t="s">
        <v>9158</v>
      </c>
      <c r="N309" s="1" t="s">
        <v>9158</v>
      </c>
      <c r="O309" s="19" t="s">
        <v>10120</v>
      </c>
      <c r="P309" s="1" t="s">
        <v>2724</v>
      </c>
      <c r="Q309" s="1">
        <v>1</v>
      </c>
    </row>
    <row r="310" spans="1:17">
      <c r="A310" s="1" t="s">
        <v>5604</v>
      </c>
      <c r="B310" s="1" t="s">
        <v>330</v>
      </c>
      <c r="C310" s="1" t="s">
        <v>206</v>
      </c>
      <c r="D310" s="19" t="s">
        <v>614</v>
      </c>
      <c r="E310" s="15" t="str">
        <f>HYPERLINK("https://stat100.ameba.jp/tnk47/ratio20/illustrations/card/ill_47263_0_oukyuuatsuhime03.jpg?201909-3-RELEASE-dice-e-429x", "■")</f>
        <v>■</v>
      </c>
      <c r="F310" s="1" t="s">
        <v>615</v>
      </c>
      <c r="G310" s="1">
        <v>94236</v>
      </c>
      <c r="H310" s="1">
        <v>83712</v>
      </c>
      <c r="I310" s="1">
        <v>15</v>
      </c>
      <c r="J310" s="1" t="s">
        <v>315</v>
      </c>
      <c r="K310" s="1" t="s">
        <v>616</v>
      </c>
      <c r="L310" s="1" t="s">
        <v>617</v>
      </c>
      <c r="M310" s="1" t="s">
        <v>9158</v>
      </c>
      <c r="N310" s="1" t="s">
        <v>9158</v>
      </c>
      <c r="O310" s="1" t="s">
        <v>9158</v>
      </c>
      <c r="P310" s="1" t="s">
        <v>9158</v>
      </c>
      <c r="Q310" s="1" t="s">
        <v>9158</v>
      </c>
    </row>
    <row r="311" spans="1:17">
      <c r="A311" s="1">
        <v>69803</v>
      </c>
      <c r="B311" s="1" t="s">
        <v>0</v>
      </c>
      <c r="C311" s="1" t="s">
        <v>165</v>
      </c>
      <c r="D311" s="19" t="s">
        <v>10621</v>
      </c>
      <c r="E311" s="15" t="str">
        <f>HYPERLINK("https://stat100.ameba.jp/tnk47/ratio20/illustrations/card/ill_69803_bummeikaikahatsumenotsubone03.jpg?201909-3-RELEASE-dice-e-429x", "■")</f>
        <v>■</v>
      </c>
      <c r="F311" s="1" t="s">
        <v>6948</v>
      </c>
      <c r="G311" s="1">
        <v>93746</v>
      </c>
      <c r="H311" s="1">
        <v>87128</v>
      </c>
      <c r="I311" s="1">
        <v>24</v>
      </c>
      <c r="J311" s="1" t="s">
        <v>315</v>
      </c>
      <c r="K311" s="1" t="s">
        <v>6947</v>
      </c>
      <c r="L311" s="1" t="s">
        <v>6946</v>
      </c>
      <c r="M311" s="1" t="s">
        <v>9158</v>
      </c>
      <c r="N311" s="1" t="s">
        <v>9158</v>
      </c>
      <c r="O311" s="1" t="s">
        <v>9158</v>
      </c>
      <c r="P311" s="1" t="s">
        <v>9158</v>
      </c>
      <c r="Q311" s="1" t="s">
        <v>9158</v>
      </c>
    </row>
    <row r="312" spans="1:17">
      <c r="A312" s="1">
        <v>79643</v>
      </c>
      <c r="B312" s="1" t="s">
        <v>0</v>
      </c>
      <c r="C312" s="1" t="s">
        <v>185</v>
      </c>
      <c r="D312" s="19" t="s">
        <v>10622</v>
      </c>
      <c r="E312" s="15" t="str">
        <f>HYPERLINK("https://stat100.ameba.jp/tnk47/ratio20/illustrations/card/ill_79643_hibikiwataruneirosonobehideo03.jpg?201909-3-RELEASE-dice-e-429x", "■")</f>
        <v>■</v>
      </c>
      <c r="F312" s="1" t="s">
        <v>6951</v>
      </c>
      <c r="G312" s="1">
        <v>87128</v>
      </c>
      <c r="H312" s="1">
        <v>93746</v>
      </c>
      <c r="I312" s="1">
        <v>24</v>
      </c>
      <c r="J312" s="1" t="s">
        <v>10</v>
      </c>
      <c r="K312" s="1" t="s">
        <v>6950</v>
      </c>
      <c r="L312" s="1" t="s">
        <v>6949</v>
      </c>
      <c r="M312" s="1" t="s">
        <v>9158</v>
      </c>
      <c r="N312" s="1" t="s">
        <v>9158</v>
      </c>
      <c r="O312" s="1" t="s">
        <v>9158</v>
      </c>
      <c r="P312" s="1" t="s">
        <v>9158</v>
      </c>
      <c r="Q312" s="1" t="s">
        <v>9158</v>
      </c>
    </row>
    <row r="313" spans="1:17">
      <c r="A313" s="1">
        <v>81143</v>
      </c>
      <c r="B313" s="1" t="s">
        <v>334</v>
      </c>
      <c r="C313" s="1" t="s">
        <v>205</v>
      </c>
      <c r="D313" s="19" t="s">
        <v>10419</v>
      </c>
      <c r="E313" s="15" t="str">
        <f>HYPERLINK("https://stat100.ameba.jp/tnk47/ratio20/illustrations/card/ill_81143_shinryokunokisetsumerompan03.jpg?201909-3-RELEASE-dice-e-429x", "■")</f>
        <v>■</v>
      </c>
      <c r="F313" s="1" t="s">
        <v>4517</v>
      </c>
      <c r="G313" s="1">
        <v>113340</v>
      </c>
      <c r="H313" s="1">
        <v>105394</v>
      </c>
      <c r="I313" s="1">
        <v>24</v>
      </c>
      <c r="J313" s="1" t="s">
        <v>104</v>
      </c>
      <c r="K313" s="1" t="s">
        <v>4518</v>
      </c>
      <c r="L313" s="1" t="s">
        <v>3489</v>
      </c>
      <c r="M313" s="1" t="s">
        <v>9158</v>
      </c>
      <c r="N313" s="1" t="s">
        <v>9158</v>
      </c>
      <c r="O313" s="19" t="s">
        <v>10111</v>
      </c>
      <c r="P313" s="1" t="s">
        <v>3610</v>
      </c>
      <c r="Q313" s="1">
        <v>1</v>
      </c>
    </row>
    <row r="314" spans="1:17">
      <c r="A314" s="1">
        <v>80833</v>
      </c>
      <c r="B314" s="1" t="s">
        <v>15</v>
      </c>
      <c r="C314" s="1" t="s">
        <v>14</v>
      </c>
      <c r="D314" s="19" t="s">
        <v>10623</v>
      </c>
      <c r="E314" s="15" t="str">
        <f>HYPERLINK("https://stat100.ameba.jp/tnk47/ratio20/illustrations/card/ill_80833_hanamiononokomachi03.jpg?201909-3-RELEASE-dice-e-429x", "■")</f>
        <v>■</v>
      </c>
      <c r="F314" s="1" t="s">
        <v>4271</v>
      </c>
      <c r="G314" s="1">
        <v>59280</v>
      </c>
      <c r="H314" s="1">
        <v>53768</v>
      </c>
      <c r="I314" s="1">
        <v>20</v>
      </c>
      <c r="J314" s="1" t="s">
        <v>173</v>
      </c>
      <c r="K314" s="1" t="s">
        <v>4272</v>
      </c>
      <c r="L314" s="1" t="s">
        <v>3275</v>
      </c>
      <c r="M314" s="1" t="s">
        <v>9158</v>
      </c>
      <c r="N314" s="1" t="s">
        <v>9158</v>
      </c>
      <c r="O314" s="1" t="s">
        <v>9158</v>
      </c>
      <c r="P314" s="1" t="s">
        <v>9158</v>
      </c>
      <c r="Q314" s="1" t="s">
        <v>9158</v>
      </c>
    </row>
    <row r="315" spans="1:17">
      <c r="A315" s="1">
        <v>72313</v>
      </c>
      <c r="B315" s="1" t="s">
        <v>15</v>
      </c>
      <c r="C315" s="1" t="s">
        <v>165</v>
      </c>
      <c r="D315" s="19" t="s">
        <v>10624</v>
      </c>
      <c r="E315" s="15" t="str">
        <f>HYPERLINK("https://stat100.ameba.jp/tnk47/ratio20/illustrations/card/ill_72313_inei03.jpg?201909-3-RELEASE-dice-e-429x", "■")</f>
        <v>■</v>
      </c>
      <c r="F315" s="1" t="s">
        <v>4726</v>
      </c>
      <c r="G315" s="1">
        <v>53768</v>
      </c>
      <c r="H315" s="1">
        <v>59280</v>
      </c>
      <c r="I315" s="1">
        <v>20</v>
      </c>
      <c r="J315" s="1" t="s">
        <v>194</v>
      </c>
      <c r="K315" s="1" t="s">
        <v>4727</v>
      </c>
      <c r="L315" s="1" t="s">
        <v>3326</v>
      </c>
      <c r="M315" s="1" t="s">
        <v>9158</v>
      </c>
      <c r="N315" s="1" t="s">
        <v>9158</v>
      </c>
      <c r="O315" s="1" t="s">
        <v>9158</v>
      </c>
      <c r="P315" s="1" t="s">
        <v>9158</v>
      </c>
      <c r="Q315" s="1" t="s">
        <v>9158</v>
      </c>
    </row>
    <row r="316" spans="1:17">
      <c r="A316" s="1">
        <v>60823</v>
      </c>
      <c r="B316" s="1" t="s">
        <v>348</v>
      </c>
      <c r="C316" s="1" t="s">
        <v>206</v>
      </c>
      <c r="D316" s="19" t="s">
        <v>10625</v>
      </c>
      <c r="E316" s="15" t="str">
        <f>HYPERLINK("https://stat100.ameba.jp/tnk47/ratio20/illustrations/card/ill_60823_intonwadatsumi03.jpg?201909-3-RELEASE-dice-e-429x", "■")</f>
        <v>■</v>
      </c>
      <c r="F316" s="1" t="s">
        <v>3339</v>
      </c>
      <c r="G316" s="1">
        <v>59280</v>
      </c>
      <c r="H316" s="1">
        <v>53768</v>
      </c>
      <c r="I316" s="1">
        <v>20</v>
      </c>
      <c r="J316" s="1" t="s">
        <v>44</v>
      </c>
      <c r="K316" s="1" t="s">
        <v>3340</v>
      </c>
      <c r="L316" s="1" t="s">
        <v>3271</v>
      </c>
      <c r="M316" s="1" t="s">
        <v>9158</v>
      </c>
      <c r="N316" s="1" t="s">
        <v>9158</v>
      </c>
      <c r="O316" s="1" t="s">
        <v>9158</v>
      </c>
      <c r="P316" s="1" t="s">
        <v>9158</v>
      </c>
      <c r="Q316" s="1" t="s">
        <v>9158</v>
      </c>
    </row>
    <row r="318" spans="1:17">
      <c r="A318" s="1" t="s">
        <v>6952</v>
      </c>
    </row>
    <row r="319" spans="1:17">
      <c r="A319" s="1" t="s">
        <v>6953</v>
      </c>
    </row>
    <row r="320" spans="1:17">
      <c r="A320" s="1" t="s">
        <v>5605</v>
      </c>
      <c r="B320" s="1" t="s">
        <v>52</v>
      </c>
      <c r="C320" s="1" t="s">
        <v>202</v>
      </c>
      <c r="D320" s="19" t="s">
        <v>10332</v>
      </c>
      <c r="E320" s="15" t="str">
        <f>HYPERLINK("https://stat100.ameba.jp/tnk47/ratio20/illustrations/card/ill_79373_0_hommeichokotennyohime03.jpg?201909-3-RELEASE-dice-e-429x", "■")</f>
        <v>■</v>
      </c>
      <c r="F320" s="1" t="s">
        <v>3495</v>
      </c>
      <c r="G320" s="1">
        <v>272036</v>
      </c>
      <c r="H320" s="1">
        <v>245878</v>
      </c>
      <c r="I320" s="1">
        <v>22</v>
      </c>
      <c r="J320" s="1" t="s">
        <v>104</v>
      </c>
      <c r="K320" s="1" t="s">
        <v>3496</v>
      </c>
      <c r="L320" s="1" t="s">
        <v>3497</v>
      </c>
      <c r="M320" s="1" t="s">
        <v>9158</v>
      </c>
      <c r="N320" s="1" t="s">
        <v>9158</v>
      </c>
      <c r="O320" s="19" t="s">
        <v>10072</v>
      </c>
      <c r="P320" s="1" t="s">
        <v>3498</v>
      </c>
      <c r="Q320" s="1">
        <v>1</v>
      </c>
    </row>
    <row r="321" spans="1:18">
      <c r="A321" s="1" t="s">
        <v>5778</v>
      </c>
      <c r="B321" s="1" t="s">
        <v>330</v>
      </c>
      <c r="C321" s="1" t="s">
        <v>205</v>
      </c>
      <c r="D321" s="19" t="s">
        <v>272</v>
      </c>
      <c r="E321" s="15" t="str">
        <f>HYPERLINK("https://stat100.ameba.jp/tnk47/ratio20/illustrations/card/ill_68783_0_gantammomotaro03.jpg?201909-3-RELEASE-dice-e-429x", "■")</f>
        <v>■</v>
      </c>
      <c r="F321" s="1" t="s">
        <v>273</v>
      </c>
      <c r="G321" s="1">
        <v>150466</v>
      </c>
      <c r="H321" s="1">
        <v>139878</v>
      </c>
      <c r="I321" s="1">
        <v>22</v>
      </c>
      <c r="J321" s="1" t="s">
        <v>274</v>
      </c>
      <c r="K321" s="1" t="s">
        <v>275</v>
      </c>
      <c r="L321" s="1" t="s">
        <v>276</v>
      </c>
      <c r="M321" s="1" t="s">
        <v>9158</v>
      </c>
      <c r="N321" s="1" t="s">
        <v>9158</v>
      </c>
      <c r="O321" s="19" t="s">
        <v>10099</v>
      </c>
      <c r="P321" s="1" t="s">
        <v>3451</v>
      </c>
      <c r="Q321" s="1">
        <v>1</v>
      </c>
    </row>
    <row r="322" spans="1:18">
      <c r="A322" s="1">
        <v>84653</v>
      </c>
      <c r="B322" s="1" t="s">
        <v>334</v>
      </c>
      <c r="C322" s="1" t="s">
        <v>209</v>
      </c>
      <c r="D322" s="19" t="s">
        <v>10626</v>
      </c>
      <c r="E322" s="15" t="str">
        <f>HYPERLINK("https://stat100.ameba.jp/tnk47/ratio20/illustrations/card/ill_84653_soru03.jpg?201909-3-RELEASE-dice-e-429x", "■")</f>
        <v>■</v>
      </c>
      <c r="F322" s="1" t="s">
        <v>6954</v>
      </c>
      <c r="G322" s="1">
        <v>75984</v>
      </c>
      <c r="H322" s="1">
        <v>104890</v>
      </c>
      <c r="I322" s="1">
        <v>24</v>
      </c>
      <c r="J322" s="1" t="s">
        <v>44</v>
      </c>
      <c r="K322" s="1" t="s">
        <v>6956</v>
      </c>
      <c r="L322" s="1" t="s">
        <v>6955</v>
      </c>
      <c r="M322" s="1" t="s">
        <v>9158</v>
      </c>
      <c r="N322" s="1" t="s">
        <v>9158</v>
      </c>
      <c r="O322" s="19" t="s">
        <v>11957</v>
      </c>
      <c r="P322" s="1" t="s">
        <v>3897</v>
      </c>
      <c r="Q322" s="1">
        <v>1</v>
      </c>
    </row>
    <row r="323" spans="1:18">
      <c r="A323" s="1">
        <v>69513</v>
      </c>
      <c r="B323" s="1" t="s">
        <v>0</v>
      </c>
      <c r="C323" s="1" t="s">
        <v>158</v>
      </c>
      <c r="D323" s="19" t="s">
        <v>10265</v>
      </c>
      <c r="E323" s="15" t="str">
        <f>HYPERLINK("https://stat100.ameba.jp/tnk47/ratio20/illustrations/card/ill_69513_somedononokisaki03.jpg?201909-3-RELEASE-dice-e-429x", "■")</f>
        <v>■</v>
      </c>
      <c r="F323" s="1" t="s">
        <v>3674</v>
      </c>
      <c r="G323" s="1">
        <v>76042</v>
      </c>
      <c r="H323" s="1">
        <v>104989</v>
      </c>
      <c r="I323" s="1">
        <v>23</v>
      </c>
      <c r="J323" s="1" t="s">
        <v>187</v>
      </c>
      <c r="K323" s="1" t="s">
        <v>3675</v>
      </c>
      <c r="L323" s="1" t="s">
        <v>13187</v>
      </c>
      <c r="M323" s="1" t="s">
        <v>9158</v>
      </c>
      <c r="N323" s="1" t="s">
        <v>9158</v>
      </c>
      <c r="O323" s="19" t="s">
        <v>2752</v>
      </c>
      <c r="P323" s="1" t="s">
        <v>13173</v>
      </c>
      <c r="Q323" s="1">
        <v>1</v>
      </c>
    </row>
    <row r="324" spans="1:18">
      <c r="A324" s="1">
        <v>67643</v>
      </c>
      <c r="B324" s="1" t="s">
        <v>334</v>
      </c>
      <c r="C324" s="1" t="s">
        <v>209</v>
      </c>
      <c r="D324" s="19" t="s">
        <v>3033</v>
      </c>
      <c r="E324" s="15" t="str">
        <f>HYPERLINK("https://stat100.ameba.jp/tnk47/ratio20/illustrations/card/ill_67643_edokarakamichan03.jpg?201909-3-RELEASE-dice-e-429x", "■")</f>
        <v>■</v>
      </c>
      <c r="F324" s="6" t="s">
        <v>6957</v>
      </c>
      <c r="G324" s="1">
        <v>108615</v>
      </c>
      <c r="H324" s="1">
        <v>101002</v>
      </c>
      <c r="I324" s="1">
        <v>23</v>
      </c>
      <c r="J324" s="1" t="s">
        <v>26</v>
      </c>
      <c r="K324" s="1" t="s">
        <v>1197</v>
      </c>
      <c r="L324" s="1" t="s">
        <v>1198</v>
      </c>
      <c r="M324" s="1" t="s">
        <v>9158</v>
      </c>
      <c r="N324" s="1" t="s">
        <v>9158</v>
      </c>
      <c r="O324" s="19" t="s">
        <v>3037</v>
      </c>
      <c r="P324" s="1" t="s">
        <v>13128</v>
      </c>
      <c r="Q324" s="1">
        <v>1</v>
      </c>
    </row>
    <row r="325" spans="1:18">
      <c r="A325" s="1">
        <v>67963</v>
      </c>
      <c r="B325" s="1" t="s">
        <v>334</v>
      </c>
      <c r="C325" s="1" t="s">
        <v>203</v>
      </c>
      <c r="D325" s="19" t="s">
        <v>10307</v>
      </c>
      <c r="E325" s="15" t="str">
        <f>HYPERLINK("https://stat100.ameba.jp/tnk47/ratio20/illustrations/card/ill_67963_kinokuniyabunzaemon03.jpg?201909-3-RELEASE-dice-e-429x", "■")</f>
        <v>■</v>
      </c>
      <c r="F325" s="1" t="s">
        <v>825</v>
      </c>
      <c r="G325" s="1">
        <v>104385</v>
      </c>
      <c r="H325" s="1">
        <v>75627</v>
      </c>
      <c r="I325" s="1">
        <v>23</v>
      </c>
      <c r="J325" s="1" t="s">
        <v>414</v>
      </c>
      <c r="K325" s="1" t="s">
        <v>826</v>
      </c>
      <c r="L325" s="1" t="s">
        <v>827</v>
      </c>
      <c r="M325" s="1" t="s">
        <v>9158</v>
      </c>
      <c r="N325" s="1" t="s">
        <v>9158</v>
      </c>
      <c r="O325" s="1" t="s">
        <v>9158</v>
      </c>
      <c r="P325" s="1" t="s">
        <v>9158</v>
      </c>
      <c r="Q325" s="1" t="s">
        <v>9158</v>
      </c>
    </row>
    <row r="326" spans="1:18">
      <c r="A326" s="1">
        <v>58263</v>
      </c>
      <c r="B326" s="1" t="s">
        <v>334</v>
      </c>
      <c r="C326" s="1" t="s">
        <v>203</v>
      </c>
      <c r="D326" s="19" t="s">
        <v>679</v>
      </c>
      <c r="E326" s="15" t="str">
        <f>HYPERLINK("https://stat100.ameba.jp/tnk47/ratio20/illustrations/card/ill_58263_tamayorigozen03.jpg?201909-3-RELEASE-dice-e-429x", "■")</f>
        <v>■</v>
      </c>
      <c r="F326" s="1" t="s">
        <v>680</v>
      </c>
      <c r="G326" s="1">
        <v>72819</v>
      </c>
      <c r="H326" s="1">
        <v>100519</v>
      </c>
      <c r="I326" s="1">
        <v>23</v>
      </c>
      <c r="J326" s="1" t="s">
        <v>351</v>
      </c>
      <c r="K326" s="1" t="s">
        <v>681</v>
      </c>
      <c r="L326" s="1" t="s">
        <v>682</v>
      </c>
      <c r="M326" s="1" t="s">
        <v>9158</v>
      </c>
      <c r="N326" s="1" t="s">
        <v>9158</v>
      </c>
      <c r="O326" s="1" t="s">
        <v>9158</v>
      </c>
      <c r="P326" s="1" t="s">
        <v>9158</v>
      </c>
      <c r="Q326" s="1" t="s">
        <v>9158</v>
      </c>
    </row>
    <row r="327" spans="1:18">
      <c r="A327" s="1">
        <v>64883</v>
      </c>
      <c r="B327" s="1" t="s">
        <v>0</v>
      </c>
      <c r="C327" s="1" t="s">
        <v>47</v>
      </c>
      <c r="D327" s="19" t="s">
        <v>10272</v>
      </c>
      <c r="E327" s="15" t="str">
        <f>HYPERLINK("https://stat100.ameba.jp/tnk47/ratio20/illustrations/card/ill_64883_kasane03.jpg?201909-3-RELEASE-dice-e-429x", "■")</f>
        <v>■</v>
      </c>
      <c r="F327" s="1" t="s">
        <v>126</v>
      </c>
      <c r="G327" s="1">
        <v>85010</v>
      </c>
      <c r="H327" s="1">
        <v>117374</v>
      </c>
      <c r="I327" s="1">
        <v>23</v>
      </c>
      <c r="J327" s="1" t="s">
        <v>38</v>
      </c>
      <c r="K327" s="1" t="s">
        <v>127</v>
      </c>
      <c r="L327" s="1" t="s">
        <v>128</v>
      </c>
      <c r="M327" s="1" t="s">
        <v>9158</v>
      </c>
      <c r="N327" s="1" t="s">
        <v>9158</v>
      </c>
      <c r="O327" s="1" t="s">
        <v>9158</v>
      </c>
      <c r="P327" s="1" t="s">
        <v>9158</v>
      </c>
      <c r="Q327" s="1" t="s">
        <v>9158</v>
      </c>
    </row>
    <row r="329" spans="1:18">
      <c r="A329" s="1" t="s">
        <v>13327</v>
      </c>
    </row>
    <row r="330" spans="1:18">
      <c r="A330" s="1" t="s">
        <v>6958</v>
      </c>
    </row>
    <row r="331" spans="1:18">
      <c r="A331" s="1">
        <v>75113</v>
      </c>
      <c r="B331" s="1" t="s">
        <v>334</v>
      </c>
      <c r="C331" s="1" t="s">
        <v>335</v>
      </c>
      <c r="D331" s="19" t="s">
        <v>448</v>
      </c>
      <c r="E331" s="15" t="str">
        <f>HYPERLINK("https://stat100.ameba.jp/tnk47/ratio20/illustrations/card/ill_75113_hatahata03.jpg?201909-3-RELEASE-dice-e-429x", "■")</f>
        <v>■</v>
      </c>
      <c r="F331" s="1" t="s">
        <v>449</v>
      </c>
      <c r="G331" s="1">
        <v>118152</v>
      </c>
      <c r="H331" s="1">
        <v>109852</v>
      </c>
      <c r="I331" s="1">
        <v>24</v>
      </c>
      <c r="J331" s="1" t="s">
        <v>283</v>
      </c>
      <c r="K331" s="1" t="s">
        <v>450</v>
      </c>
      <c r="L331" s="1" t="s">
        <v>13129</v>
      </c>
      <c r="M331" s="1" t="s">
        <v>13130</v>
      </c>
      <c r="N331" s="1" t="s">
        <v>343</v>
      </c>
      <c r="O331" s="1" t="s">
        <v>9158</v>
      </c>
      <c r="P331" s="1" t="s">
        <v>9158</v>
      </c>
      <c r="Q331" s="1" t="s">
        <v>9158</v>
      </c>
      <c r="R331" s="14" t="s">
        <v>14748</v>
      </c>
    </row>
    <row r="332" spans="1:18">
      <c r="A332" s="1">
        <v>75112</v>
      </c>
      <c r="B332" s="1" t="s">
        <v>334</v>
      </c>
      <c r="C332" s="1" t="s">
        <v>335</v>
      </c>
      <c r="D332" s="19" t="s">
        <v>448</v>
      </c>
      <c r="E332" s="15" t="str">
        <f>HYPERLINK("https://stat100.ameba.jp/tnk47/ratio20/illustrations/card/ill_75112_hatahata02.jpg?201909-3-RELEASE-dice-e-429x", "■")</f>
        <v>■</v>
      </c>
      <c r="F332" s="1" t="s">
        <v>449</v>
      </c>
      <c r="G332" s="1">
        <v>98768</v>
      </c>
      <c r="H332" s="1">
        <v>90984</v>
      </c>
      <c r="I332" s="1">
        <v>24</v>
      </c>
      <c r="J332" s="1" t="s">
        <v>283</v>
      </c>
      <c r="K332" s="1" t="s">
        <v>450</v>
      </c>
      <c r="L332" s="1" t="s">
        <v>13129</v>
      </c>
      <c r="M332" s="1" t="s">
        <v>13131</v>
      </c>
      <c r="N332" s="1" t="s">
        <v>251</v>
      </c>
      <c r="O332" s="1" t="s">
        <v>9158</v>
      </c>
      <c r="P332" s="1" t="s">
        <v>9158</v>
      </c>
      <c r="Q332" s="1" t="s">
        <v>9158</v>
      </c>
      <c r="R332" s="14" t="s">
        <v>14748</v>
      </c>
    </row>
    <row r="333" spans="1:18">
      <c r="A333" s="1">
        <v>75111</v>
      </c>
      <c r="B333" s="1" t="s">
        <v>334</v>
      </c>
      <c r="C333" s="1" t="s">
        <v>335</v>
      </c>
      <c r="D333" s="19" t="s">
        <v>448</v>
      </c>
      <c r="E333" s="15" t="str">
        <f>HYPERLINK("https://stat100.ameba.jp/tnk47/ratio20/illustrations/card/ill_75111_hatahata01.jpg?201909-3-RELEASE-dice-e-429x", "■")</f>
        <v>■</v>
      </c>
      <c r="F333" s="1" t="s">
        <v>449</v>
      </c>
      <c r="G333" s="1">
        <v>75408</v>
      </c>
      <c r="H333" s="1">
        <v>70200</v>
      </c>
      <c r="I333" s="1">
        <v>24</v>
      </c>
      <c r="J333" s="1" t="s">
        <v>283</v>
      </c>
      <c r="K333" s="1" t="s">
        <v>450</v>
      </c>
      <c r="L333" s="1" t="s">
        <v>13129</v>
      </c>
      <c r="M333" s="1" t="s">
        <v>13131</v>
      </c>
      <c r="N333" s="1" t="s">
        <v>251</v>
      </c>
      <c r="O333" s="1" t="s">
        <v>9158</v>
      </c>
      <c r="P333" s="1" t="s">
        <v>9158</v>
      </c>
      <c r="Q333" s="1" t="s">
        <v>9158</v>
      </c>
      <c r="R333" s="14" t="s">
        <v>14748</v>
      </c>
    </row>
    <row r="334" spans="1:18">
      <c r="A334" s="1">
        <v>75123</v>
      </c>
      <c r="B334" s="1" t="s">
        <v>334</v>
      </c>
      <c r="C334" s="1" t="s">
        <v>307</v>
      </c>
      <c r="D334" s="19" t="s">
        <v>451</v>
      </c>
      <c r="E334" s="15" t="str">
        <f>HYPERLINK("https://stat100.ameba.jp/tnk47/ratio20/illustrations/card/ill_75123_nankintamasudare03.jpg?201909-3-RELEASE-dice-e-429x", "■")</f>
        <v>■</v>
      </c>
      <c r="F334" s="1" t="s">
        <v>452</v>
      </c>
      <c r="G334" s="1">
        <v>109852</v>
      </c>
      <c r="H334" s="1">
        <v>118152</v>
      </c>
      <c r="I334" s="1">
        <v>24</v>
      </c>
      <c r="J334" s="1" t="s">
        <v>274</v>
      </c>
      <c r="K334" s="1" t="s">
        <v>453</v>
      </c>
      <c r="L334" s="1" t="s">
        <v>6711</v>
      </c>
      <c r="M334" s="1" t="s">
        <v>13130</v>
      </c>
      <c r="N334" s="1" t="s">
        <v>343</v>
      </c>
      <c r="O334" s="1" t="s">
        <v>9158</v>
      </c>
      <c r="P334" s="1" t="s">
        <v>9158</v>
      </c>
      <c r="Q334" s="1" t="s">
        <v>9158</v>
      </c>
      <c r="R334" s="14" t="s">
        <v>14748</v>
      </c>
    </row>
    <row r="335" spans="1:18">
      <c r="A335" s="1">
        <v>76013</v>
      </c>
      <c r="B335" s="1" t="s">
        <v>334</v>
      </c>
      <c r="C335" s="1" t="s">
        <v>344</v>
      </c>
      <c r="D335" s="19" t="s">
        <v>454</v>
      </c>
      <c r="E335" s="15" t="str">
        <f>HYPERLINK("https://stat100.ameba.jp/tnk47/ratio20/illustrations/card/ill_76013_miyakojima03.jpg?201909-3-RELEASE-dice-e-429x", "■")</f>
        <v>■</v>
      </c>
      <c r="F335" s="1" t="s">
        <v>455</v>
      </c>
      <c r="G335" s="1">
        <v>118152</v>
      </c>
      <c r="H335" s="1">
        <v>109852</v>
      </c>
      <c r="I335" s="1">
        <v>24</v>
      </c>
      <c r="J335" s="1" t="s">
        <v>369</v>
      </c>
      <c r="K335" s="1" t="s">
        <v>456</v>
      </c>
      <c r="L335" s="1" t="s">
        <v>6712</v>
      </c>
      <c r="M335" s="1" t="s">
        <v>13130</v>
      </c>
      <c r="N335" s="1" t="s">
        <v>343</v>
      </c>
      <c r="O335" s="1" t="s">
        <v>9158</v>
      </c>
      <c r="P335" s="1" t="s">
        <v>9158</v>
      </c>
      <c r="Q335" s="1" t="s">
        <v>9158</v>
      </c>
      <c r="R335" s="14" t="s">
        <v>14748</v>
      </c>
    </row>
    <row r="336" spans="1:18">
      <c r="A336" s="1">
        <v>74333</v>
      </c>
      <c r="B336" s="1" t="s">
        <v>334</v>
      </c>
      <c r="C336" s="1" t="s">
        <v>271</v>
      </c>
      <c r="D336" s="19" t="s">
        <v>457</v>
      </c>
      <c r="E336" s="15" t="str">
        <f>HYPERLINK("https://stat100.ameba.jp/tnk47/ratio20/illustrations/card/ill_74333_iizukaigashichi03.jpg?201909-3-RELEASE-dice-e-429x", "■")</f>
        <v>■</v>
      </c>
      <c r="F336" s="1" t="s">
        <v>458</v>
      </c>
      <c r="G336" s="1">
        <v>109852</v>
      </c>
      <c r="H336" s="1">
        <v>118152</v>
      </c>
      <c r="I336" s="1">
        <v>24</v>
      </c>
      <c r="J336" s="1" t="s">
        <v>414</v>
      </c>
      <c r="K336" s="1" t="s">
        <v>459</v>
      </c>
      <c r="L336" s="1" t="s">
        <v>6713</v>
      </c>
      <c r="M336" s="1" t="s">
        <v>13130</v>
      </c>
      <c r="N336" s="1" t="s">
        <v>343</v>
      </c>
      <c r="O336" s="1" t="s">
        <v>9158</v>
      </c>
      <c r="P336" s="1" t="s">
        <v>9158</v>
      </c>
      <c r="Q336" s="1" t="s">
        <v>9158</v>
      </c>
      <c r="R336" s="14" t="s">
        <v>14748</v>
      </c>
    </row>
    <row r="337" spans="1:18">
      <c r="A337" s="1">
        <v>74343</v>
      </c>
      <c r="B337" s="1" t="s">
        <v>334</v>
      </c>
      <c r="C337" s="1" t="s">
        <v>308</v>
      </c>
      <c r="D337" s="19" t="s">
        <v>460</v>
      </c>
      <c r="E337" s="15" t="str">
        <f>HYPERLINK("https://stat100.ameba.jp/tnk47/ratio20/illustrations/card/ill_74343_wadakoremasa03.jpg?201909-3-RELEASE-dice-e-429x", "■")</f>
        <v>■</v>
      </c>
      <c r="F337" s="1" t="s">
        <v>461</v>
      </c>
      <c r="G337" s="1">
        <v>109852</v>
      </c>
      <c r="H337" s="1">
        <v>118152</v>
      </c>
      <c r="I337" s="1">
        <v>24</v>
      </c>
      <c r="J337" s="1" t="s">
        <v>310</v>
      </c>
      <c r="K337" s="1" t="s">
        <v>462</v>
      </c>
      <c r="L337" s="1" t="s">
        <v>6714</v>
      </c>
      <c r="M337" s="1" t="s">
        <v>13130</v>
      </c>
      <c r="N337" s="1" t="s">
        <v>343</v>
      </c>
      <c r="O337" s="1" t="s">
        <v>9158</v>
      </c>
      <c r="P337" s="1" t="s">
        <v>9158</v>
      </c>
      <c r="Q337" s="1" t="s">
        <v>9158</v>
      </c>
      <c r="R337" s="14" t="s">
        <v>14748</v>
      </c>
    </row>
    <row r="338" spans="1:18">
      <c r="A338" s="1">
        <v>74353</v>
      </c>
      <c r="B338" s="1" t="s">
        <v>334</v>
      </c>
      <c r="C338" s="1" t="s">
        <v>267</v>
      </c>
      <c r="D338" s="19" t="s">
        <v>463</v>
      </c>
      <c r="E338" s="15" t="str">
        <f>HYPERLINK("https://stat100.ameba.jp/tnk47/ratio20/illustrations/card/ill_74353_takechizuizan03.jpg?201909-3-RELEASE-dice-e-429x", "■")</f>
        <v>■</v>
      </c>
      <c r="F338" s="1" t="s">
        <v>464</v>
      </c>
      <c r="G338" s="1">
        <v>118152</v>
      </c>
      <c r="H338" s="1">
        <v>109852</v>
      </c>
      <c r="I338" s="1">
        <v>24</v>
      </c>
      <c r="J338" s="1" t="s">
        <v>351</v>
      </c>
      <c r="K338" s="1" t="s">
        <v>465</v>
      </c>
      <c r="L338" s="1" t="s">
        <v>6715</v>
      </c>
      <c r="M338" s="1" t="s">
        <v>13130</v>
      </c>
      <c r="N338" s="1" t="s">
        <v>343</v>
      </c>
      <c r="O338" s="1" t="s">
        <v>9158</v>
      </c>
      <c r="P338" s="1" t="s">
        <v>9158</v>
      </c>
      <c r="Q338" s="1" t="s">
        <v>9158</v>
      </c>
      <c r="R338" s="14" t="s">
        <v>14748</v>
      </c>
    </row>
    <row r="340" spans="1:18">
      <c r="A340" s="1" t="s">
        <v>6959</v>
      </c>
    </row>
    <row r="341" spans="1:18">
      <c r="A341" s="1" t="s">
        <v>6960</v>
      </c>
    </row>
    <row r="342" spans="1:18">
      <c r="A342" s="1" t="s">
        <v>5843</v>
      </c>
      <c r="B342" s="1" t="s">
        <v>52</v>
      </c>
      <c r="C342" s="1" t="s">
        <v>202</v>
      </c>
      <c r="D342" s="19" t="s">
        <v>10291</v>
      </c>
      <c r="E342" s="15" t="str">
        <f>HYPERLINK("https://stat100.ameba.jp/tnk47/ratio20/illustrations/card/ill_77963_0_kurisumasudaisakusentakiyashahime03.jpg?201909-4-RELEASE-guildbattle-430", "■")</f>
        <v>■</v>
      </c>
      <c r="F342" s="1" t="s">
        <v>2127</v>
      </c>
      <c r="G342" s="1">
        <v>294746</v>
      </c>
      <c r="H342" s="1">
        <v>266388</v>
      </c>
      <c r="I342" s="1">
        <v>24</v>
      </c>
      <c r="J342" s="1" t="s">
        <v>77</v>
      </c>
      <c r="K342" s="1" t="s">
        <v>2128</v>
      </c>
      <c r="L342" s="1" t="s">
        <v>2129</v>
      </c>
      <c r="M342" s="1" t="s">
        <v>9158</v>
      </c>
      <c r="N342" s="1" t="s">
        <v>9158</v>
      </c>
      <c r="O342" s="19" t="s">
        <v>10107</v>
      </c>
      <c r="P342" s="1" t="s">
        <v>3589</v>
      </c>
      <c r="Q342" s="1">
        <v>2</v>
      </c>
    </row>
    <row r="343" spans="1:18">
      <c r="A343" s="1">
        <v>81743</v>
      </c>
      <c r="B343" s="1" t="s">
        <v>334</v>
      </c>
      <c r="C343" s="1" t="s">
        <v>107</v>
      </c>
      <c r="D343" s="19" t="s">
        <v>10171</v>
      </c>
      <c r="E343" s="15" t="str">
        <f>HYPERLINK("https://stat100.ameba.jp/tnk47/ratio20/illustrations/card/ill_81743_denshagarusakyogabashinohebi03.jpg?201909-4-RELEASE-guildbattle-430", "■")</f>
        <v>■</v>
      </c>
      <c r="F343" s="1" t="s">
        <v>4853</v>
      </c>
      <c r="G343" s="1">
        <v>109528</v>
      </c>
      <c r="H343" s="1">
        <v>101656</v>
      </c>
      <c r="I343" s="1">
        <v>24</v>
      </c>
      <c r="J343" s="1" t="s">
        <v>38</v>
      </c>
      <c r="K343" s="1" t="s">
        <v>4855</v>
      </c>
      <c r="L343" s="1" t="s">
        <v>4856</v>
      </c>
      <c r="M343" s="1" t="s">
        <v>9158</v>
      </c>
      <c r="N343" s="1" t="s">
        <v>9158</v>
      </c>
      <c r="O343" s="19" t="s">
        <v>10091</v>
      </c>
      <c r="P343" s="1" t="s">
        <v>3670</v>
      </c>
      <c r="Q343" s="1">
        <v>1</v>
      </c>
    </row>
    <row r="344" spans="1:18">
      <c r="A344" s="1">
        <v>76803</v>
      </c>
      <c r="B344" s="1" t="s">
        <v>334</v>
      </c>
      <c r="C344" s="1" t="s">
        <v>202</v>
      </c>
      <c r="D344" s="19" t="s">
        <v>673</v>
      </c>
      <c r="E344" s="15" t="str">
        <f>HYPERLINK("https://stat100.ameba.jp/tnk47/ratio20/illustrations/card/ill_76803_monsutakujirachan03.jpg?201909-4-RELEASE-guildbattle-430", "■")</f>
        <v>■</v>
      </c>
      <c r="F344" s="1" t="s">
        <v>674</v>
      </c>
      <c r="G344" s="1">
        <v>159674</v>
      </c>
      <c r="H344" s="1">
        <v>115656</v>
      </c>
      <c r="I344" s="1">
        <v>24</v>
      </c>
      <c r="J344" s="1" t="s">
        <v>283</v>
      </c>
      <c r="K344" s="1" t="s">
        <v>675</v>
      </c>
      <c r="L344" s="1" t="s">
        <v>435</v>
      </c>
      <c r="M344" s="1" t="s">
        <v>9158</v>
      </c>
      <c r="N344" s="1" t="s">
        <v>9158</v>
      </c>
      <c r="O344" s="19" t="s">
        <v>3165</v>
      </c>
      <c r="P344" s="1" t="s">
        <v>13139</v>
      </c>
      <c r="Q344" s="1">
        <v>1</v>
      </c>
    </row>
    <row r="345" spans="1:18">
      <c r="A345" s="1">
        <v>80173</v>
      </c>
      <c r="B345" s="1" t="s">
        <v>334</v>
      </c>
      <c r="C345" s="1" t="s">
        <v>47</v>
      </c>
      <c r="D345" s="19" t="s">
        <v>10390</v>
      </c>
      <c r="E345" s="15" t="str">
        <f>HYPERLINK("https://stat100.ameba.jp/tnk47/ratio20/illustrations/card/ill_80173_jusomedeia03.jpg?201909-4-RELEASE-guildbattle-430", "■")</f>
        <v>■</v>
      </c>
      <c r="F345" s="1" t="s">
        <v>3914</v>
      </c>
      <c r="G345" s="1">
        <v>91876</v>
      </c>
      <c r="H345" s="1">
        <v>126858</v>
      </c>
      <c r="I345" s="1">
        <v>24</v>
      </c>
      <c r="J345" s="1" t="s">
        <v>73</v>
      </c>
      <c r="K345" s="1" t="s">
        <v>3915</v>
      </c>
      <c r="L345" s="1" t="s">
        <v>1033</v>
      </c>
      <c r="M345" s="1" t="s">
        <v>9158</v>
      </c>
      <c r="N345" s="1" t="s">
        <v>9158</v>
      </c>
      <c r="O345" s="19" t="s">
        <v>10074</v>
      </c>
      <c r="P345" s="1" t="s">
        <v>3592</v>
      </c>
      <c r="Q345" s="1">
        <v>1</v>
      </c>
    </row>
    <row r="347" spans="1:18">
      <c r="A347" s="1" t="s">
        <v>6961</v>
      </c>
    </row>
    <row r="348" spans="1:18">
      <c r="A348" s="1" t="s">
        <v>6962</v>
      </c>
    </row>
    <row r="349" spans="1:18">
      <c r="A349" s="1" t="s">
        <v>6963</v>
      </c>
      <c r="B349" s="1" t="s">
        <v>330</v>
      </c>
      <c r="C349" s="1" t="s">
        <v>202</v>
      </c>
      <c r="D349" s="19" t="s">
        <v>10348</v>
      </c>
      <c r="E349" s="15" t="str">
        <f>HYPERLINK("https://stat100.ameba.jp/tnk47/ratio20/illustrations/card/ill_81183_0_shinryokunokisetsuamaterasu03.jpg?201909-4-RELEASE-guildbattle-430", "■")</f>
        <v>■</v>
      </c>
      <c r="F349" s="1" t="s">
        <v>4505</v>
      </c>
      <c r="G349" s="1">
        <v>157575</v>
      </c>
      <c r="H349" s="1">
        <v>174365</v>
      </c>
      <c r="I349" s="1">
        <v>15</v>
      </c>
      <c r="J349" s="1" t="s">
        <v>44</v>
      </c>
      <c r="K349" s="1" t="s">
        <v>4506</v>
      </c>
      <c r="L349" s="1" t="s">
        <v>4507</v>
      </c>
      <c r="M349" s="1" t="s">
        <v>9158</v>
      </c>
      <c r="N349" s="1" t="s">
        <v>9158</v>
      </c>
      <c r="O349" s="19" t="s">
        <v>10083</v>
      </c>
      <c r="P349" s="1" t="s">
        <v>4509</v>
      </c>
      <c r="Q349" s="1">
        <v>0</v>
      </c>
    </row>
    <row r="350" spans="1:18">
      <c r="A350" s="1" t="s">
        <v>5610</v>
      </c>
      <c r="B350" s="1" t="s">
        <v>330</v>
      </c>
      <c r="C350" s="1" t="s">
        <v>185</v>
      </c>
      <c r="D350" s="19" t="s">
        <v>539</v>
      </c>
      <c r="E350" s="15" t="str">
        <f>HYPERLINK("https://stat100.ameba.jp/tnk47/ratio20/illustrations/card/ill_60633_0_harumaisentoin03.jpg?201909-4-RELEASE-guildbattle-430", "■")</f>
        <v>■</v>
      </c>
      <c r="F350" s="1" t="s">
        <v>540</v>
      </c>
      <c r="G350" s="1">
        <v>95371</v>
      </c>
      <c r="H350" s="1">
        <v>102590</v>
      </c>
      <c r="I350" s="1">
        <v>15</v>
      </c>
      <c r="J350" s="1" t="s">
        <v>274</v>
      </c>
      <c r="K350" s="1" t="s">
        <v>541</v>
      </c>
      <c r="L350" s="1" t="s">
        <v>542</v>
      </c>
      <c r="M350" s="1" t="s">
        <v>9158</v>
      </c>
      <c r="N350" s="1" t="s">
        <v>9158</v>
      </c>
      <c r="O350" s="19" t="s">
        <v>2888</v>
      </c>
      <c r="P350" s="1" t="s">
        <v>3144</v>
      </c>
      <c r="Q350" s="1">
        <v>1</v>
      </c>
    </row>
    <row r="351" spans="1:18">
      <c r="A351" s="1" t="s">
        <v>5902</v>
      </c>
      <c r="B351" s="1" t="s">
        <v>330</v>
      </c>
      <c r="C351" s="1" t="s">
        <v>206</v>
      </c>
      <c r="D351" s="19" t="s">
        <v>483</v>
      </c>
      <c r="E351" s="15" t="str">
        <f>HYPERLINK("https://stat100.ameba.jp/tnk47/ratio20/illustrations/card/ill_40343_0_heshikirihasebekurodakambe03.jpg?201909-4-RELEASE-guildbattle-430", "■")</f>
        <v>■</v>
      </c>
      <c r="F351" s="1" t="s">
        <v>906</v>
      </c>
      <c r="G351" s="1">
        <v>87780</v>
      </c>
      <c r="H351" s="1">
        <v>82212</v>
      </c>
      <c r="I351" s="1">
        <v>15</v>
      </c>
      <c r="J351" s="1" t="s">
        <v>16</v>
      </c>
      <c r="K351" s="1" t="s">
        <v>907</v>
      </c>
      <c r="L351" s="1" t="s">
        <v>908</v>
      </c>
      <c r="M351" s="1" t="s">
        <v>9158</v>
      </c>
      <c r="N351" s="1" t="s">
        <v>9158</v>
      </c>
      <c r="O351" s="1" t="s">
        <v>9158</v>
      </c>
      <c r="P351" s="1" t="s">
        <v>9158</v>
      </c>
      <c r="Q351" s="1" t="s">
        <v>9158</v>
      </c>
    </row>
    <row r="352" spans="1:18">
      <c r="A352" s="1">
        <v>76953</v>
      </c>
      <c r="B352" s="1" t="s">
        <v>334</v>
      </c>
      <c r="C352" s="1" t="s">
        <v>154</v>
      </c>
      <c r="D352" s="19" t="s">
        <v>10386</v>
      </c>
      <c r="E352" s="15" t="str">
        <f>HYPERLINK("https://stat100.ameba.jp/tnk47/ratio20/illustrations/card/ill_76953_gureteru03.jpg?201909-4-RELEASE-guildbattle-430", "■")</f>
        <v>■</v>
      </c>
      <c r="F352" s="1" t="s">
        <v>1932</v>
      </c>
      <c r="G352" s="1">
        <v>76052</v>
      </c>
      <c r="H352" s="1">
        <v>135132</v>
      </c>
      <c r="I352" s="1">
        <v>24</v>
      </c>
      <c r="J352" s="1" t="s">
        <v>38</v>
      </c>
      <c r="K352" s="1" t="s">
        <v>1933</v>
      </c>
      <c r="L352" s="1" t="s">
        <v>1934</v>
      </c>
      <c r="M352" s="1" t="s">
        <v>9158</v>
      </c>
      <c r="N352" s="1" t="s">
        <v>9158</v>
      </c>
      <c r="O352" s="1" t="s">
        <v>9158</v>
      </c>
      <c r="P352" s="1" t="s">
        <v>9158</v>
      </c>
      <c r="Q352" s="1" t="s">
        <v>9158</v>
      </c>
    </row>
    <row r="353" spans="1:17">
      <c r="A353" s="1">
        <v>76873</v>
      </c>
      <c r="B353" s="1" t="s">
        <v>0</v>
      </c>
      <c r="C353" s="1" t="s">
        <v>154</v>
      </c>
      <c r="D353" s="19" t="s">
        <v>10195</v>
      </c>
      <c r="E353" s="15" t="str">
        <f>HYPERLINK("https://stat100.ameba.jp/tnk47/ratio20/illustrations/card/ill_76873_torerokamomiro03.jpg?201909-4-RELEASE-guildbattle-430", "■")</f>
        <v>■</v>
      </c>
      <c r="F353" s="1" t="s">
        <v>1940</v>
      </c>
      <c r="G353" s="1">
        <v>176200</v>
      </c>
      <c r="H353" s="1">
        <v>99132</v>
      </c>
      <c r="I353" s="1">
        <v>24</v>
      </c>
      <c r="J353" s="1" t="s">
        <v>10</v>
      </c>
      <c r="K353" s="1" t="s">
        <v>1941</v>
      </c>
      <c r="L353" s="1" t="s">
        <v>1942</v>
      </c>
      <c r="M353" s="1" t="s">
        <v>9158</v>
      </c>
      <c r="N353" s="1" t="s">
        <v>9158</v>
      </c>
      <c r="O353" s="1" t="s">
        <v>9158</v>
      </c>
      <c r="P353" s="1" t="s">
        <v>9158</v>
      </c>
      <c r="Q353" s="1" t="s">
        <v>9158</v>
      </c>
    </row>
    <row r="354" spans="1:17">
      <c r="A354" s="1">
        <v>83683</v>
      </c>
      <c r="B354" s="1" t="s">
        <v>0</v>
      </c>
      <c r="C354" s="1" t="s">
        <v>203</v>
      </c>
      <c r="D354" s="19" t="s">
        <v>10627</v>
      </c>
      <c r="E354" s="15" t="str">
        <f>HYPERLINK("https://stat100.ameba.jp/tnk47/ratio20/illustrations/card/ill_83683_gura03.jpg?201909-4-RELEASE-guildbattle-430", "■")</f>
        <v>■</v>
      </c>
      <c r="F354" s="1" t="s">
        <v>6966</v>
      </c>
      <c r="G354" s="1">
        <v>139986</v>
      </c>
      <c r="H354" s="1">
        <v>78748</v>
      </c>
      <c r="I354" s="1">
        <v>24</v>
      </c>
      <c r="J354" s="1" t="s">
        <v>283</v>
      </c>
      <c r="K354" s="1" t="s">
        <v>6965</v>
      </c>
      <c r="L354" s="1" t="s">
        <v>6964</v>
      </c>
      <c r="M354" s="1" t="s">
        <v>9158</v>
      </c>
      <c r="N354" s="1" t="s">
        <v>9158</v>
      </c>
      <c r="O354" s="1" t="s">
        <v>9158</v>
      </c>
      <c r="P354" s="1" t="s">
        <v>9158</v>
      </c>
      <c r="Q354" s="1" t="s">
        <v>9158</v>
      </c>
    </row>
    <row r="355" spans="1:17">
      <c r="A355" s="1">
        <v>68863</v>
      </c>
      <c r="B355" s="1" t="s">
        <v>348</v>
      </c>
      <c r="C355" s="1" t="s">
        <v>165</v>
      </c>
      <c r="D355" s="19" t="s">
        <v>4058</v>
      </c>
      <c r="E355" s="15" t="str">
        <f>HYPERLINK("https://stat100.ameba.jp/tnk47/ratio20/illustrations/card/ill_68863_karutawakaruhimenomikoto03.jpg?201909-4-RELEASE-guildbattle-430", "■")</f>
        <v>■</v>
      </c>
      <c r="F355" s="1" t="s">
        <v>3269</v>
      </c>
      <c r="G355" s="1">
        <v>59280</v>
      </c>
      <c r="H355" s="1">
        <v>53768</v>
      </c>
      <c r="I355" s="1">
        <v>20</v>
      </c>
      <c r="J355" s="1" t="s">
        <v>44</v>
      </c>
      <c r="K355" s="1" t="s">
        <v>3270</v>
      </c>
      <c r="L355" s="1" t="s">
        <v>3271</v>
      </c>
      <c r="M355" s="1" t="s">
        <v>9158</v>
      </c>
      <c r="N355" s="1" t="s">
        <v>9158</v>
      </c>
      <c r="O355" s="1" t="s">
        <v>9158</v>
      </c>
      <c r="P355" s="1" t="s">
        <v>9158</v>
      </c>
      <c r="Q355" s="1" t="s">
        <v>9158</v>
      </c>
    </row>
    <row r="356" spans="1:17">
      <c r="A356" s="1">
        <v>80243</v>
      </c>
      <c r="B356" s="1" t="s">
        <v>15</v>
      </c>
      <c r="C356" s="1" t="s">
        <v>191</v>
      </c>
      <c r="D356" s="19" t="s">
        <v>10628</v>
      </c>
      <c r="E356" s="15" t="str">
        <f>HYPERLINK("https://stat100.ameba.jp/tnk47/ratio20/illustrations/card/ill_80243_akuzenjinokaze03.jpg?201909-4-RELEASE-guildbattle-430", "■")</f>
        <v>■</v>
      </c>
      <c r="F356" s="1" t="s">
        <v>3833</v>
      </c>
      <c r="G356" s="1">
        <v>59280</v>
      </c>
      <c r="H356" s="1">
        <v>53768</v>
      </c>
      <c r="I356" s="1">
        <v>20</v>
      </c>
      <c r="J356" s="1" t="s">
        <v>73</v>
      </c>
      <c r="K356" s="1" t="s">
        <v>3834</v>
      </c>
      <c r="L356" s="1" t="s">
        <v>3835</v>
      </c>
      <c r="M356" s="1" t="s">
        <v>9158</v>
      </c>
      <c r="N356" s="1" t="s">
        <v>9158</v>
      </c>
      <c r="O356" s="1" t="s">
        <v>9158</v>
      </c>
      <c r="P356" s="1" t="s">
        <v>9158</v>
      </c>
      <c r="Q356" s="1" t="s">
        <v>9158</v>
      </c>
    </row>
    <row r="357" spans="1:17">
      <c r="A357" s="1">
        <v>74863</v>
      </c>
      <c r="B357" s="1" t="s">
        <v>15</v>
      </c>
      <c r="C357" s="1" t="s">
        <v>1</v>
      </c>
      <c r="D357" s="19" t="s">
        <v>10250</v>
      </c>
      <c r="E357" s="15" t="str">
        <f>HYPERLINK("https://stat100.ameba.jp/tnk47/ratio20/illustrations/card/ill_74863_yukatanekodanuki03.jpg?201909-4-RELEASE-guildbattle-430", "■")</f>
        <v>■</v>
      </c>
      <c r="F357" s="1" t="s">
        <v>5167</v>
      </c>
      <c r="G357" s="1">
        <v>59280</v>
      </c>
      <c r="H357" s="1">
        <v>53768</v>
      </c>
      <c r="I357" s="1">
        <v>20</v>
      </c>
      <c r="J357" s="1" t="s">
        <v>73</v>
      </c>
      <c r="K357" s="1" t="s">
        <v>5169</v>
      </c>
      <c r="L357" s="1" t="s">
        <v>3835</v>
      </c>
      <c r="M357" s="1" t="s">
        <v>9158</v>
      </c>
      <c r="N357" s="1" t="s">
        <v>9158</v>
      </c>
      <c r="O357" s="1" t="s">
        <v>9158</v>
      </c>
      <c r="P357" s="1" t="s">
        <v>9158</v>
      </c>
      <c r="Q357" s="1" t="s">
        <v>9158</v>
      </c>
    </row>
    <row r="359" spans="1:17">
      <c r="A359" s="1" t="s">
        <v>6967</v>
      </c>
    </row>
    <row r="360" spans="1:17">
      <c r="A360" s="1" t="s">
        <v>6968</v>
      </c>
    </row>
    <row r="361" spans="1:17">
      <c r="A361" s="1" t="s">
        <v>5804</v>
      </c>
      <c r="B361" s="1" t="s">
        <v>52</v>
      </c>
      <c r="C361" s="1" t="s">
        <v>14</v>
      </c>
      <c r="D361" s="19" t="s">
        <v>3195</v>
      </c>
      <c r="E361" s="15" t="str">
        <f>HYPERLINK("https://stat100.ameba.jp/tnk47/ratio20/illustrations/card/ill_75393_0_resukuinotsukisamaniittausagi03.jpg?201909-4-RELEASE-guildbattle-430", "■")</f>
        <v>■</v>
      </c>
      <c r="F361" s="1" t="s">
        <v>3248</v>
      </c>
      <c r="G361" s="1">
        <v>261978</v>
      </c>
      <c r="H361" s="1">
        <v>243570</v>
      </c>
      <c r="I361" s="1">
        <v>23</v>
      </c>
      <c r="J361" s="1" t="s">
        <v>26</v>
      </c>
      <c r="K361" s="1" t="s">
        <v>3249</v>
      </c>
      <c r="L361" s="1" t="s">
        <v>3250</v>
      </c>
      <c r="M361" s="1" t="s">
        <v>9158</v>
      </c>
      <c r="N361" s="1" t="s">
        <v>9158</v>
      </c>
      <c r="O361" s="19" t="s">
        <v>10101</v>
      </c>
      <c r="P361" s="1" t="s">
        <v>3251</v>
      </c>
      <c r="Q361" s="1">
        <v>2</v>
      </c>
    </row>
    <row r="362" spans="1:17">
      <c r="A362" s="1" t="s">
        <v>5650</v>
      </c>
      <c r="B362" s="1" t="s">
        <v>52</v>
      </c>
      <c r="C362" s="1" t="s">
        <v>23</v>
      </c>
      <c r="D362" s="19" t="s">
        <v>809</v>
      </c>
      <c r="E362" s="15" t="str">
        <f>HYPERLINK("https://stat100.ameba.jp/tnk47/ratio20/illustrations/card/ill_68033_0_kurisumasupateikandamyojin03.jpg?201909-4-RELEASE-guildbattle-430", "■")</f>
        <v>■</v>
      </c>
      <c r="F362" s="1" t="s">
        <v>1871</v>
      </c>
      <c r="G362" s="1">
        <v>146235</v>
      </c>
      <c r="H362" s="1">
        <v>157306</v>
      </c>
      <c r="I362" s="1">
        <v>23</v>
      </c>
      <c r="J362" s="1" t="s">
        <v>44</v>
      </c>
      <c r="K362" s="1" t="s">
        <v>1872</v>
      </c>
      <c r="L362" s="1" t="s">
        <v>1873</v>
      </c>
      <c r="M362" s="1" t="s">
        <v>9158</v>
      </c>
      <c r="N362" s="1" t="s">
        <v>9158</v>
      </c>
      <c r="O362" s="19" t="s">
        <v>2997</v>
      </c>
      <c r="P362" s="1" t="s">
        <v>3483</v>
      </c>
      <c r="Q362" s="1">
        <v>2</v>
      </c>
    </row>
    <row r="363" spans="1:17">
      <c r="A363" s="1" t="s">
        <v>5604</v>
      </c>
      <c r="B363" s="1" t="s">
        <v>330</v>
      </c>
      <c r="C363" s="1" t="s">
        <v>206</v>
      </c>
      <c r="D363" s="19" t="s">
        <v>614</v>
      </c>
      <c r="E363" s="15" t="str">
        <f>HYPERLINK("https://stat100.ameba.jp/tnk47/ratio20/illustrations/card/ill_47263_0_oukyuuatsuhime03.jpg?201909-4-RELEASE-guildbattle-430", "■")</f>
        <v>■</v>
      </c>
      <c r="F363" s="1" t="s">
        <v>615</v>
      </c>
      <c r="G363" s="1">
        <v>144494</v>
      </c>
      <c r="H363" s="1">
        <v>128358</v>
      </c>
      <c r="I363" s="1">
        <v>23</v>
      </c>
      <c r="J363" s="1" t="s">
        <v>315</v>
      </c>
      <c r="K363" s="1" t="s">
        <v>616</v>
      </c>
      <c r="L363" s="1" t="s">
        <v>617</v>
      </c>
      <c r="M363" s="1" t="s">
        <v>9158</v>
      </c>
      <c r="N363" s="1" t="s">
        <v>9158</v>
      </c>
      <c r="O363" s="1" t="s">
        <v>9158</v>
      </c>
      <c r="P363" s="1" t="s">
        <v>9158</v>
      </c>
      <c r="Q363" s="1" t="s">
        <v>9158</v>
      </c>
    </row>
    <row r="364" spans="1:17">
      <c r="A364" s="1">
        <v>84673</v>
      </c>
      <c r="B364" s="1" t="s">
        <v>0</v>
      </c>
      <c r="C364" s="1" t="s">
        <v>205</v>
      </c>
      <c r="D364" s="19" t="s">
        <v>10607</v>
      </c>
      <c r="E364" s="15" t="str">
        <f>HYPERLINK("https://stat100.ameba.jp/tnk47/ratio20/illustrations/card/ill_84673_bujutsukahoshigamisama03.jpg?201909-4-RELEASE-guildbattle-430", "■")</f>
        <v>■</v>
      </c>
      <c r="F364" s="1" t="s">
        <v>6875</v>
      </c>
      <c r="G364" s="1">
        <v>109528</v>
      </c>
      <c r="H364" s="1">
        <v>109528</v>
      </c>
      <c r="I364" s="1">
        <v>24</v>
      </c>
      <c r="J364" s="1" t="s">
        <v>155</v>
      </c>
      <c r="K364" s="1" t="s">
        <v>6874</v>
      </c>
      <c r="L364" s="1" t="s">
        <v>5400</v>
      </c>
      <c r="M364" s="1" t="s">
        <v>9158</v>
      </c>
      <c r="N364" s="1" t="s">
        <v>9158</v>
      </c>
      <c r="O364" s="1" t="s">
        <v>9158</v>
      </c>
      <c r="P364" s="1" t="s">
        <v>9158</v>
      </c>
      <c r="Q364" s="1" t="s">
        <v>9158</v>
      </c>
    </row>
    <row r="365" spans="1:17">
      <c r="A365" s="1">
        <v>83803</v>
      </c>
      <c r="B365" s="1" t="s">
        <v>15</v>
      </c>
      <c r="C365" s="1" t="s">
        <v>191</v>
      </c>
      <c r="D365" s="19" t="s">
        <v>10608</v>
      </c>
      <c r="E365" s="15" t="str">
        <f>HYPERLINK("https://stat100.ameba.jp/tnk47/ratio20/illustrations/card/ill_83803_otokomatsurihashibahideyoshi03.jpg?201909-4-RELEASE-guildbattle-430", "■")</f>
        <v>■</v>
      </c>
      <c r="F365" s="1" t="s">
        <v>6878</v>
      </c>
      <c r="G365" s="1">
        <v>53352</v>
      </c>
      <c r="H365" s="1">
        <v>53352</v>
      </c>
      <c r="I365" s="1">
        <v>18</v>
      </c>
      <c r="J365" s="1" t="s">
        <v>310</v>
      </c>
      <c r="K365" s="1" t="s">
        <v>6877</v>
      </c>
      <c r="L365" s="1" t="s">
        <v>3524</v>
      </c>
      <c r="M365" s="1" t="s">
        <v>9158</v>
      </c>
      <c r="N365" s="1" t="s">
        <v>9158</v>
      </c>
      <c r="O365" s="1" t="s">
        <v>9158</v>
      </c>
      <c r="P365" s="1" t="s">
        <v>9158</v>
      </c>
      <c r="Q365" s="1" t="s">
        <v>9158</v>
      </c>
    </row>
    <row r="366" spans="1:17">
      <c r="A366" s="1">
        <v>83813</v>
      </c>
      <c r="B366" s="1" t="s">
        <v>22</v>
      </c>
      <c r="C366" s="1" t="s">
        <v>165</v>
      </c>
      <c r="D366" s="19" t="s">
        <v>10609</v>
      </c>
      <c r="E366" s="15" t="str">
        <f>HYPERLINK("https://stat100.ameba.jp/tnk47/ratio20/illustrations/card/ill_83813_nagahamahikiyama03.jpg?201909-4-RELEASE-guildbattle-430", "■")</f>
        <v>■</v>
      </c>
      <c r="F366" s="1" t="s">
        <v>6881</v>
      </c>
      <c r="G366" s="1">
        <v>29388</v>
      </c>
      <c r="H366" s="1">
        <v>35346</v>
      </c>
      <c r="I366" s="1">
        <v>17</v>
      </c>
      <c r="J366" s="1" t="s">
        <v>229</v>
      </c>
      <c r="K366" s="1" t="s">
        <v>6880</v>
      </c>
      <c r="L366" s="1" t="s">
        <v>28</v>
      </c>
      <c r="M366" s="1" t="s">
        <v>9158</v>
      </c>
      <c r="N366" s="1" t="s">
        <v>9158</v>
      </c>
      <c r="O366" s="1" t="s">
        <v>9158</v>
      </c>
      <c r="P366" s="1" t="s">
        <v>9158</v>
      </c>
      <c r="Q366" s="1" t="s">
        <v>9158</v>
      </c>
    </row>
    <row r="367" spans="1:17">
      <c r="A367" s="1">
        <v>83823</v>
      </c>
      <c r="B367" s="1" t="s">
        <v>30</v>
      </c>
      <c r="C367" s="1" t="s">
        <v>248</v>
      </c>
      <c r="D367" s="19" t="s">
        <v>10610</v>
      </c>
      <c r="E367" s="15" t="str">
        <f>HYPERLINK("https://stat100.ameba.jp/tnk47/ratio20/illustrations/card/ill_83823_miyabiwagakkijuriakarozasu03.jpg?201909-4-RELEASE-guildbattle-430", "■")</f>
        <v>■</v>
      </c>
      <c r="F367" s="1" t="s">
        <v>6884</v>
      </c>
      <c r="G367" s="1">
        <v>21398</v>
      </c>
      <c r="H367" s="1">
        <v>17972</v>
      </c>
      <c r="I367" s="1">
        <v>17</v>
      </c>
      <c r="J367" s="1" t="s">
        <v>16</v>
      </c>
      <c r="K367" s="1" t="s">
        <v>6883</v>
      </c>
      <c r="L367" s="1" t="s">
        <v>34</v>
      </c>
      <c r="M367" s="1" t="s">
        <v>9158</v>
      </c>
      <c r="N367" s="1" t="s">
        <v>9158</v>
      </c>
      <c r="O367" s="1" t="s">
        <v>9158</v>
      </c>
      <c r="P367" s="1" t="s">
        <v>9158</v>
      </c>
      <c r="Q367" s="1" t="s">
        <v>9158</v>
      </c>
    </row>
    <row r="369" spans="1:19">
      <c r="A369" s="1" t="s">
        <v>6969</v>
      </c>
    </row>
    <row r="370" spans="1:19">
      <c r="A370" s="1" t="s">
        <v>6970</v>
      </c>
    </row>
    <row r="371" spans="1:19">
      <c r="A371" s="1" t="s">
        <v>5620</v>
      </c>
      <c r="B371" s="1" t="s">
        <v>330</v>
      </c>
      <c r="C371" s="1" t="s">
        <v>206</v>
      </c>
      <c r="D371" s="19" t="s">
        <v>669</v>
      </c>
      <c r="E371" s="15" t="str">
        <f>HYPERLINK("https://stat100.ameba.jp/tnk47/ratio20/illustrations/card/ill_67173_0_yukemuriawamorichan03.jpg?201909-4-RELEASE-guildbattle-430x", "■")</f>
        <v>■</v>
      </c>
      <c r="F371" s="1" t="s">
        <v>670</v>
      </c>
      <c r="G371" s="1">
        <v>115249</v>
      </c>
      <c r="H371" s="1">
        <v>107146</v>
      </c>
      <c r="I371" s="1">
        <v>15</v>
      </c>
      <c r="J371" s="1" t="s">
        <v>283</v>
      </c>
      <c r="K371" s="1" t="s">
        <v>671</v>
      </c>
      <c r="L371" s="1" t="s">
        <v>672</v>
      </c>
      <c r="M371" s="1" t="s">
        <v>9158</v>
      </c>
      <c r="N371" s="1" t="s">
        <v>9158</v>
      </c>
      <c r="O371" s="19" t="s">
        <v>10087</v>
      </c>
      <c r="P371" s="1" t="s">
        <v>3455</v>
      </c>
      <c r="Q371" s="1">
        <v>1</v>
      </c>
    </row>
    <row r="372" spans="1:19">
      <c r="A372" s="1" t="s">
        <v>5618</v>
      </c>
      <c r="B372" s="1" t="s">
        <v>52</v>
      </c>
      <c r="C372" s="1" t="s">
        <v>23</v>
      </c>
      <c r="D372" s="19" t="s">
        <v>665</v>
      </c>
      <c r="E372" s="15" t="str">
        <f>HYPERLINK("https://stat100.ameba.jp/tnk47/ratio20/illustrations/card/ill_63173_0_minazukikonakaiteruko03.jpg?201909-4-RELEASE-guildbattle-430x", "■")</f>
        <v>■</v>
      </c>
      <c r="F372" s="1" t="s">
        <v>1188</v>
      </c>
      <c r="G372" s="1">
        <v>130194</v>
      </c>
      <c r="H372" s="1">
        <v>140016</v>
      </c>
      <c r="I372" s="1">
        <v>15</v>
      </c>
      <c r="J372" s="1" t="s">
        <v>143</v>
      </c>
      <c r="K372" s="1" t="s">
        <v>1189</v>
      </c>
      <c r="L372" s="1" t="s">
        <v>1190</v>
      </c>
      <c r="M372" s="1" t="s">
        <v>9158</v>
      </c>
      <c r="N372" s="1" t="s">
        <v>9158</v>
      </c>
      <c r="O372" s="19" t="s">
        <v>10079</v>
      </c>
      <c r="P372" s="1" t="s">
        <v>3329</v>
      </c>
      <c r="Q372" s="1">
        <v>1</v>
      </c>
    </row>
    <row r="373" spans="1:19">
      <c r="A373" s="1" t="s">
        <v>6132</v>
      </c>
      <c r="B373" s="1" t="s">
        <v>52</v>
      </c>
      <c r="C373" s="1" t="s">
        <v>205</v>
      </c>
      <c r="D373" s="19" t="s">
        <v>702</v>
      </c>
      <c r="E373" s="15" t="str">
        <f>HYPERLINK("https://stat100.ameba.jp/tnk47/ratio20/illustrations/card/ill_50693_0_hanamizugimimuratsuru03.jpg?201909-4-RELEASE-guildbattle-430x", "■")</f>
        <v>■</v>
      </c>
      <c r="F373" s="1" t="s">
        <v>2282</v>
      </c>
      <c r="G373" s="1">
        <v>83712</v>
      </c>
      <c r="H373" s="1">
        <v>94236</v>
      </c>
      <c r="I373" s="1">
        <v>15</v>
      </c>
      <c r="J373" s="1" t="s">
        <v>143</v>
      </c>
      <c r="K373" s="1" t="s">
        <v>2283</v>
      </c>
      <c r="L373" s="1" t="s">
        <v>2284</v>
      </c>
      <c r="M373" s="1" t="s">
        <v>9158</v>
      </c>
      <c r="N373" s="1" t="s">
        <v>9158</v>
      </c>
      <c r="O373" s="1" t="s">
        <v>9158</v>
      </c>
      <c r="P373" s="1" t="s">
        <v>9158</v>
      </c>
      <c r="Q373" s="1" t="s">
        <v>9158</v>
      </c>
    </row>
    <row r="374" spans="1:19">
      <c r="A374" s="1">
        <v>79533</v>
      </c>
      <c r="B374" s="1" t="s">
        <v>0</v>
      </c>
      <c r="C374" s="1" t="s">
        <v>203</v>
      </c>
      <c r="D374" s="19" t="s">
        <v>11853</v>
      </c>
      <c r="E374" s="15" t="str">
        <f>HYPERLINK("https://stat100.ameba.jp/tnk47/ratio20/illustrations/card/ill_79533_nabepateitakabaosamu03.jpg?201909-4-RELEASE-guildbattle-430x", "■")</f>
        <v>■</v>
      </c>
      <c r="F374" s="1" t="s">
        <v>6971</v>
      </c>
      <c r="G374" s="1">
        <v>90522</v>
      </c>
      <c r="H374" s="1">
        <v>97318</v>
      </c>
      <c r="I374" s="1">
        <v>24</v>
      </c>
      <c r="J374" s="1" t="s">
        <v>16</v>
      </c>
      <c r="K374" s="1" t="s">
        <v>6972</v>
      </c>
      <c r="L374" s="1" t="s">
        <v>6973</v>
      </c>
      <c r="M374" s="1" t="s">
        <v>9158</v>
      </c>
      <c r="N374" s="1" t="s">
        <v>9158</v>
      </c>
      <c r="O374" s="1" t="s">
        <v>9158</v>
      </c>
      <c r="P374" s="1" t="s">
        <v>9158</v>
      </c>
      <c r="Q374" s="1" t="s">
        <v>9158</v>
      </c>
      <c r="S374" s="14" t="s">
        <v>11854</v>
      </c>
    </row>
    <row r="375" spans="1:19">
      <c r="A375" s="1">
        <v>79633</v>
      </c>
      <c r="B375" s="1" t="s">
        <v>0</v>
      </c>
      <c r="C375" s="1" t="s">
        <v>209</v>
      </c>
      <c r="D375" s="19" t="s">
        <v>11855</v>
      </c>
      <c r="E375" s="15" t="str">
        <f>HYPERLINK("https://stat100.ameba.jp/tnk47/ratio20/illustrations/card/ill_79633_hibikiwataruneiromatsuotaseko03.jpg?201909-4-RELEASE-guildbattle-430x", "■")</f>
        <v>■</v>
      </c>
      <c r="F375" s="1" t="s">
        <v>6974</v>
      </c>
      <c r="G375" s="1">
        <v>142674</v>
      </c>
      <c r="H375" s="1">
        <v>132658</v>
      </c>
      <c r="I375" s="1">
        <v>24</v>
      </c>
      <c r="J375" s="1" t="s">
        <v>143</v>
      </c>
      <c r="K375" s="1" t="s">
        <v>6975</v>
      </c>
      <c r="L375" s="1" t="s">
        <v>6976</v>
      </c>
      <c r="M375" s="1" t="s">
        <v>9158</v>
      </c>
      <c r="N375" s="1" t="s">
        <v>9158</v>
      </c>
      <c r="O375" s="1" t="s">
        <v>9158</v>
      </c>
      <c r="P375" s="1" t="s">
        <v>9158</v>
      </c>
      <c r="Q375" s="1" t="s">
        <v>9158</v>
      </c>
      <c r="S375" s="14" t="s">
        <v>11856</v>
      </c>
    </row>
    <row r="376" spans="1:19">
      <c r="A376" s="1">
        <v>79223</v>
      </c>
      <c r="B376" s="1" t="s">
        <v>0</v>
      </c>
      <c r="C376" s="1" t="s">
        <v>202</v>
      </c>
      <c r="D376" s="19" t="s">
        <v>11857</v>
      </c>
      <c r="E376" s="15" t="str">
        <f>HYPERLINK("https://stat100.ameba.jp/tnk47/ratio20/illustrations/card/ill_79223_shogikarakurigiemon03.jpg?201909-4-RELEASE-guildbattle-430x", "■")</f>
        <v>■</v>
      </c>
      <c r="F376" s="1" t="s">
        <v>6977</v>
      </c>
      <c r="G376" s="1">
        <v>87128</v>
      </c>
      <c r="H376" s="1">
        <v>93746</v>
      </c>
      <c r="I376" s="1">
        <v>24</v>
      </c>
      <c r="J376" s="1" t="s">
        <v>10</v>
      </c>
      <c r="K376" s="1" t="s">
        <v>6978</v>
      </c>
      <c r="L376" s="1" t="s">
        <v>6979</v>
      </c>
      <c r="M376" s="1" t="s">
        <v>9158</v>
      </c>
      <c r="N376" s="1" t="s">
        <v>9158</v>
      </c>
      <c r="O376" s="1" t="s">
        <v>9158</v>
      </c>
      <c r="P376" s="1" t="s">
        <v>9158</v>
      </c>
      <c r="Q376" s="1" t="s">
        <v>9158</v>
      </c>
      <c r="S376" s="14" t="s">
        <v>11858</v>
      </c>
    </row>
    <row r="377" spans="1:19">
      <c r="A377" s="1">
        <v>72363</v>
      </c>
      <c r="B377" s="1" t="s">
        <v>15</v>
      </c>
      <c r="C377" s="1" t="s">
        <v>165</v>
      </c>
      <c r="D377" s="19" t="s">
        <v>10600</v>
      </c>
      <c r="E377" s="15" t="str">
        <f>HYPERLINK("https://stat100.ameba.jp/tnk47/ratio20/illustrations/card/ill_72363_zuwaigani03.jpg?201909-4-RELEASE-guildbattle-430x", "■")</f>
        <v>■</v>
      </c>
      <c r="F377" s="1" t="s">
        <v>6817</v>
      </c>
      <c r="G377" s="1">
        <v>62244</v>
      </c>
      <c r="H377" s="1">
        <v>56456</v>
      </c>
      <c r="I377" s="1">
        <v>21</v>
      </c>
      <c r="J377" s="1" t="s">
        <v>104</v>
      </c>
      <c r="K377" s="1" t="s">
        <v>6816</v>
      </c>
      <c r="L377" s="1" t="s">
        <v>6815</v>
      </c>
      <c r="M377" s="1" t="s">
        <v>9158</v>
      </c>
      <c r="N377" s="1" t="s">
        <v>9158</v>
      </c>
      <c r="O377" s="1" t="s">
        <v>9158</v>
      </c>
      <c r="P377" s="1" t="s">
        <v>9158</v>
      </c>
      <c r="Q377" s="1" t="s">
        <v>9158</v>
      </c>
      <c r="S377" s="14" t="s">
        <v>11843</v>
      </c>
    </row>
    <row r="378" spans="1:19">
      <c r="A378" s="1">
        <v>76653</v>
      </c>
      <c r="B378" s="1" t="s">
        <v>15</v>
      </c>
      <c r="C378" s="1" t="s">
        <v>185</v>
      </c>
      <c r="D378" s="19" t="s">
        <v>10601</v>
      </c>
      <c r="E378" s="15" t="str">
        <f>HYPERLINK("https://stat100.ameba.jp/tnk47/ratio20/illustrations/card/ill_76653_nishikienoanesama03.jpg?201909-4-RELEASE-guildbattle-430x", "■")</f>
        <v>■</v>
      </c>
      <c r="F378" s="1" t="s">
        <v>6820</v>
      </c>
      <c r="G378" s="1">
        <v>56456</v>
      </c>
      <c r="H378" s="1">
        <v>62244</v>
      </c>
      <c r="I378" s="1">
        <v>21</v>
      </c>
      <c r="J378" s="1" t="s">
        <v>38</v>
      </c>
      <c r="K378" s="1" t="s">
        <v>6819</v>
      </c>
      <c r="L378" s="1" t="s">
        <v>3440</v>
      </c>
      <c r="M378" s="1" t="s">
        <v>9158</v>
      </c>
      <c r="N378" s="1" t="s">
        <v>9158</v>
      </c>
      <c r="O378" s="1" t="s">
        <v>9158</v>
      </c>
      <c r="P378" s="1" t="s">
        <v>9158</v>
      </c>
      <c r="Q378" s="1" t="s">
        <v>9158</v>
      </c>
      <c r="S378" s="14" t="s">
        <v>11807</v>
      </c>
    </row>
    <row r="379" spans="1:19">
      <c r="A379" s="1">
        <v>75523</v>
      </c>
      <c r="B379" s="1" t="s">
        <v>15</v>
      </c>
      <c r="C379" s="1" t="s">
        <v>191</v>
      </c>
      <c r="D379" s="19" t="s">
        <v>10602</v>
      </c>
      <c r="E379" s="15" t="str">
        <f>HYPERLINK("https://stat100.ameba.jp/tnk47/ratio20/illustrations/card/ill_75523_shirakawago03.jpg?201909-4-RELEASE-guildbattle-430x", "■")</f>
        <v>■</v>
      </c>
      <c r="F379" s="1" t="s">
        <v>6823</v>
      </c>
      <c r="G379" s="1">
        <v>62244</v>
      </c>
      <c r="H379" s="1">
        <v>56456</v>
      </c>
      <c r="I379" s="1">
        <v>21</v>
      </c>
      <c r="J379" s="1" t="s">
        <v>26</v>
      </c>
      <c r="K379" s="1" t="s">
        <v>6822</v>
      </c>
      <c r="L379" s="1" t="s">
        <v>924</v>
      </c>
      <c r="M379" s="1" t="s">
        <v>9158</v>
      </c>
      <c r="N379" s="1" t="s">
        <v>9158</v>
      </c>
      <c r="O379" s="1" t="s">
        <v>9158</v>
      </c>
      <c r="P379" s="1" t="s">
        <v>9158</v>
      </c>
      <c r="Q379" s="1" t="s">
        <v>9158</v>
      </c>
      <c r="S379" s="14" t="s">
        <v>11846</v>
      </c>
    </row>
    <row r="381" spans="1:19">
      <c r="A381" s="1" t="s">
        <v>6982</v>
      </c>
    </row>
    <row r="382" spans="1:19">
      <c r="A382" s="1" t="s">
        <v>6983</v>
      </c>
    </row>
    <row r="383" spans="1:19">
      <c r="A383" s="1" t="s">
        <v>5899</v>
      </c>
      <c r="B383" s="1" t="s">
        <v>330</v>
      </c>
      <c r="C383" s="1" t="s">
        <v>205</v>
      </c>
      <c r="D383" s="19" t="s">
        <v>1559</v>
      </c>
      <c r="E383" s="15" t="str">
        <f>HYPERLINK("https://stat100.ameba.jp/tnk47/ratio20/illustrations/card/ill_73773_0_umibirakiinugamigyobu03.jpg?201909-i_prefecture_active_user", "■")</f>
        <v>■</v>
      </c>
      <c r="F383" s="1" t="s">
        <v>935</v>
      </c>
      <c r="G383" s="1">
        <v>190902</v>
      </c>
      <c r="H383" s="1">
        <v>205334</v>
      </c>
      <c r="I383" s="1">
        <v>22</v>
      </c>
      <c r="J383" s="1" t="s">
        <v>182</v>
      </c>
      <c r="K383" s="1" t="s">
        <v>936</v>
      </c>
      <c r="L383" s="1" t="s">
        <v>13147</v>
      </c>
      <c r="M383" s="1" t="s">
        <v>9158</v>
      </c>
      <c r="N383" s="1" t="s">
        <v>9158</v>
      </c>
      <c r="O383" s="19" t="s">
        <v>2978</v>
      </c>
      <c r="P383" s="1" t="s">
        <v>2979</v>
      </c>
      <c r="Q383" s="1">
        <v>2</v>
      </c>
    </row>
    <row r="384" spans="1:19">
      <c r="A384" s="1">
        <v>60763</v>
      </c>
      <c r="B384" s="1" t="s">
        <v>334</v>
      </c>
      <c r="C384" s="1" t="s">
        <v>203</v>
      </c>
      <c r="D384" s="19" t="s">
        <v>10420</v>
      </c>
      <c r="E384" s="15" t="str">
        <f>HYPERLINK("https://stat100.ameba.jp/tnk47/ratio20/illustrations/card/ill_60763_fujiwarakagekiyo03.jpg?201909-i_prefecture_active_user", "■")</f>
        <v>■</v>
      </c>
      <c r="F384" s="1" t="s">
        <v>1146</v>
      </c>
      <c r="G384" s="1">
        <v>115656</v>
      </c>
      <c r="H384" s="1">
        <v>159674</v>
      </c>
      <c r="I384" s="1">
        <v>24</v>
      </c>
      <c r="J384" s="1" t="s">
        <v>143</v>
      </c>
      <c r="K384" s="1" t="s">
        <v>1147</v>
      </c>
      <c r="L384" s="1" t="s">
        <v>1148</v>
      </c>
      <c r="M384" s="1" t="s">
        <v>9158</v>
      </c>
      <c r="N384" s="1" t="s">
        <v>9158</v>
      </c>
      <c r="O384" s="19" t="s">
        <v>10112</v>
      </c>
      <c r="P384" s="1" t="s">
        <v>13150</v>
      </c>
      <c r="Q384" s="1">
        <v>1</v>
      </c>
    </row>
    <row r="385" spans="1:17">
      <c r="A385" s="1">
        <v>75873</v>
      </c>
      <c r="B385" s="1" t="s">
        <v>334</v>
      </c>
      <c r="C385" s="1" t="s">
        <v>209</v>
      </c>
      <c r="D385" s="19" t="s">
        <v>10221</v>
      </c>
      <c r="E385" s="15" t="str">
        <f>HYPERLINK("https://stat100.ameba.jp/tnk47/ratio20/illustrations/card/ill_75873_harajukuroriitachan03.jpg?201909-i_prefecture_active_user", "■")</f>
        <v>■</v>
      </c>
      <c r="F385" s="1" t="s">
        <v>1945</v>
      </c>
      <c r="G385" s="1">
        <v>105394</v>
      </c>
      <c r="H385" s="1">
        <v>113340</v>
      </c>
      <c r="I385" s="1">
        <v>24</v>
      </c>
      <c r="J385" s="1" t="s">
        <v>26</v>
      </c>
      <c r="K385" s="1" t="s">
        <v>1946</v>
      </c>
      <c r="L385" s="1" t="s">
        <v>1947</v>
      </c>
      <c r="M385" s="1" t="s">
        <v>9158</v>
      </c>
      <c r="N385" s="1" t="s">
        <v>9158</v>
      </c>
      <c r="O385" s="19" t="s">
        <v>2752</v>
      </c>
      <c r="P385" s="1" t="s">
        <v>13123</v>
      </c>
      <c r="Q385" s="1">
        <v>1</v>
      </c>
    </row>
    <row r="386" spans="1:17">
      <c r="A386" s="1">
        <v>62473</v>
      </c>
      <c r="B386" s="1" t="s">
        <v>334</v>
      </c>
      <c r="C386" s="1" t="s">
        <v>203</v>
      </c>
      <c r="D386" s="19" t="s">
        <v>2834</v>
      </c>
      <c r="E386" s="15" t="str">
        <f>HYPERLINK("https://stat100.ameba.jp/tnk47/ratio20/illustrations/card/ill_62473_kokuriko03.jpg?201909-i_prefecture_active_user", "■")</f>
        <v>■</v>
      </c>
      <c r="F386" s="1" t="s">
        <v>2835</v>
      </c>
      <c r="G386" s="1">
        <v>109554</v>
      </c>
      <c r="H386" s="1">
        <v>79348</v>
      </c>
      <c r="I386" s="1">
        <v>24</v>
      </c>
      <c r="J386" s="1" t="s">
        <v>401</v>
      </c>
      <c r="K386" s="1" t="s">
        <v>2836</v>
      </c>
      <c r="L386" s="1" t="s">
        <v>2837</v>
      </c>
      <c r="M386" s="1" t="s">
        <v>9158</v>
      </c>
      <c r="N386" s="1" t="s">
        <v>9158</v>
      </c>
      <c r="O386" s="19" t="s">
        <v>2838</v>
      </c>
      <c r="P386" s="1" t="s">
        <v>2839</v>
      </c>
      <c r="Q386" s="1">
        <v>1</v>
      </c>
    </row>
    <row r="388" spans="1:17">
      <c r="A388" s="1" t="s">
        <v>6981</v>
      </c>
    </row>
    <row r="389" spans="1:17">
      <c r="A389" s="1" t="s">
        <v>6980</v>
      </c>
    </row>
    <row r="390" spans="1:17">
      <c r="A390" s="1">
        <v>62203</v>
      </c>
      <c r="B390" s="1" t="s">
        <v>334</v>
      </c>
      <c r="C390" s="1" t="s">
        <v>154</v>
      </c>
      <c r="D390" s="19" t="s">
        <v>3039</v>
      </c>
      <c r="E390" s="15" t="str">
        <f>HYPERLINK("https://stat100.ameba.jp/tnk47/ratio20/illustrations/card/ill_62203_keishoimmasahime03.jpg?201909-i_prefecture_active_user", "■")</f>
        <v>■</v>
      </c>
      <c r="F390" s="1" t="s">
        <v>2261</v>
      </c>
      <c r="G390" s="1">
        <v>96246</v>
      </c>
      <c r="H390" s="1">
        <v>103512</v>
      </c>
      <c r="I390" s="1">
        <v>24</v>
      </c>
      <c r="J390" s="1" t="s">
        <v>77</v>
      </c>
      <c r="K390" s="1" t="s">
        <v>2262</v>
      </c>
      <c r="L390" s="1" t="s">
        <v>2263</v>
      </c>
      <c r="M390" s="1" t="s">
        <v>9158</v>
      </c>
      <c r="N390" s="1" t="s">
        <v>9158</v>
      </c>
      <c r="O390" s="1" t="s">
        <v>9158</v>
      </c>
      <c r="P390" s="1" t="s">
        <v>9158</v>
      </c>
      <c r="Q390" s="1" t="s">
        <v>9158</v>
      </c>
    </row>
    <row r="391" spans="1:17">
      <c r="A391" s="1">
        <v>69723</v>
      </c>
      <c r="B391" s="1" t="s">
        <v>334</v>
      </c>
      <c r="C391" s="1" t="s">
        <v>158</v>
      </c>
      <c r="D391" s="19" t="s">
        <v>3042</v>
      </c>
      <c r="E391" s="15" t="str">
        <f>HYPERLINK("https://stat100.ameba.jp/tnk47/ratio20/illustrations/card/ill_69723_nakaurajurian03.jpg?201909-i_prefecture_active_user", "■")</f>
        <v>■</v>
      </c>
      <c r="F391" s="1" t="s">
        <v>2257</v>
      </c>
      <c r="G391" s="1">
        <v>96246</v>
      </c>
      <c r="H391" s="1">
        <v>103512</v>
      </c>
      <c r="I391" s="1">
        <v>24</v>
      </c>
      <c r="J391" s="1" t="s">
        <v>173</v>
      </c>
      <c r="K391" s="1" t="s">
        <v>2258</v>
      </c>
      <c r="L391" s="1" t="s">
        <v>2259</v>
      </c>
      <c r="M391" s="1" t="s">
        <v>9158</v>
      </c>
      <c r="N391" s="1" t="s">
        <v>9158</v>
      </c>
      <c r="O391" s="1" t="s">
        <v>9158</v>
      </c>
      <c r="P391" s="1" t="s">
        <v>9158</v>
      </c>
      <c r="Q391" s="1" t="s">
        <v>9158</v>
      </c>
    </row>
    <row r="392" spans="1:17">
      <c r="A392" s="1">
        <v>69883</v>
      </c>
      <c r="B392" s="1" t="s">
        <v>334</v>
      </c>
      <c r="C392" s="1" t="s">
        <v>185</v>
      </c>
      <c r="D392" s="19" t="s">
        <v>10293</v>
      </c>
      <c r="E392" s="15" t="str">
        <f>HYPERLINK("https://stat100.ameba.jp/tnk47/ratio20/illustrations/card/ill_69883_kyupiddotominushihime03.jpg?201909-i_prefecture_active_user", "■")</f>
        <v>■</v>
      </c>
      <c r="F392" s="1" t="s">
        <v>4142</v>
      </c>
      <c r="G392" s="1">
        <v>91010</v>
      </c>
      <c r="H392" s="1">
        <v>97894</v>
      </c>
      <c r="I392" s="1">
        <v>24</v>
      </c>
      <c r="J392" s="1" t="s">
        <v>169</v>
      </c>
      <c r="K392" s="1" t="s">
        <v>4143</v>
      </c>
      <c r="L392" s="1" t="s">
        <v>13190</v>
      </c>
      <c r="M392" s="1" t="s">
        <v>9158</v>
      </c>
      <c r="N392" s="1" t="s">
        <v>9158</v>
      </c>
      <c r="O392" s="1" t="s">
        <v>9158</v>
      </c>
      <c r="P392" s="1" t="s">
        <v>9158</v>
      </c>
      <c r="Q392" s="1" t="s">
        <v>9158</v>
      </c>
    </row>
    <row r="393" spans="1:17">
      <c r="A393" s="1">
        <v>71833</v>
      </c>
      <c r="B393" s="1" t="s">
        <v>334</v>
      </c>
      <c r="C393" s="1" t="s">
        <v>165</v>
      </c>
      <c r="D393" s="19" t="s">
        <v>10294</v>
      </c>
      <c r="E393" s="15" t="str">
        <f>HYPERLINK("https://stat100.ameba.jp/tnk47/ratio20/illustrations/card/ill_71833_autodoanuregamidoji03.jpg?201909-i_prefecture_active_user", "■")</f>
        <v>■</v>
      </c>
      <c r="F393" s="1" t="s">
        <v>5291</v>
      </c>
      <c r="G393" s="1">
        <v>92996</v>
      </c>
      <c r="H393" s="1">
        <v>99996</v>
      </c>
      <c r="I393" s="1">
        <v>24</v>
      </c>
      <c r="J393" s="1" t="s">
        <v>320</v>
      </c>
      <c r="K393" s="1" t="s">
        <v>4244</v>
      </c>
      <c r="L393" s="1" t="s">
        <v>4245</v>
      </c>
      <c r="M393" s="1" t="s">
        <v>9158</v>
      </c>
      <c r="N393" s="1" t="s">
        <v>9158</v>
      </c>
      <c r="O393" s="1" t="s">
        <v>9158</v>
      </c>
      <c r="P393" s="1" t="s">
        <v>9158</v>
      </c>
      <c r="Q393" s="1" t="s">
        <v>9158</v>
      </c>
    </row>
    <row r="394" spans="1:17">
      <c r="A394" s="1">
        <v>52973</v>
      </c>
      <c r="B394" s="1" t="s">
        <v>15</v>
      </c>
      <c r="C394" s="1" t="s">
        <v>206</v>
      </c>
      <c r="D394" s="19" t="s">
        <v>10519</v>
      </c>
      <c r="E394" s="15" t="str">
        <f>HYPERLINK("https://stat100.ameba.jp/tnk47/ratio20/illustrations/card/ill_52973_torampuamoronagu03.jpg?201909-i_prefecture_active_user", "■")</f>
        <v>■</v>
      </c>
      <c r="F394" s="1" t="s">
        <v>6421</v>
      </c>
      <c r="G394" s="1">
        <v>56316</v>
      </c>
      <c r="H394" s="1">
        <v>51078</v>
      </c>
      <c r="I394" s="1">
        <v>19</v>
      </c>
      <c r="J394" s="1" t="s">
        <v>44</v>
      </c>
      <c r="K394" s="1" t="s">
        <v>6419</v>
      </c>
      <c r="L394" s="1" t="s">
        <v>6418</v>
      </c>
      <c r="M394" s="1" t="s">
        <v>9158</v>
      </c>
      <c r="N394" s="1" t="s">
        <v>9158</v>
      </c>
      <c r="O394" s="1" t="s">
        <v>9158</v>
      </c>
      <c r="P394" s="1" t="s">
        <v>9158</v>
      </c>
      <c r="Q394" s="1" t="s">
        <v>9158</v>
      </c>
    </row>
    <row r="395" spans="1:17">
      <c r="A395" s="1">
        <v>52333</v>
      </c>
      <c r="B395" s="1" t="s">
        <v>15</v>
      </c>
      <c r="C395" s="1" t="s">
        <v>200</v>
      </c>
      <c r="D395" s="19" t="s">
        <v>10537</v>
      </c>
      <c r="E395" s="15" t="str">
        <f>HYPERLINK("https://stat100.ameba.jp/tnk47/ratio20/illustrations/card/ill_52333_chichibuyomatsuri03.jpg?201909-i_prefecture_active_user", "■")</f>
        <v>■</v>
      </c>
      <c r="F395" s="1" t="s">
        <v>3614</v>
      </c>
      <c r="G395" s="1">
        <v>56316</v>
      </c>
      <c r="H395" s="1">
        <v>51078</v>
      </c>
      <c r="I395" s="1">
        <v>19</v>
      </c>
      <c r="J395" s="1" t="s">
        <v>38</v>
      </c>
      <c r="K395" s="1" t="s">
        <v>3615</v>
      </c>
      <c r="L395" s="1" t="s">
        <v>3616</v>
      </c>
      <c r="M395" s="1" t="s">
        <v>9158</v>
      </c>
      <c r="N395" s="1" t="s">
        <v>9158</v>
      </c>
      <c r="O395" s="1" t="s">
        <v>9158</v>
      </c>
      <c r="P395" s="1" t="s">
        <v>9158</v>
      </c>
      <c r="Q395" s="1" t="s">
        <v>9158</v>
      </c>
    </row>
    <row r="396" spans="1:17">
      <c r="A396" s="1">
        <v>51913</v>
      </c>
      <c r="B396" s="1" t="s">
        <v>15</v>
      </c>
      <c r="C396" s="1" t="s">
        <v>191</v>
      </c>
      <c r="D396" s="19" t="s">
        <v>10538</v>
      </c>
      <c r="E396" s="15" t="str">
        <f>HYPERLINK("https://stat100.ameba.jp/tnk47/ratio20/illustrations/card/ill_51913_kemonomizugihamahime03.jpg?201909-i_prefecture_active_user", "■")</f>
        <v>■</v>
      </c>
      <c r="F396" s="1" t="s">
        <v>6501</v>
      </c>
      <c r="G396" s="1">
        <v>51078</v>
      </c>
      <c r="H396" s="1">
        <v>56316</v>
      </c>
      <c r="I396" s="1">
        <v>19</v>
      </c>
      <c r="J396" s="1" t="s">
        <v>182</v>
      </c>
      <c r="K396" s="1" t="s">
        <v>6500</v>
      </c>
      <c r="L396" s="1" t="s">
        <v>6499</v>
      </c>
      <c r="M396" s="1" t="s">
        <v>9158</v>
      </c>
      <c r="N396" s="1" t="s">
        <v>9158</v>
      </c>
      <c r="O396" s="1" t="s">
        <v>9158</v>
      </c>
      <c r="P396" s="1" t="s">
        <v>9158</v>
      </c>
      <c r="Q396" s="1" t="s">
        <v>9158</v>
      </c>
    </row>
    <row r="397" spans="1:17">
      <c r="A397" s="1">
        <v>51833</v>
      </c>
      <c r="B397" s="1" t="s">
        <v>15</v>
      </c>
      <c r="C397" s="1" t="s">
        <v>205</v>
      </c>
      <c r="D397" s="19" t="s">
        <v>10493</v>
      </c>
      <c r="E397" s="15" t="str">
        <f>HYPERLINK("https://stat100.ameba.jp/tnk47/ratio20/illustrations/card/ill_51833_jukimakitsuhikonomikoto03.jpg?201909-i_prefecture_active_user", "■")</f>
        <v>■</v>
      </c>
      <c r="F397" s="1" t="s">
        <v>6254</v>
      </c>
      <c r="G397" s="1">
        <v>56316</v>
      </c>
      <c r="H397" s="1">
        <v>51078</v>
      </c>
      <c r="I397" s="1">
        <v>19</v>
      </c>
      <c r="J397" s="1" t="s">
        <v>44</v>
      </c>
      <c r="K397" s="1" t="s">
        <v>6257</v>
      </c>
      <c r="L397" s="1" t="s">
        <v>6256</v>
      </c>
      <c r="M397" s="1" t="s">
        <v>9158</v>
      </c>
      <c r="N397" s="1" t="s">
        <v>9158</v>
      </c>
      <c r="O397" s="1" t="s">
        <v>9158</v>
      </c>
      <c r="P397" s="1" t="s">
        <v>9158</v>
      </c>
      <c r="Q397" s="1" t="s">
        <v>9158</v>
      </c>
    </row>
    <row r="399" spans="1:17">
      <c r="A399" s="1" t="s">
        <v>6984</v>
      </c>
    </row>
    <row r="400" spans="1:17">
      <c r="A400" s="1" t="s">
        <v>6985</v>
      </c>
    </row>
    <row r="401" spans="1:17">
      <c r="A401" s="1" t="s">
        <v>5822</v>
      </c>
      <c r="B401" s="1" t="s">
        <v>330</v>
      </c>
      <c r="C401" s="1" t="s">
        <v>191</v>
      </c>
      <c r="D401" s="19" t="s">
        <v>306</v>
      </c>
      <c r="E401" s="15" t="str">
        <f>HYPERLINK("https://stat100.ameba.jp/tnk47/ratio20/illustrations/card/ill_71403_0_ohanamisanadayukimura03.jpg?201909-i_prefecture_active_user", "■")</f>
        <v>■</v>
      </c>
      <c r="F401" s="1" t="s">
        <v>309</v>
      </c>
      <c r="G401" s="1">
        <v>140016</v>
      </c>
      <c r="H401" s="1">
        <v>130194</v>
      </c>
      <c r="I401" s="1">
        <v>15</v>
      </c>
      <c r="J401" s="1" t="s">
        <v>310</v>
      </c>
      <c r="K401" s="1" t="s">
        <v>311</v>
      </c>
      <c r="L401" s="1" t="s">
        <v>312</v>
      </c>
      <c r="M401" s="1" t="s">
        <v>9158</v>
      </c>
      <c r="N401" s="1" t="s">
        <v>9158</v>
      </c>
      <c r="O401" s="19" t="s">
        <v>10104</v>
      </c>
      <c r="P401" s="1" t="s">
        <v>3418</v>
      </c>
      <c r="Q401" s="1">
        <v>2</v>
      </c>
    </row>
    <row r="402" spans="1:17">
      <c r="A402" s="1" t="s">
        <v>5623</v>
      </c>
      <c r="B402" s="1" t="s">
        <v>330</v>
      </c>
      <c r="C402" s="1" t="s">
        <v>165</v>
      </c>
      <c r="D402" s="19" t="s">
        <v>3146</v>
      </c>
      <c r="E402" s="15" t="str">
        <f>HYPERLINK("https://stat100.ameba.jp/tnk47/ratio20/illustrations/card/ill_65713_0_undokaionikirimaru03.jpg?201909-i_prefecture_active_user", "■")</f>
        <v>■</v>
      </c>
      <c r="F402" s="1" t="s">
        <v>535</v>
      </c>
      <c r="G402" s="1">
        <v>113525</v>
      </c>
      <c r="H402" s="1">
        <v>105545</v>
      </c>
      <c r="I402" s="1">
        <v>15</v>
      </c>
      <c r="J402" s="1" t="s">
        <v>320</v>
      </c>
      <c r="K402" s="1" t="s">
        <v>3147</v>
      </c>
      <c r="L402" s="1" t="s">
        <v>3148</v>
      </c>
      <c r="M402" s="1" t="s">
        <v>9158</v>
      </c>
      <c r="N402" s="1" t="s">
        <v>9158</v>
      </c>
      <c r="O402" s="19" t="s">
        <v>2869</v>
      </c>
      <c r="P402" s="1" t="s">
        <v>2870</v>
      </c>
      <c r="Q402" s="1">
        <v>1</v>
      </c>
    </row>
    <row r="403" spans="1:17">
      <c r="A403" s="1" t="s">
        <v>5820</v>
      </c>
      <c r="B403" s="1" t="s">
        <v>330</v>
      </c>
      <c r="C403" s="1" t="s">
        <v>271</v>
      </c>
      <c r="D403" s="19" t="s">
        <v>630</v>
      </c>
      <c r="E403" s="15" t="str">
        <f>HYPERLINK("https://stat100.ameba.jp/tnk47/ratio20/illustrations/card/ill_48283_0_kyuubitamamonomae03.jpg?201909-i_prefecture_active_user", "■")</f>
        <v>■</v>
      </c>
      <c r="F403" s="1" t="s">
        <v>631</v>
      </c>
      <c r="G403" s="1">
        <v>94236</v>
      </c>
      <c r="H403" s="1">
        <v>83712</v>
      </c>
      <c r="I403" s="1">
        <v>15</v>
      </c>
      <c r="J403" s="1" t="s">
        <v>320</v>
      </c>
      <c r="K403" s="1" t="s">
        <v>632</v>
      </c>
      <c r="L403" s="1" t="s">
        <v>633</v>
      </c>
      <c r="M403" s="1" t="s">
        <v>9158</v>
      </c>
      <c r="N403" s="1" t="s">
        <v>9158</v>
      </c>
      <c r="O403" s="1" t="s">
        <v>9158</v>
      </c>
      <c r="P403" s="1" t="s">
        <v>9158</v>
      </c>
      <c r="Q403" s="1" t="s">
        <v>9158</v>
      </c>
    </row>
    <row r="404" spans="1:17">
      <c r="A404" s="1">
        <v>83853</v>
      </c>
      <c r="B404" s="1" t="s">
        <v>334</v>
      </c>
      <c r="C404" s="1" t="s">
        <v>6986</v>
      </c>
      <c r="D404" s="19" t="s">
        <v>10629</v>
      </c>
      <c r="E404" s="15" t="str">
        <f>HYPERLINK("https://stat100.ameba.jp/tnk47/ratio20/illustrations/card/ill_83853_shoboshiyubeshi03.jpg?201909-i_prefecture_active_user", "■")</f>
        <v>■</v>
      </c>
      <c r="F404" s="1" t="s">
        <v>7000</v>
      </c>
      <c r="G404" s="1">
        <v>184262</v>
      </c>
      <c r="H404" s="1">
        <v>103552</v>
      </c>
      <c r="I404" s="1">
        <v>24</v>
      </c>
      <c r="J404" s="1" t="s">
        <v>6999</v>
      </c>
      <c r="K404" s="1" t="s">
        <v>6998</v>
      </c>
      <c r="L404" s="1" t="s">
        <v>6997</v>
      </c>
      <c r="M404" s="1" t="s">
        <v>9158</v>
      </c>
      <c r="N404" s="1" t="s">
        <v>9158</v>
      </c>
      <c r="O404" s="1" t="s">
        <v>9158</v>
      </c>
      <c r="P404" s="1" t="s">
        <v>9158</v>
      </c>
      <c r="Q404" s="1" t="s">
        <v>9158</v>
      </c>
    </row>
    <row r="405" spans="1:17">
      <c r="A405" s="1">
        <v>81013</v>
      </c>
      <c r="B405" s="1" t="s">
        <v>334</v>
      </c>
      <c r="C405" s="1" t="s">
        <v>6987</v>
      </c>
      <c r="D405" s="19" t="s">
        <v>10630</v>
      </c>
      <c r="E405" s="15" t="str">
        <f>HYPERLINK("https://stat100.ameba.jp/tnk47/ratio20/illustrations/card/ill_81013_furudenshagoshikihime03.jpg?201909-i_prefecture_active_user", "■")</f>
        <v>■</v>
      </c>
      <c r="F405" s="1" t="s">
        <v>6996</v>
      </c>
      <c r="G405" s="1">
        <v>129501</v>
      </c>
      <c r="H405" s="1">
        <v>72883</v>
      </c>
      <c r="I405" s="1">
        <v>23</v>
      </c>
      <c r="J405" s="1" t="s">
        <v>6995</v>
      </c>
      <c r="K405" s="1" t="s">
        <v>6994</v>
      </c>
      <c r="L405" s="1" t="s">
        <v>6993</v>
      </c>
      <c r="M405" s="1" t="s">
        <v>9158</v>
      </c>
      <c r="N405" s="1" t="s">
        <v>9158</v>
      </c>
      <c r="O405" s="1" t="s">
        <v>9158</v>
      </c>
      <c r="P405" s="1" t="s">
        <v>9158</v>
      </c>
      <c r="Q405" s="1" t="s">
        <v>9158</v>
      </c>
    </row>
    <row r="406" spans="1:17">
      <c r="A406" s="1">
        <v>66643</v>
      </c>
      <c r="B406" s="1" t="s">
        <v>334</v>
      </c>
      <c r="C406" s="1" t="s">
        <v>6988</v>
      </c>
      <c r="D406" s="19" t="s">
        <v>10631</v>
      </c>
      <c r="E406" s="15" t="str">
        <f>HYPERLINK("https://stat100.ameba.jp/tnk47/ratio20/illustrations/card/ill_66643_oryorisonobehideo03.jpg?201909-i_prefecture_active_user", "■")</f>
        <v>■</v>
      </c>
      <c r="F406" s="1" t="s">
        <v>6992</v>
      </c>
      <c r="G406" s="1">
        <v>89839</v>
      </c>
      <c r="H406" s="1">
        <v>83499</v>
      </c>
      <c r="I406" s="1">
        <v>23</v>
      </c>
      <c r="J406" s="1" t="s">
        <v>6991</v>
      </c>
      <c r="K406" s="1" t="s">
        <v>6990</v>
      </c>
      <c r="L406" s="1" t="s">
        <v>6989</v>
      </c>
      <c r="M406" s="1" t="s">
        <v>9158</v>
      </c>
      <c r="N406" s="1" t="s">
        <v>9158</v>
      </c>
      <c r="O406" s="1" t="s">
        <v>9158</v>
      </c>
      <c r="P406" s="1" t="s">
        <v>9158</v>
      </c>
      <c r="Q406" s="1" t="s">
        <v>9158</v>
      </c>
    </row>
    <row r="407" spans="1:17">
      <c r="A407" s="1">
        <v>59113</v>
      </c>
      <c r="B407" s="1" t="s">
        <v>348</v>
      </c>
      <c r="C407" s="1" t="s">
        <v>185</v>
      </c>
      <c r="D407" s="19" t="s">
        <v>2898</v>
      </c>
      <c r="E407" s="15" t="str">
        <f>HYPERLINK("https://stat100.ameba.jp/tnk47/ratio20/illustrations/card/ill_59113_hananodayunakanotakeko03.jpg?201909-i_prefecture_active_user", "■")</f>
        <v>■</v>
      </c>
      <c r="F407" s="1" t="s">
        <v>2899</v>
      </c>
      <c r="G407" s="1">
        <v>68172</v>
      </c>
      <c r="H407" s="1">
        <v>61832</v>
      </c>
      <c r="I407" s="1">
        <v>23</v>
      </c>
      <c r="J407" s="1" t="s">
        <v>310</v>
      </c>
      <c r="K407" s="1" t="s">
        <v>2900</v>
      </c>
      <c r="L407" s="1" t="s">
        <v>1525</v>
      </c>
      <c r="M407" s="1" t="s">
        <v>9158</v>
      </c>
      <c r="N407" s="1" t="s">
        <v>9158</v>
      </c>
      <c r="O407" s="1" t="s">
        <v>9158</v>
      </c>
      <c r="P407" s="1" t="s">
        <v>9158</v>
      </c>
      <c r="Q407" s="1" t="s">
        <v>9158</v>
      </c>
    </row>
    <row r="408" spans="1:17">
      <c r="A408" s="1">
        <v>66723</v>
      </c>
      <c r="B408" s="1" t="s">
        <v>15</v>
      </c>
      <c r="C408" s="1" t="s">
        <v>206</v>
      </c>
      <c r="D408" s="19" t="s">
        <v>10394</v>
      </c>
      <c r="E408" s="15" t="str">
        <f>HYPERLINK("https://stat100.ameba.jp/tnk47/ratio20/illustrations/card/ill_66723_shogiamanozume03.jpg?201909-i_prefecture_active_user", "■")</f>
        <v>■</v>
      </c>
      <c r="F408" s="1" t="s">
        <v>4359</v>
      </c>
      <c r="G408" s="1">
        <v>68172</v>
      </c>
      <c r="H408" s="1">
        <v>61832</v>
      </c>
      <c r="I408" s="1">
        <v>23</v>
      </c>
      <c r="J408" s="1" t="s">
        <v>44</v>
      </c>
      <c r="K408" s="1" t="s">
        <v>3541</v>
      </c>
      <c r="L408" s="1" t="s">
        <v>3271</v>
      </c>
      <c r="M408" s="1" t="s">
        <v>9158</v>
      </c>
      <c r="N408" s="1" t="s">
        <v>9158</v>
      </c>
      <c r="O408" s="1" t="s">
        <v>9158</v>
      </c>
      <c r="P408" s="1" t="s">
        <v>9158</v>
      </c>
      <c r="Q408" s="1" t="s">
        <v>9158</v>
      </c>
    </row>
    <row r="409" spans="1:17">
      <c r="A409" s="1">
        <v>53673</v>
      </c>
      <c r="B409" s="1" t="s">
        <v>15</v>
      </c>
      <c r="C409" s="1" t="s">
        <v>205</v>
      </c>
      <c r="D409" s="19" t="s">
        <v>10395</v>
      </c>
      <c r="E409" s="15" t="str">
        <f>HYPERLINK("https://stat100.ameba.jp/tnk47/ratio20/illustrations/card/ill_53673_kanibaruizumonokuni03.jpg?201909-i_prefecture_active_user", "■")</f>
        <v>■</v>
      </c>
      <c r="F409" s="1" t="s">
        <v>5813</v>
      </c>
      <c r="G409" s="1">
        <v>68172</v>
      </c>
      <c r="H409" s="1">
        <v>61832</v>
      </c>
      <c r="I409" s="1">
        <v>23</v>
      </c>
      <c r="J409" s="1" t="s">
        <v>10</v>
      </c>
      <c r="K409" s="1" t="s">
        <v>5814</v>
      </c>
      <c r="L409" s="1" t="s">
        <v>5815</v>
      </c>
      <c r="M409" s="1" t="s">
        <v>9158</v>
      </c>
      <c r="N409" s="1" t="s">
        <v>9158</v>
      </c>
      <c r="O409" s="1" t="s">
        <v>9158</v>
      </c>
      <c r="P409" s="1" t="s">
        <v>9158</v>
      </c>
      <c r="Q409" s="1" t="s">
        <v>9158</v>
      </c>
    </row>
    <row r="411" spans="1:17">
      <c r="A411" s="1" t="s">
        <v>7001</v>
      </c>
    </row>
    <row r="412" spans="1:17">
      <c r="A412" s="1" t="s">
        <v>7002</v>
      </c>
    </row>
    <row r="413" spans="1:17">
      <c r="A413" s="1" t="s">
        <v>9443</v>
      </c>
    </row>
    <row r="414" spans="1:17">
      <c r="A414" s="1" t="s">
        <v>6598</v>
      </c>
      <c r="B414" s="1" t="s">
        <v>330</v>
      </c>
      <c r="C414" s="1" t="s">
        <v>35</v>
      </c>
      <c r="D414" s="19" t="s">
        <v>10555</v>
      </c>
      <c r="E414" s="15" t="str">
        <f>HYPERLINK("https://stat100.ameba.jp/tnk47/ratio20/illustrations/card/ill_83553_0_kajuenamoronagu03.jpg?201909-i_prefecture_active_user", "■")</f>
        <v>■</v>
      </c>
      <c r="F414" s="1" t="s">
        <v>6597</v>
      </c>
      <c r="G414" s="1">
        <v>157899</v>
      </c>
      <c r="H414" s="1">
        <v>174710</v>
      </c>
      <c r="I414" s="1">
        <v>15</v>
      </c>
      <c r="J414" s="1" t="s">
        <v>44</v>
      </c>
      <c r="K414" s="1" t="s">
        <v>6595</v>
      </c>
      <c r="L414" s="1" t="s">
        <v>6594</v>
      </c>
      <c r="M414" s="1" t="s">
        <v>9158</v>
      </c>
      <c r="N414" s="1" t="s">
        <v>9158</v>
      </c>
      <c r="O414" s="19" t="s">
        <v>10125</v>
      </c>
      <c r="P414" s="1" t="s">
        <v>6599</v>
      </c>
      <c r="Q414" s="1">
        <v>1</v>
      </c>
    </row>
    <row r="415" spans="1:17">
      <c r="A415" s="1">
        <v>83943</v>
      </c>
      <c r="B415" s="1" t="s">
        <v>7003</v>
      </c>
      <c r="C415" s="1" t="s">
        <v>35</v>
      </c>
      <c r="D415" s="19" t="s">
        <v>10632</v>
      </c>
      <c r="E415" s="15" t="str">
        <f>HYPERLINK("https://stat100.ameba.jp/tnk47/ratio20/illustrations/card/ill_83943_shukutensapochun03.jpg?201909-i_prefecture_active_user", "■")</f>
        <v>■</v>
      </c>
      <c r="F415" s="1" t="s">
        <v>7007</v>
      </c>
      <c r="G415" s="1">
        <v>98102</v>
      </c>
      <c r="H415" s="1">
        <v>91188</v>
      </c>
      <c r="I415" s="1">
        <v>24</v>
      </c>
      <c r="J415" s="1" t="s">
        <v>7006</v>
      </c>
      <c r="K415" s="1" t="s">
        <v>7005</v>
      </c>
      <c r="L415" s="1" t="s">
        <v>7004</v>
      </c>
      <c r="M415" s="1" t="s">
        <v>9158</v>
      </c>
      <c r="N415" s="1" t="s">
        <v>9158</v>
      </c>
      <c r="O415" s="19" t="s">
        <v>10127</v>
      </c>
      <c r="P415" s="1" t="s">
        <v>13203</v>
      </c>
      <c r="Q415" s="1">
        <v>1</v>
      </c>
    </row>
    <row r="416" spans="1:17">
      <c r="A416" s="1">
        <v>59753</v>
      </c>
      <c r="B416" s="1" t="s">
        <v>7008</v>
      </c>
      <c r="C416" s="1" t="s">
        <v>6988</v>
      </c>
      <c r="D416" s="19" t="s">
        <v>10633</v>
      </c>
      <c r="E416" s="15" t="str">
        <f>HYPERLINK("https://stat100.ameba.jp/tnk47/ratio20/illustrations/card/ill_59753_kaitopoiyampe03.jpg?201909-i_prefecture_active_user", "■")</f>
        <v>■</v>
      </c>
      <c r="F416" s="1" t="s">
        <v>7015</v>
      </c>
      <c r="G416" s="1">
        <v>71136</v>
      </c>
      <c r="H416" s="1">
        <v>64520</v>
      </c>
      <c r="I416" s="1">
        <v>24</v>
      </c>
      <c r="J416" s="1" t="s">
        <v>6995</v>
      </c>
      <c r="K416" s="1" t="s">
        <v>7014</v>
      </c>
      <c r="L416" s="1" t="s">
        <v>7013</v>
      </c>
      <c r="M416" s="1" t="s">
        <v>9158</v>
      </c>
      <c r="N416" s="1" t="s">
        <v>9158</v>
      </c>
      <c r="O416" s="1" t="s">
        <v>9158</v>
      </c>
      <c r="P416" s="1" t="s">
        <v>9158</v>
      </c>
      <c r="Q416" s="1" t="s">
        <v>9158</v>
      </c>
    </row>
    <row r="417" spans="1:17">
      <c r="A417" s="1">
        <v>68753</v>
      </c>
      <c r="B417" s="1" t="s">
        <v>7008</v>
      </c>
      <c r="C417" s="1" t="s">
        <v>7009</v>
      </c>
      <c r="D417" s="19" t="s">
        <v>10634</v>
      </c>
      <c r="E417" s="15" t="str">
        <f>HYPERLINK("https://stat100.ameba.jp/tnk47/ratio20/illustrations/card/ill_68753_gantaniinaomasa03.jpg?201909-i_prefecture_active_user", "■")</f>
        <v>■</v>
      </c>
      <c r="F417" s="1" t="s">
        <v>7018</v>
      </c>
      <c r="G417" s="1">
        <v>71136</v>
      </c>
      <c r="H417" s="1">
        <v>64520</v>
      </c>
      <c r="I417" s="1">
        <v>24</v>
      </c>
      <c r="J417" s="1" t="s">
        <v>310</v>
      </c>
      <c r="K417" s="1" t="s">
        <v>7017</v>
      </c>
      <c r="L417" s="1" t="s">
        <v>7016</v>
      </c>
      <c r="M417" s="1" t="s">
        <v>9158</v>
      </c>
      <c r="N417" s="1" t="s">
        <v>9158</v>
      </c>
      <c r="O417" s="1" t="s">
        <v>9158</v>
      </c>
      <c r="P417" s="1" t="s">
        <v>9158</v>
      </c>
      <c r="Q417" s="1" t="s">
        <v>9158</v>
      </c>
    </row>
    <row r="418" spans="1:17">
      <c r="A418" s="1">
        <v>38903</v>
      </c>
      <c r="B418" s="1" t="s">
        <v>7008</v>
      </c>
      <c r="C418" s="1" t="s">
        <v>7010</v>
      </c>
      <c r="D418" s="19" t="s">
        <v>10635</v>
      </c>
      <c r="E418" s="15" t="str">
        <f>HYPERLINK("https://stat100.ameba.jp/tnk47/ratio20/illustrations/card/ill_38903_uedeingukoshihikari03.jpg?201909-i_prefecture_active_user", "■")</f>
        <v>■</v>
      </c>
      <c r="F418" s="1" t="s">
        <v>7019</v>
      </c>
      <c r="G418" s="1">
        <v>71136</v>
      </c>
      <c r="H418" s="1">
        <v>64520</v>
      </c>
      <c r="I418" s="1">
        <v>24</v>
      </c>
      <c r="J418" s="1" t="s">
        <v>6999</v>
      </c>
      <c r="K418" s="1" t="s">
        <v>7021</v>
      </c>
      <c r="L418" s="1" t="s">
        <v>7020</v>
      </c>
      <c r="M418" s="1" t="s">
        <v>9158</v>
      </c>
      <c r="N418" s="1" t="s">
        <v>9158</v>
      </c>
      <c r="O418" s="1" t="s">
        <v>9158</v>
      </c>
      <c r="P418" s="1" t="s">
        <v>9158</v>
      </c>
      <c r="Q418" s="1" t="s">
        <v>9158</v>
      </c>
    </row>
    <row r="419" spans="1:17">
      <c r="A419" s="1">
        <v>61873</v>
      </c>
      <c r="B419" s="1" t="s">
        <v>7008</v>
      </c>
      <c r="C419" s="1" t="s">
        <v>7011</v>
      </c>
      <c r="D419" s="19" t="s">
        <v>2809</v>
      </c>
      <c r="E419" s="15" t="str">
        <f>HYPERLINK("https://stat100.ameba.jp/tnk47/ratio20/illustrations/card/ill_61873_onikirishunuregamidoji03.jpg?201909-i_prefecture_active_user", "■")</f>
        <v>■</v>
      </c>
      <c r="F419" s="1" t="s">
        <v>7025</v>
      </c>
      <c r="G419" s="1">
        <v>71136</v>
      </c>
      <c r="H419" s="1">
        <v>64520</v>
      </c>
      <c r="I419" s="1">
        <v>24</v>
      </c>
      <c r="J419" s="1" t="s">
        <v>7024</v>
      </c>
      <c r="K419" s="1" t="s">
        <v>7023</v>
      </c>
      <c r="L419" s="1" t="s">
        <v>7022</v>
      </c>
      <c r="M419" s="1" t="s">
        <v>9158</v>
      </c>
      <c r="N419" s="1" t="s">
        <v>9158</v>
      </c>
      <c r="O419" s="1" t="s">
        <v>9158</v>
      </c>
      <c r="P419" s="1" t="s">
        <v>9158</v>
      </c>
      <c r="Q419" s="1" t="s">
        <v>9158</v>
      </c>
    </row>
    <row r="420" spans="1:17">
      <c r="A420" s="1">
        <v>58933</v>
      </c>
      <c r="B420" s="1" t="s">
        <v>7008</v>
      </c>
      <c r="C420" s="1" t="s">
        <v>6987</v>
      </c>
      <c r="D420" s="19" t="s">
        <v>10636</v>
      </c>
      <c r="E420" s="15" t="str">
        <f>HYPERLINK("https://stat100.ameba.jp/tnk47/ratio20/illustrations/card/ill_58933_chokonoguchishohin03.jpg?201909-i_prefecture_active_user", "■")</f>
        <v>■</v>
      </c>
      <c r="F420" s="1" t="s">
        <v>7029</v>
      </c>
      <c r="G420" s="1">
        <v>71136</v>
      </c>
      <c r="H420" s="1">
        <v>64520</v>
      </c>
      <c r="I420" s="1">
        <v>24</v>
      </c>
      <c r="J420" s="1" t="s">
        <v>7028</v>
      </c>
      <c r="K420" s="1" t="s">
        <v>7027</v>
      </c>
      <c r="L420" s="1" t="s">
        <v>7026</v>
      </c>
      <c r="M420" s="1" t="s">
        <v>9158</v>
      </c>
      <c r="N420" s="1" t="s">
        <v>9158</v>
      </c>
      <c r="O420" s="1" t="s">
        <v>9158</v>
      </c>
      <c r="P420" s="1" t="s">
        <v>9158</v>
      </c>
      <c r="Q420" s="1" t="s">
        <v>9158</v>
      </c>
    </row>
    <row r="421" spans="1:17">
      <c r="A421" s="1">
        <v>64913</v>
      </c>
      <c r="B421" s="1" t="s">
        <v>7008</v>
      </c>
      <c r="C421" s="1" t="s">
        <v>7012</v>
      </c>
      <c r="D421" s="19" t="s">
        <v>10637</v>
      </c>
      <c r="E421" s="15" t="str">
        <f>HYPERLINK("https://stat100.ameba.jp/tnk47/ratio20/illustrations/card/ill_64913_yukataamaminokurosagichan03.jpg?201909-i_prefecture_active_user", "■")</f>
        <v>■</v>
      </c>
      <c r="F421" s="1" t="s">
        <v>7033</v>
      </c>
      <c r="G421" s="1">
        <v>71136</v>
      </c>
      <c r="H421" s="1">
        <v>64520</v>
      </c>
      <c r="I421" s="1">
        <v>24</v>
      </c>
      <c r="J421" s="1" t="s">
        <v>7032</v>
      </c>
      <c r="K421" s="1" t="s">
        <v>7031</v>
      </c>
      <c r="L421" s="1" t="s">
        <v>7030</v>
      </c>
      <c r="M421" s="1" t="s">
        <v>9158</v>
      </c>
      <c r="N421" s="1" t="s">
        <v>9158</v>
      </c>
      <c r="O421" s="1" t="s">
        <v>9158</v>
      </c>
      <c r="P421" s="1" t="s">
        <v>9158</v>
      </c>
      <c r="Q421" s="1" t="s">
        <v>9158</v>
      </c>
    </row>
    <row r="423" spans="1:17">
      <c r="A423" s="1" t="s">
        <v>7036</v>
      </c>
    </row>
    <row r="424" spans="1:17">
      <c r="A424" s="1" t="s">
        <v>7037</v>
      </c>
    </row>
    <row r="425" spans="1:17">
      <c r="A425" s="1" t="s">
        <v>5642</v>
      </c>
      <c r="B425" s="1" t="s">
        <v>330</v>
      </c>
      <c r="C425" s="1" t="s">
        <v>185</v>
      </c>
      <c r="D425" s="19" t="s">
        <v>3086</v>
      </c>
      <c r="E425" s="15" t="str">
        <f>HYPERLINK("https://stat100.ameba.jp/tnk47/ratio20/illustrations/card/ill_69593_0_setsubunyukionna03.jpg?201909-i_prefecture_active_user", "■")</f>
        <v>■</v>
      </c>
      <c r="F425" s="1" t="s">
        <v>3087</v>
      </c>
      <c r="G425" s="1">
        <v>107146</v>
      </c>
      <c r="H425" s="1">
        <v>115249</v>
      </c>
      <c r="I425" s="1">
        <v>15</v>
      </c>
      <c r="J425" s="1" t="s">
        <v>320</v>
      </c>
      <c r="K425" s="1" t="s">
        <v>3088</v>
      </c>
      <c r="L425" s="1" t="s">
        <v>3089</v>
      </c>
      <c r="M425" s="1" t="s">
        <v>9158</v>
      </c>
      <c r="N425" s="1" t="s">
        <v>9158</v>
      </c>
      <c r="O425" s="19" t="s">
        <v>3090</v>
      </c>
      <c r="P425" s="1" t="s">
        <v>3091</v>
      </c>
      <c r="Q425" s="1">
        <v>2</v>
      </c>
    </row>
    <row r="426" spans="1:17">
      <c r="A426" s="1" t="s">
        <v>5725</v>
      </c>
      <c r="B426" s="1" t="s">
        <v>52</v>
      </c>
      <c r="C426" s="1" t="s">
        <v>107</v>
      </c>
      <c r="D426" s="19" t="s">
        <v>543</v>
      </c>
      <c r="E426" s="15" t="str">
        <f>HYPERLINK("https://stat100.ameba.jp/tnk47/ratio20/illustrations/card/ill_52693_0_sengokumibirakiyanagiharabyakuren03.jpg?201909-i_prefecture_active_user", "■")</f>
        <v>■</v>
      </c>
      <c r="F426" s="1" t="s">
        <v>1246</v>
      </c>
      <c r="G426" s="1">
        <v>83712</v>
      </c>
      <c r="H426" s="1">
        <v>94236</v>
      </c>
      <c r="I426" s="1">
        <v>15</v>
      </c>
      <c r="J426" s="1" t="s">
        <v>16</v>
      </c>
      <c r="K426" s="1" t="s">
        <v>1247</v>
      </c>
      <c r="L426" s="1" t="s">
        <v>1248</v>
      </c>
      <c r="M426" s="1" t="s">
        <v>9158</v>
      </c>
      <c r="N426" s="1" t="s">
        <v>9158</v>
      </c>
      <c r="O426" s="19" t="s">
        <v>2886</v>
      </c>
      <c r="P426" s="1" t="s">
        <v>3304</v>
      </c>
      <c r="Q426" s="1">
        <v>1</v>
      </c>
    </row>
    <row r="427" spans="1:17">
      <c r="A427" s="1" t="s">
        <v>6132</v>
      </c>
      <c r="B427" s="1" t="s">
        <v>52</v>
      </c>
      <c r="C427" s="1" t="s">
        <v>205</v>
      </c>
      <c r="D427" s="19" t="s">
        <v>702</v>
      </c>
      <c r="E427" s="15" t="str">
        <f>HYPERLINK("https://stat100.ameba.jp/tnk47/ratio20/illustrations/card/ill_50693_0_hanamizugimimuratsuru03.jpg?201909-i_prefecture_active_user", "■")</f>
        <v>■</v>
      </c>
      <c r="F427" s="1" t="s">
        <v>2282</v>
      </c>
      <c r="G427" s="1">
        <v>83712</v>
      </c>
      <c r="H427" s="1">
        <v>94236</v>
      </c>
      <c r="I427" s="1">
        <v>15</v>
      </c>
      <c r="J427" s="1" t="s">
        <v>143</v>
      </c>
      <c r="K427" s="1" t="s">
        <v>2283</v>
      </c>
      <c r="L427" s="1" t="s">
        <v>2284</v>
      </c>
      <c r="M427" s="1" t="s">
        <v>9158</v>
      </c>
      <c r="N427" s="1" t="s">
        <v>9158</v>
      </c>
      <c r="O427" s="1" t="s">
        <v>9158</v>
      </c>
      <c r="P427" s="1" t="s">
        <v>9158</v>
      </c>
      <c r="Q427" s="1" t="s">
        <v>9158</v>
      </c>
    </row>
    <row r="428" spans="1:17">
      <c r="A428" s="1">
        <v>83863</v>
      </c>
      <c r="B428" s="1" t="s">
        <v>334</v>
      </c>
      <c r="C428" s="1" t="s">
        <v>7038</v>
      </c>
      <c r="D428" s="19" t="s">
        <v>10638</v>
      </c>
      <c r="E428" s="15" t="str">
        <f>HYPERLINK("https://stat100.ameba.jp/tnk47/ratio20/illustrations/card/ill_83863_shoboshiokinawazentoeisamatsuri03.jpg?201909-i_prefecture_active_user", "■")</f>
        <v>■</v>
      </c>
      <c r="F428" s="1" t="s">
        <v>7050</v>
      </c>
      <c r="G428" s="1">
        <v>79330</v>
      </c>
      <c r="H428" s="1">
        <v>141176</v>
      </c>
      <c r="I428" s="1">
        <v>24</v>
      </c>
      <c r="J428" s="1" t="s">
        <v>7049</v>
      </c>
      <c r="K428" s="1" t="s">
        <v>7048</v>
      </c>
      <c r="L428" s="1" t="s">
        <v>7047</v>
      </c>
      <c r="M428" s="1" t="s">
        <v>9158</v>
      </c>
      <c r="N428" s="1" t="s">
        <v>9158</v>
      </c>
      <c r="O428" s="1" t="s">
        <v>9158</v>
      </c>
      <c r="P428" s="1" t="s">
        <v>9158</v>
      </c>
      <c r="Q428" s="1" t="s">
        <v>9158</v>
      </c>
    </row>
    <row r="429" spans="1:17">
      <c r="A429" s="1">
        <v>81003</v>
      </c>
      <c r="B429" s="1" t="s">
        <v>334</v>
      </c>
      <c r="C429" s="1" t="s">
        <v>7039</v>
      </c>
      <c r="D429" s="19" t="s">
        <v>10583</v>
      </c>
      <c r="E429" s="15" t="str">
        <f>HYPERLINK("https://stat100.ameba.jp/tnk47/ratio20/illustrations/card/ill_81003_furudenshago03.jpg?201909-i_prefecture_active_user", "■")</f>
        <v>■</v>
      </c>
      <c r="F429" s="1" t="s">
        <v>7046</v>
      </c>
      <c r="G429" s="1">
        <v>62414</v>
      </c>
      <c r="H429" s="1">
        <v>110924</v>
      </c>
      <c r="I429" s="1">
        <v>23</v>
      </c>
      <c r="J429" s="1" t="s">
        <v>315</v>
      </c>
      <c r="K429" s="1" t="s">
        <v>7045</v>
      </c>
      <c r="L429" s="1" t="s">
        <v>7044</v>
      </c>
      <c r="M429" s="1" t="s">
        <v>9158</v>
      </c>
      <c r="N429" s="1" t="s">
        <v>9158</v>
      </c>
      <c r="O429" s="1" t="s">
        <v>9158</v>
      </c>
      <c r="P429" s="1" t="s">
        <v>9158</v>
      </c>
      <c r="Q429" s="1" t="s">
        <v>9158</v>
      </c>
    </row>
    <row r="430" spans="1:17">
      <c r="A430" s="1">
        <v>72523</v>
      </c>
      <c r="B430" s="1" t="s">
        <v>334</v>
      </c>
      <c r="C430" s="1" t="s">
        <v>7040</v>
      </c>
      <c r="D430" s="19" t="s">
        <v>10422</v>
      </c>
      <c r="E430" s="15" t="str">
        <f>HYPERLINK("https://stat100.ameba.jp/tnk47/ratio20/illustrations/card/ill_72523_safuaripakunakisawame03.jpg?201909-i_prefecture_active_user", "■")</f>
        <v>■</v>
      </c>
      <c r="F430" s="1" t="s">
        <v>7043</v>
      </c>
      <c r="G430" s="1">
        <v>87218</v>
      </c>
      <c r="H430" s="1">
        <v>93813</v>
      </c>
      <c r="I430" s="1">
        <v>23</v>
      </c>
      <c r="J430" s="1" t="s">
        <v>44</v>
      </c>
      <c r="K430" s="1" t="s">
        <v>7042</v>
      </c>
      <c r="L430" s="1" t="s">
        <v>7041</v>
      </c>
      <c r="M430" s="1" t="s">
        <v>9158</v>
      </c>
      <c r="N430" s="1" t="s">
        <v>9158</v>
      </c>
      <c r="O430" s="1" t="s">
        <v>9158</v>
      </c>
      <c r="P430" s="1" t="s">
        <v>9158</v>
      </c>
      <c r="Q430" s="1" t="s">
        <v>9158</v>
      </c>
    </row>
    <row r="431" spans="1:17">
      <c r="A431" s="1">
        <v>78043</v>
      </c>
      <c r="B431" s="1" t="s">
        <v>15</v>
      </c>
      <c r="C431" s="1" t="s">
        <v>165</v>
      </c>
      <c r="D431" s="19" t="s">
        <v>10398</v>
      </c>
      <c r="E431" s="15" t="str">
        <f>HYPERLINK("https://stat100.ameba.jp/tnk47/ratio20/illustrations/card/ill_78043_yushinaishinno03.jpg?201909-i_prefecture_active_user", "■")</f>
        <v>■</v>
      </c>
      <c r="F431" s="1" t="s">
        <v>2213</v>
      </c>
      <c r="G431" s="1">
        <v>61832</v>
      </c>
      <c r="H431" s="1">
        <v>68172</v>
      </c>
      <c r="I431" s="1">
        <v>23</v>
      </c>
      <c r="J431" s="1" t="s">
        <v>16</v>
      </c>
      <c r="K431" s="1" t="s">
        <v>2214</v>
      </c>
      <c r="L431" s="1" t="s">
        <v>981</v>
      </c>
      <c r="M431" s="1" t="s">
        <v>9158</v>
      </c>
      <c r="N431" s="1" t="s">
        <v>9158</v>
      </c>
      <c r="O431" s="1" t="s">
        <v>9158</v>
      </c>
      <c r="P431" s="1" t="s">
        <v>9158</v>
      </c>
      <c r="Q431" s="1" t="s">
        <v>9158</v>
      </c>
    </row>
    <row r="432" spans="1:17">
      <c r="A432" s="1">
        <v>60103</v>
      </c>
      <c r="B432" s="1" t="s">
        <v>15</v>
      </c>
      <c r="C432" s="1" t="s">
        <v>206</v>
      </c>
      <c r="D432" s="19" t="s">
        <v>10399</v>
      </c>
      <c r="E432" s="15" t="str">
        <f>HYPERLINK("https://stat100.ameba.jp/tnk47/ratio20/illustrations/card/ill_60103_bukibidorozaikuchan03.jpg?201909-i_prefecture_active_user", "■")</f>
        <v>■</v>
      </c>
      <c r="F432" s="1" t="s">
        <v>5831</v>
      </c>
      <c r="G432" s="1">
        <v>61832</v>
      </c>
      <c r="H432" s="1">
        <v>68172</v>
      </c>
      <c r="I432" s="1">
        <v>23</v>
      </c>
      <c r="J432" s="1" t="s">
        <v>26</v>
      </c>
      <c r="K432" s="1" t="s">
        <v>5832</v>
      </c>
      <c r="L432" s="1" t="s">
        <v>5833</v>
      </c>
      <c r="M432" s="1" t="s">
        <v>9158</v>
      </c>
      <c r="N432" s="1" t="s">
        <v>9158</v>
      </c>
      <c r="O432" s="1" t="s">
        <v>9158</v>
      </c>
      <c r="P432" s="1" t="s">
        <v>9158</v>
      </c>
      <c r="Q432" s="1" t="s">
        <v>9158</v>
      </c>
    </row>
    <row r="433" spans="1:17">
      <c r="A433" s="1">
        <v>75003</v>
      </c>
      <c r="B433" s="1" t="s">
        <v>15</v>
      </c>
      <c r="C433" s="1" t="s">
        <v>191</v>
      </c>
      <c r="D433" s="19" t="s">
        <v>10400</v>
      </c>
      <c r="E433" s="15" t="str">
        <f>HYPERLINK("https://stat100.ameba.jp/tnk47/ratio20/illustrations/card/ill_75003_kogetsunowa03.jpg?201909-i_prefecture_active_user", "■")</f>
        <v>■</v>
      </c>
      <c r="F433" s="1" t="s">
        <v>5834</v>
      </c>
      <c r="G433" s="1">
        <v>61832</v>
      </c>
      <c r="H433" s="1">
        <v>68172</v>
      </c>
      <c r="I433" s="1">
        <v>23</v>
      </c>
      <c r="J433" s="1" t="s">
        <v>38</v>
      </c>
      <c r="K433" s="1" t="s">
        <v>5835</v>
      </c>
      <c r="L433" s="1" t="s">
        <v>1753</v>
      </c>
      <c r="M433" s="1" t="s">
        <v>9158</v>
      </c>
      <c r="N433" s="1" t="s">
        <v>9158</v>
      </c>
      <c r="O433" s="1" t="s">
        <v>9158</v>
      </c>
      <c r="P433" s="1" t="s">
        <v>9158</v>
      </c>
      <c r="Q433" s="1" t="s">
        <v>9158</v>
      </c>
    </row>
    <row r="435" spans="1:17">
      <c r="A435" s="1" t="s">
        <v>7035</v>
      </c>
    </row>
    <row r="436" spans="1:17">
      <c r="A436" s="1" t="s">
        <v>7034</v>
      </c>
    </row>
    <row r="437" spans="1:17">
      <c r="A437" s="1" t="s">
        <v>5724</v>
      </c>
      <c r="B437" s="1" t="s">
        <v>330</v>
      </c>
      <c r="C437" s="1" t="s">
        <v>335</v>
      </c>
      <c r="D437" s="19" t="s">
        <v>698</v>
      </c>
      <c r="E437" s="15" t="str">
        <f>HYPERLINK("https://stat100.ameba.jp/tnk47/ratio20/illustrations/card/ill_66433_0_haroinfujishirogozen03.jpg?201909-i_prefecture_active_user", "■")</f>
        <v>■</v>
      </c>
      <c r="F437" s="1" t="s">
        <v>699</v>
      </c>
      <c r="G437" s="1">
        <v>134652</v>
      </c>
      <c r="H437" s="1">
        <v>144834</v>
      </c>
      <c r="I437" s="1">
        <v>22</v>
      </c>
      <c r="J437" s="1" t="s">
        <v>315</v>
      </c>
      <c r="K437" s="1" t="s">
        <v>700</v>
      </c>
      <c r="L437" s="1" t="s">
        <v>701</v>
      </c>
      <c r="M437" s="1" t="s">
        <v>9158</v>
      </c>
      <c r="N437" s="1" t="s">
        <v>9158</v>
      </c>
      <c r="O437" s="19" t="s">
        <v>10095</v>
      </c>
      <c r="P437" s="1" t="s">
        <v>3345</v>
      </c>
      <c r="Q437" s="1">
        <v>1</v>
      </c>
    </row>
    <row r="438" spans="1:17">
      <c r="A438" s="1">
        <v>60173</v>
      </c>
      <c r="B438" s="1" t="s">
        <v>0</v>
      </c>
      <c r="C438" s="1" t="s">
        <v>41</v>
      </c>
      <c r="D438" s="19" t="s">
        <v>10231</v>
      </c>
      <c r="E438" s="15" t="str">
        <f>HYPERLINK("https://stat100.ameba.jp/tnk47/ratio20/illustrations/card/ill_60173_kugutsushi03.jpg?201909-i_prefecture_active_user", "■")</f>
        <v>■</v>
      </c>
      <c r="F438" s="1" t="s">
        <v>4282</v>
      </c>
      <c r="G438" s="1">
        <v>88706</v>
      </c>
      <c r="H438" s="1">
        <v>122476</v>
      </c>
      <c r="I438" s="1">
        <v>24</v>
      </c>
      <c r="J438" s="1" t="s">
        <v>38</v>
      </c>
      <c r="K438" s="1" t="s">
        <v>4283</v>
      </c>
      <c r="L438" s="1" t="s">
        <v>2714</v>
      </c>
      <c r="M438" s="1" t="s">
        <v>9158</v>
      </c>
      <c r="N438" s="1" t="s">
        <v>9158</v>
      </c>
      <c r="O438" s="19" t="s">
        <v>10113</v>
      </c>
      <c r="P438" s="1" t="s">
        <v>4285</v>
      </c>
      <c r="Q438" s="1">
        <v>1</v>
      </c>
    </row>
    <row r="439" spans="1:17">
      <c r="A439" s="1">
        <v>63283</v>
      </c>
      <c r="B439" s="1" t="s">
        <v>334</v>
      </c>
      <c r="C439" s="1" t="s">
        <v>209</v>
      </c>
      <c r="D439" s="19" t="s">
        <v>327</v>
      </c>
      <c r="E439" s="15" t="str">
        <f>HYPERLINK("https://stat100.ameba.jp/tnk47/ratio20/illustrations/card/ill_63283_mizuyokanchan03.jpg?201909-i_prefecture_active_user", "■")</f>
        <v>■</v>
      </c>
      <c r="F439" s="1" t="s">
        <v>327</v>
      </c>
      <c r="G439" s="1">
        <v>113340</v>
      </c>
      <c r="H439" s="1">
        <v>105394</v>
      </c>
      <c r="I439" s="1">
        <v>24</v>
      </c>
      <c r="J439" s="1" t="s">
        <v>283</v>
      </c>
      <c r="K439" s="1" t="s">
        <v>328</v>
      </c>
      <c r="L439" s="1" t="s">
        <v>329</v>
      </c>
      <c r="M439" s="1" t="s">
        <v>9158</v>
      </c>
      <c r="N439" s="1" t="s">
        <v>9158</v>
      </c>
      <c r="O439" s="19" t="s">
        <v>10084</v>
      </c>
      <c r="P439" s="1" t="s">
        <v>3563</v>
      </c>
      <c r="Q439" s="1">
        <v>1</v>
      </c>
    </row>
    <row r="440" spans="1:17">
      <c r="A440" s="1">
        <v>72193</v>
      </c>
      <c r="B440" s="1" t="s">
        <v>334</v>
      </c>
      <c r="C440" s="1" t="s">
        <v>165</v>
      </c>
      <c r="D440" s="19" t="s">
        <v>3112</v>
      </c>
      <c r="E440" s="15" t="str">
        <f>HYPERLINK("https://stat100.ameba.jp/tnk47/ratio20/illustrations/card/ill_72193_koinoborikomyokogo03.jpg?201909-i_prefecture_active_user", "■")</f>
        <v>■</v>
      </c>
      <c r="F440" s="1" t="s">
        <v>2539</v>
      </c>
      <c r="G440" s="1">
        <v>93746</v>
      </c>
      <c r="H440" s="1">
        <v>87128</v>
      </c>
      <c r="I440" s="1">
        <v>24</v>
      </c>
      <c r="J440" s="1" t="s">
        <v>10</v>
      </c>
      <c r="K440" s="1" t="s">
        <v>2540</v>
      </c>
      <c r="L440" s="1" t="s">
        <v>60</v>
      </c>
      <c r="M440" s="1" t="s">
        <v>9158</v>
      </c>
      <c r="N440" s="1" t="s">
        <v>9158</v>
      </c>
      <c r="O440" s="19" t="s">
        <v>10090</v>
      </c>
      <c r="P440" s="1" t="s">
        <v>3460</v>
      </c>
      <c r="Q440" s="1">
        <v>1</v>
      </c>
    </row>
    <row r="442" spans="1:17">
      <c r="A442" s="1" t="s">
        <v>7051</v>
      </c>
    </row>
    <row r="443" spans="1:17">
      <c r="A443" s="1" t="s">
        <v>7052</v>
      </c>
    </row>
    <row r="444" spans="1:17">
      <c r="A444" s="1" t="s">
        <v>6508</v>
      </c>
      <c r="B444" s="1" t="s">
        <v>330</v>
      </c>
      <c r="C444" s="1" t="s">
        <v>35</v>
      </c>
      <c r="D444" s="19" t="s">
        <v>10168</v>
      </c>
      <c r="E444" s="15" t="str">
        <f>HYPERLINK("https://stat100.ameba.jp/tnk47/ratio20/illustrations/card/ill_81783_0_denshagarukoteipenginchan03.jpg?201909-i_prefecture_active_user", "■")</f>
        <v>■</v>
      </c>
      <c r="F444" s="1" t="s">
        <v>4834</v>
      </c>
      <c r="G444" s="1">
        <v>279102</v>
      </c>
      <c r="H444" s="1">
        <v>252236</v>
      </c>
      <c r="I444" s="1">
        <v>24</v>
      </c>
      <c r="J444" s="1" t="s">
        <v>26</v>
      </c>
      <c r="K444" s="1" t="s">
        <v>4836</v>
      </c>
      <c r="L444" s="1" t="s">
        <v>1783</v>
      </c>
      <c r="M444" s="1" t="s">
        <v>9158</v>
      </c>
      <c r="N444" s="1" t="s">
        <v>9158</v>
      </c>
      <c r="O444" s="19" t="s">
        <v>11959</v>
      </c>
      <c r="P444" s="1" t="s">
        <v>4838</v>
      </c>
      <c r="Q444" s="1">
        <v>1</v>
      </c>
    </row>
    <row r="445" spans="1:17">
      <c r="A445" s="1">
        <v>81313</v>
      </c>
      <c r="B445" s="1" t="s">
        <v>0</v>
      </c>
      <c r="C445" s="1" t="s">
        <v>154</v>
      </c>
      <c r="D445" s="19" t="s">
        <v>10511</v>
      </c>
      <c r="E445" s="15" t="str">
        <f>HYPERLINK("https://stat100.ameba.jp/tnk47/ratio20/illustrations/card/ill_81313_harihara03.jpg?201909-i_prefecture_active_user", "■")</f>
        <v>■</v>
      </c>
      <c r="F445" s="1" t="s">
        <v>4667</v>
      </c>
      <c r="G445" s="1">
        <v>159674</v>
      </c>
      <c r="H445" s="1">
        <v>115656</v>
      </c>
      <c r="I445" s="1">
        <v>24</v>
      </c>
      <c r="J445" s="1" t="s">
        <v>44</v>
      </c>
      <c r="K445" s="1" t="s">
        <v>4668</v>
      </c>
      <c r="L445" s="1" t="s">
        <v>4669</v>
      </c>
      <c r="M445" s="1" t="s">
        <v>9158</v>
      </c>
      <c r="N445" s="1" t="s">
        <v>9158</v>
      </c>
      <c r="O445" s="19" t="s">
        <v>10114</v>
      </c>
      <c r="P445" s="1" t="s">
        <v>3658</v>
      </c>
      <c r="Q445" s="1">
        <v>1</v>
      </c>
    </row>
    <row r="446" spans="1:17">
      <c r="A446" s="1">
        <v>75883</v>
      </c>
      <c r="B446" s="1" t="s">
        <v>334</v>
      </c>
      <c r="C446" s="1" t="s">
        <v>154</v>
      </c>
      <c r="D446" s="19" t="s">
        <v>10402</v>
      </c>
      <c r="E446" s="15" t="str">
        <f>HYPERLINK("https://stat100.ameba.jp/tnk47/ratio20/illustrations/card/ill_75883_kitajokagehiro03.jpg?201909-i_prefecture_active_user", "■")</f>
        <v>■</v>
      </c>
      <c r="F446" s="1" t="s">
        <v>2411</v>
      </c>
      <c r="G446" s="1">
        <v>115656</v>
      </c>
      <c r="H446" s="1">
        <v>159674</v>
      </c>
      <c r="I446" s="1">
        <v>24</v>
      </c>
      <c r="J446" s="1" t="s">
        <v>143</v>
      </c>
      <c r="K446" s="1" t="s">
        <v>2412</v>
      </c>
      <c r="L446" s="1" t="s">
        <v>1148</v>
      </c>
      <c r="M446" s="1" t="s">
        <v>9158</v>
      </c>
      <c r="N446" s="1" t="s">
        <v>9158</v>
      </c>
      <c r="O446" s="19" t="s">
        <v>10106</v>
      </c>
      <c r="P446" s="1" t="s">
        <v>3330</v>
      </c>
      <c r="Q446" s="1">
        <v>2</v>
      </c>
    </row>
    <row r="447" spans="1:17">
      <c r="A447" s="1">
        <v>76783</v>
      </c>
      <c r="B447" s="1" t="s">
        <v>334</v>
      </c>
      <c r="C447" s="1" t="s">
        <v>203</v>
      </c>
      <c r="D447" s="19" t="s">
        <v>10367</v>
      </c>
      <c r="E447" s="15" t="str">
        <f>HYPERLINK("https://stat100.ameba.jp/tnk47/ratio20/illustrations/card/ill_76783_monsutaakashirejina03.jpg?201909-i_prefecture_active_user", "■")</f>
        <v>■</v>
      </c>
      <c r="F447" s="1" t="s">
        <v>1192</v>
      </c>
      <c r="G447" s="1">
        <v>75984</v>
      </c>
      <c r="H447" s="1">
        <v>104890</v>
      </c>
      <c r="I447" s="1">
        <v>24</v>
      </c>
      <c r="J447" s="1" t="s">
        <v>10</v>
      </c>
      <c r="K447" s="1" t="s">
        <v>1193</v>
      </c>
      <c r="L447" s="1" t="s">
        <v>1194</v>
      </c>
      <c r="M447" s="1" t="s">
        <v>9158</v>
      </c>
      <c r="N447" s="1" t="s">
        <v>9158</v>
      </c>
      <c r="O447" s="19" t="s">
        <v>2752</v>
      </c>
      <c r="P447" s="1" t="s">
        <v>13123</v>
      </c>
      <c r="Q447" s="1">
        <v>1</v>
      </c>
    </row>
    <row r="449" spans="1:17">
      <c r="A449" s="1" t="s">
        <v>7053</v>
      </c>
    </row>
    <row r="450" spans="1:17">
      <c r="A450" s="1" t="s">
        <v>7054</v>
      </c>
    </row>
    <row r="451" spans="1:17">
      <c r="A451" s="1" t="s">
        <v>5734</v>
      </c>
      <c r="B451" s="1" t="s">
        <v>330</v>
      </c>
      <c r="C451" s="1" t="s">
        <v>202</v>
      </c>
      <c r="D451" s="19" t="s">
        <v>1497</v>
      </c>
      <c r="E451" s="15" t="str">
        <f>HYPERLINK("https://stat100.ameba.jp/tnk47/ratio20/illustrations/card/ill_74593_0_natsuyuenchikoshihikari03.jpg?201909-i_prefecture_active_user", "■")</f>
        <v>■</v>
      </c>
      <c r="F451" s="1" t="s">
        <v>1498</v>
      </c>
      <c r="G451" s="1">
        <v>162496</v>
      </c>
      <c r="H451" s="1">
        <v>151067</v>
      </c>
      <c r="I451" s="1">
        <v>15</v>
      </c>
      <c r="J451" s="1" t="s">
        <v>283</v>
      </c>
      <c r="K451" s="1" t="s">
        <v>1499</v>
      </c>
      <c r="L451" s="1" t="s">
        <v>1500</v>
      </c>
      <c r="M451" s="1" t="s">
        <v>9158</v>
      </c>
      <c r="N451" s="1" t="s">
        <v>9158</v>
      </c>
      <c r="O451" s="19" t="s">
        <v>2731</v>
      </c>
      <c r="P451" s="1" t="s">
        <v>2732</v>
      </c>
      <c r="Q451" s="1">
        <v>1</v>
      </c>
    </row>
    <row r="452" spans="1:17">
      <c r="A452" s="1" t="s">
        <v>5901</v>
      </c>
      <c r="B452" s="1" t="s">
        <v>52</v>
      </c>
      <c r="C452" s="1" t="s">
        <v>101</v>
      </c>
      <c r="D452" s="19" t="s">
        <v>1426</v>
      </c>
      <c r="E452" s="15" t="str">
        <f>HYPERLINK("https://stat100.ameba.jp/tnk47/ratio20/illustrations/card/ill_64953_0_yukatatokugawayoshinobu03.jpg?201909-i_prefecture_active_user", "■")</f>
        <v>■</v>
      </c>
      <c r="F452" s="1" t="s">
        <v>2090</v>
      </c>
      <c r="G452" s="1">
        <v>93450</v>
      </c>
      <c r="H452" s="1">
        <v>100502</v>
      </c>
      <c r="I452" s="1">
        <v>15</v>
      </c>
      <c r="J452" s="1" t="s">
        <v>10</v>
      </c>
      <c r="K452" s="1" t="s">
        <v>2091</v>
      </c>
      <c r="L452" s="1" t="s">
        <v>2092</v>
      </c>
      <c r="M452" s="1" t="s">
        <v>9158</v>
      </c>
      <c r="N452" s="1" t="s">
        <v>9158</v>
      </c>
      <c r="O452" s="19" t="s">
        <v>2889</v>
      </c>
      <c r="P452" s="1" t="s">
        <v>2890</v>
      </c>
      <c r="Q452" s="1">
        <v>1</v>
      </c>
    </row>
    <row r="453" spans="1:17">
      <c r="A453" s="1" t="s">
        <v>5608</v>
      </c>
      <c r="B453" s="1" t="s">
        <v>52</v>
      </c>
      <c r="C453" s="1" t="s">
        <v>96</v>
      </c>
      <c r="D453" s="19" t="s">
        <v>634</v>
      </c>
      <c r="E453" s="15" t="str">
        <f>HYPERLINK("https://stat100.ameba.jp/tnk47/ratio20/illustrations/card/ill_40963_0_makami03.jpg?201909-i_prefecture_active_user", "■")</f>
        <v>■</v>
      </c>
      <c r="F453" s="1" t="s">
        <v>2038</v>
      </c>
      <c r="G453" s="1">
        <v>87780</v>
      </c>
      <c r="H453" s="1">
        <v>82212</v>
      </c>
      <c r="I453" s="1">
        <v>15</v>
      </c>
      <c r="J453" s="1" t="s">
        <v>44</v>
      </c>
      <c r="K453" s="1" t="s">
        <v>2039</v>
      </c>
      <c r="L453" s="1" t="s">
        <v>2040</v>
      </c>
      <c r="M453" s="1" t="s">
        <v>9158</v>
      </c>
      <c r="N453" s="1" t="s">
        <v>9158</v>
      </c>
      <c r="O453" s="1" t="s">
        <v>9158</v>
      </c>
      <c r="P453" s="1" t="s">
        <v>9158</v>
      </c>
      <c r="Q453" s="1" t="s">
        <v>9158</v>
      </c>
    </row>
    <row r="454" spans="1:17">
      <c r="A454" s="1">
        <v>76123</v>
      </c>
      <c r="B454" s="1" t="s">
        <v>334</v>
      </c>
      <c r="C454" s="1" t="s">
        <v>203</v>
      </c>
      <c r="D454" s="19" t="s">
        <v>10302</v>
      </c>
      <c r="E454" s="15" t="str">
        <f>HYPERLINK("https://stat100.ameba.jp/tnk47/ratio20/illustrations/card/ill_76123_hoshiyominotemmongakusha03.jpg?201909-i_prefecture_active_user", "■")</f>
        <v>■</v>
      </c>
      <c r="F454" s="1" t="s">
        <v>987</v>
      </c>
      <c r="G454" s="1">
        <v>176200</v>
      </c>
      <c r="H454" s="1">
        <v>99132</v>
      </c>
      <c r="I454" s="1">
        <v>24</v>
      </c>
      <c r="J454" s="1" t="s">
        <v>16</v>
      </c>
      <c r="K454" s="1" t="s">
        <v>988</v>
      </c>
      <c r="L454" s="1" t="s">
        <v>989</v>
      </c>
      <c r="M454" s="1" t="s">
        <v>9158</v>
      </c>
      <c r="N454" s="1" t="s">
        <v>9158</v>
      </c>
      <c r="O454" s="1" t="s">
        <v>9158</v>
      </c>
      <c r="P454" s="1" t="s">
        <v>9158</v>
      </c>
      <c r="Q454" s="1" t="s">
        <v>9158</v>
      </c>
    </row>
    <row r="455" spans="1:17">
      <c r="A455" s="1">
        <v>79833</v>
      </c>
      <c r="B455" s="1" t="s">
        <v>334</v>
      </c>
      <c r="C455" s="1" t="s">
        <v>154</v>
      </c>
      <c r="D455" s="19" t="s">
        <v>10303</v>
      </c>
      <c r="E455" s="15" t="str">
        <f>HYPERLINK("https://stat100.ameba.jp/tnk47/ratio20/illustrations/card/ill_79833_jiyunomegamimariannu03.jpg?201909-i_prefecture_active_user", "■")</f>
        <v>■</v>
      </c>
      <c r="F455" s="1" t="s">
        <v>3332</v>
      </c>
      <c r="G455" s="1">
        <v>99182</v>
      </c>
      <c r="H455" s="1">
        <v>106680</v>
      </c>
      <c r="I455" s="1">
        <v>24</v>
      </c>
      <c r="J455" s="1" t="s">
        <v>10</v>
      </c>
      <c r="K455" s="1" t="s">
        <v>3333</v>
      </c>
      <c r="L455" s="1" t="s">
        <v>12</v>
      </c>
      <c r="M455" s="1" t="s">
        <v>9158</v>
      </c>
      <c r="N455" s="1" t="s">
        <v>9158</v>
      </c>
      <c r="O455" s="1" t="s">
        <v>9158</v>
      </c>
      <c r="P455" s="1" t="s">
        <v>9158</v>
      </c>
      <c r="Q455" s="1" t="s">
        <v>9158</v>
      </c>
    </row>
    <row r="456" spans="1:17">
      <c r="A456" s="1">
        <v>76963</v>
      </c>
      <c r="B456" s="1" t="s">
        <v>334</v>
      </c>
      <c r="C456" s="1" t="s">
        <v>154</v>
      </c>
      <c r="D456" s="19" t="s">
        <v>2891</v>
      </c>
      <c r="E456" s="15" t="str">
        <f>HYPERLINK("https://stat100.ameba.jp/tnk47/ratio20/illustrations/card/ill_76963_pavariaojo03.jpg?201909-i_prefecture_active_user", "■")</f>
        <v>■</v>
      </c>
      <c r="F456" s="1" t="s">
        <v>2892</v>
      </c>
      <c r="G456" s="1">
        <v>115746</v>
      </c>
      <c r="H456" s="1">
        <v>65128</v>
      </c>
      <c r="I456" s="1">
        <v>24</v>
      </c>
      <c r="J456" s="1" t="s">
        <v>315</v>
      </c>
      <c r="K456" s="1" t="s">
        <v>2893</v>
      </c>
      <c r="L456" s="1" t="s">
        <v>1432</v>
      </c>
      <c r="M456" s="1" t="s">
        <v>9158</v>
      </c>
      <c r="N456" s="1" t="s">
        <v>9158</v>
      </c>
      <c r="O456" s="1" t="s">
        <v>9158</v>
      </c>
      <c r="P456" s="1" t="s">
        <v>9158</v>
      </c>
      <c r="Q456" s="1" t="s">
        <v>9158</v>
      </c>
    </row>
    <row r="457" spans="1:17">
      <c r="A457" s="1">
        <v>79723</v>
      </c>
      <c r="B457" s="1" t="s">
        <v>15</v>
      </c>
      <c r="C457" s="1" t="s">
        <v>23</v>
      </c>
      <c r="D457" s="19" t="s">
        <v>10639</v>
      </c>
      <c r="E457" s="15" t="str">
        <f>HYPERLINK("https://stat100.ameba.jp/tnk47/ratio20/illustrations/card/ill_79723_inazumaraigoro03.jpg?201909-i_prefecture_active_user", "■")</f>
        <v>■</v>
      </c>
      <c r="F457" s="1" t="s">
        <v>3691</v>
      </c>
      <c r="G457" s="1">
        <v>53768</v>
      </c>
      <c r="H457" s="1">
        <v>59280</v>
      </c>
      <c r="I457" s="1">
        <v>20</v>
      </c>
      <c r="J457" s="1" t="s">
        <v>143</v>
      </c>
      <c r="K457" s="1" t="s">
        <v>3692</v>
      </c>
      <c r="L457" s="1" t="s">
        <v>3326</v>
      </c>
      <c r="M457" s="1" t="s">
        <v>9158</v>
      </c>
      <c r="N457" s="1" t="s">
        <v>9158</v>
      </c>
      <c r="O457" s="1" t="s">
        <v>9158</v>
      </c>
      <c r="P457" s="1" t="s">
        <v>9158</v>
      </c>
      <c r="Q457" s="1" t="s">
        <v>9158</v>
      </c>
    </row>
    <row r="458" spans="1:17">
      <c r="A458" s="1">
        <v>78403</v>
      </c>
      <c r="B458" s="1" t="s">
        <v>15</v>
      </c>
      <c r="C458" s="1" t="s">
        <v>205</v>
      </c>
      <c r="D458" s="19" t="s">
        <v>10640</v>
      </c>
      <c r="E458" s="15" t="str">
        <f>HYPERLINK("https://stat100.ameba.jp/tnk47/ratio20/illustrations/card/ill_78403_izumotaisha03.jpg?201909-i_prefecture_active_user", "■")</f>
        <v>■</v>
      </c>
      <c r="F458" s="1" t="s">
        <v>2669</v>
      </c>
      <c r="G458" s="1">
        <v>53768</v>
      </c>
      <c r="H458" s="1">
        <v>59280</v>
      </c>
      <c r="I458" s="1">
        <v>20</v>
      </c>
      <c r="J458" s="1" t="s">
        <v>26</v>
      </c>
      <c r="K458" s="1" t="s">
        <v>2670</v>
      </c>
      <c r="L458" s="1" t="s">
        <v>977</v>
      </c>
      <c r="M458" s="1" t="s">
        <v>9158</v>
      </c>
      <c r="N458" s="1" t="s">
        <v>9158</v>
      </c>
      <c r="O458" s="1" t="s">
        <v>9158</v>
      </c>
      <c r="P458" s="1" t="s">
        <v>9158</v>
      </c>
      <c r="Q458" s="1" t="s">
        <v>9158</v>
      </c>
    </row>
    <row r="459" spans="1:17">
      <c r="A459" s="1">
        <v>73123</v>
      </c>
      <c r="B459" s="1" t="s">
        <v>15</v>
      </c>
      <c r="C459" s="1" t="s">
        <v>206</v>
      </c>
      <c r="D459" s="19" t="s">
        <v>10283</v>
      </c>
      <c r="E459" s="15" t="str">
        <f>HYPERLINK("https://stat100.ameba.jp/tnk47/ratio20/illustrations/card/ill_73123_raikiri03.jpg?201909-i_prefecture_active_user", "■")</f>
        <v>■</v>
      </c>
      <c r="F459" s="1" t="s">
        <v>4436</v>
      </c>
      <c r="G459" s="1">
        <v>53768</v>
      </c>
      <c r="H459" s="1">
        <v>59280</v>
      </c>
      <c r="I459" s="1">
        <v>20</v>
      </c>
      <c r="J459" s="1" t="s">
        <v>44</v>
      </c>
      <c r="K459" s="1" t="s">
        <v>4437</v>
      </c>
      <c r="L459" s="1" t="s">
        <v>3319</v>
      </c>
      <c r="M459" s="1" t="s">
        <v>9158</v>
      </c>
      <c r="N459" s="1" t="s">
        <v>9158</v>
      </c>
      <c r="O459" s="1" t="s">
        <v>9158</v>
      </c>
      <c r="P459" s="1" t="s">
        <v>9158</v>
      </c>
      <c r="Q459" s="1" t="s">
        <v>9158</v>
      </c>
    </row>
    <row r="461" spans="1:17">
      <c r="A461" s="1" t="s">
        <v>7055</v>
      </c>
    </row>
    <row r="462" spans="1:17">
      <c r="A462" s="1" t="s">
        <v>7056</v>
      </c>
    </row>
    <row r="463" spans="1:17">
      <c r="A463" s="1" t="s">
        <v>6195</v>
      </c>
      <c r="B463" s="1" t="s">
        <v>52</v>
      </c>
      <c r="C463" s="1" t="s">
        <v>191</v>
      </c>
      <c r="D463" s="19" t="s">
        <v>10217</v>
      </c>
      <c r="E463" s="15" t="str">
        <f>HYPERLINK("https://stat100.ameba.jp/tnk47/ratio20/illustrations/card/ill_56493_0_poppukurisumasuikomakitsuno03.jpg?201909-i_prefecture_active_user", "■")</f>
        <v>■</v>
      </c>
      <c r="F463" s="1" t="s">
        <v>1769</v>
      </c>
      <c r="G463" s="1">
        <v>144494</v>
      </c>
      <c r="H463" s="1">
        <v>128358</v>
      </c>
      <c r="I463" s="1">
        <v>23</v>
      </c>
      <c r="J463" s="1" t="s">
        <v>77</v>
      </c>
      <c r="K463" s="1" t="s">
        <v>1770</v>
      </c>
      <c r="L463" s="1" t="s">
        <v>1771</v>
      </c>
      <c r="M463" s="1" t="s">
        <v>9158</v>
      </c>
      <c r="N463" s="1" t="s">
        <v>9158</v>
      </c>
      <c r="O463" s="19" t="s">
        <v>10120</v>
      </c>
      <c r="P463" s="1" t="s">
        <v>2724</v>
      </c>
      <c r="Q463" s="1">
        <v>1</v>
      </c>
    </row>
    <row r="464" spans="1:17">
      <c r="A464" s="1" t="s">
        <v>5602</v>
      </c>
      <c r="B464" s="1" t="s">
        <v>52</v>
      </c>
      <c r="C464" s="1" t="s">
        <v>14</v>
      </c>
      <c r="D464" s="19" t="s">
        <v>813</v>
      </c>
      <c r="E464" s="15" t="str">
        <f>HYPERLINK("https://stat100.ameba.jp/tnk47/ratio20/illustrations/card/ill_55313_0_haroinononokomachi03.jpg?201909-i_prefecture_active_user", "■")</f>
        <v>■</v>
      </c>
      <c r="F464" s="1" t="s">
        <v>2094</v>
      </c>
      <c r="G464" s="1">
        <v>144494</v>
      </c>
      <c r="H464" s="1">
        <v>128358</v>
      </c>
      <c r="I464" s="1">
        <v>23</v>
      </c>
      <c r="J464" s="1" t="s">
        <v>10</v>
      </c>
      <c r="K464" s="1" t="s">
        <v>2095</v>
      </c>
      <c r="L464" s="1" t="s">
        <v>2096</v>
      </c>
      <c r="M464" s="1" t="s">
        <v>9158</v>
      </c>
      <c r="N464" s="1" t="s">
        <v>9158</v>
      </c>
      <c r="O464" s="19" t="s">
        <v>2733</v>
      </c>
      <c r="P464" s="1" t="s">
        <v>2734</v>
      </c>
      <c r="Q464" s="1">
        <v>1</v>
      </c>
    </row>
    <row r="465" spans="1:18">
      <c r="A465" s="1" t="s">
        <v>5612</v>
      </c>
      <c r="B465" s="1" t="s">
        <v>52</v>
      </c>
      <c r="C465" s="1" t="s">
        <v>165</v>
      </c>
      <c r="D465" s="19" t="s">
        <v>789</v>
      </c>
      <c r="E465" s="15" t="str">
        <f>HYPERLINK("https://stat100.ameba.jp/tnk47/ratio20/illustrations/card/ill_49193_0_onmyoudouabenoseimei03.jpg?201909-i_prefecture_active_user", "■")</f>
        <v>■</v>
      </c>
      <c r="F465" s="1" t="s">
        <v>1896</v>
      </c>
      <c r="G465" s="1">
        <v>128358</v>
      </c>
      <c r="H465" s="1">
        <v>144494</v>
      </c>
      <c r="I465" s="1">
        <v>23</v>
      </c>
      <c r="J465" s="1" t="s">
        <v>10</v>
      </c>
      <c r="K465" s="1" t="s">
        <v>1897</v>
      </c>
      <c r="L465" s="1" t="s">
        <v>1898</v>
      </c>
      <c r="M465" s="1" t="s">
        <v>9158</v>
      </c>
      <c r="N465" s="1" t="s">
        <v>9158</v>
      </c>
      <c r="O465" s="1" t="s">
        <v>9158</v>
      </c>
      <c r="P465" s="1" t="s">
        <v>9158</v>
      </c>
      <c r="Q465" s="1" t="s">
        <v>9158</v>
      </c>
    </row>
    <row r="466" spans="1:18">
      <c r="A466" s="1">
        <v>58343</v>
      </c>
      <c r="B466" s="1" t="s">
        <v>334</v>
      </c>
      <c r="C466" s="1" t="s">
        <v>268</v>
      </c>
      <c r="D466" s="19" t="s">
        <v>585</v>
      </c>
      <c r="E466" s="15" t="str">
        <f>HYPERLINK("https://stat100.ameba.jp/tnk47/ratio20/illustrations/card/ill_58343_agemakidayu03.jpg?201909-i_prefecture_active_user", "■")</f>
        <v>■</v>
      </c>
      <c r="F466" s="1" t="s">
        <v>586</v>
      </c>
      <c r="G466" s="1">
        <v>99050</v>
      </c>
      <c r="H466" s="1">
        <v>72626</v>
      </c>
      <c r="I466" s="1">
        <v>24</v>
      </c>
      <c r="J466" s="1" t="s">
        <v>274</v>
      </c>
      <c r="K466" s="1" t="s">
        <v>587</v>
      </c>
      <c r="L466" s="1" t="s">
        <v>588</v>
      </c>
      <c r="M466" s="1" t="s">
        <v>9158</v>
      </c>
      <c r="N466" s="1" t="s">
        <v>9158</v>
      </c>
      <c r="O466" s="19" t="s">
        <v>2912</v>
      </c>
      <c r="P466" s="1" t="s">
        <v>13122</v>
      </c>
      <c r="Q466" s="1">
        <v>1</v>
      </c>
    </row>
    <row r="467" spans="1:18">
      <c r="A467" s="1">
        <v>69893</v>
      </c>
      <c r="B467" s="1" t="s">
        <v>15</v>
      </c>
      <c r="C467" s="1" t="s">
        <v>96</v>
      </c>
      <c r="D467" s="19" t="s">
        <v>10260</v>
      </c>
      <c r="E467" s="15" t="str">
        <f>HYPERLINK("https://stat100.ameba.jp/tnk47/ratio20/illustrations/card/ill_69893_kyupiddohoihoibi03.jpg?201909-i_prefecture_active_user", "■")</f>
        <v>■</v>
      </c>
      <c r="F467" s="1" t="s">
        <v>5209</v>
      </c>
      <c r="G467" s="1">
        <v>53352</v>
      </c>
      <c r="H467" s="1">
        <v>48390</v>
      </c>
      <c r="I467" s="1">
        <v>18</v>
      </c>
      <c r="J467" s="1" t="s">
        <v>73</v>
      </c>
      <c r="K467" s="1" t="s">
        <v>5211</v>
      </c>
      <c r="L467" s="1" t="s">
        <v>3835</v>
      </c>
      <c r="M467" s="1" t="s">
        <v>9158</v>
      </c>
      <c r="N467" s="1" t="s">
        <v>9158</v>
      </c>
      <c r="O467" s="1" t="s">
        <v>9158</v>
      </c>
      <c r="P467" s="1" t="s">
        <v>9158</v>
      </c>
      <c r="Q467" s="1" t="s">
        <v>9158</v>
      </c>
    </row>
    <row r="468" spans="1:18">
      <c r="A468" s="1">
        <v>68483</v>
      </c>
      <c r="B468" s="1" t="s">
        <v>7057</v>
      </c>
      <c r="C468" s="1" t="s">
        <v>7058</v>
      </c>
      <c r="D468" s="19" t="s">
        <v>10641</v>
      </c>
      <c r="E468" s="15" t="str">
        <f>HYPERLINK("https://stat100.ameba.jp/tnk47/ratio20/illustrations/card/ill_68483_mikowadatsumi03.jpg?201909-i_prefecture_active_user", "■")</f>
        <v>■</v>
      </c>
      <c r="F468" s="1" t="s">
        <v>7061</v>
      </c>
      <c r="G468" s="1">
        <v>35346</v>
      </c>
      <c r="H468" s="1">
        <v>29388</v>
      </c>
      <c r="I468" s="1">
        <v>17</v>
      </c>
      <c r="J468" s="1" t="s">
        <v>44</v>
      </c>
      <c r="K468" s="1" t="s">
        <v>7060</v>
      </c>
      <c r="L468" s="1" t="s">
        <v>7059</v>
      </c>
      <c r="M468" s="1" t="s">
        <v>9158</v>
      </c>
      <c r="N468" s="1" t="s">
        <v>9158</v>
      </c>
      <c r="O468" s="1" t="s">
        <v>9158</v>
      </c>
      <c r="P468" s="1" t="s">
        <v>9158</v>
      </c>
      <c r="Q468" s="1" t="s">
        <v>9158</v>
      </c>
    </row>
    <row r="469" spans="1:18">
      <c r="A469" s="1">
        <v>76733</v>
      </c>
      <c r="B469" s="1" t="s">
        <v>30</v>
      </c>
      <c r="C469" s="1" t="s">
        <v>1100</v>
      </c>
      <c r="D469" s="19" t="s">
        <v>10642</v>
      </c>
      <c r="E469" s="15" t="str">
        <f>HYPERLINK("https://stat100.ameba.jp/tnk47/ratio20/illustrations/card/ill_76733_houjouujiyasu03.jpg?201909-i_prefecture_active_user", "■")</f>
        <v>■</v>
      </c>
      <c r="F469" s="1" t="s">
        <v>1117</v>
      </c>
      <c r="G469" s="1">
        <v>17972</v>
      </c>
      <c r="H469" s="1">
        <v>21398</v>
      </c>
      <c r="I469" s="1">
        <v>17</v>
      </c>
      <c r="J469" s="1" t="s">
        <v>143</v>
      </c>
      <c r="K469" s="1" t="s">
        <v>1118</v>
      </c>
      <c r="L469" s="1" t="s">
        <v>1119</v>
      </c>
      <c r="M469" s="1" t="s">
        <v>9158</v>
      </c>
      <c r="N469" s="1" t="s">
        <v>9158</v>
      </c>
      <c r="O469" s="1" t="s">
        <v>9158</v>
      </c>
      <c r="P469" s="1" t="s">
        <v>9158</v>
      </c>
      <c r="Q469" s="1" t="s">
        <v>9158</v>
      </c>
    </row>
    <row r="471" spans="1:18">
      <c r="A471" s="1" t="s">
        <v>13326</v>
      </c>
    </row>
    <row r="472" spans="1:18">
      <c r="A472" s="1" t="s">
        <v>7062</v>
      </c>
    </row>
    <row r="473" spans="1:18">
      <c r="A473" s="1">
        <v>69293</v>
      </c>
      <c r="B473" s="1" t="s">
        <v>334</v>
      </c>
      <c r="C473" s="1" t="s">
        <v>185</v>
      </c>
      <c r="D473" s="19" t="s">
        <v>1155</v>
      </c>
      <c r="E473" s="15" t="str">
        <f>HYPERLINK("https://stat100.ameba.jp/tnk47/ratio20/illustrations/card/ill_69293_merukishiru03.jpg?201908-4-RELEASE-guildbattle-425", "■")</f>
        <v>■</v>
      </c>
      <c r="F473" s="1" t="s">
        <v>1156</v>
      </c>
      <c r="G473" s="1">
        <v>118152</v>
      </c>
      <c r="H473" s="1">
        <v>109852</v>
      </c>
      <c r="I473" s="1">
        <v>24</v>
      </c>
      <c r="J473" s="1" t="s">
        <v>414</v>
      </c>
      <c r="K473" s="1" t="s">
        <v>1170</v>
      </c>
      <c r="L473" s="1" t="s">
        <v>9902</v>
      </c>
      <c r="M473" s="1" t="s">
        <v>13151</v>
      </c>
      <c r="N473" s="1" t="s">
        <v>251</v>
      </c>
      <c r="O473" s="1" t="s">
        <v>9158</v>
      </c>
      <c r="P473" s="1" t="s">
        <v>9158</v>
      </c>
      <c r="Q473" s="1" t="s">
        <v>9158</v>
      </c>
      <c r="R473" s="14"/>
    </row>
    <row r="474" spans="1:18">
      <c r="A474" s="1">
        <v>69292</v>
      </c>
      <c r="B474" s="1" t="s">
        <v>334</v>
      </c>
      <c r="C474" s="1" t="s">
        <v>185</v>
      </c>
      <c r="D474" s="19" t="s">
        <v>1155</v>
      </c>
      <c r="E474" s="15" t="str">
        <f>HYPERLINK("https://stat100.ameba.jp/tnk47/ratio20/illustrations/card/ill_69292_merukishiru02.jpg?201908-4-RELEASE-guildbattle-425", "■")</f>
        <v>■</v>
      </c>
      <c r="F474" s="1" t="s">
        <v>1156</v>
      </c>
      <c r="G474" s="1">
        <v>98768</v>
      </c>
      <c r="H474" s="1">
        <v>90984</v>
      </c>
      <c r="I474" s="1">
        <v>24</v>
      </c>
      <c r="J474" s="1" t="s">
        <v>414</v>
      </c>
      <c r="K474" s="1" t="s">
        <v>1170</v>
      </c>
      <c r="L474" s="1" t="s">
        <v>9902</v>
      </c>
      <c r="M474" s="1" t="s">
        <v>13151</v>
      </c>
      <c r="N474" s="1" t="s">
        <v>251</v>
      </c>
      <c r="O474" s="1" t="s">
        <v>9158</v>
      </c>
      <c r="P474" s="1" t="s">
        <v>9158</v>
      </c>
      <c r="Q474" s="1" t="s">
        <v>9158</v>
      </c>
      <c r="R474" s="14"/>
    </row>
    <row r="475" spans="1:18">
      <c r="A475" s="1">
        <v>69291</v>
      </c>
      <c r="B475" s="1" t="s">
        <v>334</v>
      </c>
      <c r="C475" s="1" t="s">
        <v>185</v>
      </c>
      <c r="D475" s="19" t="s">
        <v>1155</v>
      </c>
      <c r="E475" s="15" t="str">
        <f>HYPERLINK("https://stat100.ameba.jp/tnk47/ratio20/illustrations/card/ill_69291_merukishiru01.jpg?201908-4-RELEASE-guildbattle-425", "■")</f>
        <v>■</v>
      </c>
      <c r="F475" s="1" t="s">
        <v>1156</v>
      </c>
      <c r="G475" s="1">
        <v>75408</v>
      </c>
      <c r="H475" s="1">
        <v>70200</v>
      </c>
      <c r="I475" s="1">
        <v>24</v>
      </c>
      <c r="J475" s="1" t="s">
        <v>414</v>
      </c>
      <c r="K475" s="1" t="s">
        <v>1170</v>
      </c>
      <c r="L475" s="1" t="s">
        <v>9902</v>
      </c>
      <c r="M475" s="1" t="s">
        <v>13151</v>
      </c>
      <c r="N475" s="1" t="s">
        <v>251</v>
      </c>
      <c r="O475" s="1" t="s">
        <v>9158</v>
      </c>
      <c r="P475" s="1" t="s">
        <v>9158</v>
      </c>
      <c r="Q475" s="1" t="s">
        <v>9158</v>
      </c>
      <c r="R475" s="14"/>
    </row>
    <row r="476" spans="1:18">
      <c r="A476" s="1">
        <v>69303</v>
      </c>
      <c r="B476" s="1" t="s">
        <v>334</v>
      </c>
      <c r="C476" s="1" t="s">
        <v>200</v>
      </c>
      <c r="D476" s="19" t="s">
        <v>1157</v>
      </c>
      <c r="E476" s="15" t="str">
        <f>HYPERLINK("https://stat100.ameba.jp/tnk47/ratio20/illustrations/card/ill_69303_torumushaito03.jpg?201908-4-RELEASE-guildbattle-425", "■")</f>
        <v>■</v>
      </c>
      <c r="F476" s="1" t="s">
        <v>1162</v>
      </c>
      <c r="G476" s="1">
        <v>118152</v>
      </c>
      <c r="H476" s="1">
        <v>109852</v>
      </c>
      <c r="I476" s="1">
        <v>24</v>
      </c>
      <c r="J476" s="1" t="s">
        <v>369</v>
      </c>
      <c r="K476" s="1" t="s">
        <v>1171</v>
      </c>
      <c r="L476" s="1" t="s">
        <v>9903</v>
      </c>
      <c r="M476" s="1" t="s">
        <v>13151</v>
      </c>
      <c r="N476" s="1" t="s">
        <v>251</v>
      </c>
      <c r="O476" s="1" t="s">
        <v>9158</v>
      </c>
      <c r="P476" s="1" t="s">
        <v>9158</v>
      </c>
      <c r="Q476" s="1" t="s">
        <v>9158</v>
      </c>
    </row>
    <row r="477" spans="1:18">
      <c r="A477" s="1">
        <v>69313</v>
      </c>
      <c r="B477" s="1" t="s">
        <v>334</v>
      </c>
      <c r="C477" s="1" t="s">
        <v>191</v>
      </c>
      <c r="D477" s="19" t="s">
        <v>1158</v>
      </c>
      <c r="E477" s="15" t="str">
        <f>HYPERLINK("https://stat100.ameba.jp/tnk47/ratio20/illustrations/card/ill_69313_teishutoriya03.jpg?201908-4-RELEASE-guildbattle-425", "■")</f>
        <v>■</v>
      </c>
      <c r="F477" s="1" t="s">
        <v>1163</v>
      </c>
      <c r="G477" s="1">
        <v>109852</v>
      </c>
      <c r="H477" s="1">
        <v>118152</v>
      </c>
      <c r="I477" s="1">
        <v>24</v>
      </c>
      <c r="J477" s="1" t="s">
        <v>401</v>
      </c>
      <c r="K477" s="1" t="s">
        <v>1172</v>
      </c>
      <c r="L477" s="1" t="s">
        <v>9904</v>
      </c>
      <c r="M477" s="1" t="s">
        <v>13151</v>
      </c>
      <c r="N477" s="1" t="s">
        <v>251</v>
      </c>
      <c r="O477" s="1" t="s">
        <v>9158</v>
      </c>
      <c r="P477" s="1" t="s">
        <v>9158</v>
      </c>
      <c r="Q477" s="1" t="s">
        <v>9158</v>
      </c>
    </row>
    <row r="478" spans="1:18">
      <c r="A478" s="1">
        <v>69323</v>
      </c>
      <c r="B478" s="1" t="s">
        <v>334</v>
      </c>
      <c r="C478" s="1" t="s">
        <v>165</v>
      </c>
      <c r="D478" s="19" t="s">
        <v>10257</v>
      </c>
      <c r="E478" s="15" t="str">
        <f>HYPERLINK("https://stat100.ameba.jp/tnk47/ratio20/illustrations/card/ill_69323_fujitsubonomiya03.jpg?201908-4-RELEASE-guildbattle-425", "■")</f>
        <v>■</v>
      </c>
      <c r="F478" s="1" t="s">
        <v>1164</v>
      </c>
      <c r="G478" s="1">
        <v>109852</v>
      </c>
      <c r="H478" s="1">
        <v>118152</v>
      </c>
      <c r="I478" s="1">
        <v>24</v>
      </c>
      <c r="J478" s="1" t="s">
        <v>1167</v>
      </c>
      <c r="K478" s="1" t="s">
        <v>1173</v>
      </c>
      <c r="L478" s="1" t="s">
        <v>9905</v>
      </c>
      <c r="M478" s="1" t="s">
        <v>13151</v>
      </c>
      <c r="N478" s="1" t="s">
        <v>251</v>
      </c>
      <c r="O478" s="1" t="s">
        <v>9158</v>
      </c>
      <c r="P478" s="1" t="s">
        <v>9158</v>
      </c>
      <c r="Q478" s="1" t="s">
        <v>9158</v>
      </c>
    </row>
    <row r="479" spans="1:18">
      <c r="A479" s="1">
        <v>69333</v>
      </c>
      <c r="B479" s="1" t="s">
        <v>334</v>
      </c>
      <c r="C479" s="1" t="s">
        <v>205</v>
      </c>
      <c r="D479" s="19" t="s">
        <v>1160</v>
      </c>
      <c r="E479" s="15" t="str">
        <f>HYPERLINK("https://stat100.ameba.jp/tnk47/ratio20/illustrations/card/ill_69333_mefuisutofueresu03.jpg?201908-4-RELEASE-guildbattle-425", "■")</f>
        <v>■</v>
      </c>
      <c r="F479" s="1" t="s">
        <v>1165</v>
      </c>
      <c r="G479" s="1">
        <v>118152</v>
      </c>
      <c r="H479" s="1">
        <v>109852</v>
      </c>
      <c r="I479" s="1">
        <v>24</v>
      </c>
      <c r="J479" s="1" t="s">
        <v>1168</v>
      </c>
      <c r="K479" s="1" t="s">
        <v>1174</v>
      </c>
      <c r="L479" s="1" t="s">
        <v>9906</v>
      </c>
      <c r="M479" s="1" t="s">
        <v>13151</v>
      </c>
      <c r="N479" s="1" t="s">
        <v>251</v>
      </c>
      <c r="O479" s="1" t="s">
        <v>9158</v>
      </c>
      <c r="P479" s="1" t="s">
        <v>9158</v>
      </c>
      <c r="Q479" s="1" t="s">
        <v>9158</v>
      </c>
    </row>
    <row r="480" spans="1:18">
      <c r="A480" s="1">
        <v>69343</v>
      </c>
      <c r="B480" s="1" t="s">
        <v>334</v>
      </c>
      <c r="C480" s="1" t="s">
        <v>206</v>
      </c>
      <c r="D480" s="19" t="s">
        <v>10258</v>
      </c>
      <c r="E480" s="15" t="str">
        <f>HYPERLINK("https://stat100.ameba.jp/tnk47/ratio20/illustrations/card/ill_69343_teikinnofuire03.jpg?201908-4-RELEASE-guildbattle-425", "■")</f>
        <v>■</v>
      </c>
      <c r="F480" s="1" t="s">
        <v>1166</v>
      </c>
      <c r="G480" s="1">
        <v>109852</v>
      </c>
      <c r="H480" s="1">
        <v>118152</v>
      </c>
      <c r="I480" s="1">
        <v>24</v>
      </c>
      <c r="J480" s="1" t="s">
        <v>1169</v>
      </c>
      <c r="K480" s="1" t="s">
        <v>1175</v>
      </c>
      <c r="L480" s="1" t="s">
        <v>9907</v>
      </c>
      <c r="M480" s="1" t="s">
        <v>13151</v>
      </c>
      <c r="N480" s="1" t="s">
        <v>251</v>
      </c>
      <c r="O480" s="1" t="s">
        <v>9158</v>
      </c>
      <c r="P480" s="1" t="s">
        <v>9158</v>
      </c>
      <c r="Q480" s="1" t="s">
        <v>9158</v>
      </c>
    </row>
    <row r="482" spans="1:17">
      <c r="A482" s="1" t="s">
        <v>7065</v>
      </c>
    </row>
    <row r="483" spans="1:17">
      <c r="A483" s="1" t="s">
        <v>7066</v>
      </c>
    </row>
    <row r="484" spans="1:17">
      <c r="A484" s="1" t="s">
        <v>7650</v>
      </c>
    </row>
    <row r="485" spans="1:17">
      <c r="A485" s="1" t="s">
        <v>6598</v>
      </c>
      <c r="B485" s="1" t="s">
        <v>330</v>
      </c>
      <c r="C485" s="1" t="s">
        <v>35</v>
      </c>
      <c r="D485" s="19" t="s">
        <v>10555</v>
      </c>
      <c r="E485" s="15" t="str">
        <f>HYPERLINK("https://stat100.ameba.jp/tnk47/ratio20/illustrations/card/ill_83553_0_kajuenamoronagu03.jpg?201909-6-RELEASE-conquest-e-431", "■")</f>
        <v>■</v>
      </c>
      <c r="F485" s="1" t="s">
        <v>6597</v>
      </c>
      <c r="G485" s="1">
        <v>157899</v>
      </c>
      <c r="H485" s="1">
        <v>174710</v>
      </c>
      <c r="I485" s="1">
        <v>15</v>
      </c>
      <c r="J485" s="1" t="s">
        <v>44</v>
      </c>
      <c r="K485" s="1" t="s">
        <v>6595</v>
      </c>
      <c r="L485" s="1" t="s">
        <v>6594</v>
      </c>
      <c r="M485" s="1" t="s">
        <v>9158</v>
      </c>
      <c r="N485" s="1" t="s">
        <v>9158</v>
      </c>
      <c r="O485" s="19" t="s">
        <v>10125</v>
      </c>
      <c r="P485" s="1" t="s">
        <v>6599</v>
      </c>
      <c r="Q485" s="1">
        <v>1</v>
      </c>
    </row>
    <row r="486" spans="1:17">
      <c r="A486" s="1">
        <v>83903</v>
      </c>
      <c r="B486" s="1" t="s">
        <v>7067</v>
      </c>
      <c r="C486" s="1" t="s">
        <v>7071</v>
      </c>
      <c r="D486" s="19" t="s">
        <v>10643</v>
      </c>
      <c r="E486" s="15" t="str">
        <f>HYPERLINK("https://stat100.ameba.jp/tnk47/ratio20/illustrations/card/ill_83903_manekinekotsurumyojin03.jpg?201909-6-RELEASE-conquest-e-431", "■")</f>
        <v>■</v>
      </c>
      <c r="F486" s="1" t="s">
        <v>7078</v>
      </c>
      <c r="G486" s="1">
        <v>109528</v>
      </c>
      <c r="H486" s="1">
        <v>101656</v>
      </c>
      <c r="I486" s="1">
        <v>24</v>
      </c>
      <c r="J486" s="1" t="s">
        <v>38</v>
      </c>
      <c r="K486" s="1" t="s">
        <v>7077</v>
      </c>
      <c r="L486" s="1" t="s">
        <v>7076</v>
      </c>
      <c r="M486" s="1" t="s">
        <v>9158</v>
      </c>
      <c r="N486" s="1" t="s">
        <v>9158</v>
      </c>
      <c r="O486" s="1" t="s">
        <v>9158</v>
      </c>
      <c r="P486" s="1" t="s">
        <v>9158</v>
      </c>
      <c r="Q486" s="1" t="s">
        <v>9158</v>
      </c>
    </row>
    <row r="487" spans="1:17">
      <c r="A487" s="1">
        <v>84683</v>
      </c>
      <c r="B487" s="1" t="s">
        <v>7067</v>
      </c>
      <c r="C487" s="1" t="s">
        <v>7072</v>
      </c>
      <c r="D487" s="19" t="s">
        <v>10644</v>
      </c>
      <c r="E487" s="15" t="str">
        <f>HYPERLINK("https://stat100.ameba.jp/tnk47/ratio20/illustrations/card/ill_84683_kyupiddodainokata03.jpg?201909-6-RELEASE-conquest-e-431", "■")</f>
        <v>■</v>
      </c>
      <c r="F487" s="1" t="s">
        <v>7081</v>
      </c>
      <c r="G487" s="1">
        <v>87128</v>
      </c>
      <c r="H487" s="1">
        <v>93746</v>
      </c>
      <c r="I487" s="1">
        <v>24</v>
      </c>
      <c r="J487" s="1" t="s">
        <v>10</v>
      </c>
      <c r="K487" s="1" t="s">
        <v>7080</v>
      </c>
      <c r="L487" s="1" t="s">
        <v>7079</v>
      </c>
      <c r="M487" s="1" t="s">
        <v>9158</v>
      </c>
      <c r="N487" s="1" t="s">
        <v>9158</v>
      </c>
      <c r="O487" s="1" t="s">
        <v>9158</v>
      </c>
      <c r="P487" s="1" t="s">
        <v>9158</v>
      </c>
      <c r="Q487" s="1" t="s">
        <v>9158</v>
      </c>
    </row>
    <row r="488" spans="1:17">
      <c r="A488" s="1">
        <v>83913</v>
      </c>
      <c r="B488" s="1" t="s">
        <v>7068</v>
      </c>
      <c r="C488" s="1" t="s">
        <v>7073</v>
      </c>
      <c r="D488" s="19" t="s">
        <v>10645</v>
      </c>
      <c r="E488" s="15" t="str">
        <f>HYPERLINK("https://stat100.ameba.jp/tnk47/ratio20/illustrations/card/ill_83913_umeoiranazusamitenjinnokomaneko03.jpg?201909-6-RELEASE-conquest-e-431", "■")</f>
        <v>■</v>
      </c>
      <c r="F488" s="1" t="s">
        <v>7084</v>
      </c>
      <c r="G488" s="1">
        <v>61832</v>
      </c>
      <c r="H488" s="1">
        <v>68172</v>
      </c>
      <c r="I488" s="1">
        <v>23</v>
      </c>
      <c r="J488" s="1" t="s">
        <v>44</v>
      </c>
      <c r="K488" s="1" t="s">
        <v>7083</v>
      </c>
      <c r="L488" s="1" t="s">
        <v>7082</v>
      </c>
      <c r="M488" s="1" t="s">
        <v>9158</v>
      </c>
      <c r="N488" s="1" t="s">
        <v>9158</v>
      </c>
      <c r="O488" s="1" t="s">
        <v>9158</v>
      </c>
      <c r="P488" s="1" t="s">
        <v>9158</v>
      </c>
      <c r="Q488" s="1" t="s">
        <v>9158</v>
      </c>
    </row>
    <row r="489" spans="1:17">
      <c r="A489" s="1">
        <v>84693</v>
      </c>
      <c r="B489" s="1" t="s">
        <v>7069</v>
      </c>
      <c r="C489" s="1" t="s">
        <v>7074</v>
      </c>
      <c r="D489" s="19" t="s">
        <v>10646</v>
      </c>
      <c r="E489" s="15" t="str">
        <f>HYPERLINK("https://stat100.ameba.jp/tnk47/ratio20/illustrations/card/ill_84693_nekodanuki03.jpg?201909-6-RELEASE-conquest-e-431", "■")</f>
        <v>■</v>
      </c>
      <c r="F489" s="1" t="s">
        <v>7087</v>
      </c>
      <c r="G489" s="1">
        <v>43662</v>
      </c>
      <c r="H489" s="1">
        <v>36304</v>
      </c>
      <c r="I489" s="1">
        <v>21</v>
      </c>
      <c r="J489" s="1" t="s">
        <v>182</v>
      </c>
      <c r="K489" s="1" t="s">
        <v>7086</v>
      </c>
      <c r="L489" s="1" t="s">
        <v>7085</v>
      </c>
      <c r="M489" s="1" t="s">
        <v>9158</v>
      </c>
      <c r="N489" s="1" t="s">
        <v>9158</v>
      </c>
      <c r="O489" s="1" t="s">
        <v>9158</v>
      </c>
      <c r="P489" s="1" t="s">
        <v>9158</v>
      </c>
      <c r="Q489" s="1" t="s">
        <v>9158</v>
      </c>
    </row>
    <row r="490" spans="1:17">
      <c r="A490" s="1">
        <v>83933</v>
      </c>
      <c r="B490" s="1" t="s">
        <v>7070</v>
      </c>
      <c r="C490" s="1" t="s">
        <v>7075</v>
      </c>
      <c r="D490" s="19" t="s">
        <v>10647</v>
      </c>
      <c r="E490" s="15" t="str">
        <f>HYPERLINK("https://stat100.ameba.jp/tnk47/ratio20/illustrations/card/ill_83933_nekomimitamahime03.jpg?201909-6-RELEASE-conquest-e-431", "■")</f>
        <v>■</v>
      </c>
      <c r="F490" s="1" t="s">
        <v>7090</v>
      </c>
      <c r="G490" s="1">
        <v>22200</v>
      </c>
      <c r="H490" s="1">
        <v>26434</v>
      </c>
      <c r="I490" s="1">
        <v>21</v>
      </c>
      <c r="J490" s="1" t="s">
        <v>77</v>
      </c>
      <c r="K490" s="1" t="s">
        <v>7089</v>
      </c>
      <c r="L490" s="1" t="s">
        <v>7088</v>
      </c>
      <c r="M490" s="1" t="s">
        <v>9158</v>
      </c>
      <c r="N490" s="1" t="s">
        <v>9158</v>
      </c>
      <c r="O490" s="1" t="s">
        <v>9158</v>
      </c>
      <c r="P490" s="1" t="s">
        <v>9158</v>
      </c>
      <c r="Q490" s="1" t="s">
        <v>9158</v>
      </c>
    </row>
    <row r="492" spans="1:17">
      <c r="A492" s="1" t="s">
        <v>195</v>
      </c>
    </row>
    <row r="493" spans="1:17">
      <c r="A493" s="1" t="s">
        <v>7064</v>
      </c>
    </row>
    <row r="494" spans="1:17">
      <c r="A494" s="1">
        <v>71013</v>
      </c>
      <c r="B494" s="1" t="s">
        <v>334</v>
      </c>
      <c r="C494" s="1" t="s">
        <v>154</v>
      </c>
      <c r="D494" s="19" t="s">
        <v>837</v>
      </c>
      <c r="E494" s="15" t="str">
        <f>HYPERLINK("https://stat100.ameba.jp/tnk47/ratio20/illustrations/card/ill_71013_fujutsushisarashina03.jpg?201909-6-RELEASE-conquest-e-431", "■")</f>
        <v>■</v>
      </c>
      <c r="F494" s="1" t="s">
        <v>838</v>
      </c>
      <c r="G494" s="1">
        <v>96246</v>
      </c>
      <c r="H494" s="1">
        <v>103512</v>
      </c>
      <c r="I494" s="1">
        <v>24</v>
      </c>
      <c r="J494" s="1" t="s">
        <v>155</v>
      </c>
      <c r="K494" s="1" t="s">
        <v>1231</v>
      </c>
      <c r="L494" s="1" t="s">
        <v>13152</v>
      </c>
      <c r="M494" s="1" t="s">
        <v>9158</v>
      </c>
      <c r="N494" s="1" t="s">
        <v>9158</v>
      </c>
      <c r="O494" s="1" t="s">
        <v>9158</v>
      </c>
      <c r="P494" s="1" t="s">
        <v>9158</v>
      </c>
      <c r="Q494" s="1" t="s">
        <v>9158</v>
      </c>
    </row>
    <row r="495" spans="1:17">
      <c r="A495" s="1">
        <v>71023</v>
      </c>
      <c r="B495" s="1" t="s">
        <v>334</v>
      </c>
      <c r="C495" s="1" t="s">
        <v>158</v>
      </c>
      <c r="D495" s="19" t="s">
        <v>841</v>
      </c>
      <c r="E495" s="15" t="str">
        <f>HYPERLINK("https://stat100.ameba.jp/tnk47/ratio20/illustrations/card/ill_71023_ommyojiiroha03.jpg?201909-6-RELEASE-conquest-e-431", "■")</f>
        <v>■</v>
      </c>
      <c r="F495" s="1" t="s">
        <v>842</v>
      </c>
      <c r="G495" s="1">
        <v>96246</v>
      </c>
      <c r="H495" s="1">
        <v>103512</v>
      </c>
      <c r="I495" s="1">
        <v>24</v>
      </c>
      <c r="J495" s="1" t="s">
        <v>159</v>
      </c>
      <c r="K495" s="1" t="s">
        <v>1232</v>
      </c>
      <c r="L495" s="1" t="s">
        <v>1233</v>
      </c>
      <c r="M495" s="1" t="s">
        <v>9158</v>
      </c>
      <c r="N495" s="1" t="s">
        <v>9158</v>
      </c>
      <c r="O495" s="1" t="s">
        <v>9158</v>
      </c>
      <c r="P495" s="1" t="s">
        <v>9158</v>
      </c>
      <c r="Q495" s="1" t="s">
        <v>9158</v>
      </c>
    </row>
    <row r="496" spans="1:17">
      <c r="A496" s="1">
        <v>66053</v>
      </c>
      <c r="B496" s="1" t="s">
        <v>334</v>
      </c>
      <c r="C496" s="1" t="s">
        <v>205</v>
      </c>
      <c r="D496" s="19" t="s">
        <v>3046</v>
      </c>
      <c r="E496" s="15" t="str">
        <f>HYPERLINK("https://stat100.ameba.jp/tnk47/ratio20/illustrations/card/ill_66053_serebukushiyatamanokami03.jpg?201909-6-RELEASE-conquest-e-431", "■")</f>
        <v>■</v>
      </c>
      <c r="F496" s="1" t="s">
        <v>2265</v>
      </c>
      <c r="G496" s="1">
        <v>97894</v>
      </c>
      <c r="H496" s="1">
        <v>91010</v>
      </c>
      <c r="I496" s="1">
        <v>24</v>
      </c>
      <c r="J496" s="1" t="s">
        <v>44</v>
      </c>
      <c r="K496" s="1" t="s">
        <v>2266</v>
      </c>
      <c r="L496" s="1" t="s">
        <v>1860</v>
      </c>
      <c r="M496" s="1" t="s">
        <v>9158</v>
      </c>
      <c r="N496" s="1" t="s">
        <v>9158</v>
      </c>
      <c r="O496" s="1" t="s">
        <v>9158</v>
      </c>
      <c r="P496" s="1" t="s">
        <v>9158</v>
      </c>
      <c r="Q496" s="1" t="s">
        <v>9158</v>
      </c>
    </row>
    <row r="497" spans="1:17">
      <c r="A497" s="1">
        <v>65923</v>
      </c>
      <c r="B497" s="1" t="s">
        <v>334</v>
      </c>
      <c r="C497" s="1" t="s">
        <v>185</v>
      </c>
      <c r="D497" s="19" t="s">
        <v>10204</v>
      </c>
      <c r="E497" s="15" t="str">
        <f>HYPERLINK("https://stat100.ameba.jp/tnk47/ratio20/illustrations/card/ill_65923_arabianginko03.jpg?201909-6-RELEASE-conquest-e-431", "■")</f>
        <v>■</v>
      </c>
      <c r="F497" s="1" t="s">
        <v>4978</v>
      </c>
      <c r="G497" s="1">
        <v>99996</v>
      </c>
      <c r="H497" s="1">
        <v>92996</v>
      </c>
      <c r="I497" s="1">
        <v>24</v>
      </c>
      <c r="J497" s="1" t="s">
        <v>182</v>
      </c>
      <c r="K497" s="1" t="s">
        <v>3679</v>
      </c>
      <c r="L497" s="1" t="s">
        <v>13188</v>
      </c>
      <c r="M497" s="1" t="s">
        <v>9158</v>
      </c>
      <c r="N497" s="1" t="s">
        <v>9158</v>
      </c>
      <c r="O497" s="1" t="s">
        <v>9158</v>
      </c>
      <c r="P497" s="1" t="s">
        <v>9158</v>
      </c>
      <c r="Q497" s="1" t="s">
        <v>9158</v>
      </c>
    </row>
    <row r="498" spans="1:17">
      <c r="A498" s="1">
        <v>52863</v>
      </c>
      <c r="B498" s="1" t="s">
        <v>15</v>
      </c>
      <c r="C498" s="1" t="s">
        <v>191</v>
      </c>
      <c r="D498" s="19" t="s">
        <v>10516</v>
      </c>
      <c r="E498" s="15" t="str">
        <f>HYPERLINK("https://stat100.ameba.jp/tnk47/ratio20/illustrations/card/ill_52863_andoroidokingyonota03.jpg?201909-6-RELEASE-conquest-e-431", "■")</f>
        <v>■</v>
      </c>
      <c r="F498" s="1" t="s">
        <v>6409</v>
      </c>
      <c r="G498" s="1">
        <v>51078</v>
      </c>
      <c r="H498" s="1">
        <v>56316</v>
      </c>
      <c r="I498" s="1">
        <v>19</v>
      </c>
      <c r="J498" s="1" t="s">
        <v>38</v>
      </c>
      <c r="K498" s="1" t="s">
        <v>6407</v>
      </c>
      <c r="L498" s="1" t="s">
        <v>6406</v>
      </c>
      <c r="M498" s="1" t="s">
        <v>9158</v>
      </c>
      <c r="N498" s="1" t="s">
        <v>9158</v>
      </c>
      <c r="O498" s="1" t="s">
        <v>9158</v>
      </c>
      <c r="P498" s="1" t="s">
        <v>9158</v>
      </c>
      <c r="Q498" s="1" t="s">
        <v>9158</v>
      </c>
    </row>
    <row r="499" spans="1:17">
      <c r="A499" s="1">
        <v>51593</v>
      </c>
      <c r="B499" s="1" t="s">
        <v>15</v>
      </c>
      <c r="C499" s="1" t="s">
        <v>200</v>
      </c>
      <c r="D499" s="19" t="s">
        <v>10517</v>
      </c>
      <c r="E499" s="15" t="str">
        <f>HYPERLINK("https://stat100.ameba.jp/tnk47/ratio20/illustrations/card/ill_51593_kishuhondatadakatsu03.jpg?201909-6-RELEASE-conquest-e-431", "■")</f>
        <v>■</v>
      </c>
      <c r="F499" s="1" t="s">
        <v>6413</v>
      </c>
      <c r="G499" s="1">
        <v>51078</v>
      </c>
      <c r="H499" s="1">
        <v>56316</v>
      </c>
      <c r="I499" s="1">
        <v>19</v>
      </c>
      <c r="J499" s="1" t="s">
        <v>143</v>
      </c>
      <c r="K499" s="1" t="s">
        <v>6411</v>
      </c>
      <c r="L499" s="1" t="s">
        <v>6410</v>
      </c>
      <c r="M499" s="1" t="s">
        <v>9158</v>
      </c>
      <c r="N499" s="1" t="s">
        <v>9158</v>
      </c>
      <c r="O499" s="1" t="s">
        <v>9158</v>
      </c>
      <c r="P499" s="1" t="s">
        <v>9158</v>
      </c>
      <c r="Q499" s="1" t="s">
        <v>9158</v>
      </c>
    </row>
    <row r="500" spans="1:17">
      <c r="A500" s="1">
        <v>55403</v>
      </c>
      <c r="B500" s="1" t="s">
        <v>15</v>
      </c>
      <c r="C500" s="1" t="s">
        <v>165</v>
      </c>
      <c r="D500" s="19" t="s">
        <v>10518</v>
      </c>
      <c r="E500" s="15" t="str">
        <f>HYPERLINK("https://stat100.ameba.jp/tnk47/ratio20/illustrations/card/ill_55403_undokaikyogokumaria03.jpg?201909-6-RELEASE-conquest-e-431", "■")</f>
        <v>■</v>
      </c>
      <c r="F500" s="1" t="s">
        <v>6417</v>
      </c>
      <c r="G500" s="1">
        <v>56316</v>
      </c>
      <c r="H500" s="1">
        <v>51078</v>
      </c>
      <c r="I500" s="1">
        <v>19</v>
      </c>
      <c r="J500" s="1" t="s">
        <v>77</v>
      </c>
      <c r="K500" s="1" t="s">
        <v>6415</v>
      </c>
      <c r="L500" s="1" t="s">
        <v>6414</v>
      </c>
      <c r="M500" s="1" t="s">
        <v>9158</v>
      </c>
      <c r="N500" s="1" t="s">
        <v>9158</v>
      </c>
      <c r="O500" s="1" t="s">
        <v>9158</v>
      </c>
      <c r="P500" s="1" t="s">
        <v>9158</v>
      </c>
      <c r="Q500" s="1" t="s">
        <v>9158</v>
      </c>
    </row>
    <row r="501" spans="1:17">
      <c r="A501" s="1">
        <v>52973</v>
      </c>
      <c r="B501" s="1" t="s">
        <v>15</v>
      </c>
      <c r="C501" s="1" t="s">
        <v>206</v>
      </c>
      <c r="D501" s="19" t="s">
        <v>10519</v>
      </c>
      <c r="E501" s="15" t="str">
        <f>HYPERLINK("https://stat100.ameba.jp/tnk47/ratio20/illustrations/card/ill_52973_torampuamoronagu03.jpg?201909-6-RELEASE-conquest-e-431", "■")</f>
        <v>■</v>
      </c>
      <c r="F501" s="1" t="s">
        <v>6421</v>
      </c>
      <c r="G501" s="1">
        <v>56316</v>
      </c>
      <c r="H501" s="1">
        <v>51078</v>
      </c>
      <c r="I501" s="1">
        <v>19</v>
      </c>
      <c r="J501" s="1" t="s">
        <v>44</v>
      </c>
      <c r="K501" s="1" t="s">
        <v>6419</v>
      </c>
      <c r="L501" s="1" t="s">
        <v>6418</v>
      </c>
      <c r="M501" s="1" t="s">
        <v>9158</v>
      </c>
      <c r="N501" s="1" t="s">
        <v>9158</v>
      </c>
      <c r="O501" s="1" t="s">
        <v>9158</v>
      </c>
      <c r="P501" s="1" t="s">
        <v>9158</v>
      </c>
      <c r="Q501" s="1" t="s">
        <v>9158</v>
      </c>
    </row>
    <row r="503" spans="1:17">
      <c r="A503" s="1" t="s">
        <v>7091</v>
      </c>
    </row>
    <row r="504" spans="1:17">
      <c r="A504" s="1" t="s">
        <v>7092</v>
      </c>
    </row>
    <row r="505" spans="1:17">
      <c r="A505" s="1" t="s">
        <v>5733</v>
      </c>
      <c r="B505" s="1" t="s">
        <v>330</v>
      </c>
      <c r="C505" s="1" t="s">
        <v>202</v>
      </c>
      <c r="D505" s="19" t="s">
        <v>2744</v>
      </c>
      <c r="E505" s="15" t="str">
        <f>HYPERLINK("https://stat100.ameba.jp/tnk47/ratio20/illustrations/card/ill_78693_0_kyupittokoinomikoto03.jpg?201909-6-RELEASE-conquest-e-431", "■")</f>
        <v>■</v>
      </c>
      <c r="F505" s="1" t="s">
        <v>2745</v>
      </c>
      <c r="G505" s="1">
        <v>230556</v>
      </c>
      <c r="H505" s="1">
        <v>255104</v>
      </c>
      <c r="I505" s="1">
        <v>22</v>
      </c>
      <c r="J505" s="1" t="s">
        <v>274</v>
      </c>
      <c r="K505" s="1" t="s">
        <v>2746</v>
      </c>
      <c r="L505" s="1" t="s">
        <v>2747</v>
      </c>
      <c r="M505" s="1" t="s">
        <v>9158</v>
      </c>
      <c r="N505" s="1" t="s">
        <v>9158</v>
      </c>
      <c r="O505" s="19" t="s">
        <v>10097</v>
      </c>
      <c r="P505" s="1" t="s">
        <v>11958</v>
      </c>
      <c r="Q505" s="1">
        <v>1</v>
      </c>
    </row>
    <row r="506" spans="1:17">
      <c r="A506" s="1" t="s">
        <v>5617</v>
      </c>
      <c r="B506" s="1" t="s">
        <v>330</v>
      </c>
      <c r="C506" s="1" t="s">
        <v>308</v>
      </c>
      <c r="D506" s="19" t="s">
        <v>385</v>
      </c>
      <c r="E506" s="15" t="str">
        <f>HYPERLINK("https://stat100.ameba.jp/tnk47/ratio20/illustrations/card/ill_59673_0_oheyashutendoji03.jpg?201909-6-RELEASE-conquest-e-431", "■")</f>
        <v>■</v>
      </c>
      <c r="F506" s="1" t="s">
        <v>386</v>
      </c>
      <c r="G506" s="1">
        <v>154800</v>
      </c>
      <c r="H506" s="1">
        <v>166504</v>
      </c>
      <c r="I506" s="1">
        <v>22</v>
      </c>
      <c r="J506" s="1" t="s">
        <v>320</v>
      </c>
      <c r="K506" s="1" t="s">
        <v>387</v>
      </c>
      <c r="L506" s="1" t="s">
        <v>388</v>
      </c>
      <c r="M506" s="1" t="s">
        <v>9158</v>
      </c>
      <c r="N506" s="1" t="s">
        <v>9158</v>
      </c>
      <c r="O506" s="19" t="s">
        <v>10078</v>
      </c>
      <c r="P506" s="1" t="s">
        <v>3022</v>
      </c>
      <c r="Q506" s="1">
        <v>1</v>
      </c>
    </row>
    <row r="507" spans="1:17">
      <c r="A507" s="1">
        <v>84663</v>
      </c>
      <c r="B507" s="1" t="s">
        <v>334</v>
      </c>
      <c r="C507" s="1" t="s">
        <v>158</v>
      </c>
      <c r="D507" s="19" t="s">
        <v>10648</v>
      </c>
      <c r="E507" s="15" t="str">
        <f>HYPERLINK("https://stat100.ameba.jp/tnk47/ratio20/illustrations/card/ill_84663_juwannonefuerufuito03.jpg?201909-6-RELEASE-conquest-e-431", "■")</f>
        <v>■</v>
      </c>
      <c r="F507" s="1" t="s">
        <v>7095</v>
      </c>
      <c r="G507" s="1">
        <v>81078</v>
      </c>
      <c r="H507" s="1">
        <v>111914</v>
      </c>
      <c r="I507" s="1">
        <v>24</v>
      </c>
      <c r="J507" s="1" t="s">
        <v>182</v>
      </c>
      <c r="K507" s="1" t="s">
        <v>7094</v>
      </c>
      <c r="L507" s="1" t="s">
        <v>7093</v>
      </c>
      <c r="M507" s="1" t="s">
        <v>9158</v>
      </c>
      <c r="N507" s="1" t="s">
        <v>9158</v>
      </c>
      <c r="O507" s="19" t="s">
        <v>10091</v>
      </c>
      <c r="P507" s="1" t="s">
        <v>7096</v>
      </c>
      <c r="Q507" s="1">
        <v>1</v>
      </c>
    </row>
    <row r="508" spans="1:17">
      <c r="A508" s="1">
        <v>80753</v>
      </c>
      <c r="B508" s="1" t="s">
        <v>334</v>
      </c>
      <c r="C508" s="1" t="s">
        <v>41</v>
      </c>
      <c r="D508" s="19" t="s">
        <v>10524</v>
      </c>
      <c r="E508" s="15" t="str">
        <f>HYPERLINK("https://stat100.ameba.jp/tnk47/ratio20/illustrations/card/ill_80753_hakubutsukannojoze03.jpg?201909-6-RELEASE-conquest-e-431", "■")</f>
        <v>■</v>
      </c>
      <c r="F508" s="1" t="s">
        <v>4318</v>
      </c>
      <c r="G508" s="1">
        <v>75627</v>
      </c>
      <c r="H508" s="1">
        <v>104385</v>
      </c>
      <c r="I508" s="1">
        <v>23</v>
      </c>
      <c r="J508" s="1" t="s">
        <v>38</v>
      </c>
      <c r="K508" s="1" t="s">
        <v>4319</v>
      </c>
      <c r="L508" s="1" t="s">
        <v>4320</v>
      </c>
      <c r="M508" s="1" t="s">
        <v>9158</v>
      </c>
      <c r="N508" s="1" t="s">
        <v>9158</v>
      </c>
      <c r="O508" s="19" t="s">
        <v>10074</v>
      </c>
      <c r="P508" s="1" t="s">
        <v>3592</v>
      </c>
      <c r="Q508" s="1">
        <v>1</v>
      </c>
    </row>
    <row r="509" spans="1:17">
      <c r="A509" s="1">
        <v>75073</v>
      </c>
      <c r="B509" s="1" t="s">
        <v>334</v>
      </c>
      <c r="C509" s="1" t="s">
        <v>154</v>
      </c>
      <c r="D509" s="19" t="s">
        <v>4252</v>
      </c>
      <c r="E509" s="15" t="str">
        <f>HYPERLINK("https://stat100.ameba.jp/tnk47/ratio20/illustrations/card/ill_75073_puruchacha03.jpg?201909-6-RELEASE-conquest-e-431", "■")</f>
        <v>■</v>
      </c>
      <c r="F509" s="1" t="s">
        <v>4253</v>
      </c>
      <c r="G509" s="1">
        <v>100519</v>
      </c>
      <c r="H509" s="1">
        <v>72819</v>
      </c>
      <c r="I509" s="1">
        <v>23</v>
      </c>
      <c r="J509" s="1" t="s">
        <v>315</v>
      </c>
      <c r="K509" s="1" t="s">
        <v>4254</v>
      </c>
      <c r="L509" s="1" t="s">
        <v>1432</v>
      </c>
      <c r="M509" s="1" t="s">
        <v>9158</v>
      </c>
      <c r="N509" s="1" t="s">
        <v>9158</v>
      </c>
      <c r="O509" s="19" t="s">
        <v>10082</v>
      </c>
      <c r="P509" s="1" t="s">
        <v>13124</v>
      </c>
      <c r="Q509" s="1">
        <v>1</v>
      </c>
    </row>
    <row r="510" spans="1:17">
      <c r="A510" s="1">
        <v>67943</v>
      </c>
      <c r="B510" s="1" t="s">
        <v>334</v>
      </c>
      <c r="C510" s="1" t="s">
        <v>154</v>
      </c>
      <c r="D510" s="19" t="s">
        <v>3175</v>
      </c>
      <c r="E510" s="15" t="str">
        <f>HYPERLINK("https://stat100.ameba.jp/tnk47/ratio20/illustrations/card/ill_67943_hoshinamasayuki03.jpg?201909-6-RELEASE-conquest-e-431", "■")</f>
        <v>■</v>
      </c>
      <c r="F510" s="1" t="s">
        <v>1781</v>
      </c>
      <c r="G510" s="1">
        <v>71557</v>
      </c>
      <c r="H510" s="1">
        <v>66517</v>
      </c>
      <c r="I510" s="1">
        <v>23</v>
      </c>
      <c r="J510" s="1" t="s">
        <v>10</v>
      </c>
      <c r="K510" s="1" t="s">
        <v>1782</v>
      </c>
      <c r="L510" s="1" t="s">
        <v>1783</v>
      </c>
      <c r="M510" s="1" t="s">
        <v>9158</v>
      </c>
      <c r="N510" s="1" t="s">
        <v>9158</v>
      </c>
      <c r="O510" s="1" t="s">
        <v>9158</v>
      </c>
      <c r="P510" s="1" t="s">
        <v>9158</v>
      </c>
      <c r="Q510" s="1" t="s">
        <v>9158</v>
      </c>
    </row>
    <row r="511" spans="1:17">
      <c r="A511" s="1">
        <v>68703</v>
      </c>
      <c r="B511" s="1" t="s">
        <v>0</v>
      </c>
      <c r="C511" s="1" t="s">
        <v>47</v>
      </c>
      <c r="D511" s="19" t="s">
        <v>687</v>
      </c>
      <c r="E511" s="15" t="str">
        <f>HYPERLINK("https://stat100.ameba.jp/tnk47/ratio20/illustrations/card/ill_68703_manryu03.jpg?201909-6-RELEASE-conquest-e-431", "■")</f>
        <v>■</v>
      </c>
      <c r="F511" s="1" t="s">
        <v>80</v>
      </c>
      <c r="G511" s="1">
        <v>72819</v>
      </c>
      <c r="H511" s="1">
        <v>100519</v>
      </c>
      <c r="I511" s="1">
        <v>23</v>
      </c>
      <c r="J511" s="1" t="s">
        <v>16</v>
      </c>
      <c r="K511" s="1" t="s">
        <v>81</v>
      </c>
      <c r="L511" s="1" t="s">
        <v>82</v>
      </c>
      <c r="M511" s="1" t="s">
        <v>9158</v>
      </c>
      <c r="N511" s="1" t="s">
        <v>9158</v>
      </c>
      <c r="O511" s="1" t="s">
        <v>9158</v>
      </c>
      <c r="P511" s="1" t="s">
        <v>9158</v>
      </c>
      <c r="Q511" s="1" t="s">
        <v>9158</v>
      </c>
    </row>
    <row r="512" spans="1:17">
      <c r="A512" s="1">
        <v>58333</v>
      </c>
      <c r="B512" s="1" t="s">
        <v>334</v>
      </c>
      <c r="C512" s="1" t="s">
        <v>158</v>
      </c>
      <c r="D512" s="19" t="s">
        <v>10415</v>
      </c>
      <c r="E512" s="15" t="str">
        <f>HYPERLINK("https://stat100.ameba.jp/tnk47/ratio20/illustrations/card/ill_58333_chikinnamban03.jpg?201909-6-RELEASE-conquest-e-431", "■")</f>
        <v>■</v>
      </c>
      <c r="F512" s="1" t="s">
        <v>1789</v>
      </c>
      <c r="G512" s="1">
        <v>94922</v>
      </c>
      <c r="H512" s="1">
        <v>69599</v>
      </c>
      <c r="I512" s="1">
        <v>23</v>
      </c>
      <c r="J512" s="1" t="s">
        <v>104</v>
      </c>
      <c r="K512" s="1" t="s">
        <v>1790</v>
      </c>
      <c r="L512" s="1" t="s">
        <v>1791</v>
      </c>
      <c r="M512" s="1" t="s">
        <v>9158</v>
      </c>
      <c r="N512" s="1" t="s">
        <v>9158</v>
      </c>
      <c r="O512" s="1" t="s">
        <v>9158</v>
      </c>
      <c r="P512" s="1" t="s">
        <v>9158</v>
      </c>
      <c r="Q512" s="1" t="s">
        <v>9158</v>
      </c>
    </row>
    <row r="514" spans="1:17">
      <c r="A514" s="1" t="s">
        <v>7097</v>
      </c>
    </row>
    <row r="515" spans="1:17">
      <c r="A515" s="1" t="s">
        <v>7098</v>
      </c>
    </row>
    <row r="516" spans="1:17">
      <c r="A516" s="1" t="s">
        <v>5778</v>
      </c>
      <c r="B516" s="1" t="s">
        <v>330</v>
      </c>
      <c r="C516" s="1" t="s">
        <v>205</v>
      </c>
      <c r="D516" s="19" t="s">
        <v>272</v>
      </c>
      <c r="E516" s="15" t="str">
        <f>HYPERLINK("https://stat100.ameba.jp/tnk47/ratio20/illustrations/card/ill_68783_0_gantammomotaro03.jpg?201909-6-RELEASE-conquest-e-431", "■")</f>
        <v>■</v>
      </c>
      <c r="F516" s="1" t="s">
        <v>273</v>
      </c>
      <c r="G516" s="1">
        <v>102590</v>
      </c>
      <c r="H516" s="1">
        <v>95371</v>
      </c>
      <c r="I516" s="1">
        <v>15</v>
      </c>
      <c r="J516" s="1" t="s">
        <v>274</v>
      </c>
      <c r="K516" s="1" t="s">
        <v>275</v>
      </c>
      <c r="L516" s="1" t="s">
        <v>276</v>
      </c>
      <c r="M516" s="1" t="s">
        <v>9158</v>
      </c>
      <c r="N516" s="1" t="s">
        <v>9158</v>
      </c>
      <c r="O516" s="19" t="s">
        <v>10099</v>
      </c>
      <c r="P516" s="1" t="s">
        <v>3085</v>
      </c>
      <c r="Q516" s="1">
        <v>1</v>
      </c>
    </row>
    <row r="517" spans="1:17">
      <c r="A517" s="1" t="s">
        <v>5804</v>
      </c>
      <c r="B517" s="1" t="s">
        <v>52</v>
      </c>
      <c r="C517" s="1" t="s">
        <v>14</v>
      </c>
      <c r="D517" s="19" t="s">
        <v>3195</v>
      </c>
      <c r="E517" s="15" t="str">
        <f>HYPERLINK("https://stat100.ameba.jp/tnk47/ratio20/illustrations/card/ill_75393_0_resukuinotsukisamaniittausagi03.jpg?201909-6-RELEASE-conquest-e-431", "■")</f>
        <v>■</v>
      </c>
      <c r="F517" s="1" t="s">
        <v>3248</v>
      </c>
      <c r="G517" s="1">
        <v>170856</v>
      </c>
      <c r="H517" s="1">
        <v>158850</v>
      </c>
      <c r="I517" s="1">
        <v>15</v>
      </c>
      <c r="J517" s="1" t="s">
        <v>26</v>
      </c>
      <c r="K517" s="1" t="s">
        <v>3249</v>
      </c>
      <c r="L517" s="1" t="s">
        <v>3250</v>
      </c>
      <c r="M517" s="1" t="s">
        <v>9158</v>
      </c>
      <c r="N517" s="1" t="s">
        <v>9158</v>
      </c>
      <c r="O517" s="19" t="s">
        <v>10101</v>
      </c>
      <c r="P517" s="1" t="s">
        <v>3251</v>
      </c>
      <c r="Q517" s="1">
        <v>2</v>
      </c>
    </row>
    <row r="518" spans="1:17">
      <c r="A518" s="1" t="s">
        <v>5627</v>
      </c>
      <c r="B518" s="1" t="s">
        <v>330</v>
      </c>
      <c r="C518" s="1" t="s">
        <v>191</v>
      </c>
      <c r="D518" s="19" t="s">
        <v>393</v>
      </c>
      <c r="E518" s="15" t="str">
        <f>HYPERLINK("https://stat100.ameba.jp/tnk47/ratio20/illustrations/card/ill_46283_0_odanobunaga03.jpg?201909-6-RELEASE-conquest-e-431", "■")</f>
        <v>■</v>
      </c>
      <c r="F518" s="1" t="s">
        <v>1073</v>
      </c>
      <c r="G518" s="1">
        <v>82212</v>
      </c>
      <c r="H518" s="1">
        <v>87780</v>
      </c>
      <c r="I518" s="1">
        <v>15</v>
      </c>
      <c r="J518" s="1" t="s">
        <v>143</v>
      </c>
      <c r="K518" s="1" t="s">
        <v>1074</v>
      </c>
      <c r="L518" s="1" t="s">
        <v>1075</v>
      </c>
      <c r="M518" s="1" t="s">
        <v>9158</v>
      </c>
      <c r="N518" s="1" t="s">
        <v>9158</v>
      </c>
      <c r="O518" s="1" t="s">
        <v>9158</v>
      </c>
      <c r="P518" s="1" t="s">
        <v>9158</v>
      </c>
      <c r="Q518" s="1" t="s">
        <v>9158</v>
      </c>
    </row>
    <row r="519" spans="1:17">
      <c r="A519" s="1">
        <v>65853</v>
      </c>
      <c r="B519" s="1" t="s">
        <v>334</v>
      </c>
      <c r="C519" s="1" t="s">
        <v>107</v>
      </c>
      <c r="D519" s="19" t="s">
        <v>10649</v>
      </c>
      <c r="E519" s="15" t="str">
        <f>HYPERLINK("https://stat100.ameba.jp/tnk47/ratio20/illustrations/card/ill_65853_jokyusugitahisajo03.jpg?201909-6-RELEASE-conquest-e-431", "■")</f>
        <v>■</v>
      </c>
      <c r="F519" s="1" t="s">
        <v>4367</v>
      </c>
      <c r="G519" s="1">
        <v>90522</v>
      </c>
      <c r="H519" s="1">
        <v>97318</v>
      </c>
      <c r="I519" s="1">
        <v>24</v>
      </c>
      <c r="J519" s="1" t="s">
        <v>414</v>
      </c>
      <c r="K519" s="1" t="s">
        <v>4368</v>
      </c>
      <c r="L519" s="1" t="s">
        <v>1997</v>
      </c>
      <c r="M519" s="1" t="s">
        <v>9158</v>
      </c>
      <c r="N519" s="1" t="s">
        <v>9158</v>
      </c>
      <c r="O519" s="1" t="s">
        <v>9158</v>
      </c>
      <c r="P519" s="1" t="s">
        <v>9158</v>
      </c>
      <c r="Q519" s="1" t="s">
        <v>9158</v>
      </c>
    </row>
    <row r="520" spans="1:17">
      <c r="A520" s="1">
        <v>80283</v>
      </c>
      <c r="B520" s="1" t="s">
        <v>0</v>
      </c>
      <c r="C520" s="1" t="s">
        <v>200</v>
      </c>
      <c r="D520" s="19" t="s">
        <v>3971</v>
      </c>
      <c r="E520" s="15" t="str">
        <f>HYPERLINK("https://stat100.ameba.jp/tnk47/ratio20/illustrations/card/ill_80283_howaitodehanakosan03.jpg?201909-6-RELEASE-conquest-e-431", "■")</f>
        <v>■</v>
      </c>
      <c r="F520" s="1" t="s">
        <v>3935</v>
      </c>
      <c r="G520" s="1">
        <v>99996</v>
      </c>
      <c r="H520" s="1">
        <v>92996</v>
      </c>
      <c r="I520" s="1">
        <v>24</v>
      </c>
      <c r="J520" s="1" t="s">
        <v>73</v>
      </c>
      <c r="K520" s="1" t="s">
        <v>3936</v>
      </c>
      <c r="L520" s="1" t="s">
        <v>3937</v>
      </c>
      <c r="M520" s="1" t="s">
        <v>9158</v>
      </c>
      <c r="N520" s="1" t="s">
        <v>9158</v>
      </c>
      <c r="O520" s="1" t="s">
        <v>9158</v>
      </c>
      <c r="P520" s="1" t="s">
        <v>9158</v>
      </c>
      <c r="Q520" s="1" t="s">
        <v>9158</v>
      </c>
    </row>
    <row r="521" spans="1:17">
      <c r="A521" s="1">
        <v>80573</v>
      </c>
      <c r="B521" s="1" t="s">
        <v>334</v>
      </c>
      <c r="C521" s="1" t="s">
        <v>165</v>
      </c>
      <c r="D521" s="19" t="s">
        <v>10301</v>
      </c>
      <c r="E521" s="15" t="str">
        <f>HYPERLINK("https://stat100.ameba.jp/tnk47/ratio20/illustrations/card/ill_80573_ohanamigurampingusotorihime03.jpg?201909-6-RELEASE-conquest-e-431", "■")</f>
        <v>■</v>
      </c>
      <c r="F521" s="1" t="s">
        <v>4176</v>
      </c>
      <c r="G521" s="1">
        <v>109528</v>
      </c>
      <c r="H521" s="1">
        <v>101656</v>
      </c>
      <c r="I521" s="1">
        <v>24</v>
      </c>
      <c r="J521" s="1" t="s">
        <v>38</v>
      </c>
      <c r="K521" s="1" t="s">
        <v>4177</v>
      </c>
      <c r="L521" s="1" t="s">
        <v>4178</v>
      </c>
      <c r="M521" s="1" t="s">
        <v>9158</v>
      </c>
      <c r="N521" s="1" t="s">
        <v>9158</v>
      </c>
      <c r="O521" s="19" t="s">
        <v>10119</v>
      </c>
      <c r="P521" s="1" t="s">
        <v>3662</v>
      </c>
      <c r="Q521" s="1">
        <v>1</v>
      </c>
    </row>
    <row r="522" spans="1:17">
      <c r="A522" s="1">
        <v>78773</v>
      </c>
      <c r="B522" s="1" t="s">
        <v>7099</v>
      </c>
      <c r="C522" s="1" t="s">
        <v>191</v>
      </c>
      <c r="D522" s="19" t="s">
        <v>2856</v>
      </c>
      <c r="E522" s="15" t="str">
        <f>HYPERLINK("https://stat100.ameba.jp/tnk47/ratio20/illustrations/card/ill_78773_hosokawagarasya03.jpg?201909-6-RELEASE-conquest-e-431", "■")</f>
        <v>■</v>
      </c>
      <c r="F522" s="1" t="s">
        <v>7103</v>
      </c>
      <c r="G522" s="1">
        <v>59280</v>
      </c>
      <c r="H522" s="1">
        <v>53768</v>
      </c>
      <c r="I522" s="1">
        <v>20</v>
      </c>
      <c r="J522" s="1" t="s">
        <v>7102</v>
      </c>
      <c r="K522" s="1" t="s">
        <v>7101</v>
      </c>
      <c r="L522" s="1" t="s">
        <v>7100</v>
      </c>
      <c r="M522" s="1" t="s">
        <v>9158</v>
      </c>
      <c r="N522" s="1" t="s">
        <v>9158</v>
      </c>
      <c r="O522" s="1" t="s">
        <v>9158</v>
      </c>
      <c r="P522" s="1" t="s">
        <v>9158</v>
      </c>
      <c r="Q522" s="1" t="s">
        <v>9158</v>
      </c>
    </row>
    <row r="523" spans="1:17">
      <c r="A523" s="1">
        <v>63333</v>
      </c>
      <c r="B523" s="1" t="s">
        <v>7099</v>
      </c>
      <c r="C523" s="1" t="s">
        <v>107</v>
      </c>
      <c r="D523" s="19" t="s">
        <v>10288</v>
      </c>
      <c r="E523" s="15" t="str">
        <f>HYPERLINK("https://stat100.ameba.jp/tnk47/ratio20/illustrations/card/ill_63333_ajisaiikushima03.jpg?201909-6-RELEASE-conquest-e-431", "■")</f>
        <v>■</v>
      </c>
      <c r="F523" s="1" t="s">
        <v>7106</v>
      </c>
      <c r="G523" s="1">
        <v>59280</v>
      </c>
      <c r="H523" s="1">
        <v>53768</v>
      </c>
      <c r="I523" s="1">
        <v>20</v>
      </c>
      <c r="J523" s="1" t="s">
        <v>10</v>
      </c>
      <c r="K523" s="1" t="s">
        <v>7105</v>
      </c>
      <c r="L523" s="1" t="s">
        <v>7104</v>
      </c>
      <c r="M523" s="1" t="s">
        <v>9158</v>
      </c>
      <c r="N523" s="1" t="s">
        <v>9158</v>
      </c>
      <c r="O523" s="1" t="s">
        <v>9158</v>
      </c>
      <c r="P523" s="1" t="s">
        <v>9158</v>
      </c>
      <c r="Q523" s="1" t="s">
        <v>9158</v>
      </c>
    </row>
    <row r="524" spans="1:17">
      <c r="A524" s="1">
        <v>70753</v>
      </c>
      <c r="B524" s="1" t="s">
        <v>7099</v>
      </c>
      <c r="C524" s="1" t="s">
        <v>200</v>
      </c>
      <c r="D524" s="19" t="s">
        <v>10650</v>
      </c>
      <c r="E524" s="15" t="str">
        <f>HYPERLINK("https://stat100.ameba.jp/tnk47/ratio20/illustrations/card/ill_70753_howaitodemashumarochan03.jpg?201909-6-RELEASE-conquest-e-431", "■")</f>
        <v>■</v>
      </c>
      <c r="F524" s="1" t="s">
        <v>7109</v>
      </c>
      <c r="G524" s="1">
        <v>53768</v>
      </c>
      <c r="H524" s="1">
        <v>59280</v>
      </c>
      <c r="I524" s="1">
        <v>20</v>
      </c>
      <c r="J524" s="1" t="s">
        <v>104</v>
      </c>
      <c r="K524" s="1" t="s">
        <v>7108</v>
      </c>
      <c r="L524" s="1" t="s">
        <v>7107</v>
      </c>
      <c r="M524" s="1" t="s">
        <v>9158</v>
      </c>
      <c r="N524" s="1" t="s">
        <v>9158</v>
      </c>
      <c r="O524" s="1" t="s">
        <v>9158</v>
      </c>
      <c r="P524" s="1" t="s">
        <v>9158</v>
      </c>
      <c r="Q524" s="1" t="s">
        <v>9158</v>
      </c>
    </row>
    <row r="526" spans="1:17">
      <c r="A526" s="1" t="s">
        <v>7110</v>
      </c>
    </row>
    <row r="527" spans="1:17">
      <c r="A527" s="1" t="s">
        <v>7111</v>
      </c>
    </row>
    <row r="528" spans="1:17">
      <c r="A528" s="1" t="s">
        <v>5614</v>
      </c>
      <c r="B528" s="1" t="s">
        <v>330</v>
      </c>
      <c r="C528" s="1" t="s">
        <v>267</v>
      </c>
      <c r="D528" s="19" t="s">
        <v>313</v>
      </c>
      <c r="E528" s="15" t="str">
        <f>HYPERLINK("https://stat100.ameba.jp/tnk47/ratio20/illustrations/card/ill_56223_0_onsempanikkugohime03.jpg?201910-1-RELEASE-raid-432", "■")</f>
        <v>■</v>
      </c>
      <c r="F528" s="1" t="s">
        <v>314</v>
      </c>
      <c r="G528" s="1">
        <v>128358</v>
      </c>
      <c r="H528" s="1">
        <v>144494</v>
      </c>
      <c r="I528" s="1">
        <v>23</v>
      </c>
      <c r="J528" s="1" t="s">
        <v>315</v>
      </c>
      <c r="K528" s="1" t="s">
        <v>316</v>
      </c>
      <c r="L528" s="1" t="s">
        <v>317</v>
      </c>
      <c r="M528" s="1" t="s">
        <v>9158</v>
      </c>
      <c r="N528" s="1" t="s">
        <v>9158</v>
      </c>
      <c r="O528" s="19" t="s">
        <v>3021</v>
      </c>
      <c r="P528" s="1" t="s">
        <v>2890</v>
      </c>
      <c r="Q528" s="1">
        <v>1</v>
      </c>
    </row>
    <row r="529" spans="1:17">
      <c r="A529" s="1" t="s">
        <v>5621</v>
      </c>
      <c r="B529" s="1" t="s">
        <v>330</v>
      </c>
      <c r="C529" s="1" t="s">
        <v>191</v>
      </c>
      <c r="D529" s="19" t="s">
        <v>2871</v>
      </c>
      <c r="E529" s="15" t="str">
        <f>HYPERLINK("https://stat100.ameba.jp/tnk47/ratio20/illustrations/card/ill_51973_0_kemonomizugikuroyuridensetsu03.jpg?201910-1-RELEASE-raid-432", "■")</f>
        <v>■</v>
      </c>
      <c r="F529" s="1" t="s">
        <v>2034</v>
      </c>
      <c r="G529" s="1">
        <v>144494</v>
      </c>
      <c r="H529" s="1">
        <v>128358</v>
      </c>
      <c r="I529" s="1">
        <v>23</v>
      </c>
      <c r="J529" s="1" t="s">
        <v>38</v>
      </c>
      <c r="K529" s="1" t="s">
        <v>2035</v>
      </c>
      <c r="L529" s="1" t="s">
        <v>2036</v>
      </c>
      <c r="M529" s="1" t="s">
        <v>9158</v>
      </c>
      <c r="N529" s="1" t="s">
        <v>9158</v>
      </c>
      <c r="O529" s="19" t="s">
        <v>10088</v>
      </c>
      <c r="P529" s="1" t="s">
        <v>13172</v>
      </c>
      <c r="Q529" s="1">
        <v>1</v>
      </c>
    </row>
    <row r="530" spans="1:17">
      <c r="A530" s="1" t="s">
        <v>5820</v>
      </c>
      <c r="B530" s="1" t="s">
        <v>330</v>
      </c>
      <c r="C530" s="1" t="s">
        <v>200</v>
      </c>
      <c r="D530" s="19" t="s">
        <v>630</v>
      </c>
      <c r="E530" s="15" t="str">
        <f>HYPERLINK("https://stat100.ameba.jp/tnk47/ratio20/illustrations/card/ill_48283_0_kyuubitamamonomae03.jpg?201910-1-RELEASE-raid-432", "■")</f>
        <v>■</v>
      </c>
      <c r="F530" s="1" t="s">
        <v>631</v>
      </c>
      <c r="G530" s="1">
        <v>144494</v>
      </c>
      <c r="H530" s="1">
        <v>128358</v>
      </c>
      <c r="I530" s="1">
        <v>23</v>
      </c>
      <c r="J530" s="1" t="s">
        <v>320</v>
      </c>
      <c r="K530" s="1" t="s">
        <v>632</v>
      </c>
      <c r="L530" s="1" t="s">
        <v>633</v>
      </c>
      <c r="M530" s="1" t="s">
        <v>9158</v>
      </c>
      <c r="N530" s="1" t="s">
        <v>9158</v>
      </c>
      <c r="O530" s="1" t="s">
        <v>9158</v>
      </c>
      <c r="P530" s="1" t="s">
        <v>9158</v>
      </c>
      <c r="Q530" s="1" t="s">
        <v>9158</v>
      </c>
    </row>
    <row r="531" spans="1:17">
      <c r="A531" s="1">
        <v>83903</v>
      </c>
      <c r="B531" s="1" t="s">
        <v>0</v>
      </c>
      <c r="C531" s="1" t="s">
        <v>185</v>
      </c>
      <c r="D531" s="19" t="s">
        <v>10643</v>
      </c>
      <c r="E531" s="15" t="str">
        <f>HYPERLINK("https://stat100.ameba.jp/tnk47/ratio20/illustrations/card/ill_83903_manekinekotsurumyojin03.jpg?201910-1-RELEASE-raid-432", "■")</f>
        <v>■</v>
      </c>
      <c r="F531" s="1" t="s">
        <v>7078</v>
      </c>
      <c r="G531" s="1">
        <v>109528</v>
      </c>
      <c r="H531" s="1">
        <v>101656</v>
      </c>
      <c r="I531" s="1">
        <v>24</v>
      </c>
      <c r="J531" s="1" t="s">
        <v>38</v>
      </c>
      <c r="K531" s="1" t="s">
        <v>7077</v>
      </c>
      <c r="L531" s="1" t="s">
        <v>4856</v>
      </c>
      <c r="M531" s="1" t="s">
        <v>9158</v>
      </c>
      <c r="N531" s="1" t="s">
        <v>9158</v>
      </c>
      <c r="O531" s="1" t="s">
        <v>9158</v>
      </c>
      <c r="P531" s="1" t="s">
        <v>9158</v>
      </c>
      <c r="Q531" s="1" t="s">
        <v>9158</v>
      </c>
    </row>
    <row r="532" spans="1:17">
      <c r="A532" s="1">
        <v>83913</v>
      </c>
      <c r="B532" s="1" t="s">
        <v>15</v>
      </c>
      <c r="C532" s="1" t="s">
        <v>200</v>
      </c>
      <c r="D532" s="19" t="s">
        <v>10645</v>
      </c>
      <c r="E532" s="15" t="str">
        <f>HYPERLINK("https://stat100.ameba.jp/tnk47/ratio20/illustrations/card/ill_83913_umeoiranazusamitenjinnokomaneko03.jpg?201910-1-RELEASE-raid-432", "■")</f>
        <v>■</v>
      </c>
      <c r="F532" s="1" t="s">
        <v>7084</v>
      </c>
      <c r="G532" s="1">
        <v>48390</v>
      </c>
      <c r="H532" s="1">
        <v>53352</v>
      </c>
      <c r="I532" s="1">
        <v>18</v>
      </c>
      <c r="J532" s="1" t="s">
        <v>44</v>
      </c>
      <c r="K532" s="1" t="s">
        <v>1709</v>
      </c>
      <c r="L532" s="1" t="s">
        <v>3319</v>
      </c>
      <c r="M532" s="1" t="s">
        <v>9158</v>
      </c>
      <c r="N532" s="1" t="s">
        <v>9158</v>
      </c>
      <c r="O532" s="1" t="s">
        <v>9158</v>
      </c>
      <c r="P532" s="1" t="s">
        <v>9158</v>
      </c>
      <c r="Q532" s="1" t="s">
        <v>9158</v>
      </c>
    </row>
    <row r="533" spans="1:17">
      <c r="A533" s="1">
        <v>84693</v>
      </c>
      <c r="B533" s="1" t="s">
        <v>22</v>
      </c>
      <c r="C533" s="1" t="s">
        <v>205</v>
      </c>
      <c r="D533" s="19" t="s">
        <v>10646</v>
      </c>
      <c r="E533" s="15" t="str">
        <f>HYPERLINK("https://stat100.ameba.jp/tnk47/ratio20/illustrations/card/ill_84693_nekodanuki03.jpg?201910-1-RELEASE-raid-432", "■")</f>
        <v>■</v>
      </c>
      <c r="F533" s="1" t="s">
        <v>7087</v>
      </c>
      <c r="G533" s="1">
        <v>35346</v>
      </c>
      <c r="H533" s="1">
        <v>29388</v>
      </c>
      <c r="I533" s="1">
        <v>17</v>
      </c>
      <c r="J533" s="1" t="s">
        <v>182</v>
      </c>
      <c r="K533" s="1" t="s">
        <v>7086</v>
      </c>
      <c r="L533" s="1" t="s">
        <v>4556</v>
      </c>
      <c r="M533" s="1" t="s">
        <v>9158</v>
      </c>
      <c r="N533" s="1" t="s">
        <v>9158</v>
      </c>
      <c r="O533" s="1" t="s">
        <v>9158</v>
      </c>
      <c r="P533" s="1" t="s">
        <v>9158</v>
      </c>
      <c r="Q533" s="1" t="s">
        <v>9158</v>
      </c>
    </row>
    <row r="534" spans="1:17">
      <c r="A534" s="1">
        <v>83933</v>
      </c>
      <c r="B534" s="1" t="s">
        <v>30</v>
      </c>
      <c r="C534" s="1" t="s">
        <v>1712</v>
      </c>
      <c r="D534" s="19" t="s">
        <v>10647</v>
      </c>
      <c r="E534" s="15" t="str">
        <f>HYPERLINK("https://stat100.ameba.jp/tnk47/ratio20/illustrations/card/ill_83933_nekomimitamahime03.jpg?201910-1-RELEASE-raid-432", "■")</f>
        <v>■</v>
      </c>
      <c r="F534" s="1" t="s">
        <v>7090</v>
      </c>
      <c r="G534" s="1">
        <v>17972</v>
      </c>
      <c r="H534" s="1">
        <v>21398</v>
      </c>
      <c r="I534" s="1">
        <v>17</v>
      </c>
      <c r="J534" s="1" t="s">
        <v>77</v>
      </c>
      <c r="K534" s="1" t="s">
        <v>7089</v>
      </c>
      <c r="L534" s="1" t="s">
        <v>1736</v>
      </c>
      <c r="M534" s="1" t="s">
        <v>9158</v>
      </c>
      <c r="N534" s="1" t="s">
        <v>9158</v>
      </c>
      <c r="O534" s="1" t="s">
        <v>9158</v>
      </c>
      <c r="P534" s="1" t="s">
        <v>9158</v>
      </c>
      <c r="Q534" s="1" t="s">
        <v>9158</v>
      </c>
    </row>
    <row r="536" spans="1:17">
      <c r="A536" s="1" t="s">
        <v>7112</v>
      </c>
    </row>
    <row r="537" spans="1:17">
      <c r="A537" s="1" t="s">
        <v>7113</v>
      </c>
    </row>
    <row r="538" spans="1:17">
      <c r="A538" s="1" t="s">
        <v>5787</v>
      </c>
      <c r="B538" s="1" t="s">
        <v>330</v>
      </c>
      <c r="C538" s="1" t="s">
        <v>270</v>
      </c>
      <c r="D538" s="19" t="s">
        <v>331</v>
      </c>
      <c r="E538" s="15" t="str">
        <f>HYPERLINK("https://stat100.ameba.jp/tnk47/ratio20/illustrations/card/ill_76303_0_haroinkaguya03.jpg?201910-1-RELEASE-raid-432", "■")</f>
        <v>■</v>
      </c>
      <c r="F538" s="1" t="s">
        <v>332</v>
      </c>
      <c r="G538" s="1">
        <v>261812</v>
      </c>
      <c r="H538" s="1">
        <v>243398</v>
      </c>
      <c r="I538" s="1">
        <v>22</v>
      </c>
      <c r="J538" s="1" t="s">
        <v>274</v>
      </c>
      <c r="K538" s="1" t="s">
        <v>333</v>
      </c>
      <c r="L538" s="1" t="s">
        <v>276</v>
      </c>
      <c r="M538" s="1" t="s">
        <v>9158</v>
      </c>
      <c r="N538" s="1" t="s">
        <v>9158</v>
      </c>
      <c r="O538" s="19" t="s">
        <v>2976</v>
      </c>
      <c r="P538" s="1" t="s">
        <v>2724</v>
      </c>
      <c r="Q538" s="1">
        <v>1</v>
      </c>
    </row>
    <row r="539" spans="1:17">
      <c r="A539" s="1">
        <v>79313</v>
      </c>
      <c r="B539" s="1" t="s">
        <v>334</v>
      </c>
      <c r="C539" s="1" t="s">
        <v>185</v>
      </c>
      <c r="D539" s="19" t="s">
        <v>10334</v>
      </c>
      <c r="E539" s="15" t="str">
        <f>HYPERLINK("https://stat100.ameba.jp/tnk47/ratio20/illustrations/card/ill_79313_hommeichokodatemasamune03.jpg?201910-1-RELEASE-raid-432", "■")</f>
        <v>■</v>
      </c>
      <c r="F539" s="1" t="s">
        <v>3499</v>
      </c>
      <c r="G539" s="1">
        <v>132658</v>
      </c>
      <c r="H539" s="1">
        <v>142674</v>
      </c>
      <c r="I539" s="1">
        <v>24</v>
      </c>
      <c r="J539" s="1" t="s">
        <v>143</v>
      </c>
      <c r="K539" s="1" t="s">
        <v>3500</v>
      </c>
      <c r="L539" s="1" t="s">
        <v>1148</v>
      </c>
      <c r="M539" s="1" t="s">
        <v>9158</v>
      </c>
      <c r="N539" s="1" t="s">
        <v>9158</v>
      </c>
      <c r="O539" s="19" t="s">
        <v>2752</v>
      </c>
      <c r="P539" s="1" t="s">
        <v>13123</v>
      </c>
      <c r="Q539" s="1">
        <v>1</v>
      </c>
    </row>
    <row r="540" spans="1:17">
      <c r="A540" s="1">
        <v>53423</v>
      </c>
      <c r="B540" s="1" t="s">
        <v>0</v>
      </c>
      <c r="C540" s="1" t="s">
        <v>191</v>
      </c>
      <c r="D540" s="19" t="s">
        <v>10300</v>
      </c>
      <c r="E540" s="15" t="str">
        <f>HYPERLINK("https://stat100.ameba.jp/tnk47/ratio20/illustrations/card/ill_53423_natsumatsuriikumatsu03.jpg?201910-1-RELEASE-raid-432", "■")</f>
        <v>■</v>
      </c>
      <c r="F540" s="1" t="s">
        <v>3621</v>
      </c>
      <c r="G540" s="1">
        <v>86006</v>
      </c>
      <c r="H540" s="1">
        <v>92504</v>
      </c>
      <c r="I540" s="1">
        <v>24</v>
      </c>
      <c r="J540" s="1" t="s">
        <v>16</v>
      </c>
      <c r="K540" s="1" t="s">
        <v>3622</v>
      </c>
      <c r="L540" s="1" t="s">
        <v>3623</v>
      </c>
      <c r="M540" s="1" t="s">
        <v>9158</v>
      </c>
      <c r="N540" s="1" t="s">
        <v>9158</v>
      </c>
      <c r="O540" s="19" t="s">
        <v>10109</v>
      </c>
      <c r="P540" s="1" t="s">
        <v>3625</v>
      </c>
      <c r="Q540" s="1">
        <v>1</v>
      </c>
    </row>
    <row r="541" spans="1:17">
      <c r="A541" s="1">
        <v>79963</v>
      </c>
      <c r="B541" s="1" t="s">
        <v>0</v>
      </c>
      <c r="C541" s="1" t="s">
        <v>200</v>
      </c>
      <c r="D541" s="19" t="s">
        <v>10477</v>
      </c>
      <c r="E541" s="15" t="str">
        <f>HYPERLINK("https://stat100.ameba.jp/tnk47/ratio20/illustrations/card/ill_79963_hinamatsurirakko03.jpg?201910-1-RELEASE-raid-432", "■")</f>
        <v>■</v>
      </c>
      <c r="F541" s="1" t="s">
        <v>3715</v>
      </c>
      <c r="G541" s="1">
        <v>109334</v>
      </c>
      <c r="H541" s="1">
        <v>101656</v>
      </c>
      <c r="I541" s="1">
        <v>24</v>
      </c>
      <c r="J541" s="1" t="s">
        <v>26</v>
      </c>
      <c r="K541" s="1" t="s">
        <v>3716</v>
      </c>
      <c r="L541" s="1" t="s">
        <v>1086</v>
      </c>
      <c r="M541" s="1" t="s">
        <v>9158</v>
      </c>
      <c r="N541" s="1" t="s">
        <v>9158</v>
      </c>
      <c r="O541" s="19" t="s">
        <v>10090</v>
      </c>
      <c r="P541" s="1" t="s">
        <v>3460</v>
      </c>
      <c r="Q541" s="1">
        <v>1</v>
      </c>
    </row>
    <row r="543" spans="1:17">
      <c r="A543" s="1" t="s">
        <v>7110</v>
      </c>
    </row>
    <row r="544" spans="1:17">
      <c r="A544" s="1" t="s">
        <v>7114</v>
      </c>
    </row>
    <row r="545" spans="1:17">
      <c r="A545" s="1" t="s">
        <v>5614</v>
      </c>
      <c r="B545" s="1" t="s">
        <v>330</v>
      </c>
      <c r="C545" s="1" t="s">
        <v>200</v>
      </c>
      <c r="D545" s="19" t="s">
        <v>3160</v>
      </c>
      <c r="E545" s="15" t="str">
        <f>HYPERLINK("https://stat100.ameba.jp/tnk47/ratio20/illustrations/card/ill_72963_0_amenohanayomehiguchiichiyo03.jpg?201910-1-RELEASE-raid-432", "■")</f>
        <v>■</v>
      </c>
      <c r="F545" s="1" t="s">
        <v>757</v>
      </c>
      <c r="G545" s="1">
        <v>154104</v>
      </c>
      <c r="H545" s="1">
        <v>143290</v>
      </c>
      <c r="I545" s="1">
        <v>23</v>
      </c>
      <c r="J545" s="1" t="s">
        <v>173</v>
      </c>
      <c r="K545" s="1" t="s">
        <v>1489</v>
      </c>
      <c r="L545" s="1" t="s">
        <v>1345</v>
      </c>
      <c r="M545" s="1" t="s">
        <v>9158</v>
      </c>
      <c r="N545" s="1" t="s">
        <v>9158</v>
      </c>
      <c r="O545" s="19" t="s">
        <v>3162</v>
      </c>
      <c r="P545" s="1" t="s">
        <v>3163</v>
      </c>
      <c r="Q545" s="1">
        <v>1</v>
      </c>
    </row>
    <row r="546" spans="1:17">
      <c r="A546" s="1" t="s">
        <v>5621</v>
      </c>
      <c r="B546" s="1" t="s">
        <v>52</v>
      </c>
      <c r="C546" s="1" t="s">
        <v>191</v>
      </c>
      <c r="D546" s="19" t="s">
        <v>306</v>
      </c>
      <c r="E546" s="15" t="str">
        <f>HYPERLINK("https://stat100.ameba.jp/tnk47/ratio20/illustrations/card/ill_71403_0_ohanamisanadayukimura03.jpg?201910-1-RELEASE-raid-432", "■")</f>
        <v>■</v>
      </c>
      <c r="F546" s="1" t="s">
        <v>309</v>
      </c>
      <c r="G546" s="1">
        <v>214692</v>
      </c>
      <c r="H546" s="1">
        <v>199630</v>
      </c>
      <c r="I546" s="1">
        <v>23</v>
      </c>
      <c r="J546" s="1" t="s">
        <v>143</v>
      </c>
      <c r="K546" s="1" t="s">
        <v>311</v>
      </c>
      <c r="L546" s="1" t="s">
        <v>312</v>
      </c>
      <c r="M546" s="1" t="s">
        <v>9158</v>
      </c>
      <c r="N546" s="1" t="s">
        <v>9158</v>
      </c>
      <c r="O546" s="19" t="s">
        <v>10104</v>
      </c>
      <c r="P546" s="1" t="s">
        <v>3418</v>
      </c>
      <c r="Q546" s="1">
        <v>2</v>
      </c>
    </row>
    <row r="547" spans="1:17">
      <c r="A547" s="1" t="s">
        <v>6132</v>
      </c>
      <c r="B547" s="1" t="s">
        <v>52</v>
      </c>
      <c r="C547" s="1" t="s">
        <v>205</v>
      </c>
      <c r="D547" s="19" t="s">
        <v>702</v>
      </c>
      <c r="E547" s="15" t="str">
        <f>HYPERLINK("https://stat100.ameba.jp/tnk47/ratio20/illustrations/card/ill_50693_0_hanamizugimimuratsuru03.jpg?201910-1-RELEASE-raid-432", "■")</f>
        <v>■</v>
      </c>
      <c r="F547" s="1" t="s">
        <v>2282</v>
      </c>
      <c r="G547" s="1">
        <v>128358</v>
      </c>
      <c r="H547" s="1">
        <v>144494</v>
      </c>
      <c r="I547" s="1">
        <v>23</v>
      </c>
      <c r="J547" s="1" t="s">
        <v>143</v>
      </c>
      <c r="K547" s="1" t="s">
        <v>2283</v>
      </c>
      <c r="L547" s="1" t="s">
        <v>2284</v>
      </c>
      <c r="M547" s="1" t="s">
        <v>9158</v>
      </c>
      <c r="N547" s="1" t="s">
        <v>9158</v>
      </c>
      <c r="O547" s="1" t="s">
        <v>9158</v>
      </c>
      <c r="P547" s="1" t="s">
        <v>9158</v>
      </c>
      <c r="Q547" s="1" t="s">
        <v>9158</v>
      </c>
    </row>
    <row r="548" spans="1:17">
      <c r="A548" s="1">
        <v>84683</v>
      </c>
      <c r="B548" s="1" t="s">
        <v>0</v>
      </c>
      <c r="C548" s="1" t="s">
        <v>191</v>
      </c>
      <c r="D548" s="19" t="s">
        <v>10644</v>
      </c>
      <c r="E548" s="15" t="str">
        <f>HYPERLINK("https://stat100.ameba.jp/tnk47/ratio20/illustrations/card/ill_84683_kyupiddodainokata03.jpg?201910-1-RELEASE-raid-432", "■")</f>
        <v>■</v>
      </c>
      <c r="F548" s="1" t="s">
        <v>7081</v>
      </c>
      <c r="G548" s="1">
        <v>87128</v>
      </c>
      <c r="H548" s="1">
        <v>93746</v>
      </c>
      <c r="I548" s="1">
        <v>24</v>
      </c>
      <c r="J548" s="1" t="s">
        <v>10</v>
      </c>
      <c r="K548" s="1" t="s">
        <v>5100</v>
      </c>
      <c r="L548" s="1" t="s">
        <v>3546</v>
      </c>
      <c r="M548" s="1" t="s">
        <v>9158</v>
      </c>
      <c r="N548" s="1" t="s">
        <v>9158</v>
      </c>
      <c r="O548" s="1" t="s">
        <v>9158</v>
      </c>
      <c r="P548" s="1" t="s">
        <v>9158</v>
      </c>
      <c r="Q548" s="1" t="s">
        <v>9158</v>
      </c>
    </row>
    <row r="549" spans="1:17">
      <c r="A549" s="1">
        <v>83913</v>
      </c>
      <c r="B549" s="1" t="s">
        <v>15</v>
      </c>
      <c r="C549" s="1" t="s">
        <v>200</v>
      </c>
      <c r="D549" s="19" t="s">
        <v>10645</v>
      </c>
      <c r="E549" s="15" t="str">
        <f>HYPERLINK("https://stat100.ameba.jp/tnk47/ratio20/illustrations/card/ill_83913_umeoiranazusamitenjinnokomaneko03.jpg?201910-1-RELEASE-raid-432", "■")</f>
        <v>■</v>
      </c>
      <c r="F549" s="1" t="s">
        <v>7084</v>
      </c>
      <c r="G549" s="1">
        <v>48390</v>
      </c>
      <c r="H549" s="1">
        <v>53352</v>
      </c>
      <c r="I549" s="1">
        <v>18</v>
      </c>
      <c r="J549" s="1" t="s">
        <v>44</v>
      </c>
      <c r="K549" s="1" t="s">
        <v>1709</v>
      </c>
      <c r="L549" s="1" t="s">
        <v>3319</v>
      </c>
      <c r="M549" s="1" t="s">
        <v>9158</v>
      </c>
      <c r="N549" s="1" t="s">
        <v>9158</v>
      </c>
      <c r="O549" s="1" t="s">
        <v>9158</v>
      </c>
      <c r="P549" s="1" t="s">
        <v>9158</v>
      </c>
      <c r="Q549" s="1" t="s">
        <v>9158</v>
      </c>
    </row>
    <row r="550" spans="1:17">
      <c r="A550" s="1">
        <v>84693</v>
      </c>
      <c r="B550" s="1" t="s">
        <v>22</v>
      </c>
      <c r="C550" s="1" t="s">
        <v>205</v>
      </c>
      <c r="D550" s="19" t="s">
        <v>10646</v>
      </c>
      <c r="E550" s="15" t="str">
        <f>HYPERLINK("https://stat100.ameba.jp/tnk47/ratio20/illustrations/card/ill_84693_nekodanuki03.jpg?201910-1-RELEASE-raid-432", "■")</f>
        <v>■</v>
      </c>
      <c r="F550" s="1" t="s">
        <v>7087</v>
      </c>
      <c r="G550" s="1">
        <v>35346</v>
      </c>
      <c r="H550" s="1">
        <v>29388</v>
      </c>
      <c r="I550" s="1">
        <v>17</v>
      </c>
      <c r="J550" s="1" t="s">
        <v>182</v>
      </c>
      <c r="K550" s="1" t="s">
        <v>7086</v>
      </c>
      <c r="L550" s="1" t="s">
        <v>4556</v>
      </c>
      <c r="M550" s="1" t="s">
        <v>9158</v>
      </c>
      <c r="N550" s="1" t="s">
        <v>9158</v>
      </c>
      <c r="O550" s="1" t="s">
        <v>9158</v>
      </c>
      <c r="P550" s="1" t="s">
        <v>9158</v>
      </c>
      <c r="Q550" s="1" t="s">
        <v>9158</v>
      </c>
    </row>
    <row r="551" spans="1:17">
      <c r="A551" s="1">
        <v>83933</v>
      </c>
      <c r="B551" s="1" t="s">
        <v>30</v>
      </c>
      <c r="C551" s="1" t="s">
        <v>1712</v>
      </c>
      <c r="D551" s="19" t="s">
        <v>10647</v>
      </c>
      <c r="E551" s="15" t="str">
        <f>HYPERLINK("https://stat100.ameba.jp/tnk47/ratio20/illustrations/card/ill_83933_nekomimitamahime03.jpg?201910-1-RELEASE-raid-432", "■")</f>
        <v>■</v>
      </c>
      <c r="F551" s="1" t="s">
        <v>7090</v>
      </c>
      <c r="G551" s="1">
        <v>17972</v>
      </c>
      <c r="H551" s="1">
        <v>21398</v>
      </c>
      <c r="I551" s="1">
        <v>17</v>
      </c>
      <c r="J551" s="1" t="s">
        <v>77</v>
      </c>
      <c r="K551" s="1" t="s">
        <v>7089</v>
      </c>
      <c r="L551" s="1" t="s">
        <v>1736</v>
      </c>
      <c r="M551" s="1" t="s">
        <v>9158</v>
      </c>
      <c r="N551" s="1" t="s">
        <v>9158</v>
      </c>
      <c r="O551" s="1" t="s">
        <v>9158</v>
      </c>
      <c r="P551" s="1" t="s">
        <v>9158</v>
      </c>
      <c r="Q551" s="1" t="s">
        <v>9158</v>
      </c>
    </row>
    <row r="553" spans="1:17">
      <c r="A553" s="1" t="s">
        <v>4654</v>
      </c>
    </row>
    <row r="554" spans="1:17">
      <c r="A554" s="1" t="s">
        <v>7116</v>
      </c>
    </row>
    <row r="555" spans="1:17">
      <c r="A555" s="1" t="s">
        <v>5891</v>
      </c>
      <c r="B555" s="1" t="s">
        <v>330</v>
      </c>
      <c r="C555" s="1" t="s">
        <v>202</v>
      </c>
      <c r="D555" s="19" t="s">
        <v>1371</v>
      </c>
      <c r="E555" s="15" t="str">
        <f>HYPERLINK("https://stat100.ameba.jp/tnk47/ratio20/illustrations/card/ill_77173_0_yukemuritomoegozen03.jpg?201910-1-RELEASE-raid-432", "■")</f>
        <v>■</v>
      </c>
      <c r="F555" s="1" t="s">
        <v>1372</v>
      </c>
      <c r="G555" s="1">
        <v>240586</v>
      </c>
      <c r="H555" s="1">
        <v>266192</v>
      </c>
      <c r="I555" s="1">
        <v>24</v>
      </c>
      <c r="J555" s="1" t="s">
        <v>310</v>
      </c>
      <c r="K555" s="1" t="s">
        <v>1373</v>
      </c>
      <c r="L555" s="1" t="s">
        <v>1374</v>
      </c>
      <c r="M555" s="1" t="s">
        <v>9158</v>
      </c>
      <c r="N555" s="1" t="s">
        <v>9158</v>
      </c>
      <c r="O555" s="19" t="s">
        <v>4067</v>
      </c>
      <c r="P555" s="1" t="s">
        <v>3879</v>
      </c>
      <c r="Q555" s="1">
        <v>2</v>
      </c>
    </row>
    <row r="556" spans="1:17">
      <c r="A556" s="1">
        <v>75853</v>
      </c>
      <c r="B556" s="1" t="s">
        <v>334</v>
      </c>
      <c r="C556" s="1" t="s">
        <v>41</v>
      </c>
      <c r="D556" s="19" t="s">
        <v>10224</v>
      </c>
      <c r="E556" s="15" t="str">
        <f>HYPERLINK("https://stat100.ameba.jp/tnk47/ratio20/illustrations/card/ill_75853_moruganoyuki03.jpg?201910-1-RELEASE-raid-432", "■")</f>
        <v>■</v>
      </c>
      <c r="F556" s="1" t="s">
        <v>5106</v>
      </c>
      <c r="G556" s="1">
        <v>120000</v>
      </c>
      <c r="H556" s="1">
        <v>111576</v>
      </c>
      <c r="I556" s="1">
        <v>24</v>
      </c>
      <c r="J556" s="1" t="s">
        <v>16</v>
      </c>
      <c r="K556" s="1" t="s">
        <v>5108</v>
      </c>
      <c r="L556" s="1" t="s">
        <v>1881</v>
      </c>
      <c r="M556" s="1" t="s">
        <v>9158</v>
      </c>
      <c r="N556" s="1" t="s">
        <v>9158</v>
      </c>
      <c r="O556" s="19" t="s">
        <v>10070</v>
      </c>
      <c r="P556" s="1" t="s">
        <v>3579</v>
      </c>
      <c r="Q556" s="1">
        <v>1</v>
      </c>
    </row>
    <row r="557" spans="1:17">
      <c r="A557" s="1">
        <v>70843</v>
      </c>
      <c r="B557" s="1" t="s">
        <v>334</v>
      </c>
      <c r="C557" s="1" t="s">
        <v>268</v>
      </c>
      <c r="D557" s="19" t="s">
        <v>10651</v>
      </c>
      <c r="E557" s="15" t="str">
        <f>HYPERLINK("https://stat100.ameba.jp/tnk47/ratio20/illustrations/card/ill_70843_indoshinwakurionechan03.jpg?201910-1-RELEASE-raid-432", "■")</f>
        <v>■</v>
      </c>
      <c r="F557" s="1" t="s">
        <v>856</v>
      </c>
      <c r="G557" s="1">
        <v>101656</v>
      </c>
      <c r="H557" s="1">
        <v>109334</v>
      </c>
      <c r="I557" s="1">
        <v>24</v>
      </c>
      <c r="J557" s="1" t="s">
        <v>369</v>
      </c>
      <c r="K557" s="1" t="s">
        <v>857</v>
      </c>
      <c r="L557" s="1" t="s">
        <v>496</v>
      </c>
      <c r="M557" s="1" t="s">
        <v>9158</v>
      </c>
      <c r="N557" s="1" t="s">
        <v>9158</v>
      </c>
      <c r="O557" s="19" t="s">
        <v>10074</v>
      </c>
      <c r="P557" s="1" t="s">
        <v>3592</v>
      </c>
      <c r="Q557" s="1">
        <v>1</v>
      </c>
    </row>
    <row r="558" spans="1:17">
      <c r="A558" s="1">
        <v>81023</v>
      </c>
      <c r="B558" s="1" t="s">
        <v>334</v>
      </c>
      <c r="C558" s="1" t="s">
        <v>41</v>
      </c>
      <c r="D558" s="19" t="s">
        <v>10274</v>
      </c>
      <c r="E558" s="15" t="str">
        <f>HYPERLINK("https://stat100.ameba.jp/tnk47/ratio20/illustrations/card/ill_81023_momonokenki03.jpg?201910-1-RELEASE-raid-432", "■")</f>
        <v>■</v>
      </c>
      <c r="F558" s="1" t="s">
        <v>4088</v>
      </c>
      <c r="G558" s="1">
        <v>126858</v>
      </c>
      <c r="H558" s="1">
        <v>91876</v>
      </c>
      <c r="I558" s="1">
        <v>24</v>
      </c>
      <c r="J558" s="1" t="s">
        <v>143</v>
      </c>
      <c r="K558" s="1" t="s">
        <v>4089</v>
      </c>
      <c r="L558" s="1" t="s">
        <v>2049</v>
      </c>
      <c r="M558" s="1" t="s">
        <v>9158</v>
      </c>
      <c r="N558" s="1" t="s">
        <v>9158</v>
      </c>
      <c r="O558" s="19" t="s">
        <v>10096</v>
      </c>
      <c r="P558" s="1" t="s">
        <v>3245</v>
      </c>
      <c r="Q558" s="1">
        <v>1</v>
      </c>
    </row>
    <row r="560" spans="1:17">
      <c r="A560" s="1" t="s">
        <v>13327</v>
      </c>
    </row>
    <row r="561" spans="1:18">
      <c r="A561" s="1" t="s">
        <v>7115</v>
      </c>
    </row>
    <row r="562" spans="1:18">
      <c r="A562" s="1">
        <v>83973</v>
      </c>
      <c r="B562" s="1" t="s">
        <v>334</v>
      </c>
      <c r="C562" s="1" t="s">
        <v>14</v>
      </c>
      <c r="D562" s="19" t="s">
        <v>10570</v>
      </c>
      <c r="E562" s="15" t="str">
        <f>HYPERLINK("https://stat100.ameba.jp/tnk47/ratio20/illustrations/card/ill_83973_nekokishiirurosu03.jpg?201910-1-RELEASE-raid-432", "■")</f>
        <v>■</v>
      </c>
      <c r="F562" s="1" t="s">
        <v>6706</v>
      </c>
      <c r="G562" s="1">
        <v>118152</v>
      </c>
      <c r="H562" s="1">
        <v>109852</v>
      </c>
      <c r="I562" s="1">
        <v>24</v>
      </c>
      <c r="J562" s="1" t="s">
        <v>229</v>
      </c>
      <c r="K562" s="1" t="s">
        <v>6707</v>
      </c>
      <c r="L562" s="1" t="s">
        <v>13202</v>
      </c>
      <c r="M562" s="1" t="s">
        <v>13130</v>
      </c>
      <c r="N562" s="1" t="s">
        <v>343</v>
      </c>
      <c r="O562" s="1" t="s">
        <v>9158</v>
      </c>
      <c r="P562" s="1" t="s">
        <v>9158</v>
      </c>
      <c r="Q562" s="1" t="s">
        <v>9158</v>
      </c>
      <c r="R562" s="14" t="s">
        <v>14748</v>
      </c>
    </row>
    <row r="563" spans="1:18">
      <c r="A563" s="1">
        <v>83972</v>
      </c>
      <c r="B563" s="1" t="s">
        <v>334</v>
      </c>
      <c r="C563" s="1" t="s">
        <v>14</v>
      </c>
      <c r="D563" s="19" t="s">
        <v>10570</v>
      </c>
      <c r="E563" s="15" t="str">
        <f>HYPERLINK("https://stat100.ameba.jp/tnk47/ratio20/illustrations/card/ill_83972_nekokishiirurosu02.jpg?201910-1-RELEASE-raid-432", "■")</f>
        <v>■</v>
      </c>
      <c r="F563" s="1" t="s">
        <v>6706</v>
      </c>
      <c r="G563" s="1">
        <v>98768</v>
      </c>
      <c r="H563" s="1">
        <v>90984</v>
      </c>
      <c r="I563" s="1">
        <v>24</v>
      </c>
      <c r="J563" s="1" t="s">
        <v>229</v>
      </c>
      <c r="K563" s="1" t="s">
        <v>6707</v>
      </c>
      <c r="L563" s="1" t="s">
        <v>13201</v>
      </c>
      <c r="M563" s="1" t="s">
        <v>13131</v>
      </c>
      <c r="N563" s="1" t="s">
        <v>251</v>
      </c>
      <c r="O563" s="1" t="s">
        <v>9158</v>
      </c>
      <c r="P563" s="1" t="s">
        <v>9158</v>
      </c>
      <c r="Q563" s="1" t="s">
        <v>9158</v>
      </c>
      <c r="R563" s="14" t="s">
        <v>14748</v>
      </c>
    </row>
    <row r="564" spans="1:18">
      <c r="A564" s="1">
        <v>83971</v>
      </c>
      <c r="B564" s="1" t="s">
        <v>0</v>
      </c>
      <c r="C564" s="1" t="s">
        <v>14</v>
      </c>
      <c r="D564" s="19" t="s">
        <v>10570</v>
      </c>
      <c r="E564" s="15" t="str">
        <f>HYPERLINK("https://stat100.ameba.jp/tnk47/ratio20/illustrations/card/ill_83971_nekokishiirurosu01.jpg?201910-1-RELEASE-raid-432", "■")</f>
        <v>■</v>
      </c>
      <c r="F564" s="1" t="s">
        <v>6706</v>
      </c>
      <c r="G564" s="1">
        <v>75408</v>
      </c>
      <c r="H564" s="1">
        <v>70200</v>
      </c>
      <c r="I564" s="1">
        <v>24</v>
      </c>
      <c r="J564" s="1" t="s">
        <v>229</v>
      </c>
      <c r="K564" s="1" t="s">
        <v>6707</v>
      </c>
      <c r="L564" s="1" t="s">
        <v>13201</v>
      </c>
      <c r="M564" s="1" t="s">
        <v>13131</v>
      </c>
      <c r="N564" s="1" t="s">
        <v>251</v>
      </c>
      <c r="O564" s="1" t="s">
        <v>9158</v>
      </c>
      <c r="P564" s="1" t="s">
        <v>9158</v>
      </c>
      <c r="Q564" s="1" t="s">
        <v>9158</v>
      </c>
      <c r="R564" s="14" t="s">
        <v>14748</v>
      </c>
    </row>
    <row r="565" spans="1:18">
      <c r="A565" s="1">
        <v>83983</v>
      </c>
      <c r="B565" s="1" t="s">
        <v>334</v>
      </c>
      <c r="C565" s="1" t="s">
        <v>23</v>
      </c>
      <c r="D565" s="19" t="s">
        <v>10571</v>
      </c>
      <c r="E565" s="15" t="str">
        <f>HYPERLINK("https://stat100.ameba.jp/tnk47/ratio20/illustrations/card/ill_83983_ryujinsui03.jpg?201910-1-RELEASE-raid-432", "■")</f>
        <v>■</v>
      </c>
      <c r="F565" s="1" t="s">
        <v>6708</v>
      </c>
      <c r="G565" s="1">
        <v>109852</v>
      </c>
      <c r="H565" s="1">
        <v>118152</v>
      </c>
      <c r="I565" s="1">
        <v>24</v>
      </c>
      <c r="J565" s="1" t="s">
        <v>169</v>
      </c>
      <c r="K565" s="1" t="s">
        <v>6710</v>
      </c>
      <c r="L565" s="1" t="s">
        <v>6721</v>
      </c>
      <c r="M565" s="1" t="s">
        <v>13130</v>
      </c>
      <c r="N565" s="1" t="s">
        <v>343</v>
      </c>
      <c r="O565" s="1" t="s">
        <v>9158</v>
      </c>
      <c r="P565" s="1" t="s">
        <v>9158</v>
      </c>
      <c r="Q565" s="1" t="s">
        <v>9158</v>
      </c>
      <c r="R565" s="14" t="s">
        <v>14748</v>
      </c>
    </row>
    <row r="566" spans="1:18">
      <c r="A566" s="1">
        <v>83993</v>
      </c>
      <c r="B566" s="1" t="s">
        <v>334</v>
      </c>
      <c r="C566" s="1" t="s">
        <v>101</v>
      </c>
      <c r="D566" s="19" t="s">
        <v>10572</v>
      </c>
      <c r="E566" s="15" t="str">
        <f>HYPERLINK("https://stat100.ameba.jp/tnk47/ratio20/illustrations/card/ill_83993_enjieruzuranotamagochan03.jpg?201910-1-RELEASE-raid-432", "■")</f>
        <v>■</v>
      </c>
      <c r="F566" s="1" t="s">
        <v>6722</v>
      </c>
      <c r="G566" s="1">
        <v>109852</v>
      </c>
      <c r="H566" s="1">
        <v>118152</v>
      </c>
      <c r="I566" s="1">
        <v>24</v>
      </c>
      <c r="J566" s="1" t="s">
        <v>216</v>
      </c>
      <c r="K566" s="1" t="s">
        <v>6723</v>
      </c>
      <c r="L566" s="1" t="s">
        <v>6724</v>
      </c>
      <c r="M566" s="1" t="s">
        <v>13130</v>
      </c>
      <c r="N566" s="1" t="s">
        <v>343</v>
      </c>
      <c r="O566" s="1" t="s">
        <v>9158</v>
      </c>
      <c r="P566" s="1" t="s">
        <v>9158</v>
      </c>
      <c r="Q566" s="1" t="s">
        <v>9158</v>
      </c>
      <c r="R566" s="14" t="s">
        <v>14748</v>
      </c>
    </row>
    <row r="567" spans="1:18">
      <c r="A567" s="1">
        <v>84003</v>
      </c>
      <c r="B567" s="1" t="s">
        <v>0</v>
      </c>
      <c r="C567" s="1" t="s">
        <v>96</v>
      </c>
      <c r="D567" s="19" t="s">
        <v>10573</v>
      </c>
      <c r="E567" s="15" t="str">
        <f>HYPERLINK("https://stat100.ameba.jp/tnk47/ratio20/illustrations/card/ill_84003_sukoropendora03.jpg?201910-1-RELEASE-raid-432", "■")</f>
        <v>■</v>
      </c>
      <c r="F567" s="1" t="s">
        <v>6725</v>
      </c>
      <c r="G567" s="1">
        <v>118152</v>
      </c>
      <c r="H567" s="1">
        <v>109852</v>
      </c>
      <c r="I567" s="1">
        <v>24</v>
      </c>
      <c r="J567" s="1" t="s">
        <v>182</v>
      </c>
      <c r="K567" s="1" t="s">
        <v>6727</v>
      </c>
      <c r="L567" s="1" t="s">
        <v>6728</v>
      </c>
      <c r="M567" s="1" t="s">
        <v>13130</v>
      </c>
      <c r="N567" s="1" t="s">
        <v>343</v>
      </c>
      <c r="O567" s="1" t="s">
        <v>9158</v>
      </c>
      <c r="P567" s="1" t="s">
        <v>9158</v>
      </c>
      <c r="Q567" s="1" t="s">
        <v>9158</v>
      </c>
      <c r="R567" s="14" t="s">
        <v>14748</v>
      </c>
    </row>
    <row r="568" spans="1:18">
      <c r="A568" s="1">
        <v>84013</v>
      </c>
      <c r="B568" s="1" t="s">
        <v>334</v>
      </c>
      <c r="C568" s="1" t="s">
        <v>205</v>
      </c>
      <c r="D568" s="19" t="s">
        <v>10574</v>
      </c>
      <c r="E568" s="15" t="str">
        <f>HYPERLINK("https://stat100.ameba.jp/tnk47/ratio20/illustrations/card/ill_84013_neikiddo03.jpg?201910-1-RELEASE-raid-432", "■")</f>
        <v>■</v>
      </c>
      <c r="F568" s="1" t="s">
        <v>6729</v>
      </c>
      <c r="G568" s="1">
        <v>109852</v>
      </c>
      <c r="H568" s="1">
        <v>118152</v>
      </c>
      <c r="I568" s="1">
        <v>24</v>
      </c>
      <c r="J568" s="1" t="s">
        <v>194</v>
      </c>
      <c r="K568" s="1" t="s">
        <v>6731</v>
      </c>
      <c r="L568" s="1" t="s">
        <v>6732</v>
      </c>
      <c r="M568" s="1" t="s">
        <v>13130</v>
      </c>
      <c r="N568" s="1" t="s">
        <v>343</v>
      </c>
      <c r="O568" s="1" t="s">
        <v>9158</v>
      </c>
      <c r="P568" s="1" t="s">
        <v>9158</v>
      </c>
      <c r="Q568" s="1" t="s">
        <v>9158</v>
      </c>
      <c r="R568" s="14" t="s">
        <v>14748</v>
      </c>
    </row>
    <row r="569" spans="1:18">
      <c r="A569" s="1">
        <v>76763</v>
      </c>
      <c r="B569" s="1" t="s">
        <v>334</v>
      </c>
      <c r="C569" s="1" t="s">
        <v>107</v>
      </c>
      <c r="D569" s="19" t="s">
        <v>10575</v>
      </c>
      <c r="E569" s="15" t="str">
        <f>HYPERLINK("https://stat100.ameba.jp/tnk47/ratio20/illustrations/card/ill_76763_monsutanabeshimakeiginni03.jpg?201910-1-RELEASE-raid-432", "■")</f>
        <v>■</v>
      </c>
      <c r="F569" s="1" t="s">
        <v>6733</v>
      </c>
      <c r="G569" s="1">
        <v>118152</v>
      </c>
      <c r="H569" s="1">
        <v>109852</v>
      </c>
      <c r="I569" s="1">
        <v>24</v>
      </c>
      <c r="J569" s="1" t="s">
        <v>187</v>
      </c>
      <c r="K569" s="1" t="s">
        <v>6735</v>
      </c>
      <c r="L569" s="1" t="s">
        <v>6736</v>
      </c>
      <c r="M569" s="1" t="s">
        <v>13130</v>
      </c>
      <c r="N569" s="1" t="s">
        <v>343</v>
      </c>
      <c r="O569" s="1" t="s">
        <v>9158</v>
      </c>
      <c r="P569" s="1" t="s">
        <v>9158</v>
      </c>
      <c r="Q569" s="1" t="s">
        <v>9158</v>
      </c>
      <c r="R569" s="14" t="s">
        <v>14748</v>
      </c>
    </row>
    <row r="571" spans="1:18">
      <c r="A571" s="1" t="s">
        <v>7117</v>
      </c>
    </row>
    <row r="572" spans="1:18">
      <c r="A572" s="1" t="s">
        <v>7118</v>
      </c>
    </row>
    <row r="573" spans="1:18">
      <c r="A573" s="1" t="s">
        <v>5619</v>
      </c>
      <c r="B573" s="1" t="s">
        <v>330</v>
      </c>
      <c r="C573" s="1" t="s">
        <v>202</v>
      </c>
      <c r="D573" s="19" t="s">
        <v>10348</v>
      </c>
      <c r="E573" s="15" t="str">
        <f>HYPERLINK("https://stat100.ameba.jp/tnk47/ratio20/illustrations/card/ill_81183_0_shinryokunokisetsuamaterasu03.jpg?201910-1-RELEASE-raid-432", "■")</f>
        <v>■</v>
      </c>
      <c r="F573" s="1" t="s">
        <v>4505</v>
      </c>
      <c r="G573" s="1">
        <v>252122</v>
      </c>
      <c r="H573" s="1">
        <v>278984</v>
      </c>
      <c r="I573" s="1">
        <v>24</v>
      </c>
      <c r="J573" s="1" t="s">
        <v>44</v>
      </c>
      <c r="K573" s="1" t="s">
        <v>4506</v>
      </c>
      <c r="L573" s="1" t="s">
        <v>4507</v>
      </c>
      <c r="M573" s="1" t="s">
        <v>9158</v>
      </c>
      <c r="N573" s="1" t="s">
        <v>9158</v>
      </c>
      <c r="O573" s="19" t="s">
        <v>10083</v>
      </c>
      <c r="P573" s="1" t="s">
        <v>4509</v>
      </c>
      <c r="Q573" s="1">
        <v>0</v>
      </c>
    </row>
    <row r="574" spans="1:18">
      <c r="A574" s="1">
        <v>71333</v>
      </c>
      <c r="B574" s="1" t="s">
        <v>0</v>
      </c>
      <c r="C574" s="1" t="s">
        <v>41</v>
      </c>
      <c r="D574" s="19" t="s">
        <v>10256</v>
      </c>
      <c r="E574" s="15" t="str">
        <f>HYPERLINK("https://stat100.ameba.jp/tnk47/ratio20/illustrations/card/ill_71333_fujiwaranokamatari03.jpg?201910-1-RELEASE-raid-432", "■")</f>
        <v>■</v>
      </c>
      <c r="F574" s="1" t="s">
        <v>58</v>
      </c>
      <c r="G574" s="1">
        <v>104890</v>
      </c>
      <c r="H574" s="1">
        <v>75984</v>
      </c>
      <c r="I574" s="1">
        <v>24</v>
      </c>
      <c r="J574" s="1" t="s">
        <v>10</v>
      </c>
      <c r="K574" s="1" t="s">
        <v>59</v>
      </c>
      <c r="L574" s="1" t="s">
        <v>60</v>
      </c>
      <c r="M574" s="1" t="s">
        <v>9158</v>
      </c>
      <c r="N574" s="1" t="s">
        <v>9158</v>
      </c>
      <c r="O574" s="19" t="s">
        <v>10098</v>
      </c>
      <c r="P574" s="1" t="s">
        <v>3491</v>
      </c>
      <c r="Q574" s="1">
        <v>1</v>
      </c>
    </row>
    <row r="575" spans="1:18">
      <c r="A575" s="1">
        <v>65643</v>
      </c>
      <c r="B575" s="1" t="s">
        <v>0</v>
      </c>
      <c r="C575" s="1" t="s">
        <v>209</v>
      </c>
      <c r="D575" s="19" t="s">
        <v>1681</v>
      </c>
      <c r="E575" s="15" t="str">
        <f>HYPERLINK("https://stat100.ameba.jp/tnk47/ratio20/illustrations/card/ill_65643_shitompekamui03.jpg?201910-1-RELEASE-raid-432", "■")</f>
        <v>■</v>
      </c>
      <c r="F575" s="1" t="s">
        <v>1250</v>
      </c>
      <c r="G575" s="1">
        <v>79348</v>
      </c>
      <c r="H575" s="1">
        <v>109554</v>
      </c>
      <c r="I575" s="1">
        <v>24</v>
      </c>
      <c r="J575" s="1" t="s">
        <v>44</v>
      </c>
      <c r="K575" s="1" t="s">
        <v>1251</v>
      </c>
      <c r="L575" s="1" t="s">
        <v>1252</v>
      </c>
      <c r="M575" s="1" t="s">
        <v>9158</v>
      </c>
      <c r="N575" s="1" t="s">
        <v>9158</v>
      </c>
      <c r="O575" s="19" t="s">
        <v>10096</v>
      </c>
      <c r="P575" s="1" t="s">
        <v>3245</v>
      </c>
      <c r="Q575" s="1">
        <v>1</v>
      </c>
    </row>
    <row r="576" spans="1:18">
      <c r="A576" s="1">
        <v>81903</v>
      </c>
      <c r="B576" s="1" t="s">
        <v>334</v>
      </c>
      <c r="C576" s="1" t="s">
        <v>47</v>
      </c>
      <c r="D576" s="19" t="s">
        <v>10200</v>
      </c>
      <c r="E576" s="15" t="str">
        <f>HYPERLINK("https://stat100.ameba.jp/tnk47/ratio20/illustrations/card/ill_81903_kiryuhimeiren03.jpg?201910-1-RELEASE-raid-432", "■")</f>
        <v>■</v>
      </c>
      <c r="F576" s="1" t="s">
        <v>4983</v>
      </c>
      <c r="G576" s="1">
        <v>79348</v>
      </c>
      <c r="H576" s="1">
        <v>109554</v>
      </c>
      <c r="I576" s="1">
        <v>24</v>
      </c>
      <c r="J576" s="1" t="s">
        <v>77</v>
      </c>
      <c r="K576" s="1" t="s">
        <v>4985</v>
      </c>
      <c r="L576" s="1" t="s">
        <v>4986</v>
      </c>
      <c r="M576" s="1" t="s">
        <v>9158</v>
      </c>
      <c r="N576" s="1" t="s">
        <v>9158</v>
      </c>
      <c r="O576" s="19" t="s">
        <v>10112</v>
      </c>
      <c r="P576" s="1" t="s">
        <v>13150</v>
      </c>
      <c r="Q576" s="1">
        <v>1</v>
      </c>
    </row>
    <row r="578" spans="1:18">
      <c r="A578" s="1" t="s">
        <v>7119</v>
      </c>
    </row>
    <row r="579" spans="1:18">
      <c r="A579" s="1" t="s">
        <v>7120</v>
      </c>
    </row>
    <row r="580" spans="1:18">
      <c r="A580" s="1" t="s">
        <v>7121</v>
      </c>
      <c r="B580" s="1" t="s">
        <v>117</v>
      </c>
      <c r="C580" s="1" t="s">
        <v>202</v>
      </c>
      <c r="D580" s="19" t="s">
        <v>10652</v>
      </c>
      <c r="E580" s="15" t="str">
        <f>HYPERLINK("https://stat100.ameba.jp/tnk47/ratio20/illustrations/card/ill_76913_0_hinomotomikusanokamudakara03.jpg?201910-1-RELEASE-raid-432", "■")</f>
        <v>■</v>
      </c>
      <c r="F580" s="1" t="s">
        <v>3479</v>
      </c>
      <c r="G580" s="1">
        <v>144714</v>
      </c>
      <c r="H580" s="1">
        <v>155680</v>
      </c>
      <c r="I580" s="1">
        <v>28</v>
      </c>
      <c r="J580" s="1" t="s">
        <v>143</v>
      </c>
      <c r="K580" s="1" t="s">
        <v>3480</v>
      </c>
      <c r="L580" s="1" t="s">
        <v>3481</v>
      </c>
      <c r="M580" s="1" t="s">
        <v>9158</v>
      </c>
      <c r="N580" s="1" t="s">
        <v>9158</v>
      </c>
      <c r="O580" s="1" t="s">
        <v>9158</v>
      </c>
      <c r="P580" s="1" t="s">
        <v>9158</v>
      </c>
      <c r="Q580" s="1" t="s">
        <v>9158</v>
      </c>
    </row>
    <row r="581" spans="1:18">
      <c r="A581" s="1" t="s">
        <v>5650</v>
      </c>
      <c r="B581" s="1" t="s">
        <v>52</v>
      </c>
      <c r="C581" s="1" t="s">
        <v>23</v>
      </c>
      <c r="D581" s="19" t="s">
        <v>809</v>
      </c>
      <c r="E581" s="15" t="str">
        <f>HYPERLINK("https://stat100.ameba.jp/tnk47/ratio20/illustrations/card/ill_68033_0_kurisumasupateikandamyojin03.jpg?201910-1-RELEASE-raid-432", "■")</f>
        <v>■</v>
      </c>
      <c r="F581" s="1" t="s">
        <v>1871</v>
      </c>
      <c r="G581" s="1">
        <v>152594</v>
      </c>
      <c r="H581" s="1">
        <v>164144</v>
      </c>
      <c r="I581" s="1">
        <v>24</v>
      </c>
      <c r="J581" s="1" t="s">
        <v>44</v>
      </c>
      <c r="K581" s="1" t="s">
        <v>1872</v>
      </c>
      <c r="L581" s="1" t="s">
        <v>1873</v>
      </c>
      <c r="M581" s="1" t="s">
        <v>9158</v>
      </c>
      <c r="N581" s="1" t="s">
        <v>9158</v>
      </c>
      <c r="O581" s="19" t="s">
        <v>2997</v>
      </c>
      <c r="P581" s="1" t="s">
        <v>3483</v>
      </c>
      <c r="Q581" s="1">
        <v>2</v>
      </c>
    </row>
    <row r="582" spans="1:18">
      <c r="A582" s="1" t="s">
        <v>5610</v>
      </c>
      <c r="B582" s="1" t="s">
        <v>330</v>
      </c>
      <c r="C582" s="1" t="s">
        <v>185</v>
      </c>
      <c r="D582" s="19" t="s">
        <v>539</v>
      </c>
      <c r="E582" s="15" t="str">
        <f>HYPERLINK("https://stat100.ameba.jp/tnk47/ratio20/illustrations/card/ill_60633_0_harumaisentoin03.jpg?201910-1-RELEASE-raid-432", "■")</f>
        <v>■</v>
      </c>
      <c r="F582" s="1" t="s">
        <v>540</v>
      </c>
      <c r="G582" s="1">
        <v>152594</v>
      </c>
      <c r="H582" s="1">
        <v>164144</v>
      </c>
      <c r="I582" s="1">
        <v>24</v>
      </c>
      <c r="J582" s="1" t="s">
        <v>274</v>
      </c>
      <c r="K582" s="1" t="s">
        <v>541</v>
      </c>
      <c r="L582" s="1" t="s">
        <v>542</v>
      </c>
      <c r="M582" s="1" t="s">
        <v>9158</v>
      </c>
      <c r="N582" s="1" t="s">
        <v>9158</v>
      </c>
      <c r="O582" s="19" t="s">
        <v>2888</v>
      </c>
      <c r="P582" s="1" t="s">
        <v>3144</v>
      </c>
      <c r="Q582" s="1">
        <v>1</v>
      </c>
    </row>
    <row r="583" spans="1:18">
      <c r="A583" s="1">
        <v>70383</v>
      </c>
      <c r="B583" s="1" t="s">
        <v>0</v>
      </c>
      <c r="C583" s="1" t="s">
        <v>41</v>
      </c>
      <c r="D583" s="19" t="s">
        <v>10201</v>
      </c>
      <c r="E583" s="15" t="str">
        <f>HYPERLINK("https://stat100.ameba.jp/tnk47/ratio20/illustrations/card/ill_70383_saraudon03.jpg?201910-1-RELEASE-raid-432", "■")</f>
        <v>■</v>
      </c>
      <c r="F583" s="1" t="s">
        <v>3487</v>
      </c>
      <c r="G583" s="1">
        <v>126858</v>
      </c>
      <c r="H583" s="1">
        <v>91876</v>
      </c>
      <c r="I583" s="1">
        <v>24</v>
      </c>
      <c r="J583" s="1" t="s">
        <v>104</v>
      </c>
      <c r="K583" s="1" t="s">
        <v>3488</v>
      </c>
      <c r="L583" s="1" t="s">
        <v>3489</v>
      </c>
      <c r="M583" s="1" t="s">
        <v>9158</v>
      </c>
      <c r="N583" s="1" t="s">
        <v>9158</v>
      </c>
      <c r="O583" s="1" t="s">
        <v>9158</v>
      </c>
      <c r="P583" s="1" t="s">
        <v>9158</v>
      </c>
      <c r="Q583" s="1" t="s">
        <v>9158</v>
      </c>
    </row>
    <row r="584" spans="1:18">
      <c r="A584" s="1">
        <v>71333</v>
      </c>
      <c r="B584" s="1" t="s">
        <v>0</v>
      </c>
      <c r="C584" s="1" t="s">
        <v>41</v>
      </c>
      <c r="D584" s="19" t="s">
        <v>10256</v>
      </c>
      <c r="E584" s="15" t="str">
        <f>HYPERLINK("https://stat100.ameba.jp/tnk47/ratio20/illustrations/card/ill_71333_fujiwaranokamatari03.jpg?201910-1-RELEASE-raid-432", "■")</f>
        <v>■</v>
      </c>
      <c r="F584" s="1" t="s">
        <v>58</v>
      </c>
      <c r="G584" s="1">
        <v>104890</v>
      </c>
      <c r="H584" s="1">
        <v>75984</v>
      </c>
      <c r="I584" s="1">
        <v>24</v>
      </c>
      <c r="J584" s="1" t="s">
        <v>10</v>
      </c>
      <c r="K584" s="1" t="s">
        <v>59</v>
      </c>
      <c r="L584" s="1" t="s">
        <v>60</v>
      </c>
      <c r="M584" s="1" t="s">
        <v>9158</v>
      </c>
      <c r="N584" s="1" t="s">
        <v>9158</v>
      </c>
      <c r="O584" s="19" t="s">
        <v>10098</v>
      </c>
      <c r="P584" s="1" t="s">
        <v>3491</v>
      </c>
      <c r="Q584" s="1">
        <v>1</v>
      </c>
    </row>
    <row r="585" spans="1:18">
      <c r="A585" s="1">
        <v>61343</v>
      </c>
      <c r="B585" s="1" t="s">
        <v>334</v>
      </c>
      <c r="C585" s="1" t="s">
        <v>154</v>
      </c>
      <c r="D585" s="19" t="s">
        <v>10520</v>
      </c>
      <c r="E585" s="15" t="str">
        <f>HYPERLINK("https://stat100.ameba.jp/tnk47/ratio20/illustrations/card/ill_61343_amaiyumechacha03.jpg?201910-1-RELEASE-raid-432", "■")</f>
        <v>■</v>
      </c>
      <c r="F585" s="1" t="s">
        <v>683</v>
      </c>
      <c r="G585" s="1">
        <v>75984</v>
      </c>
      <c r="H585" s="1">
        <v>104890</v>
      </c>
      <c r="I585" s="1">
        <v>24</v>
      </c>
      <c r="J585" s="1" t="s">
        <v>315</v>
      </c>
      <c r="K585" s="1" t="s">
        <v>684</v>
      </c>
      <c r="L585" s="1" t="s">
        <v>608</v>
      </c>
      <c r="M585" s="1" t="s">
        <v>9158</v>
      </c>
      <c r="N585" s="1" t="s">
        <v>9158</v>
      </c>
      <c r="O585" s="1" t="s">
        <v>9158</v>
      </c>
      <c r="P585" s="1" t="s">
        <v>9158</v>
      </c>
      <c r="Q585" s="1" t="s">
        <v>9158</v>
      </c>
    </row>
    <row r="587" spans="1:18">
      <c r="A587" s="1" t="s">
        <v>7122</v>
      </c>
    </row>
    <row r="588" spans="1:18">
      <c r="A588" s="1" t="s">
        <v>7637</v>
      </c>
    </row>
    <row r="589" spans="1:18">
      <c r="A589" s="1">
        <v>80715</v>
      </c>
      <c r="B589" s="1" t="s">
        <v>7123</v>
      </c>
      <c r="C589" s="1" t="s">
        <v>7128</v>
      </c>
      <c r="D589" s="19" t="s">
        <v>10653</v>
      </c>
      <c r="E589" s="15" t="str">
        <f>HYPERLINK("https://stat100.ameba.jp/tnk47/ratio20/illustrations/card/ill_80715_gyaruchikaramochiyurei05.jpg?201910-1-RELEASE-raid-432", "■")</f>
        <v>■</v>
      </c>
      <c r="F589" s="1" t="s">
        <v>7136</v>
      </c>
      <c r="G589" s="1">
        <v>74666</v>
      </c>
      <c r="H589" s="1">
        <v>54846</v>
      </c>
      <c r="I589" s="1">
        <v>24</v>
      </c>
      <c r="J589" s="1" t="s">
        <v>7131</v>
      </c>
      <c r="K589" s="1" t="s">
        <v>7135</v>
      </c>
      <c r="L589" s="1" t="s">
        <v>7134</v>
      </c>
      <c r="M589" s="1" t="s">
        <v>9158</v>
      </c>
      <c r="N589" s="1" t="s">
        <v>9158</v>
      </c>
      <c r="O589" s="1" t="s">
        <v>9158</v>
      </c>
      <c r="P589" s="1" t="s">
        <v>9158</v>
      </c>
      <c r="Q589" s="1" t="s">
        <v>9158</v>
      </c>
      <c r="R589" s="1" t="s">
        <v>7125</v>
      </c>
    </row>
    <row r="590" spans="1:18">
      <c r="A590" s="1">
        <v>80713</v>
      </c>
      <c r="B590" s="1" t="s">
        <v>7124</v>
      </c>
      <c r="C590" s="1" t="s">
        <v>7129</v>
      </c>
      <c r="D590" s="19" t="s">
        <v>10653</v>
      </c>
      <c r="E590" s="15" t="str">
        <f>HYPERLINK("https://stat100.ameba.jp/tnk47/ratio20/illustrations/card/ill_80713_gyaruchikaramochiyurei03.jpg?201910-1-RELEASE-raid-432", "■")</f>
        <v>■</v>
      </c>
      <c r="F590" s="1" t="s">
        <v>7136</v>
      </c>
      <c r="G590" s="1">
        <v>58872</v>
      </c>
      <c r="H590" s="1">
        <v>42768</v>
      </c>
      <c r="I590" s="1">
        <v>24</v>
      </c>
      <c r="J590" s="1" t="s">
        <v>7131</v>
      </c>
      <c r="K590" s="1" t="s">
        <v>7135</v>
      </c>
      <c r="L590" s="1" t="s">
        <v>7137</v>
      </c>
      <c r="M590" s="1" t="s">
        <v>9158</v>
      </c>
      <c r="N590" s="1" t="s">
        <v>9158</v>
      </c>
      <c r="O590" s="1" t="s">
        <v>9158</v>
      </c>
      <c r="P590" s="1" t="s">
        <v>9158</v>
      </c>
      <c r="Q590" s="1" t="s">
        <v>9158</v>
      </c>
      <c r="R590" s="1" t="s">
        <v>7126</v>
      </c>
    </row>
    <row r="591" spans="1:18">
      <c r="A591" s="1">
        <v>80711</v>
      </c>
      <c r="B591" s="1" t="s">
        <v>7124</v>
      </c>
      <c r="C591" s="1" t="s">
        <v>7129</v>
      </c>
      <c r="D591" s="19" t="s">
        <v>10653</v>
      </c>
      <c r="E591" s="15" t="str">
        <f>HYPERLINK("https://stat100.ameba.jp/tnk47/ratio20/illustrations/card/ill_80711_gyaruchikaramochiyurei01.jpg?201910-1-RELEASE-raid-432", "■")</f>
        <v>■</v>
      </c>
      <c r="F591" s="1" t="s">
        <v>7136</v>
      </c>
      <c r="G591" s="1">
        <v>43200</v>
      </c>
      <c r="H591" s="1">
        <v>31200</v>
      </c>
      <c r="I591" s="1">
        <v>24</v>
      </c>
      <c r="J591" s="1" t="s">
        <v>7131</v>
      </c>
      <c r="K591" s="1" t="s">
        <v>7135</v>
      </c>
      <c r="L591" s="1" t="s">
        <v>7138</v>
      </c>
      <c r="M591" s="1" t="s">
        <v>9158</v>
      </c>
      <c r="N591" s="1" t="s">
        <v>9158</v>
      </c>
      <c r="O591" s="1" t="s">
        <v>9158</v>
      </c>
      <c r="P591" s="1" t="s">
        <v>9158</v>
      </c>
      <c r="Q591" s="1" t="s">
        <v>9158</v>
      </c>
      <c r="R591" s="1" t="s">
        <v>7127</v>
      </c>
    </row>
    <row r="592" spans="1:18">
      <c r="A592" s="1">
        <v>80735</v>
      </c>
      <c r="B592" s="1" t="s">
        <v>7123</v>
      </c>
      <c r="C592" s="1" t="s">
        <v>7128</v>
      </c>
      <c r="D592" s="19" t="s">
        <v>10654</v>
      </c>
      <c r="E592" s="15" t="str">
        <f>HYPERLINK("https://stat100.ameba.jp/tnk47/ratio20/illustrations/card/ill_80735_chesu05.jpg?201910-1-RELEASE-raid-432", "■")</f>
        <v>■</v>
      </c>
      <c r="F592" s="1" t="s">
        <v>7141</v>
      </c>
      <c r="G592" s="1">
        <v>130562</v>
      </c>
      <c r="H592" s="1">
        <v>180306</v>
      </c>
      <c r="I592" s="1">
        <v>24</v>
      </c>
      <c r="J592" s="1" t="s">
        <v>7132</v>
      </c>
      <c r="K592" s="1" t="s">
        <v>7140</v>
      </c>
      <c r="L592" s="1" t="s">
        <v>7139</v>
      </c>
      <c r="M592" s="1" t="s">
        <v>9158</v>
      </c>
      <c r="N592" s="1" t="s">
        <v>9158</v>
      </c>
      <c r="O592" s="1" t="s">
        <v>9158</v>
      </c>
      <c r="P592" s="1" t="s">
        <v>9158</v>
      </c>
      <c r="Q592" s="1" t="s">
        <v>9158</v>
      </c>
      <c r="R592" s="1" t="s">
        <v>7125</v>
      </c>
    </row>
    <row r="593" spans="1:18">
      <c r="A593" s="1">
        <v>80733</v>
      </c>
      <c r="B593" s="1" t="s">
        <v>7124</v>
      </c>
      <c r="C593" s="1" t="s">
        <v>7129</v>
      </c>
      <c r="D593" s="19" t="s">
        <v>10654</v>
      </c>
      <c r="E593" s="15" t="str">
        <f>HYPERLINK("https://stat100.ameba.jp/tnk47/ratio20/illustrations/card/ill_80733_chesu03.jpg?201910-1-RELEASE-raid-432", "■")</f>
        <v>■</v>
      </c>
      <c r="F593" s="1" t="s">
        <v>7141</v>
      </c>
      <c r="G593" s="1">
        <v>96200</v>
      </c>
      <c r="H593" s="1">
        <v>132850</v>
      </c>
      <c r="I593" s="1">
        <v>24</v>
      </c>
      <c r="J593" s="1" t="s">
        <v>7132</v>
      </c>
      <c r="K593" s="1" t="s">
        <v>7140</v>
      </c>
      <c r="L593" s="1" t="s">
        <v>7142</v>
      </c>
      <c r="M593" s="1" t="s">
        <v>9158</v>
      </c>
      <c r="N593" s="1" t="s">
        <v>9158</v>
      </c>
      <c r="O593" s="1" t="s">
        <v>9158</v>
      </c>
      <c r="P593" s="1" t="s">
        <v>9158</v>
      </c>
      <c r="Q593" s="1" t="s">
        <v>9158</v>
      </c>
      <c r="R593" s="1" t="s">
        <v>7126</v>
      </c>
    </row>
    <row r="594" spans="1:18">
      <c r="A594" s="1">
        <v>80731</v>
      </c>
      <c r="B594" s="1" t="s">
        <v>7124</v>
      </c>
      <c r="C594" s="1" t="s">
        <v>7129</v>
      </c>
      <c r="D594" s="19" t="s">
        <v>10654</v>
      </c>
      <c r="E594" s="15" t="str">
        <f>HYPERLINK("https://stat100.ameba.jp/tnk47/ratio20/illustrations/card/ill_80731_chesu01.jpg?201910-1-RELEASE-raid-432", "■")</f>
        <v>■</v>
      </c>
      <c r="F594" s="1" t="s">
        <v>7141</v>
      </c>
      <c r="G594" s="1">
        <v>61200</v>
      </c>
      <c r="H594" s="1">
        <v>84504</v>
      </c>
      <c r="I594" s="1">
        <v>24</v>
      </c>
      <c r="J594" s="1" t="s">
        <v>7132</v>
      </c>
      <c r="K594" s="1" t="s">
        <v>7140</v>
      </c>
      <c r="L594" s="1" t="s">
        <v>7143</v>
      </c>
      <c r="M594" s="1" t="s">
        <v>9158</v>
      </c>
      <c r="N594" s="1" t="s">
        <v>9158</v>
      </c>
      <c r="O594" s="1" t="s">
        <v>9158</v>
      </c>
      <c r="P594" s="1" t="s">
        <v>9158</v>
      </c>
      <c r="Q594" s="1" t="s">
        <v>9158</v>
      </c>
      <c r="R594" s="1" t="s">
        <v>7127</v>
      </c>
    </row>
    <row r="595" spans="1:18">
      <c r="A595" s="1">
        <v>80725</v>
      </c>
      <c r="B595" s="1" t="s">
        <v>7123</v>
      </c>
      <c r="C595" s="1" t="s">
        <v>7128</v>
      </c>
      <c r="D595" s="19" t="s">
        <v>10655</v>
      </c>
      <c r="E595" s="15" t="str">
        <f>HYPERLINK("https://stat100.ameba.jp/tnk47/ratio20/illustrations/card/ill_80725_denkakenkyushagennai05.jpg?201910-1-RELEASE-raid-432", "■")</f>
        <v>■</v>
      </c>
      <c r="F595" s="1" t="s">
        <v>7146</v>
      </c>
      <c r="G595" s="1">
        <v>112832</v>
      </c>
      <c r="H595" s="1">
        <v>81692</v>
      </c>
      <c r="I595" s="1">
        <v>24</v>
      </c>
      <c r="J595" s="1" t="s">
        <v>7133</v>
      </c>
      <c r="K595" s="1" t="s">
        <v>7145</v>
      </c>
      <c r="L595" s="1" t="s">
        <v>7144</v>
      </c>
      <c r="M595" s="1" t="s">
        <v>9158</v>
      </c>
      <c r="N595" s="1" t="s">
        <v>9158</v>
      </c>
      <c r="O595" s="1" t="s">
        <v>9158</v>
      </c>
      <c r="P595" s="1" t="s">
        <v>9158</v>
      </c>
      <c r="Q595" s="1" t="s">
        <v>9158</v>
      </c>
      <c r="R595" s="1" t="s">
        <v>7125</v>
      </c>
    </row>
    <row r="596" spans="1:18">
      <c r="A596" s="1">
        <v>80723</v>
      </c>
      <c r="B596" s="1" t="s">
        <v>7124</v>
      </c>
      <c r="C596" s="1" t="s">
        <v>7130</v>
      </c>
      <c r="D596" s="19" t="s">
        <v>10655</v>
      </c>
      <c r="E596" s="15" t="str">
        <f>HYPERLINK("https://stat100.ameba.jp/tnk47/ratio20/illustrations/card/ill_80723_denkakenkyushagennai03.jpg?201910-1-RELEASE-raid-432", "■")</f>
        <v>■</v>
      </c>
      <c r="F596" s="1" t="s">
        <v>7146</v>
      </c>
      <c r="G596" s="1">
        <v>83124</v>
      </c>
      <c r="H596" s="1">
        <v>60186</v>
      </c>
      <c r="I596" s="1">
        <v>24</v>
      </c>
      <c r="J596" s="1" t="s">
        <v>7133</v>
      </c>
      <c r="K596" s="1" t="s">
        <v>7145</v>
      </c>
      <c r="L596" s="1" t="s">
        <v>7147</v>
      </c>
      <c r="M596" s="1" t="s">
        <v>9158</v>
      </c>
      <c r="N596" s="1" t="s">
        <v>9158</v>
      </c>
      <c r="O596" s="1" t="s">
        <v>9158</v>
      </c>
      <c r="P596" s="1" t="s">
        <v>9158</v>
      </c>
      <c r="Q596" s="1" t="s">
        <v>9158</v>
      </c>
      <c r="R596" s="1" t="s">
        <v>7126</v>
      </c>
    </row>
    <row r="597" spans="1:18">
      <c r="A597" s="1">
        <v>80721</v>
      </c>
      <c r="B597" s="1" t="s">
        <v>7124</v>
      </c>
      <c r="C597" s="1" t="s">
        <v>7130</v>
      </c>
      <c r="D597" s="19" t="s">
        <v>10655</v>
      </c>
      <c r="E597" s="15" t="str">
        <f>HYPERLINK("https://stat100.ameba.jp/tnk47/ratio20/illustrations/card/ill_80721_denkakenkyushagennai01.jpg?201910-1-RELEASE-raid-432", "■")</f>
        <v>■</v>
      </c>
      <c r="F597" s="1" t="s">
        <v>7146</v>
      </c>
      <c r="G597" s="1">
        <v>52872</v>
      </c>
      <c r="H597" s="1">
        <v>38280</v>
      </c>
      <c r="I597" s="1">
        <v>24</v>
      </c>
      <c r="J597" s="1" t="s">
        <v>7133</v>
      </c>
      <c r="K597" s="1" t="s">
        <v>7145</v>
      </c>
      <c r="L597" s="1" t="s">
        <v>7148</v>
      </c>
      <c r="M597" s="1" t="s">
        <v>9158</v>
      </c>
      <c r="N597" s="1" t="s">
        <v>9158</v>
      </c>
      <c r="O597" s="1" t="s">
        <v>9158</v>
      </c>
      <c r="P597" s="1" t="s">
        <v>9158</v>
      </c>
      <c r="Q597" s="1" t="s">
        <v>9158</v>
      </c>
      <c r="R597" s="1" t="s">
        <v>7127</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E115E-1CC5-4E19-85F0-527B805B19E4}">
  <dimension ref="A1:S634"/>
  <sheetViews>
    <sheetView zoomScale="55" zoomScaleNormal="55" workbookViewId="0">
      <pane ySplit="1" topLeftCell="A417" activePane="bottomLeft" state="frozen"/>
      <selection activeCell="A274" sqref="A274:Q274"/>
      <selection pane="bottomLeft" activeCell="D76" sqref="D76"/>
    </sheetView>
  </sheetViews>
  <sheetFormatPr defaultColWidth="8.9140625" defaultRowHeight="18"/>
  <cols>
    <col min="1" max="1" width="6.4140625" style="1" customWidth="1"/>
    <col min="2" max="2" width="3.9140625" style="1" customWidth="1"/>
    <col min="3" max="3" width="8.75" style="1" customWidth="1"/>
    <col min="4" max="4" width="25.75" style="1" customWidth="1"/>
    <col min="5" max="5" width="3.9140625" style="14" customWidth="1"/>
    <col min="6" max="6" width="8.9140625" style="1"/>
    <col min="7" max="8" width="7.08203125" style="1" customWidth="1"/>
    <col min="9" max="9" width="3.75" style="1" customWidth="1"/>
    <col min="10" max="10" width="5.4140625" style="1" customWidth="1"/>
    <col min="11" max="11" width="8.9140625" style="1"/>
    <col min="12" max="12" width="50.75" style="1" customWidth="1"/>
    <col min="13" max="16" width="8.9140625" style="1"/>
    <col min="17" max="17" width="3.9140625" style="1" customWidth="1"/>
    <col min="18" max="19" width="14.33203125" style="1" customWidth="1"/>
    <col min="20" max="16384" width="8.9140625" style="1"/>
  </cols>
  <sheetData>
    <row r="1" spans="1:19">
      <c r="A1" s="4" t="s">
        <v>5600</v>
      </c>
      <c r="B1" s="4"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7173</v>
      </c>
    </row>
    <row r="4" spans="1:19">
      <c r="A4" s="1" t="s">
        <v>7149</v>
      </c>
    </row>
    <row r="5" spans="1:19">
      <c r="A5" s="1" t="s">
        <v>7649</v>
      </c>
    </row>
    <row r="6" spans="1:19">
      <c r="A6" s="1" t="s">
        <v>7150</v>
      </c>
      <c r="B6" s="1" t="s">
        <v>52</v>
      </c>
      <c r="C6" s="1" t="s">
        <v>202</v>
      </c>
      <c r="D6" s="19" t="s">
        <v>10656</v>
      </c>
      <c r="E6" s="15" t="str">
        <f>HYPERLINK("https://stat100.ameba.jp/tnk47/ratio20/illustrations/card/ill_84203_0_tarottofujiwaranoshoshi03.jpg?201910-1-RELEASE-raid-432x", "■")</f>
        <v>■</v>
      </c>
      <c r="F6" s="1" t="s">
        <v>7153</v>
      </c>
      <c r="G6" s="1">
        <v>426842</v>
      </c>
      <c r="H6" s="1">
        <v>385804</v>
      </c>
      <c r="I6" s="1">
        <v>29</v>
      </c>
      <c r="J6" s="1" t="s">
        <v>10</v>
      </c>
      <c r="K6" s="1" t="s">
        <v>7152</v>
      </c>
      <c r="L6" s="1" t="s">
        <v>7151</v>
      </c>
      <c r="M6" s="1" t="s">
        <v>9158</v>
      </c>
      <c r="N6" s="1" t="s">
        <v>9158</v>
      </c>
      <c r="O6" s="19" t="s">
        <v>10128</v>
      </c>
      <c r="P6" s="1" t="s">
        <v>7154</v>
      </c>
      <c r="Q6" s="1">
        <v>1</v>
      </c>
    </row>
    <row r="7" spans="1:19">
      <c r="A7" s="1">
        <v>84143</v>
      </c>
      <c r="B7" s="1" t="s">
        <v>0</v>
      </c>
      <c r="C7" s="1" t="s">
        <v>185</v>
      </c>
      <c r="D7" s="19" t="s">
        <v>10657</v>
      </c>
      <c r="E7" s="15" t="str">
        <f>HYPERLINK("https://stat100.ameba.jp/tnk47/ratio20/illustrations/card/ill_84143_tarottoyoshihime03.jpg?201910-1-RELEASE-raid-432x", "■")</f>
        <v>■</v>
      </c>
      <c r="F7" s="1" t="s">
        <v>7157</v>
      </c>
      <c r="G7" s="1">
        <v>90759</v>
      </c>
      <c r="H7" s="1">
        <v>97651</v>
      </c>
      <c r="I7" s="1">
        <v>25</v>
      </c>
      <c r="J7" s="1" t="s">
        <v>77</v>
      </c>
      <c r="K7" s="1" t="s">
        <v>7159</v>
      </c>
      <c r="L7" s="1" t="s">
        <v>7158</v>
      </c>
      <c r="M7" s="1" t="s">
        <v>2138</v>
      </c>
      <c r="N7" s="1" t="s">
        <v>2139</v>
      </c>
      <c r="O7" s="1" t="s">
        <v>9158</v>
      </c>
      <c r="P7" s="1" t="s">
        <v>9158</v>
      </c>
      <c r="Q7" s="1" t="s">
        <v>9158</v>
      </c>
      <c r="R7" s="1" t="s">
        <v>13120</v>
      </c>
    </row>
    <row r="8" spans="1:19">
      <c r="A8" s="1">
        <v>84153</v>
      </c>
      <c r="B8" s="1" t="s">
        <v>0</v>
      </c>
      <c r="C8" s="1" t="s">
        <v>165</v>
      </c>
      <c r="D8" s="19" t="s">
        <v>10658</v>
      </c>
      <c r="E8" s="15" t="str">
        <f>HYPERLINK("https://stat100.ameba.jp/tnk47/ratio20/illustrations/card/ill_84153_tarottotoyotomihideyori03.jpg?201910-1-RELEASE-raid-432x", "■")</f>
        <v>■</v>
      </c>
      <c r="F8" s="1" t="s">
        <v>7155</v>
      </c>
      <c r="G8" s="1">
        <v>148619</v>
      </c>
      <c r="H8" s="1">
        <v>138186</v>
      </c>
      <c r="I8" s="1">
        <v>25</v>
      </c>
      <c r="J8" s="1" t="s">
        <v>143</v>
      </c>
      <c r="K8" s="1" t="s">
        <v>7156</v>
      </c>
      <c r="L8" s="1" t="s">
        <v>145</v>
      </c>
      <c r="M8" s="1" t="s">
        <v>9158</v>
      </c>
      <c r="N8" s="1" t="s">
        <v>9158</v>
      </c>
      <c r="O8" s="19" t="s">
        <v>10090</v>
      </c>
      <c r="P8" s="1" t="s">
        <v>3460</v>
      </c>
      <c r="Q8" s="1">
        <v>1</v>
      </c>
    </row>
    <row r="9" spans="1:19">
      <c r="A9" s="1">
        <v>84163</v>
      </c>
      <c r="B9" s="1" t="s">
        <v>0</v>
      </c>
      <c r="C9" s="1" t="s">
        <v>206</v>
      </c>
      <c r="D9" s="19" t="s">
        <v>12905</v>
      </c>
      <c r="E9" s="15" t="str">
        <f>HYPERLINK("https://stat100.ameba.jp/tnk47/ratio20/illustrations/card/ill_84163_tarottokameishokin03.jpg?201910-1-RELEASE-raid-432x", "■")</f>
        <v>■</v>
      </c>
      <c r="F9" s="1" t="s">
        <v>7162</v>
      </c>
      <c r="G9" s="1">
        <v>94295</v>
      </c>
      <c r="H9" s="1">
        <v>101373</v>
      </c>
      <c r="I9" s="1">
        <v>25</v>
      </c>
      <c r="J9" s="1" t="s">
        <v>16</v>
      </c>
      <c r="K9" s="1" t="s">
        <v>7161</v>
      </c>
      <c r="L9" s="1" t="s">
        <v>7160</v>
      </c>
      <c r="M9" s="1" t="s">
        <v>2138</v>
      </c>
      <c r="N9" s="1" t="s">
        <v>2139</v>
      </c>
      <c r="O9" s="1" t="s">
        <v>9158</v>
      </c>
      <c r="P9" s="1" t="s">
        <v>9158</v>
      </c>
      <c r="Q9" s="1" t="s">
        <v>9158</v>
      </c>
      <c r="R9" s="1" t="s">
        <v>13120</v>
      </c>
    </row>
    <row r="10" spans="1:19">
      <c r="A10" s="1">
        <v>84173</v>
      </c>
      <c r="B10" s="1" t="s">
        <v>15</v>
      </c>
      <c r="C10" s="1" t="s">
        <v>191</v>
      </c>
      <c r="D10" s="19" t="s">
        <v>10659</v>
      </c>
      <c r="E10" s="15" t="str">
        <f>HYPERLINK("https://stat100.ameba.jp/tnk47/ratio20/illustrations/card/ill_84173_arabiannaitoyamatedono03.jpg?201910-1-RELEASE-raid-432x", "■")</f>
        <v>■</v>
      </c>
      <c r="F10" s="1" t="s">
        <v>7164</v>
      </c>
      <c r="G10" s="1">
        <v>71136</v>
      </c>
      <c r="H10" s="1">
        <v>64520</v>
      </c>
      <c r="I10" s="1">
        <v>24</v>
      </c>
      <c r="J10" s="1" t="s">
        <v>77</v>
      </c>
      <c r="K10" s="1" t="s">
        <v>7163</v>
      </c>
      <c r="L10" s="1" t="s">
        <v>3501</v>
      </c>
      <c r="M10" s="1" t="s">
        <v>9158</v>
      </c>
      <c r="N10" s="1" t="s">
        <v>9158</v>
      </c>
      <c r="O10" s="1" t="s">
        <v>9158</v>
      </c>
      <c r="P10" s="1" t="s">
        <v>9158</v>
      </c>
      <c r="Q10" s="1" t="s">
        <v>9158</v>
      </c>
    </row>
    <row r="11" spans="1:19">
      <c r="A11" s="1">
        <v>84183</v>
      </c>
      <c r="B11" s="1" t="s">
        <v>15</v>
      </c>
      <c r="C11" s="1" t="s">
        <v>200</v>
      </c>
      <c r="D11" s="19" t="s">
        <v>10660</v>
      </c>
      <c r="E11" s="15" t="str">
        <f>HYPERLINK("https://stat100.ameba.jp/tnk47/ratio20/illustrations/card/ill_84183_amenofutodamanomikoto03.jpg?201910-1-RELEASE-raid-432x", "■")</f>
        <v>■</v>
      </c>
      <c r="F11" s="1" t="s">
        <v>7165</v>
      </c>
      <c r="G11" s="1">
        <v>64520</v>
      </c>
      <c r="H11" s="1">
        <v>71136</v>
      </c>
      <c r="I11" s="1">
        <v>24</v>
      </c>
      <c r="J11" s="1" t="s">
        <v>44</v>
      </c>
      <c r="K11" s="1" t="s">
        <v>5079</v>
      </c>
      <c r="L11" s="1" t="s">
        <v>7166</v>
      </c>
      <c r="M11" s="1" t="s">
        <v>9158</v>
      </c>
      <c r="N11" s="1" t="s">
        <v>9158</v>
      </c>
      <c r="O11" s="1" t="s">
        <v>9158</v>
      </c>
      <c r="P11" s="1" t="s">
        <v>9158</v>
      </c>
      <c r="Q11" s="1" t="s">
        <v>9158</v>
      </c>
    </row>
    <row r="12" spans="1:19">
      <c r="A12" s="1">
        <v>84193</v>
      </c>
      <c r="B12" s="1" t="s">
        <v>15</v>
      </c>
      <c r="C12" s="1" t="s">
        <v>205</v>
      </c>
      <c r="D12" s="19" t="s">
        <v>10661</v>
      </c>
      <c r="E12" s="15" t="str">
        <f>HYPERLINK("https://stat100.ameba.jp/tnk47/ratio20/illustrations/card/ill_84193_kibinomakibi03.jpg?201910-1-RELEASE-raid-432x", "■")</f>
        <v>■</v>
      </c>
      <c r="F12" s="1" t="s">
        <v>7167</v>
      </c>
      <c r="G12" s="1">
        <v>71136</v>
      </c>
      <c r="H12" s="1">
        <v>64520</v>
      </c>
      <c r="I12" s="1">
        <v>24</v>
      </c>
      <c r="J12" s="1" t="s">
        <v>16</v>
      </c>
      <c r="K12" s="1" t="s">
        <v>7168</v>
      </c>
      <c r="L12" s="1" t="s">
        <v>2462</v>
      </c>
      <c r="M12" s="1" t="s">
        <v>9158</v>
      </c>
      <c r="N12" s="1" t="s">
        <v>9158</v>
      </c>
      <c r="O12" s="1" t="s">
        <v>9158</v>
      </c>
      <c r="P12" s="1" t="s">
        <v>9158</v>
      </c>
      <c r="Q12" s="1" t="s">
        <v>9158</v>
      </c>
    </row>
    <row r="13" spans="1:19">
      <c r="A13" s="1">
        <v>84213</v>
      </c>
      <c r="B13" s="1" t="s">
        <v>22</v>
      </c>
      <c r="C13" s="1" t="s">
        <v>185</v>
      </c>
      <c r="D13" s="19" t="s">
        <v>10662</v>
      </c>
      <c r="E13" s="15" t="str">
        <f>HYPERLINK("https://stat100.ameba.jp/tnk47/ratio20/illustrations/card/ill_84213_kyupiddorurukoshinpu03.jpg?201910-1-RELEASE-raid-432x", "■")</f>
        <v>■</v>
      </c>
      <c r="F13" s="1" t="s">
        <v>7169</v>
      </c>
      <c r="G13" s="1">
        <v>41490</v>
      </c>
      <c r="H13" s="1">
        <v>49900</v>
      </c>
      <c r="I13" s="1">
        <v>24</v>
      </c>
      <c r="J13" s="1" t="s">
        <v>44</v>
      </c>
      <c r="K13" s="1" t="s">
        <v>7170</v>
      </c>
      <c r="L13" s="1" t="s">
        <v>2158</v>
      </c>
      <c r="M13" s="1" t="s">
        <v>9158</v>
      </c>
      <c r="N13" s="1" t="s">
        <v>9158</v>
      </c>
      <c r="O13" s="1" t="s">
        <v>9158</v>
      </c>
      <c r="P13" s="1" t="s">
        <v>9158</v>
      </c>
      <c r="Q13" s="1" t="s">
        <v>9158</v>
      </c>
    </row>
    <row r="14" spans="1:19">
      <c r="A14" s="1">
        <v>84223</v>
      </c>
      <c r="B14" s="1" t="s">
        <v>22</v>
      </c>
      <c r="C14" s="1" t="s">
        <v>165</v>
      </c>
      <c r="D14" s="19" t="s">
        <v>10663</v>
      </c>
      <c r="E14" s="15" t="str">
        <f>HYPERLINK("https://stat100.ameba.jp/tnk47/ratio20/illustrations/card/ill_84223_majutsushirubi03.jpg?201910-1-RELEASE-raid-432x", "■")</f>
        <v>■</v>
      </c>
      <c r="F14" s="1" t="s">
        <v>7171</v>
      </c>
      <c r="G14" s="1">
        <v>49900</v>
      </c>
      <c r="H14" s="1">
        <v>41490</v>
      </c>
      <c r="I14" s="1">
        <v>24</v>
      </c>
      <c r="J14" s="1" t="s">
        <v>26</v>
      </c>
      <c r="K14" s="1" t="s">
        <v>7172</v>
      </c>
      <c r="L14" s="1" t="s">
        <v>2162</v>
      </c>
      <c r="M14" s="1" t="s">
        <v>9158</v>
      </c>
      <c r="N14" s="1" t="s">
        <v>9158</v>
      </c>
      <c r="O14" s="1" t="s">
        <v>9158</v>
      </c>
      <c r="P14" s="1" t="s">
        <v>9158</v>
      </c>
      <c r="Q14" s="1" t="s">
        <v>9158</v>
      </c>
    </row>
    <row r="15" spans="1:19">
      <c r="A15" s="1">
        <v>84233</v>
      </c>
      <c r="B15" s="1" t="s">
        <v>30</v>
      </c>
      <c r="C15" s="1" t="s">
        <v>7179</v>
      </c>
      <c r="D15" s="19" t="s">
        <v>10664</v>
      </c>
      <c r="E15" s="15" t="str">
        <f>HYPERLINK("https://stat100.ameba.jp/tnk47/ratio20/illustrations/card/ill_84233_oukyuuaburasumashi03.jpg?201910-1-RELEASE-raid-432x", "■")</f>
        <v>■</v>
      </c>
      <c r="F15" s="1" t="s">
        <v>7180</v>
      </c>
      <c r="G15" s="14" t="s">
        <v>12934</v>
      </c>
      <c r="H15" s="14" t="s">
        <v>12934</v>
      </c>
      <c r="I15" s="1">
        <v>24</v>
      </c>
      <c r="J15" s="1" t="s">
        <v>7182</v>
      </c>
      <c r="K15" s="1" t="s">
        <v>7181</v>
      </c>
      <c r="L15" s="1" t="s">
        <v>7306</v>
      </c>
      <c r="M15" s="1" t="s">
        <v>9158</v>
      </c>
      <c r="N15" s="1" t="s">
        <v>9158</v>
      </c>
      <c r="O15" s="1" t="s">
        <v>9158</v>
      </c>
      <c r="P15" s="1" t="s">
        <v>9158</v>
      </c>
      <c r="Q15" s="1" t="s">
        <v>9158</v>
      </c>
    </row>
    <row r="16" spans="1:19">
      <c r="A16" s="1">
        <v>84243</v>
      </c>
      <c r="B16" s="1" t="s">
        <v>30</v>
      </c>
      <c r="C16" s="1" t="s">
        <v>7174</v>
      </c>
      <c r="D16" s="19" t="s">
        <v>10665</v>
      </c>
      <c r="E16" s="15" t="str">
        <f>HYPERLINK("https://stat100.ameba.jp/tnk47/ratio20/illustrations/card/ill_84243_kotobukisenbei03.jpg?201910-1-RELEASE-raid-432x", "■")</f>
        <v>■</v>
      </c>
      <c r="F16" s="1" t="s">
        <v>7175</v>
      </c>
      <c r="G16" s="14" t="s">
        <v>12934</v>
      </c>
      <c r="H16" s="14" t="s">
        <v>12934</v>
      </c>
      <c r="I16" s="1">
        <v>24</v>
      </c>
      <c r="J16" s="1" t="s">
        <v>7176</v>
      </c>
      <c r="K16" s="1" t="s">
        <v>7177</v>
      </c>
      <c r="L16" s="1" t="s">
        <v>7178</v>
      </c>
      <c r="M16" s="1" t="s">
        <v>9158</v>
      </c>
      <c r="N16" s="1" t="s">
        <v>9158</v>
      </c>
      <c r="O16" s="1" t="s">
        <v>9158</v>
      </c>
      <c r="P16" s="1" t="s">
        <v>9158</v>
      </c>
      <c r="Q16" s="1" t="s">
        <v>9158</v>
      </c>
    </row>
    <row r="18" spans="1:18">
      <c r="A18" s="1" t="s">
        <v>13365</v>
      </c>
    </row>
    <row r="19" spans="1:18" s="14" customFormat="1">
      <c r="A19" s="14" t="s">
        <v>10153</v>
      </c>
    </row>
    <row r="20" spans="1:18">
      <c r="A20" s="1">
        <v>84295</v>
      </c>
      <c r="B20" s="1" t="s">
        <v>7183</v>
      </c>
      <c r="C20" s="1" t="s">
        <v>7191</v>
      </c>
      <c r="D20" s="19" t="s">
        <v>10666</v>
      </c>
      <c r="E20" s="15" t="str">
        <f>HYPERLINK("https://stat100.ameba.jp/tnk47/ratio20/illustrations/card/ill_84295_yokaitaisemmakaron05.jpg?201910-1-RELEASE-raid-432x", "■")</f>
        <v>■</v>
      </c>
      <c r="F20" s="1" t="s">
        <v>7190</v>
      </c>
      <c r="G20" s="1">
        <v>143278</v>
      </c>
      <c r="H20" s="1">
        <v>103746</v>
      </c>
      <c r="I20" s="1">
        <v>24</v>
      </c>
      <c r="J20" s="1" t="s">
        <v>7176</v>
      </c>
      <c r="K20" s="1" t="s">
        <v>7189</v>
      </c>
      <c r="L20" s="1" t="s">
        <v>7188</v>
      </c>
      <c r="M20" s="1" t="s">
        <v>9158</v>
      </c>
      <c r="N20" s="1" t="s">
        <v>9158</v>
      </c>
      <c r="O20" s="1" t="s">
        <v>9158</v>
      </c>
      <c r="P20" s="1" t="s">
        <v>9158</v>
      </c>
      <c r="Q20" s="1" t="s">
        <v>9158</v>
      </c>
      <c r="R20" s="1" t="s">
        <v>7185</v>
      </c>
    </row>
    <row r="21" spans="1:18">
      <c r="A21" s="1">
        <v>84293</v>
      </c>
      <c r="B21" s="1" t="s">
        <v>7184</v>
      </c>
      <c r="C21" s="1" t="s">
        <v>7192</v>
      </c>
      <c r="D21" s="19" t="s">
        <v>10666</v>
      </c>
      <c r="E21" s="15" t="str">
        <f>HYPERLINK("https://stat100.ameba.jp/tnk47/ratio20/illustrations/card/ill_84293_yokaitaisemmakaron03.jpg?201910-1-RELEASE-raid-432x", "■")</f>
        <v>■</v>
      </c>
      <c r="F21" s="1" t="s">
        <v>7190</v>
      </c>
      <c r="G21" s="1">
        <v>105564</v>
      </c>
      <c r="H21" s="1">
        <v>76436</v>
      </c>
      <c r="I21" s="1">
        <v>24</v>
      </c>
      <c r="J21" s="1" t="s">
        <v>7176</v>
      </c>
      <c r="K21" s="1" t="s">
        <v>7189</v>
      </c>
      <c r="L21" s="1" t="s">
        <v>7194</v>
      </c>
      <c r="M21" s="1" t="s">
        <v>9158</v>
      </c>
      <c r="N21" s="1" t="s">
        <v>9158</v>
      </c>
      <c r="O21" s="1" t="s">
        <v>9158</v>
      </c>
      <c r="P21" s="1" t="s">
        <v>9158</v>
      </c>
      <c r="Q21" s="1" t="s">
        <v>9158</v>
      </c>
      <c r="R21" s="1" t="s">
        <v>7186</v>
      </c>
    </row>
    <row r="22" spans="1:18">
      <c r="A22" s="1">
        <v>84291</v>
      </c>
      <c r="B22" s="1" t="s">
        <v>7184</v>
      </c>
      <c r="C22" s="1" t="s">
        <v>7193</v>
      </c>
      <c r="D22" s="19" t="s">
        <v>10666</v>
      </c>
      <c r="E22" s="15" t="str">
        <f>HYPERLINK("https://stat100.ameba.jp/tnk47/ratio20/illustrations/card/ill_84291_yokaitaisemmakaron01.jpg?201910-1-RELEASE-raid-432x", "■")</f>
        <v>■</v>
      </c>
      <c r="F22" s="1" t="s">
        <v>7190</v>
      </c>
      <c r="G22" s="1">
        <v>67152</v>
      </c>
      <c r="H22" s="1">
        <v>48624</v>
      </c>
      <c r="I22" s="1">
        <v>24</v>
      </c>
      <c r="J22" s="1" t="s">
        <v>7176</v>
      </c>
      <c r="K22" s="1" t="s">
        <v>7189</v>
      </c>
      <c r="L22" s="1" t="s">
        <v>7195</v>
      </c>
      <c r="M22" s="1" t="s">
        <v>9158</v>
      </c>
      <c r="N22" s="1" t="s">
        <v>9158</v>
      </c>
      <c r="O22" s="1" t="s">
        <v>9158</v>
      </c>
      <c r="P22" s="1" t="s">
        <v>9158</v>
      </c>
      <c r="Q22" s="1" t="s">
        <v>9158</v>
      </c>
      <c r="R22" s="1" t="s">
        <v>7187</v>
      </c>
    </row>
    <row r="23" spans="1:18">
      <c r="D23" s="3"/>
      <c r="E23" s="15"/>
    </row>
    <row r="24" spans="1:18">
      <c r="A24" s="1" t="s">
        <v>7196</v>
      </c>
    </row>
    <row r="25" spans="1:18">
      <c r="A25" s="1" t="s">
        <v>7197</v>
      </c>
    </row>
    <row r="26" spans="1:18">
      <c r="A26" s="1" t="s">
        <v>5626</v>
      </c>
      <c r="B26" s="1" t="s">
        <v>330</v>
      </c>
      <c r="C26" s="1" t="s">
        <v>200</v>
      </c>
      <c r="D26" s="19" t="s">
        <v>3160</v>
      </c>
      <c r="E26" s="15" t="str">
        <f>HYPERLINK("https://stat100.ameba.jp/tnk47/ratio20/illustrations/card/ill_72963_0_amenohanayomehiguchiichiyo03.jpg?201910-1-RELEASE-raid-432x", "■")</f>
        <v>■</v>
      </c>
      <c r="F26" s="1" t="s">
        <v>1139</v>
      </c>
      <c r="G26" s="1">
        <v>100502</v>
      </c>
      <c r="H26" s="1">
        <v>93450</v>
      </c>
      <c r="I26" s="1">
        <v>15</v>
      </c>
      <c r="J26" s="1" t="s">
        <v>173</v>
      </c>
      <c r="K26" s="1" t="s">
        <v>1140</v>
      </c>
      <c r="L26" s="1" t="s">
        <v>1141</v>
      </c>
      <c r="M26" s="1" t="s">
        <v>9158</v>
      </c>
      <c r="N26" s="1" t="s">
        <v>9158</v>
      </c>
      <c r="O26" s="19" t="s">
        <v>3162</v>
      </c>
      <c r="P26" s="1" t="s">
        <v>3410</v>
      </c>
      <c r="Q26" s="1">
        <v>1</v>
      </c>
    </row>
    <row r="27" spans="1:18">
      <c r="A27" s="1" t="s">
        <v>5623</v>
      </c>
      <c r="B27" s="1" t="s">
        <v>330</v>
      </c>
      <c r="C27" s="1" t="s">
        <v>165</v>
      </c>
      <c r="D27" s="19" t="s">
        <v>3146</v>
      </c>
      <c r="E27" s="15" t="str">
        <f>HYPERLINK("https://stat100.ameba.jp/tnk47/ratio20/illustrations/card/ill_65713_0_undokaionikirimaru03.jpg?201910-1-RELEASE-raid-432x", "■")</f>
        <v>■</v>
      </c>
      <c r="F27" s="1" t="s">
        <v>535</v>
      </c>
      <c r="G27" s="1">
        <v>113525</v>
      </c>
      <c r="H27" s="1">
        <v>105545</v>
      </c>
      <c r="I27" s="1">
        <v>15</v>
      </c>
      <c r="J27" s="1" t="s">
        <v>320</v>
      </c>
      <c r="K27" s="1" t="s">
        <v>3147</v>
      </c>
      <c r="L27" s="1" t="s">
        <v>3148</v>
      </c>
      <c r="M27" s="1" t="s">
        <v>9158</v>
      </c>
      <c r="N27" s="1" t="s">
        <v>9158</v>
      </c>
      <c r="O27" s="19" t="s">
        <v>2869</v>
      </c>
      <c r="P27" s="1" t="s">
        <v>2870</v>
      </c>
      <c r="Q27" s="1">
        <v>1</v>
      </c>
    </row>
    <row r="28" spans="1:18">
      <c r="A28" s="1" t="s">
        <v>5721</v>
      </c>
      <c r="B28" s="1" t="s">
        <v>330</v>
      </c>
      <c r="C28" s="1" t="s">
        <v>205</v>
      </c>
      <c r="D28" s="19" t="s">
        <v>513</v>
      </c>
      <c r="E28" s="15" t="str">
        <f>HYPERLINK("https://stat100.ameba.jp/tnk47/ratio20/illustrations/card/ill_44283_0_izumonokuni03.jpg?201910-1-RELEASE-raid-432x", "■")</f>
        <v>■</v>
      </c>
      <c r="F28" s="1" t="s">
        <v>514</v>
      </c>
      <c r="G28" s="1">
        <v>87780</v>
      </c>
      <c r="H28" s="1">
        <v>82212</v>
      </c>
      <c r="I28" s="1">
        <v>15</v>
      </c>
      <c r="J28" s="1" t="s">
        <v>159</v>
      </c>
      <c r="K28" s="1" t="s">
        <v>1717</v>
      </c>
      <c r="L28" s="1" t="s">
        <v>516</v>
      </c>
      <c r="M28" s="1" t="s">
        <v>9158</v>
      </c>
      <c r="N28" s="1" t="s">
        <v>9158</v>
      </c>
      <c r="O28" s="1" t="s">
        <v>9158</v>
      </c>
      <c r="P28" s="1" t="s">
        <v>9158</v>
      </c>
      <c r="Q28" s="1" t="s">
        <v>9158</v>
      </c>
    </row>
    <row r="29" spans="1:18">
      <c r="A29" s="1">
        <v>69133</v>
      </c>
      <c r="B29" s="1" t="s">
        <v>7183</v>
      </c>
      <c r="C29" s="1" t="s">
        <v>7205</v>
      </c>
      <c r="D29" s="19" t="s">
        <v>3152</v>
      </c>
      <c r="E29" s="15" t="str">
        <f>HYPERLINK("https://stat100.ameba.jp/tnk47/ratio20/illustrations/card/ill_69133_payokakamui03.jpg?201910-1-RELEASE-raid-432x", "■")</f>
        <v>■</v>
      </c>
      <c r="F29" s="1" t="s">
        <v>7216</v>
      </c>
      <c r="G29" s="1">
        <v>120892</v>
      </c>
      <c r="H29" s="1">
        <v>68010</v>
      </c>
      <c r="I29" s="1">
        <v>24</v>
      </c>
      <c r="J29" s="1" t="s">
        <v>7215</v>
      </c>
      <c r="K29" s="1" t="s">
        <v>7214</v>
      </c>
      <c r="L29" s="1" t="s">
        <v>7213</v>
      </c>
      <c r="M29" s="1" t="s">
        <v>9158</v>
      </c>
      <c r="N29" s="1" t="s">
        <v>9158</v>
      </c>
      <c r="O29" s="1" t="s">
        <v>9158</v>
      </c>
      <c r="P29" s="1" t="s">
        <v>9158</v>
      </c>
      <c r="Q29" s="1" t="s">
        <v>9158</v>
      </c>
    </row>
    <row r="30" spans="1:18">
      <c r="A30" s="1">
        <v>71753</v>
      </c>
      <c r="B30" s="1" t="s">
        <v>7183</v>
      </c>
      <c r="C30" s="1" t="s">
        <v>7211</v>
      </c>
      <c r="D30" s="19" t="s">
        <v>11542</v>
      </c>
      <c r="E30" s="15" t="str">
        <f>HYPERLINK("https://stat100.ameba.jp/tnk47/ratio20/illustrations/card/ill_71753_kozaiyoshikiyo03.jpg?201910-1-RELEASE-raid-432x", "■")</f>
        <v>■</v>
      </c>
      <c r="F30" s="1" t="s">
        <v>7219</v>
      </c>
      <c r="G30" s="1">
        <v>115746</v>
      </c>
      <c r="H30" s="1">
        <v>65128</v>
      </c>
      <c r="I30" s="1">
        <v>24</v>
      </c>
      <c r="J30" s="1" t="s">
        <v>7199</v>
      </c>
      <c r="K30" s="1" t="s">
        <v>7218</v>
      </c>
      <c r="L30" s="1" t="s">
        <v>7217</v>
      </c>
      <c r="M30" s="1" t="s">
        <v>9158</v>
      </c>
      <c r="N30" s="1" t="s">
        <v>9158</v>
      </c>
      <c r="O30" s="1" t="s">
        <v>9158</v>
      </c>
      <c r="P30" s="1" t="s">
        <v>9158</v>
      </c>
      <c r="Q30" s="1" t="s">
        <v>9158</v>
      </c>
    </row>
    <row r="31" spans="1:18">
      <c r="A31" s="1">
        <v>77353</v>
      </c>
      <c r="B31" s="1" t="s">
        <v>7183</v>
      </c>
      <c r="C31" s="1" t="s">
        <v>7212</v>
      </c>
      <c r="D31" s="19" t="s">
        <v>1529</v>
      </c>
      <c r="E31" s="15" t="str">
        <f>HYPERLINK("https://stat100.ameba.jp/tnk47/ratio20/illustrations/card/ill_77353_chayamusumekandamatsuri03.jpg?201910-1-RELEASE-raid-432x", "■")</f>
        <v>■</v>
      </c>
      <c r="F31" s="1" t="s">
        <v>7222</v>
      </c>
      <c r="G31" s="1">
        <v>109334</v>
      </c>
      <c r="H31" s="1">
        <v>101656</v>
      </c>
      <c r="I31" s="1">
        <v>24</v>
      </c>
      <c r="J31" s="1" t="s">
        <v>7223</v>
      </c>
      <c r="K31" s="1" t="s">
        <v>7221</v>
      </c>
      <c r="L31" s="1" t="s">
        <v>7220</v>
      </c>
      <c r="M31" s="1" t="s">
        <v>9158</v>
      </c>
      <c r="N31" s="1" t="s">
        <v>9158</v>
      </c>
      <c r="O31" s="1" t="s">
        <v>9158</v>
      </c>
      <c r="P31" s="1" t="s">
        <v>9158</v>
      </c>
      <c r="Q31" s="1" t="s">
        <v>9158</v>
      </c>
    </row>
    <row r="32" spans="1:18">
      <c r="A32" s="1">
        <v>64053</v>
      </c>
      <c r="B32" s="1" t="s">
        <v>7184</v>
      </c>
      <c r="C32" s="1" t="s">
        <v>7198</v>
      </c>
      <c r="D32" s="19" t="s">
        <v>10667</v>
      </c>
      <c r="E32" s="15" t="str">
        <f>HYPERLINK("https://stat100.ameba.jp/tnk47/ratio20/illustrations/card/ill_64053_yusuzumimyorinni03.jpg?201910-1-RELEASE-raid-432x", "■")</f>
        <v>■</v>
      </c>
      <c r="F32" s="1" t="s">
        <v>7202</v>
      </c>
      <c r="G32" s="1">
        <v>59280</v>
      </c>
      <c r="H32" s="1">
        <v>53768</v>
      </c>
      <c r="I32" s="1">
        <v>20</v>
      </c>
      <c r="J32" s="1" t="s">
        <v>7199</v>
      </c>
      <c r="K32" s="1" t="s">
        <v>7201</v>
      </c>
      <c r="L32" s="1" t="s">
        <v>7200</v>
      </c>
      <c r="M32" s="1" t="s">
        <v>9158</v>
      </c>
      <c r="N32" s="1" t="s">
        <v>9158</v>
      </c>
      <c r="O32" s="1" t="s">
        <v>9158</v>
      </c>
      <c r="P32" s="1" t="s">
        <v>9158</v>
      </c>
      <c r="Q32" s="1" t="s">
        <v>9158</v>
      </c>
    </row>
    <row r="33" spans="1:18">
      <c r="A33" s="1">
        <v>77363</v>
      </c>
      <c r="B33" s="1" t="s">
        <v>7184</v>
      </c>
      <c r="C33" s="1" t="s">
        <v>7205</v>
      </c>
      <c r="D33" s="19" t="s">
        <v>1533</v>
      </c>
      <c r="E33" s="15" t="str">
        <f>HYPERLINK("https://stat100.ameba.jp/tnk47/ratio20/illustrations/card/ill_77363_samonchan03.jpg?201910-1-RELEASE-raid-432x", "■")</f>
        <v>■</v>
      </c>
      <c r="F33" s="1" t="s">
        <v>7204</v>
      </c>
      <c r="G33" s="1">
        <v>59280</v>
      </c>
      <c r="H33" s="1">
        <v>53768</v>
      </c>
      <c r="I33" s="1">
        <v>20</v>
      </c>
      <c r="J33" s="1" t="s">
        <v>7176</v>
      </c>
      <c r="K33" s="1" t="s">
        <v>7203</v>
      </c>
      <c r="L33" s="1" t="s">
        <v>7203</v>
      </c>
      <c r="M33" s="1" t="s">
        <v>9158</v>
      </c>
      <c r="N33" s="1" t="s">
        <v>9158</v>
      </c>
      <c r="O33" s="1" t="s">
        <v>9158</v>
      </c>
      <c r="P33" s="1" t="s">
        <v>9158</v>
      </c>
      <c r="Q33" s="1" t="s">
        <v>9158</v>
      </c>
    </row>
    <row r="34" spans="1:18">
      <c r="A34" s="1">
        <v>74073</v>
      </c>
      <c r="B34" s="1" t="s">
        <v>7184</v>
      </c>
      <c r="C34" s="1" t="s">
        <v>7206</v>
      </c>
      <c r="D34" s="19" t="s">
        <v>10668</v>
      </c>
      <c r="E34" s="15" t="str">
        <f>HYPERLINK("https://stat100.ameba.jp/tnk47/ratio20/illustrations/card/ill_74073_toyotakerosho03.jpg?201910-1-RELEASE-raid-432x", "■")</f>
        <v>■</v>
      </c>
      <c r="F34" s="1" t="s">
        <v>7210</v>
      </c>
      <c r="G34" s="1">
        <v>59280</v>
      </c>
      <c r="H34" s="1">
        <v>53768</v>
      </c>
      <c r="I34" s="1">
        <v>20</v>
      </c>
      <c r="J34" s="1" t="s">
        <v>7207</v>
      </c>
      <c r="K34" s="1" t="s">
        <v>7209</v>
      </c>
      <c r="L34" s="1" t="s">
        <v>7208</v>
      </c>
      <c r="M34" s="1" t="s">
        <v>9158</v>
      </c>
      <c r="N34" s="1" t="s">
        <v>9158</v>
      </c>
      <c r="O34" s="1" t="s">
        <v>9158</v>
      </c>
      <c r="P34" s="1" t="s">
        <v>9158</v>
      </c>
      <c r="Q34" s="1" t="s">
        <v>9158</v>
      </c>
    </row>
    <row r="36" spans="1:18">
      <c r="A36" s="1" t="s">
        <v>7224</v>
      </c>
    </row>
    <row r="37" spans="1:18">
      <c r="A37" s="1" t="s">
        <v>7225</v>
      </c>
    </row>
    <row r="38" spans="1:18">
      <c r="A38" s="1" t="s">
        <v>6030</v>
      </c>
      <c r="B38" s="1" t="s">
        <v>52</v>
      </c>
      <c r="C38" s="1" t="s">
        <v>202</v>
      </c>
      <c r="D38" s="19" t="s">
        <v>10453</v>
      </c>
      <c r="E38" s="15" t="str">
        <f>HYPERLINK("https://stat100.ameba.jp/tnk47/ratio20/illustrations/card/ill_80023_0_hinamatsurikyogokumaria03.jpg?201910-2-RELEASE-unionbattle-433", "■")</f>
        <v>■</v>
      </c>
      <c r="F38" s="1" t="s">
        <v>3709</v>
      </c>
      <c r="G38" s="1">
        <v>323430</v>
      </c>
      <c r="H38" s="1">
        <v>357888</v>
      </c>
      <c r="I38" s="1">
        <v>24</v>
      </c>
      <c r="J38" s="1" t="s">
        <v>26</v>
      </c>
      <c r="K38" s="1" t="s">
        <v>3710</v>
      </c>
      <c r="L38" s="1" t="s">
        <v>3711</v>
      </c>
      <c r="M38" s="1" t="s">
        <v>9158</v>
      </c>
      <c r="N38" s="1" t="s">
        <v>9158</v>
      </c>
      <c r="O38" s="19" t="s">
        <v>10116</v>
      </c>
      <c r="P38" s="1" t="s">
        <v>3713</v>
      </c>
      <c r="Q38" s="1">
        <v>1</v>
      </c>
    </row>
    <row r="39" spans="1:18">
      <c r="A39" s="1">
        <v>83393</v>
      </c>
      <c r="B39" s="1" t="s">
        <v>334</v>
      </c>
      <c r="C39" s="1" t="s">
        <v>209</v>
      </c>
      <c r="D39" s="19" t="s">
        <v>10381</v>
      </c>
      <c r="E39" s="15" t="str">
        <f>HYPERLINK("https://stat100.ameba.jp/tnk47/ratio20/illustrations/card/ill_83393_rito03.jpg?201910-2-RELEASE-unionbattle-433", "■")</f>
        <v>■</v>
      </c>
      <c r="F39" s="1" t="s">
        <v>5735</v>
      </c>
      <c r="G39" s="1">
        <v>122476</v>
      </c>
      <c r="H39" s="1">
        <v>88706</v>
      </c>
      <c r="I39" s="1">
        <v>24</v>
      </c>
      <c r="J39" s="1" t="s">
        <v>38</v>
      </c>
      <c r="K39" s="1" t="s">
        <v>5738</v>
      </c>
      <c r="L39" s="1" t="s">
        <v>5400</v>
      </c>
      <c r="M39" s="1" t="s">
        <v>9158</v>
      </c>
      <c r="N39" s="1" t="s">
        <v>9158</v>
      </c>
      <c r="O39" s="19" t="s">
        <v>10098</v>
      </c>
      <c r="P39" s="1" t="s">
        <v>3491</v>
      </c>
      <c r="Q39" s="1">
        <v>1</v>
      </c>
    </row>
    <row r="40" spans="1:18">
      <c r="A40" s="1">
        <v>67993</v>
      </c>
      <c r="B40" s="1" t="s">
        <v>334</v>
      </c>
      <c r="C40" s="1" t="s">
        <v>205</v>
      </c>
      <c r="D40" s="19" t="s">
        <v>10183</v>
      </c>
      <c r="E40" s="15" t="str">
        <f>HYPERLINK("https://stat100.ameba.jp/tnk47/ratio20/illustrations/card/ill_67993_kurisumasupateikanekomisuzu03.jpg?201910-2-RELEASE-unionbattle-433", "■")</f>
        <v>■</v>
      </c>
      <c r="F40" s="1" t="s">
        <v>1286</v>
      </c>
      <c r="G40" s="1">
        <v>93746</v>
      </c>
      <c r="H40" s="1">
        <v>87128</v>
      </c>
      <c r="I40" s="1">
        <v>24</v>
      </c>
      <c r="J40" s="1" t="s">
        <v>10</v>
      </c>
      <c r="K40" s="1" t="s">
        <v>2547</v>
      </c>
      <c r="L40" s="1" t="s">
        <v>2548</v>
      </c>
      <c r="M40" s="1" t="s">
        <v>9158</v>
      </c>
      <c r="N40" s="1" t="s">
        <v>9158</v>
      </c>
      <c r="O40" s="19" t="s">
        <v>10086</v>
      </c>
      <c r="P40" s="1" t="s">
        <v>3701</v>
      </c>
      <c r="Q40" s="1">
        <v>1</v>
      </c>
    </row>
    <row r="41" spans="1:18">
      <c r="A41" s="1">
        <v>80163</v>
      </c>
      <c r="B41" s="1" t="s">
        <v>334</v>
      </c>
      <c r="C41" s="1" t="s">
        <v>158</v>
      </c>
      <c r="D41" s="19" t="s">
        <v>10391</v>
      </c>
      <c r="E41" s="15" t="str">
        <f>HYPERLINK("https://stat100.ameba.jp/tnk47/ratio20/illustrations/card/ill_80163_kuronosu03.jpg?201910-2-RELEASE-unionbattle-433", "■")</f>
        <v>■</v>
      </c>
      <c r="F41" s="1" t="s">
        <v>3766</v>
      </c>
      <c r="G41" s="1">
        <v>79348</v>
      </c>
      <c r="H41" s="1">
        <v>109554</v>
      </c>
      <c r="I41" s="1">
        <v>24</v>
      </c>
      <c r="J41" s="1" t="s">
        <v>44</v>
      </c>
      <c r="K41" s="1" t="s">
        <v>3767</v>
      </c>
      <c r="L41" s="1" t="s">
        <v>1209</v>
      </c>
      <c r="M41" s="1" t="s">
        <v>9158</v>
      </c>
      <c r="N41" s="1" t="s">
        <v>9158</v>
      </c>
      <c r="O41" s="19" t="s">
        <v>2752</v>
      </c>
      <c r="P41" s="1" t="s">
        <v>13123</v>
      </c>
      <c r="Q41" s="1">
        <v>1</v>
      </c>
    </row>
    <row r="43" spans="1:18">
      <c r="A43" s="1" t="s">
        <v>13327</v>
      </c>
    </row>
    <row r="44" spans="1:18">
      <c r="A44" s="1" t="s">
        <v>7226</v>
      </c>
    </row>
    <row r="45" spans="1:18">
      <c r="A45" s="1">
        <v>82213</v>
      </c>
      <c r="B45" s="1" t="s">
        <v>0</v>
      </c>
      <c r="C45" s="1" t="s">
        <v>185</v>
      </c>
      <c r="D45" s="19" t="s">
        <v>10185</v>
      </c>
      <c r="E45" s="15" t="str">
        <f>HYPERLINK("https://stat100.ameba.jp/tnk47/ratio20/illustrations/card/ill_82213_tatarimokke03.jpg?201910-2-RELEASE-unionbattle-433", "■")</f>
        <v>■</v>
      </c>
      <c r="F45" s="1" t="s">
        <v>4935</v>
      </c>
      <c r="G45" s="1">
        <v>109852</v>
      </c>
      <c r="H45" s="1">
        <v>118152</v>
      </c>
      <c r="I45" s="1">
        <v>24</v>
      </c>
      <c r="J45" s="1" t="s">
        <v>182</v>
      </c>
      <c r="K45" s="1" t="s">
        <v>4937</v>
      </c>
      <c r="L45" s="1" t="s">
        <v>13191</v>
      </c>
      <c r="M45" s="1" t="s">
        <v>13130</v>
      </c>
      <c r="N45" s="1" t="s">
        <v>343</v>
      </c>
      <c r="O45" s="1" t="s">
        <v>9158</v>
      </c>
      <c r="P45" s="1" t="s">
        <v>9158</v>
      </c>
      <c r="Q45" s="1" t="s">
        <v>9158</v>
      </c>
      <c r="R45" s="14" t="s">
        <v>14748</v>
      </c>
    </row>
    <row r="46" spans="1:18">
      <c r="A46" s="1">
        <v>82212</v>
      </c>
      <c r="B46" s="1" t="s">
        <v>334</v>
      </c>
      <c r="C46" s="1" t="s">
        <v>185</v>
      </c>
      <c r="D46" s="19" t="s">
        <v>10185</v>
      </c>
      <c r="E46" s="15" t="str">
        <f>HYPERLINK("https://stat100.ameba.jp/tnk47/ratio20/illustrations/card/ill_82212_tatarimokke02.jpg?201910-2-RELEASE-unionbattle-433", "■")</f>
        <v>■</v>
      </c>
      <c r="F46" s="1" t="s">
        <v>4935</v>
      </c>
      <c r="G46" s="1">
        <v>90984</v>
      </c>
      <c r="H46" s="1">
        <v>98768</v>
      </c>
      <c r="I46" s="1">
        <v>24</v>
      </c>
      <c r="J46" s="1" t="s">
        <v>182</v>
      </c>
      <c r="K46" s="1" t="s">
        <v>4937</v>
      </c>
      <c r="L46" s="1" t="s">
        <v>13191</v>
      </c>
      <c r="M46" s="1" t="s">
        <v>13131</v>
      </c>
      <c r="N46" s="1" t="s">
        <v>251</v>
      </c>
      <c r="O46" s="1" t="s">
        <v>9158</v>
      </c>
      <c r="P46" s="1" t="s">
        <v>9158</v>
      </c>
      <c r="Q46" s="1" t="s">
        <v>9158</v>
      </c>
      <c r="R46" s="14" t="s">
        <v>14748</v>
      </c>
    </row>
    <row r="47" spans="1:18">
      <c r="A47" s="1">
        <v>82211</v>
      </c>
      <c r="B47" s="1" t="s">
        <v>0</v>
      </c>
      <c r="C47" s="1" t="s">
        <v>185</v>
      </c>
      <c r="D47" s="19" t="s">
        <v>10185</v>
      </c>
      <c r="E47" s="15" t="str">
        <f>HYPERLINK("https://stat100.ameba.jp/tnk47/ratio20/illustrations/card/ill_82211_tatarimokke01.jpg?201910-2-RELEASE-unionbattle-433", "■")</f>
        <v>■</v>
      </c>
      <c r="F47" s="1" t="s">
        <v>4935</v>
      </c>
      <c r="G47" s="1">
        <v>70200</v>
      </c>
      <c r="H47" s="1">
        <v>75408</v>
      </c>
      <c r="I47" s="1">
        <v>24</v>
      </c>
      <c r="J47" s="1" t="s">
        <v>182</v>
      </c>
      <c r="K47" s="1" t="s">
        <v>4937</v>
      </c>
      <c r="L47" s="1" t="s">
        <v>13191</v>
      </c>
      <c r="M47" s="1" t="s">
        <v>13131</v>
      </c>
      <c r="N47" s="1" t="s">
        <v>251</v>
      </c>
      <c r="O47" s="1" t="s">
        <v>9158</v>
      </c>
      <c r="P47" s="1" t="s">
        <v>9158</v>
      </c>
      <c r="Q47" s="1" t="s">
        <v>9158</v>
      </c>
      <c r="R47" s="14" t="s">
        <v>14748</v>
      </c>
    </row>
    <row r="48" spans="1:18">
      <c r="A48" s="1">
        <v>82223</v>
      </c>
      <c r="B48" s="1" t="s">
        <v>334</v>
      </c>
      <c r="C48" s="1" t="s">
        <v>200</v>
      </c>
      <c r="D48" s="19" t="s">
        <v>10186</v>
      </c>
      <c r="E48" s="15" t="str">
        <f>HYPERLINK("https://stat100.ameba.jp/tnk47/ratio20/illustrations/card/ill_82223_oyayubihime03.jpg?201910-2-RELEASE-unionbattle-433", "■")</f>
        <v>■</v>
      </c>
      <c r="F48" s="1" t="s">
        <v>4931</v>
      </c>
      <c r="G48" s="1">
        <v>118152</v>
      </c>
      <c r="H48" s="1">
        <v>109852</v>
      </c>
      <c r="I48" s="1">
        <v>24</v>
      </c>
      <c r="J48" s="1" t="s">
        <v>155</v>
      </c>
      <c r="K48" s="1" t="s">
        <v>4933</v>
      </c>
      <c r="L48" s="1" t="s">
        <v>4934</v>
      </c>
      <c r="M48" s="1" t="s">
        <v>13130</v>
      </c>
      <c r="N48" s="1" t="s">
        <v>343</v>
      </c>
      <c r="O48" s="1" t="s">
        <v>9158</v>
      </c>
      <c r="P48" s="1" t="s">
        <v>9158</v>
      </c>
      <c r="Q48" s="1" t="s">
        <v>9158</v>
      </c>
      <c r="R48" s="14" t="s">
        <v>14748</v>
      </c>
    </row>
    <row r="49" spans="1:18">
      <c r="A49" s="1">
        <v>82233</v>
      </c>
      <c r="B49" s="1" t="s">
        <v>334</v>
      </c>
      <c r="C49" s="1" t="s">
        <v>191</v>
      </c>
      <c r="D49" s="19" t="s">
        <v>10187</v>
      </c>
      <c r="E49" s="15" t="str">
        <f>HYPERLINK("https://stat100.ameba.jp/tnk47/ratio20/illustrations/card/ill_82233_iseokiku03.jpg?201910-2-RELEASE-unionbattle-433", "■")</f>
        <v>■</v>
      </c>
      <c r="F49" s="1" t="s">
        <v>4924</v>
      </c>
      <c r="G49" s="1">
        <v>118152</v>
      </c>
      <c r="H49" s="1">
        <v>109852</v>
      </c>
      <c r="I49" s="1">
        <v>24</v>
      </c>
      <c r="J49" s="1" t="s">
        <v>187</v>
      </c>
      <c r="K49" s="1" t="s">
        <v>4926</v>
      </c>
      <c r="L49" s="1" t="s">
        <v>4930</v>
      </c>
      <c r="M49" s="1" t="s">
        <v>13130</v>
      </c>
      <c r="N49" s="1" t="s">
        <v>343</v>
      </c>
      <c r="O49" s="1" t="s">
        <v>9158</v>
      </c>
      <c r="P49" s="1" t="s">
        <v>9158</v>
      </c>
      <c r="Q49" s="1" t="s">
        <v>9158</v>
      </c>
      <c r="R49" s="14" t="s">
        <v>14748</v>
      </c>
    </row>
    <row r="50" spans="1:18">
      <c r="A50" s="1">
        <v>82243</v>
      </c>
      <c r="B50" s="1" t="s">
        <v>0</v>
      </c>
      <c r="C50" s="1" t="s">
        <v>165</v>
      </c>
      <c r="D50" s="19" t="s">
        <v>10188</v>
      </c>
      <c r="E50" s="15" t="str">
        <f>HYPERLINK("https://stat100.ameba.jp/tnk47/ratio20/illustrations/card/ill_82243_nanohana03.jpg?201910-2-RELEASE-unionbattle-433", "■")</f>
        <v>■</v>
      </c>
      <c r="F50" s="1" t="s">
        <v>4921</v>
      </c>
      <c r="G50" s="1">
        <v>118152</v>
      </c>
      <c r="H50" s="1">
        <v>109852</v>
      </c>
      <c r="I50" s="1">
        <v>24</v>
      </c>
      <c r="J50" s="1" t="s">
        <v>229</v>
      </c>
      <c r="K50" s="1" t="s">
        <v>4923</v>
      </c>
      <c r="L50" s="1" t="s">
        <v>4929</v>
      </c>
      <c r="M50" s="1" t="s">
        <v>13130</v>
      </c>
      <c r="N50" s="1" t="s">
        <v>343</v>
      </c>
      <c r="O50" s="1" t="s">
        <v>9158</v>
      </c>
      <c r="P50" s="1" t="s">
        <v>9158</v>
      </c>
      <c r="Q50" s="1" t="s">
        <v>9158</v>
      </c>
      <c r="R50" s="14" t="s">
        <v>14748</v>
      </c>
    </row>
    <row r="51" spans="1:18">
      <c r="A51" s="1">
        <v>82253</v>
      </c>
      <c r="B51" s="1" t="s">
        <v>334</v>
      </c>
      <c r="C51" s="1" t="s">
        <v>205</v>
      </c>
      <c r="D51" s="19" t="s">
        <v>10189</v>
      </c>
      <c r="E51" s="15" t="str">
        <f>HYPERLINK("https://stat100.ameba.jp/tnk47/ratio20/illustrations/card/ill_82253_ajisaikyogokuichiko03.jpg?201910-2-RELEASE-unionbattle-433", "■")</f>
        <v>■</v>
      </c>
      <c r="F51" s="1" t="s">
        <v>4920</v>
      </c>
      <c r="G51" s="1">
        <v>109852</v>
      </c>
      <c r="H51" s="1">
        <v>118152</v>
      </c>
      <c r="I51" s="1">
        <v>24</v>
      </c>
      <c r="J51" s="1" t="s">
        <v>159</v>
      </c>
      <c r="K51" s="1" t="s">
        <v>4919</v>
      </c>
      <c r="L51" s="1" t="s">
        <v>4927</v>
      </c>
      <c r="M51" s="1" t="s">
        <v>13130</v>
      </c>
      <c r="N51" s="1" t="s">
        <v>343</v>
      </c>
      <c r="O51" s="1" t="s">
        <v>9158</v>
      </c>
      <c r="P51" s="1" t="s">
        <v>9158</v>
      </c>
      <c r="Q51" s="1" t="s">
        <v>9158</v>
      </c>
      <c r="R51" s="14" t="s">
        <v>14748</v>
      </c>
    </row>
    <row r="52" spans="1:18">
      <c r="A52" s="1">
        <v>82263</v>
      </c>
      <c r="B52" s="1" t="s">
        <v>334</v>
      </c>
      <c r="C52" s="1" t="s">
        <v>206</v>
      </c>
      <c r="D52" s="19" t="s">
        <v>10190</v>
      </c>
      <c r="E52" s="15" t="str">
        <f>HYPERLINK("https://stat100.ameba.jp/tnk47/ratio20/illustrations/card/ill_82263_euterupe03.jpg?201910-2-RELEASE-unionbattle-433", "■")</f>
        <v>■</v>
      </c>
      <c r="F52" s="1" t="s">
        <v>4915</v>
      </c>
      <c r="G52" s="1">
        <v>109852</v>
      </c>
      <c r="H52" s="1">
        <v>118152</v>
      </c>
      <c r="I52" s="1">
        <v>24</v>
      </c>
      <c r="J52" s="1" t="s">
        <v>169</v>
      </c>
      <c r="K52" s="1" t="s">
        <v>4917</v>
      </c>
      <c r="L52" s="1" t="s">
        <v>4928</v>
      </c>
      <c r="M52" s="1" t="s">
        <v>13130</v>
      </c>
      <c r="N52" s="1" t="s">
        <v>343</v>
      </c>
      <c r="O52" s="1" t="s">
        <v>9158</v>
      </c>
      <c r="P52" s="1" t="s">
        <v>9158</v>
      </c>
      <c r="Q52" s="1" t="s">
        <v>9158</v>
      </c>
      <c r="R52" s="14" t="s">
        <v>14748</v>
      </c>
    </row>
    <row r="54" spans="1:18">
      <c r="A54" s="1" t="s">
        <v>7227</v>
      </c>
    </row>
    <row r="55" spans="1:18">
      <c r="A55" s="1" t="s">
        <v>7228</v>
      </c>
    </row>
    <row r="56" spans="1:18">
      <c r="A56" s="1" t="s">
        <v>5618</v>
      </c>
      <c r="B56" s="1" t="s">
        <v>52</v>
      </c>
      <c r="C56" s="1" t="s">
        <v>23</v>
      </c>
      <c r="D56" s="19" t="s">
        <v>665</v>
      </c>
      <c r="E56" s="15" t="str">
        <f>HYPERLINK("https://stat100.ameba.jp/tnk47/ratio20/illustrations/card/ill_63173_0_minazukikonakaiteruko03.jpg?201910-2-RELEASE-unionbattle-433", "■")</f>
        <v>■</v>
      </c>
      <c r="F56" s="1" t="s">
        <v>1188</v>
      </c>
      <c r="G56" s="1">
        <v>208310</v>
      </c>
      <c r="H56" s="1">
        <v>224026</v>
      </c>
      <c r="I56" s="1">
        <v>24</v>
      </c>
      <c r="J56" s="1" t="s">
        <v>143</v>
      </c>
      <c r="K56" s="1" t="s">
        <v>1189</v>
      </c>
      <c r="L56" s="1" t="s">
        <v>1190</v>
      </c>
      <c r="M56" s="1" t="s">
        <v>9158</v>
      </c>
      <c r="N56" s="1" t="s">
        <v>9158</v>
      </c>
      <c r="O56" s="19" t="s">
        <v>10079</v>
      </c>
      <c r="P56" s="1" t="s">
        <v>3329</v>
      </c>
      <c r="Q56" s="1">
        <v>1</v>
      </c>
    </row>
    <row r="57" spans="1:18">
      <c r="A57" s="1" t="s">
        <v>5734</v>
      </c>
      <c r="B57" s="1" t="s">
        <v>330</v>
      </c>
      <c r="C57" s="1" t="s">
        <v>202</v>
      </c>
      <c r="D57" s="19" t="s">
        <v>1497</v>
      </c>
      <c r="E57" s="15" t="str">
        <f>HYPERLINK("https://stat100.ameba.jp/tnk47/ratio20/illustrations/card/ill_74593_0_natsuyuenchikoshihikari03.jpg?201910-2-RELEASE-unionbattle-433", "■")</f>
        <v>■</v>
      </c>
      <c r="F57" s="1" t="s">
        <v>1498</v>
      </c>
      <c r="G57" s="1">
        <v>259994</v>
      </c>
      <c r="H57" s="1">
        <v>241708</v>
      </c>
      <c r="I57" s="1">
        <v>24</v>
      </c>
      <c r="J57" s="1" t="s">
        <v>283</v>
      </c>
      <c r="K57" s="1" t="s">
        <v>1499</v>
      </c>
      <c r="L57" s="1" t="s">
        <v>1500</v>
      </c>
      <c r="M57" s="1" t="s">
        <v>9158</v>
      </c>
      <c r="N57" s="1" t="s">
        <v>9158</v>
      </c>
      <c r="O57" s="19" t="s">
        <v>2731</v>
      </c>
      <c r="P57" s="1" t="s">
        <v>2732</v>
      </c>
      <c r="Q57" s="1">
        <v>1</v>
      </c>
    </row>
    <row r="58" spans="1:18">
      <c r="A58" s="1">
        <v>84323</v>
      </c>
      <c r="B58" s="1" t="s">
        <v>7231</v>
      </c>
      <c r="C58" s="1" t="s">
        <v>7281</v>
      </c>
      <c r="D58" s="19" t="s">
        <v>10669</v>
      </c>
      <c r="E58" s="15" t="str">
        <f>HYPERLINK("https://stat100.ameba.jp/tnk47/ratio20/illustrations/card/ill_84323_kagizumebyakko03.jpg?201910-2-RELEASE-unionbattle-433", "■")</f>
        <v>■</v>
      </c>
      <c r="F58" s="1" t="s">
        <v>7284</v>
      </c>
      <c r="G58" s="1">
        <v>122366</v>
      </c>
      <c r="H58" s="1">
        <v>88624</v>
      </c>
      <c r="I58" s="1">
        <v>24</v>
      </c>
      <c r="J58" s="1" t="s">
        <v>155</v>
      </c>
      <c r="K58" s="1" t="s">
        <v>7283</v>
      </c>
      <c r="L58" s="1" t="s">
        <v>7282</v>
      </c>
      <c r="M58" s="1" t="s">
        <v>9158</v>
      </c>
      <c r="N58" s="1" t="s">
        <v>9158</v>
      </c>
      <c r="O58" s="19" t="s">
        <v>10109</v>
      </c>
      <c r="P58" s="1" t="s">
        <v>3625</v>
      </c>
      <c r="Q58" s="1">
        <v>1</v>
      </c>
    </row>
    <row r="59" spans="1:18">
      <c r="A59" s="1">
        <v>75893</v>
      </c>
      <c r="B59" s="1" t="s">
        <v>0</v>
      </c>
      <c r="C59" s="1" t="s">
        <v>158</v>
      </c>
      <c r="D59" s="19" t="s">
        <v>3095</v>
      </c>
      <c r="E59" s="15" t="str">
        <f>HYPERLINK("https://stat100.ameba.jp/tnk47/ratio20/illustrations/card/ill_75893_hamamatsutakuni03.jpg?201910-2-RELEASE-unionbattle-433", "■")</f>
        <v>■</v>
      </c>
      <c r="F59" s="1" t="s">
        <v>3594</v>
      </c>
      <c r="G59" s="1">
        <v>104385</v>
      </c>
      <c r="H59" s="1">
        <v>75627</v>
      </c>
      <c r="I59" s="1">
        <v>23</v>
      </c>
      <c r="J59" s="1" t="s">
        <v>16</v>
      </c>
      <c r="K59" s="1" t="s">
        <v>3595</v>
      </c>
      <c r="L59" s="1" t="s">
        <v>920</v>
      </c>
      <c r="M59" s="1" t="s">
        <v>9158</v>
      </c>
      <c r="N59" s="1" t="s">
        <v>9158</v>
      </c>
      <c r="O59" s="19" t="s">
        <v>3037</v>
      </c>
      <c r="P59" s="1" t="s">
        <v>13128</v>
      </c>
      <c r="Q59" s="1">
        <v>1</v>
      </c>
    </row>
    <row r="60" spans="1:18">
      <c r="A60" s="1">
        <v>75083</v>
      </c>
      <c r="B60" s="1" t="s">
        <v>334</v>
      </c>
      <c r="C60" s="1" t="s">
        <v>209</v>
      </c>
      <c r="D60" s="19" t="s">
        <v>10401</v>
      </c>
      <c r="E60" s="15" t="str">
        <f>HYPERLINK("https://stat100.ameba.jp/tnk47/ratio20/illustrations/card/ill_75083_sukumizuhanakosan03.jpg?201910-2-RELEASE-unionbattle-433", "■")</f>
        <v>■</v>
      </c>
      <c r="F60" s="1" t="s">
        <v>1020</v>
      </c>
      <c r="G60" s="1">
        <v>107251</v>
      </c>
      <c r="H60" s="1">
        <v>77700</v>
      </c>
      <c r="I60" s="1">
        <v>23</v>
      </c>
      <c r="J60" s="1" t="s">
        <v>73</v>
      </c>
      <c r="K60" s="1" t="s">
        <v>1021</v>
      </c>
      <c r="L60" s="1" t="s">
        <v>1022</v>
      </c>
      <c r="M60" s="1" t="s">
        <v>9158</v>
      </c>
      <c r="N60" s="1" t="s">
        <v>9158</v>
      </c>
      <c r="O60" s="19" t="s">
        <v>10105</v>
      </c>
      <c r="P60" s="1" t="s">
        <v>3416</v>
      </c>
      <c r="Q60" s="1">
        <v>1</v>
      </c>
    </row>
    <row r="61" spans="1:18">
      <c r="A61" s="1">
        <v>58263</v>
      </c>
      <c r="B61" s="1" t="s">
        <v>334</v>
      </c>
      <c r="C61" s="1" t="s">
        <v>203</v>
      </c>
      <c r="D61" s="19" t="s">
        <v>679</v>
      </c>
      <c r="E61" s="15" t="str">
        <f>HYPERLINK("https://stat100.ameba.jp/tnk47/ratio20/illustrations/card/ill_58263_tamayorigozen03.jpg?201910-2-RELEASE-unionbattle-433", "■")</f>
        <v>■</v>
      </c>
      <c r="F61" s="1" t="s">
        <v>680</v>
      </c>
      <c r="G61" s="1">
        <v>72819</v>
      </c>
      <c r="H61" s="1">
        <v>100519</v>
      </c>
      <c r="I61" s="1">
        <v>23</v>
      </c>
      <c r="J61" s="1" t="s">
        <v>351</v>
      </c>
      <c r="K61" s="1" t="s">
        <v>681</v>
      </c>
      <c r="L61" s="1" t="s">
        <v>682</v>
      </c>
      <c r="M61" s="1" t="s">
        <v>9158</v>
      </c>
      <c r="N61" s="1" t="s">
        <v>9158</v>
      </c>
      <c r="O61" s="1" t="s">
        <v>9158</v>
      </c>
      <c r="P61" s="1" t="s">
        <v>9158</v>
      </c>
      <c r="Q61" s="1" t="s">
        <v>9158</v>
      </c>
    </row>
    <row r="62" spans="1:18">
      <c r="A62" s="1">
        <v>60183</v>
      </c>
      <c r="B62" s="1" t="s">
        <v>334</v>
      </c>
      <c r="C62" s="1" t="s">
        <v>209</v>
      </c>
      <c r="D62" s="19" t="s">
        <v>444</v>
      </c>
      <c r="E62" s="15" t="str">
        <f>HYPERLINK("https://stat100.ameba.jp/tnk47/ratio20/illustrations/card/ill_60183_aizuyaichi03.jpg?201910-2-RELEASE-unionbattle-433", "■")</f>
        <v>■</v>
      </c>
      <c r="F62" s="1" t="s">
        <v>1035</v>
      </c>
      <c r="G62" s="1">
        <v>75627</v>
      </c>
      <c r="H62" s="1">
        <v>104385</v>
      </c>
      <c r="I62" s="1">
        <v>23</v>
      </c>
      <c r="J62" s="1" t="s">
        <v>16</v>
      </c>
      <c r="K62" s="1" t="s">
        <v>1036</v>
      </c>
      <c r="L62" s="1" t="s">
        <v>1037</v>
      </c>
      <c r="M62" s="1" t="s">
        <v>9158</v>
      </c>
      <c r="N62" s="1" t="s">
        <v>9158</v>
      </c>
      <c r="O62" s="1" t="s">
        <v>9158</v>
      </c>
      <c r="P62" s="1" t="s">
        <v>9158</v>
      </c>
      <c r="Q62" s="1" t="s">
        <v>9158</v>
      </c>
    </row>
    <row r="63" spans="1:18">
      <c r="A63" s="1">
        <v>61343</v>
      </c>
      <c r="B63" s="1" t="s">
        <v>334</v>
      </c>
      <c r="C63" s="1" t="s">
        <v>154</v>
      </c>
      <c r="D63" s="19" t="s">
        <v>10520</v>
      </c>
      <c r="E63" s="15" t="str">
        <f>HYPERLINK("https://stat100.ameba.jp/tnk47/ratio20/illustrations/card/ill_61343_amaiyumechacha03.jpg?201910-2-RELEASE-unionbattle-433", "■")</f>
        <v>■</v>
      </c>
      <c r="F63" s="1" t="s">
        <v>683</v>
      </c>
      <c r="G63" s="1">
        <v>72819</v>
      </c>
      <c r="H63" s="1">
        <v>100519</v>
      </c>
      <c r="I63" s="1">
        <v>23</v>
      </c>
      <c r="J63" s="1" t="s">
        <v>315</v>
      </c>
      <c r="K63" s="1" t="s">
        <v>684</v>
      </c>
      <c r="L63" s="1" t="s">
        <v>608</v>
      </c>
      <c r="M63" s="1" t="s">
        <v>9158</v>
      </c>
      <c r="N63" s="1" t="s">
        <v>9158</v>
      </c>
      <c r="O63" s="1" t="s">
        <v>9158</v>
      </c>
      <c r="P63" s="1" t="s">
        <v>9158</v>
      </c>
      <c r="Q63" s="1" t="s">
        <v>9158</v>
      </c>
    </row>
    <row r="65" spans="1:17">
      <c r="A65" s="1" t="s">
        <v>7229</v>
      </c>
    </row>
    <row r="66" spans="1:17">
      <c r="A66" s="1" t="s">
        <v>7230</v>
      </c>
    </row>
    <row r="67" spans="1:17">
      <c r="A67" s="1" t="s">
        <v>7648</v>
      </c>
    </row>
    <row r="68" spans="1:17">
      <c r="A68" s="1" t="s">
        <v>7150</v>
      </c>
      <c r="B68" s="1" t="s">
        <v>52</v>
      </c>
      <c r="C68" s="1" t="s">
        <v>202</v>
      </c>
      <c r="D68" s="19" t="s">
        <v>10656</v>
      </c>
      <c r="E68" s="15" t="str">
        <f>HYPERLINK("https://stat100.ameba.jp/tnk47/ratio20/illustrations/card/ill_84203_0_tarottofujiwaranoshoshi03.jpg?201910-2-RELEASE-unionbattle-433", "■")</f>
        <v>■</v>
      </c>
      <c r="F68" s="1" t="s">
        <v>7153</v>
      </c>
      <c r="G68" s="1">
        <v>220780</v>
      </c>
      <c r="H68" s="1">
        <v>199554</v>
      </c>
      <c r="I68" s="1">
        <v>15</v>
      </c>
      <c r="J68" s="1" t="s">
        <v>10</v>
      </c>
      <c r="K68" s="1" t="s">
        <v>7152</v>
      </c>
      <c r="L68" s="1" t="s">
        <v>7151</v>
      </c>
      <c r="M68" s="1" t="s">
        <v>9158</v>
      </c>
      <c r="N68" s="1" t="s">
        <v>9158</v>
      </c>
      <c r="O68" s="19" t="s">
        <v>10128</v>
      </c>
      <c r="P68" s="1" t="s">
        <v>7154</v>
      </c>
      <c r="Q68" s="1">
        <v>1</v>
      </c>
    </row>
    <row r="69" spans="1:17">
      <c r="A69" s="1">
        <v>84253</v>
      </c>
      <c r="B69" s="1" t="s">
        <v>7231</v>
      </c>
      <c r="C69" s="1" t="s">
        <v>7235</v>
      </c>
      <c r="D69" s="19" t="s">
        <v>10670</v>
      </c>
      <c r="E69" s="15" t="str">
        <f>HYPERLINK("https://stat100.ameba.jp/tnk47/ratio20/illustrations/card/ill_84253_yokaitaisenkushinadahime03.jpg?201910-2-RELEASE-unionbattle-433", "■")</f>
        <v>■</v>
      </c>
      <c r="F69" s="1" t="s">
        <v>7240</v>
      </c>
      <c r="G69" s="1">
        <v>101971</v>
      </c>
      <c r="H69" s="1">
        <v>94802</v>
      </c>
      <c r="I69" s="1">
        <v>25</v>
      </c>
      <c r="J69" s="1" t="s">
        <v>7241</v>
      </c>
      <c r="K69" s="1" t="s">
        <v>7242</v>
      </c>
      <c r="L69" s="1" t="s">
        <v>7243</v>
      </c>
      <c r="M69" s="1" t="s">
        <v>9158</v>
      </c>
      <c r="N69" s="1" t="s">
        <v>9158</v>
      </c>
      <c r="O69" s="1" t="s">
        <v>9158</v>
      </c>
      <c r="P69" s="1" t="s">
        <v>9158</v>
      </c>
      <c r="Q69" s="1" t="s">
        <v>9158</v>
      </c>
    </row>
    <row r="70" spans="1:17">
      <c r="A70" s="1">
        <v>84263</v>
      </c>
      <c r="B70" s="1" t="s">
        <v>7232</v>
      </c>
      <c r="C70" s="1" t="s">
        <v>7236</v>
      </c>
      <c r="D70" s="19" t="s">
        <v>10671</v>
      </c>
      <c r="E70" s="15" t="str">
        <f>HYPERLINK("https://stat100.ameba.jp/tnk47/ratio20/illustrations/card/ill_84263_isotengu03.jpg?201910-2-RELEASE-unionbattle-433", "■")</f>
        <v>■</v>
      </c>
      <c r="F70" s="1" t="s">
        <v>7247</v>
      </c>
      <c r="G70" s="1">
        <v>67210</v>
      </c>
      <c r="H70" s="1">
        <v>74100</v>
      </c>
      <c r="I70" s="1">
        <v>25</v>
      </c>
      <c r="J70" s="1" t="s">
        <v>7246</v>
      </c>
      <c r="K70" s="1" t="s">
        <v>7245</v>
      </c>
      <c r="L70" s="1" t="s">
        <v>7244</v>
      </c>
      <c r="M70" s="1" t="s">
        <v>9158</v>
      </c>
      <c r="N70" s="1" t="s">
        <v>9158</v>
      </c>
      <c r="O70" s="1" t="s">
        <v>9158</v>
      </c>
      <c r="P70" s="1" t="s">
        <v>9158</v>
      </c>
      <c r="Q70" s="1" t="s">
        <v>9158</v>
      </c>
    </row>
    <row r="71" spans="1:17">
      <c r="A71" s="1">
        <v>84273</v>
      </c>
      <c r="B71" s="1" t="s">
        <v>7233</v>
      </c>
      <c r="C71" s="1" t="s">
        <v>7237</v>
      </c>
      <c r="D71" s="19" t="s">
        <v>10672</v>
      </c>
      <c r="E71" s="15" t="str">
        <f>HYPERLINK("https://stat100.ameba.jp/tnk47/ratio20/illustrations/card/ill_84273_akaude03.jpg?201910-2-RELEASE-unionbattle-433", "■")</f>
        <v>■</v>
      </c>
      <c r="F71" s="1" t="s">
        <v>7251</v>
      </c>
      <c r="G71" s="1">
        <v>43662</v>
      </c>
      <c r="H71" s="1">
        <v>36304</v>
      </c>
      <c r="I71" s="1">
        <v>21</v>
      </c>
      <c r="J71" s="1" t="s">
        <v>7250</v>
      </c>
      <c r="K71" s="1" t="s">
        <v>7249</v>
      </c>
      <c r="L71" s="1" t="s">
        <v>7248</v>
      </c>
      <c r="M71" s="1" t="s">
        <v>9158</v>
      </c>
      <c r="N71" s="1" t="s">
        <v>9158</v>
      </c>
      <c r="O71" s="1" t="s">
        <v>9158</v>
      </c>
      <c r="P71" s="1" t="s">
        <v>9158</v>
      </c>
      <c r="Q71" s="1" t="s">
        <v>9158</v>
      </c>
    </row>
    <row r="72" spans="1:17">
      <c r="A72" s="1">
        <v>84283</v>
      </c>
      <c r="B72" s="1" t="s">
        <v>7234</v>
      </c>
      <c r="C72" s="1" t="s">
        <v>7238</v>
      </c>
      <c r="D72" s="19" t="s">
        <v>10673</v>
      </c>
      <c r="E72" s="15" t="str">
        <f>HYPERLINK("https://stat100.ameba.jp/tnk47/ratio20/illustrations/card/ill_84283_taimashigaru03.jpg?201910-2-RELEASE-unionbattle-433", "■")</f>
        <v>■</v>
      </c>
      <c r="F72" s="1" t="s">
        <v>7255</v>
      </c>
      <c r="G72" s="1">
        <v>22200</v>
      </c>
      <c r="H72" s="1">
        <v>26434</v>
      </c>
      <c r="I72" s="1">
        <v>21</v>
      </c>
      <c r="J72" s="1" t="s">
        <v>7254</v>
      </c>
      <c r="K72" s="1" t="s">
        <v>7253</v>
      </c>
      <c r="L72" s="1" t="s">
        <v>7252</v>
      </c>
      <c r="M72" s="1" t="s">
        <v>9158</v>
      </c>
      <c r="N72" s="1" t="s">
        <v>9158</v>
      </c>
      <c r="O72" s="1" t="s">
        <v>9158</v>
      </c>
      <c r="P72" s="1" t="s">
        <v>9158</v>
      </c>
      <c r="Q72" s="1" t="s">
        <v>9158</v>
      </c>
    </row>
    <row r="74" spans="1:17">
      <c r="A74" s="1" t="s">
        <v>7239</v>
      </c>
    </row>
    <row r="75" spans="1:17">
      <c r="A75" s="1" t="s">
        <v>7257</v>
      </c>
    </row>
    <row r="76" spans="1:17">
      <c r="A76" s="1" t="s">
        <v>5606</v>
      </c>
      <c r="B76" s="1" t="s">
        <v>52</v>
      </c>
      <c r="C76" s="1" t="s">
        <v>206</v>
      </c>
      <c r="D76" s="19" t="s">
        <v>2936</v>
      </c>
      <c r="E76" s="15" t="str">
        <f>HYPERLINK("https://stat100.ameba.jp/tnk47/ratio20/illustrations/card/ill_72233_0_koinoboriryugujin03.jpg?201910-2-RELEASE-unionbattle-433", "■")</f>
        <v>■</v>
      </c>
      <c r="F76" s="1" t="s">
        <v>1012</v>
      </c>
      <c r="G76" s="1">
        <v>150871</v>
      </c>
      <c r="H76" s="1">
        <v>162279</v>
      </c>
      <c r="I76" s="1">
        <v>23</v>
      </c>
      <c r="J76" s="1" t="s">
        <v>44</v>
      </c>
      <c r="K76" s="1" t="s">
        <v>1013</v>
      </c>
      <c r="L76" s="1" t="s">
        <v>1014</v>
      </c>
      <c r="M76" s="1" t="s">
        <v>9158</v>
      </c>
      <c r="N76" s="1" t="s">
        <v>9158</v>
      </c>
      <c r="O76" s="19" t="s">
        <v>2940</v>
      </c>
      <c r="P76" s="1" t="s">
        <v>3420</v>
      </c>
      <c r="Q76" s="1">
        <v>2</v>
      </c>
    </row>
    <row r="77" spans="1:17">
      <c r="A77" s="1" t="s">
        <v>5603</v>
      </c>
      <c r="B77" s="1" t="s">
        <v>330</v>
      </c>
      <c r="C77" s="1" t="s">
        <v>205</v>
      </c>
      <c r="D77" s="19" t="s">
        <v>611</v>
      </c>
      <c r="E77" s="15" t="str">
        <f>HYPERLINK("https://stat100.ameba.jp/tnk47/ratio20/illustrations/card/ill_61893_0_onikirishumiyamotomusashi03.jpg?201910-2-RELEASE-unionbattle-433", "■")</f>
        <v>■</v>
      </c>
      <c r="F77" s="1" t="s">
        <v>612</v>
      </c>
      <c r="G77" s="1">
        <v>214692</v>
      </c>
      <c r="H77" s="1">
        <v>199630</v>
      </c>
      <c r="I77" s="1">
        <v>23</v>
      </c>
      <c r="J77" s="1" t="s">
        <v>310</v>
      </c>
      <c r="K77" s="1" t="s">
        <v>613</v>
      </c>
      <c r="L77" s="1" t="s">
        <v>312</v>
      </c>
      <c r="M77" s="1" t="s">
        <v>9158</v>
      </c>
      <c r="N77" s="1" t="s">
        <v>9158</v>
      </c>
      <c r="O77" s="19" t="s">
        <v>10071</v>
      </c>
      <c r="P77" s="1" t="s">
        <v>3253</v>
      </c>
      <c r="Q77" s="1">
        <v>1</v>
      </c>
    </row>
    <row r="78" spans="1:17">
      <c r="A78" s="1" t="s">
        <v>5830</v>
      </c>
      <c r="B78" s="1" t="s">
        <v>330</v>
      </c>
      <c r="C78" s="1" t="s">
        <v>191</v>
      </c>
      <c r="D78" s="19" t="s">
        <v>793</v>
      </c>
      <c r="E78" s="15" t="str">
        <f>HYPERLINK("https://stat100.ameba.jp/tnk47/ratio20/illustrations/card/ill_39933_0_reihiiinaotora03.jpg?201910-2-RELEASE-unionbattle-433", "■")</f>
        <v>■</v>
      </c>
      <c r="F78" s="1" t="s">
        <v>794</v>
      </c>
      <c r="G78" s="1">
        <v>126058</v>
      </c>
      <c r="H78" s="1">
        <v>134596</v>
      </c>
      <c r="I78" s="1">
        <v>23</v>
      </c>
      <c r="J78" s="1" t="s">
        <v>315</v>
      </c>
      <c r="K78" s="1" t="s">
        <v>795</v>
      </c>
      <c r="L78" s="1" t="s">
        <v>796</v>
      </c>
      <c r="M78" s="1" t="s">
        <v>9158</v>
      </c>
      <c r="N78" s="1" t="s">
        <v>9158</v>
      </c>
      <c r="O78" s="1" t="s">
        <v>9158</v>
      </c>
      <c r="P78" s="1" t="s">
        <v>9158</v>
      </c>
      <c r="Q78" s="1" t="s">
        <v>9158</v>
      </c>
    </row>
    <row r="79" spans="1:17">
      <c r="A79" s="1">
        <v>84253</v>
      </c>
      <c r="B79" s="1" t="s">
        <v>7231</v>
      </c>
      <c r="C79" s="1" t="s">
        <v>7235</v>
      </c>
      <c r="D79" s="19" t="s">
        <v>10670</v>
      </c>
      <c r="E79" s="15" t="str">
        <f>HYPERLINK("https://stat100.ameba.jp/tnk47/ratio20/illustrations/card/ill_84253_yokaitaisenkushinadahime03.jpg?201910-2-RELEASE-unionbattle-433", "■")</f>
        <v>■</v>
      </c>
      <c r="F79" s="1" t="s">
        <v>7240</v>
      </c>
      <c r="G79" s="1">
        <v>97894</v>
      </c>
      <c r="H79" s="1">
        <v>91010</v>
      </c>
      <c r="I79" s="1">
        <v>24</v>
      </c>
      <c r="J79" s="1" t="s">
        <v>7241</v>
      </c>
      <c r="K79" s="1" t="s">
        <v>7242</v>
      </c>
      <c r="L79" s="1" t="s">
        <v>7243</v>
      </c>
      <c r="M79" s="1" t="s">
        <v>9158</v>
      </c>
      <c r="N79" s="1" t="s">
        <v>9158</v>
      </c>
      <c r="O79" s="1" t="s">
        <v>9158</v>
      </c>
      <c r="P79" s="1" t="s">
        <v>9158</v>
      </c>
      <c r="Q79" s="1" t="s">
        <v>9158</v>
      </c>
    </row>
    <row r="80" spans="1:17">
      <c r="A80" s="1">
        <v>84263</v>
      </c>
      <c r="B80" s="1" t="s">
        <v>7232</v>
      </c>
      <c r="C80" s="1" t="s">
        <v>7236</v>
      </c>
      <c r="D80" s="19" t="s">
        <v>10671</v>
      </c>
      <c r="E80" s="15" t="str">
        <f>HYPERLINK("https://stat100.ameba.jp/tnk47/ratio20/illustrations/card/ill_84263_isotengu03.jpg?201910-2-RELEASE-unionbattle-433", "■")</f>
        <v>■</v>
      </c>
      <c r="F80" s="1" t="s">
        <v>7247</v>
      </c>
      <c r="G80" s="1">
        <v>48390</v>
      </c>
      <c r="H80" s="1">
        <v>53352</v>
      </c>
      <c r="I80" s="1">
        <v>18</v>
      </c>
      <c r="J80" s="1" t="s">
        <v>7246</v>
      </c>
      <c r="K80" s="1" t="s">
        <v>7245</v>
      </c>
      <c r="L80" s="1" t="s">
        <v>7244</v>
      </c>
      <c r="M80" s="1" t="s">
        <v>9158</v>
      </c>
      <c r="N80" s="1" t="s">
        <v>9158</v>
      </c>
      <c r="O80" s="1" t="s">
        <v>9158</v>
      </c>
      <c r="P80" s="1" t="s">
        <v>9158</v>
      </c>
      <c r="Q80" s="1" t="s">
        <v>9158</v>
      </c>
    </row>
    <row r="81" spans="1:17">
      <c r="A81" s="1">
        <v>84273</v>
      </c>
      <c r="B81" s="1" t="s">
        <v>7233</v>
      </c>
      <c r="C81" s="1" t="s">
        <v>7237</v>
      </c>
      <c r="D81" s="19" t="s">
        <v>10672</v>
      </c>
      <c r="E81" s="15" t="str">
        <f>HYPERLINK("https://stat100.ameba.jp/tnk47/ratio20/illustrations/card/ill_84273_akaude03.jpg?201910-2-RELEASE-unionbattle-433", "■")</f>
        <v>■</v>
      </c>
      <c r="F81" s="1" t="s">
        <v>7251</v>
      </c>
      <c r="G81" s="1">
        <v>33266</v>
      </c>
      <c r="H81" s="1">
        <v>27660</v>
      </c>
      <c r="I81" s="1">
        <v>16</v>
      </c>
      <c r="J81" s="1" t="s">
        <v>7250</v>
      </c>
      <c r="K81" s="1" t="s">
        <v>7249</v>
      </c>
      <c r="L81" s="1" t="s">
        <v>7248</v>
      </c>
      <c r="M81" s="1" t="s">
        <v>9158</v>
      </c>
      <c r="N81" s="1" t="s">
        <v>9158</v>
      </c>
      <c r="O81" s="1" t="s">
        <v>9158</v>
      </c>
      <c r="P81" s="1" t="s">
        <v>9158</v>
      </c>
      <c r="Q81" s="1" t="s">
        <v>9158</v>
      </c>
    </row>
    <row r="82" spans="1:17">
      <c r="A82" s="1">
        <v>84283</v>
      </c>
      <c r="B82" s="1" t="s">
        <v>7234</v>
      </c>
      <c r="C82" s="1" t="s">
        <v>7238</v>
      </c>
      <c r="D82" s="19" t="s">
        <v>10673</v>
      </c>
      <c r="E82" s="15" t="str">
        <f>HYPERLINK("https://stat100.ameba.jp/tnk47/ratio20/illustrations/card/ill_84283_taimashigaru03.jpg?201910-2-RELEASE-unionbattle-433", "■")</f>
        <v>■</v>
      </c>
      <c r="F82" s="1" t="s">
        <v>7255</v>
      </c>
      <c r="G82" s="1">
        <v>16914</v>
      </c>
      <c r="H82" s="1">
        <v>20140</v>
      </c>
      <c r="I82" s="1">
        <v>16</v>
      </c>
      <c r="J82" s="1" t="s">
        <v>7254</v>
      </c>
      <c r="K82" s="1" t="s">
        <v>7253</v>
      </c>
      <c r="L82" s="1" t="s">
        <v>7252</v>
      </c>
      <c r="M82" s="1" t="s">
        <v>9158</v>
      </c>
      <c r="N82" s="1" t="s">
        <v>9158</v>
      </c>
      <c r="O82" s="1" t="s">
        <v>9158</v>
      </c>
      <c r="P82" s="1" t="s">
        <v>9158</v>
      </c>
      <c r="Q82" s="1" t="s">
        <v>9158</v>
      </c>
    </row>
    <row r="84" spans="1:17">
      <c r="A84" s="1" t="s">
        <v>7256</v>
      </c>
    </row>
    <row r="85" spans="1:17">
      <c r="A85" s="1" t="s">
        <v>7258</v>
      </c>
    </row>
    <row r="86" spans="1:17">
      <c r="A86" s="1" t="s">
        <v>5642</v>
      </c>
      <c r="B86" s="1" t="s">
        <v>330</v>
      </c>
      <c r="C86" s="1" t="s">
        <v>185</v>
      </c>
      <c r="D86" s="19" t="s">
        <v>3086</v>
      </c>
      <c r="E86" s="15" t="str">
        <f>HYPERLINK("https://stat100.ameba.jp/tnk47/ratio20/illustrations/card/ill_69593_0_setsubunyukionna03.jpg?201910-2-RELEASE-unionbattle-433", "■")</f>
        <v>■</v>
      </c>
      <c r="F86" s="1" t="s">
        <v>3087</v>
      </c>
      <c r="G86" s="1">
        <v>107146</v>
      </c>
      <c r="H86" s="1">
        <v>115249</v>
      </c>
      <c r="I86" s="1">
        <v>15</v>
      </c>
      <c r="J86" s="1" t="s">
        <v>320</v>
      </c>
      <c r="K86" s="1" t="s">
        <v>3088</v>
      </c>
      <c r="L86" s="1" t="s">
        <v>3089</v>
      </c>
      <c r="M86" s="1" t="s">
        <v>9158</v>
      </c>
      <c r="N86" s="1" t="s">
        <v>9158</v>
      </c>
      <c r="O86" s="19" t="s">
        <v>3090</v>
      </c>
      <c r="P86" s="1" t="s">
        <v>3091</v>
      </c>
      <c r="Q86" s="1">
        <v>2</v>
      </c>
    </row>
    <row r="87" spans="1:17">
      <c r="A87" s="1" t="s">
        <v>5901</v>
      </c>
      <c r="B87" s="1" t="s">
        <v>52</v>
      </c>
      <c r="C87" s="1" t="s">
        <v>101</v>
      </c>
      <c r="D87" s="19" t="s">
        <v>1426</v>
      </c>
      <c r="E87" s="15" t="str">
        <f>HYPERLINK("https://stat100.ameba.jp/tnk47/ratio20/illustrations/card/ill_64953_0_yukatatokugawayoshinobu03.jpg?201910-2-RELEASE-unionbattle-433", "■")</f>
        <v>■</v>
      </c>
      <c r="F87" s="1" t="s">
        <v>2090</v>
      </c>
      <c r="G87" s="1">
        <v>93450</v>
      </c>
      <c r="H87" s="1">
        <v>100502</v>
      </c>
      <c r="I87" s="1">
        <v>15</v>
      </c>
      <c r="J87" s="1" t="s">
        <v>10</v>
      </c>
      <c r="K87" s="1" t="s">
        <v>2091</v>
      </c>
      <c r="L87" s="1" t="s">
        <v>2092</v>
      </c>
      <c r="M87" s="1" t="s">
        <v>9158</v>
      </c>
      <c r="N87" s="1" t="s">
        <v>9158</v>
      </c>
      <c r="O87" s="19" t="s">
        <v>2889</v>
      </c>
      <c r="P87" s="1" t="s">
        <v>2890</v>
      </c>
      <c r="Q87" s="1">
        <v>1</v>
      </c>
    </row>
    <row r="88" spans="1:17">
      <c r="A88" s="1" t="s">
        <v>5612</v>
      </c>
      <c r="B88" s="1" t="s">
        <v>52</v>
      </c>
      <c r="C88" s="1" t="s">
        <v>165</v>
      </c>
      <c r="D88" s="19" t="s">
        <v>789</v>
      </c>
      <c r="E88" s="15" t="str">
        <f>HYPERLINK("https://stat100.ameba.jp/tnk47/ratio20/illustrations/card/ill_49193_0_onmyoudouabenoseimei03.jpg?201910-2-RELEASE-unionbattle-433", "■")</f>
        <v>■</v>
      </c>
      <c r="F88" s="1" t="s">
        <v>1896</v>
      </c>
      <c r="G88" s="1">
        <v>83712</v>
      </c>
      <c r="H88" s="1">
        <v>94236</v>
      </c>
      <c r="I88" s="1">
        <v>15</v>
      </c>
      <c r="J88" s="1" t="s">
        <v>10</v>
      </c>
      <c r="K88" s="1" t="s">
        <v>1897</v>
      </c>
      <c r="L88" s="1" t="s">
        <v>1898</v>
      </c>
      <c r="M88" s="1" t="s">
        <v>9158</v>
      </c>
      <c r="N88" s="1" t="s">
        <v>9158</v>
      </c>
      <c r="O88" s="1" t="s">
        <v>9158</v>
      </c>
      <c r="P88" s="1" t="s">
        <v>9158</v>
      </c>
      <c r="Q88" s="1" t="s">
        <v>9158</v>
      </c>
    </row>
    <row r="89" spans="1:17">
      <c r="A89" s="1">
        <v>82203</v>
      </c>
      <c r="B89" s="1" t="s">
        <v>7231</v>
      </c>
      <c r="C89" s="1" t="s">
        <v>165</v>
      </c>
      <c r="D89" s="19" t="s">
        <v>10280</v>
      </c>
      <c r="E89" s="15" t="str">
        <f>HYPERLINK("https://stat100.ameba.jp/tnk47/ratio20/illustrations/card/ill_82203_tsuyuromanteikyoin03.jpg?201910-2-RELEASE-unionbattle-433", "■")</f>
        <v>■</v>
      </c>
      <c r="F89" s="1" t="s">
        <v>7262</v>
      </c>
      <c r="G89" s="1">
        <v>65128</v>
      </c>
      <c r="H89" s="1">
        <v>115746</v>
      </c>
      <c r="I89" s="1">
        <v>24</v>
      </c>
      <c r="J89" s="1" t="s">
        <v>7259</v>
      </c>
      <c r="K89" s="1" t="s">
        <v>7261</v>
      </c>
      <c r="L89" s="1" t="s">
        <v>7260</v>
      </c>
      <c r="M89" s="1" t="s">
        <v>9158</v>
      </c>
      <c r="N89" s="1" t="s">
        <v>9158</v>
      </c>
      <c r="O89" s="1" t="s">
        <v>9158</v>
      </c>
      <c r="P89" s="1" t="s">
        <v>9158</v>
      </c>
      <c r="Q89" s="1" t="s">
        <v>9158</v>
      </c>
    </row>
    <row r="90" spans="1:17">
      <c r="A90" s="1">
        <v>56093</v>
      </c>
      <c r="B90" s="1" t="s">
        <v>7231</v>
      </c>
      <c r="C90" s="1" t="s">
        <v>7237</v>
      </c>
      <c r="D90" s="19" t="s">
        <v>1455</v>
      </c>
      <c r="E90" s="15" t="str">
        <f>HYPERLINK("https://stat100.ameba.jp/tnk47/ratio20/illustrations/card/ill_56093_shiramikiyo03.jpg?201910-2-RELEASE-unionbattle-433", "■")</f>
        <v>■</v>
      </c>
      <c r="F90" s="1" t="s">
        <v>7265</v>
      </c>
      <c r="G90" s="1">
        <v>74860</v>
      </c>
      <c r="H90" s="1">
        <v>104130</v>
      </c>
      <c r="I90" s="1">
        <v>24</v>
      </c>
      <c r="J90" s="1" t="s">
        <v>7241</v>
      </c>
      <c r="K90" s="1" t="s">
        <v>7264</v>
      </c>
      <c r="L90" s="1" t="s">
        <v>7263</v>
      </c>
      <c r="M90" s="1" t="s">
        <v>9158</v>
      </c>
      <c r="N90" s="1" t="s">
        <v>9158</v>
      </c>
      <c r="O90" s="1" t="s">
        <v>9158</v>
      </c>
      <c r="P90" s="1" t="s">
        <v>9158</v>
      </c>
      <c r="Q90" s="1" t="s">
        <v>9158</v>
      </c>
    </row>
    <row r="91" spans="1:17">
      <c r="A91" s="1">
        <v>77533</v>
      </c>
      <c r="B91" s="1" t="s">
        <v>7231</v>
      </c>
      <c r="C91" s="1" t="s">
        <v>7236</v>
      </c>
      <c r="D91" s="19" t="s">
        <v>10674</v>
      </c>
      <c r="E91" s="15" t="str">
        <f>HYPERLINK("https://stat100.ameba.jp/tnk47/ratio20/illustrations/card/ill_77533_miyakonotawasuzuhikohime03.jpg?201910-2-RELEASE-unionbattle-433", "■")</f>
        <v>■</v>
      </c>
      <c r="F91" s="1" t="s">
        <v>7268</v>
      </c>
      <c r="G91" s="1">
        <v>92996</v>
      </c>
      <c r="H91" s="1">
        <v>99996</v>
      </c>
      <c r="I91" s="1">
        <v>24</v>
      </c>
      <c r="J91" s="1" t="s">
        <v>7246</v>
      </c>
      <c r="K91" s="1" t="s">
        <v>7267</v>
      </c>
      <c r="L91" s="1" t="s">
        <v>7266</v>
      </c>
      <c r="M91" s="1" t="s">
        <v>9158</v>
      </c>
      <c r="N91" s="1" t="s">
        <v>9158</v>
      </c>
      <c r="O91" s="1" t="s">
        <v>9158</v>
      </c>
      <c r="P91" s="1" t="s">
        <v>9158</v>
      </c>
      <c r="Q91" s="1" t="s">
        <v>9158</v>
      </c>
    </row>
    <row r="92" spans="1:17">
      <c r="A92" s="1">
        <v>66653</v>
      </c>
      <c r="B92" s="1" t="s">
        <v>7232</v>
      </c>
      <c r="C92" s="1" t="s">
        <v>205</v>
      </c>
      <c r="D92" s="19" t="s">
        <v>2901</v>
      </c>
      <c r="E92" s="15" t="str">
        <f>HYPERLINK("https://stat100.ameba.jp/tnk47/ratio20/illustrations/card/ill_66653_oryoriehimenomikoto03.jpg?201910-2-RELEASE-unionbattle-433", "■")</f>
        <v>■</v>
      </c>
      <c r="F92" s="1" t="s">
        <v>7271</v>
      </c>
      <c r="G92" s="1">
        <v>53768</v>
      </c>
      <c r="H92" s="1">
        <v>59280</v>
      </c>
      <c r="I92" s="1">
        <v>20</v>
      </c>
      <c r="J92" s="1" t="s">
        <v>7241</v>
      </c>
      <c r="K92" s="1" t="s">
        <v>7270</v>
      </c>
      <c r="L92" s="1" t="s">
        <v>7269</v>
      </c>
      <c r="M92" s="1" t="s">
        <v>9158</v>
      </c>
      <c r="N92" s="1" t="s">
        <v>9158</v>
      </c>
      <c r="O92" s="1" t="s">
        <v>9158</v>
      </c>
      <c r="P92" s="1" t="s">
        <v>9158</v>
      </c>
      <c r="Q92" s="1" t="s">
        <v>9158</v>
      </c>
    </row>
    <row r="93" spans="1:17">
      <c r="A93" s="1">
        <v>73343</v>
      </c>
      <c r="B93" s="1" t="s">
        <v>7232</v>
      </c>
      <c r="C93" s="1" t="s">
        <v>7272</v>
      </c>
      <c r="D93" s="19" t="s">
        <v>10675</v>
      </c>
      <c r="E93" s="15" t="str">
        <f>HYPERLINK("https://stat100.ameba.jp/tnk47/ratio20/illustrations/card/ill_73343_takenokozokuchan03.jpg?201910-2-RELEASE-unionbattle-433", "■")</f>
        <v>■</v>
      </c>
      <c r="F93" s="1" t="s">
        <v>7276</v>
      </c>
      <c r="G93" s="1">
        <v>53768</v>
      </c>
      <c r="H93" s="1">
        <v>59280</v>
      </c>
      <c r="I93" s="1">
        <v>20</v>
      </c>
      <c r="J93" s="1" t="s">
        <v>7275</v>
      </c>
      <c r="K93" s="1" t="s">
        <v>7274</v>
      </c>
      <c r="L93" s="1" t="s">
        <v>7273</v>
      </c>
      <c r="M93" s="1" t="s">
        <v>9158</v>
      </c>
      <c r="N93" s="1" t="s">
        <v>9158</v>
      </c>
      <c r="O93" s="1" t="s">
        <v>9158</v>
      </c>
      <c r="P93" s="1" t="s">
        <v>9158</v>
      </c>
      <c r="Q93" s="1" t="s">
        <v>9158</v>
      </c>
    </row>
    <row r="94" spans="1:17">
      <c r="A94" s="1">
        <v>59883</v>
      </c>
      <c r="B94" s="1" t="s">
        <v>7232</v>
      </c>
      <c r="C94" s="1" t="s">
        <v>7280</v>
      </c>
      <c r="D94" s="19" t="s">
        <v>10676</v>
      </c>
      <c r="E94" s="15" t="str">
        <f>HYPERLINK("https://stat100.ameba.jp/tnk47/ratio20/illustrations/card/ill_59883_yoseienshininden03.jpg?201910-2-RELEASE-unionbattle-433", "■")</f>
        <v>■</v>
      </c>
      <c r="F94" s="1" t="s">
        <v>7279</v>
      </c>
      <c r="G94" s="1">
        <v>53768</v>
      </c>
      <c r="H94" s="1">
        <v>59280</v>
      </c>
      <c r="I94" s="1">
        <v>20</v>
      </c>
      <c r="J94" s="1" t="s">
        <v>7259</v>
      </c>
      <c r="K94" s="1" t="s">
        <v>7278</v>
      </c>
      <c r="L94" s="1" t="s">
        <v>7277</v>
      </c>
      <c r="M94" s="1" t="s">
        <v>9158</v>
      </c>
      <c r="N94" s="1" t="s">
        <v>9158</v>
      </c>
      <c r="O94" s="1" t="s">
        <v>9158</v>
      </c>
      <c r="P94" s="1" t="s">
        <v>9158</v>
      </c>
      <c r="Q94" s="1" t="s">
        <v>9158</v>
      </c>
    </row>
    <row r="96" spans="1:17">
      <c r="A96" s="1" t="s">
        <v>7411</v>
      </c>
    </row>
    <row r="97" spans="1:17">
      <c r="A97" s="1" t="s">
        <v>7285</v>
      </c>
    </row>
    <row r="98" spans="1:17">
      <c r="A98" s="1" t="s">
        <v>5615</v>
      </c>
      <c r="B98" s="1" t="s">
        <v>330</v>
      </c>
      <c r="C98" s="1" t="s">
        <v>206</v>
      </c>
      <c r="D98" s="19" t="s">
        <v>2814</v>
      </c>
      <c r="E98" s="15" t="str">
        <f>HYPERLINK("https://stat100.ameba.jp/tnk47/ratio20/illustrations/card/ill_57733_0_shogatsunisenjunanaamakusashiro03.jpg?201910-2-RELEASE-unionbattle-433", "■")</f>
        <v>■</v>
      </c>
      <c r="F98" s="1" t="s">
        <v>1016</v>
      </c>
      <c r="G98" s="1">
        <v>122776</v>
      </c>
      <c r="H98" s="1">
        <v>138212</v>
      </c>
      <c r="I98" s="1">
        <v>22</v>
      </c>
      <c r="J98" s="1" t="s">
        <v>10</v>
      </c>
      <c r="K98" s="1" t="s">
        <v>1017</v>
      </c>
      <c r="L98" s="1" t="s">
        <v>1018</v>
      </c>
      <c r="M98" s="1" t="s">
        <v>9158</v>
      </c>
      <c r="N98" s="1" t="s">
        <v>9158</v>
      </c>
      <c r="O98" s="19" t="s">
        <v>10077</v>
      </c>
      <c r="P98" s="1" t="s">
        <v>3062</v>
      </c>
      <c r="Q98" s="1">
        <v>1</v>
      </c>
    </row>
    <row r="99" spans="1:17">
      <c r="A99" s="1">
        <v>63853</v>
      </c>
      <c r="B99" s="1" t="s">
        <v>334</v>
      </c>
      <c r="C99" s="1" t="s">
        <v>200</v>
      </c>
      <c r="D99" s="19" t="s">
        <v>10284</v>
      </c>
      <c r="E99" s="15" t="str">
        <f>HYPERLINK("https://stat100.ameba.jp/tnk47/ratio20/illustrations/card/ill_63853_daikokaijidainansosatomihakkenden03.jpg?201910-2-RELEASE-unionbattle-433", "■")</f>
        <v>■</v>
      </c>
      <c r="F99" s="1" t="s">
        <v>941</v>
      </c>
      <c r="G99" s="1">
        <v>101656</v>
      </c>
      <c r="H99" s="1">
        <v>109528</v>
      </c>
      <c r="I99" s="1">
        <v>24</v>
      </c>
      <c r="J99" s="1" t="s">
        <v>155</v>
      </c>
      <c r="K99" s="1" t="s">
        <v>942</v>
      </c>
      <c r="L99" s="1" t="s">
        <v>13149</v>
      </c>
      <c r="M99" s="1" t="s">
        <v>9158</v>
      </c>
      <c r="N99" s="1" t="s">
        <v>9158</v>
      </c>
      <c r="O99" s="19" t="s">
        <v>10121</v>
      </c>
      <c r="P99" s="1" t="s">
        <v>3330</v>
      </c>
      <c r="Q99" s="1">
        <v>1</v>
      </c>
    </row>
    <row r="100" spans="1:17">
      <c r="A100" s="1">
        <v>68693</v>
      </c>
      <c r="B100" s="1" t="s">
        <v>334</v>
      </c>
      <c r="C100" s="1" t="s">
        <v>154</v>
      </c>
      <c r="D100" s="19" t="s">
        <v>10232</v>
      </c>
      <c r="E100" s="15" t="str">
        <f>HYPERLINK("https://stat100.ameba.jp/tnk47/ratio20/illustrations/card/ill_68693_mayoiga03.jpg?201910-2-RELEASE-unionbattle-433", "■")</f>
        <v>■</v>
      </c>
      <c r="F100" s="1" t="s">
        <v>3466</v>
      </c>
      <c r="G100" s="1">
        <v>126858</v>
      </c>
      <c r="H100" s="1">
        <v>91876</v>
      </c>
      <c r="I100" s="1">
        <v>24</v>
      </c>
      <c r="J100" s="1" t="s">
        <v>73</v>
      </c>
      <c r="K100" s="1" t="s">
        <v>3467</v>
      </c>
      <c r="L100" s="1" t="s">
        <v>3468</v>
      </c>
      <c r="M100" s="1" t="s">
        <v>9158</v>
      </c>
      <c r="N100" s="1" t="s">
        <v>9158</v>
      </c>
      <c r="O100" s="19" t="s">
        <v>3037</v>
      </c>
      <c r="P100" s="1" t="s">
        <v>13128</v>
      </c>
      <c r="Q100" s="1">
        <v>1</v>
      </c>
    </row>
    <row r="101" spans="1:17">
      <c r="A101" s="1">
        <v>75093</v>
      </c>
      <c r="B101" s="1" t="s">
        <v>334</v>
      </c>
      <c r="C101" s="1" t="s">
        <v>158</v>
      </c>
      <c r="D101" s="19" t="s">
        <v>10403</v>
      </c>
      <c r="E101" s="15" t="str">
        <f>HYPERLINK("https://stat100.ameba.jp/tnk47/ratio20/illustrations/card/ill_75093_hangonko03.jpg?201910-2-RELEASE-unionbattle-433", "■")</f>
        <v>■</v>
      </c>
      <c r="F101" s="1" t="s">
        <v>2614</v>
      </c>
      <c r="G101" s="1">
        <v>126858</v>
      </c>
      <c r="H101" s="1">
        <v>91876</v>
      </c>
      <c r="I101" s="1">
        <v>24</v>
      </c>
      <c r="J101" s="1" t="s">
        <v>44</v>
      </c>
      <c r="K101" s="1" t="s">
        <v>2615</v>
      </c>
      <c r="L101" s="1" t="s">
        <v>1108</v>
      </c>
      <c r="M101" s="1" t="s">
        <v>9158</v>
      </c>
      <c r="N101" s="1" t="s">
        <v>9158</v>
      </c>
      <c r="O101" s="19" t="s">
        <v>2951</v>
      </c>
      <c r="P101" s="1" t="s">
        <v>13122</v>
      </c>
      <c r="Q101" s="1">
        <v>1</v>
      </c>
    </row>
    <row r="103" spans="1:17">
      <c r="A103" s="1" t="s">
        <v>7286</v>
      </c>
    </row>
    <row r="104" spans="1:17">
      <c r="A104" s="1" t="s">
        <v>7287</v>
      </c>
    </row>
    <row r="105" spans="1:17">
      <c r="A105" s="1">
        <v>84733</v>
      </c>
      <c r="B105" s="1" t="s">
        <v>7288</v>
      </c>
      <c r="C105" s="1" t="s">
        <v>7289</v>
      </c>
      <c r="D105" s="19" t="s">
        <v>10677</v>
      </c>
      <c r="E105" s="15" t="str">
        <f>HYPERLINK("https://stat100.ameba.jp/tnk47/ratio20/illustrations/card/ill_84733_madadoru03.jpg?201910-2-RELEASE-unionbattle-433", "■")</f>
        <v>■</v>
      </c>
      <c r="F105" s="1" t="s">
        <v>7293</v>
      </c>
      <c r="G105" s="1">
        <v>103512</v>
      </c>
      <c r="H105" s="1">
        <v>96246</v>
      </c>
      <c r="I105" s="1">
        <v>24</v>
      </c>
      <c r="J105" s="1" t="s">
        <v>7292</v>
      </c>
      <c r="K105" s="1" t="s">
        <v>7296</v>
      </c>
      <c r="L105" s="1" t="s">
        <v>7295</v>
      </c>
      <c r="M105" s="1" t="s">
        <v>9158</v>
      </c>
      <c r="N105" s="1" t="s">
        <v>9158</v>
      </c>
      <c r="O105" s="1" t="s">
        <v>9158</v>
      </c>
      <c r="P105" s="1" t="s">
        <v>9158</v>
      </c>
      <c r="Q105" s="1" t="s">
        <v>9158</v>
      </c>
    </row>
    <row r="106" spans="1:17">
      <c r="A106" s="1">
        <v>84743</v>
      </c>
      <c r="B106" s="1" t="s">
        <v>7288</v>
      </c>
      <c r="C106" s="1" t="s">
        <v>7290</v>
      </c>
      <c r="D106" s="19" t="s">
        <v>10678</v>
      </c>
      <c r="E106" s="15" t="str">
        <f>HYPERLINK("https://stat100.ameba.jp/tnk47/ratio20/illustrations/card/ill_84743_rinnenonyumpe03.jpg?201910-2-RELEASE-unionbattle-433", "■")</f>
        <v>■</v>
      </c>
      <c r="F106" s="1" t="s">
        <v>7294</v>
      </c>
      <c r="G106" s="1">
        <v>103512</v>
      </c>
      <c r="H106" s="1">
        <v>96246</v>
      </c>
      <c r="I106" s="1">
        <v>24</v>
      </c>
      <c r="J106" s="1" t="s">
        <v>7291</v>
      </c>
      <c r="K106" s="1" t="s">
        <v>7297</v>
      </c>
      <c r="L106" s="1" t="s">
        <v>7298</v>
      </c>
      <c r="M106" s="1" t="s">
        <v>9158</v>
      </c>
      <c r="N106" s="1" t="s">
        <v>9158</v>
      </c>
      <c r="O106" s="1" t="s">
        <v>9158</v>
      </c>
      <c r="P106" s="1" t="s">
        <v>9158</v>
      </c>
      <c r="Q106" s="1" t="s">
        <v>9158</v>
      </c>
    </row>
    <row r="107" spans="1:17">
      <c r="A107" s="1">
        <v>69883</v>
      </c>
      <c r="B107" s="1" t="s">
        <v>334</v>
      </c>
      <c r="C107" s="1" t="s">
        <v>185</v>
      </c>
      <c r="D107" s="19" t="s">
        <v>10293</v>
      </c>
      <c r="E107" s="15" t="str">
        <f>HYPERLINK("https://stat100.ameba.jp/tnk47/ratio20/illustrations/card/ill_69883_kyupiddotominushihime03.jpg?201910-2-RELEASE-unionbattle-433", "■")</f>
        <v>■</v>
      </c>
      <c r="F107" s="1" t="s">
        <v>4142</v>
      </c>
      <c r="G107" s="1">
        <v>91010</v>
      </c>
      <c r="H107" s="1">
        <v>97894</v>
      </c>
      <c r="I107" s="1">
        <v>24</v>
      </c>
      <c r="J107" s="1" t="s">
        <v>169</v>
      </c>
      <c r="K107" s="1" t="s">
        <v>4143</v>
      </c>
      <c r="L107" s="1" t="s">
        <v>13190</v>
      </c>
      <c r="M107" s="1" t="s">
        <v>9158</v>
      </c>
      <c r="N107" s="1" t="s">
        <v>9158</v>
      </c>
      <c r="O107" s="1" t="s">
        <v>9158</v>
      </c>
      <c r="P107" s="1" t="s">
        <v>9158</v>
      </c>
      <c r="Q107" s="1" t="s">
        <v>9158</v>
      </c>
    </row>
    <row r="108" spans="1:17">
      <c r="A108" s="1">
        <v>71833</v>
      </c>
      <c r="B108" s="1" t="s">
        <v>334</v>
      </c>
      <c r="C108" s="1" t="s">
        <v>165</v>
      </c>
      <c r="D108" s="19" t="s">
        <v>10294</v>
      </c>
      <c r="E108" s="15" t="str">
        <f>HYPERLINK("https://stat100.ameba.jp/tnk47/ratio20/illustrations/card/ill_71833_autodoanuregamidoji03.jpg?201910-2-RELEASE-unionbattle-433", "■")</f>
        <v>■</v>
      </c>
      <c r="F108" s="1" t="s">
        <v>5291</v>
      </c>
      <c r="G108" s="1">
        <v>92996</v>
      </c>
      <c r="H108" s="1">
        <v>99996</v>
      </c>
      <c r="I108" s="1">
        <v>24</v>
      </c>
      <c r="J108" s="1" t="s">
        <v>320</v>
      </c>
      <c r="K108" s="1" t="s">
        <v>4244</v>
      </c>
      <c r="L108" s="1" t="s">
        <v>4245</v>
      </c>
      <c r="M108" s="1" t="s">
        <v>9158</v>
      </c>
      <c r="N108" s="1" t="s">
        <v>9158</v>
      </c>
      <c r="O108" s="1" t="s">
        <v>9158</v>
      </c>
      <c r="P108" s="1" t="s">
        <v>9158</v>
      </c>
      <c r="Q108" s="1" t="s">
        <v>9158</v>
      </c>
    </row>
    <row r="109" spans="1:17">
      <c r="A109" s="1">
        <v>52973</v>
      </c>
      <c r="B109" s="1" t="s">
        <v>15</v>
      </c>
      <c r="C109" s="1" t="s">
        <v>206</v>
      </c>
      <c r="D109" s="19" t="s">
        <v>10519</v>
      </c>
      <c r="E109" s="15" t="str">
        <f>HYPERLINK("https://stat100.ameba.jp/tnk47/ratio20/illustrations/card/ill_52973_torampuamoronagu03.jpg?201910-2-RELEASE-unionbattle-433", "■")</f>
        <v>■</v>
      </c>
      <c r="F109" s="1" t="s">
        <v>6421</v>
      </c>
      <c r="G109" s="1">
        <v>56316</v>
      </c>
      <c r="H109" s="1">
        <v>51078</v>
      </c>
      <c r="I109" s="1">
        <v>19</v>
      </c>
      <c r="J109" s="1" t="s">
        <v>44</v>
      </c>
      <c r="K109" s="1" t="s">
        <v>6419</v>
      </c>
      <c r="L109" s="1" t="s">
        <v>6418</v>
      </c>
      <c r="M109" s="1" t="s">
        <v>9158</v>
      </c>
      <c r="N109" s="1" t="s">
        <v>9158</v>
      </c>
      <c r="O109" s="1" t="s">
        <v>9158</v>
      </c>
      <c r="P109" s="1" t="s">
        <v>9158</v>
      </c>
      <c r="Q109" s="1" t="s">
        <v>9158</v>
      </c>
    </row>
    <row r="110" spans="1:17">
      <c r="A110" s="1">
        <v>52333</v>
      </c>
      <c r="B110" s="1" t="s">
        <v>15</v>
      </c>
      <c r="C110" s="1" t="s">
        <v>200</v>
      </c>
      <c r="D110" s="19" t="s">
        <v>10537</v>
      </c>
      <c r="E110" s="15" t="str">
        <f>HYPERLINK("https://stat100.ameba.jp/tnk47/ratio20/illustrations/card/ill_52333_chichibuyomatsuri03.jpg?201910-2-RELEASE-unionbattle-433", "■")</f>
        <v>■</v>
      </c>
      <c r="F110" s="1" t="s">
        <v>3614</v>
      </c>
      <c r="G110" s="1">
        <v>56316</v>
      </c>
      <c r="H110" s="1">
        <v>51078</v>
      </c>
      <c r="I110" s="1">
        <v>19</v>
      </c>
      <c r="J110" s="1" t="s">
        <v>38</v>
      </c>
      <c r="K110" s="1" t="s">
        <v>3615</v>
      </c>
      <c r="L110" s="1" t="s">
        <v>3616</v>
      </c>
      <c r="M110" s="1" t="s">
        <v>9158</v>
      </c>
      <c r="N110" s="1" t="s">
        <v>9158</v>
      </c>
      <c r="O110" s="1" t="s">
        <v>9158</v>
      </c>
      <c r="P110" s="1" t="s">
        <v>9158</v>
      </c>
      <c r="Q110" s="1" t="s">
        <v>9158</v>
      </c>
    </row>
    <row r="111" spans="1:17">
      <c r="A111" s="1">
        <v>51913</v>
      </c>
      <c r="B111" s="1" t="s">
        <v>15</v>
      </c>
      <c r="C111" s="1" t="s">
        <v>191</v>
      </c>
      <c r="D111" s="19" t="s">
        <v>10538</v>
      </c>
      <c r="E111" s="15" t="str">
        <f>HYPERLINK("https://stat100.ameba.jp/tnk47/ratio20/illustrations/card/ill_51913_kemonomizugihamahime03.jpg?201910-2-RELEASE-unionbattle-433", "■")</f>
        <v>■</v>
      </c>
      <c r="F111" s="1" t="s">
        <v>6501</v>
      </c>
      <c r="G111" s="1">
        <v>51078</v>
      </c>
      <c r="H111" s="1">
        <v>56316</v>
      </c>
      <c r="I111" s="1">
        <v>19</v>
      </c>
      <c r="J111" s="1" t="s">
        <v>182</v>
      </c>
      <c r="K111" s="1" t="s">
        <v>6500</v>
      </c>
      <c r="L111" s="1" t="s">
        <v>6499</v>
      </c>
      <c r="M111" s="1" t="s">
        <v>9158</v>
      </c>
      <c r="N111" s="1" t="s">
        <v>9158</v>
      </c>
      <c r="O111" s="1" t="s">
        <v>9158</v>
      </c>
      <c r="P111" s="1" t="s">
        <v>9158</v>
      </c>
      <c r="Q111" s="1" t="s">
        <v>9158</v>
      </c>
    </row>
    <row r="112" spans="1:17">
      <c r="A112" s="1">
        <v>51833</v>
      </c>
      <c r="B112" s="1" t="s">
        <v>15</v>
      </c>
      <c r="C112" s="1" t="s">
        <v>205</v>
      </c>
      <c r="D112" s="19" t="s">
        <v>10493</v>
      </c>
      <c r="E112" s="15" t="str">
        <f>HYPERLINK("https://stat100.ameba.jp/tnk47/ratio20/illustrations/card/ill_51833_jukimakitsuhikonomikoto03.jpg?201910-2-RELEASE-unionbattle-433", "■")</f>
        <v>■</v>
      </c>
      <c r="F112" s="1" t="s">
        <v>6254</v>
      </c>
      <c r="G112" s="1">
        <v>56316</v>
      </c>
      <c r="H112" s="1">
        <v>51078</v>
      </c>
      <c r="I112" s="1">
        <v>19</v>
      </c>
      <c r="J112" s="1" t="s">
        <v>44</v>
      </c>
      <c r="K112" s="1" t="s">
        <v>6257</v>
      </c>
      <c r="L112" s="1" t="s">
        <v>6256</v>
      </c>
      <c r="M112" s="1" t="s">
        <v>9158</v>
      </c>
      <c r="N112" s="1" t="s">
        <v>9158</v>
      </c>
      <c r="O112" s="1" t="s">
        <v>9158</v>
      </c>
      <c r="P112" s="1" t="s">
        <v>9158</v>
      </c>
      <c r="Q112" s="1" t="s">
        <v>9158</v>
      </c>
    </row>
    <row r="114" spans="1:17">
      <c r="A114" s="1" t="s">
        <v>7299</v>
      </c>
    </row>
    <row r="115" spans="1:17">
      <c r="A115" s="1" t="s">
        <v>7300</v>
      </c>
    </row>
    <row r="116" spans="1:17">
      <c r="A116" s="1" t="s">
        <v>5733</v>
      </c>
      <c r="B116" s="1" t="s">
        <v>330</v>
      </c>
      <c r="C116" s="1" t="s">
        <v>202</v>
      </c>
      <c r="D116" s="19" t="s">
        <v>2744</v>
      </c>
      <c r="E116" s="15" t="str">
        <f>HYPERLINK("https://stat100.ameba.jp/tnk47/ratio20/illustrations/card/ill_78693_0_kyupittokoinomikoto03.jpg?201910-2-RELEASE-unionbattle-433", "■")</f>
        <v>■</v>
      </c>
      <c r="F116" s="1" t="s">
        <v>2745</v>
      </c>
      <c r="G116" s="1">
        <v>251516</v>
      </c>
      <c r="H116" s="1">
        <v>278294</v>
      </c>
      <c r="I116" s="1">
        <v>24</v>
      </c>
      <c r="J116" s="1" t="s">
        <v>274</v>
      </c>
      <c r="K116" s="1" t="s">
        <v>2746</v>
      </c>
      <c r="L116" s="1" t="s">
        <v>2747</v>
      </c>
      <c r="M116" s="1" t="s">
        <v>9158</v>
      </c>
      <c r="N116" s="1" t="s">
        <v>9158</v>
      </c>
      <c r="O116" s="19" t="s">
        <v>10097</v>
      </c>
      <c r="P116" s="1" t="s">
        <v>2748</v>
      </c>
      <c r="Q116" s="1">
        <v>1</v>
      </c>
    </row>
    <row r="117" spans="1:17">
      <c r="A117" s="1">
        <v>82543</v>
      </c>
      <c r="B117" s="1" t="s">
        <v>334</v>
      </c>
      <c r="C117" s="1" t="s">
        <v>41</v>
      </c>
      <c r="D117" s="19" t="s">
        <v>10342</v>
      </c>
      <c r="E117" s="15" t="str">
        <f>HYPERLINK("https://stat100.ameba.jp/tnk47/ratio20/illustrations/card/ill_82543_nabeshimanagako03.jpg?201910-2-RELEASE-unionbattle-433", "■")</f>
        <v>■</v>
      </c>
      <c r="F117" s="1" t="s">
        <v>5491</v>
      </c>
      <c r="G117" s="1">
        <v>104890</v>
      </c>
      <c r="H117" s="1">
        <v>75984</v>
      </c>
      <c r="I117" s="1">
        <v>24</v>
      </c>
      <c r="J117" s="1" t="s">
        <v>10</v>
      </c>
      <c r="K117" s="1" t="s">
        <v>5493</v>
      </c>
      <c r="L117" s="1" t="s">
        <v>5494</v>
      </c>
      <c r="M117" s="1" t="s">
        <v>9158</v>
      </c>
      <c r="N117" s="1" t="s">
        <v>9158</v>
      </c>
      <c r="O117" s="19" t="s">
        <v>10080</v>
      </c>
      <c r="P117" s="1" t="s">
        <v>3705</v>
      </c>
      <c r="Q117" s="1">
        <v>1</v>
      </c>
    </row>
    <row r="118" spans="1:17">
      <c r="A118" s="1">
        <v>80743</v>
      </c>
      <c r="B118" s="1" t="s">
        <v>0</v>
      </c>
      <c r="C118" s="1" t="s">
        <v>209</v>
      </c>
      <c r="D118" s="19" t="s">
        <v>10414</v>
      </c>
      <c r="E118" s="15" t="str">
        <f>HYPERLINK("https://stat100.ameba.jp/tnk47/ratio20/illustrations/card/ill_80743_senseijutsushi03.jpg?201910-2-RELEASE-unionbattle-433", "■")</f>
        <v>■</v>
      </c>
      <c r="F118" s="1" t="s">
        <v>4249</v>
      </c>
      <c r="G118" s="1">
        <v>75984</v>
      </c>
      <c r="H118" s="1">
        <v>104890</v>
      </c>
      <c r="I118" s="1">
        <v>24</v>
      </c>
      <c r="J118" s="1" t="s">
        <v>16</v>
      </c>
      <c r="K118" s="1" t="s">
        <v>4250</v>
      </c>
      <c r="L118" s="1" t="s">
        <v>4251</v>
      </c>
      <c r="M118" s="1" t="s">
        <v>9158</v>
      </c>
      <c r="N118" s="1" t="s">
        <v>9158</v>
      </c>
      <c r="O118" s="19" t="s">
        <v>10109</v>
      </c>
      <c r="P118" s="1" t="s">
        <v>3625</v>
      </c>
      <c r="Q118" s="1">
        <v>1</v>
      </c>
    </row>
    <row r="119" spans="1:17">
      <c r="A119" s="1">
        <v>78123</v>
      </c>
      <c r="B119" s="1" t="s">
        <v>334</v>
      </c>
      <c r="C119" s="1" t="s">
        <v>209</v>
      </c>
      <c r="D119" s="19" t="s">
        <v>3023</v>
      </c>
      <c r="E119" s="15" t="str">
        <f>HYPERLINK("https://stat100.ameba.jp/tnk47/ratio20/illustrations/card/ill_78123_madannoteirusorushieru03.jpg?201910-2-RELEASE-unionbattle-433", "■")</f>
        <v>■</v>
      </c>
      <c r="F119" s="1" t="s">
        <v>3024</v>
      </c>
      <c r="G119" s="1">
        <v>159674</v>
      </c>
      <c r="H119" s="1">
        <v>115656</v>
      </c>
      <c r="I119" s="1">
        <v>24</v>
      </c>
      <c r="J119" s="1" t="s">
        <v>310</v>
      </c>
      <c r="K119" s="1" t="s">
        <v>3025</v>
      </c>
      <c r="L119" s="1" t="s">
        <v>443</v>
      </c>
      <c r="M119" s="1" t="s">
        <v>9158</v>
      </c>
      <c r="N119" s="1" t="s">
        <v>9158</v>
      </c>
      <c r="O119" s="19" t="s">
        <v>2951</v>
      </c>
      <c r="P119" s="1" t="s">
        <v>13122</v>
      </c>
      <c r="Q119" s="1">
        <v>1</v>
      </c>
    </row>
    <row r="121" spans="1:17">
      <c r="A121" s="1" t="s">
        <v>7304</v>
      </c>
    </row>
    <row r="122" spans="1:17">
      <c r="A122" s="1" t="s">
        <v>7305</v>
      </c>
    </row>
    <row r="123" spans="1:17">
      <c r="A123" s="1" t="s">
        <v>5607</v>
      </c>
      <c r="B123" s="1" t="s">
        <v>330</v>
      </c>
      <c r="C123" s="1" t="s">
        <v>200</v>
      </c>
      <c r="D123" s="19" t="s">
        <v>421</v>
      </c>
      <c r="E123" s="15" t="str">
        <f>HYPERLINK("https://stat100.ameba.jp/tnk47/ratio20/illustrations/card/ill_58853_0_setsubumpanikkuhiratsukaraicho03.jpg?201910-2-RELEASE-unionbattle-433", "■")</f>
        <v>■</v>
      </c>
      <c r="F123" s="1" t="s">
        <v>1040</v>
      </c>
      <c r="G123" s="1">
        <v>94236</v>
      </c>
      <c r="H123" s="1">
        <v>83712</v>
      </c>
      <c r="I123" s="1">
        <v>15</v>
      </c>
      <c r="J123" s="1" t="s">
        <v>16</v>
      </c>
      <c r="K123" s="1" t="s">
        <v>1041</v>
      </c>
      <c r="L123" s="1" t="s">
        <v>1042</v>
      </c>
      <c r="M123" s="1" t="s">
        <v>9158</v>
      </c>
      <c r="N123" s="1" t="s">
        <v>9158</v>
      </c>
      <c r="O123" s="19" t="s">
        <v>10075</v>
      </c>
      <c r="P123" s="1" t="s">
        <v>2870</v>
      </c>
      <c r="Q123" s="1">
        <v>1</v>
      </c>
    </row>
    <row r="124" spans="1:17">
      <c r="A124" s="1" t="s">
        <v>5617</v>
      </c>
      <c r="B124" s="1" t="s">
        <v>330</v>
      </c>
      <c r="C124" s="1" t="s">
        <v>165</v>
      </c>
      <c r="D124" s="19" t="s">
        <v>385</v>
      </c>
      <c r="E124" s="15" t="str">
        <f>HYPERLINK("https://stat100.ameba.jp/tnk47/ratio20/illustrations/card/ill_59673_0_oheyashutendoji03.jpg?201910-2-RELEASE-unionbattle-433", "■")</f>
        <v>■</v>
      </c>
      <c r="F124" s="1" t="s">
        <v>983</v>
      </c>
      <c r="G124" s="1">
        <v>105545</v>
      </c>
      <c r="H124" s="1">
        <v>113525</v>
      </c>
      <c r="I124" s="1">
        <v>15</v>
      </c>
      <c r="J124" s="1" t="s">
        <v>73</v>
      </c>
      <c r="K124" s="1" t="s">
        <v>984</v>
      </c>
      <c r="L124" s="1" t="s">
        <v>985</v>
      </c>
      <c r="M124" s="1" t="s">
        <v>9158</v>
      </c>
      <c r="N124" s="1" t="s">
        <v>9158</v>
      </c>
      <c r="O124" s="19" t="s">
        <v>10078</v>
      </c>
      <c r="P124" s="1" t="s">
        <v>3022</v>
      </c>
      <c r="Q124" s="1">
        <v>1</v>
      </c>
    </row>
    <row r="125" spans="1:17">
      <c r="A125" s="1" t="s">
        <v>5902</v>
      </c>
      <c r="B125" s="1" t="s">
        <v>330</v>
      </c>
      <c r="C125" s="1" t="s">
        <v>206</v>
      </c>
      <c r="D125" s="19" t="s">
        <v>483</v>
      </c>
      <c r="E125" s="15" t="str">
        <f>HYPERLINK("https://stat100.ameba.jp/tnk47/ratio20/illustrations/card/ill_40343_0_heshikirihasebekurodakambe03.jpg?201910-2-RELEASE-unionbattle-433", "■")</f>
        <v>■</v>
      </c>
      <c r="F125" s="1" t="s">
        <v>906</v>
      </c>
      <c r="G125" s="1">
        <v>87780</v>
      </c>
      <c r="H125" s="1">
        <v>82212</v>
      </c>
      <c r="I125" s="1">
        <v>15</v>
      </c>
      <c r="J125" s="1" t="s">
        <v>16</v>
      </c>
      <c r="K125" s="1" t="s">
        <v>907</v>
      </c>
      <c r="L125" s="1" t="s">
        <v>908</v>
      </c>
      <c r="M125" s="1" t="s">
        <v>9158</v>
      </c>
      <c r="N125" s="1" t="s">
        <v>9158</v>
      </c>
      <c r="O125" s="1" t="s">
        <v>9158</v>
      </c>
      <c r="P125" s="1" t="s">
        <v>9158</v>
      </c>
      <c r="Q125" s="1" t="s">
        <v>9158</v>
      </c>
    </row>
    <row r="126" spans="1:17">
      <c r="A126" s="1">
        <v>74253</v>
      </c>
      <c r="B126" s="1" t="s">
        <v>334</v>
      </c>
      <c r="C126" s="1" t="s">
        <v>191</v>
      </c>
      <c r="D126" s="19" t="s">
        <v>10679</v>
      </c>
      <c r="E126" s="15" t="str">
        <f>HYPERLINK("https://stat100.ameba.jp/tnk47/ratio20/illustrations/card/ill_74253_kanainoburu03.jpg?201910-2-RELEASE-unionbattle-433", "■")</f>
        <v>■</v>
      </c>
      <c r="F126" s="1" t="s">
        <v>7310</v>
      </c>
      <c r="G126" s="1">
        <v>101656</v>
      </c>
      <c r="H126" s="1">
        <v>109334</v>
      </c>
      <c r="I126" s="1">
        <v>24</v>
      </c>
      <c r="J126" s="1" t="s">
        <v>16</v>
      </c>
      <c r="K126" s="1" t="s">
        <v>7309</v>
      </c>
      <c r="L126" s="1" t="s">
        <v>7308</v>
      </c>
      <c r="M126" s="1" t="s">
        <v>9158</v>
      </c>
      <c r="N126" s="1" t="s">
        <v>9158</v>
      </c>
      <c r="O126" s="1" t="s">
        <v>9158</v>
      </c>
      <c r="P126" s="1" t="s">
        <v>9158</v>
      </c>
      <c r="Q126" s="1" t="s">
        <v>9158</v>
      </c>
    </row>
    <row r="127" spans="1:17">
      <c r="A127" s="1">
        <v>82033</v>
      </c>
      <c r="B127" s="1" t="s">
        <v>334</v>
      </c>
      <c r="C127" s="1" t="s">
        <v>205</v>
      </c>
      <c r="D127" s="19" t="s">
        <v>10240</v>
      </c>
      <c r="E127" s="15" t="str">
        <f>HYPERLINK("https://stat100.ameba.jp/tnk47/ratio20/illustrations/card/ill_82033_chichinohiakashirejina03.jpg?201910-2-RELEASE-unionbattle-433", "■")</f>
        <v>■</v>
      </c>
      <c r="F127" s="1" t="s">
        <v>7303</v>
      </c>
      <c r="G127" s="1">
        <v>93746</v>
      </c>
      <c r="H127" s="1">
        <v>87128</v>
      </c>
      <c r="I127" s="1">
        <v>24</v>
      </c>
      <c r="J127" s="1" t="s">
        <v>10</v>
      </c>
      <c r="K127" s="1" t="s">
        <v>7301</v>
      </c>
      <c r="L127" s="1" t="s">
        <v>7302</v>
      </c>
      <c r="M127" s="1" t="s">
        <v>9158</v>
      </c>
      <c r="N127" s="1" t="s">
        <v>9158</v>
      </c>
      <c r="O127" s="1" t="s">
        <v>9158</v>
      </c>
      <c r="P127" s="1" t="s">
        <v>9158</v>
      </c>
      <c r="Q127" s="1" t="s">
        <v>9158</v>
      </c>
    </row>
    <row r="128" spans="1:17">
      <c r="A128" s="1">
        <v>77903</v>
      </c>
      <c r="B128" s="1" t="s">
        <v>334</v>
      </c>
      <c r="C128" s="1" t="s">
        <v>185</v>
      </c>
      <c r="D128" s="19" t="s">
        <v>10405</v>
      </c>
      <c r="E128" s="15" t="str">
        <f>HYPERLINK("https://stat100.ameba.jp/tnk47/ratio20/illustrations/card/ill_77903_kurisumasudaisakusendongurikorokoro03.jpg?201910-2-RELEASE-unionbattle-433", "■")</f>
        <v>■</v>
      </c>
      <c r="F128" s="1" t="s">
        <v>7313</v>
      </c>
      <c r="G128" s="1">
        <v>109528</v>
      </c>
      <c r="H128" s="1">
        <v>101656</v>
      </c>
      <c r="I128" s="1">
        <v>24</v>
      </c>
      <c r="J128" s="1" t="s">
        <v>38</v>
      </c>
      <c r="K128" s="1" t="s">
        <v>7312</v>
      </c>
      <c r="L128" s="1" t="s">
        <v>7311</v>
      </c>
      <c r="M128" s="1" t="s">
        <v>9158</v>
      </c>
      <c r="N128" s="1" t="s">
        <v>9158</v>
      </c>
      <c r="O128" s="19" t="s">
        <v>10090</v>
      </c>
      <c r="P128" s="1" t="s">
        <v>3460</v>
      </c>
      <c r="Q128" s="1">
        <v>1</v>
      </c>
    </row>
    <row r="129" spans="1:17">
      <c r="A129" s="1">
        <v>73453</v>
      </c>
      <c r="B129" s="1" t="s">
        <v>7307</v>
      </c>
      <c r="C129" s="1" t="s">
        <v>205</v>
      </c>
      <c r="D129" s="19" t="s">
        <v>10680</v>
      </c>
      <c r="E129" s="15" t="str">
        <f>HYPERLINK("https://stat100.ameba.jp/tnk47/ratio20/illustrations/card/ill_73453_kiuifurutsuchan03.jpg?201910-2-RELEASE-unionbattle-433", "■")</f>
        <v>■</v>
      </c>
      <c r="F129" s="1" t="s">
        <v>7317</v>
      </c>
      <c r="G129" s="1">
        <v>59280</v>
      </c>
      <c r="H129" s="1">
        <v>53768</v>
      </c>
      <c r="I129" s="1">
        <v>20</v>
      </c>
      <c r="J129" s="1" t="s">
        <v>7316</v>
      </c>
      <c r="K129" s="1" t="s">
        <v>7315</v>
      </c>
      <c r="L129" s="1" t="s">
        <v>7314</v>
      </c>
      <c r="M129" s="1" t="s">
        <v>9158</v>
      </c>
      <c r="N129" s="1" t="s">
        <v>9158</v>
      </c>
      <c r="O129" s="1" t="s">
        <v>9158</v>
      </c>
      <c r="P129" s="1" t="s">
        <v>9158</v>
      </c>
      <c r="Q129" s="1" t="s">
        <v>9158</v>
      </c>
    </row>
    <row r="130" spans="1:17">
      <c r="A130" s="1">
        <v>81243</v>
      </c>
      <c r="B130" s="1" t="s">
        <v>7307</v>
      </c>
      <c r="C130" s="1" t="s">
        <v>206</v>
      </c>
      <c r="D130" s="19" t="s">
        <v>10681</v>
      </c>
      <c r="E130" s="15" t="str">
        <f>HYPERLINK("https://stat100.ameba.jp/tnk47/ratio20/illustrations/card/ill_81243_sakasuochihime03.jpg?201910-2-RELEASE-unionbattle-433", "■")</f>
        <v>■</v>
      </c>
      <c r="F130" s="1" t="s">
        <v>7320</v>
      </c>
      <c r="G130" s="1">
        <v>53768</v>
      </c>
      <c r="H130" s="1">
        <v>59280</v>
      </c>
      <c r="I130" s="1">
        <v>20</v>
      </c>
      <c r="J130" s="1" t="s">
        <v>38</v>
      </c>
      <c r="K130" s="1" t="s">
        <v>7319</v>
      </c>
      <c r="L130" s="1" t="s">
        <v>7318</v>
      </c>
      <c r="M130" s="1" t="s">
        <v>9158</v>
      </c>
      <c r="N130" s="1" t="s">
        <v>9158</v>
      </c>
      <c r="O130" s="1" t="s">
        <v>9158</v>
      </c>
      <c r="P130" s="1" t="s">
        <v>9158</v>
      </c>
      <c r="Q130" s="1" t="s">
        <v>9158</v>
      </c>
    </row>
    <row r="131" spans="1:17">
      <c r="A131" s="1">
        <v>76383</v>
      </c>
      <c r="B131" s="1" t="s">
        <v>7307</v>
      </c>
      <c r="C131" s="1" t="s">
        <v>191</v>
      </c>
      <c r="D131" s="19" t="s">
        <v>470</v>
      </c>
      <c r="E131" s="15" t="str">
        <f>HYPERLINK("https://stat100.ameba.jp/tnk47/ratio20/illustrations/card/ill_76383_tokugawayoshikatsu03.jpg?201910-2-RELEASE-unionbattle-433", "■")</f>
        <v>■</v>
      </c>
      <c r="F131" s="1" t="s">
        <v>7323</v>
      </c>
      <c r="G131" s="1">
        <v>59280</v>
      </c>
      <c r="H131" s="1">
        <v>53768</v>
      </c>
      <c r="I131" s="1">
        <v>20</v>
      </c>
      <c r="J131" s="1" t="s">
        <v>10</v>
      </c>
      <c r="K131" s="1" t="s">
        <v>7322</v>
      </c>
      <c r="L131" s="1" t="s">
        <v>7321</v>
      </c>
      <c r="M131" s="1" t="s">
        <v>9158</v>
      </c>
      <c r="N131" s="1" t="s">
        <v>9158</v>
      </c>
      <c r="O131" s="1" t="s">
        <v>9158</v>
      </c>
      <c r="P131" s="1" t="s">
        <v>9158</v>
      </c>
      <c r="Q131" s="1" t="s">
        <v>9158</v>
      </c>
    </row>
    <row r="133" spans="1:17">
      <c r="A133" s="1" t="s">
        <v>7324</v>
      </c>
    </row>
    <row r="134" spans="1:17">
      <c r="A134" s="1" t="s">
        <v>7325</v>
      </c>
    </row>
    <row r="135" spans="1:17">
      <c r="A135" s="1" t="s">
        <v>7647</v>
      </c>
    </row>
    <row r="136" spans="1:17">
      <c r="A136" s="1" t="s">
        <v>7150</v>
      </c>
      <c r="B136" s="1" t="s">
        <v>52</v>
      </c>
      <c r="C136" s="1" t="s">
        <v>202</v>
      </c>
      <c r="D136" s="19" t="s">
        <v>10656</v>
      </c>
      <c r="E136" s="15" t="str">
        <f>HYPERLINK("https://stat100.ameba.jp/tnk47/ratio20/illustrations/card/ill_84203_0_tarottofujiwaranoshoshi03.jpg?201910-2-RELEASE-unionbattle-433", "■")</f>
        <v>■</v>
      </c>
      <c r="F136" s="1" t="s">
        <v>7153</v>
      </c>
      <c r="G136" s="1">
        <v>220780</v>
      </c>
      <c r="H136" s="1">
        <v>199554</v>
      </c>
      <c r="I136" s="1">
        <v>15</v>
      </c>
      <c r="J136" s="1" t="s">
        <v>10</v>
      </c>
      <c r="K136" s="1" t="s">
        <v>7152</v>
      </c>
      <c r="L136" s="1" t="s">
        <v>7151</v>
      </c>
      <c r="M136" s="1" t="s">
        <v>9158</v>
      </c>
      <c r="N136" s="1" t="s">
        <v>9158</v>
      </c>
      <c r="O136" s="19" t="s">
        <v>10128</v>
      </c>
      <c r="P136" s="1" t="s">
        <v>7154</v>
      </c>
      <c r="Q136" s="1">
        <v>1</v>
      </c>
    </row>
    <row r="137" spans="1:17">
      <c r="A137" s="1">
        <v>84403</v>
      </c>
      <c r="B137" s="1" t="s">
        <v>7326</v>
      </c>
      <c r="C137" s="1" t="s">
        <v>205</v>
      </c>
      <c r="D137" s="19" t="s">
        <v>10682</v>
      </c>
      <c r="E137" s="15" t="str">
        <f>HYPERLINK("https://stat100.ameba.jp/tnk47/ratio20/illustrations/card/ill_84403_dokushonokisetsuheikegani03.jpg?201910-2-RELEASE-unionbattle-433", "■")</f>
        <v>■</v>
      </c>
      <c r="F137" s="1" t="s">
        <v>7329</v>
      </c>
      <c r="G137" s="1">
        <v>104162</v>
      </c>
      <c r="H137" s="1">
        <v>96871</v>
      </c>
      <c r="I137" s="1">
        <v>25</v>
      </c>
      <c r="J137" s="1" t="s">
        <v>73</v>
      </c>
      <c r="K137" s="1" t="s">
        <v>7328</v>
      </c>
      <c r="L137" s="1" t="s">
        <v>7327</v>
      </c>
      <c r="M137" s="1" t="s">
        <v>9158</v>
      </c>
      <c r="N137" s="1" t="s">
        <v>9158</v>
      </c>
      <c r="O137" s="1" t="s">
        <v>9158</v>
      </c>
      <c r="P137" s="1" t="s">
        <v>9158</v>
      </c>
      <c r="Q137" s="1" t="s">
        <v>9158</v>
      </c>
    </row>
    <row r="138" spans="1:17">
      <c r="A138" s="1">
        <v>84703</v>
      </c>
      <c r="B138" s="1" t="s">
        <v>7326</v>
      </c>
      <c r="C138" s="1" t="s">
        <v>191</v>
      </c>
      <c r="D138" s="19" t="s">
        <v>10683</v>
      </c>
      <c r="E138" s="15" t="str">
        <f>HYPERLINK("https://stat100.ameba.jp/tnk47/ratio20/illustrations/card/ill_84703_ikegamishuho03.jpg?201910-2-RELEASE-unionbattle-433", "■")</f>
        <v>■</v>
      </c>
      <c r="F138" s="1" t="s">
        <v>7334</v>
      </c>
      <c r="G138" s="14">
        <v>94295</v>
      </c>
      <c r="H138" s="14">
        <v>101373</v>
      </c>
      <c r="I138" s="14">
        <v>25</v>
      </c>
      <c r="J138" s="1" t="s">
        <v>16</v>
      </c>
      <c r="K138" s="1" t="s">
        <v>7333</v>
      </c>
      <c r="L138" s="1" t="s">
        <v>7332</v>
      </c>
      <c r="M138" s="1" t="s">
        <v>9158</v>
      </c>
      <c r="N138" s="1" t="s">
        <v>9158</v>
      </c>
      <c r="O138" s="1" t="s">
        <v>9158</v>
      </c>
      <c r="P138" s="1" t="s">
        <v>9158</v>
      </c>
      <c r="Q138" s="1" t="s">
        <v>9158</v>
      </c>
    </row>
    <row r="139" spans="1:17">
      <c r="A139" s="1">
        <v>84413</v>
      </c>
      <c r="B139" s="1" t="s">
        <v>15</v>
      </c>
      <c r="C139" s="1" t="s">
        <v>185</v>
      </c>
      <c r="D139" s="19" t="s">
        <v>10684</v>
      </c>
      <c r="E139" s="15" t="str">
        <f>HYPERLINK("https://stat100.ameba.jp/tnk47/ratio20/illustrations/card/ill_84413_wakamatsushizuko03.jpg?201910-2-RELEASE-unionbattle-433", "■")</f>
        <v>■</v>
      </c>
      <c r="F139" s="1" t="s">
        <v>7337</v>
      </c>
      <c r="G139" s="1">
        <v>74100</v>
      </c>
      <c r="H139" s="1">
        <v>67210</v>
      </c>
      <c r="I139" s="1">
        <v>25</v>
      </c>
      <c r="J139" s="1" t="s">
        <v>16</v>
      </c>
      <c r="K139" s="1" t="s">
        <v>7336</v>
      </c>
      <c r="L139" s="1" t="s">
        <v>7335</v>
      </c>
      <c r="M139" s="1" t="s">
        <v>9158</v>
      </c>
      <c r="N139" s="1" t="s">
        <v>9158</v>
      </c>
      <c r="O139" s="1" t="s">
        <v>9158</v>
      </c>
      <c r="P139" s="1" t="s">
        <v>9158</v>
      </c>
      <c r="Q139" s="1" t="s">
        <v>9158</v>
      </c>
    </row>
    <row r="140" spans="1:17">
      <c r="A140" s="1">
        <v>84423</v>
      </c>
      <c r="B140" s="1" t="s">
        <v>7330</v>
      </c>
      <c r="C140" s="1" t="s">
        <v>206</v>
      </c>
      <c r="D140" s="19" t="s">
        <v>10685</v>
      </c>
      <c r="E140" s="15" t="str">
        <f>HYPERLINK("https://stat100.ameba.jp/tnk47/ratio20/illustrations/card/ill_84423_arimaruchia03.jpg?201910-2-RELEASE-unionbattle-433", "■")</f>
        <v>■</v>
      </c>
      <c r="F140" s="1" t="s">
        <v>7341</v>
      </c>
      <c r="G140" s="1">
        <v>36304</v>
      </c>
      <c r="H140" s="1">
        <v>43662</v>
      </c>
      <c r="I140" s="1">
        <v>21</v>
      </c>
      <c r="J140" s="1" t="s">
        <v>7340</v>
      </c>
      <c r="K140" s="1" t="s">
        <v>7339</v>
      </c>
      <c r="L140" s="1" t="s">
        <v>7338</v>
      </c>
      <c r="M140" s="1" t="s">
        <v>9158</v>
      </c>
      <c r="N140" s="1" t="s">
        <v>9158</v>
      </c>
      <c r="O140" s="1" t="s">
        <v>9158</v>
      </c>
      <c r="P140" s="1" t="s">
        <v>9158</v>
      </c>
      <c r="Q140" s="1" t="s">
        <v>9158</v>
      </c>
    </row>
    <row r="141" spans="1:17">
      <c r="A141" s="1">
        <v>84433</v>
      </c>
      <c r="B141" s="1" t="s">
        <v>7331</v>
      </c>
      <c r="C141" s="1" t="s">
        <v>7347</v>
      </c>
      <c r="D141" s="19" t="s">
        <v>10686</v>
      </c>
      <c r="E141" s="15" t="str">
        <f>HYPERLINK("https://stat100.ameba.jp/tnk47/ratio20/illustrations/card/ill_84433_akiyamasaneyuki03.jpg?201910-2-RELEASE-unionbattle-433", "■")</f>
        <v>■</v>
      </c>
      <c r="F141" s="1" t="s">
        <v>7344</v>
      </c>
      <c r="G141" s="1">
        <v>26434</v>
      </c>
      <c r="H141" s="1">
        <v>22200</v>
      </c>
      <c r="I141" s="1">
        <v>21</v>
      </c>
      <c r="J141" s="1" t="s">
        <v>310</v>
      </c>
      <c r="K141" s="1" t="s">
        <v>7343</v>
      </c>
      <c r="L141" s="1" t="s">
        <v>7342</v>
      </c>
      <c r="M141" s="1" t="s">
        <v>9158</v>
      </c>
      <c r="N141" s="1" t="s">
        <v>9158</v>
      </c>
      <c r="O141" s="1" t="s">
        <v>9158</v>
      </c>
      <c r="P141" s="1" t="s">
        <v>9158</v>
      </c>
      <c r="Q141" s="1" t="s">
        <v>9158</v>
      </c>
    </row>
    <row r="142" spans="1:17">
      <c r="G142" s="14"/>
      <c r="H142" s="14"/>
      <c r="I142" s="9"/>
    </row>
    <row r="143" spans="1:17">
      <c r="A143" s="1" t="s">
        <v>7345</v>
      </c>
    </row>
    <row r="144" spans="1:17">
      <c r="A144" s="1" t="s">
        <v>7346</v>
      </c>
    </row>
    <row r="145" spans="1:18">
      <c r="A145" s="1" t="s">
        <v>5626</v>
      </c>
      <c r="B145" s="1" t="s">
        <v>330</v>
      </c>
      <c r="C145" s="1" t="s">
        <v>200</v>
      </c>
      <c r="D145" s="19" t="s">
        <v>3160</v>
      </c>
      <c r="E145" s="15" t="str">
        <f>HYPERLINK("https://stat100.ameba.jp/tnk47/ratio20/illustrations/card/ill_72963_0_amenohanayomehiguchiichiyo03.jpg?201910-2-RELEASE-unionbattle-433", "■")</f>
        <v>■</v>
      </c>
      <c r="F145" s="1" t="s">
        <v>1139</v>
      </c>
      <c r="G145" s="1">
        <v>100502</v>
      </c>
      <c r="H145" s="1">
        <v>93450</v>
      </c>
      <c r="I145" s="1">
        <v>15</v>
      </c>
      <c r="J145" s="1" t="s">
        <v>173</v>
      </c>
      <c r="K145" s="1" t="s">
        <v>1140</v>
      </c>
      <c r="L145" s="1" t="s">
        <v>1141</v>
      </c>
      <c r="M145" s="1" t="s">
        <v>9158</v>
      </c>
      <c r="N145" s="1" t="s">
        <v>9158</v>
      </c>
      <c r="O145" s="19" t="s">
        <v>3162</v>
      </c>
      <c r="P145" s="1" t="s">
        <v>3410</v>
      </c>
      <c r="Q145" s="1">
        <v>1</v>
      </c>
    </row>
    <row r="146" spans="1:18">
      <c r="A146" s="1" t="s">
        <v>5623</v>
      </c>
      <c r="B146" s="1" t="s">
        <v>330</v>
      </c>
      <c r="C146" s="1" t="s">
        <v>165</v>
      </c>
      <c r="D146" s="19" t="s">
        <v>3146</v>
      </c>
      <c r="E146" s="15" t="str">
        <f>HYPERLINK("https://stat100.ameba.jp/tnk47/ratio20/illustrations/card/ill_65713_0_undokaionikirimaru03.jpg?201910-2-RELEASE-unionbattle-433", "■")</f>
        <v>■</v>
      </c>
      <c r="F146" s="1" t="s">
        <v>535</v>
      </c>
      <c r="G146" s="1">
        <v>113525</v>
      </c>
      <c r="H146" s="1">
        <v>105545</v>
      </c>
      <c r="I146" s="1">
        <v>15</v>
      </c>
      <c r="J146" s="1" t="s">
        <v>320</v>
      </c>
      <c r="K146" s="1" t="s">
        <v>3147</v>
      </c>
      <c r="L146" s="1" t="s">
        <v>3148</v>
      </c>
      <c r="M146" s="1" t="s">
        <v>9158</v>
      </c>
      <c r="N146" s="1" t="s">
        <v>9158</v>
      </c>
      <c r="O146" s="19" t="s">
        <v>2869</v>
      </c>
      <c r="P146" s="1" t="s">
        <v>2870</v>
      </c>
      <c r="Q146" s="1">
        <v>1</v>
      </c>
    </row>
    <row r="147" spans="1:18">
      <c r="A147" s="1" t="s">
        <v>5721</v>
      </c>
      <c r="B147" s="1" t="s">
        <v>330</v>
      </c>
      <c r="C147" s="1" t="s">
        <v>205</v>
      </c>
      <c r="D147" s="19" t="s">
        <v>513</v>
      </c>
      <c r="E147" s="15" t="str">
        <f>HYPERLINK("https://stat100.ameba.jp/tnk47/ratio20/illustrations/card/ill_44283_0_izumonokuni03.jpg?201910-2-RELEASE-unionbattle-433", "■")</f>
        <v>■</v>
      </c>
      <c r="F147" s="1" t="s">
        <v>514</v>
      </c>
      <c r="G147" s="1">
        <v>87780</v>
      </c>
      <c r="H147" s="1">
        <v>82212</v>
      </c>
      <c r="I147" s="1">
        <v>15</v>
      </c>
      <c r="J147" s="1" t="s">
        <v>159</v>
      </c>
      <c r="K147" s="1" t="s">
        <v>1717</v>
      </c>
      <c r="L147" s="1" t="s">
        <v>516</v>
      </c>
      <c r="M147" s="1" t="s">
        <v>9158</v>
      </c>
      <c r="N147" s="1" t="s">
        <v>9158</v>
      </c>
      <c r="O147" s="1" t="s">
        <v>9158</v>
      </c>
      <c r="P147" s="1" t="s">
        <v>9158</v>
      </c>
      <c r="Q147" s="1" t="s">
        <v>9158</v>
      </c>
    </row>
    <row r="148" spans="1:18">
      <c r="A148" s="1">
        <v>70793</v>
      </c>
      <c r="B148" s="1" t="s">
        <v>0</v>
      </c>
      <c r="C148" s="1" t="s">
        <v>7348</v>
      </c>
      <c r="D148" s="19" t="s">
        <v>10687</v>
      </c>
      <c r="E148" s="15" t="str">
        <f>HYPERLINK("https://stat100.ameba.jp/tnk47/ratio20/illustrations/card/ill_70793_tojimbo03.jpg?201910-2-RELEASE-unionbattle-433", "■")</f>
        <v>■</v>
      </c>
      <c r="F148" s="1" t="s">
        <v>7354</v>
      </c>
      <c r="G148" s="1">
        <v>115746</v>
      </c>
      <c r="H148" s="1">
        <v>65128</v>
      </c>
      <c r="I148" s="1">
        <v>24</v>
      </c>
      <c r="J148" s="1" t="s">
        <v>7353</v>
      </c>
      <c r="K148" s="1" t="s">
        <v>7352</v>
      </c>
      <c r="L148" s="1" t="s">
        <v>7351</v>
      </c>
      <c r="M148" s="1" t="s">
        <v>9158</v>
      </c>
      <c r="N148" s="1" t="s">
        <v>9158</v>
      </c>
      <c r="O148" s="1" t="s">
        <v>9158</v>
      </c>
      <c r="P148" s="1" t="s">
        <v>9158</v>
      </c>
      <c r="Q148" s="1" t="s">
        <v>9158</v>
      </c>
    </row>
    <row r="149" spans="1:18">
      <c r="A149" s="1">
        <v>74323</v>
      </c>
      <c r="B149" s="1" t="s">
        <v>0</v>
      </c>
      <c r="C149" s="1" t="s">
        <v>7349</v>
      </c>
      <c r="D149" s="19" t="s">
        <v>10222</v>
      </c>
      <c r="E149" s="15" t="str">
        <f>HYPERLINK("https://stat100.ameba.jp/tnk47/ratio20/illustrations/card/ill_74323_nadanosake03.jpg?201910-2-RELEASE-unionbattle-433", "■")</f>
        <v>■</v>
      </c>
      <c r="F149" s="1" t="s">
        <v>7358</v>
      </c>
      <c r="G149" s="1">
        <v>139986</v>
      </c>
      <c r="H149" s="1">
        <v>78748</v>
      </c>
      <c r="I149" s="1">
        <v>24</v>
      </c>
      <c r="J149" s="1" t="s">
        <v>7357</v>
      </c>
      <c r="K149" s="1" t="s">
        <v>7356</v>
      </c>
      <c r="L149" s="1" t="s">
        <v>7355</v>
      </c>
      <c r="M149" s="1" t="s">
        <v>9158</v>
      </c>
      <c r="N149" s="1" t="s">
        <v>9158</v>
      </c>
      <c r="O149" s="1" t="s">
        <v>9158</v>
      </c>
      <c r="P149" s="1" t="s">
        <v>9158</v>
      </c>
      <c r="Q149" s="1" t="s">
        <v>9158</v>
      </c>
    </row>
    <row r="150" spans="1:18">
      <c r="A150" s="1">
        <v>81423</v>
      </c>
      <c r="B150" s="1" t="s">
        <v>0</v>
      </c>
      <c r="C150" s="1" t="s">
        <v>7350</v>
      </c>
      <c r="D150" s="19" t="s">
        <v>10688</v>
      </c>
      <c r="E150" s="15" t="str">
        <f>HYPERLINK("https://stat100.ameba.jp/tnk47/ratio20/illustrations/card/ill_81423_harunotaiikusaiamahime03.jpg?201910-2-RELEASE-unionbattle-433", "■")</f>
        <v>■</v>
      </c>
      <c r="F150" s="1" t="s">
        <v>7361</v>
      </c>
      <c r="G150" s="1">
        <v>93746</v>
      </c>
      <c r="H150" s="1">
        <v>87128</v>
      </c>
      <c r="I150" s="1">
        <v>24</v>
      </c>
      <c r="J150" s="1" t="s">
        <v>7340</v>
      </c>
      <c r="K150" s="1" t="s">
        <v>7360</v>
      </c>
      <c r="L150" s="1" t="s">
        <v>7359</v>
      </c>
      <c r="M150" s="1" t="s">
        <v>9158</v>
      </c>
      <c r="N150" s="1" t="s">
        <v>9158</v>
      </c>
      <c r="O150" s="1" t="s">
        <v>9158</v>
      </c>
      <c r="P150" s="1" t="s">
        <v>9158</v>
      </c>
      <c r="Q150" s="1" t="s">
        <v>9158</v>
      </c>
    </row>
    <row r="151" spans="1:18">
      <c r="A151" s="1">
        <v>64053</v>
      </c>
      <c r="B151" s="1" t="s">
        <v>15</v>
      </c>
      <c r="C151" s="1" t="s">
        <v>206</v>
      </c>
      <c r="D151" s="19" t="s">
        <v>10667</v>
      </c>
      <c r="E151" s="15" t="str">
        <f>HYPERLINK("https://stat100.ameba.jp/tnk47/ratio20/illustrations/card/ill_64053_yusuzumimyorinni03.jpg?201910-2-RELEASE-unionbattle-433", "■")</f>
        <v>■</v>
      </c>
      <c r="F151" s="1" t="s">
        <v>7202</v>
      </c>
      <c r="G151" s="1">
        <v>59280</v>
      </c>
      <c r="H151" s="1">
        <v>53768</v>
      </c>
      <c r="I151" s="1">
        <v>20</v>
      </c>
      <c r="J151" s="1" t="s">
        <v>194</v>
      </c>
      <c r="K151" s="1" t="s">
        <v>7201</v>
      </c>
      <c r="L151" s="1" t="s">
        <v>3524</v>
      </c>
      <c r="M151" s="1" t="s">
        <v>9158</v>
      </c>
      <c r="N151" s="1" t="s">
        <v>9158</v>
      </c>
      <c r="O151" s="1" t="s">
        <v>9158</v>
      </c>
      <c r="P151" s="1" t="s">
        <v>9158</v>
      </c>
      <c r="Q151" s="1" t="s">
        <v>9158</v>
      </c>
    </row>
    <row r="152" spans="1:18">
      <c r="A152" s="1">
        <v>77363</v>
      </c>
      <c r="B152" s="1" t="s">
        <v>15</v>
      </c>
      <c r="C152" s="1" t="s">
        <v>185</v>
      </c>
      <c r="D152" s="19" t="s">
        <v>1533</v>
      </c>
      <c r="E152" s="15" t="str">
        <f>HYPERLINK("https://stat100.ameba.jp/tnk47/ratio20/illustrations/card/ill_77363_samonchan03.jpg?201910-2-RELEASE-unionbattle-433", "■")</f>
        <v>■</v>
      </c>
      <c r="F152" s="1" t="s">
        <v>5480</v>
      </c>
      <c r="G152" s="1">
        <v>59280</v>
      </c>
      <c r="H152" s="1">
        <v>53768</v>
      </c>
      <c r="I152" s="1">
        <v>20</v>
      </c>
      <c r="J152" s="1" t="s">
        <v>216</v>
      </c>
      <c r="K152" s="1" t="s">
        <v>3607</v>
      </c>
      <c r="L152" s="1" t="s">
        <v>3607</v>
      </c>
      <c r="M152" s="1" t="s">
        <v>9158</v>
      </c>
      <c r="N152" s="1" t="s">
        <v>9158</v>
      </c>
      <c r="O152" s="1" t="s">
        <v>9158</v>
      </c>
      <c r="P152" s="1" t="s">
        <v>9158</v>
      </c>
      <c r="Q152" s="1" t="s">
        <v>9158</v>
      </c>
    </row>
    <row r="153" spans="1:18">
      <c r="A153" s="1">
        <v>74073</v>
      </c>
      <c r="B153" s="1" t="s">
        <v>15</v>
      </c>
      <c r="C153" s="1" t="s">
        <v>191</v>
      </c>
      <c r="D153" s="19" t="s">
        <v>10668</v>
      </c>
      <c r="E153" s="15" t="str">
        <f>HYPERLINK("https://stat100.ameba.jp/tnk47/ratio20/illustrations/card/ill_74073_toyotakerosho03.jpg?201910-2-RELEASE-unionbattle-433", "■")</f>
        <v>■</v>
      </c>
      <c r="F153" s="1" t="s">
        <v>4385</v>
      </c>
      <c r="G153" s="1">
        <v>59280</v>
      </c>
      <c r="H153" s="1">
        <v>53768</v>
      </c>
      <c r="I153" s="1">
        <v>20</v>
      </c>
      <c r="J153" s="1" t="s">
        <v>173</v>
      </c>
      <c r="K153" s="1" t="s">
        <v>4386</v>
      </c>
      <c r="L153" s="1" t="s">
        <v>3275</v>
      </c>
      <c r="M153" s="1" t="s">
        <v>9158</v>
      </c>
      <c r="N153" s="1" t="s">
        <v>9158</v>
      </c>
      <c r="O153" s="1" t="s">
        <v>9158</v>
      </c>
      <c r="P153" s="1" t="s">
        <v>9158</v>
      </c>
      <c r="Q153" s="1" t="s">
        <v>9158</v>
      </c>
    </row>
    <row r="155" spans="1:18">
      <c r="A155" s="1" t="s">
        <v>13366</v>
      </c>
    </row>
    <row r="156" spans="1:18">
      <c r="A156" s="1" t="s">
        <v>7374</v>
      </c>
    </row>
    <row r="157" spans="1:18">
      <c r="A157" s="1">
        <v>84305</v>
      </c>
      <c r="B157" s="1" t="s">
        <v>7364</v>
      </c>
      <c r="C157" s="1" t="s">
        <v>7362</v>
      </c>
      <c r="D157" s="19" t="s">
        <v>10689</v>
      </c>
      <c r="E157" s="15" t="str">
        <f>HYPERLINK("https://stat100.ameba.jp/tnk47/ratio20/illustrations/card/ill_84305_ryukenshisukura05.jpg?201910-2-RELEASE-unionbattle-433", "■")</f>
        <v>■</v>
      </c>
      <c r="F157" s="1" t="s">
        <v>7371</v>
      </c>
      <c r="G157" s="1">
        <v>118460</v>
      </c>
      <c r="H157" s="1">
        <v>85758</v>
      </c>
      <c r="I157" s="1">
        <v>24</v>
      </c>
      <c r="J157" s="1" t="s">
        <v>194</v>
      </c>
      <c r="K157" s="1" t="s">
        <v>7370</v>
      </c>
      <c r="L157" s="1" t="s">
        <v>7369</v>
      </c>
      <c r="M157" s="1" t="s">
        <v>9158</v>
      </c>
      <c r="N157" s="1" t="s">
        <v>9158</v>
      </c>
      <c r="O157" s="1" t="s">
        <v>9158</v>
      </c>
      <c r="P157" s="1" t="s">
        <v>9158</v>
      </c>
      <c r="Q157" s="1" t="s">
        <v>9158</v>
      </c>
      <c r="R157" s="1" t="s">
        <v>7366</v>
      </c>
    </row>
    <row r="158" spans="1:18">
      <c r="A158" s="1">
        <v>84303</v>
      </c>
      <c r="B158" s="1" t="s">
        <v>7365</v>
      </c>
      <c r="C158" s="1" t="s">
        <v>7363</v>
      </c>
      <c r="D158" s="19" t="s">
        <v>10689</v>
      </c>
      <c r="E158" s="15" t="str">
        <f>HYPERLINK("https://stat100.ameba.jp/tnk47/ratio20/illustrations/card/ill_84303_ryukenshisukura03.jpg?201910-2-RELEASE-unionbattle-433", "■")</f>
        <v>■</v>
      </c>
      <c r="F158" s="1" t="s">
        <v>7371</v>
      </c>
      <c r="G158" s="1">
        <v>87270</v>
      </c>
      <c r="H158" s="1">
        <v>63180</v>
      </c>
      <c r="I158" s="1">
        <v>24</v>
      </c>
      <c r="J158" s="1" t="s">
        <v>194</v>
      </c>
      <c r="K158" s="1" t="s">
        <v>7370</v>
      </c>
      <c r="L158" s="1" t="s">
        <v>7372</v>
      </c>
      <c r="M158" s="1" t="s">
        <v>9158</v>
      </c>
      <c r="N158" s="1" t="s">
        <v>9158</v>
      </c>
      <c r="O158" s="1" t="s">
        <v>9158</v>
      </c>
      <c r="P158" s="1" t="s">
        <v>9158</v>
      </c>
      <c r="Q158" s="1" t="s">
        <v>9158</v>
      </c>
      <c r="R158" s="1" t="s">
        <v>7367</v>
      </c>
    </row>
    <row r="159" spans="1:18">
      <c r="A159" s="1">
        <v>84301</v>
      </c>
      <c r="B159" s="1" t="s">
        <v>7365</v>
      </c>
      <c r="C159" s="1" t="s">
        <v>7363</v>
      </c>
      <c r="D159" s="19" t="s">
        <v>10689</v>
      </c>
      <c r="E159" s="15" t="str">
        <f>HYPERLINK("https://stat100.ameba.jp/tnk47/ratio20/illustrations/card/ill_84301_ryukenshisukura01.jpg?201910-2-RELEASE-unionbattle-433", "■")</f>
        <v>■</v>
      </c>
      <c r="F159" s="1" t="s">
        <v>7371</v>
      </c>
      <c r="G159" s="1">
        <v>55512</v>
      </c>
      <c r="H159" s="1">
        <v>40176</v>
      </c>
      <c r="I159" s="1">
        <v>24</v>
      </c>
      <c r="J159" s="1" t="s">
        <v>194</v>
      </c>
      <c r="K159" s="1" t="s">
        <v>7370</v>
      </c>
      <c r="L159" s="1" t="s">
        <v>7373</v>
      </c>
      <c r="M159" s="1" t="s">
        <v>9158</v>
      </c>
      <c r="N159" s="1" t="s">
        <v>9158</v>
      </c>
      <c r="O159" s="1" t="s">
        <v>9158</v>
      </c>
      <c r="P159" s="1" t="s">
        <v>9158</v>
      </c>
      <c r="Q159" s="1" t="s">
        <v>9158</v>
      </c>
      <c r="R159" s="1" t="s">
        <v>7368</v>
      </c>
    </row>
    <row r="161" spans="1:18">
      <c r="A161" s="1" t="s">
        <v>13327</v>
      </c>
    </row>
    <row r="162" spans="1:18">
      <c r="A162" s="1" t="s">
        <v>7375</v>
      </c>
    </row>
    <row r="163" spans="1:18">
      <c r="A163" s="1">
        <v>75113</v>
      </c>
      <c r="B163" s="1" t="s">
        <v>334</v>
      </c>
      <c r="C163" s="1" t="s">
        <v>335</v>
      </c>
      <c r="D163" s="19" t="s">
        <v>448</v>
      </c>
      <c r="E163" s="15" t="str">
        <f>HYPERLINK("https://stat100.ameba.jp/tnk47/ratio20/illustrations/card/ill_75113_hatahata03.jpg?201910-2-RELEASE-unionbattle-433", "■")</f>
        <v>■</v>
      </c>
      <c r="F163" s="1" t="s">
        <v>449</v>
      </c>
      <c r="G163" s="1">
        <v>118152</v>
      </c>
      <c r="H163" s="1">
        <v>109852</v>
      </c>
      <c r="I163" s="1">
        <v>24</v>
      </c>
      <c r="J163" s="1" t="s">
        <v>283</v>
      </c>
      <c r="K163" s="1" t="s">
        <v>450</v>
      </c>
      <c r="L163" s="1" t="s">
        <v>13129</v>
      </c>
      <c r="M163" s="1" t="s">
        <v>13130</v>
      </c>
      <c r="N163" s="1" t="s">
        <v>343</v>
      </c>
      <c r="O163" s="1" t="s">
        <v>9158</v>
      </c>
      <c r="P163" s="1" t="s">
        <v>9158</v>
      </c>
      <c r="Q163" s="1" t="s">
        <v>9158</v>
      </c>
      <c r="R163" s="14" t="s">
        <v>14748</v>
      </c>
    </row>
    <row r="164" spans="1:18">
      <c r="A164" s="1">
        <v>75112</v>
      </c>
      <c r="B164" s="1" t="s">
        <v>334</v>
      </c>
      <c r="C164" s="1" t="s">
        <v>335</v>
      </c>
      <c r="D164" s="19" t="s">
        <v>448</v>
      </c>
      <c r="E164" s="15" t="str">
        <f>HYPERLINK("https://stat100.ameba.jp/tnk47/ratio20/illustrations/card/ill_75112_hatahata02.jpg?201910-2-RELEASE-unionbattle-433", "■")</f>
        <v>■</v>
      </c>
      <c r="F164" s="1" t="s">
        <v>449</v>
      </c>
      <c r="G164" s="1">
        <v>98768</v>
      </c>
      <c r="H164" s="1">
        <v>90984</v>
      </c>
      <c r="I164" s="1">
        <v>24</v>
      </c>
      <c r="J164" s="1" t="s">
        <v>283</v>
      </c>
      <c r="K164" s="1" t="s">
        <v>450</v>
      </c>
      <c r="L164" s="1" t="s">
        <v>13129</v>
      </c>
      <c r="M164" s="1" t="s">
        <v>13131</v>
      </c>
      <c r="N164" s="1" t="s">
        <v>251</v>
      </c>
      <c r="O164" s="1" t="s">
        <v>9158</v>
      </c>
      <c r="P164" s="1" t="s">
        <v>9158</v>
      </c>
      <c r="Q164" s="1" t="s">
        <v>9158</v>
      </c>
      <c r="R164" s="14" t="s">
        <v>14748</v>
      </c>
    </row>
    <row r="165" spans="1:18">
      <c r="A165" s="1">
        <v>75111</v>
      </c>
      <c r="B165" s="1" t="s">
        <v>334</v>
      </c>
      <c r="C165" s="1" t="s">
        <v>335</v>
      </c>
      <c r="D165" s="19" t="s">
        <v>448</v>
      </c>
      <c r="E165" s="15" t="str">
        <f>HYPERLINK("https://stat100.ameba.jp/tnk47/ratio20/illustrations/card/ill_75111_hatahata01.jpg?201910-2-RELEASE-unionbattle-433", "■")</f>
        <v>■</v>
      </c>
      <c r="F165" s="1" t="s">
        <v>449</v>
      </c>
      <c r="G165" s="1">
        <v>75408</v>
      </c>
      <c r="H165" s="1">
        <v>70200</v>
      </c>
      <c r="I165" s="1">
        <v>24</v>
      </c>
      <c r="J165" s="1" t="s">
        <v>283</v>
      </c>
      <c r="K165" s="1" t="s">
        <v>450</v>
      </c>
      <c r="L165" s="1" t="s">
        <v>13129</v>
      </c>
      <c r="M165" s="1" t="s">
        <v>13131</v>
      </c>
      <c r="N165" s="1" t="s">
        <v>251</v>
      </c>
      <c r="O165" s="1" t="s">
        <v>9158</v>
      </c>
      <c r="P165" s="1" t="s">
        <v>9158</v>
      </c>
      <c r="Q165" s="1" t="s">
        <v>9158</v>
      </c>
      <c r="R165" s="14" t="s">
        <v>14748</v>
      </c>
    </row>
    <row r="166" spans="1:18">
      <c r="A166" s="1">
        <v>75123</v>
      </c>
      <c r="B166" s="1" t="s">
        <v>334</v>
      </c>
      <c r="C166" s="1" t="s">
        <v>307</v>
      </c>
      <c r="D166" s="19" t="s">
        <v>451</v>
      </c>
      <c r="E166" s="15" t="str">
        <f>HYPERLINK("https://stat100.ameba.jp/tnk47/ratio20/illustrations/card/ill_75123_nankintamasudare03.jpg?201910-2-RELEASE-unionbattle-433", "■")</f>
        <v>■</v>
      </c>
      <c r="F166" s="1" t="s">
        <v>452</v>
      </c>
      <c r="G166" s="1">
        <v>109852</v>
      </c>
      <c r="H166" s="1">
        <v>118152</v>
      </c>
      <c r="I166" s="1">
        <v>24</v>
      </c>
      <c r="J166" s="1" t="s">
        <v>274</v>
      </c>
      <c r="K166" s="1" t="s">
        <v>453</v>
      </c>
      <c r="L166" s="1" t="s">
        <v>6711</v>
      </c>
      <c r="M166" s="1" t="s">
        <v>13130</v>
      </c>
      <c r="N166" s="1" t="s">
        <v>343</v>
      </c>
      <c r="O166" s="1" t="s">
        <v>9158</v>
      </c>
      <c r="P166" s="1" t="s">
        <v>9158</v>
      </c>
      <c r="Q166" s="1" t="s">
        <v>9158</v>
      </c>
      <c r="R166" s="14" t="s">
        <v>14748</v>
      </c>
    </row>
    <row r="167" spans="1:18">
      <c r="A167" s="1">
        <v>76013</v>
      </c>
      <c r="B167" s="1" t="s">
        <v>334</v>
      </c>
      <c r="C167" s="1" t="s">
        <v>344</v>
      </c>
      <c r="D167" s="19" t="s">
        <v>454</v>
      </c>
      <c r="E167" s="15" t="str">
        <f>HYPERLINK("https://stat100.ameba.jp/tnk47/ratio20/illustrations/card/ill_76013_miyakojima03.jpg?201910-2-RELEASE-unionbattle-433", "■")</f>
        <v>■</v>
      </c>
      <c r="F167" s="1" t="s">
        <v>455</v>
      </c>
      <c r="G167" s="1">
        <v>118152</v>
      </c>
      <c r="H167" s="1">
        <v>109852</v>
      </c>
      <c r="I167" s="1">
        <v>24</v>
      </c>
      <c r="J167" s="1" t="s">
        <v>369</v>
      </c>
      <c r="K167" s="1" t="s">
        <v>456</v>
      </c>
      <c r="L167" s="1" t="s">
        <v>6712</v>
      </c>
      <c r="M167" s="1" t="s">
        <v>13130</v>
      </c>
      <c r="N167" s="1" t="s">
        <v>343</v>
      </c>
      <c r="O167" s="1" t="s">
        <v>9158</v>
      </c>
      <c r="P167" s="1" t="s">
        <v>9158</v>
      </c>
      <c r="Q167" s="1" t="s">
        <v>9158</v>
      </c>
      <c r="R167" s="14" t="s">
        <v>14748</v>
      </c>
    </row>
    <row r="168" spans="1:18">
      <c r="A168" s="1">
        <v>74333</v>
      </c>
      <c r="B168" s="1" t="s">
        <v>334</v>
      </c>
      <c r="C168" s="1" t="s">
        <v>271</v>
      </c>
      <c r="D168" s="19" t="s">
        <v>457</v>
      </c>
      <c r="E168" s="15" t="str">
        <f>HYPERLINK("https://stat100.ameba.jp/tnk47/ratio20/illustrations/card/ill_74333_iizukaigashichi03.jpg?201910-2-RELEASE-unionbattle-433", "■")</f>
        <v>■</v>
      </c>
      <c r="F168" s="1" t="s">
        <v>458</v>
      </c>
      <c r="G168" s="1">
        <v>109852</v>
      </c>
      <c r="H168" s="1">
        <v>118152</v>
      </c>
      <c r="I168" s="1">
        <v>24</v>
      </c>
      <c r="J168" s="1" t="s">
        <v>414</v>
      </c>
      <c r="K168" s="1" t="s">
        <v>459</v>
      </c>
      <c r="L168" s="1" t="s">
        <v>6713</v>
      </c>
      <c r="M168" s="1" t="s">
        <v>13130</v>
      </c>
      <c r="N168" s="1" t="s">
        <v>343</v>
      </c>
      <c r="O168" s="1" t="s">
        <v>9158</v>
      </c>
      <c r="P168" s="1" t="s">
        <v>9158</v>
      </c>
      <c r="Q168" s="1" t="s">
        <v>9158</v>
      </c>
      <c r="R168" s="14" t="s">
        <v>14748</v>
      </c>
    </row>
    <row r="169" spans="1:18">
      <c r="A169" s="1">
        <v>74343</v>
      </c>
      <c r="B169" s="1" t="s">
        <v>334</v>
      </c>
      <c r="C169" s="1" t="s">
        <v>308</v>
      </c>
      <c r="D169" s="19" t="s">
        <v>460</v>
      </c>
      <c r="E169" s="15" t="str">
        <f>HYPERLINK("https://stat100.ameba.jp/tnk47/ratio20/illustrations/card/ill_74343_wadakoremasa03.jpg?201910-2-RELEASE-unionbattle-433", "■")</f>
        <v>■</v>
      </c>
      <c r="F169" s="1" t="s">
        <v>461</v>
      </c>
      <c r="G169" s="1">
        <v>109852</v>
      </c>
      <c r="H169" s="1">
        <v>118152</v>
      </c>
      <c r="I169" s="1">
        <v>24</v>
      </c>
      <c r="J169" s="1" t="s">
        <v>310</v>
      </c>
      <c r="K169" s="1" t="s">
        <v>462</v>
      </c>
      <c r="L169" s="1" t="s">
        <v>6714</v>
      </c>
      <c r="M169" s="1" t="s">
        <v>13130</v>
      </c>
      <c r="N169" s="1" t="s">
        <v>343</v>
      </c>
      <c r="O169" s="1" t="s">
        <v>9158</v>
      </c>
      <c r="P169" s="1" t="s">
        <v>9158</v>
      </c>
      <c r="Q169" s="1" t="s">
        <v>9158</v>
      </c>
      <c r="R169" s="14" t="s">
        <v>14748</v>
      </c>
    </row>
    <row r="170" spans="1:18">
      <c r="A170" s="1">
        <v>74353</v>
      </c>
      <c r="B170" s="1" t="s">
        <v>334</v>
      </c>
      <c r="C170" s="1" t="s">
        <v>267</v>
      </c>
      <c r="D170" s="19" t="s">
        <v>463</v>
      </c>
      <c r="E170" s="15" t="str">
        <f>HYPERLINK("https://stat100.ameba.jp/tnk47/ratio20/illustrations/card/ill_74353_takechizuizan03.jpg?201910-2-RELEASE-unionbattle-433", "■")</f>
        <v>■</v>
      </c>
      <c r="F170" s="1" t="s">
        <v>464</v>
      </c>
      <c r="G170" s="1">
        <v>118152</v>
      </c>
      <c r="H170" s="1">
        <v>109852</v>
      </c>
      <c r="I170" s="1">
        <v>24</v>
      </c>
      <c r="J170" s="1" t="s">
        <v>351</v>
      </c>
      <c r="K170" s="1" t="s">
        <v>465</v>
      </c>
      <c r="L170" s="1" t="s">
        <v>6715</v>
      </c>
      <c r="M170" s="1" t="s">
        <v>13130</v>
      </c>
      <c r="N170" s="1" t="s">
        <v>343</v>
      </c>
      <c r="O170" s="1" t="s">
        <v>9158</v>
      </c>
      <c r="P170" s="1" t="s">
        <v>9158</v>
      </c>
      <c r="Q170" s="1" t="s">
        <v>9158</v>
      </c>
      <c r="R170" s="14" t="s">
        <v>14748</v>
      </c>
    </row>
    <row r="172" spans="1:18">
      <c r="A172" s="1" t="s">
        <v>7376</v>
      </c>
    </row>
    <row r="173" spans="1:18">
      <c r="A173" s="1" t="s">
        <v>7377</v>
      </c>
    </row>
    <row r="174" spans="1:18">
      <c r="A174" s="1" t="s">
        <v>5611</v>
      </c>
      <c r="B174" s="1" t="s">
        <v>330</v>
      </c>
      <c r="C174" s="1" t="s">
        <v>185</v>
      </c>
      <c r="D174" s="19" t="s">
        <v>539</v>
      </c>
      <c r="E174" s="15" t="str">
        <f>HYPERLINK("https://stat100.ameba.jp/tnk47/ratio20/illustrations/card/ill_60633_0_harumaisentoin03.jpg?201910-2-RELEASE-unionbattle-433", "■")</f>
        <v>■</v>
      </c>
      <c r="F174" s="1" t="s">
        <v>540</v>
      </c>
      <c r="G174" s="1">
        <v>146235</v>
      </c>
      <c r="H174" s="1">
        <v>157306</v>
      </c>
      <c r="I174" s="1">
        <v>23</v>
      </c>
      <c r="J174" s="1" t="s">
        <v>274</v>
      </c>
      <c r="K174" s="1" t="s">
        <v>541</v>
      </c>
      <c r="L174" s="1" t="s">
        <v>542</v>
      </c>
      <c r="M174" s="1" t="s">
        <v>9158</v>
      </c>
      <c r="N174" s="1" t="s">
        <v>9158</v>
      </c>
      <c r="O174" s="19" t="s">
        <v>2888</v>
      </c>
      <c r="P174" s="1" t="s">
        <v>3144</v>
      </c>
      <c r="Q174" s="1">
        <v>1</v>
      </c>
    </row>
    <row r="175" spans="1:18">
      <c r="A175" s="1" t="s">
        <v>5609</v>
      </c>
      <c r="B175" s="1" t="s">
        <v>52</v>
      </c>
      <c r="C175" s="1" t="s">
        <v>200</v>
      </c>
      <c r="D175" s="19" t="s">
        <v>389</v>
      </c>
      <c r="E175" s="15" t="str">
        <f>HYPERLINK("https://stat100.ameba.jp/tnk47/ratio20/illustrations/card/ill_53753_0_natsumatsuritokugawaieyasu03.jpg?201910-2-RELEASE-unionbattle-433", "■")</f>
        <v>■</v>
      </c>
      <c r="F175" s="1" t="s">
        <v>902</v>
      </c>
      <c r="G175" s="1">
        <v>144494</v>
      </c>
      <c r="H175" s="1">
        <v>128358</v>
      </c>
      <c r="I175" s="1">
        <v>23</v>
      </c>
      <c r="J175" s="1" t="s">
        <v>194</v>
      </c>
      <c r="K175" s="1" t="s">
        <v>1714</v>
      </c>
      <c r="L175" s="1" t="s">
        <v>904</v>
      </c>
      <c r="M175" s="1" t="s">
        <v>9158</v>
      </c>
      <c r="N175" s="1" t="s">
        <v>9158</v>
      </c>
      <c r="O175" s="19" t="s">
        <v>10076</v>
      </c>
      <c r="P175" s="1" t="s">
        <v>13121</v>
      </c>
      <c r="Q175" s="1">
        <v>1</v>
      </c>
    </row>
    <row r="176" spans="1:18">
      <c r="A176" s="1" t="s">
        <v>5608</v>
      </c>
      <c r="B176" s="1" t="s">
        <v>52</v>
      </c>
      <c r="C176" s="1" t="s">
        <v>96</v>
      </c>
      <c r="D176" s="19" t="s">
        <v>634</v>
      </c>
      <c r="E176" s="15" t="str">
        <f>HYPERLINK("https://stat100.ameba.jp/tnk47/ratio20/illustrations/card/ill_40963_0_makami03.jpg?201910-2-RELEASE-unionbattle-433", "■")</f>
        <v>■</v>
      </c>
      <c r="F176" s="1" t="s">
        <v>2038</v>
      </c>
      <c r="G176" s="1">
        <v>134596</v>
      </c>
      <c r="H176" s="1">
        <v>126058</v>
      </c>
      <c r="I176" s="1">
        <v>23</v>
      </c>
      <c r="J176" s="1" t="s">
        <v>44</v>
      </c>
      <c r="K176" s="1" t="s">
        <v>2039</v>
      </c>
      <c r="L176" s="1" t="s">
        <v>2040</v>
      </c>
      <c r="M176" s="1" t="s">
        <v>9158</v>
      </c>
      <c r="N176" s="1" t="s">
        <v>9158</v>
      </c>
      <c r="O176" s="1" t="s">
        <v>9158</v>
      </c>
      <c r="P176" s="1" t="s">
        <v>9158</v>
      </c>
      <c r="Q176" s="1" t="s">
        <v>9158</v>
      </c>
    </row>
    <row r="177" spans="1:17">
      <c r="A177" s="1">
        <v>84403</v>
      </c>
      <c r="B177" s="1" t="s">
        <v>0</v>
      </c>
      <c r="C177" s="1" t="s">
        <v>205</v>
      </c>
      <c r="D177" s="19" t="s">
        <v>10682</v>
      </c>
      <c r="E177" s="15" t="str">
        <f>HYPERLINK("https://stat100.ameba.jp/tnk47/ratio20/illustrations/card/ill_84403_dokushonokisetsuheikegani03.jpg?201910-2-RELEASE-unionbattle-433", "■")</f>
        <v>■</v>
      </c>
      <c r="F177" s="1" t="s">
        <v>7329</v>
      </c>
      <c r="G177" s="1">
        <v>99996</v>
      </c>
      <c r="H177" s="1">
        <v>92996</v>
      </c>
      <c r="I177" s="1">
        <v>24</v>
      </c>
      <c r="J177" s="1" t="s">
        <v>73</v>
      </c>
      <c r="K177" s="1" t="s">
        <v>7328</v>
      </c>
      <c r="L177" s="1" t="s">
        <v>7327</v>
      </c>
      <c r="M177" s="1" t="s">
        <v>9158</v>
      </c>
      <c r="N177" s="1" t="s">
        <v>9158</v>
      </c>
      <c r="O177" s="1" t="s">
        <v>9158</v>
      </c>
      <c r="P177" s="1" t="s">
        <v>9158</v>
      </c>
      <c r="Q177" s="1" t="s">
        <v>9158</v>
      </c>
    </row>
    <row r="178" spans="1:17">
      <c r="A178" s="1">
        <v>84413</v>
      </c>
      <c r="B178" s="1" t="s">
        <v>15</v>
      </c>
      <c r="C178" s="1" t="s">
        <v>185</v>
      </c>
      <c r="D178" s="19" t="s">
        <v>10684</v>
      </c>
      <c r="E178" s="15" t="str">
        <f>HYPERLINK("https://stat100.ameba.jp/tnk47/ratio20/illustrations/card/ill_84413_wakamatsushizuko03.jpg?201910-2-RELEASE-unionbattle-433", "■")</f>
        <v>■</v>
      </c>
      <c r="F178" s="1" t="s">
        <v>7337</v>
      </c>
      <c r="G178" s="1">
        <v>53352</v>
      </c>
      <c r="H178" s="1">
        <v>48390</v>
      </c>
      <c r="I178" s="1">
        <v>18</v>
      </c>
      <c r="J178" s="1" t="s">
        <v>16</v>
      </c>
      <c r="K178" s="1" t="s">
        <v>7336</v>
      </c>
      <c r="L178" s="1" t="s">
        <v>21</v>
      </c>
      <c r="M178" s="1" t="s">
        <v>9158</v>
      </c>
      <c r="N178" s="1" t="s">
        <v>9158</v>
      </c>
      <c r="O178" s="1" t="s">
        <v>9158</v>
      </c>
      <c r="P178" s="1" t="s">
        <v>9158</v>
      </c>
      <c r="Q178" s="1" t="s">
        <v>9158</v>
      </c>
    </row>
    <row r="179" spans="1:17">
      <c r="A179" s="1">
        <v>84423</v>
      </c>
      <c r="B179" s="1" t="s">
        <v>22</v>
      </c>
      <c r="C179" s="1" t="s">
        <v>206</v>
      </c>
      <c r="D179" s="19" t="s">
        <v>10685</v>
      </c>
      <c r="E179" s="15" t="str">
        <f>HYPERLINK("https://stat100.ameba.jp/tnk47/ratio20/illustrations/card/ill_84423_arimaruchia03.jpg?201910-2-RELEASE-unionbattle-433", "■")</f>
        <v>■</v>
      </c>
      <c r="F179" s="1" t="s">
        <v>7341</v>
      </c>
      <c r="G179" s="1">
        <v>27660</v>
      </c>
      <c r="H179" s="1">
        <v>33266</v>
      </c>
      <c r="I179" s="1">
        <v>16</v>
      </c>
      <c r="J179" s="1" t="s">
        <v>187</v>
      </c>
      <c r="K179" s="1" t="s">
        <v>7339</v>
      </c>
      <c r="L179" s="1" t="s">
        <v>2424</v>
      </c>
      <c r="M179" s="1" t="s">
        <v>9158</v>
      </c>
      <c r="N179" s="1" t="s">
        <v>9158</v>
      </c>
      <c r="O179" s="1" t="s">
        <v>9158</v>
      </c>
      <c r="P179" s="1" t="s">
        <v>9158</v>
      </c>
      <c r="Q179" s="1" t="s">
        <v>9158</v>
      </c>
    </row>
    <row r="180" spans="1:17">
      <c r="A180" s="1">
        <v>84433</v>
      </c>
      <c r="B180" s="1" t="s">
        <v>30</v>
      </c>
      <c r="C180" s="1" t="s">
        <v>201</v>
      </c>
      <c r="D180" s="19" t="s">
        <v>10686</v>
      </c>
      <c r="E180" s="15" t="str">
        <f>HYPERLINK("https://stat100.ameba.jp/tnk47/ratio20/illustrations/card/ill_84433_akiyamasaneyuki03.jpg?201910-2-RELEASE-unionbattle-433", "■")</f>
        <v>■</v>
      </c>
      <c r="F180" s="1" t="s">
        <v>7344</v>
      </c>
      <c r="G180" s="1">
        <v>20140</v>
      </c>
      <c r="H180" s="1">
        <v>16914</v>
      </c>
      <c r="I180" s="1">
        <v>16</v>
      </c>
      <c r="J180" s="1" t="s">
        <v>310</v>
      </c>
      <c r="K180" s="1" t="s">
        <v>7343</v>
      </c>
      <c r="L180" s="1" t="s">
        <v>3843</v>
      </c>
      <c r="M180" s="1" t="s">
        <v>9158</v>
      </c>
      <c r="N180" s="1" t="s">
        <v>9158</v>
      </c>
      <c r="O180" s="1" t="s">
        <v>9158</v>
      </c>
      <c r="P180" s="1" t="s">
        <v>9158</v>
      </c>
      <c r="Q180" s="1" t="s">
        <v>9158</v>
      </c>
    </row>
    <row r="182" spans="1:17">
      <c r="A182" s="1" t="s">
        <v>7378</v>
      </c>
    </row>
    <row r="183" spans="1:17">
      <c r="A183" s="1" t="s">
        <v>7379</v>
      </c>
    </row>
    <row r="184" spans="1:17">
      <c r="A184" s="1" t="s">
        <v>5822</v>
      </c>
      <c r="B184" s="1" t="s">
        <v>330</v>
      </c>
      <c r="C184" s="1" t="s">
        <v>307</v>
      </c>
      <c r="D184" s="19" t="s">
        <v>306</v>
      </c>
      <c r="E184" s="15" t="str">
        <f>HYPERLINK("https://stat100.ameba.jp/tnk47/ratio20/illustrations/card/ill_71403_0_ohanamisanadayukimura03.jpg?201910-2-RELEASE-unionbattle-433", "■")</f>
        <v>■</v>
      </c>
      <c r="F184" s="1" t="s">
        <v>309</v>
      </c>
      <c r="G184" s="1">
        <v>205358</v>
      </c>
      <c r="H184" s="1">
        <v>190952</v>
      </c>
      <c r="I184" s="1">
        <v>22</v>
      </c>
      <c r="J184" s="1" t="s">
        <v>310</v>
      </c>
      <c r="K184" s="1" t="s">
        <v>311</v>
      </c>
      <c r="L184" s="1" t="s">
        <v>312</v>
      </c>
      <c r="M184" s="1" t="s">
        <v>9158</v>
      </c>
      <c r="N184" s="1" t="s">
        <v>9158</v>
      </c>
      <c r="O184" s="19" t="s">
        <v>10104</v>
      </c>
      <c r="P184" s="1" t="s">
        <v>3418</v>
      </c>
      <c r="Q184" s="1">
        <v>2</v>
      </c>
    </row>
    <row r="185" spans="1:17">
      <c r="A185" s="1">
        <v>58743</v>
      </c>
      <c r="B185" s="1" t="s">
        <v>334</v>
      </c>
      <c r="C185" s="1" t="s">
        <v>209</v>
      </c>
      <c r="D185" s="19" t="s">
        <v>10273</v>
      </c>
      <c r="E185" s="15" t="str">
        <f>HYPERLINK("https://stat100.ameba.jp/tnk47/ratio20/illustrations/card/ill_58743_enkirienoki03.jpg?201910-2-RELEASE-unionbattle-433", "■")</f>
        <v>■</v>
      </c>
      <c r="F185" s="1" t="s">
        <v>2550</v>
      </c>
      <c r="G185" s="1">
        <v>72626</v>
      </c>
      <c r="H185" s="1">
        <v>99050</v>
      </c>
      <c r="I185" s="1">
        <v>24</v>
      </c>
      <c r="J185" s="1" t="s">
        <v>44</v>
      </c>
      <c r="K185" s="1" t="s">
        <v>2551</v>
      </c>
      <c r="L185" s="1" t="s">
        <v>95</v>
      </c>
      <c r="M185" s="1" t="s">
        <v>9158</v>
      </c>
      <c r="N185" s="1" t="s">
        <v>9158</v>
      </c>
      <c r="O185" s="19" t="s">
        <v>10091</v>
      </c>
      <c r="P185" s="1" t="s">
        <v>3670</v>
      </c>
      <c r="Q185" s="1">
        <v>1</v>
      </c>
    </row>
    <row r="186" spans="1:17">
      <c r="A186" s="1">
        <v>56443</v>
      </c>
      <c r="B186" s="1" t="s">
        <v>0</v>
      </c>
      <c r="C186" s="1" t="s">
        <v>205</v>
      </c>
      <c r="D186" s="19" t="s">
        <v>10314</v>
      </c>
      <c r="E186" s="15" t="str">
        <f>HYPERLINK("https://stat100.ameba.jp/tnk47/ratio20/illustrations/card/ill_56443_poppukurisumasuizumonokuni03.jpg?201910-2-RELEASE-unionbattle-433", "■")</f>
        <v>■</v>
      </c>
      <c r="F186" s="1" t="s">
        <v>1151</v>
      </c>
      <c r="G186" s="1">
        <v>86006</v>
      </c>
      <c r="H186" s="1">
        <v>92504</v>
      </c>
      <c r="I186" s="1">
        <v>24</v>
      </c>
      <c r="J186" s="1" t="s">
        <v>10</v>
      </c>
      <c r="K186" s="1" t="s">
        <v>1152</v>
      </c>
      <c r="L186" s="1" t="s">
        <v>1153</v>
      </c>
      <c r="M186" s="1" t="s">
        <v>9158</v>
      </c>
      <c r="N186" s="1" t="s">
        <v>9158</v>
      </c>
      <c r="O186" s="19" t="s">
        <v>10119</v>
      </c>
      <c r="P186" s="1" t="s">
        <v>3662</v>
      </c>
      <c r="Q186" s="1">
        <v>1</v>
      </c>
    </row>
    <row r="187" spans="1:17">
      <c r="A187" s="1">
        <v>66353</v>
      </c>
      <c r="B187" s="1" t="s">
        <v>0</v>
      </c>
      <c r="C187" s="1" t="s">
        <v>41</v>
      </c>
      <c r="D187" s="19" t="s">
        <v>440</v>
      </c>
      <c r="E187" s="15" t="str">
        <f>HYPERLINK("https://stat100.ameba.jp/tnk47/ratio20/illustrations/card/ill_66353_kajiwaranyudotoan03.jpg?201910-2-RELEASE-unionbattle-433", "■")</f>
        <v>■</v>
      </c>
      <c r="F187" s="1" t="s">
        <v>142</v>
      </c>
      <c r="G187" s="1">
        <v>159674</v>
      </c>
      <c r="H187" s="1">
        <v>106018</v>
      </c>
      <c r="I187" s="1">
        <v>24</v>
      </c>
      <c r="J187" s="1" t="s">
        <v>143</v>
      </c>
      <c r="K187" s="1" t="s">
        <v>144</v>
      </c>
      <c r="L187" s="1" t="s">
        <v>145</v>
      </c>
      <c r="M187" s="1" t="s">
        <v>9158</v>
      </c>
      <c r="N187" s="1" t="s">
        <v>9158</v>
      </c>
      <c r="O187" s="19" t="s">
        <v>10102</v>
      </c>
      <c r="P187" s="1" t="s">
        <v>3672</v>
      </c>
      <c r="Q187" s="1">
        <v>1</v>
      </c>
    </row>
    <row r="189" spans="1:17">
      <c r="A189" s="1" t="s">
        <v>7380</v>
      </c>
    </row>
    <row r="190" spans="1:17">
      <c r="A190" s="1" t="s">
        <v>7381</v>
      </c>
    </row>
    <row r="191" spans="1:17">
      <c r="A191" s="1" t="s">
        <v>5843</v>
      </c>
      <c r="B191" s="1" t="s">
        <v>52</v>
      </c>
      <c r="C191" s="1" t="s">
        <v>202</v>
      </c>
      <c r="D191" s="19" t="s">
        <v>10291</v>
      </c>
      <c r="E191" s="15" t="str">
        <f>HYPERLINK("https://stat100.ameba.jp/tnk47/ratio20/illustrations/card/ill_77963_0_kurisumasudaisakusentakiyashahime03.jpg?201910-3-RELEASE-dice-e-434", "■")</f>
        <v>■</v>
      </c>
      <c r="F191" s="1" t="s">
        <v>2127</v>
      </c>
      <c r="G191" s="1">
        <v>294746</v>
      </c>
      <c r="H191" s="1">
        <v>266388</v>
      </c>
      <c r="I191" s="1">
        <v>24</v>
      </c>
      <c r="J191" s="1" t="s">
        <v>77</v>
      </c>
      <c r="K191" s="1" t="s">
        <v>2128</v>
      </c>
      <c r="L191" s="1" t="s">
        <v>2129</v>
      </c>
      <c r="M191" s="1" t="s">
        <v>9158</v>
      </c>
      <c r="N191" s="1" t="s">
        <v>9158</v>
      </c>
      <c r="O191" s="19" t="s">
        <v>10107</v>
      </c>
      <c r="P191" s="1" t="s">
        <v>3589</v>
      </c>
      <c r="Q191" s="1">
        <v>2</v>
      </c>
    </row>
    <row r="192" spans="1:17">
      <c r="A192" s="1">
        <v>81023</v>
      </c>
      <c r="B192" s="1" t="s">
        <v>334</v>
      </c>
      <c r="C192" s="1" t="s">
        <v>41</v>
      </c>
      <c r="D192" s="19" t="s">
        <v>10274</v>
      </c>
      <c r="E192" s="15" t="str">
        <f>HYPERLINK("https://stat100.ameba.jp/tnk47/ratio20/illustrations/card/ill_81023_momonokenki03.jpg?201910-3-RELEASE-dice-e-434", "■")</f>
        <v>■</v>
      </c>
      <c r="F192" s="1" t="s">
        <v>4088</v>
      </c>
      <c r="G192" s="1">
        <v>126858</v>
      </c>
      <c r="H192" s="1">
        <v>91876</v>
      </c>
      <c r="I192" s="1">
        <v>24</v>
      </c>
      <c r="J192" s="1" t="s">
        <v>143</v>
      </c>
      <c r="K192" s="1" t="s">
        <v>4089</v>
      </c>
      <c r="L192" s="1" t="s">
        <v>2049</v>
      </c>
      <c r="M192" s="1" t="s">
        <v>9158</v>
      </c>
      <c r="N192" s="1" t="s">
        <v>9158</v>
      </c>
      <c r="O192" s="19" t="s">
        <v>10096</v>
      </c>
      <c r="P192" s="1" t="s">
        <v>3245</v>
      </c>
      <c r="Q192" s="1">
        <v>1</v>
      </c>
    </row>
    <row r="193" spans="1:17">
      <c r="A193" s="1">
        <v>75053</v>
      </c>
      <c r="B193" s="1" t="s">
        <v>334</v>
      </c>
      <c r="C193" s="1" t="s">
        <v>47</v>
      </c>
      <c r="D193" s="19" t="s">
        <v>10366</v>
      </c>
      <c r="E193" s="15" t="str">
        <f>HYPERLINK("https://stat100.ameba.jp/tnk47/ratio20/illustrations/card/ill_75053_goshikinuma03.jpg?201910-3-RELEASE-dice-e-434", "■")</f>
        <v>■</v>
      </c>
      <c r="F193" s="1" t="s">
        <v>5644</v>
      </c>
      <c r="G193" s="1">
        <v>88624</v>
      </c>
      <c r="H193" s="1">
        <v>122366</v>
      </c>
      <c r="I193" s="1">
        <v>24</v>
      </c>
      <c r="J193" s="1" t="s">
        <v>26</v>
      </c>
      <c r="K193" s="1" t="s">
        <v>5646</v>
      </c>
      <c r="L193" s="1" t="s">
        <v>2137</v>
      </c>
      <c r="M193" s="1" t="s">
        <v>9158</v>
      </c>
      <c r="N193" s="1" t="s">
        <v>9158</v>
      </c>
      <c r="O193" s="19" t="s">
        <v>10093</v>
      </c>
      <c r="P193" s="1" t="s">
        <v>13145</v>
      </c>
      <c r="Q193" s="1">
        <v>1</v>
      </c>
    </row>
    <row r="194" spans="1:17">
      <c r="A194" s="1">
        <v>81303</v>
      </c>
      <c r="B194" s="1" t="s">
        <v>334</v>
      </c>
      <c r="C194" s="1" t="s">
        <v>41</v>
      </c>
      <c r="D194" s="19" t="s">
        <v>10349</v>
      </c>
      <c r="E194" s="15" t="str">
        <f>HYPERLINK("https://stat100.ameba.jp/tnk47/ratio20/illustrations/card/ill_81303_suteirukuin03.jpg?201910-3-RELEASE-dice-e-434", "■")</f>
        <v>■</v>
      </c>
      <c r="F194" s="1" t="s">
        <v>4581</v>
      </c>
      <c r="G194" s="1">
        <v>115656</v>
      </c>
      <c r="H194" s="1">
        <v>159674</v>
      </c>
      <c r="I194" s="1">
        <v>24</v>
      </c>
      <c r="J194" s="1" t="s">
        <v>104</v>
      </c>
      <c r="K194" s="1" t="s">
        <v>4582</v>
      </c>
      <c r="L194" s="1" t="s">
        <v>2304</v>
      </c>
      <c r="M194" s="1" t="s">
        <v>9158</v>
      </c>
      <c r="N194" s="1" t="s">
        <v>9158</v>
      </c>
      <c r="O194" s="19" t="s">
        <v>10084</v>
      </c>
      <c r="P194" s="1" t="s">
        <v>4584</v>
      </c>
      <c r="Q194" s="1">
        <v>1</v>
      </c>
    </row>
    <row r="196" spans="1:17">
      <c r="A196" s="1" t="s">
        <v>7382</v>
      </c>
    </row>
    <row r="197" spans="1:17">
      <c r="A197" s="1" t="s">
        <v>7383</v>
      </c>
    </row>
    <row r="198" spans="1:17">
      <c r="A198" s="1" t="s">
        <v>5642</v>
      </c>
      <c r="B198" s="1" t="s">
        <v>330</v>
      </c>
      <c r="C198" s="1" t="s">
        <v>185</v>
      </c>
      <c r="D198" s="19" t="s">
        <v>3086</v>
      </c>
      <c r="E198" s="15" t="str">
        <f>HYPERLINK("https://stat100.ameba.jp/tnk47/ratio20/illustrations/card/ill_69593_0_setsubunyukionna03.jpg?201910-3-RELEASE-dice-e-434", "■")</f>
        <v>■</v>
      </c>
      <c r="F198" s="1" t="s">
        <v>3087</v>
      </c>
      <c r="G198" s="1">
        <v>107146</v>
      </c>
      <c r="H198" s="1">
        <v>115249</v>
      </c>
      <c r="I198" s="1">
        <v>15</v>
      </c>
      <c r="J198" s="1" t="s">
        <v>320</v>
      </c>
      <c r="K198" s="1" t="s">
        <v>3088</v>
      </c>
      <c r="L198" s="1" t="s">
        <v>3089</v>
      </c>
      <c r="M198" s="1" t="s">
        <v>9158</v>
      </c>
      <c r="N198" s="1" t="s">
        <v>9158</v>
      </c>
      <c r="O198" s="19" t="s">
        <v>3090</v>
      </c>
      <c r="P198" s="1" t="s">
        <v>3091</v>
      </c>
      <c r="Q198" s="1">
        <v>2</v>
      </c>
    </row>
    <row r="199" spans="1:17">
      <c r="A199" s="1" t="s">
        <v>5901</v>
      </c>
      <c r="B199" s="1" t="s">
        <v>52</v>
      </c>
      <c r="C199" s="1" t="s">
        <v>101</v>
      </c>
      <c r="D199" s="19" t="s">
        <v>1426</v>
      </c>
      <c r="E199" s="15" t="str">
        <f>HYPERLINK("https://stat100.ameba.jp/tnk47/ratio20/illustrations/card/ill_64953_0_yukatatokugawayoshinobu03.jpg?201910-3-RELEASE-dice-e-434", "■")</f>
        <v>■</v>
      </c>
      <c r="F199" s="1" t="s">
        <v>2090</v>
      </c>
      <c r="G199" s="1">
        <v>93450</v>
      </c>
      <c r="H199" s="1">
        <v>100502</v>
      </c>
      <c r="I199" s="1">
        <v>15</v>
      </c>
      <c r="J199" s="1" t="s">
        <v>10</v>
      </c>
      <c r="K199" s="1" t="s">
        <v>2091</v>
      </c>
      <c r="L199" s="1" t="s">
        <v>2092</v>
      </c>
      <c r="M199" s="1" t="s">
        <v>9158</v>
      </c>
      <c r="N199" s="1" t="s">
        <v>9158</v>
      </c>
      <c r="O199" s="19" t="s">
        <v>2889</v>
      </c>
      <c r="P199" s="1" t="s">
        <v>2890</v>
      </c>
      <c r="Q199" s="1">
        <v>1</v>
      </c>
    </row>
    <row r="200" spans="1:17">
      <c r="A200" s="1" t="s">
        <v>5612</v>
      </c>
      <c r="B200" s="1" t="s">
        <v>52</v>
      </c>
      <c r="C200" s="1" t="s">
        <v>165</v>
      </c>
      <c r="D200" s="19" t="s">
        <v>789</v>
      </c>
      <c r="E200" s="15" t="str">
        <f>HYPERLINK("https://stat100.ameba.jp/tnk47/ratio20/illustrations/card/ill_49193_0_onmyoudouabenoseimei03.jpg?201910-3-RELEASE-dice-e-434", "■")</f>
        <v>■</v>
      </c>
      <c r="F200" s="1" t="s">
        <v>1896</v>
      </c>
      <c r="G200" s="1">
        <v>83712</v>
      </c>
      <c r="H200" s="1">
        <v>94236</v>
      </c>
      <c r="I200" s="1">
        <v>15</v>
      </c>
      <c r="J200" s="1" t="s">
        <v>10</v>
      </c>
      <c r="K200" s="1" t="s">
        <v>1897</v>
      </c>
      <c r="L200" s="1" t="s">
        <v>1898</v>
      </c>
      <c r="M200" s="1" t="s">
        <v>9158</v>
      </c>
      <c r="N200" s="1" t="s">
        <v>9158</v>
      </c>
      <c r="O200" s="1" t="s">
        <v>9158</v>
      </c>
      <c r="P200" s="1" t="s">
        <v>9158</v>
      </c>
      <c r="Q200" s="1" t="s">
        <v>9158</v>
      </c>
    </row>
    <row r="201" spans="1:17">
      <c r="A201" s="1">
        <v>65243</v>
      </c>
      <c r="B201" s="1" t="s">
        <v>0</v>
      </c>
      <c r="C201" s="1" t="s">
        <v>205</v>
      </c>
      <c r="D201" s="19" t="s">
        <v>10690</v>
      </c>
      <c r="E201" s="15" t="str">
        <f>HYPERLINK("https://stat100.ameba.jp/tnk47/ratio20/illustrations/card/ill_65243_kagawayukikage03.jpg?201910-3-RELEASE-dice-e-434", "■")</f>
        <v>■</v>
      </c>
      <c r="F201" s="1" t="s">
        <v>7386</v>
      </c>
      <c r="G201" s="1">
        <v>99132</v>
      </c>
      <c r="H201" s="1">
        <v>176200</v>
      </c>
      <c r="I201" s="1">
        <v>24</v>
      </c>
      <c r="J201" s="1" t="s">
        <v>143</v>
      </c>
      <c r="K201" s="1" t="s">
        <v>7385</v>
      </c>
      <c r="L201" s="1" t="s">
        <v>7384</v>
      </c>
      <c r="M201" s="1" t="s">
        <v>9158</v>
      </c>
      <c r="N201" s="1" t="s">
        <v>9158</v>
      </c>
      <c r="O201" s="1" t="s">
        <v>9158</v>
      </c>
      <c r="P201" s="1" t="s">
        <v>9158</v>
      </c>
      <c r="Q201" s="1" t="s">
        <v>9158</v>
      </c>
    </row>
    <row r="202" spans="1:17">
      <c r="A202" s="1">
        <v>75713</v>
      </c>
      <c r="B202" s="1" t="s">
        <v>0</v>
      </c>
      <c r="C202" s="1" t="s">
        <v>185</v>
      </c>
      <c r="D202" s="19" t="s">
        <v>10372</v>
      </c>
      <c r="E202" s="15" t="str">
        <f>HYPERLINK("https://stat100.ameba.jp/tnk47/ratio20/illustrations/card/ill_75713_chanchanyaki03.jpg?201910-3-RELEASE-dice-e-434", "■")</f>
        <v>■</v>
      </c>
      <c r="F202" s="1" t="s">
        <v>7389</v>
      </c>
      <c r="G202" s="1">
        <v>67636</v>
      </c>
      <c r="H202" s="1">
        <v>120204</v>
      </c>
      <c r="I202" s="1">
        <v>24</v>
      </c>
      <c r="J202" s="1" t="s">
        <v>104</v>
      </c>
      <c r="K202" s="1" t="s">
        <v>7388</v>
      </c>
      <c r="L202" s="1" t="s">
        <v>7387</v>
      </c>
      <c r="M202" s="1" t="s">
        <v>9158</v>
      </c>
      <c r="N202" s="1" t="s">
        <v>9158</v>
      </c>
      <c r="O202" s="1" t="s">
        <v>9158</v>
      </c>
      <c r="P202" s="1" t="s">
        <v>9158</v>
      </c>
      <c r="Q202" s="1" t="s">
        <v>9158</v>
      </c>
    </row>
    <row r="203" spans="1:17">
      <c r="A203" s="1">
        <v>68853</v>
      </c>
      <c r="B203" s="1" t="s">
        <v>0</v>
      </c>
      <c r="C203" s="1" t="s">
        <v>200</v>
      </c>
      <c r="D203" s="19" t="s">
        <v>10691</v>
      </c>
      <c r="E203" s="15" t="str">
        <f>HYPERLINK("https://stat100.ameba.jp/tnk47/ratio20/illustrations/card/ill_68853_karutateneiin03.jpg?201910-3-RELEASE-dice-e-434", "■")</f>
        <v>■</v>
      </c>
      <c r="F203" s="1" t="s">
        <v>7392</v>
      </c>
      <c r="G203" s="1">
        <v>87128</v>
      </c>
      <c r="H203" s="1">
        <v>93746</v>
      </c>
      <c r="I203" s="1">
        <v>24</v>
      </c>
      <c r="J203" s="1" t="s">
        <v>10</v>
      </c>
      <c r="K203" s="1" t="s">
        <v>7391</v>
      </c>
      <c r="L203" s="1" t="s">
        <v>7390</v>
      </c>
      <c r="M203" s="1" t="s">
        <v>9158</v>
      </c>
      <c r="N203" s="1" t="s">
        <v>9158</v>
      </c>
      <c r="O203" s="1" t="s">
        <v>9158</v>
      </c>
      <c r="P203" s="1" t="s">
        <v>9158</v>
      </c>
      <c r="Q203" s="1" t="s">
        <v>9158</v>
      </c>
    </row>
    <row r="204" spans="1:17">
      <c r="A204" s="1">
        <v>66653</v>
      </c>
      <c r="B204" s="1" t="s">
        <v>15</v>
      </c>
      <c r="C204" s="1" t="s">
        <v>205</v>
      </c>
      <c r="D204" s="19" t="s">
        <v>2901</v>
      </c>
      <c r="E204" s="15" t="str">
        <f>HYPERLINK("https://stat100.ameba.jp/tnk47/ratio20/illustrations/card/ill_66653_oryoriehimenomikoto03.jpg?201910-3-RELEASE-dice-e-434", "■")</f>
        <v>■</v>
      </c>
      <c r="F204" s="1" t="s">
        <v>7271</v>
      </c>
      <c r="G204" s="1">
        <v>53768</v>
      </c>
      <c r="H204" s="1">
        <v>59280</v>
      </c>
      <c r="I204" s="1">
        <v>20</v>
      </c>
      <c r="J204" s="1" t="s">
        <v>44</v>
      </c>
      <c r="K204" s="1" t="s">
        <v>7270</v>
      </c>
      <c r="L204" s="1" t="s">
        <v>3319</v>
      </c>
      <c r="M204" s="1" t="s">
        <v>9158</v>
      </c>
      <c r="N204" s="1" t="s">
        <v>9158</v>
      </c>
      <c r="O204" s="1" t="s">
        <v>9158</v>
      </c>
      <c r="P204" s="1" t="s">
        <v>9158</v>
      </c>
      <c r="Q204" s="1" t="s">
        <v>9158</v>
      </c>
    </row>
    <row r="205" spans="1:17">
      <c r="A205" s="1">
        <v>73343</v>
      </c>
      <c r="B205" s="1" t="s">
        <v>15</v>
      </c>
      <c r="C205" s="1" t="s">
        <v>23</v>
      </c>
      <c r="D205" s="19" t="s">
        <v>10675</v>
      </c>
      <c r="E205" s="15" t="str">
        <f>HYPERLINK("https://stat100.ameba.jp/tnk47/ratio20/illustrations/card/ill_73343_takenokozokuchan03.jpg?201910-3-RELEASE-dice-e-434", "■")</f>
        <v>■</v>
      </c>
      <c r="F205" s="1" t="s">
        <v>4566</v>
      </c>
      <c r="G205" s="1">
        <v>53768</v>
      </c>
      <c r="H205" s="1">
        <v>59280</v>
      </c>
      <c r="I205" s="1">
        <v>20</v>
      </c>
      <c r="J205" s="1" t="s">
        <v>26</v>
      </c>
      <c r="K205" s="1" t="s">
        <v>4567</v>
      </c>
      <c r="L205" s="1" t="s">
        <v>977</v>
      </c>
      <c r="M205" s="1" t="s">
        <v>9158</v>
      </c>
      <c r="N205" s="1" t="s">
        <v>9158</v>
      </c>
      <c r="O205" s="1" t="s">
        <v>9158</v>
      </c>
      <c r="P205" s="1" t="s">
        <v>9158</v>
      </c>
      <c r="Q205" s="1" t="s">
        <v>9158</v>
      </c>
    </row>
    <row r="206" spans="1:17">
      <c r="A206" s="1">
        <v>59883</v>
      </c>
      <c r="B206" s="1" t="s">
        <v>15</v>
      </c>
      <c r="C206" s="1" t="s">
        <v>107</v>
      </c>
      <c r="D206" s="19" t="s">
        <v>10676</v>
      </c>
      <c r="E206" s="15" t="str">
        <f>HYPERLINK("https://stat100.ameba.jp/tnk47/ratio20/illustrations/card/ill_59883_yoseienshininden03.jpg?201910-3-RELEASE-dice-e-434", "■")</f>
        <v>■</v>
      </c>
      <c r="F206" s="1" t="s">
        <v>4433</v>
      </c>
      <c r="G206" s="1">
        <v>53768</v>
      </c>
      <c r="H206" s="1">
        <v>59280</v>
      </c>
      <c r="I206" s="1">
        <v>20</v>
      </c>
      <c r="J206" s="1" t="s">
        <v>187</v>
      </c>
      <c r="K206" s="1" t="s">
        <v>4434</v>
      </c>
      <c r="L206" s="1" t="s">
        <v>973</v>
      </c>
      <c r="M206" s="1" t="s">
        <v>9158</v>
      </c>
      <c r="N206" s="1" t="s">
        <v>9158</v>
      </c>
      <c r="O206" s="1" t="s">
        <v>9158</v>
      </c>
      <c r="P206" s="1" t="s">
        <v>9158</v>
      </c>
      <c r="Q206" s="1" t="s">
        <v>9158</v>
      </c>
    </row>
    <row r="208" spans="1:17">
      <c r="A208" s="1" t="s">
        <v>207</v>
      </c>
    </row>
    <row r="209" spans="1:17">
      <c r="A209" s="1" t="s">
        <v>7393</v>
      </c>
    </row>
    <row r="210" spans="1:17">
      <c r="A210" s="1" t="s">
        <v>5899</v>
      </c>
      <c r="B210" s="1" t="s">
        <v>330</v>
      </c>
      <c r="C210" s="1" t="s">
        <v>205</v>
      </c>
      <c r="D210" s="19" t="s">
        <v>1559</v>
      </c>
      <c r="E210" s="15" t="str">
        <f>HYPERLINK("https://stat100.ameba.jp/tnk47/ratio20/illustrations/card/ill_73773_0_umibirakiinugamigyobu03.jpg?201910-3-RELEASE-dice-e-434", "■")</f>
        <v>■</v>
      </c>
      <c r="F210" s="1" t="s">
        <v>935</v>
      </c>
      <c r="G210" s="1">
        <v>199580</v>
      </c>
      <c r="H210" s="1">
        <v>214667</v>
      </c>
      <c r="I210" s="1">
        <v>23</v>
      </c>
      <c r="J210" s="1" t="s">
        <v>182</v>
      </c>
      <c r="K210" s="1" t="s">
        <v>936</v>
      </c>
      <c r="L210" s="1" t="s">
        <v>13147</v>
      </c>
      <c r="M210" s="1" t="s">
        <v>9158</v>
      </c>
      <c r="N210" s="1" t="s">
        <v>9158</v>
      </c>
      <c r="O210" s="19" t="s">
        <v>2978</v>
      </c>
      <c r="P210" s="1" t="s">
        <v>2979</v>
      </c>
      <c r="Q210" s="1">
        <v>2</v>
      </c>
    </row>
    <row r="211" spans="1:17">
      <c r="A211" s="1" t="s">
        <v>5650</v>
      </c>
      <c r="B211" s="1" t="s">
        <v>52</v>
      </c>
      <c r="C211" s="1" t="s">
        <v>23</v>
      </c>
      <c r="D211" s="19" t="s">
        <v>809</v>
      </c>
      <c r="E211" s="15" t="str">
        <f>HYPERLINK("https://stat100.ameba.jp/tnk47/ratio20/illustrations/card/ill_68033_0_kurisumasupateikandamyojin03.jpg?201910-3-RELEASE-dice-e-434", "■")</f>
        <v>■</v>
      </c>
      <c r="F211" s="1" t="s">
        <v>1871</v>
      </c>
      <c r="G211" s="1">
        <v>146235</v>
      </c>
      <c r="H211" s="1">
        <v>157306</v>
      </c>
      <c r="I211" s="1">
        <v>23</v>
      </c>
      <c r="J211" s="1" t="s">
        <v>44</v>
      </c>
      <c r="K211" s="1" t="s">
        <v>1872</v>
      </c>
      <c r="L211" s="1" t="s">
        <v>1873</v>
      </c>
      <c r="M211" s="1" t="s">
        <v>9158</v>
      </c>
      <c r="N211" s="1" t="s">
        <v>9158</v>
      </c>
      <c r="O211" s="19" t="s">
        <v>2997</v>
      </c>
      <c r="P211" s="1" t="s">
        <v>3483</v>
      </c>
      <c r="Q211" s="1">
        <v>2</v>
      </c>
    </row>
    <row r="212" spans="1:17">
      <c r="A212" s="1" t="s">
        <v>5604</v>
      </c>
      <c r="B212" s="1" t="s">
        <v>330</v>
      </c>
      <c r="C212" s="1" t="s">
        <v>206</v>
      </c>
      <c r="D212" s="19" t="s">
        <v>614</v>
      </c>
      <c r="E212" s="15" t="str">
        <f>HYPERLINK("https://stat100.ameba.jp/tnk47/ratio20/illustrations/card/ill_47263_0_oukyuuatsuhime03.jpg?201910-3-RELEASE-dice-e-434", "■")</f>
        <v>■</v>
      </c>
      <c r="F212" s="1" t="s">
        <v>615</v>
      </c>
      <c r="G212" s="1">
        <v>144494</v>
      </c>
      <c r="H212" s="1">
        <v>128358</v>
      </c>
      <c r="I212" s="1">
        <v>23</v>
      </c>
      <c r="J212" s="1" t="s">
        <v>315</v>
      </c>
      <c r="K212" s="1" t="s">
        <v>616</v>
      </c>
      <c r="L212" s="1" t="s">
        <v>617</v>
      </c>
      <c r="M212" s="1" t="s">
        <v>9158</v>
      </c>
      <c r="N212" s="1" t="s">
        <v>9158</v>
      </c>
      <c r="O212" s="1" t="s">
        <v>9158</v>
      </c>
      <c r="P212" s="1" t="s">
        <v>9158</v>
      </c>
      <c r="Q212" s="1" t="s">
        <v>9158</v>
      </c>
    </row>
    <row r="213" spans="1:17">
      <c r="A213" s="1">
        <v>84703</v>
      </c>
      <c r="B213" s="1" t="s">
        <v>0</v>
      </c>
      <c r="C213" s="1" t="s">
        <v>191</v>
      </c>
      <c r="D213" s="19" t="s">
        <v>16415</v>
      </c>
      <c r="E213" s="15" t="str">
        <f>HYPERLINK("https://stat100.ameba.jp/tnk47/ratio20/illustrations/card/ill_84703_ikegamishuho03.jpg?201910-3-RELEASE-dice-e-434", "■")</f>
        <v>■</v>
      </c>
      <c r="F213" s="1" t="s">
        <v>7334</v>
      </c>
      <c r="G213" s="14">
        <v>90522</v>
      </c>
      <c r="H213" s="14">
        <v>97318</v>
      </c>
      <c r="I213" s="14">
        <v>24</v>
      </c>
      <c r="J213" s="1" t="s">
        <v>16</v>
      </c>
      <c r="K213" s="1" t="s">
        <v>4448</v>
      </c>
      <c r="L213" s="1" t="s">
        <v>7332</v>
      </c>
      <c r="M213" s="1" t="s">
        <v>9158</v>
      </c>
      <c r="N213" s="1" t="s">
        <v>9158</v>
      </c>
      <c r="O213" s="1" t="s">
        <v>9158</v>
      </c>
      <c r="P213" s="1" t="s">
        <v>9158</v>
      </c>
      <c r="Q213" s="1" t="s">
        <v>9158</v>
      </c>
    </row>
    <row r="214" spans="1:17">
      <c r="A214" s="1">
        <v>84413</v>
      </c>
      <c r="B214" s="1" t="s">
        <v>15</v>
      </c>
      <c r="C214" s="1" t="s">
        <v>185</v>
      </c>
      <c r="D214" s="19" t="s">
        <v>10684</v>
      </c>
      <c r="E214" s="15" t="str">
        <f>HYPERLINK("https://stat100.ameba.jp/tnk47/ratio20/illustrations/card/ill_84413_wakamatsushizuko03.jpg?201910-3-RELEASE-dice-e-434", "■")</f>
        <v>■</v>
      </c>
      <c r="F214" s="1" t="s">
        <v>7337</v>
      </c>
      <c r="G214" s="1">
        <v>53352</v>
      </c>
      <c r="H214" s="1">
        <v>48390</v>
      </c>
      <c r="I214" s="1">
        <v>18</v>
      </c>
      <c r="J214" s="1" t="s">
        <v>16</v>
      </c>
      <c r="K214" s="1" t="s">
        <v>7336</v>
      </c>
      <c r="L214" s="1" t="s">
        <v>21</v>
      </c>
      <c r="M214" s="1" t="s">
        <v>9158</v>
      </c>
      <c r="N214" s="1" t="s">
        <v>9158</v>
      </c>
      <c r="O214" s="1" t="s">
        <v>9158</v>
      </c>
      <c r="P214" s="1" t="s">
        <v>9158</v>
      </c>
      <c r="Q214" s="1" t="s">
        <v>9158</v>
      </c>
    </row>
    <row r="215" spans="1:17">
      <c r="A215" s="1">
        <v>84423</v>
      </c>
      <c r="B215" s="1" t="s">
        <v>22</v>
      </c>
      <c r="C215" s="1" t="s">
        <v>206</v>
      </c>
      <c r="D215" s="19" t="s">
        <v>10685</v>
      </c>
      <c r="E215" s="15" t="str">
        <f>HYPERLINK("https://stat100.ameba.jp/tnk47/ratio20/illustrations/card/ill_84423_arimaruchia03.jpg?201910-3-RELEASE-dice-e-434", "■")</f>
        <v>■</v>
      </c>
      <c r="F215" s="1" t="s">
        <v>7341</v>
      </c>
      <c r="G215" s="1">
        <v>27660</v>
      </c>
      <c r="H215" s="1">
        <v>33266</v>
      </c>
      <c r="I215" s="1">
        <v>16</v>
      </c>
      <c r="J215" s="1" t="s">
        <v>187</v>
      </c>
      <c r="K215" s="1" t="s">
        <v>7339</v>
      </c>
      <c r="L215" s="1" t="s">
        <v>2424</v>
      </c>
      <c r="M215" s="1" t="s">
        <v>9158</v>
      </c>
      <c r="N215" s="1" t="s">
        <v>9158</v>
      </c>
      <c r="O215" s="1" t="s">
        <v>9158</v>
      </c>
      <c r="P215" s="1" t="s">
        <v>9158</v>
      </c>
      <c r="Q215" s="1" t="s">
        <v>9158</v>
      </c>
    </row>
    <row r="216" spans="1:17">
      <c r="A216" s="1">
        <v>84433</v>
      </c>
      <c r="B216" s="1" t="s">
        <v>30</v>
      </c>
      <c r="C216" s="1" t="s">
        <v>201</v>
      </c>
      <c r="D216" s="19" t="s">
        <v>10686</v>
      </c>
      <c r="E216" s="15" t="str">
        <f>HYPERLINK("https://stat100.ameba.jp/tnk47/ratio20/illustrations/card/ill_84433_akiyamasaneyuki03.jpg?201910-2-RELEASE-unionbattle-433", "■")</f>
        <v>■</v>
      </c>
      <c r="F216" s="1" t="s">
        <v>7344</v>
      </c>
      <c r="G216" s="1">
        <v>20140</v>
      </c>
      <c r="H216" s="1">
        <v>16914</v>
      </c>
      <c r="I216" s="1">
        <v>16</v>
      </c>
      <c r="J216" s="1" t="s">
        <v>310</v>
      </c>
      <c r="K216" s="1" t="s">
        <v>7343</v>
      </c>
      <c r="L216" s="1" t="s">
        <v>3843</v>
      </c>
      <c r="M216" s="1" t="s">
        <v>9158</v>
      </c>
      <c r="N216" s="1" t="s">
        <v>9158</v>
      </c>
      <c r="O216" s="1" t="s">
        <v>9158</v>
      </c>
      <c r="P216" s="1" t="s">
        <v>9158</v>
      </c>
      <c r="Q216" s="1" t="s">
        <v>9158</v>
      </c>
    </row>
    <row r="218" spans="1:17">
      <c r="A218" s="1" t="s">
        <v>7394</v>
      </c>
    </row>
    <row r="219" spans="1:17">
      <c r="A219" s="1" t="s">
        <v>7395</v>
      </c>
    </row>
    <row r="220" spans="1:17">
      <c r="A220" s="1" t="s">
        <v>5787</v>
      </c>
      <c r="B220" s="1" t="s">
        <v>330</v>
      </c>
      <c r="C220" s="1" t="s">
        <v>270</v>
      </c>
      <c r="D220" s="19" t="s">
        <v>331</v>
      </c>
      <c r="E220" s="15" t="str">
        <f>HYPERLINK("https://stat100.ameba.jp/tnk47/ratio20/illustrations/card/ill_76303_0_haroinkaguya03.jpg?201910-3-RELEASE-dice-e-434", "■")</f>
        <v>■</v>
      </c>
      <c r="F220" s="1" t="s">
        <v>332</v>
      </c>
      <c r="G220" s="1">
        <v>285614</v>
      </c>
      <c r="H220" s="1">
        <v>265526</v>
      </c>
      <c r="I220" s="1">
        <v>24</v>
      </c>
      <c r="J220" s="1" t="s">
        <v>274</v>
      </c>
      <c r="K220" s="1" t="s">
        <v>333</v>
      </c>
      <c r="L220" s="1" t="s">
        <v>276</v>
      </c>
      <c r="M220" s="1" t="s">
        <v>9158</v>
      </c>
      <c r="N220" s="1" t="s">
        <v>9158</v>
      </c>
      <c r="O220" s="19" t="s">
        <v>2976</v>
      </c>
      <c r="P220" s="1" t="s">
        <v>2724</v>
      </c>
      <c r="Q220" s="1">
        <v>1</v>
      </c>
    </row>
    <row r="221" spans="1:17">
      <c r="A221" s="1" t="s">
        <v>5724</v>
      </c>
      <c r="B221" s="1" t="s">
        <v>330</v>
      </c>
      <c r="C221" s="1" t="s">
        <v>335</v>
      </c>
      <c r="D221" s="19" t="s">
        <v>698</v>
      </c>
      <c r="E221" s="15" t="str">
        <f>HYPERLINK("https://stat100.ameba.jp/tnk47/ratio20/illustrations/card/ill_66433_0_haroinfujishirogozen03.jpg?201910-3-RELEASE-dice-e-434", "■")</f>
        <v>■</v>
      </c>
      <c r="F221" s="1" t="s">
        <v>699</v>
      </c>
      <c r="G221" s="1">
        <v>146892</v>
      </c>
      <c r="H221" s="1">
        <v>158000</v>
      </c>
      <c r="I221" s="1">
        <v>24</v>
      </c>
      <c r="J221" s="1" t="s">
        <v>315</v>
      </c>
      <c r="K221" s="1" t="s">
        <v>700</v>
      </c>
      <c r="L221" s="1" t="s">
        <v>701</v>
      </c>
      <c r="M221" s="1" t="s">
        <v>9158</v>
      </c>
      <c r="N221" s="1" t="s">
        <v>9158</v>
      </c>
      <c r="O221" s="19" t="s">
        <v>10095</v>
      </c>
      <c r="P221" s="1" t="s">
        <v>3345</v>
      </c>
      <c r="Q221" s="1">
        <v>1</v>
      </c>
    </row>
    <row r="222" spans="1:17">
      <c r="A222" s="1">
        <v>84333</v>
      </c>
      <c r="B222" s="1" t="s">
        <v>7396</v>
      </c>
      <c r="C222" s="1" t="s">
        <v>7397</v>
      </c>
      <c r="D222" s="19" t="s">
        <v>10692</v>
      </c>
      <c r="E222" s="15" t="str">
        <f>HYPERLINK("https://stat100.ameba.jp/tnk47/ratio20/illustrations/card/ill_84333_otometeia03.jpg?201910-3-RELEASE-dice-e-434", "■")</f>
        <v>■</v>
      </c>
      <c r="F222" s="1" t="s">
        <v>7401</v>
      </c>
      <c r="G222" s="1">
        <v>104890</v>
      </c>
      <c r="H222" s="1">
        <v>75984</v>
      </c>
      <c r="I222" s="1">
        <v>24</v>
      </c>
      <c r="J222" s="1" t="s">
        <v>7400</v>
      </c>
      <c r="K222" s="1" t="s">
        <v>7399</v>
      </c>
      <c r="L222" s="1" t="s">
        <v>7398</v>
      </c>
      <c r="M222" s="1" t="s">
        <v>9158</v>
      </c>
      <c r="N222" s="1" t="s">
        <v>9158</v>
      </c>
      <c r="O222" s="19" t="s">
        <v>10129</v>
      </c>
      <c r="P222" s="1" t="s">
        <v>7402</v>
      </c>
      <c r="Q222" s="1">
        <v>1</v>
      </c>
    </row>
    <row r="223" spans="1:17">
      <c r="A223" s="1">
        <v>69503</v>
      </c>
      <c r="B223" s="1" t="s">
        <v>0</v>
      </c>
      <c r="C223" s="1" t="s">
        <v>47</v>
      </c>
      <c r="D223" s="19" t="s">
        <v>2949</v>
      </c>
      <c r="E223" s="15" t="str">
        <f>HYPERLINK("https://stat100.ameba.jp/tnk47/ratio20/illustrations/card/ill_69503_azusayumi03.jpg?201910-3-RELEASE-dice-e-434", "■")</f>
        <v>■</v>
      </c>
      <c r="F223" s="1" t="s">
        <v>66</v>
      </c>
      <c r="G223" s="1">
        <v>104385</v>
      </c>
      <c r="H223" s="1">
        <v>75627</v>
      </c>
      <c r="I223" s="1">
        <v>23</v>
      </c>
      <c r="J223" s="1" t="s">
        <v>38</v>
      </c>
      <c r="K223" s="1" t="s">
        <v>67</v>
      </c>
      <c r="L223" s="1" t="s">
        <v>68</v>
      </c>
      <c r="M223" s="1" t="s">
        <v>9158</v>
      </c>
      <c r="N223" s="1" t="s">
        <v>9158</v>
      </c>
      <c r="O223" s="19" t="s">
        <v>2951</v>
      </c>
      <c r="P223" s="1" t="s">
        <v>13122</v>
      </c>
      <c r="Q223" s="1">
        <v>1</v>
      </c>
    </row>
    <row r="224" spans="1:17">
      <c r="A224" s="1">
        <v>77673</v>
      </c>
      <c r="B224" s="1" t="s">
        <v>334</v>
      </c>
      <c r="C224" s="1" t="s">
        <v>158</v>
      </c>
      <c r="D224" s="19" t="s">
        <v>10270</v>
      </c>
      <c r="E224" s="15" t="str">
        <f>HYPERLINK("https://stat100.ameba.jp/tnk47/ratio20/illustrations/card/ill_77673_ryunochoji03.jpg?201910-3-RELEASE-dice-e-434", "■")</f>
        <v>■</v>
      </c>
      <c r="F224" s="1" t="s">
        <v>1777</v>
      </c>
      <c r="G224" s="1">
        <v>107251</v>
      </c>
      <c r="H224" s="1">
        <v>77700</v>
      </c>
      <c r="I224" s="1">
        <v>23</v>
      </c>
      <c r="J224" s="1" t="s">
        <v>73</v>
      </c>
      <c r="K224" s="1" t="s">
        <v>1778</v>
      </c>
      <c r="L224" s="1" t="s">
        <v>1779</v>
      </c>
      <c r="M224" s="1" t="s">
        <v>9158</v>
      </c>
      <c r="N224" s="1" t="s">
        <v>9158</v>
      </c>
      <c r="O224" s="19" t="s">
        <v>10090</v>
      </c>
      <c r="P224" s="1" t="s">
        <v>3460</v>
      </c>
      <c r="Q224" s="1">
        <v>1</v>
      </c>
    </row>
    <row r="225" spans="1:17">
      <c r="A225" s="1">
        <v>70383</v>
      </c>
      <c r="B225" s="1" t="s">
        <v>0</v>
      </c>
      <c r="C225" s="1" t="s">
        <v>41</v>
      </c>
      <c r="D225" s="19" t="s">
        <v>10201</v>
      </c>
      <c r="E225" s="15" t="str">
        <f>HYPERLINK("https://stat100.ameba.jp/tnk47/ratio20/illustrations/card/ill_70383_saraudon03.jpg?201910-3-RELEASE-dice-e-434", "■")</f>
        <v>■</v>
      </c>
      <c r="F225" s="1" t="s">
        <v>3487</v>
      </c>
      <c r="G225" s="1">
        <v>121572</v>
      </c>
      <c r="H225" s="1">
        <v>88047</v>
      </c>
      <c r="I225" s="1">
        <v>23</v>
      </c>
      <c r="J225" s="1" t="s">
        <v>104</v>
      </c>
      <c r="K225" s="1" t="s">
        <v>3488</v>
      </c>
      <c r="L225" s="1" t="s">
        <v>3489</v>
      </c>
      <c r="M225" s="1" t="s">
        <v>9158</v>
      </c>
      <c r="N225" s="1" t="s">
        <v>9158</v>
      </c>
      <c r="O225" s="1" t="s">
        <v>9158</v>
      </c>
      <c r="P225" s="1" t="s">
        <v>9158</v>
      </c>
      <c r="Q225" s="1" t="s">
        <v>9158</v>
      </c>
    </row>
    <row r="226" spans="1:17">
      <c r="A226" s="1">
        <v>63263</v>
      </c>
      <c r="B226" s="1" t="s">
        <v>334</v>
      </c>
      <c r="C226" s="1" t="s">
        <v>209</v>
      </c>
      <c r="D226" s="19" t="s">
        <v>2831</v>
      </c>
      <c r="E226" s="15" t="str">
        <f>HYPERLINK("https://stat100.ameba.jp/tnk47/ratio20/illustrations/card/ill_63263_saionjikimmochi03.jpg?201910-3-RELEASE-dice-e-434", "■")</f>
        <v>■</v>
      </c>
      <c r="F226" s="1" t="s">
        <v>2832</v>
      </c>
      <c r="G226" s="1">
        <v>72819</v>
      </c>
      <c r="H226" s="1">
        <v>100519</v>
      </c>
      <c r="I226" s="1">
        <v>23</v>
      </c>
      <c r="J226" s="1" t="s">
        <v>351</v>
      </c>
      <c r="K226" s="1" t="s">
        <v>2833</v>
      </c>
      <c r="L226" s="1" t="s">
        <v>1625</v>
      </c>
      <c r="M226" s="1" t="s">
        <v>9158</v>
      </c>
      <c r="N226" s="1" t="s">
        <v>9158</v>
      </c>
      <c r="O226" s="1" t="s">
        <v>9158</v>
      </c>
      <c r="P226" s="1" t="s">
        <v>9158</v>
      </c>
      <c r="Q226" s="1" t="s">
        <v>9158</v>
      </c>
    </row>
    <row r="227" spans="1:17">
      <c r="A227" s="1">
        <v>64873</v>
      </c>
      <c r="B227" s="1" t="s">
        <v>334</v>
      </c>
      <c r="C227" s="1" t="s">
        <v>203</v>
      </c>
      <c r="D227" s="19" t="s">
        <v>2840</v>
      </c>
      <c r="E227" s="15" t="str">
        <f>HYPERLINK("https://stat100.ameba.jp/tnk47/ratio20/illustrations/card/ill_64873_sessofujin03.jpg?201910-3-RELEASE-dice-e-434", "■")</f>
        <v>■</v>
      </c>
      <c r="F227" s="1" t="s">
        <v>2841</v>
      </c>
      <c r="G227" s="1">
        <v>72819</v>
      </c>
      <c r="H227" s="1">
        <v>100519</v>
      </c>
      <c r="I227" s="1">
        <v>23</v>
      </c>
      <c r="J227" s="1" t="s">
        <v>315</v>
      </c>
      <c r="K227" s="1" t="s">
        <v>2842</v>
      </c>
      <c r="L227" s="1" t="s">
        <v>2843</v>
      </c>
      <c r="M227" s="1" t="s">
        <v>9158</v>
      </c>
      <c r="N227" s="1" t="s">
        <v>9158</v>
      </c>
      <c r="O227" s="1" t="s">
        <v>9158</v>
      </c>
      <c r="P227" s="1" t="s">
        <v>9158</v>
      </c>
      <c r="Q227" s="1" t="s">
        <v>9158</v>
      </c>
    </row>
    <row r="229" spans="1:17">
      <c r="A229" s="1" t="s">
        <v>7403</v>
      </c>
    </row>
    <row r="230" spans="1:17">
      <c r="A230" s="1" t="s">
        <v>7404</v>
      </c>
    </row>
    <row r="231" spans="1:17">
      <c r="A231" s="1" t="s">
        <v>7405</v>
      </c>
    </row>
    <row r="232" spans="1:17">
      <c r="A232" s="1" t="s">
        <v>5733</v>
      </c>
      <c r="B232" s="1" t="s">
        <v>330</v>
      </c>
      <c r="C232" s="1" t="s">
        <v>202</v>
      </c>
      <c r="D232" s="19" t="s">
        <v>2744</v>
      </c>
      <c r="E232" s="15" t="str">
        <f>HYPERLINK("https://stat100.ameba.jp/tnk47/ratio20/illustrations/card/ill_78693_0_kyupittokoinomikoto03.jpg?201910-3-RELEASE-dice-e-434", "■")</f>
        <v>■</v>
      </c>
      <c r="F232" s="1" t="s">
        <v>2745</v>
      </c>
      <c r="G232" s="1">
        <v>251516</v>
      </c>
      <c r="H232" s="1">
        <v>278294</v>
      </c>
      <c r="I232" s="1">
        <v>24</v>
      </c>
      <c r="J232" s="1" t="s">
        <v>274</v>
      </c>
      <c r="K232" s="1" t="s">
        <v>2746</v>
      </c>
      <c r="L232" s="1" t="s">
        <v>2747</v>
      </c>
      <c r="M232" s="1" t="s">
        <v>9158</v>
      </c>
      <c r="N232" s="1" t="s">
        <v>9158</v>
      </c>
      <c r="O232" s="19" t="s">
        <v>10097</v>
      </c>
      <c r="P232" s="1" t="s">
        <v>2748</v>
      </c>
      <c r="Q232" s="1">
        <v>1</v>
      </c>
    </row>
    <row r="233" spans="1:17">
      <c r="A233" s="1" t="s">
        <v>5619</v>
      </c>
      <c r="B233" s="1" t="s">
        <v>330</v>
      </c>
      <c r="C233" s="1" t="s">
        <v>202</v>
      </c>
      <c r="D233" s="19" t="s">
        <v>10348</v>
      </c>
      <c r="E233" s="15" t="str">
        <f>HYPERLINK("https://stat100.ameba.jp/tnk47/ratio20/illustrations/card/ill_81183_0_shinryokunokisetsuamaterasu03.jpg?201910-3-RELEASE-dice-e-434", "■")</f>
        <v>■</v>
      </c>
      <c r="F233" s="1" t="s">
        <v>4505</v>
      </c>
      <c r="G233" s="1">
        <v>252122</v>
      </c>
      <c r="H233" s="1">
        <v>278984</v>
      </c>
      <c r="I233" s="1">
        <v>24</v>
      </c>
      <c r="J233" s="1" t="s">
        <v>44</v>
      </c>
      <c r="K233" s="1" t="s">
        <v>4506</v>
      </c>
      <c r="L233" s="1" t="s">
        <v>4507</v>
      </c>
      <c r="M233" s="1" t="s">
        <v>9158</v>
      </c>
      <c r="N233" s="1" t="s">
        <v>9158</v>
      </c>
      <c r="O233" s="19" t="s">
        <v>10083</v>
      </c>
      <c r="P233" s="1" t="s">
        <v>4509</v>
      </c>
      <c r="Q233" s="1">
        <v>0</v>
      </c>
    </row>
    <row r="234" spans="1:17">
      <c r="A234" s="1" t="s">
        <v>5734</v>
      </c>
      <c r="B234" s="1" t="s">
        <v>330</v>
      </c>
      <c r="C234" s="1" t="s">
        <v>202</v>
      </c>
      <c r="D234" s="19" t="s">
        <v>1497</v>
      </c>
      <c r="E234" s="15" t="str">
        <f>HYPERLINK("https://stat100.ameba.jp/tnk47/ratio20/illustrations/card/ill_74593_0_natsuyuenchikoshihikari03.jpg?201910-3-RELEASE-dice-e-434", "■")</f>
        <v>■</v>
      </c>
      <c r="F234" s="1" t="s">
        <v>1498</v>
      </c>
      <c r="G234" s="1">
        <v>259994</v>
      </c>
      <c r="H234" s="1">
        <v>241708</v>
      </c>
      <c r="I234" s="1">
        <v>24</v>
      </c>
      <c r="J234" s="1" t="s">
        <v>283</v>
      </c>
      <c r="K234" s="1" t="s">
        <v>1499</v>
      </c>
      <c r="L234" s="1" t="s">
        <v>1500</v>
      </c>
      <c r="M234" s="1" t="s">
        <v>9158</v>
      </c>
      <c r="N234" s="1" t="s">
        <v>9158</v>
      </c>
      <c r="O234" s="19" t="s">
        <v>2731</v>
      </c>
      <c r="P234" s="1" t="s">
        <v>2732</v>
      </c>
      <c r="Q234" s="1">
        <v>1</v>
      </c>
    </row>
    <row r="235" spans="1:17">
      <c r="A235" s="1">
        <v>83083</v>
      </c>
      <c r="B235" s="1" t="s">
        <v>0</v>
      </c>
      <c r="C235" s="1" t="s">
        <v>209</v>
      </c>
      <c r="D235" s="19" t="s">
        <v>10469</v>
      </c>
      <c r="E235" s="15" t="str">
        <f>HYPERLINK("https://stat100.ameba.jp/tnk47/ratio20/illustrations/card/ill_83083_burakkukingu03.jpg?201910-3-RELEASE-dice-e-434", "■")</f>
        <v>■</v>
      </c>
      <c r="F235" s="1" t="s">
        <v>6093</v>
      </c>
      <c r="G235" s="1">
        <v>120475</v>
      </c>
      <c r="H235" s="1">
        <v>166328</v>
      </c>
      <c r="I235" s="1">
        <v>25</v>
      </c>
      <c r="J235" s="1" t="s">
        <v>194</v>
      </c>
      <c r="K235" s="1" t="s">
        <v>6095</v>
      </c>
      <c r="L235" s="1" t="s">
        <v>1148</v>
      </c>
      <c r="M235" s="1" t="s">
        <v>9158</v>
      </c>
      <c r="N235" s="1" t="s">
        <v>9158</v>
      </c>
      <c r="O235" s="19" t="s">
        <v>10117</v>
      </c>
      <c r="P235" s="1" t="s">
        <v>3625</v>
      </c>
      <c r="Q235" s="1">
        <v>1</v>
      </c>
    </row>
    <row r="236" spans="1:17">
      <c r="A236" s="1">
        <v>60763</v>
      </c>
      <c r="B236" s="1" t="s">
        <v>334</v>
      </c>
      <c r="C236" s="1" t="s">
        <v>203</v>
      </c>
      <c r="D236" s="19" t="s">
        <v>10420</v>
      </c>
      <c r="E236" s="15" t="str">
        <f>HYPERLINK("https://stat100.ameba.jp/tnk47/ratio20/illustrations/card/ill_60763_fujiwarakagekiyo03.jpg?201910-3-RELEASE-dice-e-434", "■")</f>
        <v>■</v>
      </c>
      <c r="F236" s="1" t="s">
        <v>1146</v>
      </c>
      <c r="G236" s="1">
        <v>115656</v>
      </c>
      <c r="H236" s="1">
        <v>159674</v>
      </c>
      <c r="I236" s="1">
        <v>25</v>
      </c>
      <c r="J236" s="1" t="s">
        <v>143</v>
      </c>
      <c r="K236" s="1" t="s">
        <v>1147</v>
      </c>
      <c r="L236" s="1" t="s">
        <v>1148</v>
      </c>
      <c r="M236" s="1" t="s">
        <v>9158</v>
      </c>
      <c r="N236" s="1" t="s">
        <v>9158</v>
      </c>
      <c r="O236" s="19" t="s">
        <v>10112</v>
      </c>
      <c r="P236" s="1" t="s">
        <v>13150</v>
      </c>
      <c r="Q236" s="1">
        <v>1</v>
      </c>
    </row>
    <row r="237" spans="1:17">
      <c r="A237" s="1">
        <v>54713</v>
      </c>
      <c r="B237" s="1" t="s">
        <v>334</v>
      </c>
      <c r="C237" s="1" t="s">
        <v>264</v>
      </c>
      <c r="D237" s="19" t="s">
        <v>10350</v>
      </c>
      <c r="E237" s="15" t="str">
        <f>HYPERLINK("https://stat100.ameba.jp/tnk47/ratio20/illustrations/card/ill_54713_okashiononokomachi03.jpg?201910-3-RELEASE-dice-e-434", "■")</f>
        <v>■</v>
      </c>
      <c r="F237" s="1" t="s">
        <v>4370</v>
      </c>
      <c r="G237" s="1">
        <v>96360</v>
      </c>
      <c r="H237" s="1">
        <v>89590</v>
      </c>
      <c r="I237" s="1">
        <v>25</v>
      </c>
      <c r="J237" s="1" t="s">
        <v>10</v>
      </c>
      <c r="K237" s="1" t="s">
        <v>4371</v>
      </c>
      <c r="L237" s="1" t="s">
        <v>4372</v>
      </c>
      <c r="M237" s="1" t="s">
        <v>9158</v>
      </c>
      <c r="N237" s="1" t="s">
        <v>9158</v>
      </c>
      <c r="O237" s="19" t="s">
        <v>10085</v>
      </c>
      <c r="P237" s="1" t="s">
        <v>4374</v>
      </c>
      <c r="Q237" s="1">
        <v>1</v>
      </c>
    </row>
    <row r="238" spans="1:17">
      <c r="A238" s="1">
        <v>60173</v>
      </c>
      <c r="B238" s="1" t="s">
        <v>0</v>
      </c>
      <c r="C238" s="1" t="s">
        <v>41</v>
      </c>
      <c r="D238" s="19" t="s">
        <v>10231</v>
      </c>
      <c r="E238" s="15" t="str">
        <f>HYPERLINK("https://stat100.ameba.jp/tnk47/ratio20/illustrations/card/ill_60173_kugutsushi03.jpg?201910-3-RELEASE-dice-e-434", "■")</f>
        <v>■</v>
      </c>
      <c r="F238" s="1" t="s">
        <v>4282</v>
      </c>
      <c r="G238" s="1">
        <v>92402</v>
      </c>
      <c r="H238" s="1">
        <v>127580</v>
      </c>
      <c r="I238" s="1">
        <v>25</v>
      </c>
      <c r="J238" s="1" t="s">
        <v>38</v>
      </c>
      <c r="K238" s="1" t="s">
        <v>4283</v>
      </c>
      <c r="L238" s="1" t="s">
        <v>2714</v>
      </c>
      <c r="M238" s="1" t="s">
        <v>9158</v>
      </c>
      <c r="N238" s="1" t="s">
        <v>9158</v>
      </c>
      <c r="O238" s="19" t="s">
        <v>10113</v>
      </c>
      <c r="P238" s="1" t="s">
        <v>4285</v>
      </c>
      <c r="Q238" s="1">
        <v>1</v>
      </c>
    </row>
    <row r="239" spans="1:17">
      <c r="A239" s="1">
        <v>71333</v>
      </c>
      <c r="B239" s="1" t="s">
        <v>0</v>
      </c>
      <c r="C239" s="1" t="s">
        <v>41</v>
      </c>
      <c r="D239" s="19" t="s">
        <v>10256</v>
      </c>
      <c r="E239" s="15" t="str">
        <f>HYPERLINK("https://stat100.ameba.jp/tnk47/ratio20/illustrations/card/ill_71333_fujiwaranokamatari03.jpg?201910-3-RELEASE-dice-e-434", "■")</f>
        <v>■</v>
      </c>
      <c r="F239" s="1" t="s">
        <v>58</v>
      </c>
      <c r="G239" s="1">
        <v>120475</v>
      </c>
      <c r="H239" s="1">
        <v>166328</v>
      </c>
      <c r="I239" s="1">
        <v>25</v>
      </c>
      <c r="J239" s="1" t="s">
        <v>10</v>
      </c>
      <c r="K239" s="1" t="s">
        <v>59</v>
      </c>
      <c r="L239" s="1" t="s">
        <v>60</v>
      </c>
      <c r="M239" s="1" t="s">
        <v>9158</v>
      </c>
      <c r="N239" s="1" t="s">
        <v>9158</v>
      </c>
      <c r="O239" s="19" t="s">
        <v>10098</v>
      </c>
      <c r="P239" s="1" t="s">
        <v>3491</v>
      </c>
      <c r="Q239" s="1">
        <v>1</v>
      </c>
    </row>
    <row r="240" spans="1:17">
      <c r="A240" s="1">
        <v>58343</v>
      </c>
      <c r="B240" s="1" t="s">
        <v>334</v>
      </c>
      <c r="C240" s="1" t="s">
        <v>268</v>
      </c>
      <c r="D240" s="19" t="s">
        <v>585</v>
      </c>
      <c r="E240" s="15" t="str">
        <f>HYPERLINK("https://stat100.ameba.jp/tnk47/ratio20/illustrations/card/ill_58343_agemakidayu03.jpg?201910-3-RELEASE-dice-e-434", "■")</f>
        <v>■</v>
      </c>
      <c r="F240" s="1" t="s">
        <v>586</v>
      </c>
      <c r="G240" s="1">
        <v>103176</v>
      </c>
      <c r="H240" s="1">
        <v>75651</v>
      </c>
      <c r="I240" s="1">
        <v>25</v>
      </c>
      <c r="J240" s="1" t="s">
        <v>274</v>
      </c>
      <c r="K240" s="1" t="s">
        <v>587</v>
      </c>
      <c r="L240" s="1" t="s">
        <v>588</v>
      </c>
      <c r="M240" s="1" t="s">
        <v>9158</v>
      </c>
      <c r="N240" s="1" t="s">
        <v>9158</v>
      </c>
      <c r="O240" s="19" t="s">
        <v>2912</v>
      </c>
      <c r="P240" s="1" t="s">
        <v>13122</v>
      </c>
      <c r="Q240" s="1">
        <v>1</v>
      </c>
    </row>
    <row r="241" spans="1:17">
      <c r="A241" s="1">
        <v>79643</v>
      </c>
      <c r="B241" s="1" t="s">
        <v>0</v>
      </c>
      <c r="C241" s="1" t="s">
        <v>185</v>
      </c>
      <c r="D241" s="19" t="s">
        <v>10622</v>
      </c>
      <c r="E241" s="15" t="str">
        <f>HYPERLINK("https://stat100.ameba.jp/tnk47/ratio20/illustrations/card/ill_79643_hibikiwataruneirosonobehideo03.jpg?201910-3-RELEASE-dice-e-434", "■")</f>
        <v>■</v>
      </c>
      <c r="F241" s="1" t="s">
        <v>3603</v>
      </c>
      <c r="G241" s="1">
        <v>90759</v>
      </c>
      <c r="H241" s="1">
        <v>97651</v>
      </c>
      <c r="I241" s="1">
        <v>25</v>
      </c>
      <c r="J241" s="1" t="s">
        <v>10</v>
      </c>
      <c r="K241" s="1" t="s">
        <v>3604</v>
      </c>
      <c r="L241" s="1" t="s">
        <v>2057</v>
      </c>
      <c r="M241" s="1" t="s">
        <v>9158</v>
      </c>
      <c r="N241" s="1" t="s">
        <v>9158</v>
      </c>
      <c r="O241" s="1" t="s">
        <v>9158</v>
      </c>
      <c r="P241" s="1" t="s">
        <v>9158</v>
      </c>
      <c r="Q241" s="1" t="s">
        <v>9158</v>
      </c>
    </row>
    <row r="242" spans="1:17">
      <c r="A242" s="1">
        <v>68323</v>
      </c>
      <c r="B242" s="1" t="s">
        <v>0</v>
      </c>
      <c r="C242" s="1" t="s">
        <v>7406</v>
      </c>
      <c r="D242" s="19" t="s">
        <v>10693</v>
      </c>
      <c r="E242" s="15" t="str">
        <f>HYPERLINK("https://stat100.ameba.jp/tnk47/ratio20/illustrations/card/ill_68323_shurambonenkaihayashifumiko03.jpg?201910-3-RELEASE-dice-e-434", "■")</f>
        <v>■</v>
      </c>
      <c r="F242" s="1" t="s">
        <v>7410</v>
      </c>
      <c r="G242" s="1">
        <v>101373</v>
      </c>
      <c r="H242" s="1">
        <v>94295</v>
      </c>
      <c r="I242" s="1">
        <v>25</v>
      </c>
      <c r="J242" s="1" t="s">
        <v>7407</v>
      </c>
      <c r="K242" s="1" t="s">
        <v>7409</v>
      </c>
      <c r="L242" s="1" t="s">
        <v>7408</v>
      </c>
      <c r="M242" s="1" t="s">
        <v>9158</v>
      </c>
      <c r="N242" s="1" t="s">
        <v>9158</v>
      </c>
      <c r="O242" s="1" t="s">
        <v>9158</v>
      </c>
      <c r="P242" s="1" t="s">
        <v>9158</v>
      </c>
      <c r="Q242" s="1" t="s">
        <v>9158</v>
      </c>
    </row>
    <row r="243" spans="1:17">
      <c r="A243" s="1">
        <v>78213</v>
      </c>
      <c r="B243" s="1" t="s">
        <v>0</v>
      </c>
      <c r="C243" s="1" t="s">
        <v>191</v>
      </c>
      <c r="D243" s="19" t="s">
        <v>10205</v>
      </c>
      <c r="E243" s="15" t="str">
        <f>HYPERLINK("https://stat100.ameba.jp/tnk47/ratio20/illustrations/card/ill_78213_otomarijoshikaitaiyakichan03.jpg?201910-3-RELEASE-dice-e-434", "■")</f>
        <v>■</v>
      </c>
      <c r="F243" s="1" t="s">
        <v>2313</v>
      </c>
      <c r="G243" s="1">
        <v>148619</v>
      </c>
      <c r="H243" s="1">
        <v>138186</v>
      </c>
      <c r="I243" s="1">
        <v>25</v>
      </c>
      <c r="J243" s="1" t="s">
        <v>104</v>
      </c>
      <c r="K243" s="1" t="s">
        <v>2314</v>
      </c>
      <c r="L243" s="1" t="s">
        <v>1029</v>
      </c>
      <c r="M243" s="1" t="s">
        <v>9158</v>
      </c>
      <c r="N243" s="1" t="s">
        <v>9158</v>
      </c>
      <c r="O243" s="1" t="s">
        <v>9158</v>
      </c>
      <c r="P243" s="1" t="s">
        <v>9158</v>
      </c>
      <c r="Q243" s="1" t="s">
        <v>9158</v>
      </c>
    </row>
    <row r="244" spans="1:17">
      <c r="A244" s="1">
        <v>67603</v>
      </c>
      <c r="B244" s="1" t="s">
        <v>0</v>
      </c>
      <c r="C244" s="1" t="s">
        <v>165</v>
      </c>
      <c r="D244" s="19" t="s">
        <v>10694</v>
      </c>
      <c r="E244" s="15" t="str">
        <f>HYPERLINK("https://stat100.ameba.jp/tnk47/ratio20/illustrations/card/ill_67603_girishiashinwafujiwaratokihime03.jpg?201910-3-RELEASE-dice-e-434", "■")</f>
        <v>■</v>
      </c>
      <c r="F244" s="1" t="s">
        <v>4356</v>
      </c>
      <c r="G244" s="1">
        <v>97651</v>
      </c>
      <c r="H244" s="1">
        <v>90759</v>
      </c>
      <c r="I244" s="1">
        <v>25</v>
      </c>
      <c r="J244" s="1" t="s">
        <v>77</v>
      </c>
      <c r="K244" s="1" t="s">
        <v>4357</v>
      </c>
      <c r="L244" s="1" t="s">
        <v>4096</v>
      </c>
      <c r="M244" s="1" t="s">
        <v>9158</v>
      </c>
      <c r="N244" s="1" t="s">
        <v>9158</v>
      </c>
      <c r="O244" s="1" t="s">
        <v>9158</v>
      </c>
      <c r="P244" s="1" t="s">
        <v>9158</v>
      </c>
      <c r="Q244" s="1" t="s">
        <v>9158</v>
      </c>
    </row>
    <row r="245" spans="1:17">
      <c r="A245" s="1">
        <v>78763</v>
      </c>
      <c r="B245" s="1" t="s">
        <v>334</v>
      </c>
      <c r="C245" s="1" t="s">
        <v>205</v>
      </c>
      <c r="D245" s="19" t="s">
        <v>2853</v>
      </c>
      <c r="E245" s="15" t="str">
        <f>HYPERLINK("https://stat100.ameba.jp/tnk47/ratio20/illustrations/card/ill_78763_shichifukujinorochinomusha03.jpg?201910-3-RELEASE-dice-e-434", "■")</f>
        <v>■</v>
      </c>
      <c r="F245" s="1" t="s">
        <v>2854</v>
      </c>
      <c r="G245" s="1">
        <v>138186</v>
      </c>
      <c r="H245" s="1">
        <v>148619</v>
      </c>
      <c r="I245" s="1">
        <v>25</v>
      </c>
      <c r="J245" s="1" t="s">
        <v>310</v>
      </c>
      <c r="K245" s="1" t="s">
        <v>2855</v>
      </c>
      <c r="L245" s="1" t="s">
        <v>407</v>
      </c>
      <c r="M245" s="1" t="s">
        <v>9158</v>
      </c>
      <c r="N245" s="1" t="s">
        <v>9158</v>
      </c>
      <c r="O245" s="1" t="s">
        <v>9158</v>
      </c>
      <c r="P245" s="1" t="s">
        <v>9158</v>
      </c>
      <c r="Q245" s="1" t="s">
        <v>9158</v>
      </c>
    </row>
    <row r="246" spans="1:17">
      <c r="A246" s="1">
        <v>79093</v>
      </c>
      <c r="B246" s="1" t="s">
        <v>334</v>
      </c>
      <c r="C246" s="1" t="s">
        <v>206</v>
      </c>
      <c r="D246" s="19" t="s">
        <v>10352</v>
      </c>
      <c r="E246" s="15" t="str">
        <f>HYPERLINK("https://stat100.ameba.jp/tnk47/ratio20/illustrations/card/ill_79093_shinnenongakukaihakatabijin03.jpg?201910-3-RELEASE-dice-e-434", "■")</f>
        <v>■</v>
      </c>
      <c r="F246" s="1" t="s">
        <v>3395</v>
      </c>
      <c r="G246" s="1">
        <v>105890</v>
      </c>
      <c r="H246" s="1">
        <v>113890</v>
      </c>
      <c r="I246" s="1">
        <v>25</v>
      </c>
      <c r="J246" s="1" t="s">
        <v>26</v>
      </c>
      <c r="K246" s="1" t="s">
        <v>3396</v>
      </c>
      <c r="L246" s="1" t="s">
        <v>2137</v>
      </c>
      <c r="M246" s="1" t="s">
        <v>9158</v>
      </c>
      <c r="N246" s="1" t="s">
        <v>9158</v>
      </c>
      <c r="O246" s="1" t="s">
        <v>9158</v>
      </c>
      <c r="P246" s="1" t="s">
        <v>9158</v>
      </c>
      <c r="Q246" s="1" t="s">
        <v>9158</v>
      </c>
    </row>
    <row r="248" spans="1:17">
      <c r="A248" s="1" t="s">
        <v>7412</v>
      </c>
    </row>
    <row r="249" spans="1:17">
      <c r="A249" s="1" t="s">
        <v>7413</v>
      </c>
    </row>
    <row r="250" spans="1:17">
      <c r="A250" s="1" t="s">
        <v>5617</v>
      </c>
      <c r="B250" s="1" t="s">
        <v>330</v>
      </c>
      <c r="C250" s="1" t="s">
        <v>308</v>
      </c>
      <c r="D250" s="19" t="s">
        <v>385</v>
      </c>
      <c r="E250" s="15" t="str">
        <f>HYPERLINK("https://stat100.ameba.jp/tnk47/ratio20/illustrations/card/ill_59673_0_oheyashutendoji03.jpg?201910-3-RELEASE-dice-e-434", "■")</f>
        <v>■</v>
      </c>
      <c r="F250" s="1" t="s">
        <v>386</v>
      </c>
      <c r="G250" s="1">
        <v>154800</v>
      </c>
      <c r="H250" s="1">
        <v>166504</v>
      </c>
      <c r="I250" s="1">
        <v>22</v>
      </c>
      <c r="J250" s="1" t="s">
        <v>320</v>
      </c>
      <c r="K250" s="1" t="s">
        <v>387</v>
      </c>
      <c r="L250" s="1" t="s">
        <v>388</v>
      </c>
      <c r="M250" s="1" t="s">
        <v>9158</v>
      </c>
      <c r="N250" s="1" t="s">
        <v>9158</v>
      </c>
      <c r="O250" s="19" t="s">
        <v>10078</v>
      </c>
      <c r="P250" s="1" t="s">
        <v>3022</v>
      </c>
      <c r="Q250" s="1">
        <v>1</v>
      </c>
    </row>
    <row r="251" spans="1:17">
      <c r="A251" s="1">
        <v>76243</v>
      </c>
      <c r="B251" s="1" t="s">
        <v>334</v>
      </c>
      <c r="C251" s="1" t="s">
        <v>335</v>
      </c>
      <c r="D251" s="19" t="s">
        <v>10263</v>
      </c>
      <c r="E251" s="15" t="str">
        <f>HYPERLINK("https://stat100.ameba.jp/tnk47/ratio20/illustrations/card/ill_76243_haroinkaraguchinihonshuchan03.jpg?201910-3-RELEASE-dice-e-434", "■")</f>
        <v>■</v>
      </c>
      <c r="F251" s="1" t="s">
        <v>336</v>
      </c>
      <c r="G251" s="1">
        <v>113340</v>
      </c>
      <c r="H251" s="1">
        <v>105394</v>
      </c>
      <c r="I251" s="1">
        <v>24</v>
      </c>
      <c r="J251" s="1" t="s">
        <v>283</v>
      </c>
      <c r="K251" s="1" t="s">
        <v>337</v>
      </c>
      <c r="L251" s="1" t="s">
        <v>338</v>
      </c>
      <c r="M251" s="1" t="s">
        <v>9158</v>
      </c>
      <c r="N251" s="1" t="s">
        <v>9158</v>
      </c>
      <c r="O251" s="19" t="s">
        <v>10090</v>
      </c>
      <c r="P251" s="1" t="s">
        <v>3561</v>
      </c>
      <c r="Q251" s="1">
        <v>1</v>
      </c>
    </row>
    <row r="252" spans="1:17">
      <c r="A252" s="1">
        <v>79513</v>
      </c>
      <c r="B252" s="1" t="s">
        <v>334</v>
      </c>
      <c r="C252" s="1" t="s">
        <v>209</v>
      </c>
      <c r="D252" s="19" t="s">
        <v>10404</v>
      </c>
      <c r="E252" s="15" t="str">
        <f>HYPERLINK("https://stat100.ameba.jp/tnk47/ratio20/illustrations/card/ill_79513_suzafuonia03.jpg?201910-3-RELEASE-dice-e-434", "■")</f>
        <v>■</v>
      </c>
      <c r="F252" s="1" t="s">
        <v>3529</v>
      </c>
      <c r="G252" s="1">
        <v>75984</v>
      </c>
      <c r="H252" s="1">
        <v>104890</v>
      </c>
      <c r="I252" s="1">
        <v>24</v>
      </c>
      <c r="J252" s="1" t="s">
        <v>10</v>
      </c>
      <c r="K252" s="1" t="s">
        <v>3532</v>
      </c>
      <c r="L252" s="1" t="s">
        <v>12</v>
      </c>
      <c r="M252" s="1" t="s">
        <v>9158</v>
      </c>
      <c r="N252" s="1" t="s">
        <v>9158</v>
      </c>
      <c r="O252" s="19" t="s">
        <v>2917</v>
      </c>
      <c r="P252" s="1" t="s">
        <v>3531</v>
      </c>
      <c r="Q252" s="1">
        <v>1</v>
      </c>
    </row>
    <row r="253" spans="1:17">
      <c r="A253" s="1">
        <v>73893</v>
      </c>
      <c r="B253" s="1" t="s">
        <v>334</v>
      </c>
      <c r="C253" s="1" t="s">
        <v>203</v>
      </c>
      <c r="D253" s="19" t="s">
        <v>10388</v>
      </c>
      <c r="E253" s="15" t="str">
        <f>HYPERLINK("https://stat100.ameba.jp/tnk47/ratio20/illustrations/card/ill_73893_kurohachidaimyojintookami03.jpg?201910-3-RELEASE-dice-e-434", "■")</f>
        <v>■</v>
      </c>
      <c r="F253" s="1" t="s">
        <v>685</v>
      </c>
      <c r="G253" s="1">
        <v>122476</v>
      </c>
      <c r="H253" s="1">
        <v>88706</v>
      </c>
      <c r="I253" s="1">
        <v>24</v>
      </c>
      <c r="J253" s="1" t="s">
        <v>274</v>
      </c>
      <c r="K253" s="1" t="s">
        <v>686</v>
      </c>
      <c r="L253" s="1" t="s">
        <v>428</v>
      </c>
      <c r="M253" s="1" t="s">
        <v>9158</v>
      </c>
      <c r="N253" s="1" t="s">
        <v>9158</v>
      </c>
      <c r="O253" s="19" t="s">
        <v>10118</v>
      </c>
      <c r="P253" s="1" t="s">
        <v>3810</v>
      </c>
      <c r="Q253" s="1">
        <v>1</v>
      </c>
    </row>
    <row r="255" spans="1:17">
      <c r="A255" s="1" t="s">
        <v>13327</v>
      </c>
    </row>
    <row r="256" spans="1:17">
      <c r="A256" s="1" t="s">
        <v>7414</v>
      </c>
    </row>
    <row r="257" spans="1:18">
      <c r="A257" s="1">
        <v>83973</v>
      </c>
      <c r="B257" s="1" t="s">
        <v>334</v>
      </c>
      <c r="C257" s="1" t="s">
        <v>14</v>
      </c>
      <c r="D257" s="19" t="s">
        <v>10570</v>
      </c>
      <c r="E257" s="15" t="str">
        <f>HYPERLINK("https://stat100.ameba.jp/tnk47/ratio20/illustrations/card/ill_83973_nekokishiirurosu03.jpg?201910-3-RELEASE-dice-e-434", "■")</f>
        <v>■</v>
      </c>
      <c r="F257" s="1" t="s">
        <v>6706</v>
      </c>
      <c r="G257" s="1">
        <v>118152</v>
      </c>
      <c r="H257" s="1">
        <v>109852</v>
      </c>
      <c r="I257" s="1">
        <v>24</v>
      </c>
      <c r="J257" s="1" t="s">
        <v>229</v>
      </c>
      <c r="K257" s="1" t="s">
        <v>6707</v>
      </c>
      <c r="L257" s="1" t="s">
        <v>13202</v>
      </c>
      <c r="M257" s="1" t="s">
        <v>13130</v>
      </c>
      <c r="N257" s="1" t="s">
        <v>343</v>
      </c>
      <c r="O257" s="1" t="s">
        <v>9158</v>
      </c>
      <c r="P257" s="1" t="s">
        <v>9158</v>
      </c>
      <c r="Q257" s="1" t="s">
        <v>9158</v>
      </c>
      <c r="R257" s="14" t="s">
        <v>14748</v>
      </c>
    </row>
    <row r="258" spans="1:18">
      <c r="A258" s="1">
        <v>83972</v>
      </c>
      <c r="B258" s="1" t="s">
        <v>334</v>
      </c>
      <c r="C258" s="1" t="s">
        <v>14</v>
      </c>
      <c r="D258" s="19" t="s">
        <v>10570</v>
      </c>
      <c r="E258" s="15" t="str">
        <f>HYPERLINK("https://stat100.ameba.jp/tnk47/ratio20/illustrations/card/ill_83972_nekokishiirurosu02.jpg?201910-3-RELEASE-dice-e-434", "■")</f>
        <v>■</v>
      </c>
      <c r="F258" s="1" t="s">
        <v>6706</v>
      </c>
      <c r="G258" s="1">
        <v>98768</v>
      </c>
      <c r="H258" s="1">
        <v>90984</v>
      </c>
      <c r="I258" s="1">
        <v>24</v>
      </c>
      <c r="J258" s="1" t="s">
        <v>229</v>
      </c>
      <c r="K258" s="1" t="s">
        <v>6707</v>
      </c>
      <c r="L258" s="1" t="s">
        <v>13201</v>
      </c>
      <c r="M258" s="1" t="s">
        <v>13131</v>
      </c>
      <c r="N258" s="1" t="s">
        <v>251</v>
      </c>
      <c r="O258" s="1" t="s">
        <v>9158</v>
      </c>
      <c r="P258" s="1" t="s">
        <v>9158</v>
      </c>
      <c r="Q258" s="1" t="s">
        <v>9158</v>
      </c>
      <c r="R258" s="14" t="s">
        <v>14748</v>
      </c>
    </row>
    <row r="259" spans="1:18">
      <c r="A259" s="1">
        <v>83971</v>
      </c>
      <c r="B259" s="1" t="s">
        <v>0</v>
      </c>
      <c r="C259" s="1" t="s">
        <v>14</v>
      </c>
      <c r="D259" s="19" t="s">
        <v>10570</v>
      </c>
      <c r="E259" s="15" t="str">
        <f>HYPERLINK("https://stat100.ameba.jp/tnk47/ratio20/illustrations/card/ill_83971_nekokishiirurosu01.jpg?201910-3-RELEASE-dice-e-434", "■")</f>
        <v>■</v>
      </c>
      <c r="F259" s="1" t="s">
        <v>6706</v>
      </c>
      <c r="G259" s="1">
        <v>75408</v>
      </c>
      <c r="H259" s="1">
        <v>70200</v>
      </c>
      <c r="I259" s="1">
        <v>24</v>
      </c>
      <c r="J259" s="1" t="s">
        <v>229</v>
      </c>
      <c r="K259" s="1" t="s">
        <v>6707</v>
      </c>
      <c r="L259" s="1" t="s">
        <v>13201</v>
      </c>
      <c r="M259" s="1" t="s">
        <v>13131</v>
      </c>
      <c r="N259" s="1" t="s">
        <v>251</v>
      </c>
      <c r="O259" s="1" t="s">
        <v>9158</v>
      </c>
      <c r="P259" s="1" t="s">
        <v>9158</v>
      </c>
      <c r="Q259" s="1" t="s">
        <v>9158</v>
      </c>
      <c r="R259" s="14" t="s">
        <v>14748</v>
      </c>
    </row>
    <row r="260" spans="1:18">
      <c r="A260" s="1">
        <v>83983</v>
      </c>
      <c r="B260" s="1" t="s">
        <v>334</v>
      </c>
      <c r="C260" s="1" t="s">
        <v>23</v>
      </c>
      <c r="D260" s="19" t="s">
        <v>10571</v>
      </c>
      <c r="E260" s="15" t="str">
        <f>HYPERLINK("https://stat100.ameba.jp/tnk47/ratio20/illustrations/card/ill_83983_ryujinsui03.jpg?201910-3-RELEASE-dice-e-434", "■")</f>
        <v>■</v>
      </c>
      <c r="F260" s="1" t="s">
        <v>6708</v>
      </c>
      <c r="G260" s="1">
        <v>109852</v>
      </c>
      <c r="H260" s="1">
        <v>118152</v>
      </c>
      <c r="I260" s="1">
        <v>24</v>
      </c>
      <c r="J260" s="1" t="s">
        <v>169</v>
      </c>
      <c r="K260" s="1" t="s">
        <v>6710</v>
      </c>
      <c r="L260" s="1" t="s">
        <v>6721</v>
      </c>
      <c r="M260" s="1" t="s">
        <v>13130</v>
      </c>
      <c r="N260" s="1" t="s">
        <v>343</v>
      </c>
      <c r="O260" s="1" t="s">
        <v>9158</v>
      </c>
      <c r="P260" s="1" t="s">
        <v>9158</v>
      </c>
      <c r="Q260" s="1" t="s">
        <v>9158</v>
      </c>
      <c r="R260" s="14" t="s">
        <v>14748</v>
      </c>
    </row>
    <row r="261" spans="1:18">
      <c r="A261" s="1">
        <v>83993</v>
      </c>
      <c r="B261" s="1" t="s">
        <v>334</v>
      </c>
      <c r="C261" s="1" t="s">
        <v>101</v>
      </c>
      <c r="D261" s="19" t="s">
        <v>10572</v>
      </c>
      <c r="E261" s="15" t="str">
        <f>HYPERLINK("https://stat100.ameba.jp/tnk47/ratio20/illustrations/card/ill_83993_enjieruzuranotamagochan03.jpg?201910-3-RELEASE-dice-e-434", "■")</f>
        <v>■</v>
      </c>
      <c r="F261" s="1" t="s">
        <v>6722</v>
      </c>
      <c r="G261" s="1">
        <v>109852</v>
      </c>
      <c r="H261" s="1">
        <v>118152</v>
      </c>
      <c r="I261" s="1">
        <v>24</v>
      </c>
      <c r="J261" s="1" t="s">
        <v>216</v>
      </c>
      <c r="K261" s="1" t="s">
        <v>6723</v>
      </c>
      <c r="L261" s="1" t="s">
        <v>6724</v>
      </c>
      <c r="M261" s="1" t="s">
        <v>13130</v>
      </c>
      <c r="N261" s="1" t="s">
        <v>343</v>
      </c>
      <c r="O261" s="1" t="s">
        <v>9158</v>
      </c>
      <c r="P261" s="1" t="s">
        <v>9158</v>
      </c>
      <c r="Q261" s="1" t="s">
        <v>9158</v>
      </c>
      <c r="R261" s="14" t="s">
        <v>14748</v>
      </c>
    </row>
    <row r="262" spans="1:18">
      <c r="A262" s="1">
        <v>84003</v>
      </c>
      <c r="B262" s="1" t="s">
        <v>0</v>
      </c>
      <c r="C262" s="1" t="s">
        <v>96</v>
      </c>
      <c r="D262" s="19" t="s">
        <v>10573</v>
      </c>
      <c r="E262" s="15" t="str">
        <f>HYPERLINK("https://stat100.ameba.jp/tnk47/ratio20/illustrations/card/ill_84003_sukoropendora03.jpg?201910-3-RELEASE-dice-e-434", "■")</f>
        <v>■</v>
      </c>
      <c r="F262" s="1" t="s">
        <v>6725</v>
      </c>
      <c r="G262" s="1">
        <v>118152</v>
      </c>
      <c r="H262" s="1">
        <v>109852</v>
      </c>
      <c r="I262" s="1">
        <v>24</v>
      </c>
      <c r="J262" s="1" t="s">
        <v>182</v>
      </c>
      <c r="K262" s="1" t="s">
        <v>6727</v>
      </c>
      <c r="L262" s="1" t="s">
        <v>6728</v>
      </c>
      <c r="M262" s="1" t="s">
        <v>13130</v>
      </c>
      <c r="N262" s="1" t="s">
        <v>343</v>
      </c>
      <c r="O262" s="1" t="s">
        <v>9158</v>
      </c>
      <c r="P262" s="1" t="s">
        <v>9158</v>
      </c>
      <c r="Q262" s="1" t="s">
        <v>9158</v>
      </c>
      <c r="R262" s="14" t="s">
        <v>14748</v>
      </c>
    </row>
    <row r="263" spans="1:18">
      <c r="A263" s="1">
        <v>84013</v>
      </c>
      <c r="B263" s="1" t="s">
        <v>334</v>
      </c>
      <c r="C263" s="1" t="s">
        <v>205</v>
      </c>
      <c r="D263" s="19" t="s">
        <v>10574</v>
      </c>
      <c r="E263" s="15" t="str">
        <f>HYPERLINK("https://stat100.ameba.jp/tnk47/ratio20/illustrations/card/ill_84013_neikiddo03.jpg?201910-3-RELEASE-dice-e-434", "■")</f>
        <v>■</v>
      </c>
      <c r="F263" s="1" t="s">
        <v>6729</v>
      </c>
      <c r="G263" s="1">
        <v>109852</v>
      </c>
      <c r="H263" s="1">
        <v>118152</v>
      </c>
      <c r="I263" s="1">
        <v>24</v>
      </c>
      <c r="J263" s="1" t="s">
        <v>194</v>
      </c>
      <c r="K263" s="1" t="s">
        <v>6731</v>
      </c>
      <c r="L263" s="1" t="s">
        <v>6732</v>
      </c>
      <c r="M263" s="1" t="s">
        <v>13130</v>
      </c>
      <c r="N263" s="1" t="s">
        <v>343</v>
      </c>
      <c r="O263" s="1" t="s">
        <v>9158</v>
      </c>
      <c r="P263" s="1" t="s">
        <v>9158</v>
      </c>
      <c r="Q263" s="1" t="s">
        <v>9158</v>
      </c>
      <c r="R263" s="14" t="s">
        <v>14748</v>
      </c>
    </row>
    <row r="264" spans="1:18">
      <c r="A264" s="1">
        <v>76763</v>
      </c>
      <c r="B264" s="1" t="s">
        <v>334</v>
      </c>
      <c r="C264" s="1" t="s">
        <v>107</v>
      </c>
      <c r="D264" s="19" t="s">
        <v>10575</v>
      </c>
      <c r="E264" s="15" t="str">
        <f>HYPERLINK("https://stat100.ameba.jp/tnk47/ratio20/illustrations/card/ill_76763_monsutanabeshimakeiginni03.jpg?201910-3-RELEASE-dice-e-434", "■")</f>
        <v>■</v>
      </c>
      <c r="F264" s="1" t="s">
        <v>6733</v>
      </c>
      <c r="G264" s="1">
        <v>118152</v>
      </c>
      <c r="H264" s="1">
        <v>109852</v>
      </c>
      <c r="I264" s="1">
        <v>24</v>
      </c>
      <c r="J264" s="1" t="s">
        <v>187</v>
      </c>
      <c r="K264" s="1" t="s">
        <v>6735</v>
      </c>
      <c r="L264" s="1" t="s">
        <v>6736</v>
      </c>
      <c r="M264" s="1" t="s">
        <v>13130</v>
      </c>
      <c r="N264" s="1" t="s">
        <v>343</v>
      </c>
      <c r="O264" s="1" t="s">
        <v>9158</v>
      </c>
      <c r="P264" s="1" t="s">
        <v>9158</v>
      </c>
      <c r="Q264" s="1" t="s">
        <v>9158</v>
      </c>
      <c r="R264" s="14" t="s">
        <v>14748</v>
      </c>
    </row>
    <row r="266" spans="1:18">
      <c r="A266" s="1" t="s">
        <v>7415</v>
      </c>
    </row>
    <row r="267" spans="1:18">
      <c r="A267" s="1" t="s">
        <v>7416</v>
      </c>
    </row>
    <row r="268" spans="1:18">
      <c r="A268" s="1" t="s">
        <v>7646</v>
      </c>
    </row>
    <row r="269" spans="1:18">
      <c r="A269" s="1" t="s">
        <v>7150</v>
      </c>
      <c r="B269" s="1" t="s">
        <v>52</v>
      </c>
      <c r="C269" s="1" t="s">
        <v>202</v>
      </c>
      <c r="D269" s="19" t="s">
        <v>10656</v>
      </c>
      <c r="E269" s="15" t="str">
        <f>HYPERLINK("https://stat100.ameba.jp/tnk47/ratio20/illustrations/card/ill_84203_0_tarottofujiwaranoshoshi03.jpg?201910-3-RELEASE-dice-e-434", "■")</f>
        <v>■</v>
      </c>
      <c r="F269" s="1" t="s">
        <v>7153</v>
      </c>
      <c r="G269" s="1">
        <v>220780</v>
      </c>
      <c r="H269" s="1">
        <v>199554</v>
      </c>
      <c r="I269" s="1">
        <v>15</v>
      </c>
      <c r="J269" s="1" t="s">
        <v>10</v>
      </c>
      <c r="K269" s="1" t="s">
        <v>7152</v>
      </c>
      <c r="L269" s="1" t="s">
        <v>7151</v>
      </c>
      <c r="M269" s="1" t="s">
        <v>9158</v>
      </c>
      <c r="N269" s="1" t="s">
        <v>9158</v>
      </c>
      <c r="O269" s="19" t="s">
        <v>10128</v>
      </c>
      <c r="P269" s="1" t="s">
        <v>7154</v>
      </c>
      <c r="Q269" s="1">
        <v>1</v>
      </c>
    </row>
    <row r="270" spans="1:18">
      <c r="A270" s="1">
        <v>84453</v>
      </c>
      <c r="B270" s="1" t="s">
        <v>7417</v>
      </c>
      <c r="C270" s="1" t="s">
        <v>7418</v>
      </c>
      <c r="D270" s="19" t="s">
        <v>10695</v>
      </c>
      <c r="E270" s="15" t="str">
        <f>HYPERLINK("https://stat100.ameba.jp/tnk47/ratio20/illustrations/card/ill_84453_joginguasakusanokaminarimon03.jpg?201910-3-RELEASE-dice-e-434", "■")</f>
        <v>■</v>
      </c>
      <c r="F270" s="1" t="s">
        <v>7429</v>
      </c>
      <c r="G270" s="1">
        <v>105890</v>
      </c>
      <c r="H270" s="1">
        <v>113890</v>
      </c>
      <c r="I270" s="1">
        <v>25</v>
      </c>
      <c r="J270" s="1" t="s">
        <v>7419</v>
      </c>
      <c r="K270" s="1" t="s">
        <v>7428</v>
      </c>
      <c r="L270" s="1" t="s">
        <v>7427</v>
      </c>
      <c r="M270" s="1" t="s">
        <v>9158</v>
      </c>
      <c r="N270" s="1" t="s">
        <v>9158</v>
      </c>
      <c r="O270" s="1" t="s">
        <v>9158</v>
      </c>
      <c r="P270" s="1" t="s">
        <v>9158</v>
      </c>
      <c r="Q270" s="1" t="s">
        <v>9158</v>
      </c>
    </row>
    <row r="271" spans="1:18">
      <c r="A271" s="1">
        <v>84713</v>
      </c>
      <c r="B271" s="1" t="s">
        <v>7417</v>
      </c>
      <c r="C271" s="1" t="s">
        <v>7423</v>
      </c>
      <c r="D271" s="19" t="s">
        <v>10696</v>
      </c>
      <c r="E271" s="15" t="str">
        <f>HYPERLINK("https://stat100.ameba.jp/tnk47/ratio20/illustrations/card/ill_84713_shogiyodabenzo03.jpg?201910-3-RELEASE-dice-e-434", "■")</f>
        <v>■</v>
      </c>
      <c r="F271" s="1" t="s">
        <v>7432</v>
      </c>
      <c r="G271" s="1">
        <v>97651</v>
      </c>
      <c r="H271" s="1">
        <v>90759</v>
      </c>
      <c r="I271" s="1">
        <v>25</v>
      </c>
      <c r="J271" s="1" t="s">
        <v>10</v>
      </c>
      <c r="K271" s="1" t="s">
        <v>7431</v>
      </c>
      <c r="L271" s="1" t="s">
        <v>7430</v>
      </c>
      <c r="M271" s="1" t="s">
        <v>9158</v>
      </c>
      <c r="N271" s="1" t="s">
        <v>9158</v>
      </c>
      <c r="O271" s="1" t="s">
        <v>9158</v>
      </c>
      <c r="P271" s="1" t="s">
        <v>9158</v>
      </c>
      <c r="Q271" s="1" t="s">
        <v>9158</v>
      </c>
    </row>
    <row r="272" spans="1:18">
      <c r="A272" s="1">
        <v>84463</v>
      </c>
      <c r="B272" s="1" t="s">
        <v>7420</v>
      </c>
      <c r="C272" s="1" t="s">
        <v>7424</v>
      </c>
      <c r="D272" s="19" t="s">
        <v>10697</v>
      </c>
      <c r="E272" s="15" t="str">
        <f>HYPERLINK("https://stat100.ameba.jp/tnk47/ratio20/illustrations/card/ill_84463_jimumyokyu03.jpg?201910-3-RELEASE-dice-e-434", "■")</f>
        <v>■</v>
      </c>
      <c r="F272" s="1" t="s">
        <v>7435</v>
      </c>
      <c r="G272" s="1">
        <v>67210</v>
      </c>
      <c r="H272" s="1">
        <v>74100</v>
      </c>
      <c r="I272" s="1">
        <v>25</v>
      </c>
      <c r="J272" s="1" t="s">
        <v>187</v>
      </c>
      <c r="K272" s="1" t="s">
        <v>7434</v>
      </c>
      <c r="L272" s="1" t="s">
        <v>7433</v>
      </c>
      <c r="M272" s="1" t="s">
        <v>9158</v>
      </c>
      <c r="N272" s="1" t="s">
        <v>9158</v>
      </c>
      <c r="O272" s="1" t="s">
        <v>9158</v>
      </c>
      <c r="P272" s="1" t="s">
        <v>9158</v>
      </c>
      <c r="Q272" s="1" t="s">
        <v>9158</v>
      </c>
    </row>
    <row r="273" spans="1:17">
      <c r="A273" s="1">
        <v>84473</v>
      </c>
      <c r="B273" s="1" t="s">
        <v>7421</v>
      </c>
      <c r="C273" s="1" t="s">
        <v>7425</v>
      </c>
      <c r="D273" s="19" t="s">
        <v>10698</v>
      </c>
      <c r="E273" s="15" t="str">
        <f>HYPERLINK("https://stat100.ameba.jp/tnk47/ratio20/illustrations/card/ill_84473_kintoreshiranui03.jpg?201910-3-RELEASE-dice-e-434", "■")</f>
        <v>■</v>
      </c>
      <c r="F273" s="1" t="s">
        <v>7439</v>
      </c>
      <c r="G273" s="1">
        <v>43662</v>
      </c>
      <c r="H273" s="1">
        <v>36304</v>
      </c>
      <c r="I273" s="1">
        <v>21</v>
      </c>
      <c r="J273" s="1" t="s">
        <v>7438</v>
      </c>
      <c r="K273" s="1" t="s">
        <v>7437</v>
      </c>
      <c r="L273" s="1" t="s">
        <v>7436</v>
      </c>
      <c r="M273" s="1" t="s">
        <v>9158</v>
      </c>
      <c r="N273" s="1" t="s">
        <v>9158</v>
      </c>
      <c r="O273" s="1" t="s">
        <v>9158</v>
      </c>
      <c r="P273" s="1" t="s">
        <v>9158</v>
      </c>
      <c r="Q273" s="1" t="s">
        <v>9158</v>
      </c>
    </row>
    <row r="274" spans="1:17">
      <c r="A274" s="1">
        <v>84483</v>
      </c>
      <c r="B274" s="1" t="s">
        <v>7422</v>
      </c>
      <c r="C274" s="1" t="s">
        <v>7426</v>
      </c>
      <c r="D274" s="19" t="s">
        <v>10699</v>
      </c>
      <c r="E274" s="15" t="str">
        <f>HYPERLINK("https://stat100.ameba.jp/tnk47/ratio20/illustrations/card/ill_84483_merosu03.jpg?201910-3-RELEASE-dice-e-434", "■")</f>
        <v>■</v>
      </c>
      <c r="F274" s="1" t="s">
        <v>7443</v>
      </c>
      <c r="G274" s="1">
        <v>22200</v>
      </c>
      <c r="H274" s="1">
        <v>22200</v>
      </c>
      <c r="I274" s="1">
        <v>21</v>
      </c>
      <c r="J274" s="1" t="s">
        <v>7442</v>
      </c>
      <c r="K274" s="1" t="s">
        <v>7441</v>
      </c>
      <c r="L274" s="1" t="s">
        <v>7440</v>
      </c>
      <c r="M274" s="1" t="s">
        <v>9158</v>
      </c>
      <c r="N274" s="1" t="s">
        <v>9158</v>
      </c>
      <c r="O274" s="1" t="s">
        <v>9158</v>
      </c>
      <c r="P274" s="1" t="s">
        <v>9158</v>
      </c>
      <c r="Q274" s="1" t="s">
        <v>9158</v>
      </c>
    </row>
    <row r="276" spans="1:17">
      <c r="A276" s="1" t="s">
        <v>7444</v>
      </c>
    </row>
    <row r="277" spans="1:17">
      <c r="A277" s="1" t="s">
        <v>7445</v>
      </c>
    </row>
    <row r="278" spans="1:17">
      <c r="A278" s="1" t="s">
        <v>5626</v>
      </c>
      <c r="B278" s="1" t="s">
        <v>330</v>
      </c>
      <c r="C278" s="1" t="s">
        <v>200</v>
      </c>
      <c r="D278" s="19" t="s">
        <v>3160</v>
      </c>
      <c r="E278" s="15" t="str">
        <f>HYPERLINK("https://stat100.ameba.jp/tnk47/ratio20/illustrations/card/ill_72963_0_amenohanayomehiguchiichiyo03.jpg?201910-3-RELEASE-dice-e-434", "■")</f>
        <v>■</v>
      </c>
      <c r="F278" s="1" t="s">
        <v>1139</v>
      </c>
      <c r="G278" s="1">
        <v>100502</v>
      </c>
      <c r="H278" s="1">
        <v>93450</v>
      </c>
      <c r="I278" s="1">
        <v>15</v>
      </c>
      <c r="J278" s="1" t="s">
        <v>173</v>
      </c>
      <c r="K278" s="1" t="s">
        <v>1140</v>
      </c>
      <c r="L278" s="1" t="s">
        <v>1141</v>
      </c>
      <c r="M278" s="1" t="s">
        <v>9158</v>
      </c>
      <c r="N278" s="1" t="s">
        <v>9158</v>
      </c>
      <c r="O278" s="19" t="s">
        <v>3162</v>
      </c>
      <c r="P278" s="1" t="s">
        <v>3410</v>
      </c>
      <c r="Q278" s="1">
        <v>1</v>
      </c>
    </row>
    <row r="279" spans="1:17">
      <c r="A279" s="1" t="s">
        <v>5623</v>
      </c>
      <c r="B279" s="1" t="s">
        <v>330</v>
      </c>
      <c r="C279" s="1" t="s">
        <v>165</v>
      </c>
      <c r="D279" s="19" t="s">
        <v>3146</v>
      </c>
      <c r="E279" s="15" t="str">
        <f>HYPERLINK("https://stat100.ameba.jp/tnk47/ratio20/illustrations/card/ill_65713_0_undokaionikirimaru03.jpg?201910-3-RELEASE-dice-e-434", "■")</f>
        <v>■</v>
      </c>
      <c r="F279" s="1" t="s">
        <v>535</v>
      </c>
      <c r="G279" s="1">
        <v>113525</v>
      </c>
      <c r="H279" s="1">
        <v>105545</v>
      </c>
      <c r="I279" s="1">
        <v>15</v>
      </c>
      <c r="J279" s="1" t="s">
        <v>320</v>
      </c>
      <c r="K279" s="1" t="s">
        <v>3147</v>
      </c>
      <c r="L279" s="1" t="s">
        <v>3148</v>
      </c>
      <c r="M279" s="1" t="s">
        <v>9158</v>
      </c>
      <c r="N279" s="1" t="s">
        <v>9158</v>
      </c>
      <c r="O279" s="19" t="s">
        <v>2869</v>
      </c>
      <c r="P279" s="1" t="s">
        <v>2870</v>
      </c>
      <c r="Q279" s="1">
        <v>1</v>
      </c>
    </row>
    <row r="280" spans="1:17">
      <c r="A280" s="1" t="s">
        <v>5721</v>
      </c>
      <c r="B280" s="1" t="s">
        <v>330</v>
      </c>
      <c r="C280" s="1" t="s">
        <v>205</v>
      </c>
      <c r="D280" s="19" t="s">
        <v>513</v>
      </c>
      <c r="E280" s="15" t="str">
        <f>HYPERLINK("https://stat100.ameba.jp/tnk47/ratio20/illustrations/card/ill_44283_0_izumonokuni03.jpg?201910-3-RELEASE-dice-e-434", "■")</f>
        <v>■</v>
      </c>
      <c r="F280" s="1" t="s">
        <v>514</v>
      </c>
      <c r="G280" s="1">
        <v>87780</v>
      </c>
      <c r="H280" s="1">
        <v>82212</v>
      </c>
      <c r="I280" s="1">
        <v>15</v>
      </c>
      <c r="J280" s="1" t="s">
        <v>159</v>
      </c>
      <c r="K280" s="1" t="s">
        <v>1717</v>
      </c>
      <c r="L280" s="1" t="s">
        <v>516</v>
      </c>
      <c r="M280" s="1" t="s">
        <v>9158</v>
      </c>
      <c r="N280" s="1" t="s">
        <v>9158</v>
      </c>
      <c r="O280" s="1" t="s">
        <v>9158</v>
      </c>
      <c r="P280" s="1" t="s">
        <v>9158</v>
      </c>
      <c r="Q280" s="1" t="s">
        <v>9158</v>
      </c>
    </row>
    <row r="281" spans="1:17">
      <c r="A281" s="1">
        <v>79783</v>
      </c>
      <c r="B281" s="1" t="s">
        <v>0</v>
      </c>
      <c r="C281" s="1" t="s">
        <v>200</v>
      </c>
      <c r="D281" s="19" t="s">
        <v>10330</v>
      </c>
      <c r="E281" s="15" t="str">
        <f>HYPERLINK("https://stat100.ameba.jp/tnk47/ratio20/illustrations/card/ill_79783_entakunokishitakatsukasanobuko03.jpg?201910-3-RELEASE-dice-e-434", "■")</f>
        <v>■</v>
      </c>
      <c r="F281" s="1" t="s">
        <v>7448</v>
      </c>
      <c r="G281" s="1">
        <v>115746</v>
      </c>
      <c r="H281" s="1">
        <v>65128</v>
      </c>
      <c r="I281" s="1">
        <v>24</v>
      </c>
      <c r="J281" s="1" t="s">
        <v>187</v>
      </c>
      <c r="K281" s="1" t="s">
        <v>7447</v>
      </c>
      <c r="L281" s="1" t="s">
        <v>7446</v>
      </c>
      <c r="M281" s="1" t="s">
        <v>9158</v>
      </c>
      <c r="N281" s="1" t="s">
        <v>9158</v>
      </c>
      <c r="O281" s="1" t="s">
        <v>9158</v>
      </c>
      <c r="P281" s="1" t="s">
        <v>9158</v>
      </c>
      <c r="Q281" s="1" t="s">
        <v>9158</v>
      </c>
    </row>
    <row r="282" spans="1:17">
      <c r="A282" s="1">
        <v>81563</v>
      </c>
      <c r="B282" s="1" t="s">
        <v>0</v>
      </c>
      <c r="C282" s="1" t="s">
        <v>185</v>
      </c>
      <c r="D282" s="19" t="s">
        <v>10700</v>
      </c>
      <c r="E282" s="15" t="str">
        <f>HYPERLINK("https://stat100.ameba.jp/tnk47/ratio20/illustrations/card/ill_81563_kyamerajoshisankichioni03.jpg?201910-3-RELEASE-dice-e-434", "■")</f>
        <v>■</v>
      </c>
      <c r="F282" s="1" t="s">
        <v>7451</v>
      </c>
      <c r="G282" s="1">
        <v>123490</v>
      </c>
      <c r="H282" s="1">
        <v>69502</v>
      </c>
      <c r="I282" s="1">
        <v>24</v>
      </c>
      <c r="J282" s="1" t="s">
        <v>7438</v>
      </c>
      <c r="K282" s="1" t="s">
        <v>7450</v>
      </c>
      <c r="L282" s="1" t="s">
        <v>7449</v>
      </c>
      <c r="M282" s="1" t="s">
        <v>9158</v>
      </c>
      <c r="N282" s="1" t="s">
        <v>9158</v>
      </c>
      <c r="O282" s="1" t="s">
        <v>9158</v>
      </c>
      <c r="P282" s="1" t="s">
        <v>9158</v>
      </c>
      <c r="Q282" s="1" t="s">
        <v>9158</v>
      </c>
    </row>
    <row r="283" spans="1:17">
      <c r="A283" s="1">
        <v>74993</v>
      </c>
      <c r="B283" s="1" t="s">
        <v>0</v>
      </c>
      <c r="C283" s="1" t="s">
        <v>205</v>
      </c>
      <c r="D283" s="19" t="s">
        <v>10353</v>
      </c>
      <c r="E283" s="15" t="str">
        <f>HYPERLINK("https://stat100.ameba.jp/tnk47/ratio20/illustrations/card/ill_74993_demikatsudon03.jpg?201910-3-RELEASE-dice-e-434", "■")</f>
        <v>■</v>
      </c>
      <c r="F283" s="1" t="s">
        <v>7454</v>
      </c>
      <c r="G283" s="1">
        <v>142674</v>
      </c>
      <c r="H283" s="1">
        <v>132658</v>
      </c>
      <c r="I283" s="1">
        <v>24</v>
      </c>
      <c r="J283" s="1" t="s">
        <v>216</v>
      </c>
      <c r="K283" s="1" t="s">
        <v>7453</v>
      </c>
      <c r="L283" s="1" t="s">
        <v>7452</v>
      </c>
      <c r="M283" s="1" t="s">
        <v>9158</v>
      </c>
      <c r="N283" s="1" t="s">
        <v>9158</v>
      </c>
      <c r="O283" s="1" t="s">
        <v>9158</v>
      </c>
      <c r="P283" s="1" t="s">
        <v>9158</v>
      </c>
      <c r="Q283" s="1" t="s">
        <v>9158</v>
      </c>
    </row>
    <row r="284" spans="1:17">
      <c r="A284" s="1">
        <v>64053</v>
      </c>
      <c r="B284" s="1" t="s">
        <v>15</v>
      </c>
      <c r="C284" s="1" t="s">
        <v>206</v>
      </c>
      <c r="D284" s="19" t="s">
        <v>10667</v>
      </c>
      <c r="E284" s="15" t="str">
        <f>HYPERLINK("https://stat100.ameba.jp/tnk47/ratio20/illustrations/card/ill_64053_yusuzumimyorinni03.jpg?201910-3-RELEASE-dice-e-434", "■")</f>
        <v>■</v>
      </c>
      <c r="F284" s="1" t="s">
        <v>7202</v>
      </c>
      <c r="G284" s="1">
        <v>59280</v>
      </c>
      <c r="H284" s="1">
        <v>53768</v>
      </c>
      <c r="I284" s="1">
        <v>20</v>
      </c>
      <c r="J284" s="1" t="s">
        <v>194</v>
      </c>
      <c r="K284" s="1" t="s">
        <v>7201</v>
      </c>
      <c r="L284" s="1" t="s">
        <v>3524</v>
      </c>
      <c r="M284" s="1" t="s">
        <v>9158</v>
      </c>
      <c r="N284" s="1" t="s">
        <v>9158</v>
      </c>
      <c r="O284" s="1" t="s">
        <v>9158</v>
      </c>
      <c r="P284" s="1" t="s">
        <v>9158</v>
      </c>
      <c r="Q284" s="1" t="s">
        <v>9158</v>
      </c>
    </row>
    <row r="285" spans="1:17">
      <c r="A285" s="1">
        <v>77363</v>
      </c>
      <c r="B285" s="1" t="s">
        <v>15</v>
      </c>
      <c r="C285" s="1" t="s">
        <v>185</v>
      </c>
      <c r="D285" s="19" t="s">
        <v>1533</v>
      </c>
      <c r="E285" s="15" t="str">
        <f>HYPERLINK("https://stat100.ameba.jp/tnk47/ratio20/illustrations/card/ill_77363_samonchan03.jpg?201910-3-RELEASE-dice-e-434", "■")</f>
        <v>■</v>
      </c>
      <c r="F285" s="1" t="s">
        <v>5480</v>
      </c>
      <c r="G285" s="1">
        <v>59280</v>
      </c>
      <c r="H285" s="1">
        <v>53768</v>
      </c>
      <c r="I285" s="1">
        <v>20</v>
      </c>
      <c r="J285" s="1" t="s">
        <v>216</v>
      </c>
      <c r="K285" s="1" t="s">
        <v>3607</v>
      </c>
      <c r="L285" s="1" t="s">
        <v>3607</v>
      </c>
      <c r="M285" s="1" t="s">
        <v>9158</v>
      </c>
      <c r="N285" s="1" t="s">
        <v>9158</v>
      </c>
      <c r="O285" s="1" t="s">
        <v>9158</v>
      </c>
      <c r="P285" s="1" t="s">
        <v>9158</v>
      </c>
      <c r="Q285" s="1" t="s">
        <v>9158</v>
      </c>
    </row>
    <row r="286" spans="1:17">
      <c r="A286" s="1">
        <v>74073</v>
      </c>
      <c r="B286" s="1" t="s">
        <v>15</v>
      </c>
      <c r="C286" s="1" t="s">
        <v>191</v>
      </c>
      <c r="D286" s="19" t="s">
        <v>10668</v>
      </c>
      <c r="E286" s="15" t="str">
        <f>HYPERLINK("https://stat100.ameba.jp/tnk47/ratio20/illustrations/card/ill_74073_toyotakerosho03.jpg?201910-3-RELEASE-dice-e-434", "■")</f>
        <v>■</v>
      </c>
      <c r="F286" s="1" t="s">
        <v>4385</v>
      </c>
      <c r="G286" s="1">
        <v>59280</v>
      </c>
      <c r="H286" s="1">
        <v>53768</v>
      </c>
      <c r="I286" s="1">
        <v>20</v>
      </c>
      <c r="J286" s="1" t="s">
        <v>173</v>
      </c>
      <c r="K286" s="1" t="s">
        <v>4386</v>
      </c>
      <c r="L286" s="1" t="s">
        <v>3275</v>
      </c>
      <c r="M286" s="1" t="s">
        <v>9158</v>
      </c>
      <c r="N286" s="1" t="s">
        <v>9158</v>
      </c>
      <c r="O286" s="1" t="s">
        <v>9158</v>
      </c>
      <c r="P286" s="1" t="s">
        <v>9158</v>
      </c>
      <c r="Q286" s="1" t="s">
        <v>9158</v>
      </c>
    </row>
    <row r="288" spans="1:17">
      <c r="A288" s="1" t="s">
        <v>13367</v>
      </c>
    </row>
    <row r="289" spans="1:18">
      <c r="A289" s="1" t="s">
        <v>7455</v>
      </c>
    </row>
    <row r="290" spans="1:18">
      <c r="A290" s="1">
        <v>84315</v>
      </c>
      <c r="B290" s="1" t="s">
        <v>7456</v>
      </c>
      <c r="C290" s="1" t="s">
        <v>7458</v>
      </c>
      <c r="D290" s="19" t="s">
        <v>10701</v>
      </c>
      <c r="E290" s="15" t="str">
        <f>HYPERLINK("https://stat100.ameba.jp/tnk47/ratio20/illustrations/card/ill_84315_koinuru05.jpg?201910-3-RELEASE-dice-e-434", "■")</f>
        <v>■</v>
      </c>
      <c r="F290" s="1" t="s">
        <v>7466</v>
      </c>
      <c r="G290" s="1">
        <v>84828</v>
      </c>
      <c r="H290" s="1">
        <v>117160</v>
      </c>
      <c r="I290" s="1">
        <v>24</v>
      </c>
      <c r="J290" s="1" t="s">
        <v>7463</v>
      </c>
      <c r="K290" s="1" t="s">
        <v>7465</v>
      </c>
      <c r="L290" s="1" t="s">
        <v>7464</v>
      </c>
      <c r="M290" s="1" t="s">
        <v>9158</v>
      </c>
      <c r="N290" s="1" t="s">
        <v>9158</v>
      </c>
      <c r="O290" s="1" t="s">
        <v>9158</v>
      </c>
      <c r="P290" s="1" t="s">
        <v>9158</v>
      </c>
      <c r="Q290" s="1" t="s">
        <v>9158</v>
      </c>
      <c r="R290" s="1" t="s">
        <v>7460</v>
      </c>
    </row>
    <row r="291" spans="1:18">
      <c r="A291" s="1">
        <v>84313</v>
      </c>
      <c r="B291" s="1" t="s">
        <v>7457</v>
      </c>
      <c r="C291" s="1" t="s">
        <v>7459</v>
      </c>
      <c r="D291" s="19" t="s">
        <v>10701</v>
      </c>
      <c r="E291" s="15" t="str">
        <f>HYPERLINK("https://stat100.ameba.jp/tnk47/ratio20/illustrations/card/ill_84313_koinuru03.jpg?201910-3-RELEASE-dice-e-434", "■")</f>
        <v>■</v>
      </c>
      <c r="F291" s="1" t="s">
        <v>7466</v>
      </c>
      <c r="G291" s="1">
        <v>62492</v>
      </c>
      <c r="H291" s="1">
        <v>86320</v>
      </c>
      <c r="I291" s="1">
        <v>24</v>
      </c>
      <c r="J291" s="1" t="s">
        <v>7463</v>
      </c>
      <c r="K291" s="1" t="s">
        <v>7465</v>
      </c>
      <c r="L291" s="1" t="s">
        <v>7467</v>
      </c>
      <c r="M291" s="1" t="s">
        <v>9158</v>
      </c>
      <c r="N291" s="1" t="s">
        <v>9158</v>
      </c>
      <c r="O291" s="1" t="s">
        <v>9158</v>
      </c>
      <c r="P291" s="1" t="s">
        <v>9158</v>
      </c>
      <c r="Q291" s="1" t="s">
        <v>9158</v>
      </c>
      <c r="R291" s="1" t="s">
        <v>7461</v>
      </c>
    </row>
    <row r="292" spans="1:18">
      <c r="A292" s="1">
        <v>84311</v>
      </c>
      <c r="B292" s="1" t="s">
        <v>7457</v>
      </c>
      <c r="C292" s="1" t="s">
        <v>7459</v>
      </c>
      <c r="D292" s="19" t="s">
        <v>10701</v>
      </c>
      <c r="E292" s="15" t="str">
        <f>HYPERLINK("https://stat100.ameba.jp/tnk47/ratio20/illustrations/card/ill_84311_koinuru01.jpg?201910-3-RELEASE-dice-e-434", "■")</f>
        <v>■</v>
      </c>
      <c r="F292" s="1" t="s">
        <v>7466</v>
      </c>
      <c r="G292" s="1">
        <v>39768</v>
      </c>
      <c r="H292" s="1">
        <v>54912</v>
      </c>
      <c r="I292" s="1">
        <v>24</v>
      </c>
      <c r="J292" s="1" t="s">
        <v>7463</v>
      </c>
      <c r="K292" s="1" t="s">
        <v>7465</v>
      </c>
      <c r="L292" s="1" t="s">
        <v>7468</v>
      </c>
      <c r="M292" s="1" t="s">
        <v>9158</v>
      </c>
      <c r="N292" s="1" t="s">
        <v>9158</v>
      </c>
      <c r="O292" s="1" t="s">
        <v>9158</v>
      </c>
      <c r="P292" s="1" t="s">
        <v>9158</v>
      </c>
      <c r="Q292" s="1" t="s">
        <v>9158</v>
      </c>
      <c r="R292" s="1" t="s">
        <v>7462</v>
      </c>
    </row>
    <row r="294" spans="1:18">
      <c r="A294" s="1" t="s">
        <v>10550</v>
      </c>
    </row>
    <row r="295" spans="1:18">
      <c r="A295" s="1" t="s">
        <v>7469</v>
      </c>
    </row>
    <row r="296" spans="1:18">
      <c r="A296" s="1">
        <v>76263</v>
      </c>
      <c r="B296" s="1" t="s">
        <v>334</v>
      </c>
      <c r="C296" s="1" t="s">
        <v>344</v>
      </c>
      <c r="D296" s="19" t="s">
        <v>10702</v>
      </c>
      <c r="E296" s="15" t="str">
        <f>HYPERLINK("https://stat100.ameba.jp/tnk47/ratio20/illustrations/card/ill_76263_harointatsukuchinawa03.jpg?201910-3-RELEASE-dice-e-434", "■")</f>
        <v>■</v>
      </c>
      <c r="F296" s="1" t="s">
        <v>345</v>
      </c>
      <c r="G296" s="1">
        <v>96871</v>
      </c>
      <c r="H296" s="1">
        <v>104162</v>
      </c>
      <c r="I296" s="1">
        <v>25</v>
      </c>
      <c r="J296" s="1" t="s">
        <v>320</v>
      </c>
      <c r="K296" s="1" t="s">
        <v>346</v>
      </c>
      <c r="L296" s="1" t="s">
        <v>347</v>
      </c>
      <c r="M296" s="1" t="s">
        <v>342</v>
      </c>
      <c r="N296" s="1" t="s">
        <v>343</v>
      </c>
      <c r="O296" s="1" t="s">
        <v>9158</v>
      </c>
      <c r="P296" s="1" t="s">
        <v>9158</v>
      </c>
      <c r="Q296" s="1" t="s">
        <v>9158</v>
      </c>
      <c r="R296" s="1" t="s">
        <v>13120</v>
      </c>
    </row>
    <row r="297" spans="1:18">
      <c r="A297" s="1">
        <v>57903</v>
      </c>
      <c r="B297" s="1" t="s">
        <v>7456</v>
      </c>
      <c r="C297" s="1" t="s">
        <v>7470</v>
      </c>
      <c r="D297" s="19" t="s">
        <v>10703</v>
      </c>
      <c r="E297" s="15" t="str">
        <f>HYPERLINK("https://stat100.ameba.jp/tnk47/ratio20/illustrations/card/ill_57903_otokuchuruyukihyo03.jpg?201910-3-RELEASE-dice-e-434", "■")</f>
        <v>■</v>
      </c>
      <c r="F297" s="1" t="s">
        <v>7478</v>
      </c>
      <c r="G297" s="1">
        <v>89590</v>
      </c>
      <c r="H297" s="1">
        <v>96360</v>
      </c>
      <c r="I297" s="1">
        <v>25</v>
      </c>
      <c r="J297" s="1" t="s">
        <v>7477</v>
      </c>
      <c r="K297" s="1" t="s">
        <v>7476</v>
      </c>
      <c r="L297" s="1" t="s">
        <v>7475</v>
      </c>
      <c r="M297" s="1" t="s">
        <v>9158</v>
      </c>
      <c r="N297" s="1" t="s">
        <v>9158</v>
      </c>
      <c r="O297" s="1" t="s">
        <v>9158</v>
      </c>
      <c r="P297" s="1" t="s">
        <v>9158</v>
      </c>
      <c r="Q297" s="1" t="s">
        <v>9158</v>
      </c>
    </row>
    <row r="298" spans="1:18">
      <c r="A298" s="1">
        <v>53993</v>
      </c>
      <c r="B298" s="1" t="s">
        <v>7456</v>
      </c>
      <c r="C298" s="1" t="s">
        <v>7471</v>
      </c>
      <c r="D298" s="19" t="s">
        <v>10704</v>
      </c>
      <c r="E298" s="15" t="str">
        <f>HYPERLINK("https://stat100.ameba.jp/tnk47/ratio20/illustrations/card/ill_53993_seiryumeguriakashirejina03.jpg?201910-3-RELEASE-dice-e-434", "■")</f>
        <v>■</v>
      </c>
      <c r="F298" s="1" t="s">
        <v>7481</v>
      </c>
      <c r="G298" s="1">
        <v>96360</v>
      </c>
      <c r="H298" s="1">
        <v>89590</v>
      </c>
      <c r="I298" s="1">
        <v>25</v>
      </c>
      <c r="J298" s="1" t="s">
        <v>173</v>
      </c>
      <c r="K298" s="1" t="s">
        <v>7480</v>
      </c>
      <c r="L298" s="1" t="s">
        <v>7479</v>
      </c>
      <c r="M298" s="1" t="s">
        <v>9158</v>
      </c>
      <c r="N298" s="1" t="s">
        <v>9158</v>
      </c>
      <c r="O298" s="1" t="s">
        <v>9158</v>
      </c>
      <c r="P298" s="1" t="s">
        <v>9158</v>
      </c>
      <c r="Q298" s="1" t="s">
        <v>9158</v>
      </c>
    </row>
    <row r="299" spans="1:18">
      <c r="A299" s="1">
        <v>76283</v>
      </c>
      <c r="B299" s="1" t="s">
        <v>7457</v>
      </c>
      <c r="C299" s="1" t="s">
        <v>7472</v>
      </c>
      <c r="D299" s="19" t="s">
        <v>354</v>
      </c>
      <c r="E299" s="15" t="str">
        <f>HYPERLINK("https://stat100.ameba.jp/tnk47/ratio20/illustrations/card/ill_76283_haroimmatsuotaseko03.jpg?201910-3-RELEASE-dice-e-434", "■")</f>
        <v>■</v>
      </c>
      <c r="F299" s="1" t="s">
        <v>7485</v>
      </c>
      <c r="G299" s="1">
        <v>56316</v>
      </c>
      <c r="H299" s="1">
        <v>51078</v>
      </c>
      <c r="I299" s="1">
        <v>19</v>
      </c>
      <c r="J299" s="1" t="s">
        <v>7484</v>
      </c>
      <c r="K299" s="1" t="s">
        <v>7483</v>
      </c>
      <c r="L299" s="1" t="s">
        <v>7482</v>
      </c>
      <c r="M299" s="1" t="s">
        <v>9158</v>
      </c>
      <c r="N299" s="1" t="s">
        <v>9158</v>
      </c>
      <c r="O299" s="1" t="s">
        <v>9158</v>
      </c>
      <c r="P299" s="1" t="s">
        <v>9158</v>
      </c>
      <c r="Q299" s="1" t="s">
        <v>9158</v>
      </c>
    </row>
    <row r="300" spans="1:18">
      <c r="A300" s="1">
        <v>59193</v>
      </c>
      <c r="B300" s="1" t="s">
        <v>7457</v>
      </c>
      <c r="C300" s="1" t="s">
        <v>7473</v>
      </c>
      <c r="D300" s="19" t="s">
        <v>10705</v>
      </c>
      <c r="E300" s="15" t="str">
        <f>HYPERLINK("https://stat100.ameba.jp/tnk47/ratio20/illustrations/card/ill_59193_otonanoasobiokiku03.jpg?201910-3-RELEASE-dice-e-434", "■")</f>
        <v>■</v>
      </c>
      <c r="F300" s="1" t="s">
        <v>7489</v>
      </c>
      <c r="G300" s="1">
        <v>56316</v>
      </c>
      <c r="H300" s="1">
        <v>51078</v>
      </c>
      <c r="I300" s="1">
        <v>19</v>
      </c>
      <c r="J300" s="1" t="s">
        <v>7488</v>
      </c>
      <c r="K300" s="1" t="s">
        <v>7487</v>
      </c>
      <c r="L300" s="1" t="s">
        <v>7486</v>
      </c>
      <c r="M300" s="1" t="s">
        <v>9158</v>
      </c>
      <c r="N300" s="1" t="s">
        <v>9158</v>
      </c>
      <c r="O300" s="1" t="s">
        <v>9158</v>
      </c>
      <c r="P300" s="1" t="s">
        <v>9158</v>
      </c>
      <c r="Q300" s="1" t="s">
        <v>9158</v>
      </c>
    </row>
    <row r="301" spans="1:18">
      <c r="A301" s="1">
        <v>56383</v>
      </c>
      <c r="B301" s="1" t="s">
        <v>7457</v>
      </c>
      <c r="C301" s="1" t="s">
        <v>7474</v>
      </c>
      <c r="D301" s="19" t="s">
        <v>10706</v>
      </c>
      <c r="E301" s="15" t="str">
        <f>HYPERLINK("https://stat100.ameba.jp/tnk47/ratio20/illustrations/card/ill_56383_tomanenekirimaru03.jpg?201910-3-RELEASE-dice-e-434", "■")</f>
        <v>■</v>
      </c>
      <c r="F301" s="1" t="s">
        <v>7493</v>
      </c>
      <c r="G301" s="1">
        <v>56316</v>
      </c>
      <c r="H301" s="1">
        <v>51078</v>
      </c>
      <c r="I301" s="1">
        <v>19</v>
      </c>
      <c r="J301" s="1" t="s">
        <v>7492</v>
      </c>
      <c r="K301" s="1" t="s">
        <v>7491</v>
      </c>
      <c r="L301" s="1" t="s">
        <v>7490</v>
      </c>
      <c r="M301" s="1" t="s">
        <v>9158</v>
      </c>
      <c r="N301" s="1" t="s">
        <v>9158</v>
      </c>
      <c r="O301" s="1" t="s">
        <v>9158</v>
      </c>
      <c r="P301" s="1" t="s">
        <v>9158</v>
      </c>
      <c r="Q301" s="1" t="s">
        <v>9158</v>
      </c>
    </row>
    <row r="303" spans="1:18">
      <c r="A303" s="1" t="s">
        <v>7494</v>
      </c>
    </row>
    <row r="304" spans="1:18">
      <c r="A304" s="1" t="s">
        <v>7495</v>
      </c>
    </row>
    <row r="305" spans="1:17">
      <c r="A305" s="1" t="s">
        <v>5602</v>
      </c>
      <c r="B305" s="1" t="s">
        <v>52</v>
      </c>
      <c r="C305" s="1" t="s">
        <v>14</v>
      </c>
      <c r="D305" s="19" t="s">
        <v>813</v>
      </c>
      <c r="E305" s="15" t="str">
        <f>HYPERLINK("https://stat100.ameba.jp/tnk47/ratio20/illustrations/card/ill_55313_0_haroinononokomachi03.jpg?201910-3-RELEASE-dice-e-434", "■")</f>
        <v>■</v>
      </c>
      <c r="F305" s="1" t="s">
        <v>2094</v>
      </c>
      <c r="G305" s="1">
        <v>144494</v>
      </c>
      <c r="H305" s="1">
        <v>128358</v>
      </c>
      <c r="I305" s="1">
        <v>23</v>
      </c>
      <c r="J305" s="1" t="s">
        <v>10</v>
      </c>
      <c r="K305" s="1" t="s">
        <v>2095</v>
      </c>
      <c r="L305" s="1" t="s">
        <v>2096</v>
      </c>
      <c r="M305" s="1" t="s">
        <v>9158</v>
      </c>
      <c r="N305" s="1" t="s">
        <v>9158</v>
      </c>
      <c r="O305" s="19" t="s">
        <v>2733</v>
      </c>
      <c r="P305" s="1" t="s">
        <v>2734</v>
      </c>
      <c r="Q305" s="1">
        <v>1</v>
      </c>
    </row>
    <row r="306" spans="1:17">
      <c r="A306" s="1" t="s">
        <v>5725</v>
      </c>
      <c r="B306" s="1" t="s">
        <v>52</v>
      </c>
      <c r="C306" s="1" t="s">
        <v>107</v>
      </c>
      <c r="D306" s="19" t="s">
        <v>543</v>
      </c>
      <c r="E306" s="15" t="str">
        <f>HYPERLINK("https://stat100.ameba.jp/tnk47/ratio20/illustrations/card/ill_52693_0_sengokumibirakiyanagiharabyakuren03.jpg?201910-3-RELEASE-dice-e-434", "■")</f>
        <v>■</v>
      </c>
      <c r="F306" s="1" t="s">
        <v>1246</v>
      </c>
      <c r="G306" s="1">
        <v>128358</v>
      </c>
      <c r="H306" s="1">
        <v>144494</v>
      </c>
      <c r="I306" s="1">
        <v>23</v>
      </c>
      <c r="J306" s="1" t="s">
        <v>16</v>
      </c>
      <c r="K306" s="1" t="s">
        <v>1247</v>
      </c>
      <c r="L306" s="1" t="s">
        <v>1248</v>
      </c>
      <c r="M306" s="1" t="s">
        <v>9158</v>
      </c>
      <c r="N306" s="1" t="s">
        <v>9158</v>
      </c>
      <c r="O306" s="19" t="s">
        <v>2886</v>
      </c>
      <c r="P306" s="1" t="s">
        <v>3304</v>
      </c>
      <c r="Q306" s="1">
        <v>1</v>
      </c>
    </row>
    <row r="307" spans="1:17">
      <c r="A307" s="1" t="s">
        <v>5612</v>
      </c>
      <c r="B307" s="1" t="s">
        <v>52</v>
      </c>
      <c r="C307" s="1" t="s">
        <v>165</v>
      </c>
      <c r="D307" s="19" t="s">
        <v>789</v>
      </c>
      <c r="E307" s="15" t="str">
        <f>HYPERLINK("https://stat100.ameba.jp/tnk47/ratio20/illustrations/card/ill_49193_0_onmyoudouabenoseimei03.jpg?201910-3-RELEASE-dice-e-434", "■")</f>
        <v>■</v>
      </c>
      <c r="F307" s="1" t="s">
        <v>1896</v>
      </c>
      <c r="G307" s="1">
        <v>128358</v>
      </c>
      <c r="H307" s="1">
        <v>144494</v>
      </c>
      <c r="I307" s="1">
        <v>23</v>
      </c>
      <c r="J307" s="1" t="s">
        <v>10</v>
      </c>
      <c r="K307" s="1" t="s">
        <v>1897</v>
      </c>
      <c r="L307" s="1" t="s">
        <v>1898</v>
      </c>
      <c r="M307" s="1" t="s">
        <v>9158</v>
      </c>
      <c r="N307" s="1" t="s">
        <v>9158</v>
      </c>
      <c r="O307" s="1" t="s">
        <v>9158</v>
      </c>
      <c r="P307" s="1" t="s">
        <v>9158</v>
      </c>
      <c r="Q307" s="1" t="s">
        <v>9158</v>
      </c>
    </row>
    <row r="308" spans="1:17">
      <c r="A308" s="1">
        <v>84453</v>
      </c>
      <c r="B308" s="1" t="s">
        <v>0</v>
      </c>
      <c r="C308" s="1" t="s">
        <v>200</v>
      </c>
      <c r="D308" s="19" t="s">
        <v>10695</v>
      </c>
      <c r="E308" s="15" t="str">
        <f>HYPERLINK("https://stat100.ameba.jp/tnk47/ratio20/illustrations/card/ill_84453_joginguasakusanokaminarimon03.jpg?201910-3-RELEASE-dice-e-434", "■")</f>
        <v>■</v>
      </c>
      <c r="F308" s="1" t="s">
        <v>7429</v>
      </c>
      <c r="G308" s="1">
        <v>101656</v>
      </c>
      <c r="H308" s="1">
        <v>109334</v>
      </c>
      <c r="I308" s="1">
        <v>24</v>
      </c>
      <c r="J308" s="1" t="s">
        <v>229</v>
      </c>
      <c r="K308" s="1" t="s">
        <v>7428</v>
      </c>
      <c r="L308" s="1" t="s">
        <v>7427</v>
      </c>
      <c r="M308" s="1" t="s">
        <v>9158</v>
      </c>
      <c r="N308" s="1" t="s">
        <v>9158</v>
      </c>
      <c r="O308" s="1" t="s">
        <v>9158</v>
      </c>
      <c r="P308" s="1" t="s">
        <v>9158</v>
      </c>
      <c r="Q308" s="1" t="s">
        <v>9158</v>
      </c>
    </row>
    <row r="309" spans="1:17">
      <c r="A309" s="1">
        <v>84463</v>
      </c>
      <c r="B309" s="1" t="s">
        <v>15</v>
      </c>
      <c r="C309" s="1" t="s">
        <v>205</v>
      </c>
      <c r="D309" s="19" t="s">
        <v>10697</v>
      </c>
      <c r="E309" s="15" t="str">
        <f>HYPERLINK("https://stat100.ameba.jp/tnk47/ratio20/illustrations/card/ill_84463_jimumyokyu03.jpg?201910-3-RELEASE-dice-e-434", "■")</f>
        <v>■</v>
      </c>
      <c r="F309" s="1" t="s">
        <v>7435</v>
      </c>
      <c r="G309" s="1">
        <v>48390</v>
      </c>
      <c r="H309" s="1">
        <v>53352</v>
      </c>
      <c r="I309" s="1">
        <v>18</v>
      </c>
      <c r="J309" s="1" t="s">
        <v>187</v>
      </c>
      <c r="K309" s="1" t="s">
        <v>7434</v>
      </c>
      <c r="L309" s="1" t="s">
        <v>973</v>
      </c>
      <c r="M309" s="1" t="s">
        <v>9158</v>
      </c>
      <c r="N309" s="1" t="s">
        <v>9158</v>
      </c>
      <c r="O309" s="1" t="s">
        <v>9158</v>
      </c>
      <c r="P309" s="1" t="s">
        <v>9158</v>
      </c>
      <c r="Q309" s="1" t="s">
        <v>9158</v>
      </c>
    </row>
    <row r="310" spans="1:17">
      <c r="A310" s="1">
        <v>84473</v>
      </c>
      <c r="B310" s="1" t="s">
        <v>22</v>
      </c>
      <c r="C310" s="1" t="s">
        <v>206</v>
      </c>
      <c r="D310" s="19" t="s">
        <v>10698</v>
      </c>
      <c r="E310" s="15" t="str">
        <f>HYPERLINK("https://stat100.ameba.jp/tnk47/ratio20/illustrations/card/ill_84473_kintoreshiranui03.jpg?201910-3-RELEASE-dice-e-434", "■")</f>
        <v>■</v>
      </c>
      <c r="F310" s="1" t="s">
        <v>7439</v>
      </c>
      <c r="G310" s="1">
        <v>33266</v>
      </c>
      <c r="H310" s="1">
        <v>27660</v>
      </c>
      <c r="I310" s="1">
        <v>16</v>
      </c>
      <c r="J310" s="1" t="s">
        <v>73</v>
      </c>
      <c r="K310" s="1" t="s">
        <v>7437</v>
      </c>
      <c r="L310" s="1" t="s">
        <v>4556</v>
      </c>
      <c r="M310" s="1" t="s">
        <v>9158</v>
      </c>
      <c r="N310" s="1" t="s">
        <v>9158</v>
      </c>
      <c r="O310" s="1" t="s">
        <v>9158</v>
      </c>
      <c r="P310" s="1" t="s">
        <v>9158</v>
      </c>
      <c r="Q310" s="1" t="s">
        <v>9158</v>
      </c>
    </row>
    <row r="311" spans="1:17">
      <c r="A311" s="1">
        <v>84483</v>
      </c>
      <c r="B311" s="1" t="s">
        <v>30</v>
      </c>
      <c r="C311" s="1" t="s">
        <v>2611</v>
      </c>
      <c r="D311" s="19" t="s">
        <v>10699</v>
      </c>
      <c r="E311" s="15" t="str">
        <f>HYPERLINK("https://stat100.ameba.jp/tnk47/ratio20/illustrations/card/ill_84483_merosu03.jpg?201910-3-RELEASE-dice-e-434", "■")</f>
        <v>■</v>
      </c>
      <c r="F311" s="1" t="s">
        <v>7443</v>
      </c>
      <c r="G311" s="1">
        <v>16914</v>
      </c>
      <c r="H311" s="1">
        <v>20140</v>
      </c>
      <c r="I311" s="1">
        <v>16</v>
      </c>
      <c r="J311" s="1" t="s">
        <v>38</v>
      </c>
      <c r="K311" s="1" t="s">
        <v>7441</v>
      </c>
      <c r="L311" s="1" t="s">
        <v>1736</v>
      </c>
      <c r="M311" s="1" t="s">
        <v>9158</v>
      </c>
      <c r="N311" s="1" t="s">
        <v>9158</v>
      </c>
      <c r="O311" s="1" t="s">
        <v>9158</v>
      </c>
      <c r="P311" s="1" t="s">
        <v>9158</v>
      </c>
      <c r="Q311" s="1" t="s">
        <v>9158</v>
      </c>
    </row>
    <row r="313" spans="1:17">
      <c r="A313" s="1" t="s">
        <v>7496</v>
      </c>
    </row>
    <row r="314" spans="1:17">
      <c r="A314" s="1" t="s">
        <v>7497</v>
      </c>
    </row>
    <row r="315" spans="1:17">
      <c r="A315" s="1" t="s">
        <v>5605</v>
      </c>
      <c r="B315" s="1" t="s">
        <v>52</v>
      </c>
      <c r="C315" s="1" t="s">
        <v>202</v>
      </c>
      <c r="D315" s="19" t="s">
        <v>10332</v>
      </c>
      <c r="E315" s="15" t="str">
        <f>HYPERLINK("https://stat100.ameba.jp/tnk47/ratio20/illustrations/card/ill_79373_0_hommeichokotennyohime03.jpg?201910-3-RELEASE-dice-e-434", "■")</f>
        <v>■</v>
      </c>
      <c r="F315" s="1" t="s">
        <v>3495</v>
      </c>
      <c r="G315" s="1">
        <v>185478</v>
      </c>
      <c r="H315" s="1">
        <v>167643</v>
      </c>
      <c r="I315" s="1">
        <v>15</v>
      </c>
      <c r="J315" s="1" t="s">
        <v>104</v>
      </c>
      <c r="K315" s="1" t="s">
        <v>3496</v>
      </c>
      <c r="L315" s="1" t="s">
        <v>3497</v>
      </c>
      <c r="M315" s="1" t="s">
        <v>9158</v>
      </c>
      <c r="N315" s="1" t="s">
        <v>9158</v>
      </c>
      <c r="O315" s="19" t="s">
        <v>10072</v>
      </c>
      <c r="P315" s="1" t="s">
        <v>3498</v>
      </c>
      <c r="Q315" s="1">
        <v>1</v>
      </c>
    </row>
    <row r="316" spans="1:17">
      <c r="A316" s="1" t="s">
        <v>5734</v>
      </c>
      <c r="B316" s="1" t="s">
        <v>330</v>
      </c>
      <c r="C316" s="1" t="s">
        <v>202</v>
      </c>
      <c r="D316" s="19" t="s">
        <v>1497</v>
      </c>
      <c r="E316" s="15" t="str">
        <f>HYPERLINK("https://stat100.ameba.jp/tnk47/ratio20/illustrations/card/ill_74593_0_natsuyuenchikoshihikari03.jpg?201910-3-RELEASE-dice-e-434", "■")</f>
        <v>■</v>
      </c>
      <c r="F316" s="1" t="s">
        <v>1498</v>
      </c>
      <c r="G316" s="1">
        <v>162496</v>
      </c>
      <c r="H316" s="1">
        <v>151067</v>
      </c>
      <c r="I316" s="1">
        <v>15</v>
      </c>
      <c r="J316" s="1" t="s">
        <v>283</v>
      </c>
      <c r="K316" s="1" t="s">
        <v>1499</v>
      </c>
      <c r="L316" s="1" t="s">
        <v>1500</v>
      </c>
      <c r="M316" s="1" t="s">
        <v>9158</v>
      </c>
      <c r="N316" s="1" t="s">
        <v>9158</v>
      </c>
      <c r="O316" s="19" t="s">
        <v>2731</v>
      </c>
      <c r="P316" s="1" t="s">
        <v>2732</v>
      </c>
      <c r="Q316" s="1">
        <v>1</v>
      </c>
    </row>
    <row r="317" spans="1:17">
      <c r="A317" s="1" t="s">
        <v>6132</v>
      </c>
      <c r="B317" s="1" t="s">
        <v>52</v>
      </c>
      <c r="C317" s="1" t="s">
        <v>205</v>
      </c>
      <c r="D317" s="19" t="s">
        <v>702</v>
      </c>
      <c r="E317" s="15" t="str">
        <f>HYPERLINK("https://stat100.ameba.jp/tnk47/ratio20/illustrations/card/ill_50693_0_hanamizugimimuratsuru03.jpg?201910-3-RELEASE-dice-e-434", "■")</f>
        <v>■</v>
      </c>
      <c r="F317" s="1" t="s">
        <v>2282</v>
      </c>
      <c r="G317" s="1">
        <v>83712</v>
      </c>
      <c r="H317" s="1">
        <v>94236</v>
      </c>
      <c r="I317" s="1">
        <v>15</v>
      </c>
      <c r="J317" s="1" t="s">
        <v>143</v>
      </c>
      <c r="K317" s="1" t="s">
        <v>2283</v>
      </c>
      <c r="L317" s="1" t="s">
        <v>2284</v>
      </c>
      <c r="M317" s="1" t="s">
        <v>9158</v>
      </c>
      <c r="N317" s="1" t="s">
        <v>9158</v>
      </c>
      <c r="O317" s="1" t="s">
        <v>9158</v>
      </c>
      <c r="P317" s="1" t="s">
        <v>9158</v>
      </c>
      <c r="Q317" s="1" t="s">
        <v>9158</v>
      </c>
    </row>
    <row r="318" spans="1:17">
      <c r="A318" s="1">
        <v>75463</v>
      </c>
      <c r="B318" s="1" t="s">
        <v>334</v>
      </c>
      <c r="C318" s="1" t="s">
        <v>308</v>
      </c>
      <c r="D318" s="19" t="s">
        <v>10249</v>
      </c>
      <c r="E318" s="15" t="str">
        <f>HYPERLINK("https://stat100.ameba.jp/tnk47/ratio20/illustrations/card/ill_75463_kiiui03.jpg?201910-3-RELEASE-dice-e-434", "■")</f>
        <v>■</v>
      </c>
      <c r="F318" s="1" t="s">
        <v>4420</v>
      </c>
      <c r="G318" s="1">
        <v>109334</v>
      </c>
      <c r="H318" s="1">
        <v>101656</v>
      </c>
      <c r="I318" s="1">
        <v>24</v>
      </c>
      <c r="J318" s="1" t="s">
        <v>26</v>
      </c>
      <c r="K318" s="1" t="s">
        <v>4421</v>
      </c>
      <c r="L318" s="1" t="s">
        <v>1086</v>
      </c>
      <c r="M318" s="1" t="s">
        <v>9158</v>
      </c>
      <c r="N318" s="1" t="s">
        <v>9158</v>
      </c>
      <c r="O318" s="1" t="s">
        <v>9158</v>
      </c>
      <c r="P318" s="1" t="s">
        <v>9158</v>
      </c>
      <c r="Q318" s="1" t="s">
        <v>9158</v>
      </c>
    </row>
    <row r="319" spans="1:17">
      <c r="A319" s="1">
        <v>80943</v>
      </c>
      <c r="B319" s="1" t="s">
        <v>334</v>
      </c>
      <c r="C319" s="1" t="s">
        <v>107</v>
      </c>
      <c r="D319" s="19" t="s">
        <v>10707</v>
      </c>
      <c r="E319" s="15" t="str">
        <f>HYPERLINK("https://stat100.ameba.jp/tnk47/ratio20/illustrations/card/ill_80943_shinshakaijimburakkuparu03.jpg?201910-3-RELEASE-dice-e-434", "■")</f>
        <v>■</v>
      </c>
      <c r="F319" s="1" t="s">
        <v>4453</v>
      </c>
      <c r="G319" s="1">
        <v>93746</v>
      </c>
      <c r="H319" s="1">
        <v>87128</v>
      </c>
      <c r="I319" s="1">
        <v>24</v>
      </c>
      <c r="J319" s="1" t="s">
        <v>16</v>
      </c>
      <c r="K319" s="1" t="s">
        <v>4454</v>
      </c>
      <c r="L319" s="1" t="s">
        <v>4455</v>
      </c>
      <c r="M319" s="1" t="s">
        <v>9158</v>
      </c>
      <c r="N319" s="1" t="s">
        <v>9158</v>
      </c>
      <c r="O319" s="1" t="s">
        <v>9158</v>
      </c>
      <c r="P319" s="1" t="s">
        <v>9158</v>
      </c>
      <c r="Q319" s="1" t="s">
        <v>9158</v>
      </c>
    </row>
    <row r="320" spans="1:17">
      <c r="A320" s="1">
        <v>78633</v>
      </c>
      <c r="B320" s="1" t="s">
        <v>334</v>
      </c>
      <c r="C320" s="1" t="s">
        <v>200</v>
      </c>
      <c r="D320" s="19" t="s">
        <v>2749</v>
      </c>
      <c r="E320" s="15" t="str">
        <f>HYPERLINK("https://stat100.ameba.jp/tnk47/ratio20/illustrations/card/ill_78633_geishunyuramyoinni03.jpg?201910-3-RELEASE-dice-e-434", "■")</f>
        <v>■</v>
      </c>
      <c r="F320" s="1" t="s">
        <v>2750</v>
      </c>
      <c r="G320" s="1">
        <v>87128</v>
      </c>
      <c r="H320" s="1">
        <v>93746</v>
      </c>
      <c r="I320" s="1">
        <v>24</v>
      </c>
      <c r="J320" s="1" t="s">
        <v>315</v>
      </c>
      <c r="K320" s="1" t="s">
        <v>2751</v>
      </c>
      <c r="L320" s="1" t="s">
        <v>608</v>
      </c>
      <c r="M320" s="1" t="s">
        <v>9158</v>
      </c>
      <c r="N320" s="1" t="s">
        <v>9158</v>
      </c>
      <c r="O320" s="19" t="s">
        <v>2752</v>
      </c>
      <c r="P320" s="1" t="s">
        <v>13123</v>
      </c>
      <c r="Q320" s="1">
        <v>1</v>
      </c>
    </row>
    <row r="321" spans="1:17">
      <c r="A321" s="1">
        <v>60703</v>
      </c>
      <c r="B321" s="1" t="s">
        <v>348</v>
      </c>
      <c r="C321" s="1" t="s">
        <v>185</v>
      </c>
      <c r="D321" s="19" t="s">
        <v>3010</v>
      </c>
      <c r="E321" s="15" t="str">
        <f>HYPERLINK("https://stat100.ameba.jp/tnk47/ratio20/illustrations/card/ill_60703_isutabaniyamamurokieko03.jpg?201910-3-RELEASE-dice-e-434", "■")</f>
        <v>■</v>
      </c>
      <c r="F321" s="1" t="s">
        <v>3011</v>
      </c>
      <c r="G321" s="1">
        <v>53768</v>
      </c>
      <c r="H321" s="1">
        <v>59280</v>
      </c>
      <c r="I321" s="1">
        <v>20</v>
      </c>
      <c r="J321" s="1" t="s">
        <v>351</v>
      </c>
      <c r="K321" s="1" t="s">
        <v>3012</v>
      </c>
      <c r="L321" s="1" t="s">
        <v>3013</v>
      </c>
      <c r="M321" s="1" t="s">
        <v>9158</v>
      </c>
      <c r="N321" s="1" t="s">
        <v>9158</v>
      </c>
      <c r="O321" s="1" t="s">
        <v>9158</v>
      </c>
      <c r="P321" s="1" t="s">
        <v>9158</v>
      </c>
      <c r="Q321" s="1" t="s">
        <v>9158</v>
      </c>
    </row>
    <row r="322" spans="1:17">
      <c r="A322" s="1">
        <v>70973</v>
      </c>
      <c r="B322" s="1" t="s">
        <v>15</v>
      </c>
      <c r="C322" s="1" t="s">
        <v>191</v>
      </c>
      <c r="D322" s="19" t="s">
        <v>10528</v>
      </c>
      <c r="E322" s="15" t="str">
        <f>HYPERLINK("https://stat100.ameba.jp/tnk47/ratio20/illustrations/card/ill_70973_rozutei03.jpg?201910-3-RELEASE-dice-e-434", "■")</f>
        <v>■</v>
      </c>
      <c r="F322" s="1" t="s">
        <v>6451</v>
      </c>
      <c r="G322" s="1">
        <v>53768</v>
      </c>
      <c r="H322" s="1">
        <v>59280</v>
      </c>
      <c r="I322" s="1">
        <v>20</v>
      </c>
      <c r="J322" s="1" t="s">
        <v>216</v>
      </c>
      <c r="K322" s="1" t="s">
        <v>6450</v>
      </c>
      <c r="L322" s="1" t="s">
        <v>1757</v>
      </c>
      <c r="M322" s="1" t="s">
        <v>9158</v>
      </c>
      <c r="N322" s="1" t="s">
        <v>9158</v>
      </c>
      <c r="O322" s="1" t="s">
        <v>9158</v>
      </c>
      <c r="P322" s="1" t="s">
        <v>9158</v>
      </c>
      <c r="Q322" s="1" t="s">
        <v>9158</v>
      </c>
    </row>
    <row r="323" spans="1:17">
      <c r="A323" s="1">
        <v>68253</v>
      </c>
      <c r="B323" s="1" t="s">
        <v>15</v>
      </c>
      <c r="C323" s="1" t="s">
        <v>205</v>
      </c>
      <c r="D323" s="19" t="s">
        <v>10461</v>
      </c>
      <c r="E323" s="15" t="str">
        <f>HYPERLINK("https://stat100.ameba.jp/tnk47/ratio20/illustrations/card/ill_68253_yakeimimuratsuru03.jpg?201910-3-RELEASE-dice-e-434", "■")</f>
        <v>■</v>
      </c>
      <c r="F323" s="1" t="s">
        <v>4563</v>
      </c>
      <c r="G323" s="1">
        <v>59280</v>
      </c>
      <c r="H323" s="1">
        <v>53768</v>
      </c>
      <c r="I323" s="1">
        <v>20</v>
      </c>
      <c r="J323" s="1" t="s">
        <v>194</v>
      </c>
      <c r="K323" s="1" t="s">
        <v>6062</v>
      </c>
      <c r="L323" s="1" t="s">
        <v>13199</v>
      </c>
      <c r="M323" s="1" t="s">
        <v>9158</v>
      </c>
      <c r="N323" s="1" t="s">
        <v>9158</v>
      </c>
      <c r="O323" s="1" t="s">
        <v>9158</v>
      </c>
      <c r="P323" s="1" t="s">
        <v>9158</v>
      </c>
      <c r="Q323" s="1" t="s">
        <v>9158</v>
      </c>
    </row>
    <row r="325" spans="1:17">
      <c r="A325" s="1" t="s">
        <v>7498</v>
      </c>
    </row>
    <row r="326" spans="1:17">
      <c r="A326" s="1" t="s">
        <v>7499</v>
      </c>
    </row>
    <row r="327" spans="1:17">
      <c r="A327" s="1" t="s">
        <v>5623</v>
      </c>
      <c r="B327" s="1" t="s">
        <v>330</v>
      </c>
      <c r="C327" s="1" t="s">
        <v>165</v>
      </c>
      <c r="D327" s="19" t="s">
        <v>3146</v>
      </c>
      <c r="E327" s="15" t="str">
        <f>HYPERLINK("https://stat100.ameba.jp/tnk47/ratio20/illustrations/card/ill_65713_0_undokaionikirimaru03.jpg?201910-4-RELEASE-guildbattle-435", "■")</f>
        <v>■</v>
      </c>
      <c r="F327" s="1" t="s">
        <v>535</v>
      </c>
      <c r="G327" s="1">
        <v>181640</v>
      </c>
      <c r="H327" s="1">
        <v>168874</v>
      </c>
      <c r="I327" s="1">
        <v>24</v>
      </c>
      <c r="J327" s="1" t="s">
        <v>320</v>
      </c>
      <c r="K327" s="1" t="s">
        <v>3147</v>
      </c>
      <c r="L327" s="1" t="s">
        <v>3148</v>
      </c>
      <c r="M327" s="1" t="s">
        <v>9158</v>
      </c>
      <c r="N327" s="1" t="s">
        <v>9158</v>
      </c>
      <c r="O327" s="19" t="s">
        <v>2869</v>
      </c>
      <c r="P327" s="1" t="s">
        <v>2870</v>
      </c>
      <c r="Q327" s="1">
        <v>1</v>
      </c>
    </row>
    <row r="328" spans="1:17">
      <c r="A328" s="1" t="s">
        <v>5607</v>
      </c>
      <c r="B328" s="1" t="s">
        <v>330</v>
      </c>
      <c r="C328" s="1" t="s">
        <v>200</v>
      </c>
      <c r="D328" s="19" t="s">
        <v>421</v>
      </c>
      <c r="E328" s="15" t="str">
        <f>HYPERLINK("https://stat100.ameba.jp/tnk47/ratio20/illustrations/card/ill_58853_0_setsubumpanikkuhiratsukaraicho03.jpg?201910-4-RELEASE-guildbattle-435", "■")</f>
        <v>■</v>
      </c>
      <c r="F328" s="1" t="s">
        <v>1040</v>
      </c>
      <c r="G328" s="1">
        <v>150776</v>
      </c>
      <c r="H328" s="1">
        <v>133938</v>
      </c>
      <c r="I328" s="1">
        <v>24</v>
      </c>
      <c r="J328" s="1" t="s">
        <v>16</v>
      </c>
      <c r="K328" s="1" t="s">
        <v>1041</v>
      </c>
      <c r="L328" s="1" t="s">
        <v>1042</v>
      </c>
      <c r="M328" s="1" t="s">
        <v>9158</v>
      </c>
      <c r="N328" s="1" t="s">
        <v>9158</v>
      </c>
      <c r="O328" s="19" t="s">
        <v>10075</v>
      </c>
      <c r="P328" s="1" t="s">
        <v>2870</v>
      </c>
      <c r="Q328" s="1">
        <v>1</v>
      </c>
    </row>
    <row r="329" spans="1:17">
      <c r="A329" s="1">
        <v>85363</v>
      </c>
      <c r="B329" s="1" t="s">
        <v>7500</v>
      </c>
      <c r="C329" s="1" t="s">
        <v>7501</v>
      </c>
      <c r="D329" s="19" t="s">
        <v>10708</v>
      </c>
      <c r="E329" s="15" t="str">
        <f>HYPERLINK("https://stat100.ameba.jp/tnk47/ratio20/illustrations/card/ill_85363_sukarunetaisa03.jpg?201910-4-RELEASE-guildbattle-435", "■")</f>
        <v>■</v>
      </c>
      <c r="F329" s="1" t="s">
        <v>7506</v>
      </c>
      <c r="G329" s="1">
        <v>115656</v>
      </c>
      <c r="H329" s="1">
        <v>159674</v>
      </c>
      <c r="I329" s="1">
        <v>24</v>
      </c>
      <c r="J329" s="1" t="s">
        <v>7505</v>
      </c>
      <c r="K329" s="1" t="s">
        <v>7504</v>
      </c>
      <c r="L329" s="1" t="s">
        <v>7503</v>
      </c>
      <c r="M329" s="1" t="s">
        <v>9158</v>
      </c>
      <c r="N329" s="1" t="s">
        <v>9158</v>
      </c>
      <c r="O329" s="19" t="s">
        <v>10106</v>
      </c>
      <c r="P329" s="1" t="s">
        <v>7502</v>
      </c>
      <c r="Q329" s="1">
        <v>2</v>
      </c>
    </row>
    <row r="330" spans="1:17">
      <c r="A330" s="1">
        <v>76783</v>
      </c>
      <c r="B330" s="1" t="s">
        <v>334</v>
      </c>
      <c r="C330" s="1" t="s">
        <v>203</v>
      </c>
      <c r="D330" s="19" t="s">
        <v>10367</v>
      </c>
      <c r="E330" s="15" t="str">
        <f>HYPERLINK("https://stat100.ameba.jp/tnk47/ratio20/illustrations/card/ill_76783_monsutaakashirejina03.jpg?201910-4-RELEASE-guildbattle-435", "■")</f>
        <v>■</v>
      </c>
      <c r="F330" s="1" t="s">
        <v>1192</v>
      </c>
      <c r="G330" s="1">
        <v>72819</v>
      </c>
      <c r="H330" s="1">
        <v>100519</v>
      </c>
      <c r="I330" s="1">
        <v>23</v>
      </c>
      <c r="J330" s="1" t="s">
        <v>10</v>
      </c>
      <c r="K330" s="1" t="s">
        <v>1193</v>
      </c>
      <c r="L330" s="1" t="s">
        <v>1194</v>
      </c>
      <c r="M330" s="1" t="s">
        <v>9158</v>
      </c>
      <c r="N330" s="1" t="s">
        <v>9158</v>
      </c>
      <c r="O330" s="19" t="s">
        <v>2752</v>
      </c>
      <c r="P330" s="1" t="s">
        <v>13123</v>
      </c>
      <c r="Q330" s="1">
        <v>1</v>
      </c>
    </row>
    <row r="331" spans="1:17">
      <c r="A331" s="1">
        <v>73093</v>
      </c>
      <c r="B331" s="1" t="s">
        <v>334</v>
      </c>
      <c r="C331" s="1" t="s">
        <v>209</v>
      </c>
      <c r="D331" s="19" t="s">
        <v>433</v>
      </c>
      <c r="E331" s="15" t="str">
        <f>HYPERLINK("https://stat100.ameba.jp/tnk47/ratio20/illustrations/card/ill_73093_aisukurinchan03.jpg?201910-4-RELEASE-guildbattle-435", "■")</f>
        <v>■</v>
      </c>
      <c r="F331" s="1" t="s">
        <v>1027</v>
      </c>
      <c r="G331" s="1">
        <v>153022</v>
      </c>
      <c r="H331" s="1">
        <v>110837</v>
      </c>
      <c r="I331" s="1">
        <v>23</v>
      </c>
      <c r="J331" s="1" t="s">
        <v>104</v>
      </c>
      <c r="K331" s="1" t="s">
        <v>1028</v>
      </c>
      <c r="L331" s="1" t="s">
        <v>1029</v>
      </c>
      <c r="M331" s="1" t="s">
        <v>9158</v>
      </c>
      <c r="N331" s="1" t="s">
        <v>9158</v>
      </c>
      <c r="O331" s="19" t="s">
        <v>2741</v>
      </c>
      <c r="P331" s="1" t="s">
        <v>2742</v>
      </c>
      <c r="Q331" s="1">
        <v>1</v>
      </c>
    </row>
    <row r="332" spans="1:17">
      <c r="A332" s="1">
        <v>64023</v>
      </c>
      <c r="B332" s="1" t="s">
        <v>334</v>
      </c>
      <c r="C332" s="1" t="s">
        <v>154</v>
      </c>
      <c r="D332" s="19" t="s">
        <v>10255</v>
      </c>
      <c r="E332" s="15" t="str">
        <f>HYPERLINK("https://stat100.ameba.jp/tnk47/ratio20/illustrations/card/ill_64023_mojabune03.jpg?201910-4-RELEASE-guildbattle-435", "■")</f>
        <v>■</v>
      </c>
      <c r="F332" s="1" t="s">
        <v>1785</v>
      </c>
      <c r="G332" s="1">
        <v>77700</v>
      </c>
      <c r="H332" s="1">
        <v>107251</v>
      </c>
      <c r="I332" s="1">
        <v>23</v>
      </c>
      <c r="J332" s="1" t="s">
        <v>73</v>
      </c>
      <c r="K332" s="1" t="s">
        <v>1786</v>
      </c>
      <c r="L332" s="1" t="s">
        <v>1787</v>
      </c>
      <c r="M332" s="1" t="s">
        <v>9158</v>
      </c>
      <c r="N332" s="1" t="s">
        <v>9158</v>
      </c>
      <c r="O332" s="1" t="s">
        <v>9158</v>
      </c>
      <c r="P332" s="1" t="s">
        <v>9158</v>
      </c>
      <c r="Q332" s="1" t="s">
        <v>9158</v>
      </c>
    </row>
    <row r="333" spans="1:17">
      <c r="A333" s="1">
        <v>67963</v>
      </c>
      <c r="B333" s="1" t="s">
        <v>334</v>
      </c>
      <c r="C333" s="1" t="s">
        <v>203</v>
      </c>
      <c r="D333" s="19" t="s">
        <v>10307</v>
      </c>
      <c r="E333" s="15" t="str">
        <f>HYPERLINK("https://stat100.ameba.jp/tnk47/ratio20/illustrations/card/ill_67963_kinokuniyabunzaemon03.jpg?201910-4-RELEASE-guildbattle-435", "■")</f>
        <v>■</v>
      </c>
      <c r="F333" s="1" t="s">
        <v>825</v>
      </c>
      <c r="G333" s="1">
        <v>104385</v>
      </c>
      <c r="H333" s="1">
        <v>75627</v>
      </c>
      <c r="I333" s="1">
        <v>23</v>
      </c>
      <c r="J333" s="1" t="s">
        <v>414</v>
      </c>
      <c r="K333" s="1" t="s">
        <v>826</v>
      </c>
      <c r="L333" s="1" t="s">
        <v>827</v>
      </c>
      <c r="M333" s="1" t="s">
        <v>9158</v>
      </c>
      <c r="N333" s="1" t="s">
        <v>9158</v>
      </c>
      <c r="O333" s="1" t="s">
        <v>9158</v>
      </c>
      <c r="P333" s="1" t="s">
        <v>9158</v>
      </c>
      <c r="Q333" s="1" t="s">
        <v>9158</v>
      </c>
    </row>
    <row r="334" spans="1:17">
      <c r="A334" s="1">
        <v>64883</v>
      </c>
      <c r="B334" s="1" t="s">
        <v>0</v>
      </c>
      <c r="C334" s="1" t="s">
        <v>47</v>
      </c>
      <c r="D334" s="19" t="s">
        <v>10272</v>
      </c>
      <c r="E334" s="15" t="str">
        <f>HYPERLINK("https://stat100.ameba.jp/tnk47/ratio20/illustrations/card/ill_64883_kasane03.jpg?201910-4-RELEASE-guildbattle-435", "■")</f>
        <v>■</v>
      </c>
      <c r="F334" s="1" t="s">
        <v>126</v>
      </c>
      <c r="G334" s="1">
        <v>85010</v>
      </c>
      <c r="H334" s="1">
        <v>117374</v>
      </c>
      <c r="I334" s="1">
        <v>23</v>
      </c>
      <c r="J334" s="1" t="s">
        <v>38</v>
      </c>
      <c r="K334" s="1" t="s">
        <v>127</v>
      </c>
      <c r="L334" s="1" t="s">
        <v>128</v>
      </c>
      <c r="M334" s="1" t="s">
        <v>9158</v>
      </c>
      <c r="N334" s="1" t="s">
        <v>9158</v>
      </c>
      <c r="O334" s="1" t="s">
        <v>9158</v>
      </c>
      <c r="P334" s="1" t="s">
        <v>9158</v>
      </c>
      <c r="Q334" s="1" t="s">
        <v>9158</v>
      </c>
    </row>
    <row r="336" spans="1:17">
      <c r="A336" s="1" t="s">
        <v>7507</v>
      </c>
    </row>
    <row r="337" spans="1:17">
      <c r="A337" s="1" t="s">
        <v>7508</v>
      </c>
    </row>
    <row r="338" spans="1:17">
      <c r="A338" s="1" t="s">
        <v>5642</v>
      </c>
      <c r="B338" s="1" t="s">
        <v>330</v>
      </c>
      <c r="C338" s="1" t="s">
        <v>185</v>
      </c>
      <c r="D338" s="19" t="s">
        <v>3086</v>
      </c>
      <c r="E338" s="15" t="str">
        <f>HYPERLINK("https://stat100.ameba.jp/tnk47/ratio20/illustrations/card/ill_69593_0_setsubunyukionna03.jpg?201910-4-RELEASE-guildbattle-435", "■")</f>
        <v>■</v>
      </c>
      <c r="F338" s="1" t="s">
        <v>3087</v>
      </c>
      <c r="G338" s="1">
        <v>107146</v>
      </c>
      <c r="H338" s="1">
        <v>115249</v>
      </c>
      <c r="I338" s="1">
        <v>15</v>
      </c>
      <c r="J338" s="1" t="s">
        <v>320</v>
      </c>
      <c r="K338" s="1" t="s">
        <v>3088</v>
      </c>
      <c r="L338" s="1" t="s">
        <v>3089</v>
      </c>
      <c r="M338" s="1" t="s">
        <v>9158</v>
      </c>
      <c r="N338" s="1" t="s">
        <v>9158</v>
      </c>
      <c r="O338" s="19" t="s">
        <v>3090</v>
      </c>
      <c r="P338" s="1" t="s">
        <v>3091</v>
      </c>
      <c r="Q338" s="1">
        <v>2</v>
      </c>
    </row>
    <row r="339" spans="1:17">
      <c r="A339" s="1" t="s">
        <v>5901</v>
      </c>
      <c r="B339" s="1" t="s">
        <v>52</v>
      </c>
      <c r="C339" s="1" t="s">
        <v>101</v>
      </c>
      <c r="D339" s="19" t="s">
        <v>1426</v>
      </c>
      <c r="E339" s="15" t="str">
        <f>HYPERLINK("https://stat100.ameba.jp/tnk47/ratio20/illustrations/card/ill_64953_0_yukatatokugawayoshinobu03.jpg?201910-4-RELEASE-guildbattle-435", "■")</f>
        <v>■</v>
      </c>
      <c r="F339" s="1" t="s">
        <v>2090</v>
      </c>
      <c r="G339" s="1">
        <v>93450</v>
      </c>
      <c r="H339" s="1">
        <v>100502</v>
      </c>
      <c r="I339" s="1">
        <v>15</v>
      </c>
      <c r="J339" s="1" t="s">
        <v>10</v>
      </c>
      <c r="K339" s="1" t="s">
        <v>2091</v>
      </c>
      <c r="L339" s="1" t="s">
        <v>2092</v>
      </c>
      <c r="M339" s="1" t="s">
        <v>9158</v>
      </c>
      <c r="N339" s="1" t="s">
        <v>9158</v>
      </c>
      <c r="O339" s="19" t="s">
        <v>2889</v>
      </c>
      <c r="P339" s="1" t="s">
        <v>2890</v>
      </c>
      <c r="Q339" s="1">
        <v>1</v>
      </c>
    </row>
    <row r="340" spans="1:17">
      <c r="A340" s="1" t="s">
        <v>5612</v>
      </c>
      <c r="B340" s="1" t="s">
        <v>52</v>
      </c>
      <c r="C340" s="1" t="s">
        <v>165</v>
      </c>
      <c r="D340" s="19" t="s">
        <v>789</v>
      </c>
      <c r="E340" s="15" t="str">
        <f>HYPERLINK("https://stat100.ameba.jp/tnk47/ratio20/illustrations/card/ill_49193_0_onmyoudouabenoseimei03.jpg?201910-4-RELEASE-guildbattle-435", "■")</f>
        <v>■</v>
      </c>
      <c r="F340" s="1" t="s">
        <v>1896</v>
      </c>
      <c r="G340" s="1">
        <v>83712</v>
      </c>
      <c r="H340" s="1">
        <v>94236</v>
      </c>
      <c r="I340" s="1">
        <v>15</v>
      </c>
      <c r="J340" s="1" t="s">
        <v>10</v>
      </c>
      <c r="K340" s="1" t="s">
        <v>1897</v>
      </c>
      <c r="L340" s="1" t="s">
        <v>1898</v>
      </c>
      <c r="M340" s="1" t="s">
        <v>9158</v>
      </c>
      <c r="N340" s="1" t="s">
        <v>9158</v>
      </c>
      <c r="O340" s="1" t="s">
        <v>9158</v>
      </c>
      <c r="P340" s="1" t="s">
        <v>9158</v>
      </c>
      <c r="Q340" s="1" t="s">
        <v>9158</v>
      </c>
    </row>
    <row r="341" spans="1:17">
      <c r="A341" s="1">
        <v>81553</v>
      </c>
      <c r="B341" s="1" t="s">
        <v>0</v>
      </c>
      <c r="C341" s="1" t="s">
        <v>191</v>
      </c>
      <c r="D341" s="19" t="s">
        <v>10709</v>
      </c>
      <c r="E341" s="15" t="str">
        <f>HYPERLINK("https://stat100.ameba.jp/tnk47/ratio20/illustrations/card/ill_81553_kyamerajoshijukeini03.jpg?201910-4-RELEASE-guildbattle-435", "■")</f>
        <v>■</v>
      </c>
      <c r="F341" s="1" t="s">
        <v>7511</v>
      </c>
      <c r="G341" s="1">
        <v>65128</v>
      </c>
      <c r="H341" s="1">
        <v>115746</v>
      </c>
      <c r="I341" s="1">
        <v>24</v>
      </c>
      <c r="J341" s="1" t="s">
        <v>414</v>
      </c>
      <c r="K341" s="1" t="s">
        <v>7510</v>
      </c>
      <c r="L341" s="1" t="s">
        <v>7509</v>
      </c>
      <c r="M341" s="1" t="s">
        <v>9158</v>
      </c>
      <c r="N341" s="1" t="s">
        <v>9158</v>
      </c>
      <c r="O341" s="1" t="s">
        <v>9158</v>
      </c>
      <c r="P341" s="1" t="s">
        <v>9158</v>
      </c>
      <c r="Q341" s="1" t="s">
        <v>9158</v>
      </c>
    </row>
    <row r="342" spans="1:17">
      <c r="A342" s="1">
        <v>79773</v>
      </c>
      <c r="B342" s="1" t="s">
        <v>0</v>
      </c>
      <c r="C342" s="1" t="s">
        <v>206</v>
      </c>
      <c r="D342" s="19" t="s">
        <v>10244</v>
      </c>
      <c r="E342" s="15" t="str">
        <f>HYPERLINK("https://stat100.ameba.jp/tnk47/ratio20/illustrations/card/ill_79773_entakunokishimyorinni03.jpg?201910-4-RELEASE-guildbattle-435", "■")</f>
        <v>■</v>
      </c>
      <c r="F342" s="1" t="s">
        <v>7513</v>
      </c>
      <c r="G342" s="1">
        <v>99132</v>
      </c>
      <c r="H342" s="1">
        <v>176200</v>
      </c>
      <c r="I342" s="1">
        <v>24</v>
      </c>
      <c r="J342" s="1" t="s">
        <v>7505</v>
      </c>
      <c r="K342" s="1" t="s">
        <v>7512</v>
      </c>
      <c r="L342" s="1" t="s">
        <v>7503</v>
      </c>
      <c r="M342" s="1" t="s">
        <v>9158</v>
      </c>
      <c r="N342" s="1" t="s">
        <v>9158</v>
      </c>
      <c r="O342" s="1" t="s">
        <v>9158</v>
      </c>
      <c r="P342" s="1" t="s">
        <v>9158</v>
      </c>
      <c r="Q342" s="1" t="s">
        <v>9158</v>
      </c>
    </row>
    <row r="343" spans="1:17">
      <c r="A343" s="1">
        <v>81373</v>
      </c>
      <c r="B343" s="1" t="s">
        <v>0</v>
      </c>
      <c r="C343" s="1" t="s">
        <v>165</v>
      </c>
      <c r="D343" s="19" t="s">
        <v>10710</v>
      </c>
      <c r="E343" s="15" t="str">
        <f>HYPERLINK("https://stat100.ameba.jp/tnk47/ratio20/illustrations/card/ill_81373_hakatadontakuhayamisosei03.jpg?201910-4-RELEASE-guildbattle-435", "■")</f>
        <v>■</v>
      </c>
      <c r="F343" s="1" t="s">
        <v>7517</v>
      </c>
      <c r="G343" s="1">
        <v>87128</v>
      </c>
      <c r="H343" s="1">
        <v>93746</v>
      </c>
      <c r="I343" s="1">
        <v>24</v>
      </c>
      <c r="J343" s="1" t="s">
        <v>7516</v>
      </c>
      <c r="K343" s="1" t="s">
        <v>7515</v>
      </c>
      <c r="L343" s="1" t="s">
        <v>7514</v>
      </c>
      <c r="M343" s="1" t="s">
        <v>9158</v>
      </c>
      <c r="N343" s="1" t="s">
        <v>9158</v>
      </c>
      <c r="O343" s="1" t="s">
        <v>9158</v>
      </c>
      <c r="P343" s="1" t="s">
        <v>9158</v>
      </c>
      <c r="Q343" s="1" t="s">
        <v>9158</v>
      </c>
    </row>
    <row r="344" spans="1:17">
      <c r="A344" s="1">
        <v>66653</v>
      </c>
      <c r="B344" s="1" t="s">
        <v>15</v>
      </c>
      <c r="C344" s="1" t="s">
        <v>205</v>
      </c>
      <c r="D344" s="19" t="s">
        <v>2901</v>
      </c>
      <c r="E344" s="15" t="str">
        <f>HYPERLINK("https://stat100.ameba.jp/tnk47/ratio20/illustrations/card/ill_66653_oryoriehimenomikoto03.jpg?201910-4-RELEASE-guildbattle-435", "■")</f>
        <v>■</v>
      </c>
      <c r="F344" s="1" t="s">
        <v>7271</v>
      </c>
      <c r="G344" s="1">
        <v>53768</v>
      </c>
      <c r="H344" s="1">
        <v>59280</v>
      </c>
      <c r="I344" s="1">
        <v>20</v>
      </c>
      <c r="J344" s="1" t="s">
        <v>44</v>
      </c>
      <c r="K344" s="1" t="s">
        <v>7270</v>
      </c>
      <c r="L344" s="1" t="s">
        <v>3319</v>
      </c>
      <c r="M344" s="1" t="s">
        <v>9158</v>
      </c>
      <c r="N344" s="1" t="s">
        <v>9158</v>
      </c>
      <c r="O344" s="1" t="s">
        <v>9158</v>
      </c>
      <c r="P344" s="1" t="s">
        <v>9158</v>
      </c>
      <c r="Q344" s="1" t="s">
        <v>9158</v>
      </c>
    </row>
    <row r="345" spans="1:17">
      <c r="A345" s="1">
        <v>73343</v>
      </c>
      <c r="B345" s="1" t="s">
        <v>15</v>
      </c>
      <c r="C345" s="1" t="s">
        <v>23</v>
      </c>
      <c r="D345" s="19" t="s">
        <v>10675</v>
      </c>
      <c r="E345" s="15" t="str">
        <f>HYPERLINK("https://stat100.ameba.jp/tnk47/ratio20/illustrations/card/ill_73343_takenokozokuchan03.jpg?201910-4-RELEASE-guildbattle-435", "■")</f>
        <v>■</v>
      </c>
      <c r="F345" s="1" t="s">
        <v>4566</v>
      </c>
      <c r="G345" s="1">
        <v>53768</v>
      </c>
      <c r="H345" s="1">
        <v>59280</v>
      </c>
      <c r="I345" s="1">
        <v>20</v>
      </c>
      <c r="J345" s="1" t="s">
        <v>26</v>
      </c>
      <c r="K345" s="1" t="s">
        <v>4567</v>
      </c>
      <c r="L345" s="1" t="s">
        <v>977</v>
      </c>
      <c r="M345" s="1" t="s">
        <v>9158</v>
      </c>
      <c r="N345" s="1" t="s">
        <v>9158</v>
      </c>
      <c r="O345" s="1" t="s">
        <v>9158</v>
      </c>
      <c r="P345" s="1" t="s">
        <v>9158</v>
      </c>
      <c r="Q345" s="1" t="s">
        <v>9158</v>
      </c>
    </row>
    <row r="346" spans="1:17">
      <c r="A346" s="1">
        <v>59883</v>
      </c>
      <c r="B346" s="1" t="s">
        <v>15</v>
      </c>
      <c r="C346" s="1" t="s">
        <v>107</v>
      </c>
      <c r="D346" s="19" t="s">
        <v>10676</v>
      </c>
      <c r="E346" s="15" t="str">
        <f>HYPERLINK("https://stat100.ameba.jp/tnk47/ratio20/illustrations/card/ill_59883_yoseienshininden03.jpg?201910-4-RELEASE-guildbattle-435", "■")</f>
        <v>■</v>
      </c>
      <c r="F346" s="1" t="s">
        <v>4433</v>
      </c>
      <c r="G346" s="1">
        <v>53768</v>
      </c>
      <c r="H346" s="1">
        <v>59280</v>
      </c>
      <c r="I346" s="1">
        <v>20</v>
      </c>
      <c r="J346" s="1" t="s">
        <v>187</v>
      </c>
      <c r="K346" s="1" t="s">
        <v>4434</v>
      </c>
      <c r="L346" s="1" t="s">
        <v>973</v>
      </c>
      <c r="M346" s="1" t="s">
        <v>9158</v>
      </c>
      <c r="N346" s="1" t="s">
        <v>9158</v>
      </c>
      <c r="O346" s="1" t="s">
        <v>9158</v>
      </c>
      <c r="P346" s="1" t="s">
        <v>9158</v>
      </c>
      <c r="Q346" s="1" t="s">
        <v>9158</v>
      </c>
    </row>
    <row r="348" spans="1:17">
      <c r="A348" s="1" t="s">
        <v>7520</v>
      </c>
    </row>
    <row r="349" spans="1:17">
      <c r="A349" s="1" t="s">
        <v>7521</v>
      </c>
    </row>
    <row r="350" spans="1:17">
      <c r="A350" s="1" t="s">
        <v>5891</v>
      </c>
      <c r="B350" s="1" t="s">
        <v>330</v>
      </c>
      <c r="C350" s="1" t="s">
        <v>202</v>
      </c>
      <c r="D350" s="19" t="s">
        <v>1371</v>
      </c>
      <c r="E350" s="15" t="str">
        <f>HYPERLINK("https://stat100.ameba.jp/tnk47/ratio20/illustrations/card/ill_77173_0_yukemuritomoegozen03.jpg?201910-4-RELEASE-guildbattle-435", "■")</f>
        <v>■</v>
      </c>
      <c r="F350" s="1" t="s">
        <v>1372</v>
      </c>
      <c r="G350" s="1">
        <v>240586</v>
      </c>
      <c r="H350" s="1">
        <v>266192</v>
      </c>
      <c r="I350" s="1">
        <v>24</v>
      </c>
      <c r="J350" s="1" t="s">
        <v>310</v>
      </c>
      <c r="K350" s="1" t="s">
        <v>1373</v>
      </c>
      <c r="L350" s="1" t="s">
        <v>1374</v>
      </c>
      <c r="M350" s="1" t="s">
        <v>9158</v>
      </c>
      <c r="N350" s="1" t="s">
        <v>9158</v>
      </c>
      <c r="O350" s="19" t="s">
        <v>4067</v>
      </c>
      <c r="P350" s="1" t="s">
        <v>3879</v>
      </c>
      <c r="Q350" s="1">
        <v>2</v>
      </c>
    </row>
    <row r="351" spans="1:17">
      <c r="A351" s="1">
        <v>78143</v>
      </c>
      <c r="B351" s="1" t="s">
        <v>334</v>
      </c>
      <c r="C351" s="1" t="s">
        <v>203</v>
      </c>
      <c r="D351" s="19" t="s">
        <v>10285</v>
      </c>
      <c r="E351" s="15" t="str">
        <f>HYPERLINK("https://stat100.ameba.jp/tnk47/ratio20/illustrations/card/ill_78143_kanibarukuin03.jpg?201910-4-RELEASE-guildbattle-435", "■")</f>
        <v>■</v>
      </c>
      <c r="F351" s="1" t="s">
        <v>2687</v>
      </c>
      <c r="G351" s="1">
        <v>88624</v>
      </c>
      <c r="H351" s="1">
        <v>122366</v>
      </c>
      <c r="I351" s="1">
        <v>24</v>
      </c>
      <c r="J351" s="1" t="s">
        <v>26</v>
      </c>
      <c r="K351" s="1" t="s">
        <v>2688</v>
      </c>
      <c r="L351" s="1" t="s">
        <v>2137</v>
      </c>
      <c r="M351" s="1" t="s">
        <v>9158</v>
      </c>
      <c r="N351" s="1" t="s">
        <v>9158</v>
      </c>
      <c r="O351" s="19" t="s">
        <v>10103</v>
      </c>
      <c r="P351" s="1" t="s">
        <v>3897</v>
      </c>
      <c r="Q351" s="1">
        <v>1</v>
      </c>
    </row>
    <row r="352" spans="1:17">
      <c r="A352" s="1">
        <v>76793</v>
      </c>
      <c r="B352" s="1" t="s">
        <v>334</v>
      </c>
      <c r="C352" s="1" t="s">
        <v>268</v>
      </c>
      <c r="D352" s="19" t="s">
        <v>425</v>
      </c>
      <c r="E352" s="15" t="str">
        <f>HYPERLINK("https://stat100.ameba.jp/tnk47/ratio20/illustrations/card/ill_76793_monsutatamatebako03.jpg?201910-4-RELEASE-guildbattle-435", "■")</f>
        <v>■</v>
      </c>
      <c r="F352" s="1" t="s">
        <v>426</v>
      </c>
      <c r="G352" s="1">
        <v>108924</v>
      </c>
      <c r="H352" s="1">
        <v>78916</v>
      </c>
      <c r="I352" s="1">
        <v>24</v>
      </c>
      <c r="J352" s="1" t="s">
        <v>274</v>
      </c>
      <c r="K352" s="1" t="s">
        <v>427</v>
      </c>
      <c r="L352" s="1" t="s">
        <v>428</v>
      </c>
      <c r="M352" s="1" t="s">
        <v>9158</v>
      </c>
      <c r="N352" s="1" t="s">
        <v>9158</v>
      </c>
      <c r="O352" s="19" t="s">
        <v>3037</v>
      </c>
      <c r="P352" s="1" t="s">
        <v>13128</v>
      </c>
      <c r="Q352" s="1">
        <v>1</v>
      </c>
    </row>
    <row r="353" spans="1:17">
      <c r="A353" s="1">
        <v>67103</v>
      </c>
      <c r="B353" s="1" t="s">
        <v>334</v>
      </c>
      <c r="C353" s="1" t="s">
        <v>154</v>
      </c>
      <c r="D353" s="19" t="s">
        <v>10253</v>
      </c>
      <c r="E353" s="15" t="str">
        <f>HYPERLINK("https://stat100.ameba.jp/tnk47/ratio20/illustrations/card/ill_67103_ankonabe03.jpg?201910-4-RELEASE-guildbattle-435", "■")</f>
        <v>■</v>
      </c>
      <c r="F353" s="1" t="s">
        <v>1283</v>
      </c>
      <c r="G353" s="1">
        <v>91876</v>
      </c>
      <c r="H353" s="1">
        <v>126858</v>
      </c>
      <c r="I353" s="1">
        <v>24</v>
      </c>
      <c r="J353" s="1" t="s">
        <v>216</v>
      </c>
      <c r="K353" s="1" t="s">
        <v>1284</v>
      </c>
      <c r="L353" s="1" t="s">
        <v>13153</v>
      </c>
      <c r="M353" s="1" t="s">
        <v>9158</v>
      </c>
      <c r="N353" s="1" t="s">
        <v>9158</v>
      </c>
      <c r="O353" s="19" t="s">
        <v>4074</v>
      </c>
      <c r="P353" s="1" t="s">
        <v>3462</v>
      </c>
      <c r="Q353" s="1">
        <v>1</v>
      </c>
    </row>
    <row r="355" spans="1:17">
      <c r="A355" s="1" t="s">
        <v>7518</v>
      </c>
    </row>
    <row r="356" spans="1:17">
      <c r="A356" s="1" t="s">
        <v>7519</v>
      </c>
    </row>
    <row r="357" spans="1:17">
      <c r="A357" s="1" t="s">
        <v>5618</v>
      </c>
      <c r="B357" s="1" t="s">
        <v>330</v>
      </c>
      <c r="C357" s="1" t="s">
        <v>200</v>
      </c>
      <c r="D357" s="19" t="s">
        <v>665</v>
      </c>
      <c r="E357" s="15" t="str">
        <f>HYPERLINK("https://stat100.ameba.jp/tnk47/ratio20/illustrations/card/ill_63173_0_minazukikonakaiteruko03.jpg?201910-4-RELEASE-guildbattle-435", "■")</f>
        <v>■</v>
      </c>
      <c r="F357" s="1" t="s">
        <v>666</v>
      </c>
      <c r="G357" s="1">
        <v>190952</v>
      </c>
      <c r="H357" s="1">
        <v>205358</v>
      </c>
      <c r="I357" s="1">
        <v>22</v>
      </c>
      <c r="J357" s="1" t="s">
        <v>310</v>
      </c>
      <c r="K357" s="1" t="s">
        <v>667</v>
      </c>
      <c r="L357" s="1" t="s">
        <v>668</v>
      </c>
      <c r="M357" s="1" t="s">
        <v>9158</v>
      </c>
      <c r="N357" s="1" t="s">
        <v>9158</v>
      </c>
      <c r="O357" s="19" t="s">
        <v>10079</v>
      </c>
      <c r="P357" s="1" t="s">
        <v>3329</v>
      </c>
      <c r="Q357" s="1">
        <v>1</v>
      </c>
    </row>
    <row r="358" spans="1:17">
      <c r="A358" s="1">
        <v>74553</v>
      </c>
      <c r="B358" s="1" t="s">
        <v>0</v>
      </c>
      <c r="C358" s="1" t="s">
        <v>107</v>
      </c>
      <c r="D358" s="19" t="s">
        <v>10389</v>
      </c>
      <c r="E358" s="15" t="str">
        <f>HYPERLINK("https://stat100.ameba.jp/tnk47/ratio20/illustrations/card/ill_74553_natsuyuenchikusumotoine03.jpg?201910-4-RELEASE-guildbattle-435", "■")</f>
        <v>■</v>
      </c>
      <c r="F358" s="1" t="s">
        <v>4109</v>
      </c>
      <c r="G358" s="1">
        <v>97318</v>
      </c>
      <c r="H358" s="1">
        <v>90522</v>
      </c>
      <c r="I358" s="1">
        <v>24</v>
      </c>
      <c r="J358" s="1" t="s">
        <v>16</v>
      </c>
      <c r="K358" s="1" t="s">
        <v>4110</v>
      </c>
      <c r="L358" s="1" t="s">
        <v>1149</v>
      </c>
      <c r="M358" s="1" t="s">
        <v>9158</v>
      </c>
      <c r="N358" s="1" t="s">
        <v>9158</v>
      </c>
      <c r="O358" s="19" t="s">
        <v>10090</v>
      </c>
      <c r="P358" s="1" t="s">
        <v>3460</v>
      </c>
      <c r="Q358" s="1">
        <v>1</v>
      </c>
    </row>
    <row r="359" spans="1:17">
      <c r="A359" s="1">
        <v>67643</v>
      </c>
      <c r="B359" s="1" t="s">
        <v>334</v>
      </c>
      <c r="C359" s="1" t="s">
        <v>209</v>
      </c>
      <c r="D359" s="19" t="s">
        <v>3033</v>
      </c>
      <c r="E359" s="15" t="str">
        <f>HYPERLINK("https://stat100.ameba.jp/tnk47/ratio20/illustrations/card/ill_67643_edokarakamichan03.jpg?201910-4-RELEASE-guildbattle-435", "■")</f>
        <v>■</v>
      </c>
      <c r="F359" s="6" t="s">
        <v>1196</v>
      </c>
      <c r="G359" s="1">
        <v>113338</v>
      </c>
      <c r="H359" s="1">
        <v>105394</v>
      </c>
      <c r="I359" s="1">
        <v>24</v>
      </c>
      <c r="J359" s="1" t="s">
        <v>26</v>
      </c>
      <c r="K359" s="1" t="s">
        <v>1197</v>
      </c>
      <c r="L359" s="1" t="s">
        <v>1198</v>
      </c>
      <c r="M359" s="1" t="s">
        <v>9158</v>
      </c>
      <c r="N359" s="1" t="s">
        <v>9158</v>
      </c>
      <c r="O359" s="19" t="s">
        <v>3037</v>
      </c>
      <c r="P359" s="1" t="s">
        <v>13128</v>
      </c>
      <c r="Q359" s="1">
        <v>1</v>
      </c>
    </row>
    <row r="360" spans="1:17">
      <c r="A360" s="1">
        <v>60763</v>
      </c>
      <c r="B360" s="1" t="s">
        <v>334</v>
      </c>
      <c r="C360" s="1" t="s">
        <v>203</v>
      </c>
      <c r="D360" s="19" t="s">
        <v>10420</v>
      </c>
      <c r="E360" s="15" t="str">
        <f>HYPERLINK("https://stat100.ameba.jp/tnk47/ratio20/illustrations/card/ill_60763_fujiwarakagekiyo03.jpg?201910-4-RELEASE-guildbattle-435", "■")</f>
        <v>■</v>
      </c>
      <c r="F360" s="1" t="s">
        <v>1146</v>
      </c>
      <c r="G360" s="1">
        <v>115656</v>
      </c>
      <c r="H360" s="1">
        <v>159674</v>
      </c>
      <c r="I360" s="1">
        <v>24</v>
      </c>
      <c r="J360" s="1" t="s">
        <v>143</v>
      </c>
      <c r="K360" s="1" t="s">
        <v>1147</v>
      </c>
      <c r="L360" s="1" t="s">
        <v>1148</v>
      </c>
      <c r="M360" s="1" t="s">
        <v>9158</v>
      </c>
      <c r="N360" s="1" t="s">
        <v>9158</v>
      </c>
      <c r="O360" s="19" t="s">
        <v>10112</v>
      </c>
      <c r="P360" s="1" t="s">
        <v>13150</v>
      </c>
      <c r="Q360" s="1">
        <v>1</v>
      </c>
    </row>
    <row r="362" spans="1:17">
      <c r="A362" s="1" t="s">
        <v>7522</v>
      </c>
    </row>
    <row r="363" spans="1:17">
      <c r="A363" s="1" t="s">
        <v>7523</v>
      </c>
    </row>
    <row r="364" spans="1:17">
      <c r="A364" s="1" t="s">
        <v>6195</v>
      </c>
      <c r="B364" s="1" t="s">
        <v>52</v>
      </c>
      <c r="C364" s="1" t="s">
        <v>191</v>
      </c>
      <c r="D364" s="19" t="s">
        <v>10217</v>
      </c>
      <c r="E364" s="15" t="str">
        <f>HYPERLINK("https://stat100.ameba.jp/tnk47/ratio20/illustrations/card/ill_56493_0_poppukurisumasuikomakitsuno03.jpg?201910-4-RELEASE-guildbattle-435", "■")</f>
        <v>■</v>
      </c>
      <c r="F364" s="1" t="s">
        <v>1769</v>
      </c>
      <c r="G364" s="1">
        <v>144494</v>
      </c>
      <c r="H364" s="1">
        <v>128358</v>
      </c>
      <c r="I364" s="1">
        <v>23</v>
      </c>
      <c r="J364" s="1" t="s">
        <v>77</v>
      </c>
      <c r="K364" s="1" t="s">
        <v>1770</v>
      </c>
      <c r="L364" s="1" t="s">
        <v>1771</v>
      </c>
      <c r="M364" s="1" t="s">
        <v>9158</v>
      </c>
      <c r="N364" s="1" t="s">
        <v>9158</v>
      </c>
      <c r="O364" s="19" t="s">
        <v>10120</v>
      </c>
      <c r="P364" s="1" t="s">
        <v>2724</v>
      </c>
      <c r="Q364" s="1">
        <v>1</v>
      </c>
    </row>
    <row r="365" spans="1:17">
      <c r="A365" s="1" t="s">
        <v>5778</v>
      </c>
      <c r="B365" s="1" t="s">
        <v>330</v>
      </c>
      <c r="C365" s="1" t="s">
        <v>205</v>
      </c>
      <c r="D365" s="19" t="s">
        <v>272</v>
      </c>
      <c r="E365" s="15" t="str">
        <f>HYPERLINK("https://stat100.ameba.jp/tnk47/ratio20/illustrations/card/ill_68783_0_gantammomotaro03.jpg?201910-4-RELEASE-guildbattle-435", "■")</f>
        <v>■</v>
      </c>
      <c r="F365" s="1" t="s">
        <v>273</v>
      </c>
      <c r="G365" s="1">
        <v>157306</v>
      </c>
      <c r="H365" s="1">
        <v>146235</v>
      </c>
      <c r="I365" s="1">
        <v>23</v>
      </c>
      <c r="J365" s="1" t="s">
        <v>274</v>
      </c>
      <c r="K365" s="1" t="s">
        <v>275</v>
      </c>
      <c r="L365" s="1" t="s">
        <v>276</v>
      </c>
      <c r="M365" s="1" t="s">
        <v>9158</v>
      </c>
      <c r="N365" s="1" t="s">
        <v>9158</v>
      </c>
      <c r="O365" s="19" t="s">
        <v>10099</v>
      </c>
      <c r="P365" s="1" t="s">
        <v>3451</v>
      </c>
      <c r="Q365" s="1">
        <v>1</v>
      </c>
    </row>
    <row r="366" spans="1:17">
      <c r="A366" s="1" t="s">
        <v>5897</v>
      </c>
      <c r="B366" s="1" t="s">
        <v>52</v>
      </c>
      <c r="C366" s="1" t="s">
        <v>23</v>
      </c>
      <c r="D366" s="19" t="s">
        <v>277</v>
      </c>
      <c r="E366" s="15" t="str">
        <f>HYPERLINK("https://stat100.ameba.jp/tnk47/ratio20/illustrations/card/ill_40913_0_reigyokudensetsufusehime03.jpg?201910-4-RELEASE-guildbattle-435", "■")</f>
        <v>■</v>
      </c>
      <c r="F366" s="1" t="s">
        <v>955</v>
      </c>
      <c r="G366" s="1">
        <v>126058</v>
      </c>
      <c r="H366" s="1">
        <v>134596</v>
      </c>
      <c r="I366" s="1">
        <v>23</v>
      </c>
      <c r="J366" s="1" t="s">
        <v>38</v>
      </c>
      <c r="K366" s="1" t="s">
        <v>956</v>
      </c>
      <c r="L366" s="1" t="s">
        <v>957</v>
      </c>
      <c r="M366" s="1" t="s">
        <v>9158</v>
      </c>
      <c r="N366" s="1" t="s">
        <v>9158</v>
      </c>
      <c r="O366" s="1" t="s">
        <v>9158</v>
      </c>
      <c r="P366" s="1" t="s">
        <v>9158</v>
      </c>
      <c r="Q366" s="1" t="s">
        <v>9158</v>
      </c>
    </row>
    <row r="367" spans="1:17">
      <c r="A367" s="1">
        <v>84713</v>
      </c>
      <c r="B367" s="1" t="s">
        <v>0</v>
      </c>
      <c r="C367" s="1" t="s">
        <v>185</v>
      </c>
      <c r="D367" s="19" t="s">
        <v>10696</v>
      </c>
      <c r="E367" s="15" t="str">
        <f>HYPERLINK("https://stat100.ameba.jp/tnk47/ratio20/illustrations/card/ill_84713_shogiyodabenzo03.jpg?201910-4-RELEASE-guildbattle-435", "■")</f>
        <v>■</v>
      </c>
      <c r="F367" s="1" t="s">
        <v>7432</v>
      </c>
      <c r="G367" s="1">
        <v>93746</v>
      </c>
      <c r="H367" s="1">
        <v>87128</v>
      </c>
      <c r="I367" s="1">
        <v>24</v>
      </c>
      <c r="J367" s="1" t="s">
        <v>10</v>
      </c>
      <c r="K367" s="1" t="s">
        <v>4765</v>
      </c>
      <c r="L367" s="1" t="s">
        <v>4347</v>
      </c>
      <c r="M367" s="1" t="s">
        <v>9158</v>
      </c>
      <c r="N367" s="1" t="s">
        <v>9158</v>
      </c>
      <c r="O367" s="1" t="s">
        <v>9158</v>
      </c>
      <c r="P367" s="1" t="s">
        <v>9158</v>
      </c>
      <c r="Q367" s="1" t="s">
        <v>9158</v>
      </c>
    </row>
    <row r="368" spans="1:17">
      <c r="A368" s="1">
        <v>84463</v>
      </c>
      <c r="B368" s="1" t="s">
        <v>15</v>
      </c>
      <c r="C368" s="1" t="s">
        <v>205</v>
      </c>
      <c r="D368" s="19" t="s">
        <v>10697</v>
      </c>
      <c r="E368" s="15" t="str">
        <f>HYPERLINK("https://stat100.ameba.jp/tnk47/ratio20/illustrations/card/ill_84463_jimumyokyu03.jpg?201910-4-RELEASE-guildbattle-435", "■")</f>
        <v>■</v>
      </c>
      <c r="F368" s="1" t="s">
        <v>7435</v>
      </c>
      <c r="G368" s="1">
        <v>48390</v>
      </c>
      <c r="H368" s="1">
        <v>53352</v>
      </c>
      <c r="I368" s="1">
        <v>18</v>
      </c>
      <c r="J368" s="1" t="s">
        <v>187</v>
      </c>
      <c r="K368" s="1" t="s">
        <v>7434</v>
      </c>
      <c r="L368" s="1" t="s">
        <v>973</v>
      </c>
      <c r="M368" s="1" t="s">
        <v>9158</v>
      </c>
      <c r="N368" s="1" t="s">
        <v>9158</v>
      </c>
      <c r="O368" s="1" t="s">
        <v>9158</v>
      </c>
      <c r="P368" s="1" t="s">
        <v>9158</v>
      </c>
      <c r="Q368" s="1" t="s">
        <v>9158</v>
      </c>
    </row>
    <row r="369" spans="1:18">
      <c r="A369" s="1">
        <v>84473</v>
      </c>
      <c r="B369" s="1" t="s">
        <v>22</v>
      </c>
      <c r="C369" s="1" t="s">
        <v>206</v>
      </c>
      <c r="D369" s="19" t="s">
        <v>10698</v>
      </c>
      <c r="E369" s="15" t="str">
        <f>HYPERLINK("https://stat100.ameba.jp/tnk47/ratio20/illustrations/card/ill_84473_kintoreshiranui03.jpg?201910-4-RELEASE-guildbattle-435", "■")</f>
        <v>■</v>
      </c>
      <c r="F369" s="1" t="s">
        <v>7439</v>
      </c>
      <c r="G369" s="1">
        <v>33266</v>
      </c>
      <c r="H369" s="1">
        <v>27660</v>
      </c>
      <c r="I369" s="1">
        <v>16</v>
      </c>
      <c r="J369" s="1" t="s">
        <v>73</v>
      </c>
      <c r="K369" s="1" t="s">
        <v>7437</v>
      </c>
      <c r="L369" s="1" t="s">
        <v>4556</v>
      </c>
      <c r="M369" s="1" t="s">
        <v>9158</v>
      </c>
      <c r="N369" s="1" t="s">
        <v>9158</v>
      </c>
      <c r="O369" s="1" t="s">
        <v>9158</v>
      </c>
      <c r="P369" s="1" t="s">
        <v>9158</v>
      </c>
      <c r="Q369" s="1" t="s">
        <v>9158</v>
      </c>
    </row>
    <row r="370" spans="1:18">
      <c r="A370" s="1">
        <v>84483</v>
      </c>
      <c r="B370" s="1" t="s">
        <v>30</v>
      </c>
      <c r="C370" s="1" t="s">
        <v>2611</v>
      </c>
      <c r="D370" s="19" t="s">
        <v>10699</v>
      </c>
      <c r="E370" s="15" t="str">
        <f>HYPERLINK("https://stat100.ameba.jp/tnk47/ratio20/illustrations/card/ill_84483_merosu03.jpg?201910-4-RELEASE-guildbattle-435", "■")</f>
        <v>■</v>
      </c>
      <c r="F370" s="1" t="s">
        <v>7443</v>
      </c>
      <c r="G370" s="1">
        <v>16914</v>
      </c>
      <c r="H370" s="1">
        <v>20140</v>
      </c>
      <c r="I370" s="1">
        <v>16</v>
      </c>
      <c r="J370" s="1" t="s">
        <v>38</v>
      </c>
      <c r="K370" s="1" t="s">
        <v>7441</v>
      </c>
      <c r="L370" s="1" t="s">
        <v>1736</v>
      </c>
      <c r="M370" s="1" t="s">
        <v>9158</v>
      </c>
      <c r="N370" s="1" t="s">
        <v>9158</v>
      </c>
      <c r="O370" s="1" t="s">
        <v>9158</v>
      </c>
      <c r="P370" s="1" t="s">
        <v>9158</v>
      </c>
      <c r="Q370" s="1" t="s">
        <v>9158</v>
      </c>
    </row>
    <row r="372" spans="1:18">
      <c r="A372" s="1" t="s">
        <v>13326</v>
      </c>
    </row>
    <row r="373" spans="1:18">
      <c r="A373" s="1" t="s">
        <v>7524</v>
      </c>
    </row>
    <row r="374" spans="1:18">
      <c r="A374" s="1">
        <v>70073</v>
      </c>
      <c r="B374" s="1" t="s">
        <v>334</v>
      </c>
      <c r="C374" s="1" t="s">
        <v>185</v>
      </c>
      <c r="D374" s="19" t="s">
        <v>859</v>
      </c>
      <c r="E374" s="15" t="str">
        <f>HYPERLINK("https://stat100.ameba.jp/tnk47/ratio20/illustrations/card/ill_70073_muhime03.jpg?201910-4-RELEASE-guildbattle-435", "■")</f>
        <v>■</v>
      </c>
      <c r="F374" s="1" t="s">
        <v>5846</v>
      </c>
      <c r="G374" s="1">
        <v>109852</v>
      </c>
      <c r="H374" s="1">
        <v>118152</v>
      </c>
      <c r="I374" s="1">
        <v>24</v>
      </c>
      <c r="J374" s="1" t="s">
        <v>315</v>
      </c>
      <c r="K374" s="1" t="s">
        <v>861</v>
      </c>
      <c r="L374" s="1" t="s">
        <v>862</v>
      </c>
      <c r="M374" s="1" t="s">
        <v>250</v>
      </c>
      <c r="N374" s="1" t="s">
        <v>251</v>
      </c>
      <c r="O374" s="1" t="s">
        <v>9158</v>
      </c>
      <c r="P374" s="1" t="s">
        <v>9158</v>
      </c>
      <c r="Q374" s="1" t="s">
        <v>9158</v>
      </c>
      <c r="R374" s="14"/>
    </row>
    <row r="375" spans="1:18">
      <c r="A375" s="1">
        <v>70072</v>
      </c>
      <c r="B375" s="1" t="s">
        <v>334</v>
      </c>
      <c r="C375" s="1" t="s">
        <v>185</v>
      </c>
      <c r="D375" s="19" t="s">
        <v>859</v>
      </c>
      <c r="E375" s="15" t="str">
        <f>HYPERLINK("https://stat100.ameba.jp/tnk47/ratio20/illustrations/card/ill_70072_muhime02.jpg?201910-4-RELEASE-guildbattle-435", "■")</f>
        <v>■</v>
      </c>
      <c r="F375" s="1" t="s">
        <v>860</v>
      </c>
      <c r="G375" s="1">
        <v>90984</v>
      </c>
      <c r="H375" s="1">
        <v>98768</v>
      </c>
      <c r="I375" s="1">
        <v>24</v>
      </c>
      <c r="J375" s="1" t="s">
        <v>315</v>
      </c>
      <c r="K375" s="1" t="s">
        <v>861</v>
      </c>
      <c r="L375" s="1" t="s">
        <v>862</v>
      </c>
      <c r="M375" s="1" t="s">
        <v>250</v>
      </c>
      <c r="N375" s="1" t="s">
        <v>251</v>
      </c>
      <c r="O375" s="1" t="s">
        <v>9158</v>
      </c>
      <c r="P375" s="1" t="s">
        <v>9158</v>
      </c>
      <c r="Q375" s="1" t="s">
        <v>9158</v>
      </c>
      <c r="R375" s="14"/>
    </row>
    <row r="376" spans="1:18">
      <c r="A376" s="1">
        <v>70071</v>
      </c>
      <c r="B376" s="1" t="s">
        <v>334</v>
      </c>
      <c r="C376" s="1" t="s">
        <v>185</v>
      </c>
      <c r="D376" s="19" t="s">
        <v>859</v>
      </c>
      <c r="E376" s="15" t="str">
        <f>HYPERLINK("https://stat100.ameba.jp/tnk47/ratio20/illustrations/card/ill_70071_muhime01.jpg?201910-4-RELEASE-guildbattle-435", "■")</f>
        <v>■</v>
      </c>
      <c r="F376" s="1" t="s">
        <v>860</v>
      </c>
      <c r="G376" s="1">
        <v>70200</v>
      </c>
      <c r="H376" s="1">
        <v>75408</v>
      </c>
      <c r="I376" s="1">
        <v>24</v>
      </c>
      <c r="J376" s="1" t="s">
        <v>315</v>
      </c>
      <c r="K376" s="1" t="s">
        <v>861</v>
      </c>
      <c r="L376" s="1" t="s">
        <v>862</v>
      </c>
      <c r="M376" s="1" t="s">
        <v>250</v>
      </c>
      <c r="N376" s="1" t="s">
        <v>251</v>
      </c>
      <c r="O376" s="1" t="s">
        <v>9158</v>
      </c>
      <c r="P376" s="1" t="s">
        <v>9158</v>
      </c>
      <c r="Q376" s="1" t="s">
        <v>9158</v>
      </c>
      <c r="R376" s="14"/>
    </row>
    <row r="377" spans="1:18">
      <c r="A377" s="1">
        <v>70083</v>
      </c>
      <c r="B377" s="1" t="s">
        <v>334</v>
      </c>
      <c r="C377" s="1" t="s">
        <v>200</v>
      </c>
      <c r="D377" s="19" t="s">
        <v>10212</v>
      </c>
      <c r="E377" s="15" t="str">
        <f>HYPERLINK("https://stat100.ameba.jp/tnk47/ratio20/illustrations/card/ill_70083_kimurakaishu03.jpg?201910-4-RELEASE-guildbattle-435", "■")</f>
        <v>■</v>
      </c>
      <c r="F377" s="1" t="s">
        <v>863</v>
      </c>
      <c r="G377" s="1">
        <v>118152</v>
      </c>
      <c r="H377" s="1">
        <v>109852</v>
      </c>
      <c r="I377" s="1">
        <v>24</v>
      </c>
      <c r="J377" s="1" t="s">
        <v>173</v>
      </c>
      <c r="K377" s="1" t="s">
        <v>257</v>
      </c>
      <c r="L377" s="1" t="s">
        <v>9897</v>
      </c>
      <c r="M377" s="1" t="s">
        <v>250</v>
      </c>
      <c r="N377" s="1" t="s">
        <v>251</v>
      </c>
      <c r="O377" s="1" t="s">
        <v>9158</v>
      </c>
      <c r="P377" s="1" t="s">
        <v>9158</v>
      </c>
      <c r="Q377" s="1" t="s">
        <v>9158</v>
      </c>
    </row>
    <row r="378" spans="1:18">
      <c r="A378" s="1">
        <v>70923</v>
      </c>
      <c r="B378" s="1" t="s">
        <v>334</v>
      </c>
      <c r="C378" s="1" t="s">
        <v>191</v>
      </c>
      <c r="D378" s="19" t="s">
        <v>10213</v>
      </c>
      <c r="E378" s="15" t="str">
        <f>HYPERLINK("https://stat100.ameba.jp/tnk47/ratio20/illustrations/card/ill_70923_hidawagyu03.jpg?201910-4-RELEASE-guildbattle-435", "■")</f>
        <v>■</v>
      </c>
      <c r="F378" s="1" t="s">
        <v>864</v>
      </c>
      <c r="G378" s="1">
        <v>118152</v>
      </c>
      <c r="H378" s="1">
        <v>109852</v>
      </c>
      <c r="I378" s="1">
        <v>24</v>
      </c>
      <c r="J378" s="1" t="s">
        <v>216</v>
      </c>
      <c r="K378" s="1" t="s">
        <v>258</v>
      </c>
      <c r="L378" s="1" t="s">
        <v>9898</v>
      </c>
      <c r="M378" s="1" t="s">
        <v>250</v>
      </c>
      <c r="N378" s="1" t="s">
        <v>251</v>
      </c>
      <c r="O378" s="1" t="s">
        <v>9158</v>
      </c>
      <c r="P378" s="1" t="s">
        <v>9158</v>
      </c>
      <c r="Q378" s="1" t="s">
        <v>9158</v>
      </c>
    </row>
    <row r="379" spans="1:18">
      <c r="A379" s="1">
        <v>70093</v>
      </c>
      <c r="B379" s="1" t="s">
        <v>334</v>
      </c>
      <c r="C379" s="1" t="s">
        <v>308</v>
      </c>
      <c r="D379" s="19" t="s">
        <v>10214</v>
      </c>
      <c r="E379" s="15" t="str">
        <f>HYPERLINK("https://stat100.ameba.jp/tnk47/ratio20/illustrations/card/ill_70093_sarutahikonookami03.jpg?201910-4-RELEASE-guildbattle-435", "■")</f>
        <v>■</v>
      </c>
      <c r="F379" s="1" t="s">
        <v>865</v>
      </c>
      <c r="G379" s="1">
        <v>109852</v>
      </c>
      <c r="H379" s="1">
        <v>118152</v>
      </c>
      <c r="I379" s="1">
        <v>24</v>
      </c>
      <c r="J379" s="1" t="s">
        <v>169</v>
      </c>
      <c r="K379" s="1" t="s">
        <v>259</v>
      </c>
      <c r="L379" s="1" t="s">
        <v>9899</v>
      </c>
      <c r="M379" s="1" t="s">
        <v>250</v>
      </c>
      <c r="N379" s="1" t="s">
        <v>251</v>
      </c>
      <c r="O379" s="1" t="s">
        <v>9158</v>
      </c>
      <c r="P379" s="1" t="s">
        <v>9158</v>
      </c>
      <c r="Q379" s="1" t="s">
        <v>9158</v>
      </c>
    </row>
    <row r="380" spans="1:18">
      <c r="A380" s="1">
        <v>70933</v>
      </c>
      <c r="B380" s="1" t="s">
        <v>334</v>
      </c>
      <c r="C380" s="1" t="s">
        <v>267</v>
      </c>
      <c r="D380" s="19" t="s">
        <v>10215</v>
      </c>
      <c r="E380" s="15" t="str">
        <f>HYPERLINK("https://stat100.ameba.jp/tnk47/ratio20/illustrations/card/ill_70933_zenigatasunae03.jpg?201910-4-RELEASE-guildbattle-435", "■")</f>
        <v>■</v>
      </c>
      <c r="F380" s="1" t="s">
        <v>866</v>
      </c>
      <c r="G380" s="1">
        <v>109852</v>
      </c>
      <c r="H380" s="1">
        <v>118152</v>
      </c>
      <c r="I380" s="1">
        <v>24</v>
      </c>
      <c r="J380" s="1" t="s">
        <v>229</v>
      </c>
      <c r="K380" s="1" t="s">
        <v>260</v>
      </c>
      <c r="L380" s="1" t="s">
        <v>9900</v>
      </c>
      <c r="M380" s="1" t="s">
        <v>250</v>
      </c>
      <c r="N380" s="1" t="s">
        <v>251</v>
      </c>
      <c r="O380" s="1" t="s">
        <v>9158</v>
      </c>
      <c r="P380" s="1" t="s">
        <v>9158</v>
      </c>
      <c r="Q380" s="1" t="s">
        <v>9158</v>
      </c>
    </row>
    <row r="381" spans="1:18">
      <c r="A381" s="1">
        <v>70943</v>
      </c>
      <c r="B381" s="1" t="s">
        <v>334</v>
      </c>
      <c r="C381" s="1" t="s">
        <v>344</v>
      </c>
      <c r="D381" s="19" t="s">
        <v>10216</v>
      </c>
      <c r="E381" s="15" t="str">
        <f>HYPERLINK("https://stat100.ameba.jp/tnk47/ratio20/illustrations/card/ill_70943_tengunokakuremino03.jpg?201910-4-RELEASE-guildbattle-435", "■")</f>
        <v>■</v>
      </c>
      <c r="F381" s="1" t="s">
        <v>867</v>
      </c>
      <c r="G381" s="1">
        <v>118152</v>
      </c>
      <c r="H381" s="1">
        <v>109852</v>
      </c>
      <c r="I381" s="1">
        <v>24</v>
      </c>
      <c r="J381" s="1" t="s">
        <v>155</v>
      </c>
      <c r="K381" s="1" t="s">
        <v>261</v>
      </c>
      <c r="L381" s="1" t="s">
        <v>9901</v>
      </c>
      <c r="M381" s="1" t="s">
        <v>250</v>
      </c>
      <c r="N381" s="1" t="s">
        <v>251</v>
      </c>
      <c r="O381" s="1" t="s">
        <v>9158</v>
      </c>
      <c r="P381" s="1" t="s">
        <v>9158</v>
      </c>
      <c r="Q381" s="1" t="s">
        <v>9158</v>
      </c>
    </row>
    <row r="383" spans="1:18">
      <c r="A383" s="1" t="s">
        <v>7526</v>
      </c>
    </row>
    <row r="384" spans="1:18">
      <c r="A384" s="1" t="s">
        <v>7525</v>
      </c>
    </row>
    <row r="385" spans="1:17">
      <c r="A385" s="1" t="s">
        <v>5848</v>
      </c>
      <c r="B385" s="1" t="s">
        <v>52</v>
      </c>
      <c r="C385" s="1" t="s">
        <v>200</v>
      </c>
      <c r="D385" s="19" t="s">
        <v>3160</v>
      </c>
      <c r="E385" s="15" t="str">
        <f>HYPERLINK("https://stat100.ameba.jp/tnk47/ratio20/illustrations/card/ill_72963_0_amenohanayomehiguchiichiyo03.jpg?201910-4-RELEASE-guildbattle-435", "■")</f>
        <v>■</v>
      </c>
      <c r="F385" s="1" t="s">
        <v>1139</v>
      </c>
      <c r="G385" s="1">
        <v>160804</v>
      </c>
      <c r="H385" s="1">
        <v>149520</v>
      </c>
      <c r="I385" s="1">
        <v>24</v>
      </c>
      <c r="J385" s="1" t="s">
        <v>10</v>
      </c>
      <c r="K385" s="1" t="s">
        <v>1140</v>
      </c>
      <c r="L385" s="1" t="s">
        <v>1141</v>
      </c>
      <c r="M385" s="1" t="s">
        <v>9158</v>
      </c>
      <c r="N385" s="1" t="s">
        <v>9158</v>
      </c>
      <c r="O385" s="19" t="s">
        <v>3162</v>
      </c>
      <c r="P385" s="1" t="s">
        <v>3410</v>
      </c>
      <c r="Q385" s="1">
        <v>1</v>
      </c>
    </row>
    <row r="386" spans="1:17">
      <c r="A386" s="1" t="s">
        <v>5603</v>
      </c>
      <c r="B386" s="1" t="s">
        <v>330</v>
      </c>
      <c r="C386" s="1" t="s">
        <v>205</v>
      </c>
      <c r="D386" s="19" t="s">
        <v>611</v>
      </c>
      <c r="E386" s="15" t="str">
        <f>HYPERLINK("https://stat100.ameba.jp/tnk47/ratio20/illustrations/card/ill_61893_0_onikirishumiyamotomusashi03.jpg?201910-4-RELEASE-guildbattle-435", "■")</f>
        <v>■</v>
      </c>
      <c r="F386" s="1" t="s">
        <v>612</v>
      </c>
      <c r="G386" s="1">
        <v>224026</v>
      </c>
      <c r="H386" s="1">
        <v>208310</v>
      </c>
      <c r="I386" s="1">
        <v>24</v>
      </c>
      <c r="J386" s="1" t="s">
        <v>310</v>
      </c>
      <c r="K386" s="1" t="s">
        <v>613</v>
      </c>
      <c r="L386" s="1" t="s">
        <v>312</v>
      </c>
      <c r="M386" s="1" t="s">
        <v>9158</v>
      </c>
      <c r="N386" s="1" t="s">
        <v>9158</v>
      </c>
      <c r="O386" s="19" t="s">
        <v>10071</v>
      </c>
      <c r="P386" s="1" t="s">
        <v>3253</v>
      </c>
      <c r="Q386" s="1">
        <v>1</v>
      </c>
    </row>
    <row r="387" spans="1:17">
      <c r="A387" s="1">
        <v>76803</v>
      </c>
      <c r="B387" s="1" t="s">
        <v>334</v>
      </c>
      <c r="C387" s="1" t="s">
        <v>202</v>
      </c>
      <c r="D387" s="19" t="s">
        <v>673</v>
      </c>
      <c r="E387" s="15" t="str">
        <f>HYPERLINK("https://stat100.ameba.jp/tnk47/ratio20/illustrations/card/ill_76803_monsutakujirachan03.jpg?201910-4-RELEASE-guildbattle-435", "■")</f>
        <v>■</v>
      </c>
      <c r="F387" s="1" t="s">
        <v>674</v>
      </c>
      <c r="G387" s="1">
        <v>159674</v>
      </c>
      <c r="H387" s="1">
        <v>115656</v>
      </c>
      <c r="I387" s="1">
        <v>24</v>
      </c>
      <c r="J387" s="1" t="s">
        <v>283</v>
      </c>
      <c r="K387" s="1" t="s">
        <v>675</v>
      </c>
      <c r="L387" s="1" t="s">
        <v>435</v>
      </c>
      <c r="M387" s="1" t="s">
        <v>9158</v>
      </c>
      <c r="N387" s="1" t="s">
        <v>9158</v>
      </c>
      <c r="O387" s="19" t="s">
        <v>3165</v>
      </c>
      <c r="P387" s="1" t="s">
        <v>13139</v>
      </c>
      <c r="Q387" s="1">
        <v>1</v>
      </c>
    </row>
    <row r="388" spans="1:17">
      <c r="A388" s="1">
        <v>67953</v>
      </c>
      <c r="B388" s="1" t="s">
        <v>334</v>
      </c>
      <c r="C388" s="1" t="s">
        <v>154</v>
      </c>
      <c r="D388" s="19" t="s">
        <v>10202</v>
      </c>
      <c r="E388" s="15" t="str">
        <f>HYPERLINK("https://stat100.ameba.jp/tnk47/ratio20/illustrations/card/ill_67953_kutaniyaki03.jpg?201910-4-RELEASE-guildbattle-435", "■")</f>
        <v>■</v>
      </c>
      <c r="F388" s="1" t="s">
        <v>2487</v>
      </c>
      <c r="G388" s="1">
        <v>75627</v>
      </c>
      <c r="H388" s="1">
        <v>104385</v>
      </c>
      <c r="I388" s="1">
        <v>23</v>
      </c>
      <c r="J388" s="1" t="s">
        <v>26</v>
      </c>
      <c r="K388" s="1" t="s">
        <v>2488</v>
      </c>
      <c r="L388" s="1" t="s">
        <v>2489</v>
      </c>
      <c r="M388" s="1" t="s">
        <v>9158</v>
      </c>
      <c r="N388" s="1" t="s">
        <v>9158</v>
      </c>
      <c r="O388" s="19" t="s">
        <v>10074</v>
      </c>
      <c r="P388" s="1" t="s">
        <v>3592</v>
      </c>
      <c r="Q388" s="1">
        <v>1</v>
      </c>
    </row>
    <row r="389" spans="1:17">
      <c r="A389" s="1">
        <v>73103</v>
      </c>
      <c r="B389" s="1" t="s">
        <v>334</v>
      </c>
      <c r="C389" s="1" t="s">
        <v>41</v>
      </c>
      <c r="D389" s="19" t="s">
        <v>10423</v>
      </c>
      <c r="E389" s="15" t="str">
        <f>HYPERLINK("https://stat100.ameba.jp/tnk47/ratio20/illustrations/card/ill_73103_nominookata03.jpg?201910-4-RELEASE-guildbattle-435", "■")</f>
        <v>■</v>
      </c>
      <c r="F389" s="1" t="s">
        <v>2106</v>
      </c>
      <c r="G389" s="1">
        <v>72819</v>
      </c>
      <c r="H389" s="1">
        <v>100519</v>
      </c>
      <c r="I389" s="1">
        <v>23</v>
      </c>
      <c r="J389" s="1" t="s">
        <v>77</v>
      </c>
      <c r="K389" s="1" t="s">
        <v>2107</v>
      </c>
      <c r="L389" s="1" t="s">
        <v>969</v>
      </c>
      <c r="M389" s="1" t="s">
        <v>9158</v>
      </c>
      <c r="N389" s="1" t="s">
        <v>9158</v>
      </c>
      <c r="O389" s="19" t="s">
        <v>2752</v>
      </c>
      <c r="P389" s="1" t="s">
        <v>13173</v>
      </c>
      <c r="Q389" s="1">
        <v>1</v>
      </c>
    </row>
    <row r="390" spans="1:17">
      <c r="A390" s="1">
        <v>61353</v>
      </c>
      <c r="B390" s="1" t="s">
        <v>334</v>
      </c>
      <c r="C390" s="1" t="s">
        <v>203</v>
      </c>
      <c r="D390" s="19" t="s">
        <v>10417</v>
      </c>
      <c r="E390" s="15" t="str">
        <f>HYPERLINK("https://stat100.ameba.jp/tnk47/ratio20/illustrations/card/ill_61353_shinkidohimiko03.jpg?201910-4-RELEASE-guildbattle-435", "■")</f>
        <v>■</v>
      </c>
      <c r="F390" s="1" t="s">
        <v>1200</v>
      </c>
      <c r="G390" s="1">
        <v>100519</v>
      </c>
      <c r="H390" s="1">
        <v>72819</v>
      </c>
      <c r="I390" s="1">
        <v>23</v>
      </c>
      <c r="J390" s="1" t="s">
        <v>10</v>
      </c>
      <c r="K390" s="1" t="s">
        <v>1201</v>
      </c>
      <c r="L390" s="1" t="s">
        <v>1202</v>
      </c>
      <c r="M390" s="1" t="s">
        <v>9158</v>
      </c>
      <c r="N390" s="1" t="s">
        <v>9158</v>
      </c>
      <c r="O390" s="1" t="s">
        <v>9158</v>
      </c>
      <c r="P390" s="1" t="s">
        <v>9158</v>
      </c>
      <c r="Q390" s="1" t="s">
        <v>9158</v>
      </c>
    </row>
    <row r="391" spans="1:17">
      <c r="A391" s="1">
        <v>65623</v>
      </c>
      <c r="B391" s="1" t="s">
        <v>334</v>
      </c>
      <c r="C391" s="1" t="s">
        <v>209</v>
      </c>
      <c r="D391" s="19" t="s">
        <v>10254</v>
      </c>
      <c r="E391" s="15" t="str">
        <f>HYPERLINK("https://stat100.ameba.jp/tnk47/ratio20/illustrations/card/ill_65623_hosoyajudayu03.jpg?201910-4-RELEASE-guildbattle-435", "■")</f>
        <v>■</v>
      </c>
      <c r="F391" s="1" t="s">
        <v>823</v>
      </c>
      <c r="G391" s="1">
        <v>153022</v>
      </c>
      <c r="H391" s="1">
        <v>110837</v>
      </c>
      <c r="I391" s="1">
        <v>23</v>
      </c>
      <c r="J391" s="1" t="s">
        <v>310</v>
      </c>
      <c r="K391" s="1" t="s">
        <v>824</v>
      </c>
      <c r="L391" s="1" t="s">
        <v>443</v>
      </c>
      <c r="M391" s="1" t="s">
        <v>9158</v>
      </c>
      <c r="N391" s="1" t="s">
        <v>9158</v>
      </c>
      <c r="O391" s="1" t="s">
        <v>9158</v>
      </c>
      <c r="P391" s="1" t="s">
        <v>9158</v>
      </c>
      <c r="Q391" s="1" t="s">
        <v>9158</v>
      </c>
    </row>
    <row r="392" spans="1:17">
      <c r="A392" s="1">
        <v>58353</v>
      </c>
      <c r="B392" s="1" t="s">
        <v>334</v>
      </c>
      <c r="C392" s="1" t="s">
        <v>203</v>
      </c>
      <c r="D392" s="19" t="s">
        <v>10470</v>
      </c>
      <c r="E392" s="15" t="str">
        <f>HYPERLINK("https://stat100.ameba.jp/tnk47/ratio20/illustrations/card/ill_58353_tajihinoayako03.jpg?201910-4-RELEASE-guildbattle-435", "■")</f>
        <v>■</v>
      </c>
      <c r="F392" s="1" t="s">
        <v>6097</v>
      </c>
      <c r="G392" s="1">
        <v>69599</v>
      </c>
      <c r="H392" s="1">
        <v>94922</v>
      </c>
      <c r="I392" s="1">
        <v>23</v>
      </c>
      <c r="J392" s="1" t="s">
        <v>16</v>
      </c>
      <c r="K392" s="1" t="s">
        <v>6099</v>
      </c>
      <c r="L392" s="1" t="s">
        <v>6098</v>
      </c>
      <c r="M392" s="1" t="s">
        <v>9158</v>
      </c>
      <c r="N392" s="1" t="s">
        <v>9158</v>
      </c>
      <c r="O392" s="1" t="s">
        <v>9158</v>
      </c>
      <c r="P392" s="1" t="s">
        <v>9158</v>
      </c>
      <c r="Q392" s="1" t="s">
        <v>9158</v>
      </c>
    </row>
    <row r="394" spans="1:17">
      <c r="A394" s="1" t="s">
        <v>7527</v>
      </c>
    </row>
    <row r="395" spans="1:17">
      <c r="A395" s="1" t="s">
        <v>7528</v>
      </c>
    </row>
    <row r="396" spans="1:17">
      <c r="A396" s="1">
        <v>76103</v>
      </c>
      <c r="B396" s="1" t="s">
        <v>334</v>
      </c>
      <c r="C396" s="1" t="s">
        <v>154</v>
      </c>
      <c r="D396" s="19" t="s">
        <v>570</v>
      </c>
      <c r="E396" s="15" t="str">
        <f>HYPERLINK("https://stat100.ameba.jp/tnk47/ratio20/illustrations/card/ill_76103_shibuaji03.jpg?201910-4-RELEASE-guildbattle-435", "■")</f>
        <v>■</v>
      </c>
      <c r="F396" s="1" t="s">
        <v>1122</v>
      </c>
      <c r="G396" s="1">
        <v>103512</v>
      </c>
      <c r="H396" s="1">
        <v>96246</v>
      </c>
      <c r="I396" s="1">
        <v>24</v>
      </c>
      <c r="J396" s="1" t="s">
        <v>143</v>
      </c>
      <c r="K396" s="1" t="s">
        <v>1123</v>
      </c>
      <c r="L396" s="1" t="s">
        <v>1124</v>
      </c>
      <c r="M396" s="1" t="s">
        <v>9158</v>
      </c>
      <c r="N396" s="1" t="s">
        <v>9158</v>
      </c>
      <c r="O396" s="1" t="s">
        <v>9158</v>
      </c>
      <c r="P396" s="1" t="s">
        <v>9158</v>
      </c>
      <c r="Q396" s="1" t="s">
        <v>9158</v>
      </c>
    </row>
    <row r="397" spans="1:17">
      <c r="A397" s="1">
        <v>76113</v>
      </c>
      <c r="B397" s="1" t="s">
        <v>334</v>
      </c>
      <c r="C397" s="1" t="s">
        <v>158</v>
      </c>
      <c r="D397" s="19" t="s">
        <v>10268</v>
      </c>
      <c r="E397" s="15" t="str">
        <f>HYPERLINK("https://stat100.ameba.jp/tnk47/ratio20/illustrations/card/ill_76113_jannudaruku03.jpg?201910-4-RELEASE-guildbattle-435", "■")</f>
        <v>■</v>
      </c>
      <c r="F397" s="1" t="s">
        <v>1126</v>
      </c>
      <c r="G397" s="1">
        <v>103512</v>
      </c>
      <c r="H397" s="1">
        <v>96246</v>
      </c>
      <c r="I397" s="1">
        <v>24</v>
      </c>
      <c r="J397" s="1" t="s">
        <v>10</v>
      </c>
      <c r="K397" s="1" t="s">
        <v>1127</v>
      </c>
      <c r="L397" s="1" t="s">
        <v>1128</v>
      </c>
      <c r="M397" s="1" t="s">
        <v>9158</v>
      </c>
      <c r="N397" s="1" t="s">
        <v>9158</v>
      </c>
      <c r="O397" s="1" t="s">
        <v>9158</v>
      </c>
      <c r="P397" s="1" t="s">
        <v>9158</v>
      </c>
      <c r="Q397" s="1" t="s">
        <v>9158</v>
      </c>
    </row>
    <row r="398" spans="1:17">
      <c r="A398" s="1">
        <v>63323</v>
      </c>
      <c r="B398" s="1" t="s">
        <v>0</v>
      </c>
      <c r="C398" s="1" t="s">
        <v>200</v>
      </c>
      <c r="D398" s="19" t="s">
        <v>10269</v>
      </c>
      <c r="E398" s="15" t="str">
        <f>HYPERLINK("https://stat100.ameba.jp/tnk47/ratio20/illustrations/card/ill_63323_ajisaikushinadahime03.jpg?201910-4-RELEASE-guildbattle-435", "■")</f>
        <v>■</v>
      </c>
      <c r="F398" s="1" t="s">
        <v>3583</v>
      </c>
      <c r="G398" s="1">
        <v>91010</v>
      </c>
      <c r="H398" s="1">
        <v>97894</v>
      </c>
      <c r="I398" s="1">
        <v>24</v>
      </c>
      <c r="J398" s="1" t="s">
        <v>44</v>
      </c>
      <c r="K398" s="1" t="s">
        <v>3584</v>
      </c>
      <c r="L398" s="1" t="s">
        <v>2400</v>
      </c>
      <c r="M398" s="1" t="s">
        <v>9158</v>
      </c>
      <c r="N398" s="1" t="s">
        <v>9158</v>
      </c>
      <c r="O398" s="1" t="s">
        <v>9158</v>
      </c>
      <c r="P398" s="1" t="s">
        <v>9158</v>
      </c>
      <c r="Q398" s="1" t="s">
        <v>9158</v>
      </c>
    </row>
    <row r="399" spans="1:17">
      <c r="A399" s="1">
        <v>59863</v>
      </c>
      <c r="B399" s="1" t="s">
        <v>334</v>
      </c>
      <c r="C399" s="1" t="s">
        <v>165</v>
      </c>
      <c r="D399" s="19" t="s">
        <v>318</v>
      </c>
      <c r="E399" s="15" t="str">
        <f>HYPERLINK("https://stat100.ameba.jp/tnk47/ratio20/illustrations/card/ill_59863_yoseiichimokuren03.jpg?201910-4-RELEASE-guildbattle-435", "■")</f>
        <v>■</v>
      </c>
      <c r="F399" s="1" t="s">
        <v>319</v>
      </c>
      <c r="G399" s="1">
        <v>99996</v>
      </c>
      <c r="H399" s="1">
        <v>92996</v>
      </c>
      <c r="I399" s="1">
        <v>24</v>
      </c>
      <c r="J399" s="1" t="s">
        <v>320</v>
      </c>
      <c r="K399" s="1" t="s">
        <v>321</v>
      </c>
      <c r="L399" s="1" t="s">
        <v>322</v>
      </c>
      <c r="M399" s="1" t="s">
        <v>9158</v>
      </c>
      <c r="N399" s="1" t="s">
        <v>9158</v>
      </c>
      <c r="O399" s="1" t="s">
        <v>9158</v>
      </c>
      <c r="P399" s="1" t="s">
        <v>9158</v>
      </c>
      <c r="Q399" s="1" t="s">
        <v>9158</v>
      </c>
    </row>
    <row r="400" spans="1:17">
      <c r="A400" s="1">
        <v>51823</v>
      </c>
      <c r="B400" s="1" t="s">
        <v>15</v>
      </c>
      <c r="C400" s="1" t="s">
        <v>101</v>
      </c>
      <c r="D400" s="19" t="s">
        <v>10587</v>
      </c>
      <c r="E400" s="15" t="str">
        <f>HYPERLINK("https://stat100.ameba.jp/tnk47/ratio20/illustrations/card/ill_51823_jukimatsu03.jpg?201910-4-RELEASE-guildbattle-435", "■")</f>
        <v>■</v>
      </c>
      <c r="F400" s="1" t="s">
        <v>6742</v>
      </c>
      <c r="G400" s="1">
        <v>51078</v>
      </c>
      <c r="H400" s="1">
        <v>56316</v>
      </c>
      <c r="I400" s="1">
        <v>19</v>
      </c>
      <c r="J400" s="1" t="s">
        <v>77</v>
      </c>
      <c r="K400" s="1" t="s">
        <v>6743</v>
      </c>
      <c r="L400" s="1" t="s">
        <v>6744</v>
      </c>
      <c r="M400" s="1" t="s">
        <v>9158</v>
      </c>
      <c r="N400" s="1" t="s">
        <v>9158</v>
      </c>
      <c r="O400" s="1" t="s">
        <v>9158</v>
      </c>
      <c r="P400" s="1" t="s">
        <v>9158</v>
      </c>
      <c r="Q400" s="1" t="s">
        <v>9158</v>
      </c>
    </row>
    <row r="401" spans="1:17">
      <c r="A401" s="1">
        <v>51773</v>
      </c>
      <c r="B401" s="1" t="s">
        <v>15</v>
      </c>
      <c r="C401" s="1" t="s">
        <v>205</v>
      </c>
      <c r="D401" s="19" t="s">
        <v>10588</v>
      </c>
      <c r="E401" s="15" t="str">
        <f>HYPERLINK("https://stat100.ameba.jp/tnk47/ratio20/illustrations/card/ill_51773_kawaasobikanekomisuzu03.jpg?201910-4-RELEASE-guildbattle-435", "■")</f>
        <v>■</v>
      </c>
      <c r="F401" s="1" t="s">
        <v>6747</v>
      </c>
      <c r="G401" s="1">
        <v>56316</v>
      </c>
      <c r="H401" s="1">
        <v>51078</v>
      </c>
      <c r="I401" s="1">
        <v>19</v>
      </c>
      <c r="J401" s="1" t="s">
        <v>10</v>
      </c>
      <c r="K401" s="1" t="s">
        <v>6746</v>
      </c>
      <c r="L401" s="1" t="s">
        <v>6745</v>
      </c>
      <c r="M401" s="1" t="s">
        <v>9158</v>
      </c>
      <c r="N401" s="1" t="s">
        <v>9158</v>
      </c>
      <c r="O401" s="1" t="s">
        <v>9158</v>
      </c>
      <c r="P401" s="1" t="s">
        <v>9158</v>
      </c>
      <c r="Q401" s="1" t="s">
        <v>9158</v>
      </c>
    </row>
    <row r="402" spans="1:17">
      <c r="A402" s="1">
        <v>51733</v>
      </c>
      <c r="B402" s="1" t="s">
        <v>15</v>
      </c>
      <c r="C402" s="1" t="s">
        <v>185</v>
      </c>
      <c r="D402" s="19" t="s">
        <v>10589</v>
      </c>
      <c r="E402" s="15" t="str">
        <f>HYPERLINK("https://stat100.ameba.jp/tnk47/ratio20/illustrations/card/ill_51733_ekusoshisutopoiyampe03.jpg?201910-4-RELEASE-guildbattle-435", "■")</f>
        <v>■</v>
      </c>
      <c r="F402" s="1" t="s">
        <v>6750</v>
      </c>
      <c r="G402" s="1">
        <v>51078</v>
      </c>
      <c r="H402" s="1">
        <v>56316</v>
      </c>
      <c r="I402" s="1">
        <v>19</v>
      </c>
      <c r="J402" s="1" t="s">
        <v>274</v>
      </c>
      <c r="K402" s="1" t="s">
        <v>6749</v>
      </c>
      <c r="L402" s="1" t="s">
        <v>6748</v>
      </c>
      <c r="M402" s="1" t="s">
        <v>9158</v>
      </c>
      <c r="N402" s="1" t="s">
        <v>9158</v>
      </c>
      <c r="O402" s="1" t="s">
        <v>9158</v>
      </c>
      <c r="P402" s="1" t="s">
        <v>9158</v>
      </c>
      <c r="Q402" s="1" t="s">
        <v>9158</v>
      </c>
    </row>
    <row r="403" spans="1:17">
      <c r="A403" s="1">
        <v>55743</v>
      </c>
      <c r="B403" s="1" t="s">
        <v>15</v>
      </c>
      <c r="C403" s="1" t="s">
        <v>96</v>
      </c>
      <c r="D403" s="19" t="s">
        <v>10590</v>
      </c>
      <c r="E403" s="15" t="str">
        <f>HYPERLINK("https://stat100.ameba.jp/tnk47/ratio20/illustrations/card/ill_55743_nankoume03.jpg?201910-4-RELEASE-guildbattle-435", "■")</f>
        <v>■</v>
      </c>
      <c r="F403" s="1" t="s">
        <v>4308</v>
      </c>
      <c r="G403" s="1">
        <v>51078</v>
      </c>
      <c r="H403" s="1">
        <v>56316</v>
      </c>
      <c r="I403" s="1">
        <v>19</v>
      </c>
      <c r="J403" s="1" t="s">
        <v>216</v>
      </c>
      <c r="K403" s="1" t="s">
        <v>4310</v>
      </c>
      <c r="L403" s="1" t="s">
        <v>4311</v>
      </c>
      <c r="M403" s="1" t="s">
        <v>9158</v>
      </c>
      <c r="N403" s="1" t="s">
        <v>9158</v>
      </c>
      <c r="O403" s="1" t="s">
        <v>9158</v>
      </c>
      <c r="P403" s="1" t="s">
        <v>9158</v>
      </c>
      <c r="Q403" s="1" t="s">
        <v>9158</v>
      </c>
    </row>
    <row r="405" spans="1:17">
      <c r="A405" s="1" t="s">
        <v>7529</v>
      </c>
    </row>
    <row r="406" spans="1:17">
      <c r="A406" s="1" t="s">
        <v>7530</v>
      </c>
    </row>
    <row r="407" spans="1:17">
      <c r="A407" s="1" t="s">
        <v>5843</v>
      </c>
      <c r="B407" s="1" t="s">
        <v>52</v>
      </c>
      <c r="C407" s="1" t="s">
        <v>202</v>
      </c>
      <c r="D407" s="19" t="s">
        <v>10291</v>
      </c>
      <c r="E407" s="15" t="str">
        <f>HYPERLINK("https://stat100.ameba.jp/tnk47/ratio20/illustrations/card/ill_77963_0_kurisumasudaisakusentakiyashahime03.jpg?201910-4-RELEASE-guildbattle-435", "■")</f>
        <v>■</v>
      </c>
      <c r="F407" s="1" t="s">
        <v>2127</v>
      </c>
      <c r="G407" s="1">
        <v>184216</v>
      </c>
      <c r="H407" s="1">
        <v>166491</v>
      </c>
      <c r="I407" s="1">
        <v>15</v>
      </c>
      <c r="J407" s="1" t="s">
        <v>77</v>
      </c>
      <c r="K407" s="1" t="s">
        <v>2128</v>
      </c>
      <c r="L407" s="1" t="s">
        <v>2129</v>
      </c>
      <c r="M407" s="1" t="s">
        <v>9158</v>
      </c>
      <c r="N407" s="1" t="s">
        <v>9158</v>
      </c>
      <c r="O407" s="19" t="s">
        <v>10107</v>
      </c>
      <c r="P407" s="1" t="s">
        <v>3589</v>
      </c>
      <c r="Q407" s="1">
        <v>2</v>
      </c>
    </row>
    <row r="408" spans="1:17">
      <c r="A408" s="1" t="s">
        <v>5607</v>
      </c>
      <c r="B408" s="1" t="s">
        <v>330</v>
      </c>
      <c r="C408" s="1" t="s">
        <v>200</v>
      </c>
      <c r="D408" s="19" t="s">
        <v>421</v>
      </c>
      <c r="E408" s="15" t="str">
        <f>HYPERLINK("https://stat100.ameba.jp/tnk47/ratio20/illustrations/card/ill_58853_0_setsubumpanikkuhiratsukaraicho03.jpg?201910-4-RELEASE-guildbattle-435", "■")</f>
        <v>■</v>
      </c>
      <c r="F408" s="1" t="s">
        <v>1040</v>
      </c>
      <c r="G408" s="1">
        <v>94236</v>
      </c>
      <c r="H408" s="1">
        <v>83712</v>
      </c>
      <c r="I408" s="1">
        <v>15</v>
      </c>
      <c r="J408" s="1" t="s">
        <v>16</v>
      </c>
      <c r="K408" s="1" t="s">
        <v>1041</v>
      </c>
      <c r="L408" s="1" t="s">
        <v>1042</v>
      </c>
      <c r="M408" s="1" t="s">
        <v>9158</v>
      </c>
      <c r="N408" s="1" t="s">
        <v>9158</v>
      </c>
      <c r="O408" s="19" t="s">
        <v>10075</v>
      </c>
      <c r="P408" s="1" t="s">
        <v>2870</v>
      </c>
      <c r="Q408" s="1">
        <v>1</v>
      </c>
    </row>
    <row r="409" spans="1:17">
      <c r="A409" s="1" t="s">
        <v>5902</v>
      </c>
      <c r="B409" s="1" t="s">
        <v>330</v>
      </c>
      <c r="C409" s="1" t="s">
        <v>206</v>
      </c>
      <c r="D409" s="19" t="s">
        <v>483</v>
      </c>
      <c r="E409" s="15" t="str">
        <f>HYPERLINK("https://stat100.ameba.jp/tnk47/ratio20/illustrations/card/ill_40343_0_heshikirihasebekurodakambe03.jpg?201910-4-RELEASE-guildbattle-435", "■")</f>
        <v>■</v>
      </c>
      <c r="F409" s="1" t="s">
        <v>906</v>
      </c>
      <c r="G409" s="1">
        <v>87780</v>
      </c>
      <c r="H409" s="1">
        <v>82212</v>
      </c>
      <c r="I409" s="1">
        <v>15</v>
      </c>
      <c r="J409" s="1" t="s">
        <v>16</v>
      </c>
      <c r="K409" s="1" t="s">
        <v>907</v>
      </c>
      <c r="L409" s="1" t="s">
        <v>908</v>
      </c>
      <c r="M409" s="1" t="s">
        <v>9158</v>
      </c>
      <c r="N409" s="1" t="s">
        <v>9158</v>
      </c>
      <c r="O409" s="1" t="s">
        <v>9158</v>
      </c>
      <c r="P409" s="1" t="s">
        <v>9158</v>
      </c>
      <c r="Q409" s="1" t="s">
        <v>9158</v>
      </c>
    </row>
    <row r="410" spans="1:17">
      <c r="A410" s="1">
        <v>84513</v>
      </c>
      <c r="B410" s="1" t="s">
        <v>334</v>
      </c>
      <c r="C410" s="1" t="s">
        <v>185</v>
      </c>
      <c r="D410" s="19" t="s">
        <v>10711</v>
      </c>
      <c r="E410" s="15" t="str">
        <f>HYPERLINK("https://stat100.ameba.jp/tnk47/ratio20/illustrations/card/ill_84513_haroinapefuchikamui03.jpg?201910-4-RELEASE-guildbattle-435", "■")</f>
        <v>■</v>
      </c>
      <c r="F410" s="1" t="s">
        <v>7533</v>
      </c>
      <c r="G410" s="1">
        <v>120892</v>
      </c>
      <c r="H410" s="1">
        <v>68010</v>
      </c>
      <c r="I410" s="1">
        <v>24</v>
      </c>
      <c r="J410" s="1" t="s">
        <v>44</v>
      </c>
      <c r="K410" s="1" t="s">
        <v>7532</v>
      </c>
      <c r="L410" s="1" t="s">
        <v>7531</v>
      </c>
      <c r="M410" s="1" t="s">
        <v>9158</v>
      </c>
      <c r="N410" s="1" t="s">
        <v>9158</v>
      </c>
      <c r="O410" s="1" t="s">
        <v>9158</v>
      </c>
      <c r="P410" s="1" t="s">
        <v>9158</v>
      </c>
      <c r="Q410" s="1" t="s">
        <v>9158</v>
      </c>
    </row>
    <row r="411" spans="1:17">
      <c r="A411" s="1">
        <v>84753</v>
      </c>
      <c r="B411" s="1" t="s">
        <v>334</v>
      </c>
      <c r="C411" s="1" t="s">
        <v>205</v>
      </c>
      <c r="D411" s="19" t="s">
        <v>10712</v>
      </c>
      <c r="E411" s="15" t="str">
        <f>HYPERLINK("https://stat100.ameba.jp/tnk47/ratio20/illustrations/card/ill_84753_haroimpampukinkuin03.jpg?201910-4-RELEASE-guildbattle-435", "■")</f>
        <v>■</v>
      </c>
      <c r="F411" s="1" t="s">
        <v>7536</v>
      </c>
      <c r="G411" s="1">
        <v>139986</v>
      </c>
      <c r="H411" s="1">
        <v>78748</v>
      </c>
      <c r="I411" s="1">
        <v>24</v>
      </c>
      <c r="J411" s="1" t="s">
        <v>216</v>
      </c>
      <c r="K411" s="1" t="s">
        <v>7535</v>
      </c>
      <c r="L411" s="1" t="s">
        <v>7534</v>
      </c>
      <c r="M411" s="1" t="s">
        <v>9158</v>
      </c>
      <c r="N411" s="1" t="s">
        <v>9158</v>
      </c>
      <c r="O411" s="1" t="s">
        <v>9158</v>
      </c>
      <c r="P411" s="1" t="s">
        <v>9158</v>
      </c>
      <c r="Q411" s="1" t="s">
        <v>9158</v>
      </c>
    </row>
    <row r="412" spans="1:17">
      <c r="A412" s="1">
        <v>74913</v>
      </c>
      <c r="B412" s="1" t="s">
        <v>334</v>
      </c>
      <c r="C412" s="1" t="s">
        <v>191</v>
      </c>
      <c r="D412" s="19" t="s">
        <v>10713</v>
      </c>
      <c r="E412" s="15" t="str">
        <f>HYPERLINK("https://stat100.ameba.jp/tnk47/ratio20/illustrations/card/ill_74913_nekomatainari03.jpg?201910-4-RELEASE-guildbattle-435", "■")</f>
        <v>■</v>
      </c>
      <c r="F412" s="1" t="s">
        <v>3985</v>
      </c>
      <c r="G412" s="1">
        <v>129501</v>
      </c>
      <c r="H412" s="1">
        <v>72883</v>
      </c>
      <c r="I412" s="1">
        <v>23</v>
      </c>
      <c r="J412" s="1" t="s">
        <v>38</v>
      </c>
      <c r="K412" s="1" t="s">
        <v>3986</v>
      </c>
      <c r="L412" s="1" t="s">
        <v>3987</v>
      </c>
      <c r="M412" s="1" t="s">
        <v>9158</v>
      </c>
      <c r="N412" s="1" t="s">
        <v>9158</v>
      </c>
      <c r="O412" s="1" t="s">
        <v>9158</v>
      </c>
      <c r="P412" s="1" t="s">
        <v>9158</v>
      </c>
      <c r="Q412" s="1" t="s">
        <v>9158</v>
      </c>
    </row>
    <row r="413" spans="1:17">
      <c r="A413" s="1">
        <v>81503</v>
      </c>
      <c r="B413" s="1" t="s">
        <v>15</v>
      </c>
      <c r="C413" s="1" t="s">
        <v>165</v>
      </c>
      <c r="D413" s="19" t="s">
        <v>10714</v>
      </c>
      <c r="E413" s="15" t="str">
        <f>HYPERLINK("https://stat100.ameba.jp/tnk47/ratio20/illustrations/card/ill_81503_kurotengu03.jpg?201910-4-RELEASE-guildbattle-435", "■")</f>
        <v>■</v>
      </c>
      <c r="F413" s="1" t="s">
        <v>4777</v>
      </c>
      <c r="G413" s="1">
        <v>68172</v>
      </c>
      <c r="H413" s="1">
        <v>61832</v>
      </c>
      <c r="I413" s="1">
        <v>23</v>
      </c>
      <c r="J413" s="1" t="s">
        <v>73</v>
      </c>
      <c r="K413" s="1" t="s">
        <v>4778</v>
      </c>
      <c r="L413" s="1" t="s">
        <v>3835</v>
      </c>
      <c r="M413" s="1" t="s">
        <v>9158</v>
      </c>
      <c r="N413" s="1" t="s">
        <v>9158</v>
      </c>
      <c r="O413" s="1" t="s">
        <v>9158</v>
      </c>
      <c r="P413" s="1" t="s">
        <v>9158</v>
      </c>
      <c r="Q413" s="1" t="s">
        <v>9158</v>
      </c>
    </row>
    <row r="414" spans="1:17">
      <c r="A414" s="1">
        <v>71703</v>
      </c>
      <c r="B414" s="1" t="s">
        <v>7537</v>
      </c>
      <c r="C414" s="1" t="s">
        <v>206</v>
      </c>
      <c r="D414" s="19" t="s">
        <v>10543</v>
      </c>
      <c r="E414" s="15" t="str">
        <f>HYPERLINK("https://stat100.ameba.jp/tnk47/ratio20/illustrations/card/ill_71703_shokugyotaikenkusumotoine03.jpg?201910-4-RELEASE-guildbattle-435", "■")</f>
        <v>■</v>
      </c>
      <c r="F414" s="1" t="s">
        <v>7540</v>
      </c>
      <c r="G414" s="1">
        <v>68172</v>
      </c>
      <c r="H414" s="1">
        <v>61832</v>
      </c>
      <c r="I414" s="1">
        <v>23</v>
      </c>
      <c r="J414" s="1" t="s">
        <v>16</v>
      </c>
      <c r="K414" s="1" t="s">
        <v>7539</v>
      </c>
      <c r="L414" s="1" t="s">
        <v>7538</v>
      </c>
      <c r="M414" s="1" t="s">
        <v>9158</v>
      </c>
      <c r="N414" s="1" t="s">
        <v>9158</v>
      </c>
      <c r="O414" s="1" t="s">
        <v>9158</v>
      </c>
      <c r="P414" s="1" t="s">
        <v>9158</v>
      </c>
      <c r="Q414" s="1" t="s">
        <v>9158</v>
      </c>
    </row>
    <row r="415" spans="1:17">
      <c r="A415" s="1">
        <v>80683</v>
      </c>
      <c r="B415" s="1" t="s">
        <v>7537</v>
      </c>
      <c r="C415" s="1" t="s">
        <v>101</v>
      </c>
      <c r="D415" s="19" t="s">
        <v>10715</v>
      </c>
      <c r="E415" s="15" t="str">
        <f>HYPERLINK("https://stat100.ameba.jp/tnk47/ratio20/illustrations/card/ill_80683_nyugakushikimaedatoshiie03.jpg?201910-4-RELEASE-guildbattle-435", "■")</f>
        <v>■</v>
      </c>
      <c r="F415" s="1" t="s">
        <v>7543</v>
      </c>
      <c r="G415" s="1">
        <v>68172</v>
      </c>
      <c r="H415" s="1">
        <v>61832</v>
      </c>
      <c r="I415" s="1">
        <v>23</v>
      </c>
      <c r="J415" s="1" t="s">
        <v>143</v>
      </c>
      <c r="K415" s="1" t="s">
        <v>7542</v>
      </c>
      <c r="L415" s="1" t="s">
        <v>7541</v>
      </c>
      <c r="M415" s="1" t="s">
        <v>9158</v>
      </c>
      <c r="N415" s="1" t="s">
        <v>9158</v>
      </c>
      <c r="O415" s="1" t="s">
        <v>9158</v>
      </c>
      <c r="P415" s="1" t="s">
        <v>9158</v>
      </c>
      <c r="Q415" s="1" t="s">
        <v>9158</v>
      </c>
    </row>
    <row r="417" spans="1:17">
      <c r="A417" s="1" t="s">
        <v>7544</v>
      </c>
    </row>
    <row r="418" spans="1:17">
      <c r="A418" s="1" t="s">
        <v>7545</v>
      </c>
    </row>
    <row r="419" spans="1:17">
      <c r="A419" s="1" t="s">
        <v>5804</v>
      </c>
      <c r="B419" s="1" t="s">
        <v>52</v>
      </c>
      <c r="C419" s="1" t="s">
        <v>14</v>
      </c>
      <c r="D419" s="19" t="s">
        <v>3195</v>
      </c>
      <c r="E419" s="15" t="str">
        <f>HYPERLINK("https://stat100.ameba.jp/tnk47/ratio20/illustrations/card/ill_75393_0_resukuinotsukisamaniittausagi03.jpg?201910-4-RELEASE-guildbattle-435", "■")</f>
        <v>■</v>
      </c>
      <c r="F419" s="1" t="s">
        <v>3248</v>
      </c>
      <c r="G419" s="1">
        <v>250588</v>
      </c>
      <c r="H419" s="1">
        <v>232980</v>
      </c>
      <c r="I419" s="1">
        <v>22</v>
      </c>
      <c r="J419" s="1" t="s">
        <v>26</v>
      </c>
      <c r="K419" s="1" t="s">
        <v>3249</v>
      </c>
      <c r="L419" s="1" t="s">
        <v>3250</v>
      </c>
      <c r="M419" s="1" t="s">
        <v>9158</v>
      </c>
      <c r="N419" s="1" t="s">
        <v>9158</v>
      </c>
      <c r="O419" s="19" t="s">
        <v>10101</v>
      </c>
      <c r="P419" s="1" t="s">
        <v>3251</v>
      </c>
      <c r="Q419" s="1">
        <v>2</v>
      </c>
    </row>
    <row r="420" spans="1:17">
      <c r="A420" s="1">
        <v>72193</v>
      </c>
      <c r="B420" s="1" t="s">
        <v>334</v>
      </c>
      <c r="C420" s="1" t="s">
        <v>165</v>
      </c>
      <c r="D420" s="19" t="s">
        <v>3112</v>
      </c>
      <c r="E420" s="15" t="str">
        <f>HYPERLINK("https://stat100.ameba.jp/tnk47/ratio20/illustrations/card/ill_72193_koinoborikomyokogo03.jpg?201910-4-RELEASE-guildbattle-435", "■")</f>
        <v>■</v>
      </c>
      <c r="F420" s="1" t="s">
        <v>2539</v>
      </c>
      <c r="G420" s="1">
        <v>93746</v>
      </c>
      <c r="H420" s="1">
        <v>87128</v>
      </c>
      <c r="I420" s="1">
        <v>24</v>
      </c>
      <c r="J420" s="1" t="s">
        <v>10</v>
      </c>
      <c r="K420" s="1" t="s">
        <v>2540</v>
      </c>
      <c r="L420" s="1" t="s">
        <v>60</v>
      </c>
      <c r="M420" s="1" t="s">
        <v>9158</v>
      </c>
      <c r="N420" s="1" t="s">
        <v>9158</v>
      </c>
      <c r="O420" s="19" t="s">
        <v>10090</v>
      </c>
      <c r="P420" s="1" t="s">
        <v>3460</v>
      </c>
      <c r="Q420" s="1">
        <v>1</v>
      </c>
    </row>
    <row r="421" spans="1:17">
      <c r="A421" s="1">
        <v>73913</v>
      </c>
      <c r="B421" s="1" t="s">
        <v>334</v>
      </c>
      <c r="C421" s="1" t="s">
        <v>154</v>
      </c>
      <c r="D421" s="19" t="s">
        <v>3202</v>
      </c>
      <c r="E421" s="15" t="str">
        <f>HYPERLINK("https://stat100.ameba.jp/tnk47/ratio20/illustrations/card/ill_73913_atsutajingu03.jpg?201910-4-RELEASE-guildbattle-435", "■")</f>
        <v>■</v>
      </c>
      <c r="F421" s="1" t="s">
        <v>1207</v>
      </c>
      <c r="G421" s="1">
        <v>79348</v>
      </c>
      <c r="H421" s="1">
        <v>109554</v>
      </c>
      <c r="I421" s="1">
        <v>24</v>
      </c>
      <c r="J421" s="1" t="s">
        <v>44</v>
      </c>
      <c r="K421" s="1" t="s">
        <v>1208</v>
      </c>
      <c r="L421" s="1" t="s">
        <v>1209</v>
      </c>
      <c r="M421" s="1" t="s">
        <v>9158</v>
      </c>
      <c r="N421" s="1" t="s">
        <v>9158</v>
      </c>
      <c r="O421" s="19" t="s">
        <v>10074</v>
      </c>
      <c r="P421" s="1" t="s">
        <v>2822</v>
      </c>
      <c r="Q421" s="1">
        <v>1</v>
      </c>
    </row>
    <row r="422" spans="1:17">
      <c r="A422" s="1">
        <v>69513</v>
      </c>
      <c r="B422" s="1" t="s">
        <v>0</v>
      </c>
      <c r="C422" s="1" t="s">
        <v>158</v>
      </c>
      <c r="D422" s="19" t="s">
        <v>10265</v>
      </c>
      <c r="E422" s="15" t="str">
        <f>HYPERLINK("https://stat100.ameba.jp/tnk47/ratio20/illustrations/card/ill_69513_somedononokisaki03.jpg?201910-4-RELEASE-guildbattle-435", "■")</f>
        <v>■</v>
      </c>
      <c r="F422" s="1" t="s">
        <v>3674</v>
      </c>
      <c r="G422" s="1">
        <v>79348</v>
      </c>
      <c r="H422" s="1">
        <v>109554</v>
      </c>
      <c r="I422" s="1">
        <v>24</v>
      </c>
      <c r="J422" s="1" t="s">
        <v>187</v>
      </c>
      <c r="K422" s="1" t="s">
        <v>3675</v>
      </c>
      <c r="L422" s="1" t="s">
        <v>13187</v>
      </c>
      <c r="M422" s="1" t="s">
        <v>9158</v>
      </c>
      <c r="N422" s="1" t="s">
        <v>9158</v>
      </c>
      <c r="O422" s="19" t="s">
        <v>2752</v>
      </c>
      <c r="P422" s="1" t="s">
        <v>13173</v>
      </c>
      <c r="Q422" s="1">
        <v>1</v>
      </c>
    </row>
    <row r="424" spans="1:17">
      <c r="A424" s="1" t="s">
        <v>7546</v>
      </c>
    </row>
    <row r="425" spans="1:17">
      <c r="A425" s="1" t="s">
        <v>7548</v>
      </c>
    </row>
    <row r="426" spans="1:17">
      <c r="A426" s="1" t="s">
        <v>7547</v>
      </c>
    </row>
    <row r="427" spans="1:17" s="9" customFormat="1">
      <c r="A427" s="9" t="s">
        <v>11910</v>
      </c>
    </row>
    <row r="428" spans="1:17">
      <c r="A428" s="1" t="s">
        <v>7150</v>
      </c>
      <c r="B428" s="1" t="s">
        <v>52</v>
      </c>
      <c r="C428" s="1" t="s">
        <v>202</v>
      </c>
      <c r="D428" s="19" t="s">
        <v>10656</v>
      </c>
      <c r="E428" s="15" t="str">
        <f>HYPERLINK("https://stat100.ameba.jp/tnk47/ratio20/illustrations/card/ill_84203_0_tarottofujiwaranoshoshi03.jpg?201910-4-RELEASE-guildbattle-435", "■")</f>
        <v>■</v>
      </c>
      <c r="F428" s="1" t="s">
        <v>7153</v>
      </c>
      <c r="G428" s="1">
        <v>220780</v>
      </c>
      <c r="H428" s="1">
        <v>199554</v>
      </c>
      <c r="I428" s="1">
        <v>15</v>
      </c>
      <c r="J428" s="1" t="s">
        <v>10</v>
      </c>
      <c r="K428" s="1" t="s">
        <v>7152</v>
      </c>
      <c r="L428" s="1" t="s">
        <v>7151</v>
      </c>
      <c r="M428" s="1" t="s">
        <v>9158</v>
      </c>
      <c r="N428" s="1" t="s">
        <v>9158</v>
      </c>
      <c r="O428" s="19" t="s">
        <v>10128</v>
      </c>
      <c r="P428" s="1" t="s">
        <v>7154</v>
      </c>
      <c r="Q428" s="1">
        <v>1</v>
      </c>
    </row>
    <row r="429" spans="1:17">
      <c r="A429" s="1">
        <v>72303</v>
      </c>
      <c r="B429" s="1" t="s">
        <v>7549</v>
      </c>
      <c r="C429" s="1" t="s">
        <v>14</v>
      </c>
      <c r="D429" s="19" t="s">
        <v>10716</v>
      </c>
      <c r="E429" s="15" t="str">
        <f>HYPERLINK("https://stat100.ameba.jp/tnk47/ratio20/illustrations/card/ill_72303_yamakawafutaba03.jpg?201910-4-RELEASE-guildbattle-435", "■")</f>
        <v>■</v>
      </c>
      <c r="F429" s="1" t="s">
        <v>7552</v>
      </c>
      <c r="G429" s="1">
        <v>101373</v>
      </c>
      <c r="H429" s="1">
        <v>94295</v>
      </c>
      <c r="I429" s="1">
        <v>25</v>
      </c>
      <c r="J429" s="1" t="s">
        <v>16</v>
      </c>
      <c r="K429" s="1" t="s">
        <v>7551</v>
      </c>
      <c r="L429" s="1" t="s">
        <v>7550</v>
      </c>
      <c r="M429" s="1" t="s">
        <v>9158</v>
      </c>
      <c r="N429" s="1" t="s">
        <v>9158</v>
      </c>
      <c r="O429" s="1" t="s">
        <v>9158</v>
      </c>
      <c r="P429" s="1" t="s">
        <v>9158</v>
      </c>
      <c r="Q429" s="1" t="s">
        <v>9158</v>
      </c>
    </row>
    <row r="430" spans="1:17">
      <c r="A430" s="1">
        <v>81833</v>
      </c>
      <c r="B430" s="1" t="s">
        <v>7549</v>
      </c>
      <c r="C430" s="1" t="s">
        <v>200</v>
      </c>
      <c r="D430" s="19" t="s">
        <v>10191</v>
      </c>
      <c r="E430" s="15" t="str">
        <f>HYPERLINK("https://stat100.ameba.jp/tnk47/ratio20/illustrations/card/ill_81833_amehimenogyakushuhojotsunataka03.jpg?201910-4-RELEASE-guildbattle-435", "■")</f>
        <v>■</v>
      </c>
      <c r="F430" s="1" t="s">
        <v>7555</v>
      </c>
      <c r="G430" s="1">
        <v>148619</v>
      </c>
      <c r="H430" s="1">
        <v>138186</v>
      </c>
      <c r="I430" s="1">
        <v>25</v>
      </c>
      <c r="J430" s="1" t="s">
        <v>143</v>
      </c>
      <c r="K430" s="1" t="s">
        <v>7554</v>
      </c>
      <c r="L430" s="1" t="s">
        <v>7553</v>
      </c>
      <c r="M430" s="1" t="s">
        <v>9158</v>
      </c>
      <c r="N430" s="1" t="s">
        <v>9158</v>
      </c>
      <c r="O430" s="1" t="s">
        <v>9158</v>
      </c>
      <c r="P430" s="1" t="s">
        <v>9158</v>
      </c>
      <c r="Q430" s="1" t="s">
        <v>9158</v>
      </c>
    </row>
    <row r="431" spans="1:17">
      <c r="A431" s="1">
        <v>79713</v>
      </c>
      <c r="B431" s="1" t="s">
        <v>7549</v>
      </c>
      <c r="C431" s="1" t="s">
        <v>191</v>
      </c>
      <c r="D431" s="19" t="s">
        <v>10717</v>
      </c>
      <c r="E431" s="15" t="str">
        <f>HYPERLINK("https://stat100.ameba.jp/tnk47/ratio20/illustrations/card/ill_79713_yukinosaitembodeikonchan03.jpg?201910-4-RELEASE-guildbattle-435", "■")</f>
        <v>■</v>
      </c>
      <c r="F431" s="1" t="s">
        <v>7558</v>
      </c>
      <c r="G431" s="1">
        <v>113890</v>
      </c>
      <c r="H431" s="1">
        <v>105890</v>
      </c>
      <c r="I431" s="1">
        <v>25</v>
      </c>
      <c r="J431" s="1" t="s">
        <v>26</v>
      </c>
      <c r="K431" s="1" t="s">
        <v>7557</v>
      </c>
      <c r="L431" s="1" t="s">
        <v>7556</v>
      </c>
      <c r="M431" s="1" t="s">
        <v>9158</v>
      </c>
      <c r="N431" s="1" t="s">
        <v>9158</v>
      </c>
      <c r="O431" s="1" t="s">
        <v>9158</v>
      </c>
      <c r="P431" s="1" t="s">
        <v>9158</v>
      </c>
      <c r="Q431" s="1" t="s">
        <v>9158</v>
      </c>
    </row>
    <row r="432" spans="1:17">
      <c r="A432" s="1">
        <v>65013</v>
      </c>
      <c r="B432" s="1" t="s">
        <v>7549</v>
      </c>
      <c r="C432" s="1" t="s">
        <v>165</v>
      </c>
      <c r="D432" s="19" t="s">
        <v>2882</v>
      </c>
      <c r="E432" s="15" t="str">
        <f>HYPERLINK("https://stat100.ameba.jp/tnk47/ratio20/illustrations/card/ill_65013_showaretoropoppushibanosonome03.jpg?201910-4-RELEASE-guildbattle-435", "■")</f>
        <v>■</v>
      </c>
      <c r="F432" s="1" t="s">
        <v>7562</v>
      </c>
      <c r="G432" s="1">
        <v>97651</v>
      </c>
      <c r="H432" s="1">
        <v>90759</v>
      </c>
      <c r="I432" s="1">
        <v>25</v>
      </c>
      <c r="J432" s="1" t="s">
        <v>7561</v>
      </c>
      <c r="K432" s="1" t="s">
        <v>7560</v>
      </c>
      <c r="L432" s="1" t="s">
        <v>7559</v>
      </c>
      <c r="M432" s="1" t="s">
        <v>9158</v>
      </c>
      <c r="N432" s="1" t="s">
        <v>9158</v>
      </c>
      <c r="O432" s="1" t="s">
        <v>9158</v>
      </c>
      <c r="P432" s="1" t="s">
        <v>9158</v>
      </c>
      <c r="Q432" s="1" t="s">
        <v>9158</v>
      </c>
    </row>
    <row r="433" spans="1:17">
      <c r="A433" s="1">
        <v>60693</v>
      </c>
      <c r="B433" s="1" t="s">
        <v>7549</v>
      </c>
      <c r="C433" s="1" t="s">
        <v>205</v>
      </c>
      <c r="D433" s="19" t="s">
        <v>10718</v>
      </c>
      <c r="E433" s="15" t="str">
        <f>HYPERLINK("https://stat100.ameba.jp/tnk47/ratio20/illustrations/card/ill_60693_isutabanigohime03.jpg?201910-4-RELEASE-guildbattle-435", "■")</f>
        <v>■</v>
      </c>
      <c r="F433" s="1" t="s">
        <v>7566</v>
      </c>
      <c r="G433" s="1">
        <v>97651</v>
      </c>
      <c r="H433" s="1">
        <v>90759</v>
      </c>
      <c r="I433" s="1">
        <v>25</v>
      </c>
      <c r="J433" s="1" t="s">
        <v>7565</v>
      </c>
      <c r="K433" s="1" t="s">
        <v>7564</v>
      </c>
      <c r="L433" s="1" t="s">
        <v>7563</v>
      </c>
      <c r="M433" s="1" t="s">
        <v>9158</v>
      </c>
      <c r="N433" s="1" t="s">
        <v>9158</v>
      </c>
      <c r="O433" s="1" t="s">
        <v>9158</v>
      </c>
      <c r="P433" s="1" t="s">
        <v>9158</v>
      </c>
      <c r="Q433" s="1" t="s">
        <v>9158</v>
      </c>
    </row>
    <row r="434" spans="1:17">
      <c r="A434" s="1">
        <v>37263</v>
      </c>
      <c r="B434" s="1" t="s">
        <v>7549</v>
      </c>
      <c r="C434" s="1" t="s">
        <v>206</v>
      </c>
      <c r="D434" s="19" t="s">
        <v>10719</v>
      </c>
      <c r="E434" s="15" t="str">
        <f>HYPERLINK("https://stat100.ameba.jp/tnk47/ratio20/illustrations/card/ill_37263_shishirianraisu03.jpg?201910-4-RELEASE-guildbattle-435", "■")</f>
        <v>■</v>
      </c>
      <c r="F434" s="1" t="s">
        <v>7569</v>
      </c>
      <c r="G434" s="1">
        <v>96360</v>
      </c>
      <c r="H434" s="1">
        <v>89590</v>
      </c>
      <c r="I434" s="1">
        <v>25</v>
      </c>
      <c r="J434" s="1" t="s">
        <v>104</v>
      </c>
      <c r="K434" s="1" t="s">
        <v>7568</v>
      </c>
      <c r="L434" s="1" t="s">
        <v>7567</v>
      </c>
      <c r="M434" s="1" t="s">
        <v>9158</v>
      </c>
      <c r="N434" s="1" t="s">
        <v>9158</v>
      </c>
      <c r="O434" s="1" t="s">
        <v>9158</v>
      </c>
      <c r="P434" s="1" t="s">
        <v>9158</v>
      </c>
      <c r="Q434" s="1" t="s">
        <v>9158</v>
      </c>
    </row>
    <row r="436" spans="1:17">
      <c r="A436" s="1" t="s">
        <v>7570</v>
      </c>
    </row>
    <row r="437" spans="1:17">
      <c r="A437" s="1" t="s">
        <v>7571</v>
      </c>
    </row>
    <row r="438" spans="1:17">
      <c r="A438" s="1" t="s">
        <v>5733</v>
      </c>
      <c r="B438" s="1" t="s">
        <v>330</v>
      </c>
      <c r="C438" s="1" t="s">
        <v>202</v>
      </c>
      <c r="D438" s="19" t="s">
        <v>2744</v>
      </c>
      <c r="E438" s="15" t="str">
        <f>HYPERLINK("https://stat100.ameba.jp/tnk47/ratio20/illustrations/card/ill_78693_0_kyupittokoinomikoto03.jpg?201910-4-RELEASE-guildbattle-435", "■")</f>
        <v>■</v>
      </c>
      <c r="F438" s="1" t="s">
        <v>2745</v>
      </c>
      <c r="G438" s="1">
        <v>157198</v>
      </c>
      <c r="H438" s="1">
        <v>173933</v>
      </c>
      <c r="I438" s="1">
        <v>15</v>
      </c>
      <c r="J438" s="1" t="s">
        <v>274</v>
      </c>
      <c r="K438" s="1" t="s">
        <v>2746</v>
      </c>
      <c r="L438" s="1" t="s">
        <v>2747</v>
      </c>
      <c r="M438" s="1" t="s">
        <v>9158</v>
      </c>
      <c r="N438" s="1" t="s">
        <v>9158</v>
      </c>
      <c r="O438" s="19" t="s">
        <v>10097</v>
      </c>
      <c r="P438" s="1" t="s">
        <v>2748</v>
      </c>
      <c r="Q438" s="1">
        <v>1</v>
      </c>
    </row>
    <row r="439" spans="1:17">
      <c r="A439" s="1" t="s">
        <v>6030</v>
      </c>
      <c r="B439" s="1" t="s">
        <v>52</v>
      </c>
      <c r="C439" s="1" t="s">
        <v>202</v>
      </c>
      <c r="D439" s="19" t="s">
        <v>10453</v>
      </c>
      <c r="E439" s="15" t="str">
        <f>HYPERLINK("https://stat100.ameba.jp/tnk47/ratio20/illustrations/card/ill_80023_0_hinamatsurikyogokumaria03.jpg?201910-4-RELEASE-guildbattle-435", "■")</f>
        <v>■</v>
      </c>
      <c r="F439" s="1" t="s">
        <v>3709</v>
      </c>
      <c r="G439" s="1">
        <v>202144</v>
      </c>
      <c r="H439" s="1">
        <v>223681</v>
      </c>
      <c r="I439" s="1">
        <v>15</v>
      </c>
      <c r="J439" s="1" t="s">
        <v>26</v>
      </c>
      <c r="K439" s="1" t="s">
        <v>3710</v>
      </c>
      <c r="L439" s="1" t="s">
        <v>3711</v>
      </c>
      <c r="M439" s="1" t="s">
        <v>9158</v>
      </c>
      <c r="N439" s="1" t="s">
        <v>9158</v>
      </c>
      <c r="O439" s="19" t="s">
        <v>10116</v>
      </c>
      <c r="P439" s="1" t="s">
        <v>3713</v>
      </c>
      <c r="Q439" s="1">
        <v>1</v>
      </c>
    </row>
    <row r="440" spans="1:17">
      <c r="A440" s="1" t="s">
        <v>5830</v>
      </c>
      <c r="B440" s="1" t="s">
        <v>330</v>
      </c>
      <c r="C440" s="1" t="s">
        <v>191</v>
      </c>
      <c r="D440" s="19" t="s">
        <v>793</v>
      </c>
      <c r="E440" s="15" t="str">
        <f>HYPERLINK("https://stat100.ameba.jp/tnk47/ratio20/illustrations/card/ill_39933_0_reihiiinaotora03.jpg?201910-4-RELEASE-guildbattle-435", "■")</f>
        <v>■</v>
      </c>
      <c r="F440" s="1" t="s">
        <v>794</v>
      </c>
      <c r="G440" s="1">
        <v>82212</v>
      </c>
      <c r="H440" s="1">
        <v>87780</v>
      </c>
      <c r="I440" s="1">
        <v>15</v>
      </c>
      <c r="J440" s="1" t="s">
        <v>315</v>
      </c>
      <c r="K440" s="1" t="s">
        <v>795</v>
      </c>
      <c r="L440" s="1" t="s">
        <v>796</v>
      </c>
      <c r="M440" s="1" t="s">
        <v>9158</v>
      </c>
      <c r="N440" s="1" t="s">
        <v>9158</v>
      </c>
      <c r="O440" s="1" t="s">
        <v>9158</v>
      </c>
      <c r="P440" s="1" t="s">
        <v>9158</v>
      </c>
      <c r="Q440" s="1" t="s">
        <v>9158</v>
      </c>
    </row>
    <row r="441" spans="1:17">
      <c r="A441" s="1">
        <v>84523</v>
      </c>
      <c r="B441" s="1" t="s">
        <v>7572</v>
      </c>
      <c r="C441" s="1" t="s">
        <v>165</v>
      </c>
      <c r="D441" s="19" t="s">
        <v>10720</v>
      </c>
      <c r="E441" s="15" t="str">
        <f>HYPERLINK("https://stat100.ameba.jp/tnk47/ratio20/illustrations/card/ill_84523_haroinhoihoibi03.jpg?201910-4-RELEASE-guildbattle-435", "■")</f>
        <v>■</v>
      </c>
      <c r="F441" s="1" t="s">
        <v>7580</v>
      </c>
      <c r="G441" s="1">
        <v>99132</v>
      </c>
      <c r="H441" s="1">
        <v>176200</v>
      </c>
      <c r="I441" s="1">
        <v>24</v>
      </c>
      <c r="J441" s="1" t="s">
        <v>320</v>
      </c>
      <c r="K441" s="1" t="s">
        <v>7579</v>
      </c>
      <c r="L441" s="1" t="s">
        <v>7578</v>
      </c>
      <c r="M441" s="1" t="s">
        <v>9158</v>
      </c>
      <c r="N441" s="1" t="s">
        <v>9158</v>
      </c>
      <c r="O441" s="1" t="s">
        <v>9158</v>
      </c>
      <c r="P441" s="1" t="s">
        <v>9158</v>
      </c>
      <c r="Q441" s="1" t="s">
        <v>9158</v>
      </c>
    </row>
    <row r="442" spans="1:17">
      <c r="A442" s="1">
        <v>84763</v>
      </c>
      <c r="B442" s="1" t="s">
        <v>7572</v>
      </c>
      <c r="C442" s="1" t="s">
        <v>7574</v>
      </c>
      <c r="D442" s="19" t="s">
        <v>10721</v>
      </c>
      <c r="E442" s="15" t="str">
        <f>HYPERLINK("https://stat100.ameba.jp/tnk47/ratio20/illustrations/card/ill_84763_haroimmajodeyone03.jpg?201910-4-RELEASE-guildbattle-435", "■")</f>
        <v>■</v>
      </c>
      <c r="F442" s="1" t="s">
        <v>7583</v>
      </c>
      <c r="G442" s="1">
        <v>67636</v>
      </c>
      <c r="H442" s="1">
        <v>120204</v>
      </c>
      <c r="I442" s="1">
        <v>24</v>
      </c>
      <c r="J442" s="1" t="s">
        <v>16</v>
      </c>
      <c r="K442" s="1" t="s">
        <v>7582</v>
      </c>
      <c r="L442" s="1" t="s">
        <v>7581</v>
      </c>
      <c r="M442" s="1" t="s">
        <v>9158</v>
      </c>
      <c r="N442" s="1" t="s">
        <v>9158</v>
      </c>
      <c r="O442" s="1" t="s">
        <v>9158</v>
      </c>
      <c r="P442" s="1" t="s">
        <v>9158</v>
      </c>
      <c r="Q442" s="1" t="s">
        <v>9158</v>
      </c>
    </row>
    <row r="443" spans="1:17">
      <c r="A443" s="1">
        <v>73513</v>
      </c>
      <c r="B443" s="1" t="s">
        <v>7572</v>
      </c>
      <c r="C443" s="1" t="s">
        <v>7575</v>
      </c>
      <c r="D443" s="19" t="s">
        <v>10722</v>
      </c>
      <c r="E443" s="15" t="str">
        <f>HYPERLINK("https://stat100.ameba.jp/tnk47/ratio20/illustrations/card/ill_73513_shimazutokiwa03.jpg?201910-4-RELEASE-guildbattle-435", "■")</f>
        <v>■</v>
      </c>
      <c r="F443" s="1" t="s">
        <v>7586</v>
      </c>
      <c r="G443" s="1">
        <v>62414</v>
      </c>
      <c r="H443" s="1">
        <v>110924</v>
      </c>
      <c r="I443" s="1">
        <v>23</v>
      </c>
      <c r="J443" s="1" t="s">
        <v>77</v>
      </c>
      <c r="K443" s="1" t="s">
        <v>7585</v>
      </c>
      <c r="L443" s="1" t="s">
        <v>7584</v>
      </c>
      <c r="M443" s="1" t="s">
        <v>9158</v>
      </c>
      <c r="N443" s="1" t="s">
        <v>9158</v>
      </c>
      <c r="O443" s="1" t="s">
        <v>9158</v>
      </c>
      <c r="P443" s="1" t="s">
        <v>9158</v>
      </c>
      <c r="Q443" s="1" t="s">
        <v>9158</v>
      </c>
    </row>
    <row r="444" spans="1:17">
      <c r="A444" s="1">
        <v>68473</v>
      </c>
      <c r="B444" s="1" t="s">
        <v>7573</v>
      </c>
      <c r="C444" s="1" t="s">
        <v>7576</v>
      </c>
      <c r="D444" s="19" t="s">
        <v>10510</v>
      </c>
      <c r="E444" s="15" t="str">
        <f>HYPERLINK("https://stat100.ameba.jp/tnk47/ratio20/illustrations/card/ill_68473_sunogurabianakanotakeko03.jpg?201910-4-RELEASE-guildbattle-435", "■")</f>
        <v>■</v>
      </c>
      <c r="F444" s="1" t="s">
        <v>7589</v>
      </c>
      <c r="G444" s="1">
        <v>61832</v>
      </c>
      <c r="H444" s="1">
        <v>68172</v>
      </c>
      <c r="I444" s="1">
        <v>23</v>
      </c>
      <c r="J444" s="1" t="s">
        <v>143</v>
      </c>
      <c r="K444" s="1" t="s">
        <v>7588</v>
      </c>
      <c r="L444" s="1" t="s">
        <v>7587</v>
      </c>
      <c r="M444" s="1" t="s">
        <v>9158</v>
      </c>
      <c r="N444" s="1" t="s">
        <v>9158</v>
      </c>
      <c r="O444" s="1" t="s">
        <v>9158</v>
      </c>
      <c r="P444" s="1" t="s">
        <v>9158</v>
      </c>
      <c r="Q444" s="1" t="s">
        <v>9158</v>
      </c>
    </row>
    <row r="445" spans="1:17">
      <c r="A445" s="1">
        <v>77443</v>
      </c>
      <c r="B445" s="1" t="s">
        <v>7573</v>
      </c>
      <c r="C445" s="1" t="s">
        <v>7577</v>
      </c>
      <c r="D445" s="19" t="s">
        <v>1666</v>
      </c>
      <c r="E445" s="15" t="str">
        <f>HYPERLINK("https://stat100.ameba.jp/tnk47/ratio20/illustrations/card/ill_77443_kaiinu03.jpg?201910-4-RELEASE-guildbattle-435", "■")</f>
        <v>■</v>
      </c>
      <c r="F445" s="1" t="s">
        <v>7592</v>
      </c>
      <c r="G445" s="1">
        <v>61832</v>
      </c>
      <c r="H445" s="1">
        <v>68172</v>
      </c>
      <c r="I445" s="1">
        <v>23</v>
      </c>
      <c r="J445" s="1" t="s">
        <v>26</v>
      </c>
      <c r="K445" s="1" t="s">
        <v>7591</v>
      </c>
      <c r="L445" s="1" t="s">
        <v>7590</v>
      </c>
      <c r="M445" s="1" t="s">
        <v>9158</v>
      </c>
      <c r="N445" s="1" t="s">
        <v>9158</v>
      </c>
      <c r="O445" s="1" t="s">
        <v>9158</v>
      </c>
      <c r="P445" s="1" t="s">
        <v>9158</v>
      </c>
      <c r="Q445" s="1" t="s">
        <v>9158</v>
      </c>
    </row>
    <row r="446" spans="1:17">
      <c r="A446" s="1">
        <v>81993</v>
      </c>
      <c r="B446" s="1" t="s">
        <v>7573</v>
      </c>
      <c r="C446" s="1" t="s">
        <v>7575</v>
      </c>
      <c r="D446" s="19" t="s">
        <v>10207</v>
      </c>
      <c r="E446" s="15" t="str">
        <f>HYPERLINK("https://stat100.ameba.jp/tnk47/ratio20/illustrations/card/ill_81993_hinohikarichan03.jpg?201910-4-RELEASE-guildbattle-435", "■")</f>
        <v>■</v>
      </c>
      <c r="F446" s="1" t="s">
        <v>7595</v>
      </c>
      <c r="G446" s="1">
        <v>61832</v>
      </c>
      <c r="H446" s="1">
        <v>68172</v>
      </c>
      <c r="I446" s="1">
        <v>23</v>
      </c>
      <c r="J446" s="1" t="s">
        <v>104</v>
      </c>
      <c r="K446" s="1" t="s">
        <v>7594</v>
      </c>
      <c r="L446" s="1" t="s">
        <v>7593</v>
      </c>
      <c r="M446" s="1" t="s">
        <v>9158</v>
      </c>
      <c r="N446" s="1" t="s">
        <v>9158</v>
      </c>
      <c r="O446" s="1" t="s">
        <v>9158</v>
      </c>
      <c r="P446" s="1" t="s">
        <v>9158</v>
      </c>
      <c r="Q446" s="1" t="s">
        <v>9158</v>
      </c>
    </row>
    <row r="448" spans="1:17">
      <c r="A448" s="1" t="s">
        <v>7596</v>
      </c>
    </row>
    <row r="449" spans="1:19">
      <c r="A449" s="1" t="s">
        <v>7597</v>
      </c>
    </row>
    <row r="450" spans="1:19">
      <c r="A450" s="1" t="s">
        <v>6508</v>
      </c>
      <c r="B450" s="1" t="s">
        <v>330</v>
      </c>
      <c r="C450" s="1" t="s">
        <v>35</v>
      </c>
      <c r="D450" s="19" t="s">
        <v>10168</v>
      </c>
      <c r="E450" s="15" t="str">
        <f>HYPERLINK("https://stat100.ameba.jp/tnk47/ratio20/illustrations/card/ill_81783_0_denshagarukoteipenginchan03.jpg?201910-4-RELEASE-guildbattle-435", "■")</f>
        <v>■</v>
      </c>
      <c r="F450" s="1" t="s">
        <v>4834</v>
      </c>
      <c r="G450" s="1">
        <v>279102</v>
      </c>
      <c r="H450" s="1">
        <v>252236</v>
      </c>
      <c r="I450" s="1">
        <v>24</v>
      </c>
      <c r="J450" s="1" t="s">
        <v>26</v>
      </c>
      <c r="K450" s="1" t="s">
        <v>4836</v>
      </c>
      <c r="L450" s="1" t="s">
        <v>1783</v>
      </c>
      <c r="M450" s="1" t="s">
        <v>9158</v>
      </c>
      <c r="N450" s="1" t="s">
        <v>9158</v>
      </c>
      <c r="O450" s="19" t="s">
        <v>10124</v>
      </c>
      <c r="P450" s="1" t="s">
        <v>4838</v>
      </c>
      <c r="Q450" s="1">
        <v>1</v>
      </c>
    </row>
    <row r="451" spans="1:19">
      <c r="A451" s="1">
        <v>81743</v>
      </c>
      <c r="B451" s="1" t="s">
        <v>334</v>
      </c>
      <c r="C451" s="1" t="s">
        <v>107</v>
      </c>
      <c r="D451" s="19" t="s">
        <v>10171</v>
      </c>
      <c r="E451" s="15" t="str">
        <f>HYPERLINK("https://stat100.ameba.jp/tnk47/ratio20/illustrations/card/ill_81743_denshagarusakyogabashinohebi03.jpg?201910-4-RELEASE-guildbattle-435", "■")</f>
        <v>■</v>
      </c>
      <c r="F451" s="1" t="s">
        <v>4853</v>
      </c>
      <c r="G451" s="1">
        <v>109528</v>
      </c>
      <c r="H451" s="1">
        <v>101656</v>
      </c>
      <c r="I451" s="1">
        <v>24</v>
      </c>
      <c r="J451" s="1" t="s">
        <v>38</v>
      </c>
      <c r="K451" s="1" t="s">
        <v>4855</v>
      </c>
      <c r="L451" s="1" t="s">
        <v>4856</v>
      </c>
      <c r="M451" s="1" t="s">
        <v>9158</v>
      </c>
      <c r="N451" s="1" t="s">
        <v>9158</v>
      </c>
      <c r="O451" s="19" t="s">
        <v>10091</v>
      </c>
      <c r="P451" s="1" t="s">
        <v>3670</v>
      </c>
      <c r="Q451" s="1">
        <v>1</v>
      </c>
    </row>
    <row r="452" spans="1:19">
      <c r="A452" s="1">
        <v>81143</v>
      </c>
      <c r="B452" s="1" t="s">
        <v>334</v>
      </c>
      <c r="C452" s="1" t="s">
        <v>205</v>
      </c>
      <c r="D452" s="19" t="s">
        <v>10419</v>
      </c>
      <c r="E452" s="15" t="str">
        <f>HYPERLINK("https://stat100.ameba.jp/tnk47/ratio20/illustrations/card/ill_81143_shinryokunokisetsumerompan03.jpg?201910-4-RELEASE-guildbattle-435", "■")</f>
        <v>■</v>
      </c>
      <c r="F452" s="1" t="s">
        <v>4517</v>
      </c>
      <c r="G452" s="1">
        <v>113340</v>
      </c>
      <c r="H452" s="1">
        <v>105394</v>
      </c>
      <c r="I452" s="1">
        <v>24</v>
      </c>
      <c r="J452" s="1" t="s">
        <v>104</v>
      </c>
      <c r="K452" s="1" t="s">
        <v>4518</v>
      </c>
      <c r="L452" s="1" t="s">
        <v>3489</v>
      </c>
      <c r="M452" s="1" t="s">
        <v>9158</v>
      </c>
      <c r="N452" s="1" t="s">
        <v>9158</v>
      </c>
      <c r="O452" s="19" t="s">
        <v>10111</v>
      </c>
      <c r="P452" s="1" t="s">
        <v>3610</v>
      </c>
      <c r="Q452" s="1">
        <v>1</v>
      </c>
    </row>
    <row r="453" spans="1:19">
      <c r="A453" s="1">
        <v>75333</v>
      </c>
      <c r="B453" s="1" t="s">
        <v>334</v>
      </c>
      <c r="C453" s="1" t="s">
        <v>200</v>
      </c>
      <c r="D453" s="19" t="s">
        <v>3206</v>
      </c>
      <c r="E453" s="15" t="str">
        <f>HYPERLINK("https://stat100.ameba.jp/tnk47/ratio20/illustrations/card/ill_75333_resukuintamamonomae03.jpg?201910-4-RELEASE-guildbattle-435", "■")</f>
        <v>■</v>
      </c>
      <c r="F453" s="1" t="s">
        <v>3207</v>
      </c>
      <c r="G453" s="1">
        <v>92996</v>
      </c>
      <c r="H453" s="1">
        <v>99996</v>
      </c>
      <c r="I453" s="1">
        <v>24</v>
      </c>
      <c r="J453" s="1" t="s">
        <v>320</v>
      </c>
      <c r="K453" s="1" t="s">
        <v>3208</v>
      </c>
      <c r="L453" s="1" t="s">
        <v>3209</v>
      </c>
      <c r="M453" s="1" t="s">
        <v>9158</v>
      </c>
      <c r="N453" s="1" t="s">
        <v>9158</v>
      </c>
      <c r="O453" s="19" t="s">
        <v>10074</v>
      </c>
      <c r="P453" s="1" t="s">
        <v>2822</v>
      </c>
      <c r="Q453" s="1">
        <v>1</v>
      </c>
    </row>
    <row r="455" spans="1:19">
      <c r="A455" s="1" t="s">
        <v>7598</v>
      </c>
    </row>
    <row r="456" spans="1:19">
      <c r="A456" s="1" t="s">
        <v>7599</v>
      </c>
    </row>
    <row r="457" spans="1:19">
      <c r="A457" s="1" t="s">
        <v>5615</v>
      </c>
      <c r="B457" s="1" t="s">
        <v>330</v>
      </c>
      <c r="C457" s="1" t="s">
        <v>206</v>
      </c>
      <c r="D457" s="19" t="s">
        <v>2814</v>
      </c>
      <c r="E457" s="15" t="str">
        <f>HYPERLINK("https://stat100.ameba.jp/tnk47/ratio20/illustrations/card/ill_57733_0_shogatsunisenjunanaamakusashiro03.jpg?201910-4-RELEASE-guildbattle-435", "■")</f>
        <v>■</v>
      </c>
      <c r="F457" s="1" t="s">
        <v>2815</v>
      </c>
      <c r="G457" s="1">
        <v>83712</v>
      </c>
      <c r="H457" s="1">
        <v>94236</v>
      </c>
      <c r="I457" s="1">
        <v>15</v>
      </c>
      <c r="J457" s="1" t="s">
        <v>351</v>
      </c>
      <c r="K457" s="1" t="s">
        <v>2816</v>
      </c>
      <c r="L457" s="1" t="s">
        <v>2817</v>
      </c>
      <c r="M457" s="1" t="s">
        <v>9158</v>
      </c>
      <c r="N457" s="1" t="s">
        <v>9158</v>
      </c>
      <c r="O457" s="19" t="s">
        <v>10077</v>
      </c>
      <c r="P457" s="1" t="s">
        <v>3062</v>
      </c>
      <c r="Q457" s="1">
        <v>1</v>
      </c>
    </row>
    <row r="458" spans="1:19">
      <c r="A458" s="1" t="s">
        <v>5617</v>
      </c>
      <c r="B458" s="1" t="s">
        <v>330</v>
      </c>
      <c r="C458" s="1" t="s">
        <v>165</v>
      </c>
      <c r="D458" s="19" t="s">
        <v>385</v>
      </c>
      <c r="E458" s="15" t="str">
        <f>HYPERLINK("https://stat100.ameba.jp/tnk47/ratio20/illustrations/card/ill_59673_0_oheyashutendoji03.jpg?201910-4-RELEASE-guildbattle-435", "■")</f>
        <v>■</v>
      </c>
      <c r="F458" s="1" t="s">
        <v>983</v>
      </c>
      <c r="G458" s="1">
        <v>105545</v>
      </c>
      <c r="H458" s="1">
        <v>113525</v>
      </c>
      <c r="I458" s="1">
        <v>15</v>
      </c>
      <c r="J458" s="1" t="s">
        <v>73</v>
      </c>
      <c r="K458" s="1" t="s">
        <v>984</v>
      </c>
      <c r="L458" s="1" t="s">
        <v>985</v>
      </c>
      <c r="M458" s="1" t="s">
        <v>9158</v>
      </c>
      <c r="N458" s="1" t="s">
        <v>9158</v>
      </c>
      <c r="O458" s="19" t="s">
        <v>10078</v>
      </c>
      <c r="P458" s="1" t="s">
        <v>3022</v>
      </c>
      <c r="Q458" s="1">
        <v>1</v>
      </c>
    </row>
    <row r="459" spans="1:19">
      <c r="A459" s="1" t="s">
        <v>5820</v>
      </c>
      <c r="B459" s="1" t="s">
        <v>330</v>
      </c>
      <c r="C459" s="1" t="s">
        <v>271</v>
      </c>
      <c r="D459" s="19" t="s">
        <v>630</v>
      </c>
      <c r="E459" s="15" t="str">
        <f>HYPERLINK("https://stat100.ameba.jp/tnk47/ratio20/illustrations/card/ill_48283_0_kyuubitamamonomae03.jpg?201910-4-RELEASE-guildbattle-435", "■")</f>
        <v>■</v>
      </c>
      <c r="F459" s="1" t="s">
        <v>631</v>
      </c>
      <c r="G459" s="1">
        <v>94236</v>
      </c>
      <c r="H459" s="1">
        <v>83712</v>
      </c>
      <c r="I459" s="1">
        <v>15</v>
      </c>
      <c r="J459" s="1" t="s">
        <v>320</v>
      </c>
      <c r="K459" s="1" t="s">
        <v>632</v>
      </c>
      <c r="L459" s="1" t="s">
        <v>633</v>
      </c>
      <c r="M459" s="1" t="s">
        <v>9158</v>
      </c>
      <c r="N459" s="1" t="s">
        <v>9158</v>
      </c>
      <c r="O459" s="1" t="s">
        <v>9158</v>
      </c>
      <c r="P459" s="1" t="s">
        <v>9158</v>
      </c>
      <c r="Q459" s="1" t="s">
        <v>9158</v>
      </c>
    </row>
    <row r="460" spans="1:19">
      <c r="A460" s="1">
        <v>80323</v>
      </c>
      <c r="B460" s="1" t="s">
        <v>334</v>
      </c>
      <c r="C460" s="1" t="s">
        <v>7600</v>
      </c>
      <c r="D460" s="19" t="s">
        <v>11862</v>
      </c>
      <c r="E460" s="15" t="str">
        <f>HYPERLINK("https://stat100.ameba.jp/tnk47/ratio20/illustrations/card/ill_80323_seibugekitokugawayoshinobu03.jpg?201910-4-RELEASE-guildbattle-435", "■")</f>
        <v>■</v>
      </c>
      <c r="F460" s="1" t="s">
        <v>7606</v>
      </c>
      <c r="G460" s="1">
        <v>97651</v>
      </c>
      <c r="H460" s="1">
        <v>90759</v>
      </c>
      <c r="I460" s="1">
        <v>25</v>
      </c>
      <c r="J460" s="1" t="s">
        <v>351</v>
      </c>
      <c r="K460" s="1" t="s">
        <v>7605</v>
      </c>
      <c r="L460" s="1" t="s">
        <v>7604</v>
      </c>
      <c r="M460" s="1" t="s">
        <v>9158</v>
      </c>
      <c r="N460" s="1" t="s">
        <v>9158</v>
      </c>
      <c r="O460" s="1" t="s">
        <v>9158</v>
      </c>
      <c r="P460" s="1" t="s">
        <v>9158</v>
      </c>
      <c r="Q460" s="1" t="s">
        <v>9158</v>
      </c>
      <c r="S460" s="14" t="s">
        <v>11863</v>
      </c>
    </row>
    <row r="461" spans="1:19">
      <c r="A461" s="1">
        <v>80273</v>
      </c>
      <c r="B461" s="1" t="s">
        <v>334</v>
      </c>
      <c r="C461" s="1" t="s">
        <v>7601</v>
      </c>
      <c r="D461" s="19" t="s">
        <v>11864</v>
      </c>
      <c r="E461" s="15" t="str">
        <f>HYPERLINK("https://stat100.ameba.jp/tnk47/ratio20/illustrations/card/ill_80273_howaitodetonkotsuramen03.jpg?201910-4-RELEASE-guildbattle-435", "■")</f>
        <v>■</v>
      </c>
      <c r="F461" s="1" t="s">
        <v>7609</v>
      </c>
      <c r="G461" s="1">
        <v>118063</v>
      </c>
      <c r="H461" s="1">
        <v>109786</v>
      </c>
      <c r="I461" s="1">
        <v>25</v>
      </c>
      <c r="J461" s="1" t="s">
        <v>104</v>
      </c>
      <c r="K461" s="1" t="s">
        <v>7608</v>
      </c>
      <c r="L461" s="1" t="s">
        <v>7607</v>
      </c>
      <c r="M461" s="1" t="s">
        <v>9158</v>
      </c>
      <c r="N461" s="1" t="s">
        <v>9158</v>
      </c>
      <c r="O461" s="1" t="s">
        <v>9158</v>
      </c>
      <c r="P461" s="1" t="s">
        <v>9158</v>
      </c>
      <c r="Q461" s="1" t="s">
        <v>9158</v>
      </c>
      <c r="S461" s="14" t="s">
        <v>11865</v>
      </c>
    </row>
    <row r="462" spans="1:19">
      <c r="A462" s="1">
        <v>79873</v>
      </c>
      <c r="B462" s="1" t="s">
        <v>334</v>
      </c>
      <c r="C462" s="1" t="s">
        <v>7602</v>
      </c>
      <c r="D462" s="19" t="s">
        <v>11866</v>
      </c>
      <c r="E462" s="15" t="str">
        <f>HYPERLINK("https://stat100.ameba.jp/tnk47/ratio20/illustrations/card/ill_79873_kafunshuraihoshigamisama03.jpg?201910-4-RELEASE-guildbattle-435", "■")</f>
        <v>■</v>
      </c>
      <c r="F462" s="1" t="s">
        <v>7613</v>
      </c>
      <c r="G462" s="1">
        <v>94802</v>
      </c>
      <c r="H462" s="1">
        <v>101971</v>
      </c>
      <c r="I462" s="1">
        <v>25</v>
      </c>
      <c r="J462" s="1" t="s">
        <v>7612</v>
      </c>
      <c r="K462" s="1" t="s">
        <v>7611</v>
      </c>
      <c r="L462" s="1" t="s">
        <v>7610</v>
      </c>
      <c r="M462" s="1" t="s">
        <v>9158</v>
      </c>
      <c r="N462" s="1" t="s">
        <v>9158</v>
      </c>
      <c r="O462" s="1" t="s">
        <v>9158</v>
      </c>
      <c r="P462" s="1" t="s">
        <v>9158</v>
      </c>
      <c r="Q462" s="1" t="s">
        <v>9158</v>
      </c>
      <c r="S462" s="14" t="s">
        <v>11867</v>
      </c>
    </row>
    <row r="463" spans="1:19">
      <c r="A463" s="1">
        <v>77813</v>
      </c>
      <c r="B463" s="1" t="s">
        <v>7573</v>
      </c>
      <c r="C463" s="1" t="s">
        <v>7603</v>
      </c>
      <c r="D463" s="19" t="s">
        <v>10723</v>
      </c>
      <c r="E463" s="15" t="str">
        <f>HYPERLINK("https://stat100.ameba.jp/tnk47/ratio20/illustrations/card/ill_77813_tsukiyamajinjaouchiyoshitaka03.jpg?201910-4-RELEASE-guildbattle-435", "■")</f>
        <v>■</v>
      </c>
      <c r="F463" s="1" t="s">
        <v>7616</v>
      </c>
      <c r="G463" s="1">
        <v>62244</v>
      </c>
      <c r="H463" s="1">
        <v>62244</v>
      </c>
      <c r="I463" s="1">
        <v>21</v>
      </c>
      <c r="J463" s="1" t="s">
        <v>143</v>
      </c>
      <c r="K463" s="1" t="s">
        <v>7615</v>
      </c>
      <c r="L463" s="1" t="s">
        <v>7614</v>
      </c>
      <c r="M463" s="1" t="s">
        <v>9158</v>
      </c>
      <c r="N463" s="1" t="s">
        <v>9158</v>
      </c>
      <c r="O463" s="1" t="s">
        <v>9158</v>
      </c>
      <c r="P463" s="1" t="s">
        <v>9158</v>
      </c>
      <c r="Q463" s="1" t="s">
        <v>9158</v>
      </c>
      <c r="S463" s="14" t="s">
        <v>11841</v>
      </c>
    </row>
    <row r="464" spans="1:19">
      <c r="A464" s="1">
        <v>74943</v>
      </c>
      <c r="B464" s="1" t="s">
        <v>7573</v>
      </c>
      <c r="C464" s="1" t="s">
        <v>7576</v>
      </c>
      <c r="D464" s="19" t="s">
        <v>11859</v>
      </c>
      <c r="E464" s="15" t="str">
        <f>HYPERLINK("https://stat100.ameba.jp/tnk47/ratio20/illustrations/card/ill_74943_pekerechupukamui03.jpg?201910-4-RELEASE-guildbattle-435", "■")</f>
        <v>■</v>
      </c>
      <c r="F464" s="1" t="s">
        <v>7619</v>
      </c>
      <c r="G464" s="1">
        <v>62244</v>
      </c>
      <c r="H464" s="1">
        <v>56456</v>
      </c>
      <c r="I464" s="1">
        <v>21</v>
      </c>
      <c r="J464" s="1" t="s">
        <v>44</v>
      </c>
      <c r="K464" s="1" t="s">
        <v>7618</v>
      </c>
      <c r="L464" s="1" t="s">
        <v>7617</v>
      </c>
      <c r="M464" s="1" t="s">
        <v>9158</v>
      </c>
      <c r="N464" s="1" t="s">
        <v>9158</v>
      </c>
      <c r="O464" s="1" t="s">
        <v>9158</v>
      </c>
      <c r="P464" s="1" t="s">
        <v>9158</v>
      </c>
      <c r="Q464" s="1" t="s">
        <v>9158</v>
      </c>
      <c r="S464" s="14" t="s">
        <v>11773</v>
      </c>
    </row>
    <row r="465" spans="1:19">
      <c r="A465" s="1">
        <v>80793</v>
      </c>
      <c r="B465" s="1" t="s">
        <v>7573</v>
      </c>
      <c r="C465" s="1" t="s">
        <v>7577</v>
      </c>
      <c r="D465" s="19" t="s">
        <v>11860</v>
      </c>
      <c r="E465" s="15" t="str">
        <f>HYPERLINK("https://stat100.ameba.jp/tnk47/ratio20/illustrations/card/ill_80793_nihonsandaizakurayamatakajindaizakura03.jpg?201910-4-RELEASE-guildbattle-435", "■")</f>
        <v>■</v>
      </c>
      <c r="F465" s="1" t="s">
        <v>7622</v>
      </c>
      <c r="G465" s="1">
        <v>56456</v>
      </c>
      <c r="H465" s="1">
        <v>62244</v>
      </c>
      <c r="I465" s="1">
        <v>21</v>
      </c>
      <c r="J465" s="1" t="s">
        <v>26</v>
      </c>
      <c r="K465" s="1" t="s">
        <v>7621</v>
      </c>
      <c r="L465" s="1" t="s">
        <v>7620</v>
      </c>
      <c r="M465" s="1" t="s">
        <v>9158</v>
      </c>
      <c r="N465" s="1" t="s">
        <v>9158</v>
      </c>
      <c r="O465" s="1" t="s">
        <v>9158</v>
      </c>
      <c r="P465" s="1" t="s">
        <v>9158</v>
      </c>
      <c r="Q465" s="1" t="s">
        <v>9158</v>
      </c>
      <c r="S465" s="14" t="s">
        <v>11861</v>
      </c>
    </row>
    <row r="467" spans="1:19">
      <c r="A467" s="1" t="s">
        <v>7623</v>
      </c>
    </row>
    <row r="468" spans="1:19">
      <c r="A468" s="1" t="s">
        <v>7624</v>
      </c>
    </row>
    <row r="469" spans="1:19">
      <c r="A469" s="1" t="s">
        <v>5787</v>
      </c>
      <c r="B469" s="1" t="s">
        <v>330</v>
      </c>
      <c r="C469" s="1" t="s">
        <v>270</v>
      </c>
      <c r="D469" s="19" t="s">
        <v>331</v>
      </c>
      <c r="E469" s="15" t="str">
        <f>HYPERLINK("https://stat100.ameba.jp/tnk47/ratio20/illustrations/card/ill_76303_0_haroinkaguya03.jpg?201910-4-RELEASE-guildbattle-435", "■")</f>
        <v>■</v>
      </c>
      <c r="F469" s="1" t="s">
        <v>332</v>
      </c>
      <c r="G469" s="1">
        <v>273713</v>
      </c>
      <c r="H469" s="1">
        <v>254461</v>
      </c>
      <c r="I469" s="1">
        <v>23</v>
      </c>
      <c r="J469" s="1" t="s">
        <v>274</v>
      </c>
      <c r="K469" s="1" t="s">
        <v>333</v>
      </c>
      <c r="L469" s="1" t="s">
        <v>276</v>
      </c>
      <c r="M469" s="1" t="s">
        <v>9158</v>
      </c>
      <c r="N469" s="1" t="s">
        <v>9158</v>
      </c>
      <c r="O469" s="19" t="s">
        <v>2976</v>
      </c>
      <c r="P469" s="1" t="s">
        <v>2724</v>
      </c>
      <c r="Q469" s="1">
        <v>1</v>
      </c>
    </row>
    <row r="470" spans="1:19">
      <c r="A470" s="1" t="s">
        <v>5624</v>
      </c>
      <c r="B470" s="1" t="s">
        <v>52</v>
      </c>
      <c r="C470" s="1" t="s">
        <v>101</v>
      </c>
      <c r="D470" s="19" t="s">
        <v>1426</v>
      </c>
      <c r="E470" s="15" t="str">
        <f>HYPERLINK("https://stat100.ameba.jp/tnk47/ratio20/illustrations/card/ill_64953_0_yukatatokugawayoshinobu03.jpg?201910-4-RELEASE-guildbattle-435", "■")</f>
        <v>■</v>
      </c>
      <c r="F470" s="1" t="s">
        <v>2090</v>
      </c>
      <c r="G470" s="1">
        <v>143290</v>
      </c>
      <c r="H470" s="1">
        <v>154104</v>
      </c>
      <c r="I470" s="1">
        <v>23</v>
      </c>
      <c r="J470" s="1" t="s">
        <v>10</v>
      </c>
      <c r="K470" s="1" t="s">
        <v>2091</v>
      </c>
      <c r="L470" s="1" t="s">
        <v>2092</v>
      </c>
      <c r="M470" s="1" t="s">
        <v>9158</v>
      </c>
      <c r="N470" s="1" t="s">
        <v>9158</v>
      </c>
      <c r="O470" s="19" t="s">
        <v>2889</v>
      </c>
      <c r="P470" s="1" t="s">
        <v>2890</v>
      </c>
      <c r="Q470" s="1">
        <v>1</v>
      </c>
    </row>
    <row r="471" spans="1:19">
      <c r="A471" s="1" t="s">
        <v>6132</v>
      </c>
      <c r="B471" s="1" t="s">
        <v>52</v>
      </c>
      <c r="C471" s="1" t="s">
        <v>205</v>
      </c>
      <c r="D471" s="19" t="s">
        <v>702</v>
      </c>
      <c r="E471" s="15" t="str">
        <f>HYPERLINK("https://stat100.ameba.jp/tnk47/ratio20/illustrations/card/ill_50693_0_hanamizugimimuratsuru03.jpg?201910-4-RELEASE-guildbattle-435", "■")</f>
        <v>■</v>
      </c>
      <c r="F471" s="1" t="s">
        <v>2282</v>
      </c>
      <c r="G471" s="1">
        <v>128358</v>
      </c>
      <c r="H471" s="1">
        <v>144494</v>
      </c>
      <c r="I471" s="1">
        <v>23</v>
      </c>
      <c r="J471" s="1" t="s">
        <v>143</v>
      </c>
      <c r="K471" s="1" t="s">
        <v>2283</v>
      </c>
      <c r="L471" s="1" t="s">
        <v>2284</v>
      </c>
      <c r="M471" s="1" t="s">
        <v>9158</v>
      </c>
      <c r="N471" s="1" t="s">
        <v>9158</v>
      </c>
      <c r="O471" s="1" t="s">
        <v>9158</v>
      </c>
      <c r="P471" s="1" t="s">
        <v>9158</v>
      </c>
      <c r="Q471" s="1" t="s">
        <v>9158</v>
      </c>
    </row>
    <row r="472" spans="1:19">
      <c r="A472" s="1">
        <v>55273</v>
      </c>
      <c r="B472" s="1" t="s">
        <v>0</v>
      </c>
      <c r="C472" s="1" t="s">
        <v>206</v>
      </c>
      <c r="D472" s="19" t="s">
        <v>10724</v>
      </c>
      <c r="E472" s="15" t="str">
        <f>HYPERLINK("https://stat100.ameba.jp/tnk47/ratio20/illustrations/card/ill_55273_harointachibanamuneshige03.jpg?201910-4-RELEASE-guildbattle-435", "■")</f>
        <v>■</v>
      </c>
      <c r="F472" s="1" t="s">
        <v>4742</v>
      </c>
      <c r="G472" s="1">
        <v>86006</v>
      </c>
      <c r="H472" s="1">
        <v>142272</v>
      </c>
      <c r="I472" s="1">
        <v>24</v>
      </c>
      <c r="J472" s="1" t="s">
        <v>143</v>
      </c>
      <c r="K472" s="1" t="s">
        <v>4743</v>
      </c>
      <c r="L472" s="1" t="s">
        <v>4744</v>
      </c>
      <c r="M472" s="1" t="s">
        <v>9158</v>
      </c>
      <c r="N472" s="1" t="s">
        <v>9158</v>
      </c>
      <c r="O472" s="19" t="s">
        <v>10130</v>
      </c>
      <c r="P472" s="1" t="s">
        <v>13145</v>
      </c>
      <c r="Q472" s="1">
        <v>1</v>
      </c>
    </row>
    <row r="473" spans="1:19">
      <c r="A473" s="1">
        <v>65183</v>
      </c>
      <c r="B473" s="1" t="s">
        <v>7573</v>
      </c>
      <c r="C473" s="1" t="s">
        <v>165</v>
      </c>
      <c r="D473" s="19" t="s">
        <v>10509</v>
      </c>
      <c r="E473" s="15" t="str">
        <f>HYPERLINK("https://stat100.ameba.jp/tnk47/ratio20/illustrations/card/ill_65183_kimodameshihorakagaminookimi03.jpg?201910-4-RELEASE-guildbattle-435", "■")</f>
        <v>■</v>
      </c>
      <c r="F473" s="1" t="s">
        <v>7629</v>
      </c>
      <c r="G473" s="1">
        <v>53352</v>
      </c>
      <c r="H473" s="1">
        <v>48390</v>
      </c>
      <c r="I473" s="1">
        <v>18</v>
      </c>
      <c r="J473" s="1" t="s">
        <v>16</v>
      </c>
      <c r="K473" s="1" t="s">
        <v>7628</v>
      </c>
      <c r="L473" s="1" t="s">
        <v>7627</v>
      </c>
      <c r="M473" s="1" t="s">
        <v>9158</v>
      </c>
      <c r="N473" s="1" t="s">
        <v>9158</v>
      </c>
      <c r="O473" s="1" t="s">
        <v>9158</v>
      </c>
      <c r="P473" s="1" t="s">
        <v>9158</v>
      </c>
      <c r="Q473" s="1" t="s">
        <v>9158</v>
      </c>
    </row>
    <row r="474" spans="1:19">
      <c r="A474" s="1">
        <v>54623</v>
      </c>
      <c r="B474" s="1" t="s">
        <v>7625</v>
      </c>
      <c r="C474" s="1" t="s">
        <v>271</v>
      </c>
      <c r="D474" s="19" t="s">
        <v>10725</v>
      </c>
      <c r="E474" s="15" t="str">
        <f>HYPERLINK("https://stat100.ameba.jp/tnk47/ratio20/illustrations/card/ill_54623_shinseiokurichochin03.jpg?201910-4-RELEASE-guildbattle-435", "■")</f>
        <v>■</v>
      </c>
      <c r="F474" s="1" t="s">
        <v>7632</v>
      </c>
      <c r="G474" s="1">
        <v>27660</v>
      </c>
      <c r="H474" s="1">
        <v>33266</v>
      </c>
      <c r="I474" s="1">
        <v>16</v>
      </c>
      <c r="J474" s="1" t="s">
        <v>320</v>
      </c>
      <c r="K474" s="1" t="s">
        <v>7631</v>
      </c>
      <c r="L474" s="1" t="s">
        <v>7630</v>
      </c>
      <c r="M474" s="1" t="s">
        <v>9158</v>
      </c>
      <c r="N474" s="1" t="s">
        <v>9158</v>
      </c>
      <c r="O474" s="1" t="s">
        <v>9158</v>
      </c>
      <c r="P474" s="1" t="s">
        <v>9158</v>
      </c>
      <c r="Q474" s="1" t="s">
        <v>9158</v>
      </c>
    </row>
    <row r="475" spans="1:19">
      <c r="A475" s="1">
        <v>81523</v>
      </c>
      <c r="B475" s="1" t="s">
        <v>7626</v>
      </c>
      <c r="C475" s="1" t="s">
        <v>7633</v>
      </c>
      <c r="D475" s="19" t="s">
        <v>10726</v>
      </c>
      <c r="E475" s="15" t="str">
        <f>HYPERLINK("https://stat100.ameba.jp/tnk47/ratio20/illustrations/card/ill_81523_makaiiwakoshimpu03.jpg?201910-4-RELEASE-guildbattle-435", "■")</f>
        <v>■</v>
      </c>
      <c r="F475" s="1" t="s">
        <v>7636</v>
      </c>
      <c r="G475" s="1">
        <v>20140</v>
      </c>
      <c r="H475" s="1">
        <v>16914</v>
      </c>
      <c r="I475" s="1">
        <v>16</v>
      </c>
      <c r="J475" s="1" t="s">
        <v>44</v>
      </c>
      <c r="K475" s="1" t="s">
        <v>7635</v>
      </c>
      <c r="L475" s="1" t="s">
        <v>7634</v>
      </c>
      <c r="M475" s="1" t="s">
        <v>9158</v>
      </c>
      <c r="N475" s="1" t="s">
        <v>9158</v>
      </c>
      <c r="O475" s="1" t="s">
        <v>9158</v>
      </c>
      <c r="P475" s="1" t="s">
        <v>9158</v>
      </c>
      <c r="Q475" s="1" t="s">
        <v>9158</v>
      </c>
    </row>
    <row r="477" spans="1:19">
      <c r="A477" s="1" t="s">
        <v>13326</v>
      </c>
    </row>
    <row r="478" spans="1:19">
      <c r="A478" s="1" t="s">
        <v>7638</v>
      </c>
    </row>
    <row r="479" spans="1:19">
      <c r="A479" s="1">
        <v>69293</v>
      </c>
      <c r="B479" s="1" t="s">
        <v>334</v>
      </c>
      <c r="C479" s="1" t="s">
        <v>185</v>
      </c>
      <c r="D479" s="19" t="s">
        <v>1155</v>
      </c>
      <c r="E479" s="15" t="str">
        <f>HYPERLINK("https://stat100.ameba.jp/tnk47/ratio20/illustrations/card/ill_69293_merukishiru03.jpg?201910-4-RELEASE-guildbattle-435", "■")</f>
        <v>■</v>
      </c>
      <c r="F479" s="1" t="s">
        <v>1156</v>
      </c>
      <c r="G479" s="1">
        <v>118152</v>
      </c>
      <c r="H479" s="1">
        <v>109852</v>
      </c>
      <c r="I479" s="1">
        <v>24</v>
      </c>
      <c r="J479" s="1" t="s">
        <v>414</v>
      </c>
      <c r="K479" s="1" t="s">
        <v>1170</v>
      </c>
      <c r="L479" s="1" t="s">
        <v>9902</v>
      </c>
      <c r="M479" s="1" t="s">
        <v>13151</v>
      </c>
      <c r="N479" s="1" t="s">
        <v>251</v>
      </c>
      <c r="O479" s="1" t="s">
        <v>9158</v>
      </c>
      <c r="P479" s="1" t="s">
        <v>9158</v>
      </c>
      <c r="Q479" s="1" t="s">
        <v>9158</v>
      </c>
      <c r="R479" s="14"/>
    </row>
    <row r="480" spans="1:19">
      <c r="A480" s="1">
        <v>69292</v>
      </c>
      <c r="B480" s="1" t="s">
        <v>334</v>
      </c>
      <c r="C480" s="1" t="s">
        <v>185</v>
      </c>
      <c r="D480" s="19" t="s">
        <v>1155</v>
      </c>
      <c r="E480" s="15" t="str">
        <f>HYPERLINK("https://stat100.ameba.jp/tnk47/ratio20/illustrations/card/ill_69292_merukishiru02.jpg?201910-4-RELEASE-guildbattle-435", "■")</f>
        <v>■</v>
      </c>
      <c r="F480" s="1" t="s">
        <v>1156</v>
      </c>
      <c r="G480" s="1">
        <v>98768</v>
      </c>
      <c r="H480" s="1">
        <v>90984</v>
      </c>
      <c r="I480" s="1">
        <v>24</v>
      </c>
      <c r="J480" s="1" t="s">
        <v>414</v>
      </c>
      <c r="K480" s="1" t="s">
        <v>1170</v>
      </c>
      <c r="L480" s="1" t="s">
        <v>9902</v>
      </c>
      <c r="M480" s="1" t="s">
        <v>13151</v>
      </c>
      <c r="N480" s="1" t="s">
        <v>251</v>
      </c>
      <c r="O480" s="1" t="s">
        <v>9158</v>
      </c>
      <c r="P480" s="1" t="s">
        <v>9158</v>
      </c>
      <c r="Q480" s="1" t="s">
        <v>9158</v>
      </c>
      <c r="R480" s="14"/>
    </row>
    <row r="481" spans="1:18">
      <c r="A481" s="1">
        <v>69291</v>
      </c>
      <c r="B481" s="1" t="s">
        <v>334</v>
      </c>
      <c r="C481" s="1" t="s">
        <v>185</v>
      </c>
      <c r="D481" s="19" t="s">
        <v>1155</v>
      </c>
      <c r="E481" s="15" t="str">
        <f>HYPERLINK("https://stat100.ameba.jp/tnk47/ratio20/illustrations/card/ill_69291_merukishiru01.jpg?201910-4-RELEASE-guildbattle-435", "■")</f>
        <v>■</v>
      </c>
      <c r="F481" s="1" t="s">
        <v>1156</v>
      </c>
      <c r="G481" s="1">
        <v>75408</v>
      </c>
      <c r="H481" s="1">
        <v>70200</v>
      </c>
      <c r="I481" s="1">
        <v>24</v>
      </c>
      <c r="J481" s="1" t="s">
        <v>414</v>
      </c>
      <c r="K481" s="1" t="s">
        <v>1170</v>
      </c>
      <c r="L481" s="1" t="s">
        <v>9902</v>
      </c>
      <c r="M481" s="1" t="s">
        <v>13151</v>
      </c>
      <c r="N481" s="1" t="s">
        <v>251</v>
      </c>
      <c r="O481" s="1" t="s">
        <v>9158</v>
      </c>
      <c r="P481" s="1" t="s">
        <v>9158</v>
      </c>
      <c r="Q481" s="1" t="s">
        <v>9158</v>
      </c>
      <c r="R481" s="14"/>
    </row>
    <row r="482" spans="1:18">
      <c r="A482" s="1">
        <v>69303</v>
      </c>
      <c r="B482" s="1" t="s">
        <v>334</v>
      </c>
      <c r="C482" s="1" t="s">
        <v>200</v>
      </c>
      <c r="D482" s="19" t="s">
        <v>1157</v>
      </c>
      <c r="E482" s="15" t="str">
        <f>HYPERLINK("https://stat100.ameba.jp/tnk47/ratio20/illustrations/card/ill_69303_torumushaito03.jpg?201910-4-RELEASE-guildbattle-435", "■")</f>
        <v>■</v>
      </c>
      <c r="F482" s="1" t="s">
        <v>1162</v>
      </c>
      <c r="G482" s="1">
        <v>118152</v>
      </c>
      <c r="H482" s="1">
        <v>109852</v>
      </c>
      <c r="I482" s="1">
        <v>24</v>
      </c>
      <c r="J482" s="1" t="s">
        <v>369</v>
      </c>
      <c r="K482" s="1" t="s">
        <v>1171</v>
      </c>
      <c r="L482" s="1" t="s">
        <v>9903</v>
      </c>
      <c r="M482" s="1" t="s">
        <v>13151</v>
      </c>
      <c r="N482" s="1" t="s">
        <v>251</v>
      </c>
      <c r="O482" s="1" t="s">
        <v>9158</v>
      </c>
      <c r="P482" s="1" t="s">
        <v>9158</v>
      </c>
      <c r="Q482" s="1" t="s">
        <v>9158</v>
      </c>
    </row>
    <row r="483" spans="1:18">
      <c r="A483" s="1">
        <v>69313</v>
      </c>
      <c r="B483" s="1" t="s">
        <v>334</v>
      </c>
      <c r="C483" s="1" t="s">
        <v>191</v>
      </c>
      <c r="D483" s="19" t="s">
        <v>1158</v>
      </c>
      <c r="E483" s="15" t="str">
        <f>HYPERLINK("https://stat100.ameba.jp/tnk47/ratio20/illustrations/card/ill_69313_teishutoriya03.jpg?201910-4-RELEASE-guildbattle-435", "■")</f>
        <v>■</v>
      </c>
      <c r="F483" s="1" t="s">
        <v>1163</v>
      </c>
      <c r="G483" s="1">
        <v>109852</v>
      </c>
      <c r="H483" s="1">
        <v>118152</v>
      </c>
      <c r="I483" s="1">
        <v>24</v>
      </c>
      <c r="J483" s="1" t="s">
        <v>401</v>
      </c>
      <c r="K483" s="1" t="s">
        <v>1172</v>
      </c>
      <c r="L483" s="1" t="s">
        <v>9904</v>
      </c>
      <c r="M483" s="1" t="s">
        <v>13151</v>
      </c>
      <c r="N483" s="1" t="s">
        <v>251</v>
      </c>
      <c r="O483" s="1" t="s">
        <v>9158</v>
      </c>
      <c r="P483" s="1" t="s">
        <v>9158</v>
      </c>
      <c r="Q483" s="1" t="s">
        <v>9158</v>
      </c>
    </row>
    <row r="484" spans="1:18">
      <c r="A484" s="1">
        <v>69323</v>
      </c>
      <c r="B484" s="1" t="s">
        <v>334</v>
      </c>
      <c r="C484" s="1" t="s">
        <v>165</v>
      </c>
      <c r="D484" s="19" t="s">
        <v>10257</v>
      </c>
      <c r="E484" s="15" t="str">
        <f>HYPERLINK("https://stat100.ameba.jp/tnk47/ratio20/illustrations/card/ill_69323_fujitsubonomiya03.jpg?201910-4-RELEASE-guildbattle-435", "■")</f>
        <v>■</v>
      </c>
      <c r="F484" s="1" t="s">
        <v>1164</v>
      </c>
      <c r="G484" s="1">
        <v>109852</v>
      </c>
      <c r="H484" s="1">
        <v>118152</v>
      </c>
      <c r="I484" s="1">
        <v>24</v>
      </c>
      <c r="J484" s="1" t="s">
        <v>1167</v>
      </c>
      <c r="K484" s="1" t="s">
        <v>1173</v>
      </c>
      <c r="L484" s="1" t="s">
        <v>9905</v>
      </c>
      <c r="M484" s="1" t="s">
        <v>13151</v>
      </c>
      <c r="N484" s="1" t="s">
        <v>251</v>
      </c>
      <c r="O484" s="1" t="s">
        <v>9158</v>
      </c>
      <c r="P484" s="1" t="s">
        <v>9158</v>
      </c>
      <c r="Q484" s="1" t="s">
        <v>9158</v>
      </c>
    </row>
    <row r="485" spans="1:18">
      <c r="A485" s="1">
        <v>69333</v>
      </c>
      <c r="B485" s="1" t="s">
        <v>334</v>
      </c>
      <c r="C485" s="1" t="s">
        <v>205</v>
      </c>
      <c r="D485" s="19" t="s">
        <v>1160</v>
      </c>
      <c r="E485" s="15" t="str">
        <f>HYPERLINK("https://stat100.ameba.jp/tnk47/ratio20/illustrations/card/ill_69333_mefuisutofueresu03.jpg?201910-4-RELEASE-guildbattle-435", "■")</f>
        <v>■</v>
      </c>
      <c r="F485" s="1" t="s">
        <v>1165</v>
      </c>
      <c r="G485" s="1">
        <v>118152</v>
      </c>
      <c r="H485" s="1">
        <v>109852</v>
      </c>
      <c r="I485" s="1">
        <v>24</v>
      </c>
      <c r="J485" s="1" t="s">
        <v>1168</v>
      </c>
      <c r="K485" s="1" t="s">
        <v>1174</v>
      </c>
      <c r="L485" s="1" t="s">
        <v>9906</v>
      </c>
      <c r="M485" s="1" t="s">
        <v>13151</v>
      </c>
      <c r="N485" s="1" t="s">
        <v>251</v>
      </c>
      <c r="O485" s="1" t="s">
        <v>9158</v>
      </c>
      <c r="P485" s="1" t="s">
        <v>9158</v>
      </c>
      <c r="Q485" s="1" t="s">
        <v>9158</v>
      </c>
    </row>
    <row r="486" spans="1:18">
      <c r="A486" s="1">
        <v>69343</v>
      </c>
      <c r="B486" s="1" t="s">
        <v>334</v>
      </c>
      <c r="C486" s="1" t="s">
        <v>206</v>
      </c>
      <c r="D486" s="19" t="s">
        <v>10258</v>
      </c>
      <c r="E486" s="15" t="str">
        <f>HYPERLINK("https://stat100.ameba.jp/tnk47/ratio20/illustrations/card/ill_69343_teikinnofuire03.jpg?201910-4-RELEASE-guildbattle-435", "■")</f>
        <v>■</v>
      </c>
      <c r="F486" s="1" t="s">
        <v>1166</v>
      </c>
      <c r="G486" s="1">
        <v>109852</v>
      </c>
      <c r="H486" s="1">
        <v>118152</v>
      </c>
      <c r="I486" s="1">
        <v>24</v>
      </c>
      <c r="J486" s="1" t="s">
        <v>1169</v>
      </c>
      <c r="K486" s="1" t="s">
        <v>1175</v>
      </c>
      <c r="L486" s="1" t="s">
        <v>9907</v>
      </c>
      <c r="M486" s="1" t="s">
        <v>13151</v>
      </c>
      <c r="N486" s="1" t="s">
        <v>251</v>
      </c>
      <c r="O486" s="1" t="s">
        <v>9158</v>
      </c>
      <c r="P486" s="1" t="s">
        <v>9158</v>
      </c>
      <c r="Q486" s="1" t="s">
        <v>9158</v>
      </c>
    </row>
    <row r="488" spans="1:18">
      <c r="A488" s="1" t="s">
        <v>7639</v>
      </c>
    </row>
    <row r="489" spans="1:18">
      <c r="A489" s="1" t="s">
        <v>7640</v>
      </c>
    </row>
    <row r="490" spans="1:18">
      <c r="A490" s="1" t="s">
        <v>5822</v>
      </c>
      <c r="B490" s="1" t="s">
        <v>330</v>
      </c>
      <c r="C490" s="1" t="s">
        <v>307</v>
      </c>
      <c r="D490" s="19" t="s">
        <v>306</v>
      </c>
      <c r="E490" s="15" t="str">
        <f>HYPERLINK("https://stat100.ameba.jp/tnk47/ratio20/illustrations/card/ill_71403_0_ohanamisanadayukimura03.jpg?201910-5-RELEASE-marathon-436", "■")</f>
        <v>■</v>
      </c>
      <c r="F490" s="1" t="s">
        <v>309</v>
      </c>
      <c r="G490" s="1">
        <v>224026</v>
      </c>
      <c r="H490" s="1">
        <v>208310</v>
      </c>
      <c r="I490" s="1">
        <v>24</v>
      </c>
      <c r="J490" s="1" t="s">
        <v>310</v>
      </c>
      <c r="K490" s="1" t="s">
        <v>311</v>
      </c>
      <c r="L490" s="1" t="s">
        <v>312</v>
      </c>
      <c r="M490" s="1" t="s">
        <v>9158</v>
      </c>
      <c r="N490" s="1" t="s">
        <v>9158</v>
      </c>
      <c r="O490" s="19" t="s">
        <v>10104</v>
      </c>
      <c r="P490" s="1" t="s">
        <v>3418</v>
      </c>
      <c r="Q490" s="1">
        <v>2</v>
      </c>
    </row>
    <row r="491" spans="1:18">
      <c r="A491" s="1" t="s">
        <v>5899</v>
      </c>
      <c r="B491" s="1" t="s">
        <v>330</v>
      </c>
      <c r="C491" s="1" t="s">
        <v>205</v>
      </c>
      <c r="D491" s="19" t="s">
        <v>1559</v>
      </c>
      <c r="E491" s="15" t="str">
        <f>HYPERLINK("https://stat100.ameba.jp/tnk47/ratio20/illustrations/card/ill_73773_0_umibirakiinugamigyobu03.jpg?201910-5-RELEASE-marathon-436", "■")</f>
        <v>■</v>
      </c>
      <c r="F491" s="1" t="s">
        <v>935</v>
      </c>
      <c r="G491" s="1">
        <v>208256</v>
      </c>
      <c r="H491" s="1">
        <v>224000</v>
      </c>
      <c r="I491" s="1">
        <v>24</v>
      </c>
      <c r="J491" s="1" t="s">
        <v>182</v>
      </c>
      <c r="K491" s="1" t="s">
        <v>936</v>
      </c>
      <c r="L491" s="1" t="s">
        <v>13147</v>
      </c>
      <c r="M491" s="1" t="s">
        <v>9158</v>
      </c>
      <c r="N491" s="1" t="s">
        <v>9158</v>
      </c>
      <c r="O491" s="19" t="s">
        <v>2978</v>
      </c>
      <c r="P491" s="1" t="s">
        <v>2979</v>
      </c>
      <c r="Q491" s="1">
        <v>2</v>
      </c>
    </row>
    <row r="492" spans="1:18">
      <c r="A492" s="1">
        <v>81903</v>
      </c>
      <c r="B492" s="1" t="s">
        <v>334</v>
      </c>
      <c r="C492" s="1" t="s">
        <v>47</v>
      </c>
      <c r="D492" s="19" t="s">
        <v>10200</v>
      </c>
      <c r="E492" s="15" t="str">
        <f>HYPERLINK("https://stat100.ameba.jp/tnk47/ratio20/illustrations/card/ill_81903_kiryuhimeiren03.jpg?201910-5-RELEASE-marathon-436", "■")</f>
        <v>■</v>
      </c>
      <c r="F492" s="1" t="s">
        <v>4983</v>
      </c>
      <c r="G492" s="1">
        <v>79348</v>
      </c>
      <c r="H492" s="1">
        <v>109554</v>
      </c>
      <c r="I492" s="1">
        <v>24</v>
      </c>
      <c r="J492" s="1" t="s">
        <v>77</v>
      </c>
      <c r="K492" s="1" t="s">
        <v>4985</v>
      </c>
      <c r="L492" s="1" t="s">
        <v>4986</v>
      </c>
      <c r="M492" s="1" t="s">
        <v>9158</v>
      </c>
      <c r="N492" s="1" t="s">
        <v>9158</v>
      </c>
      <c r="O492" s="19" t="s">
        <v>10112</v>
      </c>
      <c r="P492" s="1" t="s">
        <v>13150</v>
      </c>
      <c r="Q492" s="1">
        <v>1</v>
      </c>
    </row>
    <row r="493" spans="1:18">
      <c r="A493" s="1">
        <v>68693</v>
      </c>
      <c r="B493" s="1" t="s">
        <v>334</v>
      </c>
      <c r="C493" s="1" t="s">
        <v>154</v>
      </c>
      <c r="D493" s="19" t="s">
        <v>10232</v>
      </c>
      <c r="E493" s="15" t="str">
        <f>HYPERLINK("https://stat100.ameba.jp/tnk47/ratio20/illustrations/card/ill_68693_mayoiga03.jpg?201910-5-RELEASE-marathon-436", "■")</f>
        <v>■</v>
      </c>
      <c r="F493" s="1" t="s">
        <v>3466</v>
      </c>
      <c r="G493" s="1">
        <v>121572</v>
      </c>
      <c r="H493" s="1">
        <v>88047</v>
      </c>
      <c r="I493" s="1">
        <v>23</v>
      </c>
      <c r="J493" s="1" t="s">
        <v>73</v>
      </c>
      <c r="K493" s="1" t="s">
        <v>3467</v>
      </c>
      <c r="L493" s="1" t="s">
        <v>3468</v>
      </c>
      <c r="M493" s="1" t="s">
        <v>9158</v>
      </c>
      <c r="N493" s="1" t="s">
        <v>9158</v>
      </c>
      <c r="O493" s="19" t="s">
        <v>3037</v>
      </c>
      <c r="P493" s="1" t="s">
        <v>13128</v>
      </c>
      <c r="Q493" s="1">
        <v>1</v>
      </c>
    </row>
    <row r="494" spans="1:18">
      <c r="A494" s="1">
        <v>66363</v>
      </c>
      <c r="B494" s="1" t="s">
        <v>334</v>
      </c>
      <c r="C494" s="1" t="s">
        <v>158</v>
      </c>
      <c r="D494" s="19" t="s">
        <v>2910</v>
      </c>
      <c r="E494" s="15" t="str">
        <f>HYPERLINK("https://stat100.ameba.jp/tnk47/ratio20/illustrations/card/ill_66363_iharasaikaku03.jpg?201910-5-RELEASE-marathon-436", "■")</f>
        <v>■</v>
      </c>
      <c r="F494" s="1" t="s">
        <v>122</v>
      </c>
      <c r="G494" s="1">
        <v>75627</v>
      </c>
      <c r="H494" s="1">
        <v>104385</v>
      </c>
      <c r="I494" s="1">
        <v>23</v>
      </c>
      <c r="J494" s="1" t="s">
        <v>414</v>
      </c>
      <c r="K494" s="1" t="s">
        <v>2911</v>
      </c>
      <c r="L494" s="1" t="s">
        <v>1575</v>
      </c>
      <c r="M494" s="1" t="s">
        <v>9158</v>
      </c>
      <c r="N494" s="1" t="s">
        <v>9158</v>
      </c>
      <c r="O494" s="19" t="s">
        <v>10074</v>
      </c>
      <c r="P494" s="1" t="s">
        <v>2822</v>
      </c>
      <c r="Q494" s="1">
        <v>1</v>
      </c>
    </row>
    <row r="495" spans="1:18">
      <c r="A495" s="1">
        <v>71313</v>
      </c>
      <c r="B495" s="1" t="s">
        <v>334</v>
      </c>
      <c r="C495" s="1" t="s">
        <v>203</v>
      </c>
      <c r="D495" s="19" t="s">
        <v>2823</v>
      </c>
      <c r="E495" s="15" t="str">
        <f>HYPERLINK("https://stat100.ameba.jp/tnk47/ratio20/illustrations/card/ill_71313_kagewani03.jpg?201910-5-RELEASE-marathon-436", "■")</f>
        <v>■</v>
      </c>
      <c r="F495" s="1" t="s">
        <v>2824</v>
      </c>
      <c r="G495" s="1">
        <v>85010</v>
      </c>
      <c r="H495" s="1">
        <v>117374</v>
      </c>
      <c r="I495" s="1">
        <v>23</v>
      </c>
      <c r="J495" s="1" t="s">
        <v>274</v>
      </c>
      <c r="K495" s="1" t="s">
        <v>2825</v>
      </c>
      <c r="L495" s="1" t="s">
        <v>2826</v>
      </c>
      <c r="M495" s="1" t="s">
        <v>9158</v>
      </c>
      <c r="N495" s="1" t="s">
        <v>9158</v>
      </c>
      <c r="O495" s="1" t="s">
        <v>9158</v>
      </c>
      <c r="P495" s="1" t="s">
        <v>9158</v>
      </c>
      <c r="Q495" s="1" t="s">
        <v>9158</v>
      </c>
    </row>
    <row r="496" spans="1:18">
      <c r="A496" s="1">
        <v>76773</v>
      </c>
      <c r="B496" s="1" t="s">
        <v>334</v>
      </c>
      <c r="C496" s="1" t="s">
        <v>209</v>
      </c>
      <c r="D496" s="19" t="s">
        <v>10471</v>
      </c>
      <c r="E496" s="15" t="str">
        <f>HYPERLINK("https://stat100.ameba.jp/tnk47/ratio20/illustrations/card/ill_76773_monsutatominushihime03.jpg?201910-5-RELEASE-marathon-436", "■")</f>
        <v>■</v>
      </c>
      <c r="F496" s="1" t="s">
        <v>817</v>
      </c>
      <c r="G496" s="1">
        <v>104989</v>
      </c>
      <c r="H496" s="1">
        <v>76042</v>
      </c>
      <c r="I496" s="1">
        <v>23</v>
      </c>
      <c r="J496" s="1" t="s">
        <v>401</v>
      </c>
      <c r="K496" s="1" t="s">
        <v>818</v>
      </c>
      <c r="L496" s="1" t="s">
        <v>819</v>
      </c>
      <c r="M496" s="1" t="s">
        <v>9158</v>
      </c>
      <c r="N496" s="1" t="s">
        <v>9158</v>
      </c>
      <c r="O496" s="1" t="s">
        <v>9158</v>
      </c>
      <c r="P496" s="1" t="s">
        <v>9158</v>
      </c>
      <c r="Q496" s="1" t="s">
        <v>9158</v>
      </c>
    </row>
    <row r="497" spans="1:17">
      <c r="A497" s="1">
        <v>67943</v>
      </c>
      <c r="B497" s="1" t="s">
        <v>334</v>
      </c>
      <c r="C497" s="1" t="s">
        <v>154</v>
      </c>
      <c r="D497" s="19" t="s">
        <v>3175</v>
      </c>
      <c r="E497" s="15" t="str">
        <f>HYPERLINK("https://stat100.ameba.jp/tnk47/ratio20/illustrations/card/ill_67943_hoshinamasayuki03.jpg?201910-5-RELEASE-marathon-436", "■")</f>
        <v>■</v>
      </c>
      <c r="F497" s="1" t="s">
        <v>1781</v>
      </c>
      <c r="G497" s="1">
        <v>71557</v>
      </c>
      <c r="H497" s="1">
        <v>66517</v>
      </c>
      <c r="I497" s="1">
        <v>23</v>
      </c>
      <c r="J497" s="1" t="s">
        <v>10</v>
      </c>
      <c r="K497" s="1" t="s">
        <v>1782</v>
      </c>
      <c r="L497" s="1" t="s">
        <v>1783</v>
      </c>
      <c r="M497" s="1" t="s">
        <v>9158</v>
      </c>
      <c r="N497" s="1" t="s">
        <v>9158</v>
      </c>
      <c r="O497" s="1" t="s">
        <v>9158</v>
      </c>
      <c r="P497" s="1" t="s">
        <v>9158</v>
      </c>
      <c r="Q497" s="1" t="s">
        <v>9158</v>
      </c>
    </row>
    <row r="499" spans="1:17">
      <c r="A499" s="1" t="s">
        <v>7641</v>
      </c>
    </row>
    <row r="500" spans="1:17">
      <c r="A500" s="1" t="s">
        <v>7642</v>
      </c>
    </row>
    <row r="501" spans="1:17">
      <c r="A501" s="1" t="s">
        <v>5734</v>
      </c>
      <c r="B501" s="1" t="s">
        <v>330</v>
      </c>
      <c r="C501" s="1" t="s">
        <v>202</v>
      </c>
      <c r="D501" s="19" t="s">
        <v>1497</v>
      </c>
      <c r="E501" s="15" t="str">
        <f>HYPERLINK("https://stat100.ameba.jp/tnk47/ratio20/illustrations/card/ill_74593_0_natsuyuenchikoshihikari03.jpg?201910-5-RELEASE-marathon-436", "■")</f>
        <v>■</v>
      </c>
      <c r="F501" s="1" t="s">
        <v>1498</v>
      </c>
      <c r="G501" s="1">
        <v>238328</v>
      </c>
      <c r="H501" s="1">
        <v>221566</v>
      </c>
      <c r="I501" s="1">
        <v>22</v>
      </c>
      <c r="J501" s="1" t="s">
        <v>283</v>
      </c>
      <c r="K501" s="1" t="s">
        <v>1499</v>
      </c>
      <c r="L501" s="1" t="s">
        <v>1500</v>
      </c>
      <c r="M501" s="1" t="s">
        <v>9158</v>
      </c>
      <c r="N501" s="1" t="s">
        <v>9158</v>
      </c>
      <c r="O501" s="19" t="s">
        <v>2731</v>
      </c>
      <c r="P501" s="1" t="s">
        <v>2732</v>
      </c>
      <c r="Q501" s="1">
        <v>1</v>
      </c>
    </row>
    <row r="502" spans="1:17">
      <c r="A502" s="1">
        <v>78133</v>
      </c>
      <c r="B502" s="1" t="s">
        <v>0</v>
      </c>
      <c r="C502" s="1" t="s">
        <v>154</v>
      </c>
      <c r="D502" s="19" t="s">
        <v>10313</v>
      </c>
      <c r="E502" s="15" t="str">
        <f>HYPERLINK("https://stat100.ameba.jp/tnk47/ratio20/illustrations/card/ill_78133_akazukin03.jpg?201910-5-RELEASE-marathon-436", "■")</f>
        <v>■</v>
      </c>
      <c r="F502" s="1" t="s">
        <v>2202</v>
      </c>
      <c r="G502" s="1">
        <v>88706</v>
      </c>
      <c r="H502" s="1">
        <v>122476</v>
      </c>
      <c r="I502" s="1">
        <v>24</v>
      </c>
      <c r="J502" s="1" t="s">
        <v>38</v>
      </c>
      <c r="K502" s="1" t="s">
        <v>2203</v>
      </c>
      <c r="L502" s="1" t="s">
        <v>2204</v>
      </c>
      <c r="M502" s="1" t="s">
        <v>9158</v>
      </c>
      <c r="N502" s="1" t="s">
        <v>9158</v>
      </c>
      <c r="O502" s="19" t="s">
        <v>2917</v>
      </c>
      <c r="P502" s="1" t="s">
        <v>3531</v>
      </c>
      <c r="Q502" s="1">
        <v>1</v>
      </c>
    </row>
    <row r="503" spans="1:17">
      <c r="A503" s="1">
        <v>79963</v>
      </c>
      <c r="B503" s="1" t="s">
        <v>0</v>
      </c>
      <c r="C503" s="1" t="s">
        <v>200</v>
      </c>
      <c r="D503" s="19" t="s">
        <v>10477</v>
      </c>
      <c r="E503" s="15" t="str">
        <f>HYPERLINK("https://stat100.ameba.jp/tnk47/ratio20/illustrations/card/ill_79963_hinamatsurirakko03.jpg?201910-5-RELEASE-marathon-436", "■")</f>
        <v>■</v>
      </c>
      <c r="F503" s="1" t="s">
        <v>3715</v>
      </c>
      <c r="G503" s="1">
        <v>109334</v>
      </c>
      <c r="H503" s="1">
        <v>101656</v>
      </c>
      <c r="I503" s="1">
        <v>24</v>
      </c>
      <c r="J503" s="1" t="s">
        <v>26</v>
      </c>
      <c r="K503" s="1" t="s">
        <v>3716</v>
      </c>
      <c r="L503" s="1" t="s">
        <v>1086</v>
      </c>
      <c r="M503" s="1" t="s">
        <v>9158</v>
      </c>
      <c r="N503" s="1" t="s">
        <v>9158</v>
      </c>
      <c r="O503" s="19" t="s">
        <v>10090</v>
      </c>
      <c r="P503" s="1" t="s">
        <v>3460</v>
      </c>
      <c r="Q503" s="1">
        <v>1</v>
      </c>
    </row>
    <row r="504" spans="1:17">
      <c r="A504" s="1">
        <v>62043</v>
      </c>
      <c r="B504" s="1" t="s">
        <v>0</v>
      </c>
      <c r="C504" s="1" t="s">
        <v>158</v>
      </c>
      <c r="D504" s="19" t="s">
        <v>10233</v>
      </c>
      <c r="E504" s="15" t="str">
        <f>HYPERLINK("https://stat100.ameba.jp/tnk47/ratio20/illustrations/card/ill_62043_niutsuhimenookami03.jpg?201910-5-RELEASE-marathon-436", "■")</f>
        <v>■</v>
      </c>
      <c r="F504" s="1" t="s">
        <v>2022</v>
      </c>
      <c r="G504" s="1">
        <v>79348</v>
      </c>
      <c r="H504" s="1">
        <v>109554</v>
      </c>
      <c r="I504" s="1">
        <v>24</v>
      </c>
      <c r="J504" s="1" t="s">
        <v>169</v>
      </c>
      <c r="K504" s="1" t="s">
        <v>2023</v>
      </c>
      <c r="L504" s="1" t="s">
        <v>13144</v>
      </c>
      <c r="M504" s="1" t="s">
        <v>9158</v>
      </c>
      <c r="N504" s="1" t="s">
        <v>9158</v>
      </c>
      <c r="O504" s="19" t="s">
        <v>10093</v>
      </c>
      <c r="P504" s="1" t="s">
        <v>13145</v>
      </c>
      <c r="Q504" s="1">
        <v>1</v>
      </c>
    </row>
    <row r="506" spans="1:17">
      <c r="A506" s="1" t="s">
        <v>7643</v>
      </c>
    </row>
    <row r="507" spans="1:17">
      <c r="A507" s="1" t="s">
        <v>7645</v>
      </c>
    </row>
    <row r="508" spans="1:17">
      <c r="A508" s="1" t="s">
        <v>7644</v>
      </c>
    </row>
    <row r="509" spans="1:17">
      <c r="A509" s="1" t="s">
        <v>7150</v>
      </c>
      <c r="B509" s="1" t="s">
        <v>52</v>
      </c>
      <c r="C509" s="1" t="s">
        <v>202</v>
      </c>
      <c r="D509" s="19" t="s">
        <v>10656</v>
      </c>
      <c r="E509" s="15" t="str">
        <f>HYPERLINK("https://stat100.ameba.jp/tnk47/ratio20/illustrations/card/ill_84203_0_tarottofujiwaranoshoshi03.jpg?201910-5-RELEASE-marathon-436", "■")</f>
        <v>■</v>
      </c>
      <c r="F509" s="1" t="s">
        <v>7153</v>
      </c>
      <c r="G509" s="1">
        <v>220780</v>
      </c>
      <c r="H509" s="1">
        <v>199554</v>
      </c>
      <c r="I509" s="1">
        <v>15</v>
      </c>
      <c r="J509" s="1" t="s">
        <v>10</v>
      </c>
      <c r="K509" s="1" t="s">
        <v>7152</v>
      </c>
      <c r="L509" s="1" t="s">
        <v>7151</v>
      </c>
      <c r="M509" s="1" t="s">
        <v>9158</v>
      </c>
      <c r="N509" s="1" t="s">
        <v>9158</v>
      </c>
      <c r="O509" s="19" t="s">
        <v>10128</v>
      </c>
      <c r="P509" s="1" t="s">
        <v>7154</v>
      </c>
      <c r="Q509" s="1">
        <v>1</v>
      </c>
    </row>
    <row r="510" spans="1:17">
      <c r="A510" s="1">
        <v>84593</v>
      </c>
      <c r="B510" s="1" t="s">
        <v>7666</v>
      </c>
      <c r="C510" s="1" t="s">
        <v>7670</v>
      </c>
      <c r="D510" s="19" t="s">
        <v>10727</v>
      </c>
      <c r="E510" s="15" t="str">
        <f>HYPERLINK("https://stat100.ameba.jp/tnk47/ratio20/illustrations/card/ill_84593_sarugundanhashibahideyoshi03.jpg?201910-5-RELEASE-marathon-436", "■")</f>
        <v>■</v>
      </c>
      <c r="F510" s="1" t="s">
        <v>7681</v>
      </c>
      <c r="G510" s="1">
        <v>138186</v>
      </c>
      <c r="H510" s="1">
        <v>148619</v>
      </c>
      <c r="I510" s="1">
        <v>25</v>
      </c>
      <c r="J510" s="1" t="s">
        <v>7675</v>
      </c>
      <c r="K510" s="1" t="s">
        <v>7680</v>
      </c>
      <c r="L510" s="1" t="s">
        <v>7679</v>
      </c>
      <c r="M510" s="1" t="s">
        <v>9158</v>
      </c>
      <c r="N510" s="1" t="s">
        <v>9158</v>
      </c>
      <c r="O510" s="1" t="s">
        <v>9158</v>
      </c>
      <c r="P510" s="1" t="s">
        <v>9158</v>
      </c>
      <c r="Q510" s="1" t="s">
        <v>9158</v>
      </c>
    </row>
    <row r="511" spans="1:17">
      <c r="A511" s="1">
        <v>84723</v>
      </c>
      <c r="B511" s="1" t="s">
        <v>7666</v>
      </c>
      <c r="C511" s="1" t="s">
        <v>7671</v>
      </c>
      <c r="D511" s="19" t="s">
        <v>10728</v>
      </c>
      <c r="E511" s="15" t="str">
        <f>HYPERLINK("https://stat100.ameba.jp/tnk47/ratio20/illustrations/card/ill_84723_undokairyuguneko03.jpg?201910-5-RELEASE-marathon-436", "■")</f>
        <v>■</v>
      </c>
      <c r="F511" s="1" t="s">
        <v>7684</v>
      </c>
      <c r="G511" s="1">
        <v>114092</v>
      </c>
      <c r="H511" s="1">
        <v>105890</v>
      </c>
      <c r="I511" s="1">
        <v>25</v>
      </c>
      <c r="J511" s="1" t="s">
        <v>7676</v>
      </c>
      <c r="K511" s="1" t="s">
        <v>7683</v>
      </c>
      <c r="L511" s="1" t="s">
        <v>7682</v>
      </c>
      <c r="M511" s="1" t="s">
        <v>9158</v>
      </c>
      <c r="N511" s="1" t="s">
        <v>9158</v>
      </c>
      <c r="O511" s="1" t="s">
        <v>9158</v>
      </c>
      <c r="P511" s="1" t="s">
        <v>9158</v>
      </c>
      <c r="Q511" s="1" t="s">
        <v>9158</v>
      </c>
    </row>
    <row r="512" spans="1:17">
      <c r="A512" s="1">
        <v>84603</v>
      </c>
      <c r="B512" s="1" t="s">
        <v>7667</v>
      </c>
      <c r="C512" s="1" t="s">
        <v>7672</v>
      </c>
      <c r="D512" s="19" t="s">
        <v>10729</v>
      </c>
      <c r="E512" s="15" t="str">
        <f>HYPERLINK("https://stat100.ameba.jp/tnk47/ratio20/illustrations/card/ill_84603_furi03.jpg?201910-5-RELEASE-marathon-436", "■")</f>
        <v>■</v>
      </c>
      <c r="F512" s="1" t="s">
        <v>7687</v>
      </c>
      <c r="G512" s="1">
        <v>67210</v>
      </c>
      <c r="H512" s="1">
        <v>74100</v>
      </c>
      <c r="I512" s="1">
        <v>25</v>
      </c>
      <c r="J512" s="1" t="s">
        <v>7677</v>
      </c>
      <c r="K512" s="1" t="s">
        <v>7686</v>
      </c>
      <c r="L512" s="1" t="s">
        <v>7685</v>
      </c>
      <c r="M512" s="1" t="s">
        <v>9158</v>
      </c>
      <c r="N512" s="1" t="s">
        <v>9158</v>
      </c>
      <c r="O512" s="1" t="s">
        <v>9158</v>
      </c>
      <c r="P512" s="1" t="s">
        <v>9158</v>
      </c>
      <c r="Q512" s="1" t="s">
        <v>9158</v>
      </c>
    </row>
    <row r="513" spans="1:17">
      <c r="A513" s="1">
        <v>84613</v>
      </c>
      <c r="B513" s="1" t="s">
        <v>7668</v>
      </c>
      <c r="C513" s="1" t="s">
        <v>7673</v>
      </c>
      <c r="D513" s="19" t="s">
        <v>10730</v>
      </c>
      <c r="E513" s="15" t="str">
        <f>HYPERLINK("https://stat100.ameba.jp/tnk47/ratio20/illustrations/card/ill_84613_yoshomomotaro03.jpg?201910-5-RELEASE-marathon-436", "■")</f>
        <v>■</v>
      </c>
      <c r="F513" s="1" t="s">
        <v>7690</v>
      </c>
      <c r="G513" s="1">
        <v>43662</v>
      </c>
      <c r="H513" s="1">
        <v>36304</v>
      </c>
      <c r="I513" s="1">
        <v>21</v>
      </c>
      <c r="J513" s="1" t="s">
        <v>7676</v>
      </c>
      <c r="K513" s="1" t="s">
        <v>7689</v>
      </c>
      <c r="L513" s="1" t="s">
        <v>7688</v>
      </c>
      <c r="M513" s="1" t="s">
        <v>9158</v>
      </c>
      <c r="N513" s="1" t="s">
        <v>9158</v>
      </c>
      <c r="O513" s="1" t="s">
        <v>9158</v>
      </c>
      <c r="P513" s="1" t="s">
        <v>9158</v>
      </c>
      <c r="Q513" s="1" t="s">
        <v>9158</v>
      </c>
    </row>
    <row r="514" spans="1:17">
      <c r="A514" s="1">
        <v>84623</v>
      </c>
      <c r="B514" s="1" t="s">
        <v>7669</v>
      </c>
      <c r="C514" s="1" t="s">
        <v>7674</v>
      </c>
      <c r="D514" s="19" t="s">
        <v>10731</v>
      </c>
      <c r="E514" s="15" t="str">
        <f>HYPERLINK("https://stat100.ameba.jp/tnk47/ratio20/illustrations/card/ill_84623_sarubobo03.jpg?201910-5-RELEASE-marathon-436", "■")</f>
        <v>■</v>
      </c>
      <c r="F514" s="1" t="s">
        <v>7693</v>
      </c>
      <c r="G514" s="1">
        <v>22200</v>
      </c>
      <c r="H514" s="1">
        <v>26434</v>
      </c>
      <c r="I514" s="1">
        <v>21</v>
      </c>
      <c r="J514" s="1" t="s">
        <v>7678</v>
      </c>
      <c r="K514" s="1" t="s">
        <v>7692</v>
      </c>
      <c r="L514" s="1" t="s">
        <v>7691</v>
      </c>
      <c r="M514" s="1" t="s">
        <v>9158</v>
      </c>
      <c r="N514" s="1" t="s">
        <v>9158</v>
      </c>
      <c r="O514" s="1" t="s">
        <v>9158</v>
      </c>
      <c r="P514" s="1" t="s">
        <v>9158</v>
      </c>
      <c r="Q514" s="1" t="s">
        <v>9158</v>
      </c>
    </row>
    <row r="516" spans="1:17">
      <c r="A516" s="1" t="s">
        <v>7694</v>
      </c>
    </row>
    <row r="517" spans="1:17">
      <c r="A517" s="1" t="s">
        <v>7695</v>
      </c>
    </row>
    <row r="518" spans="1:17">
      <c r="A518" s="1" t="s">
        <v>5626</v>
      </c>
      <c r="B518" s="1" t="s">
        <v>330</v>
      </c>
      <c r="C518" s="1" t="s">
        <v>200</v>
      </c>
      <c r="D518" s="19" t="s">
        <v>3160</v>
      </c>
      <c r="E518" s="15" t="str">
        <f>HYPERLINK("https://stat100.ameba.jp/tnk47/ratio20/illustrations/card/ill_72963_0_amenohanayomehiguchiichiyo03.jpg?201910-5-RELEASE-marathon-436", "■")</f>
        <v>■</v>
      </c>
      <c r="F518" s="1" t="s">
        <v>1139</v>
      </c>
      <c r="G518" s="1">
        <v>100502</v>
      </c>
      <c r="H518" s="1">
        <v>93450</v>
      </c>
      <c r="I518" s="1">
        <v>15</v>
      </c>
      <c r="J518" s="1" t="s">
        <v>173</v>
      </c>
      <c r="K518" s="1" t="s">
        <v>1140</v>
      </c>
      <c r="L518" s="1" t="s">
        <v>1141</v>
      </c>
      <c r="M518" s="1" t="s">
        <v>9158</v>
      </c>
      <c r="N518" s="1" t="s">
        <v>9158</v>
      </c>
      <c r="O518" s="19" t="s">
        <v>3162</v>
      </c>
      <c r="P518" s="1" t="s">
        <v>3410</v>
      </c>
      <c r="Q518" s="1">
        <v>1</v>
      </c>
    </row>
    <row r="519" spans="1:17">
      <c r="A519" s="1" t="s">
        <v>5623</v>
      </c>
      <c r="B519" s="1" t="s">
        <v>330</v>
      </c>
      <c r="C519" s="1" t="s">
        <v>165</v>
      </c>
      <c r="D519" s="19" t="s">
        <v>3146</v>
      </c>
      <c r="E519" s="15" t="str">
        <f>HYPERLINK("https://stat100.ameba.jp/tnk47/ratio20/illustrations/card/ill_65713_0_undokaionikirimaru03.jpg?201910-5-RELEASE-marathon-436", "■")</f>
        <v>■</v>
      </c>
      <c r="F519" s="1" t="s">
        <v>535</v>
      </c>
      <c r="G519" s="1">
        <v>113525</v>
      </c>
      <c r="H519" s="1">
        <v>105545</v>
      </c>
      <c r="I519" s="1">
        <v>15</v>
      </c>
      <c r="J519" s="1" t="s">
        <v>320</v>
      </c>
      <c r="K519" s="1" t="s">
        <v>3147</v>
      </c>
      <c r="L519" s="1" t="s">
        <v>3148</v>
      </c>
      <c r="M519" s="1" t="s">
        <v>9158</v>
      </c>
      <c r="N519" s="1" t="s">
        <v>9158</v>
      </c>
      <c r="O519" s="19" t="s">
        <v>2869</v>
      </c>
      <c r="P519" s="1" t="s">
        <v>2870</v>
      </c>
      <c r="Q519" s="1">
        <v>1</v>
      </c>
    </row>
    <row r="520" spans="1:17">
      <c r="A520" s="1" t="s">
        <v>5721</v>
      </c>
      <c r="B520" s="1" t="s">
        <v>330</v>
      </c>
      <c r="C520" s="1" t="s">
        <v>205</v>
      </c>
      <c r="D520" s="19" t="s">
        <v>513</v>
      </c>
      <c r="E520" s="15" t="str">
        <f>HYPERLINK("https://stat100.ameba.jp/tnk47/ratio20/illustrations/card/ill_44283_0_izumonokuni03.jpg?201910-5-RELEASE-marathon-436", "■")</f>
        <v>■</v>
      </c>
      <c r="F520" s="1" t="s">
        <v>514</v>
      </c>
      <c r="G520" s="1">
        <v>87780</v>
      </c>
      <c r="H520" s="1">
        <v>82212</v>
      </c>
      <c r="I520" s="1">
        <v>15</v>
      </c>
      <c r="J520" s="1" t="s">
        <v>159</v>
      </c>
      <c r="K520" s="1" t="s">
        <v>1717</v>
      </c>
      <c r="L520" s="1" t="s">
        <v>516</v>
      </c>
      <c r="M520" s="1" t="s">
        <v>9158</v>
      </c>
      <c r="N520" s="1" t="s">
        <v>9158</v>
      </c>
      <c r="O520" s="1" t="s">
        <v>9158</v>
      </c>
      <c r="P520" s="1" t="s">
        <v>9158</v>
      </c>
      <c r="Q520" s="1" t="s">
        <v>9158</v>
      </c>
    </row>
    <row r="521" spans="1:17">
      <c r="A521" s="1">
        <v>82193</v>
      </c>
      <c r="B521" s="1" t="s">
        <v>0</v>
      </c>
      <c r="C521" s="1" t="s">
        <v>7696</v>
      </c>
      <c r="D521" s="19" t="s">
        <v>10275</v>
      </c>
      <c r="E521" s="15" t="str">
        <f>HYPERLINK("https://stat100.ameba.jp/tnk47/ratio20/illustrations/card/ill_82193_tsuyuromantatsukuchinawa03.jpg?201910-5-RELEASE-marathon-436", "■")</f>
        <v>■</v>
      </c>
      <c r="F521" s="1" t="s">
        <v>7704</v>
      </c>
      <c r="G521" s="1">
        <v>176200</v>
      </c>
      <c r="H521" s="1">
        <v>99132</v>
      </c>
      <c r="I521" s="1">
        <v>24</v>
      </c>
      <c r="J521" s="1" t="s">
        <v>7697</v>
      </c>
      <c r="K521" s="1" t="s">
        <v>7703</v>
      </c>
      <c r="L521" s="1" t="s">
        <v>7702</v>
      </c>
      <c r="M521" s="1" t="s">
        <v>9158</v>
      </c>
      <c r="N521" s="1" t="s">
        <v>9158</v>
      </c>
      <c r="O521" s="1" t="s">
        <v>9158</v>
      </c>
      <c r="P521" s="1" t="s">
        <v>9158</v>
      </c>
      <c r="Q521" s="1" t="s">
        <v>9158</v>
      </c>
    </row>
    <row r="522" spans="1:17">
      <c r="A522" s="1">
        <v>76633</v>
      </c>
      <c r="B522" s="1" t="s">
        <v>0</v>
      </c>
      <c r="C522" s="1" t="s">
        <v>7698</v>
      </c>
      <c r="D522" s="19" t="s">
        <v>10732</v>
      </c>
      <c r="E522" s="15" t="str">
        <f>HYPERLINK("https://stat100.ameba.jp/tnk47/ratio20/illustrations/card/ill_76633_terazawahirotaka03.jpg?201910-5-RELEASE-marathon-436", "■")</f>
        <v>■</v>
      </c>
      <c r="F522" s="1" t="s">
        <v>7707</v>
      </c>
      <c r="G522" s="1">
        <v>115746</v>
      </c>
      <c r="H522" s="1">
        <v>65128</v>
      </c>
      <c r="I522" s="1">
        <v>24</v>
      </c>
      <c r="J522" s="1" t="s">
        <v>7699</v>
      </c>
      <c r="K522" s="1" t="s">
        <v>7706</v>
      </c>
      <c r="L522" s="1" t="s">
        <v>7705</v>
      </c>
      <c r="M522" s="1" t="s">
        <v>9158</v>
      </c>
      <c r="N522" s="1" t="s">
        <v>9158</v>
      </c>
      <c r="O522" s="1" t="s">
        <v>9158</v>
      </c>
      <c r="P522" s="1" t="s">
        <v>9158</v>
      </c>
      <c r="Q522" s="1" t="s">
        <v>9158</v>
      </c>
    </row>
    <row r="523" spans="1:17">
      <c r="A523" s="1">
        <v>74663</v>
      </c>
      <c r="B523" s="1" t="s">
        <v>0</v>
      </c>
      <c r="C523" s="1" t="s">
        <v>7700</v>
      </c>
      <c r="D523" s="19" t="s">
        <v>10733</v>
      </c>
      <c r="E523" s="15" t="str">
        <f>HYPERLINK("https://stat100.ameba.jp/tnk47/ratio20/illustrations/card/ill_74663_takaminejokichi03.jpg?201910-5-RELEASE-marathon-436", "■")</f>
        <v>■</v>
      </c>
      <c r="F523" s="1" t="s">
        <v>7710</v>
      </c>
      <c r="G523" s="1">
        <v>97318</v>
      </c>
      <c r="H523" s="1">
        <v>90522</v>
      </c>
      <c r="I523" s="1">
        <v>24</v>
      </c>
      <c r="J523" s="1" t="s">
        <v>7701</v>
      </c>
      <c r="K523" s="1" t="s">
        <v>7709</v>
      </c>
      <c r="L523" s="1" t="s">
        <v>7708</v>
      </c>
      <c r="M523" s="1" t="s">
        <v>9158</v>
      </c>
      <c r="N523" s="1" t="s">
        <v>9158</v>
      </c>
      <c r="O523" s="1" t="s">
        <v>9158</v>
      </c>
      <c r="P523" s="1" t="s">
        <v>9158</v>
      </c>
      <c r="Q523" s="1" t="s">
        <v>9158</v>
      </c>
    </row>
    <row r="524" spans="1:17">
      <c r="A524" s="1">
        <v>64053</v>
      </c>
      <c r="B524" s="1" t="s">
        <v>15</v>
      </c>
      <c r="C524" s="1" t="s">
        <v>206</v>
      </c>
      <c r="D524" s="19" t="s">
        <v>10667</v>
      </c>
      <c r="E524" s="15" t="str">
        <f>HYPERLINK("https://stat100.ameba.jp/tnk47/ratio20/illustrations/card/ill_64053_yusuzumimyorinni03.jpg?201910-5-RELEASE-marathon-436", "■")</f>
        <v>■</v>
      </c>
      <c r="F524" s="1" t="s">
        <v>7202</v>
      </c>
      <c r="G524" s="1">
        <v>59280</v>
      </c>
      <c r="H524" s="1">
        <v>53768</v>
      </c>
      <c r="I524" s="1">
        <v>20</v>
      </c>
      <c r="J524" s="1" t="s">
        <v>194</v>
      </c>
      <c r="K524" s="1" t="s">
        <v>7201</v>
      </c>
      <c r="L524" s="1" t="s">
        <v>3524</v>
      </c>
      <c r="M524" s="1" t="s">
        <v>9158</v>
      </c>
      <c r="N524" s="1" t="s">
        <v>9158</v>
      </c>
      <c r="O524" s="1" t="s">
        <v>9158</v>
      </c>
      <c r="P524" s="1" t="s">
        <v>9158</v>
      </c>
      <c r="Q524" s="1" t="s">
        <v>9158</v>
      </c>
    </row>
    <row r="525" spans="1:17">
      <c r="A525" s="1">
        <v>77363</v>
      </c>
      <c r="B525" s="1" t="s">
        <v>15</v>
      </c>
      <c r="C525" s="1" t="s">
        <v>185</v>
      </c>
      <c r="D525" s="19" t="s">
        <v>1533</v>
      </c>
      <c r="E525" s="15" t="str">
        <f>HYPERLINK("https://stat100.ameba.jp/tnk47/ratio20/illustrations/card/ill_77363_samonchan03.jpg?201910-5-RELEASE-marathon-436", "■")</f>
        <v>■</v>
      </c>
      <c r="F525" s="1" t="s">
        <v>5480</v>
      </c>
      <c r="G525" s="1">
        <v>59280</v>
      </c>
      <c r="H525" s="1">
        <v>53768</v>
      </c>
      <c r="I525" s="1">
        <v>20</v>
      </c>
      <c r="J525" s="1" t="s">
        <v>216</v>
      </c>
      <c r="K525" s="1" t="s">
        <v>3607</v>
      </c>
      <c r="L525" s="1" t="s">
        <v>3607</v>
      </c>
      <c r="M525" s="1" t="s">
        <v>9158</v>
      </c>
      <c r="N525" s="1" t="s">
        <v>9158</v>
      </c>
      <c r="O525" s="1" t="s">
        <v>9158</v>
      </c>
      <c r="P525" s="1" t="s">
        <v>9158</v>
      </c>
      <c r="Q525" s="1" t="s">
        <v>9158</v>
      </c>
    </row>
    <row r="526" spans="1:17">
      <c r="A526" s="1">
        <v>74073</v>
      </c>
      <c r="B526" s="1" t="s">
        <v>15</v>
      </c>
      <c r="C526" s="1" t="s">
        <v>191</v>
      </c>
      <c r="D526" s="19" t="s">
        <v>10668</v>
      </c>
      <c r="E526" s="15" t="str">
        <f>HYPERLINK("https://stat100.ameba.jp/tnk47/ratio20/illustrations/card/ill_74073_toyotakerosho03.jpg?201910-5-RELEASE-marathon-436", "■")</f>
        <v>■</v>
      </c>
      <c r="F526" s="1" t="s">
        <v>4385</v>
      </c>
      <c r="G526" s="1">
        <v>59280</v>
      </c>
      <c r="H526" s="1">
        <v>53768</v>
      </c>
      <c r="I526" s="1">
        <v>20</v>
      </c>
      <c r="J526" s="1" t="s">
        <v>173</v>
      </c>
      <c r="K526" s="1" t="s">
        <v>4386</v>
      </c>
      <c r="L526" s="1" t="s">
        <v>3275</v>
      </c>
      <c r="M526" s="1" t="s">
        <v>9158</v>
      </c>
      <c r="N526" s="1" t="s">
        <v>9158</v>
      </c>
      <c r="O526" s="1" t="s">
        <v>9158</v>
      </c>
      <c r="P526" s="1" t="s">
        <v>9158</v>
      </c>
      <c r="Q526" s="1" t="s">
        <v>9158</v>
      </c>
    </row>
    <row r="528" spans="1:17">
      <c r="A528" s="1" t="s">
        <v>7711</v>
      </c>
    </row>
    <row r="529" spans="1:17">
      <c r="A529" s="1" t="s">
        <v>1137</v>
      </c>
    </row>
    <row r="530" spans="1:17">
      <c r="A530" s="1" t="s">
        <v>5601</v>
      </c>
      <c r="B530" s="1" t="s">
        <v>330</v>
      </c>
      <c r="C530" s="1" t="s">
        <v>35</v>
      </c>
      <c r="D530" s="19" t="s">
        <v>10318</v>
      </c>
      <c r="E530" s="15" t="str">
        <f>HYPERLINK("https://stat100.ameba.jp/tnk47/ratio20/illustrations/card/ill_82423_0_bikinigarukishi03.jpg?201910-5-RELEASE-marathon-436", "■")</f>
        <v>■</v>
      </c>
      <c r="F530" s="1" t="s">
        <v>5391</v>
      </c>
      <c r="G530" s="1">
        <v>290598</v>
      </c>
      <c r="H530" s="1">
        <v>262648</v>
      </c>
      <c r="I530" s="1">
        <v>24</v>
      </c>
      <c r="J530" s="1" t="s">
        <v>77</v>
      </c>
      <c r="K530" s="1" t="s">
        <v>5392</v>
      </c>
      <c r="L530" s="1" t="s">
        <v>5393</v>
      </c>
      <c r="M530" s="1" t="s">
        <v>9158</v>
      </c>
      <c r="N530" s="1" t="s">
        <v>9158</v>
      </c>
      <c r="O530" s="19" t="s">
        <v>10069</v>
      </c>
      <c r="P530" s="1" t="s">
        <v>5394</v>
      </c>
      <c r="Q530" s="1">
        <v>1</v>
      </c>
    </row>
    <row r="531" spans="1:17">
      <c r="A531" s="1">
        <v>77683</v>
      </c>
      <c r="B531" s="1" t="s">
        <v>0</v>
      </c>
      <c r="C531" s="1" t="s">
        <v>203</v>
      </c>
      <c r="D531" s="19" t="s">
        <v>10220</v>
      </c>
      <c r="E531" s="15" t="str">
        <f>HYPERLINK("https://stat100.ameba.jp/tnk47/ratio20/illustrations/card/ill_77683_shukusainoujohoride03.jpg?201910-5-RELEASE-marathon-436", "■")</f>
        <v>■</v>
      </c>
      <c r="F531" s="1" t="s">
        <v>1430</v>
      </c>
      <c r="G531" s="1">
        <v>104890</v>
      </c>
      <c r="H531" s="1">
        <v>75984</v>
      </c>
      <c r="I531" s="1">
        <v>24</v>
      </c>
      <c r="J531" s="1" t="s">
        <v>315</v>
      </c>
      <c r="K531" s="1" t="s">
        <v>1431</v>
      </c>
      <c r="L531" s="1" t="s">
        <v>1432</v>
      </c>
      <c r="M531" s="1" t="s">
        <v>9158</v>
      </c>
      <c r="N531" s="1" t="s">
        <v>9158</v>
      </c>
      <c r="O531" s="19" t="s">
        <v>10090</v>
      </c>
      <c r="P531" s="1" t="s">
        <v>3460</v>
      </c>
      <c r="Q531" s="1">
        <v>1</v>
      </c>
    </row>
    <row r="532" spans="1:17">
      <c r="A532" s="1">
        <v>78873</v>
      </c>
      <c r="B532" s="1" t="s">
        <v>334</v>
      </c>
      <c r="C532" s="1" t="s">
        <v>209</v>
      </c>
      <c r="D532" s="19" t="s">
        <v>2818</v>
      </c>
      <c r="E532" s="15" t="str">
        <f>HYPERLINK("https://stat100.ameba.jp/tnk47/ratio20/illustrations/card/ill_78873_furutsutomato03.jpg?201910-5-RELEASE-marathon-436", "■")</f>
        <v>■</v>
      </c>
      <c r="F532" s="1" t="s">
        <v>2819</v>
      </c>
      <c r="G532" s="1">
        <v>91876</v>
      </c>
      <c r="H532" s="1">
        <v>126858</v>
      </c>
      <c r="I532" s="1">
        <v>24</v>
      </c>
      <c r="J532" s="1" t="s">
        <v>283</v>
      </c>
      <c r="K532" s="1" t="s">
        <v>2820</v>
      </c>
      <c r="L532" s="1" t="s">
        <v>2821</v>
      </c>
      <c r="M532" s="1" t="s">
        <v>9158</v>
      </c>
      <c r="N532" s="1" t="s">
        <v>9158</v>
      </c>
      <c r="O532" s="19" t="s">
        <v>10074</v>
      </c>
      <c r="P532" s="1" t="s">
        <v>2822</v>
      </c>
      <c r="Q532" s="1">
        <v>1</v>
      </c>
    </row>
    <row r="533" spans="1:17">
      <c r="A533" s="1">
        <v>52083</v>
      </c>
      <c r="B533" s="1" t="s">
        <v>0</v>
      </c>
      <c r="C533" s="1" t="s">
        <v>158</v>
      </c>
      <c r="D533" s="19" t="s">
        <v>2913</v>
      </c>
      <c r="E533" s="15" t="str">
        <f>HYPERLINK("https://stat100.ameba.jp/tnk47/ratio20/illustrations/card/ill_52083_berubetto03.jpg?201910-5-RELEASE-marathon-436", "■")</f>
        <v>■</v>
      </c>
      <c r="F533" s="1" t="s">
        <v>944</v>
      </c>
      <c r="G533" s="1">
        <v>82694</v>
      </c>
      <c r="H533" s="1">
        <v>114160</v>
      </c>
      <c r="I533" s="1">
        <v>24</v>
      </c>
      <c r="J533" s="1" t="s">
        <v>26</v>
      </c>
      <c r="K533" s="1" t="s">
        <v>1864</v>
      </c>
      <c r="L533" s="1" t="s">
        <v>1865</v>
      </c>
      <c r="M533" s="1" t="s">
        <v>9158</v>
      </c>
      <c r="N533" s="1" t="s">
        <v>9158</v>
      </c>
      <c r="O533" s="19" t="s">
        <v>2917</v>
      </c>
      <c r="P533" s="1" t="s">
        <v>2918</v>
      </c>
      <c r="Q533" s="1">
        <v>1</v>
      </c>
    </row>
    <row r="535" spans="1:17">
      <c r="A535" s="1" t="s">
        <v>7712</v>
      </c>
    </row>
    <row r="536" spans="1:17">
      <c r="A536" s="1" t="s">
        <v>7713</v>
      </c>
    </row>
    <row r="537" spans="1:17">
      <c r="A537" s="1" t="s">
        <v>5778</v>
      </c>
      <c r="B537" s="1" t="s">
        <v>330</v>
      </c>
      <c r="C537" s="1" t="s">
        <v>205</v>
      </c>
      <c r="D537" s="19" t="s">
        <v>272</v>
      </c>
      <c r="E537" s="15" t="str">
        <f>HYPERLINK("https://stat100.ameba.jp/tnk47/ratio20/illustrations/card/ill_68783_0_gantammomotaro03.jpg?201910-5-RELEASE-marathon-436", "■")</f>
        <v>■</v>
      </c>
      <c r="F537" s="1" t="s">
        <v>273</v>
      </c>
      <c r="G537" s="1">
        <v>102590</v>
      </c>
      <c r="H537" s="1">
        <v>95371</v>
      </c>
      <c r="I537" s="1">
        <v>15</v>
      </c>
      <c r="J537" s="1" t="s">
        <v>274</v>
      </c>
      <c r="K537" s="1" t="s">
        <v>275</v>
      </c>
      <c r="L537" s="1" t="s">
        <v>276</v>
      </c>
      <c r="M537" s="1" t="s">
        <v>9158</v>
      </c>
      <c r="N537" s="1" t="s">
        <v>9158</v>
      </c>
      <c r="O537" s="19" t="s">
        <v>10099</v>
      </c>
      <c r="P537" s="1" t="s">
        <v>3085</v>
      </c>
      <c r="Q537" s="1">
        <v>1</v>
      </c>
    </row>
    <row r="538" spans="1:17">
      <c r="A538" s="1" t="s">
        <v>5650</v>
      </c>
      <c r="B538" s="1" t="s">
        <v>52</v>
      </c>
      <c r="C538" s="1" t="s">
        <v>200</v>
      </c>
      <c r="D538" s="19" t="s">
        <v>809</v>
      </c>
      <c r="E538" s="15" t="str">
        <f>HYPERLINK("https://stat100.ameba.jp/tnk47/ratio20/illustrations/card/ill_68033_0_kurisumasupateikandamyojin03.jpg?201910-5-RELEASE-marathon-436", "■")</f>
        <v>■</v>
      </c>
      <c r="F538" s="1" t="s">
        <v>1871</v>
      </c>
      <c r="G538" s="1">
        <v>95371</v>
      </c>
      <c r="H538" s="1">
        <v>102590</v>
      </c>
      <c r="I538" s="1">
        <v>15</v>
      </c>
      <c r="J538" s="1" t="s">
        <v>44</v>
      </c>
      <c r="K538" s="1" t="s">
        <v>1872</v>
      </c>
      <c r="L538" s="1" t="s">
        <v>1873</v>
      </c>
      <c r="O538" s="19" t="s">
        <v>2997</v>
      </c>
      <c r="P538" s="1" t="s">
        <v>3483</v>
      </c>
      <c r="Q538" s="1">
        <v>2</v>
      </c>
    </row>
    <row r="539" spans="1:17">
      <c r="A539" s="1" t="s">
        <v>5627</v>
      </c>
      <c r="B539" s="1" t="s">
        <v>330</v>
      </c>
      <c r="C539" s="1" t="s">
        <v>191</v>
      </c>
      <c r="D539" s="19" t="s">
        <v>393</v>
      </c>
      <c r="E539" s="15" t="str">
        <f>HYPERLINK("https://stat100.ameba.jp/tnk47/ratio20/illustrations/card/ill_46283_0_odanobunaga03.jpg?201910-5-RELEASE-marathon-436", "■")</f>
        <v>■</v>
      </c>
      <c r="F539" s="1" t="s">
        <v>1073</v>
      </c>
      <c r="G539" s="1">
        <v>82212</v>
      </c>
      <c r="H539" s="1">
        <v>87780</v>
      </c>
      <c r="I539" s="1">
        <v>15</v>
      </c>
      <c r="J539" s="1" t="s">
        <v>143</v>
      </c>
      <c r="K539" s="1" t="s">
        <v>1074</v>
      </c>
      <c r="L539" s="1" t="s">
        <v>1075</v>
      </c>
      <c r="M539" s="1" t="s">
        <v>9158</v>
      </c>
      <c r="N539" s="1" t="s">
        <v>9158</v>
      </c>
      <c r="O539" s="1" t="s">
        <v>9158</v>
      </c>
      <c r="P539" s="1" t="s">
        <v>9158</v>
      </c>
      <c r="Q539" s="1" t="s">
        <v>9158</v>
      </c>
    </row>
    <row r="540" spans="1:17">
      <c r="A540" s="1">
        <v>81233</v>
      </c>
      <c r="B540" s="1" t="s">
        <v>334</v>
      </c>
      <c r="C540" s="1" t="s">
        <v>165</v>
      </c>
      <c r="D540" s="19" t="s">
        <v>10734</v>
      </c>
      <c r="E540" s="15" t="str">
        <f>HYPERLINK("https://stat100.ameba.jp/tnk47/ratio20/illustrations/card/ill_81233_sakasutengaihata03.jpg?201910-5-RELEASE-marathon-436", "■")</f>
        <v>■</v>
      </c>
      <c r="F540" s="1" t="s">
        <v>4547</v>
      </c>
      <c r="G540" s="1">
        <v>97894</v>
      </c>
      <c r="H540" s="1">
        <v>91010</v>
      </c>
      <c r="I540" s="1">
        <v>24</v>
      </c>
      <c r="J540" s="1" t="s">
        <v>44</v>
      </c>
      <c r="K540" s="1" t="s">
        <v>4548</v>
      </c>
      <c r="L540" s="1" t="s">
        <v>4549</v>
      </c>
      <c r="M540" s="1" t="s">
        <v>9158</v>
      </c>
      <c r="N540" s="1" t="s">
        <v>9158</v>
      </c>
      <c r="O540" s="1" t="s">
        <v>9158</v>
      </c>
      <c r="P540" s="1" t="s">
        <v>9158</v>
      </c>
      <c r="Q540" s="1" t="s">
        <v>9158</v>
      </c>
    </row>
    <row r="541" spans="1:17">
      <c r="A541" s="1">
        <v>80093</v>
      </c>
      <c r="B541" s="1" t="s">
        <v>0</v>
      </c>
      <c r="C541" s="1" t="s">
        <v>14</v>
      </c>
      <c r="D541" s="19" t="s">
        <v>10735</v>
      </c>
      <c r="E541" s="15" t="str">
        <f>HYPERLINK("https://stat100.ameba.jp/tnk47/ratio20/illustrations/card/ill_80093_kafunshuraijakotsumusume03.jpg?201910-5-RELEASE-marathon-436", "■")</f>
        <v>■</v>
      </c>
      <c r="F541" s="1" t="s">
        <v>3772</v>
      </c>
      <c r="G541" s="1">
        <v>92996</v>
      </c>
      <c r="H541" s="1">
        <v>99996</v>
      </c>
      <c r="I541" s="1">
        <v>24</v>
      </c>
      <c r="J541" s="1" t="s">
        <v>73</v>
      </c>
      <c r="K541" s="1" t="s">
        <v>3773</v>
      </c>
      <c r="L541" s="1" t="s">
        <v>2007</v>
      </c>
      <c r="M541" s="1" t="s">
        <v>9158</v>
      </c>
      <c r="N541" s="1" t="s">
        <v>9158</v>
      </c>
      <c r="O541" s="1" t="s">
        <v>9158</v>
      </c>
      <c r="P541" s="1" t="s">
        <v>9158</v>
      </c>
      <c r="Q541" s="1" t="s">
        <v>9158</v>
      </c>
    </row>
    <row r="542" spans="1:17">
      <c r="A542" s="1">
        <v>81743</v>
      </c>
      <c r="B542" s="1" t="s">
        <v>334</v>
      </c>
      <c r="C542" s="1" t="s">
        <v>107</v>
      </c>
      <c r="D542" s="19" t="s">
        <v>10171</v>
      </c>
      <c r="E542" s="15" t="str">
        <f>HYPERLINK("https://stat100.ameba.jp/tnk47/ratio20/illustrations/card/ill_81743_denshagarusakyogabashinohebi03.jpg?201910-5-RELEASE-marathon-436", "■")</f>
        <v>■</v>
      </c>
      <c r="F542" s="1" t="s">
        <v>4853</v>
      </c>
      <c r="G542" s="1">
        <v>109528</v>
      </c>
      <c r="H542" s="1">
        <v>101656</v>
      </c>
      <c r="I542" s="1">
        <v>24</v>
      </c>
      <c r="J542" s="1" t="s">
        <v>38</v>
      </c>
      <c r="K542" s="1" t="s">
        <v>4855</v>
      </c>
      <c r="L542" s="1" t="s">
        <v>4856</v>
      </c>
      <c r="M542" s="1" t="s">
        <v>9158</v>
      </c>
      <c r="N542" s="1" t="s">
        <v>9158</v>
      </c>
      <c r="O542" s="19" t="s">
        <v>10091</v>
      </c>
      <c r="P542" s="1" t="s">
        <v>3670</v>
      </c>
      <c r="Q542" s="1">
        <v>1</v>
      </c>
    </row>
    <row r="543" spans="1:17">
      <c r="A543" s="1">
        <v>81433</v>
      </c>
      <c r="B543" s="1" t="s">
        <v>7714</v>
      </c>
      <c r="C543" s="1" t="s">
        <v>7715</v>
      </c>
      <c r="D543" s="19" t="s">
        <v>10736</v>
      </c>
      <c r="E543" s="15" t="str">
        <f>HYPERLINK("https://stat100.ameba.jp/tnk47/ratio20/illustrations/card/ill_81433_undokaikyosensuchan03.jpg?201910-5-RELEASE-marathon-436", "■")</f>
        <v>■</v>
      </c>
      <c r="F543" s="1" t="s">
        <v>7720</v>
      </c>
      <c r="G543" s="1">
        <v>53768</v>
      </c>
      <c r="H543" s="1">
        <v>59280</v>
      </c>
      <c r="I543" s="1">
        <v>20</v>
      </c>
      <c r="J543" s="1" t="s">
        <v>26</v>
      </c>
      <c r="K543" s="1" t="s">
        <v>7719</v>
      </c>
      <c r="L543" s="1" t="s">
        <v>7718</v>
      </c>
      <c r="M543" s="1" t="s">
        <v>9158</v>
      </c>
      <c r="N543" s="1" t="s">
        <v>9158</v>
      </c>
      <c r="O543" s="1" t="s">
        <v>9158</v>
      </c>
      <c r="P543" s="1" t="s">
        <v>9158</v>
      </c>
      <c r="Q543" s="1" t="s">
        <v>9158</v>
      </c>
    </row>
    <row r="544" spans="1:17">
      <c r="A544" s="1">
        <v>75663</v>
      </c>
      <c r="B544" s="1" t="s">
        <v>7714</v>
      </c>
      <c r="C544" s="1" t="s">
        <v>7716</v>
      </c>
      <c r="D544" s="19" t="s">
        <v>10387</v>
      </c>
      <c r="E544" s="15" t="str">
        <f>HYPERLINK("https://stat100.ameba.jp/tnk47/ratio20/illustrations/card/ill_75663_ikumatsu03.jpg?201910-5-RELEASE-marathon-436", "■")</f>
        <v>■</v>
      </c>
      <c r="F544" s="1" t="s">
        <v>7723</v>
      </c>
      <c r="G544" s="1">
        <v>59280</v>
      </c>
      <c r="H544" s="1">
        <v>53768</v>
      </c>
      <c r="I544" s="1">
        <v>20</v>
      </c>
      <c r="J544" s="1" t="s">
        <v>159</v>
      </c>
      <c r="K544" s="1" t="s">
        <v>7722</v>
      </c>
      <c r="L544" s="1" t="s">
        <v>7721</v>
      </c>
      <c r="M544" s="1" t="s">
        <v>9158</v>
      </c>
      <c r="N544" s="1" t="s">
        <v>9158</v>
      </c>
      <c r="O544" s="1" t="s">
        <v>9158</v>
      </c>
      <c r="P544" s="1" t="s">
        <v>9158</v>
      </c>
      <c r="Q544" s="1" t="s">
        <v>9158</v>
      </c>
    </row>
    <row r="545" spans="1:17">
      <c r="A545" s="1">
        <v>72533</v>
      </c>
      <c r="B545" s="1" t="s">
        <v>7714</v>
      </c>
      <c r="C545" s="1" t="s">
        <v>7717</v>
      </c>
      <c r="D545" s="19" t="s">
        <v>10737</v>
      </c>
      <c r="E545" s="15" t="str">
        <f>HYPERLINK("https://stat100.ameba.jp/tnk47/ratio20/illustrations/card/ill_72533_safuaripakunambutsuruhime03.jpg?201910-5-RELEASE-marathon-436", "■")</f>
        <v>■</v>
      </c>
      <c r="F545" s="1" t="s">
        <v>7726</v>
      </c>
      <c r="G545" s="1">
        <v>59280</v>
      </c>
      <c r="H545" s="1">
        <v>53768</v>
      </c>
      <c r="I545" s="1">
        <v>20</v>
      </c>
      <c r="J545" s="1" t="s">
        <v>315</v>
      </c>
      <c r="K545" s="1" t="s">
        <v>7725</v>
      </c>
      <c r="L545" s="1" t="s">
        <v>7724</v>
      </c>
      <c r="M545" s="1" t="s">
        <v>9158</v>
      </c>
      <c r="N545" s="1" t="s">
        <v>9158</v>
      </c>
      <c r="O545" s="1" t="s">
        <v>9158</v>
      </c>
      <c r="P545" s="1" t="s">
        <v>9158</v>
      </c>
      <c r="Q545" s="1" t="s">
        <v>9158</v>
      </c>
    </row>
    <row r="547" spans="1:17">
      <c r="A547" s="1" t="s">
        <v>7727</v>
      </c>
    </row>
    <row r="548" spans="1:17">
      <c r="A548" s="1" t="s">
        <v>7728</v>
      </c>
    </row>
    <row r="549" spans="1:17">
      <c r="A549" s="1" t="s">
        <v>5614</v>
      </c>
      <c r="B549" s="1" t="s">
        <v>330</v>
      </c>
      <c r="C549" s="1" t="s">
        <v>267</v>
      </c>
      <c r="D549" s="19" t="s">
        <v>313</v>
      </c>
      <c r="E549" s="15" t="str">
        <f>HYPERLINK("https://stat100.ameba.jp/tnk47/ratio20/illustrations/card/ill_56223_0_onsempanikkugohime03.jpg?201910-5-RELEASE-marathon-436", "■")</f>
        <v>■</v>
      </c>
      <c r="F549" s="1" t="s">
        <v>314</v>
      </c>
      <c r="G549" s="1">
        <v>128358</v>
      </c>
      <c r="H549" s="1">
        <v>144494</v>
      </c>
      <c r="I549" s="1">
        <v>23</v>
      </c>
      <c r="J549" s="1" t="s">
        <v>315</v>
      </c>
      <c r="K549" s="1" t="s">
        <v>316</v>
      </c>
      <c r="L549" s="1" t="s">
        <v>317</v>
      </c>
      <c r="M549" s="1" t="s">
        <v>9158</v>
      </c>
      <c r="N549" s="1" t="s">
        <v>9158</v>
      </c>
      <c r="O549" s="19" t="s">
        <v>3021</v>
      </c>
      <c r="P549" s="1" t="s">
        <v>2890</v>
      </c>
      <c r="Q549" s="1">
        <v>1</v>
      </c>
    </row>
    <row r="550" spans="1:17">
      <c r="A550" s="1" t="s">
        <v>5719</v>
      </c>
      <c r="B550" s="1" t="s">
        <v>52</v>
      </c>
      <c r="C550" s="1" t="s">
        <v>165</v>
      </c>
      <c r="D550" s="19" t="s">
        <v>10379</v>
      </c>
      <c r="E550" s="15" t="str">
        <f>HYPERLINK("https://stat100.ameba.jp/tnk47/ratio20/illustrations/card/ill_54523_0_yonshunennionohime03.jpg?201910-5-RELEASE-marathon-436", "■")</f>
        <v>■</v>
      </c>
      <c r="F550" s="1" t="s">
        <v>1773</v>
      </c>
      <c r="G550" s="1">
        <v>128358</v>
      </c>
      <c r="H550" s="1">
        <v>144494</v>
      </c>
      <c r="I550" s="1">
        <v>23</v>
      </c>
      <c r="J550" s="1" t="s">
        <v>38</v>
      </c>
      <c r="K550" s="1" t="s">
        <v>1774</v>
      </c>
      <c r="L550" s="1" t="s">
        <v>1775</v>
      </c>
      <c r="M550" s="1" t="s">
        <v>9158</v>
      </c>
      <c r="N550" s="1" t="s">
        <v>9158</v>
      </c>
      <c r="O550" s="19" t="s">
        <v>10094</v>
      </c>
      <c r="P550" s="1" t="s">
        <v>13168</v>
      </c>
      <c r="Q550" s="1">
        <v>1</v>
      </c>
    </row>
    <row r="551" spans="1:17">
      <c r="A551" s="1" t="s">
        <v>5616</v>
      </c>
      <c r="B551" s="1" t="s">
        <v>52</v>
      </c>
      <c r="C551" s="1" t="s">
        <v>14</v>
      </c>
      <c r="D551" s="19" t="s">
        <v>638</v>
      </c>
      <c r="E551" s="15" t="str">
        <f>HYPERLINK("https://stat100.ameba.jp/tnk47/ratio20/illustrations/card/ill_44253_0_dokuganryudatemasamune03.jpg?201910-5-RELEASE-marathon-436", "■")</f>
        <v>■</v>
      </c>
      <c r="F551" s="1" t="s">
        <v>1181</v>
      </c>
      <c r="G551" s="1">
        <v>126058</v>
      </c>
      <c r="H551" s="1">
        <v>134596</v>
      </c>
      <c r="I551" s="1">
        <v>23</v>
      </c>
      <c r="J551" s="1" t="s">
        <v>143</v>
      </c>
      <c r="K551" s="1" t="s">
        <v>1182</v>
      </c>
      <c r="L551" s="1" t="s">
        <v>1183</v>
      </c>
      <c r="M551" s="1" t="s">
        <v>9158</v>
      </c>
      <c r="N551" s="1" t="s">
        <v>9158</v>
      </c>
      <c r="O551" s="1" t="s">
        <v>9158</v>
      </c>
      <c r="P551" s="1" t="s">
        <v>9158</v>
      </c>
      <c r="Q551" s="1" t="s">
        <v>9158</v>
      </c>
    </row>
    <row r="552" spans="1:17">
      <c r="A552" s="1">
        <v>84593</v>
      </c>
      <c r="B552" s="1" t="s">
        <v>0</v>
      </c>
      <c r="C552" s="1" t="s">
        <v>191</v>
      </c>
      <c r="D552" s="19" t="s">
        <v>10727</v>
      </c>
      <c r="E552" s="15" t="str">
        <f>HYPERLINK("https://stat100.ameba.jp/tnk47/ratio20/illustrations/card/ill_84593_sarugundanhashibahideyoshi03.jpg?201910-5-RELEASE-marathon-436", "■")</f>
        <v>■</v>
      </c>
      <c r="F552" s="1" t="s">
        <v>7681</v>
      </c>
      <c r="G552" s="1">
        <v>132658</v>
      </c>
      <c r="H552" s="1">
        <v>142674</v>
      </c>
      <c r="I552" s="1">
        <v>24</v>
      </c>
      <c r="J552" s="1" t="s">
        <v>194</v>
      </c>
      <c r="K552" s="1" t="s">
        <v>7680</v>
      </c>
      <c r="L552" s="1" t="s">
        <v>1148</v>
      </c>
      <c r="M552" s="1" t="s">
        <v>9158</v>
      </c>
      <c r="N552" s="1" t="s">
        <v>9158</v>
      </c>
      <c r="O552" s="1" t="s">
        <v>9158</v>
      </c>
      <c r="P552" s="1" t="s">
        <v>9158</v>
      </c>
      <c r="Q552" s="1" t="s">
        <v>9158</v>
      </c>
    </row>
    <row r="553" spans="1:17">
      <c r="A553" s="1">
        <v>84603</v>
      </c>
      <c r="B553" s="1" t="s">
        <v>15</v>
      </c>
      <c r="C553" s="1" t="s">
        <v>200</v>
      </c>
      <c r="D553" s="19" t="s">
        <v>10729</v>
      </c>
      <c r="E553" s="15" t="str">
        <f>HYPERLINK("https://stat100.ameba.jp/tnk47/ratio20/illustrations/card/ill_84603_furi03.jpg?201910-5-RELEASE-marathon-436", "■")</f>
        <v>■</v>
      </c>
      <c r="F553" s="1" t="s">
        <v>7687</v>
      </c>
      <c r="G553" s="1">
        <v>48390</v>
      </c>
      <c r="H553" s="1">
        <v>53352</v>
      </c>
      <c r="I553" s="1">
        <v>18</v>
      </c>
      <c r="J553" s="1" t="s">
        <v>182</v>
      </c>
      <c r="K553" s="1" t="s">
        <v>7686</v>
      </c>
      <c r="L553" s="1" t="s">
        <v>1706</v>
      </c>
      <c r="M553" s="1" t="s">
        <v>9158</v>
      </c>
      <c r="N553" s="1" t="s">
        <v>9158</v>
      </c>
      <c r="O553" s="1" t="s">
        <v>9158</v>
      </c>
      <c r="P553" s="1" t="s">
        <v>9158</v>
      </c>
      <c r="Q553" s="1" t="s">
        <v>9158</v>
      </c>
    </row>
    <row r="554" spans="1:17">
      <c r="A554" s="1">
        <v>84613</v>
      </c>
      <c r="B554" s="1" t="s">
        <v>22</v>
      </c>
      <c r="C554" s="1" t="s">
        <v>205</v>
      </c>
      <c r="D554" s="19" t="s">
        <v>10730</v>
      </c>
      <c r="E554" s="15" t="str">
        <f>HYPERLINK("https://stat100.ameba.jp/tnk47/ratio20/illustrations/card/ill_84613_yoshomomotaro03.jpg?201910-5-RELEASE-marathon-436", "■")</f>
        <v>■</v>
      </c>
      <c r="F554" s="1" t="s">
        <v>7690</v>
      </c>
      <c r="G554" s="1">
        <v>33266</v>
      </c>
      <c r="H554" s="1">
        <v>27660</v>
      </c>
      <c r="I554" s="1">
        <v>16</v>
      </c>
      <c r="J554" s="1" t="s">
        <v>155</v>
      </c>
      <c r="K554" s="1" t="s">
        <v>7689</v>
      </c>
      <c r="L554" s="1" t="s">
        <v>7248</v>
      </c>
      <c r="M554" s="1" t="s">
        <v>9158</v>
      </c>
      <c r="N554" s="1" t="s">
        <v>9158</v>
      </c>
      <c r="O554" s="1" t="s">
        <v>9158</v>
      </c>
      <c r="P554" s="1" t="s">
        <v>9158</v>
      </c>
      <c r="Q554" s="1" t="s">
        <v>9158</v>
      </c>
    </row>
    <row r="555" spans="1:17">
      <c r="A555" s="1">
        <v>84623</v>
      </c>
      <c r="B555" s="1" t="s">
        <v>30</v>
      </c>
      <c r="C555" s="1" t="s">
        <v>6007</v>
      </c>
      <c r="D555" s="19" t="s">
        <v>10731</v>
      </c>
      <c r="E555" s="15" t="str">
        <f>HYPERLINK("https://stat100.ameba.jp/tnk47/ratio20/illustrations/card/ill_84623_sarubobo03.jpg?201910-5-RELEASE-marathon-436", "■")</f>
        <v>■</v>
      </c>
      <c r="F555" s="1" t="s">
        <v>7693</v>
      </c>
      <c r="G555" s="1">
        <v>16914</v>
      </c>
      <c r="H555" s="1">
        <v>20140</v>
      </c>
      <c r="I555" s="1">
        <v>16</v>
      </c>
      <c r="J555" s="1" t="s">
        <v>229</v>
      </c>
      <c r="K555" s="1" t="s">
        <v>7692</v>
      </c>
      <c r="L555" s="1" t="s">
        <v>3947</v>
      </c>
      <c r="M555" s="1" t="s">
        <v>9158</v>
      </c>
      <c r="N555" s="1" t="s">
        <v>9158</v>
      </c>
      <c r="O555" s="1" t="s">
        <v>9158</v>
      </c>
      <c r="P555" s="1" t="s">
        <v>9158</v>
      </c>
      <c r="Q555" s="1" t="s">
        <v>9158</v>
      </c>
    </row>
    <row r="557" spans="1:17">
      <c r="A557" s="1" t="s">
        <v>7730</v>
      </c>
    </row>
    <row r="558" spans="1:17">
      <c r="A558" s="1" t="s">
        <v>7729</v>
      </c>
    </row>
    <row r="559" spans="1:17">
      <c r="A559" s="1" t="s">
        <v>5606</v>
      </c>
      <c r="B559" s="1" t="s">
        <v>52</v>
      </c>
      <c r="C559" s="1" t="s">
        <v>206</v>
      </c>
      <c r="D559" s="19" t="s">
        <v>2936</v>
      </c>
      <c r="E559" s="15" t="str">
        <f>HYPERLINK("https://stat100.ameba.jp/tnk47/ratio20/illustrations/card/ill_72233_0_koinoboriryugujin03.jpg?201910-5-RELEASE-marathon-436", "■")</f>
        <v>■</v>
      </c>
      <c r="F559" s="1" t="s">
        <v>1012</v>
      </c>
      <c r="G559" s="1">
        <v>144312</v>
      </c>
      <c r="H559" s="1">
        <v>155224</v>
      </c>
      <c r="I559" s="1">
        <v>22</v>
      </c>
      <c r="J559" s="1" t="s">
        <v>44</v>
      </c>
      <c r="K559" s="1" t="s">
        <v>1013</v>
      </c>
      <c r="L559" s="1" t="s">
        <v>1014</v>
      </c>
      <c r="M559" s="1" t="s">
        <v>9158</v>
      </c>
      <c r="N559" s="1" t="s">
        <v>9158</v>
      </c>
      <c r="O559" s="19" t="s">
        <v>2940</v>
      </c>
      <c r="P559" s="1" t="s">
        <v>3420</v>
      </c>
      <c r="Q559" s="1">
        <v>2</v>
      </c>
    </row>
    <row r="560" spans="1:17">
      <c r="A560" s="1">
        <v>82373</v>
      </c>
      <c r="B560" s="1" t="s">
        <v>334</v>
      </c>
      <c r="C560" s="1" t="s">
        <v>191</v>
      </c>
      <c r="D560" s="19" t="s">
        <v>10320</v>
      </c>
      <c r="E560" s="15" t="str">
        <f>HYPERLINK("https://stat100.ameba.jp/tnk47/ratio20/illustrations/card/ill_82373_bikinigaruyasharyujin03.jpg?201910-5-RELEASE-marathon-436", "■")</f>
        <v>■</v>
      </c>
      <c r="F560" s="1" t="s">
        <v>5397</v>
      </c>
      <c r="G560" s="1">
        <v>97894</v>
      </c>
      <c r="H560" s="1">
        <v>91010</v>
      </c>
      <c r="I560" s="1">
        <v>24</v>
      </c>
      <c r="J560" s="1" t="s">
        <v>44</v>
      </c>
      <c r="K560" s="1" t="s">
        <v>5398</v>
      </c>
      <c r="L560" s="1" t="s">
        <v>3356</v>
      </c>
      <c r="M560" s="1" t="s">
        <v>9158</v>
      </c>
      <c r="N560" s="1" t="s">
        <v>9158</v>
      </c>
      <c r="O560" s="19" t="s">
        <v>10070</v>
      </c>
      <c r="P560" s="1" t="s">
        <v>3579</v>
      </c>
      <c r="Q560" s="1">
        <v>1</v>
      </c>
    </row>
    <row r="561" spans="1:17">
      <c r="A561" s="1">
        <v>79523</v>
      </c>
      <c r="B561" s="1" t="s">
        <v>0</v>
      </c>
      <c r="C561" s="1" t="s">
        <v>203</v>
      </c>
      <c r="D561" s="19" t="s">
        <v>10309</v>
      </c>
      <c r="E561" s="15" t="str">
        <f>HYPERLINK("https://stat100.ameba.jp/tnk47/ratio20/illustrations/card/ill_79523_shikyokunoashurato03.jpg?201910-5-RELEASE-marathon-436", "■")</f>
        <v>■</v>
      </c>
      <c r="F561" s="1" t="s">
        <v>3590</v>
      </c>
      <c r="G561" s="1">
        <v>75984</v>
      </c>
      <c r="H561" s="1">
        <v>104890</v>
      </c>
      <c r="I561" s="1">
        <v>24</v>
      </c>
      <c r="J561" s="1" t="s">
        <v>77</v>
      </c>
      <c r="K561" s="1" t="s">
        <v>3591</v>
      </c>
      <c r="L561" s="1" t="s">
        <v>1955</v>
      </c>
      <c r="M561" s="1" t="s">
        <v>9158</v>
      </c>
      <c r="N561" s="1" t="s">
        <v>9158</v>
      </c>
      <c r="O561" s="19" t="s">
        <v>10074</v>
      </c>
      <c r="P561" s="1" t="s">
        <v>3592</v>
      </c>
      <c r="Q561" s="1">
        <v>1</v>
      </c>
    </row>
    <row r="562" spans="1:17">
      <c r="A562" s="1">
        <v>75873</v>
      </c>
      <c r="B562" s="1" t="s">
        <v>0</v>
      </c>
      <c r="C562" s="1" t="s">
        <v>154</v>
      </c>
      <c r="D562" s="19" t="s">
        <v>10221</v>
      </c>
      <c r="E562" s="15" t="str">
        <f>HYPERLINK("https://stat100.ameba.jp/tnk47/ratio20/illustrations/card/ill_75873_harajukuroriitachan03.jpg?201910-5-RELEASE-marathon-436", "■")</f>
        <v>■</v>
      </c>
      <c r="F562" s="1" t="s">
        <v>1945</v>
      </c>
      <c r="G562" s="1">
        <v>105394</v>
      </c>
      <c r="H562" s="1">
        <v>113340</v>
      </c>
      <c r="I562" s="1">
        <v>24</v>
      </c>
      <c r="J562" s="1" t="s">
        <v>26</v>
      </c>
      <c r="K562" s="1" t="s">
        <v>1946</v>
      </c>
      <c r="L562" s="1" t="s">
        <v>1947</v>
      </c>
      <c r="M562" s="1" t="s">
        <v>9158</v>
      </c>
      <c r="N562" s="1" t="s">
        <v>9158</v>
      </c>
      <c r="O562" s="19" t="s">
        <v>2752</v>
      </c>
      <c r="P562" s="1" t="s">
        <v>13123</v>
      </c>
      <c r="Q562" s="1">
        <v>1</v>
      </c>
    </row>
    <row r="564" spans="1:17">
      <c r="A564" s="1" t="s">
        <v>7731</v>
      </c>
    </row>
    <row r="565" spans="1:17">
      <c r="A565" s="1" t="s">
        <v>7732</v>
      </c>
    </row>
    <row r="566" spans="1:17">
      <c r="A566" s="1" t="s">
        <v>5724</v>
      </c>
      <c r="B566" s="1" t="s">
        <v>330</v>
      </c>
      <c r="C566" s="1" t="s">
        <v>335</v>
      </c>
      <c r="D566" s="19" t="s">
        <v>698</v>
      </c>
      <c r="E566" s="15" t="str">
        <f>HYPERLINK("https://stat100.ameba.jp/tnk47/ratio20/illustrations/card/ill_66433_0_haroinfujishirogozen03.jpg?201910-5-RELEASE-marathon-436", "■")</f>
        <v>■</v>
      </c>
      <c r="F566" s="1" t="s">
        <v>699</v>
      </c>
      <c r="G566" s="1">
        <v>140771</v>
      </c>
      <c r="H566" s="1">
        <v>151417</v>
      </c>
      <c r="I566" s="1">
        <v>23</v>
      </c>
      <c r="J566" s="1" t="s">
        <v>315</v>
      </c>
      <c r="K566" s="1" t="s">
        <v>700</v>
      </c>
      <c r="L566" s="1" t="s">
        <v>701</v>
      </c>
      <c r="M566" s="1" t="s">
        <v>9158</v>
      </c>
      <c r="N566" s="1" t="s">
        <v>9158</v>
      </c>
      <c r="O566" s="19" t="s">
        <v>10095</v>
      </c>
      <c r="P566" s="1" t="s">
        <v>3345</v>
      </c>
      <c r="Q566" s="1">
        <v>1</v>
      </c>
    </row>
    <row r="567" spans="1:17">
      <c r="A567" s="1" t="s">
        <v>5618</v>
      </c>
      <c r="B567" s="1" t="s">
        <v>52</v>
      </c>
      <c r="C567" s="1" t="s">
        <v>23</v>
      </c>
      <c r="D567" s="19" t="s">
        <v>665</v>
      </c>
      <c r="E567" s="15" t="str">
        <f>HYPERLINK("https://stat100.ameba.jp/tnk47/ratio20/illustrations/card/ill_63173_0_minazukikonakaiteruko03.jpg?201910-5-RELEASE-marathon-436", "■")</f>
        <v>■</v>
      </c>
      <c r="F567" s="1" t="s">
        <v>1188</v>
      </c>
      <c r="G567" s="1">
        <v>199630</v>
      </c>
      <c r="H567" s="1">
        <v>214692</v>
      </c>
      <c r="I567" s="1">
        <v>23</v>
      </c>
      <c r="J567" s="1" t="s">
        <v>143</v>
      </c>
      <c r="K567" s="1" t="s">
        <v>1189</v>
      </c>
      <c r="L567" s="1" t="s">
        <v>1190</v>
      </c>
      <c r="M567" s="1" t="s">
        <v>9158</v>
      </c>
      <c r="N567" s="1" t="s">
        <v>9158</v>
      </c>
      <c r="O567" s="19" t="s">
        <v>10079</v>
      </c>
      <c r="P567" s="1" t="s">
        <v>3329</v>
      </c>
      <c r="Q567" s="1">
        <v>1</v>
      </c>
    </row>
    <row r="568" spans="1:17">
      <c r="A568" s="1" t="s">
        <v>5608</v>
      </c>
      <c r="B568" s="1" t="s">
        <v>52</v>
      </c>
      <c r="C568" s="1" t="s">
        <v>96</v>
      </c>
      <c r="D568" s="19" t="s">
        <v>634</v>
      </c>
      <c r="E568" s="15" t="str">
        <f>HYPERLINK("https://stat100.ameba.jp/tnk47/ratio20/illustrations/card/ill_40963_0_makami03.jpg?201910-5-RELEASE-marathon-436", "■")</f>
        <v>■</v>
      </c>
      <c r="F568" s="1" t="s">
        <v>2038</v>
      </c>
      <c r="G568" s="1">
        <v>134596</v>
      </c>
      <c r="H568" s="1">
        <v>126058</v>
      </c>
      <c r="I568" s="1">
        <v>23</v>
      </c>
      <c r="J568" s="1" t="s">
        <v>44</v>
      </c>
      <c r="K568" s="1" t="s">
        <v>2039</v>
      </c>
      <c r="L568" s="1" t="s">
        <v>2040</v>
      </c>
      <c r="M568" s="1" t="s">
        <v>9158</v>
      </c>
      <c r="N568" s="1" t="s">
        <v>9158</v>
      </c>
      <c r="O568" s="1" t="s">
        <v>9158</v>
      </c>
      <c r="P568" s="1" t="s">
        <v>9158</v>
      </c>
      <c r="Q568" s="1" t="s">
        <v>9158</v>
      </c>
    </row>
    <row r="569" spans="1:17">
      <c r="A569" s="1">
        <v>84723</v>
      </c>
      <c r="B569" s="1" t="s">
        <v>0</v>
      </c>
      <c r="C569" s="1" t="s">
        <v>206</v>
      </c>
      <c r="D569" s="19" t="s">
        <v>10728</v>
      </c>
      <c r="E569" s="15" t="str">
        <f>HYPERLINK("https://stat100.ameba.jp/tnk47/ratio20/illustrations/card/ill_84723_undokairyuguneko03.jpg?201910-5-RELEASE-marathon-436", "■")</f>
        <v>■</v>
      </c>
      <c r="F569" s="1" t="s">
        <v>7684</v>
      </c>
      <c r="G569" s="1">
        <v>109528</v>
      </c>
      <c r="H569" s="1">
        <v>101656</v>
      </c>
      <c r="I569" s="1">
        <v>24</v>
      </c>
      <c r="J569" s="1" t="s">
        <v>155</v>
      </c>
      <c r="K569" s="1" t="s">
        <v>7683</v>
      </c>
      <c r="L569" s="1" t="s">
        <v>7682</v>
      </c>
      <c r="M569" s="1" t="s">
        <v>9158</v>
      </c>
      <c r="N569" s="1" t="s">
        <v>9158</v>
      </c>
      <c r="O569" s="1" t="s">
        <v>9158</v>
      </c>
      <c r="P569" s="1" t="s">
        <v>9158</v>
      </c>
      <c r="Q569" s="1" t="s">
        <v>9158</v>
      </c>
    </row>
    <row r="570" spans="1:17">
      <c r="A570" s="1">
        <v>84603</v>
      </c>
      <c r="B570" s="1" t="s">
        <v>15</v>
      </c>
      <c r="C570" s="1" t="s">
        <v>200</v>
      </c>
      <c r="D570" s="19" t="s">
        <v>10729</v>
      </c>
      <c r="E570" s="15" t="str">
        <f>HYPERLINK("https://stat100.ameba.jp/tnk47/ratio20/illustrations/card/ill_84603_furi03.jpg?201910-5-RELEASE-marathon-436", "■")</f>
        <v>■</v>
      </c>
      <c r="F570" s="1" t="s">
        <v>7687</v>
      </c>
      <c r="G570" s="1">
        <v>48390</v>
      </c>
      <c r="H570" s="1">
        <v>53352</v>
      </c>
      <c r="I570" s="1">
        <v>18</v>
      </c>
      <c r="J570" s="1" t="s">
        <v>182</v>
      </c>
      <c r="K570" s="1" t="s">
        <v>7686</v>
      </c>
      <c r="L570" s="1" t="s">
        <v>1706</v>
      </c>
      <c r="M570" s="1" t="s">
        <v>9158</v>
      </c>
      <c r="N570" s="1" t="s">
        <v>9158</v>
      </c>
      <c r="O570" s="1" t="s">
        <v>9158</v>
      </c>
      <c r="P570" s="1" t="s">
        <v>9158</v>
      </c>
      <c r="Q570" s="1" t="s">
        <v>9158</v>
      </c>
    </row>
    <row r="571" spans="1:17">
      <c r="A571" s="1">
        <v>84613</v>
      </c>
      <c r="B571" s="1" t="s">
        <v>22</v>
      </c>
      <c r="C571" s="1" t="s">
        <v>205</v>
      </c>
      <c r="D571" s="19" t="s">
        <v>10730</v>
      </c>
      <c r="E571" s="15" t="str">
        <f>HYPERLINK("https://stat100.ameba.jp/tnk47/ratio20/illustrations/card/ill_84613_yoshomomotaro03.jpg?201910-5-RELEASE-marathon-436", "■")</f>
        <v>■</v>
      </c>
      <c r="F571" s="1" t="s">
        <v>7690</v>
      </c>
      <c r="G571" s="1">
        <v>33266</v>
      </c>
      <c r="H571" s="1">
        <v>27660</v>
      </c>
      <c r="I571" s="1">
        <v>16</v>
      </c>
      <c r="J571" s="1" t="s">
        <v>155</v>
      </c>
      <c r="K571" s="1" t="s">
        <v>7689</v>
      </c>
      <c r="L571" s="1" t="s">
        <v>7248</v>
      </c>
      <c r="M571" s="1" t="s">
        <v>9158</v>
      </c>
      <c r="N571" s="1" t="s">
        <v>9158</v>
      </c>
      <c r="O571" s="1" t="s">
        <v>9158</v>
      </c>
      <c r="P571" s="1" t="s">
        <v>9158</v>
      </c>
      <c r="Q571" s="1" t="s">
        <v>9158</v>
      </c>
    </row>
    <row r="572" spans="1:17">
      <c r="A572" s="1">
        <v>84623</v>
      </c>
      <c r="B572" s="1" t="s">
        <v>30</v>
      </c>
      <c r="C572" s="1" t="s">
        <v>6007</v>
      </c>
      <c r="D572" s="19" t="s">
        <v>10731</v>
      </c>
      <c r="E572" s="15" t="str">
        <f>HYPERLINK("https://stat100.ameba.jp/tnk47/ratio20/illustrations/card/ill_84623_sarubobo03.jpg?201910-5-RELEASE-marathon-436", "■")</f>
        <v>■</v>
      </c>
      <c r="F572" s="1" t="s">
        <v>7693</v>
      </c>
      <c r="G572" s="1">
        <v>16914</v>
      </c>
      <c r="H572" s="1">
        <v>20140</v>
      </c>
      <c r="I572" s="1">
        <v>16</v>
      </c>
      <c r="J572" s="1" t="s">
        <v>229</v>
      </c>
      <c r="K572" s="1" t="s">
        <v>7692</v>
      </c>
      <c r="L572" s="1" t="s">
        <v>3947</v>
      </c>
      <c r="M572" s="1" t="s">
        <v>9158</v>
      </c>
      <c r="N572" s="1" t="s">
        <v>9158</v>
      </c>
      <c r="O572" s="1" t="s">
        <v>9158</v>
      </c>
      <c r="P572" s="1" t="s">
        <v>9158</v>
      </c>
      <c r="Q572" s="1" t="s">
        <v>9158</v>
      </c>
    </row>
    <row r="574" spans="1:17">
      <c r="A574" s="1" t="s">
        <v>7733</v>
      </c>
    </row>
    <row r="575" spans="1:17">
      <c r="A575" s="1" t="s">
        <v>7734</v>
      </c>
    </row>
    <row r="576" spans="1:17">
      <c r="A576" s="1" t="s">
        <v>5642</v>
      </c>
      <c r="B576" s="1" t="s">
        <v>330</v>
      </c>
      <c r="C576" s="1" t="s">
        <v>185</v>
      </c>
      <c r="D576" s="19" t="s">
        <v>3086</v>
      </c>
      <c r="E576" s="15" t="str">
        <f>HYPERLINK("https://stat100.ameba.jp/tnk47/ratio20/illustrations/card/ill_69593_0_setsubunyukionna03.jpg?201910-5-RELEASE-marathon-436", "■")</f>
        <v>■</v>
      </c>
      <c r="F576" s="1" t="s">
        <v>3087</v>
      </c>
      <c r="G576" s="1">
        <v>107146</v>
      </c>
      <c r="H576" s="1">
        <v>115249</v>
      </c>
      <c r="I576" s="1">
        <v>15</v>
      </c>
      <c r="J576" s="1" t="s">
        <v>320</v>
      </c>
      <c r="K576" s="1" t="s">
        <v>3088</v>
      </c>
      <c r="L576" s="1" t="s">
        <v>3089</v>
      </c>
      <c r="M576" s="1" t="s">
        <v>9158</v>
      </c>
      <c r="N576" s="1" t="s">
        <v>9158</v>
      </c>
      <c r="O576" s="19" t="s">
        <v>3090</v>
      </c>
      <c r="P576" s="1" t="s">
        <v>3091</v>
      </c>
      <c r="Q576" s="1">
        <v>2</v>
      </c>
    </row>
    <row r="577" spans="1:17">
      <c r="A577" s="1" t="s">
        <v>5901</v>
      </c>
      <c r="B577" s="1" t="s">
        <v>52</v>
      </c>
      <c r="C577" s="1" t="s">
        <v>101</v>
      </c>
      <c r="D577" s="19" t="s">
        <v>1426</v>
      </c>
      <c r="E577" s="15" t="str">
        <f>HYPERLINK("https://stat100.ameba.jp/tnk47/ratio20/illustrations/card/ill_64953_0_yukatatokugawayoshinobu03.jpg?201910-5-RELEASE-marathon-436", "■")</f>
        <v>■</v>
      </c>
      <c r="F577" s="1" t="s">
        <v>2090</v>
      </c>
      <c r="G577" s="1">
        <v>93450</v>
      </c>
      <c r="H577" s="1">
        <v>100502</v>
      </c>
      <c r="I577" s="1">
        <v>15</v>
      </c>
      <c r="J577" s="1" t="s">
        <v>10</v>
      </c>
      <c r="K577" s="1" t="s">
        <v>2091</v>
      </c>
      <c r="L577" s="1" t="s">
        <v>2092</v>
      </c>
      <c r="M577" s="1" t="s">
        <v>9158</v>
      </c>
      <c r="N577" s="1" t="s">
        <v>9158</v>
      </c>
      <c r="O577" s="19" t="s">
        <v>2889</v>
      </c>
      <c r="P577" s="1" t="s">
        <v>2890</v>
      </c>
      <c r="Q577" s="1">
        <v>1</v>
      </c>
    </row>
    <row r="578" spans="1:17">
      <c r="A578" s="1" t="s">
        <v>5612</v>
      </c>
      <c r="B578" s="1" t="s">
        <v>52</v>
      </c>
      <c r="C578" s="1" t="s">
        <v>165</v>
      </c>
      <c r="D578" s="19" t="s">
        <v>789</v>
      </c>
      <c r="E578" s="15" t="str">
        <f>HYPERLINK("https://stat100.ameba.jp/tnk47/ratio20/illustrations/card/ill_49193_0_onmyoudouabenoseimei03.jpg?201910-5-RELEASE-marathon-436", "■")</f>
        <v>■</v>
      </c>
      <c r="F578" s="1" t="s">
        <v>1896</v>
      </c>
      <c r="G578" s="1">
        <v>83712</v>
      </c>
      <c r="H578" s="1">
        <v>94236</v>
      </c>
      <c r="I578" s="1">
        <v>15</v>
      </c>
      <c r="J578" s="1" t="s">
        <v>10</v>
      </c>
      <c r="K578" s="1" t="s">
        <v>1897</v>
      </c>
      <c r="L578" s="1" t="s">
        <v>1898</v>
      </c>
      <c r="M578" s="1" t="s">
        <v>9158</v>
      </c>
      <c r="N578" s="1" t="s">
        <v>9158</v>
      </c>
      <c r="O578" s="1" t="s">
        <v>9158</v>
      </c>
      <c r="P578" s="1" t="s">
        <v>9158</v>
      </c>
      <c r="Q578" s="1" t="s">
        <v>9158</v>
      </c>
    </row>
    <row r="579" spans="1:17">
      <c r="A579" s="1">
        <v>80413</v>
      </c>
      <c r="B579" s="1" t="s">
        <v>0</v>
      </c>
      <c r="C579" s="1" t="s">
        <v>185</v>
      </c>
      <c r="D579" s="19" t="s">
        <v>10397</v>
      </c>
      <c r="E579" s="15" t="str">
        <f>HYPERLINK("https://stat100.ameba.jp/tnk47/ratio20/illustrations/card/ill_80413_shikyushikitadanomakuzu03.jpg?201910-5-RELEASE-marathon-436", "■")</f>
        <v>■</v>
      </c>
      <c r="F579" s="1" t="s">
        <v>7737</v>
      </c>
      <c r="G579" s="1">
        <v>68010</v>
      </c>
      <c r="H579" s="1">
        <v>120892</v>
      </c>
      <c r="I579" s="1">
        <v>24</v>
      </c>
      <c r="J579" s="1" t="s">
        <v>10</v>
      </c>
      <c r="K579" s="1" t="s">
        <v>7736</v>
      </c>
      <c r="L579" s="1" t="s">
        <v>7735</v>
      </c>
      <c r="M579" s="1" t="s">
        <v>9158</v>
      </c>
      <c r="N579" s="1" t="s">
        <v>9158</v>
      </c>
      <c r="O579" s="1" t="s">
        <v>9158</v>
      </c>
      <c r="P579" s="1" t="s">
        <v>9158</v>
      </c>
      <c r="Q579" s="1" t="s">
        <v>9158</v>
      </c>
    </row>
    <row r="580" spans="1:17">
      <c r="A580" s="1">
        <v>69953</v>
      </c>
      <c r="B580" s="1" t="s">
        <v>0</v>
      </c>
      <c r="C580" s="1" t="s">
        <v>200</v>
      </c>
      <c r="D580" s="19" t="s">
        <v>10464</v>
      </c>
      <c r="E580" s="15" t="str">
        <f>HYPERLINK("https://stat100.ameba.jp/tnk47/ratio20/illustrations/card/ill_69953_hyoketsunonikusutopatororu03.jpg?201910-5-RELEASE-marathon-436", "■")</f>
        <v>■</v>
      </c>
      <c r="F580" s="1" t="s">
        <v>7740</v>
      </c>
      <c r="G580" s="1">
        <v>78748</v>
      </c>
      <c r="H580" s="1">
        <v>139986</v>
      </c>
      <c r="I580" s="1">
        <v>24</v>
      </c>
      <c r="J580" s="1" t="s">
        <v>143</v>
      </c>
      <c r="K580" s="1" t="s">
        <v>7739</v>
      </c>
      <c r="L580" s="1" t="s">
        <v>7738</v>
      </c>
      <c r="M580" s="1" t="s">
        <v>9158</v>
      </c>
      <c r="N580" s="1" t="s">
        <v>9158</v>
      </c>
      <c r="O580" s="1" t="s">
        <v>9158</v>
      </c>
      <c r="P580" s="1" t="s">
        <v>9158</v>
      </c>
      <c r="Q580" s="1" t="s">
        <v>9158</v>
      </c>
    </row>
    <row r="581" spans="1:17">
      <c r="A581" s="1">
        <v>59743</v>
      </c>
      <c r="B581" s="1" t="s">
        <v>0</v>
      </c>
      <c r="C581" s="1" t="s">
        <v>205</v>
      </c>
      <c r="D581" s="19" t="s">
        <v>10375</v>
      </c>
      <c r="E581" s="15" t="str">
        <f>HYPERLINK("https://stat100.ameba.jp/tnk47/ratio20/illustrations/card/ill_59743_kaitokiuifurutsuchan03.jpg?201910-5-RELEASE-marathon-436", "■")</f>
        <v>■</v>
      </c>
      <c r="F581" s="1" t="s">
        <v>7743</v>
      </c>
      <c r="G581" s="1">
        <v>105394</v>
      </c>
      <c r="H581" s="1">
        <v>113340</v>
      </c>
      <c r="I581" s="1">
        <v>24</v>
      </c>
      <c r="J581" s="1" t="s">
        <v>283</v>
      </c>
      <c r="K581" s="1" t="s">
        <v>7742</v>
      </c>
      <c r="L581" s="1" t="s">
        <v>7741</v>
      </c>
      <c r="M581" s="1" t="s">
        <v>9158</v>
      </c>
      <c r="N581" s="1" t="s">
        <v>9158</v>
      </c>
      <c r="O581" s="1" t="s">
        <v>9158</v>
      </c>
      <c r="P581" s="1" t="s">
        <v>9158</v>
      </c>
      <c r="Q581" s="1" t="s">
        <v>9158</v>
      </c>
    </row>
    <row r="582" spans="1:17">
      <c r="A582" s="1">
        <v>66653</v>
      </c>
      <c r="B582" s="1" t="s">
        <v>15</v>
      </c>
      <c r="C582" s="1" t="s">
        <v>205</v>
      </c>
      <c r="D582" s="19" t="s">
        <v>2901</v>
      </c>
      <c r="E582" s="15" t="str">
        <f>HYPERLINK("https://stat100.ameba.jp/tnk47/ratio20/illustrations/card/ill_66653_oryoriehimenomikoto03.jpg?201910-5-RELEASE-marathon-436", "■")</f>
        <v>■</v>
      </c>
      <c r="F582" s="1" t="s">
        <v>7271</v>
      </c>
      <c r="G582" s="1">
        <v>53768</v>
      </c>
      <c r="H582" s="1">
        <v>59280</v>
      </c>
      <c r="I582" s="1">
        <v>20</v>
      </c>
      <c r="J582" s="1" t="s">
        <v>44</v>
      </c>
      <c r="K582" s="1" t="s">
        <v>7270</v>
      </c>
      <c r="L582" s="1" t="s">
        <v>3319</v>
      </c>
      <c r="M582" s="1" t="s">
        <v>9158</v>
      </c>
      <c r="N582" s="1" t="s">
        <v>9158</v>
      </c>
      <c r="O582" s="1" t="s">
        <v>9158</v>
      </c>
      <c r="P582" s="1" t="s">
        <v>9158</v>
      </c>
      <c r="Q582" s="1" t="s">
        <v>9158</v>
      </c>
    </row>
    <row r="583" spans="1:17">
      <c r="A583" s="1">
        <v>73343</v>
      </c>
      <c r="B583" s="1" t="s">
        <v>15</v>
      </c>
      <c r="C583" s="1" t="s">
        <v>23</v>
      </c>
      <c r="D583" s="19" t="s">
        <v>10675</v>
      </c>
      <c r="E583" s="15" t="str">
        <f>HYPERLINK("https://stat100.ameba.jp/tnk47/ratio20/illustrations/card/ill_73343_takenokozokuchan03.jpg?201910-5-RELEASE-marathon-436", "■")</f>
        <v>■</v>
      </c>
      <c r="F583" s="1" t="s">
        <v>4566</v>
      </c>
      <c r="G583" s="1">
        <v>53768</v>
      </c>
      <c r="H583" s="1">
        <v>59280</v>
      </c>
      <c r="I583" s="1">
        <v>20</v>
      </c>
      <c r="J583" s="1" t="s">
        <v>26</v>
      </c>
      <c r="K583" s="1" t="s">
        <v>4567</v>
      </c>
      <c r="L583" s="1" t="s">
        <v>977</v>
      </c>
      <c r="M583" s="1" t="s">
        <v>9158</v>
      </c>
      <c r="N583" s="1" t="s">
        <v>9158</v>
      </c>
      <c r="O583" s="1" t="s">
        <v>9158</v>
      </c>
      <c r="P583" s="1" t="s">
        <v>9158</v>
      </c>
      <c r="Q583" s="1" t="s">
        <v>9158</v>
      </c>
    </row>
    <row r="584" spans="1:17">
      <c r="A584" s="1">
        <v>59883</v>
      </c>
      <c r="B584" s="1" t="s">
        <v>15</v>
      </c>
      <c r="C584" s="1" t="s">
        <v>107</v>
      </c>
      <c r="D584" s="19" t="s">
        <v>10676</v>
      </c>
      <c r="E584" s="15" t="str">
        <f>HYPERLINK("https://stat100.ameba.jp/tnk47/ratio20/illustrations/card/ill_59883_yoseienshininden03.jpg?201910-5-RELEASE-marathon-436", "■")</f>
        <v>■</v>
      </c>
      <c r="F584" s="1" t="s">
        <v>4433</v>
      </c>
      <c r="G584" s="1">
        <v>53768</v>
      </c>
      <c r="H584" s="1">
        <v>59280</v>
      </c>
      <c r="I584" s="1">
        <v>20</v>
      </c>
      <c r="J584" s="1" t="s">
        <v>187</v>
      </c>
      <c r="K584" s="1" t="s">
        <v>4434</v>
      </c>
      <c r="L584" s="1" t="s">
        <v>973</v>
      </c>
      <c r="M584" s="1" t="s">
        <v>9158</v>
      </c>
      <c r="N584" s="1" t="s">
        <v>9158</v>
      </c>
      <c r="O584" s="1" t="s">
        <v>9158</v>
      </c>
      <c r="P584" s="1" t="s">
        <v>9158</v>
      </c>
      <c r="Q584" s="1" t="s">
        <v>9158</v>
      </c>
    </row>
    <row r="586" spans="1:17">
      <c r="A586" s="1" t="s">
        <v>7744</v>
      </c>
    </row>
    <row r="587" spans="1:17">
      <c r="A587" s="1" t="s">
        <v>7745</v>
      </c>
    </row>
    <row r="588" spans="1:17">
      <c r="A588" s="1" t="s">
        <v>5605</v>
      </c>
      <c r="B588" s="1" t="s">
        <v>52</v>
      </c>
      <c r="C588" s="1" t="s">
        <v>202</v>
      </c>
      <c r="D588" s="19" t="s">
        <v>10332</v>
      </c>
      <c r="E588" s="15" t="str">
        <f>HYPERLINK("https://stat100.ameba.jp/tnk47/ratio20/illustrations/card/ill_79373_0_hommeichokotennyohime03.jpg?201910-5-RELEASE-marathon-436", "■")</f>
        <v>■</v>
      </c>
      <c r="F588" s="1" t="s">
        <v>3495</v>
      </c>
      <c r="G588" s="1">
        <v>296766</v>
      </c>
      <c r="H588" s="1">
        <v>268230</v>
      </c>
      <c r="I588" s="1">
        <v>24</v>
      </c>
      <c r="J588" s="1" t="s">
        <v>104</v>
      </c>
      <c r="K588" s="1" t="s">
        <v>3496</v>
      </c>
      <c r="L588" s="1" t="s">
        <v>3497</v>
      </c>
      <c r="M588" s="1" t="s">
        <v>9158</v>
      </c>
      <c r="N588" s="1" t="s">
        <v>9158</v>
      </c>
      <c r="O588" s="19" t="s">
        <v>10072</v>
      </c>
      <c r="P588" s="1" t="s">
        <v>3498</v>
      </c>
      <c r="Q588" s="1">
        <v>1</v>
      </c>
    </row>
    <row r="589" spans="1:17">
      <c r="A589" s="1" t="s">
        <v>5610</v>
      </c>
      <c r="B589" s="1" t="s">
        <v>330</v>
      </c>
      <c r="C589" s="1" t="s">
        <v>185</v>
      </c>
      <c r="D589" s="19" t="s">
        <v>539</v>
      </c>
      <c r="E589" s="15" t="str">
        <f>HYPERLINK("https://stat100.ameba.jp/tnk47/ratio20/illustrations/card/ill_60633_0_harumaisentoin03.jpg?201910-5-RELEASE-marathon-436", "■")</f>
        <v>■</v>
      </c>
      <c r="F589" s="1" t="s">
        <v>540</v>
      </c>
      <c r="G589" s="1">
        <v>152594</v>
      </c>
      <c r="H589" s="1">
        <v>164144</v>
      </c>
      <c r="I589" s="1">
        <v>24</v>
      </c>
      <c r="J589" s="1" t="s">
        <v>274</v>
      </c>
      <c r="K589" s="1" t="s">
        <v>541</v>
      </c>
      <c r="L589" s="1" t="s">
        <v>542</v>
      </c>
      <c r="M589" s="1" t="s">
        <v>9158</v>
      </c>
      <c r="N589" s="1" t="s">
        <v>9158</v>
      </c>
      <c r="O589" s="19" t="s">
        <v>2888</v>
      </c>
      <c r="P589" s="1" t="s">
        <v>3144</v>
      </c>
      <c r="Q589" s="1">
        <v>1</v>
      </c>
    </row>
    <row r="590" spans="1:17">
      <c r="A590" s="1">
        <v>75853</v>
      </c>
      <c r="B590" s="1" t="s">
        <v>334</v>
      </c>
      <c r="C590" s="1" t="s">
        <v>41</v>
      </c>
      <c r="D590" s="19" t="s">
        <v>10224</v>
      </c>
      <c r="E590" s="15" t="str">
        <f>HYPERLINK("https://stat100.ameba.jp/tnk47/ratio20/illustrations/card/ill_75853_moruganoyuki03.jpg?201910-5-RELEASE-marathon-436", "■")</f>
        <v>■</v>
      </c>
      <c r="F590" s="1" t="s">
        <v>5106</v>
      </c>
      <c r="G590" s="1">
        <v>120000</v>
      </c>
      <c r="H590" s="1">
        <v>111576</v>
      </c>
      <c r="I590" s="1">
        <v>24</v>
      </c>
      <c r="J590" s="1" t="s">
        <v>16</v>
      </c>
      <c r="K590" s="1" t="s">
        <v>5108</v>
      </c>
      <c r="L590" s="1" t="s">
        <v>1881</v>
      </c>
      <c r="M590" s="1" t="s">
        <v>9158</v>
      </c>
      <c r="N590" s="1" t="s">
        <v>9158</v>
      </c>
      <c r="O590" s="19" t="s">
        <v>10070</v>
      </c>
      <c r="P590" s="1" t="s">
        <v>3579</v>
      </c>
      <c r="Q590" s="1">
        <v>1</v>
      </c>
    </row>
    <row r="591" spans="1:17">
      <c r="A591" s="1">
        <v>70373</v>
      </c>
      <c r="B591" s="1" t="s">
        <v>334</v>
      </c>
      <c r="C591" s="1" t="s">
        <v>209</v>
      </c>
      <c r="D591" s="19" t="s">
        <v>10226</v>
      </c>
      <c r="E591" s="15" t="str">
        <f>HYPERLINK("https://stat100.ameba.jp/tnk47/ratio20/illustrations/card/ill_70373_amanoyasukage03.jpg?201910-5-RELEASE-marathon-436", "■")</f>
        <v>■</v>
      </c>
      <c r="F591" s="1" t="s">
        <v>2617</v>
      </c>
      <c r="G591" s="1">
        <v>118808</v>
      </c>
      <c r="H591" s="1">
        <v>127779</v>
      </c>
      <c r="I591" s="1">
        <v>23</v>
      </c>
      <c r="J591" s="1" t="s">
        <v>143</v>
      </c>
      <c r="K591" s="1" t="s">
        <v>2618</v>
      </c>
      <c r="L591" s="1" t="s">
        <v>2619</v>
      </c>
      <c r="M591" s="1" t="s">
        <v>9158</v>
      </c>
      <c r="N591" s="1" t="s">
        <v>9158</v>
      </c>
      <c r="O591" s="19" t="s">
        <v>10081</v>
      </c>
      <c r="P591" s="1" t="s">
        <v>4146</v>
      </c>
      <c r="Q591" s="1">
        <v>1</v>
      </c>
    </row>
    <row r="592" spans="1:17">
      <c r="A592" s="1">
        <v>80753</v>
      </c>
      <c r="B592" s="1" t="s">
        <v>334</v>
      </c>
      <c r="C592" s="1" t="s">
        <v>41</v>
      </c>
      <c r="D592" s="19" t="s">
        <v>10524</v>
      </c>
      <c r="E592" s="15" t="str">
        <f>HYPERLINK("https://stat100.ameba.jp/tnk47/ratio20/illustrations/card/ill_80753_hakubutsukannojoze03.jpg?201910-5-RELEASE-marathon-436", "■")</f>
        <v>■</v>
      </c>
      <c r="F592" s="1" t="s">
        <v>4318</v>
      </c>
      <c r="G592" s="1">
        <v>75627</v>
      </c>
      <c r="H592" s="1">
        <v>104385</v>
      </c>
      <c r="I592" s="1">
        <v>23</v>
      </c>
      <c r="J592" s="1" t="s">
        <v>38</v>
      </c>
      <c r="K592" s="1" t="s">
        <v>4319</v>
      </c>
      <c r="L592" s="1" t="s">
        <v>4320</v>
      </c>
      <c r="M592" s="1" t="s">
        <v>9158</v>
      </c>
      <c r="N592" s="1" t="s">
        <v>9158</v>
      </c>
      <c r="O592" s="19" t="s">
        <v>10074</v>
      </c>
      <c r="P592" s="1" t="s">
        <v>3592</v>
      </c>
      <c r="Q592" s="1">
        <v>1</v>
      </c>
    </row>
    <row r="593" spans="1:18">
      <c r="A593" s="1">
        <v>73083</v>
      </c>
      <c r="B593" s="1" t="s">
        <v>334</v>
      </c>
      <c r="C593" s="1" t="s">
        <v>154</v>
      </c>
      <c r="D593" s="19" t="s">
        <v>10308</v>
      </c>
      <c r="E593" s="15" t="str">
        <f>HYPERLINK("https://stat100.ameba.jp/tnk47/ratio20/illustrations/card/ill_73083_inochinoamekobayashiissa03.jpg?201910-5-RELEASE-marathon-436", "■")</f>
        <v>■</v>
      </c>
      <c r="F593" s="1" t="s">
        <v>3350</v>
      </c>
      <c r="G593" s="1">
        <v>100519</v>
      </c>
      <c r="H593" s="1">
        <v>72819</v>
      </c>
      <c r="I593" s="1">
        <v>23</v>
      </c>
      <c r="J593" s="1" t="s">
        <v>10</v>
      </c>
      <c r="K593" s="1" t="s">
        <v>3351</v>
      </c>
      <c r="L593" s="1" t="s">
        <v>3352</v>
      </c>
      <c r="M593" s="1" t="s">
        <v>9158</v>
      </c>
      <c r="N593" s="1" t="s">
        <v>9158</v>
      </c>
      <c r="O593" s="1" t="s">
        <v>9158</v>
      </c>
      <c r="P593" s="1" t="s">
        <v>9158</v>
      </c>
      <c r="Q593" s="1" t="s">
        <v>9158</v>
      </c>
    </row>
    <row r="594" spans="1:18">
      <c r="A594" s="1">
        <v>72153</v>
      </c>
      <c r="B594" s="1" t="s">
        <v>334</v>
      </c>
      <c r="C594" s="1" t="s">
        <v>203</v>
      </c>
      <c r="D594" s="19" t="s">
        <v>436</v>
      </c>
      <c r="E594" s="15" t="str">
        <f>HYPERLINK("https://stat100.ameba.jp/tnk47/ratio20/illustrations/card/ill_72153_bakki03.jpg?201910-5-RELEASE-marathon-436", "■")</f>
        <v>■</v>
      </c>
      <c r="F594" s="1" t="s">
        <v>1031</v>
      </c>
      <c r="G594" s="1">
        <v>88047</v>
      </c>
      <c r="H594" s="1">
        <v>121572</v>
      </c>
      <c r="I594" s="1">
        <v>23</v>
      </c>
      <c r="J594" s="1" t="s">
        <v>73</v>
      </c>
      <c r="K594" s="1" t="s">
        <v>1032</v>
      </c>
      <c r="L594" s="1" t="s">
        <v>1033</v>
      </c>
      <c r="M594" s="1" t="s">
        <v>9158</v>
      </c>
      <c r="N594" s="1" t="s">
        <v>9158</v>
      </c>
      <c r="O594" s="1" t="s">
        <v>9158</v>
      </c>
      <c r="P594" s="1" t="s">
        <v>9158</v>
      </c>
      <c r="Q594" s="1" t="s">
        <v>9158</v>
      </c>
    </row>
    <row r="595" spans="1:18">
      <c r="A595" s="1">
        <v>68703</v>
      </c>
      <c r="B595" s="1" t="s">
        <v>0</v>
      </c>
      <c r="C595" s="1" t="s">
        <v>47</v>
      </c>
      <c r="D595" s="19" t="s">
        <v>687</v>
      </c>
      <c r="E595" s="15" t="str">
        <f>HYPERLINK("https://stat100.ameba.jp/tnk47/ratio20/illustrations/card/ill_68703_manryu03.jpg?201910-5-RELEASE-marathon-436", "■")</f>
        <v>■</v>
      </c>
      <c r="F595" s="1" t="s">
        <v>80</v>
      </c>
      <c r="G595" s="1">
        <v>72819</v>
      </c>
      <c r="H595" s="1">
        <v>100519</v>
      </c>
      <c r="I595" s="1">
        <v>23</v>
      </c>
      <c r="J595" s="1" t="s">
        <v>16</v>
      </c>
      <c r="K595" s="1" t="s">
        <v>81</v>
      </c>
      <c r="L595" s="1" t="s">
        <v>82</v>
      </c>
      <c r="M595" s="1" t="s">
        <v>9158</v>
      </c>
      <c r="N595" s="1" t="s">
        <v>9158</v>
      </c>
      <c r="O595" s="1" t="s">
        <v>9158</v>
      </c>
      <c r="P595" s="1" t="s">
        <v>9158</v>
      </c>
      <c r="Q595" s="1" t="s">
        <v>9158</v>
      </c>
    </row>
    <row r="597" spans="1:18">
      <c r="A597" s="1" t="s">
        <v>13326</v>
      </c>
    </row>
    <row r="598" spans="1:18">
      <c r="A598" s="1" t="s">
        <v>7755</v>
      </c>
    </row>
    <row r="599" spans="1:18">
      <c r="A599" s="1">
        <v>66113</v>
      </c>
      <c r="B599" s="1" t="s">
        <v>334</v>
      </c>
      <c r="C599" s="1" t="s">
        <v>185</v>
      </c>
      <c r="D599" s="19" t="s">
        <v>1292</v>
      </c>
      <c r="E599" s="15" t="str">
        <f>HYPERLINK("https://stat100.ameba.jp/tnk47/ratio20/illustrations/card/ill_66113_shirarikahime03.jpg?201910-5-RELEASE-marathon-436", "■")</f>
        <v>■</v>
      </c>
      <c r="F599" s="1" t="s">
        <v>1293</v>
      </c>
      <c r="G599" s="1">
        <v>118152</v>
      </c>
      <c r="H599" s="1">
        <v>109852</v>
      </c>
      <c r="I599" s="1">
        <v>24</v>
      </c>
      <c r="J599" s="1" t="s">
        <v>274</v>
      </c>
      <c r="K599" s="1" t="s">
        <v>1304</v>
      </c>
      <c r="L599" s="2" t="s">
        <v>9908</v>
      </c>
      <c r="M599" s="1" t="s">
        <v>13151</v>
      </c>
      <c r="N599" s="1" t="s">
        <v>251</v>
      </c>
      <c r="O599" s="1" t="s">
        <v>9158</v>
      </c>
      <c r="P599" s="1" t="s">
        <v>9158</v>
      </c>
      <c r="Q599" s="1" t="s">
        <v>9158</v>
      </c>
      <c r="R599" s="14" t="s">
        <v>14858</v>
      </c>
    </row>
    <row r="600" spans="1:18">
      <c r="A600" s="1">
        <v>66112</v>
      </c>
      <c r="B600" s="1" t="s">
        <v>334</v>
      </c>
      <c r="C600" s="1" t="s">
        <v>185</v>
      </c>
      <c r="D600" s="19" t="s">
        <v>1292</v>
      </c>
      <c r="E600" s="15" t="str">
        <f>HYPERLINK("https://stat100.ameba.jp/tnk47/ratio20/illustrations/card/ill_66112_shirarikahime02.jpg?201910-5-RELEASE-marathon-436", "■")</f>
        <v>■</v>
      </c>
      <c r="F600" s="1" t="s">
        <v>1293</v>
      </c>
      <c r="G600" s="1">
        <v>98768</v>
      </c>
      <c r="H600" s="1">
        <v>90984</v>
      </c>
      <c r="I600" s="1">
        <v>24</v>
      </c>
      <c r="J600" s="1" t="s">
        <v>274</v>
      </c>
      <c r="K600" s="1" t="s">
        <v>1304</v>
      </c>
      <c r="L600" s="2" t="s">
        <v>9908</v>
      </c>
      <c r="M600" s="1" t="s">
        <v>13156</v>
      </c>
      <c r="N600" s="1" t="s">
        <v>1310</v>
      </c>
      <c r="O600" s="1" t="s">
        <v>9158</v>
      </c>
      <c r="P600" s="1" t="s">
        <v>9158</v>
      </c>
      <c r="Q600" s="1" t="s">
        <v>9158</v>
      </c>
      <c r="R600" s="14" t="s">
        <v>14858</v>
      </c>
    </row>
    <row r="601" spans="1:18">
      <c r="A601" s="1">
        <v>66111</v>
      </c>
      <c r="B601" s="1" t="s">
        <v>334</v>
      </c>
      <c r="C601" s="1" t="s">
        <v>185</v>
      </c>
      <c r="D601" s="19" t="s">
        <v>1292</v>
      </c>
      <c r="E601" s="15" t="str">
        <f>HYPERLINK("https://stat100.ameba.jp/tnk47/ratio20/illustrations/card/ill_66111_shirarikahime01.jpg?201910-5-RELEASE-marathon-436", "■")</f>
        <v>■</v>
      </c>
      <c r="F601" s="1" t="s">
        <v>1293</v>
      </c>
      <c r="G601" s="1">
        <v>75408</v>
      </c>
      <c r="H601" s="1">
        <v>70200</v>
      </c>
      <c r="I601" s="1">
        <v>24</v>
      </c>
      <c r="J601" s="1" t="s">
        <v>274</v>
      </c>
      <c r="K601" s="1" t="s">
        <v>1304</v>
      </c>
      <c r="L601" s="2" t="s">
        <v>9908</v>
      </c>
      <c r="M601" s="1" t="s">
        <v>13156</v>
      </c>
      <c r="N601" s="1" t="s">
        <v>1310</v>
      </c>
      <c r="O601" s="1" t="s">
        <v>9158</v>
      </c>
      <c r="P601" s="1" t="s">
        <v>9158</v>
      </c>
      <c r="Q601" s="1" t="s">
        <v>9158</v>
      </c>
      <c r="R601" s="14" t="s">
        <v>14858</v>
      </c>
    </row>
    <row r="602" spans="1:18">
      <c r="A602" s="1">
        <v>65383</v>
      </c>
      <c r="B602" s="1" t="s">
        <v>334</v>
      </c>
      <c r="C602" s="1" t="s">
        <v>200</v>
      </c>
      <c r="D602" s="19" t="s">
        <v>1294</v>
      </c>
      <c r="E602" s="15" t="str">
        <f>HYPERLINK("https://stat100.ameba.jp/tnk47/ratio20/illustrations/card/ill_65383_aogashimachan03.jpg?201910-5-RELEASE-marathon-436", "■")</f>
        <v>■</v>
      </c>
      <c r="F602" s="1" t="s">
        <v>1295</v>
      </c>
      <c r="G602" s="1">
        <v>109852</v>
      </c>
      <c r="H602" s="1">
        <v>118152</v>
      </c>
      <c r="I602" s="1">
        <v>24</v>
      </c>
      <c r="J602" s="1" t="s">
        <v>369</v>
      </c>
      <c r="K602" s="1" t="s">
        <v>1305</v>
      </c>
      <c r="L602" s="2" t="s">
        <v>9909</v>
      </c>
      <c r="M602" s="1" t="s">
        <v>13151</v>
      </c>
      <c r="N602" s="1" t="s">
        <v>251</v>
      </c>
      <c r="O602" s="1" t="s">
        <v>9158</v>
      </c>
      <c r="P602" s="1" t="s">
        <v>9158</v>
      </c>
      <c r="Q602" s="1" t="s">
        <v>9158</v>
      </c>
      <c r="R602" s="14" t="s">
        <v>14858</v>
      </c>
    </row>
    <row r="603" spans="1:18">
      <c r="A603" s="1">
        <v>66123</v>
      </c>
      <c r="B603" s="1" t="s">
        <v>334</v>
      </c>
      <c r="C603" s="1" t="s">
        <v>191</v>
      </c>
      <c r="D603" s="19" t="s">
        <v>1296</v>
      </c>
      <c r="E603" s="15" t="str">
        <f>HYPERLINK("https://stat100.ameba.jp/tnk47/ratio20/illustrations/card/ill_66123_taikemmoninnohorikawa03.jpg?201910-5-RELEASE-marathon-436", "■")</f>
        <v>■</v>
      </c>
      <c r="F603" s="1" t="s">
        <v>1297</v>
      </c>
      <c r="G603" s="1">
        <v>118152</v>
      </c>
      <c r="H603" s="1">
        <v>109852</v>
      </c>
      <c r="I603" s="1">
        <v>24</v>
      </c>
      <c r="J603" s="1" t="s">
        <v>414</v>
      </c>
      <c r="K603" s="1" t="s">
        <v>1306</v>
      </c>
      <c r="L603" s="2" t="s">
        <v>9910</v>
      </c>
      <c r="M603" s="1" t="s">
        <v>13151</v>
      </c>
      <c r="N603" s="1" t="s">
        <v>251</v>
      </c>
      <c r="O603" s="1" t="s">
        <v>9158</v>
      </c>
      <c r="P603" s="1" t="s">
        <v>9158</v>
      </c>
      <c r="Q603" s="1" t="s">
        <v>9158</v>
      </c>
      <c r="R603" s="14" t="s">
        <v>14858</v>
      </c>
    </row>
    <row r="604" spans="1:18">
      <c r="A604" s="1">
        <v>66133</v>
      </c>
      <c r="B604" s="1" t="s">
        <v>334</v>
      </c>
      <c r="C604" s="1" t="s">
        <v>165</v>
      </c>
      <c r="D604" s="19" t="s">
        <v>1298</v>
      </c>
      <c r="E604" s="15" t="str">
        <f>HYPERLINK("https://stat100.ameba.jp/tnk47/ratio20/illustrations/card/ill_66133_iinaosuke03.jpg?201910-5-RELEASE-marathon-436", "■")</f>
        <v>■</v>
      </c>
      <c r="F604" s="1" t="s">
        <v>1299</v>
      </c>
      <c r="G604" s="1">
        <v>109852</v>
      </c>
      <c r="H604" s="1">
        <v>118152</v>
      </c>
      <c r="I604" s="1">
        <v>24</v>
      </c>
      <c r="J604" s="1" t="s">
        <v>351</v>
      </c>
      <c r="K604" s="1" t="s">
        <v>1307</v>
      </c>
      <c r="L604" s="2" t="s">
        <v>9911</v>
      </c>
      <c r="M604" s="1" t="s">
        <v>13151</v>
      </c>
      <c r="N604" s="1" t="s">
        <v>251</v>
      </c>
      <c r="O604" s="1" t="s">
        <v>9158</v>
      </c>
      <c r="P604" s="1" t="s">
        <v>9158</v>
      </c>
      <c r="Q604" s="1" t="s">
        <v>9158</v>
      </c>
      <c r="R604" s="14" t="s">
        <v>14858</v>
      </c>
    </row>
    <row r="605" spans="1:18">
      <c r="A605" s="1">
        <v>65393</v>
      </c>
      <c r="B605" s="1" t="s">
        <v>334</v>
      </c>
      <c r="C605" s="1" t="s">
        <v>205</v>
      </c>
      <c r="D605" s="19" t="s">
        <v>1300</v>
      </c>
      <c r="E605" s="15" t="str">
        <f>HYPERLINK("https://stat100.ameba.jp/tnk47/ratio20/illustrations/card/ill_65393_motochikafujin03.jpg?201910-5-RELEASE-marathon-436", "■")</f>
        <v>■</v>
      </c>
      <c r="F605" s="1" t="s">
        <v>1301</v>
      </c>
      <c r="G605" s="1">
        <v>109852</v>
      </c>
      <c r="H605" s="1">
        <v>118152</v>
      </c>
      <c r="I605" s="1">
        <v>24</v>
      </c>
      <c r="J605" s="1" t="s">
        <v>315</v>
      </c>
      <c r="K605" s="1" t="s">
        <v>1308</v>
      </c>
      <c r="L605" s="2" t="s">
        <v>9912</v>
      </c>
      <c r="M605" s="1" t="s">
        <v>13151</v>
      </c>
      <c r="N605" s="1" t="s">
        <v>251</v>
      </c>
      <c r="O605" s="1" t="s">
        <v>9158</v>
      </c>
      <c r="P605" s="1" t="s">
        <v>9158</v>
      </c>
      <c r="Q605" s="1" t="s">
        <v>9158</v>
      </c>
      <c r="R605" s="14" t="s">
        <v>14858</v>
      </c>
    </row>
    <row r="606" spans="1:18">
      <c r="A606" s="1">
        <v>65403</v>
      </c>
      <c r="B606" s="1" t="s">
        <v>334</v>
      </c>
      <c r="C606" s="1" t="s">
        <v>206</v>
      </c>
      <c r="D606" s="19" t="s">
        <v>1302</v>
      </c>
      <c r="E606" s="15" t="str">
        <f>HYPERLINK("https://stat100.ameba.jp/tnk47/ratio20/illustrations/card/ill_65403_amenokoyanenomikoto03.jpg?201910-5-RELEASE-marathon-436", "■")</f>
        <v>■</v>
      </c>
      <c r="F606" s="1" t="s">
        <v>1303</v>
      </c>
      <c r="G606" s="1">
        <v>118152</v>
      </c>
      <c r="H606" s="1">
        <v>109852</v>
      </c>
      <c r="I606" s="1">
        <v>24</v>
      </c>
      <c r="J606" s="1" t="s">
        <v>401</v>
      </c>
      <c r="K606" s="1" t="s">
        <v>1309</v>
      </c>
      <c r="L606" s="2" t="s">
        <v>9913</v>
      </c>
      <c r="M606" s="1" t="s">
        <v>13151</v>
      </c>
      <c r="N606" s="1" t="s">
        <v>251</v>
      </c>
      <c r="O606" s="1" t="s">
        <v>9158</v>
      </c>
      <c r="P606" s="1" t="s">
        <v>9158</v>
      </c>
      <c r="Q606" s="1" t="s">
        <v>9158</v>
      </c>
      <c r="R606" s="14" t="s">
        <v>14858</v>
      </c>
    </row>
    <row r="608" spans="1:18">
      <c r="A608" s="1" t="s">
        <v>7746</v>
      </c>
    </row>
    <row r="609" spans="1:17">
      <c r="A609" s="1" t="s">
        <v>7747</v>
      </c>
    </row>
    <row r="610" spans="1:17">
      <c r="A610" s="1" t="s">
        <v>7748</v>
      </c>
      <c r="B610" s="1" t="s">
        <v>7749</v>
      </c>
      <c r="C610" s="1" t="s">
        <v>202</v>
      </c>
      <c r="D610" s="19" t="s">
        <v>10738</v>
      </c>
      <c r="E610" s="15" t="str">
        <f>HYPERLINK("https://stat100.ameba.jp/tnk47/ratio20/illustrations/card/ill_69283_0_sangokushinsenkyo03.jpg?201910-5-RELEASE-marathon-436", "■")</f>
        <v>■</v>
      </c>
      <c r="F610" s="1" t="s">
        <v>7752</v>
      </c>
      <c r="G610" s="1">
        <v>144714</v>
      </c>
      <c r="H610" s="1">
        <v>155680</v>
      </c>
      <c r="I610" s="1">
        <v>28</v>
      </c>
      <c r="J610" s="1" t="s">
        <v>38</v>
      </c>
      <c r="K610" s="1" t="s">
        <v>7751</v>
      </c>
      <c r="L610" s="1" t="s">
        <v>7750</v>
      </c>
      <c r="M610" s="1" t="s">
        <v>9158</v>
      </c>
      <c r="N610" s="1" t="s">
        <v>9158</v>
      </c>
      <c r="O610" s="1" t="s">
        <v>9158</v>
      </c>
      <c r="P610" s="1" t="s">
        <v>9158</v>
      </c>
      <c r="Q610" s="1" t="s">
        <v>9158</v>
      </c>
    </row>
    <row r="611" spans="1:17">
      <c r="A611" s="1" t="s">
        <v>5621</v>
      </c>
      <c r="B611" s="1" t="s">
        <v>330</v>
      </c>
      <c r="C611" s="1" t="s">
        <v>191</v>
      </c>
      <c r="D611" s="19" t="s">
        <v>2871</v>
      </c>
      <c r="E611" s="15" t="str">
        <f>HYPERLINK("https://stat100.ameba.jp/tnk47/ratio20/illustrations/card/ill_51973_0_kemonomizugikuroyuridensetsu03.jpg?201910-5-RELEASE-marathon-436", "■")</f>
        <v>■</v>
      </c>
      <c r="F611" s="1" t="s">
        <v>2034</v>
      </c>
      <c r="G611" s="1">
        <v>150776</v>
      </c>
      <c r="H611" s="1">
        <v>133938</v>
      </c>
      <c r="I611" s="1">
        <v>24</v>
      </c>
      <c r="J611" s="1" t="s">
        <v>38</v>
      </c>
      <c r="K611" s="1" t="s">
        <v>2035</v>
      </c>
      <c r="L611" s="1" t="s">
        <v>2036</v>
      </c>
      <c r="M611" s="1" t="s">
        <v>9158</v>
      </c>
      <c r="N611" s="1" t="s">
        <v>9158</v>
      </c>
      <c r="O611" s="19" t="s">
        <v>10088</v>
      </c>
      <c r="P611" s="1" t="s">
        <v>13172</v>
      </c>
      <c r="Q611" s="1">
        <v>1</v>
      </c>
    </row>
    <row r="612" spans="1:17">
      <c r="A612" s="1" t="s">
        <v>5725</v>
      </c>
      <c r="B612" s="1" t="s">
        <v>52</v>
      </c>
      <c r="C612" s="1" t="s">
        <v>107</v>
      </c>
      <c r="D612" s="19" t="s">
        <v>543</v>
      </c>
      <c r="E612" s="15" t="str">
        <f>HYPERLINK("https://stat100.ameba.jp/tnk47/ratio20/illustrations/card/ill_52693_0_sengokumibirakiyanagiharabyakuren03.jpg?201910-5-RELEASE-marathon-436", "■")</f>
        <v>■</v>
      </c>
      <c r="F612" s="1" t="s">
        <v>1246</v>
      </c>
      <c r="G612" s="1">
        <v>133938</v>
      </c>
      <c r="H612" s="1">
        <v>150776</v>
      </c>
      <c r="I612" s="1">
        <v>24</v>
      </c>
      <c r="J612" s="1" t="s">
        <v>16</v>
      </c>
      <c r="K612" s="1" t="s">
        <v>1247</v>
      </c>
      <c r="L612" s="1" t="s">
        <v>1248</v>
      </c>
      <c r="M612" s="1" t="s">
        <v>9158</v>
      </c>
      <c r="N612" s="1" t="s">
        <v>9158</v>
      </c>
      <c r="O612" s="19" t="s">
        <v>2886</v>
      </c>
      <c r="P612" s="1" t="s">
        <v>3304</v>
      </c>
      <c r="Q612" s="1">
        <v>1</v>
      </c>
    </row>
    <row r="613" spans="1:17">
      <c r="A613" s="1">
        <v>70363</v>
      </c>
      <c r="B613" s="1" t="s">
        <v>334</v>
      </c>
      <c r="C613" s="1" t="s">
        <v>209</v>
      </c>
      <c r="D613" s="19" t="s">
        <v>10266</v>
      </c>
      <c r="E613" s="15" t="str">
        <f>HYPERLINK("https://stat100.ameba.jp/tnk47/ratio20/illustrations/card/ill_70363_hokushimmyokembosatsu03.jpg?201910-5-RELEASE-marathon-436", "■")</f>
        <v>■</v>
      </c>
      <c r="F613" s="1" t="s">
        <v>2502</v>
      </c>
      <c r="G613" s="1">
        <v>159674</v>
      </c>
      <c r="H613" s="1">
        <v>115656</v>
      </c>
      <c r="I613" s="1">
        <v>24</v>
      </c>
      <c r="J613" s="1" t="s">
        <v>44</v>
      </c>
      <c r="K613" s="1" t="s">
        <v>2503</v>
      </c>
      <c r="L613" s="1" t="s">
        <v>2504</v>
      </c>
      <c r="M613" s="1" t="s">
        <v>9158</v>
      </c>
      <c r="N613" s="1" t="s">
        <v>9158</v>
      </c>
      <c r="O613" s="19" t="s">
        <v>10114</v>
      </c>
      <c r="P613" s="1" t="s">
        <v>3658</v>
      </c>
      <c r="Q613" s="1">
        <v>1</v>
      </c>
    </row>
    <row r="614" spans="1:17">
      <c r="A614" s="1">
        <v>61343</v>
      </c>
      <c r="B614" s="1" t="s">
        <v>334</v>
      </c>
      <c r="C614" s="1" t="s">
        <v>154</v>
      </c>
      <c r="D614" s="19" t="s">
        <v>10520</v>
      </c>
      <c r="E614" s="15" t="str">
        <f>HYPERLINK("https://stat100.ameba.jp/tnk47/ratio20/illustrations/card/ill_61343_amaiyumechacha03.jpg?201910-5-RELEASE-marathon-436", "■")</f>
        <v>■</v>
      </c>
      <c r="F614" s="1" t="s">
        <v>683</v>
      </c>
      <c r="G614" s="1">
        <v>75984</v>
      </c>
      <c r="H614" s="1">
        <v>104890</v>
      </c>
      <c r="I614" s="1">
        <v>24</v>
      </c>
      <c r="J614" s="1" t="s">
        <v>315</v>
      </c>
      <c r="K614" s="1" t="s">
        <v>684</v>
      </c>
      <c r="L614" s="1" t="s">
        <v>608</v>
      </c>
      <c r="M614" s="1" t="s">
        <v>9158</v>
      </c>
      <c r="N614" s="1" t="s">
        <v>9158</v>
      </c>
      <c r="O614" s="1" t="s">
        <v>9158</v>
      </c>
      <c r="P614" s="1" t="s">
        <v>9158</v>
      </c>
      <c r="Q614" s="1" t="s">
        <v>9158</v>
      </c>
    </row>
    <row r="615" spans="1:17">
      <c r="A615" s="1">
        <v>65633</v>
      </c>
      <c r="B615" s="1" t="s">
        <v>0</v>
      </c>
      <c r="C615" s="1" t="s">
        <v>41</v>
      </c>
      <c r="D615" s="19" t="s">
        <v>10227</v>
      </c>
      <c r="E615" s="15" t="str">
        <f>HYPERLINK("https://stat100.ameba.jp/tnk47/ratio20/illustrations/card/ill_65633_shinnoakugoro03.jpg?201910-5-RELEASE-marathon-436", "■")</f>
        <v>■</v>
      </c>
      <c r="F615" s="1" t="s">
        <v>70</v>
      </c>
      <c r="G615" s="1">
        <v>111914</v>
      </c>
      <c r="H615" s="1">
        <v>81078</v>
      </c>
      <c r="I615" s="1">
        <v>24</v>
      </c>
      <c r="J615" s="1" t="s">
        <v>73</v>
      </c>
      <c r="K615" s="1" t="s">
        <v>71</v>
      </c>
      <c r="L615" s="1" t="s">
        <v>72</v>
      </c>
      <c r="M615" s="1" t="s">
        <v>9158</v>
      </c>
      <c r="N615" s="1" t="s">
        <v>9158</v>
      </c>
      <c r="O615" s="1" t="s">
        <v>9158</v>
      </c>
      <c r="P615" s="1" t="s">
        <v>9158</v>
      </c>
      <c r="Q615" s="1" t="s">
        <v>9158</v>
      </c>
    </row>
    <row r="617" spans="1:17">
      <c r="A617" s="1" t="s">
        <v>7753</v>
      </c>
    </row>
    <row r="618" spans="1:17">
      <c r="A618" s="1" t="s">
        <v>7754</v>
      </c>
    </row>
    <row r="619" spans="1:17">
      <c r="A619" s="1" t="s">
        <v>6905</v>
      </c>
      <c r="B619" s="1" t="s">
        <v>330</v>
      </c>
      <c r="C619" s="1" t="s">
        <v>35</v>
      </c>
      <c r="D619" s="19" t="s">
        <v>10299</v>
      </c>
      <c r="E619" s="15" t="str">
        <f>HYPERLINK("https://stat100.ameba.jp/tnk47/ratio20/illustrations/card/ill_80623_0_ohanamigurampingutominushihime03.jpg?201910-5-RELEASE-marathon-436", "■")</f>
        <v>■</v>
      </c>
      <c r="F619" s="1" t="s">
        <v>4162</v>
      </c>
      <c r="G619" s="1">
        <v>289274</v>
      </c>
      <c r="H619" s="1">
        <v>261472</v>
      </c>
      <c r="I619" s="1">
        <v>24</v>
      </c>
      <c r="J619" s="1" t="s">
        <v>44</v>
      </c>
      <c r="K619" s="1" t="s">
        <v>4163</v>
      </c>
      <c r="L619" s="1" t="s">
        <v>4164</v>
      </c>
      <c r="M619" s="1" t="s">
        <v>9158</v>
      </c>
      <c r="N619" s="1" t="s">
        <v>9158</v>
      </c>
      <c r="O619" s="19" t="s">
        <v>10126</v>
      </c>
      <c r="P619" s="1" t="s">
        <v>4166</v>
      </c>
      <c r="Q619" s="1">
        <v>1</v>
      </c>
    </row>
    <row r="620" spans="1:17">
      <c r="A620" s="1">
        <v>81313</v>
      </c>
      <c r="B620" s="1" t="s">
        <v>0</v>
      </c>
      <c r="C620" s="1" t="s">
        <v>154</v>
      </c>
      <c r="D620" s="19" t="s">
        <v>10511</v>
      </c>
      <c r="E620" s="15" t="str">
        <f>HYPERLINK("https://stat100.ameba.jp/tnk47/ratio20/illustrations/card/ill_81313_harihara03.jpg?201910-5-RELEASE-marathon-436", "■")</f>
        <v>■</v>
      </c>
      <c r="F620" s="1" t="s">
        <v>4667</v>
      </c>
      <c r="G620" s="1">
        <v>159674</v>
      </c>
      <c r="H620" s="1">
        <v>115656</v>
      </c>
      <c r="I620" s="1">
        <v>24</v>
      </c>
      <c r="J620" s="1" t="s">
        <v>44</v>
      </c>
      <c r="K620" s="1" t="s">
        <v>4668</v>
      </c>
      <c r="L620" s="1" t="s">
        <v>4669</v>
      </c>
      <c r="M620" s="1" t="s">
        <v>9158</v>
      </c>
      <c r="N620" s="1" t="s">
        <v>9158</v>
      </c>
      <c r="O620" s="19" t="s">
        <v>10114</v>
      </c>
      <c r="P620" s="1" t="s">
        <v>3658</v>
      </c>
      <c r="Q620" s="1">
        <v>1</v>
      </c>
    </row>
    <row r="621" spans="1:17">
      <c r="A621" s="1">
        <v>79313</v>
      </c>
      <c r="B621" s="1" t="s">
        <v>334</v>
      </c>
      <c r="C621" s="1" t="s">
        <v>185</v>
      </c>
      <c r="D621" s="19" t="s">
        <v>10334</v>
      </c>
      <c r="E621" s="15" t="str">
        <f>HYPERLINK("https://stat100.ameba.jp/tnk47/ratio20/illustrations/card/ill_79313_hommeichokodatemasamune03.jpg?201910-5-RELEASE-marathon-436", "■")</f>
        <v>■</v>
      </c>
      <c r="F621" s="1" t="s">
        <v>3499</v>
      </c>
      <c r="G621" s="1">
        <v>132658</v>
      </c>
      <c r="H621" s="1">
        <v>142674</v>
      </c>
      <c r="I621" s="1">
        <v>24</v>
      </c>
      <c r="J621" s="1" t="s">
        <v>143</v>
      </c>
      <c r="K621" s="1" t="s">
        <v>3500</v>
      </c>
      <c r="L621" s="1" t="s">
        <v>1148</v>
      </c>
      <c r="M621" s="1" t="s">
        <v>9158</v>
      </c>
      <c r="N621" s="1" t="s">
        <v>9158</v>
      </c>
      <c r="O621" s="19" t="s">
        <v>2752</v>
      </c>
      <c r="P621" s="1" t="s">
        <v>13123</v>
      </c>
      <c r="Q621" s="1">
        <v>1</v>
      </c>
    </row>
    <row r="622" spans="1:17">
      <c r="A622" s="1">
        <v>69533</v>
      </c>
      <c r="B622" s="1" t="s">
        <v>0</v>
      </c>
      <c r="C622" s="1" t="s">
        <v>101</v>
      </c>
      <c r="D622" s="19" t="s">
        <v>10418</v>
      </c>
      <c r="E622" s="15" t="str">
        <f>HYPERLINK("https://stat100.ameba.jp/tnk47/ratio20/illustrations/card/ill_69533_setsubunodainokata03.jpg?201910-5-RELEASE-marathon-436", "■")</f>
        <v>■</v>
      </c>
      <c r="F622" s="1" t="s">
        <v>138</v>
      </c>
      <c r="G622" s="1">
        <v>93746</v>
      </c>
      <c r="H622" s="1">
        <v>87128</v>
      </c>
      <c r="I622" s="1">
        <v>24</v>
      </c>
      <c r="J622" s="1" t="s">
        <v>10</v>
      </c>
      <c r="K622" s="1" t="s">
        <v>139</v>
      </c>
      <c r="L622" s="1" t="s">
        <v>140</v>
      </c>
      <c r="M622" s="1" t="s">
        <v>9158</v>
      </c>
      <c r="N622" s="1" t="s">
        <v>9158</v>
      </c>
      <c r="O622" s="19" t="s">
        <v>10082</v>
      </c>
      <c r="P622" s="1" t="s">
        <v>13124</v>
      </c>
      <c r="Q622" s="1">
        <v>1</v>
      </c>
    </row>
    <row r="624" spans="1:17">
      <c r="A624" s="1" t="s">
        <v>7756</v>
      </c>
    </row>
    <row r="625" spans="1:18">
      <c r="A625" s="1" t="s">
        <v>7760</v>
      </c>
    </row>
    <row r="626" spans="1:18">
      <c r="A626" s="1">
        <v>81295</v>
      </c>
      <c r="B626" s="1" t="s">
        <v>7757</v>
      </c>
      <c r="C626" s="1" t="s">
        <v>7759</v>
      </c>
      <c r="D626" s="19" t="s">
        <v>10739</v>
      </c>
      <c r="E626" s="15" t="str">
        <f>HYPERLINK("https://stat100.ameba.jp/tnk47/ratio20/illustrations/card/ill_81295_ningyozuka05.jpg?201911-1-RELEASE-raid-437", "■")</f>
        <v>■</v>
      </c>
      <c r="F626" s="1" t="s">
        <v>7781</v>
      </c>
      <c r="G626" s="1">
        <v>131754</v>
      </c>
      <c r="H626" s="1">
        <v>95392</v>
      </c>
      <c r="I626" s="1">
        <v>24</v>
      </c>
      <c r="J626" s="1" t="s">
        <v>7763</v>
      </c>
      <c r="K626" s="1" t="s">
        <v>7780</v>
      </c>
      <c r="L626" s="1" t="s">
        <v>7779</v>
      </c>
      <c r="M626" s="1" t="s">
        <v>9158</v>
      </c>
      <c r="N626" s="1" t="s">
        <v>9158</v>
      </c>
      <c r="O626" s="1" t="s">
        <v>9158</v>
      </c>
      <c r="P626" s="1" t="s">
        <v>9158</v>
      </c>
      <c r="Q626" s="1" t="s">
        <v>9158</v>
      </c>
      <c r="R626" s="1" t="s">
        <v>7774</v>
      </c>
    </row>
    <row r="627" spans="1:18">
      <c r="A627" s="1">
        <v>81293</v>
      </c>
      <c r="B627" s="1" t="s">
        <v>7758</v>
      </c>
      <c r="C627" s="1" t="s">
        <v>7761</v>
      </c>
      <c r="D627" s="19" t="s">
        <v>10739</v>
      </c>
      <c r="E627" s="15" t="str">
        <f>HYPERLINK("https://stat100.ameba.jp/tnk47/ratio20/illustrations/card/ill_81293_ningyozuka03.jpg?201911-1-RELEASE-raid-437", "■")</f>
        <v>■</v>
      </c>
      <c r="F627" s="1" t="s">
        <v>7781</v>
      </c>
      <c r="G627" s="1">
        <v>97068</v>
      </c>
      <c r="H627" s="1">
        <v>70274</v>
      </c>
      <c r="I627" s="1">
        <v>24</v>
      </c>
      <c r="J627" s="1" t="s">
        <v>7763</v>
      </c>
      <c r="K627" s="1" t="s">
        <v>7780</v>
      </c>
      <c r="L627" s="1" t="s">
        <v>7782</v>
      </c>
      <c r="M627" s="1" t="s">
        <v>9158</v>
      </c>
      <c r="N627" s="1" t="s">
        <v>9158</v>
      </c>
      <c r="O627" s="1" t="s">
        <v>9158</v>
      </c>
      <c r="P627" s="1" t="s">
        <v>9158</v>
      </c>
      <c r="Q627" s="1" t="s">
        <v>9158</v>
      </c>
      <c r="R627" s="1" t="s">
        <v>7775</v>
      </c>
    </row>
    <row r="628" spans="1:18">
      <c r="A628" s="1">
        <v>81291</v>
      </c>
      <c r="B628" s="1" t="s">
        <v>7758</v>
      </c>
      <c r="C628" s="1" t="s">
        <v>7761</v>
      </c>
      <c r="D628" s="19" t="s">
        <v>10739</v>
      </c>
      <c r="E628" s="15" t="str">
        <f>HYPERLINK("https://stat100.ameba.jp/tnk47/ratio20/illustrations/card/ill_81291_ningyozuka01.jpg?201911-1-RELEASE-raid-437", "■")</f>
        <v>■</v>
      </c>
      <c r="F628" s="1" t="s">
        <v>7781</v>
      </c>
      <c r="G628" s="1">
        <v>61752</v>
      </c>
      <c r="H628" s="1">
        <v>44712</v>
      </c>
      <c r="I628" s="1">
        <v>24</v>
      </c>
      <c r="J628" s="1" t="s">
        <v>7763</v>
      </c>
      <c r="K628" s="1" t="s">
        <v>7780</v>
      </c>
      <c r="L628" s="1" t="s">
        <v>7783</v>
      </c>
      <c r="M628" s="1" t="s">
        <v>9158</v>
      </c>
      <c r="N628" s="1" t="s">
        <v>9158</v>
      </c>
      <c r="O628" s="1" t="s">
        <v>9158</v>
      </c>
      <c r="P628" s="1" t="s">
        <v>9158</v>
      </c>
      <c r="Q628" s="1" t="s">
        <v>9158</v>
      </c>
      <c r="R628" s="1" t="s">
        <v>7776</v>
      </c>
    </row>
    <row r="629" spans="1:18">
      <c r="A629" s="1">
        <v>81875</v>
      </c>
      <c r="B629" s="1" t="s">
        <v>7757</v>
      </c>
      <c r="C629" s="1" t="s">
        <v>7759</v>
      </c>
      <c r="D629" s="19" t="s">
        <v>10179</v>
      </c>
      <c r="E629" s="15" t="str">
        <f>HYPERLINK("https://stat100.ameba.jp/tnk47/ratio20/illustrations/card/ill_81875_jumburaidohanimotoko05.jpg?201911-1-RELEASE-raid-437", "■")</f>
        <v>■</v>
      </c>
      <c r="F629" s="1" t="s">
        <v>7773</v>
      </c>
      <c r="G629" s="1">
        <v>117160</v>
      </c>
      <c r="H629" s="1">
        <v>84828</v>
      </c>
      <c r="I629" s="1">
        <v>24</v>
      </c>
      <c r="J629" s="1" t="s">
        <v>7764</v>
      </c>
      <c r="K629" s="1" t="s">
        <v>7772</v>
      </c>
      <c r="L629" s="1" t="s">
        <v>7771</v>
      </c>
      <c r="M629" s="1" t="s">
        <v>9158</v>
      </c>
      <c r="N629" s="1" t="s">
        <v>9158</v>
      </c>
      <c r="O629" s="1" t="s">
        <v>9158</v>
      </c>
      <c r="P629" s="1" t="s">
        <v>9158</v>
      </c>
      <c r="Q629" s="1" t="s">
        <v>9158</v>
      </c>
      <c r="R629" s="1" t="s">
        <v>7774</v>
      </c>
    </row>
    <row r="630" spans="1:18">
      <c r="A630" s="1">
        <v>81873</v>
      </c>
      <c r="B630" s="1" t="s">
        <v>7758</v>
      </c>
      <c r="C630" s="1" t="s">
        <v>7762</v>
      </c>
      <c r="D630" s="19" t="s">
        <v>10179</v>
      </c>
      <c r="E630" s="15" t="str">
        <f>HYPERLINK("https://stat100.ameba.jp/tnk47/ratio20/illustrations/card/ill_81873_jumburaidohanimotoko03.jpg?201911-1-RELEASE-raid-437", "■")</f>
        <v>■</v>
      </c>
      <c r="F630" s="1" t="s">
        <v>7773</v>
      </c>
      <c r="G630" s="1">
        <v>86320</v>
      </c>
      <c r="H630" s="1">
        <v>62492</v>
      </c>
      <c r="I630" s="1">
        <v>24</v>
      </c>
      <c r="J630" s="1" t="s">
        <v>7764</v>
      </c>
      <c r="K630" s="1" t="s">
        <v>7772</v>
      </c>
      <c r="L630" s="1" t="s">
        <v>7777</v>
      </c>
      <c r="M630" s="1" t="s">
        <v>9158</v>
      </c>
      <c r="N630" s="1" t="s">
        <v>9158</v>
      </c>
      <c r="O630" s="1" t="s">
        <v>9158</v>
      </c>
      <c r="P630" s="1" t="s">
        <v>9158</v>
      </c>
      <c r="Q630" s="1" t="s">
        <v>9158</v>
      </c>
      <c r="R630" s="1" t="s">
        <v>7775</v>
      </c>
    </row>
    <row r="631" spans="1:18">
      <c r="A631" s="1">
        <v>81871</v>
      </c>
      <c r="B631" s="1" t="s">
        <v>7758</v>
      </c>
      <c r="C631" s="1" t="s">
        <v>7762</v>
      </c>
      <c r="D631" s="19" t="s">
        <v>10179</v>
      </c>
      <c r="E631" s="15" t="str">
        <f>HYPERLINK("https://stat100.ameba.jp/tnk47/ratio20/illustrations/card/ill_81871_jumburaidohanimotoko01.jpg?201911-1-RELEASE-raid-437", "■")</f>
        <v>■</v>
      </c>
      <c r="F631" s="1" t="s">
        <v>7773</v>
      </c>
      <c r="G631" s="1">
        <v>54912</v>
      </c>
      <c r="H631" s="1">
        <v>39768</v>
      </c>
      <c r="I631" s="1">
        <v>24</v>
      </c>
      <c r="J631" s="1" t="s">
        <v>7764</v>
      </c>
      <c r="K631" s="1" t="s">
        <v>7772</v>
      </c>
      <c r="L631" s="1" t="s">
        <v>7778</v>
      </c>
      <c r="M631" s="1" t="s">
        <v>9158</v>
      </c>
      <c r="N631" s="1" t="s">
        <v>9158</v>
      </c>
      <c r="O631" s="1" t="s">
        <v>9158</v>
      </c>
      <c r="P631" s="1" t="s">
        <v>9158</v>
      </c>
      <c r="Q631" s="1" t="s">
        <v>9158</v>
      </c>
      <c r="R631" s="1" t="s">
        <v>7776</v>
      </c>
    </row>
    <row r="632" spans="1:18">
      <c r="A632" s="1">
        <v>81285</v>
      </c>
      <c r="B632" s="1" t="s">
        <v>7757</v>
      </c>
      <c r="C632" s="1" t="s">
        <v>7759</v>
      </c>
      <c r="D632" s="19" t="s">
        <v>10740</v>
      </c>
      <c r="E632" s="15" t="str">
        <f>HYPERLINK("https://stat100.ameba.jp/tnk47/ratio20/illustrations/card/ill_81285_iwaposoinkara05.jpg?201911-1-RELEASE-raid-437", "■")</f>
        <v>■</v>
      </c>
      <c r="F632" s="1" t="s">
        <v>7768</v>
      </c>
      <c r="G632" s="1">
        <v>81692</v>
      </c>
      <c r="H632" s="1">
        <v>112832</v>
      </c>
      <c r="I632" s="1">
        <v>24</v>
      </c>
      <c r="J632" s="1" t="s">
        <v>7765</v>
      </c>
      <c r="K632" s="1" t="s">
        <v>7767</v>
      </c>
      <c r="L632" s="1" t="s">
        <v>7766</v>
      </c>
      <c r="M632" s="1" t="s">
        <v>9158</v>
      </c>
      <c r="N632" s="1" t="s">
        <v>9158</v>
      </c>
      <c r="O632" s="1" t="s">
        <v>9158</v>
      </c>
      <c r="P632" s="1" t="s">
        <v>9158</v>
      </c>
      <c r="Q632" s="1" t="s">
        <v>9158</v>
      </c>
      <c r="R632" s="1" t="s">
        <v>7774</v>
      </c>
    </row>
    <row r="633" spans="1:18">
      <c r="A633" s="1">
        <v>81283</v>
      </c>
      <c r="B633" s="1" t="s">
        <v>7758</v>
      </c>
      <c r="C633" s="1" t="s">
        <v>7762</v>
      </c>
      <c r="D633" s="19" t="s">
        <v>10740</v>
      </c>
      <c r="E633" s="15" t="str">
        <f>HYPERLINK("https://stat100.ameba.jp/tnk47/ratio20/illustrations/card/ill_81283_iwaposoinkara03.jpg?201911-1-RELEASE-raid-437", "■")</f>
        <v>■</v>
      </c>
      <c r="F633" s="1" t="s">
        <v>7768</v>
      </c>
      <c r="G633" s="1">
        <v>60186</v>
      </c>
      <c r="H633" s="1">
        <v>83124</v>
      </c>
      <c r="I633" s="1">
        <v>24</v>
      </c>
      <c r="J633" s="1" t="s">
        <v>7765</v>
      </c>
      <c r="K633" s="1" t="s">
        <v>7767</v>
      </c>
      <c r="L633" s="1" t="s">
        <v>7769</v>
      </c>
      <c r="M633" s="1" t="s">
        <v>9158</v>
      </c>
      <c r="N633" s="1" t="s">
        <v>9158</v>
      </c>
      <c r="O633" s="1" t="s">
        <v>9158</v>
      </c>
      <c r="P633" s="1" t="s">
        <v>9158</v>
      </c>
      <c r="Q633" s="1" t="s">
        <v>9158</v>
      </c>
      <c r="R633" s="1" t="s">
        <v>7775</v>
      </c>
    </row>
    <row r="634" spans="1:18">
      <c r="A634" s="1">
        <v>81281</v>
      </c>
      <c r="B634" s="1" t="s">
        <v>7758</v>
      </c>
      <c r="C634" s="1" t="s">
        <v>7762</v>
      </c>
      <c r="D634" s="19" t="s">
        <v>10740</v>
      </c>
      <c r="E634" s="15" t="str">
        <f>HYPERLINK("https://stat100.ameba.jp/tnk47/ratio20/illustrations/card/ill_81281_iwaposoinkara01.jpg?201911-1-RELEASE-raid-437", "■")</f>
        <v>■</v>
      </c>
      <c r="F634" s="1" t="s">
        <v>7768</v>
      </c>
      <c r="G634" s="1">
        <v>38280</v>
      </c>
      <c r="H634" s="1">
        <v>52872</v>
      </c>
      <c r="I634" s="1">
        <v>24</v>
      </c>
      <c r="J634" s="1" t="s">
        <v>7765</v>
      </c>
      <c r="K634" s="1" t="s">
        <v>7767</v>
      </c>
      <c r="L634" s="1" t="s">
        <v>7770</v>
      </c>
      <c r="M634" s="1" t="s">
        <v>9158</v>
      </c>
      <c r="N634" s="1" t="s">
        <v>9158</v>
      </c>
      <c r="O634" s="1" t="s">
        <v>9158</v>
      </c>
      <c r="P634" s="1" t="s">
        <v>9158</v>
      </c>
      <c r="Q634" s="1" t="s">
        <v>9158</v>
      </c>
      <c r="R634" s="1" t="s">
        <v>7776</v>
      </c>
    </row>
  </sheetData>
  <phoneticPr fontId="1"/>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3B17E-694D-4A85-AFD9-D534C247491E}">
  <dimension ref="A1:S655"/>
  <sheetViews>
    <sheetView zoomScale="55" zoomScaleNormal="55" workbookViewId="0">
      <pane ySplit="1" topLeftCell="A478" activePane="bottomLeft" state="frozen"/>
      <selection activeCell="A274" sqref="A274:Q274"/>
      <selection pane="bottomLeft" activeCell="D491" sqref="D491"/>
    </sheetView>
  </sheetViews>
  <sheetFormatPr defaultColWidth="8.9140625" defaultRowHeight="18"/>
  <cols>
    <col min="1" max="1" width="6.4140625" style="7" customWidth="1"/>
    <col min="2" max="2" width="3.9140625" style="7" customWidth="1"/>
    <col min="3" max="3" width="8.75" style="7" customWidth="1"/>
    <col min="4" max="4" width="25.75" style="7" customWidth="1"/>
    <col min="5" max="5" width="3.9140625" style="14" customWidth="1"/>
    <col min="6" max="6" width="8.9140625" style="7"/>
    <col min="7" max="8" width="7.08203125" style="7" customWidth="1"/>
    <col min="9" max="9" width="3.75" style="7" customWidth="1"/>
    <col min="10" max="10" width="5.4140625" style="7" customWidth="1"/>
    <col min="11" max="11" width="8.9140625" style="7"/>
    <col min="12" max="12" width="50.75" style="7" customWidth="1"/>
    <col min="13" max="16" width="8.9140625" style="7"/>
    <col min="17" max="17" width="3.9140625" style="7" customWidth="1"/>
    <col min="18" max="19" width="14.33203125" style="7" customWidth="1"/>
    <col min="20" max="16384" width="8.9140625" style="7"/>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7786</v>
      </c>
    </row>
    <row r="4" spans="1:19">
      <c r="A4" s="1" t="s">
        <v>7784</v>
      </c>
    </row>
    <row r="5" spans="1:19">
      <c r="A5" s="1" t="s">
        <v>7785</v>
      </c>
    </row>
    <row r="6" spans="1:19">
      <c r="A6" s="1" t="s">
        <v>7789</v>
      </c>
      <c r="B6" s="1" t="s">
        <v>52</v>
      </c>
      <c r="C6" s="1" t="s">
        <v>202</v>
      </c>
      <c r="D6" s="19" t="s">
        <v>10741</v>
      </c>
      <c r="E6" s="15" t="str">
        <f>HYPERLINK("https://stat100.ameba.jp/tnk47/ratio20/illustrations/card/ill_84923_0_onsengainansosatomihakkenden03.jpg?201911-1-RELEASE-raid-437x", "■")</f>
        <v>■</v>
      </c>
      <c r="F6" s="1" t="s">
        <v>7792</v>
      </c>
      <c r="G6" s="1">
        <v>335021</v>
      </c>
      <c r="H6" s="1">
        <v>370675</v>
      </c>
      <c r="I6" s="1">
        <v>29</v>
      </c>
      <c r="J6" s="1" t="s">
        <v>155</v>
      </c>
      <c r="K6" s="1" t="s">
        <v>7791</v>
      </c>
      <c r="L6" s="1" t="s">
        <v>7790</v>
      </c>
      <c r="M6" s="1" t="s">
        <v>9158</v>
      </c>
      <c r="N6" s="1" t="s">
        <v>9158</v>
      </c>
      <c r="O6" s="19" t="s">
        <v>10131</v>
      </c>
      <c r="P6" s="1" t="s">
        <v>7793</v>
      </c>
      <c r="Q6" s="1">
        <v>0</v>
      </c>
      <c r="R6" s="1"/>
    </row>
    <row r="7" spans="1:19">
      <c r="A7" s="1">
        <v>84863</v>
      </c>
      <c r="B7" s="1" t="s">
        <v>0</v>
      </c>
      <c r="C7" s="1" t="s">
        <v>200</v>
      </c>
      <c r="D7" s="19" t="s">
        <v>10742</v>
      </c>
      <c r="E7" s="15" t="str">
        <f>HYPERLINK("https://stat100.ameba.jp/tnk47/ratio20/illustrations/card/ill_84863_onsengaiarisubekon03.jpg?201911-1-RELEASE-raid-437x", "■")</f>
        <v>■</v>
      </c>
      <c r="F7" s="1" t="s">
        <v>7796</v>
      </c>
      <c r="G7" s="1">
        <v>101373</v>
      </c>
      <c r="H7" s="1">
        <v>94295</v>
      </c>
      <c r="I7" s="1">
        <v>25</v>
      </c>
      <c r="J7" s="1" t="s">
        <v>159</v>
      </c>
      <c r="K7" s="1" t="s">
        <v>7795</v>
      </c>
      <c r="L7" s="1" t="s">
        <v>7794</v>
      </c>
      <c r="M7" s="1" t="s">
        <v>9158</v>
      </c>
      <c r="N7" s="1" t="s">
        <v>9158</v>
      </c>
      <c r="O7" s="19" t="s">
        <v>2951</v>
      </c>
      <c r="P7" s="1" t="s">
        <v>13122</v>
      </c>
      <c r="Q7" s="1">
        <v>1</v>
      </c>
      <c r="R7" s="1"/>
    </row>
    <row r="8" spans="1:19">
      <c r="A8" s="1">
        <v>84873</v>
      </c>
      <c r="B8" s="1" t="s">
        <v>0</v>
      </c>
      <c r="C8" s="1" t="s">
        <v>191</v>
      </c>
      <c r="D8" s="19" t="s">
        <v>18419</v>
      </c>
      <c r="E8" s="15" t="str">
        <f>HYPERLINK("https://stat100.ameba.jp/tnk47/ratio20/illustrations/card/ill_84873_onsengaihamahime03.jpg?201911-1-RELEASE-raid-437x", "■")</f>
        <v>■</v>
      </c>
      <c r="F8" s="1" t="s">
        <v>7799</v>
      </c>
      <c r="G8" s="1">
        <v>118063</v>
      </c>
      <c r="H8" s="1">
        <v>109786</v>
      </c>
      <c r="I8" s="1">
        <v>25</v>
      </c>
      <c r="J8" s="1" t="s">
        <v>182</v>
      </c>
      <c r="K8" s="1" t="s">
        <v>7798</v>
      </c>
      <c r="L8" s="1" t="s">
        <v>7797</v>
      </c>
      <c r="M8" s="1" t="s">
        <v>2138</v>
      </c>
      <c r="N8" s="1" t="s">
        <v>2139</v>
      </c>
      <c r="O8" s="1" t="s">
        <v>9158</v>
      </c>
      <c r="P8" s="1" t="s">
        <v>9158</v>
      </c>
      <c r="Q8" s="1" t="s">
        <v>9158</v>
      </c>
      <c r="R8" s="1" t="s">
        <v>13120</v>
      </c>
    </row>
    <row r="9" spans="1:19">
      <c r="A9" s="1">
        <v>84883</v>
      </c>
      <c r="B9" s="1" t="s">
        <v>0</v>
      </c>
      <c r="C9" s="1" t="s">
        <v>205</v>
      </c>
      <c r="D9" s="19" t="s">
        <v>10743</v>
      </c>
      <c r="E9" s="15" t="str">
        <f>HYPERLINK("https://stat100.ameba.jp/tnk47/ratio20/illustrations/card/ill_84883_onsengaienyuin03.jpg?201911-1-RELEASE-raid-437x", "■")</f>
        <v>■</v>
      </c>
      <c r="F9" s="1" t="s">
        <v>7801</v>
      </c>
      <c r="G9" s="1">
        <v>97651</v>
      </c>
      <c r="H9" s="1">
        <v>90759</v>
      </c>
      <c r="I9" s="1">
        <v>25</v>
      </c>
      <c r="J9" s="1" t="s">
        <v>187</v>
      </c>
      <c r="K9" s="1" t="s">
        <v>7800</v>
      </c>
      <c r="L9" s="1" t="s">
        <v>4678</v>
      </c>
      <c r="M9" s="1" t="s">
        <v>2138</v>
      </c>
      <c r="N9" s="1" t="s">
        <v>2139</v>
      </c>
      <c r="O9" s="1" t="s">
        <v>9158</v>
      </c>
      <c r="P9" s="1" t="s">
        <v>9158</v>
      </c>
      <c r="Q9" s="1" t="s">
        <v>9158</v>
      </c>
      <c r="R9" s="1" t="s">
        <v>13120</v>
      </c>
    </row>
    <row r="10" spans="1:19">
      <c r="A10" s="1">
        <v>84893</v>
      </c>
      <c r="B10" s="1" t="s">
        <v>15</v>
      </c>
      <c r="C10" s="1" t="s">
        <v>185</v>
      </c>
      <c r="D10" s="19" t="s">
        <v>10744</v>
      </c>
      <c r="E10" s="15" t="str">
        <f>HYPERLINK("https://stat100.ameba.jp/tnk47/ratio20/illustrations/card/ill_84893_korakukinkamui03.jpg?201911-1-RELEASE-raid-437x", "■")</f>
        <v>■</v>
      </c>
      <c r="F10" s="1" t="s">
        <v>7803</v>
      </c>
      <c r="G10" s="1">
        <v>67210</v>
      </c>
      <c r="H10" s="1">
        <v>74100</v>
      </c>
      <c r="I10" s="1">
        <v>25</v>
      </c>
      <c r="J10" s="1" t="s">
        <v>169</v>
      </c>
      <c r="K10" s="1" t="s">
        <v>7802</v>
      </c>
      <c r="L10" s="1" t="s">
        <v>7166</v>
      </c>
      <c r="M10" s="1" t="s">
        <v>9158</v>
      </c>
      <c r="N10" s="1" t="s">
        <v>9158</v>
      </c>
      <c r="O10" s="1" t="s">
        <v>9158</v>
      </c>
      <c r="P10" s="1" t="s">
        <v>9158</v>
      </c>
      <c r="Q10" s="1" t="s">
        <v>9158</v>
      </c>
      <c r="R10" s="1"/>
    </row>
    <row r="11" spans="1:19">
      <c r="A11" s="1">
        <v>84903</v>
      </c>
      <c r="B11" s="1" t="s">
        <v>15</v>
      </c>
      <c r="C11" s="1" t="s">
        <v>206</v>
      </c>
      <c r="D11" s="19" t="s">
        <v>10745</v>
      </c>
      <c r="E11" s="15" t="str">
        <f>HYPERLINK("https://stat100.ameba.jp/tnk47/ratio20/illustrations/card/ill_84903_gokurakuonkei03.jpg?201911-1-RELEASE-raid-437x", "■")</f>
        <v>■</v>
      </c>
      <c r="F11" s="1" t="s">
        <v>7805</v>
      </c>
      <c r="G11" s="1">
        <v>74100</v>
      </c>
      <c r="H11" s="1">
        <v>67210</v>
      </c>
      <c r="I11" s="1">
        <v>25</v>
      </c>
      <c r="J11" s="1" t="s">
        <v>216</v>
      </c>
      <c r="K11" s="1" t="s">
        <v>7804</v>
      </c>
      <c r="L11" s="1" t="s">
        <v>3502</v>
      </c>
      <c r="M11" s="1" t="s">
        <v>9158</v>
      </c>
      <c r="N11" s="1" t="s">
        <v>9158</v>
      </c>
      <c r="O11" s="1" t="s">
        <v>9158</v>
      </c>
      <c r="P11" s="1" t="s">
        <v>9158</v>
      </c>
      <c r="Q11" s="1" t="s">
        <v>9158</v>
      </c>
      <c r="R11" s="1"/>
    </row>
    <row r="12" spans="1:19">
      <c r="A12" s="1">
        <v>84913</v>
      </c>
      <c r="B12" s="1" t="s">
        <v>15</v>
      </c>
      <c r="C12" s="1" t="s">
        <v>165</v>
      </c>
      <c r="D12" s="19" t="s">
        <v>10746</v>
      </c>
      <c r="E12" s="15" t="str">
        <f>HYPERLINK("https://stat100.ameba.jp/tnk47/ratio20/illustrations/card/ill_84913_korakutomokazuki03.jpg?201911-1-RELEASE-raid-437x", "■")</f>
        <v>■</v>
      </c>
      <c r="F12" s="1" t="s">
        <v>7807</v>
      </c>
      <c r="G12" s="1">
        <v>67210</v>
      </c>
      <c r="H12" s="1">
        <v>74100</v>
      </c>
      <c r="I12" s="1">
        <v>25</v>
      </c>
      <c r="J12" s="1" t="s">
        <v>182</v>
      </c>
      <c r="K12" s="1" t="s">
        <v>7806</v>
      </c>
      <c r="L12" s="1" t="s">
        <v>2113</v>
      </c>
      <c r="M12" s="1" t="s">
        <v>9158</v>
      </c>
      <c r="N12" s="1" t="s">
        <v>9158</v>
      </c>
      <c r="O12" s="1" t="s">
        <v>9158</v>
      </c>
      <c r="P12" s="1" t="s">
        <v>9158</v>
      </c>
      <c r="Q12" s="1" t="s">
        <v>9158</v>
      </c>
      <c r="R12" s="1"/>
    </row>
    <row r="13" spans="1:19">
      <c r="A13" s="1">
        <v>84933</v>
      </c>
      <c r="B13" s="1" t="s">
        <v>22</v>
      </c>
      <c r="C13" s="1" t="s">
        <v>191</v>
      </c>
      <c r="D13" s="19" t="s">
        <v>10747</v>
      </c>
      <c r="E13" s="15" t="str">
        <f>HYPERLINK("https://stat100.ameba.jp/tnk47/ratio20/illustrations/card/ill_84933_seitaiin03.jpg?201911-1-RELEASE-raid-437x", "■")</f>
        <v>■</v>
      </c>
      <c r="F13" s="1" t="s">
        <v>7810</v>
      </c>
      <c r="G13" s="1">
        <v>51980</v>
      </c>
      <c r="H13" s="1">
        <v>43220</v>
      </c>
      <c r="I13" s="1">
        <v>25</v>
      </c>
      <c r="J13" s="1" t="s">
        <v>187</v>
      </c>
      <c r="K13" s="1" t="s">
        <v>7809</v>
      </c>
      <c r="L13" s="1" t="s">
        <v>7808</v>
      </c>
      <c r="M13" s="1" t="s">
        <v>9158</v>
      </c>
      <c r="N13" s="1" t="s">
        <v>9158</v>
      </c>
      <c r="O13" s="1" t="s">
        <v>9158</v>
      </c>
      <c r="P13" s="1" t="s">
        <v>9158</v>
      </c>
      <c r="Q13" s="1" t="s">
        <v>9158</v>
      </c>
      <c r="R13" s="1"/>
    </row>
    <row r="14" spans="1:19">
      <c r="A14" s="1">
        <v>84943</v>
      </c>
      <c r="B14" s="1" t="s">
        <v>22</v>
      </c>
      <c r="C14" s="1" t="s">
        <v>200</v>
      </c>
      <c r="D14" s="19" t="s">
        <v>10748</v>
      </c>
      <c r="E14" s="15" t="str">
        <f>HYPERLINK("https://stat100.ameba.jp/tnk47/ratio20/illustrations/card/ill_84943_kusatsuonsenyumomichan03.jpg?201911-1-RELEASE-raid-437x", "■")</f>
        <v>■</v>
      </c>
      <c r="F14" s="1" t="s">
        <v>7812</v>
      </c>
      <c r="G14" s="1">
        <v>43220</v>
      </c>
      <c r="H14" s="1">
        <v>51980</v>
      </c>
      <c r="I14" s="1">
        <v>25</v>
      </c>
      <c r="J14" s="1" t="s">
        <v>229</v>
      </c>
      <c r="K14" s="1" t="s">
        <v>7811</v>
      </c>
      <c r="L14" s="1" t="s">
        <v>5415</v>
      </c>
      <c r="M14" s="1" t="s">
        <v>9158</v>
      </c>
      <c r="N14" s="1" t="s">
        <v>9158</v>
      </c>
      <c r="O14" s="1" t="s">
        <v>9158</v>
      </c>
      <c r="P14" s="1" t="s">
        <v>9158</v>
      </c>
      <c r="Q14" s="1" t="s">
        <v>9158</v>
      </c>
      <c r="R14" s="1"/>
    </row>
    <row r="15" spans="1:19">
      <c r="A15" s="1">
        <v>84953</v>
      </c>
      <c r="B15" s="1" t="s">
        <v>30</v>
      </c>
      <c r="C15" s="1" t="s">
        <v>4170</v>
      </c>
      <c r="D15" s="19" t="s">
        <v>10749</v>
      </c>
      <c r="E15" s="15" t="str">
        <f>HYPERLINK("https://stat100.ameba.jp/tnk47/ratio20/illustrations/card/ill_84953_arimaonsenchan03.jpg?201910-1-RELEASE-raid-432x", "■")</f>
        <v>■</v>
      </c>
      <c r="F15" s="1" t="s">
        <v>7787</v>
      </c>
      <c r="G15" s="14" t="s">
        <v>12934</v>
      </c>
      <c r="H15" s="14" t="s">
        <v>12934</v>
      </c>
      <c r="I15" s="1">
        <v>25</v>
      </c>
      <c r="J15" s="1" t="s">
        <v>229</v>
      </c>
      <c r="K15" s="14" t="s">
        <v>12934</v>
      </c>
      <c r="L15" s="14" t="s">
        <v>12934</v>
      </c>
      <c r="M15" s="1" t="s">
        <v>9158</v>
      </c>
      <c r="N15" s="1" t="s">
        <v>9158</v>
      </c>
      <c r="O15" s="1" t="s">
        <v>9158</v>
      </c>
      <c r="P15" s="1" t="s">
        <v>9158</v>
      </c>
      <c r="Q15" s="1" t="s">
        <v>9158</v>
      </c>
      <c r="R15" s="1"/>
    </row>
    <row r="16" spans="1:19">
      <c r="A16" s="1">
        <v>84963</v>
      </c>
      <c r="B16" s="1" t="s">
        <v>30</v>
      </c>
      <c r="C16" s="1" t="s">
        <v>4772</v>
      </c>
      <c r="D16" s="19" t="s">
        <v>10750</v>
      </c>
      <c r="E16" s="15" t="str">
        <f>HYPERLINK("https://stat100.ameba.jp/tnk47/ratio20/illustrations/card/ill_84963_iwakoshinpu03.jpg?201910-1-RELEASE-raid-432x", "■")</f>
        <v>■</v>
      </c>
      <c r="F16" s="1" t="s">
        <v>7788</v>
      </c>
      <c r="G16" s="14" t="s">
        <v>12934</v>
      </c>
      <c r="H16" s="14" t="s">
        <v>12934</v>
      </c>
      <c r="I16" s="1">
        <v>25</v>
      </c>
      <c r="J16" s="1" t="s">
        <v>169</v>
      </c>
      <c r="K16" s="1" t="s">
        <v>7813</v>
      </c>
      <c r="L16" s="14" t="s">
        <v>12934</v>
      </c>
      <c r="M16" s="1" t="s">
        <v>9158</v>
      </c>
      <c r="N16" s="1" t="s">
        <v>9158</v>
      </c>
      <c r="O16" s="1" t="s">
        <v>9158</v>
      </c>
      <c r="P16" s="1" t="s">
        <v>9158</v>
      </c>
      <c r="Q16" s="1" t="s">
        <v>9158</v>
      </c>
      <c r="R16" s="1"/>
    </row>
    <row r="17" spans="1:18">
      <c r="E17" s="7"/>
    </row>
    <row r="18" spans="1:18">
      <c r="A18" s="7" t="s">
        <v>13368</v>
      </c>
      <c r="E18" s="7"/>
    </row>
    <row r="19" spans="1:18">
      <c r="A19" s="7" t="s">
        <v>7814</v>
      </c>
      <c r="E19" s="7"/>
    </row>
    <row r="20" spans="1:18">
      <c r="A20" s="7">
        <v>85015</v>
      </c>
      <c r="B20" s="7" t="s">
        <v>7820</v>
      </c>
      <c r="C20" s="7" t="s">
        <v>7818</v>
      </c>
      <c r="D20" s="19" t="s">
        <v>10751</v>
      </c>
      <c r="E20" s="15" t="str">
        <f>HYPERLINK("https://stat100.ameba.jp/tnk47/ratio20/illustrations/card/ill_85015_yukimomijifujiwaranokiyohira05.jpg?201911-1-RELEASE-raid-437x", "■")</f>
        <v>■</v>
      </c>
      <c r="F20" s="7" t="s">
        <v>7823</v>
      </c>
      <c r="G20" s="7">
        <v>180306</v>
      </c>
      <c r="H20" s="7">
        <v>130562</v>
      </c>
      <c r="I20" s="7">
        <v>24</v>
      </c>
      <c r="J20" s="7" t="s">
        <v>7822</v>
      </c>
      <c r="K20" s="7" t="s">
        <v>7824</v>
      </c>
      <c r="L20" s="7" t="s">
        <v>7821</v>
      </c>
      <c r="M20" s="1" t="s">
        <v>9158</v>
      </c>
      <c r="N20" s="1" t="s">
        <v>9158</v>
      </c>
      <c r="O20" s="1" t="s">
        <v>9158</v>
      </c>
      <c r="P20" s="1" t="s">
        <v>9158</v>
      </c>
      <c r="Q20" s="1" t="s">
        <v>9158</v>
      </c>
      <c r="R20" s="7" t="s">
        <v>7815</v>
      </c>
    </row>
    <row r="21" spans="1:18">
      <c r="A21" s="7">
        <v>85013</v>
      </c>
      <c r="B21" s="7" t="s">
        <v>7820</v>
      </c>
      <c r="C21" s="7" t="s">
        <v>7819</v>
      </c>
      <c r="D21" s="19" t="s">
        <v>10751</v>
      </c>
      <c r="E21" s="15" t="str">
        <f>HYPERLINK("https://stat100.ameba.jp/tnk47/ratio20/illustrations/card/ill_85013_yukimomijifujiwaranokiyohira03.jpg?201911-1-RELEASE-raid-437x", "■")</f>
        <v>■</v>
      </c>
      <c r="F21" s="7" t="s">
        <v>7823</v>
      </c>
      <c r="G21" s="7">
        <v>132850</v>
      </c>
      <c r="H21" s="7">
        <v>96200</v>
      </c>
      <c r="I21" s="7">
        <v>24</v>
      </c>
      <c r="J21" s="7" t="s">
        <v>7822</v>
      </c>
      <c r="K21" s="7" t="s">
        <v>7824</v>
      </c>
      <c r="L21" s="7" t="s">
        <v>7825</v>
      </c>
      <c r="M21" s="1" t="s">
        <v>9158</v>
      </c>
      <c r="N21" s="1" t="s">
        <v>9158</v>
      </c>
      <c r="O21" s="1" t="s">
        <v>9158</v>
      </c>
      <c r="P21" s="1" t="s">
        <v>9158</v>
      </c>
      <c r="Q21" s="1" t="s">
        <v>9158</v>
      </c>
      <c r="R21" s="7" t="s">
        <v>7816</v>
      </c>
    </row>
    <row r="22" spans="1:18">
      <c r="A22" s="7">
        <v>85011</v>
      </c>
      <c r="B22" s="7" t="s">
        <v>7820</v>
      </c>
      <c r="C22" s="7" t="s">
        <v>7819</v>
      </c>
      <c r="D22" s="19" t="s">
        <v>10751</v>
      </c>
      <c r="E22" s="15" t="str">
        <f>HYPERLINK("https://stat100.ameba.jp/tnk47/ratio20/illustrations/card/ill_85011_yukimomijifujiwaranokiyohira01.jpg?201911-1-RELEASE-raid-437x", "■")</f>
        <v>■</v>
      </c>
      <c r="F22" s="7" t="s">
        <v>7823</v>
      </c>
      <c r="G22" s="7">
        <v>84504</v>
      </c>
      <c r="H22" s="7">
        <v>61200</v>
      </c>
      <c r="I22" s="7">
        <v>24</v>
      </c>
      <c r="J22" s="7" t="s">
        <v>7822</v>
      </c>
      <c r="K22" s="7" t="s">
        <v>7824</v>
      </c>
      <c r="L22" s="7" t="s">
        <v>7826</v>
      </c>
      <c r="M22" s="1" t="s">
        <v>9158</v>
      </c>
      <c r="N22" s="1" t="s">
        <v>9158</v>
      </c>
      <c r="O22" s="1" t="s">
        <v>9158</v>
      </c>
      <c r="P22" s="1" t="s">
        <v>9158</v>
      </c>
      <c r="Q22" s="1" t="s">
        <v>9158</v>
      </c>
      <c r="R22" s="7" t="s">
        <v>7817</v>
      </c>
    </row>
    <row r="23" spans="1:18">
      <c r="E23" s="7"/>
    </row>
    <row r="24" spans="1:18">
      <c r="A24" s="7" t="s">
        <v>7827</v>
      </c>
      <c r="E24" s="7"/>
    </row>
    <row r="25" spans="1:18">
      <c r="A25" s="7" t="s">
        <v>7828</v>
      </c>
      <c r="E25" s="7"/>
    </row>
    <row r="26" spans="1:18">
      <c r="A26" s="1" t="s">
        <v>5620</v>
      </c>
      <c r="B26" s="1" t="s">
        <v>330</v>
      </c>
      <c r="C26" s="1" t="s">
        <v>206</v>
      </c>
      <c r="D26" s="19" t="s">
        <v>669</v>
      </c>
      <c r="E26" s="15" t="str">
        <f>HYPERLINK("https://stat100.ameba.jp/tnk47/ratio20/illustrations/card/ill_67173_0_yukemuriawamorichan03.jpg?201911-1-RELEASE-raid-437x", "■")</f>
        <v>■</v>
      </c>
      <c r="F26" s="1" t="s">
        <v>670</v>
      </c>
      <c r="G26" s="1">
        <v>115249</v>
      </c>
      <c r="H26" s="1">
        <v>107146</v>
      </c>
      <c r="I26" s="1">
        <v>15</v>
      </c>
      <c r="J26" s="1" t="s">
        <v>283</v>
      </c>
      <c r="K26" s="1" t="s">
        <v>671</v>
      </c>
      <c r="L26" s="1" t="s">
        <v>672</v>
      </c>
      <c r="M26" s="1" t="s">
        <v>9158</v>
      </c>
      <c r="N26" s="1" t="s">
        <v>9158</v>
      </c>
      <c r="O26" s="19" t="s">
        <v>10087</v>
      </c>
      <c r="P26" s="1" t="s">
        <v>3455</v>
      </c>
      <c r="Q26" s="1">
        <v>1</v>
      </c>
    </row>
    <row r="27" spans="1:18">
      <c r="A27" s="1" t="s">
        <v>5734</v>
      </c>
      <c r="B27" s="1" t="s">
        <v>330</v>
      </c>
      <c r="C27" s="1" t="s">
        <v>202</v>
      </c>
      <c r="D27" s="19" t="s">
        <v>1497</v>
      </c>
      <c r="E27" s="15" t="str">
        <f>HYPERLINK("https://stat100.ameba.jp/tnk47/ratio20/illustrations/card/ill_74593_0_natsuyuenchikoshihikari03.jpg?201911-1-RELEASE-raid-437x", "■")</f>
        <v>■</v>
      </c>
      <c r="F27" s="1" t="s">
        <v>1498</v>
      </c>
      <c r="G27" s="1">
        <v>162496</v>
      </c>
      <c r="H27" s="1">
        <v>151067</v>
      </c>
      <c r="I27" s="1">
        <v>15</v>
      </c>
      <c r="J27" s="1" t="s">
        <v>283</v>
      </c>
      <c r="K27" s="1" t="s">
        <v>1499</v>
      </c>
      <c r="L27" s="1" t="s">
        <v>1500</v>
      </c>
      <c r="M27" s="1" t="s">
        <v>9158</v>
      </c>
      <c r="N27" s="1" t="s">
        <v>9158</v>
      </c>
      <c r="O27" s="19" t="s">
        <v>2731</v>
      </c>
      <c r="P27" s="1" t="s">
        <v>2732</v>
      </c>
      <c r="Q27" s="1">
        <v>1</v>
      </c>
    </row>
    <row r="28" spans="1:18">
      <c r="A28" s="1" t="s">
        <v>5608</v>
      </c>
      <c r="B28" s="1" t="s">
        <v>52</v>
      </c>
      <c r="C28" s="1" t="s">
        <v>96</v>
      </c>
      <c r="D28" s="19" t="s">
        <v>634</v>
      </c>
      <c r="E28" s="15" t="str">
        <f>HYPERLINK("https://stat100.ameba.jp/tnk47/ratio20/illustrations/card/ill_40963_0_makami03.jpg?201911-1-RELEASE-raid-437x", "■")</f>
        <v>■</v>
      </c>
      <c r="F28" s="1" t="s">
        <v>2038</v>
      </c>
      <c r="G28" s="1">
        <v>87780</v>
      </c>
      <c r="H28" s="1">
        <v>82212</v>
      </c>
      <c r="I28" s="1">
        <v>15</v>
      </c>
      <c r="J28" s="1" t="s">
        <v>44</v>
      </c>
      <c r="K28" s="1" t="s">
        <v>2039</v>
      </c>
      <c r="L28" s="1" t="s">
        <v>2040</v>
      </c>
      <c r="M28" s="1" t="s">
        <v>9158</v>
      </c>
      <c r="N28" s="1" t="s">
        <v>9158</v>
      </c>
      <c r="O28" s="1" t="s">
        <v>9158</v>
      </c>
      <c r="P28" s="1" t="s">
        <v>9158</v>
      </c>
      <c r="Q28" s="1" t="s">
        <v>9158</v>
      </c>
    </row>
    <row r="29" spans="1:18">
      <c r="A29" s="7">
        <v>81013</v>
      </c>
      <c r="B29" s="1" t="s">
        <v>334</v>
      </c>
      <c r="C29" s="1" t="s">
        <v>267</v>
      </c>
      <c r="D29" s="19" t="s">
        <v>10630</v>
      </c>
      <c r="E29" s="15" t="str">
        <f>HYPERLINK("https://stat100.ameba.jp/tnk47/ratio20/illustrations/card/ill_81013_furudenshagoshikihime03.jpg?201911-1-RELEASE-raid-437x", "■")</f>
        <v>■</v>
      </c>
      <c r="F29" s="1" t="s">
        <v>4413</v>
      </c>
      <c r="G29" s="1">
        <v>135132</v>
      </c>
      <c r="H29" s="1">
        <v>76052</v>
      </c>
      <c r="I29" s="1">
        <v>24</v>
      </c>
      <c r="J29" s="1" t="s">
        <v>38</v>
      </c>
      <c r="K29" s="1" t="s">
        <v>4414</v>
      </c>
      <c r="L29" s="1" t="s">
        <v>2557</v>
      </c>
      <c r="M29" s="1" t="s">
        <v>9158</v>
      </c>
      <c r="N29" s="1" t="s">
        <v>9158</v>
      </c>
      <c r="O29" s="1" t="s">
        <v>9158</v>
      </c>
      <c r="P29" s="1" t="s">
        <v>9158</v>
      </c>
      <c r="Q29" s="1" t="s">
        <v>9158</v>
      </c>
    </row>
    <row r="30" spans="1:18">
      <c r="A30" s="7">
        <v>73503</v>
      </c>
      <c r="B30" s="7" t="s">
        <v>7829</v>
      </c>
      <c r="C30" s="7" t="s">
        <v>7830</v>
      </c>
      <c r="D30" s="19" t="s">
        <v>2875</v>
      </c>
      <c r="E30" s="15" t="str">
        <f>HYPERLINK("https://stat100.ameba.jp/tnk47/ratio20/illustrations/card/ill_73503_nagashirahanokami03.jpg?201911-1-RELEASE-raid-437x", "■")</f>
        <v>■</v>
      </c>
      <c r="F30" s="7" t="s">
        <v>7833</v>
      </c>
      <c r="G30" s="7">
        <v>120892</v>
      </c>
      <c r="H30" s="7">
        <v>68010</v>
      </c>
      <c r="I30" s="7">
        <v>24</v>
      </c>
      <c r="J30" s="1" t="s">
        <v>44</v>
      </c>
      <c r="K30" s="7" t="s">
        <v>7832</v>
      </c>
      <c r="L30" s="7" t="s">
        <v>7831</v>
      </c>
      <c r="M30" s="1" t="s">
        <v>9158</v>
      </c>
      <c r="N30" s="1" t="s">
        <v>9158</v>
      </c>
      <c r="O30" s="1" t="s">
        <v>9158</v>
      </c>
      <c r="P30" s="1" t="s">
        <v>9158</v>
      </c>
      <c r="Q30" s="1" t="s">
        <v>9158</v>
      </c>
    </row>
    <row r="31" spans="1:18">
      <c r="A31" s="7">
        <v>78943</v>
      </c>
      <c r="B31" s="1" t="s">
        <v>334</v>
      </c>
      <c r="C31" s="1" t="s">
        <v>185</v>
      </c>
      <c r="D31" s="19" t="s">
        <v>2953</v>
      </c>
      <c r="E31" s="15" t="str">
        <f>HYPERLINK("https://stat100.ameba.jp/tnk47/ratio20/illustrations/card/ill_78943_idoshiiwaisepo03.jpg?201911-1-RELEASE-raid-437x", "■")</f>
        <v>■</v>
      </c>
      <c r="F31" s="1" t="s">
        <v>2954</v>
      </c>
      <c r="G31" s="1">
        <v>99996</v>
      </c>
      <c r="H31" s="1">
        <v>92996</v>
      </c>
      <c r="I31" s="1">
        <v>24</v>
      </c>
      <c r="J31" s="1" t="s">
        <v>320</v>
      </c>
      <c r="K31" s="1" t="s">
        <v>2955</v>
      </c>
      <c r="L31" s="1" t="s">
        <v>2956</v>
      </c>
      <c r="M31" s="1" t="s">
        <v>9158</v>
      </c>
      <c r="N31" s="1" t="s">
        <v>9158</v>
      </c>
      <c r="O31" s="1" t="s">
        <v>9158</v>
      </c>
      <c r="P31" s="1" t="s">
        <v>9158</v>
      </c>
      <c r="Q31" s="1" t="s">
        <v>9158</v>
      </c>
    </row>
    <row r="32" spans="1:18">
      <c r="A32" s="1">
        <v>79103</v>
      </c>
      <c r="B32" s="1" t="s">
        <v>15</v>
      </c>
      <c r="C32" s="1" t="s">
        <v>200</v>
      </c>
      <c r="D32" s="19" t="s">
        <v>10542</v>
      </c>
      <c r="E32" s="15" t="str">
        <f>HYPERLINK("https://stat100.ameba.jp/tnk47/ratio20/illustrations/card/ill_79103_burabankitaharareiko03.jpg?201911-1-RELEASE-raid-437x", "■")</f>
        <v>■</v>
      </c>
      <c r="F32" s="1" t="s">
        <v>3398</v>
      </c>
      <c r="G32" s="1">
        <v>59280</v>
      </c>
      <c r="H32" s="1">
        <v>53768</v>
      </c>
      <c r="I32" s="1">
        <v>20</v>
      </c>
      <c r="J32" s="1" t="s">
        <v>10</v>
      </c>
      <c r="K32" s="1" t="s">
        <v>3399</v>
      </c>
      <c r="L32" s="1" t="s">
        <v>3275</v>
      </c>
      <c r="M32" s="1" t="s">
        <v>9158</v>
      </c>
      <c r="N32" s="1" t="s">
        <v>9158</v>
      </c>
      <c r="O32" s="1" t="s">
        <v>9158</v>
      </c>
      <c r="P32" s="1" t="s">
        <v>9158</v>
      </c>
      <c r="Q32" s="1" t="s">
        <v>9158</v>
      </c>
    </row>
    <row r="33" spans="1:18">
      <c r="A33" s="1">
        <v>68863</v>
      </c>
      <c r="B33" s="1" t="s">
        <v>348</v>
      </c>
      <c r="C33" s="1" t="s">
        <v>165</v>
      </c>
      <c r="D33" s="19" t="s">
        <v>4058</v>
      </c>
      <c r="E33" s="15" t="str">
        <f>HYPERLINK("https://stat100.ameba.jp/tnk47/ratio20/illustrations/card/ill_68863_karutawakaruhimenomikoto03.jpg?201911-1-RELEASE-raid-437x", "■")</f>
        <v>■</v>
      </c>
      <c r="F33" s="1" t="s">
        <v>3269</v>
      </c>
      <c r="G33" s="1">
        <v>59280</v>
      </c>
      <c r="H33" s="1">
        <v>53768</v>
      </c>
      <c r="I33" s="1">
        <v>20</v>
      </c>
      <c r="J33" s="1" t="s">
        <v>44</v>
      </c>
      <c r="K33" s="1" t="s">
        <v>3270</v>
      </c>
      <c r="L33" s="1" t="s">
        <v>3271</v>
      </c>
      <c r="M33" s="1" t="s">
        <v>9158</v>
      </c>
      <c r="N33" s="1" t="s">
        <v>9158</v>
      </c>
      <c r="O33" s="1" t="s">
        <v>9158</v>
      </c>
      <c r="P33" s="1" t="s">
        <v>9158</v>
      </c>
      <c r="Q33" s="1" t="s">
        <v>9158</v>
      </c>
    </row>
    <row r="34" spans="1:18">
      <c r="A34" s="1">
        <v>78773</v>
      </c>
      <c r="B34" s="1" t="s">
        <v>15</v>
      </c>
      <c r="C34" s="1" t="s">
        <v>191</v>
      </c>
      <c r="D34" s="19" t="s">
        <v>2856</v>
      </c>
      <c r="E34" s="15" t="str">
        <f>HYPERLINK("https://stat100.ameba.jp/tnk47/ratio20/illustrations/card/ill_78773_hosokawagarasya03.jpg?201911-1-RELEASE-raid-437x", "■")</f>
        <v>■</v>
      </c>
      <c r="F34" s="1" t="s">
        <v>7103</v>
      </c>
      <c r="G34" s="1">
        <v>59280</v>
      </c>
      <c r="H34" s="1">
        <v>53768</v>
      </c>
      <c r="I34" s="1">
        <v>20</v>
      </c>
      <c r="J34" s="1" t="s">
        <v>77</v>
      </c>
      <c r="K34" s="1" t="s">
        <v>7101</v>
      </c>
      <c r="L34" s="1" t="s">
        <v>932</v>
      </c>
      <c r="M34" s="1" t="s">
        <v>9158</v>
      </c>
      <c r="N34" s="1" t="s">
        <v>9158</v>
      </c>
      <c r="O34" s="1" t="s">
        <v>9158</v>
      </c>
      <c r="P34" s="1" t="s">
        <v>9158</v>
      </c>
      <c r="Q34" s="1" t="s">
        <v>9158</v>
      </c>
    </row>
    <row r="35" spans="1:18">
      <c r="E35" s="7"/>
    </row>
    <row r="36" spans="1:18">
      <c r="A36" s="7" t="s">
        <v>7834</v>
      </c>
      <c r="E36" s="7"/>
    </row>
    <row r="37" spans="1:18">
      <c r="A37" s="7" t="s">
        <v>7835</v>
      </c>
      <c r="E37" s="7"/>
    </row>
    <row r="38" spans="1:18">
      <c r="A38" s="1" t="s">
        <v>5963</v>
      </c>
      <c r="B38" s="1" t="s">
        <v>330</v>
      </c>
      <c r="C38" s="1" t="s">
        <v>35</v>
      </c>
      <c r="D38" s="19" t="s">
        <v>10438</v>
      </c>
      <c r="E38" s="15" t="str">
        <f>HYPERLINK("https://stat100.ameba.jp/tnk47/ratio20/illustrations/card/ill_82963_0_yukatamatsuritomokazuki03.jpg?201911-1-RELEASE-raid-437x", "■")</f>
        <v>■</v>
      </c>
      <c r="F38" s="1" t="s">
        <v>5964</v>
      </c>
      <c r="G38" s="1">
        <v>285888</v>
      </c>
      <c r="H38" s="1">
        <v>316330</v>
      </c>
      <c r="I38" s="1">
        <v>24</v>
      </c>
      <c r="J38" s="1" t="s">
        <v>73</v>
      </c>
      <c r="K38" s="1" t="s">
        <v>5966</v>
      </c>
      <c r="L38" s="1" t="s">
        <v>5967</v>
      </c>
      <c r="M38" s="1" t="s">
        <v>9158</v>
      </c>
      <c r="N38" s="1" t="s">
        <v>9158</v>
      </c>
      <c r="O38" s="19" t="s">
        <v>10115</v>
      </c>
      <c r="P38" s="1" t="s">
        <v>5968</v>
      </c>
      <c r="Q38" s="1">
        <v>1</v>
      </c>
    </row>
    <row r="39" spans="1:18">
      <c r="A39" s="1">
        <v>82543</v>
      </c>
      <c r="B39" s="1" t="s">
        <v>334</v>
      </c>
      <c r="C39" s="1" t="s">
        <v>41</v>
      </c>
      <c r="D39" s="19" t="s">
        <v>10342</v>
      </c>
      <c r="E39" s="15" t="str">
        <f>HYPERLINK("https://stat100.ameba.jp/tnk47/ratio20/illustrations/card/ill_82543_nabeshimanagako03.jpg?201911-1-RELEASE-raid-437x", "■")</f>
        <v>■</v>
      </c>
      <c r="F39" s="1" t="s">
        <v>5491</v>
      </c>
      <c r="G39" s="1">
        <v>104890</v>
      </c>
      <c r="H39" s="1">
        <v>75984</v>
      </c>
      <c r="I39" s="1">
        <v>24</v>
      </c>
      <c r="J39" s="1" t="s">
        <v>10</v>
      </c>
      <c r="K39" s="1" t="s">
        <v>5493</v>
      </c>
      <c r="L39" s="1" t="s">
        <v>5494</v>
      </c>
      <c r="M39" s="1" t="s">
        <v>9158</v>
      </c>
      <c r="N39" s="1" t="s">
        <v>9158</v>
      </c>
      <c r="O39" s="19" t="s">
        <v>10080</v>
      </c>
      <c r="P39" s="1" t="s">
        <v>3705</v>
      </c>
      <c r="Q39" s="1">
        <v>1</v>
      </c>
    </row>
    <row r="40" spans="1:18">
      <c r="A40" s="1">
        <v>81023</v>
      </c>
      <c r="B40" s="1" t="s">
        <v>334</v>
      </c>
      <c r="C40" s="1" t="s">
        <v>41</v>
      </c>
      <c r="D40" s="19" t="s">
        <v>10274</v>
      </c>
      <c r="E40" s="15" t="str">
        <f>HYPERLINK("https://stat100.ameba.jp/tnk47/ratio20/illustrations/card/ill_81023_momonokenki03.jpg?201911-1-RELEASE-raid-437x", "■")</f>
        <v>■</v>
      </c>
      <c r="F40" s="1" t="s">
        <v>4088</v>
      </c>
      <c r="G40" s="1">
        <v>126858</v>
      </c>
      <c r="H40" s="1">
        <v>91876</v>
      </c>
      <c r="I40" s="1">
        <v>24</v>
      </c>
      <c r="J40" s="1" t="s">
        <v>143</v>
      </c>
      <c r="K40" s="1" t="s">
        <v>4089</v>
      </c>
      <c r="L40" s="1" t="s">
        <v>2049</v>
      </c>
      <c r="M40" s="1" t="s">
        <v>9158</v>
      </c>
      <c r="N40" s="1" t="s">
        <v>9158</v>
      </c>
      <c r="O40" s="19" t="s">
        <v>10096</v>
      </c>
      <c r="P40" s="1" t="s">
        <v>3245</v>
      </c>
      <c r="Q40" s="1">
        <v>1</v>
      </c>
    </row>
    <row r="41" spans="1:18">
      <c r="A41" s="1">
        <v>80743</v>
      </c>
      <c r="B41" s="1" t="s">
        <v>0</v>
      </c>
      <c r="C41" s="1" t="s">
        <v>209</v>
      </c>
      <c r="D41" s="19" t="s">
        <v>10414</v>
      </c>
      <c r="E41" s="15" t="str">
        <f>HYPERLINK("https://stat100.ameba.jp/tnk47/ratio20/illustrations/card/ill_80743_senseijutsushi03.jpg?201911-1-RELEASE-raid-437x", "■")</f>
        <v>■</v>
      </c>
      <c r="F41" s="1" t="s">
        <v>4249</v>
      </c>
      <c r="G41" s="1">
        <v>75984</v>
      </c>
      <c r="H41" s="1">
        <v>104890</v>
      </c>
      <c r="I41" s="1">
        <v>24</v>
      </c>
      <c r="J41" s="1" t="s">
        <v>16</v>
      </c>
      <c r="K41" s="1" t="s">
        <v>4250</v>
      </c>
      <c r="L41" s="1" t="s">
        <v>4251</v>
      </c>
      <c r="M41" s="1" t="s">
        <v>9158</v>
      </c>
      <c r="N41" s="1" t="s">
        <v>9158</v>
      </c>
      <c r="O41" s="19" t="s">
        <v>10109</v>
      </c>
      <c r="P41" s="1" t="s">
        <v>3625</v>
      </c>
      <c r="Q41" s="1">
        <v>1</v>
      </c>
    </row>
    <row r="42" spans="1:18">
      <c r="E42" s="7"/>
    </row>
    <row r="43" spans="1:18">
      <c r="A43" s="1" t="s">
        <v>13327</v>
      </c>
      <c r="B43" s="1"/>
      <c r="C43" s="1"/>
      <c r="D43" s="1"/>
      <c r="F43" s="1"/>
      <c r="G43" s="1"/>
      <c r="H43" s="1"/>
      <c r="I43" s="1"/>
      <c r="J43" s="1"/>
      <c r="K43" s="1"/>
      <c r="L43" s="1"/>
      <c r="M43" s="1"/>
      <c r="N43" s="1"/>
      <c r="O43" s="1"/>
      <c r="P43" s="1"/>
      <c r="Q43" s="1"/>
      <c r="R43" s="1"/>
    </row>
    <row r="44" spans="1:18">
      <c r="A44" s="1" t="s">
        <v>7836</v>
      </c>
      <c r="B44" s="1"/>
      <c r="C44" s="1"/>
      <c r="D44" s="1"/>
      <c r="F44" s="1"/>
      <c r="G44" s="1"/>
      <c r="H44" s="1"/>
      <c r="I44" s="1"/>
      <c r="J44" s="1"/>
      <c r="K44" s="1"/>
      <c r="L44" s="1"/>
      <c r="M44" s="1"/>
      <c r="N44" s="1"/>
      <c r="O44" s="1"/>
      <c r="P44" s="1"/>
      <c r="Q44" s="1"/>
      <c r="R44" s="1"/>
    </row>
    <row r="45" spans="1:18">
      <c r="A45" s="1">
        <v>83973</v>
      </c>
      <c r="B45" s="1" t="s">
        <v>334</v>
      </c>
      <c r="C45" s="1" t="s">
        <v>14</v>
      </c>
      <c r="D45" s="19" t="s">
        <v>10570</v>
      </c>
      <c r="E45" s="15" t="str">
        <f>HYPERLINK("https://stat100.ameba.jp/tnk47/ratio20/illustrations/card/ill_83973_nekokishiirurosu03.jpg?201911-1-RELEASE-raid-437x", "■")</f>
        <v>■</v>
      </c>
      <c r="F45" s="1" t="s">
        <v>6706</v>
      </c>
      <c r="G45" s="1">
        <v>118152</v>
      </c>
      <c r="H45" s="1">
        <v>109852</v>
      </c>
      <c r="I45" s="1">
        <v>24</v>
      </c>
      <c r="J45" s="1" t="s">
        <v>229</v>
      </c>
      <c r="K45" s="1" t="s">
        <v>6707</v>
      </c>
      <c r="L45" s="1" t="s">
        <v>13202</v>
      </c>
      <c r="M45" s="1" t="s">
        <v>13130</v>
      </c>
      <c r="N45" s="1" t="s">
        <v>343</v>
      </c>
      <c r="O45" s="1" t="s">
        <v>9158</v>
      </c>
      <c r="P45" s="1" t="s">
        <v>9158</v>
      </c>
      <c r="Q45" s="1" t="s">
        <v>9158</v>
      </c>
      <c r="R45" s="14" t="s">
        <v>14748</v>
      </c>
    </row>
    <row r="46" spans="1:18">
      <c r="A46" s="1">
        <v>83972</v>
      </c>
      <c r="B46" s="1" t="s">
        <v>334</v>
      </c>
      <c r="C46" s="1" t="s">
        <v>14</v>
      </c>
      <c r="D46" s="19" t="s">
        <v>10570</v>
      </c>
      <c r="E46" s="15" t="str">
        <f>HYPERLINK("https://stat100.ameba.jp/tnk47/ratio20/illustrations/card/ill_83972_nekokishiirurosu02.jpg?201911-1-RELEASE-raid-437x", "■")</f>
        <v>■</v>
      </c>
      <c r="F46" s="1" t="s">
        <v>6706</v>
      </c>
      <c r="G46" s="1">
        <v>98768</v>
      </c>
      <c r="H46" s="1">
        <v>90984</v>
      </c>
      <c r="I46" s="1">
        <v>24</v>
      </c>
      <c r="J46" s="1" t="s">
        <v>229</v>
      </c>
      <c r="K46" s="1" t="s">
        <v>6707</v>
      </c>
      <c r="L46" s="1" t="s">
        <v>13201</v>
      </c>
      <c r="M46" s="1" t="s">
        <v>13131</v>
      </c>
      <c r="N46" s="1" t="s">
        <v>251</v>
      </c>
      <c r="O46" s="1" t="s">
        <v>9158</v>
      </c>
      <c r="P46" s="1" t="s">
        <v>9158</v>
      </c>
      <c r="Q46" s="1" t="s">
        <v>9158</v>
      </c>
      <c r="R46" s="14" t="s">
        <v>14748</v>
      </c>
    </row>
    <row r="47" spans="1:18">
      <c r="A47" s="1">
        <v>83971</v>
      </c>
      <c r="B47" s="1" t="s">
        <v>0</v>
      </c>
      <c r="C47" s="1" t="s">
        <v>14</v>
      </c>
      <c r="D47" s="19" t="s">
        <v>10570</v>
      </c>
      <c r="E47" s="15" t="str">
        <f>HYPERLINK("https://stat100.ameba.jp/tnk47/ratio20/illustrations/card/ill_83971_nekokishiirurosu01.jpg?201911-1-RELEASE-raid-437x", "■")</f>
        <v>■</v>
      </c>
      <c r="F47" s="1" t="s">
        <v>6706</v>
      </c>
      <c r="G47" s="1">
        <v>75408</v>
      </c>
      <c r="H47" s="1">
        <v>70200</v>
      </c>
      <c r="I47" s="1">
        <v>24</v>
      </c>
      <c r="J47" s="1" t="s">
        <v>229</v>
      </c>
      <c r="K47" s="1" t="s">
        <v>6707</v>
      </c>
      <c r="L47" s="1" t="s">
        <v>13201</v>
      </c>
      <c r="M47" s="1" t="s">
        <v>13131</v>
      </c>
      <c r="N47" s="1" t="s">
        <v>251</v>
      </c>
      <c r="O47" s="1" t="s">
        <v>9158</v>
      </c>
      <c r="P47" s="1" t="s">
        <v>9158</v>
      </c>
      <c r="Q47" s="1" t="s">
        <v>9158</v>
      </c>
      <c r="R47" s="14" t="s">
        <v>14748</v>
      </c>
    </row>
    <row r="48" spans="1:18">
      <c r="A48" s="1">
        <v>83983</v>
      </c>
      <c r="B48" s="1" t="s">
        <v>334</v>
      </c>
      <c r="C48" s="1" t="s">
        <v>23</v>
      </c>
      <c r="D48" s="19" t="s">
        <v>10571</v>
      </c>
      <c r="E48" s="15" t="str">
        <f>HYPERLINK("https://stat100.ameba.jp/tnk47/ratio20/illustrations/card/ill_83983_ryujinsui03.jpg?201911-1-RELEASE-raid-437x", "■")</f>
        <v>■</v>
      </c>
      <c r="F48" s="1" t="s">
        <v>6708</v>
      </c>
      <c r="G48" s="1">
        <v>109852</v>
      </c>
      <c r="H48" s="1">
        <v>118152</v>
      </c>
      <c r="I48" s="1">
        <v>24</v>
      </c>
      <c r="J48" s="1" t="s">
        <v>169</v>
      </c>
      <c r="K48" s="1" t="s">
        <v>6710</v>
      </c>
      <c r="L48" s="1" t="s">
        <v>6721</v>
      </c>
      <c r="M48" s="1" t="s">
        <v>13130</v>
      </c>
      <c r="N48" s="1" t="s">
        <v>343</v>
      </c>
      <c r="O48" s="1" t="s">
        <v>9158</v>
      </c>
      <c r="P48" s="1" t="s">
        <v>9158</v>
      </c>
      <c r="Q48" s="1" t="s">
        <v>9158</v>
      </c>
      <c r="R48" s="14" t="s">
        <v>14748</v>
      </c>
    </row>
    <row r="49" spans="1:18">
      <c r="A49" s="1">
        <v>83993</v>
      </c>
      <c r="B49" s="1" t="s">
        <v>334</v>
      </c>
      <c r="C49" s="1" t="s">
        <v>101</v>
      </c>
      <c r="D49" s="19" t="s">
        <v>10572</v>
      </c>
      <c r="E49" s="15" t="str">
        <f>HYPERLINK("https://stat100.ameba.jp/tnk47/ratio20/illustrations/card/ill_83993_enjieruzuranotamagochan03.jpg?201911-1-RELEASE-raid-437x", "■")</f>
        <v>■</v>
      </c>
      <c r="F49" s="1" t="s">
        <v>6722</v>
      </c>
      <c r="G49" s="1">
        <v>109852</v>
      </c>
      <c r="H49" s="1">
        <v>118152</v>
      </c>
      <c r="I49" s="1">
        <v>24</v>
      </c>
      <c r="J49" s="1" t="s">
        <v>216</v>
      </c>
      <c r="K49" s="1" t="s">
        <v>6723</v>
      </c>
      <c r="L49" s="1" t="s">
        <v>6724</v>
      </c>
      <c r="M49" s="1" t="s">
        <v>13130</v>
      </c>
      <c r="N49" s="1" t="s">
        <v>343</v>
      </c>
      <c r="O49" s="1" t="s">
        <v>9158</v>
      </c>
      <c r="P49" s="1" t="s">
        <v>9158</v>
      </c>
      <c r="Q49" s="1" t="s">
        <v>9158</v>
      </c>
      <c r="R49" s="14" t="s">
        <v>14748</v>
      </c>
    </row>
    <row r="50" spans="1:18">
      <c r="A50" s="1">
        <v>84003</v>
      </c>
      <c r="B50" s="1" t="s">
        <v>0</v>
      </c>
      <c r="C50" s="1" t="s">
        <v>96</v>
      </c>
      <c r="D50" s="19" t="s">
        <v>10573</v>
      </c>
      <c r="E50" s="15" t="str">
        <f>HYPERLINK("https://stat100.ameba.jp/tnk47/ratio20/illustrations/card/ill_84003_sukoropendora03.jpg?201911-1-RELEASE-raid-437x", "■")</f>
        <v>■</v>
      </c>
      <c r="F50" s="1" t="s">
        <v>6725</v>
      </c>
      <c r="G50" s="1">
        <v>118152</v>
      </c>
      <c r="H50" s="1">
        <v>109852</v>
      </c>
      <c r="I50" s="1">
        <v>24</v>
      </c>
      <c r="J50" s="1" t="s">
        <v>182</v>
      </c>
      <c r="K50" s="1" t="s">
        <v>6727</v>
      </c>
      <c r="L50" s="1" t="s">
        <v>6728</v>
      </c>
      <c r="M50" s="1" t="s">
        <v>13130</v>
      </c>
      <c r="N50" s="1" t="s">
        <v>343</v>
      </c>
      <c r="O50" s="1" t="s">
        <v>9158</v>
      </c>
      <c r="P50" s="1" t="s">
        <v>9158</v>
      </c>
      <c r="Q50" s="1" t="s">
        <v>9158</v>
      </c>
      <c r="R50" s="14" t="s">
        <v>14748</v>
      </c>
    </row>
    <row r="51" spans="1:18">
      <c r="A51" s="1">
        <v>84013</v>
      </c>
      <c r="B51" s="1" t="s">
        <v>334</v>
      </c>
      <c r="C51" s="1" t="s">
        <v>205</v>
      </c>
      <c r="D51" s="19" t="s">
        <v>10574</v>
      </c>
      <c r="E51" s="15" t="str">
        <f>HYPERLINK("https://stat100.ameba.jp/tnk47/ratio20/illustrations/card/ill_84013_neikiddo03.jpg?201911-1-RELEASE-raid-437x", "■")</f>
        <v>■</v>
      </c>
      <c r="F51" s="1" t="s">
        <v>6729</v>
      </c>
      <c r="G51" s="1">
        <v>109852</v>
      </c>
      <c r="H51" s="1">
        <v>118152</v>
      </c>
      <c r="I51" s="1">
        <v>24</v>
      </c>
      <c r="J51" s="1" t="s">
        <v>194</v>
      </c>
      <c r="K51" s="1" t="s">
        <v>6731</v>
      </c>
      <c r="L51" s="1" t="s">
        <v>6732</v>
      </c>
      <c r="M51" s="1" t="s">
        <v>13130</v>
      </c>
      <c r="N51" s="1" t="s">
        <v>343</v>
      </c>
      <c r="O51" s="1" t="s">
        <v>9158</v>
      </c>
      <c r="P51" s="1" t="s">
        <v>9158</v>
      </c>
      <c r="Q51" s="1" t="s">
        <v>9158</v>
      </c>
      <c r="R51" s="14" t="s">
        <v>14748</v>
      </c>
    </row>
    <row r="52" spans="1:18">
      <c r="A52" s="1">
        <v>76763</v>
      </c>
      <c r="B52" s="1" t="s">
        <v>334</v>
      </c>
      <c r="C52" s="1" t="s">
        <v>107</v>
      </c>
      <c r="D52" s="19" t="s">
        <v>10575</v>
      </c>
      <c r="E52" s="15" t="str">
        <f>HYPERLINK("https://stat100.ameba.jp/tnk47/ratio20/illustrations/card/ill_76763_monsutanabeshimakeiginni03.jpg?201911-1-RELEASE-raid-437x", "■")</f>
        <v>■</v>
      </c>
      <c r="F52" s="1" t="s">
        <v>6733</v>
      </c>
      <c r="G52" s="1">
        <v>118152</v>
      </c>
      <c r="H52" s="1">
        <v>109852</v>
      </c>
      <c r="I52" s="1">
        <v>24</v>
      </c>
      <c r="J52" s="1" t="s">
        <v>187</v>
      </c>
      <c r="K52" s="1" t="s">
        <v>6735</v>
      </c>
      <c r="L52" s="1" t="s">
        <v>6736</v>
      </c>
      <c r="M52" s="1" t="s">
        <v>13130</v>
      </c>
      <c r="N52" s="1" t="s">
        <v>343</v>
      </c>
      <c r="O52" s="1" t="s">
        <v>9158</v>
      </c>
      <c r="P52" s="1" t="s">
        <v>9158</v>
      </c>
      <c r="Q52" s="1" t="s">
        <v>9158</v>
      </c>
      <c r="R52" s="14" t="s">
        <v>14748</v>
      </c>
    </row>
    <row r="53" spans="1:18">
      <c r="E53" s="7"/>
    </row>
    <row r="54" spans="1:18">
      <c r="A54" s="7" t="s">
        <v>7838</v>
      </c>
      <c r="E54" s="7"/>
    </row>
    <row r="55" spans="1:18">
      <c r="A55" s="7" t="s">
        <v>7837</v>
      </c>
      <c r="E55" s="7"/>
    </row>
    <row r="56" spans="1:18">
      <c r="A56" s="1" t="s">
        <v>5617</v>
      </c>
      <c r="B56" s="1" t="s">
        <v>330</v>
      </c>
      <c r="C56" s="1" t="s">
        <v>308</v>
      </c>
      <c r="D56" s="19" t="s">
        <v>385</v>
      </c>
      <c r="E56" s="15" t="str">
        <f>HYPERLINK("https://stat100.ameba.jp/tnk47/ratio20/illustrations/card/ill_59673_0_oheyashutendoji03.jpg?201911-1-RELEASE-raid-437x", "■")</f>
        <v>■</v>
      </c>
      <c r="F56" s="1" t="s">
        <v>386</v>
      </c>
      <c r="G56" s="1">
        <v>168874</v>
      </c>
      <c r="H56" s="1">
        <v>181640</v>
      </c>
      <c r="I56" s="1">
        <v>24</v>
      </c>
      <c r="J56" s="1" t="s">
        <v>320</v>
      </c>
      <c r="K56" s="1" t="s">
        <v>387</v>
      </c>
      <c r="L56" s="1" t="s">
        <v>388</v>
      </c>
      <c r="M56" s="1" t="s">
        <v>9158</v>
      </c>
      <c r="N56" s="1" t="s">
        <v>9158</v>
      </c>
      <c r="O56" s="19" t="s">
        <v>10078</v>
      </c>
      <c r="P56" s="1" t="s">
        <v>3022</v>
      </c>
      <c r="Q56" s="1">
        <v>1</v>
      </c>
    </row>
    <row r="57" spans="1:18">
      <c r="A57" s="1" t="s">
        <v>6195</v>
      </c>
      <c r="B57" s="1" t="s">
        <v>52</v>
      </c>
      <c r="C57" s="1" t="s">
        <v>191</v>
      </c>
      <c r="D57" s="19" t="s">
        <v>10217</v>
      </c>
      <c r="E57" s="15" t="str">
        <f>HYPERLINK("https://stat100.ameba.jp/tnk47/ratio20/illustrations/card/ill_56493_0_poppukurisumasuikomakitsuno03.jpg?201911-1-RELEASE-raid-437x", "■")</f>
        <v>■</v>
      </c>
      <c r="F57" s="1" t="s">
        <v>1769</v>
      </c>
      <c r="G57" s="1">
        <v>150776</v>
      </c>
      <c r="H57" s="1">
        <v>133938</v>
      </c>
      <c r="I57" s="1">
        <v>24</v>
      </c>
      <c r="J57" s="1" t="s">
        <v>77</v>
      </c>
      <c r="K57" s="1" t="s">
        <v>1770</v>
      </c>
      <c r="L57" s="1" t="s">
        <v>1771</v>
      </c>
      <c r="M57" s="1" t="s">
        <v>9158</v>
      </c>
      <c r="N57" s="1" t="s">
        <v>9158</v>
      </c>
      <c r="O57" s="19" t="s">
        <v>10120</v>
      </c>
      <c r="P57" s="1" t="s">
        <v>2724</v>
      </c>
      <c r="Q57" s="1">
        <v>1</v>
      </c>
    </row>
    <row r="58" spans="1:18">
      <c r="A58" s="7">
        <v>85043</v>
      </c>
      <c r="B58" s="7" t="s">
        <v>7839</v>
      </c>
      <c r="C58" s="1" t="s">
        <v>209</v>
      </c>
      <c r="D58" s="19" t="s">
        <v>10752</v>
      </c>
      <c r="E58" s="15" t="str">
        <f>HYPERLINK("https://stat100.ameba.jp/tnk47/ratio20/illustrations/card/ill_85043_sutoroberireddo03.jpg?201911-1-RELEASE-raid-437x", "■")</f>
        <v>■</v>
      </c>
      <c r="F58" s="7" t="s">
        <v>7843</v>
      </c>
      <c r="G58" s="7">
        <v>132144</v>
      </c>
      <c r="H58" s="7">
        <v>95703</v>
      </c>
      <c r="I58" s="7">
        <v>25</v>
      </c>
      <c r="J58" s="7" t="s">
        <v>7842</v>
      </c>
      <c r="K58" s="7" t="s">
        <v>7841</v>
      </c>
      <c r="L58" s="7" t="s">
        <v>7840</v>
      </c>
      <c r="M58" s="1" t="s">
        <v>9158</v>
      </c>
      <c r="N58" s="1" t="s">
        <v>9158</v>
      </c>
      <c r="O58" s="19" t="s">
        <v>10102</v>
      </c>
      <c r="P58" s="14" t="s">
        <v>3672</v>
      </c>
      <c r="Q58" s="14">
        <v>1</v>
      </c>
    </row>
    <row r="59" spans="1:18">
      <c r="A59" s="1">
        <v>63273</v>
      </c>
      <c r="B59" s="1" t="s">
        <v>334</v>
      </c>
      <c r="C59" s="1" t="s">
        <v>158</v>
      </c>
      <c r="D59" s="19" t="s">
        <v>828</v>
      </c>
      <c r="E59" s="15" t="str">
        <f>HYPERLINK("https://stat100.ameba.jp/tnk47/ratio20/illustrations/card/ill_63273_tsukushimai03.jpg?201911-1-RELEASE-raid-437x", "■")</f>
        <v>■</v>
      </c>
      <c r="F59" s="1" t="s">
        <v>1211</v>
      </c>
      <c r="G59" s="1">
        <v>127580</v>
      </c>
      <c r="H59" s="1">
        <v>92402</v>
      </c>
      <c r="I59" s="1">
        <v>25</v>
      </c>
      <c r="J59" s="1" t="s">
        <v>38</v>
      </c>
      <c r="K59" s="1" t="s">
        <v>1212</v>
      </c>
      <c r="L59" s="1" t="s">
        <v>1213</v>
      </c>
      <c r="M59" s="1" t="s">
        <v>9158</v>
      </c>
      <c r="N59" s="1" t="s">
        <v>9158</v>
      </c>
      <c r="O59" s="19" t="s">
        <v>10110</v>
      </c>
      <c r="P59" s="1" t="s">
        <v>13128</v>
      </c>
      <c r="Q59" s="1">
        <v>1</v>
      </c>
    </row>
    <row r="60" spans="1:18">
      <c r="A60" s="1">
        <v>78123</v>
      </c>
      <c r="B60" s="1" t="s">
        <v>334</v>
      </c>
      <c r="C60" s="1" t="s">
        <v>209</v>
      </c>
      <c r="D60" s="19" t="s">
        <v>3023</v>
      </c>
      <c r="E60" s="15" t="str">
        <f>HYPERLINK("https://stat100.ameba.jp/tnk47/ratio20/illustrations/card/ill_78123_madannoteirusorushieru03.jpg?201911-1-RELEASE-raid-437x", "■")</f>
        <v>■</v>
      </c>
      <c r="F60" s="1" t="s">
        <v>3024</v>
      </c>
      <c r="G60" s="1">
        <v>166328</v>
      </c>
      <c r="H60" s="1">
        <v>120475</v>
      </c>
      <c r="I60" s="1">
        <v>25</v>
      </c>
      <c r="J60" s="1" t="s">
        <v>310</v>
      </c>
      <c r="K60" s="1" t="s">
        <v>3025</v>
      </c>
      <c r="L60" s="1" t="s">
        <v>443</v>
      </c>
      <c r="M60" s="1" t="s">
        <v>9158</v>
      </c>
      <c r="N60" s="1" t="s">
        <v>9158</v>
      </c>
      <c r="O60" s="19" t="s">
        <v>2951</v>
      </c>
      <c r="P60" s="1" t="s">
        <v>13122</v>
      </c>
      <c r="Q60" s="1">
        <v>1</v>
      </c>
    </row>
    <row r="61" spans="1:18">
      <c r="A61" s="1">
        <v>67963</v>
      </c>
      <c r="B61" s="1" t="s">
        <v>334</v>
      </c>
      <c r="C61" s="1" t="s">
        <v>203</v>
      </c>
      <c r="D61" s="19" t="s">
        <v>10307</v>
      </c>
      <c r="E61" s="15" t="str">
        <f>HYPERLINK("https://stat100.ameba.jp/tnk47/ratio20/illustrations/card/ill_67963_kinokuniyabunzaemon03.jpg?201911-1-RELEASE-raid-437x", "■")</f>
        <v>■</v>
      </c>
      <c r="F61" s="1" t="s">
        <v>825</v>
      </c>
      <c r="G61" s="1">
        <v>113463</v>
      </c>
      <c r="H61" s="1">
        <v>82205</v>
      </c>
      <c r="I61" s="1">
        <v>25</v>
      </c>
      <c r="J61" s="1" t="s">
        <v>414</v>
      </c>
      <c r="K61" s="1" t="s">
        <v>826</v>
      </c>
      <c r="L61" s="1" t="s">
        <v>827</v>
      </c>
      <c r="M61" s="1" t="s">
        <v>9158</v>
      </c>
      <c r="N61" s="1" t="s">
        <v>9158</v>
      </c>
      <c r="O61" s="1" t="s">
        <v>9158</v>
      </c>
      <c r="P61" s="1" t="s">
        <v>9158</v>
      </c>
      <c r="Q61" s="1" t="s">
        <v>9158</v>
      </c>
    </row>
    <row r="62" spans="1:18">
      <c r="A62" s="1">
        <v>66343</v>
      </c>
      <c r="B62" s="1" t="s">
        <v>0</v>
      </c>
      <c r="C62" s="1" t="s">
        <v>209</v>
      </c>
      <c r="D62" s="19" t="s">
        <v>832</v>
      </c>
      <c r="E62" s="15" t="str">
        <f>HYPERLINK("https://stat100.ameba.jp/tnk47/ratio20/illustrations/card/ill_66343_shunobon03.jpg?201911-1-RELEASE-raid-437x", "■")</f>
        <v>■</v>
      </c>
      <c r="F62" s="1" t="s">
        <v>1254</v>
      </c>
      <c r="G62" s="1">
        <v>84456</v>
      </c>
      <c r="H62" s="1">
        <v>116577</v>
      </c>
      <c r="I62" s="1">
        <v>25</v>
      </c>
      <c r="J62" s="1" t="s">
        <v>73</v>
      </c>
      <c r="K62" s="1" t="s">
        <v>1255</v>
      </c>
      <c r="L62" s="1" t="s">
        <v>1256</v>
      </c>
      <c r="M62" s="1" t="s">
        <v>9158</v>
      </c>
      <c r="N62" s="1" t="s">
        <v>9158</v>
      </c>
      <c r="O62" s="1" t="s">
        <v>9158</v>
      </c>
      <c r="P62" s="1" t="s">
        <v>9158</v>
      </c>
      <c r="Q62" s="1" t="s">
        <v>9158</v>
      </c>
    </row>
    <row r="63" spans="1:18">
      <c r="A63" s="1">
        <v>58263</v>
      </c>
      <c r="B63" s="1" t="s">
        <v>334</v>
      </c>
      <c r="C63" s="1" t="s">
        <v>203</v>
      </c>
      <c r="D63" s="19" t="s">
        <v>679</v>
      </c>
      <c r="E63" s="15" t="str">
        <f>HYPERLINK("https://stat100.ameba.jp/tnk47/ratio20/illustrations/card/ill_58263_tamayorigozen03.jpg?201911-1-RELEASE-raid-437x", "■")</f>
        <v>■</v>
      </c>
      <c r="F63" s="1" t="s">
        <v>680</v>
      </c>
      <c r="G63" s="1">
        <v>79151</v>
      </c>
      <c r="H63" s="1">
        <v>109259</v>
      </c>
      <c r="I63" s="1">
        <v>25</v>
      </c>
      <c r="J63" s="1" t="s">
        <v>351</v>
      </c>
      <c r="K63" s="1" t="s">
        <v>681</v>
      </c>
      <c r="L63" s="1" t="s">
        <v>682</v>
      </c>
      <c r="M63" s="1" t="s">
        <v>9158</v>
      </c>
      <c r="N63" s="1" t="s">
        <v>9158</v>
      </c>
      <c r="O63" s="1" t="s">
        <v>9158</v>
      </c>
      <c r="P63" s="1" t="s">
        <v>9158</v>
      </c>
      <c r="Q63" s="1" t="s">
        <v>9158</v>
      </c>
    </row>
    <row r="64" spans="1:18">
      <c r="E64" s="7"/>
    </row>
    <row r="65" spans="1:17">
      <c r="A65" s="7" t="s">
        <v>7844</v>
      </c>
      <c r="E65" s="7"/>
    </row>
    <row r="66" spans="1:17">
      <c r="A66" s="7" t="s">
        <v>7845</v>
      </c>
      <c r="E66" s="7"/>
    </row>
    <row r="67" spans="1:17">
      <c r="A67" s="7" t="s">
        <v>7846</v>
      </c>
      <c r="E67" s="7"/>
    </row>
    <row r="68" spans="1:17">
      <c r="A68" s="1" t="s">
        <v>7789</v>
      </c>
      <c r="B68" s="1" t="s">
        <v>52</v>
      </c>
      <c r="C68" s="1" t="s">
        <v>202</v>
      </c>
      <c r="D68" s="19" t="s">
        <v>10741</v>
      </c>
      <c r="E68" s="15" t="str">
        <f>HYPERLINK("https://stat100.ameba.jp/tnk47/ratio20/illustrations/card/ill_84923_0_onsengainansosatomihakkenden03.jpg?201911-1-RELEASE-raid-437x", "■")</f>
        <v>■</v>
      </c>
      <c r="F68" s="1" t="s">
        <v>7792</v>
      </c>
      <c r="G68" s="1">
        <v>173287</v>
      </c>
      <c r="H68" s="1">
        <v>191727</v>
      </c>
      <c r="I68" s="1">
        <v>15</v>
      </c>
      <c r="J68" s="1" t="s">
        <v>155</v>
      </c>
      <c r="K68" s="1" t="s">
        <v>7791</v>
      </c>
      <c r="L68" s="1" t="s">
        <v>7790</v>
      </c>
      <c r="M68" s="1" t="s">
        <v>9158</v>
      </c>
      <c r="N68" s="1" t="s">
        <v>9158</v>
      </c>
      <c r="O68" s="19" t="s">
        <v>10131</v>
      </c>
      <c r="P68" s="1" t="s">
        <v>7793</v>
      </c>
      <c r="Q68" s="1">
        <v>0</v>
      </c>
    </row>
    <row r="69" spans="1:17">
      <c r="A69" s="7">
        <v>84973</v>
      </c>
      <c r="B69" s="7" t="s">
        <v>7839</v>
      </c>
      <c r="C69" s="1" t="s">
        <v>308</v>
      </c>
      <c r="D69" s="19" t="s">
        <v>10753</v>
      </c>
      <c r="E69" s="15" t="str">
        <f>HYPERLINK("https://stat100.ameba.jp/tnk47/ratio20/illustrations/card/ill_84973_yukimomijiuchidenokozuchi03.jpg?201911-1-RELEASE-raid-437x", "■")</f>
        <v>■</v>
      </c>
      <c r="F69" s="7" t="s">
        <v>7849</v>
      </c>
      <c r="G69" s="7">
        <v>113890</v>
      </c>
      <c r="H69" s="7">
        <v>105890</v>
      </c>
      <c r="I69" s="7">
        <v>25</v>
      </c>
      <c r="J69" s="1" t="s">
        <v>38</v>
      </c>
      <c r="K69" s="7" t="s">
        <v>7848</v>
      </c>
      <c r="L69" s="7" t="s">
        <v>7847</v>
      </c>
      <c r="M69" s="1" t="s">
        <v>9158</v>
      </c>
      <c r="N69" s="1" t="s">
        <v>9158</v>
      </c>
      <c r="O69" s="1" t="s">
        <v>9158</v>
      </c>
      <c r="P69" s="1" t="s">
        <v>9158</v>
      </c>
      <c r="Q69" s="1" t="s">
        <v>9158</v>
      </c>
    </row>
    <row r="70" spans="1:17">
      <c r="A70" s="7">
        <v>84983</v>
      </c>
      <c r="B70" s="7" t="s">
        <v>7850</v>
      </c>
      <c r="C70" s="7" t="s">
        <v>7853</v>
      </c>
      <c r="D70" s="19" t="s">
        <v>10754</v>
      </c>
      <c r="E70" s="15" t="str">
        <f>HYPERLINK("https://stat100.ameba.jp/tnk47/ratio20/illustrations/card/ill_84983_haikaramomijinishigorinotsubone03.jpg?201911-1-RELEASE-raid-437x", "■")</f>
        <v>■</v>
      </c>
      <c r="F70" s="7" t="s">
        <v>7858</v>
      </c>
      <c r="G70" s="7">
        <v>67210</v>
      </c>
      <c r="H70" s="7">
        <v>74100</v>
      </c>
      <c r="I70" s="7">
        <v>25</v>
      </c>
      <c r="J70" s="1" t="s">
        <v>77</v>
      </c>
      <c r="K70" s="7" t="s">
        <v>7857</v>
      </c>
      <c r="L70" s="7" t="s">
        <v>7856</v>
      </c>
      <c r="M70" s="1" t="s">
        <v>9158</v>
      </c>
      <c r="N70" s="1" t="s">
        <v>9158</v>
      </c>
      <c r="O70" s="1" t="s">
        <v>9158</v>
      </c>
      <c r="P70" s="1" t="s">
        <v>9158</v>
      </c>
      <c r="Q70" s="1" t="s">
        <v>9158</v>
      </c>
    </row>
    <row r="71" spans="1:17">
      <c r="A71" s="7">
        <v>84993</v>
      </c>
      <c r="B71" s="7" t="s">
        <v>7851</v>
      </c>
      <c r="C71" s="7" t="s">
        <v>7854</v>
      </c>
      <c r="D71" s="19" t="s">
        <v>10755</v>
      </c>
      <c r="E71" s="15" t="str">
        <f>HYPERLINK("https://stat100.ameba.jp/tnk47/ratio20/illustrations/card/ill_84993_tatsutahime03.jpg?201911-1-RELEASE-raid-437x", "■")</f>
        <v>■</v>
      </c>
      <c r="F71" s="7" t="s">
        <v>7861</v>
      </c>
      <c r="G71" s="7">
        <v>51980</v>
      </c>
      <c r="H71" s="7">
        <v>43220</v>
      </c>
      <c r="I71" s="7">
        <v>25</v>
      </c>
      <c r="J71" s="1" t="s">
        <v>169</v>
      </c>
      <c r="K71" s="7" t="s">
        <v>7860</v>
      </c>
      <c r="L71" s="7" t="s">
        <v>7859</v>
      </c>
      <c r="M71" s="1" t="s">
        <v>9158</v>
      </c>
      <c r="N71" s="1" t="s">
        <v>9158</v>
      </c>
      <c r="O71" s="1" t="s">
        <v>9158</v>
      </c>
      <c r="P71" s="1" t="s">
        <v>9158</v>
      </c>
      <c r="Q71" s="1" t="s">
        <v>9158</v>
      </c>
    </row>
    <row r="72" spans="1:17">
      <c r="A72" s="7">
        <v>85003</v>
      </c>
      <c r="B72" s="7" t="s">
        <v>7852</v>
      </c>
      <c r="C72" s="7" t="s">
        <v>7855</v>
      </c>
      <c r="D72" s="19" t="s">
        <v>10756</v>
      </c>
      <c r="E72" s="15" t="str">
        <f>HYPERLINK("https://stat100.ameba.jp/tnk47/ratio20/illustrations/card/ill_85003_korakukukkichan03.jpg?201911-1-RELEASE-raid-437x", "■")</f>
        <v>■</v>
      </c>
      <c r="F72" s="7" t="s">
        <v>7864</v>
      </c>
      <c r="G72" s="7">
        <v>26430</v>
      </c>
      <c r="H72" s="7">
        <v>31470</v>
      </c>
      <c r="I72" s="7">
        <v>25</v>
      </c>
      <c r="J72" s="7" t="s">
        <v>7842</v>
      </c>
      <c r="K72" s="7" t="s">
        <v>7863</v>
      </c>
      <c r="L72" s="7" t="s">
        <v>7862</v>
      </c>
      <c r="M72" s="1" t="s">
        <v>9158</v>
      </c>
      <c r="N72" s="1" t="s">
        <v>9158</v>
      </c>
      <c r="O72" s="1" t="s">
        <v>9158</v>
      </c>
      <c r="P72" s="1" t="s">
        <v>9158</v>
      </c>
      <c r="Q72" s="1" t="s">
        <v>9158</v>
      </c>
    </row>
    <row r="73" spans="1:17">
      <c r="E73" s="7"/>
    </row>
    <row r="74" spans="1:17">
      <c r="A74" s="7" t="s">
        <v>7865</v>
      </c>
      <c r="E74" s="7"/>
    </row>
    <row r="75" spans="1:17">
      <c r="A75" s="7" t="s">
        <v>7866</v>
      </c>
      <c r="E75" s="7"/>
    </row>
    <row r="76" spans="1:17">
      <c r="A76" s="1" t="s">
        <v>5603</v>
      </c>
      <c r="B76" s="1" t="s">
        <v>330</v>
      </c>
      <c r="C76" s="1" t="s">
        <v>205</v>
      </c>
      <c r="D76" s="19" t="s">
        <v>611</v>
      </c>
      <c r="E76" s="15" t="str">
        <f>HYPERLINK("https://stat100.ameba.jp/tnk47/ratio20/illustrations/card/ill_61893_0_onikirishumiyamotomusashi03.jpg?201911-2-RELEASE-unionbattle-438", "■")</f>
        <v>■</v>
      </c>
      <c r="F76" s="1" t="s">
        <v>612</v>
      </c>
      <c r="G76" s="1">
        <v>214692</v>
      </c>
      <c r="H76" s="1">
        <v>199630</v>
      </c>
      <c r="I76" s="1">
        <v>23</v>
      </c>
      <c r="J76" s="1" t="s">
        <v>310</v>
      </c>
      <c r="K76" s="1" t="s">
        <v>613</v>
      </c>
      <c r="L76" s="1" t="s">
        <v>312</v>
      </c>
      <c r="M76" s="1" t="s">
        <v>9158</v>
      </c>
      <c r="N76" s="1" t="s">
        <v>9158</v>
      </c>
      <c r="O76" s="19" t="s">
        <v>10071</v>
      </c>
      <c r="P76" s="1" t="s">
        <v>3253</v>
      </c>
      <c r="Q76" s="1">
        <v>1</v>
      </c>
    </row>
    <row r="77" spans="1:17">
      <c r="A77" s="1" t="s">
        <v>5602</v>
      </c>
      <c r="B77" s="1" t="s">
        <v>52</v>
      </c>
      <c r="C77" s="1" t="s">
        <v>14</v>
      </c>
      <c r="D77" s="19" t="s">
        <v>813</v>
      </c>
      <c r="E77" s="15" t="str">
        <f>HYPERLINK("https://stat100.ameba.jp/tnk47/ratio20/illustrations/card/ill_55313_0_haroinononokomachi03.jpg?201911-2-RELEASE-unionbattle-438", "■")</f>
        <v>■</v>
      </c>
      <c r="F77" s="1" t="s">
        <v>2094</v>
      </c>
      <c r="G77" s="1">
        <v>144494</v>
      </c>
      <c r="H77" s="1">
        <v>128358</v>
      </c>
      <c r="I77" s="1">
        <v>23</v>
      </c>
      <c r="J77" s="1" t="s">
        <v>10</v>
      </c>
      <c r="K77" s="1" t="s">
        <v>2095</v>
      </c>
      <c r="L77" s="1" t="s">
        <v>2096</v>
      </c>
      <c r="M77" s="1" t="s">
        <v>9158</v>
      </c>
      <c r="N77" s="1" t="s">
        <v>9158</v>
      </c>
      <c r="O77" s="19" t="s">
        <v>2733</v>
      </c>
      <c r="P77" s="1" t="s">
        <v>2734</v>
      </c>
      <c r="Q77" s="1">
        <v>1</v>
      </c>
    </row>
    <row r="78" spans="1:17">
      <c r="A78" s="1" t="s">
        <v>5897</v>
      </c>
      <c r="B78" s="1" t="s">
        <v>52</v>
      </c>
      <c r="C78" s="1" t="s">
        <v>23</v>
      </c>
      <c r="D78" s="19" t="s">
        <v>277</v>
      </c>
      <c r="E78" s="15" t="str">
        <f>HYPERLINK("https://stat100.ameba.jp/tnk47/ratio20/illustrations/card/ill_40913_0_reigyokudensetsufusehime03.jpg?201911-2-RELEASE-unionbattle-438", "■")</f>
        <v>■</v>
      </c>
      <c r="F78" s="1" t="s">
        <v>955</v>
      </c>
      <c r="G78" s="1">
        <v>126058</v>
      </c>
      <c r="H78" s="1">
        <v>134596</v>
      </c>
      <c r="I78" s="1">
        <v>23</v>
      </c>
      <c r="J78" s="1" t="s">
        <v>38</v>
      </c>
      <c r="K78" s="1" t="s">
        <v>956</v>
      </c>
      <c r="L78" s="1" t="s">
        <v>957</v>
      </c>
      <c r="M78" s="1" t="s">
        <v>9158</v>
      </c>
      <c r="N78" s="1" t="s">
        <v>9158</v>
      </c>
      <c r="O78" s="1" t="s">
        <v>9158</v>
      </c>
      <c r="P78" s="1" t="s">
        <v>9158</v>
      </c>
      <c r="Q78" s="1" t="s">
        <v>9158</v>
      </c>
    </row>
    <row r="79" spans="1:17">
      <c r="A79" s="7">
        <v>84973</v>
      </c>
      <c r="B79" s="7" t="s">
        <v>0</v>
      </c>
      <c r="C79" s="1" t="s">
        <v>308</v>
      </c>
      <c r="D79" s="19" t="s">
        <v>10753</v>
      </c>
      <c r="E79" s="15" t="str">
        <f>HYPERLINK("https://stat100.ameba.jp/tnk47/ratio20/illustrations/card/ill_84973_yukimomijiuchidenokozuchi03.jpg?201911-2-RELEASE-unionbattle-438", "■")</f>
        <v>■</v>
      </c>
      <c r="F79" s="7" t="s">
        <v>7849</v>
      </c>
      <c r="G79" s="7">
        <v>109334</v>
      </c>
      <c r="H79" s="7">
        <v>101656</v>
      </c>
      <c r="I79" s="7">
        <v>24</v>
      </c>
      <c r="J79" s="1" t="s">
        <v>38</v>
      </c>
      <c r="K79" s="7" t="s">
        <v>7848</v>
      </c>
      <c r="L79" s="7" t="s">
        <v>7847</v>
      </c>
      <c r="M79" s="1" t="s">
        <v>9158</v>
      </c>
      <c r="N79" s="1" t="s">
        <v>9158</v>
      </c>
      <c r="O79" s="1" t="s">
        <v>9158</v>
      </c>
      <c r="P79" s="1" t="s">
        <v>9158</v>
      </c>
      <c r="Q79" s="1" t="s">
        <v>9158</v>
      </c>
    </row>
    <row r="80" spans="1:17">
      <c r="A80" s="7">
        <v>84983</v>
      </c>
      <c r="B80" s="7" t="s">
        <v>15</v>
      </c>
      <c r="C80" s="7" t="s">
        <v>191</v>
      </c>
      <c r="D80" s="19" t="s">
        <v>10754</v>
      </c>
      <c r="E80" s="15" t="str">
        <f>HYPERLINK("https://stat100.ameba.jp/tnk47/ratio20/illustrations/card/ill_84983_haikaramomijinishigorinotsubone03.jpg?201911-2-RELEASE-unionbattle-438", "■")</f>
        <v>■</v>
      </c>
      <c r="F80" s="7" t="s">
        <v>7858</v>
      </c>
      <c r="G80" s="7">
        <v>59144</v>
      </c>
      <c r="H80" s="7">
        <v>65208</v>
      </c>
      <c r="I80" s="7">
        <v>22</v>
      </c>
      <c r="J80" s="1" t="s">
        <v>77</v>
      </c>
      <c r="K80" s="7" t="s">
        <v>931</v>
      </c>
      <c r="L80" s="7" t="s">
        <v>973</v>
      </c>
      <c r="M80" s="1" t="s">
        <v>9158</v>
      </c>
      <c r="N80" s="1" t="s">
        <v>9158</v>
      </c>
      <c r="O80" s="1" t="s">
        <v>9158</v>
      </c>
      <c r="P80" s="1" t="s">
        <v>9158</v>
      </c>
      <c r="Q80" s="1" t="s">
        <v>9158</v>
      </c>
    </row>
    <row r="81" spans="1:17">
      <c r="A81" s="7">
        <v>84993</v>
      </c>
      <c r="B81" s="7" t="s">
        <v>22</v>
      </c>
      <c r="C81" s="7" t="s">
        <v>2611</v>
      </c>
      <c r="D81" s="19" t="s">
        <v>10755</v>
      </c>
      <c r="E81" s="15" t="str">
        <f>HYPERLINK("https://stat100.ameba.jp/tnk47/ratio20/illustrations/card/ill_84993_tatsutahime03.jpg?201911-2-RELEASE-unionbattle-438", "■")</f>
        <v>■</v>
      </c>
      <c r="F81" s="7" t="s">
        <v>7861</v>
      </c>
      <c r="G81" s="7">
        <v>45742</v>
      </c>
      <c r="H81" s="7">
        <v>38032</v>
      </c>
      <c r="I81" s="7">
        <v>22</v>
      </c>
      <c r="J81" s="1" t="s">
        <v>169</v>
      </c>
      <c r="K81" s="7" t="s">
        <v>7860</v>
      </c>
      <c r="L81" s="7" t="s">
        <v>4956</v>
      </c>
      <c r="M81" s="1" t="s">
        <v>9158</v>
      </c>
      <c r="N81" s="1" t="s">
        <v>9158</v>
      </c>
      <c r="O81" s="1" t="s">
        <v>9158</v>
      </c>
      <c r="P81" s="1" t="s">
        <v>9158</v>
      </c>
      <c r="Q81" s="1" t="s">
        <v>9158</v>
      </c>
    </row>
    <row r="82" spans="1:17">
      <c r="A82" s="7">
        <v>85003</v>
      </c>
      <c r="B82" s="7" t="s">
        <v>30</v>
      </c>
      <c r="C82" s="7" t="s">
        <v>7855</v>
      </c>
      <c r="D82" s="19" t="s">
        <v>10756</v>
      </c>
      <c r="E82" s="15" t="str">
        <f>HYPERLINK("https://stat100.ameba.jp/tnk47/ratio20/illustrations/card/ill_85003_korakukukkichan03.jpg?201911-2-RELEASE-unionbattle-438", "■")</f>
        <v>■</v>
      </c>
      <c r="F82" s="7" t="s">
        <v>7864</v>
      </c>
      <c r="G82" s="7">
        <v>23258</v>
      </c>
      <c r="H82" s="7">
        <v>27692</v>
      </c>
      <c r="I82" s="7">
        <v>22</v>
      </c>
      <c r="J82" s="7" t="s">
        <v>104</v>
      </c>
      <c r="K82" s="7" t="s">
        <v>7863</v>
      </c>
      <c r="L82" s="7" t="s">
        <v>4560</v>
      </c>
      <c r="M82" s="1" t="s">
        <v>9158</v>
      </c>
      <c r="N82" s="1" t="s">
        <v>9158</v>
      </c>
      <c r="O82" s="1" t="s">
        <v>9158</v>
      </c>
      <c r="P82" s="1" t="s">
        <v>9158</v>
      </c>
      <c r="Q82" s="1" t="s">
        <v>9158</v>
      </c>
    </row>
    <row r="83" spans="1:17">
      <c r="E83" s="7"/>
    </row>
    <row r="84" spans="1:17">
      <c r="A84" s="7" t="s">
        <v>7867</v>
      </c>
      <c r="E84" s="7"/>
    </row>
    <row r="85" spans="1:17">
      <c r="A85" s="7" t="s">
        <v>7868</v>
      </c>
      <c r="E85" s="7"/>
    </row>
    <row r="86" spans="1:17">
      <c r="A86" s="1" t="s">
        <v>5615</v>
      </c>
      <c r="B86" s="1" t="s">
        <v>330</v>
      </c>
      <c r="C86" s="1" t="s">
        <v>206</v>
      </c>
      <c r="D86" s="19" t="s">
        <v>2814</v>
      </c>
      <c r="E86" s="15" t="str">
        <f>HYPERLINK("https://stat100.ameba.jp/tnk47/ratio20/illustrations/card/ill_57733_0_shogatsunisenjunanaamakusashiro03.jpg?201911-2-RELEASE-unionbattle-438", "■")</f>
        <v>■</v>
      </c>
      <c r="F86" s="1" t="s">
        <v>2815</v>
      </c>
      <c r="G86" s="1">
        <v>83712</v>
      </c>
      <c r="H86" s="1">
        <v>94236</v>
      </c>
      <c r="I86" s="1">
        <v>15</v>
      </c>
      <c r="J86" s="1" t="s">
        <v>351</v>
      </c>
      <c r="K86" s="1" t="s">
        <v>2816</v>
      </c>
      <c r="L86" s="1" t="s">
        <v>2817</v>
      </c>
      <c r="M86" s="1" t="s">
        <v>9158</v>
      </c>
      <c r="N86" s="1" t="s">
        <v>9158</v>
      </c>
      <c r="O86" s="19" t="s">
        <v>10077</v>
      </c>
      <c r="P86" s="1" t="s">
        <v>3062</v>
      </c>
      <c r="Q86" s="1">
        <v>1</v>
      </c>
    </row>
    <row r="87" spans="1:17">
      <c r="A87" s="1" t="s">
        <v>5891</v>
      </c>
      <c r="B87" s="1" t="s">
        <v>330</v>
      </c>
      <c r="C87" s="1" t="s">
        <v>202</v>
      </c>
      <c r="D87" s="19" t="s">
        <v>1371</v>
      </c>
      <c r="E87" s="15" t="str">
        <f>HYPERLINK("https://stat100.ameba.jp/tnk47/ratio20/illustrations/card/ill_77173_0_yukemuritomoegozen03.jpg?201911-2-RELEASE-unionbattle-438", "■")</f>
        <v>■</v>
      </c>
      <c r="F87" s="1" t="s">
        <v>1372</v>
      </c>
      <c r="G87" s="1">
        <v>150366</v>
      </c>
      <c r="H87" s="1">
        <v>166369</v>
      </c>
      <c r="I87" s="1">
        <v>15</v>
      </c>
      <c r="J87" s="1" t="s">
        <v>310</v>
      </c>
      <c r="K87" s="1" t="s">
        <v>1373</v>
      </c>
      <c r="L87" s="1" t="s">
        <v>1374</v>
      </c>
      <c r="M87" s="1" t="s">
        <v>9158</v>
      </c>
      <c r="N87" s="1" t="s">
        <v>9158</v>
      </c>
      <c r="O87" s="19" t="s">
        <v>4067</v>
      </c>
      <c r="P87" s="1" t="s">
        <v>3879</v>
      </c>
      <c r="Q87" s="1">
        <v>2</v>
      </c>
    </row>
    <row r="88" spans="1:17">
      <c r="A88" s="1" t="s">
        <v>5616</v>
      </c>
      <c r="B88" s="1" t="s">
        <v>52</v>
      </c>
      <c r="C88" s="1" t="s">
        <v>14</v>
      </c>
      <c r="D88" s="19" t="s">
        <v>638</v>
      </c>
      <c r="E88" s="15" t="str">
        <f>HYPERLINK("https://stat100.ameba.jp/tnk47/ratio20/illustrations/card/ill_44253_0_dokuganryudatemasamune03.jpg?201911-2-RELEASE-unionbattle-438", "■")</f>
        <v>■</v>
      </c>
      <c r="F88" s="1" t="s">
        <v>1181</v>
      </c>
      <c r="G88" s="1">
        <v>82212</v>
      </c>
      <c r="H88" s="1">
        <v>87780</v>
      </c>
      <c r="I88" s="1">
        <v>15</v>
      </c>
      <c r="J88" s="1" t="s">
        <v>143</v>
      </c>
      <c r="K88" s="1" t="s">
        <v>1182</v>
      </c>
      <c r="L88" s="1" t="s">
        <v>1183</v>
      </c>
      <c r="M88" s="1" t="s">
        <v>9158</v>
      </c>
      <c r="N88" s="1" t="s">
        <v>9158</v>
      </c>
      <c r="O88" s="1" t="s">
        <v>9158</v>
      </c>
      <c r="P88" s="1" t="s">
        <v>9158</v>
      </c>
      <c r="Q88" s="1" t="s">
        <v>9158</v>
      </c>
    </row>
    <row r="89" spans="1:17">
      <c r="A89" s="1">
        <v>67533</v>
      </c>
      <c r="B89" s="1" t="s">
        <v>334</v>
      </c>
      <c r="C89" s="1" t="s">
        <v>206</v>
      </c>
      <c r="D89" s="19" t="s">
        <v>890</v>
      </c>
      <c r="E89" s="15" t="str">
        <f>HYPERLINK("https://stat100.ameba.jp/tnk47/ratio20/illustrations/card/ill_67533_makkurazore03.jpg?201911-2-RELEASE-unionbattle-438", "■")</f>
        <v>■</v>
      </c>
      <c r="F89" s="1" t="s">
        <v>891</v>
      </c>
      <c r="G89" s="1">
        <v>67636</v>
      </c>
      <c r="H89" s="1">
        <v>120204</v>
      </c>
      <c r="I89" s="1">
        <v>24</v>
      </c>
      <c r="J89" s="1" t="s">
        <v>320</v>
      </c>
      <c r="K89" s="1" t="s">
        <v>892</v>
      </c>
      <c r="L89" s="1" t="s">
        <v>893</v>
      </c>
      <c r="M89" s="1" t="s">
        <v>9158</v>
      </c>
      <c r="N89" s="1" t="s">
        <v>9158</v>
      </c>
      <c r="O89" s="1" t="s">
        <v>9158</v>
      </c>
      <c r="P89" s="1" t="s">
        <v>9158</v>
      </c>
      <c r="Q89" s="1" t="s">
        <v>9158</v>
      </c>
    </row>
    <row r="90" spans="1:17">
      <c r="A90" s="7">
        <v>55993</v>
      </c>
      <c r="B90" s="1" t="s">
        <v>334</v>
      </c>
      <c r="C90" s="1" t="s">
        <v>307</v>
      </c>
      <c r="D90" s="19" t="s">
        <v>732</v>
      </c>
      <c r="E90" s="15" t="str">
        <f>HYPERLINK("https://stat100.ameba.jp/tnk47/ratio20/illustrations/card/ill_55993_taiyakichan03.jpg?201911-2-RELEASE-unionbattle-438", "■")</f>
        <v>■</v>
      </c>
      <c r="F90" s="1" t="s">
        <v>733</v>
      </c>
      <c r="G90" s="1">
        <v>78748</v>
      </c>
      <c r="H90" s="1">
        <v>139986</v>
      </c>
      <c r="I90" s="1">
        <v>24</v>
      </c>
      <c r="J90" s="1" t="s">
        <v>283</v>
      </c>
      <c r="K90" s="1" t="s">
        <v>734</v>
      </c>
      <c r="L90" s="1" t="s">
        <v>735</v>
      </c>
      <c r="M90" s="1" t="s">
        <v>9158</v>
      </c>
      <c r="N90" s="1" t="s">
        <v>9158</v>
      </c>
      <c r="O90" s="1" t="s">
        <v>9158</v>
      </c>
      <c r="P90" s="1" t="s">
        <v>9158</v>
      </c>
      <c r="Q90" s="1" t="s">
        <v>9158</v>
      </c>
    </row>
    <row r="91" spans="1:17">
      <c r="A91" s="1">
        <v>80823</v>
      </c>
      <c r="B91" s="1" t="s">
        <v>334</v>
      </c>
      <c r="C91" s="1" t="s">
        <v>96</v>
      </c>
      <c r="D91" s="19" t="s">
        <v>10541</v>
      </c>
      <c r="E91" s="15" t="str">
        <f>HYPERLINK("https://stat100.ameba.jp/tnk47/ratio20/illustrations/card/ill_80823_utatanekitanokata03.jpg?201911-2-RELEASE-unionbattle-438", "■")</f>
        <v>■</v>
      </c>
      <c r="F91" s="1" t="s">
        <v>4268</v>
      </c>
      <c r="G91" s="1">
        <v>132658</v>
      </c>
      <c r="H91" s="1">
        <v>142674</v>
      </c>
      <c r="I91" s="1">
        <v>24</v>
      </c>
      <c r="J91" s="1" t="s">
        <v>143</v>
      </c>
      <c r="K91" s="1" t="s">
        <v>4269</v>
      </c>
      <c r="L91" s="1" t="s">
        <v>1148</v>
      </c>
      <c r="M91" s="1" t="s">
        <v>9158</v>
      </c>
      <c r="N91" s="1" t="s">
        <v>9158</v>
      </c>
      <c r="O91" s="1" t="s">
        <v>9158</v>
      </c>
      <c r="P91" s="1" t="s">
        <v>9158</v>
      </c>
      <c r="Q91" s="1" t="s">
        <v>9158</v>
      </c>
    </row>
    <row r="92" spans="1:17">
      <c r="A92" s="7">
        <v>77253</v>
      </c>
      <c r="B92" s="1" t="s">
        <v>348</v>
      </c>
      <c r="C92" s="1" t="s">
        <v>205</v>
      </c>
      <c r="D92" s="19" t="s">
        <v>1439</v>
      </c>
      <c r="E92" s="15" t="str">
        <f>HYPERLINK("https://stat100.ameba.jp/tnk47/ratio20/illustrations/card/ill_77253_korakuoribuchan03.jpg?201911-2-RELEASE-unionbattle-438", "■")</f>
        <v>■</v>
      </c>
      <c r="F92" s="1" t="s">
        <v>1440</v>
      </c>
      <c r="G92" s="1">
        <v>53768</v>
      </c>
      <c r="H92" s="1">
        <v>59280</v>
      </c>
      <c r="I92" s="1">
        <v>20</v>
      </c>
      <c r="J92" s="1" t="s">
        <v>283</v>
      </c>
      <c r="K92" s="1" t="s">
        <v>1441</v>
      </c>
      <c r="L92" s="1" t="s">
        <v>1442</v>
      </c>
      <c r="M92" s="1" t="s">
        <v>9158</v>
      </c>
      <c r="N92" s="1" t="s">
        <v>9158</v>
      </c>
      <c r="O92" s="1" t="s">
        <v>9158</v>
      </c>
      <c r="P92" s="1" t="s">
        <v>9158</v>
      </c>
      <c r="Q92" s="1" t="s">
        <v>9158</v>
      </c>
    </row>
    <row r="93" spans="1:17">
      <c r="A93" s="7">
        <v>80363</v>
      </c>
      <c r="B93" s="1" t="s">
        <v>15</v>
      </c>
      <c r="C93" s="1" t="s">
        <v>23</v>
      </c>
      <c r="D93" s="19" t="s">
        <v>4126</v>
      </c>
      <c r="E93" s="15" t="str">
        <f>HYPERLINK("https://stat100.ameba.jp/tnk47/ratio20/illustrations/card/ill_80363_hondatadakatsu03.jpg?201911-2-RELEASE-unionbattle-438", "■")</f>
        <v>■</v>
      </c>
      <c r="F93" s="1" t="s">
        <v>4098</v>
      </c>
      <c r="G93" s="1">
        <v>53768</v>
      </c>
      <c r="H93" s="1">
        <v>59280</v>
      </c>
      <c r="I93" s="1">
        <v>20</v>
      </c>
      <c r="J93" s="1" t="s">
        <v>143</v>
      </c>
      <c r="K93" s="1" t="s">
        <v>4099</v>
      </c>
      <c r="L93" s="1" t="s">
        <v>3326</v>
      </c>
      <c r="M93" s="1" t="s">
        <v>9158</v>
      </c>
      <c r="N93" s="1" t="s">
        <v>9158</v>
      </c>
      <c r="O93" s="1" t="s">
        <v>9158</v>
      </c>
      <c r="P93" s="1" t="s">
        <v>9158</v>
      </c>
      <c r="Q93" s="1" t="s">
        <v>9158</v>
      </c>
    </row>
    <row r="94" spans="1:17">
      <c r="A94" s="7">
        <v>65783</v>
      </c>
      <c r="B94" s="1" t="s">
        <v>15</v>
      </c>
      <c r="C94" s="1" t="s">
        <v>185</v>
      </c>
      <c r="D94" s="19" t="s">
        <v>10757</v>
      </c>
      <c r="E94" s="15" t="str">
        <f>HYPERLINK("https://stat100.ameba.jp/tnk47/ratio20/illustrations/card/ill_65783_sankichioni03.jpg?201911-2-RELEASE-unionbattle-438", "■")</f>
        <v>■</v>
      </c>
      <c r="F94" s="1" t="s">
        <v>3965</v>
      </c>
      <c r="G94" s="1">
        <v>53768</v>
      </c>
      <c r="H94" s="1">
        <v>59280</v>
      </c>
      <c r="I94" s="1">
        <v>20</v>
      </c>
      <c r="J94" s="1" t="s">
        <v>73</v>
      </c>
      <c r="K94" s="1" t="s">
        <v>3966</v>
      </c>
      <c r="L94" s="1" t="s">
        <v>1706</v>
      </c>
      <c r="M94" s="1" t="s">
        <v>9158</v>
      </c>
      <c r="N94" s="1" t="s">
        <v>9158</v>
      </c>
      <c r="O94" s="1" t="s">
        <v>9158</v>
      </c>
      <c r="P94" s="1" t="s">
        <v>9158</v>
      </c>
      <c r="Q94" s="1" t="s">
        <v>9158</v>
      </c>
    </row>
    <row r="95" spans="1:17">
      <c r="E95" s="7"/>
    </row>
    <row r="96" spans="1:17">
      <c r="A96" s="7" t="s">
        <v>7869</v>
      </c>
      <c r="E96" s="7"/>
    </row>
    <row r="97" spans="1:17">
      <c r="A97" s="7" t="s">
        <v>7870</v>
      </c>
      <c r="E97" s="7"/>
    </row>
    <row r="98" spans="1:17">
      <c r="A98" s="1" t="s">
        <v>5843</v>
      </c>
      <c r="B98" s="1" t="s">
        <v>52</v>
      </c>
      <c r="C98" s="1" t="s">
        <v>202</v>
      </c>
      <c r="D98" s="19" t="s">
        <v>10291</v>
      </c>
      <c r="E98" s="15" t="str">
        <f>HYPERLINK("https://stat100.ameba.jp/tnk47/ratio20/illustrations/card/ill_77963_0_kurisumasudaisakusentakiyashahime03.jpg?201911-2-RELEASE-unionbattle-438", "■")</f>
        <v>■</v>
      </c>
      <c r="F98" s="1" t="s">
        <v>2127</v>
      </c>
      <c r="G98" s="1">
        <v>270184</v>
      </c>
      <c r="H98" s="1">
        <v>244188</v>
      </c>
      <c r="I98" s="1">
        <v>22</v>
      </c>
      <c r="J98" s="1" t="s">
        <v>77</v>
      </c>
      <c r="K98" s="1" t="s">
        <v>2128</v>
      </c>
      <c r="L98" s="1" t="s">
        <v>2129</v>
      </c>
      <c r="M98" s="1" t="s">
        <v>9158</v>
      </c>
      <c r="N98" s="1" t="s">
        <v>9158</v>
      </c>
      <c r="O98" s="19" t="s">
        <v>10107</v>
      </c>
      <c r="P98" s="1" t="s">
        <v>3589</v>
      </c>
      <c r="Q98" s="1">
        <v>2</v>
      </c>
    </row>
    <row r="99" spans="1:17">
      <c r="A99" s="1">
        <v>60173</v>
      </c>
      <c r="B99" s="1" t="s">
        <v>0</v>
      </c>
      <c r="C99" s="1" t="s">
        <v>41</v>
      </c>
      <c r="D99" s="19" t="s">
        <v>10231</v>
      </c>
      <c r="E99" s="15" t="str">
        <f>HYPERLINK("https://stat100.ameba.jp/tnk47/ratio20/illustrations/card/ill_60173_kugutsushi03.jpg?201911-2-RELEASE-unionbattle-438", "■")</f>
        <v>■</v>
      </c>
      <c r="F99" s="1" t="s">
        <v>4282</v>
      </c>
      <c r="G99" s="1">
        <v>92402</v>
      </c>
      <c r="H99" s="1">
        <v>127580</v>
      </c>
      <c r="I99" s="1">
        <v>25</v>
      </c>
      <c r="J99" s="1" t="s">
        <v>38</v>
      </c>
      <c r="K99" s="1" t="s">
        <v>4283</v>
      </c>
      <c r="L99" s="1" t="s">
        <v>2714</v>
      </c>
      <c r="M99" s="1" t="s">
        <v>9158</v>
      </c>
      <c r="N99" s="1" t="s">
        <v>9158</v>
      </c>
      <c r="O99" s="19" t="s">
        <v>10113</v>
      </c>
      <c r="P99" s="1" t="s">
        <v>4285</v>
      </c>
      <c r="Q99" s="1">
        <v>1</v>
      </c>
    </row>
    <row r="100" spans="1:17">
      <c r="A100" s="1">
        <v>70843</v>
      </c>
      <c r="B100" s="1" t="s">
        <v>334</v>
      </c>
      <c r="C100" s="1" t="s">
        <v>268</v>
      </c>
      <c r="D100" s="19" t="s">
        <v>10651</v>
      </c>
      <c r="E100" s="15" t="str">
        <f>HYPERLINK("https://stat100.ameba.jp/tnk47/ratio20/illustrations/card/ill_70843_indoshinwakurionechan03.jpg?201911-2-RELEASE-unionbattle-438", "■")</f>
        <v>■</v>
      </c>
      <c r="F100" s="1" t="s">
        <v>856</v>
      </c>
      <c r="G100" s="1">
        <v>105890</v>
      </c>
      <c r="H100" s="1">
        <v>113890</v>
      </c>
      <c r="I100" s="1">
        <v>25</v>
      </c>
      <c r="J100" s="1" t="s">
        <v>369</v>
      </c>
      <c r="K100" s="1" t="s">
        <v>857</v>
      </c>
      <c r="L100" s="1" t="s">
        <v>496</v>
      </c>
      <c r="M100" s="1" t="s">
        <v>9158</v>
      </c>
      <c r="N100" s="1" t="s">
        <v>9158</v>
      </c>
      <c r="O100" s="19" t="s">
        <v>10074</v>
      </c>
      <c r="P100" s="1" t="s">
        <v>3592</v>
      </c>
      <c r="Q100" s="1">
        <v>1</v>
      </c>
    </row>
    <row r="101" spans="1:17">
      <c r="A101" s="1">
        <v>81143</v>
      </c>
      <c r="B101" s="1" t="s">
        <v>334</v>
      </c>
      <c r="C101" s="1" t="s">
        <v>205</v>
      </c>
      <c r="D101" s="19" t="s">
        <v>10419</v>
      </c>
      <c r="E101" s="15" t="str">
        <f>HYPERLINK("https://stat100.ameba.jp/tnk47/ratio20/illustrations/card/ill_81143_shinryokunokisetsumerompan03.jpg?201911-2-RELEASE-unionbattle-438", "■")</f>
        <v>■</v>
      </c>
      <c r="F101" s="1" t="s">
        <v>4517</v>
      </c>
      <c r="G101" s="1">
        <v>118063</v>
      </c>
      <c r="H101" s="1">
        <v>109786</v>
      </c>
      <c r="I101" s="1">
        <v>25</v>
      </c>
      <c r="J101" s="1" t="s">
        <v>104</v>
      </c>
      <c r="K101" s="1" t="s">
        <v>4518</v>
      </c>
      <c r="L101" s="1" t="s">
        <v>3489</v>
      </c>
      <c r="M101" s="1" t="s">
        <v>9158</v>
      </c>
      <c r="N101" s="1" t="s">
        <v>9158</v>
      </c>
      <c r="O101" s="19" t="s">
        <v>10111</v>
      </c>
      <c r="P101" s="1" t="s">
        <v>3610</v>
      </c>
      <c r="Q101" s="1">
        <v>1</v>
      </c>
    </row>
    <row r="102" spans="1:17">
      <c r="E102" s="7"/>
    </row>
    <row r="103" spans="1:17">
      <c r="A103" s="1" t="s">
        <v>195</v>
      </c>
      <c r="B103" s="1"/>
      <c r="C103" s="1"/>
      <c r="D103" s="1"/>
      <c r="F103" s="1"/>
      <c r="G103" s="1"/>
      <c r="H103" s="1"/>
      <c r="I103" s="1"/>
      <c r="J103" s="1"/>
      <c r="K103" s="1"/>
      <c r="L103" s="1"/>
      <c r="M103" s="1"/>
      <c r="N103" s="1"/>
      <c r="O103" s="1"/>
      <c r="P103" s="1"/>
      <c r="Q103" s="1"/>
    </row>
    <row r="104" spans="1:17">
      <c r="A104" s="1" t="s">
        <v>7871</v>
      </c>
      <c r="B104" s="1"/>
      <c r="C104" s="1"/>
      <c r="D104" s="1"/>
      <c r="F104" s="1"/>
      <c r="G104" s="1"/>
      <c r="H104" s="1"/>
      <c r="I104" s="1"/>
      <c r="J104" s="1"/>
      <c r="K104" s="1"/>
      <c r="L104" s="1"/>
      <c r="M104" s="1"/>
      <c r="N104" s="1"/>
      <c r="O104" s="1"/>
      <c r="P104" s="1"/>
      <c r="Q104" s="1"/>
    </row>
    <row r="105" spans="1:17">
      <c r="A105" s="1">
        <v>84733</v>
      </c>
      <c r="B105" s="1" t="s">
        <v>0</v>
      </c>
      <c r="C105" s="1" t="s">
        <v>154</v>
      </c>
      <c r="D105" s="19" t="s">
        <v>10677</v>
      </c>
      <c r="E105" s="15" t="str">
        <f>HYPERLINK("https://stat100.ameba.jp/tnk47/ratio20/illustrations/card/ill_84733_madadoru03.jpg?201911-2-RELEASE-unionbattle-438", "■")</f>
        <v>■</v>
      </c>
      <c r="F105" s="1" t="s">
        <v>7293</v>
      </c>
      <c r="G105" s="1">
        <v>103512</v>
      </c>
      <c r="H105" s="1">
        <v>96246</v>
      </c>
      <c r="I105" s="1">
        <v>24</v>
      </c>
      <c r="J105" s="1" t="s">
        <v>182</v>
      </c>
      <c r="K105" s="1" t="s">
        <v>7296</v>
      </c>
      <c r="L105" s="1" t="s">
        <v>7295</v>
      </c>
      <c r="M105" s="1" t="s">
        <v>9158</v>
      </c>
      <c r="N105" s="1" t="s">
        <v>9158</v>
      </c>
      <c r="O105" s="1" t="s">
        <v>9158</v>
      </c>
      <c r="P105" s="1" t="s">
        <v>9158</v>
      </c>
      <c r="Q105" s="1" t="s">
        <v>9158</v>
      </c>
    </row>
    <row r="106" spans="1:17">
      <c r="A106" s="1">
        <v>84743</v>
      </c>
      <c r="B106" s="1" t="s">
        <v>0</v>
      </c>
      <c r="C106" s="1" t="s">
        <v>158</v>
      </c>
      <c r="D106" s="19" t="s">
        <v>10678</v>
      </c>
      <c r="E106" s="15" t="str">
        <f>HYPERLINK("https://stat100.ameba.jp/tnk47/ratio20/illustrations/card/ill_84743_rinnenonyumpe03.jpg?201911-2-RELEASE-unionbattle-438", "■")</f>
        <v>■</v>
      </c>
      <c r="F106" s="1" t="s">
        <v>7294</v>
      </c>
      <c r="G106" s="1">
        <v>103512</v>
      </c>
      <c r="H106" s="1">
        <v>96246</v>
      </c>
      <c r="I106" s="1">
        <v>24</v>
      </c>
      <c r="J106" s="1" t="s">
        <v>169</v>
      </c>
      <c r="K106" s="1" t="s">
        <v>7297</v>
      </c>
      <c r="L106" s="1" t="s">
        <v>7298</v>
      </c>
      <c r="M106" s="1" t="s">
        <v>9158</v>
      </c>
      <c r="N106" s="1" t="s">
        <v>9158</v>
      </c>
      <c r="O106" s="1" t="s">
        <v>9158</v>
      </c>
      <c r="P106" s="1" t="s">
        <v>9158</v>
      </c>
      <c r="Q106" s="1" t="s">
        <v>9158</v>
      </c>
    </row>
    <row r="107" spans="1:17">
      <c r="A107" s="1">
        <v>69883</v>
      </c>
      <c r="B107" s="1" t="s">
        <v>334</v>
      </c>
      <c r="C107" s="1" t="s">
        <v>185</v>
      </c>
      <c r="D107" s="19" t="s">
        <v>10293</v>
      </c>
      <c r="E107" s="15" t="str">
        <f>HYPERLINK("https://stat100.ameba.jp/tnk47/ratio20/illustrations/card/ill_69883_kyupiddotominushihime03.jpg?201911-2-RELEASE-unionbattle-438", "■")</f>
        <v>■</v>
      </c>
      <c r="F107" s="1" t="s">
        <v>4142</v>
      </c>
      <c r="G107" s="1">
        <v>91010</v>
      </c>
      <c r="H107" s="1">
        <v>97894</v>
      </c>
      <c r="I107" s="1">
        <v>24</v>
      </c>
      <c r="J107" s="1" t="s">
        <v>169</v>
      </c>
      <c r="K107" s="1" t="s">
        <v>4143</v>
      </c>
      <c r="L107" s="1" t="s">
        <v>13190</v>
      </c>
      <c r="M107" s="1" t="s">
        <v>9158</v>
      </c>
      <c r="N107" s="1" t="s">
        <v>9158</v>
      </c>
      <c r="O107" s="1" t="s">
        <v>9158</v>
      </c>
      <c r="P107" s="1" t="s">
        <v>9158</v>
      </c>
      <c r="Q107" s="1" t="s">
        <v>9158</v>
      </c>
    </row>
    <row r="108" spans="1:17">
      <c r="A108" s="1">
        <v>71833</v>
      </c>
      <c r="B108" s="1" t="s">
        <v>334</v>
      </c>
      <c r="C108" s="1" t="s">
        <v>165</v>
      </c>
      <c r="D108" s="19" t="s">
        <v>10294</v>
      </c>
      <c r="E108" s="15" t="str">
        <f>HYPERLINK("https://stat100.ameba.jp/tnk47/ratio20/illustrations/card/ill_71833_autodoanuregamidoji03.jpg?201911-2-RELEASE-unionbattle-438", "■")</f>
        <v>■</v>
      </c>
      <c r="F108" s="1" t="s">
        <v>5291</v>
      </c>
      <c r="G108" s="1">
        <v>92996</v>
      </c>
      <c r="H108" s="1">
        <v>99996</v>
      </c>
      <c r="I108" s="1">
        <v>24</v>
      </c>
      <c r="J108" s="1" t="s">
        <v>320</v>
      </c>
      <c r="K108" s="1" t="s">
        <v>4244</v>
      </c>
      <c r="L108" s="1" t="s">
        <v>4245</v>
      </c>
      <c r="M108" s="1" t="s">
        <v>9158</v>
      </c>
      <c r="N108" s="1" t="s">
        <v>9158</v>
      </c>
      <c r="O108" s="1" t="s">
        <v>9158</v>
      </c>
      <c r="P108" s="1" t="s">
        <v>9158</v>
      </c>
      <c r="Q108" s="1" t="s">
        <v>9158</v>
      </c>
    </row>
    <row r="109" spans="1:17">
      <c r="A109" s="1">
        <v>52973</v>
      </c>
      <c r="B109" s="1" t="s">
        <v>15</v>
      </c>
      <c r="C109" s="1" t="s">
        <v>206</v>
      </c>
      <c r="D109" s="19" t="s">
        <v>10519</v>
      </c>
      <c r="E109" s="15" t="str">
        <f>HYPERLINK("https://stat100.ameba.jp/tnk47/ratio20/illustrations/card/ill_52973_torampuamoronagu03.jpg?201911-2-RELEASE-unionbattle-438", "■")</f>
        <v>■</v>
      </c>
      <c r="F109" s="1" t="s">
        <v>6421</v>
      </c>
      <c r="G109" s="1">
        <v>56316</v>
      </c>
      <c r="H109" s="1">
        <v>51078</v>
      </c>
      <c r="I109" s="1">
        <v>19</v>
      </c>
      <c r="J109" s="1" t="s">
        <v>44</v>
      </c>
      <c r="K109" s="1" t="s">
        <v>6419</v>
      </c>
      <c r="L109" s="1" t="s">
        <v>6418</v>
      </c>
      <c r="M109" s="1" t="s">
        <v>9158</v>
      </c>
      <c r="N109" s="1" t="s">
        <v>9158</v>
      </c>
      <c r="O109" s="1" t="s">
        <v>9158</v>
      </c>
      <c r="P109" s="1" t="s">
        <v>9158</v>
      </c>
      <c r="Q109" s="1" t="s">
        <v>9158</v>
      </c>
    </row>
    <row r="110" spans="1:17">
      <c r="A110" s="1">
        <v>52333</v>
      </c>
      <c r="B110" s="1" t="s">
        <v>15</v>
      </c>
      <c r="C110" s="1" t="s">
        <v>200</v>
      </c>
      <c r="D110" s="19" t="s">
        <v>10537</v>
      </c>
      <c r="E110" s="15" t="str">
        <f>HYPERLINK("https://stat100.ameba.jp/tnk47/ratio20/illustrations/card/ill_52333_chichibuyomatsuri03.jpg?201911-2-RELEASE-unionbattle-438", "■")</f>
        <v>■</v>
      </c>
      <c r="F110" s="1" t="s">
        <v>3614</v>
      </c>
      <c r="G110" s="1">
        <v>56316</v>
      </c>
      <c r="H110" s="1">
        <v>51078</v>
      </c>
      <c r="I110" s="1">
        <v>19</v>
      </c>
      <c r="J110" s="1" t="s">
        <v>38</v>
      </c>
      <c r="K110" s="1" t="s">
        <v>3615</v>
      </c>
      <c r="L110" s="1" t="s">
        <v>3616</v>
      </c>
      <c r="M110" s="1" t="s">
        <v>9158</v>
      </c>
      <c r="N110" s="1" t="s">
        <v>9158</v>
      </c>
      <c r="O110" s="1" t="s">
        <v>9158</v>
      </c>
      <c r="P110" s="1" t="s">
        <v>9158</v>
      </c>
      <c r="Q110" s="1" t="s">
        <v>9158</v>
      </c>
    </row>
    <row r="111" spans="1:17">
      <c r="A111" s="1">
        <v>51913</v>
      </c>
      <c r="B111" s="1" t="s">
        <v>15</v>
      </c>
      <c r="C111" s="1" t="s">
        <v>191</v>
      </c>
      <c r="D111" s="19" t="s">
        <v>10538</v>
      </c>
      <c r="E111" s="15" t="str">
        <f>HYPERLINK("https://stat100.ameba.jp/tnk47/ratio20/illustrations/card/ill_51913_kemonomizugihamahime03.jpg?201911-2-RELEASE-unionbattle-438", "■")</f>
        <v>■</v>
      </c>
      <c r="F111" s="1" t="s">
        <v>6501</v>
      </c>
      <c r="G111" s="1">
        <v>51078</v>
      </c>
      <c r="H111" s="1">
        <v>56316</v>
      </c>
      <c r="I111" s="1">
        <v>19</v>
      </c>
      <c r="J111" s="1" t="s">
        <v>182</v>
      </c>
      <c r="K111" s="1" t="s">
        <v>6500</v>
      </c>
      <c r="L111" s="1" t="s">
        <v>6499</v>
      </c>
      <c r="M111" s="1" t="s">
        <v>9158</v>
      </c>
      <c r="N111" s="1" t="s">
        <v>9158</v>
      </c>
      <c r="O111" s="1" t="s">
        <v>9158</v>
      </c>
      <c r="P111" s="1" t="s">
        <v>9158</v>
      </c>
      <c r="Q111" s="1" t="s">
        <v>9158</v>
      </c>
    </row>
    <row r="112" spans="1:17">
      <c r="A112" s="1">
        <v>51833</v>
      </c>
      <c r="B112" s="1" t="s">
        <v>15</v>
      </c>
      <c r="C112" s="1" t="s">
        <v>205</v>
      </c>
      <c r="D112" s="19" t="s">
        <v>10493</v>
      </c>
      <c r="E112" s="15" t="str">
        <f>HYPERLINK("https://stat100.ameba.jp/tnk47/ratio20/illustrations/card/ill_51833_jukimakitsuhikonomikoto03.jpg?201911-2-RELEASE-unionbattle-438", "■")</f>
        <v>■</v>
      </c>
      <c r="F112" s="1" t="s">
        <v>6254</v>
      </c>
      <c r="G112" s="1">
        <v>56316</v>
      </c>
      <c r="H112" s="1">
        <v>51078</v>
      </c>
      <c r="I112" s="1">
        <v>19</v>
      </c>
      <c r="J112" s="1" t="s">
        <v>44</v>
      </c>
      <c r="K112" s="1" t="s">
        <v>6257</v>
      </c>
      <c r="L112" s="1" t="s">
        <v>6256</v>
      </c>
      <c r="M112" s="1" t="s">
        <v>9158</v>
      </c>
      <c r="N112" s="1" t="s">
        <v>9158</v>
      </c>
      <c r="O112" s="1" t="s">
        <v>9158</v>
      </c>
      <c r="P112" s="1" t="s">
        <v>9158</v>
      </c>
      <c r="Q112" s="1" t="s">
        <v>9158</v>
      </c>
    </row>
    <row r="113" spans="1:17">
      <c r="E113" s="7"/>
    </row>
    <row r="114" spans="1:17">
      <c r="A114" s="7" t="s">
        <v>7872</v>
      </c>
      <c r="E114" s="7"/>
    </row>
    <row r="115" spans="1:17">
      <c r="A115" s="7" t="s">
        <v>7873</v>
      </c>
      <c r="E115" s="7"/>
    </row>
    <row r="116" spans="1:17">
      <c r="A116" s="1" t="s">
        <v>6030</v>
      </c>
      <c r="B116" s="1" t="s">
        <v>52</v>
      </c>
      <c r="C116" s="1" t="s">
        <v>202</v>
      </c>
      <c r="D116" s="19" t="s">
        <v>10453</v>
      </c>
      <c r="E116" s="15" t="str">
        <f>HYPERLINK("https://stat100.ameba.jp/tnk47/ratio20/illustrations/card/ill_80023_0_hinamatsurikyogokumaria03.jpg?201911-2-RELEASE-unionbattle-438", "■")</f>
        <v>■</v>
      </c>
      <c r="F116" s="1" t="s">
        <v>3709</v>
      </c>
      <c r="G116" s="1">
        <v>323430</v>
      </c>
      <c r="H116" s="1">
        <v>357888</v>
      </c>
      <c r="I116" s="1">
        <v>24</v>
      </c>
      <c r="J116" s="1" t="s">
        <v>26</v>
      </c>
      <c r="K116" s="1" t="s">
        <v>3710</v>
      </c>
      <c r="L116" s="1" t="s">
        <v>3711</v>
      </c>
      <c r="M116" s="1" t="s">
        <v>9158</v>
      </c>
      <c r="N116" s="1" t="s">
        <v>9158</v>
      </c>
      <c r="O116" s="19" t="s">
        <v>10116</v>
      </c>
      <c r="P116" s="1" t="s">
        <v>3713</v>
      </c>
      <c r="Q116" s="1">
        <v>1</v>
      </c>
    </row>
    <row r="117" spans="1:17">
      <c r="A117" s="1">
        <v>77663</v>
      </c>
      <c r="B117" s="1" t="s">
        <v>334</v>
      </c>
      <c r="C117" s="1" t="s">
        <v>202</v>
      </c>
      <c r="D117" s="19" t="s">
        <v>10614</v>
      </c>
      <c r="E117" s="15" t="str">
        <f>HYPERLINK("https://stat100.ameba.jp/tnk47/ratio20/illustrations/card/ill_77663_deipuburu03.jpg?201911-2-RELEASE-unionbattle-438", "■")</f>
        <v>■</v>
      </c>
      <c r="F117" s="1" t="s">
        <v>1573</v>
      </c>
      <c r="G117" s="1">
        <v>78916</v>
      </c>
      <c r="H117" s="1">
        <v>108924</v>
      </c>
      <c r="I117" s="1">
        <v>24</v>
      </c>
      <c r="J117" s="1" t="s">
        <v>414</v>
      </c>
      <c r="K117" s="1" t="s">
        <v>1574</v>
      </c>
      <c r="L117" s="1" t="s">
        <v>1575</v>
      </c>
      <c r="M117" s="1" t="s">
        <v>9158</v>
      </c>
      <c r="N117" s="1" t="s">
        <v>9158</v>
      </c>
      <c r="O117" s="19" t="s">
        <v>10117</v>
      </c>
      <c r="P117" s="1" t="s">
        <v>3625</v>
      </c>
      <c r="Q117" s="1">
        <v>1</v>
      </c>
    </row>
    <row r="118" spans="1:17">
      <c r="A118" s="1">
        <v>77673</v>
      </c>
      <c r="B118" s="1" t="s">
        <v>334</v>
      </c>
      <c r="C118" s="1" t="s">
        <v>158</v>
      </c>
      <c r="D118" s="19" t="s">
        <v>10270</v>
      </c>
      <c r="E118" s="15" t="str">
        <f>HYPERLINK("https://stat100.ameba.jp/tnk47/ratio20/illustrations/card/ill_77673_ryunochoji03.jpg?201911-2-RELEASE-unionbattle-438", "■")</f>
        <v>■</v>
      </c>
      <c r="F118" s="1" t="s">
        <v>1777</v>
      </c>
      <c r="G118" s="1">
        <v>111914</v>
      </c>
      <c r="H118" s="1">
        <v>81078</v>
      </c>
      <c r="I118" s="1">
        <v>24</v>
      </c>
      <c r="J118" s="1" t="s">
        <v>73</v>
      </c>
      <c r="K118" s="1" t="s">
        <v>1778</v>
      </c>
      <c r="L118" s="1" t="s">
        <v>1779</v>
      </c>
      <c r="M118" s="1" t="s">
        <v>9158</v>
      </c>
      <c r="N118" s="1" t="s">
        <v>9158</v>
      </c>
      <c r="O118" s="19" t="s">
        <v>10090</v>
      </c>
      <c r="P118" s="1" t="s">
        <v>3460</v>
      </c>
      <c r="Q118" s="1">
        <v>1</v>
      </c>
    </row>
    <row r="119" spans="1:17">
      <c r="A119" s="1">
        <v>76803</v>
      </c>
      <c r="B119" s="1" t="s">
        <v>334</v>
      </c>
      <c r="C119" s="1" t="s">
        <v>202</v>
      </c>
      <c r="D119" s="19" t="s">
        <v>673</v>
      </c>
      <c r="E119" s="15" t="str">
        <f>HYPERLINK("https://stat100.ameba.jp/tnk47/ratio20/illustrations/card/ill_76803_monsutakujirachan03.jpg?201911-2-RELEASE-unionbattle-438", "■")</f>
        <v>■</v>
      </c>
      <c r="F119" s="1" t="s">
        <v>674</v>
      </c>
      <c r="G119" s="1">
        <v>159674</v>
      </c>
      <c r="H119" s="1">
        <v>115656</v>
      </c>
      <c r="I119" s="1">
        <v>24</v>
      </c>
      <c r="J119" s="1" t="s">
        <v>283</v>
      </c>
      <c r="K119" s="1" t="s">
        <v>675</v>
      </c>
      <c r="L119" s="1" t="s">
        <v>435</v>
      </c>
      <c r="M119" s="1" t="s">
        <v>9158</v>
      </c>
      <c r="N119" s="1" t="s">
        <v>9158</v>
      </c>
      <c r="O119" s="19" t="s">
        <v>3165</v>
      </c>
      <c r="P119" s="1" t="s">
        <v>13139</v>
      </c>
      <c r="Q119" s="1">
        <v>1</v>
      </c>
    </row>
    <row r="120" spans="1:17">
      <c r="E120" s="7"/>
    </row>
    <row r="121" spans="1:17">
      <c r="A121" s="7" t="s">
        <v>7874</v>
      </c>
      <c r="E121" s="7"/>
    </row>
    <row r="122" spans="1:17">
      <c r="A122" s="7" t="s">
        <v>7875</v>
      </c>
      <c r="E122" s="7"/>
    </row>
    <row r="123" spans="1:17">
      <c r="A123" s="1" t="s">
        <v>5787</v>
      </c>
      <c r="B123" s="1" t="s">
        <v>330</v>
      </c>
      <c r="C123" s="1" t="s">
        <v>270</v>
      </c>
      <c r="D123" s="19" t="s">
        <v>331</v>
      </c>
      <c r="E123" s="15" t="str">
        <f>HYPERLINK("https://stat100.ameba.jp/tnk47/ratio20/illustrations/card/ill_76303_0_haroinkaguya03.jpg?201911-2-RELEASE-unionbattle-438", "■")</f>
        <v>■</v>
      </c>
      <c r="F123" s="1" t="s">
        <v>332</v>
      </c>
      <c r="G123" s="1">
        <v>178507</v>
      </c>
      <c r="H123" s="1">
        <v>165953</v>
      </c>
      <c r="I123" s="1">
        <v>15</v>
      </c>
      <c r="J123" s="1" t="s">
        <v>274</v>
      </c>
      <c r="K123" s="1" t="s">
        <v>333</v>
      </c>
      <c r="L123" s="1" t="s">
        <v>276</v>
      </c>
      <c r="M123" s="1" t="s">
        <v>9158</v>
      </c>
      <c r="N123" s="1" t="s">
        <v>9158</v>
      </c>
      <c r="O123" s="19" t="s">
        <v>2976</v>
      </c>
      <c r="P123" s="1" t="s">
        <v>2724</v>
      </c>
      <c r="Q123" s="1">
        <v>1</v>
      </c>
    </row>
    <row r="124" spans="1:17">
      <c r="A124" s="1" t="s">
        <v>5642</v>
      </c>
      <c r="B124" s="1" t="s">
        <v>330</v>
      </c>
      <c r="C124" s="1" t="s">
        <v>185</v>
      </c>
      <c r="D124" s="19" t="s">
        <v>3086</v>
      </c>
      <c r="E124" s="15" t="str">
        <f>HYPERLINK("https://stat100.ameba.jp/tnk47/ratio20/illustrations/card/ill_69593_0_setsubunyukionna03.jpg?201911-2-RELEASE-unionbattle-438", "■")</f>
        <v>■</v>
      </c>
      <c r="F124" s="1" t="s">
        <v>3087</v>
      </c>
      <c r="G124" s="1">
        <v>107146</v>
      </c>
      <c r="H124" s="1">
        <v>115249</v>
      </c>
      <c r="I124" s="1">
        <v>15</v>
      </c>
      <c r="J124" s="1" t="s">
        <v>320</v>
      </c>
      <c r="K124" s="1" t="s">
        <v>3088</v>
      </c>
      <c r="L124" s="1" t="s">
        <v>3089</v>
      </c>
      <c r="M124" s="1" t="s">
        <v>9158</v>
      </c>
      <c r="N124" s="1" t="s">
        <v>9158</v>
      </c>
      <c r="O124" s="19" t="s">
        <v>3090</v>
      </c>
      <c r="P124" s="1" t="s">
        <v>3091</v>
      </c>
      <c r="Q124" s="1">
        <v>2</v>
      </c>
    </row>
    <row r="125" spans="1:17">
      <c r="A125" s="1" t="s">
        <v>5902</v>
      </c>
      <c r="B125" s="1" t="s">
        <v>330</v>
      </c>
      <c r="C125" s="1" t="s">
        <v>206</v>
      </c>
      <c r="D125" s="19" t="s">
        <v>483</v>
      </c>
      <c r="E125" s="15" t="str">
        <f>HYPERLINK("https://stat100.ameba.jp/tnk47/ratio20/illustrations/card/ill_40343_0_heshikirihasebekurodakambe03.jpg?201911-2-RELEASE-unionbattle-438", "■")</f>
        <v>■</v>
      </c>
      <c r="F125" s="1" t="s">
        <v>906</v>
      </c>
      <c r="G125" s="1">
        <v>87780</v>
      </c>
      <c r="H125" s="1">
        <v>82212</v>
      </c>
      <c r="I125" s="1">
        <v>15</v>
      </c>
      <c r="J125" s="1" t="s">
        <v>16</v>
      </c>
      <c r="K125" s="1" t="s">
        <v>907</v>
      </c>
      <c r="L125" s="1" t="s">
        <v>908</v>
      </c>
      <c r="M125" s="1" t="s">
        <v>9158</v>
      </c>
      <c r="N125" s="1" t="s">
        <v>9158</v>
      </c>
      <c r="O125" s="1" t="s">
        <v>9158</v>
      </c>
      <c r="P125" s="1" t="s">
        <v>9158</v>
      </c>
      <c r="Q125" s="1" t="s">
        <v>9158</v>
      </c>
    </row>
    <row r="126" spans="1:17">
      <c r="A126" s="7">
        <v>78393</v>
      </c>
      <c r="B126" s="1" t="s">
        <v>0</v>
      </c>
      <c r="C126" s="1" t="s">
        <v>200</v>
      </c>
      <c r="D126" s="19" t="s">
        <v>10277</v>
      </c>
      <c r="E126" s="15" t="str">
        <f>HYPERLINK("https://stat100.ameba.jp/tnk47/ratio20/illustrations/card/ill_78393_nemmatsuosojichibaeijiro03.jpg?201911-2-RELEASE-unionbattle-438", "■")</f>
        <v>■</v>
      </c>
      <c r="F126" s="1" t="s">
        <v>2666</v>
      </c>
      <c r="G126" s="1">
        <v>148619</v>
      </c>
      <c r="H126" s="1">
        <v>138186</v>
      </c>
      <c r="I126" s="1">
        <v>25</v>
      </c>
      <c r="J126" s="1" t="s">
        <v>143</v>
      </c>
      <c r="K126" s="1" t="s">
        <v>2667</v>
      </c>
      <c r="L126" s="1" t="s">
        <v>145</v>
      </c>
      <c r="M126" s="1" t="s">
        <v>9158</v>
      </c>
      <c r="N126" s="1" t="s">
        <v>9158</v>
      </c>
      <c r="O126" s="1" t="s">
        <v>9158</v>
      </c>
      <c r="P126" s="1" t="s">
        <v>9158</v>
      </c>
      <c r="Q126" s="1" t="s">
        <v>9158</v>
      </c>
    </row>
    <row r="127" spans="1:17">
      <c r="A127" s="7">
        <v>80873</v>
      </c>
      <c r="B127" s="1" t="s">
        <v>0</v>
      </c>
      <c r="C127" s="1" t="s">
        <v>191</v>
      </c>
      <c r="D127" s="19" t="s">
        <v>10758</v>
      </c>
      <c r="E127" s="15" t="str">
        <f>HYPERLINK("https://stat100.ameba.jp/tnk47/ratio20/illustrations/card/ill_80873_fukkatsusaikawashimayoshiko03.jpg?201911-2-RELEASE-unionbattle-438", "■")</f>
        <v>■</v>
      </c>
      <c r="F127" s="1" t="s">
        <v>4328</v>
      </c>
      <c r="G127" s="1">
        <v>97651</v>
      </c>
      <c r="H127" s="1">
        <v>90759</v>
      </c>
      <c r="I127" s="1">
        <v>25</v>
      </c>
      <c r="J127" s="1" t="s">
        <v>10</v>
      </c>
      <c r="K127" s="1" t="s">
        <v>4329</v>
      </c>
      <c r="L127" s="1" t="s">
        <v>3352</v>
      </c>
      <c r="M127" s="1" t="s">
        <v>9158</v>
      </c>
      <c r="N127" s="1" t="s">
        <v>9158</v>
      </c>
      <c r="O127" s="1" t="s">
        <v>9158</v>
      </c>
      <c r="P127" s="1" t="s">
        <v>9158</v>
      </c>
      <c r="Q127" s="1" t="s">
        <v>9158</v>
      </c>
    </row>
    <row r="128" spans="1:17">
      <c r="A128" s="1">
        <v>81303</v>
      </c>
      <c r="B128" s="1" t="s">
        <v>334</v>
      </c>
      <c r="C128" s="1" t="s">
        <v>41</v>
      </c>
      <c r="D128" s="19" t="s">
        <v>10349</v>
      </c>
      <c r="E128" s="15" t="str">
        <f>HYPERLINK("https://stat100.ameba.jp/tnk47/ratio20/illustrations/card/ill_81303_suteirukuin03.jpg?201911-2-RELEASE-unionbattle-438", "■")</f>
        <v>■</v>
      </c>
      <c r="F128" s="1" t="s">
        <v>4581</v>
      </c>
      <c r="G128" s="1">
        <v>120475</v>
      </c>
      <c r="H128" s="1">
        <v>166328</v>
      </c>
      <c r="I128" s="1">
        <v>25</v>
      </c>
      <c r="J128" s="1" t="s">
        <v>104</v>
      </c>
      <c r="K128" s="1" t="s">
        <v>4582</v>
      </c>
      <c r="L128" s="1" t="s">
        <v>2304</v>
      </c>
      <c r="M128" s="1" t="s">
        <v>9158</v>
      </c>
      <c r="N128" s="1" t="s">
        <v>9158</v>
      </c>
      <c r="O128" s="19" t="s">
        <v>10084</v>
      </c>
      <c r="P128" s="1" t="s">
        <v>4584</v>
      </c>
      <c r="Q128" s="1">
        <v>1</v>
      </c>
    </row>
    <row r="129" spans="1:17">
      <c r="A129" s="1">
        <v>74673</v>
      </c>
      <c r="B129" s="1" t="s">
        <v>15</v>
      </c>
      <c r="C129" s="1" t="s">
        <v>96</v>
      </c>
      <c r="D129" s="19" t="s">
        <v>10581</v>
      </c>
      <c r="E129" s="15" t="str">
        <f>HYPERLINK("https://stat100.ameba.jp/tnk47/ratio20/illustrations/card/ill_74673_sakanouenotamuramaro03.jpg?201911-2-RELEASE-unionbattle-438", "■")</f>
        <v>■</v>
      </c>
      <c r="F129" s="1" t="s">
        <v>6695</v>
      </c>
      <c r="G129" s="1">
        <v>59144</v>
      </c>
      <c r="H129" s="1">
        <v>65208</v>
      </c>
      <c r="I129" s="1">
        <v>22</v>
      </c>
      <c r="J129" s="1" t="s">
        <v>143</v>
      </c>
      <c r="K129" s="1" t="s">
        <v>6693</v>
      </c>
      <c r="L129" s="1" t="s">
        <v>3326</v>
      </c>
      <c r="M129" s="1" t="s">
        <v>9158</v>
      </c>
      <c r="N129" s="1" t="s">
        <v>9158</v>
      </c>
      <c r="O129" s="1" t="s">
        <v>9158</v>
      </c>
      <c r="P129" s="1" t="s">
        <v>9158</v>
      </c>
      <c r="Q129" s="1" t="s">
        <v>9158</v>
      </c>
    </row>
    <row r="130" spans="1:17">
      <c r="A130" s="7">
        <v>75583</v>
      </c>
      <c r="B130" s="7" t="s">
        <v>7876</v>
      </c>
      <c r="C130" s="1" t="s">
        <v>200</v>
      </c>
      <c r="D130" s="19" t="s">
        <v>10759</v>
      </c>
      <c r="E130" s="15" t="str">
        <f>HYPERLINK("https://stat100.ameba.jp/tnk47/ratio20/illustrations/card/ill_75583_nihonshinwasugawaranotakasuenomusume03.jpg?201911-2-RELEASE-unionbattle-438", "■")</f>
        <v>■</v>
      </c>
      <c r="F130" s="7" t="s">
        <v>7879</v>
      </c>
      <c r="G130" s="7">
        <v>59144</v>
      </c>
      <c r="H130" s="7">
        <v>65208</v>
      </c>
      <c r="I130" s="7">
        <v>22</v>
      </c>
      <c r="J130" s="1" t="s">
        <v>10</v>
      </c>
      <c r="K130" s="7" t="s">
        <v>7878</v>
      </c>
      <c r="L130" s="7" t="s">
        <v>7877</v>
      </c>
      <c r="M130" s="1" t="s">
        <v>9158</v>
      </c>
      <c r="N130" s="1" t="s">
        <v>9158</v>
      </c>
      <c r="O130" s="1" t="s">
        <v>9158</v>
      </c>
      <c r="P130" s="1" t="s">
        <v>9158</v>
      </c>
      <c r="Q130" s="1" t="s">
        <v>9158</v>
      </c>
    </row>
    <row r="131" spans="1:17">
      <c r="A131" s="7">
        <v>71953</v>
      </c>
      <c r="B131" s="7" t="s">
        <v>7876</v>
      </c>
      <c r="C131" s="1" t="s">
        <v>205</v>
      </c>
      <c r="D131" s="19" t="s">
        <v>10279</v>
      </c>
      <c r="E131" s="15" t="str">
        <f>HYPERLINK("https://stat100.ameba.jp/tnk47/ratio20/illustrations/card/ill_71953_tenshikannabiyama03.jpg?201911-2-RELEASE-unionbattle-438", "■")</f>
        <v>■</v>
      </c>
      <c r="F131" s="7" t="s">
        <v>7882</v>
      </c>
      <c r="G131" s="7">
        <v>65208</v>
      </c>
      <c r="H131" s="7">
        <v>59144</v>
      </c>
      <c r="I131" s="7">
        <v>22</v>
      </c>
      <c r="J131" s="1" t="s">
        <v>44</v>
      </c>
      <c r="K131" s="7" t="s">
        <v>7881</v>
      </c>
      <c r="L131" s="7" t="s">
        <v>7880</v>
      </c>
      <c r="M131" s="1" t="s">
        <v>9158</v>
      </c>
      <c r="N131" s="1" t="s">
        <v>9158</v>
      </c>
      <c r="O131" s="1" t="s">
        <v>9158</v>
      </c>
      <c r="P131" s="1" t="s">
        <v>9158</v>
      </c>
      <c r="Q131" s="1" t="s">
        <v>9158</v>
      </c>
    </row>
    <row r="132" spans="1:17">
      <c r="E132" s="7"/>
    </row>
    <row r="133" spans="1:17">
      <c r="A133" s="7" t="s">
        <v>7883</v>
      </c>
      <c r="E133" s="7"/>
    </row>
    <row r="134" spans="1:17">
      <c r="A134" s="7" t="s">
        <v>7885</v>
      </c>
      <c r="E134" s="7"/>
    </row>
    <row r="135" spans="1:17">
      <c r="A135" s="7" t="s">
        <v>7884</v>
      </c>
      <c r="E135" s="7"/>
    </row>
    <row r="136" spans="1:17">
      <c r="A136" s="1" t="s">
        <v>7789</v>
      </c>
      <c r="B136" s="1" t="s">
        <v>52</v>
      </c>
      <c r="C136" s="1" t="s">
        <v>202</v>
      </c>
      <c r="D136" s="19" t="s">
        <v>10741</v>
      </c>
      <c r="E136" s="15" t="str">
        <f>HYPERLINK("https://stat100.ameba.jp/tnk47/ratio20/illustrations/card/ill_84923_0_onsengainansosatomihakkenden03.jpg?201911-2-RELEASE-unionbattle-438", "■")</f>
        <v>■</v>
      </c>
      <c r="F136" s="1" t="s">
        <v>7792</v>
      </c>
      <c r="G136" s="1">
        <v>173287</v>
      </c>
      <c r="H136" s="1">
        <v>191727</v>
      </c>
      <c r="I136" s="1">
        <v>15</v>
      </c>
      <c r="J136" s="1" t="s">
        <v>155</v>
      </c>
      <c r="K136" s="1" t="s">
        <v>7791</v>
      </c>
      <c r="L136" s="1" t="s">
        <v>7790</v>
      </c>
      <c r="M136" s="1" t="s">
        <v>9158</v>
      </c>
      <c r="N136" s="1" t="s">
        <v>9158</v>
      </c>
      <c r="O136" s="19" t="s">
        <v>10131</v>
      </c>
      <c r="P136" s="1" t="s">
        <v>7793</v>
      </c>
      <c r="Q136" s="1">
        <v>0</v>
      </c>
    </row>
    <row r="137" spans="1:17">
      <c r="A137" s="7">
        <v>85113</v>
      </c>
      <c r="B137" s="7" t="s">
        <v>7886</v>
      </c>
      <c r="C137" s="7" t="s">
        <v>7890</v>
      </c>
      <c r="D137" s="19" t="s">
        <v>10760</v>
      </c>
      <c r="E137" s="15" t="str">
        <f>HYPERLINK("https://stat100.ameba.jp/tnk47/ratio20/illustrations/card/ill_85113_gakuensainaoekanetsugu03.jpg?201911-2-RELEASE-unionbattle-438", "■")</f>
        <v>■</v>
      </c>
      <c r="F137" s="7" t="s">
        <v>7901</v>
      </c>
      <c r="G137" s="7">
        <v>148619</v>
      </c>
      <c r="H137" s="7">
        <v>138186</v>
      </c>
      <c r="I137" s="7">
        <v>25</v>
      </c>
      <c r="J137" s="7" t="s">
        <v>7895</v>
      </c>
      <c r="K137" s="7" t="s">
        <v>7900</v>
      </c>
      <c r="L137" s="7" t="s">
        <v>7899</v>
      </c>
      <c r="M137" s="1" t="s">
        <v>9158</v>
      </c>
      <c r="N137" s="1" t="s">
        <v>9158</v>
      </c>
      <c r="O137" s="1" t="s">
        <v>9158</v>
      </c>
      <c r="P137" s="1" t="s">
        <v>9158</v>
      </c>
      <c r="Q137" s="1" t="s">
        <v>9158</v>
      </c>
    </row>
    <row r="138" spans="1:17">
      <c r="A138" s="7">
        <v>85123</v>
      </c>
      <c r="B138" s="7" t="s">
        <v>7886</v>
      </c>
      <c r="C138" s="7" t="s">
        <v>7891</v>
      </c>
      <c r="D138" s="19" t="s">
        <v>10761</v>
      </c>
      <c r="E138" s="15" t="str">
        <f>HYPERLINK("https://stat100.ameba.jp/tnk47/ratio20/illustrations/card/ill_85123_burabankatsurakogoro03.jpg?201911-2-RELEASE-unionbattle-438", "■")</f>
        <v>■</v>
      </c>
      <c r="F138" s="7" t="s">
        <v>7904</v>
      </c>
      <c r="G138" s="7">
        <v>94802</v>
      </c>
      <c r="H138" s="7">
        <v>101971</v>
      </c>
      <c r="I138" s="7">
        <v>25</v>
      </c>
      <c r="J138" s="7" t="s">
        <v>7896</v>
      </c>
      <c r="K138" s="7" t="s">
        <v>7903</v>
      </c>
      <c r="L138" s="7" t="s">
        <v>7902</v>
      </c>
      <c r="M138" s="1" t="s">
        <v>9158</v>
      </c>
      <c r="N138" s="1" t="s">
        <v>9158</v>
      </c>
      <c r="O138" s="1" t="s">
        <v>9158</v>
      </c>
      <c r="P138" s="1" t="s">
        <v>9158</v>
      </c>
      <c r="Q138" s="1" t="s">
        <v>9158</v>
      </c>
    </row>
    <row r="139" spans="1:17">
      <c r="A139" s="7">
        <v>85133</v>
      </c>
      <c r="B139" s="7" t="s">
        <v>7887</v>
      </c>
      <c r="C139" s="7" t="s">
        <v>7892</v>
      </c>
      <c r="D139" s="19" t="s">
        <v>10762</v>
      </c>
      <c r="E139" s="15" t="str">
        <f>HYPERLINK("https://stat100.ameba.jp/tnk47/ratio20/illustrations/card/ill_85133_sukurugaruikedasen03.jpg?201911-2-RELEASE-unionbattle-438", "■")</f>
        <v>■</v>
      </c>
      <c r="F139" s="7" t="s">
        <v>7907</v>
      </c>
      <c r="G139" s="7">
        <v>74100</v>
      </c>
      <c r="H139" s="7">
        <v>67210</v>
      </c>
      <c r="I139" s="7">
        <v>25</v>
      </c>
      <c r="J139" s="7" t="s">
        <v>7895</v>
      </c>
      <c r="K139" s="7" t="s">
        <v>7906</v>
      </c>
      <c r="L139" s="7" t="s">
        <v>7905</v>
      </c>
      <c r="M139" s="1" t="s">
        <v>9158</v>
      </c>
      <c r="N139" s="1" t="s">
        <v>9158</v>
      </c>
      <c r="O139" s="1" t="s">
        <v>9158</v>
      </c>
      <c r="P139" s="1" t="s">
        <v>9158</v>
      </c>
      <c r="Q139" s="1" t="s">
        <v>9158</v>
      </c>
    </row>
    <row r="140" spans="1:17">
      <c r="A140" s="7">
        <v>85143</v>
      </c>
      <c r="B140" s="7" t="s">
        <v>7888</v>
      </c>
      <c r="C140" s="7" t="s">
        <v>7893</v>
      </c>
      <c r="D140" s="19" t="s">
        <v>10763</v>
      </c>
      <c r="E140" s="15" t="str">
        <f>HYPERLINK("https://stat100.ameba.jp/tnk47/ratio20/illustrations/card/ill_85143_burauni03.jpg?201911-2-RELEASE-unionbattle-438", "■")</f>
        <v>■</v>
      </c>
      <c r="F140" s="7" t="s">
        <v>7910</v>
      </c>
      <c r="G140" s="7">
        <v>43220</v>
      </c>
      <c r="H140" s="7">
        <v>51980</v>
      </c>
      <c r="I140" s="7">
        <v>25</v>
      </c>
      <c r="J140" s="7" t="s">
        <v>7897</v>
      </c>
      <c r="K140" s="7" t="s">
        <v>7909</v>
      </c>
      <c r="L140" s="7" t="s">
        <v>7908</v>
      </c>
      <c r="M140" s="1" t="s">
        <v>9158</v>
      </c>
      <c r="N140" s="1" t="s">
        <v>9158</v>
      </c>
      <c r="O140" s="1" t="s">
        <v>9158</v>
      </c>
      <c r="P140" s="1" t="s">
        <v>9158</v>
      </c>
      <c r="Q140" s="1" t="s">
        <v>9158</v>
      </c>
    </row>
    <row r="141" spans="1:17">
      <c r="A141" s="7">
        <v>85153</v>
      </c>
      <c r="B141" s="7" t="s">
        <v>7889</v>
      </c>
      <c r="C141" s="7" t="s">
        <v>7894</v>
      </c>
      <c r="D141" s="19" t="s">
        <v>10764</v>
      </c>
      <c r="E141" s="15" t="str">
        <f>HYPERLINK("https://stat100.ameba.jp/tnk47/ratio20/illustrations/card/ill_85153_seiogakuenkumanofudechan03.jpg?201911-2-RELEASE-unionbattle-438", "■")</f>
        <v>■</v>
      </c>
      <c r="F141" s="7" t="s">
        <v>7913</v>
      </c>
      <c r="G141" s="7">
        <v>31470</v>
      </c>
      <c r="H141" s="7">
        <v>26430</v>
      </c>
      <c r="I141" s="7">
        <v>25</v>
      </c>
      <c r="J141" s="7" t="s">
        <v>7898</v>
      </c>
      <c r="K141" s="7" t="s">
        <v>7912</v>
      </c>
      <c r="L141" s="7" t="s">
        <v>7911</v>
      </c>
      <c r="M141" s="1" t="s">
        <v>9158</v>
      </c>
      <c r="N141" s="1" t="s">
        <v>9158</v>
      </c>
      <c r="O141" s="1" t="s">
        <v>9158</v>
      </c>
      <c r="P141" s="1" t="s">
        <v>9158</v>
      </c>
      <c r="Q141" s="1" t="s">
        <v>9158</v>
      </c>
    </row>
    <row r="142" spans="1:17">
      <c r="E142" s="7"/>
    </row>
    <row r="143" spans="1:17">
      <c r="A143" s="7" t="s">
        <v>7914</v>
      </c>
      <c r="E143" s="7"/>
    </row>
    <row r="144" spans="1:17">
      <c r="A144" s="7" t="s">
        <v>7915</v>
      </c>
      <c r="E144" s="7"/>
    </row>
    <row r="145" spans="1:18">
      <c r="A145" s="1" t="s">
        <v>5620</v>
      </c>
      <c r="B145" s="1" t="s">
        <v>330</v>
      </c>
      <c r="C145" s="1" t="s">
        <v>206</v>
      </c>
      <c r="D145" s="19" t="s">
        <v>669</v>
      </c>
      <c r="E145" s="15" t="str">
        <f>HYPERLINK("https://stat100.ameba.jp/tnk47/ratio20/illustrations/card/ill_67173_0_yukemuriawamorichan03.jpg?201911-2-RELEASE-unionbattle-438", "■")</f>
        <v>■</v>
      </c>
      <c r="F145" s="1" t="s">
        <v>670</v>
      </c>
      <c r="G145" s="1">
        <v>115249</v>
      </c>
      <c r="H145" s="1">
        <v>107146</v>
      </c>
      <c r="I145" s="1">
        <v>15</v>
      </c>
      <c r="J145" s="1" t="s">
        <v>283</v>
      </c>
      <c r="K145" s="1" t="s">
        <v>671</v>
      </c>
      <c r="L145" s="1" t="s">
        <v>672</v>
      </c>
      <c r="M145" s="1" t="s">
        <v>9158</v>
      </c>
      <c r="N145" s="1" t="s">
        <v>9158</v>
      </c>
      <c r="O145" s="19" t="s">
        <v>10087</v>
      </c>
      <c r="P145" s="1" t="s">
        <v>3455</v>
      </c>
      <c r="Q145" s="1">
        <v>1</v>
      </c>
    </row>
    <row r="146" spans="1:18">
      <c r="A146" s="1" t="s">
        <v>5734</v>
      </c>
      <c r="B146" s="1" t="s">
        <v>330</v>
      </c>
      <c r="C146" s="1" t="s">
        <v>202</v>
      </c>
      <c r="D146" s="19" t="s">
        <v>1497</v>
      </c>
      <c r="E146" s="15" t="str">
        <f>HYPERLINK("https://stat100.ameba.jp/tnk47/ratio20/illustrations/card/ill_74593_0_natsuyuenchikoshihikari03.jpg?201911-2-RELEASE-unionbattle-438", "■")</f>
        <v>■</v>
      </c>
      <c r="F146" s="1" t="s">
        <v>1498</v>
      </c>
      <c r="G146" s="1">
        <v>162496</v>
      </c>
      <c r="H146" s="1">
        <v>151067</v>
      </c>
      <c r="I146" s="1">
        <v>15</v>
      </c>
      <c r="J146" s="1" t="s">
        <v>283</v>
      </c>
      <c r="K146" s="1" t="s">
        <v>1499</v>
      </c>
      <c r="L146" s="1" t="s">
        <v>1500</v>
      </c>
      <c r="M146" s="1" t="s">
        <v>9158</v>
      </c>
      <c r="N146" s="1" t="s">
        <v>9158</v>
      </c>
      <c r="O146" s="19" t="s">
        <v>2731</v>
      </c>
      <c r="P146" s="1" t="s">
        <v>2732</v>
      </c>
      <c r="Q146" s="1">
        <v>1</v>
      </c>
    </row>
    <row r="147" spans="1:18">
      <c r="A147" s="1" t="s">
        <v>5608</v>
      </c>
      <c r="B147" s="1" t="s">
        <v>52</v>
      </c>
      <c r="C147" s="1" t="s">
        <v>96</v>
      </c>
      <c r="D147" s="19" t="s">
        <v>634</v>
      </c>
      <c r="E147" s="15" t="str">
        <f>HYPERLINK("https://stat100.ameba.jp/tnk47/ratio20/illustrations/card/ill_40963_0_makami03.jpg?201911-2-RELEASE-unionbattle-438", "■")</f>
        <v>■</v>
      </c>
      <c r="F147" s="1" t="s">
        <v>2038</v>
      </c>
      <c r="G147" s="1">
        <v>87780</v>
      </c>
      <c r="H147" s="1">
        <v>82212</v>
      </c>
      <c r="I147" s="1">
        <v>15</v>
      </c>
      <c r="J147" s="1" t="s">
        <v>44</v>
      </c>
      <c r="K147" s="1" t="s">
        <v>2039</v>
      </c>
      <c r="L147" s="1" t="s">
        <v>2040</v>
      </c>
      <c r="M147" s="1" t="s">
        <v>9158</v>
      </c>
      <c r="N147" s="1" t="s">
        <v>9158</v>
      </c>
      <c r="O147" s="1" t="s">
        <v>9158</v>
      </c>
      <c r="P147" s="1" t="s">
        <v>9158</v>
      </c>
      <c r="Q147" s="1" t="s">
        <v>9158</v>
      </c>
    </row>
    <row r="148" spans="1:18">
      <c r="A148" s="1">
        <v>69943</v>
      </c>
      <c r="B148" s="1" t="s">
        <v>334</v>
      </c>
      <c r="C148" s="1" t="s">
        <v>165</v>
      </c>
      <c r="D148" s="19" t="s">
        <v>10364</v>
      </c>
      <c r="E148" s="15" t="str">
        <f>HYPERLINK("https://stat100.ameba.jp/tnk47/ratio20/illustrations/card/ill_69943_hanzaiopakabaro03.jpg?201911-2-RELEASE-unionbattle-438", "■")</f>
        <v>■</v>
      </c>
      <c r="F148" s="1" t="s">
        <v>1887</v>
      </c>
      <c r="G148" s="1">
        <v>115746</v>
      </c>
      <c r="H148" s="1">
        <v>65128</v>
      </c>
      <c r="I148" s="1">
        <v>24</v>
      </c>
      <c r="J148" s="1" t="s">
        <v>16</v>
      </c>
      <c r="K148" s="1" t="s">
        <v>1888</v>
      </c>
      <c r="L148" s="1" t="s">
        <v>1889</v>
      </c>
      <c r="M148" s="1" t="s">
        <v>9158</v>
      </c>
      <c r="N148" s="1" t="s">
        <v>9158</v>
      </c>
      <c r="O148" s="1" t="s">
        <v>9158</v>
      </c>
      <c r="P148" s="1" t="s">
        <v>9158</v>
      </c>
      <c r="Q148" s="1" t="s">
        <v>9158</v>
      </c>
    </row>
    <row r="149" spans="1:18">
      <c r="A149" s="1">
        <v>77603</v>
      </c>
      <c r="B149" s="1" t="s">
        <v>0</v>
      </c>
      <c r="C149" s="1" t="s">
        <v>191</v>
      </c>
      <c r="D149" s="19" t="s">
        <v>10603</v>
      </c>
      <c r="E149" s="15" t="str">
        <f>HYPERLINK("https://stat100.ameba.jp/tnk47/ratio20/illustrations/card/ill_77603_kajinoikedasen03.jpg?201911-2-RELEASE-unionbattle-438", "■")</f>
        <v>■</v>
      </c>
      <c r="F149" s="1" t="s">
        <v>1884</v>
      </c>
      <c r="G149" s="1">
        <v>176200</v>
      </c>
      <c r="H149" s="1">
        <v>99132</v>
      </c>
      <c r="I149" s="1">
        <v>24</v>
      </c>
      <c r="J149" s="1" t="s">
        <v>143</v>
      </c>
      <c r="K149" s="1" t="s">
        <v>1885</v>
      </c>
      <c r="L149" s="1" t="s">
        <v>145</v>
      </c>
      <c r="M149" s="1" t="s">
        <v>9158</v>
      </c>
      <c r="N149" s="1" t="s">
        <v>9158</v>
      </c>
      <c r="O149" s="1" t="s">
        <v>9158</v>
      </c>
      <c r="P149" s="1" t="s">
        <v>9158</v>
      </c>
      <c r="Q149" s="1" t="s">
        <v>9158</v>
      </c>
    </row>
    <row r="150" spans="1:18">
      <c r="A150" s="7">
        <v>73923</v>
      </c>
      <c r="B150" s="1" t="s">
        <v>334</v>
      </c>
      <c r="C150" s="1" t="s">
        <v>206</v>
      </c>
      <c r="D150" s="19" t="s">
        <v>3092</v>
      </c>
      <c r="E150" s="15" t="str">
        <f>HYPERLINK("https://stat100.ameba.jp/tnk47/ratio20/illustrations/card/ill_73923_hiryugama03.jpg?201911-2-RELEASE-unionbattle-438", "■")</f>
        <v>■</v>
      </c>
      <c r="F150" s="1" t="s">
        <v>3093</v>
      </c>
      <c r="G150" s="1">
        <v>109334</v>
      </c>
      <c r="H150" s="1">
        <v>101656</v>
      </c>
      <c r="I150" s="1">
        <v>24</v>
      </c>
      <c r="J150" s="1" t="s">
        <v>369</v>
      </c>
      <c r="K150" s="1" t="s">
        <v>3094</v>
      </c>
      <c r="L150" s="1" t="s">
        <v>1532</v>
      </c>
      <c r="M150" s="1" t="s">
        <v>9158</v>
      </c>
      <c r="N150" s="1" t="s">
        <v>9158</v>
      </c>
      <c r="O150" s="1" t="s">
        <v>9158</v>
      </c>
      <c r="P150" s="1" t="s">
        <v>9158</v>
      </c>
      <c r="Q150" s="1" t="s">
        <v>9158</v>
      </c>
    </row>
    <row r="151" spans="1:18">
      <c r="A151" s="1">
        <v>79103</v>
      </c>
      <c r="B151" s="1" t="s">
        <v>15</v>
      </c>
      <c r="C151" s="1" t="s">
        <v>200</v>
      </c>
      <c r="D151" s="19" t="s">
        <v>10542</v>
      </c>
      <c r="E151" s="15" t="str">
        <f>HYPERLINK("https://stat100.ameba.jp/tnk47/ratio20/illustrations/card/ill_79103_burabankitaharareiko03.jpg?201911-2-RELEASE-unionbattle-438", "■")</f>
        <v>■</v>
      </c>
      <c r="F151" s="1" t="s">
        <v>3398</v>
      </c>
      <c r="G151" s="1">
        <v>59280</v>
      </c>
      <c r="H151" s="1">
        <v>53768</v>
      </c>
      <c r="I151" s="1">
        <v>20</v>
      </c>
      <c r="J151" s="1" t="s">
        <v>10</v>
      </c>
      <c r="K151" s="1" t="s">
        <v>3399</v>
      </c>
      <c r="L151" s="1" t="s">
        <v>3275</v>
      </c>
      <c r="M151" s="1" t="s">
        <v>9158</v>
      </c>
      <c r="N151" s="1" t="s">
        <v>9158</v>
      </c>
      <c r="O151" s="1" t="s">
        <v>9158</v>
      </c>
      <c r="P151" s="1" t="s">
        <v>9158</v>
      </c>
      <c r="Q151" s="1" t="s">
        <v>9158</v>
      </c>
    </row>
    <row r="152" spans="1:18">
      <c r="A152" s="1">
        <v>68863</v>
      </c>
      <c r="B152" s="1" t="s">
        <v>348</v>
      </c>
      <c r="C152" s="1" t="s">
        <v>165</v>
      </c>
      <c r="D152" s="19" t="s">
        <v>4058</v>
      </c>
      <c r="E152" s="15" t="str">
        <f>HYPERLINK("https://stat100.ameba.jp/tnk47/ratio20/illustrations/card/ill_68863_karutawakaruhimenomikoto03.jpg?201911-2-RELEASE-unionbattle-438", "■")</f>
        <v>■</v>
      </c>
      <c r="F152" s="1" t="s">
        <v>3269</v>
      </c>
      <c r="G152" s="1">
        <v>59280</v>
      </c>
      <c r="H152" s="1">
        <v>53768</v>
      </c>
      <c r="I152" s="1">
        <v>20</v>
      </c>
      <c r="J152" s="1" t="s">
        <v>44</v>
      </c>
      <c r="K152" s="1" t="s">
        <v>3270</v>
      </c>
      <c r="L152" s="1" t="s">
        <v>3271</v>
      </c>
      <c r="M152" s="1" t="s">
        <v>9158</v>
      </c>
      <c r="N152" s="1" t="s">
        <v>9158</v>
      </c>
      <c r="O152" s="1" t="s">
        <v>9158</v>
      </c>
      <c r="P152" s="1" t="s">
        <v>9158</v>
      </c>
      <c r="Q152" s="1" t="s">
        <v>9158</v>
      </c>
    </row>
    <row r="153" spans="1:18">
      <c r="A153" s="1">
        <v>78773</v>
      </c>
      <c r="B153" s="1" t="s">
        <v>15</v>
      </c>
      <c r="C153" s="1" t="s">
        <v>191</v>
      </c>
      <c r="D153" s="19" t="s">
        <v>2856</v>
      </c>
      <c r="E153" s="15" t="str">
        <f>HYPERLINK("https://stat100.ameba.jp/tnk47/ratio20/illustrations/card/ill_78773_hosokawagarasya03.jpg?201911-2-RELEASE-unionbattle-438", "■")</f>
        <v>■</v>
      </c>
      <c r="F153" s="1" t="s">
        <v>7103</v>
      </c>
      <c r="G153" s="1">
        <v>59280</v>
      </c>
      <c r="H153" s="1">
        <v>53768</v>
      </c>
      <c r="I153" s="1">
        <v>20</v>
      </c>
      <c r="J153" s="1" t="s">
        <v>77</v>
      </c>
      <c r="K153" s="1" t="s">
        <v>7101</v>
      </c>
      <c r="L153" s="1" t="s">
        <v>932</v>
      </c>
      <c r="M153" s="1" t="s">
        <v>9158</v>
      </c>
      <c r="N153" s="1" t="s">
        <v>9158</v>
      </c>
      <c r="O153" s="1" t="s">
        <v>9158</v>
      </c>
      <c r="P153" s="1" t="s">
        <v>9158</v>
      </c>
      <c r="Q153" s="1" t="s">
        <v>9158</v>
      </c>
    </row>
    <row r="154" spans="1:18">
      <c r="E154" s="7"/>
    </row>
    <row r="155" spans="1:18">
      <c r="A155" s="7" t="s">
        <v>13369</v>
      </c>
      <c r="E155" s="7"/>
    </row>
    <row r="156" spans="1:18">
      <c r="A156" s="7" t="s">
        <v>7916</v>
      </c>
      <c r="E156" s="7"/>
    </row>
    <row r="157" spans="1:18">
      <c r="A157" s="7">
        <v>85025</v>
      </c>
      <c r="B157" s="7" t="s">
        <v>7917</v>
      </c>
      <c r="C157" s="7" t="s">
        <v>7919</v>
      </c>
      <c r="D157" s="19" t="s">
        <v>10765</v>
      </c>
      <c r="E157" s="15" t="str">
        <f>HYPERLINK("https://stat100.ameba.jp/tnk47/ratio20/illustrations/card/ill_85025_yataiarashinobeze05.jpg?201911-2-RELEASE-unionbattle-438", "■")</f>
        <v>■</v>
      </c>
      <c r="F157" s="7" t="s">
        <v>7921</v>
      </c>
      <c r="G157" s="7">
        <v>118460</v>
      </c>
      <c r="H157" s="7">
        <v>85758</v>
      </c>
      <c r="I157" s="7">
        <v>24</v>
      </c>
      <c r="J157" s="7" t="s">
        <v>7922</v>
      </c>
      <c r="K157" s="7" t="s">
        <v>7923</v>
      </c>
      <c r="L157" s="7" t="s">
        <v>7924</v>
      </c>
      <c r="M157" s="1" t="s">
        <v>9158</v>
      </c>
      <c r="N157" s="1" t="s">
        <v>9158</v>
      </c>
      <c r="O157" s="1" t="s">
        <v>9158</v>
      </c>
      <c r="P157" s="1" t="s">
        <v>9158</v>
      </c>
      <c r="Q157" s="1" t="s">
        <v>9158</v>
      </c>
      <c r="R157" s="7" t="s">
        <v>7927</v>
      </c>
    </row>
    <row r="158" spans="1:18">
      <c r="A158" s="7">
        <v>85023</v>
      </c>
      <c r="B158" s="7" t="s">
        <v>7918</v>
      </c>
      <c r="C158" s="7" t="s">
        <v>7920</v>
      </c>
      <c r="D158" s="19" t="s">
        <v>10765</v>
      </c>
      <c r="E158" s="15" t="str">
        <f>HYPERLINK("https://stat100.ameba.jp/tnk47/ratio20/illustrations/card/ill_85023_yataiarashinobeze03.jpg?201911-2-RELEASE-unionbattle-438", "■")</f>
        <v>■</v>
      </c>
      <c r="F158" s="7" t="s">
        <v>7921</v>
      </c>
      <c r="G158" s="7">
        <v>87270</v>
      </c>
      <c r="H158" s="7">
        <v>63180</v>
      </c>
      <c r="I158" s="7">
        <v>24</v>
      </c>
      <c r="J158" s="7" t="s">
        <v>7922</v>
      </c>
      <c r="K158" s="7" t="s">
        <v>7923</v>
      </c>
      <c r="L158" s="7" t="s">
        <v>7925</v>
      </c>
      <c r="M158" s="1" t="s">
        <v>9158</v>
      </c>
      <c r="N158" s="1" t="s">
        <v>9158</v>
      </c>
      <c r="O158" s="1" t="s">
        <v>9158</v>
      </c>
      <c r="P158" s="1" t="s">
        <v>9158</v>
      </c>
      <c r="Q158" s="1" t="s">
        <v>9158</v>
      </c>
      <c r="R158" s="7" t="s">
        <v>7928</v>
      </c>
    </row>
    <row r="159" spans="1:18">
      <c r="A159" s="7">
        <v>85021</v>
      </c>
      <c r="B159" s="7" t="s">
        <v>7918</v>
      </c>
      <c r="C159" s="7" t="s">
        <v>7920</v>
      </c>
      <c r="D159" s="19" t="s">
        <v>10765</v>
      </c>
      <c r="E159" s="15" t="str">
        <f>HYPERLINK("https://stat100.ameba.jp/tnk47/ratio20/illustrations/card/ill_85021_yataiarashinobeze01.jpg?201911-2-RELEASE-unionbattle-438", "■")</f>
        <v>■</v>
      </c>
      <c r="F159" s="7" t="s">
        <v>7921</v>
      </c>
      <c r="G159" s="7">
        <v>55512</v>
      </c>
      <c r="H159" s="7">
        <v>40176</v>
      </c>
      <c r="I159" s="7">
        <v>24</v>
      </c>
      <c r="J159" s="7" t="s">
        <v>7922</v>
      </c>
      <c r="K159" s="7" t="s">
        <v>7923</v>
      </c>
      <c r="L159" s="7" t="s">
        <v>7926</v>
      </c>
      <c r="M159" s="1" t="s">
        <v>9158</v>
      </c>
      <c r="N159" s="1" t="s">
        <v>9158</v>
      </c>
      <c r="O159" s="1" t="s">
        <v>9158</v>
      </c>
      <c r="P159" s="1" t="s">
        <v>9158</v>
      </c>
      <c r="Q159" s="1" t="s">
        <v>9158</v>
      </c>
      <c r="R159" s="7" t="s">
        <v>7929</v>
      </c>
    </row>
    <row r="160" spans="1:18">
      <c r="E160" s="7"/>
    </row>
    <row r="161" spans="1:17">
      <c r="A161" s="7" t="s">
        <v>7403</v>
      </c>
      <c r="E161" s="7"/>
    </row>
    <row r="162" spans="1:17">
      <c r="A162" s="7" t="s">
        <v>7931</v>
      </c>
      <c r="E162" s="7"/>
    </row>
    <row r="163" spans="1:17">
      <c r="A163" s="7" t="s">
        <v>7930</v>
      </c>
      <c r="E163" s="7"/>
    </row>
    <row r="164" spans="1:17">
      <c r="A164" s="1" t="s">
        <v>5601</v>
      </c>
      <c r="B164" s="1" t="s">
        <v>330</v>
      </c>
      <c r="C164" s="1" t="s">
        <v>35</v>
      </c>
      <c r="D164" s="19" t="s">
        <v>10318</v>
      </c>
      <c r="E164" s="15" t="str">
        <f>HYPERLINK("https://stat100.ameba.jp/tnk47/ratio20/illustrations/card/ill_82423_0_bikinigarukishi03.jpg?201911-2-RELEASE-unionbattle-438", "■")</f>
        <v>■</v>
      </c>
      <c r="F164" s="1" t="s">
        <v>5391</v>
      </c>
      <c r="G164" s="1">
        <v>290598</v>
      </c>
      <c r="H164" s="1">
        <v>262648</v>
      </c>
      <c r="I164" s="1">
        <v>24</v>
      </c>
      <c r="J164" s="1" t="s">
        <v>77</v>
      </c>
      <c r="K164" s="1" t="s">
        <v>5392</v>
      </c>
      <c r="L164" s="1" t="s">
        <v>5393</v>
      </c>
      <c r="M164" s="1" t="s">
        <v>9158</v>
      </c>
      <c r="N164" s="1" t="s">
        <v>9158</v>
      </c>
      <c r="O164" s="19" t="s">
        <v>10069</v>
      </c>
      <c r="P164" s="1" t="s">
        <v>5394</v>
      </c>
      <c r="Q164" s="1">
        <v>1</v>
      </c>
    </row>
    <row r="165" spans="1:17">
      <c r="A165" s="1" t="s">
        <v>5891</v>
      </c>
      <c r="B165" s="1" t="s">
        <v>330</v>
      </c>
      <c r="C165" s="1" t="s">
        <v>202</v>
      </c>
      <c r="D165" s="19" t="s">
        <v>1371</v>
      </c>
      <c r="E165" s="15" t="str">
        <f>HYPERLINK("https://stat100.ameba.jp/tnk47/ratio20/illustrations/card/ill_77173_0_yukemuritomoegozen03.jpg?201911-2-RELEASE-unionbattle-438", "■")</f>
        <v>■</v>
      </c>
      <c r="F165" s="1" t="s">
        <v>1372</v>
      </c>
      <c r="G165" s="1">
        <v>240586</v>
      </c>
      <c r="H165" s="1">
        <v>266192</v>
      </c>
      <c r="I165" s="1">
        <v>24</v>
      </c>
      <c r="J165" s="1" t="s">
        <v>310</v>
      </c>
      <c r="K165" s="1" t="s">
        <v>1373</v>
      </c>
      <c r="L165" s="1" t="s">
        <v>1374</v>
      </c>
      <c r="M165" s="1" t="s">
        <v>9158</v>
      </c>
      <c r="N165" s="1" t="s">
        <v>9158</v>
      </c>
      <c r="O165" s="19" t="s">
        <v>4067</v>
      </c>
      <c r="P165" s="1" t="s">
        <v>3879</v>
      </c>
      <c r="Q165" s="1">
        <v>2</v>
      </c>
    </row>
    <row r="166" spans="1:17">
      <c r="A166" s="1" t="s">
        <v>5787</v>
      </c>
      <c r="B166" s="1" t="s">
        <v>330</v>
      </c>
      <c r="C166" s="1" t="s">
        <v>270</v>
      </c>
      <c r="D166" s="19" t="s">
        <v>331</v>
      </c>
      <c r="E166" s="15" t="str">
        <f>HYPERLINK("https://stat100.ameba.jp/tnk47/ratio20/illustrations/card/ill_76303_0_haroinkaguya03.jpg?201911-2-RELEASE-unionbattle-438", "■")</f>
        <v>■</v>
      </c>
      <c r="F166" s="1" t="s">
        <v>332</v>
      </c>
      <c r="G166" s="1">
        <v>285614</v>
      </c>
      <c r="H166" s="1">
        <v>265526</v>
      </c>
      <c r="I166" s="1">
        <v>24</v>
      </c>
      <c r="J166" s="1" t="s">
        <v>274</v>
      </c>
      <c r="K166" s="1" t="s">
        <v>333</v>
      </c>
      <c r="L166" s="1" t="s">
        <v>276</v>
      </c>
      <c r="M166" s="1" t="s">
        <v>9158</v>
      </c>
      <c r="N166" s="1" t="s">
        <v>9158</v>
      </c>
      <c r="O166" s="19" t="s">
        <v>2976</v>
      </c>
      <c r="P166" s="1" t="s">
        <v>2724</v>
      </c>
      <c r="Q166" s="1">
        <v>1</v>
      </c>
    </row>
    <row r="167" spans="1:17">
      <c r="A167" s="1">
        <v>75073</v>
      </c>
      <c r="B167" s="1" t="s">
        <v>334</v>
      </c>
      <c r="C167" s="1" t="s">
        <v>154</v>
      </c>
      <c r="D167" s="19" t="s">
        <v>4252</v>
      </c>
      <c r="E167" s="15" t="str">
        <f>HYPERLINK("https://stat100.ameba.jp/tnk47/ratio20/illustrations/card/ill_75073_puruchacha03.jpg?201911-2-RELEASE-unionbattle-438", "■")</f>
        <v>■</v>
      </c>
      <c r="F167" s="1" t="s">
        <v>4253</v>
      </c>
      <c r="G167" s="1">
        <v>109259</v>
      </c>
      <c r="H167" s="1">
        <v>79151</v>
      </c>
      <c r="I167" s="1">
        <v>25</v>
      </c>
      <c r="J167" s="1" t="s">
        <v>315</v>
      </c>
      <c r="K167" s="1" t="s">
        <v>4254</v>
      </c>
      <c r="L167" s="1" t="s">
        <v>1432</v>
      </c>
      <c r="M167" s="1" t="s">
        <v>9158</v>
      </c>
      <c r="N167" s="1" t="s">
        <v>9158</v>
      </c>
      <c r="O167" s="19" t="s">
        <v>10082</v>
      </c>
      <c r="P167" s="1" t="s">
        <v>13124</v>
      </c>
      <c r="Q167" s="1">
        <v>1</v>
      </c>
    </row>
    <row r="168" spans="1:17">
      <c r="A168" s="1">
        <v>76803</v>
      </c>
      <c r="B168" s="1" t="s">
        <v>334</v>
      </c>
      <c r="C168" s="1" t="s">
        <v>202</v>
      </c>
      <c r="D168" s="19" t="s">
        <v>673</v>
      </c>
      <c r="E168" s="15" t="str">
        <f>HYPERLINK("https://stat100.ameba.jp/tnk47/ratio20/illustrations/card/ill_76803_monsutakujirachan03.jpg?201911-2-RELEASE-unionbattle-438", "■")</f>
        <v>■</v>
      </c>
      <c r="F168" s="1" t="s">
        <v>674</v>
      </c>
      <c r="G168" s="1">
        <v>166328</v>
      </c>
      <c r="H168" s="1">
        <v>120475</v>
      </c>
      <c r="I168" s="1">
        <v>25</v>
      </c>
      <c r="J168" s="1" t="s">
        <v>283</v>
      </c>
      <c r="K168" s="1" t="s">
        <v>675</v>
      </c>
      <c r="L168" s="1" t="s">
        <v>435</v>
      </c>
      <c r="M168" s="1" t="s">
        <v>9158</v>
      </c>
      <c r="N168" s="1" t="s">
        <v>9158</v>
      </c>
      <c r="O168" s="19" t="s">
        <v>3165</v>
      </c>
      <c r="P168" s="1" t="s">
        <v>13139</v>
      </c>
      <c r="Q168" s="1">
        <v>1</v>
      </c>
    </row>
    <row r="169" spans="1:17">
      <c r="A169" s="1">
        <v>78143</v>
      </c>
      <c r="B169" s="1" t="s">
        <v>334</v>
      </c>
      <c r="C169" s="1" t="s">
        <v>203</v>
      </c>
      <c r="D169" s="19" t="s">
        <v>10285</v>
      </c>
      <c r="E169" s="15" t="str">
        <f>HYPERLINK("https://stat100.ameba.jp/tnk47/ratio20/illustrations/card/ill_78143_kanibarukuin03.jpg?201911-2-RELEASE-unionbattle-438", "■")</f>
        <v>■</v>
      </c>
      <c r="F169" s="1" t="s">
        <v>2687</v>
      </c>
      <c r="G169" s="1">
        <v>92318</v>
      </c>
      <c r="H169" s="1">
        <v>127464</v>
      </c>
      <c r="I169" s="1">
        <v>25</v>
      </c>
      <c r="J169" s="1" t="s">
        <v>26</v>
      </c>
      <c r="K169" s="1" t="s">
        <v>2688</v>
      </c>
      <c r="L169" s="1" t="s">
        <v>2137</v>
      </c>
      <c r="M169" s="1" t="s">
        <v>9158</v>
      </c>
      <c r="N169" s="1" t="s">
        <v>9158</v>
      </c>
      <c r="O169" s="19" t="s">
        <v>10103</v>
      </c>
      <c r="P169" s="1" t="s">
        <v>3897</v>
      </c>
      <c r="Q169" s="1">
        <v>1</v>
      </c>
    </row>
    <row r="170" spans="1:17">
      <c r="A170" s="1">
        <v>67103</v>
      </c>
      <c r="B170" s="1" t="s">
        <v>0</v>
      </c>
      <c r="C170" s="1" t="s">
        <v>154</v>
      </c>
      <c r="D170" s="19" t="s">
        <v>10253</v>
      </c>
      <c r="E170" s="15" t="str">
        <f>HYPERLINK("https://stat100.ameba.jp/tnk47/ratio20/illustrations/card/ill_67103_ankonabe03.jpg?201911-2-RELEASE-unionbattle-438", "■")</f>
        <v>■</v>
      </c>
      <c r="F170" s="1" t="s">
        <v>1283</v>
      </c>
      <c r="G170" s="1">
        <v>95703</v>
      </c>
      <c r="H170" s="1">
        <v>132144</v>
      </c>
      <c r="I170" s="1">
        <v>25</v>
      </c>
      <c r="J170" s="1" t="s">
        <v>216</v>
      </c>
      <c r="K170" s="1" t="s">
        <v>1284</v>
      </c>
      <c r="L170" s="1" t="s">
        <v>13153</v>
      </c>
      <c r="M170" s="1" t="s">
        <v>9158</v>
      </c>
      <c r="N170" s="1" t="s">
        <v>9158</v>
      </c>
      <c r="O170" s="19" t="s">
        <v>4074</v>
      </c>
      <c r="P170" s="1" t="s">
        <v>3462</v>
      </c>
      <c r="Q170" s="1">
        <v>1</v>
      </c>
    </row>
    <row r="171" spans="1:17">
      <c r="A171" s="1">
        <v>78133</v>
      </c>
      <c r="B171" s="1" t="s">
        <v>334</v>
      </c>
      <c r="C171" s="1" t="s">
        <v>154</v>
      </c>
      <c r="D171" s="19" t="s">
        <v>10313</v>
      </c>
      <c r="E171" s="15" t="str">
        <f>HYPERLINK("https://stat100.ameba.jp/tnk47/ratio20/illustrations/card/ill_78133_akazukin03.jpg?201911-2-RELEASE-unionbattle-438", "■")</f>
        <v>■</v>
      </c>
      <c r="F171" s="1" t="s">
        <v>2202</v>
      </c>
      <c r="G171" s="1">
        <v>92402</v>
      </c>
      <c r="H171" s="1">
        <v>127580</v>
      </c>
      <c r="I171" s="1">
        <v>25</v>
      </c>
      <c r="J171" s="1" t="s">
        <v>38</v>
      </c>
      <c r="K171" s="1" t="s">
        <v>2203</v>
      </c>
      <c r="L171" s="1" t="s">
        <v>2204</v>
      </c>
      <c r="M171" s="1" t="s">
        <v>9158</v>
      </c>
      <c r="N171" s="1" t="s">
        <v>9158</v>
      </c>
      <c r="O171" s="19" t="s">
        <v>2917</v>
      </c>
      <c r="P171" s="1" t="s">
        <v>3531</v>
      </c>
      <c r="Q171" s="1">
        <v>1</v>
      </c>
    </row>
    <row r="172" spans="1:17">
      <c r="A172" s="1">
        <v>73893</v>
      </c>
      <c r="B172" s="1" t="s">
        <v>334</v>
      </c>
      <c r="C172" s="1" t="s">
        <v>203</v>
      </c>
      <c r="D172" s="19" t="s">
        <v>10388</v>
      </c>
      <c r="E172" s="15" t="str">
        <f>HYPERLINK("https://stat100.ameba.jp/tnk47/ratio20/illustrations/card/ill_73893_kurohachidaimyojintookami03.jpg?201911-2-RELEASE-unionbattle-438", "■")</f>
        <v>■</v>
      </c>
      <c r="F172" s="1" t="s">
        <v>685</v>
      </c>
      <c r="G172" s="1">
        <v>127580</v>
      </c>
      <c r="H172" s="1">
        <v>92402</v>
      </c>
      <c r="I172" s="1">
        <v>25</v>
      </c>
      <c r="J172" s="1" t="s">
        <v>274</v>
      </c>
      <c r="K172" s="1" t="s">
        <v>686</v>
      </c>
      <c r="L172" s="1" t="s">
        <v>428</v>
      </c>
      <c r="M172" s="1" t="s">
        <v>9158</v>
      </c>
      <c r="N172" s="1" t="s">
        <v>9158</v>
      </c>
      <c r="O172" s="19" t="s">
        <v>10100</v>
      </c>
      <c r="P172" s="1" t="s">
        <v>3810</v>
      </c>
      <c r="Q172" s="1">
        <v>1</v>
      </c>
    </row>
    <row r="173" spans="1:17">
      <c r="A173" s="1">
        <v>74063</v>
      </c>
      <c r="B173" s="1" t="s">
        <v>334</v>
      </c>
      <c r="C173" s="1" t="s">
        <v>185</v>
      </c>
      <c r="D173" s="19" t="s">
        <v>10476</v>
      </c>
      <c r="E173" s="15" t="str">
        <f>HYPERLINK("https://stat100.ameba.jp/tnk47/ratio20/illustrations/card/ill_74063_yokoyamamatsusaburo03.jpg?201911-2-RELEASE-unionbattle-438", "■")</f>
        <v>■</v>
      </c>
      <c r="F173" s="1" t="s">
        <v>4430</v>
      </c>
      <c r="G173" s="1">
        <v>94295</v>
      </c>
      <c r="H173" s="1">
        <v>101373</v>
      </c>
      <c r="I173" s="1">
        <v>25</v>
      </c>
      <c r="J173" s="1" t="s">
        <v>16</v>
      </c>
      <c r="K173" s="1" t="s">
        <v>4431</v>
      </c>
      <c r="L173" s="1" t="s">
        <v>124</v>
      </c>
      <c r="M173" s="1" t="s">
        <v>9158</v>
      </c>
      <c r="N173" s="1" t="s">
        <v>9158</v>
      </c>
      <c r="O173" s="1" t="s">
        <v>9158</v>
      </c>
      <c r="P173" s="1" t="s">
        <v>9158</v>
      </c>
      <c r="Q173" s="1" t="s">
        <v>9158</v>
      </c>
    </row>
    <row r="174" spans="1:17">
      <c r="A174" s="1">
        <v>80283</v>
      </c>
      <c r="B174" s="1" t="s">
        <v>334</v>
      </c>
      <c r="C174" s="1" t="s">
        <v>200</v>
      </c>
      <c r="D174" s="19" t="s">
        <v>3971</v>
      </c>
      <c r="E174" s="15" t="str">
        <f>HYPERLINK("https://stat100.ameba.jp/tnk47/ratio20/illustrations/card/ill_80283_howaitodehanakosan03.jpg?201911-2-RELEASE-unionbattle-438", "■")</f>
        <v>■</v>
      </c>
      <c r="F174" s="1" t="s">
        <v>3935</v>
      </c>
      <c r="G174" s="1">
        <v>104162</v>
      </c>
      <c r="H174" s="1">
        <v>96871</v>
      </c>
      <c r="I174" s="1">
        <v>25</v>
      </c>
      <c r="J174" s="1" t="s">
        <v>73</v>
      </c>
      <c r="K174" s="1" t="s">
        <v>3936</v>
      </c>
      <c r="L174" s="1" t="s">
        <v>3937</v>
      </c>
      <c r="M174" s="1" t="s">
        <v>9158</v>
      </c>
      <c r="N174" s="1" t="s">
        <v>9158</v>
      </c>
      <c r="O174" s="1" t="s">
        <v>9158</v>
      </c>
      <c r="P174" s="1" t="s">
        <v>9158</v>
      </c>
      <c r="Q174" s="1" t="s">
        <v>9158</v>
      </c>
    </row>
    <row r="175" spans="1:17">
      <c r="A175" s="1">
        <v>79443</v>
      </c>
      <c r="B175" s="1" t="s">
        <v>334</v>
      </c>
      <c r="C175" s="1" t="s">
        <v>191</v>
      </c>
      <c r="D175" s="19" t="s">
        <v>10501</v>
      </c>
      <c r="E175" s="15" t="str">
        <f>HYPERLINK("https://stat100.ameba.jp/tnk47/ratio20/illustrations/card/ill_79443_shogitanukinongaeshi03.jpg?201911-2-RELEASE-unionbattle-438", "■")</f>
        <v>■</v>
      </c>
      <c r="F175" s="1" t="s">
        <v>3537</v>
      </c>
      <c r="G175" s="1">
        <v>105890</v>
      </c>
      <c r="H175" s="1">
        <v>114092</v>
      </c>
      <c r="I175" s="1">
        <v>25</v>
      </c>
      <c r="J175" s="1" t="s">
        <v>38</v>
      </c>
      <c r="K175" s="1" t="s">
        <v>3538</v>
      </c>
      <c r="L175" s="1" t="s">
        <v>3539</v>
      </c>
      <c r="M175" s="1" t="s">
        <v>9158</v>
      </c>
      <c r="N175" s="1" t="s">
        <v>9158</v>
      </c>
      <c r="O175" s="1" t="s">
        <v>9158</v>
      </c>
      <c r="P175" s="1" t="s">
        <v>9158</v>
      </c>
      <c r="Q175" s="1" t="s">
        <v>9158</v>
      </c>
    </row>
    <row r="176" spans="1:17">
      <c r="A176" s="7">
        <v>82133</v>
      </c>
      <c r="B176" s="1" t="s">
        <v>334</v>
      </c>
      <c r="C176" s="1" t="s">
        <v>165</v>
      </c>
      <c r="D176" s="19" t="s">
        <v>15158</v>
      </c>
      <c r="E176" s="15" t="str">
        <f>HYPERLINK("https://stat100.ameba.jp/tnk47/ratio20/illustrations/card/ill_82133_senritsunosumasshukobitokaba03.jpg?201911-2-RELEASE-unionbattle-438", "■")</f>
        <v>■</v>
      </c>
      <c r="F176" s="1" t="s">
        <v>5298</v>
      </c>
      <c r="G176" s="1">
        <v>94802</v>
      </c>
      <c r="H176" s="1">
        <v>101971</v>
      </c>
      <c r="I176" s="1">
        <v>25</v>
      </c>
      <c r="J176" s="1" t="s">
        <v>26</v>
      </c>
      <c r="K176" s="1" t="s">
        <v>5300</v>
      </c>
      <c r="L176" s="1" t="s">
        <v>5301</v>
      </c>
      <c r="M176" s="1" t="s">
        <v>9158</v>
      </c>
      <c r="N176" s="1" t="s">
        <v>9158</v>
      </c>
      <c r="O176" s="1" t="s">
        <v>9158</v>
      </c>
      <c r="P176" s="1" t="s">
        <v>9158</v>
      </c>
      <c r="Q176" s="1" t="s">
        <v>9158</v>
      </c>
    </row>
    <row r="177" spans="1:18">
      <c r="A177" s="7">
        <v>73333</v>
      </c>
      <c r="B177" s="1" t="s">
        <v>334</v>
      </c>
      <c r="C177" s="1" t="s">
        <v>205</v>
      </c>
      <c r="D177" s="19" t="s">
        <v>10766</v>
      </c>
      <c r="E177" s="15" t="str">
        <f>HYPERLINK("https://stat100.ameba.jp/tnk47/ratio20/illustrations/card/ill_73333_akikunitora03.jpg?201911-2-RELEASE-unionbattle-438", "■")</f>
        <v>■</v>
      </c>
      <c r="F177" s="1" t="s">
        <v>3475</v>
      </c>
      <c r="G177" s="1">
        <v>148619</v>
      </c>
      <c r="H177" s="1">
        <v>138186</v>
      </c>
      <c r="I177" s="1">
        <v>25</v>
      </c>
      <c r="J177" s="1" t="s">
        <v>143</v>
      </c>
      <c r="K177" s="1" t="s">
        <v>3476</v>
      </c>
      <c r="L177" s="1" t="s">
        <v>145</v>
      </c>
      <c r="M177" s="1" t="s">
        <v>9158</v>
      </c>
      <c r="N177" s="1" t="s">
        <v>9158</v>
      </c>
      <c r="O177" s="1" t="s">
        <v>9158</v>
      </c>
      <c r="P177" s="1" t="s">
        <v>9158</v>
      </c>
      <c r="Q177" s="1" t="s">
        <v>9158</v>
      </c>
      <c r="R177" s="1"/>
    </row>
    <row r="178" spans="1:18">
      <c r="A178" s="1">
        <v>77433</v>
      </c>
      <c r="B178" s="1" t="s">
        <v>334</v>
      </c>
      <c r="C178" s="1" t="s">
        <v>344</v>
      </c>
      <c r="D178" s="19" t="s">
        <v>10181</v>
      </c>
      <c r="E178" s="15" t="str">
        <f>HYPERLINK("https://stat100.ameba.jp/tnk47/ratio20/illustrations/card/ill_77433_yamagaruakinomurabotoni03.jpg?201911-2-RELEASE-unionbattle-438", "■")</f>
        <v>■</v>
      </c>
      <c r="F178" s="1" t="s">
        <v>1664</v>
      </c>
      <c r="G178" s="1">
        <v>101373</v>
      </c>
      <c r="H178" s="1">
        <v>94295</v>
      </c>
      <c r="I178" s="1">
        <v>25</v>
      </c>
      <c r="J178" s="1" t="s">
        <v>414</v>
      </c>
      <c r="K178" s="1" t="s">
        <v>1665</v>
      </c>
      <c r="L178" s="1" t="s">
        <v>855</v>
      </c>
      <c r="M178" s="1" t="s">
        <v>9158</v>
      </c>
      <c r="N178" s="1" t="s">
        <v>9158</v>
      </c>
      <c r="O178" s="1" t="s">
        <v>9158</v>
      </c>
      <c r="P178" s="1" t="s">
        <v>9158</v>
      </c>
      <c r="Q178" s="1" t="s">
        <v>9158</v>
      </c>
    </row>
    <row r="179" spans="1:18">
      <c r="A179" s="7">
        <v>67253</v>
      </c>
      <c r="B179" s="7" t="s">
        <v>7937</v>
      </c>
      <c r="C179" s="1" t="s">
        <v>185</v>
      </c>
      <c r="D179" s="19" t="s">
        <v>10479</v>
      </c>
      <c r="E179" s="15" t="str">
        <f>HYPERLINK("https://stat100.ameba.jp/tnk47/ratio20/illustrations/card/ill_67253_onsenyadosokuroinari03.jpg?201911-2-RELEASE-unionbattle-438", "■")</f>
        <v>■</v>
      </c>
      <c r="F179" s="7" t="s">
        <v>7940</v>
      </c>
      <c r="G179" s="7">
        <v>74100</v>
      </c>
      <c r="H179" s="7">
        <v>67210</v>
      </c>
      <c r="I179" s="7">
        <v>25</v>
      </c>
      <c r="J179" s="7" t="s">
        <v>7938</v>
      </c>
      <c r="K179" s="1" t="s">
        <v>6149</v>
      </c>
      <c r="L179" s="1" t="s">
        <v>3271</v>
      </c>
      <c r="M179" s="1" t="s">
        <v>9158</v>
      </c>
      <c r="N179" s="1" t="s">
        <v>9158</v>
      </c>
      <c r="O179" s="1" t="s">
        <v>9158</v>
      </c>
      <c r="P179" s="1" t="s">
        <v>9158</v>
      </c>
      <c r="Q179" s="1" t="s">
        <v>9158</v>
      </c>
    </row>
    <row r="180" spans="1:18">
      <c r="A180" s="7">
        <v>70033</v>
      </c>
      <c r="B180" s="7" t="s">
        <v>7937</v>
      </c>
      <c r="C180" s="1" t="s">
        <v>191</v>
      </c>
      <c r="D180" s="19" t="s">
        <v>12970</v>
      </c>
      <c r="E180" s="15" t="str">
        <f>HYPERLINK("https://stat100.ameba.jp/tnk47/ratio20/illustrations/card/ill_70033_yukinoukokutakenakahambe03.jpg?201911-2-RELEASE-unionbattle-438", "■")</f>
        <v>■</v>
      </c>
      <c r="F180" s="7" t="s">
        <v>7941</v>
      </c>
      <c r="G180" s="7" t="s">
        <v>12934</v>
      </c>
      <c r="H180" s="7" t="s">
        <v>12934</v>
      </c>
      <c r="I180" s="7">
        <v>25</v>
      </c>
      <c r="J180" s="7" t="s">
        <v>7939</v>
      </c>
      <c r="K180" s="7" t="s">
        <v>12934</v>
      </c>
      <c r="L180" s="7" t="s">
        <v>12934</v>
      </c>
      <c r="M180" s="1" t="s">
        <v>9158</v>
      </c>
      <c r="N180" s="1" t="s">
        <v>9158</v>
      </c>
      <c r="O180" s="1" t="s">
        <v>9158</v>
      </c>
      <c r="P180" s="1" t="s">
        <v>9158</v>
      </c>
      <c r="Q180" s="1" t="s">
        <v>9158</v>
      </c>
    </row>
    <row r="181" spans="1:18">
      <c r="A181" s="7">
        <v>78403</v>
      </c>
      <c r="B181" s="7" t="s">
        <v>7937</v>
      </c>
      <c r="C181" s="1" t="s">
        <v>205</v>
      </c>
      <c r="D181" s="19" t="s">
        <v>10640</v>
      </c>
      <c r="E181" s="15" t="str">
        <f>HYPERLINK("https://stat100.ameba.jp/tnk47/ratio20/illustrations/card/ill_78403_izumotaisha03.jpg?201911-2-RELEASE-unionbattle-438", "■")</f>
        <v>■</v>
      </c>
      <c r="F181" s="1" t="s">
        <v>2669</v>
      </c>
      <c r="G181" s="7">
        <v>67210</v>
      </c>
      <c r="H181" s="7">
        <v>74100</v>
      </c>
      <c r="I181" s="7">
        <v>25</v>
      </c>
      <c r="J181" s="1" t="s">
        <v>26</v>
      </c>
      <c r="K181" s="1" t="s">
        <v>2670</v>
      </c>
      <c r="L181" s="1" t="s">
        <v>977</v>
      </c>
      <c r="M181" s="1" t="s">
        <v>9158</v>
      </c>
      <c r="N181" s="1" t="s">
        <v>9158</v>
      </c>
      <c r="O181" s="1" t="s">
        <v>9158</v>
      </c>
      <c r="P181" s="1" t="s">
        <v>9158</v>
      </c>
      <c r="Q181" s="1" t="s">
        <v>9158</v>
      </c>
    </row>
    <row r="182" spans="1:18">
      <c r="E182" s="7"/>
    </row>
    <row r="183" spans="1:18">
      <c r="A183" s="1" t="s">
        <v>13327</v>
      </c>
      <c r="B183" s="1"/>
      <c r="C183" s="1"/>
      <c r="D183" s="1"/>
      <c r="F183" s="1"/>
      <c r="G183" s="1"/>
      <c r="H183" s="1"/>
      <c r="I183" s="1"/>
      <c r="J183" s="1"/>
      <c r="K183" s="1"/>
      <c r="L183" s="1"/>
      <c r="M183" s="1"/>
      <c r="N183" s="1"/>
      <c r="O183" s="1"/>
      <c r="P183" s="1"/>
      <c r="Q183" s="1"/>
      <c r="R183" s="1"/>
    </row>
    <row r="184" spans="1:18">
      <c r="A184" s="1" t="s">
        <v>7936</v>
      </c>
      <c r="B184" s="1"/>
      <c r="C184" s="1"/>
      <c r="D184" s="1"/>
      <c r="F184" s="1"/>
      <c r="G184" s="1"/>
      <c r="H184" s="1"/>
      <c r="I184" s="1"/>
      <c r="J184" s="1"/>
      <c r="K184" s="1"/>
      <c r="L184" s="1"/>
      <c r="M184" s="1"/>
      <c r="N184" s="1"/>
      <c r="O184" s="1"/>
      <c r="P184" s="1"/>
      <c r="Q184" s="1"/>
      <c r="R184" s="1"/>
    </row>
    <row r="185" spans="1:18">
      <c r="A185" s="1">
        <v>82213</v>
      </c>
      <c r="B185" s="1" t="s">
        <v>0</v>
      </c>
      <c r="C185" s="1" t="s">
        <v>185</v>
      </c>
      <c r="D185" s="19" t="s">
        <v>10185</v>
      </c>
      <c r="E185" s="15" t="str">
        <f>HYPERLINK("https://stat100.ameba.jp/tnk47/ratio20/illustrations/card/ill_82213_tatarimokke03.jpg?201911-2-RELEASE-unionbattle-438", "■")</f>
        <v>■</v>
      </c>
      <c r="F185" s="1" t="s">
        <v>4935</v>
      </c>
      <c r="G185" s="1">
        <v>109852</v>
      </c>
      <c r="H185" s="1">
        <v>118152</v>
      </c>
      <c r="I185" s="1">
        <v>24</v>
      </c>
      <c r="J185" s="1" t="s">
        <v>182</v>
      </c>
      <c r="K185" s="1" t="s">
        <v>4937</v>
      </c>
      <c r="L185" s="1" t="s">
        <v>13191</v>
      </c>
      <c r="M185" s="1" t="s">
        <v>13130</v>
      </c>
      <c r="N185" s="1" t="s">
        <v>343</v>
      </c>
      <c r="O185" s="1" t="s">
        <v>9158</v>
      </c>
      <c r="P185" s="1" t="s">
        <v>9158</v>
      </c>
      <c r="Q185" s="1" t="s">
        <v>9158</v>
      </c>
      <c r="R185" s="14" t="s">
        <v>14748</v>
      </c>
    </row>
    <row r="186" spans="1:18">
      <c r="A186" s="1">
        <v>82212</v>
      </c>
      <c r="B186" s="1" t="s">
        <v>334</v>
      </c>
      <c r="C186" s="1" t="s">
        <v>185</v>
      </c>
      <c r="D186" s="19" t="s">
        <v>10185</v>
      </c>
      <c r="E186" s="15" t="str">
        <f>HYPERLINK("https://stat100.ameba.jp/tnk47/ratio20/illustrations/card/ill_82212_tatarimokke02.jpg?201911-2-RELEASE-unionbattle-438", "■")</f>
        <v>■</v>
      </c>
      <c r="F186" s="1" t="s">
        <v>4935</v>
      </c>
      <c r="G186" s="1">
        <v>90984</v>
      </c>
      <c r="H186" s="1">
        <v>98768</v>
      </c>
      <c r="I186" s="1">
        <v>24</v>
      </c>
      <c r="J186" s="1" t="s">
        <v>182</v>
      </c>
      <c r="K186" s="1" t="s">
        <v>4937</v>
      </c>
      <c r="L186" s="1" t="s">
        <v>13191</v>
      </c>
      <c r="M186" s="1" t="s">
        <v>13131</v>
      </c>
      <c r="N186" s="1" t="s">
        <v>251</v>
      </c>
      <c r="O186" s="1" t="s">
        <v>9158</v>
      </c>
      <c r="P186" s="1" t="s">
        <v>9158</v>
      </c>
      <c r="Q186" s="1" t="s">
        <v>9158</v>
      </c>
      <c r="R186" s="14" t="s">
        <v>14748</v>
      </c>
    </row>
    <row r="187" spans="1:18">
      <c r="A187" s="1">
        <v>82211</v>
      </c>
      <c r="B187" s="1" t="s">
        <v>0</v>
      </c>
      <c r="C187" s="1" t="s">
        <v>185</v>
      </c>
      <c r="D187" s="19" t="s">
        <v>10185</v>
      </c>
      <c r="E187" s="15" t="str">
        <f>HYPERLINK("https://stat100.ameba.jp/tnk47/ratio20/illustrations/card/ill_82211_tatarimokke01.jpg?201911-2-RELEASE-unionbattle-438", "■")</f>
        <v>■</v>
      </c>
      <c r="F187" s="1" t="s">
        <v>4935</v>
      </c>
      <c r="G187" s="1">
        <v>70200</v>
      </c>
      <c r="H187" s="1">
        <v>75408</v>
      </c>
      <c r="I187" s="1">
        <v>24</v>
      </c>
      <c r="J187" s="1" t="s">
        <v>182</v>
      </c>
      <c r="K187" s="1" t="s">
        <v>4937</v>
      </c>
      <c r="L187" s="1" t="s">
        <v>13191</v>
      </c>
      <c r="M187" s="1" t="s">
        <v>13131</v>
      </c>
      <c r="N187" s="1" t="s">
        <v>251</v>
      </c>
      <c r="O187" s="1" t="s">
        <v>9158</v>
      </c>
      <c r="P187" s="1" t="s">
        <v>9158</v>
      </c>
      <c r="Q187" s="1" t="s">
        <v>9158</v>
      </c>
      <c r="R187" s="14" t="s">
        <v>14748</v>
      </c>
    </row>
    <row r="188" spans="1:18">
      <c r="A188" s="1">
        <v>82223</v>
      </c>
      <c r="B188" s="1" t="s">
        <v>334</v>
      </c>
      <c r="C188" s="1" t="s">
        <v>200</v>
      </c>
      <c r="D188" s="19" t="s">
        <v>10186</v>
      </c>
      <c r="E188" s="15" t="str">
        <f>HYPERLINK("https://stat100.ameba.jp/tnk47/ratio20/illustrations/card/ill_82223_oyayubihime03.jpg?201911-2-RELEASE-unionbattle-438", "■")</f>
        <v>■</v>
      </c>
      <c r="F188" s="1" t="s">
        <v>4931</v>
      </c>
      <c r="G188" s="1">
        <v>118152</v>
      </c>
      <c r="H188" s="1">
        <v>109852</v>
      </c>
      <c r="I188" s="1">
        <v>24</v>
      </c>
      <c r="J188" s="1" t="s">
        <v>155</v>
      </c>
      <c r="K188" s="1" t="s">
        <v>4933</v>
      </c>
      <c r="L188" s="1" t="s">
        <v>4934</v>
      </c>
      <c r="M188" s="1" t="s">
        <v>13130</v>
      </c>
      <c r="N188" s="1" t="s">
        <v>343</v>
      </c>
      <c r="O188" s="1" t="s">
        <v>9158</v>
      </c>
      <c r="P188" s="1" t="s">
        <v>9158</v>
      </c>
      <c r="Q188" s="1" t="s">
        <v>9158</v>
      </c>
      <c r="R188" s="14" t="s">
        <v>14748</v>
      </c>
    </row>
    <row r="189" spans="1:18">
      <c r="A189" s="1">
        <v>82233</v>
      </c>
      <c r="B189" s="1" t="s">
        <v>334</v>
      </c>
      <c r="C189" s="1" t="s">
        <v>191</v>
      </c>
      <c r="D189" s="19" t="s">
        <v>10187</v>
      </c>
      <c r="E189" s="15" t="str">
        <f>HYPERLINK("https://stat100.ameba.jp/tnk47/ratio20/illustrations/card/ill_82233_iseokiku03.jpg?201911-2-RELEASE-unionbattle-438", "■")</f>
        <v>■</v>
      </c>
      <c r="F189" s="1" t="s">
        <v>4924</v>
      </c>
      <c r="G189" s="1">
        <v>118152</v>
      </c>
      <c r="H189" s="1">
        <v>109852</v>
      </c>
      <c r="I189" s="1">
        <v>24</v>
      </c>
      <c r="J189" s="1" t="s">
        <v>187</v>
      </c>
      <c r="K189" s="1" t="s">
        <v>4926</v>
      </c>
      <c r="L189" s="1" t="s">
        <v>4930</v>
      </c>
      <c r="M189" s="1" t="s">
        <v>13130</v>
      </c>
      <c r="N189" s="1" t="s">
        <v>343</v>
      </c>
      <c r="O189" s="1" t="s">
        <v>9158</v>
      </c>
      <c r="P189" s="1" t="s">
        <v>9158</v>
      </c>
      <c r="Q189" s="1" t="s">
        <v>9158</v>
      </c>
      <c r="R189" s="14" t="s">
        <v>14748</v>
      </c>
    </row>
    <row r="190" spans="1:18">
      <c r="A190" s="1">
        <v>82243</v>
      </c>
      <c r="B190" s="1" t="s">
        <v>0</v>
      </c>
      <c r="C190" s="1" t="s">
        <v>165</v>
      </c>
      <c r="D190" s="19" t="s">
        <v>10188</v>
      </c>
      <c r="E190" s="15" t="str">
        <f>HYPERLINK("https://stat100.ameba.jp/tnk47/ratio20/illustrations/card/ill_82243_nanohana03.jpg?201911-2-RELEASE-unionbattle-438", "■")</f>
        <v>■</v>
      </c>
      <c r="F190" s="1" t="s">
        <v>4921</v>
      </c>
      <c r="G190" s="1">
        <v>118152</v>
      </c>
      <c r="H190" s="1">
        <v>109852</v>
      </c>
      <c r="I190" s="1">
        <v>24</v>
      </c>
      <c r="J190" s="1" t="s">
        <v>229</v>
      </c>
      <c r="K190" s="1" t="s">
        <v>4923</v>
      </c>
      <c r="L190" s="1" t="s">
        <v>4929</v>
      </c>
      <c r="M190" s="1" t="s">
        <v>13130</v>
      </c>
      <c r="N190" s="1" t="s">
        <v>343</v>
      </c>
      <c r="O190" s="1" t="s">
        <v>9158</v>
      </c>
      <c r="P190" s="1" t="s">
        <v>9158</v>
      </c>
      <c r="Q190" s="1" t="s">
        <v>9158</v>
      </c>
      <c r="R190" s="14" t="s">
        <v>14748</v>
      </c>
    </row>
    <row r="191" spans="1:18">
      <c r="A191" s="1">
        <v>82253</v>
      </c>
      <c r="B191" s="1" t="s">
        <v>334</v>
      </c>
      <c r="C191" s="1" t="s">
        <v>205</v>
      </c>
      <c r="D191" s="19" t="s">
        <v>10189</v>
      </c>
      <c r="E191" s="15" t="str">
        <f>HYPERLINK("https://stat100.ameba.jp/tnk47/ratio20/illustrations/card/ill_82253_ajisaikyogokuichiko03.jpg?201911-2-RELEASE-unionbattle-438", "■")</f>
        <v>■</v>
      </c>
      <c r="F191" s="1" t="s">
        <v>4920</v>
      </c>
      <c r="G191" s="1">
        <v>109852</v>
      </c>
      <c r="H191" s="1">
        <v>118152</v>
      </c>
      <c r="I191" s="1">
        <v>24</v>
      </c>
      <c r="J191" s="1" t="s">
        <v>159</v>
      </c>
      <c r="K191" s="1" t="s">
        <v>4919</v>
      </c>
      <c r="L191" s="1" t="s">
        <v>4927</v>
      </c>
      <c r="M191" s="1" t="s">
        <v>13130</v>
      </c>
      <c r="N191" s="1" t="s">
        <v>343</v>
      </c>
      <c r="O191" s="1" t="s">
        <v>9158</v>
      </c>
      <c r="P191" s="1" t="s">
        <v>9158</v>
      </c>
      <c r="Q191" s="1" t="s">
        <v>9158</v>
      </c>
      <c r="R191" s="14" t="s">
        <v>14748</v>
      </c>
    </row>
    <row r="192" spans="1:18">
      <c r="A192" s="1">
        <v>82263</v>
      </c>
      <c r="B192" s="1" t="s">
        <v>334</v>
      </c>
      <c r="C192" s="1" t="s">
        <v>206</v>
      </c>
      <c r="D192" s="19" t="s">
        <v>10190</v>
      </c>
      <c r="E192" s="15" t="str">
        <f>HYPERLINK("https://stat100.ameba.jp/tnk47/ratio20/illustrations/card/ill_82263_euterupe03.jpg?201911-2-RELEASE-unionbattle-438", "■")</f>
        <v>■</v>
      </c>
      <c r="F192" s="1" t="s">
        <v>4915</v>
      </c>
      <c r="G192" s="1">
        <v>109852</v>
      </c>
      <c r="H192" s="1">
        <v>118152</v>
      </c>
      <c r="I192" s="1">
        <v>24</v>
      </c>
      <c r="J192" s="1" t="s">
        <v>169</v>
      </c>
      <c r="K192" s="1" t="s">
        <v>4917</v>
      </c>
      <c r="L192" s="1" t="s">
        <v>4928</v>
      </c>
      <c r="M192" s="1" t="s">
        <v>13130</v>
      </c>
      <c r="N192" s="1" t="s">
        <v>343</v>
      </c>
      <c r="O192" s="1" t="s">
        <v>9158</v>
      </c>
      <c r="P192" s="1" t="s">
        <v>9158</v>
      </c>
      <c r="Q192" s="1" t="s">
        <v>9158</v>
      </c>
      <c r="R192" s="14" t="s">
        <v>14748</v>
      </c>
    </row>
    <row r="193" spans="1:17">
      <c r="E193" s="7"/>
    </row>
    <row r="194" spans="1:17">
      <c r="A194" s="7" t="s">
        <v>7932</v>
      </c>
      <c r="E194" s="7"/>
    </row>
    <row r="195" spans="1:17">
      <c r="A195" s="7" t="s">
        <v>7933</v>
      </c>
      <c r="E195" s="7"/>
    </row>
    <row r="196" spans="1:17">
      <c r="A196" s="1" t="s">
        <v>5624</v>
      </c>
      <c r="B196" s="1" t="s">
        <v>52</v>
      </c>
      <c r="C196" s="1" t="s">
        <v>101</v>
      </c>
      <c r="D196" s="19" t="s">
        <v>1426</v>
      </c>
      <c r="E196" s="15" t="str">
        <f>HYPERLINK("https://stat100.ameba.jp/tnk47/ratio20/illustrations/card/ill_64953_0_yukatatokugawayoshinobu03.jpg?201911-2-RELEASE-unionbattle-438", "■")</f>
        <v>■</v>
      </c>
      <c r="F196" s="1" t="s">
        <v>2090</v>
      </c>
      <c r="G196" s="1">
        <v>143290</v>
      </c>
      <c r="H196" s="1">
        <v>154104</v>
      </c>
      <c r="I196" s="1">
        <v>23</v>
      </c>
      <c r="J196" s="1" t="s">
        <v>10</v>
      </c>
      <c r="K196" s="1" t="s">
        <v>2091</v>
      </c>
      <c r="L196" s="1" t="s">
        <v>2092</v>
      </c>
      <c r="M196" s="1" t="s">
        <v>9158</v>
      </c>
      <c r="N196" s="1" t="s">
        <v>9158</v>
      </c>
      <c r="O196" s="19" t="s">
        <v>2889</v>
      </c>
      <c r="P196" s="1" t="s">
        <v>2890</v>
      </c>
      <c r="Q196" s="1">
        <v>1</v>
      </c>
    </row>
    <row r="197" spans="1:17">
      <c r="A197" s="1" t="s">
        <v>5609</v>
      </c>
      <c r="B197" s="1" t="s">
        <v>330</v>
      </c>
      <c r="C197" s="1" t="s">
        <v>200</v>
      </c>
      <c r="D197" s="19" t="s">
        <v>389</v>
      </c>
      <c r="E197" s="15" t="str">
        <f>HYPERLINK("https://stat100.ameba.jp/tnk47/ratio20/illustrations/card/ill_64953_0_yukatatokugawayoshinobu03.jpg?201911-2-RELEASE-unionbattle-438", "■")</f>
        <v>■</v>
      </c>
      <c r="F197" s="1" t="s">
        <v>902</v>
      </c>
      <c r="G197" s="1">
        <v>144494</v>
      </c>
      <c r="H197" s="1">
        <v>128358</v>
      </c>
      <c r="I197" s="1">
        <v>23</v>
      </c>
      <c r="J197" s="1" t="s">
        <v>143</v>
      </c>
      <c r="K197" s="1" t="s">
        <v>903</v>
      </c>
      <c r="L197" s="1" t="s">
        <v>904</v>
      </c>
      <c r="M197" s="1" t="s">
        <v>9158</v>
      </c>
      <c r="N197" s="1" t="s">
        <v>9158</v>
      </c>
      <c r="O197" s="19" t="s">
        <v>10076</v>
      </c>
      <c r="P197" s="1" t="s">
        <v>13121</v>
      </c>
      <c r="Q197" s="1">
        <v>1</v>
      </c>
    </row>
    <row r="198" spans="1:17">
      <c r="A198" s="1" t="s">
        <v>5604</v>
      </c>
      <c r="B198" s="1" t="s">
        <v>330</v>
      </c>
      <c r="C198" s="1" t="s">
        <v>206</v>
      </c>
      <c r="D198" s="19" t="s">
        <v>614</v>
      </c>
      <c r="E198" s="15" t="str">
        <f>HYPERLINK("https://stat100.ameba.jp/tnk47/ratio20/illustrations/card/ill_64953_0_yukatatokugawayoshinobu03.jpg?201911-2-RELEASE-unionbattle-438", "■")</f>
        <v>■</v>
      </c>
      <c r="F198" s="1" t="s">
        <v>615</v>
      </c>
      <c r="G198" s="1">
        <v>144494</v>
      </c>
      <c r="H198" s="1">
        <v>128358</v>
      </c>
      <c r="I198" s="1">
        <v>23</v>
      </c>
      <c r="J198" s="1" t="s">
        <v>315</v>
      </c>
      <c r="K198" s="1" t="s">
        <v>616</v>
      </c>
      <c r="L198" s="1" t="s">
        <v>617</v>
      </c>
      <c r="M198" s="1" t="s">
        <v>9158</v>
      </c>
      <c r="N198" s="1" t="s">
        <v>9158</v>
      </c>
      <c r="O198" s="1" t="s">
        <v>9158</v>
      </c>
      <c r="P198" s="1" t="s">
        <v>9158</v>
      </c>
      <c r="Q198" s="1" t="s">
        <v>9158</v>
      </c>
    </row>
    <row r="199" spans="1:17">
      <c r="A199" s="7">
        <v>85113</v>
      </c>
      <c r="B199" s="7" t="s">
        <v>0</v>
      </c>
      <c r="C199" s="7" t="s">
        <v>185</v>
      </c>
      <c r="D199" s="19" t="s">
        <v>10760</v>
      </c>
      <c r="E199" s="15" t="str">
        <f>HYPERLINK("https://stat100.ameba.jp/tnk47/ratio20/illustrations/card/ill_85113_gakuensainaoekanetsugu03.jpg?201911-2-RELEASE-unionbattle-438", "■")</f>
        <v>■</v>
      </c>
      <c r="F199" s="7" t="s">
        <v>7901</v>
      </c>
      <c r="G199" s="7">
        <v>142674</v>
      </c>
      <c r="H199" s="7">
        <v>132658</v>
      </c>
      <c r="I199" s="7">
        <v>24</v>
      </c>
      <c r="J199" s="7" t="s">
        <v>194</v>
      </c>
      <c r="K199" s="7" t="s">
        <v>7900</v>
      </c>
      <c r="L199" s="7" t="s">
        <v>3459</v>
      </c>
      <c r="M199" s="1" t="s">
        <v>9158</v>
      </c>
      <c r="N199" s="1" t="s">
        <v>9158</v>
      </c>
      <c r="O199" s="1" t="s">
        <v>9158</v>
      </c>
      <c r="P199" s="1" t="s">
        <v>9158</v>
      </c>
      <c r="Q199" s="1" t="s">
        <v>9158</v>
      </c>
    </row>
    <row r="200" spans="1:17">
      <c r="A200" s="7">
        <v>85133</v>
      </c>
      <c r="B200" s="7" t="s">
        <v>15</v>
      </c>
      <c r="C200" s="7" t="s">
        <v>191</v>
      </c>
      <c r="D200" s="19" t="s">
        <v>10762</v>
      </c>
      <c r="E200" s="15" t="str">
        <f>HYPERLINK("https://stat100.ameba.jp/tnk47/ratio20/illustrations/card/ill_85133_sukurugaruikedasen03.jpg?201911-2-RELEASE-unionbattle-438", "■")</f>
        <v>■</v>
      </c>
      <c r="F200" s="7" t="s">
        <v>7907</v>
      </c>
      <c r="G200" s="7">
        <v>65208</v>
      </c>
      <c r="H200" s="7">
        <v>59144</v>
      </c>
      <c r="I200" s="7">
        <v>22</v>
      </c>
      <c r="J200" s="7" t="s">
        <v>194</v>
      </c>
      <c r="K200" s="7" t="s">
        <v>3523</v>
      </c>
      <c r="L200" s="7" t="s">
        <v>3524</v>
      </c>
      <c r="M200" s="1" t="s">
        <v>9158</v>
      </c>
      <c r="N200" s="1" t="s">
        <v>9158</v>
      </c>
      <c r="O200" s="1" t="s">
        <v>9158</v>
      </c>
      <c r="P200" s="1" t="s">
        <v>9158</v>
      </c>
      <c r="Q200" s="1" t="s">
        <v>9158</v>
      </c>
    </row>
    <row r="201" spans="1:17">
      <c r="A201" s="7">
        <v>85143</v>
      </c>
      <c r="B201" s="7" t="s">
        <v>22</v>
      </c>
      <c r="C201" s="7" t="s">
        <v>2611</v>
      </c>
      <c r="D201" s="19" t="s">
        <v>10763</v>
      </c>
      <c r="E201" s="15" t="str">
        <f>HYPERLINK("https://stat100.ameba.jp/tnk47/ratio20/illustrations/card/ill_85143_burauni03.jpg?201911-2-RELEASE-unionbattle-438", "■")</f>
        <v>■</v>
      </c>
      <c r="F201" s="7" t="s">
        <v>7910</v>
      </c>
      <c r="G201" s="7">
        <v>38032</v>
      </c>
      <c r="H201" s="7">
        <v>45742</v>
      </c>
      <c r="I201" s="7">
        <v>22</v>
      </c>
      <c r="J201" s="7" t="s">
        <v>169</v>
      </c>
      <c r="K201" s="7" t="s">
        <v>7909</v>
      </c>
      <c r="L201" s="7" t="s">
        <v>3780</v>
      </c>
      <c r="M201" s="1" t="s">
        <v>9158</v>
      </c>
      <c r="N201" s="1" t="s">
        <v>9158</v>
      </c>
      <c r="O201" s="1" t="s">
        <v>9158</v>
      </c>
      <c r="P201" s="1" t="s">
        <v>9158</v>
      </c>
      <c r="Q201" s="1" t="s">
        <v>9158</v>
      </c>
    </row>
    <row r="202" spans="1:17">
      <c r="A202" s="7">
        <v>85153</v>
      </c>
      <c r="B202" s="7" t="s">
        <v>30</v>
      </c>
      <c r="C202" s="7" t="s">
        <v>248</v>
      </c>
      <c r="D202" s="19" t="s">
        <v>10764</v>
      </c>
      <c r="E202" s="15" t="str">
        <f>HYPERLINK("https://stat100.ameba.jp/tnk47/ratio20/illustrations/card/ill_85153_seiogakuenkumanofudechan03.jpg?201911-2-RELEASE-unionbattle-438", "■")</f>
        <v>■</v>
      </c>
      <c r="F202" s="7" t="s">
        <v>7913</v>
      </c>
      <c r="G202" s="7">
        <v>27692</v>
      </c>
      <c r="H202" s="7">
        <v>23258</v>
      </c>
      <c r="I202" s="7">
        <v>22</v>
      </c>
      <c r="J202" s="7" t="s">
        <v>229</v>
      </c>
      <c r="K202" s="7" t="s">
        <v>7912</v>
      </c>
      <c r="L202" s="7" t="s">
        <v>5318</v>
      </c>
      <c r="M202" s="1" t="s">
        <v>9158</v>
      </c>
      <c r="N202" s="1" t="s">
        <v>9158</v>
      </c>
      <c r="O202" s="1" t="s">
        <v>9158</v>
      </c>
      <c r="P202" s="1" t="s">
        <v>9158</v>
      </c>
      <c r="Q202" s="1" t="s">
        <v>9158</v>
      </c>
    </row>
    <row r="203" spans="1:17">
      <c r="E203" s="7"/>
    </row>
    <row r="204" spans="1:17">
      <c r="A204" s="7" t="s">
        <v>7934</v>
      </c>
      <c r="E204" s="7"/>
    </row>
    <row r="205" spans="1:17">
      <c r="A205" s="7" t="s">
        <v>7935</v>
      </c>
      <c r="E205" s="7"/>
    </row>
    <row r="206" spans="1:17">
      <c r="A206" s="1" t="s">
        <v>5778</v>
      </c>
      <c r="B206" s="1" t="s">
        <v>330</v>
      </c>
      <c r="C206" s="1" t="s">
        <v>205</v>
      </c>
      <c r="D206" s="19" t="s">
        <v>272</v>
      </c>
      <c r="E206" s="15" t="str">
        <f>HYPERLINK("https://stat100.ameba.jp/tnk47/ratio20/illustrations/card/ill_68783_0_gantammomotaro03.jpg?201911-2-RELEASE-unionbattle-438", "■")</f>
        <v>■</v>
      </c>
      <c r="F206" s="1" t="s">
        <v>273</v>
      </c>
      <c r="G206" s="1">
        <v>150466</v>
      </c>
      <c r="H206" s="1">
        <v>139878</v>
      </c>
      <c r="I206" s="1">
        <v>22</v>
      </c>
      <c r="J206" s="1" t="s">
        <v>274</v>
      </c>
      <c r="K206" s="1" t="s">
        <v>275</v>
      </c>
      <c r="L206" s="1" t="s">
        <v>276</v>
      </c>
      <c r="M206" s="1" t="s">
        <v>9158</v>
      </c>
      <c r="N206" s="1" t="s">
        <v>9158</v>
      </c>
      <c r="O206" s="19" t="s">
        <v>10099</v>
      </c>
      <c r="P206" s="1" t="s">
        <v>3451</v>
      </c>
      <c r="Q206" s="1">
        <v>1</v>
      </c>
    </row>
    <row r="207" spans="1:17">
      <c r="A207" s="1">
        <v>58743</v>
      </c>
      <c r="B207" s="1" t="s">
        <v>334</v>
      </c>
      <c r="C207" s="1" t="s">
        <v>209</v>
      </c>
      <c r="D207" s="19" t="s">
        <v>10273</v>
      </c>
      <c r="E207" s="15" t="str">
        <f>HYPERLINK("https://stat100.ameba.jp/tnk47/ratio20/illustrations/card/ill_58743_enkirienoki03.jpg?201911-2-RELEASE-unionbattle-438", "■")</f>
        <v>■</v>
      </c>
      <c r="F207" s="1" t="s">
        <v>2550</v>
      </c>
      <c r="G207" s="1">
        <v>75651</v>
      </c>
      <c r="H207" s="1">
        <v>103176</v>
      </c>
      <c r="I207" s="1">
        <v>25</v>
      </c>
      <c r="J207" s="1" t="s">
        <v>44</v>
      </c>
      <c r="K207" s="1" t="s">
        <v>2551</v>
      </c>
      <c r="L207" s="1" t="s">
        <v>95</v>
      </c>
      <c r="M207" s="1" t="s">
        <v>9158</v>
      </c>
      <c r="N207" s="1" t="s">
        <v>9158</v>
      </c>
      <c r="O207" s="19" t="s">
        <v>10091</v>
      </c>
      <c r="P207" s="1" t="s">
        <v>3670</v>
      </c>
      <c r="Q207" s="1">
        <v>1</v>
      </c>
    </row>
    <row r="208" spans="1:17">
      <c r="A208" s="1">
        <v>77123</v>
      </c>
      <c r="B208" s="1" t="s">
        <v>334</v>
      </c>
      <c r="C208" s="1" t="s">
        <v>191</v>
      </c>
      <c r="D208" s="19" t="s">
        <v>10424</v>
      </c>
      <c r="E208" s="15" t="str">
        <f>HYPERLINK("https://stat100.ameba.jp/tnk47/ratio20/illustrations/card/ill_77123_yukemuriizuna03.jpg?201911-2-RELEASE-unionbattle-438", "■")</f>
        <v>■</v>
      </c>
      <c r="F208" s="1" t="s">
        <v>1377</v>
      </c>
      <c r="G208" s="1">
        <v>104162</v>
      </c>
      <c r="H208" s="1">
        <v>96871</v>
      </c>
      <c r="I208" s="1">
        <v>25</v>
      </c>
      <c r="J208" s="1" t="s">
        <v>320</v>
      </c>
      <c r="K208" s="1" t="s">
        <v>1378</v>
      </c>
      <c r="L208" s="1" t="s">
        <v>1379</v>
      </c>
      <c r="M208" s="1" t="s">
        <v>9158</v>
      </c>
      <c r="N208" s="1" t="s">
        <v>9158</v>
      </c>
      <c r="O208" s="19" t="s">
        <v>2838</v>
      </c>
      <c r="P208" s="1" t="s">
        <v>3579</v>
      </c>
      <c r="Q208" s="1">
        <v>1</v>
      </c>
    </row>
    <row r="209" spans="1:17">
      <c r="A209" s="1">
        <v>73103</v>
      </c>
      <c r="B209" s="1" t="s">
        <v>334</v>
      </c>
      <c r="C209" s="1" t="s">
        <v>41</v>
      </c>
      <c r="D209" s="19" t="s">
        <v>10423</v>
      </c>
      <c r="E209" s="15" t="str">
        <f>HYPERLINK("https://stat100.ameba.jp/tnk47/ratio20/illustrations/card/ill_73103_nominookata03.jpg?201911-2-RELEASE-unionbattle-438", "■")</f>
        <v>■</v>
      </c>
      <c r="F209" s="1" t="s">
        <v>2106</v>
      </c>
      <c r="G209" s="1">
        <v>79151</v>
      </c>
      <c r="H209" s="1">
        <v>109259</v>
      </c>
      <c r="I209" s="1">
        <v>25</v>
      </c>
      <c r="J209" s="1" t="s">
        <v>77</v>
      </c>
      <c r="K209" s="1" t="s">
        <v>2107</v>
      </c>
      <c r="L209" s="1" t="s">
        <v>969</v>
      </c>
      <c r="M209" s="1" t="s">
        <v>9158</v>
      </c>
      <c r="N209" s="1" t="s">
        <v>9158</v>
      </c>
      <c r="O209" s="19" t="s">
        <v>2752</v>
      </c>
      <c r="P209" s="1" t="s">
        <v>13173</v>
      </c>
      <c r="Q209" s="1">
        <v>1</v>
      </c>
    </row>
    <row r="210" spans="1:17">
      <c r="E210" s="7"/>
    </row>
    <row r="211" spans="1:17">
      <c r="A211" s="7" t="s">
        <v>7942</v>
      </c>
      <c r="E211" s="7"/>
    </row>
    <row r="212" spans="1:17">
      <c r="A212" s="7" t="s">
        <v>7943</v>
      </c>
      <c r="E212" s="7"/>
    </row>
    <row r="213" spans="1:17">
      <c r="A213" s="1" t="s">
        <v>5733</v>
      </c>
      <c r="B213" s="1" t="s">
        <v>330</v>
      </c>
      <c r="C213" s="1" t="s">
        <v>202</v>
      </c>
      <c r="D213" s="19" t="s">
        <v>2744</v>
      </c>
      <c r="E213" s="15" t="str">
        <f>HYPERLINK("https://stat100.ameba.jp/tnk47/ratio20/illustrations/card/ill_78693_0_kyupittokoinomikoto03.jpg?201911-2-RELEASE-unionbattle-438", "■")</f>
        <v>■</v>
      </c>
      <c r="F213" s="1" t="s">
        <v>2745</v>
      </c>
      <c r="G213" s="1">
        <v>251516</v>
      </c>
      <c r="H213" s="1">
        <v>278294</v>
      </c>
      <c r="I213" s="1">
        <v>24</v>
      </c>
      <c r="J213" s="1" t="s">
        <v>274</v>
      </c>
      <c r="K213" s="1" t="s">
        <v>2746</v>
      </c>
      <c r="L213" s="1" t="s">
        <v>2747</v>
      </c>
      <c r="M213" s="1" t="s">
        <v>9158</v>
      </c>
      <c r="N213" s="1" t="s">
        <v>9158</v>
      </c>
      <c r="O213" s="19" t="s">
        <v>10097</v>
      </c>
      <c r="P213" s="1" t="s">
        <v>2748</v>
      </c>
      <c r="Q213" s="1">
        <v>1</v>
      </c>
    </row>
    <row r="214" spans="1:17">
      <c r="A214" s="1">
        <v>79963</v>
      </c>
      <c r="B214" s="1" t="s">
        <v>0</v>
      </c>
      <c r="C214" s="1" t="s">
        <v>200</v>
      </c>
      <c r="D214" s="19" t="s">
        <v>10477</v>
      </c>
      <c r="E214" s="15" t="str">
        <f>HYPERLINK("https://stat100.ameba.jp/tnk47/ratio20/illustrations/card/ill_79963_hinamatsurirakko03.jpg?201911-2-RELEASE-unionbattle-438", "■")</f>
        <v>■</v>
      </c>
      <c r="F214" s="1" t="s">
        <v>3715</v>
      </c>
      <c r="G214" s="1">
        <v>109334</v>
      </c>
      <c r="H214" s="1">
        <v>101656</v>
      </c>
      <c r="I214" s="1">
        <v>24</v>
      </c>
      <c r="J214" s="1" t="s">
        <v>26</v>
      </c>
      <c r="K214" s="1" t="s">
        <v>3716</v>
      </c>
      <c r="L214" s="1" t="s">
        <v>1086</v>
      </c>
      <c r="M214" s="1" t="s">
        <v>9158</v>
      </c>
      <c r="N214" s="1" t="s">
        <v>9158</v>
      </c>
      <c r="O214" s="19" t="s">
        <v>10090</v>
      </c>
      <c r="P214" s="1" t="s">
        <v>3460</v>
      </c>
      <c r="Q214" s="1">
        <v>1</v>
      </c>
    </row>
    <row r="215" spans="1:17">
      <c r="A215" s="1">
        <v>60763</v>
      </c>
      <c r="B215" s="1" t="s">
        <v>334</v>
      </c>
      <c r="C215" s="1" t="s">
        <v>203</v>
      </c>
      <c r="D215" s="19" t="s">
        <v>10420</v>
      </c>
      <c r="E215" s="15" t="str">
        <f>HYPERLINK("https://stat100.ameba.jp/tnk47/ratio20/illustrations/card/ill_60763_fujiwarakagekiyo03.jpg?201911-2-RELEASE-unionbattle-438", "■")</f>
        <v>■</v>
      </c>
      <c r="F215" s="1" t="s">
        <v>1146</v>
      </c>
      <c r="G215" s="1">
        <v>115656</v>
      </c>
      <c r="H215" s="1">
        <v>159674</v>
      </c>
      <c r="I215" s="1">
        <v>24</v>
      </c>
      <c r="J215" s="1" t="s">
        <v>143</v>
      </c>
      <c r="K215" s="1" t="s">
        <v>1147</v>
      </c>
      <c r="L215" s="1" t="s">
        <v>1148</v>
      </c>
      <c r="M215" s="1" t="s">
        <v>9158</v>
      </c>
      <c r="N215" s="1" t="s">
        <v>9158</v>
      </c>
      <c r="O215" s="19" t="s">
        <v>10112</v>
      </c>
      <c r="P215" s="1" t="s">
        <v>13150</v>
      </c>
      <c r="Q215" s="1">
        <v>1</v>
      </c>
    </row>
    <row r="216" spans="1:17">
      <c r="A216" s="1">
        <v>71323</v>
      </c>
      <c r="B216" s="1" t="s">
        <v>334</v>
      </c>
      <c r="C216" s="1" t="s">
        <v>154</v>
      </c>
      <c r="D216" s="19" t="s">
        <v>10184</v>
      </c>
      <c r="E216" s="15" t="str">
        <f>HYPERLINK("https://stat100.ameba.jp/tnk47/ratio20/illustrations/card/ill_71323_kodanobu03.jpg?201911-2-RELEASE-unionbattle-438", "■")</f>
        <v>■</v>
      </c>
      <c r="F216" s="1" t="s">
        <v>1879</v>
      </c>
      <c r="G216" s="1">
        <v>120000</v>
      </c>
      <c r="H216" s="1">
        <v>111576</v>
      </c>
      <c r="I216" s="1">
        <v>24</v>
      </c>
      <c r="J216" s="1" t="s">
        <v>159</v>
      </c>
      <c r="K216" s="1" t="s">
        <v>2694</v>
      </c>
      <c r="L216" s="1" t="s">
        <v>13182</v>
      </c>
      <c r="M216" s="1" t="s">
        <v>9158</v>
      </c>
      <c r="N216" s="1" t="s">
        <v>9158</v>
      </c>
      <c r="O216" s="19" t="s">
        <v>10082</v>
      </c>
      <c r="P216" s="1" t="s">
        <v>13124</v>
      </c>
      <c r="Q216" s="1">
        <v>1</v>
      </c>
    </row>
    <row r="217" spans="1:17">
      <c r="E217" s="7"/>
    </row>
    <row r="218" spans="1:17">
      <c r="A218" s="7" t="s">
        <v>7944</v>
      </c>
      <c r="E218" s="7"/>
    </row>
    <row r="219" spans="1:17">
      <c r="A219" s="7" t="s">
        <v>7945</v>
      </c>
      <c r="E219" s="7"/>
    </row>
    <row r="220" spans="1:17">
      <c r="A220" s="1" t="s">
        <v>5615</v>
      </c>
      <c r="B220" s="1" t="s">
        <v>330</v>
      </c>
      <c r="C220" s="1" t="s">
        <v>206</v>
      </c>
      <c r="D220" s="19" t="s">
        <v>2814</v>
      </c>
      <c r="E220" s="15" t="str">
        <f>HYPERLINK("https://stat100.ameba.jp/tnk47/ratio20/illustrations/card/ill_57733_0_shogatsunisenjunanaamakusashiro03.jpg?201911-2-RELEASE-unionbattle-438", "■")</f>
        <v>■</v>
      </c>
      <c r="F220" s="1" t="s">
        <v>2815</v>
      </c>
      <c r="G220" s="1">
        <v>83712</v>
      </c>
      <c r="H220" s="1">
        <v>94236</v>
      </c>
      <c r="I220" s="1">
        <v>15</v>
      </c>
      <c r="J220" s="1" t="s">
        <v>351</v>
      </c>
      <c r="K220" s="1" t="s">
        <v>2816</v>
      </c>
      <c r="L220" s="1" t="s">
        <v>2817</v>
      </c>
      <c r="M220" s="1" t="s">
        <v>9158</v>
      </c>
      <c r="N220" s="1" t="s">
        <v>9158</v>
      </c>
      <c r="O220" s="19" t="s">
        <v>10077</v>
      </c>
      <c r="P220" s="1" t="s">
        <v>3062</v>
      </c>
      <c r="Q220" s="1">
        <v>1</v>
      </c>
    </row>
    <row r="221" spans="1:17">
      <c r="A221" s="1" t="s">
        <v>5891</v>
      </c>
      <c r="B221" s="1" t="s">
        <v>330</v>
      </c>
      <c r="C221" s="1" t="s">
        <v>202</v>
      </c>
      <c r="D221" s="19" t="s">
        <v>1371</v>
      </c>
      <c r="E221" s="15" t="str">
        <f>HYPERLINK("https://stat100.ameba.jp/tnk47/ratio20/illustrations/card/ill_77173_0_yukemuritomoegozen03.jpg?201911-2-RELEASE-unionbattle-438", "■")</f>
        <v>■</v>
      </c>
      <c r="F221" s="1" t="s">
        <v>1372</v>
      </c>
      <c r="G221" s="1">
        <v>150366</v>
      </c>
      <c r="H221" s="1">
        <v>166369</v>
      </c>
      <c r="I221" s="1">
        <v>15</v>
      </c>
      <c r="J221" s="1" t="s">
        <v>310</v>
      </c>
      <c r="K221" s="1" t="s">
        <v>1373</v>
      </c>
      <c r="L221" s="1" t="s">
        <v>1374</v>
      </c>
      <c r="M221" s="1" t="s">
        <v>9158</v>
      </c>
      <c r="N221" s="1" t="s">
        <v>9158</v>
      </c>
      <c r="O221" s="19" t="s">
        <v>4067</v>
      </c>
      <c r="P221" s="1" t="s">
        <v>3879</v>
      </c>
      <c r="Q221" s="1">
        <v>2</v>
      </c>
    </row>
    <row r="222" spans="1:17">
      <c r="A222" s="1" t="s">
        <v>5616</v>
      </c>
      <c r="B222" s="1" t="s">
        <v>52</v>
      </c>
      <c r="C222" s="1" t="s">
        <v>14</v>
      </c>
      <c r="D222" s="19" t="s">
        <v>638</v>
      </c>
      <c r="E222" s="15" t="str">
        <f>HYPERLINK("https://stat100.ameba.jp/tnk47/ratio20/illustrations/card/ill_44253_0_dokuganryudatemasamune03.jpg?201911-2-RELEASE-unionbattle-438", "■")</f>
        <v>■</v>
      </c>
      <c r="F222" s="1" t="s">
        <v>1181</v>
      </c>
      <c r="G222" s="1">
        <v>82212</v>
      </c>
      <c r="H222" s="1">
        <v>87780</v>
      </c>
      <c r="I222" s="1">
        <v>15</v>
      </c>
      <c r="J222" s="1" t="s">
        <v>143</v>
      </c>
      <c r="K222" s="1" t="s">
        <v>1182</v>
      </c>
      <c r="L222" s="1" t="s">
        <v>1183</v>
      </c>
      <c r="M222" s="1" t="s">
        <v>9158</v>
      </c>
      <c r="N222" s="1" t="s">
        <v>9158</v>
      </c>
      <c r="O222" s="1" t="s">
        <v>9158</v>
      </c>
      <c r="P222" s="1" t="s">
        <v>9158</v>
      </c>
      <c r="Q222" s="1" t="s">
        <v>9158</v>
      </c>
    </row>
    <row r="223" spans="1:17">
      <c r="A223" s="1">
        <v>77613</v>
      </c>
      <c r="B223" s="1" t="s">
        <v>334</v>
      </c>
      <c r="C223" s="1" t="s">
        <v>7946</v>
      </c>
      <c r="D223" s="19" t="s">
        <v>10500</v>
      </c>
      <c r="E223" s="15" t="str">
        <f>HYPERLINK("https://stat100.ameba.jp/tnk47/ratio20/illustrations/card/ill_77613_kajinotochiotomechan03.jpg?201911-2-RELEASE-unionbattle-438", "■")</f>
        <v>■</v>
      </c>
      <c r="F223" s="1" t="s">
        <v>7954</v>
      </c>
      <c r="G223" s="1">
        <v>78748</v>
      </c>
      <c r="H223" s="1">
        <v>139986</v>
      </c>
      <c r="I223" s="1">
        <v>24</v>
      </c>
      <c r="J223" s="1" t="s">
        <v>7949</v>
      </c>
      <c r="K223" s="1" t="s">
        <v>7953</v>
      </c>
      <c r="L223" s="1" t="s">
        <v>7952</v>
      </c>
      <c r="M223" s="1" t="s">
        <v>9158</v>
      </c>
      <c r="N223" s="1" t="s">
        <v>9158</v>
      </c>
      <c r="O223" s="1" t="s">
        <v>9158</v>
      </c>
      <c r="P223" s="1" t="s">
        <v>9158</v>
      </c>
      <c r="Q223" s="1" t="s">
        <v>9158</v>
      </c>
    </row>
    <row r="224" spans="1:17">
      <c r="A224" s="7">
        <v>69143</v>
      </c>
      <c r="B224" s="1" t="s">
        <v>334</v>
      </c>
      <c r="C224" s="1" t="s">
        <v>7947</v>
      </c>
      <c r="D224" s="19" t="s">
        <v>1451</v>
      </c>
      <c r="E224" s="15" t="str">
        <f>HYPERLINK("https://stat100.ameba.jp/tnk47/ratio20/illustrations/card/ill_69143_marukamejo03.jpg?201911-2-RELEASE-unionbattle-438", "■")</f>
        <v>■</v>
      </c>
      <c r="F224" s="1" t="s">
        <v>7957</v>
      </c>
      <c r="G224" s="1">
        <v>78748</v>
      </c>
      <c r="H224" s="1">
        <v>139986</v>
      </c>
      <c r="I224" s="1">
        <v>24</v>
      </c>
      <c r="J224" s="1" t="s">
        <v>7950</v>
      </c>
      <c r="K224" s="1" t="s">
        <v>7956</v>
      </c>
      <c r="L224" s="1" t="s">
        <v>7955</v>
      </c>
      <c r="M224" s="1" t="s">
        <v>9158</v>
      </c>
      <c r="N224" s="1" t="s">
        <v>9158</v>
      </c>
      <c r="O224" s="1" t="s">
        <v>9158</v>
      </c>
      <c r="P224" s="1" t="s">
        <v>9158</v>
      </c>
      <c r="Q224" s="1" t="s">
        <v>9158</v>
      </c>
    </row>
    <row r="225" spans="1:17">
      <c r="A225" s="1">
        <v>75653</v>
      </c>
      <c r="B225" s="1" t="s">
        <v>334</v>
      </c>
      <c r="C225" s="1" t="s">
        <v>7948</v>
      </c>
      <c r="D225" s="19" t="s">
        <v>10767</v>
      </c>
      <c r="E225" s="15" t="str">
        <f>HYPERLINK("https://stat100.ameba.jp/tnk47/ratio20/illustrations/card/ill_75653_kitanobuchika03.jpg?201911-2-RELEASE-unionbattle-438", "■")</f>
        <v>■</v>
      </c>
      <c r="F225" s="1" t="s">
        <v>7960</v>
      </c>
      <c r="G225" s="1">
        <v>132658</v>
      </c>
      <c r="H225" s="1">
        <v>142674</v>
      </c>
      <c r="I225" s="1">
        <v>24</v>
      </c>
      <c r="J225" s="1" t="s">
        <v>7951</v>
      </c>
      <c r="K225" s="1" t="s">
        <v>7959</v>
      </c>
      <c r="L225" s="1" t="s">
        <v>7958</v>
      </c>
      <c r="M225" s="1" t="s">
        <v>9158</v>
      </c>
      <c r="N225" s="1" t="s">
        <v>9158</v>
      </c>
      <c r="O225" s="1" t="s">
        <v>9158</v>
      </c>
      <c r="P225" s="1" t="s">
        <v>9158</v>
      </c>
      <c r="Q225" s="1" t="s">
        <v>9158</v>
      </c>
    </row>
    <row r="226" spans="1:17">
      <c r="A226" s="7">
        <v>77253</v>
      </c>
      <c r="B226" s="1" t="s">
        <v>348</v>
      </c>
      <c r="C226" s="1" t="s">
        <v>205</v>
      </c>
      <c r="D226" s="19" t="s">
        <v>1439</v>
      </c>
      <c r="E226" s="15" t="str">
        <f>HYPERLINK("https://stat100.ameba.jp/tnk47/ratio20/illustrations/card/ill_77253_korakuoribuchan03.jpg?201911-2-RELEASE-unionbattle-438", "■")</f>
        <v>■</v>
      </c>
      <c r="F226" s="1" t="s">
        <v>1440</v>
      </c>
      <c r="G226" s="1">
        <v>53768</v>
      </c>
      <c r="H226" s="1">
        <v>59280</v>
      </c>
      <c r="I226" s="1">
        <v>20</v>
      </c>
      <c r="J226" s="1" t="s">
        <v>283</v>
      </c>
      <c r="K226" s="1" t="s">
        <v>1441</v>
      </c>
      <c r="L226" s="1" t="s">
        <v>1442</v>
      </c>
      <c r="M226" s="1" t="s">
        <v>9158</v>
      </c>
      <c r="N226" s="1" t="s">
        <v>9158</v>
      </c>
      <c r="O226" s="1" t="s">
        <v>9158</v>
      </c>
      <c r="P226" s="1" t="s">
        <v>9158</v>
      </c>
      <c r="Q226" s="1" t="s">
        <v>9158</v>
      </c>
    </row>
    <row r="227" spans="1:17">
      <c r="A227" s="7">
        <v>80363</v>
      </c>
      <c r="B227" s="1" t="s">
        <v>15</v>
      </c>
      <c r="C227" s="1" t="s">
        <v>23</v>
      </c>
      <c r="D227" s="19" t="s">
        <v>4126</v>
      </c>
      <c r="E227" s="15" t="str">
        <f>HYPERLINK("https://stat100.ameba.jp/tnk47/ratio20/illustrations/card/ill_80363_hondatadakatsu03.jpg?201911-2-RELEASE-unionbattle-438", "■")</f>
        <v>■</v>
      </c>
      <c r="F227" s="1" t="s">
        <v>4098</v>
      </c>
      <c r="G227" s="1">
        <v>53768</v>
      </c>
      <c r="H227" s="1">
        <v>59280</v>
      </c>
      <c r="I227" s="1">
        <v>20</v>
      </c>
      <c r="J227" s="1" t="s">
        <v>143</v>
      </c>
      <c r="K227" s="1" t="s">
        <v>4099</v>
      </c>
      <c r="L227" s="1" t="s">
        <v>3326</v>
      </c>
      <c r="M227" s="1" t="s">
        <v>9158</v>
      </c>
      <c r="N227" s="1" t="s">
        <v>9158</v>
      </c>
      <c r="O227" s="1" t="s">
        <v>9158</v>
      </c>
      <c r="P227" s="1" t="s">
        <v>9158</v>
      </c>
      <c r="Q227" s="1" t="s">
        <v>9158</v>
      </c>
    </row>
    <row r="228" spans="1:17">
      <c r="A228" s="7">
        <v>65783</v>
      </c>
      <c r="B228" s="1" t="s">
        <v>15</v>
      </c>
      <c r="C228" s="1" t="s">
        <v>185</v>
      </c>
      <c r="D228" s="19" t="s">
        <v>10757</v>
      </c>
      <c r="E228" s="15" t="str">
        <f>HYPERLINK("https://stat100.ameba.jp/tnk47/ratio20/illustrations/card/ill_65783_sankichioni03.jpg?201911-2-RELEASE-unionbattle-438", "■")</f>
        <v>■</v>
      </c>
      <c r="F228" s="1" t="s">
        <v>3965</v>
      </c>
      <c r="G228" s="1">
        <v>53768</v>
      </c>
      <c r="H228" s="1">
        <v>59280</v>
      </c>
      <c r="I228" s="1">
        <v>20</v>
      </c>
      <c r="J228" s="1" t="s">
        <v>73</v>
      </c>
      <c r="K228" s="1" t="s">
        <v>3966</v>
      </c>
      <c r="L228" s="1" t="s">
        <v>1706</v>
      </c>
      <c r="M228" s="1" t="s">
        <v>9158</v>
      </c>
      <c r="N228" s="1" t="s">
        <v>9158</v>
      </c>
      <c r="O228" s="1" t="s">
        <v>9158</v>
      </c>
      <c r="P228" s="1" t="s">
        <v>9158</v>
      </c>
      <c r="Q228" s="1" t="s">
        <v>9158</v>
      </c>
    </row>
    <row r="229" spans="1:17">
      <c r="E229" s="7"/>
    </row>
    <row r="230" spans="1:17">
      <c r="A230" s="7" t="s">
        <v>7961</v>
      </c>
      <c r="E230" s="7"/>
    </row>
    <row r="231" spans="1:17">
      <c r="A231" s="7" t="s">
        <v>7962</v>
      </c>
      <c r="E231" s="7"/>
    </row>
    <row r="232" spans="1:17">
      <c r="A232" s="1" t="s">
        <v>5623</v>
      </c>
      <c r="B232" s="1" t="s">
        <v>330</v>
      </c>
      <c r="C232" s="1" t="s">
        <v>165</v>
      </c>
      <c r="D232" s="19" t="s">
        <v>3146</v>
      </c>
      <c r="E232" s="15" t="str">
        <f>HYPERLINK("https://stat100.ameba.jp/tnk47/ratio20/illustrations/card/ill_65713_0_undokaionikirimaru03.jpg?201911-2-RELEASE-unionbattle-438", "■")</f>
        <v>■</v>
      </c>
      <c r="F232" s="1" t="s">
        <v>535</v>
      </c>
      <c r="G232" s="1">
        <v>181640</v>
      </c>
      <c r="H232" s="1">
        <v>168874</v>
      </c>
      <c r="I232" s="1">
        <v>24</v>
      </c>
      <c r="J232" s="1" t="s">
        <v>320</v>
      </c>
      <c r="K232" s="1" t="s">
        <v>3147</v>
      </c>
      <c r="L232" s="1" t="s">
        <v>3148</v>
      </c>
      <c r="M232" s="1" t="s">
        <v>9158</v>
      </c>
      <c r="N232" s="1" t="s">
        <v>9158</v>
      </c>
      <c r="O232" s="19" t="s">
        <v>2869</v>
      </c>
      <c r="P232" s="1" t="s">
        <v>2870</v>
      </c>
      <c r="Q232" s="1">
        <v>1</v>
      </c>
    </row>
    <row r="233" spans="1:17">
      <c r="A233" s="1" t="s">
        <v>5724</v>
      </c>
      <c r="B233" s="1" t="s">
        <v>330</v>
      </c>
      <c r="C233" s="1" t="s">
        <v>335</v>
      </c>
      <c r="D233" s="19" t="s">
        <v>698</v>
      </c>
      <c r="E233" s="15" t="str">
        <f>HYPERLINK("https://stat100.ameba.jp/tnk47/ratio20/illustrations/card/ill_66433_0_haroinfujishirogozen03.jpg?201911-2-RELEASE-unionbattle-438", "■")</f>
        <v>■</v>
      </c>
      <c r="F233" s="1" t="s">
        <v>699</v>
      </c>
      <c r="G233" s="1">
        <v>146892</v>
      </c>
      <c r="H233" s="1">
        <v>158000</v>
      </c>
      <c r="I233" s="1">
        <v>24</v>
      </c>
      <c r="J233" s="1" t="s">
        <v>315</v>
      </c>
      <c r="K233" s="1" t="s">
        <v>700</v>
      </c>
      <c r="L233" s="1" t="s">
        <v>701</v>
      </c>
      <c r="M233" s="1" t="s">
        <v>9158</v>
      </c>
      <c r="N233" s="1" t="s">
        <v>9158</v>
      </c>
      <c r="O233" s="19" t="s">
        <v>10095</v>
      </c>
      <c r="P233" s="1" t="s">
        <v>3345</v>
      </c>
      <c r="Q233" s="1">
        <v>1</v>
      </c>
    </row>
    <row r="234" spans="1:17">
      <c r="A234" s="7">
        <v>85053</v>
      </c>
      <c r="B234" s="7" t="s">
        <v>7963</v>
      </c>
      <c r="C234" s="7" t="s">
        <v>7964</v>
      </c>
      <c r="D234" s="19" t="s">
        <v>10768</v>
      </c>
      <c r="E234" s="15" t="str">
        <f>HYPERLINK("https://stat100.ameba.jp/tnk47/ratio20/illustrations/card/ill_85053_heideirumu03.jpg?201911-2-RELEASE-unionbattle-438", "■")</f>
        <v>■</v>
      </c>
      <c r="F234" s="7" t="s">
        <v>7969</v>
      </c>
      <c r="G234" s="7">
        <v>114119</v>
      </c>
      <c r="H234" s="7">
        <v>82654</v>
      </c>
      <c r="I234" s="7">
        <v>25</v>
      </c>
      <c r="J234" s="7" t="s">
        <v>7966</v>
      </c>
      <c r="K234" s="7" t="s">
        <v>7968</v>
      </c>
      <c r="L234" s="7" t="s">
        <v>7967</v>
      </c>
      <c r="M234" s="1" t="s">
        <v>9158</v>
      </c>
      <c r="N234" s="1" t="s">
        <v>9158</v>
      </c>
      <c r="O234" s="19" t="s">
        <v>10085</v>
      </c>
      <c r="P234" s="7" t="s">
        <v>7965</v>
      </c>
      <c r="Q234" s="7">
        <v>1</v>
      </c>
    </row>
    <row r="235" spans="1:17">
      <c r="A235" s="1">
        <v>69513</v>
      </c>
      <c r="B235" s="1" t="s">
        <v>0</v>
      </c>
      <c r="C235" s="1" t="s">
        <v>158</v>
      </c>
      <c r="D235" s="19" t="s">
        <v>10265</v>
      </c>
      <c r="E235" s="15" t="str">
        <f>HYPERLINK("https://stat100.ameba.jp/tnk47/ratio20/illustrations/card/ill_69513_somedononokisaki03.jpg?201911-2-RELEASE-unionbattle-438", "■")</f>
        <v>■</v>
      </c>
      <c r="F235" s="1" t="s">
        <v>3674</v>
      </c>
      <c r="G235" s="1">
        <v>82654</v>
      </c>
      <c r="H235" s="1">
        <v>114119</v>
      </c>
      <c r="I235" s="1">
        <v>25</v>
      </c>
      <c r="J235" s="1" t="s">
        <v>187</v>
      </c>
      <c r="K235" s="1" t="s">
        <v>3675</v>
      </c>
      <c r="L235" s="1" t="s">
        <v>13187</v>
      </c>
      <c r="M235" s="1" t="s">
        <v>9158</v>
      </c>
      <c r="N235" s="1" t="s">
        <v>9158</v>
      </c>
      <c r="O235" s="19" t="s">
        <v>2752</v>
      </c>
      <c r="P235" s="1" t="s">
        <v>13173</v>
      </c>
      <c r="Q235" s="1">
        <v>1</v>
      </c>
    </row>
    <row r="236" spans="1:17">
      <c r="A236" s="7">
        <v>59423</v>
      </c>
      <c r="B236" s="1" t="s">
        <v>334</v>
      </c>
      <c r="C236" s="1" t="s">
        <v>209</v>
      </c>
      <c r="D236" s="19" t="s">
        <v>10286</v>
      </c>
      <c r="E236" s="15" t="str">
        <f>HYPERLINK("https://stat100.ameba.jp/tnk47/ratio20/illustrations/card/ill_59423_yuishosetsu03.jpg?201911-2-RELEASE-unionbattle-438", "■")</f>
        <v>■</v>
      </c>
      <c r="F236" s="1" t="s">
        <v>1143</v>
      </c>
      <c r="G236" s="1">
        <v>113463</v>
      </c>
      <c r="H236" s="1">
        <v>82205</v>
      </c>
      <c r="I236" s="1">
        <v>25</v>
      </c>
      <c r="J236" s="1" t="s">
        <v>16</v>
      </c>
      <c r="K236" s="1" t="s">
        <v>1144</v>
      </c>
      <c r="L236" s="1" t="s">
        <v>1149</v>
      </c>
      <c r="M236" s="1" t="s">
        <v>9158</v>
      </c>
      <c r="N236" s="1" t="s">
        <v>9158</v>
      </c>
      <c r="O236" s="19" t="s">
        <v>2951</v>
      </c>
      <c r="P236" s="1" t="s">
        <v>13122</v>
      </c>
      <c r="Q236" s="1">
        <v>1</v>
      </c>
    </row>
    <row r="237" spans="1:17">
      <c r="A237" s="1">
        <v>65633</v>
      </c>
      <c r="B237" s="1" t="s">
        <v>0</v>
      </c>
      <c r="C237" s="1" t="s">
        <v>41</v>
      </c>
      <c r="D237" s="19" t="s">
        <v>10227</v>
      </c>
      <c r="E237" s="15" t="str">
        <f>HYPERLINK("https://stat100.ameba.jp/tnk47/ratio20/illustrations/card/ill_65633_shinnoakugoro03.jpg?201911-2-RELEASE-unionbattle-438", "■")</f>
        <v>■</v>
      </c>
      <c r="F237" s="1" t="s">
        <v>70</v>
      </c>
      <c r="G237" s="1">
        <v>116577</v>
      </c>
      <c r="H237" s="1">
        <v>84456</v>
      </c>
      <c r="I237" s="1">
        <v>25</v>
      </c>
      <c r="J237" s="1" t="s">
        <v>73</v>
      </c>
      <c r="K237" s="1" t="s">
        <v>71</v>
      </c>
      <c r="L237" s="1" t="s">
        <v>72</v>
      </c>
      <c r="M237" s="1" t="s">
        <v>9158</v>
      </c>
      <c r="N237" s="1" t="s">
        <v>9158</v>
      </c>
      <c r="O237" s="1" t="s">
        <v>9158</v>
      </c>
      <c r="P237" s="1" t="s">
        <v>9158</v>
      </c>
      <c r="Q237" s="1" t="s">
        <v>9158</v>
      </c>
    </row>
    <row r="238" spans="1:17">
      <c r="A238" s="1">
        <v>63263</v>
      </c>
      <c r="B238" s="1" t="s">
        <v>334</v>
      </c>
      <c r="C238" s="1" t="s">
        <v>209</v>
      </c>
      <c r="D238" s="19" t="s">
        <v>2831</v>
      </c>
      <c r="E238" s="15" t="str">
        <f>HYPERLINK("https://stat100.ameba.jp/tnk47/ratio20/illustrations/card/ill_63263_saionjikimmochi03.jpg?201911-2-RELEASE-unionbattle-438", "■")</f>
        <v>■</v>
      </c>
      <c r="F238" s="1" t="s">
        <v>2832</v>
      </c>
      <c r="G238" s="1">
        <v>79151</v>
      </c>
      <c r="H238" s="1">
        <v>109259</v>
      </c>
      <c r="I238" s="1">
        <v>25</v>
      </c>
      <c r="J238" s="1" t="s">
        <v>351</v>
      </c>
      <c r="K238" s="1" t="s">
        <v>2833</v>
      </c>
      <c r="L238" s="1" t="s">
        <v>1625</v>
      </c>
      <c r="M238" s="1" t="s">
        <v>9158</v>
      </c>
      <c r="N238" s="1" t="s">
        <v>9158</v>
      </c>
      <c r="O238" s="1" t="s">
        <v>9158</v>
      </c>
      <c r="P238" s="1" t="s">
        <v>9158</v>
      </c>
      <c r="Q238" s="1" t="s">
        <v>9158</v>
      </c>
    </row>
    <row r="239" spans="1:17">
      <c r="A239" s="1">
        <v>64883</v>
      </c>
      <c r="B239" s="1" t="s">
        <v>0</v>
      </c>
      <c r="C239" s="1" t="s">
        <v>47</v>
      </c>
      <c r="D239" s="19" t="s">
        <v>10272</v>
      </c>
      <c r="E239" s="15" t="str">
        <f>HYPERLINK("https://stat100.ameba.jp/tnk47/ratio20/illustrations/card/ill_64883_kasane03.jpg?201911-2-RELEASE-unionbattle-438", "■")</f>
        <v>■</v>
      </c>
      <c r="F239" s="1" t="s">
        <v>126</v>
      </c>
      <c r="G239" s="1">
        <v>92402</v>
      </c>
      <c r="H239" s="1">
        <v>127580</v>
      </c>
      <c r="I239" s="1">
        <v>25</v>
      </c>
      <c r="J239" s="1" t="s">
        <v>38</v>
      </c>
      <c r="K239" s="1" t="s">
        <v>127</v>
      </c>
      <c r="L239" s="1" t="s">
        <v>128</v>
      </c>
      <c r="M239" s="1" t="s">
        <v>9158</v>
      </c>
      <c r="N239" s="1" t="s">
        <v>9158</v>
      </c>
      <c r="O239" s="1" t="s">
        <v>9158</v>
      </c>
      <c r="P239" s="1" t="s">
        <v>9158</v>
      </c>
      <c r="Q239" s="1" t="s">
        <v>9158</v>
      </c>
    </row>
    <row r="240" spans="1:17">
      <c r="E240" s="7"/>
    </row>
    <row r="241" spans="1:17">
      <c r="A241" s="7" t="s">
        <v>7970</v>
      </c>
      <c r="E241" s="7"/>
    </row>
    <row r="242" spans="1:17">
      <c r="A242" s="7" t="s">
        <v>7971</v>
      </c>
      <c r="E242" s="7"/>
    </row>
    <row r="243" spans="1:17">
      <c r="A243" s="1" t="s">
        <v>5618</v>
      </c>
      <c r="B243" s="1" t="s">
        <v>52</v>
      </c>
      <c r="C243" s="1" t="s">
        <v>23</v>
      </c>
      <c r="D243" s="19" t="s">
        <v>665</v>
      </c>
      <c r="E243" s="15" t="str">
        <f>HYPERLINK("https://stat100.ameba.jp/tnk47/ratio20/illustrations/card/ill_63173_0_minazukikonakaiteruko03.jpg?201911-2-RELEASE-unionbattle-438", "■")</f>
        <v>■</v>
      </c>
      <c r="F243" s="1" t="s">
        <v>1188</v>
      </c>
      <c r="G243" s="1">
        <v>199630</v>
      </c>
      <c r="H243" s="1">
        <v>214692</v>
      </c>
      <c r="I243" s="1">
        <v>23</v>
      </c>
      <c r="J243" s="1" t="s">
        <v>143</v>
      </c>
      <c r="K243" s="1" t="s">
        <v>1189</v>
      </c>
      <c r="L243" s="1" t="s">
        <v>1190</v>
      </c>
      <c r="M243" s="1" t="s">
        <v>9158</v>
      </c>
      <c r="N243" s="1" t="s">
        <v>9158</v>
      </c>
      <c r="O243" s="19" t="s">
        <v>10079</v>
      </c>
      <c r="P243" s="1" t="s">
        <v>3329</v>
      </c>
      <c r="Q243" s="1">
        <v>1</v>
      </c>
    </row>
    <row r="244" spans="1:17">
      <c r="A244" s="1" t="s">
        <v>5804</v>
      </c>
      <c r="B244" s="1" t="s">
        <v>52</v>
      </c>
      <c r="C244" s="1" t="s">
        <v>14</v>
      </c>
      <c r="D244" s="19" t="s">
        <v>3195</v>
      </c>
      <c r="E244" s="15" t="str">
        <f>HYPERLINK("https://stat100.ameba.jp/tnk47/ratio20/illustrations/card/ill_75393_0_resukuinotsukisamaniittausagi03.jpg?201911-2-RELEASE-unionbattle-438", "■")</f>
        <v>■</v>
      </c>
      <c r="F244" s="1" t="s">
        <v>3248</v>
      </c>
      <c r="G244" s="1">
        <v>261978</v>
      </c>
      <c r="H244" s="1">
        <v>243570</v>
      </c>
      <c r="I244" s="1">
        <v>23</v>
      </c>
      <c r="J244" s="1" t="s">
        <v>26</v>
      </c>
      <c r="K244" s="1" t="s">
        <v>3249</v>
      </c>
      <c r="L244" s="1" t="s">
        <v>3250</v>
      </c>
      <c r="M244" s="1" t="s">
        <v>9158</v>
      </c>
      <c r="N244" s="1" t="s">
        <v>9158</v>
      </c>
      <c r="O244" s="19" t="s">
        <v>10101</v>
      </c>
      <c r="P244" s="1" t="s">
        <v>3251</v>
      </c>
      <c r="Q244" s="1">
        <v>2</v>
      </c>
    </row>
    <row r="245" spans="1:17">
      <c r="A245" s="1" t="s">
        <v>5902</v>
      </c>
      <c r="B245" s="1" t="s">
        <v>330</v>
      </c>
      <c r="C245" s="1" t="s">
        <v>206</v>
      </c>
      <c r="D245" s="19" t="s">
        <v>483</v>
      </c>
      <c r="E245" s="15" t="str">
        <f>HYPERLINK("https://stat100.ameba.jp/tnk47/ratio20/illustrations/card/ill_40343_0_heshikirihasebekurodakambe03.jpg?201911-2-RELEASE-unionbattle-438", "■")</f>
        <v>■</v>
      </c>
      <c r="F245" s="1" t="s">
        <v>906</v>
      </c>
      <c r="G245" s="1">
        <v>134596</v>
      </c>
      <c r="H245" s="1">
        <v>126058</v>
      </c>
      <c r="I245" s="1">
        <v>23</v>
      </c>
      <c r="J245" s="1" t="s">
        <v>16</v>
      </c>
      <c r="K245" s="1" t="s">
        <v>907</v>
      </c>
      <c r="L245" s="1" t="s">
        <v>908</v>
      </c>
      <c r="M245" s="1" t="s">
        <v>9158</v>
      </c>
      <c r="N245" s="1" t="s">
        <v>9158</v>
      </c>
      <c r="O245" s="1" t="s">
        <v>9158</v>
      </c>
      <c r="P245" s="1" t="s">
        <v>9158</v>
      </c>
      <c r="Q245" s="1" t="s">
        <v>9158</v>
      </c>
    </row>
    <row r="246" spans="1:17">
      <c r="A246" s="7">
        <v>85123</v>
      </c>
      <c r="B246" s="7" t="s">
        <v>0</v>
      </c>
      <c r="C246" s="7" t="s">
        <v>205</v>
      </c>
      <c r="D246" s="19" t="s">
        <v>10761</v>
      </c>
      <c r="E246" s="15" t="str">
        <f>HYPERLINK("https://stat100.ameba.jp/tnk47/ratio20/illustrations/card/ill_85123_burabankatsurakogoro03.jpg?201911-2-RELEASE-unionbattle-438", "■")</f>
        <v>■</v>
      </c>
      <c r="F246" s="7" t="s">
        <v>7904</v>
      </c>
      <c r="G246" s="7">
        <v>91010</v>
      </c>
      <c r="H246" s="7">
        <v>97894</v>
      </c>
      <c r="I246" s="7">
        <v>24</v>
      </c>
      <c r="J246" s="7" t="s">
        <v>173</v>
      </c>
      <c r="K246" s="7" t="s">
        <v>7903</v>
      </c>
      <c r="L246" s="7" t="s">
        <v>7902</v>
      </c>
      <c r="M246" s="1" t="s">
        <v>9158</v>
      </c>
      <c r="N246" s="1" t="s">
        <v>9158</v>
      </c>
      <c r="O246" s="1" t="s">
        <v>9158</v>
      </c>
      <c r="P246" s="1" t="s">
        <v>9158</v>
      </c>
      <c r="Q246" s="1" t="s">
        <v>9158</v>
      </c>
    </row>
    <row r="247" spans="1:17">
      <c r="A247" s="7">
        <v>85133</v>
      </c>
      <c r="B247" s="7" t="s">
        <v>15</v>
      </c>
      <c r="C247" s="7" t="s">
        <v>191</v>
      </c>
      <c r="D247" s="19" t="s">
        <v>10762</v>
      </c>
      <c r="E247" s="15" t="str">
        <f>HYPERLINK("https://stat100.ameba.jp/tnk47/ratio20/illustrations/card/ill_85133_sukurugaruikedasen03.jpg?201911-2-RELEASE-unionbattle-438", "■")</f>
        <v>■</v>
      </c>
      <c r="F247" s="7" t="s">
        <v>7907</v>
      </c>
      <c r="G247" s="7">
        <v>65208</v>
      </c>
      <c r="H247" s="7">
        <v>59144</v>
      </c>
      <c r="I247" s="7">
        <v>22</v>
      </c>
      <c r="J247" s="7" t="s">
        <v>194</v>
      </c>
      <c r="K247" s="7" t="s">
        <v>3523</v>
      </c>
      <c r="L247" s="7" t="s">
        <v>3524</v>
      </c>
      <c r="M247" s="1" t="s">
        <v>9158</v>
      </c>
      <c r="N247" s="1" t="s">
        <v>9158</v>
      </c>
      <c r="O247" s="1" t="s">
        <v>9158</v>
      </c>
      <c r="P247" s="1" t="s">
        <v>9158</v>
      </c>
      <c r="Q247" s="1" t="s">
        <v>9158</v>
      </c>
    </row>
    <row r="248" spans="1:17">
      <c r="A248" s="7">
        <v>85143</v>
      </c>
      <c r="B248" s="7" t="s">
        <v>22</v>
      </c>
      <c r="C248" s="7" t="s">
        <v>2611</v>
      </c>
      <c r="D248" s="19" t="s">
        <v>10763</v>
      </c>
      <c r="E248" s="15" t="str">
        <f>HYPERLINK("https://stat100.ameba.jp/tnk47/ratio20/illustrations/card/ill_85143_burauni03.jpg?201911-2-RELEASE-unionbattle-438", "■")</f>
        <v>■</v>
      </c>
      <c r="F248" s="7" t="s">
        <v>7910</v>
      </c>
      <c r="G248" s="7">
        <v>38032</v>
      </c>
      <c r="H248" s="7">
        <v>45742</v>
      </c>
      <c r="I248" s="7">
        <v>22</v>
      </c>
      <c r="J248" s="7" t="s">
        <v>169</v>
      </c>
      <c r="K248" s="7" t="s">
        <v>7909</v>
      </c>
      <c r="L248" s="7" t="s">
        <v>3780</v>
      </c>
      <c r="M248" s="1" t="s">
        <v>9158</v>
      </c>
      <c r="N248" s="1" t="s">
        <v>9158</v>
      </c>
      <c r="O248" s="1" t="s">
        <v>9158</v>
      </c>
      <c r="P248" s="1" t="s">
        <v>9158</v>
      </c>
      <c r="Q248" s="1" t="s">
        <v>9158</v>
      </c>
    </row>
    <row r="249" spans="1:17">
      <c r="A249" s="7">
        <v>85153</v>
      </c>
      <c r="B249" s="7" t="s">
        <v>30</v>
      </c>
      <c r="C249" s="7" t="s">
        <v>248</v>
      </c>
      <c r="D249" s="19" t="s">
        <v>10764</v>
      </c>
      <c r="E249" s="15" t="str">
        <f>HYPERLINK("https://stat100.ameba.jp/tnk47/ratio20/illustrations/card/ill_85153_seiogakuenkumanofudechan03.jpg?201911-2-RELEASE-unionbattle-438", "■")</f>
        <v>■</v>
      </c>
      <c r="F249" s="7" t="s">
        <v>7913</v>
      </c>
      <c r="G249" s="7">
        <v>27692</v>
      </c>
      <c r="H249" s="7">
        <v>23258</v>
      </c>
      <c r="I249" s="7">
        <v>22</v>
      </c>
      <c r="J249" s="7" t="s">
        <v>229</v>
      </c>
      <c r="K249" s="7" t="s">
        <v>7912</v>
      </c>
      <c r="L249" s="7" t="s">
        <v>5318</v>
      </c>
      <c r="M249" s="1" t="s">
        <v>9158</v>
      </c>
      <c r="N249" s="1" t="s">
        <v>9158</v>
      </c>
      <c r="O249" s="1" t="s">
        <v>9158</v>
      </c>
      <c r="P249" s="1" t="s">
        <v>9158</v>
      </c>
      <c r="Q249" s="1" t="s">
        <v>9158</v>
      </c>
    </row>
    <row r="250" spans="1:17">
      <c r="E250" s="7"/>
    </row>
    <row r="251" spans="1:17">
      <c r="A251" s="7" t="s">
        <v>7972</v>
      </c>
      <c r="E251" s="7"/>
    </row>
    <row r="252" spans="1:17">
      <c r="A252" s="7" t="s">
        <v>7973</v>
      </c>
      <c r="E252" s="7"/>
    </row>
    <row r="253" spans="1:17">
      <c r="A253" s="1" t="s">
        <v>5642</v>
      </c>
      <c r="B253" s="1" t="s">
        <v>330</v>
      </c>
      <c r="C253" s="1" t="s">
        <v>185</v>
      </c>
      <c r="D253" s="19" t="s">
        <v>3086</v>
      </c>
      <c r="E253" s="15" t="str">
        <f>HYPERLINK("https://stat100.ameba.jp/tnk47/ratio20/illustrations/card/ill_69593_0_setsubunyukionna03.jpg?201911-2-RELEASE-unionbattle-438", "■")</f>
        <v>■</v>
      </c>
      <c r="F253" s="1" t="s">
        <v>3087</v>
      </c>
      <c r="G253" s="1">
        <v>107146</v>
      </c>
      <c r="H253" s="1">
        <v>115249</v>
      </c>
      <c r="I253" s="1">
        <v>15</v>
      </c>
      <c r="J253" s="1" t="s">
        <v>320</v>
      </c>
      <c r="K253" s="1" t="s">
        <v>3088</v>
      </c>
      <c r="L253" s="1" t="s">
        <v>3089</v>
      </c>
      <c r="M253" s="1" t="s">
        <v>9158</v>
      </c>
      <c r="N253" s="1" t="s">
        <v>9158</v>
      </c>
      <c r="O253" s="19" t="s">
        <v>3090</v>
      </c>
      <c r="P253" s="1" t="s">
        <v>3091</v>
      </c>
      <c r="Q253" s="1">
        <v>2</v>
      </c>
    </row>
    <row r="254" spans="1:17">
      <c r="A254" s="1" t="s">
        <v>5603</v>
      </c>
      <c r="B254" s="1" t="s">
        <v>330</v>
      </c>
      <c r="C254" s="1" t="s">
        <v>205</v>
      </c>
      <c r="D254" s="19" t="s">
        <v>611</v>
      </c>
      <c r="E254" s="15" t="str">
        <f>HYPERLINK("https://stat100.ameba.jp/tnk47/ratio20/illustrations/card/ill_61893_0_onikirishumiyamotomusashi03.jpg?201911-2-RELEASE-unionbattle-438", "■")</f>
        <v>■</v>
      </c>
      <c r="F254" s="1" t="s">
        <v>612</v>
      </c>
      <c r="G254" s="1">
        <v>140016</v>
      </c>
      <c r="H254" s="1">
        <v>130194</v>
      </c>
      <c r="I254" s="1">
        <v>15</v>
      </c>
      <c r="J254" s="1" t="s">
        <v>310</v>
      </c>
      <c r="K254" s="1" t="s">
        <v>613</v>
      </c>
      <c r="L254" s="1" t="s">
        <v>312</v>
      </c>
      <c r="M254" s="1" t="s">
        <v>9158</v>
      </c>
      <c r="N254" s="1" t="s">
        <v>9158</v>
      </c>
      <c r="O254" s="19" t="s">
        <v>10071</v>
      </c>
      <c r="P254" s="1" t="s">
        <v>3253</v>
      </c>
      <c r="Q254" s="1">
        <v>1</v>
      </c>
    </row>
    <row r="255" spans="1:17">
      <c r="A255" s="1" t="s">
        <v>5604</v>
      </c>
      <c r="B255" s="1" t="s">
        <v>330</v>
      </c>
      <c r="C255" s="1" t="s">
        <v>206</v>
      </c>
      <c r="D255" s="19" t="s">
        <v>614</v>
      </c>
      <c r="E255" s="15" t="str">
        <f>HYPERLINK("https://stat100.ameba.jp/tnk47/ratio20/illustrations/card/ill_47263_0_oukyuuatsuhime03.jpg?201911-2-RELEASE-unionbattle-438", "■")</f>
        <v>■</v>
      </c>
      <c r="F255" s="1" t="s">
        <v>615</v>
      </c>
      <c r="G255" s="1">
        <v>94236</v>
      </c>
      <c r="H255" s="1">
        <v>83712</v>
      </c>
      <c r="I255" s="1">
        <v>15</v>
      </c>
      <c r="J255" s="1" t="s">
        <v>315</v>
      </c>
      <c r="K255" s="1" t="s">
        <v>616</v>
      </c>
      <c r="L255" s="1" t="s">
        <v>617</v>
      </c>
      <c r="M255" s="1" t="s">
        <v>9158</v>
      </c>
      <c r="N255" s="1" t="s">
        <v>9158</v>
      </c>
      <c r="O255" s="1" t="s">
        <v>9158</v>
      </c>
      <c r="P255" s="1" t="s">
        <v>9158</v>
      </c>
      <c r="Q255" s="1" t="s">
        <v>9158</v>
      </c>
    </row>
    <row r="256" spans="1:17">
      <c r="A256" s="7">
        <v>86023</v>
      </c>
      <c r="B256" s="7" t="s">
        <v>7963</v>
      </c>
      <c r="C256" s="7" t="s">
        <v>7975</v>
      </c>
      <c r="D256" s="19" t="s">
        <v>10769</v>
      </c>
      <c r="E256" s="15" t="str">
        <f>HYPERLINK("https://stat100.ameba.jp/tnk47/ratio20/illustrations/card/ill_86023_takatsukasakisaki03.jpg?201911-2-RELEASE-unionbattle-438", "■")</f>
        <v>■</v>
      </c>
      <c r="F256" s="7" t="s">
        <v>7986</v>
      </c>
      <c r="G256" s="7">
        <v>115746</v>
      </c>
      <c r="H256" s="7">
        <v>65128</v>
      </c>
      <c r="I256" s="7">
        <v>24</v>
      </c>
      <c r="J256" s="7" t="s">
        <v>7979</v>
      </c>
      <c r="K256" s="7" t="s">
        <v>7985</v>
      </c>
      <c r="L256" s="7" t="s">
        <v>7984</v>
      </c>
      <c r="M256" s="1" t="s">
        <v>9158</v>
      </c>
      <c r="N256" s="1" t="s">
        <v>9158</v>
      </c>
      <c r="O256" s="1" t="s">
        <v>9158</v>
      </c>
      <c r="P256" s="1" t="s">
        <v>9158</v>
      </c>
      <c r="Q256" s="1" t="s">
        <v>9158</v>
      </c>
    </row>
    <row r="257" spans="1:18">
      <c r="A257" s="7">
        <v>86033</v>
      </c>
      <c r="B257" s="7" t="s">
        <v>7963</v>
      </c>
      <c r="C257" s="7" t="s">
        <v>7976</v>
      </c>
      <c r="D257" s="19" t="s">
        <v>10770</v>
      </c>
      <c r="E257" s="15" t="str">
        <f>HYPERLINK("https://stat100.ameba.jp/tnk47/ratio20/illustrations/card/ill_86033_ojoyoi03.jpg?201911-2-RELEASE-unionbattle-438", "■")</f>
        <v>■</v>
      </c>
      <c r="F257" s="7" t="s">
        <v>7989</v>
      </c>
      <c r="G257" s="7">
        <v>75980</v>
      </c>
      <c r="H257" s="7">
        <v>135010</v>
      </c>
      <c r="I257" s="7">
        <v>24</v>
      </c>
      <c r="J257" s="7" t="s">
        <v>7980</v>
      </c>
      <c r="K257" s="7" t="s">
        <v>7988</v>
      </c>
      <c r="L257" s="7" t="s">
        <v>7987</v>
      </c>
      <c r="M257" s="1" t="s">
        <v>9158</v>
      </c>
      <c r="N257" s="1" t="s">
        <v>9158</v>
      </c>
      <c r="O257" s="1" t="s">
        <v>9158</v>
      </c>
      <c r="P257" s="1" t="s">
        <v>9158</v>
      </c>
      <c r="Q257" s="1" t="s">
        <v>9158</v>
      </c>
    </row>
    <row r="258" spans="1:18">
      <c r="A258" s="7">
        <v>86043</v>
      </c>
      <c r="B258" s="7" t="s">
        <v>7963</v>
      </c>
      <c r="C258" s="7" t="s">
        <v>7977</v>
      </c>
      <c r="D258" s="19" t="s">
        <v>10771</v>
      </c>
      <c r="E258" s="15" t="str">
        <f>HYPERLINK("https://stat100.ameba.jp/tnk47/ratio20/illustrations/card/ill_86043_samejimaakira03.jpg?201911-2-RELEASE-unionbattle-438", "■")</f>
        <v>■</v>
      </c>
      <c r="F258" s="7" t="s">
        <v>7992</v>
      </c>
      <c r="G258" s="7">
        <v>67636</v>
      </c>
      <c r="H258" s="7">
        <v>120204</v>
      </c>
      <c r="I258" s="7">
        <v>24</v>
      </c>
      <c r="J258" s="7" t="s">
        <v>7981</v>
      </c>
      <c r="K258" s="7" t="s">
        <v>7991</v>
      </c>
      <c r="L258" s="7" t="s">
        <v>7990</v>
      </c>
      <c r="M258" s="1" t="s">
        <v>9158</v>
      </c>
      <c r="N258" s="1" t="s">
        <v>9158</v>
      </c>
      <c r="O258" s="1" t="s">
        <v>9158</v>
      </c>
      <c r="P258" s="1" t="s">
        <v>9158</v>
      </c>
      <c r="Q258" s="1" t="s">
        <v>9158</v>
      </c>
    </row>
    <row r="259" spans="1:18">
      <c r="A259" s="7">
        <v>60993</v>
      </c>
      <c r="B259" s="7" t="s">
        <v>7974</v>
      </c>
      <c r="C259" s="7" t="s">
        <v>7976</v>
      </c>
      <c r="D259" s="19" t="s">
        <v>10582</v>
      </c>
      <c r="E259" s="15" t="str">
        <f>HYPERLINK("https://stat100.ameba.jp/tnk47/ratio20/illustrations/card/ill_60993_majutsushijukeini03.jpg?201911-2-RELEASE-unionbattle-438", "■")</f>
        <v>■</v>
      </c>
      <c r="F259" s="7" t="s">
        <v>7995</v>
      </c>
      <c r="G259" s="7">
        <v>53768</v>
      </c>
      <c r="H259" s="7">
        <v>59280</v>
      </c>
      <c r="I259" s="7">
        <v>20</v>
      </c>
      <c r="J259" s="7" t="s">
        <v>7982</v>
      </c>
      <c r="K259" s="7" t="s">
        <v>7994</v>
      </c>
      <c r="L259" s="7" t="s">
        <v>7993</v>
      </c>
      <c r="M259" s="1" t="s">
        <v>9158</v>
      </c>
      <c r="N259" s="1" t="s">
        <v>9158</v>
      </c>
      <c r="O259" s="1" t="s">
        <v>9158</v>
      </c>
      <c r="P259" s="1" t="s">
        <v>9158</v>
      </c>
      <c r="Q259" s="1" t="s">
        <v>9158</v>
      </c>
    </row>
    <row r="260" spans="1:18">
      <c r="A260" s="7">
        <v>66513</v>
      </c>
      <c r="B260" s="7" t="s">
        <v>7974</v>
      </c>
      <c r="C260" s="7" t="s">
        <v>7977</v>
      </c>
      <c r="D260" s="19" t="s">
        <v>10306</v>
      </c>
      <c r="E260" s="15" t="str">
        <f>HYPERLINK("https://stat100.ameba.jp/tnk47/ratio20/illustrations/card/ill_66513_yuenchigishumoninnotango03.jpg?201911-2-RELEASE-unionbattle-438", "■")</f>
        <v>■</v>
      </c>
      <c r="F260" s="7" t="s">
        <v>3335</v>
      </c>
      <c r="G260" s="7">
        <v>53768</v>
      </c>
      <c r="H260" s="7">
        <v>59280</v>
      </c>
      <c r="I260" s="7">
        <v>20</v>
      </c>
      <c r="J260" s="7" t="s">
        <v>7983</v>
      </c>
      <c r="K260" s="7" t="s">
        <v>7997</v>
      </c>
      <c r="L260" s="7" t="s">
        <v>7996</v>
      </c>
      <c r="M260" s="1" t="s">
        <v>9158</v>
      </c>
      <c r="N260" s="1" t="s">
        <v>9158</v>
      </c>
      <c r="O260" s="1" t="s">
        <v>9158</v>
      </c>
      <c r="P260" s="1" t="s">
        <v>9158</v>
      </c>
      <c r="Q260" s="1" t="s">
        <v>9158</v>
      </c>
    </row>
    <row r="261" spans="1:18">
      <c r="A261" s="7">
        <v>82043</v>
      </c>
      <c r="B261" s="7" t="s">
        <v>7974</v>
      </c>
      <c r="C261" s="7" t="s">
        <v>7978</v>
      </c>
      <c r="D261" s="19" t="s">
        <v>10241</v>
      </c>
      <c r="E261" s="15" t="str">
        <f>HYPERLINK("https://stat100.ameba.jp/tnk47/ratio20/illustrations/card/ill_82043_biahorumomotofumiagari03.jpg?201911-2-RELEASE-unionbattle-438", "■")</f>
        <v>■</v>
      </c>
      <c r="F261" s="7" t="s">
        <v>8000</v>
      </c>
      <c r="G261" s="7">
        <v>53768</v>
      </c>
      <c r="H261" s="7">
        <v>59280</v>
      </c>
      <c r="I261" s="7">
        <v>20</v>
      </c>
      <c r="J261" s="7" t="s">
        <v>7979</v>
      </c>
      <c r="K261" s="7" t="s">
        <v>7999</v>
      </c>
      <c r="L261" s="7" t="s">
        <v>7998</v>
      </c>
      <c r="M261" s="1" t="s">
        <v>9158</v>
      </c>
      <c r="N261" s="1" t="s">
        <v>9158</v>
      </c>
      <c r="O261" s="1" t="s">
        <v>9158</v>
      </c>
      <c r="P261" s="1" t="s">
        <v>9158</v>
      </c>
      <c r="Q261" s="1" t="s">
        <v>9158</v>
      </c>
    </row>
    <row r="262" spans="1:18">
      <c r="E262" s="7"/>
    </row>
    <row r="263" spans="1:18">
      <c r="A263" s="7" t="s">
        <v>8001</v>
      </c>
      <c r="E263" s="7"/>
    </row>
    <row r="264" spans="1:18">
      <c r="A264" s="7" t="s">
        <v>8002</v>
      </c>
      <c r="E264" s="7"/>
    </row>
    <row r="265" spans="1:18">
      <c r="A265" s="1" t="s">
        <v>5848</v>
      </c>
      <c r="B265" s="1" t="s">
        <v>330</v>
      </c>
      <c r="C265" s="1" t="s">
        <v>200</v>
      </c>
      <c r="D265" s="19" t="s">
        <v>3160</v>
      </c>
      <c r="E265" s="15" t="str">
        <f>HYPERLINK("https://stat100.ameba.jp/tnk47/ratio20/illustrations/card/ill_72963_0_amenohanayomehiguchiichiyo03.jpg?201911-3-RELEASE-dice-e-439", "■")</f>
        <v>■</v>
      </c>
      <c r="F265" s="1" t="s">
        <v>1139</v>
      </c>
      <c r="G265" s="1">
        <v>147404</v>
      </c>
      <c r="H265" s="1">
        <v>137060</v>
      </c>
      <c r="I265" s="1">
        <v>22</v>
      </c>
      <c r="J265" s="1" t="s">
        <v>10</v>
      </c>
      <c r="K265" s="1" t="s">
        <v>1140</v>
      </c>
      <c r="L265" s="1" t="s">
        <v>1141</v>
      </c>
      <c r="M265" s="1" t="s">
        <v>9158</v>
      </c>
      <c r="N265" s="1" t="s">
        <v>9158</v>
      </c>
      <c r="O265" s="19" t="s">
        <v>3162</v>
      </c>
      <c r="P265" s="1" t="s">
        <v>3163</v>
      </c>
      <c r="Q265" s="1">
        <v>1</v>
      </c>
    </row>
    <row r="266" spans="1:18">
      <c r="A266" s="1">
        <v>80573</v>
      </c>
      <c r="B266" s="1" t="s">
        <v>334</v>
      </c>
      <c r="C266" s="1" t="s">
        <v>165</v>
      </c>
      <c r="D266" s="19" t="s">
        <v>10301</v>
      </c>
      <c r="E266" s="15" t="str">
        <f>HYPERLINK("https://stat100.ameba.jp/tnk47/ratio20/illustrations/card/ill_80573_ohanamigurampingusotorihime03.jpg?201911-3-RELEASE-dice-e-439", "■")</f>
        <v>■</v>
      </c>
      <c r="F266" s="1" t="s">
        <v>4176</v>
      </c>
      <c r="G266" s="1">
        <v>114092</v>
      </c>
      <c r="H266" s="1">
        <v>105890</v>
      </c>
      <c r="I266" s="1">
        <v>25</v>
      </c>
      <c r="J266" s="1" t="s">
        <v>38</v>
      </c>
      <c r="K266" s="1" t="s">
        <v>4177</v>
      </c>
      <c r="L266" s="1" t="s">
        <v>4178</v>
      </c>
      <c r="M266" s="1" t="s">
        <v>9158</v>
      </c>
      <c r="N266" s="1" t="s">
        <v>9158</v>
      </c>
      <c r="O266" s="19" t="s">
        <v>10119</v>
      </c>
      <c r="P266" s="1" t="s">
        <v>3662</v>
      </c>
      <c r="Q266" s="1">
        <v>1</v>
      </c>
    </row>
    <row r="267" spans="1:18">
      <c r="A267" s="1">
        <v>75053</v>
      </c>
      <c r="B267" s="1" t="s">
        <v>334</v>
      </c>
      <c r="C267" s="1" t="s">
        <v>47</v>
      </c>
      <c r="D267" s="19" t="s">
        <v>10366</v>
      </c>
      <c r="E267" s="15" t="str">
        <f>HYPERLINK("https://stat100.ameba.jp/tnk47/ratio20/illustrations/card/ill_75053_goshikinuma03.jpg?201911-3-RELEASE-dice-e-439", "■")</f>
        <v>■</v>
      </c>
      <c r="F267" s="1" t="s">
        <v>5644</v>
      </c>
      <c r="G267" s="1">
        <v>92318</v>
      </c>
      <c r="H267" s="1">
        <v>127464</v>
      </c>
      <c r="I267" s="1">
        <v>25</v>
      </c>
      <c r="J267" s="1" t="s">
        <v>26</v>
      </c>
      <c r="K267" s="1" t="s">
        <v>5646</v>
      </c>
      <c r="L267" s="1" t="s">
        <v>2137</v>
      </c>
      <c r="M267" s="1" t="s">
        <v>9158</v>
      </c>
      <c r="N267" s="1" t="s">
        <v>9158</v>
      </c>
      <c r="O267" s="19" t="s">
        <v>10093</v>
      </c>
      <c r="P267" s="1" t="s">
        <v>13145</v>
      </c>
      <c r="Q267" s="1">
        <v>1</v>
      </c>
    </row>
    <row r="268" spans="1:18">
      <c r="A268" s="1">
        <v>80163</v>
      </c>
      <c r="B268" s="1" t="s">
        <v>334</v>
      </c>
      <c r="C268" s="1" t="s">
        <v>158</v>
      </c>
      <c r="D268" s="19" t="s">
        <v>10391</v>
      </c>
      <c r="E268" s="15" t="str">
        <f>HYPERLINK("https://stat100.ameba.jp/tnk47/ratio20/illustrations/card/ill_80163_kuronosu03.jpg?201911-3-RELEASE-dice-e-439", "■")</f>
        <v>■</v>
      </c>
      <c r="F268" s="1" t="s">
        <v>3766</v>
      </c>
      <c r="G268" s="1">
        <v>82654</v>
      </c>
      <c r="H268" s="1">
        <v>114119</v>
      </c>
      <c r="I268" s="1">
        <v>25</v>
      </c>
      <c r="J268" s="1" t="s">
        <v>44</v>
      </c>
      <c r="K268" s="1" t="s">
        <v>3767</v>
      </c>
      <c r="L268" s="1" t="s">
        <v>1209</v>
      </c>
      <c r="M268" s="1" t="s">
        <v>9158</v>
      </c>
      <c r="N268" s="1" t="s">
        <v>9158</v>
      </c>
      <c r="O268" s="19" t="s">
        <v>2752</v>
      </c>
      <c r="P268" s="1" t="s">
        <v>13123</v>
      </c>
      <c r="Q268" s="1">
        <v>1</v>
      </c>
    </row>
    <row r="269" spans="1:18">
      <c r="E269" s="7"/>
    </row>
    <row r="270" spans="1:18">
      <c r="A270" s="1" t="s">
        <v>13326</v>
      </c>
      <c r="B270" s="1"/>
      <c r="C270" s="1"/>
      <c r="D270" s="1"/>
      <c r="F270" s="1"/>
      <c r="G270" s="1"/>
      <c r="H270" s="1"/>
      <c r="I270" s="1"/>
      <c r="J270" s="1"/>
      <c r="K270" s="1"/>
      <c r="L270" s="1"/>
      <c r="M270" s="1"/>
      <c r="N270" s="1"/>
      <c r="O270" s="1"/>
      <c r="P270" s="1"/>
      <c r="Q270" s="1"/>
      <c r="R270" s="1"/>
    </row>
    <row r="271" spans="1:18">
      <c r="A271" s="1" t="s">
        <v>8003</v>
      </c>
      <c r="B271" s="1"/>
      <c r="C271" s="1"/>
      <c r="D271" s="1"/>
      <c r="F271" s="1"/>
      <c r="G271" s="1"/>
      <c r="H271" s="1"/>
      <c r="I271" s="1"/>
      <c r="J271" s="1"/>
      <c r="K271" s="1"/>
      <c r="L271" s="1"/>
      <c r="M271" s="1"/>
      <c r="N271" s="1"/>
      <c r="O271" s="1"/>
      <c r="P271" s="1"/>
      <c r="Q271" s="1"/>
      <c r="R271" s="1"/>
    </row>
    <row r="272" spans="1:18">
      <c r="A272" s="1">
        <v>69293</v>
      </c>
      <c r="B272" s="1" t="s">
        <v>334</v>
      </c>
      <c r="C272" s="1" t="s">
        <v>185</v>
      </c>
      <c r="D272" s="19" t="s">
        <v>1155</v>
      </c>
      <c r="E272" s="15" t="str">
        <f>HYPERLINK("https://stat100.ameba.jp/tnk47/ratio20/illustrations/card/ill_69293_merukishiru03.jpg?201911-3-RELEASE-dice-e-439", "■")</f>
        <v>■</v>
      </c>
      <c r="F272" s="1" t="s">
        <v>1156</v>
      </c>
      <c r="G272" s="1">
        <v>118152</v>
      </c>
      <c r="H272" s="1">
        <v>109852</v>
      </c>
      <c r="I272" s="1">
        <v>24</v>
      </c>
      <c r="J272" s="1" t="s">
        <v>414</v>
      </c>
      <c r="K272" s="1" t="s">
        <v>1170</v>
      </c>
      <c r="L272" s="1" t="s">
        <v>9902</v>
      </c>
      <c r="M272" s="1" t="s">
        <v>13151</v>
      </c>
      <c r="N272" s="1" t="s">
        <v>251</v>
      </c>
      <c r="O272" s="1" t="s">
        <v>9158</v>
      </c>
      <c r="P272" s="1" t="s">
        <v>9158</v>
      </c>
      <c r="Q272" s="1" t="s">
        <v>9158</v>
      </c>
      <c r="R272" s="14"/>
    </row>
    <row r="273" spans="1:18">
      <c r="A273" s="1">
        <v>69292</v>
      </c>
      <c r="B273" s="1" t="s">
        <v>334</v>
      </c>
      <c r="C273" s="1" t="s">
        <v>185</v>
      </c>
      <c r="D273" s="19" t="s">
        <v>1155</v>
      </c>
      <c r="E273" s="15" t="str">
        <f>HYPERLINK("https://stat100.ameba.jp/tnk47/ratio20/illustrations/card/ill_69292_merukishiru02.jpg?201911-3-RELEASE-dice-e-439", "■")</f>
        <v>■</v>
      </c>
      <c r="F273" s="1" t="s">
        <v>1156</v>
      </c>
      <c r="G273" s="1">
        <v>98768</v>
      </c>
      <c r="H273" s="1">
        <v>90984</v>
      </c>
      <c r="I273" s="1">
        <v>24</v>
      </c>
      <c r="J273" s="1" t="s">
        <v>414</v>
      </c>
      <c r="K273" s="1" t="s">
        <v>1170</v>
      </c>
      <c r="L273" s="1" t="s">
        <v>9902</v>
      </c>
      <c r="M273" s="1" t="s">
        <v>13151</v>
      </c>
      <c r="N273" s="1" t="s">
        <v>251</v>
      </c>
      <c r="O273" s="1" t="s">
        <v>9158</v>
      </c>
      <c r="P273" s="1" t="s">
        <v>9158</v>
      </c>
      <c r="Q273" s="1" t="s">
        <v>9158</v>
      </c>
      <c r="R273" s="14"/>
    </row>
    <row r="274" spans="1:18">
      <c r="A274" s="1">
        <v>69291</v>
      </c>
      <c r="B274" s="1" t="s">
        <v>334</v>
      </c>
      <c r="C274" s="1" t="s">
        <v>185</v>
      </c>
      <c r="D274" s="19" t="s">
        <v>1155</v>
      </c>
      <c r="E274" s="15" t="str">
        <f>HYPERLINK("https://stat100.ameba.jp/tnk47/ratio20/illustrations/card/ill_69291_merukishiru01.jpg?201911-3-RELEASE-dice-e-439", "■")</f>
        <v>■</v>
      </c>
      <c r="F274" s="1" t="s">
        <v>1156</v>
      </c>
      <c r="G274" s="1">
        <v>75408</v>
      </c>
      <c r="H274" s="1">
        <v>70200</v>
      </c>
      <c r="I274" s="1">
        <v>24</v>
      </c>
      <c r="J274" s="1" t="s">
        <v>414</v>
      </c>
      <c r="K274" s="1" t="s">
        <v>1170</v>
      </c>
      <c r="L274" s="1" t="s">
        <v>9902</v>
      </c>
      <c r="M274" s="1" t="s">
        <v>13151</v>
      </c>
      <c r="N274" s="1" t="s">
        <v>251</v>
      </c>
      <c r="O274" s="1" t="s">
        <v>9158</v>
      </c>
      <c r="P274" s="1" t="s">
        <v>9158</v>
      </c>
      <c r="Q274" s="1" t="s">
        <v>9158</v>
      </c>
      <c r="R274" s="14"/>
    </row>
    <row r="275" spans="1:18">
      <c r="A275" s="1">
        <v>69303</v>
      </c>
      <c r="B275" s="1" t="s">
        <v>334</v>
      </c>
      <c r="C275" s="1" t="s">
        <v>200</v>
      </c>
      <c r="D275" s="19" t="s">
        <v>1157</v>
      </c>
      <c r="E275" s="15" t="str">
        <f>HYPERLINK("https://stat100.ameba.jp/tnk47/ratio20/illustrations/card/ill_69303_torumushaito03.jpg?201911-3-RELEASE-dice-e-439", "■")</f>
        <v>■</v>
      </c>
      <c r="F275" s="1" t="s">
        <v>1162</v>
      </c>
      <c r="G275" s="1">
        <v>118152</v>
      </c>
      <c r="H275" s="1">
        <v>109852</v>
      </c>
      <c r="I275" s="1">
        <v>24</v>
      </c>
      <c r="J275" s="1" t="s">
        <v>369</v>
      </c>
      <c r="K275" s="1" t="s">
        <v>1171</v>
      </c>
      <c r="L275" s="1" t="s">
        <v>9903</v>
      </c>
      <c r="M275" s="1" t="s">
        <v>13151</v>
      </c>
      <c r="N275" s="1" t="s">
        <v>251</v>
      </c>
      <c r="O275" s="1" t="s">
        <v>9158</v>
      </c>
      <c r="P275" s="1" t="s">
        <v>9158</v>
      </c>
      <c r="Q275" s="1" t="s">
        <v>9158</v>
      </c>
      <c r="R275" s="1"/>
    </row>
    <row r="276" spans="1:18">
      <c r="A276" s="1">
        <v>69313</v>
      </c>
      <c r="B276" s="1" t="s">
        <v>334</v>
      </c>
      <c r="C276" s="1" t="s">
        <v>191</v>
      </c>
      <c r="D276" s="19" t="s">
        <v>1158</v>
      </c>
      <c r="E276" s="15" t="str">
        <f>HYPERLINK("https://stat100.ameba.jp/tnk47/ratio20/illustrations/card/ill_69313_teishutoriya03.jpg?201911-3-RELEASE-dice-e-439", "■")</f>
        <v>■</v>
      </c>
      <c r="F276" s="1" t="s">
        <v>1163</v>
      </c>
      <c r="G276" s="1">
        <v>109852</v>
      </c>
      <c r="H276" s="1">
        <v>118152</v>
      </c>
      <c r="I276" s="1">
        <v>24</v>
      </c>
      <c r="J276" s="1" t="s">
        <v>401</v>
      </c>
      <c r="K276" s="1" t="s">
        <v>1172</v>
      </c>
      <c r="L276" s="1" t="s">
        <v>9904</v>
      </c>
      <c r="M276" s="1" t="s">
        <v>13151</v>
      </c>
      <c r="N276" s="1" t="s">
        <v>251</v>
      </c>
      <c r="O276" s="1" t="s">
        <v>9158</v>
      </c>
      <c r="P276" s="1" t="s">
        <v>9158</v>
      </c>
      <c r="Q276" s="1" t="s">
        <v>9158</v>
      </c>
      <c r="R276" s="1"/>
    </row>
    <row r="277" spans="1:18">
      <c r="A277" s="1">
        <v>69323</v>
      </c>
      <c r="B277" s="1" t="s">
        <v>334</v>
      </c>
      <c r="C277" s="1" t="s">
        <v>165</v>
      </c>
      <c r="D277" s="19" t="s">
        <v>10257</v>
      </c>
      <c r="E277" s="15" t="str">
        <f>HYPERLINK("https://stat100.ameba.jp/tnk47/ratio20/illustrations/card/ill_69323_fujitsubonomiya03.jpg?201911-3-RELEASE-dice-e-439", "■")</f>
        <v>■</v>
      </c>
      <c r="F277" s="1" t="s">
        <v>1164</v>
      </c>
      <c r="G277" s="1">
        <v>109852</v>
      </c>
      <c r="H277" s="1">
        <v>118152</v>
      </c>
      <c r="I277" s="1">
        <v>24</v>
      </c>
      <c r="J277" s="1" t="s">
        <v>1167</v>
      </c>
      <c r="K277" s="1" t="s">
        <v>1173</v>
      </c>
      <c r="L277" s="1" t="s">
        <v>9905</v>
      </c>
      <c r="M277" s="1" t="s">
        <v>13151</v>
      </c>
      <c r="N277" s="1" t="s">
        <v>251</v>
      </c>
      <c r="O277" s="1" t="s">
        <v>9158</v>
      </c>
      <c r="P277" s="1" t="s">
        <v>9158</v>
      </c>
      <c r="Q277" s="1" t="s">
        <v>9158</v>
      </c>
      <c r="R277" s="1"/>
    </row>
    <row r="278" spans="1:18">
      <c r="A278" s="1">
        <v>69333</v>
      </c>
      <c r="B278" s="1" t="s">
        <v>334</v>
      </c>
      <c r="C278" s="1" t="s">
        <v>205</v>
      </c>
      <c r="D278" s="19" t="s">
        <v>1160</v>
      </c>
      <c r="E278" s="15" t="str">
        <f>HYPERLINK("https://stat100.ameba.jp/tnk47/ratio20/illustrations/card/ill_69333_mefuisutofueresu03.jpg?201911-3-RELEASE-dice-e-439", "■")</f>
        <v>■</v>
      </c>
      <c r="F278" s="1" t="s">
        <v>1165</v>
      </c>
      <c r="G278" s="1">
        <v>118152</v>
      </c>
      <c r="H278" s="1">
        <v>109852</v>
      </c>
      <c r="I278" s="1">
        <v>24</v>
      </c>
      <c r="J278" s="1" t="s">
        <v>1168</v>
      </c>
      <c r="K278" s="1" t="s">
        <v>1174</v>
      </c>
      <c r="L278" s="1" t="s">
        <v>9906</v>
      </c>
      <c r="M278" s="1" t="s">
        <v>13151</v>
      </c>
      <c r="N278" s="1" t="s">
        <v>251</v>
      </c>
      <c r="O278" s="1" t="s">
        <v>9158</v>
      </c>
      <c r="P278" s="1" t="s">
        <v>9158</v>
      </c>
      <c r="Q278" s="1" t="s">
        <v>9158</v>
      </c>
      <c r="R278" s="1"/>
    </row>
    <row r="279" spans="1:18">
      <c r="A279" s="1">
        <v>69343</v>
      </c>
      <c r="B279" s="1" t="s">
        <v>334</v>
      </c>
      <c r="C279" s="1" t="s">
        <v>206</v>
      </c>
      <c r="D279" s="19" t="s">
        <v>10258</v>
      </c>
      <c r="E279" s="15" t="str">
        <f>HYPERLINK("https://stat100.ameba.jp/tnk47/ratio20/illustrations/card/ill_69343_teikinnofuire03.jpg?201911-3-RELEASE-dice-e-439", "■")</f>
        <v>■</v>
      </c>
      <c r="F279" s="1" t="s">
        <v>1166</v>
      </c>
      <c r="G279" s="1">
        <v>109852</v>
      </c>
      <c r="H279" s="1">
        <v>118152</v>
      </c>
      <c r="I279" s="1">
        <v>24</v>
      </c>
      <c r="J279" s="1" t="s">
        <v>1169</v>
      </c>
      <c r="K279" s="1" t="s">
        <v>1175</v>
      </c>
      <c r="L279" s="1" t="s">
        <v>9907</v>
      </c>
      <c r="M279" s="1" t="s">
        <v>13151</v>
      </c>
      <c r="N279" s="1" t="s">
        <v>251</v>
      </c>
      <c r="O279" s="1" t="s">
        <v>9158</v>
      </c>
      <c r="P279" s="1" t="s">
        <v>9158</v>
      </c>
      <c r="Q279" s="1" t="s">
        <v>9158</v>
      </c>
      <c r="R279" s="1"/>
    </row>
    <row r="280" spans="1:18">
      <c r="E280" s="7"/>
    </row>
    <row r="281" spans="1:18">
      <c r="A281" s="7" t="s">
        <v>8004</v>
      </c>
      <c r="E281" s="7"/>
    </row>
    <row r="282" spans="1:18">
      <c r="A282" s="7" t="s">
        <v>8006</v>
      </c>
      <c r="E282" s="7"/>
    </row>
    <row r="283" spans="1:18">
      <c r="A283" s="7" t="s">
        <v>8005</v>
      </c>
      <c r="E283" s="7"/>
    </row>
    <row r="284" spans="1:18">
      <c r="A284" s="1" t="s">
        <v>7789</v>
      </c>
      <c r="B284" s="1" t="s">
        <v>52</v>
      </c>
      <c r="C284" s="1" t="s">
        <v>202</v>
      </c>
      <c r="D284" s="19" t="s">
        <v>10741</v>
      </c>
      <c r="E284" s="15" t="str">
        <f>HYPERLINK("https://stat100.ameba.jp/tnk47/ratio20/illustrations/card/ill_84923_0_onsengainansosatomihakkenden03.jpg?201911-3-RELEASE-dice-e-439", "■")</f>
        <v>■</v>
      </c>
      <c r="F284" s="1" t="s">
        <v>7792</v>
      </c>
      <c r="G284" s="1">
        <v>173287</v>
      </c>
      <c r="H284" s="1">
        <v>191727</v>
      </c>
      <c r="I284" s="1">
        <v>15</v>
      </c>
      <c r="J284" s="1" t="s">
        <v>155</v>
      </c>
      <c r="K284" s="1" t="s">
        <v>7791</v>
      </c>
      <c r="L284" s="1" t="s">
        <v>7790</v>
      </c>
      <c r="M284" s="1" t="s">
        <v>9158</v>
      </c>
      <c r="N284" s="1" t="s">
        <v>9158</v>
      </c>
      <c r="O284" s="19" t="s">
        <v>10131</v>
      </c>
      <c r="P284" s="1" t="s">
        <v>7793</v>
      </c>
      <c r="Q284" s="1">
        <v>0</v>
      </c>
    </row>
    <row r="285" spans="1:18">
      <c r="A285" s="7">
        <v>85173</v>
      </c>
      <c r="B285" s="7" t="s">
        <v>8007</v>
      </c>
      <c r="C285" s="7" t="s">
        <v>8011</v>
      </c>
      <c r="D285" s="19" t="s">
        <v>10772</v>
      </c>
      <c r="E285" s="15" t="str">
        <f>HYPERLINK("https://stat100.ameba.jp/tnk47/ratio20/illustrations/card/ill_85173_kimononohiikinaridangochan03.jpg?201911-3-RELEASE-dice-e-439", "■")</f>
        <v>■</v>
      </c>
      <c r="F285" s="7" t="s">
        <v>8022</v>
      </c>
      <c r="G285" s="7">
        <v>148619</v>
      </c>
      <c r="H285" s="7">
        <v>138186</v>
      </c>
      <c r="I285" s="7">
        <v>25</v>
      </c>
      <c r="J285" s="7" t="s">
        <v>8016</v>
      </c>
      <c r="K285" s="7" t="s">
        <v>8021</v>
      </c>
      <c r="L285" s="7" t="s">
        <v>8020</v>
      </c>
      <c r="M285" s="1" t="s">
        <v>9158</v>
      </c>
      <c r="N285" s="1" t="s">
        <v>9158</v>
      </c>
      <c r="O285" s="1" t="s">
        <v>9158</v>
      </c>
      <c r="P285" s="1" t="s">
        <v>9158</v>
      </c>
      <c r="Q285" s="1" t="s">
        <v>9158</v>
      </c>
    </row>
    <row r="286" spans="1:18">
      <c r="A286" s="7">
        <v>85183</v>
      </c>
      <c r="B286" s="7" t="s">
        <v>8007</v>
      </c>
      <c r="C286" s="7" t="s">
        <v>8012</v>
      </c>
      <c r="D286" s="19" t="s">
        <v>10773</v>
      </c>
      <c r="E286" s="15" t="str">
        <f>HYPERLINK("https://stat100.ameba.jp/tnk47/ratio20/illustrations/card/ill_85183_meikokoizumiyakumo03.jpg?201911-3-RELEASE-dice-e-439", "■")</f>
        <v>■</v>
      </c>
      <c r="F286" s="7" t="s">
        <v>8025</v>
      </c>
      <c r="G286" s="7">
        <v>94295</v>
      </c>
      <c r="H286" s="7">
        <v>101373</v>
      </c>
      <c r="I286" s="7">
        <v>25</v>
      </c>
      <c r="J286" s="7" t="s">
        <v>8017</v>
      </c>
      <c r="K286" s="7" t="s">
        <v>8024</v>
      </c>
      <c r="L286" s="7" t="s">
        <v>8023</v>
      </c>
      <c r="M286" s="1" t="s">
        <v>9158</v>
      </c>
      <c r="N286" s="1" t="s">
        <v>9158</v>
      </c>
      <c r="O286" s="1" t="s">
        <v>9158</v>
      </c>
      <c r="P286" s="1" t="s">
        <v>9158</v>
      </c>
      <c r="Q286" s="1" t="s">
        <v>9158</v>
      </c>
    </row>
    <row r="287" spans="1:18">
      <c r="A287" s="7">
        <v>85193</v>
      </c>
      <c r="B287" s="7" t="s">
        <v>8008</v>
      </c>
      <c r="C287" s="7" t="s">
        <v>8013</v>
      </c>
      <c r="D287" s="19" t="s">
        <v>10774</v>
      </c>
      <c r="E287" s="15" t="str">
        <f>HYPERLINK("https://stat100.ameba.jp/tnk47/ratio20/illustrations/card/ill_85193_furisodekuroyuridensetsu03.jpg?201911-3-RELEASE-dice-e-439", "■")</f>
        <v>■</v>
      </c>
      <c r="F287" s="7" t="s">
        <v>8028</v>
      </c>
      <c r="G287" s="7">
        <v>74100</v>
      </c>
      <c r="H287" s="7">
        <v>67210</v>
      </c>
      <c r="I287" s="7">
        <v>25</v>
      </c>
      <c r="J287" s="7" t="s">
        <v>8018</v>
      </c>
      <c r="K287" s="7" t="s">
        <v>8027</v>
      </c>
      <c r="L287" s="7" t="s">
        <v>8026</v>
      </c>
      <c r="M287" s="1" t="s">
        <v>9158</v>
      </c>
      <c r="N287" s="1" t="s">
        <v>9158</v>
      </c>
      <c r="O287" s="1" t="s">
        <v>9158</v>
      </c>
      <c r="P287" s="1" t="s">
        <v>9158</v>
      </c>
      <c r="Q287" s="1" t="s">
        <v>9158</v>
      </c>
    </row>
    <row r="288" spans="1:18">
      <c r="A288" s="7">
        <v>85203</v>
      </c>
      <c r="B288" s="7" t="s">
        <v>8009</v>
      </c>
      <c r="C288" s="7" t="s">
        <v>8014</v>
      </c>
      <c r="D288" s="19" t="s">
        <v>10775</v>
      </c>
      <c r="E288" s="15" t="str">
        <f>HYPERLINK("https://stat100.ameba.jp/tnk47/ratio20/illustrations/card/ill_85203_kyobijin03.jpg?201911-3-RELEASE-dice-e-439", "■")</f>
        <v>■</v>
      </c>
      <c r="F288" s="7" t="s">
        <v>8031</v>
      </c>
      <c r="G288" s="7">
        <v>43220</v>
      </c>
      <c r="H288" s="7">
        <v>51980</v>
      </c>
      <c r="I288" s="7">
        <v>25</v>
      </c>
      <c r="J288" s="7" t="s">
        <v>8019</v>
      </c>
      <c r="K288" s="7" t="s">
        <v>8030</v>
      </c>
      <c r="L288" s="7" t="s">
        <v>8029</v>
      </c>
      <c r="M288" s="1" t="s">
        <v>9158</v>
      </c>
      <c r="N288" s="1" t="s">
        <v>9158</v>
      </c>
      <c r="O288" s="1" t="s">
        <v>9158</v>
      </c>
      <c r="P288" s="1" t="s">
        <v>9158</v>
      </c>
      <c r="Q288" s="1" t="s">
        <v>9158</v>
      </c>
    </row>
    <row r="289" spans="1:17">
      <c r="A289" s="7">
        <v>85213</v>
      </c>
      <c r="B289" s="7" t="s">
        <v>8010</v>
      </c>
      <c r="C289" s="7" t="s">
        <v>8015</v>
      </c>
      <c r="D289" s="19" t="s">
        <v>10776</v>
      </c>
      <c r="E289" s="15" t="str">
        <f>HYPERLINK("https://stat100.ameba.jp/tnk47/ratio20/illustrations/card/ill_85213_jakurenhoshi03.jpg?201911-3-RELEASE-dice-e-439", "■")</f>
        <v>■</v>
      </c>
      <c r="F289" s="7" t="s">
        <v>8034</v>
      </c>
      <c r="G289" s="7">
        <v>31470</v>
      </c>
      <c r="H289" s="7">
        <v>26430</v>
      </c>
      <c r="I289" s="7">
        <v>25</v>
      </c>
      <c r="J289" s="7" t="s">
        <v>8017</v>
      </c>
      <c r="K289" s="7" t="s">
        <v>8033</v>
      </c>
      <c r="L289" s="7" t="s">
        <v>8032</v>
      </c>
      <c r="M289" s="1" t="s">
        <v>9158</v>
      </c>
      <c r="N289" s="1" t="s">
        <v>9158</v>
      </c>
      <c r="O289" s="1" t="s">
        <v>9158</v>
      </c>
      <c r="P289" s="1" t="s">
        <v>9158</v>
      </c>
      <c r="Q289" s="1" t="s">
        <v>9158</v>
      </c>
    </row>
    <row r="290" spans="1:17">
      <c r="E290" s="7"/>
    </row>
    <row r="291" spans="1:17">
      <c r="A291" s="7" t="s">
        <v>8035</v>
      </c>
      <c r="E291" s="7"/>
    </row>
    <row r="292" spans="1:17">
      <c r="A292" s="7" t="s">
        <v>8036</v>
      </c>
      <c r="E292" s="7"/>
    </row>
    <row r="293" spans="1:17">
      <c r="A293" s="1" t="s">
        <v>6905</v>
      </c>
      <c r="B293" s="1" t="s">
        <v>330</v>
      </c>
      <c r="C293" s="1" t="s">
        <v>35</v>
      </c>
      <c r="D293" s="19" t="s">
        <v>10299</v>
      </c>
      <c r="E293" s="15" t="str">
        <f>HYPERLINK("https://stat100.ameba.jp/tnk47/ratio20/illustrations/card/ill_80623_0_ohanamigurampingutominushihime03.jpg?201911-3-RELEASE-dice-e-439", "■")</f>
        <v>■</v>
      </c>
      <c r="F293" s="1" t="s">
        <v>4162</v>
      </c>
      <c r="G293" s="1">
        <v>289274</v>
      </c>
      <c r="H293" s="1">
        <v>261472</v>
      </c>
      <c r="I293" s="1">
        <v>24</v>
      </c>
      <c r="J293" s="1" t="s">
        <v>44</v>
      </c>
      <c r="K293" s="1" t="s">
        <v>4163</v>
      </c>
      <c r="L293" s="1" t="s">
        <v>4164</v>
      </c>
      <c r="M293" s="1" t="s">
        <v>9158</v>
      </c>
      <c r="N293" s="1" t="s">
        <v>9158</v>
      </c>
      <c r="O293" s="19" t="s">
        <v>10126</v>
      </c>
      <c r="P293" s="1" t="s">
        <v>4166</v>
      </c>
      <c r="Q293" s="1">
        <v>1</v>
      </c>
    </row>
    <row r="294" spans="1:17">
      <c r="A294" s="1">
        <v>77683</v>
      </c>
      <c r="B294" s="1" t="s">
        <v>0</v>
      </c>
      <c r="C294" s="1" t="s">
        <v>203</v>
      </c>
      <c r="D294" s="19" t="s">
        <v>10220</v>
      </c>
      <c r="E294" s="15" t="str">
        <f>HYPERLINK("https://stat100.ameba.jp/tnk47/ratio20/illustrations/card/ill_77683_shukusainoujohoride03.jpg?201911-3-RELEASE-dice-e-439", "■")</f>
        <v>■</v>
      </c>
      <c r="F294" s="1" t="s">
        <v>1430</v>
      </c>
      <c r="G294" s="1">
        <v>104890</v>
      </c>
      <c r="H294" s="1">
        <v>75984</v>
      </c>
      <c r="I294" s="1">
        <v>24</v>
      </c>
      <c r="J294" s="1" t="s">
        <v>315</v>
      </c>
      <c r="K294" s="1" t="s">
        <v>1431</v>
      </c>
      <c r="L294" s="1" t="s">
        <v>1432</v>
      </c>
      <c r="M294" s="1" t="s">
        <v>9158</v>
      </c>
      <c r="N294" s="1" t="s">
        <v>9158</v>
      </c>
      <c r="O294" s="19" t="s">
        <v>10090</v>
      </c>
      <c r="P294" s="1" t="s">
        <v>3460</v>
      </c>
      <c r="Q294" s="1">
        <v>1</v>
      </c>
    </row>
    <row r="295" spans="1:17">
      <c r="A295" s="1">
        <v>73093</v>
      </c>
      <c r="B295" s="1" t="s">
        <v>334</v>
      </c>
      <c r="C295" s="1" t="s">
        <v>209</v>
      </c>
      <c r="D295" s="19" t="s">
        <v>433</v>
      </c>
      <c r="E295" s="15" t="str">
        <f>HYPERLINK("https://stat100.ameba.jp/tnk47/ratio20/illustrations/card/ill_73093_aisukurinchan03.jpg?201911-3-RELEASE-dice-e-439", "■")</f>
        <v>■</v>
      </c>
      <c r="F295" s="1" t="s">
        <v>1027</v>
      </c>
      <c r="G295" s="1">
        <v>159674</v>
      </c>
      <c r="H295" s="1">
        <v>115656</v>
      </c>
      <c r="I295" s="1">
        <v>24</v>
      </c>
      <c r="J295" s="1" t="s">
        <v>104</v>
      </c>
      <c r="K295" s="1" t="s">
        <v>1028</v>
      </c>
      <c r="L295" s="1" t="s">
        <v>1029</v>
      </c>
      <c r="M295" s="1" t="s">
        <v>9158</v>
      </c>
      <c r="N295" s="1" t="s">
        <v>9158</v>
      </c>
      <c r="O295" s="19" t="s">
        <v>2741</v>
      </c>
      <c r="P295" s="1" t="s">
        <v>2742</v>
      </c>
      <c r="Q295" s="1">
        <v>1</v>
      </c>
    </row>
    <row r="296" spans="1:17">
      <c r="A296" s="1">
        <v>52083</v>
      </c>
      <c r="B296" s="1" t="s">
        <v>0</v>
      </c>
      <c r="C296" s="1" t="s">
        <v>158</v>
      </c>
      <c r="D296" s="19" t="s">
        <v>2913</v>
      </c>
      <c r="E296" s="15" t="str">
        <f>HYPERLINK("https://stat100.ameba.jp/tnk47/ratio20/illustrations/card/ill_52083_berubetto03.jpg?201911-3-RELEASE-dice-e-439", "■")</f>
        <v>■</v>
      </c>
      <c r="F296" s="1" t="s">
        <v>944</v>
      </c>
      <c r="G296" s="1">
        <v>82694</v>
      </c>
      <c r="H296" s="1">
        <v>114160</v>
      </c>
      <c r="I296" s="1">
        <v>24</v>
      </c>
      <c r="J296" s="1" t="s">
        <v>26</v>
      </c>
      <c r="K296" s="1" t="s">
        <v>1864</v>
      </c>
      <c r="L296" s="1" t="s">
        <v>1865</v>
      </c>
      <c r="M296" s="1" t="s">
        <v>9158</v>
      </c>
      <c r="N296" s="1" t="s">
        <v>9158</v>
      </c>
      <c r="O296" s="19" t="s">
        <v>2917</v>
      </c>
      <c r="P296" s="1" t="s">
        <v>2918</v>
      </c>
      <c r="Q296" s="1">
        <v>1</v>
      </c>
    </row>
    <row r="297" spans="1:17">
      <c r="E297" s="7"/>
    </row>
    <row r="298" spans="1:17">
      <c r="A298" s="7" t="s">
        <v>8037</v>
      </c>
      <c r="E298" s="7"/>
    </row>
    <row r="299" spans="1:17">
      <c r="A299" s="7" t="s">
        <v>8038</v>
      </c>
      <c r="E299" s="7"/>
    </row>
    <row r="300" spans="1:17">
      <c r="A300" s="1" t="s">
        <v>5620</v>
      </c>
      <c r="B300" s="1" t="s">
        <v>330</v>
      </c>
      <c r="C300" s="1" t="s">
        <v>206</v>
      </c>
      <c r="D300" s="19" t="s">
        <v>669</v>
      </c>
      <c r="E300" s="15" t="str">
        <f>HYPERLINK("https://stat100.ameba.jp/tnk47/ratio20/illustrations/card/ill_67173_0_yukemuriawamorichan03.jpg?201911-3-RELEASE-dice-e-439", "■")</f>
        <v>■</v>
      </c>
      <c r="F300" s="1" t="s">
        <v>670</v>
      </c>
      <c r="G300" s="1">
        <v>115249</v>
      </c>
      <c r="H300" s="1">
        <v>107146</v>
      </c>
      <c r="I300" s="1">
        <v>15</v>
      </c>
      <c r="J300" s="1" t="s">
        <v>283</v>
      </c>
      <c r="K300" s="1" t="s">
        <v>671</v>
      </c>
      <c r="L300" s="1" t="s">
        <v>672</v>
      </c>
      <c r="M300" s="1" t="s">
        <v>9158</v>
      </c>
      <c r="N300" s="1" t="s">
        <v>9158</v>
      </c>
      <c r="O300" s="19" t="s">
        <v>10087</v>
      </c>
      <c r="P300" s="1" t="s">
        <v>3455</v>
      </c>
      <c r="Q300" s="1">
        <v>1</v>
      </c>
    </row>
    <row r="301" spans="1:17">
      <c r="A301" s="1" t="s">
        <v>5734</v>
      </c>
      <c r="B301" s="1" t="s">
        <v>330</v>
      </c>
      <c r="C301" s="1" t="s">
        <v>202</v>
      </c>
      <c r="D301" s="19" t="s">
        <v>1497</v>
      </c>
      <c r="E301" s="15" t="str">
        <f>HYPERLINK("https://stat100.ameba.jp/tnk47/ratio20/illustrations/card/ill_74593_0_natsuyuenchikoshihikari03.jpg?201911-3-RELEASE-dice-e-439", "■")</f>
        <v>■</v>
      </c>
      <c r="F301" s="1" t="s">
        <v>1498</v>
      </c>
      <c r="G301" s="1">
        <v>162496</v>
      </c>
      <c r="H301" s="1">
        <v>151067</v>
      </c>
      <c r="I301" s="1">
        <v>15</v>
      </c>
      <c r="J301" s="1" t="s">
        <v>283</v>
      </c>
      <c r="K301" s="1" t="s">
        <v>1499</v>
      </c>
      <c r="L301" s="1" t="s">
        <v>1500</v>
      </c>
      <c r="M301" s="1" t="s">
        <v>9158</v>
      </c>
      <c r="N301" s="1" t="s">
        <v>9158</v>
      </c>
      <c r="O301" s="19" t="s">
        <v>2731</v>
      </c>
      <c r="P301" s="1" t="s">
        <v>2732</v>
      </c>
      <c r="Q301" s="1">
        <v>1</v>
      </c>
    </row>
    <row r="302" spans="1:17">
      <c r="A302" s="1" t="s">
        <v>5608</v>
      </c>
      <c r="B302" s="1" t="s">
        <v>52</v>
      </c>
      <c r="C302" s="1" t="s">
        <v>96</v>
      </c>
      <c r="D302" s="19" t="s">
        <v>634</v>
      </c>
      <c r="E302" s="15" t="str">
        <f>HYPERLINK("https://stat100.ameba.jp/tnk47/ratio20/illustrations/card/ill_40963_0_makami03.jpg?201911-3-RELEASE-dice-e-439", "■")</f>
        <v>■</v>
      </c>
      <c r="F302" s="1" t="s">
        <v>2038</v>
      </c>
      <c r="G302" s="1">
        <v>87780</v>
      </c>
      <c r="H302" s="1">
        <v>82212</v>
      </c>
      <c r="I302" s="1">
        <v>15</v>
      </c>
      <c r="J302" s="1" t="s">
        <v>44</v>
      </c>
      <c r="K302" s="1" t="s">
        <v>2039</v>
      </c>
      <c r="L302" s="1" t="s">
        <v>2040</v>
      </c>
      <c r="M302" s="1" t="s">
        <v>9158</v>
      </c>
      <c r="N302" s="1" t="s">
        <v>9158</v>
      </c>
      <c r="O302" s="1" t="s">
        <v>9158</v>
      </c>
      <c r="P302" s="1" t="s">
        <v>9158</v>
      </c>
      <c r="Q302" s="1" t="s">
        <v>9158</v>
      </c>
    </row>
    <row r="303" spans="1:17">
      <c r="A303" s="7">
        <v>79163</v>
      </c>
      <c r="B303" s="1" t="s">
        <v>334</v>
      </c>
      <c r="C303" s="7" t="s">
        <v>8039</v>
      </c>
      <c r="D303" s="19" t="s">
        <v>10450</v>
      </c>
      <c r="E303" s="15" t="str">
        <f>HYPERLINK("https://stat100.ameba.jp/tnk47/ratio20/illustrations/card/ill_79163_karutaonamihime03.jpg?201911-3-RELEASE-dice-e-439", "■")</f>
        <v>■</v>
      </c>
      <c r="F303" s="1" t="s">
        <v>8050</v>
      </c>
      <c r="G303" s="1">
        <v>176200</v>
      </c>
      <c r="H303" s="1">
        <v>99132</v>
      </c>
      <c r="I303" s="1">
        <v>24</v>
      </c>
      <c r="J303" s="1" t="s">
        <v>8042</v>
      </c>
      <c r="K303" s="1" t="s">
        <v>8041</v>
      </c>
      <c r="L303" s="1" t="s">
        <v>8040</v>
      </c>
      <c r="M303" s="1" t="s">
        <v>9158</v>
      </c>
      <c r="N303" s="1" t="s">
        <v>9158</v>
      </c>
      <c r="O303" s="1" t="s">
        <v>9158</v>
      </c>
      <c r="P303" s="1" t="s">
        <v>9158</v>
      </c>
      <c r="Q303" s="1" t="s">
        <v>9158</v>
      </c>
    </row>
    <row r="304" spans="1:17">
      <c r="A304" s="7">
        <v>63413</v>
      </c>
      <c r="B304" s="7" t="s">
        <v>0</v>
      </c>
      <c r="C304" s="7" t="s">
        <v>200</v>
      </c>
      <c r="D304" s="19" t="s">
        <v>10777</v>
      </c>
      <c r="E304" s="15" t="str">
        <f>HYPERLINK("https://stat100.ameba.jp/tnk47/ratio20/illustrations/card/ill_63413_nidaimeichikawadanjuro03.jpg?201911-3-RELEASE-dice-e-439", "■")</f>
        <v>■</v>
      </c>
      <c r="F304" s="7" t="s">
        <v>8049</v>
      </c>
      <c r="G304" s="7">
        <v>120204</v>
      </c>
      <c r="H304" s="7">
        <v>67636</v>
      </c>
      <c r="I304" s="7">
        <v>24</v>
      </c>
      <c r="J304" s="1" t="s">
        <v>8017</v>
      </c>
      <c r="K304" s="7" t="s">
        <v>8048</v>
      </c>
      <c r="L304" s="7" t="s">
        <v>8047</v>
      </c>
      <c r="M304" s="1" t="s">
        <v>9158</v>
      </c>
      <c r="N304" s="1" t="s">
        <v>9158</v>
      </c>
      <c r="O304" s="1" t="s">
        <v>9158</v>
      </c>
      <c r="P304" s="1" t="s">
        <v>9158</v>
      </c>
      <c r="Q304" s="1" t="s">
        <v>9158</v>
      </c>
    </row>
    <row r="305" spans="1:18">
      <c r="A305" s="7">
        <v>82033</v>
      </c>
      <c r="B305" s="1" t="s">
        <v>334</v>
      </c>
      <c r="C305" s="1" t="s">
        <v>267</v>
      </c>
      <c r="D305" s="19" t="s">
        <v>10240</v>
      </c>
      <c r="E305" s="15" t="str">
        <f>HYPERLINK("https://stat100.ameba.jp/tnk47/ratio20/illustrations/card/ill_82033_chichinohiakashirejina03.jpg?201911-3-RELEASE-dice-e-439", "■")</f>
        <v>■</v>
      </c>
      <c r="F305" s="1" t="s">
        <v>8046</v>
      </c>
      <c r="G305" s="1">
        <v>93746</v>
      </c>
      <c r="H305" s="1">
        <v>87128</v>
      </c>
      <c r="I305" s="1">
        <v>24</v>
      </c>
      <c r="J305" s="1" t="s">
        <v>8043</v>
      </c>
      <c r="K305" s="1" t="s">
        <v>8045</v>
      </c>
      <c r="L305" s="1" t="s">
        <v>8044</v>
      </c>
      <c r="M305" s="1" t="s">
        <v>9158</v>
      </c>
      <c r="N305" s="1" t="s">
        <v>9158</v>
      </c>
      <c r="O305" s="1" t="s">
        <v>9158</v>
      </c>
      <c r="P305" s="1" t="s">
        <v>9158</v>
      </c>
      <c r="Q305" s="1" t="s">
        <v>9158</v>
      </c>
    </row>
    <row r="306" spans="1:18">
      <c r="A306" s="1">
        <v>79103</v>
      </c>
      <c r="B306" s="1" t="s">
        <v>15</v>
      </c>
      <c r="C306" s="1" t="s">
        <v>200</v>
      </c>
      <c r="D306" s="19" t="s">
        <v>10542</v>
      </c>
      <c r="E306" s="15" t="str">
        <f>HYPERLINK("https://stat100.ameba.jp/tnk47/ratio20/illustrations/card/ill_79103_burabankitaharareiko03.jpg?201911-3-RELEASE-dice-e-439", "■")</f>
        <v>■</v>
      </c>
      <c r="F306" s="1" t="s">
        <v>3398</v>
      </c>
      <c r="G306" s="1">
        <v>59280</v>
      </c>
      <c r="H306" s="1">
        <v>53768</v>
      </c>
      <c r="I306" s="1">
        <v>20</v>
      </c>
      <c r="J306" s="1" t="s">
        <v>10</v>
      </c>
      <c r="K306" s="1" t="s">
        <v>3399</v>
      </c>
      <c r="L306" s="1" t="s">
        <v>3275</v>
      </c>
      <c r="M306" s="1" t="s">
        <v>9158</v>
      </c>
      <c r="N306" s="1" t="s">
        <v>9158</v>
      </c>
      <c r="O306" s="1" t="s">
        <v>9158</v>
      </c>
      <c r="P306" s="1" t="s">
        <v>9158</v>
      </c>
      <c r="Q306" s="1" t="s">
        <v>9158</v>
      </c>
    </row>
    <row r="307" spans="1:18">
      <c r="A307" s="1">
        <v>68863</v>
      </c>
      <c r="B307" s="1" t="s">
        <v>348</v>
      </c>
      <c r="C307" s="1" t="s">
        <v>165</v>
      </c>
      <c r="D307" s="19" t="s">
        <v>4058</v>
      </c>
      <c r="E307" s="15" t="str">
        <f>HYPERLINK("https://stat100.ameba.jp/tnk47/ratio20/illustrations/card/ill_68863_karutawakaruhimenomikoto03.jpg?201911-3-RELEASE-dice-e-439", "■")</f>
        <v>■</v>
      </c>
      <c r="F307" s="1" t="s">
        <v>3269</v>
      </c>
      <c r="G307" s="1">
        <v>59280</v>
      </c>
      <c r="H307" s="1">
        <v>53768</v>
      </c>
      <c r="I307" s="1">
        <v>20</v>
      </c>
      <c r="J307" s="1" t="s">
        <v>44</v>
      </c>
      <c r="K307" s="1" t="s">
        <v>3270</v>
      </c>
      <c r="L307" s="1" t="s">
        <v>3271</v>
      </c>
      <c r="M307" s="1" t="s">
        <v>9158</v>
      </c>
      <c r="N307" s="1" t="s">
        <v>9158</v>
      </c>
      <c r="O307" s="1" t="s">
        <v>9158</v>
      </c>
      <c r="P307" s="1" t="s">
        <v>9158</v>
      </c>
      <c r="Q307" s="1" t="s">
        <v>9158</v>
      </c>
    </row>
    <row r="308" spans="1:18">
      <c r="A308" s="1">
        <v>78773</v>
      </c>
      <c r="B308" s="1" t="s">
        <v>15</v>
      </c>
      <c r="C308" s="1" t="s">
        <v>191</v>
      </c>
      <c r="D308" s="19" t="s">
        <v>2856</v>
      </c>
      <c r="E308" s="15" t="str">
        <f>HYPERLINK("https://stat100.ameba.jp/tnk47/ratio20/illustrations/card/ill_78773_hosokawagarasya03.jpg?201911-3-RELEASE-dice-e-439", "■")</f>
        <v>■</v>
      </c>
      <c r="F308" s="1" t="s">
        <v>7103</v>
      </c>
      <c r="G308" s="1">
        <v>59280</v>
      </c>
      <c r="H308" s="1">
        <v>53768</v>
      </c>
      <c r="I308" s="1">
        <v>20</v>
      </c>
      <c r="J308" s="1" t="s">
        <v>77</v>
      </c>
      <c r="K308" s="1" t="s">
        <v>7101</v>
      </c>
      <c r="L308" s="1" t="s">
        <v>932</v>
      </c>
      <c r="M308" s="1" t="s">
        <v>9158</v>
      </c>
      <c r="N308" s="1" t="s">
        <v>9158</v>
      </c>
      <c r="O308" s="1" t="s">
        <v>9158</v>
      </c>
      <c r="P308" s="1" t="s">
        <v>9158</v>
      </c>
      <c r="Q308" s="1" t="s">
        <v>9158</v>
      </c>
    </row>
    <row r="309" spans="1:18">
      <c r="E309" s="7"/>
    </row>
    <row r="310" spans="1:18">
      <c r="A310" s="7" t="s">
        <v>13370</v>
      </c>
      <c r="E310" s="7"/>
    </row>
    <row r="311" spans="1:18">
      <c r="A311" s="7" t="s">
        <v>8051</v>
      </c>
      <c r="E311" s="7"/>
    </row>
    <row r="312" spans="1:18">
      <c r="A312" s="7">
        <v>85035</v>
      </c>
      <c r="B312" s="7" t="s">
        <v>8054</v>
      </c>
      <c r="C312" s="7" t="s">
        <v>8052</v>
      </c>
      <c r="D312" s="19" t="s">
        <v>10778</v>
      </c>
      <c r="E312" s="15" t="str">
        <f>HYPERLINK("https://stat100.ameba.jp/tnk47/ratio20/illustrations/card/ill_85035_kimononohikaguya05.jpg?201911-3-RELEASE-dice-e-439x", "■")</f>
        <v>■</v>
      </c>
      <c r="F312" s="7" t="s">
        <v>8061</v>
      </c>
      <c r="G312" s="7">
        <v>93866</v>
      </c>
      <c r="H312" s="7">
        <v>67964</v>
      </c>
      <c r="I312" s="7">
        <v>24</v>
      </c>
      <c r="J312" s="7" t="s">
        <v>8059</v>
      </c>
      <c r="K312" s="7" t="s">
        <v>8060</v>
      </c>
      <c r="L312" s="7" t="s">
        <v>8062</v>
      </c>
      <c r="M312" s="1" t="s">
        <v>9158</v>
      </c>
      <c r="N312" s="1" t="s">
        <v>9158</v>
      </c>
      <c r="O312" s="1" t="s">
        <v>9158</v>
      </c>
      <c r="P312" s="1" t="s">
        <v>9158</v>
      </c>
      <c r="Q312" s="1" t="s">
        <v>9158</v>
      </c>
      <c r="R312" s="7" t="s">
        <v>8056</v>
      </c>
    </row>
    <row r="313" spans="1:18">
      <c r="A313" s="7">
        <v>85033</v>
      </c>
      <c r="B313" s="7" t="s">
        <v>8055</v>
      </c>
      <c r="C313" s="7" t="s">
        <v>8053</v>
      </c>
      <c r="D313" s="19" t="s">
        <v>10778</v>
      </c>
      <c r="E313" s="15" t="str">
        <f>HYPERLINK("https://stat100.ameba.jp/tnk47/ratio20/illustrations/card/ill_85033_kimononohikaguya03.jpg?201911-3-RELEASE-dice-e-439x", "■")</f>
        <v>■</v>
      </c>
      <c r="F313" s="7" t="s">
        <v>8061</v>
      </c>
      <c r="G313" s="7">
        <v>67760</v>
      </c>
      <c r="H313" s="7">
        <v>49120</v>
      </c>
      <c r="I313" s="7">
        <v>24</v>
      </c>
      <c r="J313" s="7" t="s">
        <v>8059</v>
      </c>
      <c r="K313" s="7" t="s">
        <v>8060</v>
      </c>
      <c r="L313" s="7" t="s">
        <v>8063</v>
      </c>
      <c r="M313" s="1" t="s">
        <v>9158</v>
      </c>
      <c r="N313" s="1" t="s">
        <v>9158</v>
      </c>
      <c r="O313" s="1" t="s">
        <v>9158</v>
      </c>
      <c r="P313" s="1" t="s">
        <v>9158</v>
      </c>
      <c r="Q313" s="1" t="s">
        <v>9158</v>
      </c>
      <c r="R313" s="7" t="s">
        <v>8057</v>
      </c>
    </row>
    <row r="314" spans="1:18">
      <c r="A314" s="7">
        <v>85031</v>
      </c>
      <c r="B314" s="7" t="s">
        <v>8055</v>
      </c>
      <c r="C314" s="7" t="s">
        <v>8053</v>
      </c>
      <c r="D314" s="19" t="s">
        <v>10778</v>
      </c>
      <c r="E314" s="15" t="str">
        <f>HYPERLINK("https://stat100.ameba.jp/tnk47/ratio20/illustrations/card/ill_85031_kimononohikaguya01.jpg?201911-3-RELEASE-dice-e-439x", "■")</f>
        <v>■</v>
      </c>
      <c r="F314" s="7" t="s">
        <v>8061</v>
      </c>
      <c r="G314" s="7">
        <v>39336</v>
      </c>
      <c r="H314" s="7">
        <v>28488</v>
      </c>
      <c r="I314" s="7">
        <v>24</v>
      </c>
      <c r="J314" s="7" t="s">
        <v>8059</v>
      </c>
      <c r="K314" s="7" t="s">
        <v>8060</v>
      </c>
      <c r="L314" s="7" t="s">
        <v>8064</v>
      </c>
      <c r="M314" s="1" t="s">
        <v>9158</v>
      </c>
      <c r="N314" s="1" t="s">
        <v>9158</v>
      </c>
      <c r="O314" s="1" t="s">
        <v>9158</v>
      </c>
      <c r="P314" s="1" t="s">
        <v>9158</v>
      </c>
      <c r="Q314" s="1" t="s">
        <v>9158</v>
      </c>
      <c r="R314" s="7" t="s">
        <v>8058</v>
      </c>
    </row>
    <row r="315" spans="1:18">
      <c r="E315" s="7"/>
    </row>
    <row r="316" spans="1:18">
      <c r="A316" s="7" t="s">
        <v>10551</v>
      </c>
      <c r="E316" s="7"/>
    </row>
    <row r="317" spans="1:18">
      <c r="A317" s="7" t="s">
        <v>8065</v>
      </c>
      <c r="E317" s="7"/>
    </row>
    <row r="318" spans="1:18">
      <c r="A318" s="7">
        <v>69213</v>
      </c>
      <c r="B318" s="7" t="s">
        <v>8054</v>
      </c>
      <c r="C318" s="7" t="s">
        <v>8066</v>
      </c>
      <c r="D318" s="19" t="s">
        <v>10779</v>
      </c>
      <c r="E318" s="15" t="str">
        <f>HYPERLINK("https://stat100.ameba.jp/tnk47/ratio20/illustrations/card/ill_69213_burodoeiimagawayaki03.jpg?201911-3-RELEASE-dice-e-439x", "■")</f>
        <v>■</v>
      </c>
      <c r="F318" s="7" t="s">
        <v>8074</v>
      </c>
      <c r="G318" s="7">
        <v>109786</v>
      </c>
      <c r="H318" s="7">
        <v>118063</v>
      </c>
      <c r="I318" s="7">
        <v>25</v>
      </c>
      <c r="J318" s="7" t="s">
        <v>8070</v>
      </c>
      <c r="K318" s="7" t="s">
        <v>8073</v>
      </c>
      <c r="L318" s="7" t="s">
        <v>8072</v>
      </c>
      <c r="M318" s="1" t="s">
        <v>9158</v>
      </c>
      <c r="N318" s="1" t="s">
        <v>9158</v>
      </c>
      <c r="O318" s="1" t="s">
        <v>9158</v>
      </c>
      <c r="P318" s="1" t="s">
        <v>9158</v>
      </c>
      <c r="Q318" s="1" t="s">
        <v>9158</v>
      </c>
    </row>
    <row r="319" spans="1:18">
      <c r="A319" s="7">
        <v>73443</v>
      </c>
      <c r="B319" s="7" t="s">
        <v>8054</v>
      </c>
      <c r="C319" s="7" t="s">
        <v>8067</v>
      </c>
      <c r="D319" s="19" t="s">
        <v>10780</v>
      </c>
      <c r="E319" s="15" t="str">
        <f>HYPERLINK("https://stat100.ameba.jp/tnk47/ratio20/illustrations/card/ill_73443_kejonumadensetsu03.jpg?201911-3-RELEASE-dice-e-439x", "■")</f>
        <v>■</v>
      </c>
      <c r="F319" s="7" t="s">
        <v>8077</v>
      </c>
      <c r="G319" s="7">
        <v>105890</v>
      </c>
      <c r="H319" s="7">
        <v>114092</v>
      </c>
      <c r="I319" s="7">
        <v>25</v>
      </c>
      <c r="J319" s="7" t="s">
        <v>8059</v>
      </c>
      <c r="K319" s="7" t="s">
        <v>8076</v>
      </c>
      <c r="L319" s="7" t="s">
        <v>8075</v>
      </c>
      <c r="M319" s="1" t="s">
        <v>9158</v>
      </c>
      <c r="N319" s="1" t="s">
        <v>9158</v>
      </c>
      <c r="O319" s="1" t="s">
        <v>9158</v>
      </c>
      <c r="P319" s="1" t="s">
        <v>9158</v>
      </c>
      <c r="Q319" s="1" t="s">
        <v>9158</v>
      </c>
    </row>
    <row r="320" spans="1:18">
      <c r="A320" s="7">
        <v>41083</v>
      </c>
      <c r="B320" s="7" t="s">
        <v>8054</v>
      </c>
      <c r="C320" s="7" t="s">
        <v>8053</v>
      </c>
      <c r="D320" s="19" t="s">
        <v>10781</v>
      </c>
      <c r="E320" s="15" t="str">
        <f>HYPERLINK("https://stat100.ameba.jp/tnk47/ratio20/illustrations/card/ill_41083_hashiguchigoyo03.jpg?201911-3-RELEASE-dice-e-439x", "■")</f>
        <v>■</v>
      </c>
      <c r="F320" s="7" t="s">
        <v>8080</v>
      </c>
      <c r="G320" s="7">
        <v>96360</v>
      </c>
      <c r="H320" s="7">
        <v>89590</v>
      </c>
      <c r="I320" s="7">
        <v>25</v>
      </c>
      <c r="J320" s="7" t="s">
        <v>8071</v>
      </c>
      <c r="K320" s="7" t="s">
        <v>8079</v>
      </c>
      <c r="L320" s="7" t="s">
        <v>8078</v>
      </c>
      <c r="M320" s="1" t="s">
        <v>9158</v>
      </c>
      <c r="N320" s="1" t="s">
        <v>9158</v>
      </c>
      <c r="O320" s="1" t="s">
        <v>9158</v>
      </c>
      <c r="P320" s="1" t="s">
        <v>9158</v>
      </c>
      <c r="Q320" s="1" t="s">
        <v>9158</v>
      </c>
    </row>
    <row r="321" spans="1:17">
      <c r="A321" s="7">
        <v>67343</v>
      </c>
      <c r="B321" s="7" t="s">
        <v>8055</v>
      </c>
      <c r="C321" s="7" t="s">
        <v>8066</v>
      </c>
      <c r="D321" s="19" t="s">
        <v>10782</v>
      </c>
      <c r="E321" s="15" t="str">
        <f>HYPERLINK("https://stat100.ameba.jp/tnk47/ratio20/illustrations/card/ill_67343_taishabuchan03.jpg?201911-3-RELEASE-dice-e-439x", "■")</f>
        <v>■</v>
      </c>
      <c r="F321" s="7" t="s">
        <v>8083</v>
      </c>
      <c r="G321" s="7">
        <v>48792</v>
      </c>
      <c r="H321" s="7">
        <v>44259</v>
      </c>
      <c r="I321" s="7">
        <v>19</v>
      </c>
      <c r="J321" s="7" t="s">
        <v>8070</v>
      </c>
      <c r="K321" s="7" t="s">
        <v>8082</v>
      </c>
      <c r="L321" s="7" t="s">
        <v>8081</v>
      </c>
      <c r="M321" s="1" t="s">
        <v>9158</v>
      </c>
      <c r="N321" s="1" t="s">
        <v>9158</v>
      </c>
      <c r="O321" s="1" t="s">
        <v>9158</v>
      </c>
      <c r="P321" s="1" t="s">
        <v>9158</v>
      </c>
      <c r="Q321" s="1" t="s">
        <v>9158</v>
      </c>
    </row>
    <row r="322" spans="1:17">
      <c r="A322" s="7">
        <v>57993</v>
      </c>
      <c r="B322" s="7" t="s">
        <v>8055</v>
      </c>
      <c r="C322" s="7" t="s">
        <v>8068</v>
      </c>
      <c r="D322" s="19" t="s">
        <v>10430</v>
      </c>
      <c r="E322" s="15" t="str">
        <f>HYPERLINK("https://stat100.ameba.jp/tnk47/ratio20/illustrations/card/ill_57993_pawasupottomurasakiimotarutochan03.jpg?201911-3-RELEASE-dice-e-439x", "■")</f>
        <v>■</v>
      </c>
      <c r="F322" s="7" t="s">
        <v>8086</v>
      </c>
      <c r="G322" s="7">
        <v>51078</v>
      </c>
      <c r="H322" s="7">
        <v>56316</v>
      </c>
      <c r="I322" s="7">
        <v>19</v>
      </c>
      <c r="J322" s="7" t="s">
        <v>8070</v>
      </c>
      <c r="K322" s="7" t="s">
        <v>8085</v>
      </c>
      <c r="L322" s="7" t="s">
        <v>8084</v>
      </c>
      <c r="M322" s="1" t="s">
        <v>9158</v>
      </c>
      <c r="N322" s="1" t="s">
        <v>9158</v>
      </c>
      <c r="O322" s="1" t="s">
        <v>9158</v>
      </c>
      <c r="P322" s="1" t="s">
        <v>9158</v>
      </c>
      <c r="Q322" s="1" t="s">
        <v>9158</v>
      </c>
    </row>
    <row r="323" spans="1:17">
      <c r="A323" s="7">
        <v>56603</v>
      </c>
      <c r="B323" s="7" t="s">
        <v>8055</v>
      </c>
      <c r="C323" s="7" t="s">
        <v>8069</v>
      </c>
      <c r="D323" s="19" t="s">
        <v>10783</v>
      </c>
      <c r="E323" s="15" t="str">
        <f>HYPERLINK("https://stat100.ameba.jp/tnk47/ratio20/illustrations/card/ill_56603_genjuoribuchan03.jpg?201911-3-RELEASE-dice-e-439x", "■")</f>
        <v>■</v>
      </c>
      <c r="F323" s="7" t="s">
        <v>8089</v>
      </c>
      <c r="G323" s="7">
        <v>56316</v>
      </c>
      <c r="H323" s="7">
        <v>51078</v>
      </c>
      <c r="I323" s="7">
        <v>19</v>
      </c>
      <c r="J323" s="7" t="s">
        <v>8070</v>
      </c>
      <c r="K323" s="7" t="s">
        <v>8088</v>
      </c>
      <c r="L323" s="7" t="s">
        <v>8087</v>
      </c>
      <c r="M323" s="1" t="s">
        <v>9158</v>
      </c>
      <c r="N323" s="1" t="s">
        <v>9158</v>
      </c>
      <c r="O323" s="1" t="s">
        <v>9158</v>
      </c>
      <c r="P323" s="1" t="s">
        <v>9158</v>
      </c>
      <c r="Q323" s="1" t="s">
        <v>9158</v>
      </c>
    </row>
    <row r="324" spans="1:17">
      <c r="E324" s="7"/>
    </row>
    <row r="325" spans="1:17">
      <c r="A325" s="7" t="s">
        <v>8090</v>
      </c>
      <c r="E325" s="7"/>
    </row>
    <row r="326" spans="1:17">
      <c r="A326" s="7" t="s">
        <v>8091</v>
      </c>
      <c r="E326" s="7"/>
    </row>
    <row r="327" spans="1:17">
      <c r="A327" s="7" t="s">
        <v>8100</v>
      </c>
      <c r="B327" s="7" t="s">
        <v>8092</v>
      </c>
      <c r="C327" s="7" t="s">
        <v>8052</v>
      </c>
      <c r="D327" s="19" t="s">
        <v>10784</v>
      </c>
      <c r="E327" s="15" t="str">
        <f>HYPERLINK("https://stat100.ameba.jp/tnk47/ratio20/illustrations/card/ill_86013_0_somemonosansaishiki03.jpg?201911-3-RELEASE-dice-e-439x", "■")</f>
        <v>■</v>
      </c>
      <c r="F327" s="7" t="s">
        <v>8103</v>
      </c>
      <c r="G327" s="7">
        <v>349420</v>
      </c>
      <c r="H327" s="7">
        <v>315800</v>
      </c>
      <c r="I327" s="7">
        <v>30</v>
      </c>
      <c r="J327" s="7" t="s">
        <v>8095</v>
      </c>
      <c r="K327" s="7" t="s">
        <v>8102</v>
      </c>
      <c r="L327" s="7" t="s">
        <v>8101</v>
      </c>
      <c r="M327" s="1" t="s">
        <v>9158</v>
      </c>
      <c r="N327" s="1" t="s">
        <v>9158</v>
      </c>
      <c r="O327" s="19" t="s">
        <v>10132</v>
      </c>
      <c r="P327" s="1" t="s">
        <v>3277</v>
      </c>
      <c r="Q327" s="1">
        <v>1</v>
      </c>
    </row>
    <row r="328" spans="1:17">
      <c r="A328" s="7">
        <v>77243</v>
      </c>
      <c r="B328" s="7" t="s">
        <v>8054</v>
      </c>
      <c r="C328" s="7" t="s">
        <v>8067</v>
      </c>
      <c r="D328" s="19" t="s">
        <v>1435</v>
      </c>
      <c r="E328" s="15" t="str">
        <f>HYPERLINK("https://stat100.ameba.jp/tnk47/ratio20/illustrations/card/ill_77243_seikimatsuniijimayae03.jpg?201911-3-RELEASE-dice-e-439x", "■")</f>
        <v>■</v>
      </c>
      <c r="F328" s="7" t="s">
        <v>8114</v>
      </c>
      <c r="G328" s="7">
        <v>97651</v>
      </c>
      <c r="H328" s="7">
        <v>90759</v>
      </c>
      <c r="I328" s="7">
        <v>25</v>
      </c>
      <c r="J328" s="7" t="s">
        <v>8096</v>
      </c>
      <c r="K328" s="7" t="s">
        <v>8113</v>
      </c>
      <c r="L328" s="7" t="s">
        <v>8112</v>
      </c>
      <c r="M328" s="1" t="s">
        <v>9158</v>
      </c>
      <c r="N328" s="1" t="s">
        <v>9158</v>
      </c>
      <c r="O328" s="1" t="s">
        <v>9158</v>
      </c>
      <c r="P328" s="1" t="s">
        <v>9158</v>
      </c>
      <c r="Q328" s="1" t="s">
        <v>9158</v>
      </c>
    </row>
    <row r="329" spans="1:17">
      <c r="A329" s="7">
        <v>78033</v>
      </c>
      <c r="B329" s="7" t="s">
        <v>8054</v>
      </c>
      <c r="C329" s="7" t="s">
        <v>8066</v>
      </c>
      <c r="D329" s="19" t="s">
        <v>10310</v>
      </c>
      <c r="E329" s="15" t="str">
        <f>HYPERLINK("https://stat100.ameba.jp/tnk47/ratio20/illustrations/card/ill_78033_bonenkaimyoombenzaiten03.jpg?201911-3-RELEASE-dice-e-439x", "■")</f>
        <v>■</v>
      </c>
      <c r="F329" s="7" t="s">
        <v>8117</v>
      </c>
      <c r="G329" s="7">
        <v>101971</v>
      </c>
      <c r="H329" s="7">
        <v>94802</v>
      </c>
      <c r="I329" s="7">
        <v>25</v>
      </c>
      <c r="J329" s="7" t="s">
        <v>8097</v>
      </c>
      <c r="K329" s="7" t="s">
        <v>8116</v>
      </c>
      <c r="L329" s="7" t="s">
        <v>8115</v>
      </c>
      <c r="M329" s="1" t="s">
        <v>9158</v>
      </c>
      <c r="N329" s="1" t="s">
        <v>9158</v>
      </c>
      <c r="O329" s="1" t="s">
        <v>9158</v>
      </c>
      <c r="P329" s="1" t="s">
        <v>9158</v>
      </c>
      <c r="Q329" s="1" t="s">
        <v>9158</v>
      </c>
    </row>
    <row r="330" spans="1:17">
      <c r="A330" s="7">
        <v>81983</v>
      </c>
      <c r="B330" s="7" t="s">
        <v>8054</v>
      </c>
      <c r="C330" s="7" t="s">
        <v>8093</v>
      </c>
      <c r="D330" s="19" t="s">
        <v>10206</v>
      </c>
      <c r="E330" s="15" t="str">
        <f>HYPERLINK("https://stat100.ameba.jp/tnk47/ratio20/illustrations/card/ill_81983_otenkinonesammatsushitaotome03.jpg?201911-3-RELEASE-dice-e-439x", "■")</f>
        <v>■</v>
      </c>
      <c r="F330" s="7" t="s">
        <v>8120</v>
      </c>
      <c r="G330" s="7">
        <v>97651</v>
      </c>
      <c r="H330" s="7">
        <v>90759</v>
      </c>
      <c r="I330" s="7">
        <v>25</v>
      </c>
      <c r="J330" s="7" t="s">
        <v>187</v>
      </c>
      <c r="K330" s="7" t="s">
        <v>8119</v>
      </c>
      <c r="L330" s="7" t="s">
        <v>8118</v>
      </c>
      <c r="M330" s="1" t="s">
        <v>9158</v>
      </c>
      <c r="N330" s="1" t="s">
        <v>9158</v>
      </c>
      <c r="O330" s="1" t="s">
        <v>9158</v>
      </c>
      <c r="P330" s="1" t="s">
        <v>9158</v>
      </c>
      <c r="Q330" s="1" t="s">
        <v>9158</v>
      </c>
    </row>
    <row r="331" spans="1:17">
      <c r="A331" s="7">
        <v>61983</v>
      </c>
      <c r="B331" s="7" t="s">
        <v>8054</v>
      </c>
      <c r="C331" s="7" t="s">
        <v>8094</v>
      </c>
      <c r="D331" s="19" t="s">
        <v>10785</v>
      </c>
      <c r="E331" s="15" t="str">
        <f>HYPERLINK("https://stat100.ameba.jp/tnk47/ratio20/illustrations/card/ill_61983_koinoborihinotomiko03.jpg?201911-3-RELEASE-dice-e-439x", "■")</f>
        <v>■</v>
      </c>
      <c r="F331" s="7" t="s">
        <v>8123</v>
      </c>
      <c r="G331" s="7">
        <v>97651</v>
      </c>
      <c r="H331" s="7">
        <v>90759</v>
      </c>
      <c r="I331" s="7">
        <v>25</v>
      </c>
      <c r="J331" s="7" t="s">
        <v>8095</v>
      </c>
      <c r="K331" s="7" t="s">
        <v>8122</v>
      </c>
      <c r="L331" s="7" t="s">
        <v>8121</v>
      </c>
      <c r="M331" s="1" t="s">
        <v>9158</v>
      </c>
      <c r="N331" s="1" t="s">
        <v>9158</v>
      </c>
      <c r="O331" s="1" t="s">
        <v>9158</v>
      </c>
      <c r="P331" s="1" t="s">
        <v>9158</v>
      </c>
      <c r="Q331" s="1" t="s">
        <v>9158</v>
      </c>
    </row>
    <row r="332" spans="1:17">
      <c r="A332" s="7">
        <v>68463</v>
      </c>
      <c r="B332" s="7" t="s">
        <v>8054</v>
      </c>
      <c r="C332" s="7" t="s">
        <v>8069</v>
      </c>
      <c r="D332" s="19" t="s">
        <v>10252</v>
      </c>
      <c r="E332" s="15" t="str">
        <f>HYPERLINK("https://stat100.ameba.jp/tnk47/ratio20/illustrations/card/ill_68463_sunogurabiashirubaakusechan03.jpg?201911-3-RELEASE-dice-e-439x", "■")</f>
        <v>■</v>
      </c>
      <c r="F332" s="7" t="s">
        <v>8126</v>
      </c>
      <c r="G332" s="7">
        <v>106266</v>
      </c>
      <c r="H332" s="7">
        <v>98789</v>
      </c>
      <c r="I332" s="7">
        <v>25</v>
      </c>
      <c r="J332" s="7" t="s">
        <v>8098</v>
      </c>
      <c r="K332" s="7" t="s">
        <v>8125</v>
      </c>
      <c r="L332" s="7" t="s">
        <v>8124</v>
      </c>
      <c r="M332" s="1" t="s">
        <v>9158</v>
      </c>
      <c r="N332" s="1" t="s">
        <v>9158</v>
      </c>
      <c r="O332" s="1" t="s">
        <v>9158</v>
      </c>
      <c r="P332" s="1" t="s">
        <v>9158</v>
      </c>
      <c r="Q332" s="1" t="s">
        <v>9158</v>
      </c>
    </row>
    <row r="333" spans="1:17">
      <c r="A333" s="7">
        <v>75573</v>
      </c>
      <c r="B333" s="7" t="s">
        <v>8054</v>
      </c>
      <c r="C333" s="7" t="s">
        <v>8068</v>
      </c>
      <c r="D333" s="19" t="s">
        <v>10380</v>
      </c>
      <c r="E333" s="15" t="str">
        <f>HYPERLINK("https://stat100.ameba.jp/tnk47/ratio20/illustrations/card/ill_75573_niirotadamoto03.jpg?201911-3-RELEASE-dice-e-439x", "■")</f>
        <v>■</v>
      </c>
      <c r="F333" s="7" t="s">
        <v>8129</v>
      </c>
      <c r="G333" s="7">
        <v>148619</v>
      </c>
      <c r="H333" s="7">
        <v>138186</v>
      </c>
      <c r="I333" s="7">
        <v>25</v>
      </c>
      <c r="J333" s="7" t="s">
        <v>8099</v>
      </c>
      <c r="K333" s="7" t="s">
        <v>8128</v>
      </c>
      <c r="L333" s="7" t="s">
        <v>8127</v>
      </c>
      <c r="M333" s="1" t="s">
        <v>9158</v>
      </c>
      <c r="N333" s="1" t="s">
        <v>9158</v>
      </c>
      <c r="O333" s="1" t="s">
        <v>9158</v>
      </c>
      <c r="P333" s="1" t="s">
        <v>9158</v>
      </c>
      <c r="Q333" s="1" t="s">
        <v>9158</v>
      </c>
    </row>
    <row r="334" spans="1:17">
      <c r="A334" s="7">
        <v>69673</v>
      </c>
      <c r="B334" s="7" t="s">
        <v>8055</v>
      </c>
      <c r="C334" s="7" t="s">
        <v>8069</v>
      </c>
      <c r="D334" s="19" t="s">
        <v>10478</v>
      </c>
      <c r="E334" s="15" t="str">
        <f>HYPERLINK("https://stat100.ameba.jp/tnk47/ratio20/illustrations/card/ill_69673_massajimurakamisuigun03.jpg?201911-3-RELEASE-dice-e-439x", "■")</f>
        <v>■</v>
      </c>
      <c r="F334" s="7" t="s">
        <v>8108</v>
      </c>
      <c r="G334" s="7">
        <v>74100</v>
      </c>
      <c r="H334" s="7">
        <v>67210</v>
      </c>
      <c r="I334" s="7">
        <v>25</v>
      </c>
      <c r="J334" s="7" t="s">
        <v>8099</v>
      </c>
      <c r="K334" s="7" t="s">
        <v>8107</v>
      </c>
      <c r="L334" s="7" t="s">
        <v>8106</v>
      </c>
      <c r="M334" s="1" t="s">
        <v>9158</v>
      </c>
      <c r="N334" s="1" t="s">
        <v>9158</v>
      </c>
      <c r="O334" s="1" t="s">
        <v>9158</v>
      </c>
      <c r="P334" s="1" t="s">
        <v>9158</v>
      </c>
      <c r="Q334" s="1" t="s">
        <v>9158</v>
      </c>
    </row>
    <row r="335" spans="1:17">
      <c r="A335" s="7">
        <v>67473</v>
      </c>
      <c r="B335" s="7" t="s">
        <v>8055</v>
      </c>
      <c r="C335" s="7" t="s">
        <v>8093</v>
      </c>
      <c r="D335" s="19" t="s">
        <v>10786</v>
      </c>
      <c r="E335" s="15" t="str">
        <f>HYPERLINK("https://stat100.ameba.jp/tnk47/ratio20/illustrations/card/ill_67473_yoigokochikingyonota03.jpg?201911-3-RELEASE-dice-e-439x", "■")</f>
        <v>■</v>
      </c>
      <c r="F335" s="7" t="s">
        <v>8111</v>
      </c>
      <c r="G335" s="7">
        <v>67210</v>
      </c>
      <c r="H335" s="7">
        <v>74100</v>
      </c>
      <c r="I335" s="7">
        <v>25</v>
      </c>
      <c r="J335" s="7" t="s">
        <v>8059</v>
      </c>
      <c r="K335" s="7" t="s">
        <v>8110</v>
      </c>
      <c r="L335" s="7" t="s">
        <v>8109</v>
      </c>
      <c r="M335" s="1" t="s">
        <v>9158</v>
      </c>
      <c r="N335" s="1" t="s">
        <v>9158</v>
      </c>
      <c r="O335" s="1" t="s">
        <v>9158</v>
      </c>
      <c r="P335" s="1" t="s">
        <v>9158</v>
      </c>
      <c r="Q335" s="1" t="s">
        <v>9158</v>
      </c>
    </row>
    <row r="336" spans="1:17">
      <c r="A336" s="7">
        <v>67143</v>
      </c>
      <c r="B336" s="7" t="s">
        <v>8055</v>
      </c>
      <c r="C336" s="7" t="s">
        <v>8066</v>
      </c>
      <c r="D336" s="19" t="s">
        <v>10787</v>
      </c>
      <c r="E336" s="15" t="str">
        <f>HYPERLINK("https://stat100.ameba.jp/tnk47/ratio20/illustrations/card/ill_67143_yukemuritsubofurishi03.jpg?201911-3-RELEASE-dice-e-439x", "■")</f>
        <v>■</v>
      </c>
      <c r="F336" s="7" t="s">
        <v>8104</v>
      </c>
      <c r="G336" s="7">
        <v>74100</v>
      </c>
      <c r="H336" s="7">
        <v>67210</v>
      </c>
      <c r="I336" s="7">
        <v>25</v>
      </c>
      <c r="J336" s="7" t="s">
        <v>8071</v>
      </c>
      <c r="K336" s="7" t="s">
        <v>8105</v>
      </c>
      <c r="L336" s="1" t="s">
        <v>2462</v>
      </c>
      <c r="M336" s="1" t="s">
        <v>9158</v>
      </c>
      <c r="N336" s="1" t="s">
        <v>9158</v>
      </c>
      <c r="O336" s="1" t="s">
        <v>9158</v>
      </c>
      <c r="P336" s="1" t="s">
        <v>9158</v>
      </c>
      <c r="Q336" s="1" t="s">
        <v>9158</v>
      </c>
    </row>
    <row r="337" spans="1:17">
      <c r="E337" s="7"/>
    </row>
    <row r="338" spans="1:17">
      <c r="A338" s="7" t="s">
        <v>8130</v>
      </c>
      <c r="E338" s="7"/>
    </row>
    <row r="339" spans="1:17">
      <c r="A339" s="7" t="s">
        <v>8131</v>
      </c>
      <c r="E339" s="7"/>
    </row>
    <row r="340" spans="1:17">
      <c r="A340" s="1" t="s">
        <v>5614</v>
      </c>
      <c r="B340" s="1" t="s">
        <v>330</v>
      </c>
      <c r="C340" s="1" t="s">
        <v>267</v>
      </c>
      <c r="D340" s="19" t="s">
        <v>313</v>
      </c>
      <c r="E340" s="15" t="str">
        <f>HYPERLINK("https://stat100.ameba.jp/tnk47/ratio20/illustrations/card/ill_56223_0_onsempanikkugohime03.jpg?201911-3-RELEASE-dice-e-439x", "■")</f>
        <v>■</v>
      </c>
      <c r="F340" s="1" t="s">
        <v>314</v>
      </c>
      <c r="G340" s="1">
        <v>128358</v>
      </c>
      <c r="H340" s="1">
        <v>144494</v>
      </c>
      <c r="I340" s="1">
        <v>23</v>
      </c>
      <c r="J340" s="1" t="s">
        <v>315</v>
      </c>
      <c r="K340" s="1" t="s">
        <v>316</v>
      </c>
      <c r="L340" s="1" t="s">
        <v>317</v>
      </c>
      <c r="M340" s="1" t="s">
        <v>9158</v>
      </c>
      <c r="N340" s="1" t="s">
        <v>9158</v>
      </c>
      <c r="O340" s="19" t="s">
        <v>3021</v>
      </c>
      <c r="P340" s="1" t="s">
        <v>2890</v>
      </c>
      <c r="Q340" s="1">
        <v>1</v>
      </c>
    </row>
    <row r="341" spans="1:17">
      <c r="A341" s="1" t="s">
        <v>5719</v>
      </c>
      <c r="B341" s="1" t="s">
        <v>52</v>
      </c>
      <c r="C341" s="1" t="s">
        <v>165</v>
      </c>
      <c r="D341" s="19" t="s">
        <v>10379</v>
      </c>
      <c r="E341" s="15" t="str">
        <f>HYPERLINK("https://stat100.ameba.jp/tnk47/ratio20/illustrations/card/ill_54523_0_yonshunennionohime03.jpg?201911-3-RELEASE-dice-e-439x", "■")</f>
        <v>■</v>
      </c>
      <c r="F341" s="1" t="s">
        <v>1773</v>
      </c>
      <c r="G341" s="1">
        <v>128358</v>
      </c>
      <c r="H341" s="1">
        <v>144494</v>
      </c>
      <c r="I341" s="1">
        <v>23</v>
      </c>
      <c r="J341" s="1" t="s">
        <v>38</v>
      </c>
      <c r="K341" s="1" t="s">
        <v>1774</v>
      </c>
      <c r="L341" s="1" t="s">
        <v>1775</v>
      </c>
      <c r="M341" s="1" t="s">
        <v>9158</v>
      </c>
      <c r="N341" s="1" t="s">
        <v>9158</v>
      </c>
      <c r="O341" s="19" t="s">
        <v>10094</v>
      </c>
      <c r="P341" s="1" t="s">
        <v>13168</v>
      </c>
      <c r="Q341" s="1">
        <v>1</v>
      </c>
    </row>
    <row r="342" spans="1:17">
      <c r="A342" s="1" t="s">
        <v>5820</v>
      </c>
      <c r="B342" s="1" t="s">
        <v>330</v>
      </c>
      <c r="C342" s="1" t="s">
        <v>200</v>
      </c>
      <c r="D342" s="19" t="s">
        <v>630</v>
      </c>
      <c r="E342" s="15" t="str">
        <f>HYPERLINK("https://stat100.ameba.jp/tnk47/ratio20/illustrations/card/ill_48283_0_kyuubitamamonomae03.jpg?201911-3-RELEASE-dice-e-439x", "■")</f>
        <v>■</v>
      </c>
      <c r="F342" s="1" t="s">
        <v>631</v>
      </c>
      <c r="G342" s="1">
        <v>144494</v>
      </c>
      <c r="H342" s="1">
        <v>128358</v>
      </c>
      <c r="I342" s="1">
        <v>23</v>
      </c>
      <c r="J342" s="1" t="s">
        <v>320</v>
      </c>
      <c r="K342" s="1" t="s">
        <v>632</v>
      </c>
      <c r="L342" s="1" t="s">
        <v>633</v>
      </c>
      <c r="M342" s="1" t="s">
        <v>9158</v>
      </c>
      <c r="N342" s="1" t="s">
        <v>9158</v>
      </c>
      <c r="O342" s="1" t="s">
        <v>9158</v>
      </c>
      <c r="P342" s="1" t="s">
        <v>9158</v>
      </c>
      <c r="Q342" s="1" t="s">
        <v>9158</v>
      </c>
    </row>
    <row r="343" spans="1:17">
      <c r="A343" s="7">
        <v>85173</v>
      </c>
      <c r="B343" s="7" t="s">
        <v>0</v>
      </c>
      <c r="C343" s="7" t="s">
        <v>206</v>
      </c>
      <c r="D343" s="19" t="s">
        <v>10772</v>
      </c>
      <c r="E343" s="15" t="str">
        <f>HYPERLINK("https://stat100.ameba.jp/tnk47/ratio20/illustrations/card/ill_85173_kimononohiikinaridangochan03.jpg?201911-3-RELEASE-dice-e-439x", "■")</f>
        <v>■</v>
      </c>
      <c r="F343" s="7" t="s">
        <v>8022</v>
      </c>
      <c r="G343" s="7">
        <v>142674</v>
      </c>
      <c r="H343" s="7">
        <v>132658</v>
      </c>
      <c r="I343" s="7">
        <v>24</v>
      </c>
      <c r="J343" s="7" t="s">
        <v>216</v>
      </c>
      <c r="K343" s="7" t="s">
        <v>8021</v>
      </c>
      <c r="L343" s="7" t="s">
        <v>1029</v>
      </c>
      <c r="M343" s="1" t="s">
        <v>9158</v>
      </c>
      <c r="N343" s="1" t="s">
        <v>9158</v>
      </c>
      <c r="O343" s="1" t="s">
        <v>9158</v>
      </c>
      <c r="P343" s="1" t="s">
        <v>9158</v>
      </c>
      <c r="Q343" s="1" t="s">
        <v>9158</v>
      </c>
    </row>
    <row r="344" spans="1:17">
      <c r="A344" s="7">
        <v>85193</v>
      </c>
      <c r="B344" s="7" t="s">
        <v>15</v>
      </c>
      <c r="C344" s="7" t="s">
        <v>191</v>
      </c>
      <c r="D344" s="19" t="s">
        <v>10774</v>
      </c>
      <c r="E344" s="15" t="str">
        <f>HYPERLINK("https://stat100.ameba.jp/tnk47/ratio20/illustrations/card/ill_85193_furisodekuroyuridensetsu03.jpg?201911-3-RELEASE-dice-e-439x", "■")</f>
        <v>■</v>
      </c>
      <c r="F344" s="7" t="s">
        <v>8028</v>
      </c>
      <c r="G344" s="7">
        <v>65208</v>
      </c>
      <c r="H344" s="7">
        <v>59144</v>
      </c>
      <c r="I344" s="7">
        <v>22</v>
      </c>
      <c r="J344" s="7" t="s">
        <v>155</v>
      </c>
      <c r="K344" s="7" t="s">
        <v>8027</v>
      </c>
      <c r="L344" s="7" t="s">
        <v>3267</v>
      </c>
      <c r="M344" s="1" t="s">
        <v>9158</v>
      </c>
      <c r="N344" s="1" t="s">
        <v>9158</v>
      </c>
      <c r="O344" s="1" t="s">
        <v>9158</v>
      </c>
      <c r="P344" s="1" t="s">
        <v>9158</v>
      </c>
      <c r="Q344" s="1" t="s">
        <v>9158</v>
      </c>
    </row>
    <row r="345" spans="1:17">
      <c r="A345" s="7">
        <v>85203</v>
      </c>
      <c r="B345" s="7" t="s">
        <v>22</v>
      </c>
      <c r="C345" s="7" t="s">
        <v>165</v>
      </c>
      <c r="D345" s="19" t="s">
        <v>10775</v>
      </c>
      <c r="E345" s="15" t="str">
        <f>HYPERLINK("https://stat100.ameba.jp/tnk47/ratio20/illustrations/card/ill_85203_kyobijin03.jpg?201911-3-RELEASE-dice-e-439x", "■")</f>
        <v>■</v>
      </c>
      <c r="F345" s="7" t="s">
        <v>8031</v>
      </c>
      <c r="G345" s="7">
        <v>38032</v>
      </c>
      <c r="H345" s="7">
        <v>45742</v>
      </c>
      <c r="I345" s="7">
        <v>22</v>
      </c>
      <c r="J345" s="7" t="s">
        <v>229</v>
      </c>
      <c r="K345" s="7" t="s">
        <v>8030</v>
      </c>
      <c r="L345" s="7" t="s">
        <v>28</v>
      </c>
      <c r="M345" s="1" t="s">
        <v>9158</v>
      </c>
      <c r="N345" s="1" t="s">
        <v>9158</v>
      </c>
      <c r="O345" s="1" t="s">
        <v>9158</v>
      </c>
      <c r="P345" s="1" t="s">
        <v>9158</v>
      </c>
      <c r="Q345" s="1" t="s">
        <v>9158</v>
      </c>
    </row>
    <row r="346" spans="1:17">
      <c r="A346" s="7">
        <v>85213</v>
      </c>
      <c r="B346" s="7" t="s">
        <v>30</v>
      </c>
      <c r="C346" s="7" t="s">
        <v>2001</v>
      </c>
      <c r="D346" s="19" t="s">
        <v>10776</v>
      </c>
      <c r="E346" s="15" t="str">
        <f>HYPERLINK("https://stat100.ameba.jp/tnk47/ratio20/illustrations/card/ill_85213_jakurenhoshi03.jpg?201911-3-RELEASE-dice-e-439x", "■")</f>
        <v>■</v>
      </c>
      <c r="F346" s="7" t="s">
        <v>8034</v>
      </c>
      <c r="G346" s="7">
        <v>27692</v>
      </c>
      <c r="H346" s="7">
        <v>23258</v>
      </c>
      <c r="I346" s="7">
        <v>22</v>
      </c>
      <c r="J346" s="7" t="s">
        <v>159</v>
      </c>
      <c r="K346" s="7" t="s">
        <v>8033</v>
      </c>
      <c r="L346" s="7" t="s">
        <v>34</v>
      </c>
      <c r="M346" s="1" t="s">
        <v>9158</v>
      </c>
      <c r="N346" s="1" t="s">
        <v>9158</v>
      </c>
      <c r="O346" s="1" t="s">
        <v>9158</v>
      </c>
      <c r="P346" s="1" t="s">
        <v>9158</v>
      </c>
      <c r="Q346" s="1" t="s">
        <v>9158</v>
      </c>
    </row>
    <row r="347" spans="1:17">
      <c r="E347" s="7"/>
    </row>
    <row r="348" spans="1:17">
      <c r="A348" s="7" t="s">
        <v>8132</v>
      </c>
      <c r="E348" s="7"/>
    </row>
    <row r="349" spans="1:17">
      <c r="A349" s="7" t="s">
        <v>8133</v>
      </c>
      <c r="E349" s="7"/>
    </row>
    <row r="350" spans="1:17">
      <c r="A350" s="1" t="s">
        <v>6508</v>
      </c>
      <c r="B350" s="1" t="s">
        <v>330</v>
      </c>
      <c r="C350" s="1" t="s">
        <v>35</v>
      </c>
      <c r="D350" s="19" t="s">
        <v>10168</v>
      </c>
      <c r="E350" s="15" t="str">
        <f>HYPERLINK("https://stat100.ameba.jp/tnk47/ratio20/illustrations/card/ill_81783_0_denshagarukoteipenginchan03.jpg?201911-3-RELEASE-dice-e-439x", "■")</f>
        <v>■</v>
      </c>
      <c r="F350" s="1" t="s">
        <v>4834</v>
      </c>
      <c r="G350" s="1">
        <v>279102</v>
      </c>
      <c r="H350" s="1">
        <v>252236</v>
      </c>
      <c r="I350" s="1">
        <v>24</v>
      </c>
      <c r="J350" s="1" t="s">
        <v>26</v>
      </c>
      <c r="K350" s="1" t="s">
        <v>4836</v>
      </c>
      <c r="L350" s="1" t="s">
        <v>1783</v>
      </c>
      <c r="M350" s="1" t="s">
        <v>9158</v>
      </c>
      <c r="N350" s="1" t="s">
        <v>9158</v>
      </c>
      <c r="O350" s="19" t="s">
        <v>10124</v>
      </c>
      <c r="P350" s="1" t="s">
        <v>4838</v>
      </c>
      <c r="Q350" s="1">
        <v>1</v>
      </c>
    </row>
    <row r="351" spans="1:17">
      <c r="A351" s="1" t="s">
        <v>5605</v>
      </c>
      <c r="B351" s="1" t="s">
        <v>52</v>
      </c>
      <c r="C351" s="1" t="s">
        <v>202</v>
      </c>
      <c r="D351" s="19" t="s">
        <v>10332</v>
      </c>
      <c r="E351" s="15" t="str">
        <f>HYPERLINK("https://stat100.ameba.jp/tnk47/ratio20/illustrations/card/ill_79373_0_hommeichokotennyohime03.jpg?201911-3-RELEASE-dice-e-439x", "■")</f>
        <v>■</v>
      </c>
      <c r="F351" s="1" t="s">
        <v>3495</v>
      </c>
      <c r="G351" s="1">
        <v>296766</v>
      </c>
      <c r="H351" s="1">
        <v>268230</v>
      </c>
      <c r="I351" s="1">
        <v>24</v>
      </c>
      <c r="J351" s="1" t="s">
        <v>104</v>
      </c>
      <c r="K351" s="1" t="s">
        <v>3496</v>
      </c>
      <c r="L351" s="1" t="s">
        <v>3497</v>
      </c>
      <c r="M351" s="1" t="s">
        <v>9158</v>
      </c>
      <c r="N351" s="1" t="s">
        <v>9158</v>
      </c>
      <c r="O351" s="19" t="s">
        <v>10072</v>
      </c>
      <c r="P351" s="1" t="s">
        <v>3498</v>
      </c>
      <c r="Q351" s="1">
        <v>1</v>
      </c>
    </row>
    <row r="352" spans="1:17">
      <c r="A352" s="1">
        <v>83083</v>
      </c>
      <c r="B352" s="1" t="s">
        <v>0</v>
      </c>
      <c r="C352" s="1" t="s">
        <v>209</v>
      </c>
      <c r="D352" s="19" t="s">
        <v>10469</v>
      </c>
      <c r="E352" s="15" t="str">
        <f>HYPERLINK("https://stat100.ameba.jp/tnk47/ratio20/illustrations/card/ill_83083_burakkukingu03.jpg?201911-3-RELEASE-dice-e-439x", "■")</f>
        <v>■</v>
      </c>
      <c r="F352" s="1" t="s">
        <v>6093</v>
      </c>
      <c r="G352" s="1">
        <v>120475</v>
      </c>
      <c r="H352" s="1">
        <v>166328</v>
      </c>
      <c r="I352" s="1">
        <v>25</v>
      </c>
      <c r="J352" s="1" t="s">
        <v>194</v>
      </c>
      <c r="K352" s="1" t="s">
        <v>6095</v>
      </c>
      <c r="L352" s="1" t="s">
        <v>1148</v>
      </c>
      <c r="M352" s="1" t="s">
        <v>9158</v>
      </c>
      <c r="N352" s="1" t="s">
        <v>9158</v>
      </c>
      <c r="O352" s="19" t="s">
        <v>10117</v>
      </c>
      <c r="P352" s="1" t="s">
        <v>3625</v>
      </c>
      <c r="Q352" s="1">
        <v>1</v>
      </c>
    </row>
    <row r="353" spans="1:17">
      <c r="A353" s="1">
        <v>80173</v>
      </c>
      <c r="B353" s="1" t="s">
        <v>334</v>
      </c>
      <c r="C353" s="1" t="s">
        <v>47</v>
      </c>
      <c r="D353" s="19" t="s">
        <v>10390</v>
      </c>
      <c r="E353" s="15" t="str">
        <f>HYPERLINK("https://stat100.ameba.jp/tnk47/ratio20/illustrations/card/ill_80173_jusomedeia03.jpg?201911-3-RELEASE-dice-e-439x", "■")</f>
        <v>■</v>
      </c>
      <c r="F353" s="1" t="s">
        <v>3914</v>
      </c>
      <c r="G353" s="1">
        <v>95703</v>
      </c>
      <c r="H353" s="1">
        <v>132144</v>
      </c>
      <c r="I353" s="1">
        <v>25</v>
      </c>
      <c r="J353" s="1" t="s">
        <v>73</v>
      </c>
      <c r="K353" s="1" t="s">
        <v>3915</v>
      </c>
      <c r="L353" s="1" t="s">
        <v>1033</v>
      </c>
      <c r="M353" s="1" t="s">
        <v>9158</v>
      </c>
      <c r="N353" s="1" t="s">
        <v>9158</v>
      </c>
      <c r="O353" s="19" t="s">
        <v>10074</v>
      </c>
      <c r="P353" s="1" t="s">
        <v>3592</v>
      </c>
      <c r="Q353" s="1">
        <v>1</v>
      </c>
    </row>
    <row r="354" spans="1:17">
      <c r="A354" s="1">
        <v>75093</v>
      </c>
      <c r="B354" s="1" t="s">
        <v>334</v>
      </c>
      <c r="C354" s="1" t="s">
        <v>158</v>
      </c>
      <c r="D354" s="19" t="s">
        <v>10403</v>
      </c>
      <c r="E354" s="15" t="str">
        <f>HYPERLINK("https://stat100.ameba.jp/tnk47/ratio20/illustrations/card/ill_75093_hangonko03.jpg?201911-3-RELEASE-dice-e-439x", "■")</f>
        <v>■</v>
      </c>
      <c r="F354" s="1" t="s">
        <v>2614</v>
      </c>
      <c r="G354" s="1">
        <v>132144</v>
      </c>
      <c r="H354" s="1">
        <v>95703</v>
      </c>
      <c r="I354" s="1">
        <v>25</v>
      </c>
      <c r="J354" s="1" t="s">
        <v>44</v>
      </c>
      <c r="K354" s="1" t="s">
        <v>2615</v>
      </c>
      <c r="L354" s="1" t="s">
        <v>1108</v>
      </c>
      <c r="M354" s="1" t="s">
        <v>9158</v>
      </c>
      <c r="N354" s="1" t="s">
        <v>9158</v>
      </c>
      <c r="O354" s="19" t="s">
        <v>2951</v>
      </c>
      <c r="P354" s="1" t="s">
        <v>13122</v>
      </c>
      <c r="Q354" s="1">
        <v>1</v>
      </c>
    </row>
    <row r="355" spans="1:17">
      <c r="A355" s="1">
        <v>60183</v>
      </c>
      <c r="B355" s="1" t="s">
        <v>334</v>
      </c>
      <c r="C355" s="1" t="s">
        <v>209</v>
      </c>
      <c r="D355" s="19" t="s">
        <v>444</v>
      </c>
      <c r="E355" s="15" t="str">
        <f>HYPERLINK("https://stat100.ameba.jp/tnk47/ratio20/illustrations/card/ill_60183_aizuyaichi03.jpg?201911-3-RELEASE-dice-e-439x", "■")</f>
        <v>■</v>
      </c>
      <c r="F355" s="1" t="s">
        <v>1035</v>
      </c>
      <c r="G355" s="1">
        <v>82205</v>
      </c>
      <c r="H355" s="1">
        <v>113463</v>
      </c>
      <c r="I355" s="1">
        <v>25</v>
      </c>
      <c r="J355" s="1" t="s">
        <v>16</v>
      </c>
      <c r="K355" s="1" t="s">
        <v>1036</v>
      </c>
      <c r="L355" s="1" t="s">
        <v>1037</v>
      </c>
      <c r="M355" s="1" t="s">
        <v>9158</v>
      </c>
      <c r="N355" s="1" t="s">
        <v>9158</v>
      </c>
      <c r="O355" s="1" t="s">
        <v>9158</v>
      </c>
      <c r="P355" s="1" t="s">
        <v>9158</v>
      </c>
      <c r="Q355" s="1" t="s">
        <v>9158</v>
      </c>
    </row>
    <row r="356" spans="1:17">
      <c r="A356" s="1">
        <v>64873</v>
      </c>
      <c r="B356" s="1" t="s">
        <v>334</v>
      </c>
      <c r="C356" s="1" t="s">
        <v>203</v>
      </c>
      <c r="D356" s="19" t="s">
        <v>2840</v>
      </c>
      <c r="E356" s="15" t="str">
        <f>HYPERLINK("https://stat100.ameba.jp/tnk47/ratio20/illustrations/card/ill_64873_sessofujin03.jpg?201911-3-RELEASE-dice-e-439x", "■")</f>
        <v>■</v>
      </c>
      <c r="F356" s="1" t="s">
        <v>2841</v>
      </c>
      <c r="G356" s="1">
        <v>63320</v>
      </c>
      <c r="H356" s="1">
        <v>87408</v>
      </c>
      <c r="I356" s="1">
        <v>20</v>
      </c>
      <c r="J356" s="1" t="s">
        <v>315</v>
      </c>
      <c r="K356" s="1" t="s">
        <v>2842</v>
      </c>
      <c r="L356" s="1" t="s">
        <v>2843</v>
      </c>
      <c r="M356" s="1" t="s">
        <v>9158</v>
      </c>
      <c r="N356" s="1" t="s">
        <v>9158</v>
      </c>
      <c r="O356" s="1" t="s">
        <v>9158</v>
      </c>
      <c r="P356" s="1" t="s">
        <v>9158</v>
      </c>
      <c r="Q356" s="1" t="s">
        <v>9158</v>
      </c>
    </row>
    <row r="357" spans="1:17">
      <c r="A357" s="1">
        <v>61353</v>
      </c>
      <c r="B357" s="1" t="s">
        <v>334</v>
      </c>
      <c r="C357" s="1" t="s">
        <v>203</v>
      </c>
      <c r="D357" s="19" t="s">
        <v>10417</v>
      </c>
      <c r="E357" s="15" t="str">
        <f>HYPERLINK("https://stat100.ameba.jp/tnk47/ratio20/illustrations/card/ill_61353_shinkidohimiko03.jpg?201911-3-RELEASE-dice-e-439x", "■")</f>
        <v>■</v>
      </c>
      <c r="F357" s="1" t="s">
        <v>1200</v>
      </c>
      <c r="G357" s="1">
        <v>87408</v>
      </c>
      <c r="H357" s="1">
        <v>63320</v>
      </c>
      <c r="I357" s="1">
        <v>20</v>
      </c>
      <c r="J357" s="1" t="s">
        <v>10</v>
      </c>
      <c r="K357" s="1" t="s">
        <v>1201</v>
      </c>
      <c r="L357" s="1" t="s">
        <v>1202</v>
      </c>
      <c r="M357" s="1" t="s">
        <v>9158</v>
      </c>
      <c r="N357" s="1" t="s">
        <v>9158</v>
      </c>
      <c r="O357" s="1" t="s">
        <v>9158</v>
      </c>
      <c r="P357" s="1" t="s">
        <v>9158</v>
      </c>
      <c r="Q357" s="1" t="s">
        <v>9158</v>
      </c>
    </row>
    <row r="358" spans="1:17">
      <c r="E358" s="7"/>
    </row>
    <row r="359" spans="1:17">
      <c r="A359" s="7" t="s">
        <v>8135</v>
      </c>
      <c r="E359" s="7"/>
    </row>
    <row r="360" spans="1:17">
      <c r="A360" s="7" t="s">
        <v>8134</v>
      </c>
      <c r="E360" s="7"/>
    </row>
    <row r="361" spans="1:17">
      <c r="A361" s="1" t="s">
        <v>5615</v>
      </c>
      <c r="B361" s="1" t="s">
        <v>330</v>
      </c>
      <c r="C361" s="1" t="s">
        <v>206</v>
      </c>
      <c r="D361" s="19" t="s">
        <v>2814</v>
      </c>
      <c r="E361" s="15" t="str">
        <f>HYPERLINK("https://stat100.ameba.jp/tnk47/ratio20/illustrations/card/ill_57733_0_shogatsunisenjunanaamakusashiro03.jpg?201911-3-RELEASE-dice-e-439x", "■")</f>
        <v>■</v>
      </c>
      <c r="F361" s="1" t="s">
        <v>2815</v>
      </c>
      <c r="G361" s="1">
        <v>83712</v>
      </c>
      <c r="H361" s="1">
        <v>94236</v>
      </c>
      <c r="I361" s="1">
        <v>15</v>
      </c>
      <c r="J361" s="1" t="s">
        <v>351</v>
      </c>
      <c r="K361" s="1" t="s">
        <v>2816</v>
      </c>
      <c r="L361" s="1" t="s">
        <v>2817</v>
      </c>
      <c r="M361" s="1" t="s">
        <v>9158</v>
      </c>
      <c r="N361" s="1" t="s">
        <v>9158</v>
      </c>
      <c r="O361" s="19" t="s">
        <v>10077</v>
      </c>
      <c r="P361" s="1" t="s">
        <v>3062</v>
      </c>
      <c r="Q361" s="1">
        <v>1</v>
      </c>
    </row>
    <row r="362" spans="1:17">
      <c r="A362" s="1" t="s">
        <v>5891</v>
      </c>
      <c r="B362" s="1" t="s">
        <v>330</v>
      </c>
      <c r="C362" s="1" t="s">
        <v>202</v>
      </c>
      <c r="D362" s="19" t="s">
        <v>1371</v>
      </c>
      <c r="E362" s="15" t="str">
        <f>HYPERLINK("https://stat100.ameba.jp/tnk47/ratio20/illustrations/card/ill_77173_0_yukemuritomoegozen03.jpg?201911-3-RELEASE-dice-e-439x", "■")</f>
        <v>■</v>
      </c>
      <c r="F362" s="1" t="s">
        <v>1372</v>
      </c>
      <c r="G362" s="1">
        <v>150366</v>
      </c>
      <c r="H362" s="1">
        <v>166369</v>
      </c>
      <c r="I362" s="1">
        <v>15</v>
      </c>
      <c r="J362" s="1" t="s">
        <v>310</v>
      </c>
      <c r="K362" s="1" t="s">
        <v>1373</v>
      </c>
      <c r="L362" s="1" t="s">
        <v>1374</v>
      </c>
      <c r="M362" s="1" t="s">
        <v>9158</v>
      </c>
      <c r="N362" s="1" t="s">
        <v>9158</v>
      </c>
      <c r="O362" s="19" t="s">
        <v>4067</v>
      </c>
      <c r="P362" s="1" t="s">
        <v>3879</v>
      </c>
      <c r="Q362" s="1">
        <v>2</v>
      </c>
    </row>
    <row r="363" spans="1:17">
      <c r="A363" s="1" t="s">
        <v>5616</v>
      </c>
      <c r="B363" s="1" t="s">
        <v>52</v>
      </c>
      <c r="C363" s="1" t="s">
        <v>14</v>
      </c>
      <c r="D363" s="19" t="s">
        <v>638</v>
      </c>
      <c r="E363" s="15" t="str">
        <f>HYPERLINK("https://stat100.ameba.jp/tnk47/ratio20/illustrations/card/ill_44253_0_dokuganryudatemasamune03.jpg?201911-3-RELEASE-dice-e-439x", "■")</f>
        <v>■</v>
      </c>
      <c r="F363" s="1" t="s">
        <v>1181</v>
      </c>
      <c r="G363" s="1">
        <v>82212</v>
      </c>
      <c r="H363" s="1">
        <v>87780</v>
      </c>
      <c r="I363" s="1">
        <v>15</v>
      </c>
      <c r="J363" s="1" t="s">
        <v>143</v>
      </c>
      <c r="K363" s="1" t="s">
        <v>1182</v>
      </c>
      <c r="L363" s="1" t="s">
        <v>1183</v>
      </c>
      <c r="M363" s="1" t="s">
        <v>9158</v>
      </c>
      <c r="N363" s="1" t="s">
        <v>9158</v>
      </c>
      <c r="O363" s="1" t="s">
        <v>9158</v>
      </c>
      <c r="P363" s="1" t="s">
        <v>9158</v>
      </c>
      <c r="Q363" s="1" t="s">
        <v>9158</v>
      </c>
    </row>
    <row r="364" spans="1:17">
      <c r="A364" s="1">
        <v>70803</v>
      </c>
      <c r="B364" s="1" t="s">
        <v>334</v>
      </c>
      <c r="C364" s="1" t="s">
        <v>96</v>
      </c>
      <c r="D364" s="19" t="s">
        <v>10341</v>
      </c>
      <c r="E364" s="15" t="str">
        <f>HYPERLINK("https://stat100.ameba.jp/tnk47/ratio20/illustrations/card/ill_70803_awabichan03.jpg?201911-3-RELEASE-dice-e-439x", "■")</f>
        <v>■</v>
      </c>
      <c r="F364" s="1" t="s">
        <v>8144</v>
      </c>
      <c r="G364" s="1">
        <v>67636</v>
      </c>
      <c r="H364" s="1">
        <v>120204</v>
      </c>
      <c r="I364" s="1">
        <v>24</v>
      </c>
      <c r="J364" s="1" t="s">
        <v>104</v>
      </c>
      <c r="K364" s="1" t="s">
        <v>8143</v>
      </c>
      <c r="L364" s="1" t="s">
        <v>8142</v>
      </c>
      <c r="M364" s="1" t="s">
        <v>9158</v>
      </c>
      <c r="N364" s="1" t="s">
        <v>9158</v>
      </c>
      <c r="O364" s="1" t="s">
        <v>9158</v>
      </c>
      <c r="P364" s="1" t="s">
        <v>9158</v>
      </c>
      <c r="Q364" s="1" t="s">
        <v>9158</v>
      </c>
    </row>
    <row r="365" spans="1:17">
      <c r="A365" s="7">
        <v>68393</v>
      </c>
      <c r="B365" s="1" t="s">
        <v>334</v>
      </c>
      <c r="C365" s="1" t="s">
        <v>307</v>
      </c>
      <c r="D365" s="19" t="s">
        <v>10197</v>
      </c>
      <c r="E365" s="15" t="str">
        <f>HYPERLINK("https://stat100.ameba.jp/tnk47/ratio20/illustrations/card/ill_68393_soseikinokain03.jpg?201911-3-RELEASE-dice-e-439x", "■")</f>
        <v>■</v>
      </c>
      <c r="F365" s="1" t="s">
        <v>8141</v>
      </c>
      <c r="G365" s="1">
        <v>76052</v>
      </c>
      <c r="H365" s="1">
        <v>135132</v>
      </c>
      <c r="I365" s="1">
        <v>24</v>
      </c>
      <c r="J365" s="7" t="s">
        <v>155</v>
      </c>
      <c r="K365" s="1" t="s">
        <v>8140</v>
      </c>
      <c r="L365" s="1" t="s">
        <v>8139</v>
      </c>
      <c r="M365" s="1" t="s">
        <v>9158</v>
      </c>
      <c r="N365" s="1" t="s">
        <v>9158</v>
      </c>
      <c r="O365" s="1" t="s">
        <v>9158</v>
      </c>
      <c r="P365" s="1" t="s">
        <v>9158</v>
      </c>
      <c r="Q365" s="1" t="s">
        <v>9158</v>
      </c>
    </row>
    <row r="366" spans="1:17">
      <c r="A366" s="1">
        <v>79093</v>
      </c>
      <c r="B366" s="1" t="s">
        <v>334</v>
      </c>
      <c r="C366" s="1" t="s">
        <v>206</v>
      </c>
      <c r="D366" s="19" t="s">
        <v>10352</v>
      </c>
      <c r="E366" s="15" t="str">
        <f>HYPERLINK("https://stat100.ameba.jp/tnk47/ratio20/illustrations/card/ill_79093_shinnenongakukaihakatabijin03.jpg?201911-3-RELEASE-dice-e-439x", "■")</f>
        <v>■</v>
      </c>
      <c r="F366" s="1" t="s">
        <v>8138</v>
      </c>
      <c r="G366" s="1">
        <v>101656</v>
      </c>
      <c r="H366" s="1">
        <v>109334</v>
      </c>
      <c r="I366" s="1">
        <v>24</v>
      </c>
      <c r="J366" s="1" t="s">
        <v>26</v>
      </c>
      <c r="K366" s="1" t="s">
        <v>8137</v>
      </c>
      <c r="L366" s="1" t="s">
        <v>8136</v>
      </c>
      <c r="M366" s="1" t="s">
        <v>9158</v>
      </c>
      <c r="N366" s="1" t="s">
        <v>9158</v>
      </c>
      <c r="O366" s="1" t="s">
        <v>9158</v>
      </c>
      <c r="P366" s="1" t="s">
        <v>9158</v>
      </c>
      <c r="Q366" s="1" t="s">
        <v>9158</v>
      </c>
    </row>
    <row r="367" spans="1:17">
      <c r="A367" s="7">
        <v>77253</v>
      </c>
      <c r="B367" s="1" t="s">
        <v>348</v>
      </c>
      <c r="C367" s="1" t="s">
        <v>205</v>
      </c>
      <c r="D367" s="19" t="s">
        <v>1439</v>
      </c>
      <c r="E367" s="15" t="str">
        <f>HYPERLINK("https://stat100.ameba.jp/tnk47/ratio20/illustrations/card/ill_77253_korakuoribuchan03.jpg?201911-3-RELEASE-dice-e-439x", "■")</f>
        <v>■</v>
      </c>
      <c r="F367" s="1" t="s">
        <v>1440</v>
      </c>
      <c r="G367" s="1">
        <v>53768</v>
      </c>
      <c r="H367" s="1">
        <v>59280</v>
      </c>
      <c r="I367" s="1">
        <v>20</v>
      </c>
      <c r="J367" s="1" t="s">
        <v>283</v>
      </c>
      <c r="K367" s="1" t="s">
        <v>1441</v>
      </c>
      <c r="L367" s="1" t="s">
        <v>1442</v>
      </c>
      <c r="M367" s="1" t="s">
        <v>9158</v>
      </c>
      <c r="N367" s="1" t="s">
        <v>9158</v>
      </c>
      <c r="O367" s="1" t="s">
        <v>9158</v>
      </c>
      <c r="P367" s="1" t="s">
        <v>9158</v>
      </c>
      <c r="Q367" s="1" t="s">
        <v>9158</v>
      </c>
    </row>
    <row r="368" spans="1:17">
      <c r="A368" s="7">
        <v>80363</v>
      </c>
      <c r="B368" s="1" t="s">
        <v>15</v>
      </c>
      <c r="C368" s="1" t="s">
        <v>23</v>
      </c>
      <c r="D368" s="19" t="s">
        <v>4126</v>
      </c>
      <c r="E368" s="15" t="str">
        <f>HYPERLINK("https://stat100.ameba.jp/tnk47/ratio20/illustrations/card/ill_80363_hondatadakatsu03.jpg?201911-3-RELEASE-dice-e-439x", "■")</f>
        <v>■</v>
      </c>
      <c r="F368" s="1" t="s">
        <v>4098</v>
      </c>
      <c r="G368" s="1">
        <v>53768</v>
      </c>
      <c r="H368" s="1">
        <v>59280</v>
      </c>
      <c r="I368" s="1">
        <v>20</v>
      </c>
      <c r="J368" s="1" t="s">
        <v>143</v>
      </c>
      <c r="K368" s="1" t="s">
        <v>4099</v>
      </c>
      <c r="L368" s="1" t="s">
        <v>3326</v>
      </c>
      <c r="M368" s="1" t="s">
        <v>9158</v>
      </c>
      <c r="N368" s="1" t="s">
        <v>9158</v>
      </c>
      <c r="O368" s="1" t="s">
        <v>9158</v>
      </c>
      <c r="P368" s="1" t="s">
        <v>9158</v>
      </c>
      <c r="Q368" s="1" t="s">
        <v>9158</v>
      </c>
    </row>
    <row r="369" spans="1:17">
      <c r="A369" s="7">
        <v>65783</v>
      </c>
      <c r="B369" s="1" t="s">
        <v>15</v>
      </c>
      <c r="C369" s="1" t="s">
        <v>185</v>
      </c>
      <c r="D369" s="19" t="s">
        <v>10757</v>
      </c>
      <c r="E369" s="15" t="str">
        <f>HYPERLINK("https://stat100.ameba.jp/tnk47/ratio20/illustrations/card/ill_65783_sankichioni03.jpg?201911-3-RELEASE-dice-e-439x", "■")</f>
        <v>■</v>
      </c>
      <c r="F369" s="1" t="s">
        <v>3965</v>
      </c>
      <c r="G369" s="1">
        <v>53768</v>
      </c>
      <c r="H369" s="1">
        <v>59280</v>
      </c>
      <c r="I369" s="1">
        <v>20</v>
      </c>
      <c r="J369" s="1" t="s">
        <v>73</v>
      </c>
      <c r="K369" s="1" t="s">
        <v>3966</v>
      </c>
      <c r="L369" s="1" t="s">
        <v>1706</v>
      </c>
      <c r="M369" s="1" t="s">
        <v>9158</v>
      </c>
      <c r="N369" s="1" t="s">
        <v>9158</v>
      </c>
      <c r="O369" s="1" t="s">
        <v>9158</v>
      </c>
      <c r="P369" s="1" t="s">
        <v>9158</v>
      </c>
      <c r="Q369" s="1" t="s">
        <v>9158</v>
      </c>
    </row>
    <row r="370" spans="1:17">
      <c r="E370" s="7"/>
    </row>
    <row r="371" spans="1:17">
      <c r="A371" s="7" t="s">
        <v>8145</v>
      </c>
      <c r="E371" s="7"/>
    </row>
    <row r="372" spans="1:17">
      <c r="A372" s="7" t="s">
        <v>8146</v>
      </c>
      <c r="E372" s="7"/>
    </row>
    <row r="373" spans="1:17">
      <c r="A373" s="1" t="s">
        <v>5601</v>
      </c>
      <c r="B373" s="1" t="s">
        <v>330</v>
      </c>
      <c r="C373" s="1" t="s">
        <v>35</v>
      </c>
      <c r="D373" s="19" t="s">
        <v>10318</v>
      </c>
      <c r="E373" s="15" t="str">
        <f>HYPERLINK("https://stat100.ameba.jp/tnk47/ratio20/illustrations/card/ill_82423_0_bikinigarukishi03.jpg?201911-4-RELEASE-guildbattle-440", "■")</f>
        <v>■</v>
      </c>
      <c r="F373" s="1" t="s">
        <v>5391</v>
      </c>
      <c r="G373" s="1">
        <v>290598</v>
      </c>
      <c r="H373" s="1">
        <v>262648</v>
      </c>
      <c r="I373" s="1">
        <v>24</v>
      </c>
      <c r="J373" s="1" t="s">
        <v>77</v>
      </c>
      <c r="K373" s="1" t="s">
        <v>5392</v>
      </c>
      <c r="L373" s="1" t="s">
        <v>5393</v>
      </c>
      <c r="M373" s="1" t="s">
        <v>9158</v>
      </c>
      <c r="N373" s="1" t="s">
        <v>9158</v>
      </c>
      <c r="O373" s="19" t="s">
        <v>10069</v>
      </c>
      <c r="P373" s="1" t="s">
        <v>5394</v>
      </c>
      <c r="Q373" s="1">
        <v>1</v>
      </c>
    </row>
    <row r="374" spans="1:17">
      <c r="A374" s="1">
        <v>83393</v>
      </c>
      <c r="B374" s="1" t="s">
        <v>334</v>
      </c>
      <c r="C374" s="1" t="s">
        <v>209</v>
      </c>
      <c r="D374" s="19" t="s">
        <v>10381</v>
      </c>
      <c r="E374" s="15" t="str">
        <f>HYPERLINK("https://stat100.ameba.jp/tnk47/ratio20/illustrations/card/ill_83393_rito03.jpg?201911-4-RELEASE-guildbattle-440", "■")</f>
        <v>■</v>
      </c>
      <c r="F374" s="1" t="s">
        <v>5735</v>
      </c>
      <c r="G374" s="1">
        <v>122476</v>
      </c>
      <c r="H374" s="1">
        <v>88706</v>
      </c>
      <c r="I374" s="1">
        <v>24</v>
      </c>
      <c r="J374" s="1" t="s">
        <v>38</v>
      </c>
      <c r="K374" s="1" t="s">
        <v>5738</v>
      </c>
      <c r="L374" s="1" t="s">
        <v>5400</v>
      </c>
      <c r="M374" s="1" t="s">
        <v>9158</v>
      </c>
      <c r="N374" s="1" t="s">
        <v>9158</v>
      </c>
      <c r="O374" s="19" t="s">
        <v>10098</v>
      </c>
      <c r="P374" s="1" t="s">
        <v>3491</v>
      </c>
      <c r="Q374" s="1">
        <v>1</v>
      </c>
    </row>
    <row r="375" spans="1:17">
      <c r="A375" s="1">
        <v>78143</v>
      </c>
      <c r="B375" s="1" t="s">
        <v>334</v>
      </c>
      <c r="C375" s="1" t="s">
        <v>203</v>
      </c>
      <c r="D375" s="19" t="s">
        <v>10285</v>
      </c>
      <c r="E375" s="15" t="str">
        <f>HYPERLINK("https://stat100.ameba.jp/tnk47/ratio20/illustrations/card/ill_78143_kanibarukuin03.jpg?201911-4-RELEASE-guildbattle-440", "■")</f>
        <v>■</v>
      </c>
      <c r="F375" s="1" t="s">
        <v>2687</v>
      </c>
      <c r="G375" s="1">
        <v>88624</v>
      </c>
      <c r="H375" s="1">
        <v>122366</v>
      </c>
      <c r="I375" s="1">
        <v>24</v>
      </c>
      <c r="J375" s="1" t="s">
        <v>26</v>
      </c>
      <c r="K375" s="1" t="s">
        <v>2688</v>
      </c>
      <c r="L375" s="1" t="s">
        <v>2137</v>
      </c>
      <c r="M375" s="1" t="s">
        <v>9158</v>
      </c>
      <c r="N375" s="1" t="s">
        <v>9158</v>
      </c>
      <c r="O375" s="19" t="s">
        <v>10103</v>
      </c>
      <c r="P375" s="1" t="s">
        <v>3897</v>
      </c>
      <c r="Q375" s="1">
        <v>1</v>
      </c>
    </row>
    <row r="376" spans="1:17">
      <c r="A376" s="1">
        <v>67103</v>
      </c>
      <c r="B376" s="1" t="s">
        <v>334</v>
      </c>
      <c r="C376" s="1" t="s">
        <v>154</v>
      </c>
      <c r="D376" s="19" t="s">
        <v>10253</v>
      </c>
      <c r="E376" s="15" t="str">
        <f>HYPERLINK("https://stat100.ameba.jp/tnk47/ratio20/illustrations/card/ill_67103_ankonabe03.jpg?201911-4-RELEASE-guildbattle-440", "■")</f>
        <v>■</v>
      </c>
      <c r="F376" s="1" t="s">
        <v>1283</v>
      </c>
      <c r="G376" s="1">
        <v>91876</v>
      </c>
      <c r="H376" s="1">
        <v>126858</v>
      </c>
      <c r="I376" s="1">
        <v>24</v>
      </c>
      <c r="J376" s="1" t="s">
        <v>216</v>
      </c>
      <c r="K376" s="1" t="s">
        <v>1284</v>
      </c>
      <c r="L376" s="1" t="s">
        <v>13153</v>
      </c>
      <c r="M376" s="1" t="s">
        <v>9158</v>
      </c>
      <c r="N376" s="1" t="s">
        <v>9158</v>
      </c>
      <c r="O376" s="19" t="s">
        <v>4074</v>
      </c>
      <c r="P376" s="1" t="s">
        <v>3462</v>
      </c>
      <c r="Q376" s="1">
        <v>1</v>
      </c>
    </row>
    <row r="377" spans="1:17">
      <c r="E377" s="7"/>
    </row>
    <row r="378" spans="1:17">
      <c r="A378" s="7" t="s">
        <v>8148</v>
      </c>
      <c r="E378" s="7"/>
    </row>
    <row r="379" spans="1:17">
      <c r="A379" s="7" t="s">
        <v>8147</v>
      </c>
      <c r="E379" s="7"/>
    </row>
    <row r="380" spans="1:17">
      <c r="A380" s="1" t="s">
        <v>5642</v>
      </c>
      <c r="B380" s="1" t="s">
        <v>52</v>
      </c>
      <c r="C380" s="1" t="s">
        <v>185</v>
      </c>
      <c r="D380" s="19" t="s">
        <v>3086</v>
      </c>
      <c r="E380" s="15" t="str">
        <f>HYPERLINK("https://stat100.ameba.jp/tnk47/ratio20/illustrations/card/ill_69593_0_setsubunyukionna03.jpg?201911-4-RELEASE-guildbattle-440", "■")</f>
        <v>■</v>
      </c>
      <c r="F380" s="1" t="s">
        <v>2431</v>
      </c>
      <c r="G380" s="1">
        <v>157150</v>
      </c>
      <c r="H380" s="1">
        <v>169032</v>
      </c>
      <c r="I380" s="1">
        <v>22</v>
      </c>
      <c r="J380" s="1" t="s">
        <v>73</v>
      </c>
      <c r="K380" s="1" t="s">
        <v>2432</v>
      </c>
      <c r="L380" s="1" t="s">
        <v>2433</v>
      </c>
      <c r="M380" s="1" t="s">
        <v>9158</v>
      </c>
      <c r="N380" s="1" t="s">
        <v>9158</v>
      </c>
      <c r="O380" s="19" t="s">
        <v>3090</v>
      </c>
      <c r="P380" s="1" t="s">
        <v>3600</v>
      </c>
      <c r="Q380" s="1">
        <v>2</v>
      </c>
    </row>
    <row r="381" spans="1:17">
      <c r="A381" s="1">
        <v>64043</v>
      </c>
      <c r="B381" s="1" t="s">
        <v>334</v>
      </c>
      <c r="C381" s="1" t="s">
        <v>209</v>
      </c>
      <c r="D381" s="19" t="s">
        <v>10262</v>
      </c>
      <c r="E381" s="15" t="str">
        <f>HYPERLINK("https://stat100.ameba.jp/tnk47/ratio20/illustrations/card/ill_64043_kegonnotaki03.jpg?201911-4-RELEASE-guildbattle-440", "■")</f>
        <v>■</v>
      </c>
      <c r="F381" s="1" t="s">
        <v>759</v>
      </c>
      <c r="G381" s="1">
        <v>118917</v>
      </c>
      <c r="H381" s="1">
        <v>86140</v>
      </c>
      <c r="I381" s="1">
        <v>25</v>
      </c>
      <c r="J381" s="1" t="s">
        <v>229</v>
      </c>
      <c r="K381" s="1" t="s">
        <v>230</v>
      </c>
      <c r="L381" s="1" t="s">
        <v>13143</v>
      </c>
      <c r="M381" s="1" t="s">
        <v>9158</v>
      </c>
      <c r="N381" s="1" t="s">
        <v>9158</v>
      </c>
      <c r="O381" s="19" t="s">
        <v>10070</v>
      </c>
      <c r="P381" s="1" t="s">
        <v>3579</v>
      </c>
      <c r="Q381" s="1">
        <v>1</v>
      </c>
    </row>
    <row r="382" spans="1:17">
      <c r="A382" s="1">
        <v>75893</v>
      </c>
      <c r="B382" s="1" t="s">
        <v>0</v>
      </c>
      <c r="C382" s="1" t="s">
        <v>158</v>
      </c>
      <c r="D382" s="19" t="s">
        <v>3095</v>
      </c>
      <c r="E382" s="15" t="str">
        <f>HYPERLINK("https://stat100.ameba.jp/tnk47/ratio20/illustrations/card/ill_75893_hamamatsutakuni03.jpg?201911-4-RELEASE-guildbattle-440", "■")</f>
        <v>■</v>
      </c>
      <c r="F382" s="1" t="s">
        <v>3594</v>
      </c>
      <c r="G382" s="1">
        <v>113463</v>
      </c>
      <c r="H382" s="1">
        <v>82205</v>
      </c>
      <c r="I382" s="1">
        <v>25</v>
      </c>
      <c r="J382" s="1" t="s">
        <v>16</v>
      </c>
      <c r="K382" s="1" t="s">
        <v>3595</v>
      </c>
      <c r="L382" s="1" t="s">
        <v>920</v>
      </c>
      <c r="M382" s="1" t="s">
        <v>9158</v>
      </c>
      <c r="N382" s="1" t="s">
        <v>9158</v>
      </c>
      <c r="O382" s="19" t="s">
        <v>3037</v>
      </c>
      <c r="P382" s="1" t="s">
        <v>13128</v>
      </c>
      <c r="Q382" s="1">
        <v>1</v>
      </c>
    </row>
    <row r="383" spans="1:17">
      <c r="A383" s="1">
        <v>72923</v>
      </c>
      <c r="B383" s="1" t="s">
        <v>0</v>
      </c>
      <c r="C383" s="1" t="s">
        <v>206</v>
      </c>
      <c r="D383" s="19" t="s">
        <v>3199</v>
      </c>
      <c r="E383" s="15" t="str">
        <f>HYPERLINK("https://stat100.ameba.jp/tnk47/ratio20/illustrations/card/ill_72923_amenohanayomemyorinni03.jpg?201911-4-RELEASE-guildbattle-440", "■")</f>
        <v>■</v>
      </c>
      <c r="F383" s="1" t="s">
        <v>1837</v>
      </c>
      <c r="G383" s="1">
        <v>138186</v>
      </c>
      <c r="H383" s="1">
        <v>148619</v>
      </c>
      <c r="I383" s="1">
        <v>25</v>
      </c>
      <c r="J383" s="1" t="s">
        <v>194</v>
      </c>
      <c r="K383" s="1" t="s">
        <v>1838</v>
      </c>
      <c r="L383" s="1" t="s">
        <v>13160</v>
      </c>
      <c r="M383" s="1" t="s">
        <v>9158</v>
      </c>
      <c r="N383" s="1" t="s">
        <v>9158</v>
      </c>
      <c r="O383" s="19" t="s">
        <v>2752</v>
      </c>
      <c r="P383" s="1" t="s">
        <v>13123</v>
      </c>
      <c r="Q383" s="1">
        <v>1</v>
      </c>
    </row>
    <row r="384" spans="1:17">
      <c r="E384" s="7"/>
    </row>
    <row r="385" spans="1:18">
      <c r="A385" s="7" t="s">
        <v>8149</v>
      </c>
      <c r="E385" s="7"/>
    </row>
    <row r="386" spans="1:18">
      <c r="A386" s="7" t="s">
        <v>1800</v>
      </c>
      <c r="E386" s="7"/>
    </row>
    <row r="387" spans="1:18">
      <c r="A387" s="1"/>
      <c r="B387" s="1" t="s">
        <v>330</v>
      </c>
      <c r="C387" s="1"/>
      <c r="E387" s="7"/>
      <c r="F387" s="1"/>
      <c r="G387" s="1"/>
      <c r="H387" s="1"/>
      <c r="I387" s="1">
        <v>23</v>
      </c>
      <c r="J387" s="1"/>
      <c r="K387" s="1"/>
      <c r="L387" s="1"/>
      <c r="M387" s="1" t="s">
        <v>9158</v>
      </c>
      <c r="N387" s="1" t="s">
        <v>9158</v>
      </c>
      <c r="O387" s="1" t="s">
        <v>9158</v>
      </c>
      <c r="P387" s="1" t="s">
        <v>9158</v>
      </c>
      <c r="Q387" s="1" t="s">
        <v>9158</v>
      </c>
    </row>
    <row r="388" spans="1:18">
      <c r="A388" s="1"/>
      <c r="B388" s="1" t="s">
        <v>52</v>
      </c>
      <c r="C388" s="1"/>
      <c r="E388" s="7"/>
      <c r="F388" s="1"/>
      <c r="G388" s="1"/>
      <c r="H388" s="1"/>
      <c r="I388" s="1">
        <v>23</v>
      </c>
      <c r="J388" s="1"/>
      <c r="K388" s="1"/>
      <c r="L388" s="1"/>
      <c r="M388" s="1" t="s">
        <v>9158</v>
      </c>
      <c r="N388" s="1" t="s">
        <v>9158</v>
      </c>
      <c r="O388" s="1" t="s">
        <v>9158</v>
      </c>
      <c r="P388" s="1" t="s">
        <v>9158</v>
      </c>
      <c r="Q388" s="1" t="s">
        <v>9158</v>
      </c>
    </row>
    <row r="389" spans="1:18">
      <c r="A389" s="1"/>
      <c r="B389" s="1" t="s">
        <v>330</v>
      </c>
      <c r="C389" s="1"/>
      <c r="E389" s="7"/>
      <c r="F389" s="1"/>
      <c r="G389" s="1"/>
      <c r="H389" s="1"/>
      <c r="I389" s="1">
        <v>23</v>
      </c>
      <c r="J389" s="1"/>
      <c r="K389" s="1"/>
      <c r="L389" s="1"/>
      <c r="M389" s="1" t="s">
        <v>9158</v>
      </c>
      <c r="N389" s="1" t="s">
        <v>9158</v>
      </c>
      <c r="O389" s="1" t="s">
        <v>9158</v>
      </c>
      <c r="P389" s="1" t="s">
        <v>9158</v>
      </c>
      <c r="Q389" s="1" t="s">
        <v>9158</v>
      </c>
    </row>
    <row r="390" spans="1:18">
      <c r="A390" s="7">
        <v>85183</v>
      </c>
      <c r="B390" s="7" t="s">
        <v>0</v>
      </c>
      <c r="C390" s="7" t="s">
        <v>205</v>
      </c>
      <c r="D390" s="19" t="s">
        <v>10773</v>
      </c>
      <c r="E390" s="15" t="str">
        <f>HYPERLINK("https://stat100.ameba.jp/tnk47/ratio20/illustrations/card/ill_85183_meikokoizumiyakumo03.jpg?201911-4-RELEASE-guildbattle-440", "■")</f>
        <v>■</v>
      </c>
      <c r="F390" s="7" t="s">
        <v>8025</v>
      </c>
      <c r="G390" s="1">
        <v>90522</v>
      </c>
      <c r="H390" s="1">
        <v>97318</v>
      </c>
      <c r="I390" s="7">
        <v>24</v>
      </c>
      <c r="J390" s="7" t="s">
        <v>159</v>
      </c>
      <c r="K390" s="7" t="s">
        <v>1993</v>
      </c>
      <c r="L390" s="7" t="s">
        <v>7332</v>
      </c>
      <c r="M390" s="1" t="s">
        <v>9158</v>
      </c>
      <c r="N390" s="1" t="s">
        <v>9158</v>
      </c>
      <c r="O390" s="1" t="s">
        <v>9158</v>
      </c>
      <c r="P390" s="1" t="s">
        <v>9158</v>
      </c>
      <c r="Q390" s="1" t="s">
        <v>9158</v>
      </c>
    </row>
    <row r="391" spans="1:18">
      <c r="A391" s="7">
        <v>85193</v>
      </c>
      <c r="B391" s="7" t="s">
        <v>15</v>
      </c>
      <c r="C391" s="7" t="s">
        <v>191</v>
      </c>
      <c r="D391" s="19" t="s">
        <v>10774</v>
      </c>
      <c r="E391" s="15" t="str">
        <f>HYPERLINK("https://stat100.ameba.jp/tnk47/ratio20/illustrations/card/ill_85193_furisodekuroyuridensetsu03.jpg?201911-4-RELEASE-guildbattle-440", "■")</f>
        <v>■</v>
      </c>
      <c r="F391" s="7" t="s">
        <v>8028</v>
      </c>
      <c r="G391" s="7">
        <v>65208</v>
      </c>
      <c r="H391" s="7">
        <v>59144</v>
      </c>
      <c r="I391" s="7">
        <v>22</v>
      </c>
      <c r="J391" s="7" t="s">
        <v>155</v>
      </c>
      <c r="K391" s="7" t="s">
        <v>8027</v>
      </c>
      <c r="L391" s="7" t="s">
        <v>3267</v>
      </c>
      <c r="M391" s="1" t="s">
        <v>9158</v>
      </c>
      <c r="N391" s="1" t="s">
        <v>9158</v>
      </c>
      <c r="O391" s="1" t="s">
        <v>9158</v>
      </c>
      <c r="P391" s="1" t="s">
        <v>9158</v>
      </c>
      <c r="Q391" s="1" t="s">
        <v>9158</v>
      </c>
    </row>
    <row r="392" spans="1:18">
      <c r="A392" s="7">
        <v>85203</v>
      </c>
      <c r="B392" s="7" t="s">
        <v>22</v>
      </c>
      <c r="C392" s="7" t="s">
        <v>165</v>
      </c>
      <c r="D392" s="19" t="s">
        <v>10775</v>
      </c>
      <c r="E392" s="15" t="str">
        <f>HYPERLINK("https://stat100.ameba.jp/tnk47/ratio20/illustrations/card/ill_85203_kyobijin03.jpg?201911-4-RELEASE-guildbattle-440", "■")</f>
        <v>■</v>
      </c>
      <c r="F392" s="7" t="s">
        <v>8031</v>
      </c>
      <c r="G392" s="7">
        <v>38032</v>
      </c>
      <c r="H392" s="7">
        <v>45742</v>
      </c>
      <c r="I392" s="7">
        <v>22</v>
      </c>
      <c r="J392" s="7" t="s">
        <v>229</v>
      </c>
      <c r="K392" s="7" t="s">
        <v>8030</v>
      </c>
      <c r="L392" s="7" t="s">
        <v>28</v>
      </c>
      <c r="M392" s="1" t="s">
        <v>9158</v>
      </c>
      <c r="N392" s="1" t="s">
        <v>9158</v>
      </c>
      <c r="O392" s="1" t="s">
        <v>9158</v>
      </c>
      <c r="P392" s="1" t="s">
        <v>9158</v>
      </c>
      <c r="Q392" s="1" t="s">
        <v>9158</v>
      </c>
    </row>
    <row r="393" spans="1:18">
      <c r="A393" s="7">
        <v>85213</v>
      </c>
      <c r="B393" s="7" t="s">
        <v>30</v>
      </c>
      <c r="C393" s="7" t="s">
        <v>2001</v>
      </c>
      <c r="D393" s="19" t="s">
        <v>10776</v>
      </c>
      <c r="E393" s="15" t="str">
        <f>HYPERLINK("https://stat100.ameba.jp/tnk47/ratio20/illustrations/card/ill_85213_jakurenhoshi03.jpg?201911-4-RELEASE-guildbattle-440", "■")</f>
        <v>■</v>
      </c>
      <c r="F393" s="7" t="s">
        <v>8034</v>
      </c>
      <c r="G393" s="7">
        <v>27692</v>
      </c>
      <c r="H393" s="7">
        <v>23258</v>
      </c>
      <c r="I393" s="7">
        <v>22</v>
      </c>
      <c r="J393" s="7" t="s">
        <v>159</v>
      </c>
      <c r="K393" s="7" t="s">
        <v>8033</v>
      </c>
      <c r="L393" s="7" t="s">
        <v>34</v>
      </c>
      <c r="M393" s="1" t="s">
        <v>9158</v>
      </c>
      <c r="N393" s="1" t="s">
        <v>9158</v>
      </c>
      <c r="O393" s="1" t="s">
        <v>9158</v>
      </c>
      <c r="P393" s="1" t="s">
        <v>9158</v>
      </c>
      <c r="Q393" s="1" t="s">
        <v>9158</v>
      </c>
    </row>
    <row r="394" spans="1:18">
      <c r="E394" s="7"/>
    </row>
    <row r="395" spans="1:18">
      <c r="A395" s="1" t="s">
        <v>13327</v>
      </c>
      <c r="B395" s="1"/>
      <c r="C395" s="1"/>
      <c r="D395" s="1"/>
      <c r="F395" s="1"/>
      <c r="G395" s="1"/>
      <c r="H395" s="1"/>
      <c r="I395" s="1"/>
      <c r="J395" s="1"/>
      <c r="K395" s="1"/>
      <c r="L395" s="1"/>
      <c r="M395" s="1"/>
      <c r="N395" s="1"/>
      <c r="O395" s="1"/>
      <c r="P395" s="1"/>
      <c r="Q395" s="1"/>
      <c r="R395" s="1"/>
    </row>
    <row r="396" spans="1:18">
      <c r="A396" s="1" t="s">
        <v>8150</v>
      </c>
      <c r="B396" s="1"/>
      <c r="C396" s="1"/>
      <c r="D396" s="1"/>
      <c r="F396" s="1"/>
      <c r="G396" s="1"/>
      <c r="H396" s="1"/>
      <c r="I396" s="1"/>
      <c r="J396" s="1"/>
      <c r="K396" s="1"/>
      <c r="L396" s="1"/>
      <c r="M396" s="1"/>
      <c r="N396" s="1"/>
      <c r="O396" s="1"/>
      <c r="P396" s="1"/>
      <c r="Q396" s="1"/>
      <c r="R396" s="1"/>
    </row>
    <row r="397" spans="1:18">
      <c r="A397" s="1">
        <v>75113</v>
      </c>
      <c r="B397" s="1" t="s">
        <v>334</v>
      </c>
      <c r="C397" s="1" t="s">
        <v>335</v>
      </c>
      <c r="D397" s="19" t="s">
        <v>448</v>
      </c>
      <c r="E397" s="15" t="str">
        <f>HYPERLINK("https://stat100.ameba.jp/tnk47/ratio20/illustrations/card/ill_75113_hatahata03.jpg?201911-4-RELEASE-guildbattle-440", "■")</f>
        <v>■</v>
      </c>
      <c r="F397" s="1" t="s">
        <v>449</v>
      </c>
      <c r="G397" s="1">
        <v>118152</v>
      </c>
      <c r="H397" s="1">
        <v>109852</v>
      </c>
      <c r="I397" s="1">
        <v>24</v>
      </c>
      <c r="J397" s="1" t="s">
        <v>283</v>
      </c>
      <c r="K397" s="1" t="s">
        <v>450</v>
      </c>
      <c r="L397" s="1" t="s">
        <v>13129</v>
      </c>
      <c r="M397" s="1" t="s">
        <v>13130</v>
      </c>
      <c r="N397" s="1" t="s">
        <v>343</v>
      </c>
      <c r="O397" s="1" t="s">
        <v>9158</v>
      </c>
      <c r="P397" s="1" t="s">
        <v>9158</v>
      </c>
      <c r="Q397" s="1" t="s">
        <v>9158</v>
      </c>
      <c r="R397" s="14" t="s">
        <v>14748</v>
      </c>
    </row>
    <row r="398" spans="1:18">
      <c r="A398" s="1">
        <v>75112</v>
      </c>
      <c r="B398" s="1" t="s">
        <v>334</v>
      </c>
      <c r="C398" s="1" t="s">
        <v>335</v>
      </c>
      <c r="D398" s="19" t="s">
        <v>448</v>
      </c>
      <c r="E398" s="15" t="str">
        <f>HYPERLINK("https://stat100.ameba.jp/tnk47/ratio20/illustrations/card/ill_75112_hatahata02.jpg?201911-4-RELEASE-guildbattle-440", "■")</f>
        <v>■</v>
      </c>
      <c r="F398" s="1" t="s">
        <v>449</v>
      </c>
      <c r="G398" s="1">
        <v>98768</v>
      </c>
      <c r="H398" s="1">
        <v>90984</v>
      </c>
      <c r="I398" s="1">
        <v>24</v>
      </c>
      <c r="J398" s="1" t="s">
        <v>283</v>
      </c>
      <c r="K398" s="1" t="s">
        <v>450</v>
      </c>
      <c r="L398" s="1" t="s">
        <v>13129</v>
      </c>
      <c r="M398" s="1" t="s">
        <v>13131</v>
      </c>
      <c r="N398" s="1" t="s">
        <v>251</v>
      </c>
      <c r="O398" s="1" t="s">
        <v>9158</v>
      </c>
      <c r="P398" s="1" t="s">
        <v>9158</v>
      </c>
      <c r="Q398" s="1" t="s">
        <v>9158</v>
      </c>
      <c r="R398" s="14" t="s">
        <v>14748</v>
      </c>
    </row>
    <row r="399" spans="1:18">
      <c r="A399" s="1">
        <v>75111</v>
      </c>
      <c r="B399" s="1" t="s">
        <v>334</v>
      </c>
      <c r="C399" s="1" t="s">
        <v>335</v>
      </c>
      <c r="D399" s="19" t="s">
        <v>448</v>
      </c>
      <c r="E399" s="15" t="str">
        <f>HYPERLINK("https://stat100.ameba.jp/tnk47/ratio20/illustrations/card/ill_75111_hatahata01.jpg?201911-4-RELEASE-guildbattle-440", "■")</f>
        <v>■</v>
      </c>
      <c r="F399" s="1" t="s">
        <v>449</v>
      </c>
      <c r="G399" s="1">
        <v>75408</v>
      </c>
      <c r="H399" s="1">
        <v>70200</v>
      </c>
      <c r="I399" s="1">
        <v>24</v>
      </c>
      <c r="J399" s="1" t="s">
        <v>283</v>
      </c>
      <c r="K399" s="1" t="s">
        <v>450</v>
      </c>
      <c r="L399" s="1" t="s">
        <v>13129</v>
      </c>
      <c r="M399" s="1" t="s">
        <v>13131</v>
      </c>
      <c r="N399" s="1" t="s">
        <v>251</v>
      </c>
      <c r="O399" s="1" t="s">
        <v>9158</v>
      </c>
      <c r="P399" s="1" t="s">
        <v>9158</v>
      </c>
      <c r="Q399" s="1" t="s">
        <v>9158</v>
      </c>
      <c r="R399" s="14" t="s">
        <v>14748</v>
      </c>
    </row>
    <row r="400" spans="1:18">
      <c r="A400" s="1">
        <v>75123</v>
      </c>
      <c r="B400" s="1" t="s">
        <v>334</v>
      </c>
      <c r="C400" s="1" t="s">
        <v>307</v>
      </c>
      <c r="D400" s="19" t="s">
        <v>451</v>
      </c>
      <c r="E400" s="15" t="str">
        <f>HYPERLINK("https://stat100.ameba.jp/tnk47/ratio20/illustrations/card/ill_75123_nankintamasudare03.jpg?201911-4-RELEASE-guildbattle-440", "■")</f>
        <v>■</v>
      </c>
      <c r="F400" s="1" t="s">
        <v>452</v>
      </c>
      <c r="G400" s="1">
        <v>109852</v>
      </c>
      <c r="H400" s="1">
        <v>118152</v>
      </c>
      <c r="I400" s="1">
        <v>24</v>
      </c>
      <c r="J400" s="1" t="s">
        <v>274</v>
      </c>
      <c r="K400" s="1" t="s">
        <v>453</v>
      </c>
      <c r="L400" s="1" t="s">
        <v>6711</v>
      </c>
      <c r="M400" s="1" t="s">
        <v>13130</v>
      </c>
      <c r="N400" s="1" t="s">
        <v>343</v>
      </c>
      <c r="O400" s="1" t="s">
        <v>9158</v>
      </c>
      <c r="P400" s="1" t="s">
        <v>9158</v>
      </c>
      <c r="Q400" s="1" t="s">
        <v>9158</v>
      </c>
      <c r="R400" s="14" t="s">
        <v>14748</v>
      </c>
    </row>
    <row r="401" spans="1:18">
      <c r="A401" s="1">
        <v>76013</v>
      </c>
      <c r="B401" s="1" t="s">
        <v>334</v>
      </c>
      <c r="C401" s="1" t="s">
        <v>344</v>
      </c>
      <c r="D401" s="19" t="s">
        <v>454</v>
      </c>
      <c r="E401" s="15" t="str">
        <f>HYPERLINK("https://stat100.ameba.jp/tnk47/ratio20/illustrations/card/ill_76013_miyakojima03.jpg?201911-4-RELEASE-guildbattle-440", "■")</f>
        <v>■</v>
      </c>
      <c r="F401" s="1" t="s">
        <v>455</v>
      </c>
      <c r="G401" s="1">
        <v>118152</v>
      </c>
      <c r="H401" s="1">
        <v>109852</v>
      </c>
      <c r="I401" s="1">
        <v>24</v>
      </c>
      <c r="J401" s="1" t="s">
        <v>369</v>
      </c>
      <c r="K401" s="1" t="s">
        <v>456</v>
      </c>
      <c r="L401" s="1" t="s">
        <v>6712</v>
      </c>
      <c r="M401" s="1" t="s">
        <v>13130</v>
      </c>
      <c r="N401" s="1" t="s">
        <v>343</v>
      </c>
      <c r="O401" s="1" t="s">
        <v>9158</v>
      </c>
      <c r="P401" s="1" t="s">
        <v>9158</v>
      </c>
      <c r="Q401" s="1" t="s">
        <v>9158</v>
      </c>
      <c r="R401" s="14" t="s">
        <v>14748</v>
      </c>
    </row>
    <row r="402" spans="1:18">
      <c r="A402" s="1">
        <v>74333</v>
      </c>
      <c r="B402" s="1" t="s">
        <v>334</v>
      </c>
      <c r="C402" s="1" t="s">
        <v>271</v>
      </c>
      <c r="D402" s="19" t="s">
        <v>457</v>
      </c>
      <c r="E402" s="15" t="str">
        <f>HYPERLINK("https://stat100.ameba.jp/tnk47/ratio20/illustrations/card/ill_74333_iizukaigashichi03.jpg?201911-4-RELEASE-guildbattle-440", "■")</f>
        <v>■</v>
      </c>
      <c r="F402" s="1" t="s">
        <v>458</v>
      </c>
      <c r="G402" s="1">
        <v>109852</v>
      </c>
      <c r="H402" s="1">
        <v>118152</v>
      </c>
      <c r="I402" s="1">
        <v>24</v>
      </c>
      <c r="J402" s="1" t="s">
        <v>414</v>
      </c>
      <c r="K402" s="1" t="s">
        <v>459</v>
      </c>
      <c r="L402" s="1" t="s">
        <v>6713</v>
      </c>
      <c r="M402" s="1" t="s">
        <v>13130</v>
      </c>
      <c r="N402" s="1" t="s">
        <v>343</v>
      </c>
      <c r="O402" s="1" t="s">
        <v>9158</v>
      </c>
      <c r="P402" s="1" t="s">
        <v>9158</v>
      </c>
      <c r="Q402" s="1" t="s">
        <v>9158</v>
      </c>
      <c r="R402" s="14" t="s">
        <v>14748</v>
      </c>
    </row>
    <row r="403" spans="1:18">
      <c r="A403" s="1">
        <v>74343</v>
      </c>
      <c r="B403" s="1" t="s">
        <v>334</v>
      </c>
      <c r="C403" s="1" t="s">
        <v>308</v>
      </c>
      <c r="D403" s="19" t="s">
        <v>460</v>
      </c>
      <c r="E403" s="15" t="str">
        <f>HYPERLINK("https://stat100.ameba.jp/tnk47/ratio20/illustrations/card/ill_74343_wadakoremasa03.jpg?201911-4-RELEASE-guildbattle-440", "■")</f>
        <v>■</v>
      </c>
      <c r="F403" s="1" t="s">
        <v>461</v>
      </c>
      <c r="G403" s="1">
        <v>109852</v>
      </c>
      <c r="H403" s="1">
        <v>118152</v>
      </c>
      <c r="I403" s="1">
        <v>24</v>
      </c>
      <c r="J403" s="1" t="s">
        <v>310</v>
      </c>
      <c r="K403" s="1" t="s">
        <v>462</v>
      </c>
      <c r="L403" s="1" t="s">
        <v>6714</v>
      </c>
      <c r="M403" s="1" t="s">
        <v>13130</v>
      </c>
      <c r="N403" s="1" t="s">
        <v>343</v>
      </c>
      <c r="O403" s="1" t="s">
        <v>9158</v>
      </c>
      <c r="P403" s="1" t="s">
        <v>9158</v>
      </c>
      <c r="Q403" s="1" t="s">
        <v>9158</v>
      </c>
      <c r="R403" s="14" t="s">
        <v>14748</v>
      </c>
    </row>
    <row r="404" spans="1:18">
      <c r="A404" s="1">
        <v>74353</v>
      </c>
      <c r="B404" s="1" t="s">
        <v>334</v>
      </c>
      <c r="C404" s="1" t="s">
        <v>267</v>
      </c>
      <c r="D404" s="19" t="s">
        <v>463</v>
      </c>
      <c r="E404" s="15" t="str">
        <f>HYPERLINK("https://stat100.ameba.jp/tnk47/ratio20/illustrations/card/ill_74353_takechizuizan03.jpg?201911-4-RELEASE-guildbattle-440", "■")</f>
        <v>■</v>
      </c>
      <c r="F404" s="1" t="s">
        <v>464</v>
      </c>
      <c r="G404" s="1">
        <v>118152</v>
      </c>
      <c r="H404" s="1">
        <v>109852</v>
      </c>
      <c r="I404" s="1">
        <v>24</v>
      </c>
      <c r="J404" s="1" t="s">
        <v>351</v>
      </c>
      <c r="K404" s="1" t="s">
        <v>465</v>
      </c>
      <c r="L404" s="1" t="s">
        <v>6715</v>
      </c>
      <c r="M404" s="1" t="s">
        <v>13130</v>
      </c>
      <c r="N404" s="1" t="s">
        <v>343</v>
      </c>
      <c r="O404" s="1" t="s">
        <v>9158</v>
      </c>
      <c r="P404" s="1" t="s">
        <v>9158</v>
      </c>
      <c r="Q404" s="1" t="s">
        <v>9158</v>
      </c>
      <c r="R404" s="14" t="s">
        <v>14748</v>
      </c>
    </row>
    <row r="405" spans="1:18">
      <c r="E405" s="7"/>
    </row>
    <row r="406" spans="1:18">
      <c r="A406" s="1" t="s">
        <v>195</v>
      </c>
      <c r="B406" s="1"/>
      <c r="C406" s="1"/>
      <c r="D406" s="1"/>
      <c r="F406" s="1"/>
      <c r="G406" s="1"/>
      <c r="H406" s="1"/>
      <c r="I406" s="1"/>
      <c r="J406" s="1"/>
      <c r="K406" s="1"/>
      <c r="L406" s="1"/>
      <c r="M406" s="1"/>
      <c r="N406" s="1"/>
      <c r="O406" s="1"/>
      <c r="P406" s="1"/>
      <c r="Q406" s="1"/>
    </row>
    <row r="407" spans="1:18">
      <c r="A407" s="1" t="s">
        <v>8151</v>
      </c>
      <c r="B407" s="1"/>
      <c r="C407" s="1"/>
      <c r="D407" s="1"/>
      <c r="F407" s="1"/>
      <c r="G407" s="1"/>
      <c r="H407" s="1"/>
      <c r="I407" s="1"/>
      <c r="J407" s="1"/>
      <c r="K407" s="1"/>
      <c r="L407" s="1"/>
      <c r="M407" s="1"/>
      <c r="N407" s="1"/>
      <c r="O407" s="1"/>
      <c r="P407" s="1"/>
      <c r="Q407" s="1"/>
    </row>
    <row r="408" spans="1:18">
      <c r="A408" s="1">
        <v>76103</v>
      </c>
      <c r="B408" s="1" t="s">
        <v>334</v>
      </c>
      <c r="C408" s="1" t="s">
        <v>154</v>
      </c>
      <c r="D408" s="19" t="s">
        <v>570</v>
      </c>
      <c r="E408" s="15" t="str">
        <f>HYPERLINK("https://stat100.ameba.jp/tnk47/ratio20/illustrations/card/ill_76103_shibuaji03.jpg?201911-4-RELEASE-guildbattle-440", "■")</f>
        <v>■</v>
      </c>
      <c r="F408" s="1" t="s">
        <v>1122</v>
      </c>
      <c r="G408" s="1">
        <v>103512</v>
      </c>
      <c r="H408" s="1">
        <v>96246</v>
      </c>
      <c r="I408" s="1">
        <v>24</v>
      </c>
      <c r="J408" s="1" t="s">
        <v>143</v>
      </c>
      <c r="K408" s="1" t="s">
        <v>1123</v>
      </c>
      <c r="L408" s="1" t="s">
        <v>1124</v>
      </c>
      <c r="M408" s="1" t="s">
        <v>9158</v>
      </c>
      <c r="N408" s="1" t="s">
        <v>9158</v>
      </c>
      <c r="O408" s="1" t="s">
        <v>9158</v>
      </c>
      <c r="P408" s="1" t="s">
        <v>9158</v>
      </c>
      <c r="Q408" s="1" t="s">
        <v>9158</v>
      </c>
    </row>
    <row r="409" spans="1:18">
      <c r="A409" s="1">
        <v>76113</v>
      </c>
      <c r="B409" s="1" t="s">
        <v>334</v>
      </c>
      <c r="C409" s="1" t="s">
        <v>158</v>
      </c>
      <c r="D409" s="19" t="s">
        <v>10268</v>
      </c>
      <c r="E409" s="15" t="str">
        <f>HYPERLINK("https://stat100.ameba.jp/tnk47/ratio20/illustrations/card/ill_76113_jannudaruku03.jpg?201911-4-RELEASE-guildbattle-440", "■")</f>
        <v>■</v>
      </c>
      <c r="F409" s="1" t="s">
        <v>1126</v>
      </c>
      <c r="G409" s="1">
        <v>103512</v>
      </c>
      <c r="H409" s="1">
        <v>96246</v>
      </c>
      <c r="I409" s="1">
        <v>24</v>
      </c>
      <c r="J409" s="1" t="s">
        <v>10</v>
      </c>
      <c r="K409" s="1" t="s">
        <v>1127</v>
      </c>
      <c r="L409" s="1" t="s">
        <v>1128</v>
      </c>
      <c r="M409" s="1" t="s">
        <v>9158</v>
      </c>
      <c r="N409" s="1" t="s">
        <v>9158</v>
      </c>
      <c r="O409" s="1" t="s">
        <v>9158</v>
      </c>
      <c r="P409" s="1" t="s">
        <v>9158</v>
      </c>
      <c r="Q409" s="1" t="s">
        <v>9158</v>
      </c>
    </row>
    <row r="410" spans="1:18">
      <c r="A410" s="1">
        <v>63323</v>
      </c>
      <c r="B410" s="1" t="s">
        <v>0</v>
      </c>
      <c r="C410" s="1" t="s">
        <v>200</v>
      </c>
      <c r="D410" s="19" t="s">
        <v>10269</v>
      </c>
      <c r="E410" s="15" t="str">
        <f>HYPERLINK("https://stat100.ameba.jp/tnk47/ratio20/illustrations/card/ill_63323_ajisaikushinadahime03.jpg?201911-4-RELEASE-guildbattle-440", "■")</f>
        <v>■</v>
      </c>
      <c r="F410" s="1" t="s">
        <v>3583</v>
      </c>
      <c r="G410" s="1">
        <v>91010</v>
      </c>
      <c r="H410" s="1">
        <v>97894</v>
      </c>
      <c r="I410" s="1">
        <v>24</v>
      </c>
      <c r="J410" s="1" t="s">
        <v>44</v>
      </c>
      <c r="K410" s="1" t="s">
        <v>3584</v>
      </c>
      <c r="L410" s="1" t="s">
        <v>2400</v>
      </c>
      <c r="M410" s="1" t="s">
        <v>9158</v>
      </c>
      <c r="N410" s="1" t="s">
        <v>9158</v>
      </c>
      <c r="O410" s="1" t="s">
        <v>9158</v>
      </c>
      <c r="P410" s="1" t="s">
        <v>9158</v>
      </c>
      <c r="Q410" s="1" t="s">
        <v>9158</v>
      </c>
    </row>
    <row r="411" spans="1:18">
      <c r="A411" s="1">
        <v>59863</v>
      </c>
      <c r="B411" s="1" t="s">
        <v>334</v>
      </c>
      <c r="C411" s="1" t="s">
        <v>165</v>
      </c>
      <c r="D411" s="19" t="s">
        <v>318</v>
      </c>
      <c r="E411" s="15" t="str">
        <f>HYPERLINK("https://stat100.ameba.jp/tnk47/ratio20/illustrations/card/ill_59863_yoseiichimokuren03.jpg?201911-4-RELEASE-guildbattle-440", "■")</f>
        <v>■</v>
      </c>
      <c r="F411" s="1" t="s">
        <v>319</v>
      </c>
      <c r="G411" s="1">
        <v>99996</v>
      </c>
      <c r="H411" s="1">
        <v>92996</v>
      </c>
      <c r="I411" s="1">
        <v>24</v>
      </c>
      <c r="J411" s="1" t="s">
        <v>320</v>
      </c>
      <c r="K411" s="1" t="s">
        <v>321</v>
      </c>
      <c r="L411" s="1" t="s">
        <v>322</v>
      </c>
      <c r="M411" s="1" t="s">
        <v>9158</v>
      </c>
      <c r="N411" s="1" t="s">
        <v>9158</v>
      </c>
      <c r="O411" s="1" t="s">
        <v>9158</v>
      </c>
      <c r="P411" s="1" t="s">
        <v>9158</v>
      </c>
      <c r="Q411" s="1" t="s">
        <v>9158</v>
      </c>
    </row>
    <row r="412" spans="1:18">
      <c r="A412" s="1">
        <v>51823</v>
      </c>
      <c r="B412" s="1" t="s">
        <v>15</v>
      </c>
      <c r="C412" s="1" t="s">
        <v>101</v>
      </c>
      <c r="D412" s="19" t="s">
        <v>10587</v>
      </c>
      <c r="E412" s="15" t="str">
        <f>HYPERLINK("https://stat100.ameba.jp/tnk47/ratio20/illustrations/card/ill_51823_jukimatsu03.jpg?201911-4-RELEASE-guildbattle-440", "■")</f>
        <v>■</v>
      </c>
      <c r="F412" s="1" t="s">
        <v>6742</v>
      </c>
      <c r="G412" s="1">
        <v>51078</v>
      </c>
      <c r="H412" s="1">
        <v>56316</v>
      </c>
      <c r="I412" s="1">
        <v>19</v>
      </c>
      <c r="J412" s="1" t="s">
        <v>77</v>
      </c>
      <c r="K412" s="1" t="s">
        <v>6743</v>
      </c>
      <c r="L412" s="1" t="s">
        <v>6744</v>
      </c>
      <c r="M412" s="1" t="s">
        <v>9158</v>
      </c>
      <c r="N412" s="1" t="s">
        <v>9158</v>
      </c>
      <c r="O412" s="1" t="s">
        <v>9158</v>
      </c>
      <c r="P412" s="1" t="s">
        <v>9158</v>
      </c>
      <c r="Q412" s="1" t="s">
        <v>9158</v>
      </c>
    </row>
    <row r="413" spans="1:18">
      <c r="A413" s="1">
        <v>51773</v>
      </c>
      <c r="B413" s="1" t="s">
        <v>15</v>
      </c>
      <c r="C413" s="1" t="s">
        <v>205</v>
      </c>
      <c r="D413" s="19" t="s">
        <v>10588</v>
      </c>
      <c r="E413" s="15" t="str">
        <f>HYPERLINK("https://stat100.ameba.jp/tnk47/ratio20/illustrations/card/ill_51773_kawaasobikanekomisuzu03.jpg?201911-4-RELEASE-guildbattle-440", "■")</f>
        <v>■</v>
      </c>
      <c r="F413" s="1" t="s">
        <v>6747</v>
      </c>
      <c r="G413" s="1">
        <v>56316</v>
      </c>
      <c r="H413" s="1">
        <v>51078</v>
      </c>
      <c r="I413" s="1">
        <v>19</v>
      </c>
      <c r="J413" s="1" t="s">
        <v>10</v>
      </c>
      <c r="K413" s="1" t="s">
        <v>6746</v>
      </c>
      <c r="L413" s="1" t="s">
        <v>6745</v>
      </c>
      <c r="M413" s="1" t="s">
        <v>9158</v>
      </c>
      <c r="N413" s="1" t="s">
        <v>9158</v>
      </c>
      <c r="O413" s="1" t="s">
        <v>9158</v>
      </c>
      <c r="P413" s="1" t="s">
        <v>9158</v>
      </c>
      <c r="Q413" s="1" t="s">
        <v>9158</v>
      </c>
    </row>
    <row r="414" spans="1:18">
      <c r="A414" s="1">
        <v>51733</v>
      </c>
      <c r="B414" s="1" t="s">
        <v>15</v>
      </c>
      <c r="C414" s="1" t="s">
        <v>185</v>
      </c>
      <c r="D414" s="19" t="s">
        <v>10589</v>
      </c>
      <c r="E414" s="15" t="str">
        <f>HYPERLINK("https://stat100.ameba.jp/tnk47/ratio20/illustrations/card/ill_51733_ekusoshisutopoiyampe03.jpg?201911-4-RELEASE-guildbattle-440", "■")</f>
        <v>■</v>
      </c>
      <c r="F414" s="1" t="s">
        <v>6750</v>
      </c>
      <c r="G414" s="1">
        <v>51078</v>
      </c>
      <c r="H414" s="1">
        <v>56316</v>
      </c>
      <c r="I414" s="1">
        <v>19</v>
      </c>
      <c r="J414" s="1" t="s">
        <v>274</v>
      </c>
      <c r="K414" s="1" t="s">
        <v>6749</v>
      </c>
      <c r="L414" s="1" t="s">
        <v>6748</v>
      </c>
      <c r="M414" s="1" t="s">
        <v>9158</v>
      </c>
      <c r="N414" s="1" t="s">
        <v>9158</v>
      </c>
      <c r="O414" s="1" t="s">
        <v>9158</v>
      </c>
      <c r="P414" s="1" t="s">
        <v>9158</v>
      </c>
      <c r="Q414" s="1" t="s">
        <v>9158</v>
      </c>
    </row>
    <row r="415" spans="1:18">
      <c r="A415" s="1">
        <v>55743</v>
      </c>
      <c r="B415" s="1" t="s">
        <v>15</v>
      </c>
      <c r="C415" s="1" t="s">
        <v>96</v>
      </c>
      <c r="D415" s="19" t="s">
        <v>10590</v>
      </c>
      <c r="E415" s="15" t="str">
        <f>HYPERLINK("https://stat100.ameba.jp/tnk47/ratio20/illustrations/card/ill_55743_nankoume03.jpg?201911-4-RELEASE-guildbattle-440", "■")</f>
        <v>■</v>
      </c>
      <c r="F415" s="1" t="s">
        <v>4308</v>
      </c>
      <c r="G415" s="1">
        <v>51078</v>
      </c>
      <c r="H415" s="1">
        <v>56316</v>
      </c>
      <c r="I415" s="1">
        <v>19</v>
      </c>
      <c r="J415" s="1" t="s">
        <v>216</v>
      </c>
      <c r="K415" s="1" t="s">
        <v>4310</v>
      </c>
      <c r="L415" s="1" t="s">
        <v>4311</v>
      </c>
      <c r="M415" s="1" t="s">
        <v>9158</v>
      </c>
      <c r="N415" s="1" t="s">
        <v>9158</v>
      </c>
      <c r="O415" s="1" t="s">
        <v>9158</v>
      </c>
      <c r="P415" s="1" t="s">
        <v>9158</v>
      </c>
      <c r="Q415" s="1" t="s">
        <v>9158</v>
      </c>
    </row>
    <row r="416" spans="1:18">
      <c r="E416" s="7"/>
    </row>
    <row r="417" spans="1:17">
      <c r="A417" s="7" t="s">
        <v>8166</v>
      </c>
      <c r="E417" s="7"/>
    </row>
    <row r="418" spans="1:17">
      <c r="A418" s="7" t="s">
        <v>8167</v>
      </c>
      <c r="E418" s="7"/>
    </row>
    <row r="419" spans="1:17">
      <c r="A419" s="7" t="s">
        <v>8168</v>
      </c>
      <c r="E419" s="7"/>
    </row>
    <row r="420" spans="1:17">
      <c r="A420" s="1" t="s">
        <v>5963</v>
      </c>
      <c r="B420" s="1" t="s">
        <v>330</v>
      </c>
      <c r="C420" s="1" t="s">
        <v>35</v>
      </c>
      <c r="D420" s="19" t="s">
        <v>10438</v>
      </c>
      <c r="E420" s="15" t="str">
        <f>HYPERLINK("https://stat100.ameba.jp/tnk47/ratio20/illustrations/card/ill_82963_0_yukatamatsuritomokazuki03.jpg?201911-4-RELEASE-guildbattle-440", "■")</f>
        <v>■</v>
      </c>
      <c r="F420" s="1" t="s">
        <v>5964</v>
      </c>
      <c r="G420" s="1">
        <v>285888</v>
      </c>
      <c r="H420" s="1">
        <v>316330</v>
      </c>
      <c r="I420" s="1">
        <v>24</v>
      </c>
      <c r="J420" s="1" t="s">
        <v>73</v>
      </c>
      <c r="K420" s="1" t="s">
        <v>5966</v>
      </c>
      <c r="L420" s="1" t="s">
        <v>5967</v>
      </c>
      <c r="M420" s="1" t="s">
        <v>9158</v>
      </c>
      <c r="N420" s="1" t="s">
        <v>9158</v>
      </c>
      <c r="O420" s="19" t="s">
        <v>10115</v>
      </c>
      <c r="P420" s="1" t="s">
        <v>5968</v>
      </c>
      <c r="Q420" s="1">
        <v>1</v>
      </c>
    </row>
    <row r="421" spans="1:17">
      <c r="A421" s="1" t="s">
        <v>5733</v>
      </c>
      <c r="B421" s="1" t="s">
        <v>330</v>
      </c>
      <c r="C421" s="1" t="s">
        <v>202</v>
      </c>
      <c r="D421" s="19" t="s">
        <v>2744</v>
      </c>
      <c r="E421" s="15" t="str">
        <f>HYPERLINK("https://stat100.ameba.jp/tnk47/ratio20/illustrations/card/ill_78693_0_kyupittokoinomikoto03.jpg?201911-4-RELEASE-guildbattle-440", "■")</f>
        <v>■</v>
      </c>
      <c r="F421" s="1" t="s">
        <v>2745</v>
      </c>
      <c r="G421" s="1">
        <v>251516</v>
      </c>
      <c r="H421" s="1">
        <v>278294</v>
      </c>
      <c r="I421" s="1">
        <v>24</v>
      </c>
      <c r="J421" s="1" t="s">
        <v>274</v>
      </c>
      <c r="K421" s="1" t="s">
        <v>2746</v>
      </c>
      <c r="L421" s="1" t="s">
        <v>2747</v>
      </c>
      <c r="M421" s="1" t="s">
        <v>9158</v>
      </c>
      <c r="N421" s="1" t="s">
        <v>9158</v>
      </c>
      <c r="O421" s="19" t="s">
        <v>10097</v>
      </c>
      <c r="P421" s="1" t="s">
        <v>2748</v>
      </c>
      <c r="Q421" s="1">
        <v>1</v>
      </c>
    </row>
    <row r="422" spans="1:17">
      <c r="A422" s="1" t="s">
        <v>5602</v>
      </c>
      <c r="B422" s="1" t="s">
        <v>52</v>
      </c>
      <c r="C422" s="1" t="s">
        <v>14</v>
      </c>
      <c r="D422" s="19" t="s">
        <v>813</v>
      </c>
      <c r="E422" s="15" t="str">
        <f>HYPERLINK("https://stat100.ameba.jp/tnk47/ratio20/illustrations/card/ill_55313_0_haroinononokomachi03.jpg?201911-4-RELEASE-guildbattle-440", "■")</f>
        <v>■</v>
      </c>
      <c r="F422" s="1" t="s">
        <v>2094</v>
      </c>
      <c r="G422" s="1">
        <v>150776</v>
      </c>
      <c r="H422" s="1">
        <v>133938</v>
      </c>
      <c r="I422" s="1">
        <v>24</v>
      </c>
      <c r="J422" s="1" t="s">
        <v>10</v>
      </c>
      <c r="K422" s="1" t="s">
        <v>2095</v>
      </c>
      <c r="L422" s="1" t="s">
        <v>2096</v>
      </c>
      <c r="M422" s="1" t="s">
        <v>9158</v>
      </c>
      <c r="N422" s="1" t="s">
        <v>9158</v>
      </c>
      <c r="O422" s="19" t="s">
        <v>2733</v>
      </c>
      <c r="P422" s="1" t="s">
        <v>2734</v>
      </c>
      <c r="Q422" s="1">
        <v>1</v>
      </c>
    </row>
    <row r="423" spans="1:17">
      <c r="A423" s="1">
        <v>70373</v>
      </c>
      <c r="B423" s="1" t="s">
        <v>334</v>
      </c>
      <c r="C423" s="1" t="s">
        <v>209</v>
      </c>
      <c r="D423" s="19" t="s">
        <v>10226</v>
      </c>
      <c r="E423" s="15" t="str">
        <f>HYPERLINK("https://stat100.ameba.jp/tnk47/ratio20/illustrations/card/ill_70373_amanoyasukage03.jpg?201911-4-RELEASE-guildbattle-440", "■")</f>
        <v>■</v>
      </c>
      <c r="F423" s="1" t="s">
        <v>2617</v>
      </c>
      <c r="G423" s="1">
        <v>129140</v>
      </c>
      <c r="H423" s="1">
        <v>138891</v>
      </c>
      <c r="I423" s="7">
        <v>25</v>
      </c>
      <c r="J423" s="1" t="s">
        <v>143</v>
      </c>
      <c r="K423" s="1" t="s">
        <v>2618</v>
      </c>
      <c r="L423" s="1" t="s">
        <v>2619</v>
      </c>
      <c r="M423" s="1" t="s">
        <v>9158</v>
      </c>
      <c r="N423" s="1" t="s">
        <v>9158</v>
      </c>
      <c r="O423" s="19" t="s">
        <v>10081</v>
      </c>
      <c r="P423" s="1" t="s">
        <v>4146</v>
      </c>
      <c r="Q423" s="1">
        <v>1</v>
      </c>
    </row>
    <row r="424" spans="1:17">
      <c r="A424" s="1">
        <v>63283</v>
      </c>
      <c r="B424" s="1" t="s">
        <v>334</v>
      </c>
      <c r="C424" s="1" t="s">
        <v>209</v>
      </c>
      <c r="D424" s="19" t="s">
        <v>327</v>
      </c>
      <c r="E424" s="15" t="str">
        <f>HYPERLINK("https://stat100.ameba.jp/tnk47/ratio20/illustrations/card/ill_63283_mizuyokanchan03.jpg?201911-4-RELEASE-guildbattle-440", "■")</f>
        <v>■</v>
      </c>
      <c r="F424" s="1" t="s">
        <v>327</v>
      </c>
      <c r="G424" s="1">
        <v>118063</v>
      </c>
      <c r="H424" s="1">
        <v>109786</v>
      </c>
      <c r="I424" s="7">
        <v>25</v>
      </c>
      <c r="J424" s="1" t="s">
        <v>283</v>
      </c>
      <c r="K424" s="1" t="s">
        <v>328</v>
      </c>
      <c r="L424" s="1" t="s">
        <v>329</v>
      </c>
      <c r="M424" s="1" t="s">
        <v>9158</v>
      </c>
      <c r="N424" s="1" t="s">
        <v>9158</v>
      </c>
      <c r="O424" s="19" t="s">
        <v>10084</v>
      </c>
      <c r="P424" s="1" t="s">
        <v>3563</v>
      </c>
      <c r="Q424" s="1">
        <v>1</v>
      </c>
    </row>
    <row r="425" spans="1:17">
      <c r="A425" s="1">
        <v>81023</v>
      </c>
      <c r="B425" s="1" t="s">
        <v>334</v>
      </c>
      <c r="C425" s="1" t="s">
        <v>41</v>
      </c>
      <c r="D425" s="19" t="s">
        <v>10274</v>
      </c>
      <c r="E425" s="15" t="str">
        <f>HYPERLINK("https://stat100.ameba.jp/tnk47/ratio20/illustrations/card/ill_81023_momonokenki03.jpg?201911-4-RELEASE-guildbattle-440", "■")</f>
        <v>■</v>
      </c>
      <c r="F425" s="1" t="s">
        <v>4088</v>
      </c>
      <c r="G425" s="1">
        <v>132144</v>
      </c>
      <c r="H425" s="1">
        <v>95703</v>
      </c>
      <c r="I425" s="7">
        <v>25</v>
      </c>
      <c r="J425" s="1" t="s">
        <v>143</v>
      </c>
      <c r="K425" s="1" t="s">
        <v>4089</v>
      </c>
      <c r="L425" s="1" t="s">
        <v>2049</v>
      </c>
      <c r="M425" s="1" t="s">
        <v>9158</v>
      </c>
      <c r="N425" s="1" t="s">
        <v>9158</v>
      </c>
      <c r="O425" s="19" t="s">
        <v>10096</v>
      </c>
      <c r="P425" s="1" t="s">
        <v>3245</v>
      </c>
      <c r="Q425" s="1">
        <v>1</v>
      </c>
    </row>
    <row r="426" spans="1:17">
      <c r="A426" s="1">
        <v>75853</v>
      </c>
      <c r="B426" s="1" t="s">
        <v>334</v>
      </c>
      <c r="C426" s="1" t="s">
        <v>41</v>
      </c>
      <c r="D426" s="19" t="s">
        <v>10224</v>
      </c>
      <c r="E426" s="15" t="str">
        <f>HYPERLINK("https://stat100.ameba.jp/tnk47/ratio20/illustrations/card/ill_75853_moruganoyuki03.jpg?201911-4-RELEASE-guildbattle-440", "■")</f>
        <v>■</v>
      </c>
      <c r="F426" s="1" t="s">
        <v>5106</v>
      </c>
      <c r="G426" s="1">
        <v>125000</v>
      </c>
      <c r="H426" s="1">
        <v>116225</v>
      </c>
      <c r="I426" s="7">
        <v>25</v>
      </c>
      <c r="J426" s="1" t="s">
        <v>16</v>
      </c>
      <c r="K426" s="1" t="s">
        <v>5108</v>
      </c>
      <c r="L426" s="1" t="s">
        <v>1881</v>
      </c>
      <c r="M426" s="1" t="s">
        <v>9158</v>
      </c>
      <c r="N426" s="1" t="s">
        <v>9158</v>
      </c>
      <c r="O426" s="19" t="s">
        <v>10070</v>
      </c>
      <c r="P426" s="1" t="s">
        <v>3579</v>
      </c>
      <c r="Q426" s="1">
        <v>1</v>
      </c>
    </row>
    <row r="427" spans="1:17">
      <c r="A427" s="1">
        <v>80743</v>
      </c>
      <c r="B427" s="1" t="s">
        <v>0</v>
      </c>
      <c r="C427" s="1" t="s">
        <v>209</v>
      </c>
      <c r="D427" s="19" t="s">
        <v>10414</v>
      </c>
      <c r="E427" s="15" t="str">
        <f>HYPERLINK("https://stat100.ameba.jp/tnk47/ratio20/illustrations/card/ill_80743_senseijutsushi03.jpg?201911-4-RELEASE-guildbattle-440", "■")</f>
        <v>■</v>
      </c>
      <c r="F427" s="1" t="s">
        <v>4249</v>
      </c>
      <c r="G427" s="1">
        <v>79151</v>
      </c>
      <c r="H427" s="1">
        <v>109259</v>
      </c>
      <c r="I427" s="7">
        <v>25</v>
      </c>
      <c r="J427" s="1" t="s">
        <v>16</v>
      </c>
      <c r="K427" s="1" t="s">
        <v>4250</v>
      </c>
      <c r="L427" s="1" t="s">
        <v>4251</v>
      </c>
      <c r="M427" s="1" t="s">
        <v>9158</v>
      </c>
      <c r="N427" s="1" t="s">
        <v>9158</v>
      </c>
      <c r="O427" s="19" t="s">
        <v>10109</v>
      </c>
      <c r="P427" s="1" t="s">
        <v>3625</v>
      </c>
      <c r="Q427" s="1">
        <v>1</v>
      </c>
    </row>
    <row r="428" spans="1:17">
      <c r="A428" s="1">
        <v>71333</v>
      </c>
      <c r="B428" s="1" t="s">
        <v>0</v>
      </c>
      <c r="C428" s="1" t="s">
        <v>41</v>
      </c>
      <c r="D428" s="19" t="s">
        <v>10256</v>
      </c>
      <c r="E428" s="15" t="str">
        <f>HYPERLINK("https://stat100.ameba.jp/tnk47/ratio20/illustrations/card/ill_71333_fujiwaranokamatari03.jpg?201911-4-RELEASE-guildbattle-440", "■")</f>
        <v>■</v>
      </c>
      <c r="F428" s="1" t="s">
        <v>58</v>
      </c>
      <c r="G428" s="1">
        <v>109259</v>
      </c>
      <c r="H428" s="1">
        <v>79151</v>
      </c>
      <c r="I428" s="7">
        <v>25</v>
      </c>
      <c r="J428" s="1" t="s">
        <v>10</v>
      </c>
      <c r="K428" s="1" t="s">
        <v>59</v>
      </c>
      <c r="L428" s="1" t="s">
        <v>60</v>
      </c>
      <c r="M428" s="1" t="s">
        <v>9158</v>
      </c>
      <c r="N428" s="1" t="s">
        <v>9158</v>
      </c>
      <c r="O428" s="19" t="s">
        <v>10098</v>
      </c>
      <c r="P428" s="1" t="s">
        <v>3491</v>
      </c>
      <c r="Q428" s="1">
        <v>1</v>
      </c>
    </row>
    <row r="429" spans="1:17">
      <c r="A429" s="7">
        <v>77243</v>
      </c>
      <c r="B429" s="7" t="s">
        <v>0</v>
      </c>
      <c r="C429" s="7" t="s">
        <v>185</v>
      </c>
      <c r="D429" s="19" t="s">
        <v>1435</v>
      </c>
      <c r="E429" s="15" t="str">
        <f>HYPERLINK("https://stat100.ameba.jp/tnk47/ratio20/illustrations/card/ill_77243_seikimatsuniijimayae03.jpg?201911-4-RELEASE-guildbattle-440", "■")</f>
        <v>■</v>
      </c>
      <c r="F429" s="7" t="s">
        <v>8114</v>
      </c>
      <c r="G429" s="7">
        <v>97651</v>
      </c>
      <c r="H429" s="7">
        <v>90759</v>
      </c>
      <c r="I429" s="7">
        <v>25</v>
      </c>
      <c r="J429" s="7" t="s">
        <v>173</v>
      </c>
      <c r="K429" s="7" t="s">
        <v>8113</v>
      </c>
      <c r="L429" s="7" t="s">
        <v>3352</v>
      </c>
      <c r="M429" s="1" t="s">
        <v>9158</v>
      </c>
      <c r="N429" s="1" t="s">
        <v>9158</v>
      </c>
      <c r="O429" s="1" t="s">
        <v>9158</v>
      </c>
      <c r="P429" s="1" t="s">
        <v>9158</v>
      </c>
      <c r="Q429" s="1" t="s">
        <v>9158</v>
      </c>
    </row>
    <row r="430" spans="1:17">
      <c r="A430" s="7">
        <v>78033</v>
      </c>
      <c r="B430" s="7" t="s">
        <v>0</v>
      </c>
      <c r="C430" s="7" t="s">
        <v>200</v>
      </c>
      <c r="D430" s="19" t="s">
        <v>10310</v>
      </c>
      <c r="E430" s="15" t="str">
        <f>HYPERLINK("https://stat100.ameba.jp/tnk47/ratio20/illustrations/card/ill_78033_bonenkaimyoombenzaiten03.jpg?201911-4-RELEASE-guildbattle-440", "■")</f>
        <v>■</v>
      </c>
      <c r="F430" s="7" t="s">
        <v>2209</v>
      </c>
      <c r="G430" s="7">
        <v>101971</v>
      </c>
      <c r="H430" s="7">
        <v>94802</v>
      </c>
      <c r="I430" s="7">
        <v>25</v>
      </c>
      <c r="J430" s="7" t="s">
        <v>169</v>
      </c>
      <c r="K430" s="7" t="s">
        <v>2210</v>
      </c>
      <c r="L430" s="7" t="s">
        <v>2211</v>
      </c>
      <c r="M430" s="1" t="s">
        <v>9158</v>
      </c>
      <c r="N430" s="1" t="s">
        <v>9158</v>
      </c>
      <c r="O430" s="1" t="s">
        <v>9158</v>
      </c>
      <c r="P430" s="1" t="s">
        <v>9158</v>
      </c>
      <c r="Q430" s="1" t="s">
        <v>9158</v>
      </c>
    </row>
    <row r="431" spans="1:17">
      <c r="A431" s="7">
        <v>81983</v>
      </c>
      <c r="B431" s="7" t="s">
        <v>0</v>
      </c>
      <c r="C431" s="7" t="s">
        <v>191</v>
      </c>
      <c r="D431" s="19" t="s">
        <v>10206</v>
      </c>
      <c r="E431" s="15" t="str">
        <f>HYPERLINK("https://stat100.ameba.jp/tnk47/ratio20/illustrations/card/ill_81983_otenkinonesammatsushitaotome03.jpg?201911-4-RELEASE-guildbattle-440", "■")</f>
        <v>■</v>
      </c>
      <c r="F431" s="7" t="s">
        <v>5022</v>
      </c>
      <c r="G431" s="7">
        <v>97651</v>
      </c>
      <c r="H431" s="7">
        <v>90759</v>
      </c>
      <c r="I431" s="7">
        <v>25</v>
      </c>
      <c r="J431" s="7" t="s">
        <v>187</v>
      </c>
      <c r="K431" s="7" t="s">
        <v>5024</v>
      </c>
      <c r="L431" s="7" t="s">
        <v>4678</v>
      </c>
      <c r="M431" s="1" t="s">
        <v>9158</v>
      </c>
      <c r="N431" s="1" t="s">
        <v>9158</v>
      </c>
      <c r="O431" s="1" t="s">
        <v>9158</v>
      </c>
      <c r="P431" s="1" t="s">
        <v>9158</v>
      </c>
      <c r="Q431" s="1" t="s">
        <v>9158</v>
      </c>
    </row>
    <row r="432" spans="1:17">
      <c r="A432" s="7">
        <v>61983</v>
      </c>
      <c r="B432" s="7" t="s">
        <v>0</v>
      </c>
      <c r="C432" s="7" t="s">
        <v>165</v>
      </c>
      <c r="D432" s="19" t="s">
        <v>10785</v>
      </c>
      <c r="E432" s="15" t="str">
        <f>HYPERLINK("https://stat100.ameba.jp/tnk47/ratio20/illustrations/card/ill_61983_koinoborihinotomiko03.jpg?201911-4-RELEASE-guildbattle-440", "■")</f>
        <v>■</v>
      </c>
      <c r="F432" s="7" t="s">
        <v>2450</v>
      </c>
      <c r="G432" s="7">
        <v>97651</v>
      </c>
      <c r="H432" s="7">
        <v>90759</v>
      </c>
      <c r="I432" s="7">
        <v>25</v>
      </c>
      <c r="J432" s="7" t="s">
        <v>187</v>
      </c>
      <c r="K432" s="7" t="s">
        <v>2451</v>
      </c>
      <c r="L432" s="7" t="s">
        <v>76</v>
      </c>
      <c r="M432" s="1" t="s">
        <v>9158</v>
      </c>
      <c r="N432" s="1" t="s">
        <v>9158</v>
      </c>
      <c r="O432" s="1" t="s">
        <v>9158</v>
      </c>
      <c r="P432" s="1" t="s">
        <v>9158</v>
      </c>
      <c r="Q432" s="1" t="s">
        <v>9158</v>
      </c>
    </row>
    <row r="433" spans="1:17">
      <c r="A433" s="7">
        <v>68463</v>
      </c>
      <c r="B433" s="7" t="s">
        <v>0</v>
      </c>
      <c r="C433" s="7" t="s">
        <v>205</v>
      </c>
      <c r="D433" s="19" t="s">
        <v>10252</v>
      </c>
      <c r="E433" s="15" t="str">
        <f>HYPERLINK("https://stat100.ameba.jp/tnk47/ratio20/illustrations/card/ill_68463_sunogurabiashirubaakusechan03.jpg?201911-4-RELEASE-guildbattle-440", "■")</f>
        <v>■</v>
      </c>
      <c r="F433" s="7" t="s">
        <v>2403</v>
      </c>
      <c r="G433" s="7">
        <v>106266</v>
      </c>
      <c r="H433" s="7">
        <v>98789</v>
      </c>
      <c r="I433" s="7">
        <v>25</v>
      </c>
      <c r="J433" s="7" t="s">
        <v>229</v>
      </c>
      <c r="K433" s="7" t="s">
        <v>2404</v>
      </c>
      <c r="L433" s="7" t="s">
        <v>2405</v>
      </c>
      <c r="M433" s="1" t="s">
        <v>9158</v>
      </c>
      <c r="N433" s="1" t="s">
        <v>9158</v>
      </c>
      <c r="O433" s="1" t="s">
        <v>9158</v>
      </c>
      <c r="P433" s="1" t="s">
        <v>9158</v>
      </c>
      <c r="Q433" s="1" t="s">
        <v>9158</v>
      </c>
    </row>
    <row r="434" spans="1:17">
      <c r="A434" s="7">
        <v>75573</v>
      </c>
      <c r="B434" s="7" t="s">
        <v>0</v>
      </c>
      <c r="C434" s="7" t="s">
        <v>206</v>
      </c>
      <c r="D434" s="19" t="s">
        <v>10380</v>
      </c>
      <c r="E434" s="15" t="str">
        <f>HYPERLINK("https://stat100.ameba.jp/tnk47/ratio20/illustrations/card/ill_75573_niirotadamoto03.jpg?201911-4-RELEASE-guildbattle-440", "■")</f>
        <v>■</v>
      </c>
      <c r="F434" s="7" t="s">
        <v>5726</v>
      </c>
      <c r="G434" s="7">
        <v>148619</v>
      </c>
      <c r="H434" s="7">
        <v>138186</v>
      </c>
      <c r="I434" s="7">
        <v>25</v>
      </c>
      <c r="J434" s="7" t="s">
        <v>194</v>
      </c>
      <c r="K434" s="7" t="s">
        <v>5728</v>
      </c>
      <c r="L434" s="7" t="s">
        <v>3459</v>
      </c>
      <c r="M434" s="1" t="s">
        <v>9158</v>
      </c>
      <c r="N434" s="1" t="s">
        <v>9158</v>
      </c>
      <c r="O434" s="1" t="s">
        <v>9158</v>
      </c>
      <c r="P434" s="1" t="s">
        <v>9158</v>
      </c>
      <c r="Q434" s="1" t="s">
        <v>9158</v>
      </c>
    </row>
    <row r="435" spans="1:17">
      <c r="A435" s="7">
        <v>73933</v>
      </c>
      <c r="B435" s="7" t="s">
        <v>8169</v>
      </c>
      <c r="C435" s="7" t="s">
        <v>185</v>
      </c>
      <c r="D435" s="19" t="s">
        <v>10788</v>
      </c>
      <c r="E435" s="15" t="str">
        <f>HYPERLINK("https://stat100.ameba.jp/tnk47/ratio20/illustrations/card/ill_73933_takamurachieko03.jpg?201911-4-RELEASE-guildbattle-440", "■")</f>
        <v>■</v>
      </c>
      <c r="F435" s="7" t="s">
        <v>8172</v>
      </c>
      <c r="G435" s="7">
        <v>67210</v>
      </c>
      <c r="H435" s="7">
        <v>74100</v>
      </c>
      <c r="I435" s="7">
        <v>25</v>
      </c>
      <c r="J435" s="7" t="s">
        <v>8170</v>
      </c>
      <c r="K435" s="7" t="s">
        <v>8173</v>
      </c>
      <c r="L435" s="7" t="s">
        <v>8174</v>
      </c>
      <c r="M435" s="1" t="s">
        <v>9158</v>
      </c>
      <c r="N435" s="1" t="s">
        <v>9158</v>
      </c>
      <c r="O435" s="1" t="s">
        <v>9158</v>
      </c>
      <c r="P435" s="1" t="s">
        <v>9158</v>
      </c>
      <c r="Q435" s="1" t="s">
        <v>9158</v>
      </c>
    </row>
    <row r="436" spans="1:17">
      <c r="A436" s="7">
        <v>57913</v>
      </c>
      <c r="B436" s="7" t="s">
        <v>8169</v>
      </c>
      <c r="C436" s="7" t="s">
        <v>8171</v>
      </c>
      <c r="D436" s="19" t="s">
        <v>501</v>
      </c>
      <c r="E436" s="15" t="str">
        <f>HYPERLINK("https://stat100.ameba.jp/tnk47/ratio20/illustrations/card/ill_57913_otokuchurusahohime03.jpg?201911-4-RELEASE-guildbattle-440", "■")</f>
        <v>■</v>
      </c>
      <c r="F436" s="1" t="s">
        <v>1002</v>
      </c>
      <c r="G436" s="7">
        <v>74100</v>
      </c>
      <c r="H436" s="7">
        <v>67210</v>
      </c>
      <c r="I436" s="1">
        <v>25</v>
      </c>
      <c r="J436" s="1" t="s">
        <v>44</v>
      </c>
      <c r="K436" s="1" t="s">
        <v>1003</v>
      </c>
      <c r="L436" s="1" t="s">
        <v>1004</v>
      </c>
      <c r="M436" s="1" t="s">
        <v>9158</v>
      </c>
      <c r="N436" s="1" t="s">
        <v>9158</v>
      </c>
      <c r="O436" s="1" t="s">
        <v>9158</v>
      </c>
      <c r="P436" s="1" t="s">
        <v>9158</v>
      </c>
      <c r="Q436" s="1" t="s">
        <v>9158</v>
      </c>
    </row>
    <row r="437" spans="1:17">
      <c r="A437" s="7">
        <v>74783</v>
      </c>
      <c r="B437" s="7" t="s">
        <v>8169</v>
      </c>
      <c r="C437" s="7" t="s">
        <v>206</v>
      </c>
      <c r="D437" s="19" t="s">
        <v>10789</v>
      </c>
      <c r="E437" s="15" t="str">
        <f>HYPERLINK("https://stat100.ameba.jp/tnk47/ratio20/illustrations/card/ill_74783_tenshoin03.jpg?201911-4-RELEASE-guildbattle-440", "■")</f>
        <v>■</v>
      </c>
      <c r="F437" s="7" t="s">
        <v>8175</v>
      </c>
      <c r="G437" s="7">
        <v>74100</v>
      </c>
      <c r="H437" s="7">
        <v>67210</v>
      </c>
      <c r="I437" s="7">
        <v>25</v>
      </c>
      <c r="J437" s="7" t="s">
        <v>8155</v>
      </c>
      <c r="K437" s="7" t="s">
        <v>8177</v>
      </c>
      <c r="L437" s="7" t="s">
        <v>8176</v>
      </c>
      <c r="M437" s="1" t="s">
        <v>9158</v>
      </c>
      <c r="N437" s="1" t="s">
        <v>9158</v>
      </c>
      <c r="O437" s="1" t="s">
        <v>9158</v>
      </c>
      <c r="P437" s="1" t="s">
        <v>9158</v>
      </c>
      <c r="Q437" s="1" t="s">
        <v>9158</v>
      </c>
    </row>
    <row r="438" spans="1:17">
      <c r="E438" s="7"/>
    </row>
    <row r="439" spans="1:17">
      <c r="A439" s="7" t="s">
        <v>8152</v>
      </c>
      <c r="E439" s="7"/>
    </row>
    <row r="440" spans="1:17">
      <c r="A440" s="7" t="s">
        <v>8153</v>
      </c>
      <c r="E440" s="7"/>
    </row>
    <row r="441" spans="1:17">
      <c r="A441" s="1" t="s">
        <v>5843</v>
      </c>
      <c r="B441" s="1" t="s">
        <v>52</v>
      </c>
      <c r="C441" s="1" t="s">
        <v>202</v>
      </c>
      <c r="D441" s="19" t="s">
        <v>10291</v>
      </c>
      <c r="E441" s="15" t="str">
        <f>HYPERLINK("https://stat100.ameba.jp/tnk47/ratio20/illustrations/card/ill_77963_0_kurisumasudaisakusentakiyashahime03.jpg?201911-4-RELEASE-guildbattle-440", "■")</f>
        <v>■</v>
      </c>
      <c r="F441" s="1" t="s">
        <v>2127</v>
      </c>
      <c r="G441" s="1">
        <v>184216</v>
      </c>
      <c r="H441" s="1">
        <v>166491</v>
      </c>
      <c r="I441" s="1">
        <v>15</v>
      </c>
      <c r="J441" s="1" t="s">
        <v>77</v>
      </c>
      <c r="K441" s="1" t="s">
        <v>2128</v>
      </c>
      <c r="L441" s="1" t="s">
        <v>2129</v>
      </c>
      <c r="M441" s="1" t="s">
        <v>9158</v>
      </c>
      <c r="N441" s="1" t="s">
        <v>9158</v>
      </c>
      <c r="O441" s="19" t="s">
        <v>10107</v>
      </c>
      <c r="P441" s="1" t="s">
        <v>3589</v>
      </c>
      <c r="Q441" s="1">
        <v>2</v>
      </c>
    </row>
    <row r="442" spans="1:17">
      <c r="A442" s="1" t="s">
        <v>5607</v>
      </c>
      <c r="B442" s="1" t="s">
        <v>330</v>
      </c>
      <c r="C442" s="1" t="s">
        <v>200</v>
      </c>
      <c r="D442" s="19" t="s">
        <v>421</v>
      </c>
      <c r="E442" s="15" t="str">
        <f>HYPERLINK("https://stat100.ameba.jp/tnk47/ratio20/illustrations/card/ill_58853_0_setsubumpanikkuhiratsukaraicho03.jpg?201911-4-RELEASE-guildbattle-440", "■")</f>
        <v>■</v>
      </c>
      <c r="F442" s="1" t="s">
        <v>1040</v>
      </c>
      <c r="G442" s="1">
        <v>94236</v>
      </c>
      <c r="H442" s="1">
        <v>83712</v>
      </c>
      <c r="I442" s="1">
        <v>15</v>
      </c>
      <c r="J442" s="1" t="s">
        <v>16</v>
      </c>
      <c r="K442" s="1" t="s">
        <v>1041</v>
      </c>
      <c r="L442" s="1" t="s">
        <v>1042</v>
      </c>
      <c r="M442" s="1" t="s">
        <v>9158</v>
      </c>
      <c r="N442" s="1" t="s">
        <v>9158</v>
      </c>
      <c r="O442" s="19" t="s">
        <v>10075</v>
      </c>
      <c r="P442" s="1" t="s">
        <v>2870</v>
      </c>
      <c r="Q442" s="1">
        <v>1</v>
      </c>
    </row>
    <row r="443" spans="1:17">
      <c r="A443" s="1" t="s">
        <v>5902</v>
      </c>
      <c r="B443" s="1" t="s">
        <v>330</v>
      </c>
      <c r="C443" s="1" t="s">
        <v>206</v>
      </c>
      <c r="D443" s="19" t="s">
        <v>483</v>
      </c>
      <c r="E443" s="15" t="str">
        <f>HYPERLINK("https://stat100.ameba.jp/tnk47/ratio20/illustrations/card/ill_40343_0_heshikirihasebekurodakambe03.jpg?201911-4-RELEASE-guildbattle-440", "■")</f>
        <v>■</v>
      </c>
      <c r="F443" s="1" t="s">
        <v>906</v>
      </c>
      <c r="G443" s="1">
        <v>87780</v>
      </c>
      <c r="H443" s="1">
        <v>82212</v>
      </c>
      <c r="I443" s="1">
        <v>15</v>
      </c>
      <c r="J443" s="1" t="s">
        <v>16</v>
      </c>
      <c r="K443" s="1" t="s">
        <v>907</v>
      </c>
      <c r="L443" s="1" t="s">
        <v>908</v>
      </c>
      <c r="M443" s="1" t="s">
        <v>9158</v>
      </c>
      <c r="N443" s="1" t="s">
        <v>9158</v>
      </c>
      <c r="O443" s="1" t="s">
        <v>9158</v>
      </c>
      <c r="P443" s="1" t="s">
        <v>9158</v>
      </c>
      <c r="Q443" s="1" t="s">
        <v>9158</v>
      </c>
    </row>
    <row r="444" spans="1:17">
      <c r="A444" s="1">
        <v>85243</v>
      </c>
      <c r="B444" s="1" t="s">
        <v>334</v>
      </c>
      <c r="C444" s="1" t="s">
        <v>200</v>
      </c>
      <c r="D444" s="19" t="s">
        <v>10790</v>
      </c>
      <c r="E444" s="15" t="str">
        <f>HYPERLINK("https://stat100.ameba.jp/tnk47/ratio20/illustrations/card/ill_85243_daikokaijidaikonjikihime03.jpg?201911-4-RELEASE-guildbattle-440", "■")</f>
        <v>■</v>
      </c>
      <c r="F444" s="1" t="s">
        <v>8159</v>
      </c>
      <c r="G444" s="1">
        <v>113463</v>
      </c>
      <c r="H444" s="1">
        <v>82205</v>
      </c>
      <c r="I444" s="1">
        <v>25</v>
      </c>
      <c r="J444" s="1" t="s">
        <v>8154</v>
      </c>
      <c r="K444" s="1" t="s">
        <v>8158</v>
      </c>
      <c r="L444" s="1" t="s">
        <v>8157</v>
      </c>
      <c r="M444" s="1" t="s">
        <v>9158</v>
      </c>
      <c r="N444" s="1" t="s">
        <v>9158</v>
      </c>
      <c r="O444" s="1" t="s">
        <v>9158</v>
      </c>
      <c r="P444" s="1" t="s">
        <v>9158</v>
      </c>
      <c r="Q444" s="1" t="s">
        <v>9158</v>
      </c>
    </row>
    <row r="445" spans="1:17">
      <c r="A445" s="1">
        <v>85253</v>
      </c>
      <c r="B445" s="1" t="s">
        <v>334</v>
      </c>
      <c r="C445" s="1" t="s">
        <v>165</v>
      </c>
      <c r="D445" s="19" t="s">
        <v>10791</v>
      </c>
      <c r="E445" s="15" t="str">
        <f>HYPERLINK("https://stat100.ameba.jp/tnk47/ratio20/illustrations/card/ill_85253_makushirion03.jpg?201911-4-RELEASE-guildbattle-440", "■")</f>
        <v>■</v>
      </c>
      <c r="F445" s="1" t="s">
        <v>8162</v>
      </c>
      <c r="G445" s="1">
        <v>120570</v>
      </c>
      <c r="H445" s="1">
        <v>67842</v>
      </c>
      <c r="I445" s="1">
        <v>25</v>
      </c>
      <c r="J445" s="1" t="s">
        <v>8155</v>
      </c>
      <c r="K445" s="1" t="s">
        <v>8161</v>
      </c>
      <c r="L445" s="1" t="s">
        <v>8160</v>
      </c>
      <c r="M445" s="1" t="s">
        <v>9158</v>
      </c>
      <c r="N445" s="1" t="s">
        <v>9158</v>
      </c>
      <c r="O445" s="1" t="s">
        <v>9158</v>
      </c>
      <c r="P445" s="1" t="s">
        <v>9158</v>
      </c>
      <c r="Q445" s="1" t="s">
        <v>9158</v>
      </c>
    </row>
    <row r="446" spans="1:17">
      <c r="A446" s="1">
        <v>69133</v>
      </c>
      <c r="B446" s="1" t="s">
        <v>334</v>
      </c>
      <c r="C446" s="1" t="s">
        <v>185</v>
      </c>
      <c r="D446" s="19" t="s">
        <v>3152</v>
      </c>
      <c r="E446" s="15" t="str">
        <f>HYPERLINK("https://stat100.ameba.jp/tnk47/ratio20/illustrations/card/ill_69133_payokakamui03.jpg?201911-4-RELEASE-guildbattle-440", "■")</f>
        <v>■</v>
      </c>
      <c r="F446" s="1" t="s">
        <v>8165</v>
      </c>
      <c r="G446" s="1">
        <v>125931</v>
      </c>
      <c r="H446" s="1">
        <v>70844</v>
      </c>
      <c r="I446" s="1">
        <v>25</v>
      </c>
      <c r="J446" s="1" t="s">
        <v>8156</v>
      </c>
      <c r="K446" s="1" t="s">
        <v>8164</v>
      </c>
      <c r="L446" s="1" t="s">
        <v>8163</v>
      </c>
      <c r="M446" s="1" t="s">
        <v>9158</v>
      </c>
      <c r="N446" s="1" t="s">
        <v>9158</v>
      </c>
      <c r="O446" s="1" t="s">
        <v>9158</v>
      </c>
      <c r="P446" s="1" t="s">
        <v>9158</v>
      </c>
      <c r="Q446" s="1" t="s">
        <v>9158</v>
      </c>
    </row>
    <row r="447" spans="1:17">
      <c r="A447" s="1">
        <v>81503</v>
      </c>
      <c r="B447" s="1" t="s">
        <v>15</v>
      </c>
      <c r="C447" s="1" t="s">
        <v>165</v>
      </c>
      <c r="D447" s="19" t="s">
        <v>10714</v>
      </c>
      <c r="E447" s="15" t="str">
        <f>HYPERLINK("https://stat100.ameba.jp/tnk47/ratio20/illustrations/card/ill_81503_kurotengu03.jpg?201911-4-RELEASE-guildbattle-440", "■")</f>
        <v>■</v>
      </c>
      <c r="F447" s="1" t="s">
        <v>4777</v>
      </c>
      <c r="G447" s="1">
        <v>74100</v>
      </c>
      <c r="H447" s="1">
        <v>67210</v>
      </c>
      <c r="I447" s="1">
        <v>25</v>
      </c>
      <c r="J447" s="1" t="s">
        <v>73</v>
      </c>
      <c r="K447" s="1" t="s">
        <v>4778</v>
      </c>
      <c r="L447" s="1" t="s">
        <v>3835</v>
      </c>
      <c r="M447" s="1" t="s">
        <v>9158</v>
      </c>
      <c r="N447" s="1" t="s">
        <v>9158</v>
      </c>
      <c r="O447" s="1" t="s">
        <v>9158</v>
      </c>
      <c r="P447" s="1" t="s">
        <v>9158</v>
      </c>
      <c r="Q447" s="1" t="s">
        <v>9158</v>
      </c>
    </row>
    <row r="448" spans="1:17">
      <c r="A448" s="1">
        <v>71703</v>
      </c>
      <c r="B448" s="1" t="s">
        <v>15</v>
      </c>
      <c r="C448" s="1" t="s">
        <v>206</v>
      </c>
      <c r="D448" s="19" t="s">
        <v>10543</v>
      </c>
      <c r="E448" s="15" t="str">
        <f>HYPERLINK("https://stat100.ameba.jp/tnk47/ratio20/illustrations/card/ill_71703_shokugyotaikenkusumotoine03.jpg?201911-4-RELEASE-guildbattle-440", "■")</f>
        <v>■</v>
      </c>
      <c r="F448" s="1" t="s">
        <v>4239</v>
      </c>
      <c r="G448" s="1">
        <v>74100</v>
      </c>
      <c r="H448" s="1">
        <v>67210</v>
      </c>
      <c r="I448" s="1">
        <v>25</v>
      </c>
      <c r="J448" s="1" t="s">
        <v>16</v>
      </c>
      <c r="K448" s="1" t="s">
        <v>4240</v>
      </c>
      <c r="L448" s="1" t="s">
        <v>21</v>
      </c>
      <c r="M448" s="1" t="s">
        <v>9158</v>
      </c>
      <c r="N448" s="1" t="s">
        <v>9158</v>
      </c>
      <c r="O448" s="1" t="s">
        <v>9158</v>
      </c>
      <c r="P448" s="1" t="s">
        <v>9158</v>
      </c>
      <c r="Q448" s="1" t="s">
        <v>9158</v>
      </c>
    </row>
    <row r="449" spans="1:17">
      <c r="A449" s="1">
        <v>80683</v>
      </c>
      <c r="B449" s="1" t="s">
        <v>15</v>
      </c>
      <c r="C449" s="1" t="s">
        <v>101</v>
      </c>
      <c r="D449" s="19" t="s">
        <v>10715</v>
      </c>
      <c r="E449" s="15" t="str">
        <f>HYPERLINK("https://stat100.ameba.jp/tnk47/ratio20/illustrations/card/ill_80683_nyugakushikimaedatoshiie03.jpg?201911-4-RELEASE-guildbattle-440", "■")</f>
        <v>■</v>
      </c>
      <c r="F449" s="1" t="s">
        <v>4223</v>
      </c>
      <c r="G449" s="1">
        <v>74100</v>
      </c>
      <c r="H449" s="1">
        <v>67210</v>
      </c>
      <c r="I449" s="1">
        <v>25</v>
      </c>
      <c r="J449" s="1" t="s">
        <v>143</v>
      </c>
      <c r="K449" s="1" t="s">
        <v>4224</v>
      </c>
      <c r="L449" s="1" t="s">
        <v>3524</v>
      </c>
      <c r="M449" s="1" t="s">
        <v>9158</v>
      </c>
      <c r="N449" s="1" t="s">
        <v>9158</v>
      </c>
      <c r="O449" s="1" t="s">
        <v>9158</v>
      </c>
      <c r="P449" s="1" t="s">
        <v>9158</v>
      </c>
      <c r="Q449" s="1" t="s">
        <v>9158</v>
      </c>
    </row>
    <row r="450" spans="1:17">
      <c r="E450" s="7"/>
    </row>
    <row r="451" spans="1:17">
      <c r="A451" s="7" t="s">
        <v>8178</v>
      </c>
      <c r="E451" s="7"/>
    </row>
    <row r="452" spans="1:17">
      <c r="A452" s="7" t="s">
        <v>8179</v>
      </c>
      <c r="E452" s="7"/>
    </row>
    <row r="453" spans="1:17">
      <c r="A453" s="1" t="s">
        <v>5822</v>
      </c>
      <c r="B453" s="1" t="s">
        <v>330</v>
      </c>
      <c r="C453" s="1" t="s">
        <v>307</v>
      </c>
      <c r="D453" s="19" t="s">
        <v>306</v>
      </c>
      <c r="E453" s="15" t="str">
        <f>HYPERLINK("https://stat100.ameba.jp/tnk47/ratio20/illustrations/card/ill_71403_0_ohanamisanadayukimura03.jpg?201911-4-RELEASE-guildbattle-440", "■")</f>
        <v>■</v>
      </c>
      <c r="F453" s="1" t="s">
        <v>309</v>
      </c>
      <c r="G453" s="1">
        <v>205358</v>
      </c>
      <c r="H453" s="1">
        <v>190952</v>
      </c>
      <c r="I453" s="1">
        <v>22</v>
      </c>
      <c r="J453" s="1" t="s">
        <v>310</v>
      </c>
      <c r="K453" s="1" t="s">
        <v>311</v>
      </c>
      <c r="L453" s="1" t="s">
        <v>312</v>
      </c>
      <c r="M453" s="1" t="s">
        <v>9158</v>
      </c>
      <c r="N453" s="1" t="s">
        <v>9158</v>
      </c>
      <c r="O453" s="19" t="s">
        <v>10104</v>
      </c>
      <c r="P453" s="1" t="s">
        <v>3418</v>
      </c>
      <c r="Q453" s="1">
        <v>2</v>
      </c>
    </row>
    <row r="454" spans="1:17">
      <c r="A454" s="1">
        <v>73893</v>
      </c>
      <c r="B454" s="1" t="s">
        <v>334</v>
      </c>
      <c r="C454" s="1" t="s">
        <v>203</v>
      </c>
      <c r="D454" s="19" t="s">
        <v>10388</v>
      </c>
      <c r="E454" s="15" t="str">
        <f>HYPERLINK("https://stat100.ameba.jp/tnk47/ratio20/illustrations/card/ill_73893_kurohachidaimyojintookami03.jpg?201911-4-RELEASE-guildbattle-440", "■")</f>
        <v>■</v>
      </c>
      <c r="F454" s="1" t="s">
        <v>685</v>
      </c>
      <c r="G454" s="1">
        <v>127580</v>
      </c>
      <c r="H454" s="1">
        <v>92402</v>
      </c>
      <c r="I454" s="1">
        <v>25</v>
      </c>
      <c r="J454" s="1" t="s">
        <v>274</v>
      </c>
      <c r="K454" s="1" t="s">
        <v>686</v>
      </c>
      <c r="L454" s="1" t="s">
        <v>428</v>
      </c>
      <c r="M454" s="1" t="s">
        <v>9158</v>
      </c>
      <c r="N454" s="1" t="s">
        <v>9158</v>
      </c>
      <c r="O454" s="19" t="s">
        <v>10100</v>
      </c>
      <c r="P454" s="1" t="s">
        <v>3810</v>
      </c>
      <c r="Q454" s="1">
        <v>1</v>
      </c>
    </row>
    <row r="455" spans="1:17">
      <c r="A455" s="1">
        <v>72193</v>
      </c>
      <c r="B455" s="1" t="s">
        <v>334</v>
      </c>
      <c r="C455" s="1" t="s">
        <v>165</v>
      </c>
      <c r="D455" s="19" t="s">
        <v>3112</v>
      </c>
      <c r="E455" s="15" t="str">
        <f>HYPERLINK("https://stat100.ameba.jp/tnk47/ratio20/illustrations/card/ill_72193_koinoborikomyokogo03.jpg?201911-4-RELEASE-guildbattle-440", "■")</f>
        <v>■</v>
      </c>
      <c r="F455" s="1" t="s">
        <v>2539</v>
      </c>
      <c r="G455" s="1">
        <v>97651</v>
      </c>
      <c r="H455" s="1">
        <v>90759</v>
      </c>
      <c r="I455" s="1">
        <v>25</v>
      </c>
      <c r="J455" s="1" t="s">
        <v>10</v>
      </c>
      <c r="K455" s="1" t="s">
        <v>2540</v>
      </c>
      <c r="L455" s="1" t="s">
        <v>60</v>
      </c>
      <c r="M455" s="1" t="s">
        <v>9158</v>
      </c>
      <c r="N455" s="1" t="s">
        <v>9158</v>
      </c>
      <c r="O455" s="19" t="s">
        <v>10090</v>
      </c>
      <c r="P455" s="1" t="s">
        <v>3460</v>
      </c>
      <c r="Q455" s="1">
        <v>1</v>
      </c>
    </row>
    <row r="456" spans="1:17">
      <c r="A456" s="1">
        <v>75333</v>
      </c>
      <c r="B456" s="1" t="s">
        <v>334</v>
      </c>
      <c r="C456" s="1" t="s">
        <v>200</v>
      </c>
      <c r="D456" s="19" t="s">
        <v>3206</v>
      </c>
      <c r="E456" s="15" t="str">
        <f>HYPERLINK("https://stat100.ameba.jp/tnk47/ratio20/illustrations/card/ill_75333_resukuintamamonomae03.jpg?201911-4-RELEASE-guildbattle-440", "■")</f>
        <v>■</v>
      </c>
      <c r="F456" s="1" t="s">
        <v>3207</v>
      </c>
      <c r="G456" s="1">
        <v>96871</v>
      </c>
      <c r="H456" s="1">
        <v>104162</v>
      </c>
      <c r="I456" s="1">
        <v>25</v>
      </c>
      <c r="J456" s="1" t="s">
        <v>320</v>
      </c>
      <c r="K456" s="1" t="s">
        <v>3208</v>
      </c>
      <c r="L456" s="1" t="s">
        <v>3209</v>
      </c>
      <c r="M456" s="1" t="s">
        <v>9158</v>
      </c>
      <c r="N456" s="1" t="s">
        <v>9158</v>
      </c>
      <c r="O456" s="19" t="s">
        <v>10074</v>
      </c>
      <c r="P456" s="1" t="s">
        <v>2822</v>
      </c>
      <c r="Q456" s="1">
        <v>1</v>
      </c>
    </row>
    <row r="457" spans="1:17">
      <c r="E457" s="7"/>
    </row>
    <row r="458" spans="1:17">
      <c r="A458" s="7" t="s">
        <v>8182</v>
      </c>
      <c r="E458" s="7"/>
    </row>
    <row r="459" spans="1:17">
      <c r="A459" s="7" t="s">
        <v>8183</v>
      </c>
      <c r="E459" s="7"/>
    </row>
    <row r="460" spans="1:17">
      <c r="A460" s="1" t="s">
        <v>5733</v>
      </c>
      <c r="B460" s="1" t="s">
        <v>330</v>
      </c>
      <c r="C460" s="1" t="s">
        <v>202</v>
      </c>
      <c r="D460" s="19" t="s">
        <v>2744</v>
      </c>
      <c r="E460" s="15" t="str">
        <f>HYPERLINK("https://stat100.ameba.jp/tnk47/ratio20/illustrations/card/ill_78693_0_kyupittokoinomikoto03.jpg?201911-6-RELEASE-conquest-e-441", "■")</f>
        <v>■</v>
      </c>
      <c r="F460" s="1" t="s">
        <v>2745</v>
      </c>
      <c r="G460" s="1">
        <v>157198</v>
      </c>
      <c r="H460" s="1">
        <v>173933</v>
      </c>
      <c r="I460" s="1">
        <v>15</v>
      </c>
      <c r="J460" s="1" t="s">
        <v>274</v>
      </c>
      <c r="K460" s="1" t="s">
        <v>2746</v>
      </c>
      <c r="L460" s="1" t="s">
        <v>2747</v>
      </c>
      <c r="M460" s="1" t="s">
        <v>9158</v>
      </c>
      <c r="N460" s="1" t="s">
        <v>9158</v>
      </c>
      <c r="O460" s="19" t="s">
        <v>10097</v>
      </c>
      <c r="P460" s="1" t="s">
        <v>2748</v>
      </c>
      <c r="Q460" s="1">
        <v>1</v>
      </c>
    </row>
    <row r="461" spans="1:17">
      <c r="A461" s="1" t="s">
        <v>6030</v>
      </c>
      <c r="B461" s="1" t="s">
        <v>52</v>
      </c>
      <c r="C461" s="1" t="s">
        <v>202</v>
      </c>
      <c r="D461" s="19" t="s">
        <v>10453</v>
      </c>
      <c r="E461" s="15" t="str">
        <f>HYPERLINK("https://stat100.ameba.jp/tnk47/ratio20/illustrations/card/ill_80023_0_hinamatsurikyogokumaria03.jpg?201911-6-RELEASE-conquest-e-441", "■")</f>
        <v>■</v>
      </c>
      <c r="F461" s="1" t="s">
        <v>3709</v>
      </c>
      <c r="G461" s="1">
        <v>202144</v>
      </c>
      <c r="H461" s="1">
        <v>223681</v>
      </c>
      <c r="I461" s="1">
        <v>15</v>
      </c>
      <c r="J461" s="1" t="s">
        <v>26</v>
      </c>
      <c r="K461" s="1" t="s">
        <v>3710</v>
      </c>
      <c r="L461" s="1" t="s">
        <v>3711</v>
      </c>
      <c r="M461" s="1" t="s">
        <v>9158</v>
      </c>
      <c r="N461" s="1" t="s">
        <v>9158</v>
      </c>
      <c r="O461" s="19" t="s">
        <v>10116</v>
      </c>
      <c r="P461" s="1" t="s">
        <v>3713</v>
      </c>
      <c r="Q461" s="1">
        <v>1</v>
      </c>
    </row>
    <row r="462" spans="1:17">
      <c r="A462" s="1" t="s">
        <v>5830</v>
      </c>
      <c r="B462" s="1" t="s">
        <v>330</v>
      </c>
      <c r="C462" s="1" t="s">
        <v>191</v>
      </c>
      <c r="D462" s="19" t="s">
        <v>793</v>
      </c>
      <c r="E462" s="15" t="str">
        <f>HYPERLINK("https://stat100.ameba.jp/tnk47/ratio20/illustrations/card/ill_39933_0_reihiiinaotora03.jpg?201911-6-RELEASE-conquest-e-441", "■")</f>
        <v>■</v>
      </c>
      <c r="F462" s="1" t="s">
        <v>794</v>
      </c>
      <c r="G462" s="1">
        <v>82212</v>
      </c>
      <c r="H462" s="1">
        <v>87780</v>
      </c>
      <c r="I462" s="1">
        <v>15</v>
      </c>
      <c r="J462" s="1" t="s">
        <v>315</v>
      </c>
      <c r="K462" s="1" t="s">
        <v>795</v>
      </c>
      <c r="L462" s="1" t="s">
        <v>796</v>
      </c>
      <c r="M462" s="1" t="s">
        <v>9158</v>
      </c>
      <c r="N462" s="1" t="s">
        <v>9158</v>
      </c>
      <c r="O462" s="1" t="s">
        <v>9158</v>
      </c>
      <c r="P462" s="1" t="s">
        <v>9158</v>
      </c>
      <c r="Q462" s="1" t="s">
        <v>9158</v>
      </c>
    </row>
    <row r="463" spans="1:17">
      <c r="A463" s="1">
        <v>85263</v>
      </c>
      <c r="B463" s="1" t="s">
        <v>0</v>
      </c>
      <c r="C463" s="1" t="s">
        <v>8184</v>
      </c>
      <c r="D463" s="19" t="s">
        <v>10792</v>
      </c>
      <c r="E463" s="15" t="str">
        <f>HYPERLINK("https://stat100.ameba.jp/tnk47/ratio20/illustrations/card/ill_85263_daikokaijidaiheshikirihasebe03.jpg?201911-6-RELEASE-conquest-e-441", "■")</f>
        <v>■</v>
      </c>
      <c r="F463" s="1" t="s">
        <v>8195</v>
      </c>
      <c r="G463" s="1">
        <v>82031</v>
      </c>
      <c r="H463" s="1">
        <v>145818</v>
      </c>
      <c r="I463" s="1">
        <v>25</v>
      </c>
      <c r="J463" s="1" t="s">
        <v>26</v>
      </c>
      <c r="K463" s="1" t="s">
        <v>8194</v>
      </c>
      <c r="L463" s="1" t="s">
        <v>8193</v>
      </c>
      <c r="M463" s="1" t="s">
        <v>9158</v>
      </c>
      <c r="N463" s="1" t="s">
        <v>9158</v>
      </c>
      <c r="O463" s="1" t="s">
        <v>9158</v>
      </c>
      <c r="P463" s="1" t="s">
        <v>9158</v>
      </c>
      <c r="Q463" s="1" t="s">
        <v>9158</v>
      </c>
    </row>
    <row r="464" spans="1:17">
      <c r="A464" s="1">
        <v>85273</v>
      </c>
      <c r="B464" s="1" t="s">
        <v>0</v>
      </c>
      <c r="C464" s="1" t="s">
        <v>8185</v>
      </c>
      <c r="D464" s="19" t="s">
        <v>10793</v>
      </c>
      <c r="E464" s="15" t="str">
        <f>HYPERLINK("https://stat100.ameba.jp/tnk47/ratio20/illustrations/card/ill_85273_rikuriru03.jpg?201911-6-RELEASE-conquest-e-441", "■")</f>
        <v>■</v>
      </c>
      <c r="F464" s="1" t="s">
        <v>8192</v>
      </c>
      <c r="G464" s="1">
        <v>67842</v>
      </c>
      <c r="H464" s="1">
        <v>120570</v>
      </c>
      <c r="I464" s="1">
        <v>25</v>
      </c>
      <c r="J464" s="1" t="s">
        <v>315</v>
      </c>
      <c r="K464" s="1" t="s">
        <v>8191</v>
      </c>
      <c r="L464" s="1" t="s">
        <v>8190</v>
      </c>
      <c r="M464" s="1" t="s">
        <v>9158</v>
      </c>
      <c r="N464" s="1" t="s">
        <v>9158</v>
      </c>
      <c r="O464" s="1" t="s">
        <v>9158</v>
      </c>
      <c r="P464" s="1" t="s">
        <v>9158</v>
      </c>
      <c r="Q464" s="1" t="s">
        <v>9158</v>
      </c>
    </row>
    <row r="465" spans="1:17">
      <c r="A465" s="1">
        <v>79153</v>
      </c>
      <c r="B465" s="1" t="s">
        <v>0</v>
      </c>
      <c r="C465" s="1" t="s">
        <v>8186</v>
      </c>
      <c r="D465" s="19" t="s">
        <v>10463</v>
      </c>
      <c r="E465" s="15" t="str">
        <f>HYPERLINK("https://stat100.ameba.jp/tnk47/ratio20/illustrations/card/ill_79153_karutafutaoijimanoyamanokami03.jpg?201911-6-RELEASE-conquest-e-441", "■")</f>
        <v>■</v>
      </c>
      <c r="F465" s="1" t="s">
        <v>8189</v>
      </c>
      <c r="G465" s="1">
        <v>70844</v>
      </c>
      <c r="H465" s="1">
        <v>125931</v>
      </c>
      <c r="I465" s="1">
        <v>25</v>
      </c>
      <c r="J465" s="1" t="s">
        <v>169</v>
      </c>
      <c r="K465" s="1" t="s">
        <v>8188</v>
      </c>
      <c r="L465" s="1" t="s">
        <v>8187</v>
      </c>
      <c r="M465" s="1" t="s">
        <v>9158</v>
      </c>
      <c r="N465" s="1" t="s">
        <v>9158</v>
      </c>
      <c r="O465" s="1" t="s">
        <v>9158</v>
      </c>
      <c r="P465" s="1" t="s">
        <v>9158</v>
      </c>
      <c r="Q465" s="1" t="s">
        <v>9158</v>
      </c>
    </row>
    <row r="466" spans="1:17">
      <c r="A466" s="1">
        <v>68473</v>
      </c>
      <c r="B466" s="1" t="s">
        <v>15</v>
      </c>
      <c r="C466" s="1" t="s">
        <v>185</v>
      </c>
      <c r="D466" s="19" t="s">
        <v>10510</v>
      </c>
      <c r="E466" s="15" t="str">
        <f>HYPERLINK("https://stat100.ameba.jp/tnk47/ratio20/illustrations/card/ill_68473_sunogurabianakanotakeko03.jpg?201911-6-RELEASE-conquest-e-441", "■")</f>
        <v>■</v>
      </c>
      <c r="F466" s="1" t="s">
        <v>3324</v>
      </c>
      <c r="G466" s="1">
        <v>67210</v>
      </c>
      <c r="H466" s="1">
        <v>74100</v>
      </c>
      <c r="I466" s="1">
        <v>25</v>
      </c>
      <c r="J466" s="1" t="s">
        <v>143</v>
      </c>
      <c r="K466" s="1" t="s">
        <v>3325</v>
      </c>
      <c r="L466" s="1" t="s">
        <v>3326</v>
      </c>
      <c r="M466" s="1" t="s">
        <v>9158</v>
      </c>
      <c r="N466" s="1" t="s">
        <v>9158</v>
      </c>
      <c r="O466" s="1" t="s">
        <v>9158</v>
      </c>
      <c r="P466" s="1" t="s">
        <v>9158</v>
      </c>
      <c r="Q466" s="1" t="s">
        <v>9158</v>
      </c>
    </row>
    <row r="467" spans="1:17">
      <c r="A467" s="1">
        <v>77443</v>
      </c>
      <c r="B467" s="1" t="s">
        <v>15</v>
      </c>
      <c r="C467" s="1" t="s">
        <v>191</v>
      </c>
      <c r="D467" s="19" t="s">
        <v>1666</v>
      </c>
      <c r="E467" s="15" t="str">
        <f>HYPERLINK("https://stat100.ameba.jp/tnk47/ratio20/illustrations/card/ill_77443_kaiinu03.jpg?201911-6-RELEASE-conquest-e-441", "■")</f>
        <v>■</v>
      </c>
      <c r="F467" s="1" t="s">
        <v>1727</v>
      </c>
      <c r="G467" s="1">
        <v>67210</v>
      </c>
      <c r="H467" s="1">
        <v>74100</v>
      </c>
      <c r="I467" s="1">
        <v>25</v>
      </c>
      <c r="J467" s="1" t="s">
        <v>26</v>
      </c>
      <c r="K467" s="1" t="s">
        <v>1728</v>
      </c>
      <c r="L467" s="1" t="s">
        <v>977</v>
      </c>
      <c r="M467" s="1" t="s">
        <v>9158</v>
      </c>
      <c r="N467" s="1" t="s">
        <v>9158</v>
      </c>
      <c r="O467" s="1" t="s">
        <v>9158</v>
      </c>
      <c r="P467" s="1" t="s">
        <v>9158</v>
      </c>
      <c r="Q467" s="1" t="s">
        <v>9158</v>
      </c>
    </row>
    <row r="468" spans="1:17">
      <c r="A468" s="1">
        <v>81993</v>
      </c>
      <c r="B468" s="1" t="s">
        <v>15</v>
      </c>
      <c r="C468" s="1" t="s">
        <v>206</v>
      </c>
      <c r="D468" s="19" t="s">
        <v>10207</v>
      </c>
      <c r="E468" s="15" t="str">
        <f>HYPERLINK("https://stat100.ameba.jp/tnk47/ratio20/illustrations/card/ill_81993_hinohikarichan03.jpg?201911-6-RELEASE-conquest-e-441", "■")</f>
        <v>■</v>
      </c>
      <c r="F468" s="1" t="s">
        <v>5027</v>
      </c>
      <c r="G468" s="1">
        <v>67210</v>
      </c>
      <c r="H468" s="1">
        <v>74100</v>
      </c>
      <c r="I468" s="1">
        <v>25</v>
      </c>
      <c r="J468" s="1" t="s">
        <v>104</v>
      </c>
      <c r="K468" s="1" t="s">
        <v>5029</v>
      </c>
      <c r="L468" s="1" t="s">
        <v>1757</v>
      </c>
      <c r="M468" s="1" t="s">
        <v>9158</v>
      </c>
      <c r="N468" s="1" t="s">
        <v>9158</v>
      </c>
      <c r="O468" s="1" t="s">
        <v>9158</v>
      </c>
      <c r="P468" s="1" t="s">
        <v>9158</v>
      </c>
      <c r="Q468" s="1" t="s">
        <v>9158</v>
      </c>
    </row>
    <row r="469" spans="1:17">
      <c r="E469" s="7"/>
    </row>
    <row r="470" spans="1:17">
      <c r="A470" s="7" t="s">
        <v>8180</v>
      </c>
      <c r="E470" s="7"/>
    </row>
    <row r="471" spans="1:17">
      <c r="A471" s="7" t="s">
        <v>8181</v>
      </c>
      <c r="E471" s="7"/>
    </row>
    <row r="472" spans="1:17">
      <c r="A472" s="1" t="s">
        <v>5891</v>
      </c>
      <c r="B472" s="1" t="s">
        <v>330</v>
      </c>
      <c r="C472" s="1" t="s">
        <v>202</v>
      </c>
      <c r="D472" s="19" t="s">
        <v>1371</v>
      </c>
      <c r="E472" s="15" t="str">
        <f>HYPERLINK("https://stat100.ameba.jp/tnk47/ratio20/illustrations/card/ill_77173_0_yukemuritomoegozen03.jpg?201911-6-RELEASE-conquest-e-441", "■")</f>
        <v>■</v>
      </c>
      <c r="F472" s="1" t="s">
        <v>1372</v>
      </c>
      <c r="G472" s="1">
        <v>240586</v>
      </c>
      <c r="H472" s="1">
        <v>266192</v>
      </c>
      <c r="I472" s="1">
        <v>24</v>
      </c>
      <c r="J472" s="1" t="s">
        <v>310</v>
      </c>
      <c r="K472" s="1" t="s">
        <v>1373</v>
      </c>
      <c r="L472" s="1" t="s">
        <v>1374</v>
      </c>
      <c r="M472" s="1" t="s">
        <v>9158</v>
      </c>
      <c r="N472" s="1" t="s">
        <v>9158</v>
      </c>
      <c r="O472" s="19" t="s">
        <v>4067</v>
      </c>
      <c r="P472" s="1" t="s">
        <v>3879</v>
      </c>
      <c r="Q472" s="1">
        <v>2</v>
      </c>
    </row>
    <row r="473" spans="1:17">
      <c r="A473" s="1">
        <v>75883</v>
      </c>
      <c r="B473" s="1" t="s">
        <v>334</v>
      </c>
      <c r="C473" s="1" t="s">
        <v>154</v>
      </c>
      <c r="D473" s="19" t="s">
        <v>10402</v>
      </c>
      <c r="E473" s="15" t="str">
        <f>HYPERLINK("https://stat100.ameba.jp/tnk47/ratio20/illustrations/card/ill_75883_kitajokagehiro03.jpg?201911-6-RELEASE-conquest-e-441", "■")</f>
        <v>■</v>
      </c>
      <c r="F473" s="1" t="s">
        <v>2411</v>
      </c>
      <c r="G473" s="1">
        <v>115656</v>
      </c>
      <c r="H473" s="1">
        <v>159674</v>
      </c>
      <c r="I473" s="1">
        <v>24</v>
      </c>
      <c r="J473" s="1" t="s">
        <v>143</v>
      </c>
      <c r="K473" s="1" t="s">
        <v>2412</v>
      </c>
      <c r="L473" s="1" t="s">
        <v>1148</v>
      </c>
      <c r="M473" s="1" t="s">
        <v>9158</v>
      </c>
      <c r="N473" s="1" t="s">
        <v>9158</v>
      </c>
      <c r="O473" s="19" t="s">
        <v>10106</v>
      </c>
      <c r="P473" s="1" t="s">
        <v>3330</v>
      </c>
      <c r="Q473" s="1">
        <v>2</v>
      </c>
    </row>
    <row r="474" spans="1:17">
      <c r="A474" s="1">
        <v>62043</v>
      </c>
      <c r="B474" s="1" t="s">
        <v>0</v>
      </c>
      <c r="C474" s="1" t="s">
        <v>158</v>
      </c>
      <c r="D474" s="19" t="s">
        <v>10233</v>
      </c>
      <c r="E474" s="15" t="str">
        <f>HYPERLINK("https://stat100.ameba.jp/tnk47/ratio20/illustrations/card/ill_62043_niutsuhimenookami03.jpg?201911-6-RELEASE-conquest-e-441", "■")</f>
        <v>■</v>
      </c>
      <c r="F474" s="1" t="s">
        <v>2022</v>
      </c>
      <c r="G474" s="1">
        <v>79348</v>
      </c>
      <c r="H474" s="1">
        <v>109554</v>
      </c>
      <c r="I474" s="1">
        <v>24</v>
      </c>
      <c r="J474" s="1" t="s">
        <v>169</v>
      </c>
      <c r="K474" s="1" t="s">
        <v>2023</v>
      </c>
      <c r="L474" s="1" t="s">
        <v>13144</v>
      </c>
      <c r="M474" s="1" t="s">
        <v>9158</v>
      </c>
      <c r="N474" s="1" t="s">
        <v>9158</v>
      </c>
      <c r="O474" s="19" t="s">
        <v>10093</v>
      </c>
      <c r="P474" s="1" t="s">
        <v>13145</v>
      </c>
      <c r="Q474" s="1">
        <v>1</v>
      </c>
    </row>
    <row r="475" spans="1:17">
      <c r="A475" s="1">
        <v>75083</v>
      </c>
      <c r="B475" s="1" t="s">
        <v>334</v>
      </c>
      <c r="C475" s="1" t="s">
        <v>209</v>
      </c>
      <c r="D475" s="19" t="s">
        <v>10401</v>
      </c>
      <c r="E475" s="15" t="str">
        <f>HYPERLINK("https://stat100.ameba.jp/tnk47/ratio20/illustrations/card/ill_75083_sukumizuhanakosan03.jpg?201911-6-RELEASE-conquest-e-441", "■")</f>
        <v>■</v>
      </c>
      <c r="F475" s="1" t="s">
        <v>1020</v>
      </c>
      <c r="G475" s="1">
        <v>111914</v>
      </c>
      <c r="H475" s="1">
        <v>81078</v>
      </c>
      <c r="I475" s="1">
        <v>24</v>
      </c>
      <c r="J475" s="1" t="s">
        <v>73</v>
      </c>
      <c r="K475" s="1" t="s">
        <v>1021</v>
      </c>
      <c r="L475" s="1" t="s">
        <v>1022</v>
      </c>
      <c r="M475" s="1" t="s">
        <v>9158</v>
      </c>
      <c r="N475" s="1" t="s">
        <v>9158</v>
      </c>
      <c r="O475" s="19" t="s">
        <v>10105</v>
      </c>
      <c r="P475" s="1" t="s">
        <v>3416</v>
      </c>
      <c r="Q475" s="1">
        <v>1</v>
      </c>
    </row>
    <row r="476" spans="1:17">
      <c r="E476" s="7"/>
    </row>
    <row r="477" spans="1:17">
      <c r="A477" s="7" t="s">
        <v>8196</v>
      </c>
      <c r="E477" s="7"/>
    </row>
    <row r="478" spans="1:17">
      <c r="A478" s="7" t="s">
        <v>8197</v>
      </c>
      <c r="E478" s="7"/>
    </row>
    <row r="479" spans="1:17">
      <c r="A479" s="1" t="s">
        <v>5724</v>
      </c>
      <c r="B479" s="1" t="s">
        <v>330</v>
      </c>
      <c r="C479" s="1" t="s">
        <v>335</v>
      </c>
      <c r="D479" s="19" t="s">
        <v>698</v>
      </c>
      <c r="E479" s="15" t="str">
        <f>HYPERLINK("https://stat100.ameba.jp/tnk47/ratio20/illustrations/card/ill_66433_0_haroinfujishirogozen03.jpg?201911-6-RELEASE-conquest-e-441", "■")</f>
        <v>■</v>
      </c>
      <c r="F479" s="1" t="s">
        <v>699</v>
      </c>
      <c r="G479" s="1">
        <v>91807</v>
      </c>
      <c r="H479" s="1">
        <v>98751</v>
      </c>
      <c r="I479" s="1">
        <v>15</v>
      </c>
      <c r="J479" s="1" t="s">
        <v>315</v>
      </c>
      <c r="K479" s="1" t="s">
        <v>700</v>
      </c>
      <c r="L479" s="1" t="s">
        <v>701</v>
      </c>
      <c r="M479" s="1" t="s">
        <v>9158</v>
      </c>
      <c r="N479" s="1" t="s">
        <v>9158</v>
      </c>
      <c r="O479" s="19" t="s">
        <v>10095</v>
      </c>
      <c r="P479" s="1" t="s">
        <v>3345</v>
      </c>
      <c r="Q479" s="1">
        <v>1</v>
      </c>
    </row>
    <row r="480" spans="1:17">
      <c r="A480" s="1" t="s">
        <v>5778</v>
      </c>
      <c r="B480" s="1" t="s">
        <v>330</v>
      </c>
      <c r="C480" s="1" t="s">
        <v>205</v>
      </c>
      <c r="D480" s="19" t="s">
        <v>272</v>
      </c>
      <c r="E480" s="15" t="str">
        <f>HYPERLINK("https://stat100.ameba.jp/tnk47/ratio20/illustrations/card/ill_68783_0_gantammomotaro03.jpg?201911-6-RELEASE-conquest-e-441", "■")</f>
        <v>■</v>
      </c>
      <c r="F480" s="1" t="s">
        <v>273</v>
      </c>
      <c r="G480" s="1">
        <v>102590</v>
      </c>
      <c r="H480" s="1">
        <v>95371</v>
      </c>
      <c r="I480" s="1">
        <v>15</v>
      </c>
      <c r="J480" s="1" t="s">
        <v>274</v>
      </c>
      <c r="K480" s="1" t="s">
        <v>275</v>
      </c>
      <c r="L480" s="1" t="s">
        <v>276</v>
      </c>
      <c r="M480" s="1" t="s">
        <v>9158</v>
      </c>
      <c r="N480" s="1" t="s">
        <v>9158</v>
      </c>
      <c r="O480" s="19" t="s">
        <v>10099</v>
      </c>
      <c r="P480" s="1" t="s">
        <v>3085</v>
      </c>
      <c r="Q480" s="1">
        <v>1</v>
      </c>
    </row>
    <row r="481" spans="1:19">
      <c r="A481" s="1" t="s">
        <v>5897</v>
      </c>
      <c r="B481" s="1" t="s">
        <v>330</v>
      </c>
      <c r="C481" s="1" t="s">
        <v>200</v>
      </c>
      <c r="D481" s="19" t="s">
        <v>277</v>
      </c>
      <c r="E481" s="15" t="str">
        <f>HYPERLINK("https://stat100.ameba.jp/tnk47/ratio20/illustrations/card/ill_40913_0_reigyokudensetsufusehime03.jpg?201911-6-RELEASE-conquest-e-441", "■")</f>
        <v>■</v>
      </c>
      <c r="F481" s="1" t="s">
        <v>278</v>
      </c>
      <c r="G481" s="1">
        <v>82212</v>
      </c>
      <c r="H481" s="1">
        <v>87780</v>
      </c>
      <c r="I481" s="1">
        <v>15</v>
      </c>
      <c r="J481" s="1" t="s">
        <v>274</v>
      </c>
      <c r="K481" s="1" t="s">
        <v>279</v>
      </c>
      <c r="L481" s="1" t="s">
        <v>280</v>
      </c>
      <c r="M481" s="1" t="s">
        <v>9158</v>
      </c>
      <c r="N481" s="1" t="s">
        <v>9158</v>
      </c>
      <c r="O481" s="1" t="s">
        <v>9158</v>
      </c>
      <c r="P481" s="1" t="s">
        <v>9158</v>
      </c>
      <c r="Q481" s="1" t="s">
        <v>9158</v>
      </c>
    </row>
    <row r="482" spans="1:19">
      <c r="A482" s="7">
        <v>80863</v>
      </c>
      <c r="B482" s="7" t="s">
        <v>8198</v>
      </c>
      <c r="C482" s="7" t="s">
        <v>8200</v>
      </c>
      <c r="D482" s="19" t="s">
        <v>11871</v>
      </c>
      <c r="E482" s="15" t="str">
        <f>HYPERLINK("https://stat100.ameba.jp/tnk47/ratio20/illustrations/card/ill_80863_fukkatsusaikubireoni03.jpg?201911-6-RELEASE-conquest-e-441", "■")</f>
        <v>■</v>
      </c>
      <c r="F482" s="7" t="s">
        <v>8224</v>
      </c>
      <c r="G482" s="7">
        <v>104162</v>
      </c>
      <c r="H482" s="7">
        <v>96871</v>
      </c>
      <c r="I482" s="7">
        <v>25</v>
      </c>
      <c r="J482" s="7" t="s">
        <v>8203</v>
      </c>
      <c r="K482" s="7" t="s">
        <v>8223</v>
      </c>
      <c r="L482" s="7" t="s">
        <v>8222</v>
      </c>
      <c r="M482" s="1" t="s">
        <v>9158</v>
      </c>
      <c r="N482" s="1" t="s">
        <v>9158</v>
      </c>
      <c r="O482" s="1" t="s">
        <v>9158</v>
      </c>
      <c r="P482" s="1" t="s">
        <v>9158</v>
      </c>
      <c r="Q482" s="1" t="s">
        <v>9158</v>
      </c>
      <c r="S482" s="14" t="s">
        <v>11872</v>
      </c>
    </row>
    <row r="483" spans="1:19">
      <c r="A483" s="7">
        <v>80763</v>
      </c>
      <c r="B483" s="7" t="s">
        <v>8198</v>
      </c>
      <c r="C483" s="7" t="s">
        <v>8201</v>
      </c>
      <c r="D483" s="19" t="s">
        <v>11873</v>
      </c>
      <c r="E483" s="15" t="str">
        <f>HYPERLINK("https://stat100.ameba.jp/tnk47/ratio20/illustrations/card/ill_80763_utataneyododono03.jpg?201911-6-RELEASE-conquest-e-441", "■")</f>
        <v>■</v>
      </c>
      <c r="F483" s="7" t="s">
        <v>8221</v>
      </c>
      <c r="G483" s="7">
        <v>90759</v>
      </c>
      <c r="H483" s="7">
        <v>97651</v>
      </c>
      <c r="I483" s="7">
        <v>25</v>
      </c>
      <c r="J483" s="7" t="s">
        <v>8204</v>
      </c>
      <c r="K483" s="7" t="s">
        <v>8220</v>
      </c>
      <c r="L483" s="7" t="s">
        <v>8219</v>
      </c>
      <c r="M483" s="1" t="s">
        <v>9158</v>
      </c>
      <c r="N483" s="1" t="s">
        <v>9158</v>
      </c>
      <c r="O483" s="1" t="s">
        <v>9158</v>
      </c>
      <c r="P483" s="1" t="s">
        <v>9158</v>
      </c>
      <c r="Q483" s="1" t="s">
        <v>9158</v>
      </c>
      <c r="S483" s="14" t="s">
        <v>11861</v>
      </c>
    </row>
    <row r="484" spans="1:19">
      <c r="A484" s="7">
        <v>80473</v>
      </c>
      <c r="B484" s="7" t="s">
        <v>8198</v>
      </c>
      <c r="C484" s="7" t="s">
        <v>8202</v>
      </c>
      <c r="D484" s="19" t="s">
        <v>11874</v>
      </c>
      <c r="E484" s="15" t="str">
        <f>HYPERLINK("https://stat100.ameba.jp/tnk47/ratio20/illustrations/card/ill_80473_banchokotetsu03.jpg?201911-6-RELEASE-conquest-e-441", "■")</f>
        <v>■</v>
      </c>
      <c r="F484" s="7" t="s">
        <v>8218</v>
      </c>
      <c r="G484" s="7">
        <v>98696</v>
      </c>
      <c r="H484" s="7">
        <v>106088</v>
      </c>
      <c r="I484" s="7">
        <v>25</v>
      </c>
      <c r="J484" s="7" t="s">
        <v>8205</v>
      </c>
      <c r="K484" s="7" t="s">
        <v>8217</v>
      </c>
      <c r="L484" s="7" t="s">
        <v>8216</v>
      </c>
      <c r="M484" s="1" t="s">
        <v>9158</v>
      </c>
      <c r="N484" s="1" t="s">
        <v>9158</v>
      </c>
      <c r="O484" s="1" t="s">
        <v>9158</v>
      </c>
      <c r="P484" s="1" t="s">
        <v>9158</v>
      </c>
      <c r="Q484" s="1" t="s">
        <v>9158</v>
      </c>
      <c r="S484" s="14" t="s">
        <v>11875</v>
      </c>
    </row>
    <row r="485" spans="1:19">
      <c r="A485" s="7">
        <v>79883</v>
      </c>
      <c r="B485" s="7" t="s">
        <v>8199</v>
      </c>
      <c r="C485" s="7" t="s">
        <v>8184</v>
      </c>
      <c r="D485" s="19" t="s">
        <v>11868</v>
      </c>
      <c r="E485" s="15" t="str">
        <f>HYPERLINK("https://stat100.ameba.jp/tnk47/ratio20/illustrations/card/ill_79883_kowakamai03.jpg?201911-6-RELEASE-conquest-e-441", "■")</f>
        <v>■</v>
      </c>
      <c r="F485" s="7" t="s">
        <v>8215</v>
      </c>
      <c r="G485" s="7">
        <v>62244</v>
      </c>
      <c r="H485" s="7">
        <v>56456</v>
      </c>
      <c r="I485" s="7">
        <v>21</v>
      </c>
      <c r="J485" s="7" t="s">
        <v>8206</v>
      </c>
      <c r="K485" s="7" t="s">
        <v>8214</v>
      </c>
      <c r="L485" s="7" t="s">
        <v>8213</v>
      </c>
      <c r="M485" s="1" t="s">
        <v>9158</v>
      </c>
      <c r="N485" s="1" t="s">
        <v>9158</v>
      </c>
      <c r="O485" s="1" t="s">
        <v>9158</v>
      </c>
      <c r="P485" s="1" t="s">
        <v>9158</v>
      </c>
      <c r="Q485" s="1" t="s">
        <v>9158</v>
      </c>
      <c r="S485" s="14" t="s">
        <v>11867</v>
      </c>
    </row>
    <row r="486" spans="1:19">
      <c r="A486" s="7">
        <v>78343</v>
      </c>
      <c r="B486" s="7" t="s">
        <v>8199</v>
      </c>
      <c r="C486" s="7" t="s">
        <v>8185</v>
      </c>
      <c r="D486" s="19" t="s">
        <v>11869</v>
      </c>
      <c r="E486" s="15" t="str">
        <f>HYPERLINK("https://stat100.ameba.jp/tnk47/ratio20/illustrations/card/ill_78343_kounkudagitsune03.jpg?201911-6-RELEASE-conquest-e-441", "■")</f>
        <v>■</v>
      </c>
      <c r="F486" s="7" t="s">
        <v>8212</v>
      </c>
      <c r="G486" s="7">
        <v>62244</v>
      </c>
      <c r="H486" s="7">
        <v>56456</v>
      </c>
      <c r="I486" s="7">
        <v>21</v>
      </c>
      <c r="J486" s="7" t="s">
        <v>8203</v>
      </c>
      <c r="K486" s="7" t="s">
        <v>8211</v>
      </c>
      <c r="L486" s="7" t="s">
        <v>8210</v>
      </c>
      <c r="M486" s="1" t="s">
        <v>9158</v>
      </c>
      <c r="N486" s="1" t="s">
        <v>9158</v>
      </c>
      <c r="O486" s="1" t="s">
        <v>9158</v>
      </c>
      <c r="P486" s="1" t="s">
        <v>9158</v>
      </c>
      <c r="Q486" s="1" t="s">
        <v>9158</v>
      </c>
      <c r="S486" s="14" t="s">
        <v>11832</v>
      </c>
    </row>
    <row r="487" spans="1:19">
      <c r="A487" s="7">
        <v>76143</v>
      </c>
      <c r="B487" s="7" t="s">
        <v>8199</v>
      </c>
      <c r="C487" s="7" t="s">
        <v>8185</v>
      </c>
      <c r="D487" s="19" t="s">
        <v>11870</v>
      </c>
      <c r="E487" s="15" t="str">
        <f>HYPERLINK("https://stat100.ameba.jp/tnk47/ratio20/illustrations/card/ill_76143_shinobuikenogyokuran03.jpg?201911-6-RELEASE-conquest-e-441", "■")</f>
        <v>■</v>
      </c>
      <c r="F487" s="7" t="s">
        <v>8209</v>
      </c>
      <c r="G487" s="7">
        <v>62244</v>
      </c>
      <c r="H487" s="7">
        <v>56456</v>
      </c>
      <c r="I487" s="7">
        <v>21</v>
      </c>
      <c r="J487" s="7" t="s">
        <v>8205</v>
      </c>
      <c r="K487" s="7" t="s">
        <v>8208</v>
      </c>
      <c r="L487" s="7" t="s">
        <v>8207</v>
      </c>
      <c r="M487" s="1" t="s">
        <v>9158</v>
      </c>
      <c r="N487" s="1" t="s">
        <v>9158</v>
      </c>
      <c r="O487" s="1" t="s">
        <v>9158</v>
      </c>
      <c r="P487" s="1" t="s">
        <v>9158</v>
      </c>
      <c r="Q487" s="1" t="s">
        <v>9158</v>
      </c>
      <c r="S487" s="14" t="s">
        <v>11770</v>
      </c>
    </row>
    <row r="488" spans="1:19">
      <c r="E488" s="7"/>
    </row>
    <row r="489" spans="1:19">
      <c r="A489" s="7" t="s">
        <v>8239</v>
      </c>
      <c r="E489" s="7"/>
    </row>
    <row r="490" spans="1:19">
      <c r="A490" s="7" t="s">
        <v>8197</v>
      </c>
      <c r="E490" s="7"/>
    </row>
    <row r="491" spans="1:19">
      <c r="A491" s="7" t="s">
        <v>8241</v>
      </c>
      <c r="B491" s="7" t="s">
        <v>8240</v>
      </c>
      <c r="C491" s="7" t="s">
        <v>8202</v>
      </c>
      <c r="D491" s="19" t="s">
        <v>10794</v>
      </c>
      <c r="E491" s="15" t="str">
        <f>HYPERLINK("https://stat100.ameba.jp/tnk47/ratio20/illustrations/card/ill_86053_0_tenkuroesupizeroichi03.jpg?201911-6-RELEASE-conquest-e-441", "■")</f>
        <v>■</v>
      </c>
      <c r="F491" s="7" t="s">
        <v>8244</v>
      </c>
      <c r="G491" s="7">
        <v>450016</v>
      </c>
      <c r="H491" s="7">
        <v>406728</v>
      </c>
      <c r="I491" s="7">
        <v>35</v>
      </c>
      <c r="J491" s="1" t="s">
        <v>44</v>
      </c>
      <c r="K491" s="7" t="s">
        <v>8243</v>
      </c>
      <c r="L491" s="7" t="s">
        <v>8242</v>
      </c>
      <c r="M491" s="1" t="s">
        <v>9158</v>
      </c>
      <c r="N491" s="1" t="s">
        <v>9158</v>
      </c>
      <c r="O491" s="1" t="s">
        <v>9158</v>
      </c>
      <c r="P491" s="1" t="s">
        <v>9158</v>
      </c>
      <c r="Q491" s="1" t="s">
        <v>9158</v>
      </c>
    </row>
    <row r="492" spans="1:19">
      <c r="A492" s="1" t="s">
        <v>6030</v>
      </c>
      <c r="B492" s="1" t="s">
        <v>52</v>
      </c>
      <c r="C492" s="1" t="s">
        <v>202</v>
      </c>
      <c r="D492" s="19" t="s">
        <v>10453</v>
      </c>
      <c r="E492" s="15" t="str">
        <f>HYPERLINK("https://stat100.ameba.jp/tnk47/ratio20/illustrations/card/ill_80023_0_hinamatsurikyogokumaria03.jpg?201911-6-RELEASE-conquest-e-441", "■")</f>
        <v>■</v>
      </c>
      <c r="F492" s="1" t="s">
        <v>3709</v>
      </c>
      <c r="G492" s="1">
        <v>296478</v>
      </c>
      <c r="H492" s="1">
        <v>328064</v>
      </c>
      <c r="I492" s="1">
        <v>22</v>
      </c>
      <c r="J492" s="1" t="s">
        <v>26</v>
      </c>
      <c r="K492" s="1" t="s">
        <v>3710</v>
      </c>
      <c r="L492" s="1" t="s">
        <v>3711</v>
      </c>
      <c r="M492" s="1" t="s">
        <v>9158</v>
      </c>
      <c r="N492" s="1" t="s">
        <v>9158</v>
      </c>
      <c r="O492" s="19" t="s">
        <v>10116</v>
      </c>
      <c r="P492" s="1" t="s">
        <v>3713</v>
      </c>
      <c r="Q492" s="1">
        <v>1</v>
      </c>
    </row>
    <row r="493" spans="1:19">
      <c r="A493" s="1">
        <v>82473</v>
      </c>
      <c r="B493" s="1" t="s">
        <v>0</v>
      </c>
      <c r="C493" s="1" t="s">
        <v>14</v>
      </c>
      <c r="D493" s="19" t="s">
        <v>10335</v>
      </c>
      <c r="E493" s="15" t="str">
        <f>HYPERLINK("https://stat100.ameba.jp/tnk47/ratio20/illustrations/card/ill_82473_tanabataakitainukun03.jpg?201911-6-RELEASE-conquest-e-441", "■")</f>
        <v>■</v>
      </c>
      <c r="F493" s="1" t="s">
        <v>5453</v>
      </c>
      <c r="G493" s="1">
        <v>138186</v>
      </c>
      <c r="H493" s="1">
        <v>148619</v>
      </c>
      <c r="I493" s="1">
        <v>25</v>
      </c>
      <c r="J493" s="1" t="s">
        <v>26</v>
      </c>
      <c r="K493" s="1" t="s">
        <v>5455</v>
      </c>
      <c r="L493" s="1" t="s">
        <v>5456</v>
      </c>
      <c r="M493" s="1" t="s">
        <v>9158</v>
      </c>
      <c r="N493" s="1" t="s">
        <v>9158</v>
      </c>
      <c r="O493" s="1" t="s">
        <v>9158</v>
      </c>
      <c r="P493" s="1" t="s">
        <v>9158</v>
      </c>
      <c r="Q493" s="1" t="s">
        <v>9158</v>
      </c>
    </row>
    <row r="494" spans="1:19">
      <c r="A494" s="7">
        <v>76373</v>
      </c>
      <c r="B494" s="1" t="s">
        <v>334</v>
      </c>
      <c r="C494" s="1" t="s">
        <v>271</v>
      </c>
      <c r="D494" s="19" t="s">
        <v>466</v>
      </c>
      <c r="E494" s="15" t="str">
        <f>HYPERLINK("https://stat100.ameba.jp/tnk47/ratio20/illustrations/card/ill_76373_marishitenho03.jpg?201911-6-RELEASE-conquest-e-441", "■")</f>
        <v>■</v>
      </c>
      <c r="F494" s="1" t="s">
        <v>467</v>
      </c>
      <c r="G494" s="1">
        <v>105890</v>
      </c>
      <c r="H494" s="1">
        <v>114092</v>
      </c>
      <c r="I494" s="7">
        <v>25</v>
      </c>
      <c r="J494" s="1" t="s">
        <v>274</v>
      </c>
      <c r="K494" s="1" t="s">
        <v>468</v>
      </c>
      <c r="L494" s="1" t="s">
        <v>469</v>
      </c>
      <c r="M494" s="1" t="s">
        <v>9158</v>
      </c>
      <c r="N494" s="1" t="s">
        <v>9158</v>
      </c>
      <c r="O494" s="1" t="s">
        <v>9158</v>
      </c>
      <c r="P494" s="1" t="s">
        <v>9158</v>
      </c>
      <c r="Q494" s="1" t="s">
        <v>9158</v>
      </c>
    </row>
    <row r="495" spans="1:19">
      <c r="A495" s="1">
        <v>74853</v>
      </c>
      <c r="B495" s="1" t="s">
        <v>334</v>
      </c>
      <c r="C495" s="1" t="s">
        <v>191</v>
      </c>
      <c r="D495" s="19" t="s">
        <v>10248</v>
      </c>
      <c r="E495" s="15" t="str">
        <f>HYPERLINK("https://stat100.ameba.jp/tnk47/ratio20/illustrations/card/ill_74853_ennichikingyonota03.jpg?201911-6-RELEASE-conquest-e-441", "■")</f>
        <v>■</v>
      </c>
      <c r="F495" s="1" t="s">
        <v>3313</v>
      </c>
      <c r="G495" s="1">
        <v>94295</v>
      </c>
      <c r="H495" s="1">
        <v>101373</v>
      </c>
      <c r="I495" s="1">
        <v>25</v>
      </c>
      <c r="J495" s="1" t="s">
        <v>38</v>
      </c>
      <c r="K495" s="1" t="s">
        <v>3314</v>
      </c>
      <c r="L495" s="1" t="s">
        <v>3315</v>
      </c>
      <c r="M495" s="1" t="s">
        <v>9158</v>
      </c>
      <c r="N495" s="1" t="s">
        <v>9158</v>
      </c>
      <c r="O495" s="1" t="s">
        <v>9158</v>
      </c>
      <c r="P495" s="1" t="s">
        <v>9158</v>
      </c>
      <c r="Q495" s="1" t="s">
        <v>9158</v>
      </c>
    </row>
    <row r="496" spans="1:19">
      <c r="A496" s="7">
        <v>73253</v>
      </c>
      <c r="B496" s="1" t="s">
        <v>0</v>
      </c>
      <c r="C496" s="1" t="s">
        <v>96</v>
      </c>
      <c r="D496" s="19" t="s">
        <v>10245</v>
      </c>
      <c r="E496" s="15" t="str">
        <f>HYPERLINK("https://stat100.ameba.jp/tnk47/ratio20/illustrations/card/ill_73253_minakatakumagusu03.jpg?201911-6-RELEASE-conquest-e-441", "■")</f>
        <v>■</v>
      </c>
      <c r="F496" s="1" t="s">
        <v>5148</v>
      </c>
      <c r="G496" s="1">
        <v>94295</v>
      </c>
      <c r="H496" s="1">
        <v>101373</v>
      </c>
      <c r="I496" s="7">
        <v>25</v>
      </c>
      <c r="J496" s="1" t="s">
        <v>16</v>
      </c>
      <c r="K496" s="1" t="s">
        <v>5149</v>
      </c>
      <c r="L496" s="1" t="s">
        <v>1997</v>
      </c>
      <c r="M496" s="1" t="s">
        <v>9158</v>
      </c>
      <c r="N496" s="1" t="s">
        <v>9158</v>
      </c>
      <c r="O496" s="1" t="s">
        <v>9158</v>
      </c>
      <c r="P496" s="1" t="s">
        <v>9158</v>
      </c>
      <c r="Q496" s="1" t="s">
        <v>9158</v>
      </c>
    </row>
    <row r="497" spans="1:18">
      <c r="A497" s="7">
        <v>75793</v>
      </c>
      <c r="B497" s="1" t="s">
        <v>0</v>
      </c>
      <c r="C497" s="1" t="s">
        <v>1</v>
      </c>
      <c r="D497" s="19" t="s">
        <v>2738</v>
      </c>
      <c r="E497" s="15" t="str">
        <f>HYPERLINK("https://stat100.ameba.jp/tnk47/ratio20/illustrations/card/ill_75793_izumonokuni03.jpg?201911-6-RELEASE-conquest-e-441", "■")</f>
        <v>■</v>
      </c>
      <c r="F497" s="1" t="s">
        <v>2074</v>
      </c>
      <c r="G497" s="1">
        <v>90759</v>
      </c>
      <c r="H497" s="1">
        <v>97651</v>
      </c>
      <c r="I497" s="1">
        <v>25</v>
      </c>
      <c r="J497" s="1" t="s">
        <v>10</v>
      </c>
      <c r="K497" s="1" t="s">
        <v>11</v>
      </c>
      <c r="L497" s="1" t="s">
        <v>12</v>
      </c>
      <c r="M497" s="1" t="s">
        <v>9158</v>
      </c>
      <c r="N497" s="1" t="s">
        <v>9158</v>
      </c>
      <c r="O497" s="1" t="s">
        <v>9158</v>
      </c>
      <c r="P497" s="1" t="s">
        <v>9158</v>
      </c>
      <c r="Q497" s="1" t="s">
        <v>9158</v>
      </c>
    </row>
    <row r="498" spans="1:18">
      <c r="A498" s="1">
        <v>80673</v>
      </c>
      <c r="B498" s="1" t="s">
        <v>0</v>
      </c>
      <c r="C498" s="1" t="s">
        <v>107</v>
      </c>
      <c r="D498" s="19" t="s">
        <v>10540</v>
      </c>
      <c r="E498" s="15" t="str">
        <f>HYPERLINK("https://stat100.ameba.jp/tnk47/ratio20/illustrations/card/ill_80673_banchoshishirianraisu03.jpg?201911-6-RELEASE-conquest-e-441", "■")</f>
        <v>■</v>
      </c>
      <c r="F498" s="1" t="s">
        <v>4220</v>
      </c>
      <c r="G498" s="1">
        <v>138186</v>
      </c>
      <c r="H498" s="1">
        <v>148619</v>
      </c>
      <c r="I498" s="1">
        <v>25</v>
      </c>
      <c r="J498" s="1" t="s">
        <v>104</v>
      </c>
      <c r="K498" s="1" t="s">
        <v>4221</v>
      </c>
      <c r="L498" s="1" t="s">
        <v>2304</v>
      </c>
      <c r="M498" s="1" t="s">
        <v>9158</v>
      </c>
      <c r="N498" s="1" t="s">
        <v>9158</v>
      </c>
      <c r="O498" s="1" t="s">
        <v>9158</v>
      </c>
      <c r="P498" s="1" t="s">
        <v>9158</v>
      </c>
      <c r="Q498" s="1" t="s">
        <v>9158</v>
      </c>
    </row>
    <row r="499" spans="1:18">
      <c r="E499" s="7"/>
    </row>
    <row r="500" spans="1:18">
      <c r="A500" s="7" t="s">
        <v>8227</v>
      </c>
      <c r="E500" s="7"/>
    </row>
    <row r="501" spans="1:18">
      <c r="A501" s="7" t="s">
        <v>8226</v>
      </c>
      <c r="E501" s="7"/>
    </row>
    <row r="502" spans="1:18">
      <c r="A502" s="1" t="s">
        <v>5899</v>
      </c>
      <c r="B502" s="1" t="s">
        <v>330</v>
      </c>
      <c r="C502" s="1" t="s">
        <v>205</v>
      </c>
      <c r="D502" s="19" t="s">
        <v>1559</v>
      </c>
      <c r="E502" s="15" t="str">
        <f>HYPERLINK("https://stat100.ameba.jp/tnk47/ratio20/illustrations/card/ill_73773_0_umibirakiinugamigyobu03.jpg?201911-6-RELEASE-conquest-e-441", "■")</f>
        <v>■</v>
      </c>
      <c r="F502" s="1" t="s">
        <v>935</v>
      </c>
      <c r="G502" s="1">
        <v>199580</v>
      </c>
      <c r="H502" s="1">
        <v>214667</v>
      </c>
      <c r="I502" s="1">
        <v>23</v>
      </c>
      <c r="J502" s="1" t="s">
        <v>182</v>
      </c>
      <c r="K502" s="1" t="s">
        <v>936</v>
      </c>
      <c r="L502" s="1" t="s">
        <v>13147</v>
      </c>
      <c r="M502" s="1" t="s">
        <v>9158</v>
      </c>
      <c r="N502" s="1" t="s">
        <v>9158</v>
      </c>
      <c r="O502" s="19" t="s">
        <v>2978</v>
      </c>
      <c r="P502" s="1" t="s">
        <v>2979</v>
      </c>
      <c r="Q502" s="1">
        <v>2</v>
      </c>
    </row>
    <row r="503" spans="1:18">
      <c r="A503" s="1" t="s">
        <v>5606</v>
      </c>
      <c r="B503" s="1" t="s">
        <v>52</v>
      </c>
      <c r="C503" s="1" t="s">
        <v>206</v>
      </c>
      <c r="D503" s="19" t="s">
        <v>1011</v>
      </c>
      <c r="E503" s="15" t="str">
        <f>HYPERLINK("https://stat100.ameba.jp/tnk47/ratio20/illustrations/card/ill_72233_0_koinoboriryugujin03.jpg?201911-6-RELEASE-conquest-e-441", "■")</f>
        <v>■</v>
      </c>
      <c r="F503" s="1" t="s">
        <v>1012</v>
      </c>
      <c r="G503" s="1">
        <v>150871</v>
      </c>
      <c r="H503" s="1">
        <v>162279</v>
      </c>
      <c r="I503" s="1">
        <v>23</v>
      </c>
      <c r="J503" s="1" t="s">
        <v>44</v>
      </c>
      <c r="K503" s="1" t="s">
        <v>1013</v>
      </c>
      <c r="L503" s="1" t="s">
        <v>1014</v>
      </c>
      <c r="M503" s="1" t="s">
        <v>9158</v>
      </c>
      <c r="N503" s="1" t="s">
        <v>9158</v>
      </c>
      <c r="O503" s="19" t="s">
        <v>2940</v>
      </c>
      <c r="P503" s="1" t="s">
        <v>3420</v>
      </c>
      <c r="Q503" s="1">
        <v>2</v>
      </c>
    </row>
    <row r="504" spans="1:18">
      <c r="A504" s="1" t="s">
        <v>5622</v>
      </c>
      <c r="B504" s="1" t="s">
        <v>330</v>
      </c>
      <c r="C504" s="1" t="s">
        <v>335</v>
      </c>
      <c r="D504" s="19" t="s">
        <v>509</v>
      </c>
      <c r="E504" s="15" t="str">
        <f>HYPERLINK("https://stat100.ameba.jp/tnk47/ratio20/illustrations/card/ill_49953_0_yushamarihime03.jpg?201911-6-RELEASE-conquest-e-441", "■")</f>
        <v>■</v>
      </c>
      <c r="F504" s="1" t="s">
        <v>510</v>
      </c>
      <c r="G504" s="1">
        <v>144494</v>
      </c>
      <c r="H504" s="1">
        <v>128358</v>
      </c>
      <c r="I504" s="1">
        <v>23</v>
      </c>
      <c r="J504" s="1" t="s">
        <v>315</v>
      </c>
      <c r="K504" s="1" t="s">
        <v>511</v>
      </c>
      <c r="L504" s="1" t="s">
        <v>512</v>
      </c>
      <c r="M504" s="1" t="s">
        <v>9158</v>
      </c>
      <c r="N504" s="1" t="s">
        <v>9158</v>
      </c>
      <c r="O504" s="1" t="s">
        <v>9158</v>
      </c>
      <c r="P504" s="1" t="s">
        <v>9158</v>
      </c>
      <c r="Q504" s="1" t="s">
        <v>9158</v>
      </c>
    </row>
    <row r="505" spans="1:18">
      <c r="A505" s="1">
        <v>56183</v>
      </c>
      <c r="B505" s="1" t="s">
        <v>0</v>
      </c>
      <c r="C505" s="1" t="s">
        <v>191</v>
      </c>
      <c r="D505" s="19" t="s">
        <v>10333</v>
      </c>
      <c r="E505" s="15" t="str">
        <f>HYPERLINK("https://stat100.ameba.jp/tnk47/ratio20/illustrations/card/ill_56183_onsempanikkukoteipenginchan03.jpg?201911-6-RELEASE-conquest-e-441", "■")</f>
        <v>■</v>
      </c>
      <c r="F505" s="1" t="s">
        <v>2025</v>
      </c>
      <c r="G505" s="1">
        <v>92504</v>
      </c>
      <c r="H505" s="1">
        <v>86006</v>
      </c>
      <c r="I505" s="1">
        <v>24</v>
      </c>
      <c r="J505" s="1" t="s">
        <v>229</v>
      </c>
      <c r="K505" s="1" t="s">
        <v>2026</v>
      </c>
      <c r="L505" s="1" t="s">
        <v>13170</v>
      </c>
      <c r="M505" s="1" t="s">
        <v>9158</v>
      </c>
      <c r="N505" s="1" t="s">
        <v>9158</v>
      </c>
      <c r="O505" s="19" t="s">
        <v>10073</v>
      </c>
      <c r="P505" s="1" t="s">
        <v>3895</v>
      </c>
      <c r="Q505" s="1">
        <v>1</v>
      </c>
    </row>
    <row r="506" spans="1:18">
      <c r="A506" s="7">
        <v>69673</v>
      </c>
      <c r="B506" s="7" t="s">
        <v>15</v>
      </c>
      <c r="C506" s="7" t="s">
        <v>205</v>
      </c>
      <c r="D506" s="19" t="s">
        <v>10478</v>
      </c>
      <c r="E506" s="15" t="str">
        <f>HYPERLINK("https://stat100.ameba.jp/tnk47/ratio20/illustrations/card/ill_69673_massajimurakamisuigun03.jpg?201911-6-RELEASE-conquest-e-441", "■")</f>
        <v>■</v>
      </c>
      <c r="F506" s="7" t="s">
        <v>6143</v>
      </c>
      <c r="G506" s="7">
        <v>65208</v>
      </c>
      <c r="H506" s="7">
        <v>59144</v>
      </c>
      <c r="I506" s="7">
        <v>22</v>
      </c>
      <c r="J506" s="7" t="s">
        <v>194</v>
      </c>
      <c r="K506" s="7" t="s">
        <v>6145</v>
      </c>
      <c r="L506" s="7" t="s">
        <v>3524</v>
      </c>
      <c r="M506" s="1" t="s">
        <v>9158</v>
      </c>
      <c r="N506" s="1" t="s">
        <v>9158</v>
      </c>
      <c r="O506" s="1" t="s">
        <v>9158</v>
      </c>
      <c r="P506" s="1" t="s">
        <v>9158</v>
      </c>
      <c r="Q506" s="1" t="s">
        <v>9158</v>
      </c>
    </row>
    <row r="507" spans="1:18">
      <c r="A507" s="7">
        <v>59293</v>
      </c>
      <c r="B507" s="7" t="s">
        <v>8229</v>
      </c>
      <c r="C507" s="7" t="s">
        <v>8228</v>
      </c>
      <c r="D507" s="19" t="s">
        <v>10795</v>
      </c>
      <c r="E507" s="15" t="str">
        <f>HYPERLINK("https://stat100.ameba.jp/tnk47/ratio20/illustrations/card/ill_59293_shinseitomusoyanoboken03.jpg?201911-6-RELEASE-conquest-e-441", "■")</f>
        <v>■</v>
      </c>
      <c r="F507" s="7" t="s">
        <v>8233</v>
      </c>
      <c r="G507" s="7">
        <v>38032</v>
      </c>
      <c r="H507" s="7">
        <v>45742</v>
      </c>
      <c r="I507" s="7">
        <v>22</v>
      </c>
      <c r="J507" s="7" t="s">
        <v>8206</v>
      </c>
      <c r="K507" s="7" t="s">
        <v>8232</v>
      </c>
      <c r="L507" s="7" t="s">
        <v>8231</v>
      </c>
      <c r="M507" s="1" t="s">
        <v>9158</v>
      </c>
      <c r="N507" s="1" t="s">
        <v>9158</v>
      </c>
      <c r="O507" s="1" t="s">
        <v>9158</v>
      </c>
      <c r="P507" s="1" t="s">
        <v>9158</v>
      </c>
      <c r="Q507" s="1" t="s">
        <v>9158</v>
      </c>
    </row>
    <row r="508" spans="1:18">
      <c r="A508" s="7">
        <v>80383</v>
      </c>
      <c r="B508" s="7" t="s">
        <v>8230</v>
      </c>
      <c r="C508" s="7" t="s">
        <v>8234</v>
      </c>
      <c r="D508" s="19" t="s">
        <v>4134</v>
      </c>
      <c r="E508" s="15" t="str">
        <f>HYPERLINK("https://stat100.ameba.jp/tnk47/ratio20/illustrations/card/ill_80383_uisukisan03.jpg?201911-6-RELEASE-conquest-e-441", "■")</f>
        <v>■</v>
      </c>
      <c r="F508" s="7" t="s">
        <v>8238</v>
      </c>
      <c r="G508" s="7">
        <v>27692</v>
      </c>
      <c r="H508" s="7">
        <v>27692</v>
      </c>
      <c r="I508" s="7">
        <v>22</v>
      </c>
      <c r="J508" s="7" t="s">
        <v>8235</v>
      </c>
      <c r="K508" s="7" t="s">
        <v>8237</v>
      </c>
      <c r="L508" s="7" t="s">
        <v>8236</v>
      </c>
      <c r="M508" s="1" t="s">
        <v>9158</v>
      </c>
      <c r="N508" s="1" t="s">
        <v>9158</v>
      </c>
      <c r="O508" s="1" t="s">
        <v>9158</v>
      </c>
      <c r="P508" s="1" t="s">
        <v>9158</v>
      </c>
      <c r="Q508" s="1" t="s">
        <v>9158</v>
      </c>
    </row>
    <row r="509" spans="1:18">
      <c r="E509" s="7"/>
    </row>
    <row r="510" spans="1:18">
      <c r="A510" s="1" t="s">
        <v>13327</v>
      </c>
      <c r="B510" s="1"/>
      <c r="C510" s="1"/>
      <c r="D510" s="1"/>
      <c r="F510" s="1"/>
      <c r="G510" s="1"/>
      <c r="H510" s="1"/>
      <c r="I510" s="1"/>
      <c r="J510" s="1"/>
      <c r="K510" s="1"/>
      <c r="L510" s="1"/>
      <c r="M510" s="1"/>
      <c r="N510" s="1"/>
      <c r="O510" s="1"/>
      <c r="P510" s="1"/>
      <c r="Q510" s="1"/>
      <c r="R510" s="1"/>
    </row>
    <row r="511" spans="1:18">
      <c r="A511" s="1" t="s">
        <v>8225</v>
      </c>
      <c r="B511" s="1"/>
      <c r="C511" s="1"/>
      <c r="D511" s="1"/>
      <c r="F511" s="1"/>
      <c r="G511" s="1"/>
      <c r="H511" s="1"/>
      <c r="I511" s="1"/>
      <c r="J511" s="1"/>
      <c r="K511" s="1"/>
      <c r="L511" s="1"/>
      <c r="M511" s="1"/>
      <c r="N511" s="1"/>
      <c r="O511" s="1"/>
      <c r="P511" s="1"/>
      <c r="Q511" s="1"/>
      <c r="R511" s="1"/>
    </row>
    <row r="512" spans="1:18">
      <c r="A512" s="1">
        <v>71873</v>
      </c>
      <c r="B512" s="1" t="s">
        <v>334</v>
      </c>
      <c r="C512" s="1" t="s">
        <v>185</v>
      </c>
      <c r="D512" s="19" t="s">
        <v>10234</v>
      </c>
      <c r="E512" s="15" t="str">
        <f>HYPERLINK("https://stat100.ameba.jp/tnk47/ratio20/illustrations/card/ill_71873_akashita03.jpg?201911-6-RELEASE-conquest-e-441", "■")</f>
        <v>■</v>
      </c>
      <c r="F512" s="6" t="s">
        <v>5952</v>
      </c>
      <c r="G512" s="1">
        <v>120818</v>
      </c>
      <c r="H512" s="1">
        <v>112324</v>
      </c>
      <c r="I512" s="1">
        <v>24</v>
      </c>
      <c r="J512" s="1" t="s">
        <v>182</v>
      </c>
      <c r="K512" s="1" t="s">
        <v>217</v>
      </c>
      <c r="L512" s="1" t="s">
        <v>13140</v>
      </c>
      <c r="M512" s="1" t="s">
        <v>13131</v>
      </c>
      <c r="N512" s="1" t="s">
        <v>251</v>
      </c>
      <c r="O512" s="1" t="s">
        <v>9158</v>
      </c>
      <c r="P512" s="1" t="s">
        <v>9158</v>
      </c>
      <c r="Q512" s="1" t="s">
        <v>9158</v>
      </c>
      <c r="R512" s="14"/>
    </row>
    <row r="513" spans="1:18">
      <c r="A513" s="1">
        <v>71872</v>
      </c>
      <c r="B513" s="1" t="s">
        <v>334</v>
      </c>
      <c r="C513" s="1" t="s">
        <v>185</v>
      </c>
      <c r="D513" s="19" t="s">
        <v>10234</v>
      </c>
      <c r="E513" s="15" t="str">
        <f>HYPERLINK("https://stat100.ameba.jp/tnk47/ratio20/illustrations/card/ill_71872_akashita02.jpg?201911-6-RELEASE-conquest-e-441", "■")</f>
        <v>■</v>
      </c>
      <c r="F513" s="1" t="s">
        <v>5952</v>
      </c>
      <c r="G513" s="1">
        <v>100934</v>
      </c>
      <c r="H513" s="1">
        <v>93028</v>
      </c>
      <c r="I513" s="1">
        <v>24</v>
      </c>
      <c r="J513" s="1" t="s">
        <v>182</v>
      </c>
      <c r="K513" s="1" t="s">
        <v>217</v>
      </c>
      <c r="L513" s="1" t="s">
        <v>13140</v>
      </c>
      <c r="M513" s="1" t="s">
        <v>13131</v>
      </c>
      <c r="N513" s="1" t="s">
        <v>251</v>
      </c>
      <c r="O513" s="1" t="s">
        <v>9158</v>
      </c>
      <c r="P513" s="1" t="s">
        <v>9158</v>
      </c>
      <c r="Q513" s="1" t="s">
        <v>9158</v>
      </c>
      <c r="R513" s="14"/>
    </row>
    <row r="514" spans="1:18">
      <c r="A514" s="1">
        <v>71871</v>
      </c>
      <c r="B514" s="1" t="s">
        <v>334</v>
      </c>
      <c r="C514" s="1" t="s">
        <v>185</v>
      </c>
      <c r="D514" s="19" t="s">
        <v>10234</v>
      </c>
      <c r="E514" s="15" t="str">
        <f>HYPERLINK("https://stat100.ameba.jp/tnk47/ratio20/illustrations/card/ill_71871_akashita01.jpg?201911-6-RELEASE-conquest-e-441", "■")</f>
        <v>■</v>
      </c>
      <c r="F514" s="1" t="s">
        <v>691</v>
      </c>
      <c r="G514" s="1">
        <v>77112</v>
      </c>
      <c r="H514" s="1">
        <v>71784</v>
      </c>
      <c r="I514" s="1">
        <v>24</v>
      </c>
      <c r="J514" s="1" t="s">
        <v>182</v>
      </c>
      <c r="K514" s="1" t="s">
        <v>217</v>
      </c>
      <c r="L514" s="1" t="s">
        <v>13140</v>
      </c>
      <c r="M514" s="1" t="s">
        <v>13131</v>
      </c>
      <c r="N514" s="1" t="s">
        <v>251</v>
      </c>
      <c r="O514" s="1" t="s">
        <v>9158</v>
      </c>
      <c r="P514" s="1" t="s">
        <v>9158</v>
      </c>
      <c r="Q514" s="1" t="s">
        <v>9158</v>
      </c>
      <c r="R514" s="14"/>
    </row>
    <row r="515" spans="1:18">
      <c r="A515" s="1">
        <v>72693</v>
      </c>
      <c r="B515" s="1" t="s">
        <v>334</v>
      </c>
      <c r="C515" s="1" t="s">
        <v>200</v>
      </c>
      <c r="D515" s="19" t="s">
        <v>10235</v>
      </c>
      <c r="E515" s="15" t="str">
        <f>HYPERLINK("https://stat100.ameba.jp/tnk47/ratio20/illustrations/card/ill_72693_sagarasozo03.jpg?201911-6-RELEASE-conquest-e-441", "■")</f>
        <v>■</v>
      </c>
      <c r="F515" s="1" t="s">
        <v>692</v>
      </c>
      <c r="G515" s="1">
        <v>112324</v>
      </c>
      <c r="H515" s="1">
        <v>120818</v>
      </c>
      <c r="I515" s="1">
        <v>24</v>
      </c>
      <c r="J515" s="1" t="s">
        <v>194</v>
      </c>
      <c r="K515" s="1" t="s">
        <v>218</v>
      </c>
      <c r="L515" s="1" t="s">
        <v>9892</v>
      </c>
      <c r="M515" s="1" t="s">
        <v>13131</v>
      </c>
      <c r="N515" s="1" t="s">
        <v>251</v>
      </c>
      <c r="O515" s="1" t="s">
        <v>9158</v>
      </c>
      <c r="P515" s="1" t="s">
        <v>9158</v>
      </c>
      <c r="Q515" s="1" t="s">
        <v>9158</v>
      </c>
      <c r="R515" s="1"/>
    </row>
    <row r="516" spans="1:18">
      <c r="A516" s="1">
        <v>72703</v>
      </c>
      <c r="B516" s="1" t="s">
        <v>334</v>
      </c>
      <c r="C516" s="1" t="s">
        <v>191</v>
      </c>
      <c r="D516" s="19" t="s">
        <v>10236</v>
      </c>
      <c r="E516" s="15" t="str">
        <f>HYPERLINK("https://stat100.ameba.jp/tnk47/ratio20/illustrations/card/ill_72703_hayakawanoritsugu03.jpg?201911-6-RELEASE-conquest-e-441", "■")</f>
        <v>■</v>
      </c>
      <c r="F516" s="1" t="s">
        <v>693</v>
      </c>
      <c r="G516" s="1">
        <v>120818</v>
      </c>
      <c r="H516" s="1">
        <v>112324</v>
      </c>
      <c r="I516" s="1">
        <v>24</v>
      </c>
      <c r="J516" s="1" t="s">
        <v>173</v>
      </c>
      <c r="K516" s="1" t="s">
        <v>219</v>
      </c>
      <c r="L516" s="1" t="s">
        <v>9893</v>
      </c>
      <c r="M516" s="1" t="s">
        <v>13131</v>
      </c>
      <c r="N516" s="1" t="s">
        <v>251</v>
      </c>
      <c r="O516" s="1" t="s">
        <v>9158</v>
      </c>
      <c r="P516" s="1" t="s">
        <v>9158</v>
      </c>
      <c r="Q516" s="1" t="s">
        <v>9158</v>
      </c>
      <c r="R516" s="1"/>
    </row>
    <row r="517" spans="1:18">
      <c r="A517" s="1">
        <v>73523</v>
      </c>
      <c r="B517" s="1" t="s">
        <v>334</v>
      </c>
      <c r="C517" s="1" t="s">
        <v>165</v>
      </c>
      <c r="D517" s="19" t="s">
        <v>10237</v>
      </c>
      <c r="E517" s="15" t="str">
        <f>HYPERLINK("https://stat100.ameba.jp/tnk47/ratio20/illustrations/card/ill_73523_marunomarudono03.jpg?201911-6-RELEASE-conquest-e-441", "■")</f>
        <v>■</v>
      </c>
      <c r="F517" s="1" t="s">
        <v>694</v>
      </c>
      <c r="G517" s="1">
        <v>112324</v>
      </c>
      <c r="H517" s="1">
        <v>120818</v>
      </c>
      <c r="I517" s="1">
        <v>24</v>
      </c>
      <c r="J517" s="1" t="s">
        <v>187</v>
      </c>
      <c r="K517" s="1" t="s">
        <v>220</v>
      </c>
      <c r="L517" s="1" t="s">
        <v>9894</v>
      </c>
      <c r="M517" s="1" t="s">
        <v>13131</v>
      </c>
      <c r="N517" s="1" t="s">
        <v>251</v>
      </c>
      <c r="O517" s="1" t="s">
        <v>9158</v>
      </c>
      <c r="P517" s="1" t="s">
        <v>9158</v>
      </c>
      <c r="Q517" s="1" t="s">
        <v>9158</v>
      </c>
      <c r="R517" s="1"/>
    </row>
    <row r="518" spans="1:18">
      <c r="A518" s="1">
        <v>72713</v>
      </c>
      <c r="B518" s="1" t="s">
        <v>334</v>
      </c>
      <c r="C518" s="1" t="s">
        <v>205</v>
      </c>
      <c r="D518" s="19" t="s">
        <v>10238</v>
      </c>
      <c r="E518" s="15" t="str">
        <f>HYPERLINK("https://stat100.ameba.jp/tnk47/ratio20/illustrations/card/ill_72713_okamuzuminomikoto03.jpg?201911-6-RELEASE-conquest-e-441", "■")</f>
        <v>■</v>
      </c>
      <c r="F518" s="1" t="s">
        <v>695</v>
      </c>
      <c r="G518" s="1">
        <v>112324</v>
      </c>
      <c r="H518" s="1">
        <v>120818</v>
      </c>
      <c r="I518" s="1">
        <v>24</v>
      </c>
      <c r="J518" s="1" t="s">
        <v>169</v>
      </c>
      <c r="K518" s="1" t="s">
        <v>221</v>
      </c>
      <c r="L518" s="1" t="s">
        <v>9895</v>
      </c>
      <c r="M518" s="1" t="s">
        <v>13131</v>
      </c>
      <c r="N518" s="1" t="s">
        <v>251</v>
      </c>
      <c r="O518" s="1" t="s">
        <v>9158</v>
      </c>
      <c r="P518" s="1" t="s">
        <v>9158</v>
      </c>
      <c r="Q518" s="1" t="s">
        <v>9158</v>
      </c>
      <c r="R518" s="1"/>
    </row>
    <row r="519" spans="1:18">
      <c r="A519" s="1">
        <v>73533</v>
      </c>
      <c r="B519" s="1" t="s">
        <v>334</v>
      </c>
      <c r="C519" s="1" t="s">
        <v>206</v>
      </c>
      <c r="D519" s="19" t="s">
        <v>10239</v>
      </c>
      <c r="E519" s="15" t="str">
        <f>HYPERLINK("https://stat100.ameba.jp/tnk47/ratio20/illustrations/card/ill_73533_agubutachan03.jpg?201911-6-RELEASE-conquest-e-441", "■")</f>
        <v>■</v>
      </c>
      <c r="F519" s="1" t="s">
        <v>696</v>
      </c>
      <c r="G519" s="1">
        <v>120818</v>
      </c>
      <c r="H519" s="1">
        <v>112324</v>
      </c>
      <c r="I519" s="1">
        <v>24</v>
      </c>
      <c r="J519" s="1" t="s">
        <v>216</v>
      </c>
      <c r="K519" s="1" t="s">
        <v>697</v>
      </c>
      <c r="L519" s="1" t="s">
        <v>9896</v>
      </c>
      <c r="M519" s="1" t="s">
        <v>13131</v>
      </c>
      <c r="N519" s="1" t="s">
        <v>251</v>
      </c>
      <c r="O519" s="1" t="s">
        <v>9158</v>
      </c>
      <c r="P519" s="1" t="s">
        <v>9158</v>
      </c>
      <c r="Q519" s="1" t="s">
        <v>9158</v>
      </c>
      <c r="R519" s="1"/>
    </row>
    <row r="520" spans="1:18">
      <c r="E520" s="7"/>
    </row>
    <row r="521" spans="1:18">
      <c r="A521" s="7" t="s">
        <v>8247</v>
      </c>
      <c r="E521" s="7"/>
    </row>
    <row r="522" spans="1:18">
      <c r="A522" s="7" t="s">
        <v>8248</v>
      </c>
      <c r="E522" s="7"/>
    </row>
    <row r="523" spans="1:18">
      <c r="A523" s="1" t="s">
        <v>5804</v>
      </c>
      <c r="B523" s="1" t="s">
        <v>52</v>
      </c>
      <c r="C523" s="1" t="s">
        <v>14</v>
      </c>
      <c r="D523" s="19" t="s">
        <v>3195</v>
      </c>
      <c r="E523" s="15" t="str">
        <f>HYPERLINK("https://stat100.ameba.jp/tnk47/ratio20/illustrations/card/ill_75393_0_resukuinotsukisamaniittausagi03.jpg?201911-6-RELEASE-conquest-e-441", "■")</f>
        <v>■</v>
      </c>
      <c r="F523" s="1" t="s">
        <v>3248</v>
      </c>
      <c r="G523" s="1">
        <v>273368</v>
      </c>
      <c r="H523" s="1">
        <v>254160</v>
      </c>
      <c r="I523" s="1">
        <v>24</v>
      </c>
      <c r="J523" s="1" t="s">
        <v>26</v>
      </c>
      <c r="K523" s="1" t="s">
        <v>3249</v>
      </c>
      <c r="L523" s="1" t="s">
        <v>3250</v>
      </c>
      <c r="M523" s="1" t="s">
        <v>9158</v>
      </c>
      <c r="N523" s="1" t="s">
        <v>9158</v>
      </c>
      <c r="O523" s="19" t="s">
        <v>10101</v>
      </c>
      <c r="P523" s="1" t="s">
        <v>3251</v>
      </c>
      <c r="Q523" s="1">
        <v>2</v>
      </c>
    </row>
    <row r="524" spans="1:18">
      <c r="A524" s="1" t="s">
        <v>5615</v>
      </c>
      <c r="B524" s="1" t="s">
        <v>330</v>
      </c>
      <c r="C524" s="1" t="s">
        <v>206</v>
      </c>
      <c r="D524" s="19" t="s">
        <v>2814</v>
      </c>
      <c r="E524" s="15" t="str">
        <f>HYPERLINK("https://stat100.ameba.jp/tnk47/ratio20/illustrations/card/ill_57733_0_shogatsunisenjunanaamakusashiro03.jpg?201911-6-RELEASE-conquest-e-441", "■")</f>
        <v>■</v>
      </c>
      <c r="F524" s="1" t="s">
        <v>2815</v>
      </c>
      <c r="G524" s="1">
        <v>133938</v>
      </c>
      <c r="H524" s="1">
        <v>150776</v>
      </c>
      <c r="I524" s="1">
        <v>24</v>
      </c>
      <c r="J524" s="1" t="s">
        <v>351</v>
      </c>
      <c r="K524" s="1" t="s">
        <v>2816</v>
      </c>
      <c r="L524" s="1" t="s">
        <v>2817</v>
      </c>
      <c r="M524" s="1" t="s">
        <v>9158</v>
      </c>
      <c r="N524" s="1" t="s">
        <v>9158</v>
      </c>
      <c r="O524" s="19" t="s">
        <v>10077</v>
      </c>
      <c r="P524" s="1" t="s">
        <v>3062</v>
      </c>
      <c r="Q524" s="1">
        <v>1</v>
      </c>
    </row>
    <row r="525" spans="1:18">
      <c r="A525" s="1">
        <v>77673</v>
      </c>
      <c r="B525" s="1" t="s">
        <v>334</v>
      </c>
      <c r="C525" s="1" t="s">
        <v>158</v>
      </c>
      <c r="D525" s="19" t="s">
        <v>10270</v>
      </c>
      <c r="E525" s="15" t="str">
        <f>HYPERLINK("https://stat100.ameba.jp/tnk47/ratio20/illustrations/card/ill_77673_ryunochoji03.jpg?201911-6-RELEASE-conquest-e-441", "■")</f>
        <v>■</v>
      </c>
      <c r="F525" s="1" t="s">
        <v>1777</v>
      </c>
      <c r="G525" s="1">
        <v>116577</v>
      </c>
      <c r="H525" s="1">
        <v>84456</v>
      </c>
      <c r="I525" s="7">
        <v>25</v>
      </c>
      <c r="J525" s="1" t="s">
        <v>73</v>
      </c>
      <c r="K525" s="1" t="s">
        <v>1778</v>
      </c>
      <c r="L525" s="1" t="s">
        <v>1779</v>
      </c>
      <c r="M525" s="1" t="s">
        <v>9158</v>
      </c>
      <c r="N525" s="1" t="s">
        <v>9158</v>
      </c>
      <c r="O525" s="19" t="s">
        <v>10090</v>
      </c>
      <c r="P525" s="1" t="s">
        <v>3460</v>
      </c>
      <c r="Q525" s="1">
        <v>1</v>
      </c>
    </row>
    <row r="526" spans="1:18">
      <c r="A526" s="1">
        <v>80753</v>
      </c>
      <c r="B526" s="1" t="s">
        <v>334</v>
      </c>
      <c r="C526" s="1" t="s">
        <v>41</v>
      </c>
      <c r="D526" s="19" t="s">
        <v>10524</v>
      </c>
      <c r="E526" s="15" t="str">
        <f>HYPERLINK("https://stat100.ameba.jp/tnk47/ratio20/illustrations/card/ill_80753_hakubutsukannojoze03.jpg?201911-6-RELEASE-conquest-e-441", "■")</f>
        <v>■</v>
      </c>
      <c r="F526" s="1" t="s">
        <v>4318</v>
      </c>
      <c r="G526" s="1">
        <v>82205</v>
      </c>
      <c r="H526" s="1">
        <v>113463</v>
      </c>
      <c r="I526" s="7">
        <v>25</v>
      </c>
      <c r="J526" s="1" t="s">
        <v>38</v>
      </c>
      <c r="K526" s="1" t="s">
        <v>4319</v>
      </c>
      <c r="L526" s="1" t="s">
        <v>4320</v>
      </c>
      <c r="M526" s="1" t="s">
        <v>9158</v>
      </c>
      <c r="N526" s="1" t="s">
        <v>9158</v>
      </c>
      <c r="O526" s="19" t="s">
        <v>10074</v>
      </c>
      <c r="P526" s="1" t="s">
        <v>3592</v>
      </c>
      <c r="Q526" s="1">
        <v>1</v>
      </c>
    </row>
    <row r="527" spans="1:18">
      <c r="A527" s="1">
        <v>75073</v>
      </c>
      <c r="B527" s="1" t="s">
        <v>334</v>
      </c>
      <c r="C527" s="1" t="s">
        <v>154</v>
      </c>
      <c r="D527" s="19" t="s">
        <v>4252</v>
      </c>
      <c r="E527" s="15" t="str">
        <f>HYPERLINK("https://stat100.ameba.jp/tnk47/ratio20/illustrations/card/ill_75073_puruchacha03.jpg?201911-6-RELEASE-conquest-e-441", "■")</f>
        <v>■</v>
      </c>
      <c r="F527" s="1" t="s">
        <v>4253</v>
      </c>
      <c r="G527" s="1">
        <v>109259</v>
      </c>
      <c r="H527" s="1">
        <v>79151</v>
      </c>
      <c r="I527" s="7">
        <v>25</v>
      </c>
      <c r="J527" s="1" t="s">
        <v>315</v>
      </c>
      <c r="K527" s="1" t="s">
        <v>4254</v>
      </c>
      <c r="L527" s="1" t="s">
        <v>1432</v>
      </c>
      <c r="M527" s="1" t="s">
        <v>9158</v>
      </c>
      <c r="N527" s="1" t="s">
        <v>9158</v>
      </c>
      <c r="O527" s="19" t="s">
        <v>10082</v>
      </c>
      <c r="P527" s="1" t="s">
        <v>13124</v>
      </c>
      <c r="Q527" s="1">
        <v>1</v>
      </c>
    </row>
    <row r="528" spans="1:18">
      <c r="A528" s="1">
        <v>70383</v>
      </c>
      <c r="B528" s="1" t="s">
        <v>0</v>
      </c>
      <c r="C528" s="1" t="s">
        <v>41</v>
      </c>
      <c r="D528" s="19" t="s">
        <v>10201</v>
      </c>
      <c r="E528" s="15" t="str">
        <f>HYPERLINK("https://stat100.ameba.jp/tnk47/ratio20/illustrations/card/ill_70383_saraudon03.jpg?201911-6-RELEASE-conquest-e-441", "■")</f>
        <v>■</v>
      </c>
      <c r="F528" s="1" t="s">
        <v>3487</v>
      </c>
      <c r="G528" s="1">
        <v>132144</v>
      </c>
      <c r="H528" s="1">
        <v>95703</v>
      </c>
      <c r="I528" s="7">
        <v>25</v>
      </c>
      <c r="J528" s="1" t="s">
        <v>104</v>
      </c>
      <c r="K528" s="1" t="s">
        <v>3488</v>
      </c>
      <c r="L528" s="1" t="s">
        <v>3489</v>
      </c>
      <c r="M528" s="1" t="s">
        <v>9158</v>
      </c>
      <c r="N528" s="1" t="s">
        <v>9158</v>
      </c>
      <c r="O528" s="1" t="s">
        <v>9158</v>
      </c>
      <c r="P528" s="1" t="s">
        <v>9158</v>
      </c>
      <c r="Q528" s="1" t="s">
        <v>9158</v>
      </c>
    </row>
    <row r="529" spans="1:17">
      <c r="A529" s="1">
        <v>76773</v>
      </c>
      <c r="B529" s="1" t="s">
        <v>334</v>
      </c>
      <c r="C529" s="1" t="s">
        <v>209</v>
      </c>
      <c r="D529" s="19" t="s">
        <v>10471</v>
      </c>
      <c r="E529" s="15" t="str">
        <f>HYPERLINK("https://stat100.ameba.jp/tnk47/ratio20/illustrations/card/ill_76773_monsutatominushihime03.jpg?201911-6-RELEASE-conquest-e-441", "■")</f>
        <v>■</v>
      </c>
      <c r="F529" s="1" t="s">
        <v>817</v>
      </c>
      <c r="G529" s="1">
        <v>114119</v>
      </c>
      <c r="H529" s="1">
        <v>82654</v>
      </c>
      <c r="I529" s="7">
        <v>25</v>
      </c>
      <c r="J529" s="1" t="s">
        <v>401</v>
      </c>
      <c r="K529" s="1" t="s">
        <v>818</v>
      </c>
      <c r="L529" s="1" t="s">
        <v>819</v>
      </c>
      <c r="M529" s="1" t="s">
        <v>9158</v>
      </c>
      <c r="N529" s="1" t="s">
        <v>9158</v>
      </c>
      <c r="O529" s="1" t="s">
        <v>9158</v>
      </c>
      <c r="P529" s="1" t="s">
        <v>9158</v>
      </c>
      <c r="Q529" s="1" t="s">
        <v>9158</v>
      </c>
    </row>
    <row r="530" spans="1:17">
      <c r="A530" s="7">
        <v>55693</v>
      </c>
      <c r="B530" s="1" t="s">
        <v>334</v>
      </c>
      <c r="C530" s="7" t="s">
        <v>8249</v>
      </c>
      <c r="D530" s="19" t="s">
        <v>10796</v>
      </c>
      <c r="E530" s="15" t="str">
        <f>HYPERLINK("https://stat100.ameba.jp/tnk47/ratio20/illustrations/card/ill_55693_haratakashi03.jpg?201911-6-RELEASE-conquest-e-441", "■")</f>
        <v>■</v>
      </c>
      <c r="F530" s="7" t="s">
        <v>8252</v>
      </c>
      <c r="G530" s="7">
        <v>75651</v>
      </c>
      <c r="H530" s="7">
        <v>103176</v>
      </c>
      <c r="I530" s="7">
        <v>25</v>
      </c>
      <c r="J530" s="1" t="s">
        <v>351</v>
      </c>
      <c r="K530" s="7" t="s">
        <v>8251</v>
      </c>
      <c r="L530" s="7" t="s">
        <v>8250</v>
      </c>
      <c r="M530" s="1" t="s">
        <v>9158</v>
      </c>
      <c r="N530" s="1" t="s">
        <v>9158</v>
      </c>
      <c r="O530" s="1" t="s">
        <v>9158</v>
      </c>
      <c r="P530" s="1" t="s">
        <v>9158</v>
      </c>
      <c r="Q530" s="1" t="s">
        <v>9158</v>
      </c>
    </row>
    <row r="531" spans="1:17">
      <c r="E531" s="7"/>
    </row>
    <row r="532" spans="1:17">
      <c r="A532" s="7" t="s">
        <v>8090</v>
      </c>
      <c r="E532" s="7"/>
    </row>
    <row r="533" spans="1:17">
      <c r="A533" s="7" t="s">
        <v>1973</v>
      </c>
      <c r="E533" s="7"/>
    </row>
    <row r="534" spans="1:17">
      <c r="A534" s="7" t="s">
        <v>8100</v>
      </c>
      <c r="B534" s="7" t="s">
        <v>117</v>
      </c>
      <c r="C534" s="7" t="s">
        <v>202</v>
      </c>
      <c r="D534" s="19" t="s">
        <v>10784</v>
      </c>
      <c r="E534" s="15" t="str">
        <f>HYPERLINK("https://stat100.ameba.jp/tnk47/ratio20/illustrations/card/ill_86013_0_somemonosansaishiki03.jpg?201911-6-RELEASE-conquest-e-441", "■")</f>
        <v>■</v>
      </c>
      <c r="F534" s="7" t="s">
        <v>8103</v>
      </c>
      <c r="G534" s="7">
        <v>349420</v>
      </c>
      <c r="H534" s="7">
        <v>315800</v>
      </c>
      <c r="I534" s="7">
        <v>30</v>
      </c>
      <c r="J534" s="7" t="s">
        <v>187</v>
      </c>
      <c r="K534" s="7" t="s">
        <v>8102</v>
      </c>
      <c r="L534" s="7" t="s">
        <v>8101</v>
      </c>
      <c r="M534" s="1" t="s">
        <v>9158</v>
      </c>
      <c r="N534" s="1" t="s">
        <v>9158</v>
      </c>
      <c r="O534" s="19" t="s">
        <v>10132</v>
      </c>
      <c r="P534" s="1" t="s">
        <v>3277</v>
      </c>
      <c r="Q534" s="1">
        <v>1</v>
      </c>
    </row>
    <row r="535" spans="1:17">
      <c r="A535" s="7">
        <v>77243</v>
      </c>
      <c r="B535" s="7" t="s">
        <v>0</v>
      </c>
      <c r="C535" s="7" t="s">
        <v>185</v>
      </c>
      <c r="D535" s="19" t="s">
        <v>1435</v>
      </c>
      <c r="E535" s="15" t="str">
        <f>HYPERLINK("https://stat100.ameba.jp/tnk47/ratio20/illustrations/card/ill_77243_seikimatsuniijimayae03.jpg?201911-6-RELEASE-conquest-e-441", "■")</f>
        <v>■</v>
      </c>
      <c r="F535" s="7" t="s">
        <v>8114</v>
      </c>
      <c r="G535" s="7">
        <v>97651</v>
      </c>
      <c r="H535" s="7">
        <v>90759</v>
      </c>
      <c r="I535" s="7">
        <v>25</v>
      </c>
      <c r="J535" s="7" t="s">
        <v>173</v>
      </c>
      <c r="K535" s="7" t="s">
        <v>8113</v>
      </c>
      <c r="L535" s="7" t="s">
        <v>3352</v>
      </c>
      <c r="M535" s="1" t="s">
        <v>9158</v>
      </c>
      <c r="N535" s="1" t="s">
        <v>9158</v>
      </c>
      <c r="O535" s="1" t="s">
        <v>9158</v>
      </c>
      <c r="P535" s="1" t="s">
        <v>9158</v>
      </c>
      <c r="Q535" s="1" t="s">
        <v>9158</v>
      </c>
    </row>
    <row r="536" spans="1:17">
      <c r="A536" s="7">
        <v>78033</v>
      </c>
      <c r="B536" s="7" t="s">
        <v>0</v>
      </c>
      <c r="C536" s="7" t="s">
        <v>200</v>
      </c>
      <c r="D536" s="19" t="s">
        <v>10310</v>
      </c>
      <c r="E536" s="15" t="str">
        <f>HYPERLINK("https://stat100.ameba.jp/tnk47/ratio20/illustrations/card/ill_78033_bonenkaimyoombenzaiten03.jpg?201911-6-RELEASE-conquest-e-441", "■")</f>
        <v>■</v>
      </c>
      <c r="F536" s="7" t="s">
        <v>2209</v>
      </c>
      <c r="G536" s="7">
        <v>101971</v>
      </c>
      <c r="H536" s="7">
        <v>94802</v>
      </c>
      <c r="I536" s="7">
        <v>25</v>
      </c>
      <c r="J536" s="7" t="s">
        <v>169</v>
      </c>
      <c r="K536" s="7" t="s">
        <v>2210</v>
      </c>
      <c r="L536" s="7" t="s">
        <v>2211</v>
      </c>
      <c r="M536" s="1" t="s">
        <v>9158</v>
      </c>
      <c r="N536" s="1" t="s">
        <v>9158</v>
      </c>
      <c r="O536" s="1" t="s">
        <v>9158</v>
      </c>
      <c r="P536" s="1" t="s">
        <v>9158</v>
      </c>
      <c r="Q536" s="1" t="s">
        <v>9158</v>
      </c>
    </row>
    <row r="537" spans="1:17">
      <c r="A537" s="7">
        <v>81983</v>
      </c>
      <c r="B537" s="7" t="s">
        <v>0</v>
      </c>
      <c r="C537" s="7" t="s">
        <v>191</v>
      </c>
      <c r="D537" s="19" t="s">
        <v>10206</v>
      </c>
      <c r="E537" s="15" t="str">
        <f>HYPERLINK("https://stat100.ameba.jp/tnk47/ratio20/illustrations/card/ill_81983_otenkinonesammatsushitaotome03.jpg?201911-6-RELEASE-conquest-e-441", "■")</f>
        <v>■</v>
      </c>
      <c r="F537" s="7" t="s">
        <v>5022</v>
      </c>
      <c r="G537" s="7">
        <v>97651</v>
      </c>
      <c r="H537" s="7">
        <v>90759</v>
      </c>
      <c r="I537" s="7">
        <v>25</v>
      </c>
      <c r="J537" s="7" t="s">
        <v>187</v>
      </c>
      <c r="K537" s="7" t="s">
        <v>5024</v>
      </c>
      <c r="L537" s="7" t="s">
        <v>4678</v>
      </c>
      <c r="M537" s="1" t="s">
        <v>9158</v>
      </c>
      <c r="N537" s="1" t="s">
        <v>9158</v>
      </c>
      <c r="O537" s="1" t="s">
        <v>9158</v>
      </c>
      <c r="P537" s="1" t="s">
        <v>9158</v>
      </c>
      <c r="Q537" s="1" t="s">
        <v>9158</v>
      </c>
    </row>
    <row r="538" spans="1:17">
      <c r="A538" s="7">
        <v>61983</v>
      </c>
      <c r="B538" s="7" t="s">
        <v>0</v>
      </c>
      <c r="C538" s="7" t="s">
        <v>165</v>
      </c>
      <c r="D538" s="19" t="s">
        <v>10785</v>
      </c>
      <c r="E538" s="15" t="str">
        <f>HYPERLINK("https://stat100.ameba.jp/tnk47/ratio20/illustrations/card/ill_61983_koinoborihinotomiko03.jpg?201911-6-RELEASE-conquest-e-441", "■")</f>
        <v>■</v>
      </c>
      <c r="F538" s="7" t="s">
        <v>2450</v>
      </c>
      <c r="G538" s="7">
        <v>97651</v>
      </c>
      <c r="H538" s="7">
        <v>90759</v>
      </c>
      <c r="I538" s="7">
        <v>25</v>
      </c>
      <c r="J538" s="7" t="s">
        <v>187</v>
      </c>
      <c r="K538" s="7" t="s">
        <v>2451</v>
      </c>
      <c r="L538" s="7" t="s">
        <v>76</v>
      </c>
      <c r="M538" s="1" t="s">
        <v>9158</v>
      </c>
      <c r="N538" s="1" t="s">
        <v>9158</v>
      </c>
      <c r="O538" s="1" t="s">
        <v>9158</v>
      </c>
      <c r="P538" s="1" t="s">
        <v>9158</v>
      </c>
      <c r="Q538" s="1" t="s">
        <v>9158</v>
      </c>
    </row>
    <row r="539" spans="1:17">
      <c r="A539" s="7">
        <v>68463</v>
      </c>
      <c r="B539" s="7" t="s">
        <v>0</v>
      </c>
      <c r="C539" s="7" t="s">
        <v>205</v>
      </c>
      <c r="D539" s="19" t="s">
        <v>10252</v>
      </c>
      <c r="E539" s="15" t="str">
        <f>HYPERLINK("https://stat100.ameba.jp/tnk47/ratio20/illustrations/card/ill_68463_sunogurabiashirubaakusechan03.jpg?201911-6-RELEASE-conquest-e-441", "■")</f>
        <v>■</v>
      </c>
      <c r="F539" s="7" t="s">
        <v>2403</v>
      </c>
      <c r="G539" s="7">
        <v>106266</v>
      </c>
      <c r="H539" s="7">
        <v>98789</v>
      </c>
      <c r="I539" s="7">
        <v>25</v>
      </c>
      <c r="J539" s="7" t="s">
        <v>229</v>
      </c>
      <c r="K539" s="7" t="s">
        <v>2404</v>
      </c>
      <c r="L539" s="7" t="s">
        <v>2405</v>
      </c>
      <c r="M539" s="1" t="s">
        <v>9158</v>
      </c>
      <c r="N539" s="1" t="s">
        <v>9158</v>
      </c>
      <c r="O539" s="1" t="s">
        <v>9158</v>
      </c>
      <c r="P539" s="1" t="s">
        <v>9158</v>
      </c>
      <c r="Q539" s="1" t="s">
        <v>9158</v>
      </c>
    </row>
    <row r="540" spans="1:17">
      <c r="A540" s="7">
        <v>75573</v>
      </c>
      <c r="B540" s="7" t="s">
        <v>0</v>
      </c>
      <c r="C540" s="7" t="s">
        <v>206</v>
      </c>
      <c r="D540" s="19" t="s">
        <v>10380</v>
      </c>
      <c r="E540" s="15" t="str">
        <f>HYPERLINK("https://stat100.ameba.jp/tnk47/ratio20/illustrations/card/ill_75573_niirotadamoto03.jpg?201911-6-RELEASE-conquest-e-441", "■")</f>
        <v>■</v>
      </c>
      <c r="F540" s="7" t="s">
        <v>5726</v>
      </c>
      <c r="G540" s="7">
        <v>148619</v>
      </c>
      <c r="H540" s="7">
        <v>138186</v>
      </c>
      <c r="I540" s="7">
        <v>25</v>
      </c>
      <c r="J540" s="7" t="s">
        <v>194</v>
      </c>
      <c r="K540" s="7" t="s">
        <v>5728</v>
      </c>
      <c r="L540" s="7" t="s">
        <v>3459</v>
      </c>
      <c r="M540" s="1" t="s">
        <v>9158</v>
      </c>
      <c r="N540" s="1" t="s">
        <v>9158</v>
      </c>
      <c r="O540" s="1" t="s">
        <v>9158</v>
      </c>
      <c r="P540" s="1" t="s">
        <v>9158</v>
      </c>
      <c r="Q540" s="1" t="s">
        <v>9158</v>
      </c>
    </row>
    <row r="541" spans="1:17">
      <c r="A541" s="7">
        <v>69673</v>
      </c>
      <c r="B541" s="7" t="s">
        <v>15</v>
      </c>
      <c r="C541" s="7" t="s">
        <v>205</v>
      </c>
      <c r="D541" s="19" t="s">
        <v>10478</v>
      </c>
      <c r="E541" s="15" t="str">
        <f>HYPERLINK("https://stat100.ameba.jp/tnk47/ratio20/illustrations/card/ill_69673_massajimurakamisuigun03.jpg?201911-6-RELEASE-conquest-e-441", "■")</f>
        <v>■</v>
      </c>
      <c r="F541" s="7" t="s">
        <v>6143</v>
      </c>
      <c r="G541" s="7">
        <v>74100</v>
      </c>
      <c r="H541" s="7">
        <v>67210</v>
      </c>
      <c r="I541" s="7">
        <v>25</v>
      </c>
      <c r="J541" s="7" t="s">
        <v>194</v>
      </c>
      <c r="K541" s="7" t="s">
        <v>6145</v>
      </c>
      <c r="L541" s="7" t="s">
        <v>3524</v>
      </c>
      <c r="M541" s="1" t="s">
        <v>9158</v>
      </c>
      <c r="N541" s="1" t="s">
        <v>9158</v>
      </c>
      <c r="O541" s="1" t="s">
        <v>9158</v>
      </c>
      <c r="P541" s="1" t="s">
        <v>9158</v>
      </c>
      <c r="Q541" s="1" t="s">
        <v>9158</v>
      </c>
    </row>
    <row r="542" spans="1:17">
      <c r="A542" s="7">
        <v>67473</v>
      </c>
      <c r="B542" s="7" t="s">
        <v>15</v>
      </c>
      <c r="C542" s="7" t="s">
        <v>191</v>
      </c>
      <c r="D542" s="19" t="s">
        <v>10786</v>
      </c>
      <c r="E542" s="15" t="str">
        <f>HYPERLINK("https://stat100.ameba.jp/tnk47/ratio20/illustrations/card/ill_67473_yoigokochikingyonota03.jpg?201911-6-RELEASE-conquest-e-441", "■")</f>
        <v>■</v>
      </c>
      <c r="F542" s="7" t="s">
        <v>8111</v>
      </c>
      <c r="G542" s="7">
        <v>67210</v>
      </c>
      <c r="H542" s="7">
        <v>74100</v>
      </c>
      <c r="I542" s="7">
        <v>25</v>
      </c>
      <c r="J542" s="7" t="s">
        <v>155</v>
      </c>
      <c r="K542" s="7" t="s">
        <v>8110</v>
      </c>
      <c r="L542" s="7" t="s">
        <v>1753</v>
      </c>
      <c r="M542" s="1" t="s">
        <v>9158</v>
      </c>
      <c r="N542" s="1" t="s">
        <v>9158</v>
      </c>
      <c r="O542" s="1" t="s">
        <v>9158</v>
      </c>
      <c r="P542" s="1" t="s">
        <v>9158</v>
      </c>
      <c r="Q542" s="1" t="s">
        <v>9158</v>
      </c>
    </row>
    <row r="543" spans="1:17">
      <c r="A543" s="7">
        <v>67143</v>
      </c>
      <c r="B543" s="7" t="s">
        <v>15</v>
      </c>
      <c r="C543" s="7" t="s">
        <v>200</v>
      </c>
      <c r="D543" s="19" t="s">
        <v>10787</v>
      </c>
      <c r="E543" s="15" t="str">
        <f>HYPERLINK("https://stat100.ameba.jp/tnk47/ratio20/illustrations/card/ill_67143_yukemuritsubofurishi03.jpg?201911-6-RELEASE-conquest-e-441", "■")</f>
        <v>■</v>
      </c>
      <c r="F543" s="7" t="s">
        <v>2460</v>
      </c>
      <c r="G543" s="7">
        <v>74100</v>
      </c>
      <c r="H543" s="7">
        <v>67210</v>
      </c>
      <c r="I543" s="7">
        <v>25</v>
      </c>
      <c r="J543" s="7" t="s">
        <v>159</v>
      </c>
      <c r="K543" s="7" t="s">
        <v>2461</v>
      </c>
      <c r="L543" s="1" t="s">
        <v>2462</v>
      </c>
      <c r="M543" s="1" t="s">
        <v>9158</v>
      </c>
      <c r="N543" s="1" t="s">
        <v>9158</v>
      </c>
      <c r="O543" s="1" t="s">
        <v>9158</v>
      </c>
      <c r="P543" s="1" t="s">
        <v>9158</v>
      </c>
      <c r="Q543" s="1" t="s">
        <v>9158</v>
      </c>
    </row>
    <row r="544" spans="1:17">
      <c r="E544" s="7"/>
    </row>
    <row r="545" spans="1:17">
      <c r="A545" s="7" t="s">
        <v>8245</v>
      </c>
      <c r="E545" s="7"/>
    </row>
    <row r="546" spans="1:17">
      <c r="A546" s="1" t="s">
        <v>8246</v>
      </c>
      <c r="E546" s="7"/>
    </row>
    <row r="547" spans="1:17">
      <c r="A547" s="1" t="s">
        <v>5603</v>
      </c>
      <c r="B547" s="1" t="s">
        <v>330</v>
      </c>
      <c r="C547" s="1" t="s">
        <v>205</v>
      </c>
      <c r="D547" s="19" t="s">
        <v>611</v>
      </c>
      <c r="E547" s="15" t="str">
        <f>HYPERLINK("https://stat100.ameba.jp/tnk47/ratio20/illustrations/card/ill_61893_0_onikirishumiyamotomusashi03.jpg?201911-6-RELEASE-conquest-e-441", "■")</f>
        <v>■</v>
      </c>
      <c r="F547" s="1" t="s">
        <v>612</v>
      </c>
      <c r="G547" s="1">
        <v>205358</v>
      </c>
      <c r="H547" s="1">
        <v>190952</v>
      </c>
      <c r="I547" s="1">
        <v>22</v>
      </c>
      <c r="J547" s="1" t="s">
        <v>310</v>
      </c>
      <c r="K547" s="1" t="s">
        <v>613</v>
      </c>
      <c r="L547" s="1" t="s">
        <v>312</v>
      </c>
      <c r="M547" s="1" t="s">
        <v>9158</v>
      </c>
      <c r="N547" s="1" t="s">
        <v>9158</v>
      </c>
      <c r="O547" s="19" t="s">
        <v>10071</v>
      </c>
      <c r="P547" s="1" t="s">
        <v>3253</v>
      </c>
      <c r="Q547" s="1">
        <v>1</v>
      </c>
    </row>
    <row r="548" spans="1:17">
      <c r="A548" s="1">
        <v>65643</v>
      </c>
      <c r="B548" s="1" t="s">
        <v>0</v>
      </c>
      <c r="C548" s="1" t="s">
        <v>209</v>
      </c>
      <c r="D548" s="19" t="s">
        <v>1681</v>
      </c>
      <c r="E548" s="15" t="str">
        <f>HYPERLINK("https://stat100.ameba.jp/tnk47/ratio20/illustrations/card/ill_65643_shitompekamui03.jpg?201911-6-RELEASE-conquest-e-441", "■")</f>
        <v>■</v>
      </c>
      <c r="F548" s="1" t="s">
        <v>1250</v>
      </c>
      <c r="G548" s="1">
        <v>82654</v>
      </c>
      <c r="H548" s="1">
        <v>114119</v>
      </c>
      <c r="I548" s="1">
        <v>25</v>
      </c>
      <c r="J548" s="1" t="s">
        <v>44</v>
      </c>
      <c r="K548" s="1" t="s">
        <v>1251</v>
      </c>
      <c r="L548" s="1" t="s">
        <v>1252</v>
      </c>
      <c r="M548" s="1" t="s">
        <v>9158</v>
      </c>
      <c r="N548" s="1" t="s">
        <v>9158</v>
      </c>
      <c r="O548" s="19" t="s">
        <v>10096</v>
      </c>
      <c r="P548" s="1" t="s">
        <v>3245</v>
      </c>
      <c r="Q548" s="1">
        <v>1</v>
      </c>
    </row>
    <row r="549" spans="1:17">
      <c r="A549" s="1">
        <v>79513</v>
      </c>
      <c r="B549" s="1" t="s">
        <v>334</v>
      </c>
      <c r="C549" s="1" t="s">
        <v>209</v>
      </c>
      <c r="D549" s="19" t="s">
        <v>10404</v>
      </c>
      <c r="E549" s="15" t="str">
        <f>HYPERLINK("https://stat100.ameba.jp/tnk47/ratio20/illustrations/card/ill_79513_suzafuonia03.jpg?201911-6-RELEASE-conquest-e-441", "■")</f>
        <v>■</v>
      </c>
      <c r="F549" s="1" t="s">
        <v>3529</v>
      </c>
      <c r="G549" s="1">
        <v>79151</v>
      </c>
      <c r="H549" s="1">
        <v>109259</v>
      </c>
      <c r="I549" s="1">
        <v>25</v>
      </c>
      <c r="J549" s="1" t="s">
        <v>10</v>
      </c>
      <c r="K549" s="1" t="s">
        <v>3532</v>
      </c>
      <c r="L549" s="1" t="s">
        <v>12</v>
      </c>
      <c r="M549" s="1" t="s">
        <v>9158</v>
      </c>
      <c r="N549" s="1" t="s">
        <v>9158</v>
      </c>
      <c r="O549" s="19" t="s">
        <v>2917</v>
      </c>
      <c r="P549" s="1" t="s">
        <v>3531</v>
      </c>
      <c r="Q549" s="1">
        <v>1</v>
      </c>
    </row>
    <row r="550" spans="1:17">
      <c r="A550" s="1">
        <v>66353</v>
      </c>
      <c r="B550" s="1" t="s">
        <v>0</v>
      </c>
      <c r="C550" s="1" t="s">
        <v>41</v>
      </c>
      <c r="D550" s="19" t="s">
        <v>440</v>
      </c>
      <c r="E550" s="15" t="str">
        <f>HYPERLINK("https://stat100.ameba.jp/tnk47/ratio20/illustrations/card/ill_66353_kajiwaranyudotoan03.jpg?201911-6-RELEASE-conquest-e-441", "■")</f>
        <v>■</v>
      </c>
      <c r="F550" s="1" t="s">
        <v>142</v>
      </c>
      <c r="G550" s="1">
        <v>166328</v>
      </c>
      <c r="H550" s="1">
        <v>120475</v>
      </c>
      <c r="I550" s="1">
        <v>25</v>
      </c>
      <c r="J550" s="1" t="s">
        <v>143</v>
      </c>
      <c r="K550" s="1" t="s">
        <v>144</v>
      </c>
      <c r="L550" s="1" t="s">
        <v>145</v>
      </c>
      <c r="M550" s="1" t="s">
        <v>9158</v>
      </c>
      <c r="N550" s="1" t="s">
        <v>9158</v>
      </c>
      <c r="O550" s="19" t="s">
        <v>10102</v>
      </c>
      <c r="P550" s="1" t="s">
        <v>3672</v>
      </c>
      <c r="Q550" s="1">
        <v>1</v>
      </c>
    </row>
    <row r="551" spans="1:17">
      <c r="E551" s="7"/>
    </row>
    <row r="552" spans="1:17">
      <c r="A552" s="7" t="s">
        <v>8253</v>
      </c>
      <c r="E552" s="7"/>
    </row>
    <row r="553" spans="1:17">
      <c r="A553" s="7" t="s">
        <v>8255</v>
      </c>
      <c r="E553" s="7"/>
    </row>
    <row r="554" spans="1:17">
      <c r="A554" s="7" t="s">
        <v>8254</v>
      </c>
      <c r="E554" s="7"/>
    </row>
    <row r="555" spans="1:17">
      <c r="A555" s="1" t="s">
        <v>7789</v>
      </c>
      <c r="B555" s="1" t="s">
        <v>52</v>
      </c>
      <c r="C555" s="1" t="s">
        <v>202</v>
      </c>
      <c r="D555" s="19" t="s">
        <v>10741</v>
      </c>
      <c r="E555" s="15" t="str">
        <f>HYPERLINK("https://stat100.ameba.jp/tnk47/ratio20/illustrations/card/ill_84923_0_onsengainansosatomihakkenden03.jpg?201911-6-RELEASE-conquest-e-441", "■")</f>
        <v>■</v>
      </c>
      <c r="F555" s="1" t="s">
        <v>7792</v>
      </c>
      <c r="G555" s="1">
        <v>173287</v>
      </c>
      <c r="H555" s="1">
        <v>191727</v>
      </c>
      <c r="I555" s="1">
        <v>15</v>
      </c>
      <c r="J555" s="1" t="s">
        <v>155</v>
      </c>
      <c r="K555" s="1" t="s">
        <v>7791</v>
      </c>
      <c r="L555" s="1" t="s">
        <v>7790</v>
      </c>
      <c r="M555" s="1" t="s">
        <v>9158</v>
      </c>
      <c r="N555" s="1" t="s">
        <v>9158</v>
      </c>
      <c r="O555" s="19" t="s">
        <v>10131</v>
      </c>
      <c r="P555" s="1" t="s">
        <v>7793</v>
      </c>
      <c r="Q555" s="1">
        <v>0</v>
      </c>
    </row>
    <row r="556" spans="1:17">
      <c r="A556" s="7">
        <v>85313</v>
      </c>
      <c r="B556" s="7" t="s">
        <v>8256</v>
      </c>
      <c r="C556" s="7" t="s">
        <v>8264</v>
      </c>
      <c r="D556" s="19" t="s">
        <v>10797</v>
      </c>
      <c r="E556" s="15" t="str">
        <f>HYPERLINK("https://stat100.ameba.jp/tnk47/ratio20/illustrations/card/ill_85313_chukahantentachibanaginchiyo03.jpg?201911-6-RELEASE-conquest-e-441", "■")</f>
        <v>■</v>
      </c>
      <c r="F556" s="7" t="s">
        <v>8270</v>
      </c>
      <c r="G556" s="7">
        <v>97651</v>
      </c>
      <c r="H556" s="7">
        <v>90759</v>
      </c>
      <c r="I556" s="7">
        <v>25</v>
      </c>
      <c r="J556" s="7" t="s">
        <v>8260</v>
      </c>
      <c r="K556" s="7" t="s">
        <v>14015</v>
      </c>
      <c r="L556" s="7" t="s">
        <v>8269</v>
      </c>
      <c r="M556" s="1" t="s">
        <v>9158</v>
      </c>
      <c r="N556" s="1" t="s">
        <v>9158</v>
      </c>
      <c r="O556" s="1" t="s">
        <v>9158</v>
      </c>
      <c r="P556" s="1" t="s">
        <v>9158</v>
      </c>
      <c r="Q556" s="1" t="s">
        <v>9158</v>
      </c>
    </row>
    <row r="557" spans="1:17">
      <c r="A557" s="7">
        <v>85323</v>
      </c>
      <c r="B557" s="7" t="s">
        <v>8256</v>
      </c>
      <c r="C557" s="7" t="s">
        <v>8265</v>
      </c>
      <c r="D557" s="19" t="s">
        <v>10798</v>
      </c>
      <c r="E557" s="15" t="str">
        <f>HYPERLINK("https://stat100.ameba.jp/tnk47/ratio20/illustrations/card/ill_85323_sangokushikaryoubinga03.jpg?201911-6-RELEASE-conquest-e-441", "■")</f>
        <v>■</v>
      </c>
      <c r="F557" s="7" t="s">
        <v>8273</v>
      </c>
      <c r="G557" s="7">
        <v>94802</v>
      </c>
      <c r="H557" s="7">
        <v>101971</v>
      </c>
      <c r="I557" s="7">
        <v>25</v>
      </c>
      <c r="J557" s="7" t="s">
        <v>8261</v>
      </c>
      <c r="K557" s="7" t="s">
        <v>8272</v>
      </c>
      <c r="L557" s="7" t="s">
        <v>8271</v>
      </c>
      <c r="M557" s="1" t="s">
        <v>9158</v>
      </c>
      <c r="N557" s="1" t="s">
        <v>9158</v>
      </c>
      <c r="O557" s="1" t="s">
        <v>9158</v>
      </c>
      <c r="P557" s="1" t="s">
        <v>9158</v>
      </c>
      <c r="Q557" s="1" t="s">
        <v>9158</v>
      </c>
    </row>
    <row r="558" spans="1:17">
      <c r="A558" s="7">
        <v>85333</v>
      </c>
      <c r="B558" s="7" t="s">
        <v>8257</v>
      </c>
      <c r="C558" s="7" t="s">
        <v>8266</v>
      </c>
      <c r="D558" s="19" t="s">
        <v>10799</v>
      </c>
      <c r="E558" s="15" t="str">
        <f>HYPERLINK("https://stat100.ameba.jp/tnk47/ratio20/illustrations/card/ill_85333_oryoriehimenomikoto03.jpg?201911-6-RELEASE-conquest-e-441", "■")</f>
        <v>■</v>
      </c>
      <c r="F558" s="7" t="s">
        <v>8276</v>
      </c>
      <c r="G558" s="7">
        <v>74100</v>
      </c>
      <c r="H558" s="7">
        <v>67210</v>
      </c>
      <c r="I558" s="7">
        <v>25</v>
      </c>
      <c r="J558" s="7" t="s">
        <v>8261</v>
      </c>
      <c r="K558" s="7" t="s">
        <v>8275</v>
      </c>
      <c r="L558" s="7" t="s">
        <v>8274</v>
      </c>
      <c r="M558" s="1" t="s">
        <v>9158</v>
      </c>
      <c r="N558" s="1" t="s">
        <v>9158</v>
      </c>
      <c r="O558" s="1" t="s">
        <v>9158</v>
      </c>
      <c r="P558" s="1" t="s">
        <v>9158</v>
      </c>
      <c r="Q558" s="1" t="s">
        <v>9158</v>
      </c>
    </row>
    <row r="559" spans="1:17">
      <c r="A559" s="7">
        <v>85343</v>
      </c>
      <c r="B559" s="7" t="s">
        <v>8258</v>
      </c>
      <c r="C559" s="7" t="s">
        <v>8267</v>
      </c>
      <c r="D559" s="19" t="s">
        <v>10800</v>
      </c>
      <c r="E559" s="15" t="str">
        <f>HYPERLINK("https://stat100.ameba.jp/tnk47/ratio20/illustrations/card/ill_85343_dobutsumomochan03.jpg?201911-6-RELEASE-conquest-e-441", "■")</f>
        <v>■</v>
      </c>
      <c r="F559" s="7" t="s">
        <v>8279</v>
      </c>
      <c r="G559" s="7">
        <v>43220</v>
      </c>
      <c r="H559" s="7">
        <v>51980</v>
      </c>
      <c r="I559" s="7">
        <v>25</v>
      </c>
      <c r="J559" s="7" t="s">
        <v>8262</v>
      </c>
      <c r="K559" s="7" t="s">
        <v>8278</v>
      </c>
      <c r="L559" s="7" t="s">
        <v>8277</v>
      </c>
      <c r="M559" s="1" t="s">
        <v>9158</v>
      </c>
      <c r="N559" s="1" t="s">
        <v>9158</v>
      </c>
      <c r="O559" s="1" t="s">
        <v>9158</v>
      </c>
      <c r="P559" s="1" t="s">
        <v>9158</v>
      </c>
      <c r="Q559" s="1" t="s">
        <v>9158</v>
      </c>
    </row>
    <row r="560" spans="1:17">
      <c r="A560" s="7">
        <v>85353</v>
      </c>
      <c r="B560" s="7" t="s">
        <v>8259</v>
      </c>
      <c r="C560" s="7" t="s">
        <v>8268</v>
      </c>
      <c r="D560" s="19" t="s">
        <v>10801</v>
      </c>
      <c r="E560" s="15" t="str">
        <f>HYPERLINK("https://stat100.ameba.jp/tnk47/ratio20/illustrations/card/ill_85353_kamaitachi03.jpg?201911-6-RELEASE-conquest-e-441", "■")</f>
        <v>■</v>
      </c>
      <c r="F560" s="7" t="s">
        <v>8282</v>
      </c>
      <c r="G560" s="7">
        <v>31470</v>
      </c>
      <c r="H560" s="7">
        <v>26430</v>
      </c>
      <c r="I560" s="7">
        <v>25</v>
      </c>
      <c r="J560" s="7" t="s">
        <v>8263</v>
      </c>
      <c r="K560" s="7" t="s">
        <v>8281</v>
      </c>
      <c r="L560" s="7" t="s">
        <v>8280</v>
      </c>
      <c r="M560" s="1" t="s">
        <v>9158</v>
      </c>
      <c r="N560" s="1" t="s">
        <v>9158</v>
      </c>
      <c r="O560" s="1" t="s">
        <v>9158</v>
      </c>
      <c r="P560" s="1" t="s">
        <v>9158</v>
      </c>
      <c r="Q560" s="1" t="s">
        <v>9158</v>
      </c>
    </row>
    <row r="561" spans="1:17">
      <c r="E561" s="7"/>
    </row>
    <row r="562" spans="1:17">
      <c r="A562" s="7" t="s">
        <v>204</v>
      </c>
      <c r="E562" s="7"/>
    </row>
    <row r="563" spans="1:17">
      <c r="A563" s="7" t="s">
        <v>8283</v>
      </c>
      <c r="E563" s="7"/>
    </row>
    <row r="564" spans="1:17">
      <c r="A564" s="1" t="s">
        <v>5620</v>
      </c>
      <c r="B564" s="1" t="s">
        <v>330</v>
      </c>
      <c r="C564" s="1" t="s">
        <v>206</v>
      </c>
      <c r="D564" s="19" t="s">
        <v>669</v>
      </c>
      <c r="E564" s="15" t="str">
        <f>HYPERLINK("https://stat100.ameba.jp/tnk47/ratio20/illustrations/card/ill_67173_0_yukemuriawamorichan03.jpg?201911-6-RELEASE-conquest-e-441", "■")</f>
        <v>■</v>
      </c>
      <c r="F564" s="1" t="s">
        <v>670</v>
      </c>
      <c r="G564" s="1">
        <v>115249</v>
      </c>
      <c r="H564" s="1">
        <v>107146</v>
      </c>
      <c r="I564" s="1">
        <v>15</v>
      </c>
      <c r="J564" s="1" t="s">
        <v>283</v>
      </c>
      <c r="K564" s="1" t="s">
        <v>671</v>
      </c>
      <c r="L564" s="1" t="s">
        <v>672</v>
      </c>
      <c r="M564" s="1" t="s">
        <v>9158</v>
      </c>
      <c r="N564" s="1" t="s">
        <v>9158</v>
      </c>
      <c r="O564" s="19" t="s">
        <v>10087</v>
      </c>
      <c r="P564" s="1" t="s">
        <v>3455</v>
      </c>
      <c r="Q564" s="1">
        <v>1</v>
      </c>
    </row>
    <row r="565" spans="1:17">
      <c r="A565" s="1" t="s">
        <v>5734</v>
      </c>
      <c r="B565" s="1" t="s">
        <v>330</v>
      </c>
      <c r="C565" s="1" t="s">
        <v>202</v>
      </c>
      <c r="D565" s="19" t="s">
        <v>1497</v>
      </c>
      <c r="E565" s="15" t="str">
        <f>HYPERLINK("https://stat100.ameba.jp/tnk47/ratio20/illustrations/card/ill_74593_0_natsuyuenchikoshihikari03.jpg?201911-6-RELEASE-conquest-e-441", "■")</f>
        <v>■</v>
      </c>
      <c r="F565" s="1" t="s">
        <v>1498</v>
      </c>
      <c r="G565" s="1">
        <v>162496</v>
      </c>
      <c r="H565" s="1">
        <v>151067</v>
      </c>
      <c r="I565" s="1">
        <v>15</v>
      </c>
      <c r="J565" s="1" t="s">
        <v>283</v>
      </c>
      <c r="K565" s="1" t="s">
        <v>1499</v>
      </c>
      <c r="L565" s="1" t="s">
        <v>1500</v>
      </c>
      <c r="M565" s="1" t="s">
        <v>9158</v>
      </c>
      <c r="N565" s="1" t="s">
        <v>9158</v>
      </c>
      <c r="O565" s="19" t="s">
        <v>2731</v>
      </c>
      <c r="P565" s="1" t="s">
        <v>2732</v>
      </c>
      <c r="Q565" s="1">
        <v>1</v>
      </c>
    </row>
    <row r="566" spans="1:17">
      <c r="A566" s="1" t="s">
        <v>5608</v>
      </c>
      <c r="B566" s="1" t="s">
        <v>52</v>
      </c>
      <c r="C566" s="1" t="s">
        <v>96</v>
      </c>
      <c r="D566" s="19" t="s">
        <v>634</v>
      </c>
      <c r="E566" s="15" t="str">
        <f>HYPERLINK("https://stat100.ameba.jp/tnk47/ratio20/illustrations/card/ill_40963_0_makami03.jpg?201911-6-RELEASE-conquest-e-441", "■")</f>
        <v>■</v>
      </c>
      <c r="F566" s="1" t="s">
        <v>2038</v>
      </c>
      <c r="G566" s="1">
        <v>87780</v>
      </c>
      <c r="H566" s="1">
        <v>82212</v>
      </c>
      <c r="I566" s="1">
        <v>15</v>
      </c>
      <c r="J566" s="1" t="s">
        <v>44</v>
      </c>
      <c r="K566" s="1" t="s">
        <v>2039</v>
      </c>
      <c r="L566" s="1" t="s">
        <v>2040</v>
      </c>
      <c r="M566" s="1" t="s">
        <v>9158</v>
      </c>
      <c r="N566" s="1" t="s">
        <v>9158</v>
      </c>
      <c r="O566" s="1" t="s">
        <v>9158</v>
      </c>
      <c r="P566" s="1" t="s">
        <v>9158</v>
      </c>
      <c r="Q566" s="1" t="s">
        <v>9158</v>
      </c>
    </row>
    <row r="567" spans="1:17">
      <c r="A567" s="7">
        <v>65233</v>
      </c>
      <c r="B567" s="1" t="s">
        <v>334</v>
      </c>
      <c r="C567" s="1" t="s">
        <v>191</v>
      </c>
      <c r="D567" s="19" t="s">
        <v>10451</v>
      </c>
      <c r="E567" s="15" t="str">
        <f>HYPERLINK("https://stat100.ameba.jp/tnk47/ratio20/illustrations/card/ill_65233_togakushisoba03.jpg?201911-6-RELEASE-conquest-e-441", "■")</f>
        <v>■</v>
      </c>
      <c r="F567" s="1" t="s">
        <v>8288</v>
      </c>
      <c r="G567" s="1">
        <v>139986</v>
      </c>
      <c r="H567" s="1">
        <v>78748</v>
      </c>
      <c r="I567" s="1">
        <v>24</v>
      </c>
      <c r="J567" s="1" t="s">
        <v>8262</v>
      </c>
      <c r="K567" s="1" t="s">
        <v>8287</v>
      </c>
      <c r="L567" s="1" t="s">
        <v>8286</v>
      </c>
      <c r="M567" s="1" t="s">
        <v>9158</v>
      </c>
      <c r="N567" s="1" t="s">
        <v>9158</v>
      </c>
      <c r="O567" s="1" t="s">
        <v>9158</v>
      </c>
      <c r="P567" s="1" t="s">
        <v>9158</v>
      </c>
      <c r="Q567" s="1" t="s">
        <v>9158</v>
      </c>
    </row>
    <row r="568" spans="1:17">
      <c r="A568" s="7">
        <v>66783</v>
      </c>
      <c r="B568" s="7" t="s">
        <v>0</v>
      </c>
      <c r="C568" s="1" t="s">
        <v>96</v>
      </c>
      <c r="D568" s="19" t="s">
        <v>1652</v>
      </c>
      <c r="E568" s="15" t="str">
        <f>HYPERLINK("https://stat100.ameba.jp/tnk47/ratio20/illustrations/card/ill_66783_mikimotokokichi03.jpg?201911-6-RELEASE-conquest-e-441", "■")</f>
        <v>■</v>
      </c>
      <c r="F568" s="7" t="s">
        <v>8291</v>
      </c>
      <c r="G568" s="7">
        <v>115746</v>
      </c>
      <c r="H568" s="7">
        <v>65128</v>
      </c>
      <c r="I568" s="7">
        <v>24</v>
      </c>
      <c r="J568" s="1" t="s">
        <v>8284</v>
      </c>
      <c r="K568" s="7" t="s">
        <v>8290</v>
      </c>
      <c r="L568" s="7" t="s">
        <v>8289</v>
      </c>
      <c r="M568" s="1" t="s">
        <v>9158</v>
      </c>
      <c r="N568" s="1" t="s">
        <v>9158</v>
      </c>
      <c r="O568" s="1" t="s">
        <v>9158</v>
      </c>
      <c r="P568" s="1" t="s">
        <v>9158</v>
      </c>
      <c r="Q568" s="1" t="s">
        <v>9158</v>
      </c>
    </row>
    <row r="569" spans="1:17">
      <c r="A569" s="7">
        <v>52853</v>
      </c>
      <c r="B569" s="1" t="s">
        <v>334</v>
      </c>
      <c r="C569" s="1" t="s">
        <v>206</v>
      </c>
      <c r="D569" s="19" t="s">
        <v>10802</v>
      </c>
      <c r="E569" s="15" t="str">
        <f>HYPERLINK("https://stat100.ameba.jp/tnk47/ratio20/illustrations/card/ill_52853_andoroidootomosorin03.jpg?201911-6-RELEASE-conquest-e-441", "■")</f>
        <v>■</v>
      </c>
      <c r="F569" s="1" t="s">
        <v>8294</v>
      </c>
      <c r="G569" s="1">
        <v>142272</v>
      </c>
      <c r="H569" s="1">
        <v>86006</v>
      </c>
      <c r="I569" s="1">
        <v>24</v>
      </c>
      <c r="J569" s="1" t="s">
        <v>8285</v>
      </c>
      <c r="K569" s="1" t="s">
        <v>8293</v>
      </c>
      <c r="L569" s="1" t="s">
        <v>8292</v>
      </c>
      <c r="M569" s="1" t="s">
        <v>9158</v>
      </c>
      <c r="N569" s="1" t="s">
        <v>9158</v>
      </c>
      <c r="O569" s="1" t="s">
        <v>9158</v>
      </c>
      <c r="P569" s="1" t="s">
        <v>9158</v>
      </c>
      <c r="Q569" s="1" t="s">
        <v>9158</v>
      </c>
    </row>
    <row r="570" spans="1:17">
      <c r="A570" s="1">
        <v>79103</v>
      </c>
      <c r="B570" s="1" t="s">
        <v>15</v>
      </c>
      <c r="C570" s="1" t="s">
        <v>200</v>
      </c>
      <c r="D570" s="19" t="s">
        <v>10542</v>
      </c>
      <c r="E570" s="15" t="str">
        <f>HYPERLINK("https://stat100.ameba.jp/tnk47/ratio20/illustrations/card/ill_79103_burabankitaharareiko03.jpg?201911-6-RELEASE-conquest-e-441", "■")</f>
        <v>■</v>
      </c>
      <c r="F570" s="1" t="s">
        <v>3398</v>
      </c>
      <c r="G570" s="1">
        <v>59280</v>
      </c>
      <c r="H570" s="1">
        <v>53768</v>
      </c>
      <c r="I570" s="1">
        <v>20</v>
      </c>
      <c r="J570" s="1" t="s">
        <v>10</v>
      </c>
      <c r="K570" s="1" t="s">
        <v>3399</v>
      </c>
      <c r="L570" s="1" t="s">
        <v>3275</v>
      </c>
      <c r="M570" s="1" t="s">
        <v>9158</v>
      </c>
      <c r="N570" s="1" t="s">
        <v>9158</v>
      </c>
      <c r="O570" s="1" t="s">
        <v>9158</v>
      </c>
      <c r="P570" s="1" t="s">
        <v>9158</v>
      </c>
      <c r="Q570" s="1" t="s">
        <v>9158</v>
      </c>
    </row>
    <row r="571" spans="1:17">
      <c r="A571" s="1">
        <v>68863</v>
      </c>
      <c r="B571" s="1" t="s">
        <v>348</v>
      </c>
      <c r="C571" s="1" t="s">
        <v>165</v>
      </c>
      <c r="D571" s="19" t="s">
        <v>4058</v>
      </c>
      <c r="E571" s="15" t="str">
        <f>HYPERLINK("https://stat100.ameba.jp/tnk47/ratio20/illustrations/card/ill_68863_karutawakaruhimenomikoto03.jpg?201911-6-RELEASE-conquest-e-441", "■")</f>
        <v>■</v>
      </c>
      <c r="F571" s="1" t="s">
        <v>3269</v>
      </c>
      <c r="G571" s="1">
        <v>59280</v>
      </c>
      <c r="H571" s="1">
        <v>53768</v>
      </c>
      <c r="I571" s="1">
        <v>20</v>
      </c>
      <c r="J571" s="1" t="s">
        <v>44</v>
      </c>
      <c r="K571" s="1" t="s">
        <v>3270</v>
      </c>
      <c r="L571" s="1" t="s">
        <v>3271</v>
      </c>
      <c r="M571" s="1" t="s">
        <v>9158</v>
      </c>
      <c r="N571" s="1" t="s">
        <v>9158</v>
      </c>
      <c r="O571" s="1" t="s">
        <v>9158</v>
      </c>
      <c r="P571" s="1" t="s">
        <v>9158</v>
      </c>
      <c r="Q571" s="1" t="s">
        <v>9158</v>
      </c>
    </row>
    <row r="572" spans="1:17">
      <c r="A572" s="1">
        <v>78773</v>
      </c>
      <c r="B572" s="1" t="s">
        <v>15</v>
      </c>
      <c r="C572" s="1" t="s">
        <v>191</v>
      </c>
      <c r="D572" s="19" t="s">
        <v>2856</v>
      </c>
      <c r="E572" s="15" t="str">
        <f>HYPERLINK("https://stat100.ameba.jp/tnk47/ratio20/illustrations/card/ill_78773_hosokawagarasya03.jpg?201911-6-RELEASE-conquest-e-441", "■")</f>
        <v>■</v>
      </c>
      <c r="F572" s="1" t="s">
        <v>7103</v>
      </c>
      <c r="G572" s="1">
        <v>59280</v>
      </c>
      <c r="H572" s="1">
        <v>53768</v>
      </c>
      <c r="I572" s="1">
        <v>20</v>
      </c>
      <c r="J572" s="1" t="s">
        <v>77</v>
      </c>
      <c r="K572" s="1" t="s">
        <v>7101</v>
      </c>
      <c r="L572" s="1" t="s">
        <v>932</v>
      </c>
      <c r="M572" s="1" t="s">
        <v>9158</v>
      </c>
      <c r="N572" s="1" t="s">
        <v>9158</v>
      </c>
      <c r="O572" s="1" t="s">
        <v>9158</v>
      </c>
      <c r="P572" s="1" t="s">
        <v>9158</v>
      </c>
      <c r="Q572" s="1" t="s">
        <v>9158</v>
      </c>
    </row>
    <row r="573" spans="1:17">
      <c r="E573" s="7"/>
    </row>
    <row r="574" spans="1:17">
      <c r="A574" s="7" t="s">
        <v>8295</v>
      </c>
      <c r="E574" s="7"/>
    </row>
    <row r="575" spans="1:17">
      <c r="A575" s="7" t="s">
        <v>8296</v>
      </c>
      <c r="E575" s="7"/>
    </row>
    <row r="576" spans="1:17">
      <c r="A576" s="1" t="s">
        <v>5618</v>
      </c>
      <c r="B576" s="1" t="s">
        <v>52</v>
      </c>
      <c r="C576" s="1" t="s">
        <v>23</v>
      </c>
      <c r="D576" s="19" t="s">
        <v>665</v>
      </c>
      <c r="E576" s="15" t="str">
        <f>HYPERLINK("https://stat100.ameba.jp/tnk47/ratio20/illustrations/card/ill_63173_0_minazukikonakaiteruko03.jpg?201911-6-RELEASE-conquest-e-441", "■")</f>
        <v>■</v>
      </c>
      <c r="F576" s="1" t="s">
        <v>1188</v>
      </c>
      <c r="G576" s="1">
        <v>208310</v>
      </c>
      <c r="H576" s="1">
        <v>224026</v>
      </c>
      <c r="I576" s="1">
        <v>24</v>
      </c>
      <c r="J576" s="1" t="s">
        <v>143</v>
      </c>
      <c r="K576" s="1" t="s">
        <v>1189</v>
      </c>
      <c r="L576" s="1" t="s">
        <v>1190</v>
      </c>
      <c r="M576" s="1" t="s">
        <v>9158</v>
      </c>
      <c r="N576" s="1" t="s">
        <v>9158</v>
      </c>
      <c r="O576" s="19" t="s">
        <v>10079</v>
      </c>
      <c r="P576" s="1" t="s">
        <v>3329</v>
      </c>
      <c r="Q576" s="1">
        <v>1</v>
      </c>
    </row>
    <row r="577" spans="1:17">
      <c r="A577" s="1">
        <v>81313</v>
      </c>
      <c r="B577" s="1" t="s">
        <v>0</v>
      </c>
      <c r="C577" s="1" t="s">
        <v>154</v>
      </c>
      <c r="D577" s="19" t="s">
        <v>10511</v>
      </c>
      <c r="E577" s="15" t="str">
        <f>HYPERLINK("https://stat100.ameba.jp/tnk47/ratio20/illustrations/card/ill_81313_harihara03.jpg?201911-6-RELEASE-conquest-e-441", "■")</f>
        <v>■</v>
      </c>
      <c r="F577" s="1" t="s">
        <v>4667</v>
      </c>
      <c r="G577" s="1">
        <v>159674</v>
      </c>
      <c r="H577" s="1">
        <v>115656</v>
      </c>
      <c r="I577" s="1">
        <v>24</v>
      </c>
      <c r="J577" s="1" t="s">
        <v>44</v>
      </c>
      <c r="K577" s="1" t="s">
        <v>4668</v>
      </c>
      <c r="L577" s="1" t="s">
        <v>4669</v>
      </c>
      <c r="M577" s="1" t="s">
        <v>9158</v>
      </c>
      <c r="N577" s="1" t="s">
        <v>9158</v>
      </c>
      <c r="O577" s="19" t="s">
        <v>10114</v>
      </c>
      <c r="P577" s="1" t="s">
        <v>3658</v>
      </c>
      <c r="Q577" s="1">
        <v>1</v>
      </c>
    </row>
    <row r="578" spans="1:17">
      <c r="A578" s="1">
        <v>79523</v>
      </c>
      <c r="B578" s="1" t="s">
        <v>0</v>
      </c>
      <c r="C578" s="1" t="s">
        <v>203</v>
      </c>
      <c r="D578" s="19" t="s">
        <v>10309</v>
      </c>
      <c r="E578" s="15" t="str">
        <f>HYPERLINK("https://stat100.ameba.jp/tnk47/ratio20/illustrations/card/ill_79523_shikyokunoashurato03.jpg?201911-6-RELEASE-conquest-e-441", "■")</f>
        <v>■</v>
      </c>
      <c r="F578" s="1" t="s">
        <v>3590</v>
      </c>
      <c r="G578" s="1">
        <v>75984</v>
      </c>
      <c r="H578" s="1">
        <v>104890</v>
      </c>
      <c r="I578" s="1">
        <v>24</v>
      </c>
      <c r="J578" s="1" t="s">
        <v>77</v>
      </c>
      <c r="K578" s="1" t="s">
        <v>3591</v>
      </c>
      <c r="L578" s="1" t="s">
        <v>1955</v>
      </c>
      <c r="M578" s="1" t="s">
        <v>9158</v>
      </c>
      <c r="N578" s="1" t="s">
        <v>9158</v>
      </c>
      <c r="O578" s="19" t="s">
        <v>10074</v>
      </c>
      <c r="P578" s="1" t="s">
        <v>3592</v>
      </c>
      <c r="Q578" s="1">
        <v>1</v>
      </c>
    </row>
    <row r="579" spans="1:17">
      <c r="A579" s="1">
        <v>67643</v>
      </c>
      <c r="B579" s="1" t="s">
        <v>334</v>
      </c>
      <c r="C579" s="1" t="s">
        <v>209</v>
      </c>
      <c r="D579" s="19" t="s">
        <v>3033</v>
      </c>
      <c r="E579" s="15" t="str">
        <f>HYPERLINK("https://stat100.ameba.jp/tnk47/ratio20/illustrations/card/ill_67643_edokarakamichan03.jpg?201911-6-RELEASE-conquest-e-441", "■")</f>
        <v>■</v>
      </c>
      <c r="F579" s="6" t="s">
        <v>1196</v>
      </c>
      <c r="G579" s="1">
        <v>113338</v>
      </c>
      <c r="H579" s="1">
        <v>105394</v>
      </c>
      <c r="I579" s="1">
        <v>24</v>
      </c>
      <c r="J579" s="1" t="s">
        <v>26</v>
      </c>
      <c r="K579" s="1" t="s">
        <v>1197</v>
      </c>
      <c r="L579" s="1" t="s">
        <v>1198</v>
      </c>
      <c r="M579" s="1" t="s">
        <v>9158</v>
      </c>
      <c r="N579" s="1" t="s">
        <v>9158</v>
      </c>
      <c r="O579" s="19" t="s">
        <v>3037</v>
      </c>
      <c r="P579" s="1" t="s">
        <v>13128</v>
      </c>
      <c r="Q579" s="1">
        <v>1</v>
      </c>
    </row>
    <row r="580" spans="1:17">
      <c r="E580" s="7"/>
    </row>
    <row r="581" spans="1:17">
      <c r="A581" s="7" t="s">
        <v>8297</v>
      </c>
      <c r="E581" s="7"/>
    </row>
    <row r="582" spans="1:17">
      <c r="A582" s="7" t="s">
        <v>8298</v>
      </c>
      <c r="E582" s="7"/>
    </row>
    <row r="583" spans="1:17">
      <c r="A583" s="1" t="s">
        <v>5611</v>
      </c>
      <c r="B583" s="1" t="s">
        <v>330</v>
      </c>
      <c r="C583" s="1" t="s">
        <v>185</v>
      </c>
      <c r="D583" s="19" t="s">
        <v>539</v>
      </c>
      <c r="E583" s="15" t="str">
        <f>HYPERLINK("https://stat100.ameba.jp/tnk47/ratio20/illustrations/card/ill_60633_0_harumaisentoin03.jpg?201911-6-RELEASE-conquest-e-441", "■")</f>
        <v>■</v>
      </c>
      <c r="F583" s="1" t="s">
        <v>540</v>
      </c>
      <c r="G583" s="1">
        <v>146235</v>
      </c>
      <c r="H583" s="1">
        <v>157306</v>
      </c>
      <c r="I583" s="1">
        <v>23</v>
      </c>
      <c r="J583" s="1" t="s">
        <v>274</v>
      </c>
      <c r="K583" s="1" t="s">
        <v>541</v>
      </c>
      <c r="L583" s="1" t="s">
        <v>542</v>
      </c>
      <c r="M583" s="1" t="s">
        <v>9158</v>
      </c>
      <c r="N583" s="1" t="s">
        <v>9158</v>
      </c>
      <c r="O583" s="19" t="s">
        <v>2888</v>
      </c>
      <c r="P583" s="1" t="s">
        <v>3144</v>
      </c>
      <c r="Q583" s="1">
        <v>1</v>
      </c>
    </row>
    <row r="584" spans="1:17">
      <c r="A584" s="1" t="s">
        <v>5621</v>
      </c>
      <c r="B584" s="1" t="s">
        <v>330</v>
      </c>
      <c r="C584" s="1" t="s">
        <v>191</v>
      </c>
      <c r="D584" s="19" t="s">
        <v>2871</v>
      </c>
      <c r="E584" s="15" t="str">
        <f>HYPERLINK("https://stat100.ameba.jp/tnk47/ratio20/illustrations/card/ill_51973_0_kemonomizugikuroyuridensetsu03.jpg?201911-6-RELEASE-conquest-e-441", "■")</f>
        <v>■</v>
      </c>
      <c r="F584" s="1" t="s">
        <v>2034</v>
      </c>
      <c r="G584" s="1">
        <v>144494</v>
      </c>
      <c r="H584" s="1">
        <v>128358</v>
      </c>
      <c r="I584" s="1">
        <v>23</v>
      </c>
      <c r="J584" s="1" t="s">
        <v>38</v>
      </c>
      <c r="K584" s="1" t="s">
        <v>2035</v>
      </c>
      <c r="L584" s="1" t="s">
        <v>2036</v>
      </c>
      <c r="M584" s="1" t="s">
        <v>9158</v>
      </c>
      <c r="N584" s="1" t="s">
        <v>9158</v>
      </c>
      <c r="O584" s="19" t="s">
        <v>10088</v>
      </c>
      <c r="P584" s="1" t="s">
        <v>13172</v>
      </c>
      <c r="Q584" s="1">
        <v>1</v>
      </c>
    </row>
    <row r="585" spans="1:17">
      <c r="A585" s="1" t="s">
        <v>5721</v>
      </c>
      <c r="B585" s="1" t="s">
        <v>52</v>
      </c>
      <c r="C585" s="1" t="s">
        <v>1</v>
      </c>
      <c r="D585" s="19" t="s">
        <v>513</v>
      </c>
      <c r="E585" s="15" t="str">
        <f>HYPERLINK("https://stat100.ameba.jp/tnk47/ratio20/illustrations/card/ill_44283_0_izumonokuni03.jpg?201911-6-RELEASE-conquest-e-441", "■")</f>
        <v>■</v>
      </c>
      <c r="F585" s="1" t="s">
        <v>1716</v>
      </c>
      <c r="G585" s="1">
        <v>134596</v>
      </c>
      <c r="H585" s="1">
        <v>126058</v>
      </c>
      <c r="I585" s="1">
        <v>23</v>
      </c>
      <c r="J585" s="1" t="s">
        <v>16</v>
      </c>
      <c r="K585" s="1" t="s">
        <v>2254</v>
      </c>
      <c r="L585" s="1" t="s">
        <v>1718</v>
      </c>
      <c r="M585" s="1" t="s">
        <v>9158</v>
      </c>
      <c r="N585" s="1" t="s">
        <v>9158</v>
      </c>
      <c r="O585" s="1" t="s">
        <v>9158</v>
      </c>
      <c r="P585" s="1" t="s">
        <v>9158</v>
      </c>
      <c r="Q585" s="1" t="s">
        <v>9158</v>
      </c>
    </row>
    <row r="586" spans="1:17">
      <c r="A586" s="7">
        <v>85313</v>
      </c>
      <c r="B586" s="7" t="s">
        <v>0</v>
      </c>
      <c r="C586" s="7" t="s">
        <v>206</v>
      </c>
      <c r="D586" s="19" t="s">
        <v>10797</v>
      </c>
      <c r="E586" s="15" t="str">
        <f>HYPERLINK("https://stat100.ameba.jp/tnk47/ratio20/illustrations/card/ill_85313_chukahantentachibanaginchiyo03.jpg?201911-6-RELEASE-conquest-e-441", "■")</f>
        <v>■</v>
      </c>
      <c r="F586" s="7" t="s">
        <v>8270</v>
      </c>
      <c r="G586" s="7">
        <v>93746</v>
      </c>
      <c r="H586" s="7">
        <v>87128</v>
      </c>
      <c r="I586" s="7">
        <v>24</v>
      </c>
      <c r="J586" s="7" t="s">
        <v>187</v>
      </c>
      <c r="K586" s="7" t="s">
        <v>14015</v>
      </c>
      <c r="L586" s="7" t="s">
        <v>8269</v>
      </c>
      <c r="M586" s="1" t="s">
        <v>9158</v>
      </c>
      <c r="N586" s="1" t="s">
        <v>9158</v>
      </c>
      <c r="O586" s="1" t="s">
        <v>9158</v>
      </c>
      <c r="P586" s="1" t="s">
        <v>9158</v>
      </c>
      <c r="Q586" s="1" t="s">
        <v>9158</v>
      </c>
    </row>
    <row r="587" spans="1:17">
      <c r="A587" s="7">
        <v>85333</v>
      </c>
      <c r="B587" s="7" t="s">
        <v>15</v>
      </c>
      <c r="C587" s="7" t="s">
        <v>205</v>
      </c>
      <c r="D587" s="19" t="s">
        <v>10799</v>
      </c>
      <c r="E587" s="15" t="str">
        <f>HYPERLINK("https://stat100.ameba.jp/tnk47/ratio20/illustrations/card/ill_85333_oryoriehimenomikoto03.jpg?201911-6-RELEASE-conquest-e-441", "■")</f>
        <v>■</v>
      </c>
      <c r="F587" s="7" t="s">
        <v>8276</v>
      </c>
      <c r="G587" s="7">
        <v>65208</v>
      </c>
      <c r="H587" s="7">
        <v>59144</v>
      </c>
      <c r="I587" s="7">
        <v>22</v>
      </c>
      <c r="J587" s="7" t="s">
        <v>169</v>
      </c>
      <c r="K587" s="7" t="s">
        <v>7270</v>
      </c>
      <c r="L587" s="7" t="s">
        <v>3271</v>
      </c>
      <c r="M587" s="1" t="s">
        <v>9158</v>
      </c>
      <c r="N587" s="1" t="s">
        <v>9158</v>
      </c>
      <c r="O587" s="1" t="s">
        <v>9158</v>
      </c>
      <c r="P587" s="1" t="s">
        <v>9158</v>
      </c>
      <c r="Q587" s="1" t="s">
        <v>9158</v>
      </c>
    </row>
    <row r="588" spans="1:17">
      <c r="A588" s="7">
        <v>85343</v>
      </c>
      <c r="B588" s="7" t="s">
        <v>22</v>
      </c>
      <c r="C588" s="7" t="s">
        <v>191</v>
      </c>
      <c r="D588" s="19" t="s">
        <v>10800</v>
      </c>
      <c r="E588" s="15" t="str">
        <f>HYPERLINK("https://stat100.ameba.jp/tnk47/ratio20/illustrations/card/ill_85343_dobutsumomochan03.jpg?201911-6-RELEASE-conquest-e-441", "■")</f>
        <v>■</v>
      </c>
      <c r="F588" s="7" t="s">
        <v>8279</v>
      </c>
      <c r="G588" s="7">
        <v>38032</v>
      </c>
      <c r="H588" s="7">
        <v>45742</v>
      </c>
      <c r="I588" s="7">
        <v>22</v>
      </c>
      <c r="J588" s="7" t="s">
        <v>216</v>
      </c>
      <c r="K588" s="7" t="s">
        <v>8278</v>
      </c>
      <c r="L588" s="7" t="s">
        <v>3839</v>
      </c>
      <c r="M588" s="1" t="s">
        <v>9158</v>
      </c>
      <c r="N588" s="1" t="s">
        <v>9158</v>
      </c>
      <c r="O588" s="1" t="s">
        <v>9158</v>
      </c>
      <c r="P588" s="1" t="s">
        <v>9158</v>
      </c>
      <c r="Q588" s="1" t="s">
        <v>9158</v>
      </c>
    </row>
    <row r="589" spans="1:17">
      <c r="A589" s="7">
        <v>85353</v>
      </c>
      <c r="B589" s="7" t="s">
        <v>30</v>
      </c>
      <c r="C589" s="7" t="s">
        <v>2611</v>
      </c>
      <c r="D589" s="19" t="s">
        <v>10801</v>
      </c>
      <c r="E589" s="15" t="str">
        <f>HYPERLINK("https://stat100.ameba.jp/tnk47/ratio20/illustrations/card/ill_85353_kamaitachi03.jpg?201911-6-RELEASE-conquest-e-441", "■")</f>
        <v>■</v>
      </c>
      <c r="F589" s="7" t="s">
        <v>8282</v>
      </c>
      <c r="G589" s="7">
        <v>27692</v>
      </c>
      <c r="H589" s="7">
        <v>23258</v>
      </c>
      <c r="I589" s="7">
        <v>22</v>
      </c>
      <c r="J589" s="7" t="s">
        <v>182</v>
      </c>
      <c r="K589" s="7" t="s">
        <v>8281</v>
      </c>
      <c r="L589" s="7" t="s">
        <v>8280</v>
      </c>
      <c r="M589" s="1" t="s">
        <v>9158</v>
      </c>
      <c r="N589" s="1" t="s">
        <v>9158</v>
      </c>
      <c r="O589" s="1" t="s">
        <v>9158</v>
      </c>
      <c r="P589" s="1" t="s">
        <v>9158</v>
      </c>
      <c r="Q589" s="1" t="s">
        <v>9158</v>
      </c>
    </row>
    <row r="590" spans="1:17">
      <c r="E590" s="7"/>
    </row>
    <row r="591" spans="1:17">
      <c r="A591" s="7" t="s">
        <v>8299</v>
      </c>
      <c r="E591" s="7"/>
    </row>
    <row r="592" spans="1:17">
      <c r="A592" s="7" t="s">
        <v>8300</v>
      </c>
      <c r="E592" s="7"/>
    </row>
    <row r="593" spans="1:17">
      <c r="A593" s="1" t="s">
        <v>5733</v>
      </c>
      <c r="B593" s="1" t="s">
        <v>330</v>
      </c>
      <c r="C593" s="1" t="s">
        <v>202</v>
      </c>
      <c r="D593" s="19" t="s">
        <v>2744</v>
      </c>
      <c r="E593" s="15" t="str">
        <f>HYPERLINK("https://stat100.ameba.jp/tnk47/ratio20/illustrations/card/ill_78693_0_kyupittokoinomikoto03.jpg?201911-6-RELEASE-conquest-e-441", "■")</f>
        <v>■</v>
      </c>
      <c r="F593" s="1" t="s">
        <v>2745</v>
      </c>
      <c r="G593" s="1">
        <v>251516</v>
      </c>
      <c r="H593" s="1">
        <v>278294</v>
      </c>
      <c r="I593" s="1">
        <v>24</v>
      </c>
      <c r="J593" s="1" t="s">
        <v>274</v>
      </c>
      <c r="K593" s="1" t="s">
        <v>2746</v>
      </c>
      <c r="L593" s="1" t="s">
        <v>2747</v>
      </c>
      <c r="M593" s="1" t="s">
        <v>9158</v>
      </c>
      <c r="N593" s="1" t="s">
        <v>9158</v>
      </c>
      <c r="O593" s="19" t="s">
        <v>10097</v>
      </c>
      <c r="P593" s="1" t="s">
        <v>2748</v>
      </c>
      <c r="Q593" s="1">
        <v>1</v>
      </c>
    </row>
    <row r="594" spans="1:17">
      <c r="A594" s="1">
        <v>79963</v>
      </c>
      <c r="B594" s="1" t="s">
        <v>0</v>
      </c>
      <c r="C594" s="1" t="s">
        <v>200</v>
      </c>
      <c r="D594" s="19" t="s">
        <v>10477</v>
      </c>
      <c r="E594" s="15" t="str">
        <f>HYPERLINK("https://stat100.ameba.jp/tnk47/ratio20/illustrations/card/ill_79963_hinamatsurirakko03.jpg?201911-6-RELEASE-conquest-e-441", "■")</f>
        <v>■</v>
      </c>
      <c r="F594" s="1" t="s">
        <v>3715</v>
      </c>
      <c r="G594" s="1">
        <v>109334</v>
      </c>
      <c r="H594" s="1">
        <v>101656</v>
      </c>
      <c r="I594" s="1">
        <v>24</v>
      </c>
      <c r="J594" s="1" t="s">
        <v>26</v>
      </c>
      <c r="K594" s="1" t="s">
        <v>3716</v>
      </c>
      <c r="L594" s="1" t="s">
        <v>1086</v>
      </c>
      <c r="M594" s="1" t="s">
        <v>9158</v>
      </c>
      <c r="N594" s="1" t="s">
        <v>9158</v>
      </c>
      <c r="O594" s="19" t="s">
        <v>10090</v>
      </c>
      <c r="P594" s="1" t="s">
        <v>3460</v>
      </c>
      <c r="Q594" s="1">
        <v>1</v>
      </c>
    </row>
    <row r="595" spans="1:17">
      <c r="A595" s="1">
        <v>60763</v>
      </c>
      <c r="B595" s="1" t="s">
        <v>334</v>
      </c>
      <c r="C595" s="1" t="s">
        <v>203</v>
      </c>
      <c r="D595" s="19" t="s">
        <v>10420</v>
      </c>
      <c r="E595" s="15" t="str">
        <f>HYPERLINK("https://stat100.ameba.jp/tnk47/ratio20/illustrations/card/ill_60763_fujiwarakagekiyo03.jpg?201911-6-RELEASE-conquest-e-441", "■")</f>
        <v>■</v>
      </c>
      <c r="F595" s="1" t="s">
        <v>1146</v>
      </c>
      <c r="G595" s="1">
        <v>115656</v>
      </c>
      <c r="H595" s="1">
        <v>159674</v>
      </c>
      <c r="I595" s="1">
        <v>24</v>
      </c>
      <c r="J595" s="1" t="s">
        <v>143</v>
      </c>
      <c r="K595" s="1" t="s">
        <v>1147</v>
      </c>
      <c r="L595" s="1" t="s">
        <v>1148</v>
      </c>
      <c r="M595" s="1" t="s">
        <v>9158</v>
      </c>
      <c r="N595" s="1" t="s">
        <v>9158</v>
      </c>
      <c r="O595" s="19" t="s">
        <v>10112</v>
      </c>
      <c r="P595" s="1" t="s">
        <v>13150</v>
      </c>
      <c r="Q595" s="1">
        <v>1</v>
      </c>
    </row>
    <row r="596" spans="1:17">
      <c r="A596" s="1">
        <v>71323</v>
      </c>
      <c r="B596" s="1" t="s">
        <v>334</v>
      </c>
      <c r="C596" s="1" t="s">
        <v>154</v>
      </c>
      <c r="D596" s="19" t="s">
        <v>10184</v>
      </c>
      <c r="E596" s="15" t="str">
        <f>HYPERLINK("https://stat100.ameba.jp/tnk47/ratio20/illustrations/card/ill_71323_kodanobu03.jpg?201911-6-RELEASE-conquest-e-441", "■")</f>
        <v>■</v>
      </c>
      <c r="F596" s="1" t="s">
        <v>1879</v>
      </c>
      <c r="G596" s="1">
        <v>120000</v>
      </c>
      <c r="H596" s="1">
        <v>111576</v>
      </c>
      <c r="I596" s="1">
        <v>24</v>
      </c>
      <c r="J596" s="1" t="s">
        <v>159</v>
      </c>
      <c r="K596" s="1" t="s">
        <v>2694</v>
      </c>
      <c r="L596" s="1" t="s">
        <v>13182</v>
      </c>
      <c r="M596" s="1" t="s">
        <v>9158</v>
      </c>
      <c r="N596" s="1" t="s">
        <v>9158</v>
      </c>
      <c r="O596" s="19" t="s">
        <v>10082</v>
      </c>
      <c r="P596" s="1" t="s">
        <v>13124</v>
      </c>
      <c r="Q596" s="1">
        <v>1</v>
      </c>
    </row>
    <row r="597" spans="1:17">
      <c r="E597" s="7"/>
    </row>
    <row r="598" spans="1:17">
      <c r="A598" s="7" t="s">
        <v>8301</v>
      </c>
      <c r="E598" s="7"/>
    </row>
    <row r="599" spans="1:17">
      <c r="A599" s="7" t="s">
        <v>8302</v>
      </c>
      <c r="E599" s="7"/>
    </row>
    <row r="600" spans="1:17">
      <c r="A600" s="1" t="s">
        <v>5617</v>
      </c>
      <c r="B600" s="1" t="s">
        <v>330</v>
      </c>
      <c r="C600" s="1" t="s">
        <v>308</v>
      </c>
      <c r="D600" s="19" t="s">
        <v>385</v>
      </c>
      <c r="E600" s="15" t="str">
        <f>HYPERLINK("https://stat100.ameba.jp/tnk47/ratio20/illustrations/card/ill_59673_0_oheyashutendoji03.jpg?201911-6-RELEASE-conquest-e-441", "■")</f>
        <v>■</v>
      </c>
      <c r="F600" s="1" t="s">
        <v>386</v>
      </c>
      <c r="G600" s="1">
        <v>154800</v>
      </c>
      <c r="H600" s="1">
        <v>166504</v>
      </c>
      <c r="I600" s="1">
        <v>22</v>
      </c>
      <c r="J600" s="1" t="s">
        <v>320</v>
      </c>
      <c r="K600" s="1" t="s">
        <v>387</v>
      </c>
      <c r="L600" s="1" t="s">
        <v>388</v>
      </c>
      <c r="M600" s="1" t="s">
        <v>9158</v>
      </c>
      <c r="N600" s="1" t="s">
        <v>9158</v>
      </c>
      <c r="O600" s="19" t="s">
        <v>10078</v>
      </c>
      <c r="P600" s="1" t="s">
        <v>3022</v>
      </c>
      <c r="Q600" s="1">
        <v>1</v>
      </c>
    </row>
    <row r="601" spans="1:17">
      <c r="A601" s="1">
        <v>81743</v>
      </c>
      <c r="B601" s="1" t="s">
        <v>334</v>
      </c>
      <c r="C601" s="1" t="s">
        <v>107</v>
      </c>
      <c r="D601" s="19" t="s">
        <v>10171</v>
      </c>
      <c r="E601" s="15" t="str">
        <f>HYPERLINK("https://stat100.ameba.jp/tnk47/ratio20/illustrations/card/ill_81743_denshagarusakyogabashinohebi03.jpg?201911-6-RELEASE-conquest-e-441", "■")</f>
        <v>■</v>
      </c>
      <c r="F601" s="1" t="s">
        <v>4853</v>
      </c>
      <c r="G601" s="1">
        <v>114092</v>
      </c>
      <c r="H601" s="1">
        <v>105890</v>
      </c>
      <c r="I601" s="1">
        <v>25</v>
      </c>
      <c r="J601" s="1" t="s">
        <v>38</v>
      </c>
      <c r="K601" s="1" t="s">
        <v>4855</v>
      </c>
      <c r="L601" s="1" t="s">
        <v>4856</v>
      </c>
      <c r="M601" s="1" t="s">
        <v>9158</v>
      </c>
      <c r="N601" s="1" t="s">
        <v>9158</v>
      </c>
      <c r="O601" s="19" t="s">
        <v>10091</v>
      </c>
      <c r="P601" s="1" t="s">
        <v>3670</v>
      </c>
      <c r="Q601" s="1">
        <v>1</v>
      </c>
    </row>
    <row r="602" spans="1:17">
      <c r="A602" s="1">
        <v>59613</v>
      </c>
      <c r="B602" s="1" t="s">
        <v>0</v>
      </c>
      <c r="C602" s="1" t="s">
        <v>185</v>
      </c>
      <c r="D602" s="19" t="s">
        <v>10267</v>
      </c>
      <c r="E602" s="15" t="str">
        <f>HYPERLINK("https://stat100.ameba.jp/tnk47/ratio20/illustrations/card/ill_59613_oheyadaria03.jpg?201911-6-RELEASE-conquest-e-441", "■")</f>
        <v>■</v>
      </c>
      <c r="F602" s="1" t="s">
        <v>2293</v>
      </c>
      <c r="G602" s="1">
        <v>106266</v>
      </c>
      <c r="H602" s="1">
        <v>98789</v>
      </c>
      <c r="I602" s="1">
        <v>25</v>
      </c>
      <c r="J602" s="1" t="s">
        <v>26</v>
      </c>
      <c r="K602" s="1" t="s">
        <v>2294</v>
      </c>
      <c r="L602" s="1" t="s">
        <v>2295</v>
      </c>
      <c r="M602" s="1" t="s">
        <v>9158</v>
      </c>
      <c r="N602" s="1" t="s">
        <v>9158</v>
      </c>
      <c r="O602" s="19" t="s">
        <v>10111</v>
      </c>
      <c r="P602" s="1" t="s">
        <v>3610</v>
      </c>
      <c r="Q602" s="1">
        <v>1</v>
      </c>
    </row>
    <row r="603" spans="1:17">
      <c r="A603" s="1">
        <v>53423</v>
      </c>
      <c r="B603" s="1" t="s">
        <v>0</v>
      </c>
      <c r="C603" s="1" t="s">
        <v>191</v>
      </c>
      <c r="D603" s="19" t="s">
        <v>10300</v>
      </c>
      <c r="E603" s="15" t="str">
        <f>HYPERLINK("https://stat100.ameba.jp/tnk47/ratio20/illustrations/card/ill_53423_natsumatsuriikumatsu03.jpg?201911-6-RELEASE-conquest-e-441", "■")</f>
        <v>■</v>
      </c>
      <c r="F603" s="1" t="s">
        <v>3621</v>
      </c>
      <c r="G603" s="1">
        <v>89590</v>
      </c>
      <c r="H603" s="1">
        <v>96360</v>
      </c>
      <c r="I603" s="1">
        <v>25</v>
      </c>
      <c r="J603" s="1" t="s">
        <v>16</v>
      </c>
      <c r="K603" s="1" t="s">
        <v>3622</v>
      </c>
      <c r="L603" s="1" t="s">
        <v>3623</v>
      </c>
      <c r="M603" s="1" t="s">
        <v>9158</v>
      </c>
      <c r="N603" s="1" t="s">
        <v>9158</v>
      </c>
      <c r="O603" s="19" t="s">
        <v>10109</v>
      </c>
      <c r="P603" s="1" t="s">
        <v>3625</v>
      </c>
      <c r="Q603" s="1">
        <v>1</v>
      </c>
    </row>
    <row r="604" spans="1:17">
      <c r="E604" s="7"/>
    </row>
    <row r="605" spans="1:17">
      <c r="A605" s="7" t="s">
        <v>3446</v>
      </c>
      <c r="E605" s="7"/>
    </row>
    <row r="606" spans="1:17">
      <c r="A606" s="7" t="s">
        <v>2032</v>
      </c>
      <c r="E606" s="7"/>
    </row>
    <row r="607" spans="1:17">
      <c r="A607" s="1" t="s">
        <v>5611</v>
      </c>
      <c r="B607" s="1" t="s">
        <v>330</v>
      </c>
      <c r="C607" s="1" t="s">
        <v>185</v>
      </c>
      <c r="D607" s="19" t="s">
        <v>539</v>
      </c>
      <c r="E607" s="15" t="str">
        <f>HYPERLINK("https://stat100.ameba.jp/tnk47/ratio20/illustrations/card/ill_60633_0_harumaisentoin03.jpg?201912-1-RELEASE-raid-442", "■")</f>
        <v>■</v>
      </c>
      <c r="F607" s="1" t="s">
        <v>540</v>
      </c>
      <c r="G607" s="1">
        <v>146235</v>
      </c>
      <c r="H607" s="1">
        <v>157306</v>
      </c>
      <c r="I607" s="1">
        <v>23</v>
      </c>
      <c r="J607" s="1" t="s">
        <v>274</v>
      </c>
      <c r="K607" s="1" t="s">
        <v>541</v>
      </c>
      <c r="L607" s="1" t="s">
        <v>542</v>
      </c>
      <c r="M607" s="1" t="s">
        <v>9158</v>
      </c>
      <c r="N607" s="1" t="s">
        <v>9158</v>
      </c>
      <c r="O607" s="19" t="s">
        <v>2888</v>
      </c>
      <c r="P607" s="1" t="s">
        <v>3144</v>
      </c>
      <c r="Q607" s="1">
        <v>1</v>
      </c>
    </row>
    <row r="608" spans="1:17">
      <c r="A608" s="1" t="s">
        <v>5621</v>
      </c>
      <c r="B608" s="1" t="s">
        <v>330</v>
      </c>
      <c r="C608" s="1" t="s">
        <v>191</v>
      </c>
      <c r="D608" s="19" t="s">
        <v>2871</v>
      </c>
      <c r="E608" s="15" t="str">
        <f>HYPERLINK("https://stat100.ameba.jp/tnk47/ratio20/illustrations/card/ill_51973_0_kemonomizugikuroyuridensetsu03.jpg?201912-1-RELEASE-raid-442", "■")</f>
        <v>■</v>
      </c>
      <c r="F608" s="1" t="s">
        <v>2034</v>
      </c>
      <c r="G608" s="1">
        <v>144494</v>
      </c>
      <c r="H608" s="1">
        <v>128358</v>
      </c>
      <c r="I608" s="1">
        <v>23</v>
      </c>
      <c r="J608" s="1" t="s">
        <v>38</v>
      </c>
      <c r="K608" s="1" t="s">
        <v>2035</v>
      </c>
      <c r="L608" s="1" t="s">
        <v>2036</v>
      </c>
      <c r="M608" s="1" t="s">
        <v>9158</v>
      </c>
      <c r="N608" s="1" t="s">
        <v>9158</v>
      </c>
      <c r="O608" s="19" t="s">
        <v>10088</v>
      </c>
      <c r="P608" s="1" t="s">
        <v>13172</v>
      </c>
      <c r="Q608" s="1">
        <v>1</v>
      </c>
    </row>
    <row r="609" spans="1:17">
      <c r="A609" s="1" t="s">
        <v>5721</v>
      </c>
      <c r="B609" s="1" t="s">
        <v>52</v>
      </c>
      <c r="C609" s="1" t="s">
        <v>1</v>
      </c>
      <c r="D609" s="19" t="s">
        <v>513</v>
      </c>
      <c r="E609" s="15" t="str">
        <f>HYPERLINK("https://stat100.ameba.jp/tnk47/ratio20/illustrations/card/ill_44283_0_izumonokuni03.jpg?201912-1-RELEASE-raid-442", "■")</f>
        <v>■</v>
      </c>
      <c r="F609" s="1" t="s">
        <v>1716</v>
      </c>
      <c r="G609" s="1">
        <v>134596</v>
      </c>
      <c r="H609" s="1">
        <v>126058</v>
      </c>
      <c r="I609" s="1">
        <v>23</v>
      </c>
      <c r="J609" s="1" t="s">
        <v>16</v>
      </c>
      <c r="K609" s="1" t="s">
        <v>2254</v>
      </c>
      <c r="L609" s="1" t="s">
        <v>1718</v>
      </c>
      <c r="M609" s="1" t="s">
        <v>9158</v>
      </c>
      <c r="N609" s="1" t="s">
        <v>9158</v>
      </c>
      <c r="O609" s="1" t="s">
        <v>9158</v>
      </c>
      <c r="P609" s="1" t="s">
        <v>9158</v>
      </c>
      <c r="Q609" s="1" t="s">
        <v>9158</v>
      </c>
    </row>
    <row r="610" spans="1:17">
      <c r="A610" s="7">
        <v>85323</v>
      </c>
      <c r="B610" s="7" t="s">
        <v>0</v>
      </c>
      <c r="C610" s="7" t="s">
        <v>185</v>
      </c>
      <c r="D610" s="19" t="s">
        <v>10798</v>
      </c>
      <c r="E610" s="15" t="str">
        <f>HYPERLINK("https://stat100.ameba.jp/tnk47/ratio20/illustrations/card/ill_85323_sangokushikaryoubinga03.jpg?201912-1-RELEASE-raid-442", "■")</f>
        <v>■</v>
      </c>
      <c r="F610" s="7" t="s">
        <v>8273</v>
      </c>
      <c r="G610" s="7">
        <v>91010</v>
      </c>
      <c r="H610" s="7">
        <v>97894</v>
      </c>
      <c r="I610" s="7">
        <v>24</v>
      </c>
      <c r="J610" s="7" t="s">
        <v>169</v>
      </c>
      <c r="K610" s="7" t="s">
        <v>8272</v>
      </c>
      <c r="L610" s="7" t="s">
        <v>6782</v>
      </c>
      <c r="M610" s="1" t="s">
        <v>9158</v>
      </c>
      <c r="N610" s="1" t="s">
        <v>9158</v>
      </c>
      <c r="O610" s="1" t="s">
        <v>9158</v>
      </c>
      <c r="P610" s="1" t="s">
        <v>9158</v>
      </c>
      <c r="Q610" s="1" t="s">
        <v>9158</v>
      </c>
    </row>
    <row r="611" spans="1:17">
      <c r="A611" s="7">
        <v>85333</v>
      </c>
      <c r="B611" s="7" t="s">
        <v>15</v>
      </c>
      <c r="C611" s="7" t="s">
        <v>205</v>
      </c>
      <c r="D611" s="19" t="s">
        <v>10799</v>
      </c>
      <c r="E611" s="15" t="str">
        <f>HYPERLINK("https://stat100.ameba.jp/tnk47/ratio20/illustrations/card/ill_85333_oryoriehimenomikoto03.jpg?201912-1-RELEASE-raid-442", "■")</f>
        <v>■</v>
      </c>
      <c r="F611" s="7" t="s">
        <v>8276</v>
      </c>
      <c r="G611" s="7">
        <v>65208</v>
      </c>
      <c r="H611" s="7">
        <v>59144</v>
      </c>
      <c r="I611" s="7">
        <v>22</v>
      </c>
      <c r="J611" s="7" t="s">
        <v>169</v>
      </c>
      <c r="K611" s="7" t="s">
        <v>7270</v>
      </c>
      <c r="L611" s="7" t="s">
        <v>3271</v>
      </c>
      <c r="M611" s="1" t="s">
        <v>9158</v>
      </c>
      <c r="N611" s="1" t="s">
        <v>9158</v>
      </c>
      <c r="O611" s="1" t="s">
        <v>9158</v>
      </c>
      <c r="P611" s="1" t="s">
        <v>9158</v>
      </c>
      <c r="Q611" s="1" t="s">
        <v>9158</v>
      </c>
    </row>
    <row r="612" spans="1:17">
      <c r="A612" s="7">
        <v>85343</v>
      </c>
      <c r="B612" s="7" t="s">
        <v>22</v>
      </c>
      <c r="C612" s="7" t="s">
        <v>191</v>
      </c>
      <c r="D612" s="19" t="s">
        <v>10800</v>
      </c>
      <c r="E612" s="15" t="str">
        <f>HYPERLINK("https://stat100.ameba.jp/tnk47/ratio20/illustrations/card/ill_85343_dobutsumomochan03.jpg?201912-1-RELEASE-raid-442", "■")</f>
        <v>■</v>
      </c>
      <c r="F612" s="7" t="s">
        <v>8279</v>
      </c>
      <c r="G612" s="7">
        <v>38032</v>
      </c>
      <c r="H612" s="7">
        <v>45742</v>
      </c>
      <c r="I612" s="7">
        <v>22</v>
      </c>
      <c r="J612" s="7" t="s">
        <v>216</v>
      </c>
      <c r="K612" s="7" t="s">
        <v>8278</v>
      </c>
      <c r="L612" s="7" t="s">
        <v>3839</v>
      </c>
      <c r="M612" s="1" t="s">
        <v>9158</v>
      </c>
      <c r="N612" s="1" t="s">
        <v>9158</v>
      </c>
      <c r="O612" s="1" t="s">
        <v>9158</v>
      </c>
      <c r="P612" s="1" t="s">
        <v>9158</v>
      </c>
      <c r="Q612" s="1" t="s">
        <v>9158</v>
      </c>
    </row>
    <row r="613" spans="1:17">
      <c r="A613" s="7">
        <v>85353</v>
      </c>
      <c r="B613" s="7" t="s">
        <v>30</v>
      </c>
      <c r="C613" s="7" t="s">
        <v>2611</v>
      </c>
      <c r="D613" s="19" t="s">
        <v>10801</v>
      </c>
      <c r="E613" s="15" t="str">
        <f>HYPERLINK("https://stat100.ameba.jp/tnk47/ratio20/illustrations/card/ill_85353_kamaitachi03.jpg?201912-1-RELEASE-raid-442", "■")</f>
        <v>■</v>
      </c>
      <c r="F613" s="7" t="s">
        <v>8282</v>
      </c>
      <c r="G613" s="7">
        <v>27692</v>
      </c>
      <c r="H613" s="7">
        <v>23258</v>
      </c>
      <c r="I613" s="7">
        <v>22</v>
      </c>
      <c r="J613" s="7" t="s">
        <v>182</v>
      </c>
      <c r="K613" s="7" t="s">
        <v>8281</v>
      </c>
      <c r="L613" s="7" t="s">
        <v>8280</v>
      </c>
      <c r="M613" s="1" t="s">
        <v>9158</v>
      </c>
      <c r="N613" s="1" t="s">
        <v>9158</v>
      </c>
      <c r="O613" s="1" t="s">
        <v>9158</v>
      </c>
      <c r="P613" s="1" t="s">
        <v>9158</v>
      </c>
      <c r="Q613" s="1" t="s">
        <v>9158</v>
      </c>
    </row>
    <row r="614" spans="1:17">
      <c r="E614" s="7"/>
    </row>
    <row r="615" spans="1:17">
      <c r="A615" s="7" t="s">
        <v>8303</v>
      </c>
      <c r="E615" s="7"/>
    </row>
    <row r="616" spans="1:17">
      <c r="A616" s="7" t="s">
        <v>8314</v>
      </c>
      <c r="E616" s="7"/>
    </row>
    <row r="617" spans="1:17">
      <c r="A617" s="1" t="s">
        <v>5615</v>
      </c>
      <c r="B617" s="1" t="s">
        <v>330</v>
      </c>
      <c r="C617" s="1" t="s">
        <v>206</v>
      </c>
      <c r="D617" s="19" t="s">
        <v>2814</v>
      </c>
      <c r="E617" s="15" t="str">
        <f>HYPERLINK("https://stat100.ameba.jp/tnk47/ratio20/illustrations/card/ill_57733_0_shogatsunisenjunanaamakusashiro03.jpg?201912-1-RELEASE-raid-442", "■")</f>
        <v>■</v>
      </c>
      <c r="F617" s="1" t="s">
        <v>2815</v>
      </c>
      <c r="G617" s="1">
        <v>83712</v>
      </c>
      <c r="H617" s="1">
        <v>94236</v>
      </c>
      <c r="I617" s="1">
        <v>15</v>
      </c>
      <c r="J617" s="1" t="s">
        <v>351</v>
      </c>
      <c r="K617" s="1" t="s">
        <v>2816</v>
      </c>
      <c r="L617" s="1" t="s">
        <v>2817</v>
      </c>
      <c r="M617" s="1" t="s">
        <v>9158</v>
      </c>
      <c r="N617" s="1" t="s">
        <v>9158</v>
      </c>
      <c r="O617" s="19" t="s">
        <v>10077</v>
      </c>
      <c r="P617" s="1" t="s">
        <v>3062</v>
      </c>
      <c r="Q617" s="1">
        <v>1</v>
      </c>
    </row>
    <row r="618" spans="1:17">
      <c r="A618" s="1" t="s">
        <v>5891</v>
      </c>
      <c r="B618" s="1" t="s">
        <v>330</v>
      </c>
      <c r="C618" s="1" t="s">
        <v>202</v>
      </c>
      <c r="D618" s="19" t="s">
        <v>1371</v>
      </c>
      <c r="E618" s="15" t="str">
        <f>HYPERLINK("https://stat100.ameba.jp/tnk47/ratio20/illustrations/card/ill_77173_0_yukemuritomoegozen03.jpg?201912-1-RELEASE-raid-442", "■")</f>
        <v>■</v>
      </c>
      <c r="F618" s="1" t="s">
        <v>1372</v>
      </c>
      <c r="G618" s="1">
        <v>150366</v>
      </c>
      <c r="H618" s="1">
        <v>166369</v>
      </c>
      <c r="I618" s="1">
        <v>15</v>
      </c>
      <c r="J618" s="1" t="s">
        <v>310</v>
      </c>
      <c r="K618" s="1" t="s">
        <v>1373</v>
      </c>
      <c r="L618" s="1" t="s">
        <v>1374</v>
      </c>
      <c r="M618" s="1" t="s">
        <v>9158</v>
      </c>
      <c r="N618" s="1" t="s">
        <v>9158</v>
      </c>
      <c r="O618" s="19" t="s">
        <v>4067</v>
      </c>
      <c r="P618" s="1" t="s">
        <v>3879</v>
      </c>
      <c r="Q618" s="1">
        <v>2</v>
      </c>
    </row>
    <row r="619" spans="1:17">
      <c r="A619" s="1" t="s">
        <v>5616</v>
      </c>
      <c r="B619" s="1" t="s">
        <v>52</v>
      </c>
      <c r="C619" s="1" t="s">
        <v>14</v>
      </c>
      <c r="D619" s="19" t="s">
        <v>638</v>
      </c>
      <c r="E619" s="15" t="str">
        <f>HYPERLINK("https://stat100.ameba.jp/tnk47/ratio20/illustrations/card/ill_44253_0_dokuganryudatemasamune03.jpg?201912-1-RELEASE-raid-442", "■")</f>
        <v>■</v>
      </c>
      <c r="F619" s="1" t="s">
        <v>1181</v>
      </c>
      <c r="G619" s="1">
        <v>82212</v>
      </c>
      <c r="H619" s="1">
        <v>87780</v>
      </c>
      <c r="I619" s="1">
        <v>15</v>
      </c>
      <c r="J619" s="1" t="s">
        <v>143</v>
      </c>
      <c r="K619" s="1" t="s">
        <v>1182</v>
      </c>
      <c r="L619" s="1" t="s">
        <v>1183</v>
      </c>
      <c r="M619" s="1" t="s">
        <v>9158</v>
      </c>
      <c r="N619" s="1" t="s">
        <v>9158</v>
      </c>
      <c r="O619" s="1" t="s">
        <v>9158</v>
      </c>
      <c r="P619" s="1" t="s">
        <v>9158</v>
      </c>
      <c r="Q619" s="1" t="s">
        <v>9158</v>
      </c>
    </row>
    <row r="620" spans="1:17">
      <c r="A620" s="7">
        <v>62323</v>
      </c>
      <c r="B620" s="7" t="s">
        <v>0</v>
      </c>
      <c r="C620" s="1" t="s">
        <v>205</v>
      </c>
      <c r="D620" s="19" t="s">
        <v>10803</v>
      </c>
      <c r="E620" s="15" t="str">
        <f>HYPERLINK("https://stat100.ameba.jp/tnk47/ratio20/illustrations/card/ill_62323_raishunsui03.jpg?201912-1-RELEASE-raid-442", "■")</f>
        <v>■</v>
      </c>
      <c r="F620" s="7" t="s">
        <v>8310</v>
      </c>
      <c r="G620" s="7">
        <v>65128</v>
      </c>
      <c r="H620" s="7">
        <v>115746</v>
      </c>
      <c r="I620" s="1">
        <v>24</v>
      </c>
      <c r="J620" s="7" t="s">
        <v>8306</v>
      </c>
      <c r="K620" s="7" t="s">
        <v>8309</v>
      </c>
      <c r="L620" s="7" t="s">
        <v>8308</v>
      </c>
      <c r="M620" s="1" t="s">
        <v>9158</v>
      </c>
      <c r="N620" s="1" t="s">
        <v>9158</v>
      </c>
      <c r="O620" s="1" t="s">
        <v>9158</v>
      </c>
      <c r="P620" s="1" t="s">
        <v>9158</v>
      </c>
      <c r="Q620" s="1" t="s">
        <v>9158</v>
      </c>
    </row>
    <row r="621" spans="1:17">
      <c r="A621" s="7">
        <v>66793</v>
      </c>
      <c r="B621" s="7" t="s">
        <v>0</v>
      </c>
      <c r="C621" s="1" t="s">
        <v>14</v>
      </c>
      <c r="D621" s="19" t="s">
        <v>10198</v>
      </c>
      <c r="E621" s="15" t="str">
        <f>HYPERLINK("https://stat100.ameba.jp/tnk47/ratio20/illustrations/card/ill_66793_mitsuishinokami03.jpg?201912-1-RELEASE-raid-442", "■")</f>
        <v>■</v>
      </c>
      <c r="F621" s="7" t="s">
        <v>8313</v>
      </c>
      <c r="G621" s="7">
        <v>68010</v>
      </c>
      <c r="H621" s="7">
        <v>120892</v>
      </c>
      <c r="I621" s="1">
        <v>24</v>
      </c>
      <c r="J621" s="7" t="s">
        <v>8307</v>
      </c>
      <c r="K621" s="7" t="s">
        <v>8312</v>
      </c>
      <c r="L621" s="7" t="s">
        <v>8311</v>
      </c>
      <c r="M621" s="1" t="s">
        <v>9158</v>
      </c>
      <c r="N621" s="1" t="s">
        <v>9158</v>
      </c>
      <c r="O621" s="1" t="s">
        <v>9158</v>
      </c>
      <c r="P621" s="1" t="s">
        <v>9158</v>
      </c>
      <c r="Q621" s="1" t="s">
        <v>9158</v>
      </c>
    </row>
    <row r="622" spans="1:17">
      <c r="A622">
        <v>71693</v>
      </c>
      <c r="B622" s="7" t="s">
        <v>0</v>
      </c>
      <c r="C622" t="s">
        <v>23</v>
      </c>
      <c r="D622" s="19" t="s">
        <v>10804</v>
      </c>
      <c r="E622" s="8" t="str">
        <f>HYPERLINK("https://stat100.ameba.jp/tnk47/ratio20/illustrations/card/ill_71693_shokugyotaikenakaiteruko03.jpg?201912-1-RELEASE-raid-442", "■")</f>
        <v>■</v>
      </c>
      <c r="F622" t="s">
        <v>2599</v>
      </c>
      <c r="G622">
        <v>132658</v>
      </c>
      <c r="H622">
        <v>142674</v>
      </c>
      <c r="I622" s="1">
        <v>24</v>
      </c>
      <c r="J622" t="s">
        <v>143</v>
      </c>
      <c r="K622" t="s">
        <v>8304</v>
      </c>
      <c r="L622" t="s">
        <v>8305</v>
      </c>
      <c r="M622" s="1" t="s">
        <v>9158</v>
      </c>
      <c r="N622" s="1" t="s">
        <v>9158</v>
      </c>
      <c r="O622" s="1" t="s">
        <v>9158</v>
      </c>
      <c r="P622" s="1" t="s">
        <v>9158</v>
      </c>
      <c r="Q622" s="1" t="s">
        <v>9158</v>
      </c>
    </row>
    <row r="623" spans="1:17">
      <c r="A623" s="7">
        <v>77253</v>
      </c>
      <c r="B623" s="1" t="s">
        <v>348</v>
      </c>
      <c r="C623" s="1" t="s">
        <v>205</v>
      </c>
      <c r="D623" s="19" t="s">
        <v>1439</v>
      </c>
      <c r="E623" s="15" t="str">
        <f>HYPERLINK("https://stat100.ameba.jp/tnk47/ratio20/illustrations/card/ill_77253_korakuoribuchan03.jpg?201912-1-RELEASE-raid-442", "■")</f>
        <v>■</v>
      </c>
      <c r="F623" s="1" t="s">
        <v>1440</v>
      </c>
      <c r="G623" s="1">
        <v>53768</v>
      </c>
      <c r="H623" s="1">
        <v>59280</v>
      </c>
      <c r="I623" s="1">
        <v>20</v>
      </c>
      <c r="J623" s="1" t="s">
        <v>283</v>
      </c>
      <c r="K623" s="1" t="s">
        <v>1441</v>
      </c>
      <c r="L623" s="1" t="s">
        <v>1442</v>
      </c>
      <c r="M623" s="1" t="s">
        <v>9158</v>
      </c>
      <c r="N623" s="1" t="s">
        <v>9158</v>
      </c>
      <c r="O623" s="1" t="s">
        <v>9158</v>
      </c>
      <c r="P623" s="1" t="s">
        <v>9158</v>
      </c>
      <c r="Q623" s="1" t="s">
        <v>9158</v>
      </c>
    </row>
    <row r="624" spans="1:17">
      <c r="A624" s="7">
        <v>80363</v>
      </c>
      <c r="B624" s="1" t="s">
        <v>15</v>
      </c>
      <c r="C624" s="1" t="s">
        <v>23</v>
      </c>
      <c r="D624" s="19" t="s">
        <v>4126</v>
      </c>
      <c r="E624" s="15" t="str">
        <f>HYPERLINK("https://stat100.ameba.jp/tnk47/ratio20/illustrations/card/ill_80363_hondatadakatsu03.jpg?201912-1-RELEASE-raid-442", "■")</f>
        <v>■</v>
      </c>
      <c r="F624" s="1" t="s">
        <v>4098</v>
      </c>
      <c r="G624" s="1">
        <v>53768</v>
      </c>
      <c r="H624" s="1">
        <v>59280</v>
      </c>
      <c r="I624" s="1">
        <v>20</v>
      </c>
      <c r="J624" s="1" t="s">
        <v>143</v>
      </c>
      <c r="K624" s="1" t="s">
        <v>4099</v>
      </c>
      <c r="L624" s="1" t="s">
        <v>3326</v>
      </c>
      <c r="M624" s="1" t="s">
        <v>9158</v>
      </c>
      <c r="N624" s="1" t="s">
        <v>9158</v>
      </c>
      <c r="O624" s="1" t="s">
        <v>9158</v>
      </c>
      <c r="P624" s="1" t="s">
        <v>9158</v>
      </c>
      <c r="Q624" s="1" t="s">
        <v>9158</v>
      </c>
    </row>
    <row r="625" spans="1:17">
      <c r="A625" s="7">
        <v>65783</v>
      </c>
      <c r="B625" s="1" t="s">
        <v>15</v>
      </c>
      <c r="C625" s="1" t="s">
        <v>185</v>
      </c>
      <c r="D625" s="19" t="s">
        <v>10757</v>
      </c>
      <c r="E625" s="15" t="str">
        <f>HYPERLINK("https://stat100.ameba.jp/tnk47/ratio20/illustrations/card/ill_65783_sankichioni03.jpg?201912-1-RELEASE-raid-442", "■")</f>
        <v>■</v>
      </c>
      <c r="F625" s="1" t="s">
        <v>3965</v>
      </c>
      <c r="G625" s="1">
        <v>53768</v>
      </c>
      <c r="H625" s="1">
        <v>59280</v>
      </c>
      <c r="I625" s="1">
        <v>20</v>
      </c>
      <c r="J625" s="1" t="s">
        <v>73</v>
      </c>
      <c r="K625" s="1" t="s">
        <v>3966</v>
      </c>
      <c r="L625" s="1" t="s">
        <v>1706</v>
      </c>
      <c r="M625" s="1" t="s">
        <v>9158</v>
      </c>
      <c r="N625" s="1" t="s">
        <v>9158</v>
      </c>
      <c r="O625" s="1" t="s">
        <v>9158</v>
      </c>
      <c r="P625" s="1" t="s">
        <v>9158</v>
      </c>
      <c r="Q625" s="1" t="s">
        <v>9158</v>
      </c>
    </row>
    <row r="626" spans="1:17">
      <c r="E626" s="7"/>
    </row>
    <row r="627" spans="1:17">
      <c r="A627" s="7" t="s">
        <v>8315</v>
      </c>
      <c r="E627" s="7"/>
    </row>
    <row r="628" spans="1:17">
      <c r="A628" s="7" t="s">
        <v>8316</v>
      </c>
      <c r="E628" s="7"/>
    </row>
    <row r="629" spans="1:17">
      <c r="A629" s="1" t="s">
        <v>5734</v>
      </c>
      <c r="B629" s="1" t="s">
        <v>330</v>
      </c>
      <c r="C629" s="1" t="s">
        <v>202</v>
      </c>
      <c r="D629" s="19" t="s">
        <v>1497</v>
      </c>
      <c r="E629" s="15" t="str">
        <f>HYPERLINK("https://stat100.ameba.jp/tnk47/ratio20/illustrations/card/ill_74593_0_natsuyuenchikoshihikari03.jpg?201912-1-RELEASE-raid-442x", "■")</f>
        <v>■</v>
      </c>
      <c r="F629" s="1" t="s">
        <v>1498</v>
      </c>
      <c r="G629" s="1">
        <v>259994</v>
      </c>
      <c r="H629" s="1">
        <v>241708</v>
      </c>
      <c r="I629" s="1">
        <v>24</v>
      </c>
      <c r="J629" s="1" t="s">
        <v>283</v>
      </c>
      <c r="K629" s="1" t="s">
        <v>1499</v>
      </c>
      <c r="L629" s="1" t="s">
        <v>1500</v>
      </c>
      <c r="M629" s="1" t="s">
        <v>9158</v>
      </c>
      <c r="N629" s="1" t="s">
        <v>9158</v>
      </c>
      <c r="O629" s="19" t="s">
        <v>2731</v>
      </c>
      <c r="P629" s="1" t="s">
        <v>2732</v>
      </c>
      <c r="Q629" s="1">
        <v>1</v>
      </c>
    </row>
    <row r="630" spans="1:17">
      <c r="A630" s="1" t="s">
        <v>5901</v>
      </c>
      <c r="B630" s="1" t="s">
        <v>52</v>
      </c>
      <c r="C630" s="1" t="s">
        <v>101</v>
      </c>
      <c r="D630" s="19" t="s">
        <v>1426</v>
      </c>
      <c r="E630" s="15" t="str">
        <f>HYPERLINK("https://stat100.ameba.jp/tnk47/ratio20/illustrations/card/ill_64953_0_yukatatokugawayoshinobu03.jpg?201912-1-RELEASE-raid-442x", "■")</f>
        <v>■</v>
      </c>
      <c r="F630" s="1" t="s">
        <v>2090</v>
      </c>
      <c r="G630" s="1">
        <v>149520</v>
      </c>
      <c r="H630" s="1">
        <v>160804</v>
      </c>
      <c r="I630" s="1">
        <v>24</v>
      </c>
      <c r="J630" s="1" t="s">
        <v>10</v>
      </c>
      <c r="K630" s="1" t="s">
        <v>2091</v>
      </c>
      <c r="L630" s="1" t="s">
        <v>2092</v>
      </c>
      <c r="M630" s="1" t="s">
        <v>9158</v>
      </c>
      <c r="N630" s="1" t="s">
        <v>9158</v>
      </c>
      <c r="O630" s="19" t="s">
        <v>2889</v>
      </c>
      <c r="P630" s="1" t="s">
        <v>2890</v>
      </c>
      <c r="Q630" s="1">
        <v>1</v>
      </c>
    </row>
    <row r="631" spans="1:17">
      <c r="A631" s="1">
        <v>83093</v>
      </c>
      <c r="B631" s="1" t="s">
        <v>0</v>
      </c>
      <c r="C631" s="1" t="s">
        <v>158</v>
      </c>
      <c r="D631" s="19" t="s">
        <v>10490</v>
      </c>
      <c r="E631" s="15" t="str">
        <f>HYPERLINK("https://stat100.ameba.jp/tnk47/ratio20/illustrations/card/ill_83093_yusuraume03.jpg?201912-1-RELEASE-raid-442x", "■")</f>
        <v>■</v>
      </c>
      <c r="F631" s="1" t="s">
        <v>6267</v>
      </c>
      <c r="G631" s="1">
        <v>132144</v>
      </c>
      <c r="H631" s="1">
        <v>95703</v>
      </c>
      <c r="I631" s="1">
        <v>25</v>
      </c>
      <c r="J631" s="1" t="s">
        <v>104</v>
      </c>
      <c r="K631" s="1" t="s">
        <v>6266</v>
      </c>
      <c r="L631" s="1" t="s">
        <v>2409</v>
      </c>
      <c r="M631" s="1" t="s">
        <v>9158</v>
      </c>
      <c r="N631" s="1" t="s">
        <v>9158</v>
      </c>
      <c r="O631" s="19" t="s">
        <v>10090</v>
      </c>
      <c r="P631" s="1" t="s">
        <v>3460</v>
      </c>
      <c r="Q631" s="1">
        <v>1</v>
      </c>
    </row>
    <row r="632" spans="1:17">
      <c r="A632" s="1">
        <v>76783</v>
      </c>
      <c r="B632" s="1" t="s">
        <v>334</v>
      </c>
      <c r="C632" s="1" t="s">
        <v>203</v>
      </c>
      <c r="D632" s="19" t="s">
        <v>10367</v>
      </c>
      <c r="E632" s="15" t="str">
        <f>HYPERLINK("https://stat100.ameba.jp/tnk47/ratio20/illustrations/card/ill_76783_monsutaakashirejina03.jpg?201912-1-RELEASE-raid-442x", "■")</f>
        <v>■</v>
      </c>
      <c r="F632" s="1" t="s">
        <v>1192</v>
      </c>
      <c r="G632" s="1">
        <v>79151</v>
      </c>
      <c r="H632" s="1">
        <v>109259</v>
      </c>
      <c r="I632" s="1">
        <v>25</v>
      </c>
      <c r="J632" s="1" t="s">
        <v>10</v>
      </c>
      <c r="K632" s="1" t="s">
        <v>1193</v>
      </c>
      <c r="L632" s="1" t="s">
        <v>1194</v>
      </c>
      <c r="M632" s="1" t="s">
        <v>9158</v>
      </c>
      <c r="N632" s="1" t="s">
        <v>9158</v>
      </c>
      <c r="O632" s="19" t="s">
        <v>2752</v>
      </c>
      <c r="P632" s="1" t="s">
        <v>13123</v>
      </c>
      <c r="Q632" s="1">
        <v>1</v>
      </c>
    </row>
    <row r="633" spans="1:17">
      <c r="A633" s="1">
        <v>78873</v>
      </c>
      <c r="B633" s="1" t="s">
        <v>334</v>
      </c>
      <c r="C633" s="1" t="s">
        <v>209</v>
      </c>
      <c r="D633" s="19" t="s">
        <v>2818</v>
      </c>
      <c r="E633" s="15" t="str">
        <f>HYPERLINK("https://stat100.ameba.jp/tnk47/ratio20/illustrations/card/ill_78873_furutsutomato03.jpg?201912-1-RELEASE-raid-442x", "■")</f>
        <v>■</v>
      </c>
      <c r="F633" s="1" t="s">
        <v>2819</v>
      </c>
      <c r="G633" s="1">
        <v>95703</v>
      </c>
      <c r="H633" s="1">
        <v>132144</v>
      </c>
      <c r="I633" s="1">
        <v>25</v>
      </c>
      <c r="J633" s="1" t="s">
        <v>283</v>
      </c>
      <c r="K633" s="1" t="s">
        <v>2820</v>
      </c>
      <c r="L633" s="1" t="s">
        <v>2821</v>
      </c>
      <c r="M633" s="1" t="s">
        <v>9158</v>
      </c>
      <c r="N633" s="1" t="s">
        <v>9158</v>
      </c>
      <c r="O633" s="19" t="s">
        <v>10074</v>
      </c>
      <c r="P633" s="1" t="s">
        <v>2822</v>
      </c>
      <c r="Q633" s="1">
        <v>1</v>
      </c>
    </row>
    <row r="634" spans="1:17" ht="23.25" customHeight="1">
      <c r="A634" s="1">
        <v>64023</v>
      </c>
      <c r="B634" s="1" t="s">
        <v>334</v>
      </c>
      <c r="C634" s="1" t="s">
        <v>154</v>
      </c>
      <c r="D634" s="19" t="s">
        <v>10255</v>
      </c>
      <c r="E634" s="15" t="str">
        <f>HYPERLINK("https://stat100.ameba.jp/tnk47/ratio20/illustrations/card/ill_64023_mojabune03.jpg?201912-1-RELEASE-raid-442x", "■")</f>
        <v>■</v>
      </c>
      <c r="F634" s="1" t="s">
        <v>1785</v>
      </c>
      <c r="G634" s="1">
        <v>84456</v>
      </c>
      <c r="H634" s="1">
        <v>116577</v>
      </c>
      <c r="I634" s="1">
        <v>25</v>
      </c>
      <c r="J634" s="1" t="s">
        <v>73</v>
      </c>
      <c r="K634" s="1" t="s">
        <v>1786</v>
      </c>
      <c r="L634" s="1" t="s">
        <v>1787</v>
      </c>
      <c r="M634" s="1" t="s">
        <v>9158</v>
      </c>
      <c r="N634" s="1" t="s">
        <v>9158</v>
      </c>
      <c r="O634" s="1" t="s">
        <v>9158</v>
      </c>
      <c r="P634" s="1" t="s">
        <v>9158</v>
      </c>
      <c r="Q634" s="1" t="s">
        <v>9158</v>
      </c>
    </row>
    <row r="635" spans="1:17">
      <c r="A635" s="1">
        <v>65623</v>
      </c>
      <c r="B635" s="1" t="s">
        <v>334</v>
      </c>
      <c r="C635" s="1" t="s">
        <v>209</v>
      </c>
      <c r="D635" s="19" t="s">
        <v>10254</v>
      </c>
      <c r="E635" s="15" t="str">
        <f>HYPERLINK("https://stat100.ameba.jp/tnk47/ratio20/illustrations/card/ill_65623_hosoyajudayu03.jpg?201912-1-RELEASE-raid-442x", "■")</f>
        <v>■</v>
      </c>
      <c r="F635" s="1" t="s">
        <v>823</v>
      </c>
      <c r="G635" s="1">
        <v>166328</v>
      </c>
      <c r="H635" s="1">
        <v>166328</v>
      </c>
      <c r="I635" s="1">
        <v>25</v>
      </c>
      <c r="J635" s="1" t="s">
        <v>310</v>
      </c>
      <c r="K635" s="1" t="s">
        <v>824</v>
      </c>
      <c r="L635" s="1" t="s">
        <v>443</v>
      </c>
      <c r="M635" s="1" t="s">
        <v>9158</v>
      </c>
      <c r="N635" s="1" t="s">
        <v>9158</v>
      </c>
      <c r="O635" s="1" t="s">
        <v>9158</v>
      </c>
      <c r="P635" s="1" t="s">
        <v>9158</v>
      </c>
      <c r="Q635" s="1" t="s">
        <v>9158</v>
      </c>
    </row>
    <row r="636" spans="1:17">
      <c r="A636" s="1">
        <v>71313</v>
      </c>
      <c r="B636" s="1" t="s">
        <v>334</v>
      </c>
      <c r="C636" s="1" t="s">
        <v>203</v>
      </c>
      <c r="D636" s="19" t="s">
        <v>2823</v>
      </c>
      <c r="E636" s="15" t="str">
        <f>HYPERLINK("https://stat100.ameba.jp/tnk47/ratio20/illustrations/card/ill_71313_kagewani03.jpg?201912-1-RELEASE-raid-442x", "■")</f>
        <v>■</v>
      </c>
      <c r="F636" s="1" t="s">
        <v>2824</v>
      </c>
      <c r="G636" s="1">
        <v>92402</v>
      </c>
      <c r="H636" s="1">
        <v>127580</v>
      </c>
      <c r="I636" s="1">
        <v>25</v>
      </c>
      <c r="J636" s="1" t="s">
        <v>274</v>
      </c>
      <c r="K636" s="1" t="s">
        <v>2825</v>
      </c>
      <c r="L636" s="1" t="s">
        <v>2826</v>
      </c>
      <c r="M636" s="1" t="s">
        <v>9158</v>
      </c>
      <c r="N636" s="1" t="s">
        <v>9158</v>
      </c>
      <c r="O636" s="1" t="s">
        <v>9158</v>
      </c>
      <c r="P636" s="1" t="s">
        <v>9158</v>
      </c>
      <c r="Q636" s="1" t="s">
        <v>9158</v>
      </c>
    </row>
    <row r="637" spans="1:17">
      <c r="E637" s="7"/>
    </row>
    <row r="638" spans="1:17">
      <c r="A638" s="7" t="s">
        <v>8317</v>
      </c>
      <c r="E638" s="7"/>
    </row>
    <row r="639" spans="1:17">
      <c r="A639" s="7" t="s">
        <v>8318</v>
      </c>
      <c r="E639" s="7"/>
    </row>
    <row r="640" spans="1:17">
      <c r="A640" s="1" t="s">
        <v>5619</v>
      </c>
      <c r="B640" s="1" t="s">
        <v>330</v>
      </c>
      <c r="C640" s="1" t="s">
        <v>202</v>
      </c>
      <c r="D640" s="19" t="s">
        <v>10348</v>
      </c>
      <c r="E640" s="15" t="str">
        <f>HYPERLINK("https://stat100.ameba.jp/tnk47/ratio20/illustrations/card/ill_81183_0_shinryokunokisetsuamaterasu03.jpg?201912-1-RELEASE-raid-442x", "■")</f>
        <v>■</v>
      </c>
      <c r="F640" s="1" t="s">
        <v>4505</v>
      </c>
      <c r="G640" s="1">
        <v>252122</v>
      </c>
      <c r="H640" s="1">
        <v>278984</v>
      </c>
      <c r="I640" s="1">
        <v>24</v>
      </c>
      <c r="J640" s="1" t="s">
        <v>44</v>
      </c>
      <c r="K640" s="1" t="s">
        <v>4506</v>
      </c>
      <c r="L640" s="1" t="s">
        <v>4507</v>
      </c>
      <c r="M640" s="1" t="s">
        <v>9158</v>
      </c>
      <c r="N640" s="1" t="s">
        <v>9158</v>
      </c>
      <c r="O640" s="19" t="s">
        <v>10083</v>
      </c>
      <c r="P640" s="1" t="s">
        <v>4509</v>
      </c>
      <c r="Q640" s="1">
        <v>0</v>
      </c>
    </row>
    <row r="641" spans="1:18">
      <c r="A641" s="1">
        <v>81903</v>
      </c>
      <c r="B641" s="1" t="s">
        <v>334</v>
      </c>
      <c r="C641" s="1" t="s">
        <v>47</v>
      </c>
      <c r="D641" s="19" t="s">
        <v>10200</v>
      </c>
      <c r="E641" s="15" t="str">
        <f>HYPERLINK("https://stat100.ameba.jp/tnk47/ratio20/illustrations/card/ill_81903_kiryuhimeiren03.jpg?201912-1-RELEASE-raid-442x", "■")</f>
        <v>■</v>
      </c>
      <c r="F641" s="1" t="s">
        <v>4983</v>
      </c>
      <c r="G641" s="1">
        <v>79348</v>
      </c>
      <c r="H641" s="1">
        <v>109554</v>
      </c>
      <c r="I641" s="1">
        <v>24</v>
      </c>
      <c r="J641" s="1" t="s">
        <v>77</v>
      </c>
      <c r="K641" s="1" t="s">
        <v>4985</v>
      </c>
      <c r="L641" s="1" t="s">
        <v>4986</v>
      </c>
      <c r="M641" s="1" t="s">
        <v>9158</v>
      </c>
      <c r="N641" s="1" t="s">
        <v>9158</v>
      </c>
      <c r="O641" s="19" t="s">
        <v>10112</v>
      </c>
      <c r="P641" s="1" t="s">
        <v>13150</v>
      </c>
      <c r="Q641" s="1">
        <v>1</v>
      </c>
    </row>
    <row r="642" spans="1:18">
      <c r="A642" s="1">
        <v>62473</v>
      </c>
      <c r="B642" s="1" t="s">
        <v>334</v>
      </c>
      <c r="C642" s="1" t="s">
        <v>203</v>
      </c>
      <c r="D642" s="19" t="s">
        <v>2834</v>
      </c>
      <c r="E642" s="15" t="str">
        <f>HYPERLINK("https://stat100.ameba.jp/tnk47/ratio20/illustrations/card/ill_62473_kokuriko03.jpg?201912-1-RELEASE-raid-442x", "■")</f>
        <v>■</v>
      </c>
      <c r="F642" s="1" t="s">
        <v>2835</v>
      </c>
      <c r="G642" s="1">
        <v>109554</v>
      </c>
      <c r="H642" s="1">
        <v>79348</v>
      </c>
      <c r="I642" s="1">
        <v>24</v>
      </c>
      <c r="J642" s="1" t="s">
        <v>401</v>
      </c>
      <c r="K642" s="1" t="s">
        <v>2836</v>
      </c>
      <c r="L642" s="1" t="s">
        <v>2837</v>
      </c>
      <c r="M642" s="1" t="s">
        <v>9158</v>
      </c>
      <c r="N642" s="1" t="s">
        <v>9158</v>
      </c>
      <c r="O642" s="19" t="s">
        <v>2838</v>
      </c>
      <c r="P642" s="1" t="s">
        <v>2839</v>
      </c>
      <c r="Q642" s="1">
        <v>1</v>
      </c>
    </row>
    <row r="643" spans="1:18">
      <c r="A643" s="1">
        <v>67993</v>
      </c>
      <c r="B643" s="1" t="s">
        <v>334</v>
      </c>
      <c r="C643" s="1" t="s">
        <v>205</v>
      </c>
      <c r="D643" s="19" t="s">
        <v>10183</v>
      </c>
      <c r="E643" s="15" t="str">
        <f>HYPERLINK("https://stat100.ameba.jp/tnk47/ratio20/illustrations/card/ill_67993_kurisumasupateikanekomisuzu03.jpg?201912-1-RELEASE-raid-442x", "■")</f>
        <v>■</v>
      </c>
      <c r="F643" s="1" t="s">
        <v>1286</v>
      </c>
      <c r="G643" s="1">
        <v>93746</v>
      </c>
      <c r="H643" s="1">
        <v>87128</v>
      </c>
      <c r="I643" s="1">
        <v>24</v>
      </c>
      <c r="J643" s="1" t="s">
        <v>10</v>
      </c>
      <c r="K643" s="1" t="s">
        <v>2547</v>
      </c>
      <c r="L643" s="1" t="s">
        <v>2548</v>
      </c>
      <c r="M643" s="1" t="s">
        <v>9158</v>
      </c>
      <c r="N643" s="1" t="s">
        <v>9158</v>
      </c>
      <c r="O643" s="19" t="s">
        <v>10086</v>
      </c>
      <c r="P643" s="1" t="s">
        <v>3701</v>
      </c>
      <c r="Q643" s="1">
        <v>1</v>
      </c>
    </row>
    <row r="644" spans="1:18">
      <c r="E644" s="7"/>
    </row>
    <row r="645" spans="1:18">
      <c r="A645" s="7" t="s">
        <v>8320</v>
      </c>
      <c r="E645" s="7"/>
    </row>
    <row r="646" spans="1:18">
      <c r="A646" s="7" t="s">
        <v>8321</v>
      </c>
      <c r="E646" s="7"/>
    </row>
    <row r="647" spans="1:18">
      <c r="A647" s="7">
        <v>81885</v>
      </c>
      <c r="B647" s="7" t="s">
        <v>8322</v>
      </c>
      <c r="C647" s="7" t="s">
        <v>8324</v>
      </c>
      <c r="D647" s="19" t="s">
        <v>10246</v>
      </c>
      <c r="E647" s="15" t="str">
        <f>HYPERLINK("https://stat100.ameba.jp/tnk47/ratio20/illustrations/card/ill_81885_beruzandei05.jpg?201912-1-RELEASE-raid-442x", "■")</f>
        <v>■</v>
      </c>
      <c r="F647" s="7" t="s">
        <v>8345</v>
      </c>
      <c r="G647" s="7">
        <v>112832</v>
      </c>
      <c r="H647" s="7">
        <v>81692</v>
      </c>
      <c r="I647" s="7">
        <v>24</v>
      </c>
      <c r="J647" s="7" t="s">
        <v>8330</v>
      </c>
      <c r="K647" s="7" t="s">
        <v>8344</v>
      </c>
      <c r="L647" s="7" t="s">
        <v>8343</v>
      </c>
      <c r="M647" s="1" t="s">
        <v>9158</v>
      </c>
      <c r="N647" s="1" t="s">
        <v>9158</v>
      </c>
      <c r="O647" s="1" t="s">
        <v>9158</v>
      </c>
      <c r="P647" s="1" t="s">
        <v>9158</v>
      </c>
      <c r="Q647" s="1" t="s">
        <v>9158</v>
      </c>
      <c r="R647" s="7" t="s">
        <v>8325</v>
      </c>
    </row>
    <row r="648" spans="1:18">
      <c r="A648" s="7">
        <v>81883</v>
      </c>
      <c r="B648" s="7" t="s">
        <v>8323</v>
      </c>
      <c r="C648" s="7" t="s">
        <v>8328</v>
      </c>
      <c r="D648" s="19" t="s">
        <v>10246</v>
      </c>
      <c r="E648" s="15" t="str">
        <f>HYPERLINK("https://stat100.ameba.jp/tnk47/ratio20/illustrations/card/ill_81883_beruzandei03.jpg?201912-1-RELEASE-raid-442x", "■")</f>
        <v>■</v>
      </c>
      <c r="F648" s="7" t="s">
        <v>8345</v>
      </c>
      <c r="G648" s="7">
        <v>83124</v>
      </c>
      <c r="H648" s="7">
        <v>60186</v>
      </c>
      <c r="I648" s="7">
        <v>24</v>
      </c>
      <c r="J648" s="7" t="s">
        <v>8330</v>
      </c>
      <c r="K648" s="7" t="s">
        <v>8344</v>
      </c>
      <c r="L648" s="7" t="s">
        <v>8346</v>
      </c>
      <c r="M648" s="1" t="s">
        <v>9158</v>
      </c>
      <c r="N648" s="1" t="s">
        <v>9158</v>
      </c>
      <c r="O648" s="1" t="s">
        <v>9158</v>
      </c>
      <c r="P648" s="1" t="s">
        <v>9158</v>
      </c>
      <c r="Q648" s="1" t="s">
        <v>9158</v>
      </c>
      <c r="R648" s="7" t="s">
        <v>8326</v>
      </c>
    </row>
    <row r="649" spans="1:18">
      <c r="A649" s="7">
        <v>81881</v>
      </c>
      <c r="B649" s="7" t="s">
        <v>8323</v>
      </c>
      <c r="C649" s="7" t="s">
        <v>8328</v>
      </c>
      <c r="D649" s="19" t="s">
        <v>10246</v>
      </c>
      <c r="E649" s="15" t="str">
        <f>HYPERLINK("https://stat100.ameba.jp/tnk47/ratio20/illustrations/card/ill_81881_beruzandei01.jpg?201912-1-RELEASE-raid-442x", "■")</f>
        <v>■</v>
      </c>
      <c r="F649" s="7" t="s">
        <v>8345</v>
      </c>
      <c r="G649" s="7">
        <v>52872</v>
      </c>
      <c r="H649" s="7">
        <v>38280</v>
      </c>
      <c r="I649" s="7">
        <v>24</v>
      </c>
      <c r="J649" s="7" t="s">
        <v>8330</v>
      </c>
      <c r="K649" s="7" t="s">
        <v>8344</v>
      </c>
      <c r="L649" s="7" t="s">
        <v>8347</v>
      </c>
      <c r="M649" s="1" t="s">
        <v>9158</v>
      </c>
      <c r="N649" s="1" t="s">
        <v>9158</v>
      </c>
      <c r="O649" s="1" t="s">
        <v>9158</v>
      </c>
      <c r="P649" s="1" t="s">
        <v>9158</v>
      </c>
      <c r="Q649" s="1" t="s">
        <v>9158</v>
      </c>
      <c r="R649" s="7" t="s">
        <v>8327</v>
      </c>
    </row>
    <row r="650" spans="1:18">
      <c r="A650" s="7">
        <v>81275</v>
      </c>
      <c r="B650" s="7" t="s">
        <v>8322</v>
      </c>
      <c r="C650" s="7" t="s">
        <v>8324</v>
      </c>
      <c r="D650" s="19" t="s">
        <v>10805</v>
      </c>
      <c r="E650" s="15" t="str">
        <f>HYPERLINK("https://stat100.ameba.jp/tnk47/ratio20/illustrations/card/ill_81275_gogatsubyogohime05.jpg?201912-1-RELEASE-raid-442x", "■")</f>
        <v>■</v>
      </c>
      <c r="F650" s="7" t="s">
        <v>8335</v>
      </c>
      <c r="G650" s="7">
        <v>112832</v>
      </c>
      <c r="H650" s="7">
        <v>81692</v>
      </c>
      <c r="I650" s="7">
        <v>24</v>
      </c>
      <c r="J650" s="7" t="s">
        <v>8331</v>
      </c>
      <c r="K650" s="7" t="s">
        <v>8333</v>
      </c>
      <c r="L650" s="7" t="s">
        <v>8334</v>
      </c>
      <c r="M650" s="1" t="s">
        <v>9158</v>
      </c>
      <c r="N650" s="1" t="s">
        <v>9158</v>
      </c>
      <c r="O650" s="1" t="s">
        <v>9158</v>
      </c>
      <c r="P650" s="1" t="s">
        <v>9158</v>
      </c>
      <c r="Q650" s="1" t="s">
        <v>9158</v>
      </c>
      <c r="R650" s="7" t="s">
        <v>8325</v>
      </c>
    </row>
    <row r="651" spans="1:18">
      <c r="A651" s="7">
        <v>81273</v>
      </c>
      <c r="B651" s="7" t="s">
        <v>8323</v>
      </c>
      <c r="C651" s="7" t="s">
        <v>8329</v>
      </c>
      <c r="D651" s="19" t="s">
        <v>10805</v>
      </c>
      <c r="E651" s="15" t="str">
        <f>HYPERLINK("https://stat100.ameba.jp/tnk47/ratio20/illustrations/card/ill_81273_gogatsubyogohime03.jpg?201912-1-RELEASE-raid-442x", "■")</f>
        <v>■</v>
      </c>
      <c r="F651" s="7" t="s">
        <v>8335</v>
      </c>
      <c r="G651" s="7">
        <v>83124</v>
      </c>
      <c r="H651" s="7">
        <v>60186</v>
      </c>
      <c r="I651" s="7">
        <v>24</v>
      </c>
      <c r="J651" s="7" t="s">
        <v>8331</v>
      </c>
      <c r="K651" s="7" t="s">
        <v>8333</v>
      </c>
      <c r="L651" s="7" t="s">
        <v>8336</v>
      </c>
      <c r="M651" s="1" t="s">
        <v>9158</v>
      </c>
      <c r="N651" s="1" t="s">
        <v>9158</v>
      </c>
      <c r="O651" s="1" t="s">
        <v>9158</v>
      </c>
      <c r="P651" s="1" t="s">
        <v>9158</v>
      </c>
      <c r="Q651" s="1" t="s">
        <v>9158</v>
      </c>
      <c r="R651" s="7" t="s">
        <v>8326</v>
      </c>
    </row>
    <row r="652" spans="1:18">
      <c r="A652" s="7">
        <v>81271</v>
      </c>
      <c r="B652" s="7" t="s">
        <v>8323</v>
      </c>
      <c r="C652" s="7" t="s">
        <v>8329</v>
      </c>
      <c r="D652" s="19" t="s">
        <v>10805</v>
      </c>
      <c r="E652" s="15" t="str">
        <f>HYPERLINK("https://stat100.ameba.jp/tnk47/ratio20/illustrations/card/ill_81271_gogatsubyogohime01.jpg?201912-1-RELEASE-raid-442x", "■")</f>
        <v>■</v>
      </c>
      <c r="F652" s="7" t="s">
        <v>8335</v>
      </c>
      <c r="G652" s="7">
        <v>52872</v>
      </c>
      <c r="H652" s="7">
        <v>38280</v>
      </c>
      <c r="I652" s="7">
        <v>24</v>
      </c>
      <c r="J652" s="7" t="s">
        <v>8331</v>
      </c>
      <c r="K652" s="7" t="s">
        <v>8333</v>
      </c>
      <c r="L652" s="7" t="s">
        <v>8337</v>
      </c>
      <c r="M652" s="1" t="s">
        <v>9158</v>
      </c>
      <c r="N652" s="1" t="s">
        <v>9158</v>
      </c>
      <c r="O652" s="1" t="s">
        <v>9158</v>
      </c>
      <c r="P652" s="1" t="s">
        <v>9158</v>
      </c>
      <c r="Q652" s="1" t="s">
        <v>9158</v>
      </c>
      <c r="R652" s="7" t="s">
        <v>8327</v>
      </c>
    </row>
    <row r="653" spans="1:18">
      <c r="A653" s="7">
        <v>82515</v>
      </c>
      <c r="B653" s="7" t="s">
        <v>8322</v>
      </c>
      <c r="C653" s="7" t="s">
        <v>8324</v>
      </c>
      <c r="D653" s="19" t="s">
        <v>10329</v>
      </c>
      <c r="E653" s="15" t="str">
        <f>HYPERLINK("https://stat100.ameba.jp/tnk47/ratio20/illustrations/card/ill_82515_tanabatabansuiso05.jpg?201912-1-RELEASE-raid-442x", "■")</f>
        <v>■</v>
      </c>
      <c r="F653" s="7" t="s">
        <v>8340</v>
      </c>
      <c r="G653" s="7">
        <v>85758</v>
      </c>
      <c r="H653" s="7">
        <v>118460</v>
      </c>
      <c r="I653" s="7">
        <v>24</v>
      </c>
      <c r="J653" s="7" t="s">
        <v>8332</v>
      </c>
      <c r="K653" s="7" t="s">
        <v>8339</v>
      </c>
      <c r="L653" s="7" t="s">
        <v>8338</v>
      </c>
      <c r="M653" s="1" t="s">
        <v>9158</v>
      </c>
      <c r="N653" s="1" t="s">
        <v>9158</v>
      </c>
      <c r="O653" s="1" t="s">
        <v>9158</v>
      </c>
      <c r="P653" s="1" t="s">
        <v>9158</v>
      </c>
      <c r="Q653" s="1" t="s">
        <v>9158</v>
      </c>
      <c r="R653" s="7" t="s">
        <v>8325</v>
      </c>
    </row>
    <row r="654" spans="1:18">
      <c r="A654" s="7">
        <v>82513</v>
      </c>
      <c r="B654" s="7" t="s">
        <v>8323</v>
      </c>
      <c r="C654" s="7" t="s">
        <v>8329</v>
      </c>
      <c r="D654" s="19" t="s">
        <v>10329</v>
      </c>
      <c r="E654" s="15" t="str">
        <f>HYPERLINK("https://stat100.ameba.jp/tnk47/ratio20/illustrations/card/ill_82513_tanabatabansuiso03.jpg?201912-1-RELEASE-raid-442x", "■")</f>
        <v>■</v>
      </c>
      <c r="F654" s="7" t="s">
        <v>8340</v>
      </c>
      <c r="G654" s="7">
        <v>63180</v>
      </c>
      <c r="H654" s="7">
        <v>87270</v>
      </c>
      <c r="I654" s="7">
        <v>24</v>
      </c>
      <c r="J654" s="7" t="s">
        <v>8332</v>
      </c>
      <c r="K654" s="7" t="s">
        <v>8339</v>
      </c>
      <c r="L654" s="7" t="s">
        <v>8341</v>
      </c>
      <c r="M654" s="1" t="s">
        <v>9158</v>
      </c>
      <c r="N654" s="1" t="s">
        <v>9158</v>
      </c>
      <c r="O654" s="1" t="s">
        <v>9158</v>
      </c>
      <c r="P654" s="1" t="s">
        <v>9158</v>
      </c>
      <c r="Q654" s="1" t="s">
        <v>9158</v>
      </c>
      <c r="R654" s="7" t="s">
        <v>8326</v>
      </c>
    </row>
    <row r="655" spans="1:18">
      <c r="A655" s="7">
        <v>82511</v>
      </c>
      <c r="B655" s="7" t="s">
        <v>8323</v>
      </c>
      <c r="C655" s="7" t="s">
        <v>8329</v>
      </c>
      <c r="D655" s="19" t="s">
        <v>10329</v>
      </c>
      <c r="E655" s="15" t="str">
        <f>HYPERLINK("https://stat100.ameba.jp/tnk47/ratio20/illustrations/card/ill_82511_tanabatabansuiso01.jpg?201912-1-RELEASE-raid-442x", "■")</f>
        <v>■</v>
      </c>
      <c r="F655" s="7" t="s">
        <v>8340</v>
      </c>
      <c r="G655" s="7">
        <v>40176</v>
      </c>
      <c r="H655" s="7">
        <v>55512</v>
      </c>
      <c r="I655" s="7">
        <v>24</v>
      </c>
      <c r="J655" s="7" t="s">
        <v>8332</v>
      </c>
      <c r="K655" s="7" t="s">
        <v>8339</v>
      </c>
      <c r="L655" s="7" t="s">
        <v>8342</v>
      </c>
      <c r="M655" s="1" t="s">
        <v>9158</v>
      </c>
      <c r="N655" s="1" t="s">
        <v>9158</v>
      </c>
      <c r="O655" s="1" t="s">
        <v>9158</v>
      </c>
      <c r="P655" s="1" t="s">
        <v>9158</v>
      </c>
      <c r="Q655" s="1" t="s">
        <v>9158</v>
      </c>
      <c r="R655" s="7" t="s">
        <v>8327</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E2EC-6BD0-4A3F-A01A-931AED6182B1}">
  <dimension ref="A1:S680"/>
  <sheetViews>
    <sheetView zoomScale="55" zoomScaleNormal="55" workbookViewId="0">
      <pane ySplit="1" topLeftCell="A483" activePane="bottomLeft" state="frozen"/>
      <selection activeCell="A274" sqref="A274:Q274"/>
      <selection pane="bottomLeft" activeCell="D496" sqref="D496"/>
    </sheetView>
  </sheetViews>
  <sheetFormatPr defaultColWidth="8.9140625" defaultRowHeight="18"/>
  <cols>
    <col min="1" max="1" width="6.4140625" style="7" customWidth="1"/>
    <col min="2" max="2" width="3.9140625" style="7" customWidth="1"/>
    <col min="3" max="3" width="8.75" style="7" customWidth="1"/>
    <col min="4" max="4" width="25.75" style="7" customWidth="1"/>
    <col min="5" max="5" width="3.9140625" style="14" customWidth="1"/>
    <col min="6" max="6" width="8.9140625" style="7"/>
    <col min="7" max="8" width="7.08203125" style="7" customWidth="1"/>
    <col min="9" max="9" width="3.75" style="7" customWidth="1"/>
    <col min="10" max="10" width="5.4140625" style="7" customWidth="1"/>
    <col min="11" max="11" width="8.9140625" style="7"/>
    <col min="12" max="12" width="50.75" style="7" customWidth="1"/>
    <col min="13" max="16" width="8.9140625" style="7"/>
    <col min="17" max="17" width="3.9140625" style="7" customWidth="1"/>
    <col min="18" max="19" width="14.33203125" style="7" customWidth="1"/>
    <col min="20" max="16384" width="8.9140625" style="7"/>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 t="s">
        <v>17477</v>
      </c>
    </row>
    <row r="4" spans="1:19">
      <c r="A4" s="1" t="s">
        <v>8364</v>
      </c>
    </row>
    <row r="5" spans="1:19">
      <c r="A5" s="1" t="s">
        <v>8319</v>
      </c>
    </row>
    <row r="6" spans="1:19">
      <c r="A6" s="7" t="s">
        <v>8437</v>
      </c>
      <c r="B6" s="7" t="s">
        <v>8438</v>
      </c>
      <c r="C6" s="7" t="s">
        <v>8442</v>
      </c>
      <c r="D6" s="20" t="s">
        <v>10806</v>
      </c>
      <c r="E6" s="15" t="str">
        <f>HYPERLINK("https://stat100.ameba.jp/tnk47/ratio20/illustrations/card/ill_85523_0_seitankuronikurukusumotoine03.jpg?201912-1-RELEASE-raid-442x", "■")</f>
        <v>■</v>
      </c>
      <c r="F6" s="7" t="s">
        <v>8440</v>
      </c>
      <c r="G6" s="7">
        <v>363434</v>
      </c>
      <c r="H6" s="7">
        <v>328490</v>
      </c>
      <c r="I6" s="7">
        <v>30</v>
      </c>
      <c r="J6" s="1" t="s">
        <v>77</v>
      </c>
      <c r="K6" s="7" t="s">
        <v>8446</v>
      </c>
      <c r="L6" s="7" t="s">
        <v>8439</v>
      </c>
      <c r="M6" s="1" t="s">
        <v>9158</v>
      </c>
      <c r="N6" s="1" t="s">
        <v>9158</v>
      </c>
      <c r="O6" s="19" t="s">
        <v>10133</v>
      </c>
      <c r="P6" s="7" t="s">
        <v>8441</v>
      </c>
      <c r="Q6" s="7">
        <v>1</v>
      </c>
      <c r="R6" s="1"/>
    </row>
    <row r="7" spans="1:19">
      <c r="A7" s="1">
        <v>85483</v>
      </c>
      <c r="B7" s="1" t="s">
        <v>0</v>
      </c>
      <c r="C7" s="1" t="s">
        <v>8399</v>
      </c>
      <c r="D7" s="20" t="s">
        <v>10807</v>
      </c>
      <c r="E7" s="15" t="str">
        <f>HYPERLINK("https://stat100.ameba.jp/tnk47/ratio20/illustrations/card/ill_85483_seitankuronikururirimu03.jpg?201912-1-RELEASE-raid-442x", "■")</f>
        <v>■</v>
      </c>
      <c r="F7" s="1" t="s">
        <v>8445</v>
      </c>
      <c r="G7" s="1">
        <v>108330</v>
      </c>
      <c r="H7" s="1">
        <v>100744</v>
      </c>
      <c r="I7" s="1">
        <v>26</v>
      </c>
      <c r="J7" s="1" t="s">
        <v>8401</v>
      </c>
      <c r="K7" s="1" t="s">
        <v>8444</v>
      </c>
      <c r="L7" s="1" t="s">
        <v>8443</v>
      </c>
      <c r="M7" s="1" t="s">
        <v>9158</v>
      </c>
      <c r="N7" s="1" t="s">
        <v>9158</v>
      </c>
      <c r="O7" s="19" t="s">
        <v>10086</v>
      </c>
      <c r="P7" s="1" t="s">
        <v>3701</v>
      </c>
      <c r="Q7" s="1">
        <v>1</v>
      </c>
      <c r="R7" s="1"/>
    </row>
    <row r="8" spans="1:19">
      <c r="A8" s="1">
        <v>85473</v>
      </c>
      <c r="B8" s="1" t="s">
        <v>0</v>
      </c>
      <c r="C8" s="1" t="s">
        <v>8398</v>
      </c>
      <c r="D8" s="20" t="s">
        <v>10808</v>
      </c>
      <c r="E8" s="15" t="str">
        <f>HYPERLINK("https://stat100.ameba.jp/tnk47/ratio20/illustrations/card/ill_85473_seitankuronikurunaitojuria03.jpg?201912-1-RELEASE-raid-442x", "■")</f>
        <v>■</v>
      </c>
      <c r="F8" s="1" t="s">
        <v>8460</v>
      </c>
      <c r="G8" s="1">
        <v>101558</v>
      </c>
      <c r="H8" s="1">
        <v>94390</v>
      </c>
      <c r="I8" s="1">
        <v>26</v>
      </c>
      <c r="J8" s="1" t="s">
        <v>77</v>
      </c>
      <c r="K8" s="1" t="s">
        <v>8459</v>
      </c>
      <c r="L8" s="1" t="s">
        <v>8458</v>
      </c>
      <c r="M8" s="1" t="s">
        <v>2138</v>
      </c>
      <c r="N8" s="1" t="s">
        <v>2139</v>
      </c>
      <c r="O8" s="1" t="s">
        <v>9158</v>
      </c>
      <c r="P8" s="1" t="s">
        <v>9158</v>
      </c>
      <c r="Q8" s="1" t="s">
        <v>9158</v>
      </c>
      <c r="R8" s="1" t="s">
        <v>13120</v>
      </c>
    </row>
    <row r="9" spans="1:19">
      <c r="A9" s="1">
        <v>85463</v>
      </c>
      <c r="B9" s="1" t="s">
        <v>0</v>
      </c>
      <c r="C9" s="1" t="s">
        <v>8447</v>
      </c>
      <c r="D9" s="20" t="s">
        <v>10809</v>
      </c>
      <c r="E9" s="15" t="str">
        <f>HYPERLINK("https://stat100.ameba.jp/tnk47/ratio20/illustrations/card/ill_85463_seitankuronikurujimboyuki03.jpg?201912-1-RELEASE-raid-442x", "■")</f>
        <v>■</v>
      </c>
      <c r="F9" s="1" t="s">
        <v>8463</v>
      </c>
      <c r="G9" s="1">
        <v>94390</v>
      </c>
      <c r="H9" s="1">
        <v>101558</v>
      </c>
      <c r="I9" s="1">
        <v>26</v>
      </c>
      <c r="J9" s="1" t="s">
        <v>8450</v>
      </c>
      <c r="K9" s="1" t="s">
        <v>8462</v>
      </c>
      <c r="L9" s="1" t="s">
        <v>8461</v>
      </c>
      <c r="M9" s="1" t="s">
        <v>2138</v>
      </c>
      <c r="N9" s="1" t="s">
        <v>2139</v>
      </c>
      <c r="O9" s="1" t="s">
        <v>9158</v>
      </c>
      <c r="P9" s="1" t="s">
        <v>9158</v>
      </c>
      <c r="Q9" s="1" t="s">
        <v>9158</v>
      </c>
      <c r="R9" s="1" t="s">
        <v>13120</v>
      </c>
    </row>
    <row r="10" spans="1:19">
      <c r="A10" s="1">
        <v>85493</v>
      </c>
      <c r="B10" s="1" t="s">
        <v>15</v>
      </c>
      <c r="C10" s="1" t="s">
        <v>8448</v>
      </c>
      <c r="D10" s="20" t="s">
        <v>10810</v>
      </c>
      <c r="E10" s="15" t="str">
        <f>HYPERLINK("https://stat100.ameba.jp/tnk47/ratio20/illustrations/card/ill_85493_rappingususeribime03.jpg?201912-1-RELEASE-raid-442x", "■")</f>
        <v>■</v>
      </c>
      <c r="F10" s="1" t="s">
        <v>8466</v>
      </c>
      <c r="G10" s="1">
        <v>67210</v>
      </c>
      <c r="H10" s="1">
        <v>74100</v>
      </c>
      <c r="I10" s="1">
        <v>25</v>
      </c>
      <c r="J10" s="1" t="s">
        <v>8382</v>
      </c>
      <c r="K10" s="1" t="s">
        <v>8465</v>
      </c>
      <c r="L10" s="1" t="s">
        <v>8464</v>
      </c>
      <c r="M10" s="1" t="s">
        <v>9158</v>
      </c>
      <c r="N10" s="1" t="s">
        <v>9158</v>
      </c>
      <c r="O10" s="1" t="s">
        <v>9158</v>
      </c>
      <c r="P10" s="1" t="s">
        <v>9158</v>
      </c>
      <c r="Q10" s="1" t="s">
        <v>9158</v>
      </c>
      <c r="R10" s="1"/>
    </row>
    <row r="11" spans="1:19">
      <c r="A11" s="1">
        <v>85503</v>
      </c>
      <c r="B11" s="1" t="s">
        <v>15</v>
      </c>
      <c r="C11" s="1" t="s">
        <v>8449</v>
      </c>
      <c r="D11" s="20" t="s">
        <v>10811</v>
      </c>
      <c r="E11" s="15" t="str">
        <f>HYPERLINK("https://stat100.ameba.jp/tnk47/ratio20/illustrations/card/ill_85503_kurisumasusukajammusume03.jpg?201912-1-RELEASE-raid-442x", "■")</f>
        <v>■</v>
      </c>
      <c r="F11" s="7" t="s">
        <v>8472</v>
      </c>
      <c r="G11" s="1">
        <v>74100</v>
      </c>
      <c r="H11" s="1">
        <v>67210</v>
      </c>
      <c r="I11" s="1">
        <v>25</v>
      </c>
      <c r="J11" s="1" t="s">
        <v>8372</v>
      </c>
      <c r="K11" s="7" t="s">
        <v>8471</v>
      </c>
      <c r="L11" s="7" t="s">
        <v>8470</v>
      </c>
      <c r="M11" s="1" t="s">
        <v>9158</v>
      </c>
      <c r="N11" s="1" t="s">
        <v>9158</v>
      </c>
      <c r="O11" s="1" t="s">
        <v>9158</v>
      </c>
      <c r="P11" s="1" t="s">
        <v>9158</v>
      </c>
      <c r="Q11" s="1" t="s">
        <v>9158</v>
      </c>
      <c r="R11" s="1"/>
    </row>
    <row r="12" spans="1:19">
      <c r="A12" s="1">
        <v>85513</v>
      </c>
      <c r="B12" s="1" t="s">
        <v>15</v>
      </c>
      <c r="C12" s="1" t="s">
        <v>8397</v>
      </c>
      <c r="D12" s="20" t="s">
        <v>10812</v>
      </c>
      <c r="E12" s="15" t="str">
        <f>HYPERLINK("https://stat100.ameba.jp/tnk47/ratio20/illustrations/card/ill_85513_kitsunenoyomeiri03.jpg?201912-1-RELEASE-raid-442x", "■")</f>
        <v>■</v>
      </c>
      <c r="F12" s="1" t="s">
        <v>8469</v>
      </c>
      <c r="G12" s="1">
        <v>67210</v>
      </c>
      <c r="H12" s="1">
        <v>74100</v>
      </c>
      <c r="I12" s="1">
        <v>25</v>
      </c>
      <c r="J12" s="1" t="s">
        <v>8426</v>
      </c>
      <c r="K12" s="1" t="s">
        <v>8468</v>
      </c>
      <c r="L12" s="1" t="s">
        <v>8467</v>
      </c>
      <c r="M12" s="1" t="s">
        <v>9158</v>
      </c>
      <c r="N12" s="1" t="s">
        <v>9158</v>
      </c>
      <c r="O12" s="1" t="s">
        <v>9158</v>
      </c>
      <c r="P12" s="1" t="s">
        <v>9158</v>
      </c>
      <c r="Q12" s="1" t="s">
        <v>9158</v>
      </c>
      <c r="R12" s="1"/>
    </row>
    <row r="13" spans="1:19">
      <c r="A13" s="1">
        <v>85533</v>
      </c>
      <c r="B13" s="1" t="s">
        <v>22</v>
      </c>
      <c r="C13" s="1" t="s">
        <v>8399</v>
      </c>
      <c r="D13" s="20" t="s">
        <v>10813</v>
      </c>
      <c r="E13" s="15" t="str">
        <f>HYPERLINK("https://stat100.ameba.jp/tnk47/ratio20/illustrations/card/ill_85533_kurisumasukasuterachan03.jpg?201912-1-RELEASE-raid-442x", "■")</f>
        <v>■</v>
      </c>
      <c r="F13" s="1" t="s">
        <v>8475</v>
      </c>
      <c r="G13" s="1">
        <v>51980</v>
      </c>
      <c r="H13" s="1">
        <v>43220</v>
      </c>
      <c r="I13" s="1">
        <v>25</v>
      </c>
      <c r="J13" s="1" t="s">
        <v>8451</v>
      </c>
      <c r="K13" s="1" t="s">
        <v>8474</v>
      </c>
      <c r="L13" s="1" t="s">
        <v>8473</v>
      </c>
      <c r="M13" s="1" t="s">
        <v>9158</v>
      </c>
      <c r="N13" s="1" t="s">
        <v>9158</v>
      </c>
      <c r="O13" s="1" t="s">
        <v>9158</v>
      </c>
      <c r="P13" s="1" t="s">
        <v>9158</v>
      </c>
      <c r="Q13" s="1" t="s">
        <v>9158</v>
      </c>
      <c r="R13" s="1"/>
    </row>
    <row r="14" spans="1:19">
      <c r="A14" s="1">
        <v>85543</v>
      </c>
      <c r="B14" s="1" t="s">
        <v>22</v>
      </c>
      <c r="C14" s="1" t="s">
        <v>8397</v>
      </c>
      <c r="D14" s="20" t="s">
        <v>10814</v>
      </c>
      <c r="E14" s="15" t="str">
        <f>HYPERLINK("https://stat100.ameba.jp/tnk47/ratio20/illustrations/card/ill_85543_ajisai03.jpg?201912-1-RELEASE-raid-442x", "■")</f>
        <v>■</v>
      </c>
      <c r="F14" s="1" t="s">
        <v>8477</v>
      </c>
      <c r="G14" s="1">
        <v>43220</v>
      </c>
      <c r="H14" s="1">
        <v>51980</v>
      </c>
      <c r="I14" s="1">
        <v>25</v>
      </c>
      <c r="J14" s="1" t="s">
        <v>8372</v>
      </c>
      <c r="K14" s="1" t="s">
        <v>8476</v>
      </c>
      <c r="L14" s="1" t="s">
        <v>8476</v>
      </c>
      <c r="M14" s="1" t="s">
        <v>9158</v>
      </c>
      <c r="N14" s="1" t="s">
        <v>9158</v>
      </c>
      <c r="O14" s="1" t="s">
        <v>9158</v>
      </c>
      <c r="P14" s="1" t="s">
        <v>9158</v>
      </c>
      <c r="Q14" s="1" t="s">
        <v>9158</v>
      </c>
      <c r="R14" s="1"/>
    </row>
    <row r="15" spans="1:19">
      <c r="A15" s="1">
        <v>85553</v>
      </c>
      <c r="B15" s="1" t="s">
        <v>30</v>
      </c>
      <c r="C15" s="1" t="s">
        <v>8456</v>
      </c>
      <c r="D15" s="20" t="s">
        <v>10815</v>
      </c>
      <c r="E15" s="15" t="str">
        <f>HYPERLINK("https://stat100.ameba.jp/tnk47/ratio20/illustrations/card/ill_85553_seiyanankimmachichan03.jpg?201912-1-RELEASE-raid-442x", "■")</f>
        <v>■</v>
      </c>
      <c r="F15" s="1" t="s">
        <v>8457</v>
      </c>
      <c r="G15" s="14" t="s">
        <v>12934</v>
      </c>
      <c r="H15" s="14" t="s">
        <v>12934</v>
      </c>
      <c r="I15" s="1">
        <v>25</v>
      </c>
      <c r="J15" s="1" t="s">
        <v>8372</v>
      </c>
      <c r="K15" s="14" t="s">
        <v>12934</v>
      </c>
      <c r="L15" s="1" t="s">
        <v>12934</v>
      </c>
      <c r="M15" s="1" t="s">
        <v>9158</v>
      </c>
      <c r="N15" s="1" t="s">
        <v>9158</v>
      </c>
      <c r="O15" s="1" t="s">
        <v>9158</v>
      </c>
      <c r="P15" s="1" t="s">
        <v>9158</v>
      </c>
      <c r="Q15" s="1" t="s">
        <v>9158</v>
      </c>
      <c r="R15" s="1"/>
    </row>
    <row r="16" spans="1:19">
      <c r="A16" s="1">
        <v>85563</v>
      </c>
      <c r="B16" s="1" t="s">
        <v>30</v>
      </c>
      <c r="C16" s="1" t="s">
        <v>8452</v>
      </c>
      <c r="D16" s="20" t="s">
        <v>10816</v>
      </c>
      <c r="E16" s="15" t="str">
        <f>HYPERLINK("https://stat100.ameba.jp/tnk47/ratio20/illustrations/card/ill_85563_seikatai03.jpg?201912-1-RELEASE-raid-442x", "■")</f>
        <v>■</v>
      </c>
      <c r="F16" s="1" t="s">
        <v>8455</v>
      </c>
      <c r="G16" s="7">
        <v>26430</v>
      </c>
      <c r="H16" s="7">
        <v>31470</v>
      </c>
      <c r="I16" s="1">
        <v>25</v>
      </c>
      <c r="J16" s="1" t="s">
        <v>8386</v>
      </c>
      <c r="K16" s="1" t="s">
        <v>8454</v>
      </c>
      <c r="L16" s="1" t="s">
        <v>8453</v>
      </c>
      <c r="M16" s="1" t="s">
        <v>9158</v>
      </c>
      <c r="N16" s="1" t="s">
        <v>9158</v>
      </c>
      <c r="O16" s="1" t="s">
        <v>9158</v>
      </c>
      <c r="P16" s="1" t="s">
        <v>9158</v>
      </c>
      <c r="Q16" s="1" t="s">
        <v>9158</v>
      </c>
      <c r="R16" s="1"/>
    </row>
    <row r="17" spans="1:18">
      <c r="E17" s="7"/>
    </row>
    <row r="18" spans="1:18">
      <c r="A18" s="7" t="s">
        <v>13371</v>
      </c>
      <c r="E18" s="7"/>
    </row>
    <row r="19" spans="1:18">
      <c r="A19" s="7" t="s">
        <v>8348</v>
      </c>
      <c r="E19" s="7"/>
    </row>
    <row r="20" spans="1:18">
      <c r="A20" s="7">
        <v>85615</v>
      </c>
      <c r="B20" s="7" t="s">
        <v>8349</v>
      </c>
      <c r="C20" s="7" t="s">
        <v>8352</v>
      </c>
      <c r="D20" s="20" t="s">
        <v>10817</v>
      </c>
      <c r="E20" s="15" t="str">
        <f>HYPERLINK("https://stat100.ameba.jp/tnk47/ratio20/illustrations/card/ill_85615_kurisumasuotomoegozen05.jpg?201912-1-RELEASE-raid-442x", "■")</f>
        <v>■</v>
      </c>
      <c r="F20" s="7" t="s">
        <v>8356</v>
      </c>
      <c r="G20" s="7">
        <v>108069</v>
      </c>
      <c r="H20" s="7">
        <v>149247</v>
      </c>
      <c r="I20" s="7">
        <v>25</v>
      </c>
      <c r="J20" s="7" t="s">
        <v>8351</v>
      </c>
      <c r="K20" s="7" t="s">
        <v>8355</v>
      </c>
      <c r="L20" s="7" t="s">
        <v>8354</v>
      </c>
      <c r="M20" s="1" t="s">
        <v>9158</v>
      </c>
      <c r="N20" s="1" t="s">
        <v>9158</v>
      </c>
      <c r="O20" s="1" t="s">
        <v>9158</v>
      </c>
      <c r="P20" s="1" t="s">
        <v>9158</v>
      </c>
      <c r="Q20" s="1" t="s">
        <v>9158</v>
      </c>
      <c r="R20" s="7" t="s">
        <v>8357</v>
      </c>
    </row>
    <row r="21" spans="1:18">
      <c r="A21" s="7">
        <v>85613</v>
      </c>
      <c r="B21" s="7" t="s">
        <v>8350</v>
      </c>
      <c r="C21" s="7" t="s">
        <v>8353</v>
      </c>
      <c r="D21" s="20" t="s">
        <v>10817</v>
      </c>
      <c r="E21" s="15" t="str">
        <f>HYPERLINK("https://stat100.ameba.jp/tnk47/ratio20/illustrations/card/ill_85613_kurisumasuotomoegozen03.jpg?201912-1-RELEASE-raid-442x", "■")</f>
        <v>■</v>
      </c>
      <c r="F21" s="7" t="s">
        <v>8356</v>
      </c>
      <c r="G21" s="7">
        <v>79621</v>
      </c>
      <c r="H21" s="7">
        <v>109962</v>
      </c>
      <c r="I21" s="7">
        <v>25</v>
      </c>
      <c r="J21" s="7" t="s">
        <v>8351</v>
      </c>
      <c r="K21" s="7" t="s">
        <v>8355</v>
      </c>
      <c r="L21" s="7" t="s">
        <v>8361</v>
      </c>
      <c r="M21" s="1" t="s">
        <v>9158</v>
      </c>
      <c r="N21" s="1" t="s">
        <v>9158</v>
      </c>
      <c r="O21" s="1" t="s">
        <v>9158</v>
      </c>
      <c r="P21" s="1" t="s">
        <v>9158</v>
      </c>
      <c r="Q21" s="1" t="s">
        <v>9158</v>
      </c>
      <c r="R21" s="7" t="s">
        <v>8358</v>
      </c>
    </row>
    <row r="22" spans="1:18">
      <c r="A22" s="7">
        <v>85611</v>
      </c>
      <c r="B22" s="7" t="s">
        <v>8350</v>
      </c>
      <c r="C22" s="7" t="s">
        <v>8353</v>
      </c>
      <c r="D22" s="20" t="s">
        <v>10817</v>
      </c>
      <c r="E22" s="15" t="str">
        <f>HYPERLINK("https://stat100.ameba.jp/tnk47/ratio20/illustrations/card/ill_85611_kurisumasuotomoegozen01.jpg?201912-1-RELEASE-raid-442x", "■")</f>
        <v>■</v>
      </c>
      <c r="F22" s="7" t="s">
        <v>8356</v>
      </c>
      <c r="G22" s="7">
        <v>50650</v>
      </c>
      <c r="H22" s="7">
        <v>69950</v>
      </c>
      <c r="I22" s="7">
        <v>25</v>
      </c>
      <c r="J22" s="7" t="s">
        <v>8351</v>
      </c>
      <c r="K22" s="7" t="s">
        <v>8355</v>
      </c>
      <c r="L22" s="7" t="s">
        <v>8360</v>
      </c>
      <c r="M22" s="1" t="s">
        <v>9158</v>
      </c>
      <c r="N22" s="1" t="s">
        <v>9158</v>
      </c>
      <c r="O22" s="1" t="s">
        <v>9158</v>
      </c>
      <c r="P22" s="1" t="s">
        <v>9158</v>
      </c>
      <c r="Q22" s="1" t="s">
        <v>9158</v>
      </c>
      <c r="R22" s="7" t="s">
        <v>8359</v>
      </c>
    </row>
    <row r="23" spans="1:18">
      <c r="E23" s="7"/>
    </row>
    <row r="24" spans="1:18">
      <c r="A24" s="7" t="s">
        <v>8362</v>
      </c>
      <c r="E24" s="7"/>
    </row>
    <row r="25" spans="1:18">
      <c r="A25" s="7" t="s">
        <v>8363</v>
      </c>
      <c r="E25" s="7"/>
    </row>
    <row r="26" spans="1:18">
      <c r="A26" s="1" t="s">
        <v>5605</v>
      </c>
      <c r="B26" s="1" t="s">
        <v>52</v>
      </c>
      <c r="C26" s="1" t="s">
        <v>202</v>
      </c>
      <c r="D26" s="20" t="s">
        <v>10332</v>
      </c>
      <c r="E26" s="15" t="str">
        <f>HYPERLINK("https://stat100.ameba.jp/tnk47/ratio20/illustrations/card/ill_79373_0_hommeichokotennyohime03.jpg?201912-1-RELEASE-raid-442x", "■")</f>
        <v>■</v>
      </c>
      <c r="F26" s="1" t="s">
        <v>3495</v>
      </c>
      <c r="G26" s="1">
        <v>272036</v>
      </c>
      <c r="H26" s="1">
        <v>245878</v>
      </c>
      <c r="I26" s="1">
        <v>22</v>
      </c>
      <c r="J26" s="1" t="s">
        <v>104</v>
      </c>
      <c r="K26" s="1" t="s">
        <v>3496</v>
      </c>
      <c r="L26" s="1" t="s">
        <v>3497</v>
      </c>
      <c r="M26" s="1" t="s">
        <v>9158</v>
      </c>
      <c r="N26" s="1" t="s">
        <v>9158</v>
      </c>
      <c r="O26" s="19" t="s">
        <v>10072</v>
      </c>
      <c r="P26" s="1" t="s">
        <v>3498</v>
      </c>
      <c r="Q26" s="1">
        <v>1</v>
      </c>
    </row>
    <row r="27" spans="1:18">
      <c r="A27" s="1" t="s">
        <v>5603</v>
      </c>
      <c r="B27" s="1" t="s">
        <v>330</v>
      </c>
      <c r="C27" s="1" t="s">
        <v>205</v>
      </c>
      <c r="D27" s="20" t="s">
        <v>611</v>
      </c>
      <c r="E27" s="15" t="str">
        <f>HYPERLINK("https://stat100.ameba.jp/tnk47/ratio20/illustrations/card/ill_61893_0_onikirishumiyamotomusashi03.jpg?201912-1-RELEASE-raid-442x", "■")</f>
        <v>■</v>
      </c>
      <c r="F27" s="1" t="s">
        <v>612</v>
      </c>
      <c r="G27" s="1">
        <v>205358</v>
      </c>
      <c r="H27" s="1">
        <v>190952</v>
      </c>
      <c r="I27" s="1">
        <v>22</v>
      </c>
      <c r="J27" s="1" t="s">
        <v>310</v>
      </c>
      <c r="K27" s="1" t="s">
        <v>613</v>
      </c>
      <c r="L27" s="1" t="s">
        <v>312</v>
      </c>
      <c r="M27" s="1" t="s">
        <v>9158</v>
      </c>
      <c r="N27" s="1" t="s">
        <v>9158</v>
      </c>
      <c r="O27" s="19" t="s">
        <v>10071</v>
      </c>
      <c r="P27" s="1" t="s">
        <v>3253</v>
      </c>
      <c r="Q27" s="1">
        <v>1</v>
      </c>
    </row>
    <row r="28" spans="1:18">
      <c r="A28" s="7" t="s">
        <v>8390</v>
      </c>
      <c r="B28" s="1" t="s">
        <v>330</v>
      </c>
      <c r="C28" s="1" t="s">
        <v>344</v>
      </c>
      <c r="D28" s="20" t="s">
        <v>483</v>
      </c>
      <c r="E28" s="15" t="str">
        <f>HYPERLINK("https://stat100.ameba.jp/tnk47/ratio20/illustrations/card/ill_40343_0_heshikirihasebekurodakambe03.jpg?201912-1-RELEASE-raid-442x", "■")</f>
        <v>■</v>
      </c>
      <c r="F28" s="1" t="s">
        <v>484</v>
      </c>
      <c r="G28" s="1">
        <v>128744</v>
      </c>
      <c r="H28" s="1">
        <v>120576</v>
      </c>
      <c r="I28" s="1">
        <v>22</v>
      </c>
      <c r="J28" s="1" t="s">
        <v>414</v>
      </c>
      <c r="K28" s="1" t="s">
        <v>485</v>
      </c>
      <c r="L28" s="1" t="s">
        <v>486</v>
      </c>
      <c r="M28" s="1" t="s">
        <v>9158</v>
      </c>
      <c r="N28" s="1" t="s">
        <v>9158</v>
      </c>
      <c r="O28" s="1" t="s">
        <v>9158</v>
      </c>
      <c r="P28" s="1" t="s">
        <v>9158</v>
      </c>
      <c r="Q28" s="1" t="s">
        <v>9158</v>
      </c>
    </row>
    <row r="29" spans="1:18">
      <c r="A29" s="1">
        <v>83283</v>
      </c>
      <c r="B29" s="1" t="s">
        <v>334</v>
      </c>
      <c r="C29" s="1" t="s">
        <v>271</v>
      </c>
      <c r="D29" s="20" t="s">
        <v>10521</v>
      </c>
      <c r="E29" s="15" t="str">
        <f>HYPERLINK("https://stat100.ameba.jp/tnk47/ratio20/illustrations/card/ill_83283_suikawarihondatadakatsu03.jpg?201912-1-RELEASE-raid-442x", "■")</f>
        <v>■</v>
      </c>
      <c r="F29" s="1" t="s">
        <v>6431</v>
      </c>
      <c r="G29" s="1">
        <v>183542</v>
      </c>
      <c r="H29" s="1">
        <v>103263</v>
      </c>
      <c r="I29" s="1">
        <v>25</v>
      </c>
      <c r="J29" s="1" t="s">
        <v>310</v>
      </c>
      <c r="K29" s="1" t="s">
        <v>6430</v>
      </c>
      <c r="L29" s="1" t="s">
        <v>145</v>
      </c>
      <c r="M29" s="1" t="s">
        <v>9158</v>
      </c>
      <c r="N29" s="1" t="s">
        <v>9158</v>
      </c>
      <c r="O29" s="1" t="s">
        <v>9158</v>
      </c>
      <c r="P29" s="1" t="s">
        <v>9158</v>
      </c>
      <c r="Q29" s="1" t="s">
        <v>9158</v>
      </c>
    </row>
    <row r="30" spans="1:18">
      <c r="A30" s="1">
        <v>59443</v>
      </c>
      <c r="B30" s="1" t="s">
        <v>0</v>
      </c>
      <c r="C30" s="1" t="s">
        <v>1</v>
      </c>
      <c r="D30" s="20" t="s">
        <v>10276</v>
      </c>
      <c r="E30" s="15" t="str">
        <f>HYPERLINK("https://stat100.ameba.jp/tnk47/ratio20/illustrations/card/ill_59443_kumanokusubinomikoto03.jpg?201912-1-RELEASE-raid-442x", "■")</f>
        <v>■</v>
      </c>
      <c r="F30" s="1" t="s">
        <v>5253</v>
      </c>
      <c r="G30" s="1">
        <v>108470</v>
      </c>
      <c r="H30" s="1">
        <v>77980</v>
      </c>
      <c r="I30" s="1">
        <v>25</v>
      </c>
      <c r="J30" s="1" t="s">
        <v>44</v>
      </c>
      <c r="K30" s="1" t="s">
        <v>5255</v>
      </c>
      <c r="L30" s="1" t="s">
        <v>5256</v>
      </c>
      <c r="M30" s="1" t="s">
        <v>9158</v>
      </c>
      <c r="N30" s="1" t="s">
        <v>9158</v>
      </c>
      <c r="O30" s="1" t="s">
        <v>9158</v>
      </c>
      <c r="P30" s="1" t="s">
        <v>9158</v>
      </c>
      <c r="Q30" s="1" t="s">
        <v>9158</v>
      </c>
    </row>
    <row r="31" spans="1:18">
      <c r="A31" s="1">
        <v>66643</v>
      </c>
      <c r="B31" s="1" t="s">
        <v>334</v>
      </c>
      <c r="C31" s="1" t="s">
        <v>185</v>
      </c>
      <c r="D31" s="20" t="s">
        <v>10631</v>
      </c>
      <c r="E31" s="15" t="str">
        <f>HYPERLINK("https://stat100.ameba.jp/tnk47/ratio20/illustrations/card/ill_66643_oryorisonobehideo03.jpg?201912-1-RELEASE-raid-442x", "■")</f>
        <v>■</v>
      </c>
      <c r="F31" s="1" t="s">
        <v>4713</v>
      </c>
      <c r="G31" s="1">
        <v>97651</v>
      </c>
      <c r="H31" s="1">
        <v>90759</v>
      </c>
      <c r="I31" s="1">
        <v>25</v>
      </c>
      <c r="J31" s="1" t="s">
        <v>10</v>
      </c>
      <c r="K31" s="1" t="s">
        <v>6990</v>
      </c>
      <c r="L31" s="1" t="s">
        <v>1202</v>
      </c>
      <c r="M31" s="1" t="s">
        <v>9158</v>
      </c>
      <c r="N31" s="1" t="s">
        <v>9158</v>
      </c>
      <c r="O31" s="1" t="s">
        <v>9158</v>
      </c>
      <c r="P31" s="1" t="s">
        <v>9158</v>
      </c>
      <c r="Q31" s="1" t="s">
        <v>9158</v>
      </c>
    </row>
    <row r="32" spans="1:18">
      <c r="A32" s="1">
        <v>62213</v>
      </c>
      <c r="B32" s="1" t="s">
        <v>15</v>
      </c>
      <c r="C32" s="1" t="s">
        <v>96</v>
      </c>
      <c r="D32" s="20" t="s">
        <v>10514</v>
      </c>
      <c r="E32" s="15" t="str">
        <f>HYPERLINK("https://stat100.ameba.jp/tnk47/ratio20/illustrations/card/ill_62213_teikyoin03.jpg?201912-1-RELEASE-raid-442x", "■")</f>
        <v>■</v>
      </c>
      <c r="F32" s="1" t="s">
        <v>6379</v>
      </c>
      <c r="G32" s="1">
        <v>59280</v>
      </c>
      <c r="H32" s="1">
        <v>53768</v>
      </c>
      <c r="I32" s="1">
        <v>20</v>
      </c>
      <c r="J32" s="1" t="s">
        <v>77</v>
      </c>
      <c r="K32" s="1" t="s">
        <v>6382</v>
      </c>
      <c r="L32" s="1" t="s">
        <v>932</v>
      </c>
      <c r="M32" s="1" t="s">
        <v>9158</v>
      </c>
      <c r="N32" s="1" t="s">
        <v>9158</v>
      </c>
      <c r="O32" s="1" t="s">
        <v>9158</v>
      </c>
      <c r="P32" s="1" t="s">
        <v>9158</v>
      </c>
      <c r="Q32" s="1" t="s">
        <v>9158</v>
      </c>
    </row>
    <row r="33" spans="1:18">
      <c r="A33" s="1">
        <v>60013</v>
      </c>
      <c r="B33" s="1" t="s">
        <v>15</v>
      </c>
      <c r="C33" s="1" t="s">
        <v>107</v>
      </c>
      <c r="D33" s="20" t="s">
        <v>10515</v>
      </c>
      <c r="E33" s="15" t="str">
        <f>HYPERLINK("https://stat100.ameba.jp/tnk47/ratio20/illustrations/card/ill_60013_hantaraikirimaru03.jpg?201912-1-RELEASE-raid-442x", "■")</f>
        <v>■</v>
      </c>
      <c r="F33" s="1" t="s">
        <v>6377</v>
      </c>
      <c r="G33" s="1">
        <v>59280</v>
      </c>
      <c r="H33" s="1">
        <v>53768</v>
      </c>
      <c r="I33" s="1">
        <v>20</v>
      </c>
      <c r="J33" s="1" t="s">
        <v>44</v>
      </c>
      <c r="K33" s="1" t="s">
        <v>6376</v>
      </c>
      <c r="L33" s="1" t="s">
        <v>3271</v>
      </c>
      <c r="M33" s="1" t="s">
        <v>9158</v>
      </c>
      <c r="N33" s="1" t="s">
        <v>9158</v>
      </c>
      <c r="O33" s="1" t="s">
        <v>9158</v>
      </c>
      <c r="P33" s="1" t="s">
        <v>9158</v>
      </c>
      <c r="Q33" s="1" t="s">
        <v>9158</v>
      </c>
    </row>
    <row r="34" spans="1:18">
      <c r="A34" s="1">
        <v>72453</v>
      </c>
      <c r="B34" s="1" t="s">
        <v>15</v>
      </c>
      <c r="C34" s="1" t="s">
        <v>101</v>
      </c>
      <c r="D34" s="20" t="s">
        <v>10340</v>
      </c>
      <c r="E34" s="15" t="str">
        <f>HYPERLINK("https://stat100.ameba.jp/tnk47/ratio20/illustrations/card/ill_72453_rengeso03.jpg?201912-1-RELEASE-raid-442x", "■")</f>
        <v>■</v>
      </c>
      <c r="F34" s="1" t="s">
        <v>5478</v>
      </c>
      <c r="G34" s="1">
        <v>59280</v>
      </c>
      <c r="H34" s="1">
        <v>53768</v>
      </c>
      <c r="I34" s="1">
        <v>20</v>
      </c>
      <c r="J34" s="1" t="s">
        <v>26</v>
      </c>
      <c r="K34" s="1" t="s">
        <v>5479</v>
      </c>
      <c r="L34" s="1" t="s">
        <v>2011</v>
      </c>
      <c r="M34" s="1" t="s">
        <v>9158</v>
      </c>
      <c r="N34" s="1" t="s">
        <v>9158</v>
      </c>
      <c r="O34" s="1" t="s">
        <v>9158</v>
      </c>
      <c r="P34" s="1" t="s">
        <v>9158</v>
      </c>
      <c r="Q34" s="1" t="s">
        <v>9158</v>
      </c>
    </row>
    <row r="35" spans="1:18">
      <c r="E35" s="7"/>
    </row>
    <row r="36" spans="1:18">
      <c r="A36" s="7" t="s">
        <v>8388</v>
      </c>
      <c r="E36" s="7"/>
    </row>
    <row r="37" spans="1:18">
      <c r="A37" s="7" t="s">
        <v>8389</v>
      </c>
      <c r="E37" s="7"/>
    </row>
    <row r="38" spans="1:18">
      <c r="A38" s="1" t="s">
        <v>6030</v>
      </c>
      <c r="B38" s="1" t="s">
        <v>52</v>
      </c>
      <c r="C38" s="1" t="s">
        <v>202</v>
      </c>
      <c r="D38" s="20" t="s">
        <v>10453</v>
      </c>
      <c r="E38" s="15" t="str">
        <f>HYPERLINK("https://stat100.ameba.jp/tnk47/ratio20/illustrations/card/ill_80023_0_hinamatsurikyogokumaria03.jpg?201912-1-RELEASE-raid-442x", "■")</f>
        <v>■</v>
      </c>
      <c r="F38" s="1" t="s">
        <v>3709</v>
      </c>
      <c r="G38" s="1">
        <v>323430</v>
      </c>
      <c r="H38" s="1">
        <v>357888</v>
      </c>
      <c r="I38" s="1">
        <v>24</v>
      </c>
      <c r="J38" s="1" t="s">
        <v>26</v>
      </c>
      <c r="K38" s="1" t="s">
        <v>3710</v>
      </c>
      <c r="L38" s="1" t="s">
        <v>3711</v>
      </c>
      <c r="M38" s="1" t="s">
        <v>9158</v>
      </c>
      <c r="N38" s="1" t="s">
        <v>9158</v>
      </c>
      <c r="O38" s="19" t="s">
        <v>10116</v>
      </c>
      <c r="P38" s="1" t="s">
        <v>3713</v>
      </c>
      <c r="Q38" s="1">
        <v>1</v>
      </c>
    </row>
    <row r="39" spans="1:18">
      <c r="A39" s="1">
        <v>84653</v>
      </c>
      <c r="B39" s="1" t="s">
        <v>334</v>
      </c>
      <c r="C39" s="1" t="s">
        <v>209</v>
      </c>
      <c r="D39" s="20" t="s">
        <v>10626</v>
      </c>
      <c r="E39" s="15" t="str">
        <f>HYPERLINK("https://stat100.ameba.jp/tnk47/ratio20/illustrations/card/ill_84653_soru03.jpg?201912-1-RELEASE-raid-442x", "■")</f>
        <v>■</v>
      </c>
      <c r="F39" s="1" t="s">
        <v>6954</v>
      </c>
      <c r="G39" s="1">
        <v>75984</v>
      </c>
      <c r="H39" s="1">
        <v>104890</v>
      </c>
      <c r="I39" s="1">
        <v>24</v>
      </c>
      <c r="J39" s="1" t="s">
        <v>44</v>
      </c>
      <c r="K39" s="1" t="s">
        <v>6956</v>
      </c>
      <c r="L39" s="1" t="s">
        <v>3652</v>
      </c>
      <c r="M39" s="1" t="s">
        <v>9158</v>
      </c>
      <c r="N39" s="1" t="s">
        <v>9158</v>
      </c>
      <c r="O39" s="19" t="s">
        <v>10103</v>
      </c>
      <c r="P39" s="1" t="s">
        <v>3897</v>
      </c>
      <c r="Q39" s="1">
        <v>1</v>
      </c>
    </row>
    <row r="40" spans="1:18">
      <c r="A40" s="1">
        <v>81023</v>
      </c>
      <c r="B40" s="1" t="s">
        <v>334</v>
      </c>
      <c r="C40" s="1" t="s">
        <v>41</v>
      </c>
      <c r="D40" s="20" t="s">
        <v>10274</v>
      </c>
      <c r="E40" s="15" t="str">
        <f>HYPERLINK("https://stat100.ameba.jp/tnk47/ratio20/illustrations/card/ill_81023_momonokenki03.jpg?201912-1-RELEASE-raid-442x", "■")</f>
        <v>■</v>
      </c>
      <c r="F40" s="1" t="s">
        <v>4088</v>
      </c>
      <c r="G40" s="1">
        <v>126858</v>
      </c>
      <c r="H40" s="1">
        <v>91876</v>
      </c>
      <c r="I40" s="1">
        <v>24</v>
      </c>
      <c r="J40" s="1" t="s">
        <v>143</v>
      </c>
      <c r="K40" s="1" t="s">
        <v>4089</v>
      </c>
      <c r="L40" s="1" t="s">
        <v>2049</v>
      </c>
      <c r="M40" s="1" t="s">
        <v>9158</v>
      </c>
      <c r="N40" s="1" t="s">
        <v>9158</v>
      </c>
      <c r="O40" s="19" t="s">
        <v>10096</v>
      </c>
      <c r="P40" s="1" t="s">
        <v>3245</v>
      </c>
      <c r="Q40" s="1">
        <v>1</v>
      </c>
    </row>
    <row r="41" spans="1:18">
      <c r="A41" s="1">
        <v>68693</v>
      </c>
      <c r="B41" s="1" t="s">
        <v>334</v>
      </c>
      <c r="C41" s="1" t="s">
        <v>154</v>
      </c>
      <c r="D41" s="20" t="s">
        <v>10232</v>
      </c>
      <c r="E41" s="15" t="str">
        <f>HYPERLINK("https://stat100.ameba.jp/tnk47/ratio20/illustrations/card/ill_68693_mayoiga03.jpg?201912-1-RELEASE-raid-442x", "■")</f>
        <v>■</v>
      </c>
      <c r="F41" s="1" t="s">
        <v>3466</v>
      </c>
      <c r="G41" s="1">
        <v>126858</v>
      </c>
      <c r="H41" s="1">
        <v>91876</v>
      </c>
      <c r="I41" s="1">
        <v>24</v>
      </c>
      <c r="J41" s="1" t="s">
        <v>73</v>
      </c>
      <c r="K41" s="1" t="s">
        <v>3467</v>
      </c>
      <c r="L41" s="1" t="s">
        <v>3468</v>
      </c>
      <c r="M41" s="1" t="s">
        <v>9158</v>
      </c>
      <c r="N41" s="1" t="s">
        <v>9158</v>
      </c>
      <c r="O41" s="19" t="s">
        <v>3037</v>
      </c>
      <c r="P41" s="1" t="s">
        <v>13128</v>
      </c>
      <c r="Q41" s="1">
        <v>1</v>
      </c>
    </row>
    <row r="42" spans="1:18">
      <c r="E42" s="7"/>
    </row>
    <row r="43" spans="1:18">
      <c r="A43" s="7" t="s">
        <v>13327</v>
      </c>
      <c r="E43" s="7"/>
    </row>
    <row r="44" spans="1:18">
      <c r="A44" s="7" t="s">
        <v>8365</v>
      </c>
      <c r="E44" s="7"/>
    </row>
    <row r="45" spans="1:18">
      <c r="A45" s="1">
        <v>86063</v>
      </c>
      <c r="B45" s="1" t="s">
        <v>334</v>
      </c>
      <c r="C45" s="1" t="s">
        <v>14</v>
      </c>
      <c r="D45" s="20" t="s">
        <v>10818</v>
      </c>
      <c r="E45" s="15" t="str">
        <f>HYPERLINK("https://stat100.ameba.jp/tnk47/ratio20/illustrations/card/ill_86063_uotchimeika03.jpg?201912-1-RELEASE-raid-442x", "■")</f>
        <v>■</v>
      </c>
      <c r="F45" s="1" t="s">
        <v>8368</v>
      </c>
      <c r="G45" s="1">
        <v>114429</v>
      </c>
      <c r="H45" s="1">
        <v>123076</v>
      </c>
      <c r="I45" s="1">
        <v>25</v>
      </c>
      <c r="J45" s="1" t="s">
        <v>173</v>
      </c>
      <c r="K45" s="1" t="s">
        <v>8367</v>
      </c>
      <c r="L45" s="1" t="s">
        <v>8366</v>
      </c>
      <c r="M45" s="1" t="s">
        <v>13130</v>
      </c>
      <c r="N45" s="1" t="s">
        <v>343</v>
      </c>
      <c r="O45" s="1" t="s">
        <v>9158</v>
      </c>
      <c r="P45" s="1" t="s">
        <v>9158</v>
      </c>
      <c r="Q45" s="1" t="s">
        <v>9158</v>
      </c>
      <c r="R45" s="14" t="s">
        <v>14748</v>
      </c>
    </row>
    <row r="46" spans="1:18">
      <c r="A46" s="1">
        <v>86062</v>
      </c>
      <c r="B46" s="1" t="s">
        <v>334</v>
      </c>
      <c r="C46" s="1" t="s">
        <v>14</v>
      </c>
      <c r="D46" s="20" t="s">
        <v>10818</v>
      </c>
      <c r="E46" s="15" t="str">
        <f>HYPERLINK("https://stat100.ameba.jp/tnk47/ratio20/illustrations/card/ill_86062_uotchimeika02.jpg?201912-1-RELEASE-raid-442x", "■")</f>
        <v>■</v>
      </c>
      <c r="F46" s="1" t="s">
        <v>8368</v>
      </c>
      <c r="G46" s="1">
        <v>94774</v>
      </c>
      <c r="H46" s="1">
        <v>102885</v>
      </c>
      <c r="I46" s="1">
        <v>25</v>
      </c>
      <c r="J46" s="1" t="s">
        <v>173</v>
      </c>
      <c r="K46" s="1" t="s">
        <v>8367</v>
      </c>
      <c r="L46" s="1" t="s">
        <v>8366</v>
      </c>
      <c r="M46" s="1" t="s">
        <v>13131</v>
      </c>
      <c r="N46" s="1" t="s">
        <v>251</v>
      </c>
      <c r="O46" s="1" t="s">
        <v>9158</v>
      </c>
      <c r="P46" s="1" t="s">
        <v>9158</v>
      </c>
      <c r="Q46" s="1" t="s">
        <v>9158</v>
      </c>
      <c r="R46" s="14" t="s">
        <v>14748</v>
      </c>
    </row>
    <row r="47" spans="1:18">
      <c r="A47" s="1">
        <v>86061</v>
      </c>
      <c r="B47" s="1" t="s">
        <v>0</v>
      </c>
      <c r="C47" s="1" t="s">
        <v>14</v>
      </c>
      <c r="D47" s="20" t="s">
        <v>10818</v>
      </c>
      <c r="E47" s="15" t="str">
        <f>HYPERLINK("https://stat100.ameba.jp/tnk47/ratio20/illustrations/card/ill_86061_uotchimeika01.jpg?201912-1-RELEASE-raid-442x", "■")</f>
        <v>■</v>
      </c>
      <c r="F47" s="1" t="s">
        <v>8368</v>
      </c>
      <c r="G47" s="1">
        <v>73125</v>
      </c>
      <c r="H47" s="1">
        <v>78550</v>
      </c>
      <c r="I47" s="1">
        <v>25</v>
      </c>
      <c r="J47" s="1" t="s">
        <v>173</v>
      </c>
      <c r="K47" s="1" t="s">
        <v>8367</v>
      </c>
      <c r="L47" s="1" t="s">
        <v>8366</v>
      </c>
      <c r="M47" s="1" t="s">
        <v>13131</v>
      </c>
      <c r="N47" s="1" t="s">
        <v>251</v>
      </c>
      <c r="O47" s="1" t="s">
        <v>9158</v>
      </c>
      <c r="P47" s="1" t="s">
        <v>9158</v>
      </c>
      <c r="Q47" s="1" t="s">
        <v>9158</v>
      </c>
      <c r="R47" s="14" t="s">
        <v>14748</v>
      </c>
    </row>
    <row r="48" spans="1:18">
      <c r="A48" s="1">
        <v>86073</v>
      </c>
      <c r="B48" s="1" t="s">
        <v>334</v>
      </c>
      <c r="C48" s="1" t="s">
        <v>23</v>
      </c>
      <c r="D48" s="20" t="s">
        <v>10819</v>
      </c>
      <c r="E48" s="15" t="str">
        <f>HYPERLINK("https://stat100.ameba.jp/tnk47/ratio20/illustrations/card/ill_86073_maddohatta03.jpg?201912-1-RELEASE-raid-442x", "■")</f>
        <v>■</v>
      </c>
      <c r="F48" s="1" t="s">
        <v>8371</v>
      </c>
      <c r="G48" s="1">
        <v>114429</v>
      </c>
      <c r="H48" s="1">
        <v>123076</v>
      </c>
      <c r="I48" s="1">
        <v>25</v>
      </c>
      <c r="J48" s="1" t="s">
        <v>155</v>
      </c>
      <c r="K48" s="1" t="s">
        <v>8370</v>
      </c>
      <c r="L48" s="1" t="s">
        <v>8369</v>
      </c>
      <c r="M48" s="1" t="s">
        <v>13130</v>
      </c>
      <c r="N48" s="1" t="s">
        <v>343</v>
      </c>
      <c r="O48" s="1" t="s">
        <v>9158</v>
      </c>
      <c r="P48" s="1" t="s">
        <v>9158</v>
      </c>
      <c r="Q48" s="1" t="s">
        <v>9158</v>
      </c>
      <c r="R48" s="14" t="s">
        <v>14748</v>
      </c>
    </row>
    <row r="49" spans="1:18">
      <c r="A49" s="1">
        <v>86083</v>
      </c>
      <c r="B49" s="1" t="s">
        <v>334</v>
      </c>
      <c r="C49" s="1" t="s">
        <v>101</v>
      </c>
      <c r="D49" s="20" t="s">
        <v>10820</v>
      </c>
      <c r="E49" s="15" t="str">
        <f>HYPERLINK("https://stat100.ameba.jp/tnk47/ratio20/illustrations/card/ill_86083_keieinochojomeruro03.jpg?201912-1-RELEASE-raid-442x", "■")</f>
        <v>■</v>
      </c>
      <c r="F49" s="1" t="s">
        <v>8375</v>
      </c>
      <c r="G49" s="1">
        <v>123076</v>
      </c>
      <c r="H49" s="1">
        <v>114429</v>
      </c>
      <c r="I49" s="1">
        <v>25</v>
      </c>
      <c r="J49" s="1" t="s">
        <v>8372</v>
      </c>
      <c r="K49" s="1" t="s">
        <v>8374</v>
      </c>
      <c r="L49" s="1" t="s">
        <v>8373</v>
      </c>
      <c r="M49" s="1" t="s">
        <v>13130</v>
      </c>
      <c r="N49" s="1" t="s">
        <v>343</v>
      </c>
      <c r="O49" s="1" t="s">
        <v>9158</v>
      </c>
      <c r="P49" s="1" t="s">
        <v>9158</v>
      </c>
      <c r="Q49" s="1" t="s">
        <v>9158</v>
      </c>
      <c r="R49" s="14" t="s">
        <v>14748</v>
      </c>
    </row>
    <row r="50" spans="1:18">
      <c r="A50" s="1">
        <v>86093</v>
      </c>
      <c r="B50" s="1" t="s">
        <v>0</v>
      </c>
      <c r="C50" s="1" t="s">
        <v>96</v>
      </c>
      <c r="D50" s="20" t="s">
        <v>10821</v>
      </c>
      <c r="E50" s="15" t="str">
        <f>HYPERLINK("https://stat100.ameba.jp/tnk47/ratio20/illustrations/card/ill_86093_minamotonoyoshimitsu03.jpg?201912-1-RELEASE-raid-442x", "■")</f>
        <v>■</v>
      </c>
      <c r="F50" s="1" t="s">
        <v>8379</v>
      </c>
      <c r="G50" s="1">
        <v>123076</v>
      </c>
      <c r="H50" s="1">
        <v>114429</v>
      </c>
      <c r="I50" s="1">
        <v>25</v>
      </c>
      <c r="J50" s="1" t="s">
        <v>8378</v>
      </c>
      <c r="K50" s="1" t="s">
        <v>8377</v>
      </c>
      <c r="L50" s="1" t="s">
        <v>8376</v>
      </c>
      <c r="M50" s="1" t="s">
        <v>13130</v>
      </c>
      <c r="N50" s="1" t="s">
        <v>343</v>
      </c>
      <c r="O50" s="1" t="s">
        <v>9158</v>
      </c>
      <c r="P50" s="1" t="s">
        <v>9158</v>
      </c>
      <c r="Q50" s="1" t="s">
        <v>9158</v>
      </c>
      <c r="R50" s="14" t="s">
        <v>14748</v>
      </c>
    </row>
    <row r="51" spans="1:18">
      <c r="A51" s="1">
        <v>86103</v>
      </c>
      <c r="B51" s="1" t="s">
        <v>334</v>
      </c>
      <c r="C51" s="1" t="s">
        <v>205</v>
      </c>
      <c r="D51" s="20" t="s">
        <v>10822</v>
      </c>
      <c r="E51" s="15" t="str">
        <f>HYPERLINK("https://stat100.ameba.jp/tnk47/ratio20/illustrations/card/ill_86103_omatsudaimyojin03.jpg?201912-1-RELEASE-raid-442x", "■")</f>
        <v>■</v>
      </c>
      <c r="F51" s="1" t="s">
        <v>8383</v>
      </c>
      <c r="G51" s="1">
        <v>123076</v>
      </c>
      <c r="H51" s="1">
        <v>114429</v>
      </c>
      <c r="I51" s="1">
        <v>25</v>
      </c>
      <c r="J51" s="1" t="s">
        <v>8382</v>
      </c>
      <c r="K51" s="1" t="s">
        <v>8381</v>
      </c>
      <c r="L51" s="1" t="s">
        <v>8380</v>
      </c>
      <c r="M51" s="1" t="s">
        <v>13130</v>
      </c>
      <c r="N51" s="1" t="s">
        <v>343</v>
      </c>
      <c r="O51" s="1" t="s">
        <v>9158</v>
      </c>
      <c r="P51" s="1" t="s">
        <v>9158</v>
      </c>
      <c r="Q51" s="1" t="s">
        <v>9158</v>
      </c>
      <c r="R51" s="14" t="s">
        <v>14748</v>
      </c>
    </row>
    <row r="52" spans="1:18">
      <c r="A52" s="1">
        <v>86113</v>
      </c>
      <c r="B52" s="1" t="s">
        <v>334</v>
      </c>
      <c r="C52" s="1" t="s">
        <v>107</v>
      </c>
      <c r="D52" s="20" t="s">
        <v>10823</v>
      </c>
      <c r="E52" s="15" t="str">
        <f>HYPERLINK("https://stat100.ameba.jp/tnk47/ratio20/illustrations/card/ill_86113_yuno03.jpg?201912-1-RELEASE-raid-442x", "■")</f>
        <v>■</v>
      </c>
      <c r="F52" s="1" t="s">
        <v>8387</v>
      </c>
      <c r="G52" s="1">
        <v>114429</v>
      </c>
      <c r="H52" s="1">
        <v>123076</v>
      </c>
      <c r="I52" s="1">
        <v>25</v>
      </c>
      <c r="J52" s="1" t="s">
        <v>8386</v>
      </c>
      <c r="K52" s="1" t="s">
        <v>8385</v>
      </c>
      <c r="L52" s="1" t="s">
        <v>8384</v>
      </c>
      <c r="M52" s="1" t="s">
        <v>13130</v>
      </c>
      <c r="N52" s="1" t="s">
        <v>343</v>
      </c>
      <c r="O52" s="1" t="s">
        <v>9158</v>
      </c>
      <c r="P52" s="1" t="s">
        <v>9158</v>
      </c>
      <c r="Q52" s="1" t="s">
        <v>9158</v>
      </c>
      <c r="R52" s="14" t="s">
        <v>14748</v>
      </c>
    </row>
    <row r="53" spans="1:18">
      <c r="E53" s="7"/>
    </row>
    <row r="54" spans="1:18">
      <c r="A54" s="7" t="s">
        <v>8434</v>
      </c>
      <c r="E54" s="7"/>
    </row>
    <row r="55" spans="1:18">
      <c r="A55" s="7" t="s">
        <v>8436</v>
      </c>
      <c r="E55" s="7"/>
    </row>
    <row r="56" spans="1:18">
      <c r="A56" s="7" t="s">
        <v>8435</v>
      </c>
      <c r="E56" s="7"/>
    </row>
    <row r="57" spans="1:18">
      <c r="A57" s="7" t="s">
        <v>8437</v>
      </c>
      <c r="B57" s="7" t="s">
        <v>8438</v>
      </c>
      <c r="C57" s="7" t="s">
        <v>8442</v>
      </c>
      <c r="D57" s="20" t="s">
        <v>10806</v>
      </c>
      <c r="E57" s="15" t="str">
        <f>HYPERLINK("https://stat100.ameba.jp/tnk47/ratio20/illustrations/card/ill_85523_0_seitankuronikurukusumotoine03.jpg?201912-2-RELEASE-unionbattle-443", "■")</f>
        <v>■</v>
      </c>
      <c r="F57" s="7" t="s">
        <v>8440</v>
      </c>
      <c r="G57" s="7">
        <v>242288</v>
      </c>
      <c r="H57" s="7">
        <v>218992</v>
      </c>
      <c r="I57" s="7">
        <v>20</v>
      </c>
      <c r="J57" s="1" t="s">
        <v>77</v>
      </c>
      <c r="K57" s="7" t="s">
        <v>8446</v>
      </c>
      <c r="L57" s="7" t="s">
        <v>8439</v>
      </c>
      <c r="M57" s="1" t="s">
        <v>9158</v>
      </c>
      <c r="N57" s="1" t="s">
        <v>9158</v>
      </c>
      <c r="O57" s="19" t="s">
        <v>10133</v>
      </c>
      <c r="P57" s="7" t="s">
        <v>8441</v>
      </c>
      <c r="Q57" s="7">
        <v>1</v>
      </c>
    </row>
    <row r="58" spans="1:18">
      <c r="A58" s="7">
        <v>85573</v>
      </c>
      <c r="B58" s="7" t="s">
        <v>8393</v>
      </c>
      <c r="C58" s="7" t="s">
        <v>8397</v>
      </c>
      <c r="D58" s="20" t="s">
        <v>10824</v>
      </c>
      <c r="E58" s="15" t="str">
        <f>HYPERLINK("https://stat100.ameba.jp/tnk47/ratio20/illustrations/card/ill_85573_kurisumasuotezutsuhanabisan03.jpg?201912-2-RELEASE-unionbattle-443", "■")</f>
        <v>■</v>
      </c>
      <c r="F58" s="7" t="s">
        <v>8404</v>
      </c>
      <c r="G58" s="7">
        <v>105890</v>
      </c>
      <c r="H58" s="7">
        <v>113890</v>
      </c>
      <c r="I58" s="7">
        <v>25</v>
      </c>
      <c r="J58" s="7" t="s">
        <v>8372</v>
      </c>
      <c r="K58" s="7" t="s">
        <v>8403</v>
      </c>
      <c r="L58" s="7" t="s">
        <v>8402</v>
      </c>
      <c r="M58" s="1" t="s">
        <v>9158</v>
      </c>
      <c r="N58" s="1" t="s">
        <v>9158</v>
      </c>
      <c r="O58" s="1" t="s">
        <v>9158</v>
      </c>
      <c r="P58" s="1" t="s">
        <v>9158</v>
      </c>
      <c r="Q58" s="1" t="s">
        <v>9158</v>
      </c>
    </row>
    <row r="59" spans="1:18">
      <c r="A59" s="7">
        <v>85583</v>
      </c>
      <c r="B59" s="7" t="s">
        <v>8394</v>
      </c>
      <c r="C59" s="7" t="s">
        <v>8398</v>
      </c>
      <c r="D59" s="20" t="s">
        <v>10825</v>
      </c>
      <c r="E59" s="15" t="str">
        <f>HYPERLINK("https://stat100.ameba.jp/tnk47/ratio20/illustrations/card/ill_85583_poppukurisumasukitanokata03.jpg?201912-2-RELEASE-unionbattle-443", "■")</f>
        <v>■</v>
      </c>
      <c r="F59" s="7" t="s">
        <v>8413</v>
      </c>
      <c r="G59" s="7">
        <v>74100</v>
      </c>
      <c r="H59" s="7">
        <v>67210</v>
      </c>
      <c r="I59" s="7">
        <v>25</v>
      </c>
      <c r="J59" s="7" t="s">
        <v>8378</v>
      </c>
      <c r="K59" s="7" t="s">
        <v>8412</v>
      </c>
      <c r="L59" s="7" t="s">
        <v>8411</v>
      </c>
      <c r="M59" s="1" t="s">
        <v>9158</v>
      </c>
      <c r="N59" s="1" t="s">
        <v>9158</v>
      </c>
      <c r="O59" s="1" t="s">
        <v>9158</v>
      </c>
      <c r="P59" s="1" t="s">
        <v>9158</v>
      </c>
      <c r="Q59" s="1" t="s">
        <v>9158</v>
      </c>
    </row>
    <row r="60" spans="1:18">
      <c r="A60" s="7">
        <v>85593</v>
      </c>
      <c r="B60" s="7" t="s">
        <v>8395</v>
      </c>
      <c r="C60" s="7" t="s">
        <v>8399</v>
      </c>
      <c r="D60" s="20" t="s">
        <v>10826</v>
      </c>
      <c r="E60" s="15" t="str">
        <f>HYPERLINK("https://stat100.ameba.jp/tnk47/ratio20/illustrations/card/ill_85593_inembi03.jpg?201912-2-RELEASE-unionbattle-443", "■")</f>
        <v>■</v>
      </c>
      <c r="F60" s="7" t="s">
        <v>8410</v>
      </c>
      <c r="G60" s="7">
        <v>43220</v>
      </c>
      <c r="H60" s="7">
        <v>51980</v>
      </c>
      <c r="I60" s="7">
        <v>25</v>
      </c>
      <c r="J60" s="7" t="s">
        <v>8401</v>
      </c>
      <c r="K60" s="7" t="s">
        <v>8408</v>
      </c>
      <c r="L60" s="7" t="s">
        <v>8407</v>
      </c>
      <c r="M60" s="1" t="s">
        <v>9158</v>
      </c>
      <c r="N60" s="1" t="s">
        <v>9158</v>
      </c>
      <c r="O60" s="1" t="s">
        <v>9158</v>
      </c>
      <c r="P60" s="1" t="s">
        <v>9158</v>
      </c>
      <c r="Q60" s="1" t="s">
        <v>9158</v>
      </c>
    </row>
    <row r="61" spans="1:18">
      <c r="A61" s="7">
        <v>85603</v>
      </c>
      <c r="B61" s="7" t="s">
        <v>8396</v>
      </c>
      <c r="C61" s="7" t="s">
        <v>8400</v>
      </c>
      <c r="D61" s="20" t="s">
        <v>10827</v>
      </c>
      <c r="E61" s="15" t="str">
        <f>HYPERLINK("https://stat100.ameba.jp/tnk47/ratio20/illustrations/card/ill_85603_sunoman03.jpg?201912-2-RELEASE-unionbattle-443", "■")</f>
        <v>■</v>
      </c>
      <c r="F61" s="7" t="s">
        <v>8406</v>
      </c>
      <c r="G61" s="7">
        <v>31470</v>
      </c>
      <c r="H61" s="7">
        <v>26430</v>
      </c>
      <c r="I61" s="7">
        <v>25</v>
      </c>
      <c r="J61" s="7" t="s">
        <v>8372</v>
      </c>
      <c r="K61" s="7" t="s">
        <v>8409</v>
      </c>
      <c r="L61" s="7" t="s">
        <v>8405</v>
      </c>
      <c r="M61" s="1" t="s">
        <v>9158</v>
      </c>
      <c r="N61" s="1" t="s">
        <v>9158</v>
      </c>
      <c r="O61" s="1" t="s">
        <v>9158</v>
      </c>
      <c r="P61" s="1" t="s">
        <v>9158</v>
      </c>
      <c r="Q61" s="1" t="s">
        <v>9158</v>
      </c>
    </row>
    <row r="62" spans="1:18">
      <c r="E62" s="7"/>
    </row>
    <row r="63" spans="1:18">
      <c r="A63" s="7" t="s">
        <v>8414</v>
      </c>
      <c r="E63" s="7"/>
    </row>
    <row r="64" spans="1:18">
      <c r="A64" s="7" t="s">
        <v>8415</v>
      </c>
      <c r="E64" s="7"/>
    </row>
    <row r="65" spans="1:17">
      <c r="A65" s="1" t="s">
        <v>5843</v>
      </c>
      <c r="B65" s="1" t="s">
        <v>52</v>
      </c>
      <c r="C65" s="1" t="s">
        <v>202</v>
      </c>
      <c r="D65" s="20" t="s">
        <v>10291</v>
      </c>
      <c r="E65" s="15" t="str">
        <f>HYPERLINK("https://stat100.ameba.jp/tnk47/ratio20/illustrations/card/ill_77963_0_kurisumasudaisakusentakiyashahime03.jpg?201912-2-RELEASE-unionbattle-443", "■")</f>
        <v>■</v>
      </c>
      <c r="F65" s="1" t="s">
        <v>2127</v>
      </c>
      <c r="G65" s="1">
        <v>307028</v>
      </c>
      <c r="H65" s="1">
        <v>277487</v>
      </c>
      <c r="I65" s="1">
        <v>25</v>
      </c>
      <c r="J65" s="1" t="s">
        <v>77</v>
      </c>
      <c r="K65" s="1" t="s">
        <v>2128</v>
      </c>
      <c r="L65" s="1" t="s">
        <v>2129</v>
      </c>
      <c r="M65" s="1" t="s">
        <v>9158</v>
      </c>
      <c r="N65" s="1" t="s">
        <v>9158</v>
      </c>
      <c r="O65" s="19" t="s">
        <v>10107</v>
      </c>
      <c r="P65" s="1" t="s">
        <v>3589</v>
      </c>
      <c r="Q65" s="1">
        <v>2</v>
      </c>
    </row>
    <row r="66" spans="1:17">
      <c r="A66" s="1" t="s">
        <v>5623</v>
      </c>
      <c r="B66" s="1" t="s">
        <v>52</v>
      </c>
      <c r="C66" s="1" t="s">
        <v>165</v>
      </c>
      <c r="D66" s="20" t="s">
        <v>3146</v>
      </c>
      <c r="E66" s="15" t="str">
        <f>HYPERLINK("https://stat100.ameba.jp/tnk47/ratio20/illustrations/card/ill_65713_0_undokaionikirimaru03.jpg?201912-2-RELEASE-unionbattle-443", "■")</f>
        <v>■</v>
      </c>
      <c r="F66" s="1" t="s">
        <v>2543</v>
      </c>
      <c r="G66" s="1">
        <v>189209</v>
      </c>
      <c r="H66" s="1">
        <v>175911</v>
      </c>
      <c r="I66" s="1">
        <v>25</v>
      </c>
      <c r="J66" s="1" t="s">
        <v>73</v>
      </c>
      <c r="K66" s="1" t="s">
        <v>2544</v>
      </c>
      <c r="L66" s="1" t="s">
        <v>2545</v>
      </c>
      <c r="M66" s="1" t="s">
        <v>9158</v>
      </c>
      <c r="N66" s="1" t="s">
        <v>9158</v>
      </c>
      <c r="O66" s="19" t="s">
        <v>2869</v>
      </c>
      <c r="P66" s="1" t="s">
        <v>2870</v>
      </c>
      <c r="Q66" s="1">
        <v>1</v>
      </c>
    </row>
    <row r="67" spans="1:17">
      <c r="A67" s="7">
        <v>85643</v>
      </c>
      <c r="B67" s="7" t="s">
        <v>8393</v>
      </c>
      <c r="C67" s="7" t="s">
        <v>8416</v>
      </c>
      <c r="D67" s="20" t="s">
        <v>10828</v>
      </c>
      <c r="E67" s="15" t="str">
        <f>HYPERLINK("https://stat100.ameba.jp/tnk47/ratio20/illustrations/card/ill_85643_hosekisho03.jpg?201912-2-RELEASE-unionbattle-443", "■")</f>
        <v>■</v>
      </c>
      <c r="F67" s="7" t="s">
        <v>8420</v>
      </c>
      <c r="G67" s="7">
        <v>109259</v>
      </c>
      <c r="H67" s="7">
        <v>79151</v>
      </c>
      <c r="I67" s="7">
        <v>25</v>
      </c>
      <c r="J67" s="7" t="s">
        <v>8419</v>
      </c>
      <c r="K67" s="7" t="s">
        <v>8418</v>
      </c>
      <c r="L67" s="7" t="s">
        <v>8417</v>
      </c>
      <c r="M67" s="1" t="s">
        <v>9158</v>
      </c>
      <c r="N67" s="1" t="s">
        <v>9158</v>
      </c>
      <c r="O67" s="19" t="s">
        <v>10091</v>
      </c>
      <c r="P67" s="7" t="s">
        <v>8421</v>
      </c>
      <c r="Q67" s="7">
        <v>1</v>
      </c>
    </row>
    <row r="68" spans="1:17">
      <c r="A68" s="1">
        <v>69503</v>
      </c>
      <c r="B68" s="1" t="s">
        <v>0</v>
      </c>
      <c r="C68" s="1" t="s">
        <v>47</v>
      </c>
      <c r="D68" s="20" t="s">
        <v>2949</v>
      </c>
      <c r="E68" s="15" t="str">
        <f>HYPERLINK("https://stat100.ameba.jp/tnk47/ratio20/illustrations/card/ill_69503_azusayumi03.jpg?201912-2-RELEASE-unionbattle-443", "■")</f>
        <v>■</v>
      </c>
      <c r="F68" s="1" t="s">
        <v>66</v>
      </c>
      <c r="G68" s="1">
        <v>113463</v>
      </c>
      <c r="H68" s="1">
        <v>82205</v>
      </c>
      <c r="I68" s="1">
        <v>25</v>
      </c>
      <c r="J68" s="1" t="s">
        <v>38</v>
      </c>
      <c r="K68" s="1" t="s">
        <v>67</v>
      </c>
      <c r="L68" s="1" t="s">
        <v>68</v>
      </c>
      <c r="M68" s="1" t="s">
        <v>9158</v>
      </c>
      <c r="N68" s="1" t="s">
        <v>9158</v>
      </c>
      <c r="O68" s="19" t="s">
        <v>2951</v>
      </c>
      <c r="P68" s="1" t="s">
        <v>13122</v>
      </c>
      <c r="Q68" s="1">
        <v>1</v>
      </c>
    </row>
    <row r="69" spans="1:17">
      <c r="A69" s="1">
        <v>77683</v>
      </c>
      <c r="B69" s="1" t="s">
        <v>0</v>
      </c>
      <c r="C69" s="1" t="s">
        <v>203</v>
      </c>
      <c r="D69" s="20" t="s">
        <v>10220</v>
      </c>
      <c r="E69" s="15" t="str">
        <f>HYPERLINK("https://stat100.ameba.jp/tnk47/ratio20/illustrations/card/ill_77683_shukusainoujohoride03.jpg?201912-2-RELEASE-unionbattle-443", "■")</f>
        <v>■</v>
      </c>
      <c r="F69" s="1" t="s">
        <v>1430</v>
      </c>
      <c r="G69" s="1">
        <v>109259</v>
      </c>
      <c r="H69" s="1">
        <v>79151</v>
      </c>
      <c r="I69" s="1">
        <v>25</v>
      </c>
      <c r="J69" s="1" t="s">
        <v>315</v>
      </c>
      <c r="K69" s="1" t="s">
        <v>1431</v>
      </c>
      <c r="L69" s="1" t="s">
        <v>1432</v>
      </c>
      <c r="M69" s="1" t="s">
        <v>9158</v>
      </c>
      <c r="N69" s="1" t="s">
        <v>9158</v>
      </c>
      <c r="O69" s="19" t="s">
        <v>10090</v>
      </c>
      <c r="P69" s="1" t="s">
        <v>3460</v>
      </c>
      <c r="Q69" s="1">
        <v>1</v>
      </c>
    </row>
    <row r="70" spans="1:17">
      <c r="A70" s="1">
        <v>72153</v>
      </c>
      <c r="B70" s="1" t="s">
        <v>334</v>
      </c>
      <c r="C70" s="1" t="s">
        <v>203</v>
      </c>
      <c r="D70" s="20" t="s">
        <v>436</v>
      </c>
      <c r="E70" s="15" t="str">
        <f>HYPERLINK("https://stat100.ameba.jp/tnk47/ratio20/illustrations/card/ill_72153_bakki03.jpg?201912-2-RELEASE-unionbattle-443", "■")</f>
        <v>■</v>
      </c>
      <c r="F70" s="1" t="s">
        <v>1031</v>
      </c>
      <c r="G70" s="1">
        <v>95703</v>
      </c>
      <c r="H70" s="1">
        <v>132144</v>
      </c>
      <c r="I70" s="7">
        <v>25</v>
      </c>
      <c r="J70" s="1" t="s">
        <v>73</v>
      </c>
      <c r="K70" s="1" t="s">
        <v>1032</v>
      </c>
      <c r="L70" s="1" t="s">
        <v>1033</v>
      </c>
      <c r="M70" s="1" t="s">
        <v>9158</v>
      </c>
      <c r="N70" s="1" t="s">
        <v>9158</v>
      </c>
      <c r="O70" s="1" t="s">
        <v>9158</v>
      </c>
      <c r="P70" s="1" t="s">
        <v>9158</v>
      </c>
      <c r="Q70" s="1" t="s">
        <v>9158</v>
      </c>
    </row>
    <row r="71" spans="1:17">
      <c r="A71" s="1">
        <v>68703</v>
      </c>
      <c r="B71" s="1" t="s">
        <v>0</v>
      </c>
      <c r="C71" s="1" t="s">
        <v>47</v>
      </c>
      <c r="D71" s="20" t="s">
        <v>687</v>
      </c>
      <c r="E71" s="15" t="str">
        <f>HYPERLINK("https://stat100.ameba.jp/tnk47/ratio20/illustrations/card/ill_68703_manryu03.jpg?201912-2-RELEASE-unionbattle-443", "■")</f>
        <v>■</v>
      </c>
      <c r="F71" s="1" t="s">
        <v>80</v>
      </c>
      <c r="G71" s="1">
        <v>79151</v>
      </c>
      <c r="H71" s="1">
        <v>109259</v>
      </c>
      <c r="I71" s="1">
        <v>25</v>
      </c>
      <c r="J71" s="1" t="s">
        <v>16</v>
      </c>
      <c r="K71" s="1" t="s">
        <v>81</v>
      </c>
      <c r="L71" s="1" t="s">
        <v>82</v>
      </c>
      <c r="M71" s="1" t="s">
        <v>9158</v>
      </c>
      <c r="N71" s="1" t="s">
        <v>9158</v>
      </c>
      <c r="O71" s="1" t="s">
        <v>9158</v>
      </c>
      <c r="P71" s="1" t="s">
        <v>9158</v>
      </c>
      <c r="Q71" s="1" t="s">
        <v>9158</v>
      </c>
    </row>
    <row r="72" spans="1:17">
      <c r="A72" s="7">
        <v>53073</v>
      </c>
      <c r="B72" s="1" t="s">
        <v>0</v>
      </c>
      <c r="C72" s="1" t="s">
        <v>265</v>
      </c>
      <c r="D72" s="20" t="s">
        <v>10829</v>
      </c>
      <c r="E72" s="15" t="str">
        <f>HYPERLINK("https://stat100.ameba.jp/tnk47/ratio20/illustrations/card/ill_53073_matsuzakaushi03.jpg?201912-2-RELEASE-unionbattle-443", "■")</f>
        <v>■</v>
      </c>
      <c r="F72" s="1" t="s">
        <v>1957</v>
      </c>
      <c r="G72" s="1">
        <v>75651</v>
      </c>
      <c r="H72" s="1">
        <v>103176</v>
      </c>
      <c r="I72" s="1">
        <v>25</v>
      </c>
      <c r="J72" s="1" t="s">
        <v>104</v>
      </c>
      <c r="K72" s="1" t="s">
        <v>1958</v>
      </c>
      <c r="L72" s="1" t="s">
        <v>1959</v>
      </c>
      <c r="M72" s="1" t="s">
        <v>9158</v>
      </c>
      <c r="N72" s="1" t="s">
        <v>9158</v>
      </c>
      <c r="O72" s="1" t="s">
        <v>9158</v>
      </c>
      <c r="P72" s="1" t="s">
        <v>9158</v>
      </c>
      <c r="Q72" s="1" t="s">
        <v>9158</v>
      </c>
    </row>
    <row r="73" spans="1:17">
      <c r="E73" s="7"/>
    </row>
    <row r="74" spans="1:17">
      <c r="A74" s="7" t="s">
        <v>8391</v>
      </c>
      <c r="E74" s="7"/>
    </row>
    <row r="75" spans="1:17">
      <c r="A75" s="7" t="s">
        <v>8392</v>
      </c>
      <c r="E75" s="7"/>
    </row>
    <row r="76" spans="1:17">
      <c r="A76" s="1" t="s">
        <v>5609</v>
      </c>
      <c r="B76" s="1" t="s">
        <v>52</v>
      </c>
      <c r="C76" s="1" t="s">
        <v>200</v>
      </c>
      <c r="D76" s="20" t="s">
        <v>389</v>
      </c>
      <c r="E76" s="15" t="str">
        <f>HYPERLINK("https://stat100.ameba.jp/tnk47/ratio20/illustrations/card/ill_53753_0_natsumatsuritokugawaieyasu03.jpg?201912-2-RELEASE-unionbattle-443", "■")</f>
        <v>■</v>
      </c>
      <c r="F76" s="1" t="s">
        <v>902</v>
      </c>
      <c r="G76" s="1">
        <v>144494</v>
      </c>
      <c r="H76" s="1">
        <v>128358</v>
      </c>
      <c r="I76" s="1">
        <v>23</v>
      </c>
      <c r="J76" s="1" t="s">
        <v>194</v>
      </c>
      <c r="K76" s="1" t="s">
        <v>1714</v>
      </c>
      <c r="L76" s="1" t="s">
        <v>904</v>
      </c>
      <c r="M76" s="1" t="s">
        <v>9158</v>
      </c>
      <c r="N76" s="1" t="s">
        <v>9158</v>
      </c>
      <c r="O76" s="19" t="s">
        <v>10076</v>
      </c>
      <c r="P76" s="1" t="s">
        <v>13121</v>
      </c>
      <c r="Q76" s="1">
        <v>1</v>
      </c>
    </row>
    <row r="77" spans="1:17">
      <c r="A77" s="1" t="s">
        <v>5614</v>
      </c>
      <c r="B77" s="1" t="s">
        <v>330</v>
      </c>
      <c r="C77" s="1" t="s">
        <v>267</v>
      </c>
      <c r="D77" s="20" t="s">
        <v>313</v>
      </c>
      <c r="E77" s="15" t="str">
        <f>HYPERLINK("https://stat100.ameba.jp/tnk47/ratio20/illustrations/card/ill_56223_0_onsempanikkugohime03.jpg?201912-2-RELEASE-unionbattle-443", "■")</f>
        <v>■</v>
      </c>
      <c r="F77" s="1" t="s">
        <v>314</v>
      </c>
      <c r="G77" s="1">
        <v>128358</v>
      </c>
      <c r="H77" s="1">
        <v>144494</v>
      </c>
      <c r="I77" s="1">
        <v>23</v>
      </c>
      <c r="J77" s="1" t="s">
        <v>315</v>
      </c>
      <c r="K77" s="1" t="s">
        <v>316</v>
      </c>
      <c r="L77" s="1" t="s">
        <v>317</v>
      </c>
      <c r="M77" s="1" t="s">
        <v>9158</v>
      </c>
      <c r="N77" s="1" t="s">
        <v>9158</v>
      </c>
      <c r="O77" s="19" t="s">
        <v>3021</v>
      </c>
      <c r="P77" s="1" t="s">
        <v>2890</v>
      </c>
      <c r="Q77" s="1">
        <v>1</v>
      </c>
    </row>
    <row r="78" spans="1:17">
      <c r="A78" s="1" t="s">
        <v>5604</v>
      </c>
      <c r="B78" s="1" t="s">
        <v>330</v>
      </c>
      <c r="C78" s="1" t="s">
        <v>206</v>
      </c>
      <c r="D78" s="20" t="s">
        <v>614</v>
      </c>
      <c r="E78" s="15" t="str">
        <f>HYPERLINK("https://stat100.ameba.jp/tnk47/ratio20/illustrations/card/ill_47263_0_oukyuuatsuhime03.jpg?201912-2-RELEASE-unionbattle-443", "■")</f>
        <v>■</v>
      </c>
      <c r="F78" s="1" t="s">
        <v>615</v>
      </c>
      <c r="G78" s="1">
        <v>144494</v>
      </c>
      <c r="H78" s="1">
        <v>128358</v>
      </c>
      <c r="I78" s="1">
        <v>23</v>
      </c>
      <c r="J78" s="1" t="s">
        <v>315</v>
      </c>
      <c r="K78" s="1" t="s">
        <v>616</v>
      </c>
      <c r="L78" s="1" t="s">
        <v>617</v>
      </c>
      <c r="M78" s="1" t="s">
        <v>9158</v>
      </c>
      <c r="N78" s="1" t="s">
        <v>9158</v>
      </c>
      <c r="O78" s="1" t="s">
        <v>9158</v>
      </c>
      <c r="P78" s="1" t="s">
        <v>9158</v>
      </c>
      <c r="Q78" s="1" t="s">
        <v>9158</v>
      </c>
    </row>
    <row r="79" spans="1:17">
      <c r="A79" s="7">
        <v>85573</v>
      </c>
      <c r="B79" s="7" t="s">
        <v>8393</v>
      </c>
      <c r="C79" s="7" t="s">
        <v>8397</v>
      </c>
      <c r="D79" s="20" t="s">
        <v>10824</v>
      </c>
      <c r="E79" s="15" t="str">
        <f>HYPERLINK("https://stat100.ameba.jp/tnk47/ratio20/illustrations/card/ill_85573_kurisumasuotezutsuhanabisan03.jpg?201912-2-RELEASE-unionbattle-443", "■")</f>
        <v>■</v>
      </c>
      <c r="F79" s="7" t="s">
        <v>8404</v>
      </c>
      <c r="G79" s="7">
        <v>105890</v>
      </c>
      <c r="H79" s="7">
        <v>113890</v>
      </c>
      <c r="I79" s="7">
        <v>25</v>
      </c>
      <c r="J79" s="7" t="s">
        <v>8372</v>
      </c>
      <c r="K79" s="7" t="s">
        <v>8403</v>
      </c>
      <c r="L79" s="7" t="s">
        <v>8402</v>
      </c>
      <c r="M79" s="1" t="s">
        <v>9158</v>
      </c>
      <c r="N79" s="1" t="s">
        <v>9158</v>
      </c>
      <c r="O79" s="1" t="s">
        <v>9158</v>
      </c>
      <c r="P79" s="1" t="s">
        <v>9158</v>
      </c>
      <c r="Q79" s="1" t="s">
        <v>9158</v>
      </c>
    </row>
    <row r="80" spans="1:17">
      <c r="A80" s="7">
        <v>85583</v>
      </c>
      <c r="B80" s="7" t="s">
        <v>8394</v>
      </c>
      <c r="C80" s="7" t="s">
        <v>8398</v>
      </c>
      <c r="D80" s="20" t="s">
        <v>10825</v>
      </c>
      <c r="E80" s="15" t="str">
        <f>HYPERLINK("https://stat100.ameba.jp/tnk47/ratio20/illustrations/card/ill_85583_poppukurisumasukitanokata03.jpg?201912-2-RELEASE-unionbattle-443", "■")</f>
        <v>■</v>
      </c>
      <c r="F80" s="7" t="s">
        <v>8413</v>
      </c>
      <c r="G80" s="7">
        <v>74100</v>
      </c>
      <c r="H80" s="7">
        <v>67210</v>
      </c>
      <c r="I80" s="7">
        <v>25</v>
      </c>
      <c r="J80" s="7" t="s">
        <v>8378</v>
      </c>
      <c r="K80" s="7" t="s">
        <v>8412</v>
      </c>
      <c r="L80" s="7" t="s">
        <v>8411</v>
      </c>
      <c r="M80" s="1" t="s">
        <v>9158</v>
      </c>
      <c r="N80" s="1" t="s">
        <v>9158</v>
      </c>
      <c r="O80" s="1" t="s">
        <v>9158</v>
      </c>
      <c r="P80" s="1" t="s">
        <v>9158</v>
      </c>
      <c r="Q80" s="1" t="s">
        <v>9158</v>
      </c>
    </row>
    <row r="81" spans="1:17">
      <c r="A81" s="7">
        <v>85593</v>
      </c>
      <c r="B81" s="7" t="s">
        <v>8395</v>
      </c>
      <c r="C81" s="7" t="s">
        <v>8399</v>
      </c>
      <c r="D81" s="20" t="s">
        <v>10826</v>
      </c>
      <c r="E81" s="15" t="str">
        <f>HYPERLINK("https://stat100.ameba.jp/tnk47/ratio20/illustrations/card/ill_85593_inembi03.jpg?201912-2-RELEASE-unionbattle-443", "■")</f>
        <v>■</v>
      </c>
      <c r="F81" s="7" t="s">
        <v>8410</v>
      </c>
      <c r="G81" s="7">
        <v>43220</v>
      </c>
      <c r="H81" s="7">
        <v>51980</v>
      </c>
      <c r="I81" s="7">
        <v>25</v>
      </c>
      <c r="J81" s="7" t="s">
        <v>8401</v>
      </c>
      <c r="K81" s="7" t="s">
        <v>8408</v>
      </c>
      <c r="L81" s="7" t="s">
        <v>8407</v>
      </c>
      <c r="M81" s="1" t="s">
        <v>9158</v>
      </c>
      <c r="N81" s="1" t="s">
        <v>9158</v>
      </c>
      <c r="O81" s="1" t="s">
        <v>9158</v>
      </c>
      <c r="P81" s="1" t="s">
        <v>9158</v>
      </c>
      <c r="Q81" s="1" t="s">
        <v>9158</v>
      </c>
    </row>
    <row r="82" spans="1:17">
      <c r="A82" s="7">
        <v>85603</v>
      </c>
      <c r="B82" s="7" t="s">
        <v>8396</v>
      </c>
      <c r="C82" s="7" t="s">
        <v>8400</v>
      </c>
      <c r="D82" s="20" t="s">
        <v>10827</v>
      </c>
      <c r="E82" s="15" t="str">
        <f>HYPERLINK("https://stat100.ameba.jp/tnk47/ratio20/illustrations/card/ill_85603_sunoman03.jpg?201912-2-RELEASE-unionbattle-443", "■")</f>
        <v>■</v>
      </c>
      <c r="F82" s="7" t="s">
        <v>8406</v>
      </c>
      <c r="G82" s="7">
        <v>31470</v>
      </c>
      <c r="H82" s="7">
        <v>26430</v>
      </c>
      <c r="I82" s="7">
        <v>25</v>
      </c>
      <c r="J82" s="7" t="s">
        <v>8372</v>
      </c>
      <c r="K82" s="7" t="s">
        <v>8409</v>
      </c>
      <c r="L82" s="7" t="s">
        <v>8405</v>
      </c>
      <c r="M82" s="1" t="s">
        <v>9158</v>
      </c>
      <c r="N82" s="1" t="s">
        <v>9158</v>
      </c>
      <c r="O82" s="1" t="s">
        <v>9158</v>
      </c>
      <c r="P82" s="1" t="s">
        <v>9158</v>
      </c>
      <c r="Q82" s="1" t="s">
        <v>9158</v>
      </c>
    </row>
    <row r="83" spans="1:17">
      <c r="E83" s="7"/>
    </row>
    <row r="84" spans="1:17">
      <c r="A84" s="7" t="s">
        <v>8422</v>
      </c>
      <c r="E84" s="7"/>
    </row>
    <row r="85" spans="1:17">
      <c r="A85" s="7" t="s">
        <v>8423</v>
      </c>
      <c r="E85" s="7"/>
    </row>
    <row r="86" spans="1:17">
      <c r="A86" s="1" t="s">
        <v>5650</v>
      </c>
      <c r="B86" s="1" t="s">
        <v>52</v>
      </c>
      <c r="C86" s="1" t="s">
        <v>23</v>
      </c>
      <c r="D86" s="20" t="s">
        <v>809</v>
      </c>
      <c r="E86" s="15" t="str">
        <f>HYPERLINK("https://stat100.ameba.jp/tnk47/ratio20/illustrations/card/ill_68033_0_kurisumasupateikandamyojin03.jpg?201912-2-RELEASE-unionbattle-443", "■")</f>
        <v>■</v>
      </c>
      <c r="F86" s="1" t="s">
        <v>1871</v>
      </c>
      <c r="G86" s="1">
        <v>139878</v>
      </c>
      <c r="H86" s="1">
        <v>150466</v>
      </c>
      <c r="I86" s="1">
        <v>22</v>
      </c>
      <c r="J86" s="1" t="s">
        <v>44</v>
      </c>
      <c r="K86" s="1" t="s">
        <v>1872</v>
      </c>
      <c r="L86" s="1" t="s">
        <v>1873</v>
      </c>
      <c r="M86" s="1" t="s">
        <v>9158</v>
      </c>
      <c r="N86" s="1" t="s">
        <v>9158</v>
      </c>
      <c r="O86" s="19" t="s">
        <v>2997</v>
      </c>
      <c r="P86" s="1" t="s">
        <v>3483</v>
      </c>
      <c r="Q86" s="1">
        <v>2</v>
      </c>
    </row>
    <row r="87" spans="1:17">
      <c r="A87" s="1" t="s">
        <v>5724</v>
      </c>
      <c r="B87" s="1" t="s">
        <v>330</v>
      </c>
      <c r="C87" s="1" t="s">
        <v>335</v>
      </c>
      <c r="D87" s="20" t="s">
        <v>698</v>
      </c>
      <c r="E87" s="15" t="str">
        <f>HYPERLINK("https://stat100.ameba.jp/tnk47/ratio20/illustrations/card/ill_66433_0_haroinfujishirogozen03.jpg?201912-2-RELEASE-unionbattle-443", "■")</f>
        <v>■</v>
      </c>
      <c r="F87" s="1" t="s">
        <v>699</v>
      </c>
      <c r="G87" s="1">
        <v>134652</v>
      </c>
      <c r="H87" s="1">
        <v>144834</v>
      </c>
      <c r="I87" s="1">
        <v>22</v>
      </c>
      <c r="J87" s="1" t="s">
        <v>315</v>
      </c>
      <c r="K87" s="1" t="s">
        <v>700</v>
      </c>
      <c r="L87" s="1" t="s">
        <v>701</v>
      </c>
      <c r="M87" s="1" t="s">
        <v>9158</v>
      </c>
      <c r="N87" s="1" t="s">
        <v>9158</v>
      </c>
      <c r="O87" s="19" t="s">
        <v>10095</v>
      </c>
      <c r="P87" s="1" t="s">
        <v>3345</v>
      </c>
      <c r="Q87" s="1">
        <v>1</v>
      </c>
    </row>
    <row r="88" spans="1:17">
      <c r="A88" s="1" t="s">
        <v>6132</v>
      </c>
      <c r="B88" s="1" t="s">
        <v>330</v>
      </c>
      <c r="C88" s="1" t="s">
        <v>205</v>
      </c>
      <c r="D88" s="20" t="s">
        <v>702</v>
      </c>
      <c r="E88" s="15" t="str">
        <f>HYPERLINK("https://stat100.ameba.jp/tnk47/ratio20/illustrations/card/ill_50693_0_hanamizugimimuratsuru03.jpg?201912-2-RELEASE-unionbattle-443", "■")</f>
        <v>■</v>
      </c>
      <c r="F88" s="1" t="s">
        <v>703</v>
      </c>
      <c r="G88" s="1">
        <v>122776</v>
      </c>
      <c r="H88" s="1">
        <v>138212</v>
      </c>
      <c r="I88" s="1">
        <v>22</v>
      </c>
      <c r="J88" s="1" t="s">
        <v>310</v>
      </c>
      <c r="K88" s="1" t="s">
        <v>704</v>
      </c>
      <c r="L88" s="1" t="s">
        <v>705</v>
      </c>
      <c r="M88" s="1" t="s">
        <v>9158</v>
      </c>
      <c r="N88" s="1" t="s">
        <v>9158</v>
      </c>
      <c r="O88" s="1" t="s">
        <v>9158</v>
      </c>
      <c r="P88" s="1" t="s">
        <v>9158</v>
      </c>
      <c r="Q88" s="1" t="s">
        <v>9158</v>
      </c>
    </row>
    <row r="89" spans="1:17">
      <c r="A89" s="7">
        <v>72593</v>
      </c>
      <c r="B89" s="1" t="s">
        <v>334</v>
      </c>
      <c r="C89" s="1" t="s">
        <v>307</v>
      </c>
      <c r="D89" s="20" t="s">
        <v>3003</v>
      </c>
      <c r="E89" s="15" t="str">
        <f>HYPERLINK("https://stat100.ameba.jp/tnk47/ratio20/illustrations/card/ill_72593_ononomichikaze03.jpg?201912-2-RELEASE-unionbattle-443", "■")</f>
        <v>■</v>
      </c>
      <c r="F89" s="1" t="s">
        <v>3004</v>
      </c>
      <c r="G89" s="1">
        <v>70455</v>
      </c>
      <c r="H89" s="1">
        <v>125213</v>
      </c>
      <c r="I89" s="1">
        <v>25</v>
      </c>
      <c r="J89" s="1" t="s">
        <v>414</v>
      </c>
      <c r="K89" s="1" t="s">
        <v>3005</v>
      </c>
      <c r="L89" s="1" t="s">
        <v>1575</v>
      </c>
      <c r="M89" s="1" t="s">
        <v>9158</v>
      </c>
      <c r="N89" s="1" t="s">
        <v>9158</v>
      </c>
      <c r="O89" s="1" t="s">
        <v>9158</v>
      </c>
      <c r="P89" s="1" t="s">
        <v>9158</v>
      </c>
      <c r="Q89" s="1" t="s">
        <v>9158</v>
      </c>
    </row>
    <row r="90" spans="1:17">
      <c r="A90" s="1">
        <v>73513</v>
      </c>
      <c r="B90" s="1" t="s">
        <v>0</v>
      </c>
      <c r="C90" s="1" t="s">
        <v>206</v>
      </c>
      <c r="D90" s="20" t="s">
        <v>10722</v>
      </c>
      <c r="E90" s="15" t="str">
        <f>HYPERLINK("https://stat100.ameba.jp/tnk47/ratio20/illustrations/card/ill_73513_shimazutokiwa03.jpg?201912-2-RELEASE-unionbattle-443", "■")</f>
        <v>■</v>
      </c>
      <c r="F90" s="1" t="s">
        <v>4083</v>
      </c>
      <c r="G90" s="1">
        <v>67842</v>
      </c>
      <c r="H90" s="1">
        <v>120570</v>
      </c>
      <c r="I90" s="1">
        <v>25</v>
      </c>
      <c r="J90" s="1" t="s">
        <v>77</v>
      </c>
      <c r="K90" s="1" t="s">
        <v>4084</v>
      </c>
      <c r="L90" s="1" t="s">
        <v>969</v>
      </c>
      <c r="M90" s="1" t="s">
        <v>9158</v>
      </c>
      <c r="N90" s="1" t="s">
        <v>9158</v>
      </c>
      <c r="O90" s="1" t="s">
        <v>9158</v>
      </c>
      <c r="P90" s="1" t="s">
        <v>9158</v>
      </c>
      <c r="Q90" s="1" t="s">
        <v>9158</v>
      </c>
    </row>
    <row r="91" spans="1:17">
      <c r="A91" s="7">
        <v>82133</v>
      </c>
      <c r="B91" s="1" t="s">
        <v>334</v>
      </c>
      <c r="C91" s="1" t="s">
        <v>165</v>
      </c>
      <c r="D91" s="20" t="s">
        <v>10295</v>
      </c>
      <c r="E91" s="15" t="str">
        <f>HYPERLINK("https://stat100.ameba.jp/tnk47/ratio20/illustrations/card/ill_82133_senritsunosumasshukobitokaba03.jpg?201912-2-RELEASE-unionbattle-443", "■")</f>
        <v>■</v>
      </c>
      <c r="F91" s="1" t="s">
        <v>5298</v>
      </c>
      <c r="G91" s="1">
        <v>94802</v>
      </c>
      <c r="H91" s="1">
        <v>101971</v>
      </c>
      <c r="I91" s="1">
        <v>25</v>
      </c>
      <c r="J91" s="1" t="s">
        <v>26</v>
      </c>
      <c r="K91" s="1" t="s">
        <v>5300</v>
      </c>
      <c r="L91" s="1" t="s">
        <v>5301</v>
      </c>
      <c r="M91" s="1" t="s">
        <v>9158</v>
      </c>
      <c r="N91" s="1" t="s">
        <v>9158</v>
      </c>
      <c r="O91" s="1" t="s">
        <v>9158</v>
      </c>
      <c r="P91" s="1" t="s">
        <v>9158</v>
      </c>
      <c r="Q91" s="1" t="s">
        <v>9158</v>
      </c>
    </row>
    <row r="92" spans="1:17">
      <c r="A92" s="7">
        <v>65023</v>
      </c>
      <c r="B92" s="7" t="s">
        <v>8394</v>
      </c>
      <c r="C92" s="1" t="s">
        <v>335</v>
      </c>
      <c r="D92" s="20" t="s">
        <v>10830</v>
      </c>
      <c r="E92" s="15" t="str">
        <f>HYPERLINK("https://stat100.ameba.jp/tnk47/ratio20/illustrations/card/ill_65023_showaretoropoppusarukanigassen03.jpg?201912-2-RELEASE-unionbattle-443", "■")</f>
        <v>■</v>
      </c>
      <c r="F92" s="7" t="s">
        <v>8427</v>
      </c>
      <c r="G92" s="7">
        <v>53768</v>
      </c>
      <c r="H92" s="7">
        <v>59280</v>
      </c>
      <c r="I92" s="7">
        <v>20</v>
      </c>
      <c r="J92" s="7" t="s">
        <v>8426</v>
      </c>
      <c r="K92" s="7" t="s">
        <v>8425</v>
      </c>
      <c r="L92" s="7" t="s">
        <v>8424</v>
      </c>
      <c r="M92" s="1" t="s">
        <v>9158</v>
      </c>
      <c r="N92" s="1" t="s">
        <v>9158</v>
      </c>
      <c r="O92" s="1" t="s">
        <v>9158</v>
      </c>
      <c r="P92" s="1" t="s">
        <v>9158</v>
      </c>
      <c r="Q92" s="1" t="s">
        <v>9158</v>
      </c>
    </row>
    <row r="93" spans="1:17">
      <c r="A93" s="7">
        <v>63233</v>
      </c>
      <c r="B93" s="7" t="s">
        <v>8394</v>
      </c>
      <c r="C93" s="1" t="s">
        <v>205</v>
      </c>
      <c r="D93" s="20" t="s">
        <v>10831</v>
      </c>
      <c r="E93" s="15" t="str">
        <f>HYPERLINK("https://stat100.ameba.jp/tnk47/ratio20/illustrations/card/ill_63233_kyupiddohayaakitsuhimenomikoto03.jpg?201912-2-RELEASE-unionbattle-443", "■")</f>
        <v>■</v>
      </c>
      <c r="F93" s="7" t="s">
        <v>8430</v>
      </c>
      <c r="G93" s="7">
        <v>53768</v>
      </c>
      <c r="H93" s="7">
        <v>59280</v>
      </c>
      <c r="I93" s="7">
        <v>20</v>
      </c>
      <c r="J93" s="1" t="s">
        <v>44</v>
      </c>
      <c r="K93" s="7" t="s">
        <v>8429</v>
      </c>
      <c r="L93" s="7" t="s">
        <v>8428</v>
      </c>
      <c r="M93" s="1" t="s">
        <v>9158</v>
      </c>
      <c r="N93" s="1" t="s">
        <v>9158</v>
      </c>
      <c r="O93" s="1" t="s">
        <v>9158</v>
      </c>
      <c r="P93" s="1" t="s">
        <v>9158</v>
      </c>
      <c r="Q93" s="1" t="s">
        <v>9158</v>
      </c>
    </row>
    <row r="94" spans="1:17">
      <c r="A94" s="7">
        <v>64203</v>
      </c>
      <c r="B94" s="7" t="s">
        <v>8394</v>
      </c>
      <c r="C94" s="1" t="s">
        <v>200</v>
      </c>
      <c r="D94" s="20" t="s">
        <v>10832</v>
      </c>
      <c r="E94" s="15" t="str">
        <f>HYPERLINK("https://stat100.ameba.jp/tnk47/ratio20/illustrations/card/ill_64203_meikoazabunooneko03.jpg?201912-2-RELEASE-unionbattle-443", "■")</f>
        <v>■</v>
      </c>
      <c r="F94" s="7" t="s">
        <v>8433</v>
      </c>
      <c r="G94" s="7">
        <v>53768</v>
      </c>
      <c r="H94" s="7">
        <v>59280</v>
      </c>
      <c r="I94" s="7">
        <v>20</v>
      </c>
      <c r="J94" s="7" t="s">
        <v>8401</v>
      </c>
      <c r="K94" s="7" t="s">
        <v>8432</v>
      </c>
      <c r="L94" s="7" t="s">
        <v>8431</v>
      </c>
      <c r="M94" s="1" t="s">
        <v>9158</v>
      </c>
      <c r="N94" s="1" t="s">
        <v>9158</v>
      </c>
      <c r="O94" s="1" t="s">
        <v>9158</v>
      </c>
      <c r="P94" s="1" t="s">
        <v>9158</v>
      </c>
      <c r="Q94" s="1" t="s">
        <v>9158</v>
      </c>
    </row>
    <row r="95" spans="1:17">
      <c r="E95" s="7"/>
    </row>
    <row r="96" spans="1:17">
      <c r="A96" s="7" t="s">
        <v>8478</v>
      </c>
      <c r="E96" s="7"/>
    </row>
    <row r="97" spans="1:17">
      <c r="A97" s="7" t="s">
        <v>8479</v>
      </c>
      <c r="E97" s="7"/>
    </row>
    <row r="98" spans="1:17">
      <c r="A98" s="1" t="s">
        <v>5607</v>
      </c>
      <c r="B98" s="1" t="s">
        <v>330</v>
      </c>
      <c r="C98" s="1" t="s">
        <v>200</v>
      </c>
      <c r="D98" s="20" t="s">
        <v>421</v>
      </c>
      <c r="E98" s="15" t="str">
        <f>HYPERLINK("https://stat100.ameba.jp/tnk47/ratio20/illustrations/card/ill_58853_0_setsubumpanikkuhiratsukaraicho03.jpg?201912-2-RELEASE-unionbattle-443x", "■")</f>
        <v>■</v>
      </c>
      <c r="F98" s="1" t="s">
        <v>1040</v>
      </c>
      <c r="G98" s="1">
        <v>138212</v>
      </c>
      <c r="H98" s="1">
        <v>122776</v>
      </c>
      <c r="I98" s="1">
        <v>22</v>
      </c>
      <c r="J98" s="1" t="s">
        <v>16</v>
      </c>
      <c r="K98" s="1" t="s">
        <v>1041</v>
      </c>
      <c r="L98" s="1" t="s">
        <v>1042</v>
      </c>
      <c r="M98" s="1" t="s">
        <v>9158</v>
      </c>
      <c r="N98" s="1" t="s">
        <v>9158</v>
      </c>
      <c r="O98" s="19" t="s">
        <v>10075</v>
      </c>
      <c r="P98" s="1" t="s">
        <v>2870</v>
      </c>
      <c r="Q98" s="1">
        <v>1</v>
      </c>
    </row>
    <row r="99" spans="1:17">
      <c r="A99" s="1">
        <v>70363</v>
      </c>
      <c r="B99" s="1" t="s">
        <v>334</v>
      </c>
      <c r="C99" s="1" t="s">
        <v>209</v>
      </c>
      <c r="D99" s="20" t="s">
        <v>10266</v>
      </c>
      <c r="E99" s="15" t="str">
        <f>HYPERLINK("https://stat100.ameba.jp/tnk47/ratio20/illustrations/card/ill_70363_hokushimmyokembosatsu03.jpg?201912-2-RELEASE-unionbattle-443x", "■")</f>
        <v>■</v>
      </c>
      <c r="F99" s="1" t="s">
        <v>2502</v>
      </c>
      <c r="G99" s="1">
        <v>166328</v>
      </c>
      <c r="H99" s="1">
        <v>120475</v>
      </c>
      <c r="I99" s="1">
        <v>25</v>
      </c>
      <c r="J99" s="1" t="s">
        <v>44</v>
      </c>
      <c r="K99" s="1" t="s">
        <v>2503</v>
      </c>
      <c r="L99" s="1" t="s">
        <v>2504</v>
      </c>
      <c r="M99" s="1" t="s">
        <v>9158</v>
      </c>
      <c r="N99" s="1" t="s">
        <v>9158</v>
      </c>
      <c r="O99" s="19" t="s">
        <v>10114</v>
      </c>
      <c r="P99" s="1" t="s">
        <v>3658</v>
      </c>
      <c r="Q99" s="1">
        <v>1</v>
      </c>
    </row>
    <row r="100" spans="1:17">
      <c r="A100" s="1">
        <v>79313</v>
      </c>
      <c r="B100" s="1" t="s">
        <v>334</v>
      </c>
      <c r="C100" s="1" t="s">
        <v>185</v>
      </c>
      <c r="D100" s="20" t="s">
        <v>10334</v>
      </c>
      <c r="E100" s="15" t="str">
        <f>HYPERLINK("https://stat100.ameba.jp/tnk47/ratio20/illustrations/card/ill_79313_hommeichokodatemasamune03.jpg?201912-2-RELEASE-unionbattle-443x", "■")</f>
        <v>■</v>
      </c>
      <c r="F100" s="1" t="s">
        <v>3499</v>
      </c>
      <c r="G100" s="1">
        <v>138186</v>
      </c>
      <c r="H100" s="1">
        <v>148619</v>
      </c>
      <c r="I100" s="1">
        <v>25</v>
      </c>
      <c r="J100" s="1" t="s">
        <v>143</v>
      </c>
      <c r="K100" s="1" t="s">
        <v>3500</v>
      </c>
      <c r="L100" s="1" t="s">
        <v>1148</v>
      </c>
      <c r="M100" s="1" t="s">
        <v>9158</v>
      </c>
      <c r="N100" s="1" t="s">
        <v>9158</v>
      </c>
      <c r="O100" s="19" t="s">
        <v>2752</v>
      </c>
      <c r="P100" s="1" t="s">
        <v>13123</v>
      </c>
      <c r="Q100" s="1">
        <v>1</v>
      </c>
    </row>
    <row r="101" spans="1:17">
      <c r="A101" s="1">
        <v>52083</v>
      </c>
      <c r="B101" s="1" t="s">
        <v>0</v>
      </c>
      <c r="C101" s="1" t="s">
        <v>158</v>
      </c>
      <c r="D101" s="20" t="s">
        <v>2913</v>
      </c>
      <c r="E101" s="15" t="str">
        <f>HYPERLINK("https://stat100.ameba.jp/tnk47/ratio20/illustrations/card/ill_52083_berubetto03.jpg?201912-2-RELEASE-unionbattle-443x", "■")</f>
        <v>■</v>
      </c>
      <c r="F101" s="1" t="s">
        <v>944</v>
      </c>
      <c r="G101" s="1">
        <v>86140</v>
      </c>
      <c r="H101" s="1">
        <v>118917</v>
      </c>
      <c r="I101" s="1">
        <v>25</v>
      </c>
      <c r="J101" s="1" t="s">
        <v>26</v>
      </c>
      <c r="K101" s="1" t="s">
        <v>1864</v>
      </c>
      <c r="L101" s="1" t="s">
        <v>1865</v>
      </c>
      <c r="M101" s="1" t="s">
        <v>9158</v>
      </c>
      <c r="N101" s="1" t="s">
        <v>9158</v>
      </c>
      <c r="O101" s="19" t="s">
        <v>2917</v>
      </c>
      <c r="P101" s="1" t="s">
        <v>2918</v>
      </c>
      <c r="Q101" s="1">
        <v>1</v>
      </c>
    </row>
    <row r="102" spans="1:17">
      <c r="E102" s="7"/>
    </row>
    <row r="103" spans="1:17">
      <c r="A103" s="1" t="s">
        <v>8480</v>
      </c>
      <c r="B103" s="1"/>
      <c r="C103" s="1"/>
      <c r="D103" s="1"/>
      <c r="F103" s="1"/>
      <c r="G103" s="1"/>
      <c r="H103" s="1"/>
      <c r="I103" s="1"/>
      <c r="J103" s="1"/>
      <c r="K103" s="1"/>
      <c r="L103" s="1"/>
      <c r="M103" s="1"/>
      <c r="N103" s="1"/>
      <c r="O103" s="1"/>
      <c r="P103" s="1"/>
      <c r="Q103" s="1"/>
    </row>
    <row r="104" spans="1:17">
      <c r="A104" s="1" t="s">
        <v>2255</v>
      </c>
      <c r="B104" s="1"/>
      <c r="C104" s="1"/>
      <c r="D104" s="1"/>
      <c r="F104" s="1"/>
      <c r="G104" s="1"/>
      <c r="H104" s="1"/>
      <c r="I104" s="1"/>
      <c r="J104" s="1"/>
      <c r="K104" s="1"/>
      <c r="L104" s="1"/>
      <c r="M104" s="1"/>
      <c r="N104" s="1"/>
      <c r="O104" s="1"/>
      <c r="P104" s="1"/>
      <c r="Q104" s="1"/>
    </row>
    <row r="105" spans="1:17">
      <c r="A105" s="1">
        <v>84733</v>
      </c>
      <c r="B105" s="1" t="s">
        <v>0</v>
      </c>
      <c r="C105" s="1" t="s">
        <v>154</v>
      </c>
      <c r="D105" s="20" t="s">
        <v>10677</v>
      </c>
      <c r="E105" s="15" t="str">
        <f>HYPERLINK("https://stat100.ameba.jp/tnk47/ratio20/illustrations/card/ill_84733_madadoru03.jpg?201912-2-RELEASE-unionbattle-443x", "■")</f>
        <v>■</v>
      </c>
      <c r="F105" s="1" t="s">
        <v>7293</v>
      </c>
      <c r="G105" s="1">
        <v>107826</v>
      </c>
      <c r="H105" s="1">
        <v>100256</v>
      </c>
      <c r="I105" s="1">
        <v>25</v>
      </c>
      <c r="J105" s="1" t="s">
        <v>182</v>
      </c>
      <c r="K105" s="1" t="s">
        <v>7296</v>
      </c>
      <c r="L105" s="1" t="s">
        <v>7295</v>
      </c>
      <c r="M105" s="1" t="s">
        <v>9158</v>
      </c>
      <c r="N105" s="1" t="s">
        <v>9158</v>
      </c>
      <c r="O105" s="1" t="s">
        <v>9158</v>
      </c>
      <c r="P105" s="1" t="s">
        <v>9158</v>
      </c>
      <c r="Q105" s="1" t="s">
        <v>9158</v>
      </c>
    </row>
    <row r="106" spans="1:17">
      <c r="A106" s="1">
        <v>84743</v>
      </c>
      <c r="B106" s="1" t="s">
        <v>0</v>
      </c>
      <c r="C106" s="1" t="s">
        <v>158</v>
      </c>
      <c r="D106" s="20" t="s">
        <v>10678</v>
      </c>
      <c r="E106" s="15" t="str">
        <f>HYPERLINK("https://stat100.ameba.jp/tnk47/ratio20/illustrations/card/ill_84743_rinnenonyumpe03.jpg?201912-2-RELEASE-unionbattle-443x", "■")</f>
        <v>■</v>
      </c>
      <c r="F106" s="1" t="s">
        <v>7294</v>
      </c>
      <c r="G106" s="1">
        <v>107826</v>
      </c>
      <c r="H106" s="1">
        <v>100256</v>
      </c>
      <c r="I106" s="1">
        <v>25</v>
      </c>
      <c r="J106" s="1" t="s">
        <v>169</v>
      </c>
      <c r="K106" s="1" t="s">
        <v>7297</v>
      </c>
      <c r="L106" s="1" t="s">
        <v>7298</v>
      </c>
      <c r="M106" s="1" t="s">
        <v>9158</v>
      </c>
      <c r="N106" s="1" t="s">
        <v>9158</v>
      </c>
      <c r="O106" s="1" t="s">
        <v>9158</v>
      </c>
      <c r="P106" s="1" t="s">
        <v>9158</v>
      </c>
      <c r="Q106" s="1" t="s">
        <v>9158</v>
      </c>
    </row>
    <row r="107" spans="1:17">
      <c r="A107" s="1">
        <v>69883</v>
      </c>
      <c r="B107" s="1" t="s">
        <v>334</v>
      </c>
      <c r="C107" s="1" t="s">
        <v>185</v>
      </c>
      <c r="D107" s="20" t="s">
        <v>10293</v>
      </c>
      <c r="E107" s="15" t="str">
        <f>HYPERLINK("https://stat100.ameba.jp/tnk47/ratio20/illustrations/card/ill_69883_kyupiddotominushihime03.jpg?201912-2-RELEASE-unionbattle-443x", "■")</f>
        <v>■</v>
      </c>
      <c r="F107" s="1" t="s">
        <v>4142</v>
      </c>
      <c r="G107" s="1">
        <v>94802</v>
      </c>
      <c r="H107" s="1">
        <v>101971</v>
      </c>
      <c r="I107" s="1">
        <v>25</v>
      </c>
      <c r="J107" s="1" t="s">
        <v>169</v>
      </c>
      <c r="K107" s="1" t="s">
        <v>4143</v>
      </c>
      <c r="L107" s="1" t="s">
        <v>13190</v>
      </c>
      <c r="M107" s="1" t="s">
        <v>9158</v>
      </c>
      <c r="N107" s="1" t="s">
        <v>9158</v>
      </c>
      <c r="O107" s="1" t="s">
        <v>9158</v>
      </c>
      <c r="P107" s="1" t="s">
        <v>9158</v>
      </c>
      <c r="Q107" s="1" t="s">
        <v>9158</v>
      </c>
    </row>
    <row r="108" spans="1:17">
      <c r="A108" s="1">
        <v>71833</v>
      </c>
      <c r="B108" s="1" t="s">
        <v>334</v>
      </c>
      <c r="C108" s="1" t="s">
        <v>165</v>
      </c>
      <c r="D108" s="20" t="s">
        <v>10294</v>
      </c>
      <c r="E108" s="15" t="str">
        <f>HYPERLINK("https://stat100.ameba.jp/tnk47/ratio20/illustrations/card/ill_71833_autodoanuregamidoji03.jpg?201912-2-RELEASE-unionbattle-443x", "■")</f>
        <v>■</v>
      </c>
      <c r="F108" s="1" t="s">
        <v>5291</v>
      </c>
      <c r="G108" s="1">
        <v>96871</v>
      </c>
      <c r="H108" s="1">
        <v>104162</v>
      </c>
      <c r="I108" s="1">
        <v>25</v>
      </c>
      <c r="J108" s="1" t="s">
        <v>320</v>
      </c>
      <c r="K108" s="1" t="s">
        <v>4244</v>
      </c>
      <c r="L108" s="1" t="s">
        <v>4245</v>
      </c>
      <c r="M108" s="1" t="s">
        <v>9158</v>
      </c>
      <c r="N108" s="1" t="s">
        <v>9158</v>
      </c>
      <c r="O108" s="1" t="s">
        <v>9158</v>
      </c>
      <c r="P108" s="1" t="s">
        <v>9158</v>
      </c>
      <c r="Q108" s="1" t="s">
        <v>9158</v>
      </c>
    </row>
    <row r="109" spans="1:17">
      <c r="A109" s="1">
        <v>52973</v>
      </c>
      <c r="B109" s="1" t="s">
        <v>15</v>
      </c>
      <c r="C109" s="1" t="s">
        <v>206</v>
      </c>
      <c r="D109" s="20" t="s">
        <v>10519</v>
      </c>
      <c r="E109" s="15" t="str">
        <f>HYPERLINK("https://stat100.ameba.jp/tnk47/ratio20/illustrations/card/ill_52973_torampuamoronagu03.jpg?201912-2-RELEASE-unionbattle-443x", "■")</f>
        <v>■</v>
      </c>
      <c r="F109" s="1" t="s">
        <v>6421</v>
      </c>
      <c r="G109" s="1">
        <v>74100</v>
      </c>
      <c r="H109" s="1">
        <v>67210</v>
      </c>
      <c r="I109" s="1">
        <v>25</v>
      </c>
      <c r="J109" s="1" t="s">
        <v>44</v>
      </c>
      <c r="K109" s="1" t="s">
        <v>6419</v>
      </c>
      <c r="L109" s="1" t="s">
        <v>6418</v>
      </c>
      <c r="M109" s="1" t="s">
        <v>9158</v>
      </c>
      <c r="N109" s="1" t="s">
        <v>9158</v>
      </c>
      <c r="O109" s="1" t="s">
        <v>9158</v>
      </c>
      <c r="P109" s="1" t="s">
        <v>9158</v>
      </c>
      <c r="Q109" s="1" t="s">
        <v>9158</v>
      </c>
    </row>
    <row r="110" spans="1:17">
      <c r="A110" s="1">
        <v>52333</v>
      </c>
      <c r="B110" s="1" t="s">
        <v>15</v>
      </c>
      <c r="C110" s="1" t="s">
        <v>200</v>
      </c>
      <c r="D110" s="20" t="s">
        <v>10537</v>
      </c>
      <c r="E110" s="15" t="str">
        <f>HYPERLINK("https://stat100.ameba.jp/tnk47/ratio20/illustrations/card/ill_52333_chichibuyomatsuri03.jpg?201912-2-RELEASE-unionbattle-443x", "■")</f>
        <v>■</v>
      </c>
      <c r="F110" s="1" t="s">
        <v>3614</v>
      </c>
      <c r="G110" s="1">
        <v>74100</v>
      </c>
      <c r="H110" s="1">
        <v>67210</v>
      </c>
      <c r="I110" s="1">
        <v>25</v>
      </c>
      <c r="J110" s="1" t="s">
        <v>38</v>
      </c>
      <c r="K110" s="1" t="s">
        <v>3615</v>
      </c>
      <c r="L110" s="1" t="s">
        <v>3616</v>
      </c>
      <c r="M110" s="1" t="s">
        <v>9158</v>
      </c>
      <c r="N110" s="1" t="s">
        <v>9158</v>
      </c>
      <c r="O110" s="1" t="s">
        <v>9158</v>
      </c>
      <c r="P110" s="1" t="s">
        <v>9158</v>
      </c>
      <c r="Q110" s="1" t="s">
        <v>9158</v>
      </c>
    </row>
    <row r="111" spans="1:17">
      <c r="A111" s="1">
        <v>51913</v>
      </c>
      <c r="B111" s="1" t="s">
        <v>15</v>
      </c>
      <c r="C111" s="1" t="s">
        <v>191</v>
      </c>
      <c r="D111" s="20" t="s">
        <v>10538</v>
      </c>
      <c r="E111" s="15" t="str">
        <f>HYPERLINK("https://stat100.ameba.jp/tnk47/ratio20/illustrations/card/ill_51913_kemonomizugihamahime03.jpg?201912-2-RELEASE-unionbattle-443x", "■")</f>
        <v>■</v>
      </c>
      <c r="F111" s="1" t="s">
        <v>6501</v>
      </c>
      <c r="G111" s="1">
        <v>67210</v>
      </c>
      <c r="H111" s="1">
        <v>74100</v>
      </c>
      <c r="I111" s="1">
        <v>25</v>
      </c>
      <c r="J111" s="1" t="s">
        <v>182</v>
      </c>
      <c r="K111" s="1" t="s">
        <v>6500</v>
      </c>
      <c r="L111" s="1" t="s">
        <v>6499</v>
      </c>
      <c r="M111" s="1" t="s">
        <v>9158</v>
      </c>
      <c r="N111" s="1" t="s">
        <v>9158</v>
      </c>
      <c r="O111" s="1" t="s">
        <v>9158</v>
      </c>
      <c r="P111" s="1" t="s">
        <v>9158</v>
      </c>
      <c r="Q111" s="1" t="s">
        <v>9158</v>
      </c>
    </row>
    <row r="112" spans="1:17">
      <c r="A112" s="1">
        <v>51833</v>
      </c>
      <c r="B112" s="1" t="s">
        <v>15</v>
      </c>
      <c r="C112" s="1" t="s">
        <v>205</v>
      </c>
      <c r="D112" s="20" t="s">
        <v>10493</v>
      </c>
      <c r="E112" s="15" t="str">
        <f>HYPERLINK("https://stat100.ameba.jp/tnk47/ratio20/illustrations/card/ill_51833_jukimakitsuhikonomikoto03.jpg?201912-2-RELEASE-unionbattle-443x", "■")</f>
        <v>■</v>
      </c>
      <c r="F112" s="1" t="s">
        <v>6254</v>
      </c>
      <c r="G112" s="1">
        <v>74100</v>
      </c>
      <c r="H112" s="1">
        <v>67210</v>
      </c>
      <c r="I112" s="1">
        <v>25</v>
      </c>
      <c r="J112" s="1" t="s">
        <v>44</v>
      </c>
      <c r="K112" s="1" t="s">
        <v>6257</v>
      </c>
      <c r="L112" s="1" t="s">
        <v>6256</v>
      </c>
      <c r="M112" s="1" t="s">
        <v>9158</v>
      </c>
      <c r="N112" s="1" t="s">
        <v>9158</v>
      </c>
      <c r="O112" s="1" t="s">
        <v>9158</v>
      </c>
      <c r="P112" s="1" t="s">
        <v>9158</v>
      </c>
      <c r="Q112" s="1" t="s">
        <v>9158</v>
      </c>
    </row>
    <row r="113" spans="1:17">
      <c r="E113" s="7"/>
    </row>
    <row r="114" spans="1:17">
      <c r="A114" s="7" t="s">
        <v>8481</v>
      </c>
      <c r="E114" s="7"/>
    </row>
    <row r="115" spans="1:17">
      <c r="A115" s="1" t="s">
        <v>8482</v>
      </c>
      <c r="E115" s="7"/>
    </row>
    <row r="116" spans="1:17">
      <c r="A116" s="1" t="s">
        <v>5891</v>
      </c>
      <c r="B116" s="1" t="s">
        <v>330</v>
      </c>
      <c r="C116" s="1" t="s">
        <v>202</v>
      </c>
      <c r="D116" s="20" t="s">
        <v>1371</v>
      </c>
      <c r="E116" s="15" t="str">
        <f>HYPERLINK("https://stat100.ameba.jp/tnk47/ratio20/illustrations/card/ill_77173_0_yukemuritomoegozen03.jpg?201912-2-RELEASE-unionbattle-443x", "■")</f>
        <v>■</v>
      </c>
      <c r="F116" s="1" t="s">
        <v>1372</v>
      </c>
      <c r="G116" s="1">
        <v>240586</v>
      </c>
      <c r="H116" s="1">
        <v>266192</v>
      </c>
      <c r="I116" s="1">
        <v>24</v>
      </c>
      <c r="J116" s="1" t="s">
        <v>310</v>
      </c>
      <c r="K116" s="1" t="s">
        <v>1373</v>
      </c>
      <c r="L116" s="1" t="s">
        <v>1374</v>
      </c>
      <c r="M116" s="1" t="s">
        <v>9158</v>
      </c>
      <c r="N116" s="1" t="s">
        <v>9158</v>
      </c>
      <c r="O116" s="19" t="s">
        <v>4067</v>
      </c>
      <c r="P116" s="1" t="s">
        <v>3879</v>
      </c>
      <c r="Q116" s="1">
        <v>2</v>
      </c>
    </row>
    <row r="117" spans="1:17">
      <c r="A117" s="1">
        <v>80743</v>
      </c>
      <c r="B117" s="1" t="s">
        <v>0</v>
      </c>
      <c r="C117" s="1" t="s">
        <v>209</v>
      </c>
      <c r="D117" s="20" t="s">
        <v>10414</v>
      </c>
      <c r="E117" s="15" t="str">
        <f>HYPERLINK("https://stat100.ameba.jp/tnk47/ratio20/illustrations/card/ill_80743_senseijutsushi03.jpg?201912-2-RELEASE-unionbattle-443x", "■")</f>
        <v>■</v>
      </c>
      <c r="F117" s="1" t="s">
        <v>4249</v>
      </c>
      <c r="G117" s="1">
        <v>75984</v>
      </c>
      <c r="H117" s="1">
        <v>104890</v>
      </c>
      <c r="I117" s="1">
        <v>24</v>
      </c>
      <c r="J117" s="1" t="s">
        <v>16</v>
      </c>
      <c r="K117" s="1" t="s">
        <v>4250</v>
      </c>
      <c r="L117" s="1" t="s">
        <v>4251</v>
      </c>
      <c r="M117" s="1" t="s">
        <v>9158</v>
      </c>
      <c r="N117" s="1" t="s">
        <v>9158</v>
      </c>
      <c r="O117" s="19" t="s">
        <v>10109</v>
      </c>
      <c r="P117" s="1" t="s">
        <v>3625</v>
      </c>
      <c r="Q117" s="1">
        <v>1</v>
      </c>
    </row>
    <row r="118" spans="1:17">
      <c r="A118" s="1">
        <v>82543</v>
      </c>
      <c r="B118" s="1" t="s">
        <v>334</v>
      </c>
      <c r="C118" s="1" t="s">
        <v>41</v>
      </c>
      <c r="D118" s="20" t="s">
        <v>10342</v>
      </c>
      <c r="E118" s="15" t="str">
        <f>HYPERLINK("https://stat100.ameba.jp/tnk47/ratio20/illustrations/card/ill_82543_nabeshimanagako03.jpg?201912-2-RELEASE-unionbattle-443x", "■")</f>
        <v>■</v>
      </c>
      <c r="F118" s="1" t="s">
        <v>5491</v>
      </c>
      <c r="G118" s="1">
        <v>104890</v>
      </c>
      <c r="H118" s="1">
        <v>75984</v>
      </c>
      <c r="I118" s="1">
        <v>24</v>
      </c>
      <c r="J118" s="1" t="s">
        <v>10</v>
      </c>
      <c r="K118" s="1" t="s">
        <v>5493</v>
      </c>
      <c r="L118" s="1" t="s">
        <v>5494</v>
      </c>
      <c r="M118" s="1" t="s">
        <v>9158</v>
      </c>
      <c r="N118" s="1" t="s">
        <v>9158</v>
      </c>
      <c r="O118" s="19" t="s">
        <v>10080</v>
      </c>
      <c r="P118" s="1" t="s">
        <v>3705</v>
      </c>
      <c r="Q118" s="1">
        <v>1</v>
      </c>
    </row>
    <row r="119" spans="1:17">
      <c r="A119" s="1">
        <v>84643</v>
      </c>
      <c r="B119" s="1" t="s">
        <v>0</v>
      </c>
      <c r="C119" s="1" t="s">
        <v>203</v>
      </c>
      <c r="D119" s="20" t="s">
        <v>10605</v>
      </c>
      <c r="E119" s="15" t="str">
        <f>HYPERLINK("https://stat100.ameba.jp/tnk47/ratio20/illustrations/card/ill_84643_rikayaojo03.jpg?201912-2-RELEASE-unionbattle-443x", "■")</f>
        <v>■</v>
      </c>
      <c r="F119" s="1" t="s">
        <v>6853</v>
      </c>
      <c r="G119" s="1">
        <v>159674</v>
      </c>
      <c r="H119" s="1">
        <v>115656</v>
      </c>
      <c r="I119" s="1">
        <v>24</v>
      </c>
      <c r="J119" s="1" t="s">
        <v>315</v>
      </c>
      <c r="K119" s="1" t="s">
        <v>6852</v>
      </c>
      <c r="L119" s="1" t="s">
        <v>6851</v>
      </c>
      <c r="M119" s="1" t="s">
        <v>9158</v>
      </c>
      <c r="N119" s="1" t="s">
        <v>9158</v>
      </c>
      <c r="O119" s="19" t="s">
        <v>10082</v>
      </c>
      <c r="P119" s="1" t="s">
        <v>13124</v>
      </c>
      <c r="Q119" s="1">
        <v>1</v>
      </c>
    </row>
    <row r="120" spans="1:17">
      <c r="E120" s="7"/>
    </row>
    <row r="121" spans="1:17">
      <c r="A121" s="7" t="s">
        <v>8483</v>
      </c>
      <c r="E121" s="7"/>
    </row>
    <row r="122" spans="1:17">
      <c r="A122" s="1" t="s">
        <v>2296</v>
      </c>
      <c r="E122" s="7"/>
    </row>
    <row r="123" spans="1:17">
      <c r="A123" s="1" t="s">
        <v>5822</v>
      </c>
      <c r="B123" s="1" t="s">
        <v>330</v>
      </c>
      <c r="C123" s="1" t="s">
        <v>191</v>
      </c>
      <c r="D123" s="20" t="s">
        <v>306</v>
      </c>
      <c r="E123" s="15" t="str">
        <f>HYPERLINK("https://stat100.ameba.jp/tnk47/ratio20/illustrations/card/ill_71403_0_ohanamisanadayukimura03.jpg?201912-2-RELEASE-unionbattle-443x", "■")</f>
        <v>■</v>
      </c>
      <c r="F123" s="1" t="s">
        <v>309</v>
      </c>
      <c r="G123" s="1">
        <v>140016</v>
      </c>
      <c r="H123" s="1">
        <v>130194</v>
      </c>
      <c r="I123" s="1">
        <v>15</v>
      </c>
      <c r="J123" s="1" t="s">
        <v>310</v>
      </c>
      <c r="K123" s="1" t="s">
        <v>311</v>
      </c>
      <c r="L123" s="1" t="s">
        <v>312</v>
      </c>
      <c r="M123" s="1" t="s">
        <v>9158</v>
      </c>
      <c r="N123" s="1" t="s">
        <v>9158</v>
      </c>
      <c r="O123" s="19" t="s">
        <v>10104</v>
      </c>
      <c r="P123" s="1" t="s">
        <v>3418</v>
      </c>
      <c r="Q123" s="1">
        <v>2</v>
      </c>
    </row>
    <row r="124" spans="1:17">
      <c r="A124" s="1" t="s">
        <v>5725</v>
      </c>
      <c r="B124" s="1" t="s">
        <v>52</v>
      </c>
      <c r="C124" s="1" t="s">
        <v>107</v>
      </c>
      <c r="D124" s="20" t="s">
        <v>543</v>
      </c>
      <c r="E124" s="15" t="str">
        <f>HYPERLINK("https://stat100.ameba.jp/tnk47/ratio20/illustrations/card/ill_52693_0_sengokumibirakiyanagiharabyakuren03.jpg?201912-2-RELEASE-unionbattle-443x", "■")</f>
        <v>■</v>
      </c>
      <c r="F124" s="1" t="s">
        <v>1246</v>
      </c>
      <c r="G124" s="1">
        <v>83712</v>
      </c>
      <c r="H124" s="1">
        <v>94236</v>
      </c>
      <c r="I124" s="1">
        <v>15</v>
      </c>
      <c r="J124" s="1" t="s">
        <v>16</v>
      </c>
      <c r="K124" s="1" t="s">
        <v>1247</v>
      </c>
      <c r="L124" s="1" t="s">
        <v>1248</v>
      </c>
      <c r="M124" s="1" t="s">
        <v>9158</v>
      </c>
      <c r="N124" s="1" t="s">
        <v>9158</v>
      </c>
      <c r="O124" s="19" t="s">
        <v>2886</v>
      </c>
      <c r="P124" s="1" t="s">
        <v>3304</v>
      </c>
      <c r="Q124" s="1">
        <v>1</v>
      </c>
    </row>
    <row r="125" spans="1:17">
      <c r="A125" s="1" t="s">
        <v>5612</v>
      </c>
      <c r="B125" s="1" t="s">
        <v>52</v>
      </c>
      <c r="C125" s="1" t="s">
        <v>165</v>
      </c>
      <c r="D125" s="20" t="s">
        <v>789</v>
      </c>
      <c r="E125" s="15" t="str">
        <f>HYPERLINK("https://stat100.ameba.jp/tnk47/ratio20/illustrations/card/ill_49193_0_onmyoudouabenoseimei03.jpg?201912-2-RELEASE-unionbattle-443x", "■")</f>
        <v>■</v>
      </c>
      <c r="F125" s="1" t="s">
        <v>1896</v>
      </c>
      <c r="G125" s="1">
        <v>83712</v>
      </c>
      <c r="H125" s="1">
        <v>94236</v>
      </c>
      <c r="I125" s="1">
        <v>15</v>
      </c>
      <c r="J125" s="1" t="s">
        <v>10</v>
      </c>
      <c r="K125" s="1" t="s">
        <v>1897</v>
      </c>
      <c r="L125" s="1" t="s">
        <v>1898</v>
      </c>
      <c r="M125" s="1" t="s">
        <v>9158</v>
      </c>
      <c r="N125" s="1" t="s">
        <v>9158</v>
      </c>
      <c r="O125" s="1" t="s">
        <v>9158</v>
      </c>
      <c r="P125" s="1" t="s">
        <v>9158</v>
      </c>
      <c r="Q125" s="1" t="s">
        <v>9158</v>
      </c>
    </row>
    <row r="126" spans="1:17">
      <c r="A126" s="7">
        <v>66733</v>
      </c>
      <c r="B126" s="1" t="s">
        <v>334</v>
      </c>
      <c r="C126" s="1" t="s">
        <v>14</v>
      </c>
      <c r="D126" s="20" t="s">
        <v>10833</v>
      </c>
      <c r="E126" s="15" t="str">
        <f>HYPERLINK("https://stat100.ameba.jp/tnk47/ratio20/illustrations/card/ill_66733_shogiyodabenzo03.jpg?201912-2-RELEASE-unionbattle-443x", "■")</f>
        <v>■</v>
      </c>
      <c r="F126" s="1" t="s">
        <v>4764</v>
      </c>
      <c r="G126" s="1">
        <v>90759</v>
      </c>
      <c r="H126" s="1">
        <v>97651</v>
      </c>
      <c r="I126" s="1">
        <v>25</v>
      </c>
      <c r="J126" s="1" t="s">
        <v>10</v>
      </c>
      <c r="K126" s="1" t="s">
        <v>4765</v>
      </c>
      <c r="L126" s="1" t="s">
        <v>12</v>
      </c>
      <c r="M126" s="1" t="s">
        <v>9158</v>
      </c>
      <c r="N126" s="1" t="s">
        <v>9158</v>
      </c>
      <c r="O126" s="1" t="s">
        <v>9158</v>
      </c>
      <c r="P126" s="1" t="s">
        <v>9158</v>
      </c>
      <c r="Q126" s="1" t="s">
        <v>9158</v>
      </c>
    </row>
    <row r="127" spans="1:17">
      <c r="A127" s="7">
        <v>64063</v>
      </c>
      <c r="B127" s="1" t="s">
        <v>334</v>
      </c>
      <c r="C127" s="1" t="s">
        <v>200</v>
      </c>
      <c r="D127" s="20" t="s">
        <v>10834</v>
      </c>
      <c r="E127" s="15" t="str">
        <f>HYPERLINK("https://stat100.ameba.jp/tnk47/ratio20/illustrations/card/ill_64063_yusuzumishinshishika03.jpg?201912-2-RELEASE-unionbattle-443x", "■")</f>
        <v>■</v>
      </c>
      <c r="F127" s="1" t="s">
        <v>4402</v>
      </c>
      <c r="G127" s="1">
        <v>94802</v>
      </c>
      <c r="H127" s="1">
        <v>101971</v>
      </c>
      <c r="I127" s="1">
        <v>25</v>
      </c>
      <c r="J127" s="1" t="s">
        <v>44</v>
      </c>
      <c r="K127" s="1" t="s">
        <v>4403</v>
      </c>
      <c r="L127" s="1" t="s">
        <v>965</v>
      </c>
      <c r="M127" s="1" t="s">
        <v>9158</v>
      </c>
      <c r="N127" s="1" t="s">
        <v>9158</v>
      </c>
      <c r="O127" s="1" t="s">
        <v>9158</v>
      </c>
      <c r="P127" s="1" t="s">
        <v>9158</v>
      </c>
      <c r="Q127" s="1" t="s">
        <v>9158</v>
      </c>
    </row>
    <row r="128" spans="1:17">
      <c r="A128" s="1">
        <v>83513</v>
      </c>
      <c r="B128" s="1" t="s">
        <v>334</v>
      </c>
      <c r="C128" s="1" t="s">
        <v>1</v>
      </c>
      <c r="D128" s="20" t="s">
        <v>10556</v>
      </c>
      <c r="E128" s="15" t="str">
        <f>HYPERLINK("https://stat100.ameba.jp/tnk47/ratio20/illustrations/card/ill_83513_kajuemmimuratsuru03.jpg?201912-2-RELEASE-unionbattle-443x", "■")</f>
        <v>■</v>
      </c>
      <c r="F128" s="1" t="s">
        <v>6603</v>
      </c>
      <c r="G128" s="1">
        <v>148619</v>
      </c>
      <c r="H128" s="1">
        <v>138186</v>
      </c>
      <c r="I128" s="1">
        <v>25</v>
      </c>
      <c r="J128" s="1" t="s">
        <v>143</v>
      </c>
      <c r="K128" s="1" t="s">
        <v>6601</v>
      </c>
      <c r="L128" s="1" t="s">
        <v>6600</v>
      </c>
      <c r="M128" s="1" t="s">
        <v>9158</v>
      </c>
      <c r="N128" s="1" t="s">
        <v>9158</v>
      </c>
      <c r="O128" s="19" t="s">
        <v>2951</v>
      </c>
      <c r="P128" s="1" t="s">
        <v>13122</v>
      </c>
      <c r="Q128" s="1">
        <v>1</v>
      </c>
    </row>
    <row r="129" spans="1:17">
      <c r="A129" s="7">
        <v>67613</v>
      </c>
      <c r="B129" s="1" t="s">
        <v>8488</v>
      </c>
      <c r="C129" s="1" t="s">
        <v>185</v>
      </c>
      <c r="D129" s="20" t="s">
        <v>1470</v>
      </c>
      <c r="E129" s="15" t="str">
        <f>HYPERLINK("https://stat100.ameba.jp/tnk47/ratio20/illustrations/card/ill_67613_girishiashinwaringochan03.jpg?201912-2-RELEASE-unionbattle-443x", "■")</f>
        <v>■</v>
      </c>
      <c r="F129" s="1" t="s">
        <v>1471</v>
      </c>
      <c r="G129" s="1">
        <v>59144</v>
      </c>
      <c r="H129" s="1">
        <v>65208</v>
      </c>
      <c r="I129" s="1">
        <v>22</v>
      </c>
      <c r="J129" s="1" t="s">
        <v>283</v>
      </c>
      <c r="K129" s="1" t="s">
        <v>1472</v>
      </c>
      <c r="L129" s="1" t="s">
        <v>1442</v>
      </c>
      <c r="M129" s="1" t="s">
        <v>9158</v>
      </c>
      <c r="N129" s="1" t="s">
        <v>9158</v>
      </c>
      <c r="O129" s="1" t="s">
        <v>9158</v>
      </c>
      <c r="P129" s="1" t="s">
        <v>9158</v>
      </c>
      <c r="Q129" s="1" t="s">
        <v>9158</v>
      </c>
    </row>
    <row r="130" spans="1:17">
      <c r="A130" s="7">
        <v>74263</v>
      </c>
      <c r="B130" s="1" t="s">
        <v>15</v>
      </c>
      <c r="C130" s="1" t="s">
        <v>23</v>
      </c>
      <c r="D130" s="20" t="s">
        <v>10304</v>
      </c>
      <c r="E130" s="15" t="str">
        <f>HYPERLINK("https://stat100.ameba.jp/tnk47/ratio20/illustrations/card/ill_74263_kaiguniinaomasa03.jpg?201912-2-RELEASE-unionbattle-443x", "■")</f>
        <v>■</v>
      </c>
      <c r="F130" s="1" t="s">
        <v>5322</v>
      </c>
      <c r="G130" s="1">
        <v>65208</v>
      </c>
      <c r="H130" s="1">
        <v>59144</v>
      </c>
      <c r="I130" s="1">
        <v>22</v>
      </c>
      <c r="J130" s="1" t="s">
        <v>143</v>
      </c>
      <c r="K130" s="1" t="s">
        <v>5323</v>
      </c>
      <c r="L130" s="1" t="s">
        <v>3524</v>
      </c>
      <c r="M130" s="1" t="s">
        <v>9158</v>
      </c>
      <c r="N130" s="1" t="s">
        <v>9158</v>
      </c>
      <c r="O130" s="1" t="s">
        <v>9158</v>
      </c>
      <c r="P130" s="1" t="s">
        <v>9158</v>
      </c>
      <c r="Q130" s="1" t="s">
        <v>9158</v>
      </c>
    </row>
    <row r="131" spans="1:17">
      <c r="A131" s="7">
        <v>77543</v>
      </c>
      <c r="B131" s="1" t="s">
        <v>15</v>
      </c>
      <c r="C131" s="1" t="s">
        <v>165</v>
      </c>
      <c r="D131" s="20" t="s">
        <v>10527</v>
      </c>
      <c r="E131" s="15" t="str">
        <f>HYPERLINK("https://stat100.ameba.jp/tnk47/ratio20/illustrations/card/ill_77543_tsutenkaku03.jpg?201912-2-RELEASE-unionbattle-443x", "■")</f>
        <v>■</v>
      </c>
      <c r="F131" s="1" t="s">
        <v>2009</v>
      </c>
      <c r="G131" s="1">
        <v>65208</v>
      </c>
      <c r="H131" s="1">
        <v>59144</v>
      </c>
      <c r="I131" s="1">
        <v>22</v>
      </c>
      <c r="J131" s="1" t="s">
        <v>26</v>
      </c>
      <c r="K131" s="1" t="s">
        <v>2010</v>
      </c>
      <c r="L131" s="1" t="s">
        <v>2011</v>
      </c>
      <c r="M131" s="1" t="s">
        <v>9158</v>
      </c>
      <c r="N131" s="1" t="s">
        <v>9158</v>
      </c>
      <c r="O131" s="1" t="s">
        <v>9158</v>
      </c>
      <c r="P131" s="1" t="s">
        <v>9158</v>
      </c>
      <c r="Q131" s="1" t="s">
        <v>9158</v>
      </c>
    </row>
    <row r="132" spans="1:17">
      <c r="E132" s="7"/>
    </row>
    <row r="133" spans="1:17">
      <c r="A133" s="7" t="s">
        <v>8484</v>
      </c>
      <c r="E133" s="7"/>
    </row>
    <row r="134" spans="1:17">
      <c r="A134" s="7" t="s">
        <v>8486</v>
      </c>
      <c r="E134" s="7"/>
    </row>
    <row r="135" spans="1:17">
      <c r="A135" s="7" t="s">
        <v>8485</v>
      </c>
      <c r="E135" s="7"/>
    </row>
    <row r="136" spans="1:17">
      <c r="A136" s="7" t="s">
        <v>8437</v>
      </c>
      <c r="B136" s="7" t="s">
        <v>52</v>
      </c>
      <c r="C136" s="7" t="s">
        <v>202</v>
      </c>
      <c r="D136" s="20" t="s">
        <v>10806</v>
      </c>
      <c r="E136" s="15" t="str">
        <f>HYPERLINK("https://stat100.ameba.jp/tnk47/ratio20/illustrations/card/ill_85523_0_seitankuronikurukusumotoine03.jpg?201912-2-RELEASE-unionbattle-443x", "■")</f>
        <v>■</v>
      </c>
      <c r="F136" s="7" t="s">
        <v>8440</v>
      </c>
      <c r="G136" s="7">
        <v>181717</v>
      </c>
      <c r="H136" s="7">
        <v>164244</v>
      </c>
      <c r="I136" s="7">
        <v>15</v>
      </c>
      <c r="J136" s="1" t="s">
        <v>77</v>
      </c>
      <c r="K136" s="7" t="s">
        <v>8446</v>
      </c>
      <c r="L136" s="7" t="s">
        <v>8439</v>
      </c>
      <c r="M136" s="1" t="s">
        <v>9158</v>
      </c>
      <c r="N136" s="1" t="s">
        <v>9158</v>
      </c>
      <c r="O136" s="19" t="s">
        <v>10133</v>
      </c>
      <c r="P136" s="7" t="s">
        <v>8441</v>
      </c>
      <c r="Q136" s="7">
        <v>1</v>
      </c>
    </row>
    <row r="137" spans="1:17">
      <c r="A137" s="7">
        <v>85723</v>
      </c>
      <c r="B137" s="7" t="s">
        <v>8487</v>
      </c>
      <c r="C137" s="1" t="s">
        <v>107</v>
      </c>
      <c r="D137" s="20" t="s">
        <v>10835</v>
      </c>
      <c r="E137" s="15" t="str">
        <f>HYPERLINK("https://stat100.ameba.jp/tnk47/ratio20/illustrations/card/ill_85723_nemmatsukenkoshindammyorinni03.jpg?201912-2-RELEASE-unionbattle-443x", "■")</f>
        <v>■</v>
      </c>
      <c r="F137" s="7" t="s">
        <v>8501</v>
      </c>
      <c r="G137" s="7">
        <v>101373</v>
      </c>
      <c r="H137" s="7">
        <v>94295</v>
      </c>
      <c r="I137" s="7">
        <v>25</v>
      </c>
      <c r="J137" s="7" t="s">
        <v>8494</v>
      </c>
      <c r="K137" s="7" t="s">
        <v>8500</v>
      </c>
      <c r="L137" s="7" t="s">
        <v>8499</v>
      </c>
      <c r="M137" s="1" t="s">
        <v>9158</v>
      </c>
      <c r="N137" s="1" t="s">
        <v>9158</v>
      </c>
      <c r="O137" s="1" t="s">
        <v>9158</v>
      </c>
      <c r="P137" s="1" t="s">
        <v>9158</v>
      </c>
      <c r="Q137" s="1" t="s">
        <v>9158</v>
      </c>
    </row>
    <row r="138" spans="1:17">
      <c r="A138" s="7">
        <v>85733</v>
      </c>
      <c r="B138" s="7" t="s">
        <v>8487</v>
      </c>
      <c r="C138" s="1" t="s">
        <v>185</v>
      </c>
      <c r="D138" s="20" t="s">
        <v>10836</v>
      </c>
      <c r="E138" s="15" t="str">
        <f>HYPERLINK("https://stat100.ameba.jp/tnk47/ratio20/illustrations/card/ill_85733_hakkachan03.jpg?201912-2-RELEASE-unionbattle-443x", "■")</f>
        <v>■</v>
      </c>
      <c r="F138" s="7" t="s">
        <v>8504</v>
      </c>
      <c r="G138" s="7">
        <v>113890</v>
      </c>
      <c r="H138" s="7">
        <v>105890</v>
      </c>
      <c r="I138" s="7">
        <v>25</v>
      </c>
      <c r="J138" s="7" t="s">
        <v>8495</v>
      </c>
      <c r="K138" s="7" t="s">
        <v>8503</v>
      </c>
      <c r="L138" s="7" t="s">
        <v>8502</v>
      </c>
      <c r="M138" s="1" t="s">
        <v>9158</v>
      </c>
      <c r="N138" s="1" t="s">
        <v>9158</v>
      </c>
      <c r="O138" s="1" t="s">
        <v>9158</v>
      </c>
      <c r="P138" s="1" t="s">
        <v>9158</v>
      </c>
      <c r="Q138" s="1" t="s">
        <v>9158</v>
      </c>
    </row>
    <row r="139" spans="1:17">
      <c r="A139" s="7">
        <v>85743</v>
      </c>
      <c r="B139" s="7" t="s">
        <v>8488</v>
      </c>
      <c r="C139" s="7" t="s">
        <v>8491</v>
      </c>
      <c r="D139" s="20" t="s">
        <v>10837</v>
      </c>
      <c r="E139" s="15" t="str">
        <f>HYPERLINK("https://stat100.ameba.jp/tnk47/ratio20/illustrations/card/ill_85743_furorensunaichingeru03.jpg?201912-2-RELEASE-unionbattle-443x", "■")</f>
        <v>■</v>
      </c>
      <c r="F139" s="7" t="s">
        <v>8507</v>
      </c>
      <c r="G139" s="7">
        <v>67210</v>
      </c>
      <c r="H139" s="7">
        <v>74100</v>
      </c>
      <c r="I139" s="7">
        <v>25</v>
      </c>
      <c r="J139" s="7" t="s">
        <v>8496</v>
      </c>
      <c r="K139" s="7" t="s">
        <v>8506</v>
      </c>
      <c r="L139" s="7" t="s">
        <v>8505</v>
      </c>
      <c r="M139" s="1" t="s">
        <v>9158</v>
      </c>
      <c r="N139" s="1" t="s">
        <v>9158</v>
      </c>
      <c r="O139" s="1" t="s">
        <v>9158</v>
      </c>
      <c r="P139" s="1" t="s">
        <v>9158</v>
      </c>
      <c r="Q139" s="1" t="s">
        <v>9158</v>
      </c>
    </row>
    <row r="140" spans="1:17">
      <c r="A140" s="7">
        <v>85753</v>
      </c>
      <c r="B140" s="7" t="s">
        <v>8489</v>
      </c>
      <c r="C140" s="7" t="s">
        <v>8492</v>
      </c>
      <c r="D140" s="20" t="s">
        <v>10838</v>
      </c>
      <c r="E140" s="15" t="str">
        <f>HYPERLINK("https://stat100.ameba.jp/tnk47/ratio20/illustrations/card/ill_85753_reishi03.jpg?201912-2-RELEASE-unionbattle-443x", "■")</f>
        <v>■</v>
      </c>
      <c r="F140" s="7" t="s">
        <v>8510</v>
      </c>
      <c r="G140" s="7">
        <v>51980</v>
      </c>
      <c r="H140" s="7">
        <v>43220</v>
      </c>
      <c r="I140" s="7">
        <v>25</v>
      </c>
      <c r="J140" s="7" t="s">
        <v>8497</v>
      </c>
      <c r="K140" s="7" t="s">
        <v>8509</v>
      </c>
      <c r="L140" s="7" t="s">
        <v>8508</v>
      </c>
      <c r="M140" s="1" t="s">
        <v>9158</v>
      </c>
      <c r="N140" s="1" t="s">
        <v>9158</v>
      </c>
      <c r="O140" s="1" t="s">
        <v>9158</v>
      </c>
      <c r="P140" s="1" t="s">
        <v>9158</v>
      </c>
      <c r="Q140" s="1" t="s">
        <v>9158</v>
      </c>
    </row>
    <row r="141" spans="1:17">
      <c r="A141" s="7">
        <v>85763</v>
      </c>
      <c r="B141" s="7" t="s">
        <v>8490</v>
      </c>
      <c r="C141" s="7" t="s">
        <v>8493</v>
      </c>
      <c r="D141" s="20" t="s">
        <v>10839</v>
      </c>
      <c r="E141" s="15" t="str">
        <f>HYPERLINK("https://stat100.ameba.jp/tnk47/ratio20/illustrations/card/ill_85763_jimuirohahime03.jpg?201912-2-RELEASE-unionbattle-443x", "■")</f>
        <v>■</v>
      </c>
      <c r="F141" s="7" t="s">
        <v>8513</v>
      </c>
      <c r="G141" s="7">
        <v>26430</v>
      </c>
      <c r="H141" s="7">
        <v>31470</v>
      </c>
      <c r="I141" s="7">
        <v>25</v>
      </c>
      <c r="J141" s="7" t="s">
        <v>8498</v>
      </c>
      <c r="K141" s="7" t="s">
        <v>8512</v>
      </c>
      <c r="L141" s="7" t="s">
        <v>8511</v>
      </c>
      <c r="M141" s="1" t="s">
        <v>9158</v>
      </c>
      <c r="N141" s="1" t="s">
        <v>9158</v>
      </c>
      <c r="O141" s="1" t="s">
        <v>9158</v>
      </c>
      <c r="P141" s="1" t="s">
        <v>9158</v>
      </c>
      <c r="Q141" s="1" t="s">
        <v>9158</v>
      </c>
    </row>
    <row r="142" spans="1:17">
      <c r="E142" s="7"/>
    </row>
    <row r="143" spans="1:17">
      <c r="A143" s="7" t="s">
        <v>204</v>
      </c>
      <c r="E143" s="7"/>
    </row>
    <row r="144" spans="1:17">
      <c r="A144" s="7" t="s">
        <v>8514</v>
      </c>
      <c r="E144" s="7"/>
    </row>
    <row r="145" spans="1:18">
      <c r="A145" s="1" t="s">
        <v>5605</v>
      </c>
      <c r="B145" s="1" t="s">
        <v>52</v>
      </c>
      <c r="C145" s="1" t="s">
        <v>202</v>
      </c>
      <c r="D145" s="20" t="s">
        <v>10332</v>
      </c>
      <c r="E145" s="15" t="str">
        <f>HYPERLINK("https://stat100.ameba.jp/tnk47/ratio20/illustrations/card/ill_79373_0_hommeichokotennyohime03.jpg?201912-2-RELEASE-unionbattle-443x", "■")</f>
        <v>■</v>
      </c>
      <c r="F145" s="1" t="s">
        <v>3495</v>
      </c>
      <c r="G145" s="1">
        <v>272036</v>
      </c>
      <c r="H145" s="1">
        <v>245878</v>
      </c>
      <c r="I145" s="1">
        <v>22</v>
      </c>
      <c r="J145" s="1" t="s">
        <v>104</v>
      </c>
      <c r="K145" s="1" t="s">
        <v>3496</v>
      </c>
      <c r="L145" s="1" t="s">
        <v>3497</v>
      </c>
      <c r="M145" s="1" t="s">
        <v>9158</v>
      </c>
      <c r="N145" s="1" t="s">
        <v>9158</v>
      </c>
      <c r="O145" s="19" t="s">
        <v>10072</v>
      </c>
      <c r="P145" s="1" t="s">
        <v>3498</v>
      </c>
      <c r="Q145" s="1">
        <v>1</v>
      </c>
    </row>
    <row r="146" spans="1:18">
      <c r="A146" s="1" t="s">
        <v>5603</v>
      </c>
      <c r="B146" s="1" t="s">
        <v>330</v>
      </c>
      <c r="C146" s="1" t="s">
        <v>205</v>
      </c>
      <c r="D146" s="20" t="s">
        <v>611</v>
      </c>
      <c r="E146" s="15" t="str">
        <f>HYPERLINK("https://stat100.ameba.jp/tnk47/ratio20/illustrations/card/ill_61893_0_onikirishumiyamotomusashi03.jpg?201912-2-RELEASE-unionbattle-443x", "■")</f>
        <v>■</v>
      </c>
      <c r="F146" s="1" t="s">
        <v>612</v>
      </c>
      <c r="G146" s="1">
        <v>205358</v>
      </c>
      <c r="H146" s="1">
        <v>190952</v>
      </c>
      <c r="I146" s="1">
        <v>22</v>
      </c>
      <c r="J146" s="1" t="s">
        <v>310</v>
      </c>
      <c r="K146" s="1" t="s">
        <v>613</v>
      </c>
      <c r="L146" s="1" t="s">
        <v>312</v>
      </c>
      <c r="M146" s="1" t="s">
        <v>9158</v>
      </c>
      <c r="N146" s="1" t="s">
        <v>9158</v>
      </c>
      <c r="O146" s="19" t="s">
        <v>10071</v>
      </c>
      <c r="P146" s="1" t="s">
        <v>3253</v>
      </c>
      <c r="Q146" s="1">
        <v>1</v>
      </c>
    </row>
    <row r="147" spans="1:18">
      <c r="A147" s="7" t="s">
        <v>5902</v>
      </c>
      <c r="B147" s="1" t="s">
        <v>330</v>
      </c>
      <c r="C147" s="1" t="s">
        <v>344</v>
      </c>
      <c r="D147" s="20" t="s">
        <v>483</v>
      </c>
      <c r="E147" s="15" t="str">
        <f>HYPERLINK("https://stat100.ameba.jp/tnk47/ratio20/illustrations/card/ill_40343_0_heshikirihasebekurodakambe03.jpg?201912-2-RELEASE-unionbattle-443x", "■")</f>
        <v>■</v>
      </c>
      <c r="F147" s="1" t="s">
        <v>484</v>
      </c>
      <c r="G147" s="1">
        <v>128744</v>
      </c>
      <c r="H147" s="1">
        <v>120576</v>
      </c>
      <c r="I147" s="1">
        <v>22</v>
      </c>
      <c r="J147" s="1" t="s">
        <v>414</v>
      </c>
      <c r="K147" s="1" t="s">
        <v>485</v>
      </c>
      <c r="L147" s="1" t="s">
        <v>486</v>
      </c>
      <c r="M147" s="1" t="s">
        <v>9158</v>
      </c>
      <c r="N147" s="1" t="s">
        <v>9158</v>
      </c>
      <c r="O147" s="1" t="s">
        <v>9158</v>
      </c>
      <c r="P147" s="1" t="s">
        <v>9158</v>
      </c>
      <c r="Q147" s="1" t="s">
        <v>9158</v>
      </c>
    </row>
    <row r="148" spans="1:18">
      <c r="A148" s="1">
        <v>75723</v>
      </c>
      <c r="B148" s="1" t="s">
        <v>334</v>
      </c>
      <c r="C148" s="1" t="s">
        <v>107</v>
      </c>
      <c r="D148" s="20" t="s">
        <v>10363</v>
      </c>
      <c r="E148" s="15" t="str">
        <f>HYPERLINK("https://stat100.ameba.jp/tnk47/ratio20/illustrations/card/ill_75723_shirokitsunenooshibai03.jpg?201912-2-RELEASE-unionbattle-443x", "■")</f>
        <v>■</v>
      </c>
      <c r="F148" s="1" t="s">
        <v>8525</v>
      </c>
      <c r="G148" s="1">
        <v>140761</v>
      </c>
      <c r="H148" s="1">
        <v>79221</v>
      </c>
      <c r="I148" s="1">
        <v>25</v>
      </c>
      <c r="J148" s="1" t="s">
        <v>8515</v>
      </c>
      <c r="K148" s="1" t="s">
        <v>8524</v>
      </c>
      <c r="L148" s="1" t="s">
        <v>8523</v>
      </c>
      <c r="M148" s="1" t="s">
        <v>9158</v>
      </c>
      <c r="N148" s="1" t="s">
        <v>9158</v>
      </c>
      <c r="O148" s="1" t="s">
        <v>9158</v>
      </c>
      <c r="P148" s="1" t="s">
        <v>9158</v>
      </c>
      <c r="Q148" s="1" t="s">
        <v>9158</v>
      </c>
    </row>
    <row r="149" spans="1:18">
      <c r="A149" s="1">
        <v>80423</v>
      </c>
      <c r="B149" s="1" t="s">
        <v>0</v>
      </c>
      <c r="C149" s="1" t="s">
        <v>96</v>
      </c>
      <c r="D149" s="20" t="s">
        <v>10489</v>
      </c>
      <c r="E149" s="15" t="str">
        <f>HYPERLINK("https://stat100.ameba.jp/tnk47/ratio20/illustrations/card/ill_80423_shikyushikimurasakishikibu03.jpg?201912-2-RELEASE-unionbattle-443x", "■")</f>
        <v>■</v>
      </c>
      <c r="F149" s="1" t="s">
        <v>8522</v>
      </c>
      <c r="G149" s="1">
        <v>120570</v>
      </c>
      <c r="H149" s="1">
        <v>67842</v>
      </c>
      <c r="I149" s="1">
        <v>25</v>
      </c>
      <c r="J149" s="1" t="s">
        <v>8516</v>
      </c>
      <c r="K149" s="1" t="s">
        <v>8521</v>
      </c>
      <c r="L149" s="1" t="s">
        <v>8520</v>
      </c>
      <c r="M149" s="1" t="s">
        <v>9158</v>
      </c>
      <c r="N149" s="1" t="s">
        <v>9158</v>
      </c>
      <c r="O149" s="1" t="s">
        <v>9158</v>
      </c>
      <c r="P149" s="1" t="s">
        <v>9158</v>
      </c>
      <c r="Q149" s="1" t="s">
        <v>9158</v>
      </c>
    </row>
    <row r="150" spans="1:18">
      <c r="A150" s="1">
        <v>63223</v>
      </c>
      <c r="B150" s="1" t="s">
        <v>334</v>
      </c>
      <c r="C150" s="7" t="s">
        <v>8492</v>
      </c>
      <c r="D150" s="20" t="s">
        <v>10223</v>
      </c>
      <c r="E150" s="15" t="str">
        <f>HYPERLINK("https://stat100.ameba.jp/tnk47/ratio20/illustrations/card/ill_63223_kyupiddodainokata03.jpg?201912-2-RELEASE-unionbattle-443x", "■")</f>
        <v>■</v>
      </c>
      <c r="F150" s="1" t="s">
        <v>8519</v>
      </c>
      <c r="G150" s="1">
        <v>97651</v>
      </c>
      <c r="H150" s="1">
        <v>90759</v>
      </c>
      <c r="I150" s="1">
        <v>25</v>
      </c>
      <c r="J150" s="1" t="s">
        <v>8496</v>
      </c>
      <c r="K150" s="1" t="s">
        <v>8518</v>
      </c>
      <c r="L150" s="1" t="s">
        <v>8517</v>
      </c>
      <c r="M150" s="1" t="s">
        <v>9158</v>
      </c>
      <c r="N150" s="1" t="s">
        <v>9158</v>
      </c>
      <c r="O150" s="1" t="s">
        <v>9158</v>
      </c>
      <c r="P150" s="1" t="s">
        <v>9158</v>
      </c>
      <c r="Q150" s="1" t="s">
        <v>9158</v>
      </c>
    </row>
    <row r="151" spans="1:18">
      <c r="A151" s="1">
        <v>62213</v>
      </c>
      <c r="B151" s="1" t="s">
        <v>15</v>
      </c>
      <c r="C151" s="1" t="s">
        <v>96</v>
      </c>
      <c r="D151" s="20" t="s">
        <v>10514</v>
      </c>
      <c r="E151" s="15" t="str">
        <f>HYPERLINK("https://stat100.ameba.jp/tnk47/ratio20/illustrations/card/ill_62213_teikyoin03.jpg?201912-2-RELEASE-unionbattle-443x", "■")</f>
        <v>■</v>
      </c>
      <c r="F151" s="1" t="s">
        <v>6379</v>
      </c>
      <c r="G151" s="1">
        <v>59280</v>
      </c>
      <c r="H151" s="1">
        <v>53768</v>
      </c>
      <c r="I151" s="1">
        <v>20</v>
      </c>
      <c r="J151" s="1" t="s">
        <v>77</v>
      </c>
      <c r="K151" s="1" t="s">
        <v>6382</v>
      </c>
      <c r="L151" s="1" t="s">
        <v>932</v>
      </c>
      <c r="M151" s="1" t="s">
        <v>9158</v>
      </c>
      <c r="N151" s="1" t="s">
        <v>9158</v>
      </c>
      <c r="O151" s="1" t="s">
        <v>9158</v>
      </c>
      <c r="P151" s="1" t="s">
        <v>9158</v>
      </c>
      <c r="Q151" s="1" t="s">
        <v>9158</v>
      </c>
    </row>
    <row r="152" spans="1:18">
      <c r="A152" s="1">
        <v>60013</v>
      </c>
      <c r="B152" s="1" t="s">
        <v>15</v>
      </c>
      <c r="C152" s="1" t="s">
        <v>107</v>
      </c>
      <c r="D152" s="20" t="s">
        <v>10515</v>
      </c>
      <c r="E152" s="15" t="str">
        <f>HYPERLINK("https://stat100.ameba.jp/tnk47/ratio20/illustrations/card/ill_60013_hantaraikirimaru03.jpg?201912-2-RELEASE-unionbattle-443x", "■")</f>
        <v>■</v>
      </c>
      <c r="F152" s="1" t="s">
        <v>6377</v>
      </c>
      <c r="G152" s="1">
        <v>59280</v>
      </c>
      <c r="H152" s="1">
        <v>53768</v>
      </c>
      <c r="I152" s="1">
        <v>20</v>
      </c>
      <c r="J152" s="1" t="s">
        <v>44</v>
      </c>
      <c r="K152" s="1" t="s">
        <v>6376</v>
      </c>
      <c r="L152" s="1" t="s">
        <v>3271</v>
      </c>
      <c r="M152" s="1" t="s">
        <v>9158</v>
      </c>
      <c r="N152" s="1" t="s">
        <v>9158</v>
      </c>
      <c r="O152" s="1" t="s">
        <v>9158</v>
      </c>
      <c r="P152" s="1" t="s">
        <v>9158</v>
      </c>
      <c r="Q152" s="1" t="s">
        <v>9158</v>
      </c>
    </row>
    <row r="153" spans="1:18">
      <c r="A153" s="1">
        <v>72453</v>
      </c>
      <c r="B153" s="1" t="s">
        <v>15</v>
      </c>
      <c r="C153" s="1" t="s">
        <v>101</v>
      </c>
      <c r="D153" s="20" t="s">
        <v>10340</v>
      </c>
      <c r="E153" s="15" t="str">
        <f>HYPERLINK("https://stat100.ameba.jp/tnk47/ratio20/illustrations/card/ill_72453_rengeso03.jpg?201912-2-RELEASE-unionbattle-443x", "■")</f>
        <v>■</v>
      </c>
      <c r="F153" s="1" t="s">
        <v>5478</v>
      </c>
      <c r="G153" s="1">
        <v>59280</v>
      </c>
      <c r="H153" s="1">
        <v>53768</v>
      </c>
      <c r="I153" s="1">
        <v>20</v>
      </c>
      <c r="J153" s="1" t="s">
        <v>26</v>
      </c>
      <c r="K153" s="1" t="s">
        <v>5479</v>
      </c>
      <c r="L153" s="1" t="s">
        <v>2011</v>
      </c>
      <c r="M153" s="1" t="s">
        <v>9158</v>
      </c>
      <c r="N153" s="1" t="s">
        <v>9158</v>
      </c>
      <c r="O153" s="1" t="s">
        <v>9158</v>
      </c>
      <c r="P153" s="1" t="s">
        <v>9158</v>
      </c>
      <c r="Q153" s="1" t="s">
        <v>9158</v>
      </c>
    </row>
    <row r="154" spans="1:18">
      <c r="E154" s="7"/>
    </row>
    <row r="155" spans="1:18">
      <c r="A155" s="7" t="s">
        <v>13372</v>
      </c>
      <c r="E155" s="7"/>
    </row>
    <row r="156" spans="1:18">
      <c r="A156" s="7" t="s">
        <v>8527</v>
      </c>
      <c r="E156" s="7"/>
    </row>
    <row r="157" spans="1:18">
      <c r="A157" s="7">
        <v>85625</v>
      </c>
      <c r="B157" s="7" t="s">
        <v>8530</v>
      </c>
      <c r="C157" s="7" t="s">
        <v>8528</v>
      </c>
      <c r="D157" s="20" t="s">
        <v>10840</v>
      </c>
      <c r="E157" s="15" t="str">
        <f>HYPERLINK("https://stat100.ameba.jp/tnk47/ratio20/illustrations/card/ill_85625_shikajoshunomori05.jpg?201912-2-RELEASE-unionbattle-443x", "■")</f>
        <v>■</v>
      </c>
      <c r="F157" s="7" t="s">
        <v>8538</v>
      </c>
      <c r="G157" s="7">
        <v>88363</v>
      </c>
      <c r="H157" s="7">
        <v>122041</v>
      </c>
      <c r="I157" s="7">
        <v>25</v>
      </c>
      <c r="J157" s="7" t="s">
        <v>8537</v>
      </c>
      <c r="K157" s="7" t="s">
        <v>8536</v>
      </c>
      <c r="L157" s="7" t="s">
        <v>8535</v>
      </c>
      <c r="M157" s="1" t="s">
        <v>9158</v>
      </c>
      <c r="N157" s="1" t="s">
        <v>9158</v>
      </c>
      <c r="O157" s="1" t="s">
        <v>9158</v>
      </c>
      <c r="P157" s="1" t="s">
        <v>9158</v>
      </c>
      <c r="Q157" s="1" t="s">
        <v>9158</v>
      </c>
      <c r="R157" s="7" t="s">
        <v>8532</v>
      </c>
    </row>
    <row r="158" spans="1:18">
      <c r="A158" s="7">
        <v>85623</v>
      </c>
      <c r="B158" s="7" t="s">
        <v>8531</v>
      </c>
      <c r="C158" s="7" t="s">
        <v>8529</v>
      </c>
      <c r="D158" s="20" t="s">
        <v>10840</v>
      </c>
      <c r="E158" s="15" t="str">
        <f>HYPERLINK("https://stat100.ameba.jp/tnk47/ratio20/illustrations/card/ill_85623_shikajoshunomori03.jpg?201912-2-RELEASE-unionbattle-443x", "■")</f>
        <v>■</v>
      </c>
      <c r="F158" s="7" t="s">
        <v>8538</v>
      </c>
      <c r="G158" s="7">
        <v>65095</v>
      </c>
      <c r="H158" s="7">
        <v>89918</v>
      </c>
      <c r="I158" s="7">
        <v>25</v>
      </c>
      <c r="J158" s="7" t="s">
        <v>8537</v>
      </c>
      <c r="K158" s="7" t="s">
        <v>8536</v>
      </c>
      <c r="L158" s="7" t="s">
        <v>8539</v>
      </c>
      <c r="M158" s="1" t="s">
        <v>9158</v>
      </c>
      <c r="N158" s="1" t="s">
        <v>9158</v>
      </c>
      <c r="O158" s="1" t="s">
        <v>9158</v>
      </c>
      <c r="P158" s="1" t="s">
        <v>9158</v>
      </c>
      <c r="Q158" s="1" t="s">
        <v>9158</v>
      </c>
      <c r="R158" s="7" t="s">
        <v>8533</v>
      </c>
    </row>
    <row r="159" spans="1:18">
      <c r="A159" s="7">
        <v>85621</v>
      </c>
      <c r="B159" s="7" t="s">
        <v>8531</v>
      </c>
      <c r="C159" s="7" t="s">
        <v>8529</v>
      </c>
      <c r="D159" s="20" t="s">
        <v>10840</v>
      </c>
      <c r="E159" s="15" t="str">
        <f>HYPERLINK("https://stat100.ameba.jp/tnk47/ratio20/illustrations/card/ill_85621_shikajoshunomori01.jpg?201912-2-RELEASE-unionbattle-443x", "■")</f>
        <v>■</v>
      </c>
      <c r="F159" s="7" t="s">
        <v>8538</v>
      </c>
      <c r="G159" s="7">
        <v>41425</v>
      </c>
      <c r="H159" s="7">
        <v>57200</v>
      </c>
      <c r="I159" s="7">
        <v>25</v>
      </c>
      <c r="J159" s="7" t="s">
        <v>8537</v>
      </c>
      <c r="K159" s="7" t="s">
        <v>8536</v>
      </c>
      <c r="L159" s="7" t="s">
        <v>8540</v>
      </c>
      <c r="M159" s="1" t="s">
        <v>9158</v>
      </c>
      <c r="N159" s="1" t="s">
        <v>9158</v>
      </c>
      <c r="O159" s="1" t="s">
        <v>9158</v>
      </c>
      <c r="P159" s="1" t="s">
        <v>9158</v>
      </c>
      <c r="Q159" s="1" t="s">
        <v>9158</v>
      </c>
      <c r="R159" s="7" t="s">
        <v>8534</v>
      </c>
    </row>
    <row r="160" spans="1:18">
      <c r="E160" s="7"/>
    </row>
    <row r="161" spans="1:19">
      <c r="A161" s="7" t="s">
        <v>8541</v>
      </c>
      <c r="E161" s="7"/>
    </row>
    <row r="162" spans="1:19">
      <c r="A162" s="7" t="s">
        <v>8542</v>
      </c>
      <c r="E162" s="7"/>
    </row>
    <row r="163" spans="1:19">
      <c r="A163" s="7" t="s">
        <v>8543</v>
      </c>
      <c r="E163" s="7"/>
    </row>
    <row r="164" spans="1:19">
      <c r="A164" s="1" t="s">
        <v>6905</v>
      </c>
      <c r="B164" s="1" t="s">
        <v>330</v>
      </c>
      <c r="C164" s="1" t="s">
        <v>35</v>
      </c>
      <c r="D164" s="20" t="s">
        <v>10299</v>
      </c>
      <c r="E164" s="15" t="str">
        <f>HYPERLINK("https://stat100.ameba.jp/tnk47/ratio20/illustrations/card/ill_80623_0_ohanamigurampingutominushihime03.jpg?201912-2-RELEASE-unionbattle-443x", "■")</f>
        <v>■</v>
      </c>
      <c r="F164" s="1" t="s">
        <v>4162</v>
      </c>
      <c r="G164" s="1">
        <v>313380</v>
      </c>
      <c r="H164" s="1">
        <v>283260</v>
      </c>
      <c r="I164" s="1">
        <v>26</v>
      </c>
      <c r="J164" s="1" t="s">
        <v>44</v>
      </c>
      <c r="K164" s="1" t="s">
        <v>4163</v>
      </c>
      <c r="L164" s="1" t="s">
        <v>4164</v>
      </c>
      <c r="M164" s="1" t="s">
        <v>9158</v>
      </c>
      <c r="N164" s="1" t="s">
        <v>9158</v>
      </c>
      <c r="O164" s="19" t="s">
        <v>10126</v>
      </c>
      <c r="P164" s="1" t="s">
        <v>4166</v>
      </c>
      <c r="Q164" s="1">
        <v>1</v>
      </c>
    </row>
    <row r="165" spans="1:19">
      <c r="A165" s="1" t="s">
        <v>5963</v>
      </c>
      <c r="B165" s="1" t="s">
        <v>330</v>
      </c>
      <c r="C165" s="1" t="s">
        <v>35</v>
      </c>
      <c r="D165" s="20" t="s">
        <v>10438</v>
      </c>
      <c r="E165" s="15" t="str">
        <f>HYPERLINK("https://stat100.ameba.jp/tnk47/ratio20/illustrations/card/ill_82963_0_yukatamatsuritomokazuki03.jpg?201912-2-RELEASE-unionbattle-443x", "■")</f>
        <v>■</v>
      </c>
      <c r="F165" s="1" t="s">
        <v>5964</v>
      </c>
      <c r="G165" s="1">
        <v>309714</v>
      </c>
      <c r="H165" s="1">
        <v>342692</v>
      </c>
      <c r="I165" s="1">
        <v>26</v>
      </c>
      <c r="J165" s="1" t="s">
        <v>73</v>
      </c>
      <c r="K165" s="1" t="s">
        <v>5966</v>
      </c>
      <c r="L165" s="1" t="s">
        <v>5967</v>
      </c>
      <c r="M165" s="1" t="s">
        <v>9158</v>
      </c>
      <c r="N165" s="1" t="s">
        <v>9158</v>
      </c>
      <c r="O165" s="19" t="s">
        <v>10115</v>
      </c>
      <c r="P165" s="1" t="s">
        <v>5968</v>
      </c>
      <c r="Q165" s="1">
        <v>1</v>
      </c>
    </row>
    <row r="166" spans="1:19">
      <c r="A166" s="1" t="s">
        <v>5621</v>
      </c>
      <c r="B166" s="1" t="s">
        <v>330</v>
      </c>
      <c r="C166" s="1" t="s">
        <v>191</v>
      </c>
      <c r="D166" s="20" t="s">
        <v>2871</v>
      </c>
      <c r="E166" s="15" t="str">
        <f>HYPERLINK("https://stat100.ameba.jp/tnk47/ratio20/illustrations/card/ill_51973_0_kemonomizugikuroyuridensetsu03.jpg?201912-2-RELEASE-unionbattle-443x", "■")</f>
        <v>■</v>
      </c>
      <c r="F166" s="1" t="s">
        <v>2872</v>
      </c>
      <c r="G166" s="1">
        <v>163342</v>
      </c>
      <c r="H166" s="1">
        <v>145100</v>
      </c>
      <c r="I166" s="1">
        <v>26</v>
      </c>
      <c r="J166" s="1" t="s">
        <v>274</v>
      </c>
      <c r="K166" s="1" t="s">
        <v>2873</v>
      </c>
      <c r="L166" s="1" t="s">
        <v>2874</v>
      </c>
      <c r="M166" s="1" t="s">
        <v>9158</v>
      </c>
      <c r="N166" s="1" t="s">
        <v>9158</v>
      </c>
      <c r="O166" s="19" t="s">
        <v>10088</v>
      </c>
      <c r="P166" s="1" t="s">
        <v>13172</v>
      </c>
      <c r="Q166" s="1">
        <v>1</v>
      </c>
      <c r="S166" s="7" t="s">
        <v>12963</v>
      </c>
    </row>
    <row r="167" spans="1:19">
      <c r="A167" s="1">
        <v>65643</v>
      </c>
      <c r="B167" s="1" t="s">
        <v>0</v>
      </c>
      <c r="C167" s="1" t="s">
        <v>209</v>
      </c>
      <c r="D167" s="20" t="s">
        <v>1681</v>
      </c>
      <c r="E167" s="15" t="str">
        <f>HYPERLINK("https://stat100.ameba.jp/tnk47/ratio20/illustrations/card/ill_65643_shitompekamui03.jpg?201912-2-RELEASE-unionbattle-443x", "■")</f>
        <v>■</v>
      </c>
      <c r="F167" s="1" t="s">
        <v>1250</v>
      </c>
      <c r="G167" s="1">
        <v>85962</v>
      </c>
      <c r="H167" s="1">
        <v>118684</v>
      </c>
      <c r="I167" s="1">
        <v>26</v>
      </c>
      <c r="J167" s="1" t="s">
        <v>44</v>
      </c>
      <c r="K167" s="1" t="s">
        <v>1251</v>
      </c>
      <c r="L167" s="1" t="s">
        <v>1252</v>
      </c>
      <c r="M167" s="1" t="s">
        <v>9158</v>
      </c>
      <c r="N167" s="1" t="s">
        <v>9158</v>
      </c>
      <c r="O167" s="19" t="s">
        <v>10096</v>
      </c>
      <c r="P167" s="1" t="s">
        <v>3245</v>
      </c>
      <c r="Q167" s="1">
        <v>1</v>
      </c>
    </row>
    <row r="168" spans="1:19">
      <c r="A168" s="1">
        <v>78143</v>
      </c>
      <c r="B168" s="1" t="s">
        <v>334</v>
      </c>
      <c r="C168" s="1" t="s">
        <v>203</v>
      </c>
      <c r="D168" s="20" t="s">
        <v>10285</v>
      </c>
      <c r="E168" s="15" t="str">
        <f>HYPERLINK("https://stat100.ameba.jp/tnk47/ratio20/illustrations/card/ill_78143_kanibarukuin03.jpg?201912-2-RELEASE-unionbattle-443x", "■")</f>
        <v>■</v>
      </c>
      <c r="F168" s="1" t="s">
        <v>2687</v>
      </c>
      <c r="G168" s="1">
        <v>96010</v>
      </c>
      <c r="H168" s="1">
        <v>132562</v>
      </c>
      <c r="I168" s="1">
        <v>26</v>
      </c>
      <c r="J168" s="1" t="s">
        <v>26</v>
      </c>
      <c r="K168" s="1" t="s">
        <v>2688</v>
      </c>
      <c r="L168" s="1" t="s">
        <v>2137</v>
      </c>
      <c r="M168" s="1" t="s">
        <v>9158</v>
      </c>
      <c r="N168" s="1" t="s">
        <v>9158</v>
      </c>
      <c r="O168" s="19" t="s">
        <v>10103</v>
      </c>
      <c r="P168" s="1" t="s">
        <v>3897</v>
      </c>
      <c r="Q168" s="1">
        <v>1</v>
      </c>
    </row>
    <row r="169" spans="1:19">
      <c r="A169" s="1">
        <v>81313</v>
      </c>
      <c r="B169" s="1" t="s">
        <v>0</v>
      </c>
      <c r="C169" s="1" t="s">
        <v>154</v>
      </c>
      <c r="D169" s="20" t="s">
        <v>10511</v>
      </c>
      <c r="E169" s="15" t="str">
        <f>HYPERLINK("https://stat100.ameba.jp/tnk47/ratio20/illustrations/card/ill_81313_harihara03.jpg?201912-2-RELEASE-unionbattle-443x", "■")</f>
        <v>■</v>
      </c>
      <c r="F169" s="1" t="s">
        <v>4667</v>
      </c>
      <c r="G169" s="1">
        <v>172982</v>
      </c>
      <c r="H169" s="1">
        <v>125296</v>
      </c>
      <c r="I169" s="1">
        <v>26</v>
      </c>
      <c r="J169" s="1" t="s">
        <v>44</v>
      </c>
      <c r="K169" s="1" t="s">
        <v>4668</v>
      </c>
      <c r="L169" s="1" t="s">
        <v>4669</v>
      </c>
      <c r="M169" s="1" t="s">
        <v>9158</v>
      </c>
      <c r="N169" s="1" t="s">
        <v>9158</v>
      </c>
      <c r="O169" s="19" t="s">
        <v>10114</v>
      </c>
      <c r="P169" s="1" t="s">
        <v>3658</v>
      </c>
      <c r="Q169" s="1">
        <v>1</v>
      </c>
    </row>
    <row r="170" spans="1:19">
      <c r="A170" s="1">
        <v>83083</v>
      </c>
      <c r="B170" s="1" t="s">
        <v>0</v>
      </c>
      <c r="C170" s="1" t="s">
        <v>209</v>
      </c>
      <c r="D170" s="20" t="s">
        <v>10469</v>
      </c>
      <c r="E170" s="15" t="str">
        <f>HYPERLINK("https://stat100.ameba.jp/tnk47/ratio20/illustrations/card/ill_83083_burakkukingu03.jpg?201912-2-RELEASE-unionbattle-443x", "■")</f>
        <v>■</v>
      </c>
      <c r="F170" s="1" t="s">
        <v>6093</v>
      </c>
      <c r="G170" s="1">
        <v>125296</v>
      </c>
      <c r="H170" s="1">
        <v>172982</v>
      </c>
      <c r="I170" s="1">
        <v>26</v>
      </c>
      <c r="J170" s="1" t="s">
        <v>194</v>
      </c>
      <c r="K170" s="1" t="s">
        <v>6095</v>
      </c>
      <c r="L170" s="1" t="s">
        <v>1148</v>
      </c>
      <c r="M170" s="1" t="s">
        <v>9158</v>
      </c>
      <c r="N170" s="1" t="s">
        <v>9158</v>
      </c>
      <c r="O170" s="19" t="s">
        <v>10117</v>
      </c>
      <c r="P170" s="1" t="s">
        <v>3625</v>
      </c>
      <c r="Q170" s="1">
        <v>1</v>
      </c>
    </row>
    <row r="171" spans="1:19">
      <c r="A171" s="1">
        <v>75093</v>
      </c>
      <c r="B171" s="1" t="s">
        <v>334</v>
      </c>
      <c r="C171" s="1" t="s">
        <v>158</v>
      </c>
      <c r="D171" s="20" t="s">
        <v>10403</v>
      </c>
      <c r="E171" s="15" t="str">
        <f>HYPERLINK("https://stat100.ameba.jp/tnk47/ratio20/illustrations/card/ill_75093_hangonko03.jpg?201912-2-RELEASE-unionbattle-443x", "■")</f>
        <v>■</v>
      </c>
      <c r="F171" s="1" t="s">
        <v>2614</v>
      </c>
      <c r="G171" s="1">
        <v>137430</v>
      </c>
      <c r="H171" s="1">
        <v>99532</v>
      </c>
      <c r="I171" s="1">
        <v>26</v>
      </c>
      <c r="J171" s="1" t="s">
        <v>44</v>
      </c>
      <c r="K171" s="1" t="s">
        <v>2615</v>
      </c>
      <c r="L171" s="1" t="s">
        <v>1108</v>
      </c>
      <c r="M171" s="1" t="s">
        <v>9158</v>
      </c>
      <c r="N171" s="1" t="s">
        <v>9158</v>
      </c>
      <c r="O171" s="19" t="s">
        <v>2951</v>
      </c>
      <c r="P171" s="1" t="s">
        <v>13122</v>
      </c>
      <c r="Q171" s="1">
        <v>1</v>
      </c>
    </row>
    <row r="172" spans="1:19">
      <c r="A172" s="1">
        <v>60763</v>
      </c>
      <c r="B172" s="1" t="s">
        <v>334</v>
      </c>
      <c r="C172" s="1" t="s">
        <v>203</v>
      </c>
      <c r="D172" s="20" t="s">
        <v>10420</v>
      </c>
      <c r="E172" s="15" t="str">
        <f>HYPERLINK("https://stat100.ameba.jp/tnk47/ratio20/illustrations/card/ill_60763_fujiwarakagekiyo03.jpg?201912-2-RELEASE-unionbattle-443x", "■")</f>
        <v>■</v>
      </c>
      <c r="F172" s="1" t="s">
        <v>1146</v>
      </c>
      <c r="G172" s="1">
        <v>125296</v>
      </c>
      <c r="H172" s="1">
        <v>172982</v>
      </c>
      <c r="I172" s="1">
        <v>26</v>
      </c>
      <c r="J172" s="1" t="s">
        <v>143</v>
      </c>
      <c r="K172" s="1" t="s">
        <v>1147</v>
      </c>
      <c r="L172" s="1" t="s">
        <v>1148</v>
      </c>
      <c r="M172" s="1" t="s">
        <v>9158</v>
      </c>
      <c r="N172" s="1" t="s">
        <v>9158</v>
      </c>
      <c r="O172" s="19" t="s">
        <v>10112</v>
      </c>
      <c r="P172" s="1" t="s">
        <v>13150</v>
      </c>
      <c r="Q172" s="1">
        <v>1</v>
      </c>
    </row>
    <row r="173" spans="1:19">
      <c r="A173" s="1">
        <v>70883</v>
      </c>
      <c r="B173" s="1" t="s">
        <v>334</v>
      </c>
      <c r="C173" s="1" t="s">
        <v>185</v>
      </c>
      <c r="D173" s="20" t="s">
        <v>10841</v>
      </c>
      <c r="E173" s="15" t="str">
        <f>HYPERLINK("https://stat100.ameba.jp/tnk47/ratio20/illustrations/card/ill_70883_sotsugyoshikikishi03.jpg?201912-2-RELEASE-unionbattle-443x", "■")</f>
        <v>■</v>
      </c>
      <c r="F173" s="1" t="s">
        <v>918</v>
      </c>
      <c r="G173" s="1">
        <v>105426</v>
      </c>
      <c r="H173" s="1">
        <v>98066</v>
      </c>
      <c r="I173" s="1">
        <v>26</v>
      </c>
      <c r="J173" s="1" t="s">
        <v>16</v>
      </c>
      <c r="K173" s="1" t="s">
        <v>919</v>
      </c>
      <c r="L173" s="1" t="s">
        <v>920</v>
      </c>
      <c r="M173" s="1" t="s">
        <v>9158</v>
      </c>
      <c r="N173" s="1" t="s">
        <v>9158</v>
      </c>
      <c r="O173" s="1" t="s">
        <v>9158</v>
      </c>
      <c r="P173" s="1" t="s">
        <v>9158</v>
      </c>
      <c r="Q173" s="1" t="s">
        <v>9158</v>
      </c>
    </row>
    <row r="174" spans="1:19">
      <c r="A174" s="7">
        <v>60813</v>
      </c>
      <c r="B174" s="1" t="s">
        <v>334</v>
      </c>
      <c r="C174" s="1" t="s">
        <v>200</v>
      </c>
      <c r="D174" s="20" t="s">
        <v>10842</v>
      </c>
      <c r="E174" s="15" t="str">
        <f>HYPERLINK("https://stat100.ameba.jp/tnk47/ratio20/illustrations/card/ill_60813_hieigo03.jpg?201912-2-RELEASE-unionbattle-443x", "■")</f>
        <v>■</v>
      </c>
      <c r="F174" s="1" t="s">
        <v>3544</v>
      </c>
      <c r="G174" s="1">
        <v>101558</v>
      </c>
      <c r="H174" s="1">
        <v>94390</v>
      </c>
      <c r="I174" s="1">
        <v>26</v>
      </c>
      <c r="J174" s="1" t="s">
        <v>77</v>
      </c>
      <c r="K174" s="1" t="s">
        <v>3545</v>
      </c>
      <c r="L174" s="1" t="s">
        <v>76</v>
      </c>
      <c r="M174" s="1" t="s">
        <v>9158</v>
      </c>
      <c r="N174" s="1" t="s">
        <v>9158</v>
      </c>
      <c r="O174" s="1" t="s">
        <v>9158</v>
      </c>
      <c r="P174" s="1" t="s">
        <v>9158</v>
      </c>
      <c r="Q174" s="1" t="s">
        <v>9158</v>
      </c>
    </row>
    <row r="175" spans="1:19">
      <c r="A175" s="7">
        <v>65773</v>
      </c>
      <c r="B175" s="1" t="s">
        <v>334</v>
      </c>
      <c r="C175" s="1" t="s">
        <v>8544</v>
      </c>
      <c r="D175" s="20" t="s">
        <v>10843</v>
      </c>
      <c r="E175" s="15" t="str">
        <f>HYPERLINK("https://stat100.ameba.jp/tnk47/ratio20/illustrations/card/ill_65773_kitsunenoyomeiri03.jpg?201912-2-RELEASE-unionbattle-443x", "■")</f>
        <v>■</v>
      </c>
      <c r="F175" s="1" t="s">
        <v>8545</v>
      </c>
      <c r="G175" s="1">
        <v>118656</v>
      </c>
      <c r="H175" s="1">
        <v>110126</v>
      </c>
      <c r="I175" s="1">
        <v>26</v>
      </c>
      <c r="J175" s="1" t="s">
        <v>8546</v>
      </c>
      <c r="K175" s="1" t="s">
        <v>8547</v>
      </c>
      <c r="L175" s="1" t="s">
        <v>1416</v>
      </c>
      <c r="M175" s="1" t="s">
        <v>9158</v>
      </c>
      <c r="N175" s="1" t="s">
        <v>9158</v>
      </c>
      <c r="O175" s="1" t="s">
        <v>9158</v>
      </c>
      <c r="P175" s="1" t="s">
        <v>9158</v>
      </c>
      <c r="Q175" s="1" t="s">
        <v>9158</v>
      </c>
    </row>
    <row r="176" spans="1:19">
      <c r="A176" s="1">
        <v>82663</v>
      </c>
      <c r="B176" s="1" t="s">
        <v>0</v>
      </c>
      <c r="C176" s="1" t="s">
        <v>165</v>
      </c>
      <c r="D176" s="20" t="s">
        <v>10368</v>
      </c>
      <c r="E176" s="15" t="str">
        <f>HYPERLINK("https://stat100.ameba.jp/tnk47/ratio20/illustrations/card/ill_82663_fuisshingukoshikibunonaishi03.jpg?201912-2-RELEASE-unionbattle-443x", "■")</f>
        <v>■</v>
      </c>
      <c r="F176" s="1" t="s">
        <v>5662</v>
      </c>
      <c r="G176" s="1">
        <v>105426</v>
      </c>
      <c r="H176" s="1">
        <v>98066</v>
      </c>
      <c r="I176" s="1">
        <v>26</v>
      </c>
      <c r="J176" s="1" t="s">
        <v>414</v>
      </c>
      <c r="K176" s="1" t="s">
        <v>5663</v>
      </c>
      <c r="L176" s="1" t="s">
        <v>920</v>
      </c>
      <c r="M176" s="1" t="s">
        <v>9158</v>
      </c>
      <c r="N176" s="1" t="s">
        <v>9158</v>
      </c>
      <c r="O176" s="1" t="s">
        <v>9158</v>
      </c>
      <c r="P176" s="1" t="s">
        <v>9158</v>
      </c>
      <c r="Q176" s="1" t="s">
        <v>9158</v>
      </c>
    </row>
    <row r="177" spans="1:19">
      <c r="A177" s="1">
        <v>62153</v>
      </c>
      <c r="B177" s="1" t="s">
        <v>334</v>
      </c>
      <c r="C177" s="1" t="s">
        <v>205</v>
      </c>
      <c r="D177" s="20" t="s">
        <v>3127</v>
      </c>
      <c r="E177" s="15" t="str">
        <f>HYPERLINK("https://stat100.ameba.jp/tnk47/ratio20/illustrations/card/ill_62153_obentonekodanuki03.jpg?201912-2-RELEASE-unionbattle-443x", "■")</f>
        <v>■</v>
      </c>
      <c r="F177" s="1" t="s">
        <v>3128</v>
      </c>
      <c r="G177" s="1">
        <v>108330</v>
      </c>
      <c r="H177" s="1">
        <v>100744</v>
      </c>
      <c r="I177" s="1">
        <v>26</v>
      </c>
      <c r="J177" s="1" t="s">
        <v>320</v>
      </c>
      <c r="K177" s="1" t="s">
        <v>3129</v>
      </c>
      <c r="L177" s="1" t="s">
        <v>3130</v>
      </c>
      <c r="M177" s="1" t="s">
        <v>9158</v>
      </c>
      <c r="N177" s="1" t="s">
        <v>9158</v>
      </c>
      <c r="O177" s="1" t="s">
        <v>9158</v>
      </c>
      <c r="P177" s="1" t="s">
        <v>9158</v>
      </c>
      <c r="Q177" s="1" t="s">
        <v>9158</v>
      </c>
    </row>
    <row r="178" spans="1:19">
      <c r="A178" s="7">
        <v>68993</v>
      </c>
      <c r="B178" s="1" t="s">
        <v>334</v>
      </c>
      <c r="C178" s="1" t="s">
        <v>206</v>
      </c>
      <c r="D178" s="20" t="s">
        <v>10844</v>
      </c>
      <c r="E178" s="15" t="str">
        <f>HYPERLINK("https://stat100.ameba.jp/tnk47/ratio20/illustrations/card/ill_68993_namahageyoriyorichan03.jpg?201912-2-RELEASE-unionbattle-443x", "■")</f>
        <v>■</v>
      </c>
      <c r="F178" s="1" t="s">
        <v>2407</v>
      </c>
      <c r="G178" s="1">
        <v>122786</v>
      </c>
      <c r="H178" s="1">
        <v>114176</v>
      </c>
      <c r="I178" s="1">
        <v>26</v>
      </c>
      <c r="J178" s="1" t="s">
        <v>104</v>
      </c>
      <c r="K178" s="1" t="s">
        <v>2408</v>
      </c>
      <c r="L178" s="1" t="s">
        <v>2409</v>
      </c>
      <c r="M178" s="1" t="s">
        <v>9158</v>
      </c>
      <c r="N178" s="1" t="s">
        <v>9158</v>
      </c>
      <c r="O178" s="1" t="s">
        <v>9158</v>
      </c>
      <c r="P178" s="1" t="s">
        <v>9158</v>
      </c>
      <c r="Q178" s="1" t="s">
        <v>9158</v>
      </c>
    </row>
    <row r="179" spans="1:19">
      <c r="A179" s="1">
        <v>82483</v>
      </c>
      <c r="B179" s="1" t="s">
        <v>15</v>
      </c>
      <c r="C179" s="1" t="s">
        <v>101</v>
      </c>
      <c r="D179" s="20" t="s">
        <v>10336</v>
      </c>
      <c r="E179" s="15" t="str">
        <f>HYPERLINK("https://stat100.ameba.jp/tnk47/ratio20/illustrations/card/ill_82483_iwanushi03.jpg?201912-2-RELEASE-unionbattle-443x", "■")</f>
        <v>■</v>
      </c>
      <c r="F179" s="1" t="s">
        <v>5459</v>
      </c>
      <c r="G179" s="9">
        <v>77064</v>
      </c>
      <c r="H179" s="9">
        <v>69898</v>
      </c>
      <c r="I179" s="1">
        <v>26</v>
      </c>
      <c r="J179" s="1" t="s">
        <v>26</v>
      </c>
      <c r="K179" s="1" t="s">
        <v>5460</v>
      </c>
      <c r="L179" s="1" t="s">
        <v>2011</v>
      </c>
      <c r="M179" s="1" t="s">
        <v>9158</v>
      </c>
      <c r="N179" s="1" t="s">
        <v>9158</v>
      </c>
      <c r="O179" s="1" t="s">
        <v>9158</v>
      </c>
      <c r="P179" s="1" t="s">
        <v>9158</v>
      </c>
      <c r="Q179" s="1" t="s">
        <v>9158</v>
      </c>
    </row>
    <row r="180" spans="1:19">
      <c r="A180" s="7">
        <v>59933</v>
      </c>
      <c r="B180" s="1" t="s">
        <v>348</v>
      </c>
      <c r="C180" s="1" t="s">
        <v>1</v>
      </c>
      <c r="D180" s="20" t="s">
        <v>10196</v>
      </c>
      <c r="E180" s="15" t="str">
        <f>HYPERLINK("https://stat100.ameba.jp/tnk47/ratio20/illustrations/card/ill_59933_yuseikyogokuichiko03.jpg?201912-2-RELEASE-unionbattle-443x", "■")</f>
        <v>■</v>
      </c>
      <c r="F180" s="1" t="s">
        <v>4965</v>
      </c>
      <c r="G180" s="9">
        <v>69898</v>
      </c>
      <c r="H180" s="9">
        <v>77064</v>
      </c>
      <c r="I180" s="1">
        <v>26</v>
      </c>
      <c r="J180" s="1" t="s">
        <v>16</v>
      </c>
      <c r="K180" s="1" t="s">
        <v>4967</v>
      </c>
      <c r="L180" s="1" t="s">
        <v>981</v>
      </c>
      <c r="M180" s="1" t="s">
        <v>9158</v>
      </c>
      <c r="N180" s="1" t="s">
        <v>9158</v>
      </c>
      <c r="O180" s="1" t="s">
        <v>9158</v>
      </c>
      <c r="P180" s="1" t="s">
        <v>9158</v>
      </c>
      <c r="Q180" s="1" t="s">
        <v>9158</v>
      </c>
      <c r="R180" s="1"/>
      <c r="S180" s="1"/>
    </row>
    <row r="181" spans="1:19">
      <c r="A181" s="7">
        <v>75473</v>
      </c>
      <c r="B181" s="1" t="s">
        <v>15</v>
      </c>
      <c r="C181" s="1" t="s">
        <v>206</v>
      </c>
      <c r="D181" s="20" t="s">
        <v>10613</v>
      </c>
      <c r="E181" s="15" t="str">
        <f>HYPERLINK("https://stat100.ameba.jp/tnk47/ratio20/illustrations/card/ill_75473_akizukitanetoki03.jpg?201912-2-RELEASE-unionbattle-443x", "■")</f>
        <v>■</v>
      </c>
      <c r="F181" s="1" t="s">
        <v>4705</v>
      </c>
      <c r="G181" s="9">
        <v>69898</v>
      </c>
      <c r="H181" s="9">
        <v>77064</v>
      </c>
      <c r="I181" s="1">
        <v>26</v>
      </c>
      <c r="J181" s="1" t="s">
        <v>143</v>
      </c>
      <c r="K181" s="1" t="s">
        <v>4706</v>
      </c>
      <c r="L181" s="1" t="s">
        <v>3326</v>
      </c>
      <c r="M181" s="1" t="s">
        <v>9158</v>
      </c>
      <c r="N181" s="1" t="s">
        <v>9158</v>
      </c>
      <c r="O181" s="1" t="s">
        <v>9158</v>
      </c>
      <c r="P181" s="1" t="s">
        <v>9158</v>
      </c>
      <c r="Q181" s="1" t="s">
        <v>9158</v>
      </c>
      <c r="R181" s="1"/>
      <c r="S181" s="1"/>
    </row>
    <row r="182" spans="1:19">
      <c r="E182" s="7"/>
    </row>
    <row r="183" spans="1:19">
      <c r="A183" s="1" t="s">
        <v>13326</v>
      </c>
      <c r="B183" s="1"/>
      <c r="C183" s="1"/>
      <c r="D183" s="1"/>
      <c r="F183" s="1"/>
      <c r="I183" s="1"/>
      <c r="J183" s="1"/>
      <c r="K183" s="1"/>
      <c r="L183" s="1"/>
      <c r="M183" s="1"/>
      <c r="N183" s="1"/>
      <c r="O183" s="1"/>
      <c r="P183" s="1"/>
      <c r="Q183" s="1"/>
      <c r="R183" s="1"/>
    </row>
    <row r="184" spans="1:19">
      <c r="A184" s="1" t="s">
        <v>8526</v>
      </c>
      <c r="B184" s="1"/>
      <c r="C184" s="1"/>
      <c r="D184" s="1"/>
      <c r="F184" s="1"/>
      <c r="G184" s="1"/>
      <c r="H184" s="1"/>
      <c r="I184" s="1"/>
      <c r="J184" s="1"/>
      <c r="K184" s="1"/>
      <c r="L184" s="1"/>
      <c r="M184" s="1"/>
      <c r="N184" s="1"/>
      <c r="O184" s="1"/>
      <c r="P184" s="1"/>
      <c r="Q184" s="1"/>
      <c r="R184" s="1"/>
    </row>
    <row r="185" spans="1:19">
      <c r="A185" s="1">
        <v>69293</v>
      </c>
      <c r="B185" s="1" t="s">
        <v>334</v>
      </c>
      <c r="C185" s="1" t="s">
        <v>185</v>
      </c>
      <c r="D185" s="20" t="s">
        <v>1155</v>
      </c>
      <c r="E185" s="15" t="str">
        <f>HYPERLINK("https://stat100.ameba.jp/tnk47/ratio20/illustrations/card/ill_69293_merukishiru03.jpg?201912-2-RELEASE-unionbattle-443x", "■")</f>
        <v>■</v>
      </c>
      <c r="F185" s="1" t="s">
        <v>1156</v>
      </c>
      <c r="G185" s="1">
        <v>123076</v>
      </c>
      <c r="H185" s="1">
        <v>114429</v>
      </c>
      <c r="I185" s="1">
        <v>25</v>
      </c>
      <c r="J185" s="1" t="s">
        <v>414</v>
      </c>
      <c r="K185" s="1" t="s">
        <v>1170</v>
      </c>
      <c r="L185" s="1" t="s">
        <v>9902</v>
      </c>
      <c r="M185" s="1" t="s">
        <v>13151</v>
      </c>
      <c r="N185" s="1" t="s">
        <v>251</v>
      </c>
      <c r="O185" s="1" t="s">
        <v>9158</v>
      </c>
      <c r="P185" s="1" t="s">
        <v>9158</v>
      </c>
      <c r="Q185" s="1" t="s">
        <v>9158</v>
      </c>
      <c r="R185" s="14"/>
    </row>
    <row r="186" spans="1:19">
      <c r="A186" s="1">
        <v>69292</v>
      </c>
      <c r="B186" s="1" t="s">
        <v>334</v>
      </c>
      <c r="C186" s="1" t="s">
        <v>185</v>
      </c>
      <c r="D186" s="20" t="s">
        <v>1155</v>
      </c>
      <c r="E186" s="15" t="str">
        <f>HYPERLINK("https://stat100.ameba.jp/tnk47/ratio20/illustrations/card/ill_69292_merukishiru02.jpg?201912-2-RELEASE-unionbattle-443x", "■")</f>
        <v>■</v>
      </c>
      <c r="F186" s="1" t="s">
        <v>1156</v>
      </c>
      <c r="G186" s="1">
        <v>102885</v>
      </c>
      <c r="H186" s="1">
        <v>94774</v>
      </c>
      <c r="I186" s="1">
        <v>25</v>
      </c>
      <c r="J186" s="1" t="s">
        <v>414</v>
      </c>
      <c r="K186" s="1" t="s">
        <v>1170</v>
      </c>
      <c r="L186" s="1" t="s">
        <v>9902</v>
      </c>
      <c r="M186" s="1" t="s">
        <v>13151</v>
      </c>
      <c r="N186" s="1" t="s">
        <v>251</v>
      </c>
      <c r="O186" s="1" t="s">
        <v>9158</v>
      </c>
      <c r="P186" s="1" t="s">
        <v>9158</v>
      </c>
      <c r="Q186" s="1" t="s">
        <v>9158</v>
      </c>
      <c r="R186" s="14"/>
    </row>
    <row r="187" spans="1:19">
      <c r="A187" s="1">
        <v>69291</v>
      </c>
      <c r="B187" s="1" t="s">
        <v>334</v>
      </c>
      <c r="C187" s="1" t="s">
        <v>185</v>
      </c>
      <c r="D187" s="20" t="s">
        <v>1155</v>
      </c>
      <c r="E187" s="15" t="str">
        <f>HYPERLINK("https://stat100.ameba.jp/tnk47/ratio20/illustrations/card/ill_69291_merukishiru01.jpg?201912-2-RELEASE-unionbattle-443x", "■")</f>
        <v>■</v>
      </c>
      <c r="F187" s="1" t="s">
        <v>1156</v>
      </c>
      <c r="G187" s="1">
        <v>78550</v>
      </c>
      <c r="H187" s="1">
        <v>73125</v>
      </c>
      <c r="I187" s="1">
        <v>25</v>
      </c>
      <c r="J187" s="1" t="s">
        <v>414</v>
      </c>
      <c r="K187" s="1" t="s">
        <v>1170</v>
      </c>
      <c r="L187" s="1" t="s">
        <v>9902</v>
      </c>
      <c r="M187" s="1" t="s">
        <v>13151</v>
      </c>
      <c r="N187" s="1" t="s">
        <v>251</v>
      </c>
      <c r="O187" s="1" t="s">
        <v>9158</v>
      </c>
      <c r="P187" s="1" t="s">
        <v>9158</v>
      </c>
      <c r="Q187" s="1" t="s">
        <v>9158</v>
      </c>
      <c r="R187" s="14"/>
    </row>
    <row r="188" spans="1:19">
      <c r="A188" s="1">
        <v>69303</v>
      </c>
      <c r="B188" s="1" t="s">
        <v>334</v>
      </c>
      <c r="C188" s="1" t="s">
        <v>200</v>
      </c>
      <c r="D188" s="20" t="s">
        <v>1157</v>
      </c>
      <c r="E188" s="15" t="str">
        <f>HYPERLINK("https://stat100.ameba.jp/tnk47/ratio20/illustrations/card/ill_69303_torumushaito03.jpg?201912-2-RELEASE-unionbattle-443x", "■")</f>
        <v>■</v>
      </c>
      <c r="F188" s="1" t="s">
        <v>1162</v>
      </c>
      <c r="G188" s="1">
        <v>123076</v>
      </c>
      <c r="H188" s="1">
        <v>114429</v>
      </c>
      <c r="I188" s="1">
        <v>25</v>
      </c>
      <c r="J188" s="1" t="s">
        <v>369</v>
      </c>
      <c r="K188" s="1" t="s">
        <v>1171</v>
      </c>
      <c r="L188" s="1" t="s">
        <v>9903</v>
      </c>
      <c r="M188" s="1" t="s">
        <v>13151</v>
      </c>
      <c r="N188" s="1" t="s">
        <v>251</v>
      </c>
      <c r="O188" s="1" t="s">
        <v>9158</v>
      </c>
      <c r="P188" s="1" t="s">
        <v>9158</v>
      </c>
      <c r="Q188" s="1" t="s">
        <v>9158</v>
      </c>
      <c r="R188" s="1"/>
    </row>
    <row r="189" spans="1:19">
      <c r="A189" s="1">
        <v>69313</v>
      </c>
      <c r="B189" s="1" t="s">
        <v>334</v>
      </c>
      <c r="C189" s="1" t="s">
        <v>191</v>
      </c>
      <c r="D189" s="20" t="s">
        <v>1158</v>
      </c>
      <c r="E189" s="15" t="str">
        <f>HYPERLINK("https://stat100.ameba.jp/tnk47/ratio20/illustrations/card/ill_69313_teishutoriya03.jpg?201912-2-RELEASE-unionbattle-443x", "■")</f>
        <v>■</v>
      </c>
      <c r="F189" s="1" t="s">
        <v>1163</v>
      </c>
      <c r="G189" s="1">
        <v>114429</v>
      </c>
      <c r="H189" s="1">
        <v>123076</v>
      </c>
      <c r="I189" s="1">
        <v>25</v>
      </c>
      <c r="J189" s="1" t="s">
        <v>401</v>
      </c>
      <c r="K189" s="1" t="s">
        <v>1172</v>
      </c>
      <c r="L189" s="1" t="s">
        <v>9904</v>
      </c>
      <c r="M189" s="1" t="s">
        <v>13151</v>
      </c>
      <c r="N189" s="1" t="s">
        <v>251</v>
      </c>
      <c r="O189" s="1" t="s">
        <v>9158</v>
      </c>
      <c r="P189" s="1" t="s">
        <v>9158</v>
      </c>
      <c r="Q189" s="1" t="s">
        <v>9158</v>
      </c>
      <c r="R189" s="1"/>
    </row>
    <row r="190" spans="1:19">
      <c r="A190" s="1">
        <v>69323</v>
      </c>
      <c r="B190" s="1" t="s">
        <v>334</v>
      </c>
      <c r="C190" s="1" t="s">
        <v>165</v>
      </c>
      <c r="D190" s="20" t="s">
        <v>10257</v>
      </c>
      <c r="E190" s="15" t="str">
        <f>HYPERLINK("https://stat100.ameba.jp/tnk47/ratio20/illustrations/card/ill_69323_fujitsubonomiya03.jpg?201912-2-RELEASE-unionbattle-443x", "■")</f>
        <v>■</v>
      </c>
      <c r="F190" s="1" t="s">
        <v>1164</v>
      </c>
      <c r="G190" s="1">
        <v>114429</v>
      </c>
      <c r="H190" s="1">
        <v>123076</v>
      </c>
      <c r="I190" s="1">
        <v>25</v>
      </c>
      <c r="J190" s="1" t="s">
        <v>1167</v>
      </c>
      <c r="K190" s="1" t="s">
        <v>1173</v>
      </c>
      <c r="L190" s="1" t="s">
        <v>9905</v>
      </c>
      <c r="M190" s="1" t="s">
        <v>13151</v>
      </c>
      <c r="N190" s="1" t="s">
        <v>251</v>
      </c>
      <c r="O190" s="1" t="s">
        <v>9158</v>
      </c>
      <c r="P190" s="1" t="s">
        <v>9158</v>
      </c>
      <c r="Q190" s="1" t="s">
        <v>9158</v>
      </c>
      <c r="R190" s="1"/>
    </row>
    <row r="191" spans="1:19">
      <c r="A191" s="1">
        <v>69333</v>
      </c>
      <c r="B191" s="1" t="s">
        <v>334</v>
      </c>
      <c r="C191" s="1" t="s">
        <v>205</v>
      </c>
      <c r="D191" s="20" t="s">
        <v>1160</v>
      </c>
      <c r="E191" s="15" t="str">
        <f>HYPERLINK("https://stat100.ameba.jp/tnk47/ratio20/illustrations/card/ill_69333_mefuisutofueresu03.jpg?201912-2-RELEASE-unionbattle-443x", "■")</f>
        <v>■</v>
      </c>
      <c r="F191" s="1" t="s">
        <v>1165</v>
      </c>
      <c r="G191" s="1">
        <v>123076</v>
      </c>
      <c r="H191" s="1">
        <v>114429</v>
      </c>
      <c r="I191" s="1">
        <v>25</v>
      </c>
      <c r="J191" s="1" t="s">
        <v>1168</v>
      </c>
      <c r="K191" s="1" t="s">
        <v>1174</v>
      </c>
      <c r="L191" s="1" t="s">
        <v>9906</v>
      </c>
      <c r="M191" s="1" t="s">
        <v>13151</v>
      </c>
      <c r="N191" s="1" t="s">
        <v>251</v>
      </c>
      <c r="O191" s="1" t="s">
        <v>9158</v>
      </c>
      <c r="P191" s="1" t="s">
        <v>9158</v>
      </c>
      <c r="Q191" s="1" t="s">
        <v>9158</v>
      </c>
      <c r="R191" s="1"/>
    </row>
    <row r="192" spans="1:19">
      <c r="A192" s="1">
        <v>69343</v>
      </c>
      <c r="B192" s="1" t="s">
        <v>334</v>
      </c>
      <c r="C192" s="1" t="s">
        <v>206</v>
      </c>
      <c r="D192" s="20" t="s">
        <v>10258</v>
      </c>
      <c r="E192" s="15" t="str">
        <f>HYPERLINK("https://stat100.ameba.jp/tnk47/ratio20/illustrations/card/ill_69343_teikinnofuire03.jpg?201912-2-RELEASE-unionbattle-443x", "■")</f>
        <v>■</v>
      </c>
      <c r="F192" s="1" t="s">
        <v>1166</v>
      </c>
      <c r="G192" s="1">
        <v>114429</v>
      </c>
      <c r="H192" s="1">
        <v>123076</v>
      </c>
      <c r="I192" s="1">
        <v>25</v>
      </c>
      <c r="J192" s="1" t="s">
        <v>1169</v>
      </c>
      <c r="K192" s="1" t="s">
        <v>1175</v>
      </c>
      <c r="L192" s="1" t="s">
        <v>9907</v>
      </c>
      <c r="M192" s="1" t="s">
        <v>13151</v>
      </c>
      <c r="N192" s="1" t="s">
        <v>251</v>
      </c>
      <c r="O192" s="1" t="s">
        <v>9158</v>
      </c>
      <c r="P192" s="1" t="s">
        <v>9158</v>
      </c>
      <c r="Q192" s="1" t="s">
        <v>9158</v>
      </c>
      <c r="R192" s="1"/>
    </row>
    <row r="193" spans="1:17">
      <c r="E193" s="7"/>
    </row>
    <row r="194" spans="1:17">
      <c r="A194" s="7" t="s">
        <v>8548</v>
      </c>
      <c r="E194" s="7"/>
    </row>
    <row r="195" spans="1:17">
      <c r="A195" s="7" t="s">
        <v>8549</v>
      </c>
      <c r="E195" s="7"/>
    </row>
    <row r="196" spans="1:17">
      <c r="A196" s="1" t="s">
        <v>5602</v>
      </c>
      <c r="B196" s="1" t="s">
        <v>52</v>
      </c>
      <c r="C196" s="1" t="s">
        <v>14</v>
      </c>
      <c r="D196" s="20" t="s">
        <v>813</v>
      </c>
      <c r="E196" s="15" t="str">
        <f>HYPERLINK("https://stat100.ameba.jp/tnk47/ratio20/illustrations/card/ill_55313_0_haroinononokomachi03.jpg?201912-2-RELEASE-unionbattle-443x", "■")</f>
        <v>■</v>
      </c>
      <c r="F196" s="1" t="s">
        <v>2094</v>
      </c>
      <c r="G196" s="1">
        <v>144494</v>
      </c>
      <c r="H196" s="1">
        <v>128358</v>
      </c>
      <c r="I196" s="1">
        <v>23</v>
      </c>
      <c r="J196" s="1" t="s">
        <v>10</v>
      </c>
      <c r="K196" s="1" t="s">
        <v>2095</v>
      </c>
      <c r="L196" s="1" t="s">
        <v>2096</v>
      </c>
      <c r="M196" s="1" t="s">
        <v>9158</v>
      </c>
      <c r="N196" s="1" t="s">
        <v>9158</v>
      </c>
      <c r="O196" s="19" t="s">
        <v>2733</v>
      </c>
      <c r="P196" s="1" t="s">
        <v>2734</v>
      </c>
      <c r="Q196" s="1">
        <v>1</v>
      </c>
    </row>
    <row r="197" spans="1:17">
      <c r="A197" s="1" t="s">
        <v>5719</v>
      </c>
      <c r="B197" s="1" t="s">
        <v>52</v>
      </c>
      <c r="C197" s="1" t="s">
        <v>165</v>
      </c>
      <c r="D197" s="20" t="s">
        <v>10379</v>
      </c>
      <c r="E197" s="15" t="str">
        <f>HYPERLINK("https://stat100.ameba.jp/tnk47/ratio20/illustrations/card/ill_54523_0_yonshunennionohime03.jpg?201912-2-RELEASE-unionbattle-443x", "■")</f>
        <v>■</v>
      </c>
      <c r="F197" s="1" t="s">
        <v>1773</v>
      </c>
      <c r="G197" s="1">
        <v>128358</v>
      </c>
      <c r="H197" s="1">
        <v>144494</v>
      </c>
      <c r="I197" s="1">
        <v>23</v>
      </c>
      <c r="J197" s="1" t="s">
        <v>38</v>
      </c>
      <c r="K197" s="1" t="s">
        <v>1774</v>
      </c>
      <c r="L197" s="1" t="s">
        <v>1775</v>
      </c>
      <c r="M197" s="1" t="s">
        <v>9158</v>
      </c>
      <c r="N197" s="1" t="s">
        <v>9158</v>
      </c>
      <c r="O197" s="19" t="s">
        <v>10094</v>
      </c>
      <c r="P197" s="1" t="s">
        <v>13168</v>
      </c>
      <c r="Q197" s="1">
        <v>1</v>
      </c>
    </row>
    <row r="198" spans="1:17">
      <c r="A198" s="1" t="s">
        <v>5627</v>
      </c>
      <c r="B198" s="1" t="s">
        <v>330</v>
      </c>
      <c r="C198" s="1" t="s">
        <v>191</v>
      </c>
      <c r="D198" s="20" t="s">
        <v>393</v>
      </c>
      <c r="E198" s="15" t="str">
        <f>HYPERLINK("https://stat100.ameba.jp/tnk47/ratio20/illustrations/card/ill_46283_0_odanobunaga03.jpg?201912-2-RELEASE-unionbattle-443x", "■")</f>
        <v>■</v>
      </c>
      <c r="F198" s="1" t="s">
        <v>1073</v>
      </c>
      <c r="G198" s="1">
        <v>126058</v>
      </c>
      <c r="H198" s="1">
        <v>134596</v>
      </c>
      <c r="I198" s="1">
        <v>23</v>
      </c>
      <c r="J198" s="1" t="s">
        <v>143</v>
      </c>
      <c r="K198" s="1" t="s">
        <v>1074</v>
      </c>
      <c r="L198" s="1" t="s">
        <v>1075</v>
      </c>
      <c r="M198" s="1" t="s">
        <v>9158</v>
      </c>
      <c r="N198" s="1" t="s">
        <v>9158</v>
      </c>
      <c r="O198" s="1" t="s">
        <v>9158</v>
      </c>
      <c r="P198" s="1" t="s">
        <v>9158</v>
      </c>
      <c r="Q198" s="1" t="s">
        <v>9158</v>
      </c>
    </row>
    <row r="199" spans="1:17">
      <c r="A199" s="7">
        <v>85723</v>
      </c>
      <c r="B199" s="7" t="s">
        <v>0</v>
      </c>
      <c r="C199" s="1" t="s">
        <v>107</v>
      </c>
      <c r="D199" s="20" t="s">
        <v>10835</v>
      </c>
      <c r="E199" s="15" t="str">
        <f>HYPERLINK("https://stat100.ameba.jp/tnk47/ratio20/illustrations/card/ill_85723_nemmatsukenkoshindammyorinni03.jpg?201912-2-RELEASE-unionbattle-443x", "■")</f>
        <v>■</v>
      </c>
      <c r="F199" s="7" t="s">
        <v>8501</v>
      </c>
      <c r="G199" s="7">
        <v>101373</v>
      </c>
      <c r="H199" s="7">
        <v>94295</v>
      </c>
      <c r="I199" s="7">
        <v>25</v>
      </c>
      <c r="J199" s="7" t="s">
        <v>194</v>
      </c>
      <c r="K199" s="7" t="s">
        <v>8500</v>
      </c>
      <c r="L199" s="7" t="s">
        <v>8499</v>
      </c>
      <c r="M199" s="1" t="s">
        <v>9158</v>
      </c>
      <c r="N199" s="1" t="s">
        <v>9158</v>
      </c>
      <c r="O199" s="1" t="s">
        <v>9158</v>
      </c>
      <c r="P199" s="1" t="s">
        <v>9158</v>
      </c>
      <c r="Q199" s="1" t="s">
        <v>9158</v>
      </c>
    </row>
    <row r="200" spans="1:17">
      <c r="A200" s="7">
        <v>85743</v>
      </c>
      <c r="B200" s="7" t="s">
        <v>15</v>
      </c>
      <c r="C200" s="7" t="s">
        <v>2611</v>
      </c>
      <c r="D200" s="20" t="s">
        <v>10837</v>
      </c>
      <c r="E200" s="15" t="str">
        <f>HYPERLINK("https://stat100.ameba.jp/tnk47/ratio20/illustrations/card/ill_85743_furorensunaichingeru03.jpg?201912-2-RELEASE-unionbattle-443x", "■")</f>
        <v>■</v>
      </c>
      <c r="F200" s="7" t="s">
        <v>8507</v>
      </c>
      <c r="G200" s="7">
        <v>67210</v>
      </c>
      <c r="H200" s="7">
        <v>74100</v>
      </c>
      <c r="I200" s="7">
        <v>25</v>
      </c>
      <c r="J200" s="7" t="s">
        <v>173</v>
      </c>
      <c r="K200" s="7" t="s">
        <v>8506</v>
      </c>
      <c r="L200" s="7" t="s">
        <v>3337</v>
      </c>
      <c r="M200" s="1" t="s">
        <v>9158</v>
      </c>
      <c r="N200" s="1" t="s">
        <v>9158</v>
      </c>
      <c r="O200" s="1" t="s">
        <v>9158</v>
      </c>
      <c r="P200" s="1" t="s">
        <v>9158</v>
      </c>
      <c r="Q200" s="1" t="s">
        <v>9158</v>
      </c>
    </row>
    <row r="201" spans="1:17">
      <c r="A201" s="7">
        <v>85753</v>
      </c>
      <c r="B201" s="7" t="s">
        <v>22</v>
      </c>
      <c r="C201" s="7" t="s">
        <v>191</v>
      </c>
      <c r="D201" s="20" t="s">
        <v>10838</v>
      </c>
      <c r="E201" s="15" t="str">
        <f>HYPERLINK("https://stat100.ameba.jp/tnk47/ratio20/illustrations/card/ill_85753_reishi03.jpg?201912-2-RELEASE-unionbattle-443x", "■")</f>
        <v>■</v>
      </c>
      <c r="F201" s="7" t="s">
        <v>8510</v>
      </c>
      <c r="G201" s="7">
        <v>51980</v>
      </c>
      <c r="H201" s="7">
        <v>43220</v>
      </c>
      <c r="I201" s="7">
        <v>25</v>
      </c>
      <c r="J201" s="7" t="s">
        <v>216</v>
      </c>
      <c r="K201" s="7" t="s">
        <v>8509</v>
      </c>
      <c r="L201" s="7" t="s">
        <v>2674</v>
      </c>
      <c r="M201" s="1" t="s">
        <v>9158</v>
      </c>
      <c r="N201" s="1" t="s">
        <v>9158</v>
      </c>
      <c r="O201" s="1" t="s">
        <v>9158</v>
      </c>
      <c r="P201" s="1" t="s">
        <v>9158</v>
      </c>
      <c r="Q201" s="1" t="s">
        <v>9158</v>
      </c>
    </row>
    <row r="202" spans="1:17">
      <c r="A202" s="7">
        <v>85763</v>
      </c>
      <c r="B202" s="7" t="s">
        <v>30</v>
      </c>
      <c r="C202" s="7" t="s">
        <v>2001</v>
      </c>
      <c r="D202" s="20" t="s">
        <v>10839</v>
      </c>
      <c r="E202" s="15" t="str">
        <f>HYPERLINK("https://stat100.ameba.jp/tnk47/ratio20/illustrations/card/ill_85763_jimuirohahime03.jpg?201912-2-RELEASE-unionbattle-443x", "■")</f>
        <v>■</v>
      </c>
      <c r="F202" s="7" t="s">
        <v>8513</v>
      </c>
      <c r="G202" s="7">
        <v>26430</v>
      </c>
      <c r="H202" s="7">
        <v>31470</v>
      </c>
      <c r="I202" s="7">
        <v>25</v>
      </c>
      <c r="J202" s="7" t="s">
        <v>187</v>
      </c>
      <c r="K202" s="7" t="s">
        <v>8512</v>
      </c>
      <c r="L202" s="7" t="s">
        <v>1736</v>
      </c>
      <c r="M202" s="1" t="s">
        <v>9158</v>
      </c>
      <c r="N202" s="1" t="s">
        <v>9158</v>
      </c>
      <c r="O202" s="1" t="s">
        <v>9158</v>
      </c>
      <c r="P202" s="1" t="s">
        <v>9158</v>
      </c>
      <c r="Q202" s="1" t="s">
        <v>9158</v>
      </c>
    </row>
    <row r="203" spans="1:17">
      <c r="E203" s="7"/>
    </row>
    <row r="204" spans="1:17">
      <c r="A204" s="7" t="s">
        <v>8550</v>
      </c>
      <c r="E204" s="7"/>
    </row>
    <row r="205" spans="1:17">
      <c r="A205" s="7" t="s">
        <v>8551</v>
      </c>
      <c r="E205" s="7"/>
    </row>
    <row r="206" spans="1:17">
      <c r="A206" s="1" t="s">
        <v>5804</v>
      </c>
      <c r="B206" s="1" t="s">
        <v>52</v>
      </c>
      <c r="C206" s="1" t="s">
        <v>14</v>
      </c>
      <c r="D206" s="20" t="s">
        <v>3195</v>
      </c>
      <c r="E206" s="15" t="str">
        <f>HYPERLINK("https://stat100.ameba.jp/tnk47/ratio20/illustrations/card/ill_75393_0_resukuinotsukisamaniittausagi03.jpg?201912-2-RELEASE-unionbattle-443x", "■")</f>
        <v>■</v>
      </c>
      <c r="F206" s="1" t="s">
        <v>3248</v>
      </c>
      <c r="G206" s="1">
        <v>250588</v>
      </c>
      <c r="H206" s="1">
        <v>232980</v>
      </c>
      <c r="I206" s="1">
        <v>22</v>
      </c>
      <c r="J206" s="1" t="s">
        <v>26</v>
      </c>
      <c r="K206" s="1" t="s">
        <v>3249</v>
      </c>
      <c r="L206" s="1" t="s">
        <v>3250</v>
      </c>
      <c r="M206" s="1" t="s">
        <v>9158</v>
      </c>
      <c r="N206" s="1" t="s">
        <v>9158</v>
      </c>
      <c r="O206" s="19" t="s">
        <v>10101</v>
      </c>
      <c r="P206" s="1" t="s">
        <v>3251</v>
      </c>
      <c r="Q206" s="1">
        <v>2</v>
      </c>
    </row>
    <row r="207" spans="1:17">
      <c r="A207" s="1">
        <v>56443</v>
      </c>
      <c r="B207" s="1" t="s">
        <v>0</v>
      </c>
      <c r="C207" s="1" t="s">
        <v>205</v>
      </c>
      <c r="D207" s="20" t="s">
        <v>10314</v>
      </c>
      <c r="E207" s="15" t="str">
        <f>HYPERLINK("https://stat100.ameba.jp/tnk47/ratio20/illustrations/card/ill_56443_poppukurisumasuizumonokuni03.jpg?201912-2-RELEASE-unionbattle-443x", "■")</f>
        <v>■</v>
      </c>
      <c r="F207" s="1" t="s">
        <v>1151</v>
      </c>
      <c r="G207" s="1">
        <v>89590</v>
      </c>
      <c r="H207" s="1">
        <v>96360</v>
      </c>
      <c r="I207" s="1">
        <v>25</v>
      </c>
      <c r="J207" s="1" t="s">
        <v>10</v>
      </c>
      <c r="K207" s="1" t="s">
        <v>1152</v>
      </c>
      <c r="L207" s="1" t="s">
        <v>1153</v>
      </c>
      <c r="M207" s="1" t="s">
        <v>9158</v>
      </c>
      <c r="N207" s="1" t="s">
        <v>9158</v>
      </c>
      <c r="O207" s="19" t="s">
        <v>10119</v>
      </c>
      <c r="P207" s="1" t="s">
        <v>3662</v>
      </c>
      <c r="Q207" s="1">
        <v>1</v>
      </c>
    </row>
    <row r="208" spans="1:17">
      <c r="A208" s="1">
        <v>73093</v>
      </c>
      <c r="B208" s="1" t="s">
        <v>334</v>
      </c>
      <c r="C208" s="1" t="s">
        <v>209</v>
      </c>
      <c r="D208" s="20" t="s">
        <v>433</v>
      </c>
      <c r="E208" s="15" t="str">
        <f>HYPERLINK("https://stat100.ameba.jp/tnk47/ratio20/illustrations/card/ill_73093_aisukurinchan03.jpg?201912-2-RELEASE-unionbattle-443x", "■")</f>
        <v>■</v>
      </c>
      <c r="F208" s="1" t="s">
        <v>1027</v>
      </c>
      <c r="G208" s="1">
        <v>166328</v>
      </c>
      <c r="H208" s="1">
        <v>120475</v>
      </c>
      <c r="I208" s="1">
        <v>25</v>
      </c>
      <c r="J208" s="1" t="s">
        <v>104</v>
      </c>
      <c r="K208" s="1" t="s">
        <v>1028</v>
      </c>
      <c r="L208" s="1" t="s">
        <v>1029</v>
      </c>
      <c r="M208" s="1" t="s">
        <v>9158</v>
      </c>
      <c r="N208" s="1" t="s">
        <v>9158</v>
      </c>
      <c r="O208" s="19" t="s">
        <v>2741</v>
      </c>
      <c r="P208" s="1" t="s">
        <v>2742</v>
      </c>
      <c r="Q208" s="1">
        <v>1</v>
      </c>
    </row>
    <row r="209" spans="1:17">
      <c r="A209" s="1">
        <v>73103</v>
      </c>
      <c r="B209" s="1" t="s">
        <v>334</v>
      </c>
      <c r="C209" s="1" t="s">
        <v>41</v>
      </c>
      <c r="D209" s="20" t="s">
        <v>10423</v>
      </c>
      <c r="E209" s="15" t="str">
        <f>HYPERLINK("https://stat100.ameba.jp/tnk47/ratio20/illustrations/card/ill_73103_nominookata03.jpg?201912-2-RELEASE-unionbattle-443x", "■")</f>
        <v>■</v>
      </c>
      <c r="F209" s="1" t="s">
        <v>2106</v>
      </c>
      <c r="G209" s="1">
        <v>79151</v>
      </c>
      <c r="H209" s="1">
        <v>109259</v>
      </c>
      <c r="I209" s="1">
        <v>25</v>
      </c>
      <c r="J209" s="1" t="s">
        <v>77</v>
      </c>
      <c r="K209" s="1" t="s">
        <v>2107</v>
      </c>
      <c r="L209" s="1" t="s">
        <v>969</v>
      </c>
      <c r="M209" s="1" t="s">
        <v>9158</v>
      </c>
      <c r="N209" s="1" t="s">
        <v>9158</v>
      </c>
      <c r="O209" s="19" t="s">
        <v>2752</v>
      </c>
      <c r="P209" s="1" t="s">
        <v>13173</v>
      </c>
      <c r="Q209" s="1">
        <v>1</v>
      </c>
    </row>
    <row r="210" spans="1:17">
      <c r="E210" s="7"/>
    </row>
    <row r="211" spans="1:17">
      <c r="A211" s="7" t="s">
        <v>8552</v>
      </c>
      <c r="E211" s="7"/>
    </row>
    <row r="212" spans="1:17">
      <c r="A212" s="7" t="s">
        <v>8553</v>
      </c>
      <c r="E212" s="7"/>
    </row>
    <row r="213" spans="1:17">
      <c r="A213" s="1" t="s">
        <v>5733</v>
      </c>
      <c r="B213" s="1" t="s">
        <v>330</v>
      </c>
      <c r="C213" s="1" t="s">
        <v>202</v>
      </c>
      <c r="D213" s="20" t="s">
        <v>2744</v>
      </c>
      <c r="E213" s="15" t="str">
        <f>HYPERLINK("https://stat100.ameba.jp/tnk47/ratio20/illustrations/card/ill_78693_0_kyupittokoinomikoto03.jpg?201912-3-RELEASE-dice-e-444", "■")</f>
        <v>■</v>
      </c>
      <c r="F213" s="1" t="s">
        <v>2745</v>
      </c>
      <c r="G213" s="1">
        <v>251516</v>
      </c>
      <c r="H213" s="1">
        <v>278294</v>
      </c>
      <c r="I213" s="1">
        <v>24</v>
      </c>
      <c r="J213" s="1" t="s">
        <v>274</v>
      </c>
      <c r="K213" s="1" t="s">
        <v>2746</v>
      </c>
      <c r="L213" s="1" t="s">
        <v>2747</v>
      </c>
      <c r="M213" s="1" t="s">
        <v>9158</v>
      </c>
      <c r="N213" s="1" t="s">
        <v>9158</v>
      </c>
      <c r="O213" s="19" t="s">
        <v>10097</v>
      </c>
      <c r="P213" s="1" t="s">
        <v>2748</v>
      </c>
      <c r="Q213" s="1">
        <v>1</v>
      </c>
    </row>
    <row r="214" spans="1:17">
      <c r="A214" s="1">
        <v>58743</v>
      </c>
      <c r="B214" s="1" t="s">
        <v>334</v>
      </c>
      <c r="C214" s="1" t="s">
        <v>209</v>
      </c>
      <c r="D214" s="20" t="s">
        <v>10273</v>
      </c>
      <c r="E214" s="15" t="str">
        <f>HYPERLINK("https://stat100.ameba.jp/tnk47/ratio20/illustrations/card/ill_58743_enkirienoki03.jpg?201912-3-RELEASE-dice-e-444", "■")</f>
        <v>■</v>
      </c>
      <c r="F214" s="1" t="s">
        <v>2550</v>
      </c>
      <c r="G214" s="1">
        <v>72626</v>
      </c>
      <c r="H214" s="1">
        <v>99050</v>
      </c>
      <c r="I214" s="1">
        <v>24</v>
      </c>
      <c r="J214" s="1" t="s">
        <v>44</v>
      </c>
      <c r="K214" s="1" t="s">
        <v>2551</v>
      </c>
      <c r="L214" s="1" t="s">
        <v>95</v>
      </c>
      <c r="M214" s="1" t="s">
        <v>9158</v>
      </c>
      <c r="N214" s="1" t="s">
        <v>9158</v>
      </c>
      <c r="O214" s="19" t="s">
        <v>10091</v>
      </c>
      <c r="P214" s="1" t="s">
        <v>3670</v>
      </c>
      <c r="Q214" s="1">
        <v>1</v>
      </c>
    </row>
    <row r="215" spans="1:17">
      <c r="A215" s="1">
        <v>71333</v>
      </c>
      <c r="B215" s="1" t="s">
        <v>0</v>
      </c>
      <c r="C215" s="1" t="s">
        <v>41</v>
      </c>
      <c r="D215" s="20" t="s">
        <v>10256</v>
      </c>
      <c r="E215" s="15" t="str">
        <f>HYPERLINK("https://stat100.ameba.jp/tnk47/ratio20/illustrations/card/ill_71333_fujiwaranokamatari03.jpg?201912-3-RELEASE-dice-e-444", "■")</f>
        <v>■</v>
      </c>
      <c r="F215" s="1" t="s">
        <v>58</v>
      </c>
      <c r="G215" s="1">
        <v>104890</v>
      </c>
      <c r="H215" s="1">
        <v>75984</v>
      </c>
      <c r="I215" s="1">
        <v>24</v>
      </c>
      <c r="J215" s="1" t="s">
        <v>10</v>
      </c>
      <c r="K215" s="1" t="s">
        <v>59</v>
      </c>
      <c r="L215" s="1" t="s">
        <v>60</v>
      </c>
      <c r="M215" s="1" t="s">
        <v>9158</v>
      </c>
      <c r="N215" s="1" t="s">
        <v>9158</v>
      </c>
      <c r="O215" s="19" t="s">
        <v>10098</v>
      </c>
      <c r="P215" s="1" t="s">
        <v>3491</v>
      </c>
      <c r="Q215" s="1">
        <v>1</v>
      </c>
    </row>
    <row r="216" spans="1:17">
      <c r="A216" s="1">
        <v>78123</v>
      </c>
      <c r="B216" s="1" t="s">
        <v>334</v>
      </c>
      <c r="C216" s="1" t="s">
        <v>209</v>
      </c>
      <c r="D216" s="20" t="s">
        <v>3023</v>
      </c>
      <c r="E216" s="15" t="str">
        <f>HYPERLINK("https://stat100.ameba.jp/tnk47/ratio20/illustrations/card/ill_78123_madannoteirusorushieru03.jpg?201912-3-RELEASE-dice-e-444", "■")</f>
        <v>■</v>
      </c>
      <c r="F216" s="1" t="s">
        <v>3024</v>
      </c>
      <c r="G216" s="1">
        <v>159674</v>
      </c>
      <c r="H216" s="1">
        <v>115656</v>
      </c>
      <c r="I216" s="1">
        <v>24</v>
      </c>
      <c r="J216" s="1" t="s">
        <v>310</v>
      </c>
      <c r="K216" s="1" t="s">
        <v>3025</v>
      </c>
      <c r="L216" s="1" t="s">
        <v>443</v>
      </c>
      <c r="M216" s="1" t="s">
        <v>9158</v>
      </c>
      <c r="N216" s="1" t="s">
        <v>9158</v>
      </c>
      <c r="O216" s="19" t="s">
        <v>2951</v>
      </c>
      <c r="P216" s="1" t="s">
        <v>13122</v>
      </c>
      <c r="Q216" s="1">
        <v>1</v>
      </c>
    </row>
    <row r="217" spans="1:17">
      <c r="E217" s="7"/>
    </row>
    <row r="218" spans="1:17">
      <c r="A218" s="7" t="s">
        <v>115</v>
      </c>
      <c r="E218" s="7"/>
    </row>
    <row r="219" spans="1:17">
      <c r="A219" s="7" t="s">
        <v>8556</v>
      </c>
      <c r="E219" s="7"/>
    </row>
    <row r="220" spans="1:17">
      <c r="A220" s="1" t="s">
        <v>5650</v>
      </c>
      <c r="B220" s="1" t="s">
        <v>52</v>
      </c>
      <c r="C220" s="1" t="s">
        <v>23</v>
      </c>
      <c r="D220" s="20" t="s">
        <v>809</v>
      </c>
      <c r="E220" s="15" t="str">
        <f>HYPERLINK("https://stat100.ameba.jp/tnk47/ratio20/illustrations/card/ill_68033_0_kurisumasupateikandamyojin03.jpg?201912-3-RELEASE-dice-e-444", "■")</f>
        <v>■</v>
      </c>
      <c r="F220" s="1" t="s">
        <v>1871</v>
      </c>
      <c r="G220" s="1">
        <v>139878</v>
      </c>
      <c r="H220" s="1">
        <v>150466</v>
      </c>
      <c r="I220" s="1">
        <v>22</v>
      </c>
      <c r="J220" s="1" t="s">
        <v>44</v>
      </c>
      <c r="K220" s="1" t="s">
        <v>1872</v>
      </c>
      <c r="L220" s="1" t="s">
        <v>1873</v>
      </c>
      <c r="M220" s="1" t="s">
        <v>9158</v>
      </c>
      <c r="N220" s="1" t="s">
        <v>9158</v>
      </c>
      <c r="O220" s="19" t="s">
        <v>2997</v>
      </c>
      <c r="P220" s="1" t="s">
        <v>3483</v>
      </c>
      <c r="Q220" s="1">
        <v>2</v>
      </c>
    </row>
    <row r="221" spans="1:17">
      <c r="A221" s="1" t="s">
        <v>5724</v>
      </c>
      <c r="B221" s="1" t="s">
        <v>330</v>
      </c>
      <c r="C221" s="1" t="s">
        <v>335</v>
      </c>
      <c r="D221" s="20" t="s">
        <v>698</v>
      </c>
      <c r="E221" s="15" t="str">
        <f>HYPERLINK("https://stat100.ameba.jp/tnk47/ratio20/illustrations/card/ill_66433_0_haroinfujishirogozen03.jpg?201912-3-RELEASE-dice-e-444", "■")</f>
        <v>■</v>
      </c>
      <c r="F221" s="1" t="s">
        <v>699</v>
      </c>
      <c r="G221" s="1">
        <v>134652</v>
      </c>
      <c r="H221" s="1">
        <v>144834</v>
      </c>
      <c r="I221" s="1">
        <v>22</v>
      </c>
      <c r="J221" s="1" t="s">
        <v>315</v>
      </c>
      <c r="K221" s="1" t="s">
        <v>700</v>
      </c>
      <c r="L221" s="1" t="s">
        <v>701</v>
      </c>
      <c r="M221" s="1" t="s">
        <v>9158</v>
      </c>
      <c r="N221" s="1" t="s">
        <v>9158</v>
      </c>
      <c r="O221" s="19" t="s">
        <v>10095</v>
      </c>
      <c r="P221" s="1" t="s">
        <v>3345</v>
      </c>
      <c r="Q221" s="1">
        <v>1</v>
      </c>
    </row>
    <row r="222" spans="1:17">
      <c r="A222" s="1" t="s">
        <v>6132</v>
      </c>
      <c r="B222" s="1" t="s">
        <v>330</v>
      </c>
      <c r="C222" s="1" t="s">
        <v>205</v>
      </c>
      <c r="D222" s="20" t="s">
        <v>702</v>
      </c>
      <c r="E222" s="15" t="str">
        <f>HYPERLINK("https://stat100.ameba.jp/tnk47/ratio20/illustrations/card/ill_50693_0_hanamizugimimuratsuru03.jpg?201912-3-RELEASE-dice-e-444", "■")</f>
        <v>■</v>
      </c>
      <c r="F222" s="1" t="s">
        <v>703</v>
      </c>
      <c r="G222" s="1">
        <v>122776</v>
      </c>
      <c r="H222" s="1">
        <v>138212</v>
      </c>
      <c r="I222" s="1">
        <v>22</v>
      </c>
      <c r="J222" s="1" t="s">
        <v>310</v>
      </c>
      <c r="K222" s="1" t="s">
        <v>704</v>
      </c>
      <c r="L222" s="1" t="s">
        <v>705</v>
      </c>
      <c r="M222" s="1" t="s">
        <v>9158</v>
      </c>
      <c r="N222" s="1" t="s">
        <v>9158</v>
      </c>
      <c r="O222" s="1" t="s">
        <v>9158</v>
      </c>
      <c r="P222" s="1" t="s">
        <v>9158</v>
      </c>
      <c r="Q222" s="1" t="s">
        <v>9158</v>
      </c>
    </row>
    <row r="223" spans="1:17">
      <c r="A223" s="7">
        <v>83273</v>
      </c>
      <c r="B223" s="1" t="s">
        <v>334</v>
      </c>
      <c r="C223" s="1" t="s">
        <v>335</v>
      </c>
      <c r="D223" s="20" t="s">
        <v>10522</v>
      </c>
      <c r="E223" s="15" t="str">
        <f>HYPERLINK("https://stat100.ameba.jp/tnk47/ratio20/illustrations/card/ill_83273_suikawariebinarin03.jpg?201912-3-RELEASE-dice-e-444", "■")</f>
        <v>■</v>
      </c>
      <c r="F223" s="1" t="s">
        <v>8568</v>
      </c>
      <c r="G223" s="1">
        <v>70455</v>
      </c>
      <c r="H223" s="1">
        <v>125213</v>
      </c>
      <c r="I223" s="1">
        <v>25</v>
      </c>
      <c r="J223" s="1" t="s">
        <v>8565</v>
      </c>
      <c r="K223" s="1" t="s">
        <v>8567</v>
      </c>
      <c r="L223" s="1" t="s">
        <v>8566</v>
      </c>
      <c r="M223" s="1" t="s">
        <v>9158</v>
      </c>
      <c r="N223" s="1" t="s">
        <v>9158</v>
      </c>
      <c r="O223" s="1" t="s">
        <v>9158</v>
      </c>
      <c r="P223" s="1" t="s">
        <v>9158</v>
      </c>
      <c r="Q223" s="1" t="s">
        <v>9158</v>
      </c>
    </row>
    <row r="224" spans="1:17">
      <c r="A224" s="1">
        <v>71763</v>
      </c>
      <c r="B224" s="1" t="s">
        <v>0</v>
      </c>
      <c r="C224" s="1" t="s">
        <v>23</v>
      </c>
      <c r="D224" s="20" t="s">
        <v>2999</v>
      </c>
      <c r="E224" s="15" t="str">
        <f>HYPERLINK("https://stat100.ameba.jp/tnk47/ratio20/illustrations/card/ill_71763_teradatorahiko03.jpg?201912-3-RELEASE-dice-e-444", "■")</f>
        <v>■</v>
      </c>
      <c r="F224" s="1" t="s">
        <v>8571</v>
      </c>
      <c r="G224" s="1">
        <v>70844</v>
      </c>
      <c r="H224" s="1">
        <v>125931</v>
      </c>
      <c r="I224" s="1">
        <v>25</v>
      </c>
      <c r="J224" s="1" t="s">
        <v>8564</v>
      </c>
      <c r="K224" s="1" t="s">
        <v>8570</v>
      </c>
      <c r="L224" s="1" t="s">
        <v>8569</v>
      </c>
      <c r="M224" s="1" t="s">
        <v>9158</v>
      </c>
      <c r="N224" s="1" t="s">
        <v>9158</v>
      </c>
      <c r="O224" s="1" t="s">
        <v>9158</v>
      </c>
      <c r="P224" s="1" t="s">
        <v>9158</v>
      </c>
      <c r="Q224" s="1" t="s">
        <v>9158</v>
      </c>
    </row>
    <row r="225" spans="1:17">
      <c r="A225" s="7">
        <v>72443</v>
      </c>
      <c r="B225" s="1" t="s">
        <v>334</v>
      </c>
      <c r="C225" s="1" t="s">
        <v>205</v>
      </c>
      <c r="D225" s="20" t="s">
        <v>3006</v>
      </c>
      <c r="E225" s="15" t="str">
        <f>HYPERLINK("https://stat100.ameba.jp/tnk47/ratio20/illustrations/card/ill_72443_uragamimasamune03.jpg?201912-3-RELEASE-dice-e-444", "■")</f>
        <v>■</v>
      </c>
      <c r="F225" s="1" t="s">
        <v>8574</v>
      </c>
      <c r="G225" s="1">
        <v>105890</v>
      </c>
      <c r="H225" s="1">
        <v>113890</v>
      </c>
      <c r="I225" s="1">
        <v>25</v>
      </c>
      <c r="J225" s="1" t="s">
        <v>8563</v>
      </c>
      <c r="K225" s="1" t="s">
        <v>8573</v>
      </c>
      <c r="L225" s="1" t="s">
        <v>8572</v>
      </c>
      <c r="M225" s="1" t="s">
        <v>9158</v>
      </c>
      <c r="N225" s="1" t="s">
        <v>9158</v>
      </c>
      <c r="O225" s="1" t="s">
        <v>9158</v>
      </c>
      <c r="P225" s="1" t="s">
        <v>9158</v>
      </c>
      <c r="Q225" s="1" t="s">
        <v>9158</v>
      </c>
    </row>
    <row r="226" spans="1:17">
      <c r="A226" s="7">
        <v>67393</v>
      </c>
      <c r="B226" s="7" t="s">
        <v>15</v>
      </c>
      <c r="C226" s="1" t="s">
        <v>206</v>
      </c>
      <c r="D226" s="20" t="s">
        <v>10845</v>
      </c>
      <c r="E226" s="15" t="str">
        <f>HYPERLINK("https://stat100.ameba.jp/tnk47/ratio20/illustrations/card/ill_67393_jobaamahime03.jpg?201912-3-RELEASE-dice-e-444", "■")</f>
        <v>■</v>
      </c>
      <c r="F226" s="7" t="s">
        <v>8577</v>
      </c>
      <c r="G226" s="7">
        <v>53768</v>
      </c>
      <c r="H226" s="7">
        <v>59280</v>
      </c>
      <c r="I226" s="7">
        <v>20</v>
      </c>
      <c r="J226" s="7" t="s">
        <v>8562</v>
      </c>
      <c r="K226" s="7" t="s">
        <v>8576</v>
      </c>
      <c r="L226" s="7" t="s">
        <v>8575</v>
      </c>
      <c r="M226" s="1" t="s">
        <v>9158</v>
      </c>
      <c r="N226" s="1" t="s">
        <v>9158</v>
      </c>
      <c r="O226" s="1" t="s">
        <v>9158</v>
      </c>
      <c r="P226" s="1" t="s">
        <v>9158</v>
      </c>
      <c r="Q226" s="1" t="s">
        <v>9158</v>
      </c>
    </row>
    <row r="227" spans="1:17">
      <c r="A227" s="7">
        <v>61993</v>
      </c>
      <c r="B227" s="7" t="s">
        <v>15</v>
      </c>
      <c r="C227" s="1" t="s">
        <v>307</v>
      </c>
      <c r="D227" s="20" t="s">
        <v>10460</v>
      </c>
      <c r="E227" s="15" t="str">
        <f>HYPERLINK("https://stat100.ameba.jp/tnk47/ratio20/illustrations/card/ill_61993_koinoborihosekichan03.jpg?201912-3-RELEASE-dice-e-444", "■")</f>
        <v>■</v>
      </c>
      <c r="F227" s="7" t="s">
        <v>8580</v>
      </c>
      <c r="G227" s="7">
        <v>53768</v>
      </c>
      <c r="H227" s="7">
        <v>59280</v>
      </c>
      <c r="I227" s="7">
        <v>20</v>
      </c>
      <c r="J227" s="1" t="s">
        <v>8561</v>
      </c>
      <c r="K227" s="7" t="s">
        <v>8579</v>
      </c>
      <c r="L227" s="7" t="s">
        <v>8578</v>
      </c>
      <c r="M227" s="1" t="s">
        <v>9158</v>
      </c>
      <c r="N227" s="1" t="s">
        <v>9158</v>
      </c>
      <c r="O227" s="1" t="s">
        <v>9158</v>
      </c>
      <c r="P227" s="1" t="s">
        <v>9158</v>
      </c>
      <c r="Q227" s="1" t="s">
        <v>9158</v>
      </c>
    </row>
    <row r="228" spans="1:17">
      <c r="A228" s="7">
        <v>72663</v>
      </c>
      <c r="B228" s="7" t="s">
        <v>15</v>
      </c>
      <c r="C228" s="1" t="s">
        <v>165</v>
      </c>
      <c r="D228" s="20" t="s">
        <v>3017</v>
      </c>
      <c r="E228" s="15" t="str">
        <f>HYPERLINK("https://stat100.ameba.jp/tnk47/ratio20/illustrations/card/ill_72663_shokanoseisomadorenuchan03.jpg?201912-3-RELEASE-dice-e-444", "■")</f>
        <v>■</v>
      </c>
      <c r="F228" s="7" t="s">
        <v>8560</v>
      </c>
      <c r="G228" s="7">
        <v>53768</v>
      </c>
      <c r="H228" s="7">
        <v>59280</v>
      </c>
      <c r="I228" s="7">
        <v>20</v>
      </c>
      <c r="J228" s="7" t="s">
        <v>8559</v>
      </c>
      <c r="K228" s="7" t="s">
        <v>8558</v>
      </c>
      <c r="L228" s="7" t="s">
        <v>8557</v>
      </c>
      <c r="M228" s="1" t="s">
        <v>9158</v>
      </c>
      <c r="N228" s="1" t="s">
        <v>9158</v>
      </c>
      <c r="O228" s="1" t="s">
        <v>9158</v>
      </c>
      <c r="P228" s="1" t="s">
        <v>9158</v>
      </c>
      <c r="Q228" s="1" t="s">
        <v>9158</v>
      </c>
    </row>
    <row r="229" spans="1:17">
      <c r="E229" s="7"/>
    </row>
    <row r="230" spans="1:17">
      <c r="A230" s="7" t="s">
        <v>8554</v>
      </c>
      <c r="E230" s="7"/>
    </row>
    <row r="231" spans="1:17">
      <c r="A231" s="7" t="s">
        <v>8555</v>
      </c>
      <c r="E231" s="7"/>
    </row>
    <row r="232" spans="1:17">
      <c r="A232" s="1" t="s">
        <v>5787</v>
      </c>
      <c r="B232" s="1" t="s">
        <v>330</v>
      </c>
      <c r="C232" s="1" t="s">
        <v>270</v>
      </c>
      <c r="D232" s="20" t="s">
        <v>331</v>
      </c>
      <c r="E232" s="15" t="str">
        <f>HYPERLINK("https://stat100.ameba.jp/tnk47/ratio20/illustrations/card/ill_76303_0_haroinkaguya03.jpg?201912-3-RELEASE-dice-e-444", "■")</f>
        <v>■</v>
      </c>
      <c r="F232" s="1" t="s">
        <v>332</v>
      </c>
      <c r="G232" s="1">
        <v>273713</v>
      </c>
      <c r="H232" s="1">
        <v>254461</v>
      </c>
      <c r="I232" s="1">
        <v>23</v>
      </c>
      <c r="J232" s="1" t="s">
        <v>274</v>
      </c>
      <c r="K232" s="1" t="s">
        <v>333</v>
      </c>
      <c r="L232" s="1" t="s">
        <v>276</v>
      </c>
      <c r="M232" s="1" t="s">
        <v>9158</v>
      </c>
      <c r="N232" s="1" t="s">
        <v>9158</v>
      </c>
      <c r="O232" s="19" t="s">
        <v>2976</v>
      </c>
      <c r="P232" s="1" t="s">
        <v>2724</v>
      </c>
      <c r="Q232" s="1">
        <v>1</v>
      </c>
    </row>
    <row r="233" spans="1:17">
      <c r="A233" s="1" t="s">
        <v>5778</v>
      </c>
      <c r="B233" s="1" t="s">
        <v>330</v>
      </c>
      <c r="C233" s="1" t="s">
        <v>205</v>
      </c>
      <c r="D233" s="20" t="s">
        <v>272</v>
      </c>
      <c r="E233" s="15" t="str">
        <f>HYPERLINK("https://stat100.ameba.jp/tnk47/ratio20/illustrations/card/ill_68783_0_gantammomotaro03.jpg?201912-3-RELEASE-dice-e-444", "■")</f>
        <v>■</v>
      </c>
      <c r="F233" s="1" t="s">
        <v>273</v>
      </c>
      <c r="G233" s="1">
        <v>157306</v>
      </c>
      <c r="H233" s="1">
        <v>146235</v>
      </c>
      <c r="I233" s="1">
        <v>23</v>
      </c>
      <c r="J233" s="1" t="s">
        <v>274</v>
      </c>
      <c r="K233" s="1" t="s">
        <v>275</v>
      </c>
      <c r="L233" s="1" t="s">
        <v>276</v>
      </c>
      <c r="M233" s="1" t="s">
        <v>9158</v>
      </c>
      <c r="N233" s="1" t="s">
        <v>9158</v>
      </c>
      <c r="O233" s="19" t="s">
        <v>10099</v>
      </c>
      <c r="P233" s="1" t="s">
        <v>3451</v>
      </c>
      <c r="Q233" s="1">
        <v>1</v>
      </c>
    </row>
    <row r="234" spans="1:17">
      <c r="A234" s="1" t="s">
        <v>5897</v>
      </c>
      <c r="B234" s="1" t="s">
        <v>52</v>
      </c>
      <c r="C234" s="1" t="s">
        <v>23</v>
      </c>
      <c r="D234" s="20" t="s">
        <v>277</v>
      </c>
      <c r="E234" s="15" t="str">
        <f>HYPERLINK("https://stat100.ameba.jp/tnk47/ratio20/illustrations/card/ill_40913_0_reigyokudensetsufusehime03.jpg?201912-3-RELEASE-dice-e-444", "■")</f>
        <v>■</v>
      </c>
      <c r="F234" s="1" t="s">
        <v>955</v>
      </c>
      <c r="G234" s="1">
        <v>126058</v>
      </c>
      <c r="H234" s="1">
        <v>134596</v>
      </c>
      <c r="I234" s="1">
        <v>23</v>
      </c>
      <c r="J234" s="1" t="s">
        <v>38</v>
      </c>
      <c r="K234" s="1" t="s">
        <v>956</v>
      </c>
      <c r="L234" s="1" t="s">
        <v>957</v>
      </c>
      <c r="M234" s="1" t="s">
        <v>9158</v>
      </c>
      <c r="N234" s="1" t="s">
        <v>9158</v>
      </c>
      <c r="O234" s="1" t="s">
        <v>9158</v>
      </c>
      <c r="P234" s="1" t="s">
        <v>9158</v>
      </c>
      <c r="Q234" s="1" t="s">
        <v>9158</v>
      </c>
    </row>
    <row r="235" spans="1:17">
      <c r="A235" s="7">
        <v>85733</v>
      </c>
      <c r="B235" s="7" t="s">
        <v>0</v>
      </c>
      <c r="C235" s="1" t="s">
        <v>185</v>
      </c>
      <c r="D235" s="20" t="s">
        <v>10836</v>
      </c>
      <c r="E235" s="15" t="str">
        <f>HYPERLINK("https://stat100.ameba.jp/tnk47/ratio20/illustrations/card/ill_85733_hakkachan03.jpg?201912-3-RELEASE-dice-e-444", "■")</f>
        <v>■</v>
      </c>
      <c r="F235" s="7" t="s">
        <v>8504</v>
      </c>
      <c r="G235" s="7">
        <v>113890</v>
      </c>
      <c r="H235" s="7">
        <v>105890</v>
      </c>
      <c r="I235" s="7">
        <v>25</v>
      </c>
      <c r="J235" s="7" t="s">
        <v>229</v>
      </c>
      <c r="K235" s="7" t="s">
        <v>3792</v>
      </c>
      <c r="L235" s="7" t="s">
        <v>1086</v>
      </c>
      <c r="M235" s="1" t="s">
        <v>9158</v>
      </c>
      <c r="N235" s="1" t="s">
        <v>9158</v>
      </c>
      <c r="O235" s="1" t="s">
        <v>9158</v>
      </c>
      <c r="P235" s="1" t="s">
        <v>9158</v>
      </c>
      <c r="Q235" s="1" t="s">
        <v>9158</v>
      </c>
    </row>
    <row r="236" spans="1:17">
      <c r="A236" s="7">
        <v>85743</v>
      </c>
      <c r="B236" s="7" t="s">
        <v>15</v>
      </c>
      <c r="C236" s="7" t="s">
        <v>2611</v>
      </c>
      <c r="D236" s="20" t="s">
        <v>10837</v>
      </c>
      <c r="E236" s="15" t="str">
        <f>HYPERLINK("https://stat100.ameba.jp/tnk47/ratio20/illustrations/card/ill_85743_furorensunaichingeru03.jpg?201912-3-RELEASE-dice-e-444", "■")</f>
        <v>■</v>
      </c>
      <c r="F236" s="7" t="s">
        <v>8507</v>
      </c>
      <c r="G236" s="7">
        <v>67210</v>
      </c>
      <c r="H236" s="7">
        <v>74100</v>
      </c>
      <c r="I236" s="7">
        <v>25</v>
      </c>
      <c r="J236" s="7" t="s">
        <v>173</v>
      </c>
      <c r="K236" s="7" t="s">
        <v>8506</v>
      </c>
      <c r="L236" s="7" t="s">
        <v>3337</v>
      </c>
      <c r="M236" s="1" t="s">
        <v>9158</v>
      </c>
      <c r="N236" s="1" t="s">
        <v>9158</v>
      </c>
      <c r="O236" s="1" t="s">
        <v>9158</v>
      </c>
      <c r="P236" s="1" t="s">
        <v>9158</v>
      </c>
      <c r="Q236" s="1" t="s">
        <v>9158</v>
      </c>
    </row>
    <row r="237" spans="1:17">
      <c r="A237" s="7">
        <v>85753</v>
      </c>
      <c r="B237" s="7" t="s">
        <v>22</v>
      </c>
      <c r="C237" s="7" t="s">
        <v>191</v>
      </c>
      <c r="D237" s="20" t="s">
        <v>10838</v>
      </c>
      <c r="E237" s="15" t="str">
        <f>HYPERLINK("https://stat100.ameba.jp/tnk47/ratio20/illustrations/card/ill_85753_reishi03.jpg?201912-3-RELEASE-dice-e-444", "■")</f>
        <v>■</v>
      </c>
      <c r="F237" s="7" t="s">
        <v>8510</v>
      </c>
      <c r="G237" s="7">
        <v>51980</v>
      </c>
      <c r="H237" s="7">
        <v>43220</v>
      </c>
      <c r="I237" s="7">
        <v>25</v>
      </c>
      <c r="J237" s="7" t="s">
        <v>216</v>
      </c>
      <c r="K237" s="7" t="s">
        <v>8509</v>
      </c>
      <c r="L237" s="7" t="s">
        <v>2674</v>
      </c>
      <c r="M237" s="1" t="s">
        <v>9158</v>
      </c>
      <c r="N237" s="1" t="s">
        <v>9158</v>
      </c>
      <c r="O237" s="1" t="s">
        <v>9158</v>
      </c>
      <c r="P237" s="1" t="s">
        <v>9158</v>
      </c>
      <c r="Q237" s="1" t="s">
        <v>9158</v>
      </c>
    </row>
    <row r="238" spans="1:17">
      <c r="A238" s="7">
        <v>85763</v>
      </c>
      <c r="B238" s="7" t="s">
        <v>30</v>
      </c>
      <c r="C238" s="7" t="s">
        <v>2001</v>
      </c>
      <c r="D238" s="20" t="s">
        <v>10839</v>
      </c>
      <c r="E238" s="15" t="str">
        <f>HYPERLINK("https://stat100.ameba.jp/tnk47/ratio20/illustrations/card/ill_85763_jimuirohahime03.jpg?201912-3-RELEASE-dice-e-444", "■")</f>
        <v>■</v>
      </c>
      <c r="F238" s="7" t="s">
        <v>8513</v>
      </c>
      <c r="G238" s="7">
        <v>26430</v>
      </c>
      <c r="H238" s="7">
        <v>31470</v>
      </c>
      <c r="I238" s="7">
        <v>25</v>
      </c>
      <c r="J238" s="7" t="s">
        <v>187</v>
      </c>
      <c r="K238" s="7" t="s">
        <v>8512</v>
      </c>
      <c r="L238" s="7" t="s">
        <v>1736</v>
      </c>
      <c r="M238" s="1" t="s">
        <v>9158</v>
      </c>
      <c r="N238" s="1" t="s">
        <v>9158</v>
      </c>
      <c r="O238" s="1" t="s">
        <v>9158</v>
      </c>
      <c r="P238" s="1" t="s">
        <v>9158</v>
      </c>
      <c r="Q238" s="1" t="s">
        <v>9158</v>
      </c>
    </row>
    <row r="239" spans="1:17">
      <c r="E239" s="7"/>
    </row>
    <row r="240" spans="1:17">
      <c r="A240" s="7" t="s">
        <v>8583</v>
      </c>
      <c r="E240" s="7"/>
    </row>
    <row r="241" spans="1:17">
      <c r="A241" s="7" t="s">
        <v>8582</v>
      </c>
      <c r="E241" s="7"/>
    </row>
    <row r="242" spans="1:17">
      <c r="A242" s="1" t="s">
        <v>5626</v>
      </c>
      <c r="B242" s="1" t="s">
        <v>330</v>
      </c>
      <c r="C242" s="1" t="s">
        <v>200</v>
      </c>
      <c r="D242" s="20" t="s">
        <v>3160</v>
      </c>
      <c r="E242" s="15" t="str">
        <f>HYPERLINK("https://stat100.ameba.jp/tnk47/ratio20/illustrations/card/ill_72963_0_amenohanayomehiguchiichiyo03.jpg?201912-3-RELEASE-dice-e-444", "■")</f>
        <v>■</v>
      </c>
      <c r="F242" s="1" t="s">
        <v>1139</v>
      </c>
      <c r="G242" s="1">
        <v>167506</v>
      </c>
      <c r="H242" s="1">
        <v>155750</v>
      </c>
      <c r="I242" s="1">
        <v>25</v>
      </c>
      <c r="J242" s="1" t="s">
        <v>173</v>
      </c>
      <c r="K242" s="1" t="s">
        <v>1140</v>
      </c>
      <c r="L242" s="1" t="s">
        <v>1141</v>
      </c>
      <c r="M242" s="1" t="s">
        <v>9158</v>
      </c>
      <c r="N242" s="1" t="s">
        <v>9158</v>
      </c>
      <c r="O242" s="19" t="s">
        <v>3162</v>
      </c>
      <c r="P242" s="1" t="s">
        <v>3410</v>
      </c>
      <c r="Q242" s="1">
        <v>1</v>
      </c>
    </row>
    <row r="243" spans="1:17">
      <c r="A243" s="1" t="s">
        <v>5642</v>
      </c>
      <c r="B243" s="1" t="s">
        <v>330</v>
      </c>
      <c r="C243" s="1" t="s">
        <v>185</v>
      </c>
      <c r="D243" s="20" t="s">
        <v>3086</v>
      </c>
      <c r="E243" s="15" t="str">
        <f>HYPERLINK("https://stat100.ameba.jp/tnk47/ratio20/illustrations/card/ill_69593_0_setsubunyukionna03.jpg?201912-3-RELEASE-dice-e-444", "■")</f>
        <v>■</v>
      </c>
      <c r="F243" s="1" t="s">
        <v>3087</v>
      </c>
      <c r="G243" s="1">
        <v>178578</v>
      </c>
      <c r="H243" s="1">
        <v>192083</v>
      </c>
      <c r="I243" s="1">
        <v>25</v>
      </c>
      <c r="J243" s="1" t="s">
        <v>320</v>
      </c>
      <c r="K243" s="1" t="s">
        <v>3088</v>
      </c>
      <c r="L243" s="1" t="s">
        <v>3089</v>
      </c>
      <c r="M243" s="1" t="s">
        <v>9158</v>
      </c>
      <c r="N243" s="1" t="s">
        <v>9158</v>
      </c>
      <c r="O243" s="19" t="s">
        <v>3090</v>
      </c>
      <c r="P243" s="1" t="s">
        <v>3091</v>
      </c>
      <c r="Q243" s="1">
        <v>2</v>
      </c>
    </row>
    <row r="244" spans="1:17">
      <c r="A244" s="7">
        <v>85653</v>
      </c>
      <c r="B244" s="7" t="s">
        <v>8584</v>
      </c>
      <c r="C244" s="1" t="s">
        <v>158</v>
      </c>
      <c r="D244" s="20" t="s">
        <v>10846</v>
      </c>
      <c r="E244" s="15" t="str">
        <f>HYPERLINK("https://stat100.ameba.jp/tnk47/ratio20/illustrations/card/ill_85653_onashiefumizuno03.jpg?201912-3-RELEASE-dice-e-444", "■")</f>
        <v>■</v>
      </c>
      <c r="F244" s="7" t="s">
        <v>8587</v>
      </c>
      <c r="G244" s="7">
        <v>95703</v>
      </c>
      <c r="H244" s="7">
        <v>132144</v>
      </c>
      <c r="I244" s="7">
        <v>25</v>
      </c>
      <c r="J244" s="7" t="s">
        <v>216</v>
      </c>
      <c r="K244" s="7" t="s">
        <v>8586</v>
      </c>
      <c r="L244" s="7" t="s">
        <v>8585</v>
      </c>
      <c r="M244" s="1" t="s">
        <v>9158</v>
      </c>
      <c r="N244" s="1" t="s">
        <v>9158</v>
      </c>
      <c r="O244" s="19" t="s">
        <v>4074</v>
      </c>
      <c r="P244" s="1" t="s">
        <v>3462</v>
      </c>
      <c r="Q244" s="1">
        <v>1</v>
      </c>
    </row>
    <row r="245" spans="1:17">
      <c r="A245" s="1">
        <v>63273</v>
      </c>
      <c r="B245" s="1" t="s">
        <v>334</v>
      </c>
      <c r="C245" s="1" t="s">
        <v>158</v>
      </c>
      <c r="D245" s="20" t="s">
        <v>828</v>
      </c>
      <c r="E245" s="15" t="str">
        <f>HYPERLINK("https://stat100.ameba.jp/tnk47/ratio20/illustrations/card/ill_63273_tsukushimai03.jpg?201912-3-RELEASE-dice-e-444", "■")</f>
        <v>■</v>
      </c>
      <c r="F245" s="1" t="s">
        <v>1211</v>
      </c>
      <c r="G245" s="1">
        <v>127580</v>
      </c>
      <c r="H245" s="1">
        <v>92402</v>
      </c>
      <c r="I245" s="1">
        <v>25</v>
      </c>
      <c r="J245" s="1" t="s">
        <v>38</v>
      </c>
      <c r="K245" s="1" t="s">
        <v>1212</v>
      </c>
      <c r="L245" s="1" t="s">
        <v>1213</v>
      </c>
      <c r="M245" s="1" t="s">
        <v>9158</v>
      </c>
      <c r="N245" s="1" t="s">
        <v>9158</v>
      </c>
      <c r="O245" s="19" t="s">
        <v>10110</v>
      </c>
      <c r="P245" s="1" t="s">
        <v>13128</v>
      </c>
      <c r="Q245" s="1">
        <v>1</v>
      </c>
    </row>
    <row r="246" spans="1:17">
      <c r="A246" s="1">
        <v>67953</v>
      </c>
      <c r="B246" s="1" t="s">
        <v>334</v>
      </c>
      <c r="C246" s="1" t="s">
        <v>154</v>
      </c>
      <c r="D246" s="20" t="s">
        <v>10202</v>
      </c>
      <c r="E246" s="15" t="str">
        <f>HYPERLINK("https://stat100.ameba.jp/tnk47/ratio20/illustrations/card/ill_67953_kutaniyaki03.jpg?201912-3-RELEASE-dice-e-444", "■")</f>
        <v>■</v>
      </c>
      <c r="F246" s="1" t="s">
        <v>2487</v>
      </c>
      <c r="G246" s="1">
        <v>82205</v>
      </c>
      <c r="H246" s="1">
        <v>113463</v>
      </c>
      <c r="I246" s="7">
        <v>25</v>
      </c>
      <c r="J246" s="1" t="s">
        <v>26</v>
      </c>
      <c r="K246" s="1" t="s">
        <v>2488</v>
      </c>
      <c r="L246" s="1" t="s">
        <v>2489</v>
      </c>
      <c r="M246" s="1" t="s">
        <v>9158</v>
      </c>
      <c r="N246" s="1" t="s">
        <v>9158</v>
      </c>
      <c r="O246" s="19" t="s">
        <v>10074</v>
      </c>
      <c r="P246" s="1" t="s">
        <v>3592</v>
      </c>
      <c r="Q246" s="1">
        <v>1</v>
      </c>
    </row>
    <row r="247" spans="1:17">
      <c r="A247" s="7">
        <v>57113</v>
      </c>
      <c r="B247" s="1" t="s">
        <v>334</v>
      </c>
      <c r="C247" s="1" t="s">
        <v>264</v>
      </c>
      <c r="D247" s="20" t="s">
        <v>10847</v>
      </c>
      <c r="E247" s="15" t="str">
        <f>HYPERLINK("https://stat100.ameba.jp/tnk47/ratio20/illustrations/card/ill_57113_furenchitosuto03.jpg?201912-3-RELEASE-dice-e-444", "■")</f>
        <v>■</v>
      </c>
      <c r="F247" s="1" t="s">
        <v>1579</v>
      </c>
      <c r="G247" s="1">
        <v>75651</v>
      </c>
      <c r="H247" s="1">
        <v>103176</v>
      </c>
      <c r="I247" s="1">
        <v>25</v>
      </c>
      <c r="J247" s="1" t="s">
        <v>283</v>
      </c>
      <c r="K247" s="1" t="s">
        <v>1580</v>
      </c>
      <c r="L247" s="1" t="s">
        <v>1581</v>
      </c>
      <c r="M247" s="1" t="s">
        <v>9158</v>
      </c>
      <c r="N247" s="1" t="s">
        <v>9158</v>
      </c>
      <c r="O247" s="1" t="s">
        <v>9158</v>
      </c>
      <c r="P247" s="1" t="s">
        <v>9158</v>
      </c>
      <c r="Q247" s="1" t="s">
        <v>9158</v>
      </c>
    </row>
    <row r="248" spans="1:17">
      <c r="A248" s="7">
        <v>56053</v>
      </c>
      <c r="B248" s="1" t="s">
        <v>334</v>
      </c>
      <c r="C248" s="1" t="s">
        <v>263</v>
      </c>
      <c r="D248" s="20" t="s">
        <v>10848</v>
      </c>
      <c r="E248" s="15" t="str">
        <f>HYPERLINK("https://stat100.ameba.jp/tnk47/ratio20/illustrations/card/ill_56053_hyomondako03.jpg?201912-3-RELEASE-dice-e-444", "■")</f>
        <v>■</v>
      </c>
      <c r="F248" s="1" t="s">
        <v>4154</v>
      </c>
      <c r="G248" s="1">
        <v>103176</v>
      </c>
      <c r="H248" s="1">
        <v>75651</v>
      </c>
      <c r="I248" s="7">
        <v>25</v>
      </c>
      <c r="J248" s="1" t="s">
        <v>26</v>
      </c>
      <c r="K248" s="1" t="s">
        <v>4155</v>
      </c>
      <c r="L248" s="1" t="s">
        <v>4156</v>
      </c>
      <c r="M248" s="1" t="s">
        <v>9158</v>
      </c>
      <c r="N248" s="1" t="s">
        <v>9158</v>
      </c>
      <c r="O248" s="1" t="s">
        <v>9158</v>
      </c>
      <c r="P248" s="1" t="s">
        <v>9158</v>
      </c>
      <c r="Q248" s="1" t="s">
        <v>9158</v>
      </c>
    </row>
    <row r="249" spans="1:17">
      <c r="A249" s="7">
        <v>59393</v>
      </c>
      <c r="B249" s="1" t="s">
        <v>334</v>
      </c>
      <c r="C249" s="1" t="s">
        <v>154</v>
      </c>
      <c r="D249" s="20" t="s">
        <v>10849</v>
      </c>
      <c r="E249" s="15" t="str">
        <f>HYPERLINK("https://stat100.ameba.jp/tnk47/ratio20/illustrations/card/ill_59393_kondoisami03.jpg?201912-3-RELEASE-dice-e-444", "■")</f>
        <v>■</v>
      </c>
      <c r="F249" s="7" t="s">
        <v>8590</v>
      </c>
      <c r="G249" s="7">
        <v>148199</v>
      </c>
      <c r="H249" s="7">
        <v>89590</v>
      </c>
      <c r="I249" s="1">
        <v>25</v>
      </c>
      <c r="J249" s="1" t="s">
        <v>143</v>
      </c>
      <c r="K249" s="7" t="s">
        <v>8589</v>
      </c>
      <c r="L249" s="7" t="s">
        <v>8588</v>
      </c>
      <c r="M249" s="1" t="s">
        <v>9158</v>
      </c>
      <c r="N249" s="1" t="s">
        <v>9158</v>
      </c>
      <c r="O249" s="1" t="s">
        <v>9158</v>
      </c>
      <c r="P249" s="1" t="s">
        <v>9158</v>
      </c>
      <c r="Q249" s="1" t="s">
        <v>9158</v>
      </c>
    </row>
    <row r="250" spans="1:17">
      <c r="E250" s="7"/>
    </row>
    <row r="251" spans="1:17">
      <c r="A251" s="1" t="s">
        <v>195</v>
      </c>
      <c r="B251" s="1"/>
      <c r="C251" s="1"/>
      <c r="D251" s="1"/>
      <c r="F251" s="1"/>
      <c r="G251" s="1"/>
      <c r="H251" s="1"/>
      <c r="I251" s="1"/>
      <c r="J251" s="1"/>
      <c r="K251" s="1"/>
      <c r="L251" s="1"/>
      <c r="M251" s="1"/>
      <c r="N251" s="1"/>
      <c r="O251" s="1"/>
      <c r="P251" s="1"/>
      <c r="Q251" s="1"/>
    </row>
    <row r="252" spans="1:17">
      <c r="A252" s="1" t="s">
        <v>8581</v>
      </c>
      <c r="B252" s="1"/>
      <c r="C252" s="1"/>
      <c r="D252" s="1"/>
      <c r="F252" s="1"/>
      <c r="G252" s="1"/>
      <c r="H252" s="1"/>
      <c r="I252" s="1"/>
      <c r="J252" s="1"/>
      <c r="K252" s="1"/>
      <c r="L252" s="1"/>
      <c r="M252" s="1"/>
      <c r="N252" s="1"/>
      <c r="O252" s="1"/>
      <c r="P252" s="1"/>
      <c r="Q252" s="1"/>
    </row>
    <row r="253" spans="1:17">
      <c r="A253" s="1">
        <v>76103</v>
      </c>
      <c r="B253" s="1" t="s">
        <v>334</v>
      </c>
      <c r="C253" s="1" t="s">
        <v>154</v>
      </c>
      <c r="D253" s="20" t="s">
        <v>570</v>
      </c>
      <c r="E253" s="15" t="str">
        <f>HYPERLINK("https://stat100.ameba.jp/tnk47/ratio20/illustrations/card/ill_76103_shibuaji03.jpg?201912-3-RELEASE-dice-e-444", "■")</f>
        <v>■</v>
      </c>
      <c r="F253" s="1" t="s">
        <v>1122</v>
      </c>
      <c r="G253" s="1">
        <v>107826</v>
      </c>
      <c r="H253" s="1">
        <v>100256</v>
      </c>
      <c r="I253" s="1">
        <v>25</v>
      </c>
      <c r="J253" s="1" t="s">
        <v>143</v>
      </c>
      <c r="K253" s="1" t="s">
        <v>1123</v>
      </c>
      <c r="L253" s="1" t="s">
        <v>1124</v>
      </c>
      <c r="M253" s="1" t="s">
        <v>9158</v>
      </c>
      <c r="N253" s="1" t="s">
        <v>9158</v>
      </c>
      <c r="O253" s="1" t="s">
        <v>9158</v>
      </c>
      <c r="P253" s="1" t="s">
        <v>9158</v>
      </c>
      <c r="Q253" s="1" t="s">
        <v>9158</v>
      </c>
    </row>
    <row r="254" spans="1:17">
      <c r="A254" s="1">
        <v>76113</v>
      </c>
      <c r="B254" s="1" t="s">
        <v>334</v>
      </c>
      <c r="C254" s="1" t="s">
        <v>158</v>
      </c>
      <c r="D254" s="20" t="s">
        <v>10268</v>
      </c>
      <c r="E254" s="15" t="str">
        <f>HYPERLINK("https://stat100.ameba.jp/tnk47/ratio20/illustrations/card/ill_76113_jannudaruku03.jpg?201912-3-RELEASE-dice-e-444", "■")</f>
        <v>■</v>
      </c>
      <c r="F254" s="1" t="s">
        <v>1126</v>
      </c>
      <c r="G254" s="1">
        <v>107826</v>
      </c>
      <c r="H254" s="1">
        <v>100256</v>
      </c>
      <c r="I254" s="1">
        <v>25</v>
      </c>
      <c r="J254" s="1" t="s">
        <v>10</v>
      </c>
      <c r="K254" s="1" t="s">
        <v>1127</v>
      </c>
      <c r="L254" s="1" t="s">
        <v>1128</v>
      </c>
      <c r="M254" s="1" t="s">
        <v>9158</v>
      </c>
      <c r="N254" s="1" t="s">
        <v>9158</v>
      </c>
      <c r="O254" s="1" t="s">
        <v>9158</v>
      </c>
      <c r="P254" s="1" t="s">
        <v>9158</v>
      </c>
      <c r="Q254" s="1" t="s">
        <v>9158</v>
      </c>
    </row>
    <row r="255" spans="1:17">
      <c r="A255" s="1">
        <v>63323</v>
      </c>
      <c r="B255" s="1" t="s">
        <v>0</v>
      </c>
      <c r="C255" s="1" t="s">
        <v>200</v>
      </c>
      <c r="D255" s="20" t="s">
        <v>10269</v>
      </c>
      <c r="E255" s="15" t="str">
        <f>HYPERLINK("https://stat100.ameba.jp/tnk47/ratio20/illustrations/card/ill_63323_ajisaikushinadahime03.jpg?201912-3-RELEASE-dice-e-444", "■")</f>
        <v>■</v>
      </c>
      <c r="F255" s="1" t="s">
        <v>3583</v>
      </c>
      <c r="G255" s="1">
        <v>94802</v>
      </c>
      <c r="H255" s="1">
        <v>101971</v>
      </c>
      <c r="I255" s="1">
        <v>25</v>
      </c>
      <c r="J255" s="1" t="s">
        <v>44</v>
      </c>
      <c r="K255" s="1" t="s">
        <v>3584</v>
      </c>
      <c r="L255" s="1" t="s">
        <v>2400</v>
      </c>
      <c r="M255" s="1" t="s">
        <v>9158</v>
      </c>
      <c r="N255" s="1" t="s">
        <v>9158</v>
      </c>
      <c r="O255" s="1" t="s">
        <v>9158</v>
      </c>
      <c r="P255" s="1" t="s">
        <v>9158</v>
      </c>
      <c r="Q255" s="1" t="s">
        <v>9158</v>
      </c>
    </row>
    <row r="256" spans="1:17">
      <c r="A256" s="1">
        <v>59863</v>
      </c>
      <c r="B256" s="1" t="s">
        <v>334</v>
      </c>
      <c r="C256" s="1" t="s">
        <v>165</v>
      </c>
      <c r="D256" s="20" t="s">
        <v>318</v>
      </c>
      <c r="E256" s="15" t="str">
        <f>HYPERLINK("https://stat100.ameba.jp/tnk47/ratio20/illustrations/card/ill_59863_yoseiichimokuren03.jpg?201912-3-RELEASE-dice-e-444", "■")</f>
        <v>■</v>
      </c>
      <c r="F256" s="1" t="s">
        <v>319</v>
      </c>
      <c r="G256" s="1">
        <v>104162</v>
      </c>
      <c r="H256" s="1">
        <v>96871</v>
      </c>
      <c r="I256" s="1">
        <v>25</v>
      </c>
      <c r="J256" s="1" t="s">
        <v>320</v>
      </c>
      <c r="K256" s="1" t="s">
        <v>321</v>
      </c>
      <c r="L256" s="1" t="s">
        <v>322</v>
      </c>
      <c r="M256" s="1" t="s">
        <v>9158</v>
      </c>
      <c r="N256" s="1" t="s">
        <v>9158</v>
      </c>
      <c r="O256" s="1" t="s">
        <v>9158</v>
      </c>
      <c r="P256" s="1" t="s">
        <v>9158</v>
      </c>
      <c r="Q256" s="1" t="s">
        <v>9158</v>
      </c>
    </row>
    <row r="257" spans="1:18">
      <c r="A257" s="1">
        <v>51823</v>
      </c>
      <c r="B257" s="1" t="s">
        <v>15</v>
      </c>
      <c r="C257" s="1" t="s">
        <v>101</v>
      </c>
      <c r="D257" s="20" t="s">
        <v>10587</v>
      </c>
      <c r="E257" s="15" t="str">
        <f>HYPERLINK("https://stat100.ameba.jp/tnk47/ratio20/illustrations/card/ill_51823_jukimatsu03.jpg?201912-3-RELEASE-dice-e-444", "■")</f>
        <v>■</v>
      </c>
      <c r="F257" s="1" t="s">
        <v>6742</v>
      </c>
      <c r="G257" s="1">
        <v>67210</v>
      </c>
      <c r="H257" s="1">
        <v>74100</v>
      </c>
      <c r="I257" s="1">
        <v>25</v>
      </c>
      <c r="J257" s="1" t="s">
        <v>77</v>
      </c>
      <c r="K257" s="1" t="s">
        <v>6743</v>
      </c>
      <c r="L257" s="1" t="s">
        <v>6744</v>
      </c>
      <c r="M257" s="1" t="s">
        <v>9158</v>
      </c>
      <c r="N257" s="1" t="s">
        <v>9158</v>
      </c>
      <c r="O257" s="1" t="s">
        <v>9158</v>
      </c>
      <c r="P257" s="1" t="s">
        <v>9158</v>
      </c>
      <c r="Q257" s="1" t="s">
        <v>9158</v>
      </c>
    </row>
    <row r="258" spans="1:18">
      <c r="A258" s="1">
        <v>51773</v>
      </c>
      <c r="B258" s="1" t="s">
        <v>15</v>
      </c>
      <c r="C258" s="1" t="s">
        <v>205</v>
      </c>
      <c r="D258" s="20" t="s">
        <v>10588</v>
      </c>
      <c r="E258" s="15" t="str">
        <f>HYPERLINK("https://stat100.ameba.jp/tnk47/ratio20/illustrations/card/ill_51773_kawaasobikanekomisuzu03.jpg?201912-3-RELEASE-dice-e-444", "■")</f>
        <v>■</v>
      </c>
      <c r="F258" s="1" t="s">
        <v>6747</v>
      </c>
      <c r="G258" s="1">
        <v>74100</v>
      </c>
      <c r="H258" s="1">
        <v>67210</v>
      </c>
      <c r="I258" s="1">
        <v>25</v>
      </c>
      <c r="J258" s="1" t="s">
        <v>10</v>
      </c>
      <c r="K258" s="1" t="s">
        <v>6746</v>
      </c>
      <c r="L258" s="1" t="s">
        <v>6745</v>
      </c>
      <c r="M258" s="1" t="s">
        <v>9158</v>
      </c>
      <c r="N258" s="1" t="s">
        <v>9158</v>
      </c>
      <c r="O258" s="1" t="s">
        <v>9158</v>
      </c>
      <c r="P258" s="1" t="s">
        <v>9158</v>
      </c>
      <c r="Q258" s="1" t="s">
        <v>9158</v>
      </c>
    </row>
    <row r="259" spans="1:18">
      <c r="A259" s="1">
        <v>51733</v>
      </c>
      <c r="B259" s="1" t="s">
        <v>15</v>
      </c>
      <c r="C259" s="1" t="s">
        <v>185</v>
      </c>
      <c r="D259" s="20" t="s">
        <v>10589</v>
      </c>
      <c r="E259" s="15" t="str">
        <f>HYPERLINK("https://stat100.ameba.jp/tnk47/ratio20/illustrations/card/ill_51733_ekusoshisutopoiyampe03.jpg?201912-3-RELEASE-dice-e-444", "■")</f>
        <v>■</v>
      </c>
      <c r="F259" s="1" t="s">
        <v>6750</v>
      </c>
      <c r="G259" s="1">
        <v>67210</v>
      </c>
      <c r="H259" s="1">
        <v>74100</v>
      </c>
      <c r="I259" s="1">
        <v>25</v>
      </c>
      <c r="J259" s="1" t="s">
        <v>274</v>
      </c>
      <c r="K259" s="1" t="s">
        <v>6749</v>
      </c>
      <c r="L259" s="1" t="s">
        <v>6748</v>
      </c>
      <c r="M259" s="1" t="s">
        <v>9158</v>
      </c>
      <c r="N259" s="1" t="s">
        <v>9158</v>
      </c>
      <c r="O259" s="1" t="s">
        <v>9158</v>
      </c>
      <c r="P259" s="1" t="s">
        <v>9158</v>
      </c>
      <c r="Q259" s="1" t="s">
        <v>9158</v>
      </c>
    </row>
    <row r="260" spans="1:18">
      <c r="A260" s="1">
        <v>55743</v>
      </c>
      <c r="B260" s="1" t="s">
        <v>15</v>
      </c>
      <c r="C260" s="1" t="s">
        <v>96</v>
      </c>
      <c r="D260" s="20" t="s">
        <v>10590</v>
      </c>
      <c r="E260" s="15" t="str">
        <f>HYPERLINK("https://stat100.ameba.jp/tnk47/ratio20/illustrations/card/ill_55743_nankoume03.jpg?201912-3-RELEASE-dice-e-444", "■")</f>
        <v>■</v>
      </c>
      <c r="F260" s="1" t="s">
        <v>4308</v>
      </c>
      <c r="G260" s="1">
        <v>67210</v>
      </c>
      <c r="H260" s="1">
        <v>74100</v>
      </c>
      <c r="I260" s="1">
        <v>25</v>
      </c>
      <c r="J260" s="1" t="s">
        <v>216</v>
      </c>
      <c r="K260" s="1" t="s">
        <v>4310</v>
      </c>
      <c r="L260" s="1" t="s">
        <v>4311</v>
      </c>
      <c r="M260" s="1" t="s">
        <v>9158</v>
      </c>
      <c r="N260" s="1" t="s">
        <v>9158</v>
      </c>
      <c r="O260" s="1" t="s">
        <v>9158</v>
      </c>
      <c r="P260" s="1" t="s">
        <v>9158</v>
      </c>
      <c r="Q260" s="1" t="s">
        <v>9158</v>
      </c>
    </row>
    <row r="261" spans="1:18">
      <c r="E261" s="7"/>
    </row>
    <row r="262" spans="1:18">
      <c r="A262" s="7" t="s">
        <v>8592</v>
      </c>
      <c r="E262" s="7"/>
    </row>
    <row r="263" spans="1:18">
      <c r="A263" s="7" t="s">
        <v>8591</v>
      </c>
      <c r="E263" s="7"/>
    </row>
    <row r="264" spans="1:18">
      <c r="A264" s="1" t="s">
        <v>5734</v>
      </c>
      <c r="B264" s="1" t="s">
        <v>330</v>
      </c>
      <c r="C264" s="1" t="s">
        <v>202</v>
      </c>
      <c r="D264" s="20" t="s">
        <v>1497</v>
      </c>
      <c r="E264" s="15" t="str">
        <f>HYPERLINK("https://stat100.ameba.jp/tnk47/ratio20/illustrations/card/ill_74593_0_natsuyuenchikoshihikari03.jpg?201912-3-RELEASE-dice-e-444x", "■")</f>
        <v>■</v>
      </c>
      <c r="F264" s="1" t="s">
        <v>1498</v>
      </c>
      <c r="G264" s="1">
        <v>238328</v>
      </c>
      <c r="H264" s="1">
        <v>221566</v>
      </c>
      <c r="I264" s="1">
        <v>22</v>
      </c>
      <c r="J264" s="1" t="s">
        <v>283</v>
      </c>
      <c r="K264" s="1" t="s">
        <v>1499</v>
      </c>
      <c r="L264" s="1" t="s">
        <v>1500</v>
      </c>
      <c r="M264" s="1" t="s">
        <v>9158</v>
      </c>
      <c r="N264" s="1" t="s">
        <v>9158</v>
      </c>
      <c r="O264" s="19" t="s">
        <v>2731</v>
      </c>
      <c r="P264" s="1" t="s">
        <v>2732</v>
      </c>
      <c r="Q264" s="1">
        <v>1</v>
      </c>
    </row>
    <row r="265" spans="1:18">
      <c r="A265" s="1">
        <v>63853</v>
      </c>
      <c r="B265" s="1" t="s">
        <v>334</v>
      </c>
      <c r="C265" s="1" t="s">
        <v>200</v>
      </c>
      <c r="D265" s="20" t="s">
        <v>10284</v>
      </c>
      <c r="E265" s="15" t="str">
        <f>HYPERLINK("https://stat100.ameba.jp/tnk47/ratio20/illustrations/card/ill_63853_daikokaijidainansosatomihakkenden03.jpg?201912-3-RELEASE-dice-e-444x", "■")</f>
        <v>■</v>
      </c>
      <c r="F265" s="1" t="s">
        <v>941</v>
      </c>
      <c r="G265" s="1">
        <v>105890</v>
      </c>
      <c r="H265" s="1">
        <v>105890</v>
      </c>
      <c r="I265" s="1">
        <v>25</v>
      </c>
      <c r="J265" s="1" t="s">
        <v>155</v>
      </c>
      <c r="K265" s="1" t="s">
        <v>942</v>
      </c>
      <c r="L265" s="1" t="s">
        <v>13149</v>
      </c>
      <c r="M265" s="1" t="s">
        <v>9158</v>
      </c>
      <c r="N265" s="1" t="s">
        <v>9158</v>
      </c>
      <c r="O265" s="19" t="s">
        <v>10121</v>
      </c>
      <c r="P265" s="1" t="s">
        <v>3330</v>
      </c>
      <c r="Q265" s="1">
        <v>1</v>
      </c>
    </row>
    <row r="266" spans="1:18">
      <c r="A266" s="1">
        <v>81303</v>
      </c>
      <c r="B266" s="1" t="s">
        <v>334</v>
      </c>
      <c r="C266" s="1" t="s">
        <v>41</v>
      </c>
      <c r="D266" s="20" t="s">
        <v>10349</v>
      </c>
      <c r="E266" s="15" t="str">
        <f>HYPERLINK("https://stat100.ameba.jp/tnk47/ratio20/illustrations/card/ill_81303_suteirukuin03.jpg?201912-3-RELEASE-dice-e-444x", "■")</f>
        <v>■</v>
      </c>
      <c r="F266" s="1" t="s">
        <v>4581</v>
      </c>
      <c r="G266" s="1">
        <v>120475</v>
      </c>
      <c r="H266" s="1">
        <v>166328</v>
      </c>
      <c r="I266" s="1">
        <v>25</v>
      </c>
      <c r="J266" s="1" t="s">
        <v>104</v>
      </c>
      <c r="K266" s="1" t="s">
        <v>4582</v>
      </c>
      <c r="L266" s="1" t="s">
        <v>2304</v>
      </c>
      <c r="M266" s="1" t="s">
        <v>9158</v>
      </c>
      <c r="N266" s="1" t="s">
        <v>9158</v>
      </c>
      <c r="O266" s="19" t="s">
        <v>10084</v>
      </c>
      <c r="P266" s="1" t="s">
        <v>4584</v>
      </c>
      <c r="Q266" s="1">
        <v>1</v>
      </c>
    </row>
    <row r="267" spans="1:18">
      <c r="A267" s="1">
        <v>64043</v>
      </c>
      <c r="B267" s="1" t="s">
        <v>334</v>
      </c>
      <c r="C267" s="1" t="s">
        <v>209</v>
      </c>
      <c r="D267" s="20" t="s">
        <v>10262</v>
      </c>
      <c r="E267" s="15" t="str">
        <f>HYPERLINK("https://stat100.ameba.jp/tnk47/ratio20/illustrations/card/ill_64043_kegonnotaki03.jpg?201912-3-RELEASE-dice-e-444x", "■")</f>
        <v>■</v>
      </c>
      <c r="F267" s="1" t="s">
        <v>759</v>
      </c>
      <c r="G267" s="1">
        <v>118917</v>
      </c>
      <c r="H267" s="1">
        <v>86140</v>
      </c>
      <c r="I267" s="1">
        <v>25</v>
      </c>
      <c r="J267" s="1" t="s">
        <v>229</v>
      </c>
      <c r="K267" s="1" t="s">
        <v>230</v>
      </c>
      <c r="L267" s="1" t="s">
        <v>13143</v>
      </c>
      <c r="M267" s="1" t="s">
        <v>9158</v>
      </c>
      <c r="N267" s="1" t="s">
        <v>9158</v>
      </c>
      <c r="O267" s="19" t="s">
        <v>10070</v>
      </c>
      <c r="P267" s="1" t="s">
        <v>3579</v>
      </c>
      <c r="Q267" s="1">
        <v>1</v>
      </c>
    </row>
    <row r="268" spans="1:18">
      <c r="E268" s="7"/>
    </row>
    <row r="269" spans="1:18">
      <c r="A269" s="1" t="s">
        <v>13327</v>
      </c>
      <c r="B269" s="1"/>
      <c r="C269" s="1"/>
      <c r="D269" s="1"/>
      <c r="F269" s="1"/>
      <c r="G269" s="1"/>
      <c r="H269" s="1"/>
      <c r="I269" s="1"/>
      <c r="J269" s="1"/>
      <c r="K269" s="1"/>
      <c r="L269" s="1"/>
      <c r="M269" s="1"/>
      <c r="N269" s="1"/>
      <c r="O269" s="1"/>
      <c r="P269" s="1"/>
      <c r="Q269" s="1"/>
      <c r="R269" s="1"/>
    </row>
    <row r="270" spans="1:18">
      <c r="A270" s="1" t="s">
        <v>8593</v>
      </c>
      <c r="B270" s="1"/>
      <c r="C270" s="1"/>
      <c r="D270" s="1"/>
      <c r="F270" s="1"/>
      <c r="G270" s="1"/>
      <c r="H270" s="1"/>
      <c r="I270" s="1"/>
      <c r="J270" s="1"/>
      <c r="K270" s="1"/>
      <c r="L270" s="1"/>
      <c r="M270" s="1"/>
      <c r="N270" s="1"/>
      <c r="O270" s="1"/>
      <c r="P270" s="1"/>
      <c r="Q270" s="1"/>
      <c r="R270" s="1"/>
    </row>
    <row r="271" spans="1:18">
      <c r="A271" s="1">
        <v>83973</v>
      </c>
      <c r="B271" s="1" t="s">
        <v>334</v>
      </c>
      <c r="C271" s="1" t="s">
        <v>14</v>
      </c>
      <c r="D271" s="20" t="s">
        <v>10570</v>
      </c>
      <c r="E271" s="15" t="str">
        <f>HYPERLINK("https://stat100.ameba.jp/tnk47/ratio20/illustrations/card/ill_83973_nekokishiirurosu03.jpg?201912-3-RELEASE-dice-e-444x", "■")</f>
        <v>■</v>
      </c>
      <c r="F271" s="1" t="s">
        <v>6706</v>
      </c>
      <c r="G271" s="1">
        <v>123076</v>
      </c>
      <c r="H271" s="1">
        <v>114429</v>
      </c>
      <c r="I271" s="1">
        <v>25</v>
      </c>
      <c r="J271" s="1" t="s">
        <v>229</v>
      </c>
      <c r="K271" s="1" t="s">
        <v>6707</v>
      </c>
      <c r="L271" s="1" t="s">
        <v>13202</v>
      </c>
      <c r="M271" s="1" t="s">
        <v>13130</v>
      </c>
      <c r="N271" s="1" t="s">
        <v>343</v>
      </c>
      <c r="O271" s="1" t="s">
        <v>9158</v>
      </c>
      <c r="P271" s="1" t="s">
        <v>9158</v>
      </c>
      <c r="Q271" s="1" t="s">
        <v>9158</v>
      </c>
      <c r="R271" s="14" t="s">
        <v>14748</v>
      </c>
    </row>
    <row r="272" spans="1:18">
      <c r="A272" s="1">
        <v>83972</v>
      </c>
      <c r="B272" s="1" t="s">
        <v>334</v>
      </c>
      <c r="C272" s="1" t="s">
        <v>14</v>
      </c>
      <c r="D272" s="20" t="s">
        <v>10570</v>
      </c>
      <c r="E272" s="15" t="str">
        <f>HYPERLINK("https://stat100.ameba.jp/tnk47/ratio20/illustrations/card/ill_83972_nekokishiirurosu02.jpg?201912-3-RELEASE-dice-e-444x", "■")</f>
        <v>■</v>
      </c>
      <c r="F272" s="1" t="s">
        <v>6706</v>
      </c>
      <c r="G272" s="1">
        <v>102885</v>
      </c>
      <c r="H272" s="1">
        <v>94774</v>
      </c>
      <c r="I272" s="1">
        <v>25</v>
      </c>
      <c r="J272" s="1" t="s">
        <v>229</v>
      </c>
      <c r="K272" s="1" t="s">
        <v>6707</v>
      </c>
      <c r="L272" s="1" t="s">
        <v>13201</v>
      </c>
      <c r="M272" s="1" t="s">
        <v>13131</v>
      </c>
      <c r="N272" s="1" t="s">
        <v>251</v>
      </c>
      <c r="O272" s="1" t="s">
        <v>9158</v>
      </c>
      <c r="P272" s="1" t="s">
        <v>9158</v>
      </c>
      <c r="Q272" s="1" t="s">
        <v>9158</v>
      </c>
      <c r="R272" s="14" t="s">
        <v>14748</v>
      </c>
    </row>
    <row r="273" spans="1:18">
      <c r="A273" s="1">
        <v>83971</v>
      </c>
      <c r="B273" s="1" t="s">
        <v>0</v>
      </c>
      <c r="C273" s="1" t="s">
        <v>14</v>
      </c>
      <c r="D273" s="20" t="s">
        <v>10570</v>
      </c>
      <c r="E273" s="15" t="str">
        <f>HYPERLINK("https://stat100.ameba.jp/tnk47/ratio20/illustrations/card/ill_83971_nekokishiirurosu01.jpg?201912-3-RELEASE-dice-e-444x", "■")</f>
        <v>■</v>
      </c>
      <c r="F273" s="1" t="s">
        <v>6706</v>
      </c>
      <c r="G273" s="1">
        <v>78550</v>
      </c>
      <c r="H273" s="1">
        <v>73125</v>
      </c>
      <c r="I273" s="1">
        <v>25</v>
      </c>
      <c r="J273" s="1" t="s">
        <v>229</v>
      </c>
      <c r="K273" s="1" t="s">
        <v>6707</v>
      </c>
      <c r="L273" s="1" t="s">
        <v>13201</v>
      </c>
      <c r="M273" s="1" t="s">
        <v>13131</v>
      </c>
      <c r="N273" s="1" t="s">
        <v>251</v>
      </c>
      <c r="O273" s="1" t="s">
        <v>9158</v>
      </c>
      <c r="P273" s="1" t="s">
        <v>9158</v>
      </c>
      <c r="Q273" s="1" t="s">
        <v>9158</v>
      </c>
      <c r="R273" s="14" t="s">
        <v>14748</v>
      </c>
    </row>
    <row r="274" spans="1:18">
      <c r="A274" s="1">
        <v>83983</v>
      </c>
      <c r="B274" s="1" t="s">
        <v>334</v>
      </c>
      <c r="C274" s="1" t="s">
        <v>23</v>
      </c>
      <c r="D274" s="20" t="s">
        <v>10571</v>
      </c>
      <c r="E274" s="15" t="str">
        <f>HYPERLINK("https://stat100.ameba.jp/tnk47/ratio20/illustrations/card/ill_83983_ryujinsui03.jpg?201912-3-RELEASE-dice-e-444x", "■")</f>
        <v>■</v>
      </c>
      <c r="F274" s="1" t="s">
        <v>6708</v>
      </c>
      <c r="G274" s="1">
        <v>114429</v>
      </c>
      <c r="H274" s="1">
        <v>123076</v>
      </c>
      <c r="I274" s="1">
        <v>25</v>
      </c>
      <c r="J274" s="1" t="s">
        <v>169</v>
      </c>
      <c r="K274" s="1" t="s">
        <v>6710</v>
      </c>
      <c r="L274" s="1" t="s">
        <v>6721</v>
      </c>
      <c r="M274" s="1" t="s">
        <v>13130</v>
      </c>
      <c r="N274" s="1" t="s">
        <v>343</v>
      </c>
      <c r="O274" s="1" t="s">
        <v>9158</v>
      </c>
      <c r="P274" s="1" t="s">
        <v>9158</v>
      </c>
      <c r="Q274" s="1" t="s">
        <v>9158</v>
      </c>
      <c r="R274" s="14" t="s">
        <v>14748</v>
      </c>
    </row>
    <row r="275" spans="1:18">
      <c r="A275" s="1">
        <v>83993</v>
      </c>
      <c r="B275" s="1" t="s">
        <v>334</v>
      </c>
      <c r="C275" s="1" t="s">
        <v>101</v>
      </c>
      <c r="D275" s="20" t="s">
        <v>10572</v>
      </c>
      <c r="E275" s="15" t="str">
        <f>HYPERLINK("https://stat100.ameba.jp/tnk47/ratio20/illustrations/card/ill_83993_enjieruzuranotamagochan03.jpg?201912-3-RELEASE-dice-e-444x", "■")</f>
        <v>■</v>
      </c>
      <c r="F275" s="1" t="s">
        <v>6722</v>
      </c>
      <c r="G275" s="1">
        <v>114429</v>
      </c>
      <c r="H275" s="1">
        <v>123076</v>
      </c>
      <c r="I275" s="1">
        <v>25</v>
      </c>
      <c r="J275" s="1" t="s">
        <v>216</v>
      </c>
      <c r="K275" s="1" t="s">
        <v>6723</v>
      </c>
      <c r="L275" s="1" t="s">
        <v>6724</v>
      </c>
      <c r="M275" s="1" t="s">
        <v>13130</v>
      </c>
      <c r="N275" s="1" t="s">
        <v>343</v>
      </c>
      <c r="O275" s="1" t="s">
        <v>9158</v>
      </c>
      <c r="P275" s="1" t="s">
        <v>9158</v>
      </c>
      <c r="Q275" s="1" t="s">
        <v>9158</v>
      </c>
      <c r="R275" s="14" t="s">
        <v>14748</v>
      </c>
    </row>
    <row r="276" spans="1:18">
      <c r="A276" s="1">
        <v>84003</v>
      </c>
      <c r="B276" s="1" t="s">
        <v>0</v>
      </c>
      <c r="C276" s="1" t="s">
        <v>96</v>
      </c>
      <c r="D276" s="20" t="s">
        <v>10573</v>
      </c>
      <c r="E276" s="15" t="str">
        <f>HYPERLINK("https://stat100.ameba.jp/tnk47/ratio20/illustrations/card/ill_84003_sukoropendora03.jpg?201912-3-RELEASE-dice-e-444x", "■")</f>
        <v>■</v>
      </c>
      <c r="F276" s="1" t="s">
        <v>6725</v>
      </c>
      <c r="G276" s="1">
        <v>123076</v>
      </c>
      <c r="H276" s="1">
        <v>114429</v>
      </c>
      <c r="I276" s="1">
        <v>25</v>
      </c>
      <c r="J276" s="1" t="s">
        <v>182</v>
      </c>
      <c r="K276" s="1" t="s">
        <v>6727</v>
      </c>
      <c r="L276" s="1" t="s">
        <v>6728</v>
      </c>
      <c r="M276" s="1" t="s">
        <v>13130</v>
      </c>
      <c r="N276" s="1" t="s">
        <v>343</v>
      </c>
      <c r="O276" s="1" t="s">
        <v>9158</v>
      </c>
      <c r="P276" s="1" t="s">
        <v>9158</v>
      </c>
      <c r="Q276" s="1" t="s">
        <v>9158</v>
      </c>
      <c r="R276" s="14" t="s">
        <v>14748</v>
      </c>
    </row>
    <row r="277" spans="1:18">
      <c r="A277" s="1">
        <v>84013</v>
      </c>
      <c r="B277" s="1" t="s">
        <v>334</v>
      </c>
      <c r="C277" s="1" t="s">
        <v>205</v>
      </c>
      <c r="D277" s="20" t="s">
        <v>10574</v>
      </c>
      <c r="E277" s="15" t="str">
        <f>HYPERLINK("https://stat100.ameba.jp/tnk47/ratio20/illustrations/card/ill_84013_neikiddo03.jpg?201912-3-RELEASE-dice-e-444x", "■")</f>
        <v>■</v>
      </c>
      <c r="F277" s="1" t="s">
        <v>6729</v>
      </c>
      <c r="G277" s="1">
        <v>114429</v>
      </c>
      <c r="H277" s="1">
        <v>123076</v>
      </c>
      <c r="I277" s="1">
        <v>25</v>
      </c>
      <c r="J277" s="1" t="s">
        <v>194</v>
      </c>
      <c r="K277" s="1" t="s">
        <v>6731</v>
      </c>
      <c r="L277" s="1" t="s">
        <v>6732</v>
      </c>
      <c r="M277" s="1" t="s">
        <v>13130</v>
      </c>
      <c r="N277" s="1" t="s">
        <v>343</v>
      </c>
      <c r="O277" s="1" t="s">
        <v>9158</v>
      </c>
      <c r="P277" s="1" t="s">
        <v>9158</v>
      </c>
      <c r="Q277" s="1" t="s">
        <v>9158</v>
      </c>
      <c r="R277" s="14" t="s">
        <v>14748</v>
      </c>
    </row>
    <row r="278" spans="1:18">
      <c r="A278" s="1">
        <v>76763</v>
      </c>
      <c r="B278" s="1" t="s">
        <v>334</v>
      </c>
      <c r="C278" s="1" t="s">
        <v>107</v>
      </c>
      <c r="D278" s="20" t="s">
        <v>10575</v>
      </c>
      <c r="E278" s="15" t="str">
        <f>HYPERLINK("https://stat100.ameba.jp/tnk47/ratio20/illustrations/card/ill_76763_monsutanabeshimakeiginni03.jpg?201912-3-RELEASE-dice-e-444x", "■")</f>
        <v>■</v>
      </c>
      <c r="F278" s="1" t="s">
        <v>6733</v>
      </c>
      <c r="G278" s="1">
        <v>123076</v>
      </c>
      <c r="H278" s="1">
        <v>114429</v>
      </c>
      <c r="I278" s="1">
        <v>25</v>
      </c>
      <c r="J278" s="1" t="s">
        <v>187</v>
      </c>
      <c r="K278" s="1" t="s">
        <v>6735</v>
      </c>
      <c r="L278" s="1" t="s">
        <v>6736</v>
      </c>
      <c r="M278" s="1" t="s">
        <v>13130</v>
      </c>
      <c r="N278" s="1" t="s">
        <v>343</v>
      </c>
      <c r="O278" s="1" t="s">
        <v>9158</v>
      </c>
      <c r="P278" s="1" t="s">
        <v>9158</v>
      </c>
      <c r="Q278" s="1" t="s">
        <v>9158</v>
      </c>
      <c r="R278" s="14" t="s">
        <v>14748</v>
      </c>
    </row>
    <row r="279" spans="1:18">
      <c r="E279" s="7"/>
    </row>
    <row r="280" spans="1:18">
      <c r="A280" s="7" t="s">
        <v>8611</v>
      </c>
      <c r="E280" s="7"/>
    </row>
    <row r="281" spans="1:18">
      <c r="A281" s="7" t="s">
        <v>8610</v>
      </c>
      <c r="E281" s="7"/>
    </row>
    <row r="282" spans="1:18">
      <c r="A282" s="7" t="s">
        <v>8609</v>
      </c>
      <c r="E282" s="7"/>
    </row>
    <row r="283" spans="1:18">
      <c r="A283" s="7" t="s">
        <v>8437</v>
      </c>
      <c r="B283" s="7" t="s">
        <v>52</v>
      </c>
      <c r="C283" s="7" t="s">
        <v>202</v>
      </c>
      <c r="D283" s="20" t="s">
        <v>10806</v>
      </c>
      <c r="E283" s="15" t="str">
        <f>HYPERLINK("https://stat100.ameba.jp/tnk47/ratio20/illustrations/card/ill_85523_0_seitankuronikurukusumotoine03.jpg?201912-3-RELEASE-dice-e-444x", "■")</f>
        <v>■</v>
      </c>
      <c r="F283" s="7" t="s">
        <v>8440</v>
      </c>
      <c r="G283" s="7">
        <v>242288</v>
      </c>
      <c r="H283" s="7">
        <v>218992</v>
      </c>
      <c r="I283" s="7">
        <v>20</v>
      </c>
      <c r="J283" s="1" t="s">
        <v>77</v>
      </c>
      <c r="K283" s="7" t="s">
        <v>8446</v>
      </c>
      <c r="L283" s="7" t="s">
        <v>8439</v>
      </c>
      <c r="M283" s="1" t="s">
        <v>9158</v>
      </c>
      <c r="N283" s="1" t="s">
        <v>9158</v>
      </c>
      <c r="O283" s="19" t="s">
        <v>10133</v>
      </c>
      <c r="P283" s="7" t="s">
        <v>8441</v>
      </c>
      <c r="Q283" s="7">
        <v>1</v>
      </c>
    </row>
    <row r="284" spans="1:18">
      <c r="A284" s="7">
        <v>85783</v>
      </c>
      <c r="B284" s="7" t="s">
        <v>8612</v>
      </c>
      <c r="C284" s="7" t="s">
        <v>8616</v>
      </c>
      <c r="D284" s="20" t="s">
        <v>10850</v>
      </c>
      <c r="E284" s="15" t="str">
        <f>HYPERLINK("https://stat100.ameba.jp/tnk47/ratio20/illustrations/card/ill_85783_fuyukominarutokintoki03.jpg?201912-3-RELEASE-dice-e-444x", "■")</f>
        <v>■</v>
      </c>
      <c r="F284" s="7" t="s">
        <v>8635</v>
      </c>
      <c r="G284" s="7">
        <v>118063</v>
      </c>
      <c r="H284" s="7">
        <v>109786</v>
      </c>
      <c r="I284" s="7">
        <v>25</v>
      </c>
      <c r="J284" s="1" t="s">
        <v>104</v>
      </c>
      <c r="K284" s="7" t="s">
        <v>8634</v>
      </c>
      <c r="L284" s="7" t="s">
        <v>8633</v>
      </c>
      <c r="M284" s="1" t="s">
        <v>9158</v>
      </c>
      <c r="N284" s="1" t="s">
        <v>9158</v>
      </c>
      <c r="O284" s="1" t="s">
        <v>9158</v>
      </c>
      <c r="P284" s="1" t="s">
        <v>9158</v>
      </c>
      <c r="Q284" s="1" t="s">
        <v>9158</v>
      </c>
    </row>
    <row r="285" spans="1:18">
      <c r="A285" s="7">
        <v>85793</v>
      </c>
      <c r="B285" s="7" t="s">
        <v>8612</v>
      </c>
      <c r="C285" s="7" t="s">
        <v>8617</v>
      </c>
      <c r="D285" s="20" t="s">
        <v>10851</v>
      </c>
      <c r="E285" s="15" t="str">
        <f>HYPERLINK("https://stat100.ameba.jp/tnk47/ratio20/illustrations/card/ill_85793_monsutaashikagatakauji03.jpg?201912-3-RELEASE-dice-e-444x", "■")</f>
        <v>■</v>
      </c>
      <c r="F285" s="7" t="s">
        <v>8632</v>
      </c>
      <c r="G285" s="7">
        <v>138186</v>
      </c>
      <c r="H285" s="7">
        <v>148619</v>
      </c>
      <c r="I285" s="7">
        <v>25</v>
      </c>
      <c r="J285" s="1" t="s">
        <v>310</v>
      </c>
      <c r="K285" s="7" t="s">
        <v>8631</v>
      </c>
      <c r="L285" s="7" t="s">
        <v>8630</v>
      </c>
      <c r="M285" s="1" t="s">
        <v>9158</v>
      </c>
      <c r="N285" s="1" t="s">
        <v>9158</v>
      </c>
      <c r="O285" s="1" t="s">
        <v>9158</v>
      </c>
      <c r="P285" s="1" t="s">
        <v>9158</v>
      </c>
      <c r="Q285" s="1" t="s">
        <v>9158</v>
      </c>
    </row>
    <row r="286" spans="1:18">
      <c r="A286" s="7">
        <v>83363</v>
      </c>
      <c r="B286" s="7" t="s">
        <v>8613</v>
      </c>
      <c r="C286" s="7" t="s">
        <v>8618</v>
      </c>
      <c r="D286" s="20" t="s">
        <v>10852</v>
      </c>
      <c r="E286" s="15" t="str">
        <f>HYPERLINK("https://stat100.ameba.jp/tnk47/ratio20/illustrations/card/ill_83363_intonwadatsumi03.jpg?201912-3-RELEASE-dice-e-444x", "■")</f>
        <v>■</v>
      </c>
      <c r="F286" s="7" t="s">
        <v>8629</v>
      </c>
      <c r="G286" s="7">
        <v>74100</v>
      </c>
      <c r="H286" s="7">
        <v>67210</v>
      </c>
      <c r="I286" s="7">
        <v>25</v>
      </c>
      <c r="J286" s="1" t="s">
        <v>169</v>
      </c>
      <c r="K286" s="7" t="s">
        <v>8628</v>
      </c>
      <c r="L286" s="7" t="s">
        <v>8627</v>
      </c>
      <c r="M286" s="1" t="s">
        <v>9158</v>
      </c>
      <c r="N286" s="1" t="s">
        <v>9158</v>
      </c>
      <c r="O286" s="1" t="s">
        <v>9158</v>
      </c>
      <c r="P286" s="1" t="s">
        <v>9158</v>
      </c>
      <c r="Q286" s="1" t="s">
        <v>9158</v>
      </c>
    </row>
    <row r="287" spans="1:18">
      <c r="A287" s="7">
        <v>80933</v>
      </c>
      <c r="B287" s="7" t="s">
        <v>8614</v>
      </c>
      <c r="C287" s="7" t="s">
        <v>8619</v>
      </c>
      <c r="D287" s="20" t="s">
        <v>10853</v>
      </c>
      <c r="E287" s="15" t="str">
        <f>HYPERLINK("https://stat100.ameba.jp/tnk47/ratio20/illustrations/card/ill_80933_porisukokeshichan03.jpg?201912-3-RELEASE-dice-e-444x", "■")</f>
        <v>■</v>
      </c>
      <c r="F287" s="7" t="s">
        <v>8626</v>
      </c>
      <c r="G287" s="7">
        <v>43220</v>
      </c>
      <c r="H287" s="7">
        <v>51980</v>
      </c>
      <c r="I287" s="7">
        <v>25</v>
      </c>
      <c r="J287" s="1" t="s">
        <v>26</v>
      </c>
      <c r="K287" s="7" t="s">
        <v>8625</v>
      </c>
      <c r="L287" s="7" t="s">
        <v>8624</v>
      </c>
      <c r="M287" s="1" t="s">
        <v>9158</v>
      </c>
      <c r="N287" s="1" t="s">
        <v>9158</v>
      </c>
      <c r="O287" s="1" t="s">
        <v>9158</v>
      </c>
      <c r="P287" s="1" t="s">
        <v>9158</v>
      </c>
      <c r="Q287" s="1" t="s">
        <v>9158</v>
      </c>
    </row>
    <row r="288" spans="1:18">
      <c r="A288" s="7">
        <v>85823</v>
      </c>
      <c r="B288" s="7" t="s">
        <v>8615</v>
      </c>
      <c r="C288" s="7" t="s">
        <v>8620</v>
      </c>
      <c r="D288" s="20" t="s">
        <v>10854</v>
      </c>
      <c r="E288" s="15" t="str">
        <f>HYPERLINK("https://stat100.ameba.jp/tnk47/ratio20/illustrations/card/ill_85823_amekomitamahime03.jpg?201912-3-RELEASE-dice-e-444x", "■")</f>
        <v>■</v>
      </c>
      <c r="F288" s="7" t="s">
        <v>8623</v>
      </c>
      <c r="G288" s="7">
        <v>31470</v>
      </c>
      <c r="H288" s="7">
        <v>26430</v>
      </c>
      <c r="I288" s="7">
        <v>25</v>
      </c>
      <c r="J288" s="1" t="s">
        <v>77</v>
      </c>
      <c r="K288" s="7" t="s">
        <v>8622</v>
      </c>
      <c r="L288" s="7" t="s">
        <v>8621</v>
      </c>
      <c r="M288" s="1" t="s">
        <v>9158</v>
      </c>
      <c r="N288" s="1" t="s">
        <v>9158</v>
      </c>
      <c r="O288" s="1" t="s">
        <v>9158</v>
      </c>
      <c r="P288" s="1" t="s">
        <v>9158</v>
      </c>
      <c r="Q288" s="1" t="s">
        <v>9158</v>
      </c>
    </row>
    <row r="289" spans="1:17">
      <c r="E289" s="7"/>
    </row>
    <row r="290" spans="1:17">
      <c r="A290" s="7" t="s">
        <v>8594</v>
      </c>
      <c r="E290" s="7"/>
    </row>
    <row r="291" spans="1:17">
      <c r="A291" s="7" t="s">
        <v>8595</v>
      </c>
      <c r="E291" s="7"/>
    </row>
    <row r="292" spans="1:17">
      <c r="A292" s="1" t="s">
        <v>6508</v>
      </c>
      <c r="B292" s="1" t="s">
        <v>330</v>
      </c>
      <c r="C292" s="1" t="s">
        <v>35</v>
      </c>
      <c r="D292" s="20" t="s">
        <v>10168</v>
      </c>
      <c r="E292" s="15" t="str">
        <f>HYPERLINK("https://stat100.ameba.jp/tnk47/ratio20/illustrations/card/ill_81783_0_denshagarukoteipenginchan03.jpg?201912-3-RELEASE-dice-e-444x", "■")</f>
        <v>■</v>
      </c>
      <c r="F292" s="1" t="s">
        <v>4834</v>
      </c>
      <c r="G292" s="1">
        <v>279102</v>
      </c>
      <c r="H292" s="1">
        <v>252236</v>
      </c>
      <c r="I292" s="1">
        <v>24</v>
      </c>
      <c r="J292" s="1" t="s">
        <v>26</v>
      </c>
      <c r="K292" s="1" t="s">
        <v>4836</v>
      </c>
      <c r="L292" s="1" t="s">
        <v>1783</v>
      </c>
      <c r="M292" s="1" t="s">
        <v>9158</v>
      </c>
      <c r="N292" s="1" t="s">
        <v>9158</v>
      </c>
      <c r="O292" s="19" t="s">
        <v>10124</v>
      </c>
      <c r="P292" s="1" t="s">
        <v>4838</v>
      </c>
      <c r="Q292" s="1">
        <v>1</v>
      </c>
    </row>
    <row r="293" spans="1:17">
      <c r="A293" s="1">
        <v>77663</v>
      </c>
      <c r="B293" s="1" t="s">
        <v>334</v>
      </c>
      <c r="C293" s="1" t="s">
        <v>202</v>
      </c>
      <c r="D293" s="20" t="s">
        <v>10614</v>
      </c>
      <c r="E293" s="15" t="str">
        <f>HYPERLINK("https://stat100.ameba.jp/tnk47/ratio20/illustrations/card/ill_77663_deipuburu03.jpg?201912-3-RELEASE-dice-e-444x", "■")</f>
        <v>■</v>
      </c>
      <c r="F293" s="1" t="s">
        <v>1573</v>
      </c>
      <c r="G293" s="1">
        <v>78916</v>
      </c>
      <c r="H293" s="1">
        <v>108924</v>
      </c>
      <c r="I293" s="1">
        <v>24</v>
      </c>
      <c r="J293" s="1" t="s">
        <v>414</v>
      </c>
      <c r="K293" s="1" t="s">
        <v>1574</v>
      </c>
      <c r="L293" s="1" t="s">
        <v>1575</v>
      </c>
      <c r="M293" s="1" t="s">
        <v>9158</v>
      </c>
      <c r="N293" s="1" t="s">
        <v>9158</v>
      </c>
      <c r="O293" s="19" t="s">
        <v>10117</v>
      </c>
      <c r="P293" s="1" t="s">
        <v>3625</v>
      </c>
      <c r="Q293" s="1">
        <v>1</v>
      </c>
    </row>
    <row r="294" spans="1:17">
      <c r="A294" s="1">
        <v>76783</v>
      </c>
      <c r="B294" s="1" t="s">
        <v>334</v>
      </c>
      <c r="C294" s="1" t="s">
        <v>203</v>
      </c>
      <c r="D294" s="20" t="s">
        <v>10367</v>
      </c>
      <c r="E294" s="15" t="str">
        <f>HYPERLINK("https://stat100.ameba.jp/tnk47/ratio20/illustrations/card/ill_76783_monsutaakashirejina03.jpg?201912-3-RELEASE-dice-e-444x", "■")</f>
        <v>■</v>
      </c>
      <c r="F294" s="1" t="s">
        <v>1192</v>
      </c>
      <c r="G294" s="1">
        <v>75984</v>
      </c>
      <c r="H294" s="1">
        <v>104890</v>
      </c>
      <c r="I294" s="1">
        <v>24</v>
      </c>
      <c r="J294" s="1" t="s">
        <v>10</v>
      </c>
      <c r="K294" s="1" t="s">
        <v>1193</v>
      </c>
      <c r="L294" s="1" t="s">
        <v>1194</v>
      </c>
      <c r="M294" s="1" t="s">
        <v>9158</v>
      </c>
      <c r="N294" s="1" t="s">
        <v>9158</v>
      </c>
      <c r="O294" s="19" t="s">
        <v>2752</v>
      </c>
      <c r="P294" s="1" t="s">
        <v>13123</v>
      </c>
      <c r="Q294" s="1">
        <v>1</v>
      </c>
    </row>
    <row r="295" spans="1:17">
      <c r="A295" s="7">
        <v>75073</v>
      </c>
      <c r="B295" s="1" t="s">
        <v>334</v>
      </c>
      <c r="C295" s="1" t="s">
        <v>154</v>
      </c>
      <c r="D295" s="20" t="s">
        <v>4252</v>
      </c>
      <c r="E295" s="15" t="str">
        <f>HYPERLINK("https://stat100.ameba.jp/tnk47/ratio20/illustrations/card/ill_75073_puruchacha03.jpg?201912-3-RELEASE-dice-e-444x", "■")</f>
        <v>■</v>
      </c>
      <c r="F295" s="1" t="s">
        <v>3347</v>
      </c>
      <c r="G295" s="1">
        <v>104890</v>
      </c>
      <c r="H295" s="1">
        <v>75984</v>
      </c>
      <c r="I295" s="1">
        <v>24</v>
      </c>
      <c r="J295" s="1" t="s">
        <v>77</v>
      </c>
      <c r="K295" s="1" t="s">
        <v>3348</v>
      </c>
      <c r="L295" s="1" t="s">
        <v>76</v>
      </c>
      <c r="M295" s="1" t="s">
        <v>9158</v>
      </c>
      <c r="N295" s="1" t="s">
        <v>9158</v>
      </c>
      <c r="O295" s="19" t="s">
        <v>10082</v>
      </c>
      <c r="P295" s="1" t="s">
        <v>13124</v>
      </c>
      <c r="Q295" s="1">
        <v>1</v>
      </c>
    </row>
    <row r="296" spans="1:17">
      <c r="E296" s="7"/>
    </row>
    <row r="297" spans="1:17">
      <c r="A297" s="7" t="s">
        <v>204</v>
      </c>
      <c r="E297" s="7"/>
    </row>
    <row r="298" spans="1:17">
      <c r="A298" s="7" t="s">
        <v>8596</v>
      </c>
      <c r="E298" s="7"/>
    </row>
    <row r="299" spans="1:17">
      <c r="A299" s="1" t="s">
        <v>5605</v>
      </c>
      <c r="B299" s="1" t="s">
        <v>52</v>
      </c>
      <c r="C299" s="1" t="s">
        <v>202</v>
      </c>
      <c r="D299" s="20" t="s">
        <v>10332</v>
      </c>
      <c r="E299" s="15" t="str">
        <f>HYPERLINK("https://stat100.ameba.jp/tnk47/ratio20/illustrations/card/ill_79373_0_hommeichokotennyohime03.jpg?201912-3-RELEASE-dice-e-444x", "■")</f>
        <v>■</v>
      </c>
      <c r="F299" s="1" t="s">
        <v>3495</v>
      </c>
      <c r="G299" s="1">
        <v>272036</v>
      </c>
      <c r="H299" s="1">
        <v>245878</v>
      </c>
      <c r="I299" s="1">
        <v>22</v>
      </c>
      <c r="J299" s="1" t="s">
        <v>104</v>
      </c>
      <c r="K299" s="1" t="s">
        <v>3496</v>
      </c>
      <c r="L299" s="1" t="s">
        <v>3497</v>
      </c>
      <c r="M299" s="1" t="s">
        <v>9158</v>
      </c>
      <c r="N299" s="1" t="s">
        <v>9158</v>
      </c>
      <c r="O299" s="19" t="s">
        <v>10072</v>
      </c>
      <c r="P299" s="1" t="s">
        <v>3498</v>
      </c>
      <c r="Q299" s="1">
        <v>1</v>
      </c>
    </row>
    <row r="300" spans="1:17">
      <c r="A300" s="1" t="s">
        <v>5603</v>
      </c>
      <c r="B300" s="1" t="s">
        <v>330</v>
      </c>
      <c r="C300" s="1" t="s">
        <v>205</v>
      </c>
      <c r="D300" s="20" t="s">
        <v>611</v>
      </c>
      <c r="E300" s="15" t="str">
        <f>HYPERLINK("https://stat100.ameba.jp/tnk47/ratio20/illustrations/card/ill_61893_0_onikirishumiyamotomusashi03.jpg?201912-3-RELEASE-dice-e-444x", "■")</f>
        <v>■</v>
      </c>
      <c r="F300" s="1" t="s">
        <v>612</v>
      </c>
      <c r="G300" s="1">
        <v>205358</v>
      </c>
      <c r="H300" s="1">
        <v>190952</v>
      </c>
      <c r="I300" s="1">
        <v>22</v>
      </c>
      <c r="J300" s="1" t="s">
        <v>310</v>
      </c>
      <c r="K300" s="1" t="s">
        <v>613</v>
      </c>
      <c r="L300" s="1" t="s">
        <v>312</v>
      </c>
      <c r="M300" s="1" t="s">
        <v>9158</v>
      </c>
      <c r="N300" s="1" t="s">
        <v>9158</v>
      </c>
      <c r="O300" s="19" t="s">
        <v>10071</v>
      </c>
      <c r="P300" s="1" t="s">
        <v>3253</v>
      </c>
      <c r="Q300" s="1">
        <v>1</v>
      </c>
    </row>
    <row r="301" spans="1:17">
      <c r="A301" s="7" t="s">
        <v>5902</v>
      </c>
      <c r="B301" s="1" t="s">
        <v>330</v>
      </c>
      <c r="C301" s="1" t="s">
        <v>344</v>
      </c>
      <c r="D301" s="20" t="s">
        <v>483</v>
      </c>
      <c r="E301" s="15" t="str">
        <f>HYPERLINK("https://stat100.ameba.jp/tnk47/ratio20/illustrations/card/ill_40343_0_heshikirihasebekurodakambe03.jpg?201912-3-RELEASE-dice-e-444x", "■")</f>
        <v>■</v>
      </c>
      <c r="F301" s="1" t="s">
        <v>484</v>
      </c>
      <c r="G301" s="1">
        <v>128744</v>
      </c>
      <c r="H301" s="1">
        <v>120576</v>
      </c>
      <c r="I301" s="1">
        <v>22</v>
      </c>
      <c r="J301" s="1" t="s">
        <v>414</v>
      </c>
      <c r="K301" s="1" t="s">
        <v>485</v>
      </c>
      <c r="L301" s="1" t="s">
        <v>486</v>
      </c>
      <c r="M301" s="1" t="s">
        <v>9158</v>
      </c>
      <c r="N301" s="1" t="s">
        <v>9158</v>
      </c>
      <c r="O301" s="1" t="s">
        <v>9158</v>
      </c>
      <c r="P301" s="1" t="s">
        <v>9158</v>
      </c>
      <c r="Q301" s="1" t="s">
        <v>9158</v>
      </c>
    </row>
    <row r="302" spans="1:17">
      <c r="A302" s="1">
        <v>65983</v>
      </c>
      <c r="B302" s="1" t="s">
        <v>334</v>
      </c>
      <c r="C302" s="1" t="s">
        <v>1</v>
      </c>
      <c r="D302" s="20" t="s">
        <v>10855</v>
      </c>
      <c r="E302" s="15" t="str">
        <f>HYPERLINK("https://stat100.ameba.jp/tnk47/ratio20/illustrations/card/ill_65983_tenyueiju03.jpg?201912-3-RELEASE-dice-e-444x", "■")</f>
        <v>■</v>
      </c>
      <c r="F302" s="1" t="s">
        <v>8608</v>
      </c>
      <c r="G302" s="1">
        <v>120570</v>
      </c>
      <c r="H302" s="1">
        <v>67842</v>
      </c>
      <c r="I302" s="1">
        <v>25</v>
      </c>
      <c r="J302" s="1" t="s">
        <v>77</v>
      </c>
      <c r="K302" s="1" t="s">
        <v>8607</v>
      </c>
      <c r="L302" s="1" t="s">
        <v>8606</v>
      </c>
      <c r="M302" s="1" t="s">
        <v>9158</v>
      </c>
      <c r="N302" s="1" t="s">
        <v>9158</v>
      </c>
      <c r="O302" s="1" t="s">
        <v>9158</v>
      </c>
      <c r="P302" s="1" t="s">
        <v>9158</v>
      </c>
      <c r="Q302" s="1" t="s">
        <v>9158</v>
      </c>
    </row>
    <row r="303" spans="1:17">
      <c r="A303" s="1">
        <v>61413</v>
      </c>
      <c r="B303" s="1" t="s">
        <v>0</v>
      </c>
      <c r="C303" s="1" t="s">
        <v>185</v>
      </c>
      <c r="D303" s="20" t="s">
        <v>1417</v>
      </c>
      <c r="E303" s="15" t="str">
        <f>HYPERLINK("https://stat100.ameba.jp/tnk47/ratio20/illustrations/card/ill_61413_toyako03.jpg?201912-3-RELEASE-dice-e-444x", "■")</f>
        <v>■</v>
      </c>
      <c r="F303" s="1" t="s">
        <v>8605</v>
      </c>
      <c r="G303" s="1">
        <v>118917</v>
      </c>
      <c r="H303" s="1">
        <v>86140</v>
      </c>
      <c r="I303" s="1">
        <v>25</v>
      </c>
      <c r="J303" s="1" t="s">
        <v>26</v>
      </c>
      <c r="K303" s="1" t="s">
        <v>8604</v>
      </c>
      <c r="L303" s="1" t="s">
        <v>8603</v>
      </c>
      <c r="M303" s="1" t="s">
        <v>9158</v>
      </c>
      <c r="N303" s="1" t="s">
        <v>9158</v>
      </c>
      <c r="O303" s="1" t="s">
        <v>9158</v>
      </c>
      <c r="P303" s="1" t="s">
        <v>9158</v>
      </c>
      <c r="Q303" s="1" t="s">
        <v>9158</v>
      </c>
    </row>
    <row r="304" spans="1:17">
      <c r="A304" s="1">
        <v>66503</v>
      </c>
      <c r="B304" s="1" t="s">
        <v>334</v>
      </c>
      <c r="C304" s="1" t="s">
        <v>271</v>
      </c>
      <c r="D304" s="20" t="s">
        <v>2942</v>
      </c>
      <c r="E304" s="15" t="str">
        <f>HYPERLINK("https://stat100.ameba.jp/tnk47/ratio20/illustrations/card/ill_66503_yuenchiraguzatama03.jpg?201912-3-RELEASE-dice-e-444x", "■")</f>
        <v>■</v>
      </c>
      <c r="F304" s="1" t="s">
        <v>8602</v>
      </c>
      <c r="G304" s="1">
        <v>101373</v>
      </c>
      <c r="H304" s="1">
        <v>94295</v>
      </c>
      <c r="I304" s="1">
        <v>25</v>
      </c>
      <c r="J304" s="1" t="s">
        <v>414</v>
      </c>
      <c r="K304" s="1" t="s">
        <v>8601</v>
      </c>
      <c r="L304" s="1" t="s">
        <v>8600</v>
      </c>
      <c r="M304" s="1" t="s">
        <v>9158</v>
      </c>
      <c r="N304" s="1" t="s">
        <v>9158</v>
      </c>
      <c r="O304" s="1" t="s">
        <v>9158</v>
      </c>
      <c r="P304" s="1" t="s">
        <v>9158</v>
      </c>
      <c r="Q304" s="1" t="s">
        <v>9158</v>
      </c>
    </row>
    <row r="305" spans="1:18">
      <c r="A305" s="1">
        <v>62213</v>
      </c>
      <c r="B305" s="1" t="s">
        <v>15</v>
      </c>
      <c r="C305" s="1" t="s">
        <v>96</v>
      </c>
      <c r="D305" s="20" t="s">
        <v>10514</v>
      </c>
      <c r="E305" s="15" t="str">
        <f>HYPERLINK("https://stat100.ameba.jp/tnk47/ratio20/illustrations/card/ill_62213_teikyoin03.jpg?201912-3-RELEASE-dice-e-444x", "■")</f>
        <v>■</v>
      </c>
      <c r="F305" s="1" t="s">
        <v>6379</v>
      </c>
      <c r="G305" s="1">
        <v>59280</v>
      </c>
      <c r="H305" s="1">
        <v>53768</v>
      </c>
      <c r="I305" s="1">
        <v>20</v>
      </c>
      <c r="J305" s="1" t="s">
        <v>77</v>
      </c>
      <c r="K305" s="1" t="s">
        <v>6382</v>
      </c>
      <c r="L305" s="1" t="s">
        <v>932</v>
      </c>
      <c r="M305" s="1" t="s">
        <v>9158</v>
      </c>
      <c r="N305" s="1" t="s">
        <v>9158</v>
      </c>
      <c r="O305" s="1" t="s">
        <v>9158</v>
      </c>
      <c r="P305" s="1" t="s">
        <v>9158</v>
      </c>
      <c r="Q305" s="1" t="s">
        <v>9158</v>
      </c>
    </row>
    <row r="306" spans="1:18">
      <c r="A306" s="1">
        <v>73263</v>
      </c>
      <c r="B306" s="1" t="s">
        <v>15</v>
      </c>
      <c r="C306" s="1" t="s">
        <v>185</v>
      </c>
      <c r="D306" s="20" t="s">
        <v>4062</v>
      </c>
      <c r="E306" s="15" t="str">
        <f>HYPERLINK("https://stat100.ameba.jp/tnk47/ratio20/illustrations/card/ill_73263_ajisainiijimayae03.jpg?201912-3-RELEASE-dice-e-444x", "■")</f>
        <v>■</v>
      </c>
      <c r="F306" s="1" t="s">
        <v>8599</v>
      </c>
      <c r="G306" s="1">
        <v>59280</v>
      </c>
      <c r="H306" s="1">
        <v>53768</v>
      </c>
      <c r="I306" s="1">
        <v>20</v>
      </c>
      <c r="J306" s="1" t="s">
        <v>10</v>
      </c>
      <c r="K306" s="1" t="s">
        <v>8598</v>
      </c>
      <c r="L306" s="1" t="s">
        <v>8597</v>
      </c>
      <c r="M306" s="1" t="s">
        <v>9158</v>
      </c>
      <c r="N306" s="1" t="s">
        <v>9158</v>
      </c>
      <c r="O306" s="1" t="s">
        <v>9158</v>
      </c>
      <c r="P306" s="1" t="s">
        <v>9158</v>
      </c>
      <c r="Q306" s="1" t="s">
        <v>9158</v>
      </c>
    </row>
    <row r="307" spans="1:18">
      <c r="A307" s="1">
        <v>72453</v>
      </c>
      <c r="B307" s="1" t="s">
        <v>15</v>
      </c>
      <c r="C307" s="1" t="s">
        <v>101</v>
      </c>
      <c r="D307" s="20" t="s">
        <v>10340</v>
      </c>
      <c r="E307" s="15" t="str">
        <f>HYPERLINK("https://stat100.ameba.jp/tnk47/ratio20/illustrations/card/ill_72453_rengeso03.jpg?201912-3-RELEASE-dice-e-444x", "■")</f>
        <v>■</v>
      </c>
      <c r="F307" s="1" t="s">
        <v>5478</v>
      </c>
      <c r="G307" s="1">
        <v>59280</v>
      </c>
      <c r="H307" s="1">
        <v>53768</v>
      </c>
      <c r="I307" s="1">
        <v>20</v>
      </c>
      <c r="J307" s="1" t="s">
        <v>26</v>
      </c>
      <c r="K307" s="1" t="s">
        <v>5479</v>
      </c>
      <c r="L307" s="1" t="s">
        <v>2011</v>
      </c>
      <c r="M307" s="1" t="s">
        <v>9158</v>
      </c>
      <c r="N307" s="1" t="s">
        <v>9158</v>
      </c>
      <c r="O307" s="1" t="s">
        <v>9158</v>
      </c>
      <c r="P307" s="1" t="s">
        <v>9158</v>
      </c>
      <c r="Q307" s="1" t="s">
        <v>9158</v>
      </c>
    </row>
    <row r="308" spans="1:18">
      <c r="E308" s="7"/>
    </row>
    <row r="309" spans="1:18">
      <c r="A309" s="7" t="s">
        <v>13373</v>
      </c>
      <c r="E309" s="7"/>
    </row>
    <row r="310" spans="1:18">
      <c r="A310" s="7" t="s">
        <v>8661</v>
      </c>
      <c r="E310" s="7"/>
    </row>
    <row r="311" spans="1:18">
      <c r="A311" s="7">
        <v>85635</v>
      </c>
      <c r="B311" s="7" t="s">
        <v>8636</v>
      </c>
      <c r="C311" s="7" t="s">
        <v>8669</v>
      </c>
      <c r="D311" s="20" t="s">
        <v>10856</v>
      </c>
      <c r="E311" s="15" t="str">
        <f>HYPERLINK("https://stat100.ameba.jp/tnk47/ratio20/illustrations/card/ill_85635_superubia05.jpg?201912-3-RELEASE-dice-e-444x", "■")</f>
        <v>■</v>
      </c>
      <c r="F311" s="7" t="s">
        <v>8668</v>
      </c>
      <c r="G311" s="7">
        <v>117532</v>
      </c>
      <c r="H311" s="7">
        <v>85097</v>
      </c>
      <c r="I311" s="7">
        <v>25</v>
      </c>
      <c r="J311" s="7" t="s">
        <v>8665</v>
      </c>
      <c r="K311" s="7" t="s">
        <v>8667</v>
      </c>
      <c r="L311" s="7" t="s">
        <v>8666</v>
      </c>
      <c r="M311" s="1" t="s">
        <v>9158</v>
      </c>
      <c r="N311" s="1" t="s">
        <v>9158</v>
      </c>
      <c r="O311" s="1" t="s">
        <v>9158</v>
      </c>
      <c r="P311" s="1" t="s">
        <v>9158</v>
      </c>
      <c r="Q311" s="1" t="s">
        <v>9158</v>
      </c>
      <c r="R311" s="7" t="s">
        <v>8662</v>
      </c>
    </row>
    <row r="312" spans="1:18">
      <c r="A312" s="7">
        <v>85633</v>
      </c>
      <c r="B312" s="7" t="s">
        <v>8637</v>
      </c>
      <c r="C312" s="7" t="s">
        <v>8639</v>
      </c>
      <c r="D312" s="20" t="s">
        <v>10856</v>
      </c>
      <c r="E312" s="15" t="str">
        <f>HYPERLINK("https://stat100.ameba.jp/tnk47/ratio20/illustrations/card/ill_85633_superubia03.jpg?201912-3-RELEASE-dice-e-444x", "■")</f>
        <v>■</v>
      </c>
      <c r="F312" s="7" t="s">
        <v>8668</v>
      </c>
      <c r="G312" s="7">
        <v>86587</v>
      </c>
      <c r="H312" s="7">
        <v>62693</v>
      </c>
      <c r="I312" s="7">
        <v>25</v>
      </c>
      <c r="J312" s="7" t="s">
        <v>8665</v>
      </c>
      <c r="K312" s="7" t="s">
        <v>8667</v>
      </c>
      <c r="L312" s="7" t="s">
        <v>8670</v>
      </c>
      <c r="M312" s="1" t="s">
        <v>9158</v>
      </c>
      <c r="N312" s="1" t="s">
        <v>9158</v>
      </c>
      <c r="O312" s="1" t="s">
        <v>9158</v>
      </c>
      <c r="P312" s="1" t="s">
        <v>9158</v>
      </c>
      <c r="Q312" s="1" t="s">
        <v>9158</v>
      </c>
      <c r="R312" s="7" t="s">
        <v>8663</v>
      </c>
    </row>
    <row r="313" spans="1:18">
      <c r="A313" s="7">
        <v>85631</v>
      </c>
      <c r="B313" s="7" t="s">
        <v>8637</v>
      </c>
      <c r="C313" s="7" t="s">
        <v>8639</v>
      </c>
      <c r="D313" s="20" t="s">
        <v>10856</v>
      </c>
      <c r="E313" s="15" t="str">
        <f>HYPERLINK("https://stat100.ameba.jp/tnk47/ratio20/illustrations/card/ill_85631_superubia01.jpg?201912-3-RELEASE-dice-e-444x", "■")</f>
        <v>■</v>
      </c>
      <c r="F313" s="7" t="s">
        <v>8668</v>
      </c>
      <c r="G313" s="7">
        <v>55075</v>
      </c>
      <c r="H313" s="7">
        <v>39875</v>
      </c>
      <c r="I313" s="7">
        <v>25</v>
      </c>
      <c r="J313" s="7" t="s">
        <v>8665</v>
      </c>
      <c r="K313" s="7" t="s">
        <v>8667</v>
      </c>
      <c r="L313" s="7" t="s">
        <v>8671</v>
      </c>
      <c r="M313" s="1" t="s">
        <v>9158</v>
      </c>
      <c r="N313" s="1" t="s">
        <v>9158</v>
      </c>
      <c r="O313" s="1" t="s">
        <v>9158</v>
      </c>
      <c r="P313" s="1" t="s">
        <v>9158</v>
      </c>
      <c r="Q313" s="1" t="s">
        <v>9158</v>
      </c>
      <c r="R313" s="7" t="s">
        <v>8664</v>
      </c>
    </row>
    <row r="314" spans="1:18">
      <c r="E314" s="7"/>
    </row>
    <row r="315" spans="1:18">
      <c r="A315" s="7" t="s">
        <v>8672</v>
      </c>
      <c r="E315" s="7"/>
    </row>
    <row r="316" spans="1:18">
      <c r="A316" s="7" t="s">
        <v>11028</v>
      </c>
      <c r="E316" s="7"/>
    </row>
    <row r="317" spans="1:18">
      <c r="A317" s="7" t="s">
        <v>11031</v>
      </c>
      <c r="E317" s="7"/>
    </row>
    <row r="318" spans="1:18" s="9" customFormat="1">
      <c r="A318" s="9" t="s">
        <v>11909</v>
      </c>
    </row>
    <row r="319" spans="1:18">
      <c r="A319" s="7">
        <v>86003</v>
      </c>
      <c r="B319" s="7" t="s">
        <v>8673</v>
      </c>
      <c r="C319" s="7" t="s">
        <v>8669</v>
      </c>
      <c r="D319" s="20" t="s">
        <v>10857</v>
      </c>
      <c r="E319" s="15" t="str">
        <f>HYPERLINK("https://stat100.ameba.jp/tnk47/ratio20/illustrations/card/ill_86003_ninkishuitochiotomechan03.jpg?201912-3-RELEASE-dice-e-444x", "■")</f>
        <v>■</v>
      </c>
      <c r="F319" s="7" t="s">
        <v>8676</v>
      </c>
      <c r="G319" s="7">
        <v>380144</v>
      </c>
      <c r="H319" s="7">
        <v>343556</v>
      </c>
      <c r="I319" s="7">
        <v>30</v>
      </c>
      <c r="J319" s="7" t="s">
        <v>8644</v>
      </c>
      <c r="K319" s="7" t="s">
        <v>8675</v>
      </c>
      <c r="L319" s="7" t="s">
        <v>8674</v>
      </c>
      <c r="M319" s="1" t="s">
        <v>9158</v>
      </c>
      <c r="N319" s="1" t="s">
        <v>9158</v>
      </c>
      <c r="O319" s="1" t="s">
        <v>9158</v>
      </c>
      <c r="P319" s="1" t="s">
        <v>9158</v>
      </c>
      <c r="Q319" s="1" t="s">
        <v>9158</v>
      </c>
    </row>
    <row r="320" spans="1:18">
      <c r="A320" s="7">
        <v>76703</v>
      </c>
      <c r="B320" s="1" t="s">
        <v>334</v>
      </c>
      <c r="C320" s="1" t="s">
        <v>185</v>
      </c>
      <c r="D320" s="20" t="s">
        <v>15154</v>
      </c>
      <c r="E320" s="15" t="str">
        <f>HYPERLINK("https://stat100.ameba.jp/tnk47/ratio20/illustrations/card/ill_76703_dondonyaki03.jpg?201912-3-RELEASE-dice-e-444x", "■")</f>
        <v>■</v>
      </c>
      <c r="F320" s="1" t="s">
        <v>1106</v>
      </c>
      <c r="G320" s="1">
        <v>122786</v>
      </c>
      <c r="H320" s="1">
        <v>114176</v>
      </c>
      <c r="I320" s="1">
        <v>26</v>
      </c>
      <c r="J320" s="1" t="s">
        <v>104</v>
      </c>
      <c r="K320" s="1" t="s">
        <v>1107</v>
      </c>
      <c r="L320" s="1" t="s">
        <v>1108</v>
      </c>
      <c r="M320" s="1" t="s">
        <v>9158</v>
      </c>
      <c r="N320" s="1" t="s">
        <v>9158</v>
      </c>
      <c r="O320" s="1" t="s">
        <v>9158</v>
      </c>
      <c r="P320" s="1" t="s">
        <v>9158</v>
      </c>
      <c r="Q320" s="1" t="s">
        <v>9158</v>
      </c>
    </row>
    <row r="321" spans="1:17">
      <c r="A321" s="1">
        <v>72653</v>
      </c>
      <c r="B321" s="1" t="s">
        <v>334</v>
      </c>
      <c r="C321" s="1" t="s">
        <v>23</v>
      </c>
      <c r="D321" s="20" t="s">
        <v>15151</v>
      </c>
      <c r="E321" s="15" t="str">
        <f>HYPERLINK("https://stat100.ameba.jp/tnk47/ratio20/illustrations/card/ill_72653_shokanoseisochin03.jpg?201912-3-RELEASE-dice-e-444x", "■")</f>
        <v>■</v>
      </c>
      <c r="F321" s="1" t="s">
        <v>4017</v>
      </c>
      <c r="G321" s="1">
        <v>118446</v>
      </c>
      <c r="H321" s="1">
        <v>110126</v>
      </c>
      <c r="I321" s="1">
        <v>26</v>
      </c>
      <c r="J321" s="1" t="s">
        <v>26</v>
      </c>
      <c r="K321" s="1" t="s">
        <v>4018</v>
      </c>
      <c r="L321" s="1" t="s">
        <v>4019</v>
      </c>
      <c r="M321" s="1" t="s">
        <v>9158</v>
      </c>
      <c r="N321" s="1" t="s">
        <v>9158</v>
      </c>
      <c r="O321" s="1" t="s">
        <v>9158</v>
      </c>
      <c r="P321" s="1" t="s">
        <v>9158</v>
      </c>
      <c r="Q321" s="1" t="s">
        <v>9158</v>
      </c>
    </row>
    <row r="322" spans="1:17">
      <c r="A322" s="1">
        <v>60803</v>
      </c>
      <c r="B322" s="1" t="s">
        <v>334</v>
      </c>
      <c r="C322" s="1" t="s">
        <v>191</v>
      </c>
      <c r="D322" s="20" t="s">
        <v>15153</v>
      </c>
      <c r="E322" s="15" t="str">
        <f>HYPERLINK("https://stat100.ameba.jp/tnk47/ratio20/illustrations/card/ill_60803_intonkonohatengu03.jpg?201912-3-RELEASE-dice-e-444x", "■")</f>
        <v>■</v>
      </c>
      <c r="F322" s="1" t="s">
        <v>4602</v>
      </c>
      <c r="G322" s="14">
        <v>108330</v>
      </c>
      <c r="H322" s="14">
        <v>100744</v>
      </c>
      <c r="I322" s="14">
        <v>26</v>
      </c>
      <c r="J322" s="1" t="s">
        <v>73</v>
      </c>
      <c r="K322" s="1" t="s">
        <v>4603</v>
      </c>
      <c r="L322" s="1" t="s">
        <v>4604</v>
      </c>
      <c r="M322" s="1" t="s">
        <v>9158</v>
      </c>
      <c r="N322" s="1" t="s">
        <v>9158</v>
      </c>
      <c r="O322" s="1" t="s">
        <v>9158</v>
      </c>
      <c r="P322" s="1" t="s">
        <v>9158</v>
      </c>
      <c r="Q322" s="1" t="s">
        <v>9158</v>
      </c>
    </row>
    <row r="323" spans="1:17">
      <c r="A323" s="7">
        <v>60983</v>
      </c>
      <c r="B323" s="1" t="s">
        <v>334</v>
      </c>
      <c r="C323" s="1" t="s">
        <v>205</v>
      </c>
      <c r="D323" s="20" t="s">
        <v>15152</v>
      </c>
      <c r="E323" s="15" t="str">
        <f>HYPERLINK("https://stat100.ameba.jp/tnk47/ratio20/illustrations/card/ill_60983_majutsushitsurunongaeshi03.jpg?201912-3-RELEASE-dice-e-444x", "■")</f>
        <v>■</v>
      </c>
      <c r="F323" s="1" t="s">
        <v>1494</v>
      </c>
      <c r="G323" s="14">
        <v>118656</v>
      </c>
      <c r="H323" s="14">
        <v>110126</v>
      </c>
      <c r="I323" s="14">
        <v>26</v>
      </c>
      <c r="J323" s="1" t="s">
        <v>155</v>
      </c>
      <c r="K323" s="1" t="s">
        <v>1353</v>
      </c>
      <c r="L323" s="1" t="s">
        <v>13162</v>
      </c>
      <c r="M323" s="1" t="s">
        <v>9158</v>
      </c>
      <c r="N323" s="1" t="s">
        <v>9158</v>
      </c>
      <c r="O323" s="1" t="s">
        <v>9158</v>
      </c>
      <c r="P323" s="1" t="s">
        <v>9158</v>
      </c>
      <c r="Q323" s="1" t="s">
        <v>9158</v>
      </c>
    </row>
    <row r="324" spans="1:17">
      <c r="A324" s="7">
        <v>46063</v>
      </c>
      <c r="B324" s="1" t="s">
        <v>0</v>
      </c>
      <c r="C324" s="1" t="s">
        <v>165</v>
      </c>
      <c r="D324" s="20" t="s">
        <v>15155</v>
      </c>
      <c r="E324" s="15" t="str">
        <f>HYPERLINK("https://stat100.ameba.jp/tnk47/ratio20/illustrations/card/ill_46063_kongorikishizo03.jpg?201912-3-RELEASE-dice-e-444x", "■")</f>
        <v>■</v>
      </c>
      <c r="F324" s="1" t="s">
        <v>167</v>
      </c>
      <c r="G324" s="1">
        <v>112808</v>
      </c>
      <c r="H324" s="1">
        <v>81098</v>
      </c>
      <c r="I324" s="1">
        <v>26</v>
      </c>
      <c r="J324" s="1" t="s">
        <v>169</v>
      </c>
      <c r="K324" s="1" t="s">
        <v>168</v>
      </c>
      <c r="L324" s="1" t="s">
        <v>13126</v>
      </c>
      <c r="M324" s="1" t="s">
        <v>9158</v>
      </c>
      <c r="N324" s="1" t="s">
        <v>9158</v>
      </c>
      <c r="O324" s="1" t="s">
        <v>9158</v>
      </c>
      <c r="P324" s="1" t="s">
        <v>9158</v>
      </c>
      <c r="Q324" s="1" t="s">
        <v>9158</v>
      </c>
    </row>
    <row r="325" spans="1:17">
      <c r="A325" s="7">
        <v>65093</v>
      </c>
      <c r="B325" s="1" t="s">
        <v>334</v>
      </c>
      <c r="C325" s="1" t="s">
        <v>206</v>
      </c>
      <c r="D325" s="20" t="s">
        <v>15156</v>
      </c>
      <c r="E325" s="15" t="str">
        <f>HYPERLINK("https://stat100.ameba.jp/tnk47/ratio20/illustrations/card/ill_65093_kyusukumizutachibanaginchiyo03.jpg?201912-3-RELEASE-dice-e-444x", "■")</f>
        <v>■</v>
      </c>
      <c r="F325" s="1" t="s">
        <v>4052</v>
      </c>
      <c r="G325" s="14">
        <v>101558</v>
      </c>
      <c r="H325" s="14">
        <v>94390</v>
      </c>
      <c r="I325" s="14">
        <v>26</v>
      </c>
      <c r="J325" s="1" t="s">
        <v>77</v>
      </c>
      <c r="K325" s="1" t="s">
        <v>4053</v>
      </c>
      <c r="L325" s="1" t="s">
        <v>76</v>
      </c>
      <c r="M325" s="1" t="s">
        <v>9158</v>
      </c>
      <c r="N325" s="1" t="s">
        <v>9158</v>
      </c>
      <c r="O325" s="1" t="s">
        <v>9158</v>
      </c>
      <c r="P325" s="1" t="s">
        <v>9158</v>
      </c>
      <c r="Q325" s="1" t="s">
        <v>9158</v>
      </c>
    </row>
    <row r="326" spans="1:17">
      <c r="E326" s="7"/>
    </row>
    <row r="327" spans="1:17">
      <c r="A327" s="7" t="s">
        <v>10552</v>
      </c>
      <c r="E327" s="7"/>
    </row>
    <row r="328" spans="1:17">
      <c r="A328" s="7" t="s">
        <v>2448</v>
      </c>
      <c r="E328" s="7"/>
    </row>
    <row r="329" spans="1:17">
      <c r="A329" s="7">
        <v>41153</v>
      </c>
      <c r="B329" s="7" t="s">
        <v>8636</v>
      </c>
      <c r="C329" s="7" t="s">
        <v>8638</v>
      </c>
      <c r="D329" s="20" t="s">
        <v>10858</v>
      </c>
      <c r="E329" s="15" t="str">
        <f>HYPERLINK("https://stat100.ameba.jp/tnk47/ratio20/illustrations/card/ill_41153_kingyoku03.jpg?201912-3-RELEASE-dice-e-444x", "■")</f>
        <v>■</v>
      </c>
      <c r="F329" s="7" t="s">
        <v>8649</v>
      </c>
      <c r="G329" s="7">
        <v>89590</v>
      </c>
      <c r="H329" s="7">
        <v>96360</v>
      </c>
      <c r="I329" s="7">
        <v>25</v>
      </c>
      <c r="J329" s="7" t="s">
        <v>8644</v>
      </c>
      <c r="K329" s="7" t="s">
        <v>8650</v>
      </c>
      <c r="L329" s="7" t="s">
        <v>13204</v>
      </c>
      <c r="M329" s="1" t="s">
        <v>9158</v>
      </c>
      <c r="N329" s="1" t="s">
        <v>9158</v>
      </c>
      <c r="O329" s="1" t="s">
        <v>9158</v>
      </c>
      <c r="P329" s="1" t="s">
        <v>9158</v>
      </c>
      <c r="Q329" s="1" t="s">
        <v>9158</v>
      </c>
    </row>
    <row r="330" spans="1:17">
      <c r="A330" s="7">
        <v>57803</v>
      </c>
      <c r="B330" s="7" t="s">
        <v>8636</v>
      </c>
      <c r="C330" s="7" t="s">
        <v>8639</v>
      </c>
      <c r="D330" s="20" t="s">
        <v>772</v>
      </c>
      <c r="E330" s="15" t="str">
        <f>HYPERLINK("https://stat100.ameba.jp/tnk47/ratio20/illustrations/card/ill_57803_piyopiyobaku03.jpg?201912-3-RELEASE-dice-e-444x", "■")</f>
        <v>■</v>
      </c>
      <c r="F330" s="7" t="s">
        <v>8651</v>
      </c>
      <c r="G330" s="7">
        <v>89590</v>
      </c>
      <c r="H330" s="7">
        <v>96360</v>
      </c>
      <c r="I330" s="7">
        <v>25</v>
      </c>
      <c r="J330" s="7" t="s">
        <v>8645</v>
      </c>
      <c r="K330" s="7" t="s">
        <v>8652</v>
      </c>
      <c r="L330" s="7" t="s">
        <v>13205</v>
      </c>
      <c r="M330" s="1" t="s">
        <v>9158</v>
      </c>
      <c r="N330" s="1" t="s">
        <v>9158</v>
      </c>
      <c r="O330" s="1" t="s">
        <v>9158</v>
      </c>
      <c r="P330" s="1" t="s">
        <v>9158</v>
      </c>
      <c r="Q330" s="1" t="s">
        <v>9158</v>
      </c>
    </row>
    <row r="331" spans="1:17">
      <c r="A331" s="7">
        <v>37663</v>
      </c>
      <c r="B331" s="7" t="s">
        <v>8636</v>
      </c>
      <c r="C331" s="7" t="s">
        <v>8640</v>
      </c>
      <c r="D331" s="20" t="s">
        <v>10859</v>
      </c>
      <c r="E331" s="15" t="str">
        <f>HYPERLINK("https://stat100.ameba.jp/tnk47/ratio20/illustrations/card/ill_37663_torejamomotaro03.jpg?201912-3-RELEASE-dice-e-444x", "■")</f>
        <v>■</v>
      </c>
      <c r="F331" s="14" t="s">
        <v>11609</v>
      </c>
      <c r="G331" s="7">
        <v>96360</v>
      </c>
      <c r="H331" s="7">
        <v>89590</v>
      </c>
      <c r="I331" s="7">
        <v>25</v>
      </c>
      <c r="J331" s="7" t="s">
        <v>8646</v>
      </c>
      <c r="K331" s="7" t="s">
        <v>8653</v>
      </c>
      <c r="L331" s="7" t="s">
        <v>13206</v>
      </c>
      <c r="M331" s="1" t="s">
        <v>9158</v>
      </c>
      <c r="N331" s="1" t="s">
        <v>9158</v>
      </c>
      <c r="O331" s="1" t="s">
        <v>9158</v>
      </c>
      <c r="P331" s="1" t="s">
        <v>9158</v>
      </c>
      <c r="Q331" s="1" t="s">
        <v>9158</v>
      </c>
    </row>
    <row r="332" spans="1:17">
      <c r="A332" s="7">
        <v>68003</v>
      </c>
      <c r="B332" s="7" t="s">
        <v>8637</v>
      </c>
      <c r="C332" s="7" t="s">
        <v>8641</v>
      </c>
      <c r="D332" s="20" t="s">
        <v>10860</v>
      </c>
      <c r="E332" s="15" t="str">
        <f>HYPERLINK("https://stat100.ameba.jp/tnk47/ratio20/illustrations/card/ill_68003_kurisumasupateihowaitochokochan03.jpg?201912-3-RELEASE-dice-e-444x", "■")</f>
        <v>■</v>
      </c>
      <c r="F332" s="7" t="s">
        <v>8654</v>
      </c>
      <c r="G332" s="7">
        <v>56316</v>
      </c>
      <c r="H332" s="7">
        <v>51078</v>
      </c>
      <c r="I332" s="7">
        <v>19</v>
      </c>
      <c r="J332" s="7" t="s">
        <v>8644</v>
      </c>
      <c r="K332" s="7" t="s">
        <v>8655</v>
      </c>
      <c r="L332" s="7" t="s">
        <v>8656</v>
      </c>
      <c r="M332" s="1" t="s">
        <v>9158</v>
      </c>
      <c r="N332" s="1" t="s">
        <v>9158</v>
      </c>
      <c r="O332" s="1" t="s">
        <v>9158</v>
      </c>
      <c r="P332" s="1" t="s">
        <v>9158</v>
      </c>
      <c r="Q332" s="1" t="s">
        <v>9158</v>
      </c>
    </row>
    <row r="333" spans="1:17">
      <c r="A333" s="7">
        <v>68023</v>
      </c>
      <c r="B333" s="7" t="s">
        <v>8637</v>
      </c>
      <c r="C333" s="7" t="s">
        <v>8642</v>
      </c>
      <c r="D333" s="20" t="s">
        <v>10861</v>
      </c>
      <c r="E333" s="15" t="str">
        <f>HYPERLINK("https://stat100.ameba.jp/tnk47/ratio20/illustrations/card/ill_68023_kurisumasupateiwakanahime03.jpg?201912-3-RELEASE-dice-e-444x", "■")</f>
        <v>■</v>
      </c>
      <c r="F333" s="7" t="s">
        <v>8657</v>
      </c>
      <c r="G333" s="7">
        <v>56316</v>
      </c>
      <c r="H333" s="7">
        <v>51078</v>
      </c>
      <c r="I333" s="7">
        <v>19</v>
      </c>
      <c r="J333" s="7" t="s">
        <v>8647</v>
      </c>
      <c r="K333" s="7" t="s">
        <v>8658</v>
      </c>
      <c r="L333" s="7" t="s">
        <v>13207</v>
      </c>
      <c r="M333" s="1" t="s">
        <v>9158</v>
      </c>
      <c r="N333" s="1" t="s">
        <v>9158</v>
      </c>
      <c r="O333" s="1" t="s">
        <v>9158</v>
      </c>
      <c r="P333" s="1" t="s">
        <v>9158</v>
      </c>
      <c r="Q333" s="1" t="s">
        <v>9158</v>
      </c>
    </row>
    <row r="334" spans="1:17">
      <c r="A334" s="7">
        <v>68013</v>
      </c>
      <c r="B334" s="7" t="s">
        <v>8637</v>
      </c>
      <c r="C334" s="7" t="s">
        <v>8643</v>
      </c>
      <c r="D334" s="20" t="s">
        <v>10862</v>
      </c>
      <c r="E334" s="15" t="str">
        <f>HYPERLINK("https://stat100.ameba.jp/tnk47/ratio20/illustrations/card/ill_68013_kurisumasupateikoteipenginchan03.jpg?201912-3-RELEASE-dice-e-444x", "■")</f>
        <v>■</v>
      </c>
      <c r="F334" s="7" t="s">
        <v>8659</v>
      </c>
      <c r="G334" s="7">
        <v>51078</v>
      </c>
      <c r="H334" s="7">
        <v>56316</v>
      </c>
      <c r="I334" s="7">
        <v>19</v>
      </c>
      <c r="J334" s="7" t="s">
        <v>8648</v>
      </c>
      <c r="K334" s="7" t="s">
        <v>8660</v>
      </c>
      <c r="L334" s="7" t="s">
        <v>13208</v>
      </c>
      <c r="M334" s="1" t="s">
        <v>9158</v>
      </c>
      <c r="N334" s="1" t="s">
        <v>9158</v>
      </c>
      <c r="O334" s="1" t="s">
        <v>9158</v>
      </c>
      <c r="P334" s="1" t="s">
        <v>9158</v>
      </c>
      <c r="Q334" s="1" t="s">
        <v>9158</v>
      </c>
    </row>
    <row r="335" spans="1:17">
      <c r="E335" s="7"/>
    </row>
    <row r="336" spans="1:17">
      <c r="A336" s="7" t="s">
        <v>8698</v>
      </c>
      <c r="E336" s="7"/>
    </row>
    <row r="337" spans="1:18">
      <c r="A337" s="7" t="s">
        <v>2463</v>
      </c>
      <c r="E337" s="7"/>
    </row>
    <row r="338" spans="1:18">
      <c r="A338" s="1" t="s">
        <v>5606</v>
      </c>
      <c r="B338" s="1" t="s">
        <v>52</v>
      </c>
      <c r="C338" s="1" t="s">
        <v>206</v>
      </c>
      <c r="D338" s="20" t="s">
        <v>2936</v>
      </c>
      <c r="E338" s="15" t="str">
        <f>HYPERLINK("https://stat100.ameba.jp/tnk47/ratio20/illustrations/card/ill_72233_0_koinoboriryugujin03.jpg?201912-3-RELEASE-dice-e-444x", "■")</f>
        <v>■</v>
      </c>
      <c r="F338" s="1" t="s">
        <v>1012</v>
      </c>
      <c r="G338" s="1">
        <v>150871</v>
      </c>
      <c r="H338" s="1">
        <v>162279</v>
      </c>
      <c r="I338" s="1">
        <v>23</v>
      </c>
      <c r="J338" s="1" t="s">
        <v>44</v>
      </c>
      <c r="K338" s="1" t="s">
        <v>1013</v>
      </c>
      <c r="L338" s="1" t="s">
        <v>1014</v>
      </c>
      <c r="M338" s="1" t="s">
        <v>9158</v>
      </c>
      <c r="N338" s="1" t="s">
        <v>9158</v>
      </c>
      <c r="O338" s="19" t="s">
        <v>2940</v>
      </c>
      <c r="P338" s="1" t="s">
        <v>3420</v>
      </c>
      <c r="Q338" s="1">
        <v>2</v>
      </c>
    </row>
    <row r="339" spans="1:18">
      <c r="A339" s="1" t="s">
        <v>5611</v>
      </c>
      <c r="B339" s="1" t="s">
        <v>330</v>
      </c>
      <c r="C339" s="1" t="s">
        <v>185</v>
      </c>
      <c r="D339" s="20" t="s">
        <v>539</v>
      </c>
      <c r="E339" s="15" t="str">
        <f>HYPERLINK("https://stat100.ameba.jp/tnk47/ratio20/illustrations/card/ill_60633_0_harumaisentoin03.jpg?201912-3-RELEASE-dice-e-444x", "■")</f>
        <v>■</v>
      </c>
      <c r="F339" s="1" t="s">
        <v>540</v>
      </c>
      <c r="G339" s="1">
        <v>146235</v>
      </c>
      <c r="H339" s="1">
        <v>157306</v>
      </c>
      <c r="I339" s="1">
        <v>23</v>
      </c>
      <c r="J339" s="1" t="s">
        <v>274</v>
      </c>
      <c r="K339" s="1" t="s">
        <v>541</v>
      </c>
      <c r="L339" s="1" t="s">
        <v>542</v>
      </c>
      <c r="M339" s="1" t="s">
        <v>9158</v>
      </c>
      <c r="N339" s="1" t="s">
        <v>9158</v>
      </c>
      <c r="O339" s="19" t="s">
        <v>2888</v>
      </c>
      <c r="P339" s="1" t="s">
        <v>3144</v>
      </c>
      <c r="Q339" s="1">
        <v>1</v>
      </c>
    </row>
    <row r="340" spans="1:18">
      <c r="A340" s="1" t="s">
        <v>5608</v>
      </c>
      <c r="B340" s="1" t="s">
        <v>52</v>
      </c>
      <c r="C340" s="1" t="s">
        <v>96</v>
      </c>
      <c r="D340" s="20" t="s">
        <v>634</v>
      </c>
      <c r="E340" s="15" t="str">
        <f>HYPERLINK("https://stat100.ameba.jp/tnk47/ratio20/illustrations/card/ill_40963_0_makami03.jpg?201912-3-RELEASE-dice-e-444x", "■")</f>
        <v>■</v>
      </c>
      <c r="F340" s="1" t="s">
        <v>2038</v>
      </c>
      <c r="G340" s="1">
        <v>134596</v>
      </c>
      <c r="H340" s="1">
        <v>126058</v>
      </c>
      <c r="I340" s="1">
        <v>23</v>
      </c>
      <c r="J340" s="1" t="s">
        <v>44</v>
      </c>
      <c r="K340" s="1" t="s">
        <v>2039</v>
      </c>
      <c r="L340" s="1" t="s">
        <v>2040</v>
      </c>
      <c r="M340" s="1" t="s">
        <v>9158</v>
      </c>
      <c r="N340" s="1" t="s">
        <v>9158</v>
      </c>
      <c r="O340" s="1" t="s">
        <v>9158</v>
      </c>
      <c r="P340" s="1" t="s">
        <v>9158</v>
      </c>
      <c r="Q340" s="1" t="s">
        <v>9158</v>
      </c>
    </row>
    <row r="341" spans="1:18">
      <c r="A341" s="7">
        <v>85783</v>
      </c>
      <c r="B341" s="7" t="s">
        <v>0</v>
      </c>
      <c r="C341" s="7" t="s">
        <v>205</v>
      </c>
      <c r="D341" s="20" t="s">
        <v>10850</v>
      </c>
      <c r="E341" s="15" t="str">
        <f>HYPERLINK("https://stat100.ameba.jp/tnk47/ratio20/illustrations/card/ill_85783_fuyukominarutokintoki03.jpg?201912-3-RELEASE-dice-e-444x", "■")</f>
        <v>■</v>
      </c>
      <c r="F341" s="7" t="s">
        <v>8635</v>
      </c>
      <c r="G341" s="7">
        <v>118063</v>
      </c>
      <c r="H341" s="7">
        <v>109786</v>
      </c>
      <c r="I341" s="7">
        <v>25</v>
      </c>
      <c r="J341" s="1" t="s">
        <v>104</v>
      </c>
      <c r="K341" s="7" t="s">
        <v>8634</v>
      </c>
      <c r="L341" s="7" t="s">
        <v>3489</v>
      </c>
      <c r="M341" s="1" t="s">
        <v>9158</v>
      </c>
      <c r="N341" s="1" t="s">
        <v>9158</v>
      </c>
      <c r="O341" s="1" t="s">
        <v>9158</v>
      </c>
      <c r="P341" s="1" t="s">
        <v>9158</v>
      </c>
      <c r="Q341" s="1" t="s">
        <v>9158</v>
      </c>
    </row>
    <row r="342" spans="1:18">
      <c r="A342" s="7">
        <v>83363</v>
      </c>
      <c r="B342" s="7" t="s">
        <v>15</v>
      </c>
      <c r="C342" s="7" t="s">
        <v>206</v>
      </c>
      <c r="D342" s="20" t="s">
        <v>10852</v>
      </c>
      <c r="E342" s="15" t="str">
        <f>HYPERLINK("https://stat100.ameba.jp/tnk47/ratio20/illustrations/card/ill_83363_intonwadatsumi03.jpg?201912-3-RELEASE-dice-e-444x", "■")</f>
        <v>■</v>
      </c>
      <c r="F342" s="7" t="s">
        <v>8629</v>
      </c>
      <c r="G342" s="7">
        <v>74100</v>
      </c>
      <c r="H342" s="7">
        <v>67210</v>
      </c>
      <c r="I342" s="7">
        <v>25</v>
      </c>
      <c r="J342" s="1" t="s">
        <v>169</v>
      </c>
      <c r="K342" s="7" t="s">
        <v>3340</v>
      </c>
      <c r="L342" s="7" t="s">
        <v>3271</v>
      </c>
      <c r="M342" s="1" t="s">
        <v>9158</v>
      </c>
      <c r="N342" s="1" t="s">
        <v>9158</v>
      </c>
      <c r="O342" s="1" t="s">
        <v>9158</v>
      </c>
      <c r="P342" s="1" t="s">
        <v>9158</v>
      </c>
      <c r="Q342" s="1" t="s">
        <v>9158</v>
      </c>
    </row>
    <row r="343" spans="1:18">
      <c r="A343" s="7">
        <v>80933</v>
      </c>
      <c r="B343" s="7" t="s">
        <v>22</v>
      </c>
      <c r="C343" s="7" t="s">
        <v>185</v>
      </c>
      <c r="D343" s="20" t="s">
        <v>10853</v>
      </c>
      <c r="E343" s="15" t="str">
        <f>HYPERLINK("https://stat100.ameba.jp/tnk47/ratio20/illustrations/card/ill_80933_porisukokeshichan03.jpg?201912-3-RELEASE-dice-e-444x", "■")</f>
        <v>■</v>
      </c>
      <c r="F343" s="7" t="s">
        <v>8626</v>
      </c>
      <c r="G343" s="7">
        <v>43220</v>
      </c>
      <c r="H343" s="7">
        <v>51980</v>
      </c>
      <c r="I343" s="7">
        <v>25</v>
      </c>
      <c r="J343" s="1" t="s">
        <v>26</v>
      </c>
      <c r="K343" s="7" t="s">
        <v>8625</v>
      </c>
      <c r="L343" s="7" t="s">
        <v>28</v>
      </c>
      <c r="M343" s="1" t="s">
        <v>9158</v>
      </c>
      <c r="N343" s="1" t="s">
        <v>9158</v>
      </c>
      <c r="O343" s="1" t="s">
        <v>9158</v>
      </c>
      <c r="P343" s="1" t="s">
        <v>9158</v>
      </c>
      <c r="Q343" s="1" t="s">
        <v>9158</v>
      </c>
    </row>
    <row r="344" spans="1:18">
      <c r="A344" s="7">
        <v>85823</v>
      </c>
      <c r="B344" s="7" t="s">
        <v>30</v>
      </c>
      <c r="C344" s="7" t="s">
        <v>1712</v>
      </c>
      <c r="D344" s="20" t="s">
        <v>10854</v>
      </c>
      <c r="E344" s="15" t="str">
        <f>HYPERLINK("https://stat100.ameba.jp/tnk47/ratio20/illustrations/card/ill_85823_amekomitamahime03.jpg?201912-3-RELEASE-dice-e-444x", "■")</f>
        <v>■</v>
      </c>
      <c r="F344" s="7" t="s">
        <v>8623</v>
      </c>
      <c r="G344" s="7">
        <v>31470</v>
      </c>
      <c r="H344" s="7">
        <v>26430</v>
      </c>
      <c r="I344" s="7">
        <v>25</v>
      </c>
      <c r="J344" s="1" t="s">
        <v>77</v>
      </c>
      <c r="K344" s="7" t="s">
        <v>8622</v>
      </c>
      <c r="L344" s="7" t="s">
        <v>3843</v>
      </c>
      <c r="M344" s="1" t="s">
        <v>9158</v>
      </c>
      <c r="N344" s="1" t="s">
        <v>9158</v>
      </c>
      <c r="O344" s="1" t="s">
        <v>9158</v>
      </c>
      <c r="P344" s="1" t="s">
        <v>9158</v>
      </c>
      <c r="Q344" s="1" t="s">
        <v>9158</v>
      </c>
    </row>
    <row r="345" spans="1:18">
      <c r="E345" s="7"/>
    </row>
    <row r="346" spans="1:18">
      <c r="A346" s="1" t="s">
        <v>13328</v>
      </c>
      <c r="B346" s="1"/>
      <c r="C346" s="1"/>
      <c r="D346" s="1"/>
      <c r="F346" s="1"/>
      <c r="G346" s="1"/>
      <c r="H346" s="1"/>
      <c r="I346" s="1"/>
      <c r="J346" s="1"/>
      <c r="K346" s="1"/>
      <c r="L346" s="1"/>
      <c r="M346" s="1"/>
      <c r="N346" s="1"/>
      <c r="O346" s="1"/>
      <c r="P346" s="1"/>
      <c r="Q346" s="1"/>
      <c r="R346" s="1"/>
    </row>
    <row r="347" spans="1:18">
      <c r="A347" s="1" t="s">
        <v>15159</v>
      </c>
      <c r="B347" s="1"/>
      <c r="C347" s="1"/>
      <c r="D347" s="1"/>
      <c r="F347" s="1"/>
      <c r="G347" s="1"/>
      <c r="H347" s="1"/>
      <c r="I347" s="1"/>
      <c r="J347" s="1"/>
      <c r="K347" s="1"/>
      <c r="L347" s="1"/>
      <c r="M347" s="1"/>
      <c r="N347" s="1"/>
      <c r="O347" s="1"/>
      <c r="P347" s="1"/>
      <c r="Q347" s="1"/>
      <c r="R347" s="1"/>
    </row>
    <row r="348" spans="1:18">
      <c r="A348" s="1">
        <v>82213</v>
      </c>
      <c r="B348" s="1" t="s">
        <v>0</v>
      </c>
      <c r="C348" s="1" t="s">
        <v>185</v>
      </c>
      <c r="D348" s="20" t="s">
        <v>10185</v>
      </c>
      <c r="E348" s="15" t="str">
        <f>HYPERLINK("https://stat100.ameba.jp/tnk47/ratio20/illustrations/card/ill_82213_tatarimokke03.jpg?201912-3-RELEASE-dice-e-444x", "■")</f>
        <v>■</v>
      </c>
      <c r="F348" s="1" t="s">
        <v>4935</v>
      </c>
      <c r="G348" s="1">
        <v>114429</v>
      </c>
      <c r="H348" s="1">
        <v>123076</v>
      </c>
      <c r="I348" s="1">
        <v>25</v>
      </c>
      <c r="J348" s="1" t="s">
        <v>182</v>
      </c>
      <c r="K348" s="1" t="s">
        <v>4937</v>
      </c>
      <c r="L348" s="1" t="s">
        <v>13191</v>
      </c>
      <c r="M348" s="1" t="s">
        <v>13130</v>
      </c>
      <c r="N348" s="1" t="s">
        <v>343</v>
      </c>
      <c r="O348" s="1" t="s">
        <v>9158</v>
      </c>
      <c r="P348" s="1" t="s">
        <v>9158</v>
      </c>
      <c r="Q348" s="1" t="s">
        <v>9158</v>
      </c>
      <c r="R348" s="14" t="s">
        <v>14748</v>
      </c>
    </row>
    <row r="349" spans="1:18">
      <c r="A349" s="1">
        <v>82212</v>
      </c>
      <c r="B349" s="1" t="s">
        <v>334</v>
      </c>
      <c r="C349" s="1" t="s">
        <v>185</v>
      </c>
      <c r="D349" s="20" t="s">
        <v>10185</v>
      </c>
      <c r="E349" s="15" t="str">
        <f>HYPERLINK("https://stat100.ameba.jp/tnk47/ratio20/illustrations/card/ill_82212_tatarimokke02.jpg?201912-3-RELEASE-dice-e-444x", "■")</f>
        <v>■</v>
      </c>
      <c r="F349" s="1" t="s">
        <v>4935</v>
      </c>
      <c r="G349" s="1">
        <v>94774</v>
      </c>
      <c r="H349" s="1">
        <v>102885</v>
      </c>
      <c r="I349" s="1">
        <v>25</v>
      </c>
      <c r="J349" s="1" t="s">
        <v>182</v>
      </c>
      <c r="K349" s="1" t="s">
        <v>4937</v>
      </c>
      <c r="L349" s="1" t="s">
        <v>13191</v>
      </c>
      <c r="M349" s="1" t="s">
        <v>13131</v>
      </c>
      <c r="N349" s="1" t="s">
        <v>251</v>
      </c>
      <c r="O349" s="1" t="s">
        <v>9158</v>
      </c>
      <c r="P349" s="1" t="s">
        <v>9158</v>
      </c>
      <c r="Q349" s="1" t="s">
        <v>9158</v>
      </c>
      <c r="R349" s="14" t="s">
        <v>14748</v>
      </c>
    </row>
    <row r="350" spans="1:18">
      <c r="A350" s="1">
        <v>82211</v>
      </c>
      <c r="B350" s="1" t="s">
        <v>0</v>
      </c>
      <c r="C350" s="1" t="s">
        <v>185</v>
      </c>
      <c r="D350" s="20" t="s">
        <v>10185</v>
      </c>
      <c r="E350" s="15" t="str">
        <f>HYPERLINK("https://stat100.ameba.jp/tnk47/ratio20/illustrations/card/ill_82211_tatarimokke01.jpg?201912-3-RELEASE-dice-e-444x", "■")</f>
        <v>■</v>
      </c>
      <c r="F350" s="1" t="s">
        <v>4935</v>
      </c>
      <c r="G350" s="1">
        <v>73125</v>
      </c>
      <c r="H350" s="1">
        <v>78550</v>
      </c>
      <c r="I350" s="1">
        <v>25</v>
      </c>
      <c r="J350" s="1" t="s">
        <v>182</v>
      </c>
      <c r="K350" s="1" t="s">
        <v>4937</v>
      </c>
      <c r="L350" s="1" t="s">
        <v>13191</v>
      </c>
      <c r="M350" s="1" t="s">
        <v>13131</v>
      </c>
      <c r="N350" s="1" t="s">
        <v>251</v>
      </c>
      <c r="O350" s="1" t="s">
        <v>9158</v>
      </c>
      <c r="P350" s="1" t="s">
        <v>9158</v>
      </c>
      <c r="Q350" s="1" t="s">
        <v>9158</v>
      </c>
      <c r="R350" s="14" t="s">
        <v>14748</v>
      </c>
    </row>
    <row r="351" spans="1:18">
      <c r="A351" s="1">
        <v>82223</v>
      </c>
      <c r="B351" s="1" t="s">
        <v>334</v>
      </c>
      <c r="C351" s="1" t="s">
        <v>200</v>
      </c>
      <c r="D351" s="20" t="s">
        <v>10186</v>
      </c>
      <c r="E351" s="15" t="str">
        <f>HYPERLINK("https://stat100.ameba.jp/tnk47/ratio20/illustrations/card/ill_82223_oyayubihime03.jpg?201912-3-RELEASE-dice-e-444x", "■")</f>
        <v>■</v>
      </c>
      <c r="F351" s="1" t="s">
        <v>4931</v>
      </c>
      <c r="G351" s="1">
        <v>123076</v>
      </c>
      <c r="H351" s="1">
        <v>114429</v>
      </c>
      <c r="I351" s="1">
        <v>25</v>
      </c>
      <c r="J351" s="1" t="s">
        <v>155</v>
      </c>
      <c r="K351" s="1" t="s">
        <v>4933</v>
      </c>
      <c r="L351" s="1" t="s">
        <v>4934</v>
      </c>
      <c r="M351" s="1" t="s">
        <v>13130</v>
      </c>
      <c r="N351" s="1" t="s">
        <v>343</v>
      </c>
      <c r="O351" s="1" t="s">
        <v>9158</v>
      </c>
      <c r="P351" s="1" t="s">
        <v>9158</v>
      </c>
      <c r="Q351" s="1" t="s">
        <v>9158</v>
      </c>
      <c r="R351" s="14" t="s">
        <v>14748</v>
      </c>
    </row>
    <row r="352" spans="1:18">
      <c r="A352" s="1">
        <v>82233</v>
      </c>
      <c r="B352" s="1" t="s">
        <v>334</v>
      </c>
      <c r="C352" s="1" t="s">
        <v>191</v>
      </c>
      <c r="D352" s="20" t="s">
        <v>10187</v>
      </c>
      <c r="E352" s="15" t="str">
        <f>HYPERLINK("https://stat100.ameba.jp/tnk47/ratio20/illustrations/card/ill_82233_iseokiku03.jpg?201912-3-RELEASE-dice-e-444x", "■")</f>
        <v>■</v>
      </c>
      <c r="F352" s="1" t="s">
        <v>4924</v>
      </c>
      <c r="G352" s="1">
        <v>123076</v>
      </c>
      <c r="H352" s="1">
        <v>114429</v>
      </c>
      <c r="I352" s="1">
        <v>25</v>
      </c>
      <c r="J352" s="1" t="s">
        <v>187</v>
      </c>
      <c r="K352" s="1" t="s">
        <v>4926</v>
      </c>
      <c r="L352" s="1" t="s">
        <v>4930</v>
      </c>
      <c r="M352" s="1" t="s">
        <v>13130</v>
      </c>
      <c r="N352" s="1" t="s">
        <v>343</v>
      </c>
      <c r="O352" s="1" t="s">
        <v>9158</v>
      </c>
      <c r="P352" s="1" t="s">
        <v>9158</v>
      </c>
      <c r="Q352" s="1" t="s">
        <v>9158</v>
      </c>
      <c r="R352" s="14" t="s">
        <v>14748</v>
      </c>
    </row>
    <row r="353" spans="1:18">
      <c r="A353" s="1">
        <v>82243</v>
      </c>
      <c r="B353" s="1" t="s">
        <v>0</v>
      </c>
      <c r="C353" s="1" t="s">
        <v>165</v>
      </c>
      <c r="D353" s="20" t="s">
        <v>10188</v>
      </c>
      <c r="E353" s="15" t="str">
        <f>HYPERLINK("https://stat100.ameba.jp/tnk47/ratio20/illustrations/card/ill_82243_nanohana03.jpg?201912-3-RELEASE-dice-e-444x", "■")</f>
        <v>■</v>
      </c>
      <c r="F353" s="1" t="s">
        <v>4921</v>
      </c>
      <c r="G353" s="1">
        <v>123076</v>
      </c>
      <c r="H353" s="1">
        <v>114429</v>
      </c>
      <c r="I353" s="1">
        <v>25</v>
      </c>
      <c r="J353" s="1" t="s">
        <v>229</v>
      </c>
      <c r="K353" s="1" t="s">
        <v>4923</v>
      </c>
      <c r="L353" s="1" t="s">
        <v>4929</v>
      </c>
      <c r="M353" s="1" t="s">
        <v>13130</v>
      </c>
      <c r="N353" s="1" t="s">
        <v>343</v>
      </c>
      <c r="O353" s="1" t="s">
        <v>9158</v>
      </c>
      <c r="P353" s="1" t="s">
        <v>9158</v>
      </c>
      <c r="Q353" s="1" t="s">
        <v>9158</v>
      </c>
      <c r="R353" s="14" t="s">
        <v>14748</v>
      </c>
    </row>
    <row r="354" spans="1:18">
      <c r="A354" s="1">
        <v>82253</v>
      </c>
      <c r="B354" s="1" t="s">
        <v>334</v>
      </c>
      <c r="C354" s="1" t="s">
        <v>205</v>
      </c>
      <c r="D354" s="20" t="s">
        <v>10189</v>
      </c>
      <c r="E354" s="15" t="str">
        <f>HYPERLINK("https://stat100.ameba.jp/tnk47/ratio20/illustrations/card/ill_82253_ajisaikyogokuichiko03.jpg?201912-3-RELEASE-dice-e-444x", "■")</f>
        <v>■</v>
      </c>
      <c r="F354" s="1" t="s">
        <v>4920</v>
      </c>
      <c r="G354" s="1">
        <v>114429</v>
      </c>
      <c r="H354" s="1">
        <v>123076</v>
      </c>
      <c r="I354" s="1">
        <v>25</v>
      </c>
      <c r="J354" s="1" t="s">
        <v>159</v>
      </c>
      <c r="K354" s="1" t="s">
        <v>4919</v>
      </c>
      <c r="L354" s="1" t="s">
        <v>4927</v>
      </c>
      <c r="M354" s="1" t="s">
        <v>13130</v>
      </c>
      <c r="N354" s="1" t="s">
        <v>343</v>
      </c>
      <c r="O354" s="1" t="s">
        <v>9158</v>
      </c>
      <c r="P354" s="1" t="s">
        <v>9158</v>
      </c>
      <c r="Q354" s="1" t="s">
        <v>9158</v>
      </c>
      <c r="R354" s="14" t="s">
        <v>14748</v>
      </c>
    </row>
    <row r="355" spans="1:18">
      <c r="A355" s="1">
        <v>82263</v>
      </c>
      <c r="B355" s="1" t="s">
        <v>334</v>
      </c>
      <c r="C355" s="1" t="s">
        <v>206</v>
      </c>
      <c r="D355" s="20" t="s">
        <v>10190</v>
      </c>
      <c r="E355" s="15" t="str">
        <f>HYPERLINK("https://stat100.ameba.jp/tnk47/ratio20/illustrations/card/ill_82263_euterupe03.jpg?201912-3-RELEASE-dice-e-444x", "■")</f>
        <v>■</v>
      </c>
      <c r="F355" s="1" t="s">
        <v>4915</v>
      </c>
      <c r="G355" s="1">
        <v>114429</v>
      </c>
      <c r="H355" s="1">
        <v>123076</v>
      </c>
      <c r="I355" s="1">
        <v>25</v>
      </c>
      <c r="J355" s="1" t="s">
        <v>169</v>
      </c>
      <c r="K355" s="1" t="s">
        <v>4917</v>
      </c>
      <c r="L355" s="1" t="s">
        <v>4928</v>
      </c>
      <c r="M355" s="1" t="s">
        <v>13130</v>
      </c>
      <c r="N355" s="1" t="s">
        <v>343</v>
      </c>
      <c r="O355" s="1" t="s">
        <v>9158</v>
      </c>
      <c r="P355" s="1" t="s">
        <v>9158</v>
      </c>
      <c r="Q355" s="1" t="s">
        <v>9158</v>
      </c>
      <c r="R355" s="14" t="s">
        <v>14748</v>
      </c>
    </row>
    <row r="356" spans="1:18">
      <c r="E356" s="7"/>
    </row>
    <row r="357" spans="1:18">
      <c r="A357" s="7" t="s">
        <v>8677</v>
      </c>
      <c r="E357" s="7"/>
    </row>
    <row r="358" spans="1:18">
      <c r="A358" s="7" t="s">
        <v>8678</v>
      </c>
      <c r="E358" s="7"/>
    </row>
    <row r="359" spans="1:18">
      <c r="A359" s="1" t="s">
        <v>5620</v>
      </c>
      <c r="B359" s="1" t="s">
        <v>52</v>
      </c>
      <c r="C359" s="1" t="s">
        <v>344</v>
      </c>
      <c r="D359" s="20" t="s">
        <v>669</v>
      </c>
      <c r="E359" s="15" t="str">
        <f>HYPERLINK("https://stat100.ameba.jp/tnk47/ratio20/illustrations/card/ill_67173_0_yukemuriawamorichan03.jpg?202001-i_prefecture_active_user", "■")</f>
        <v>■</v>
      </c>
      <c r="F359" s="1" t="s">
        <v>2043</v>
      </c>
      <c r="G359" s="1">
        <v>192083</v>
      </c>
      <c r="H359" s="1">
        <v>178578</v>
      </c>
      <c r="I359" s="1">
        <v>25</v>
      </c>
      <c r="J359" s="1" t="s">
        <v>104</v>
      </c>
      <c r="K359" s="1" t="s">
        <v>2044</v>
      </c>
      <c r="L359" s="1" t="s">
        <v>2045</v>
      </c>
      <c r="M359" s="1" t="s">
        <v>9158</v>
      </c>
      <c r="N359" s="1" t="s">
        <v>9158</v>
      </c>
      <c r="O359" s="19" t="s">
        <v>10087</v>
      </c>
      <c r="P359" s="1" t="s">
        <v>3455</v>
      </c>
      <c r="Q359" s="1">
        <v>1</v>
      </c>
    </row>
    <row r="360" spans="1:18">
      <c r="A360" s="1" t="s">
        <v>5617</v>
      </c>
      <c r="B360" s="1" t="s">
        <v>330</v>
      </c>
      <c r="C360" s="1" t="s">
        <v>308</v>
      </c>
      <c r="D360" s="20" t="s">
        <v>385</v>
      </c>
      <c r="E360" s="15" t="str">
        <f>HYPERLINK("https://stat100.ameba.jp/tnk47/ratio20/illustrations/card/ill_59673_0_oheyashutendoji03.jpg?202001-i_prefecture_active_user", "■")</f>
        <v>■</v>
      </c>
      <c r="F360" s="1" t="s">
        <v>386</v>
      </c>
      <c r="G360" s="1">
        <v>175911</v>
      </c>
      <c r="H360" s="1">
        <v>189209</v>
      </c>
      <c r="I360" s="1">
        <v>25</v>
      </c>
      <c r="J360" s="1" t="s">
        <v>320</v>
      </c>
      <c r="K360" s="1" t="s">
        <v>387</v>
      </c>
      <c r="L360" s="1" t="s">
        <v>388</v>
      </c>
      <c r="M360" s="1" t="s">
        <v>9158</v>
      </c>
      <c r="N360" s="1" t="s">
        <v>9158</v>
      </c>
      <c r="O360" s="19" t="s">
        <v>10078</v>
      </c>
      <c r="P360" s="1" t="s">
        <v>3022</v>
      </c>
      <c r="Q360" s="1">
        <v>1</v>
      </c>
    </row>
    <row r="361" spans="1:18">
      <c r="A361" s="1">
        <v>83393</v>
      </c>
      <c r="B361" s="1" t="s">
        <v>334</v>
      </c>
      <c r="C361" s="1" t="s">
        <v>209</v>
      </c>
      <c r="D361" s="20" t="s">
        <v>10381</v>
      </c>
      <c r="E361" s="15" t="str">
        <f>HYPERLINK("https://stat100.ameba.jp/tnk47/ratio20/illustrations/card/ill_83393_rito03.jpg?202001-i_prefecture_active_user", "■")</f>
        <v>■</v>
      </c>
      <c r="F361" s="1" t="s">
        <v>5735</v>
      </c>
      <c r="G361" s="1">
        <v>127580</v>
      </c>
      <c r="H361" s="1">
        <v>92402</v>
      </c>
      <c r="I361" s="1">
        <v>25</v>
      </c>
      <c r="J361" s="1" t="s">
        <v>38</v>
      </c>
      <c r="K361" s="1" t="s">
        <v>5738</v>
      </c>
      <c r="L361" s="1" t="s">
        <v>5400</v>
      </c>
      <c r="M361" s="1" t="s">
        <v>9158</v>
      </c>
      <c r="N361" s="1" t="s">
        <v>9158</v>
      </c>
      <c r="O361" s="19" t="s">
        <v>10098</v>
      </c>
      <c r="P361" s="1" t="s">
        <v>3491</v>
      </c>
      <c r="Q361" s="1">
        <v>1</v>
      </c>
    </row>
    <row r="362" spans="1:18">
      <c r="A362" s="1">
        <v>70843</v>
      </c>
      <c r="B362" s="1" t="s">
        <v>334</v>
      </c>
      <c r="C362" s="1" t="s">
        <v>268</v>
      </c>
      <c r="D362" s="20" t="s">
        <v>10651</v>
      </c>
      <c r="E362" s="15" t="str">
        <f>HYPERLINK("https://stat100.ameba.jp/tnk47/ratio20/illustrations/card/ill_70843_indoshinwakurionechan03.jpg?202001-i_prefecture_active_user", "■")</f>
        <v>■</v>
      </c>
      <c r="F362" s="1" t="s">
        <v>856</v>
      </c>
      <c r="G362" s="1">
        <v>105890</v>
      </c>
      <c r="H362" s="1">
        <v>113890</v>
      </c>
      <c r="I362" s="1">
        <v>25</v>
      </c>
      <c r="J362" s="1" t="s">
        <v>369</v>
      </c>
      <c r="K362" s="1" t="s">
        <v>857</v>
      </c>
      <c r="L362" s="1" t="s">
        <v>496</v>
      </c>
      <c r="M362" s="1" t="s">
        <v>9158</v>
      </c>
      <c r="N362" s="1" t="s">
        <v>9158</v>
      </c>
      <c r="O362" s="19" t="s">
        <v>10074</v>
      </c>
      <c r="P362" s="1" t="s">
        <v>3592</v>
      </c>
      <c r="Q362" s="1">
        <v>1</v>
      </c>
    </row>
    <row r="363" spans="1:18">
      <c r="A363" s="1">
        <v>75893</v>
      </c>
      <c r="B363" s="1" t="s">
        <v>0</v>
      </c>
      <c r="C363" s="1" t="s">
        <v>158</v>
      </c>
      <c r="D363" s="20" t="s">
        <v>3095</v>
      </c>
      <c r="E363" s="15" t="str">
        <f>HYPERLINK("https://stat100.ameba.jp/tnk47/ratio20/illustrations/card/ill_75893_hamamatsutakuni03.jpg?202001-i_prefecture_active_user", "■")</f>
        <v>■</v>
      </c>
      <c r="F363" s="1" t="s">
        <v>3594</v>
      </c>
      <c r="G363" s="1">
        <v>113463</v>
      </c>
      <c r="H363" s="1">
        <v>82205</v>
      </c>
      <c r="I363" s="1">
        <v>25</v>
      </c>
      <c r="J363" s="1" t="s">
        <v>16</v>
      </c>
      <c r="K363" s="1" t="s">
        <v>3595</v>
      </c>
      <c r="L363" s="1" t="s">
        <v>920</v>
      </c>
      <c r="M363" s="1" t="s">
        <v>9158</v>
      </c>
      <c r="N363" s="1" t="s">
        <v>9158</v>
      </c>
      <c r="O363" s="19" t="s">
        <v>3037</v>
      </c>
      <c r="P363" s="1" t="s">
        <v>13128</v>
      </c>
      <c r="Q363" s="1">
        <v>1</v>
      </c>
    </row>
    <row r="364" spans="1:18">
      <c r="A364" s="1">
        <v>58263</v>
      </c>
      <c r="B364" s="1" t="s">
        <v>334</v>
      </c>
      <c r="C364" s="1" t="s">
        <v>203</v>
      </c>
      <c r="D364" s="20" t="s">
        <v>679</v>
      </c>
      <c r="E364" s="15" t="str">
        <f>HYPERLINK("https://stat100.ameba.jp/tnk47/ratio20/illustrations/card/ill_58263_tamayorigozen03.jpg?202001-i_prefecture_active_user", "■")</f>
        <v>■</v>
      </c>
      <c r="F364" s="1" t="s">
        <v>680</v>
      </c>
      <c r="G364" s="1">
        <v>79151</v>
      </c>
      <c r="H364" s="1">
        <v>109259</v>
      </c>
      <c r="I364" s="1">
        <v>25</v>
      </c>
      <c r="J364" s="1" t="s">
        <v>351</v>
      </c>
      <c r="K364" s="1" t="s">
        <v>681</v>
      </c>
      <c r="L364" s="1" t="s">
        <v>682</v>
      </c>
      <c r="M364" s="1" t="s">
        <v>9158</v>
      </c>
      <c r="N364" s="1" t="s">
        <v>9158</v>
      </c>
      <c r="O364" s="1" t="s">
        <v>9158</v>
      </c>
      <c r="P364" s="1" t="s">
        <v>9158</v>
      </c>
      <c r="Q364" s="1" t="s">
        <v>9158</v>
      </c>
    </row>
    <row r="365" spans="1:18">
      <c r="A365" s="1">
        <v>54153</v>
      </c>
      <c r="B365" s="1" t="s">
        <v>0</v>
      </c>
      <c r="C365" s="1" t="s">
        <v>264</v>
      </c>
      <c r="D365" s="20" t="s">
        <v>3030</v>
      </c>
      <c r="E365" s="15" t="str">
        <f>HYPERLINK("https://stat100.ameba.jp/tnk47/ratio20/illustrations/card/ill_54153_gekkao03.jpg?202001-i_prefecture_active_user", "■")</f>
        <v>■</v>
      </c>
      <c r="F365" s="1" t="s">
        <v>2072</v>
      </c>
      <c r="G365" s="1">
        <v>75651</v>
      </c>
      <c r="H365" s="1">
        <v>103176</v>
      </c>
      <c r="I365" s="1">
        <v>25</v>
      </c>
      <c r="J365" s="1" t="s">
        <v>44</v>
      </c>
      <c r="K365" s="1" t="s">
        <v>2073</v>
      </c>
      <c r="L365" s="1" t="s">
        <v>95</v>
      </c>
      <c r="M365" s="1" t="s">
        <v>9158</v>
      </c>
      <c r="N365" s="1" t="s">
        <v>9158</v>
      </c>
      <c r="O365" s="1" t="s">
        <v>9158</v>
      </c>
      <c r="P365" s="1" t="s">
        <v>9158</v>
      </c>
      <c r="Q365" s="1" t="s">
        <v>9158</v>
      </c>
    </row>
    <row r="366" spans="1:18">
      <c r="A366" s="1">
        <v>57123</v>
      </c>
      <c r="B366" s="1" t="s">
        <v>334</v>
      </c>
      <c r="C366" s="1" t="s">
        <v>3860</v>
      </c>
      <c r="D366" s="20" t="s">
        <v>10225</v>
      </c>
      <c r="E366" s="15" t="str">
        <f>HYPERLINK("https://stat100.ameba.jp/tnk47/ratio20/illustrations/card/ill_57123_igamaria03.jpg?202001-i_prefecture_active_user", "■")</f>
        <v>■</v>
      </c>
      <c r="F366" s="1" t="s">
        <v>5113</v>
      </c>
      <c r="G366" s="1">
        <v>103176</v>
      </c>
      <c r="H366" s="1">
        <v>75651</v>
      </c>
      <c r="I366" s="1">
        <v>25</v>
      </c>
      <c r="J366" s="1" t="s">
        <v>77</v>
      </c>
      <c r="K366" s="1" t="s">
        <v>5115</v>
      </c>
      <c r="L366" s="1" t="s">
        <v>5116</v>
      </c>
      <c r="M366" s="1" t="s">
        <v>9158</v>
      </c>
      <c r="N366" s="1" t="s">
        <v>9158</v>
      </c>
      <c r="O366" s="1" t="s">
        <v>9158</v>
      </c>
      <c r="P366" s="1" t="s">
        <v>9158</v>
      </c>
      <c r="Q366" s="1" t="s">
        <v>9158</v>
      </c>
    </row>
    <row r="367" spans="1:18">
      <c r="E367" s="7"/>
    </row>
    <row r="368" spans="1:18">
      <c r="A368" s="7" t="s">
        <v>115</v>
      </c>
      <c r="E368" s="7"/>
    </row>
    <row r="369" spans="1:17">
      <c r="A369" s="7" t="s">
        <v>8679</v>
      </c>
      <c r="E369" s="7"/>
    </row>
    <row r="370" spans="1:17">
      <c r="A370" s="1" t="s">
        <v>5650</v>
      </c>
      <c r="B370" s="1" t="s">
        <v>52</v>
      </c>
      <c r="C370" s="1" t="s">
        <v>23</v>
      </c>
      <c r="D370" s="20" t="s">
        <v>809</v>
      </c>
      <c r="E370" s="15" t="str">
        <f>HYPERLINK("https://stat100.ameba.jp/tnk47/ratio20/illustrations/card/ill_68033_0_kurisumasupateikandamyojin03.jpg?202001-i_prefecture_active_user", "■")</f>
        <v>■</v>
      </c>
      <c r="F370" s="1" t="s">
        <v>1871</v>
      </c>
      <c r="G370" s="1">
        <v>139878</v>
      </c>
      <c r="H370" s="1">
        <v>150466</v>
      </c>
      <c r="I370" s="1">
        <v>22</v>
      </c>
      <c r="J370" s="1" t="s">
        <v>44</v>
      </c>
      <c r="K370" s="1" t="s">
        <v>1872</v>
      </c>
      <c r="L370" s="1" t="s">
        <v>1873</v>
      </c>
      <c r="M370" s="1" t="s">
        <v>9158</v>
      </c>
      <c r="N370" s="1" t="s">
        <v>9158</v>
      </c>
      <c r="O370" s="19" t="s">
        <v>2997</v>
      </c>
      <c r="P370" s="1" t="s">
        <v>3483</v>
      </c>
      <c r="Q370" s="1">
        <v>2</v>
      </c>
    </row>
    <row r="371" spans="1:17">
      <c r="A371" s="1" t="s">
        <v>5724</v>
      </c>
      <c r="B371" s="1" t="s">
        <v>330</v>
      </c>
      <c r="C371" s="1" t="s">
        <v>335</v>
      </c>
      <c r="D371" s="20" t="s">
        <v>698</v>
      </c>
      <c r="E371" s="15" t="str">
        <f>HYPERLINK("https://stat100.ameba.jp/tnk47/ratio20/illustrations/card/ill_66433_0_haroinfujishirogozen03.jpg?202001-i_prefecture_active_user", "■")</f>
        <v>■</v>
      </c>
      <c r="F371" s="1" t="s">
        <v>699</v>
      </c>
      <c r="G371" s="1">
        <v>134652</v>
      </c>
      <c r="H371" s="1">
        <v>144834</v>
      </c>
      <c r="I371" s="1">
        <v>22</v>
      </c>
      <c r="J371" s="1" t="s">
        <v>315</v>
      </c>
      <c r="K371" s="1" t="s">
        <v>700</v>
      </c>
      <c r="L371" s="1" t="s">
        <v>701</v>
      </c>
      <c r="M371" s="1" t="s">
        <v>9158</v>
      </c>
      <c r="N371" s="1" t="s">
        <v>9158</v>
      </c>
      <c r="O371" s="19" t="s">
        <v>10095</v>
      </c>
      <c r="P371" s="1" t="s">
        <v>3345</v>
      </c>
      <c r="Q371" s="1">
        <v>1</v>
      </c>
    </row>
    <row r="372" spans="1:17">
      <c r="A372" s="1" t="s">
        <v>6132</v>
      </c>
      <c r="B372" s="1" t="s">
        <v>330</v>
      </c>
      <c r="C372" s="1" t="s">
        <v>205</v>
      </c>
      <c r="D372" s="20" t="s">
        <v>702</v>
      </c>
      <c r="E372" s="15" t="str">
        <f>HYPERLINK("https://stat100.ameba.jp/tnk47/ratio20/illustrations/card/ill_50693_0_hanamizugimimuratsuru03.jpg?202001-i_prefecture_active_user", "■")</f>
        <v>■</v>
      </c>
      <c r="F372" s="1" t="s">
        <v>703</v>
      </c>
      <c r="G372" s="1">
        <v>122776</v>
      </c>
      <c r="H372" s="1">
        <v>138212</v>
      </c>
      <c r="I372" s="1">
        <v>22</v>
      </c>
      <c r="J372" s="1" t="s">
        <v>310</v>
      </c>
      <c r="K372" s="1" t="s">
        <v>704</v>
      </c>
      <c r="L372" s="1" t="s">
        <v>705</v>
      </c>
      <c r="M372" s="1" t="s">
        <v>9158</v>
      </c>
      <c r="N372" s="1" t="s">
        <v>9158</v>
      </c>
      <c r="O372" s="1" t="s">
        <v>9158</v>
      </c>
      <c r="P372" s="1" t="s">
        <v>9158</v>
      </c>
      <c r="Q372" s="1" t="s">
        <v>9158</v>
      </c>
    </row>
    <row r="373" spans="1:17">
      <c r="A373" s="7">
        <v>54103</v>
      </c>
      <c r="B373" s="1" t="s">
        <v>334</v>
      </c>
      <c r="C373" s="1" t="s">
        <v>206</v>
      </c>
      <c r="D373" s="20" t="s">
        <v>10863</v>
      </c>
      <c r="E373" s="15" t="str">
        <f>HYPERLINK("https://stat100.ameba.jp/tnk47/ratio20/illustrations/card/ill_54103_gimashinjo03.jpg?202001-i_prefecture_active_user", "■")</f>
        <v>■</v>
      </c>
      <c r="F373" s="1" t="s">
        <v>8685</v>
      </c>
      <c r="G373" s="1">
        <v>77980</v>
      </c>
      <c r="H373" s="1">
        <v>108470</v>
      </c>
      <c r="I373" s="1">
        <v>25</v>
      </c>
      <c r="J373" s="1" t="s">
        <v>351</v>
      </c>
      <c r="K373" s="1" t="s">
        <v>8684</v>
      </c>
      <c r="L373" s="1" t="s">
        <v>8683</v>
      </c>
      <c r="M373" s="1" t="s">
        <v>9158</v>
      </c>
      <c r="N373" s="1" t="s">
        <v>9158</v>
      </c>
      <c r="O373" s="1" t="s">
        <v>9158</v>
      </c>
      <c r="P373" s="1" t="s">
        <v>9158</v>
      </c>
      <c r="Q373" s="1" t="s">
        <v>9158</v>
      </c>
    </row>
    <row r="374" spans="1:17">
      <c r="A374" s="1">
        <v>63423</v>
      </c>
      <c r="B374" s="1" t="s">
        <v>0</v>
      </c>
      <c r="C374" s="1" t="s">
        <v>165</v>
      </c>
      <c r="D374" s="20" t="s">
        <v>10864</v>
      </c>
      <c r="E374" s="15" t="str">
        <f>HYPERLINK("https://stat100.ameba.jp/tnk47/ratio20/illustrations/card/ill_63423_warashibechoja03.jpg?202001-i_prefecture_active_user", "■")</f>
        <v>■</v>
      </c>
      <c r="F374" s="1" t="s">
        <v>8688</v>
      </c>
      <c r="G374" s="1">
        <v>79221</v>
      </c>
      <c r="H374" s="1">
        <v>140761</v>
      </c>
      <c r="I374" s="1">
        <v>25</v>
      </c>
      <c r="J374" s="1" t="s">
        <v>38</v>
      </c>
      <c r="K374" s="1" t="s">
        <v>8687</v>
      </c>
      <c r="L374" s="1" t="s">
        <v>8686</v>
      </c>
      <c r="M374" s="1" t="s">
        <v>9158</v>
      </c>
      <c r="N374" s="1" t="s">
        <v>9158</v>
      </c>
      <c r="O374" s="1" t="s">
        <v>9158</v>
      </c>
      <c r="P374" s="1" t="s">
        <v>9158</v>
      </c>
      <c r="Q374" s="1" t="s">
        <v>9158</v>
      </c>
    </row>
    <row r="375" spans="1:17">
      <c r="A375" s="7">
        <v>70523</v>
      </c>
      <c r="B375" s="1" t="s">
        <v>334</v>
      </c>
      <c r="C375" s="1" t="s">
        <v>307</v>
      </c>
      <c r="D375" s="20" t="s">
        <v>3191</v>
      </c>
      <c r="E375" s="15" t="str">
        <f>HYPERLINK("https://stat100.ameba.jp/tnk47/ratio20/illustrations/card/ill_70523_shitsunaipurumochizukichiyome03.jpg?202001-i_prefecture_active_user", "■")</f>
        <v>■</v>
      </c>
      <c r="F375" s="1" t="s">
        <v>8691</v>
      </c>
      <c r="G375" s="1">
        <v>94295</v>
      </c>
      <c r="H375" s="1">
        <v>101373</v>
      </c>
      <c r="I375" s="1">
        <v>25</v>
      </c>
      <c r="J375" s="1" t="s">
        <v>16</v>
      </c>
      <c r="K375" s="1" t="s">
        <v>8690</v>
      </c>
      <c r="L375" s="1" t="s">
        <v>8689</v>
      </c>
      <c r="M375" s="1" t="s">
        <v>9158</v>
      </c>
      <c r="N375" s="1" t="s">
        <v>9158</v>
      </c>
      <c r="O375" s="1" t="s">
        <v>9158</v>
      </c>
      <c r="P375" s="1" t="s">
        <v>9158</v>
      </c>
      <c r="Q375" s="1" t="s">
        <v>9158</v>
      </c>
    </row>
    <row r="376" spans="1:17">
      <c r="A376" s="7">
        <v>67393</v>
      </c>
      <c r="B376" s="7" t="s">
        <v>15</v>
      </c>
      <c r="C376" s="1" t="s">
        <v>206</v>
      </c>
      <c r="D376" s="20" t="s">
        <v>10845</v>
      </c>
      <c r="E376" s="15" t="str">
        <f>HYPERLINK("https://stat100.ameba.jp/tnk47/ratio20/illustrations/card/ill_67393_jobaamahime03.jpg?202001-i_prefecture_active_user", "■")</f>
        <v>■</v>
      </c>
      <c r="F376" s="7" t="s">
        <v>8694</v>
      </c>
      <c r="G376" s="7">
        <v>53768</v>
      </c>
      <c r="H376" s="7">
        <v>59280</v>
      </c>
      <c r="I376" s="7">
        <v>20</v>
      </c>
      <c r="J376" s="1" t="s">
        <v>77</v>
      </c>
      <c r="K376" s="7" t="s">
        <v>8693</v>
      </c>
      <c r="L376" s="7" t="s">
        <v>8692</v>
      </c>
      <c r="M376" s="1" t="s">
        <v>9158</v>
      </c>
      <c r="N376" s="1" t="s">
        <v>9158</v>
      </c>
      <c r="O376" s="1" t="s">
        <v>9158</v>
      </c>
      <c r="P376" s="1" t="s">
        <v>9158</v>
      </c>
      <c r="Q376" s="1" t="s">
        <v>9158</v>
      </c>
    </row>
    <row r="377" spans="1:17">
      <c r="A377" s="7">
        <v>61993</v>
      </c>
      <c r="B377" s="7" t="s">
        <v>15</v>
      </c>
      <c r="C377" s="1" t="s">
        <v>165</v>
      </c>
      <c r="D377" s="20" t="s">
        <v>10460</v>
      </c>
      <c r="E377" s="15" t="str">
        <f>HYPERLINK("https://stat100.ameba.jp/tnk47/ratio20/illustrations/card/ill_61993_koinoborihosekichan03.jpg?202001-i_prefecture_active_user", "■")</f>
        <v>■</v>
      </c>
      <c r="F377" s="7" t="s">
        <v>8697</v>
      </c>
      <c r="G377" s="7">
        <v>53768</v>
      </c>
      <c r="H377" s="7">
        <v>59280</v>
      </c>
      <c r="I377" s="7">
        <v>20</v>
      </c>
      <c r="J377" s="1" t="s">
        <v>369</v>
      </c>
      <c r="K377" s="7" t="s">
        <v>8696</v>
      </c>
      <c r="L377" s="7" t="s">
        <v>8695</v>
      </c>
      <c r="M377" s="1" t="s">
        <v>9158</v>
      </c>
      <c r="N377" s="1" t="s">
        <v>9158</v>
      </c>
      <c r="O377" s="1" t="s">
        <v>9158</v>
      </c>
      <c r="P377" s="1" t="s">
        <v>9158</v>
      </c>
      <c r="Q377" s="1" t="s">
        <v>9158</v>
      </c>
    </row>
    <row r="378" spans="1:17">
      <c r="A378" s="7">
        <v>72663</v>
      </c>
      <c r="B378" s="7" t="s">
        <v>15</v>
      </c>
      <c r="C378" s="1" t="s">
        <v>307</v>
      </c>
      <c r="D378" s="20" t="s">
        <v>3017</v>
      </c>
      <c r="E378" s="15" t="str">
        <f>HYPERLINK("https://stat100.ameba.jp/tnk47/ratio20/illustrations/card/ill_72663_shokanoseisomadorenuchan03.jpg?202001-i_prefecture_active_user", "■")</f>
        <v>■</v>
      </c>
      <c r="F378" s="7" t="s">
        <v>8682</v>
      </c>
      <c r="G378" s="7">
        <v>53768</v>
      </c>
      <c r="H378" s="7">
        <v>59280</v>
      </c>
      <c r="I378" s="7">
        <v>20</v>
      </c>
      <c r="J378" s="1" t="s">
        <v>104</v>
      </c>
      <c r="K378" s="7" t="s">
        <v>8681</v>
      </c>
      <c r="L378" s="7" t="s">
        <v>8680</v>
      </c>
      <c r="M378" s="1" t="s">
        <v>9158</v>
      </c>
      <c r="N378" s="1" t="s">
        <v>9158</v>
      </c>
      <c r="O378" s="1" t="s">
        <v>9158</v>
      </c>
      <c r="P378" s="1" t="s">
        <v>9158</v>
      </c>
      <c r="Q378" s="1" t="s">
        <v>9158</v>
      </c>
    </row>
    <row r="379" spans="1:17">
      <c r="E379" s="7"/>
    </row>
    <row r="380" spans="1:17">
      <c r="A380" s="7" t="s">
        <v>8699</v>
      </c>
      <c r="E380" s="7"/>
    </row>
    <row r="381" spans="1:17">
      <c r="A381" s="7" t="s">
        <v>2463</v>
      </c>
      <c r="E381" s="7"/>
    </row>
    <row r="382" spans="1:17">
      <c r="A382" s="1" t="s">
        <v>5606</v>
      </c>
      <c r="B382" s="1" t="s">
        <v>52</v>
      </c>
      <c r="C382" s="1" t="s">
        <v>206</v>
      </c>
      <c r="D382" s="20" t="s">
        <v>2936</v>
      </c>
      <c r="E382" s="15" t="str">
        <f>HYPERLINK("https://stat100.ameba.jp/tnk47/ratio20/illustrations/card/ill_72233_0_koinoboriryugujin03.jpg?201912-4-RELEASE-guildbattle-445", "■")</f>
        <v>■</v>
      </c>
      <c r="F382" s="1" t="s">
        <v>1012</v>
      </c>
      <c r="G382" s="1">
        <v>150871</v>
      </c>
      <c r="H382" s="1">
        <v>162279</v>
      </c>
      <c r="I382" s="1">
        <v>23</v>
      </c>
      <c r="J382" s="1" t="s">
        <v>44</v>
      </c>
      <c r="K382" s="1" t="s">
        <v>1013</v>
      </c>
      <c r="L382" s="1" t="s">
        <v>1014</v>
      </c>
      <c r="M382" s="1" t="s">
        <v>9158</v>
      </c>
      <c r="N382" s="1" t="s">
        <v>9158</v>
      </c>
      <c r="O382" s="19" t="s">
        <v>2940</v>
      </c>
      <c r="P382" s="1" t="s">
        <v>3420</v>
      </c>
      <c r="Q382" s="1">
        <v>2</v>
      </c>
    </row>
    <row r="383" spans="1:17">
      <c r="A383" s="1" t="s">
        <v>5611</v>
      </c>
      <c r="B383" s="1" t="s">
        <v>330</v>
      </c>
      <c r="C383" s="1" t="s">
        <v>185</v>
      </c>
      <c r="D383" s="20" t="s">
        <v>539</v>
      </c>
      <c r="E383" s="15" t="str">
        <f>HYPERLINK("https://stat100.ameba.jp/tnk47/ratio20/illustrations/card/ill_60633_0_harumaisentoin03.jpg?201912-4-RELEASE-guildbattle-445", "■")</f>
        <v>■</v>
      </c>
      <c r="F383" s="1" t="s">
        <v>540</v>
      </c>
      <c r="G383" s="1">
        <v>146235</v>
      </c>
      <c r="H383" s="1">
        <v>157306</v>
      </c>
      <c r="I383" s="1">
        <v>23</v>
      </c>
      <c r="J383" s="1" t="s">
        <v>274</v>
      </c>
      <c r="K383" s="1" t="s">
        <v>541</v>
      </c>
      <c r="L383" s="1" t="s">
        <v>542</v>
      </c>
      <c r="M383" s="1" t="s">
        <v>9158</v>
      </c>
      <c r="N383" s="1" t="s">
        <v>9158</v>
      </c>
      <c r="O383" s="19" t="s">
        <v>2888</v>
      </c>
      <c r="P383" s="1" t="s">
        <v>3144</v>
      </c>
      <c r="Q383" s="1">
        <v>1</v>
      </c>
    </row>
    <row r="384" spans="1:17">
      <c r="A384" s="1" t="s">
        <v>5608</v>
      </c>
      <c r="B384" s="1" t="s">
        <v>52</v>
      </c>
      <c r="C384" s="1" t="s">
        <v>96</v>
      </c>
      <c r="D384" s="20" t="s">
        <v>634</v>
      </c>
      <c r="E384" s="15" t="str">
        <f>HYPERLINK("https://stat100.ameba.jp/tnk47/ratio20/illustrations/card/ill_40963_0_makami03.jpg?201912-4-RELEASE-guildbattle-445", "■")</f>
        <v>■</v>
      </c>
      <c r="F384" s="1" t="s">
        <v>2038</v>
      </c>
      <c r="G384" s="1">
        <v>134596</v>
      </c>
      <c r="H384" s="1">
        <v>126058</v>
      </c>
      <c r="I384" s="1">
        <v>23</v>
      </c>
      <c r="J384" s="1" t="s">
        <v>44</v>
      </c>
      <c r="K384" s="1" t="s">
        <v>2039</v>
      </c>
      <c r="L384" s="1" t="s">
        <v>2040</v>
      </c>
      <c r="M384" s="1" t="s">
        <v>9158</v>
      </c>
      <c r="N384" s="1" t="s">
        <v>9158</v>
      </c>
      <c r="O384" s="1" t="s">
        <v>9158</v>
      </c>
      <c r="P384" s="1" t="s">
        <v>9158</v>
      </c>
      <c r="Q384" s="1" t="s">
        <v>9158</v>
      </c>
    </row>
    <row r="385" spans="1:17">
      <c r="A385" s="7">
        <v>85783</v>
      </c>
      <c r="B385" s="7" t="s">
        <v>0</v>
      </c>
      <c r="C385" s="7" t="s">
        <v>205</v>
      </c>
      <c r="D385" s="20" t="s">
        <v>10850</v>
      </c>
      <c r="E385" s="15" t="str">
        <f>HYPERLINK("https://stat100.ameba.jp/tnk47/ratio20/illustrations/card/ill_85783_fuyukominarutokintoki03.jpg?201912-4-RELEASE-guildbattle-445", "■")</f>
        <v>■</v>
      </c>
      <c r="F385" s="7" t="s">
        <v>8635</v>
      </c>
      <c r="G385" s="7">
        <v>118063</v>
      </c>
      <c r="H385" s="7">
        <v>109786</v>
      </c>
      <c r="I385" s="7">
        <v>25</v>
      </c>
      <c r="J385" s="1" t="s">
        <v>104</v>
      </c>
      <c r="K385" s="7" t="s">
        <v>8634</v>
      </c>
      <c r="L385" s="7" t="s">
        <v>3489</v>
      </c>
      <c r="M385" s="1" t="s">
        <v>9158</v>
      </c>
      <c r="N385" s="1" t="s">
        <v>9158</v>
      </c>
      <c r="O385" s="1" t="s">
        <v>9158</v>
      </c>
      <c r="P385" s="1" t="s">
        <v>9158</v>
      </c>
      <c r="Q385" s="1" t="s">
        <v>9158</v>
      </c>
    </row>
    <row r="386" spans="1:17">
      <c r="A386" s="7">
        <v>83363</v>
      </c>
      <c r="B386" s="7" t="s">
        <v>15</v>
      </c>
      <c r="C386" s="7" t="s">
        <v>206</v>
      </c>
      <c r="D386" s="20" t="s">
        <v>10852</v>
      </c>
      <c r="E386" s="15" t="str">
        <f>HYPERLINK("https://stat100.ameba.jp/tnk47/ratio20/illustrations/card/ill_83363_intonwadatsumi03.jpg?201912-4-RELEASE-guildbattle-445", "■")</f>
        <v>■</v>
      </c>
      <c r="F386" s="7" t="s">
        <v>8629</v>
      </c>
      <c r="G386" s="7">
        <v>74100</v>
      </c>
      <c r="H386" s="7">
        <v>67210</v>
      </c>
      <c r="I386" s="7">
        <v>25</v>
      </c>
      <c r="J386" s="1" t="s">
        <v>169</v>
      </c>
      <c r="K386" s="7" t="s">
        <v>3340</v>
      </c>
      <c r="L386" s="7" t="s">
        <v>3271</v>
      </c>
      <c r="M386" s="1" t="s">
        <v>9158</v>
      </c>
      <c r="N386" s="1" t="s">
        <v>9158</v>
      </c>
      <c r="O386" s="1" t="s">
        <v>9158</v>
      </c>
      <c r="P386" s="1" t="s">
        <v>9158</v>
      </c>
      <c r="Q386" s="1" t="s">
        <v>9158</v>
      </c>
    </row>
    <row r="387" spans="1:17">
      <c r="A387" s="7">
        <v>80933</v>
      </c>
      <c r="B387" s="7" t="s">
        <v>22</v>
      </c>
      <c r="C387" s="7" t="s">
        <v>185</v>
      </c>
      <c r="D387" s="20" t="s">
        <v>10853</v>
      </c>
      <c r="E387" s="15" t="str">
        <f>HYPERLINK("https://stat100.ameba.jp/tnk47/ratio20/illustrations/card/ill_80933_porisukokeshichan03.jpg?201912-4-RELEASE-guildbattle-445", "■")</f>
        <v>■</v>
      </c>
      <c r="F387" s="7" t="s">
        <v>8626</v>
      </c>
      <c r="G387" s="7">
        <v>43220</v>
      </c>
      <c r="H387" s="7">
        <v>51980</v>
      </c>
      <c r="I387" s="7">
        <v>25</v>
      </c>
      <c r="J387" s="1" t="s">
        <v>26</v>
      </c>
      <c r="K387" s="7" t="s">
        <v>8625</v>
      </c>
      <c r="L387" s="7" t="s">
        <v>28</v>
      </c>
      <c r="M387" s="1" t="s">
        <v>9158</v>
      </c>
      <c r="N387" s="1" t="s">
        <v>9158</v>
      </c>
      <c r="O387" s="1" t="s">
        <v>9158</v>
      </c>
      <c r="P387" s="1" t="s">
        <v>9158</v>
      </c>
      <c r="Q387" s="1" t="s">
        <v>9158</v>
      </c>
    </row>
    <row r="388" spans="1:17">
      <c r="A388" s="7">
        <v>85823</v>
      </c>
      <c r="B388" s="7" t="s">
        <v>30</v>
      </c>
      <c r="C388" s="7" t="s">
        <v>1712</v>
      </c>
      <c r="D388" s="20" t="s">
        <v>10854</v>
      </c>
      <c r="E388" s="15" t="str">
        <f>HYPERLINK("https://stat100.ameba.jp/tnk47/ratio20/illustrations/card/ill_85823_amekomitamahime03.jpg?201912-4-RELEASE-guildbattle-445", "■")</f>
        <v>■</v>
      </c>
      <c r="F388" s="7" t="s">
        <v>8623</v>
      </c>
      <c r="G388" s="7">
        <v>31470</v>
      </c>
      <c r="H388" s="7">
        <v>26430</v>
      </c>
      <c r="I388" s="7">
        <v>25</v>
      </c>
      <c r="J388" s="1" t="s">
        <v>77</v>
      </c>
      <c r="K388" s="7" t="s">
        <v>8622</v>
      </c>
      <c r="L388" s="7" t="s">
        <v>3843</v>
      </c>
      <c r="M388" s="1" t="s">
        <v>9158</v>
      </c>
      <c r="N388" s="1" t="s">
        <v>9158</v>
      </c>
      <c r="O388" s="1" t="s">
        <v>9158</v>
      </c>
      <c r="P388" s="1" t="s">
        <v>9158</v>
      </c>
      <c r="Q388" s="1" t="s">
        <v>9158</v>
      </c>
    </row>
    <row r="389" spans="1:17">
      <c r="E389" s="7"/>
    </row>
    <row r="390" spans="1:17">
      <c r="A390" s="7" t="s">
        <v>8700</v>
      </c>
      <c r="E390" s="7"/>
    </row>
    <row r="391" spans="1:17">
      <c r="A391" s="7" t="s">
        <v>8701</v>
      </c>
      <c r="E391" s="7"/>
    </row>
    <row r="392" spans="1:17">
      <c r="A392" s="1" t="s">
        <v>5601</v>
      </c>
      <c r="B392" s="1" t="s">
        <v>330</v>
      </c>
      <c r="C392" s="1" t="s">
        <v>35</v>
      </c>
      <c r="D392" s="20" t="s">
        <v>10318</v>
      </c>
      <c r="E392" s="15" t="str">
        <f>HYPERLINK("https://stat100.ameba.jp/tnk47/ratio20/illustrations/card/ill_82423_0_bikinigarukishi03.jpg?201912-4-RELEASE-guildbattle-445", "■")</f>
        <v>■</v>
      </c>
      <c r="F392" s="1" t="s">
        <v>5391</v>
      </c>
      <c r="G392" s="1">
        <v>290598</v>
      </c>
      <c r="H392" s="1">
        <v>262648</v>
      </c>
      <c r="I392" s="1">
        <v>24</v>
      </c>
      <c r="J392" s="1" t="s">
        <v>77</v>
      </c>
      <c r="K392" s="1" t="s">
        <v>5392</v>
      </c>
      <c r="L392" s="1" t="s">
        <v>5393</v>
      </c>
      <c r="M392" s="1" t="s">
        <v>9158</v>
      </c>
      <c r="N392" s="1" t="s">
        <v>9158</v>
      </c>
      <c r="O392" s="19" t="s">
        <v>10069</v>
      </c>
      <c r="P392" s="1" t="s">
        <v>5394</v>
      </c>
      <c r="Q392" s="1">
        <v>1</v>
      </c>
    </row>
    <row r="393" spans="1:17">
      <c r="A393" s="1">
        <v>81903</v>
      </c>
      <c r="B393" s="1" t="s">
        <v>334</v>
      </c>
      <c r="C393" s="1" t="s">
        <v>47</v>
      </c>
      <c r="D393" s="20" t="s">
        <v>10200</v>
      </c>
      <c r="E393" s="15" t="str">
        <f>HYPERLINK("https://stat100.ameba.jp/tnk47/ratio20/illustrations/card/ill_81903_kiryuhimeiren03.jpg?201912-4-RELEASE-guildbattle-445", "■")</f>
        <v>■</v>
      </c>
      <c r="F393" s="1" t="s">
        <v>4983</v>
      </c>
      <c r="G393" s="1">
        <v>79348</v>
      </c>
      <c r="H393" s="1">
        <v>109554</v>
      </c>
      <c r="I393" s="1">
        <v>24</v>
      </c>
      <c r="J393" s="1" t="s">
        <v>77</v>
      </c>
      <c r="K393" s="1" t="s">
        <v>4985</v>
      </c>
      <c r="L393" s="1" t="s">
        <v>4986</v>
      </c>
      <c r="M393" s="1" t="s">
        <v>9158</v>
      </c>
      <c r="N393" s="1" t="s">
        <v>9158</v>
      </c>
      <c r="O393" s="19" t="s">
        <v>10112</v>
      </c>
      <c r="P393" s="1" t="s">
        <v>13150</v>
      </c>
      <c r="Q393" s="1">
        <v>1</v>
      </c>
    </row>
    <row r="394" spans="1:17">
      <c r="A394" s="1">
        <v>80163</v>
      </c>
      <c r="B394" s="1" t="s">
        <v>334</v>
      </c>
      <c r="C394" s="1" t="s">
        <v>158</v>
      </c>
      <c r="D394" s="20" t="s">
        <v>10391</v>
      </c>
      <c r="E394" s="15" t="str">
        <f>HYPERLINK("https://stat100.ameba.jp/tnk47/ratio20/illustrations/card/ill_80163_kuronosu03.jpg?201912-4-RELEASE-guildbattle-445", "■")</f>
        <v>■</v>
      </c>
      <c r="F394" s="1" t="s">
        <v>3766</v>
      </c>
      <c r="G394" s="1">
        <v>79348</v>
      </c>
      <c r="H394" s="1">
        <v>109554</v>
      </c>
      <c r="I394" s="1">
        <v>24</v>
      </c>
      <c r="J394" s="1" t="s">
        <v>44</v>
      </c>
      <c r="K394" s="1" t="s">
        <v>3767</v>
      </c>
      <c r="L394" s="1" t="s">
        <v>1209</v>
      </c>
      <c r="M394" s="1" t="s">
        <v>9158</v>
      </c>
      <c r="N394" s="1" t="s">
        <v>9158</v>
      </c>
      <c r="O394" s="19" t="s">
        <v>2752</v>
      </c>
      <c r="P394" s="1" t="s">
        <v>13123</v>
      </c>
      <c r="Q394" s="1">
        <v>1</v>
      </c>
    </row>
    <row r="395" spans="1:17">
      <c r="A395" s="1">
        <v>75083</v>
      </c>
      <c r="B395" s="1" t="s">
        <v>334</v>
      </c>
      <c r="C395" s="1" t="s">
        <v>209</v>
      </c>
      <c r="D395" s="20" t="s">
        <v>10401</v>
      </c>
      <c r="E395" s="15" t="str">
        <f>HYPERLINK("https://stat100.ameba.jp/tnk47/ratio20/illustrations/card/ill_75083_sukumizuhanakosan03.jpg?201912-4-RELEASE-guildbattle-445", "■")</f>
        <v>■</v>
      </c>
      <c r="F395" s="1" t="s">
        <v>1020</v>
      </c>
      <c r="G395" s="1">
        <v>111914</v>
      </c>
      <c r="H395" s="1">
        <v>81078</v>
      </c>
      <c r="I395" s="1">
        <v>24</v>
      </c>
      <c r="J395" s="1" t="s">
        <v>73</v>
      </c>
      <c r="K395" s="1" t="s">
        <v>1021</v>
      </c>
      <c r="L395" s="1" t="s">
        <v>1022</v>
      </c>
      <c r="M395" s="1" t="s">
        <v>9158</v>
      </c>
      <c r="N395" s="1" t="s">
        <v>9158</v>
      </c>
      <c r="O395" s="19" t="s">
        <v>10105</v>
      </c>
      <c r="P395" s="1" t="s">
        <v>3416</v>
      </c>
      <c r="Q395" s="1">
        <v>1</v>
      </c>
    </row>
    <row r="396" spans="1:17">
      <c r="E396" s="7"/>
    </row>
    <row r="397" spans="1:17">
      <c r="A397" s="7" t="s">
        <v>8702</v>
      </c>
      <c r="E397" s="7"/>
    </row>
    <row r="398" spans="1:17">
      <c r="A398" s="7" t="s">
        <v>8703</v>
      </c>
      <c r="E398" s="7"/>
    </row>
    <row r="399" spans="1:17">
      <c r="A399" s="1" t="s">
        <v>5822</v>
      </c>
      <c r="B399" s="1" t="s">
        <v>330</v>
      </c>
      <c r="C399" s="1" t="s">
        <v>307</v>
      </c>
      <c r="D399" s="20" t="s">
        <v>306</v>
      </c>
      <c r="E399" s="15" t="str">
        <f>HYPERLINK("https://stat100.ameba.jp/tnk47/ratio20/illustrations/card/ill_71403_0_ohanamisanadayukimura03.jpg?201912-4-RELEASE-guildbattle-445", "■")</f>
        <v>■</v>
      </c>
      <c r="F399" s="1" t="s">
        <v>309</v>
      </c>
      <c r="G399" s="1">
        <v>205358</v>
      </c>
      <c r="H399" s="1">
        <v>190952</v>
      </c>
      <c r="I399" s="1">
        <v>22</v>
      </c>
      <c r="J399" s="1" t="s">
        <v>310</v>
      </c>
      <c r="K399" s="1" t="s">
        <v>311</v>
      </c>
      <c r="L399" s="1" t="s">
        <v>312</v>
      </c>
      <c r="M399" s="1" t="s">
        <v>9158</v>
      </c>
      <c r="N399" s="1" t="s">
        <v>9158</v>
      </c>
      <c r="O399" s="19" t="s">
        <v>10104</v>
      </c>
      <c r="P399" s="1" t="s">
        <v>3418</v>
      </c>
      <c r="Q399" s="1">
        <v>2</v>
      </c>
    </row>
    <row r="400" spans="1:17">
      <c r="A400" s="1">
        <v>77903</v>
      </c>
      <c r="B400" s="1" t="s">
        <v>0</v>
      </c>
      <c r="C400" s="1" t="s">
        <v>185</v>
      </c>
      <c r="D400" s="20" t="s">
        <v>10405</v>
      </c>
      <c r="E400" s="15" t="str">
        <f>HYPERLINK("https://stat100.ameba.jp/tnk47/ratio20/illustrations/card/ill_77903_kurisumasudaisakusendongurikorokoro03.jpg?201912-4-RELEASE-guildbattle-445", "■")</f>
        <v>■</v>
      </c>
      <c r="F400" s="1" t="s">
        <v>2131</v>
      </c>
      <c r="G400" s="1">
        <v>114092</v>
      </c>
      <c r="H400" s="1">
        <v>105890</v>
      </c>
      <c r="I400" s="7">
        <v>25</v>
      </c>
      <c r="J400" s="1" t="s">
        <v>38</v>
      </c>
      <c r="K400" s="1" t="s">
        <v>2132</v>
      </c>
      <c r="L400" s="1" t="s">
        <v>2133</v>
      </c>
      <c r="M400" s="1" t="s">
        <v>9158</v>
      </c>
      <c r="N400" s="1" t="s">
        <v>9158</v>
      </c>
      <c r="O400" s="19" t="s">
        <v>10090</v>
      </c>
      <c r="P400" s="1" t="s">
        <v>3460</v>
      </c>
      <c r="Q400" s="1">
        <v>1</v>
      </c>
    </row>
    <row r="401" spans="1:18">
      <c r="A401" s="1">
        <v>81143</v>
      </c>
      <c r="B401" s="1" t="s">
        <v>334</v>
      </c>
      <c r="C401" s="1" t="s">
        <v>205</v>
      </c>
      <c r="D401" s="20" t="s">
        <v>10419</v>
      </c>
      <c r="E401" s="15" t="str">
        <f>HYPERLINK("https://stat100.ameba.jp/tnk47/ratio20/illustrations/card/ill_81143_shinryokunokisetsumerompan03.jpg?201912-4-RELEASE-guildbattle-445", "■")</f>
        <v>■</v>
      </c>
      <c r="F401" s="1" t="s">
        <v>4517</v>
      </c>
      <c r="G401" s="1">
        <v>118063</v>
      </c>
      <c r="H401" s="1">
        <v>109786</v>
      </c>
      <c r="I401" s="7">
        <v>25</v>
      </c>
      <c r="J401" s="1" t="s">
        <v>104</v>
      </c>
      <c r="K401" s="1" t="s">
        <v>4518</v>
      </c>
      <c r="L401" s="1" t="s">
        <v>3489</v>
      </c>
      <c r="M401" s="1" t="s">
        <v>9158</v>
      </c>
      <c r="N401" s="1" t="s">
        <v>9158</v>
      </c>
      <c r="O401" s="19" t="s">
        <v>10111</v>
      </c>
      <c r="P401" s="1" t="s">
        <v>3610</v>
      </c>
      <c r="Q401" s="1">
        <v>1</v>
      </c>
    </row>
    <row r="402" spans="1:18">
      <c r="A402" s="1">
        <v>75333</v>
      </c>
      <c r="B402" s="1" t="s">
        <v>334</v>
      </c>
      <c r="C402" s="1" t="s">
        <v>200</v>
      </c>
      <c r="D402" s="20" t="s">
        <v>3206</v>
      </c>
      <c r="E402" s="15" t="str">
        <f>HYPERLINK("https://stat100.ameba.jp/tnk47/ratio20/illustrations/card/ill_75333_resukuintamamonomae03.jpg?201912-4-RELEASE-guildbattle-445", "■")</f>
        <v>■</v>
      </c>
      <c r="F402" s="1" t="s">
        <v>3207</v>
      </c>
      <c r="G402" s="1">
        <v>96871</v>
      </c>
      <c r="H402" s="1">
        <v>104162</v>
      </c>
      <c r="I402" s="7">
        <v>25</v>
      </c>
      <c r="J402" s="1" t="s">
        <v>320</v>
      </c>
      <c r="K402" s="1" t="s">
        <v>3208</v>
      </c>
      <c r="L402" s="1" t="s">
        <v>3209</v>
      </c>
      <c r="M402" s="1" t="s">
        <v>9158</v>
      </c>
      <c r="N402" s="1" t="s">
        <v>9158</v>
      </c>
      <c r="O402" s="19" t="s">
        <v>10074</v>
      </c>
      <c r="P402" s="1" t="s">
        <v>2822</v>
      </c>
      <c r="Q402" s="1">
        <v>1</v>
      </c>
    </row>
    <row r="403" spans="1:18">
      <c r="E403" s="7"/>
    </row>
    <row r="404" spans="1:18">
      <c r="A404" s="7" t="s">
        <v>8704</v>
      </c>
      <c r="E404" s="7"/>
    </row>
    <row r="405" spans="1:18">
      <c r="A405" s="7" t="s">
        <v>2510</v>
      </c>
      <c r="E405" s="7"/>
    </row>
    <row r="406" spans="1:18">
      <c r="A406" s="1" t="s">
        <v>6195</v>
      </c>
      <c r="B406" s="1" t="s">
        <v>52</v>
      </c>
      <c r="C406" s="1" t="s">
        <v>191</v>
      </c>
      <c r="D406" s="20" t="s">
        <v>10217</v>
      </c>
      <c r="E406" s="15" t="str">
        <f>HYPERLINK("https://stat100.ameba.jp/tnk47/ratio20/illustrations/card/ill_56493_0_poppukurisumasuikomakitsuno03.jpg?201912-4-RELEASE-guildbattle-445", "■")</f>
        <v>■</v>
      </c>
      <c r="F406" s="1" t="s">
        <v>1769</v>
      </c>
      <c r="G406" s="1">
        <v>144494</v>
      </c>
      <c r="H406" s="1">
        <v>128358</v>
      </c>
      <c r="I406" s="1">
        <v>23</v>
      </c>
      <c r="J406" s="1" t="s">
        <v>77</v>
      </c>
      <c r="K406" s="1" t="s">
        <v>1770</v>
      </c>
      <c r="L406" s="1" t="s">
        <v>1771</v>
      </c>
      <c r="M406" s="1" t="s">
        <v>9158</v>
      </c>
      <c r="N406" s="1" t="s">
        <v>9158</v>
      </c>
      <c r="O406" s="19" t="s">
        <v>10120</v>
      </c>
      <c r="P406" s="1" t="s">
        <v>2724</v>
      </c>
      <c r="Q406" s="1">
        <v>1</v>
      </c>
    </row>
    <row r="407" spans="1:18">
      <c r="A407" s="1" t="s">
        <v>5899</v>
      </c>
      <c r="B407" s="1" t="s">
        <v>330</v>
      </c>
      <c r="C407" s="1" t="s">
        <v>205</v>
      </c>
      <c r="D407" s="20" t="s">
        <v>1559</v>
      </c>
      <c r="E407" s="15" t="str">
        <f>HYPERLINK("https://stat100.ameba.jp/tnk47/ratio20/illustrations/card/ill_73773_0_umibirakiinugamigyobu03.jpg?201912-4-RELEASE-guildbattle-445", "■")</f>
        <v>■</v>
      </c>
      <c r="F407" s="1" t="s">
        <v>935</v>
      </c>
      <c r="G407" s="1">
        <v>199580</v>
      </c>
      <c r="H407" s="1">
        <v>214667</v>
      </c>
      <c r="I407" s="1">
        <v>23</v>
      </c>
      <c r="J407" s="1" t="s">
        <v>182</v>
      </c>
      <c r="K407" s="1" t="s">
        <v>936</v>
      </c>
      <c r="L407" s="1" t="s">
        <v>13147</v>
      </c>
      <c r="M407" s="1" t="s">
        <v>9158</v>
      </c>
      <c r="N407" s="1" t="s">
        <v>9158</v>
      </c>
      <c r="O407" s="19" t="s">
        <v>2978</v>
      </c>
      <c r="P407" s="1" t="s">
        <v>2979</v>
      </c>
      <c r="Q407" s="1">
        <v>2</v>
      </c>
    </row>
    <row r="408" spans="1:18">
      <c r="A408" s="1" t="s">
        <v>5622</v>
      </c>
      <c r="B408" s="1" t="s">
        <v>330</v>
      </c>
      <c r="C408" s="1" t="s">
        <v>335</v>
      </c>
      <c r="D408" s="20" t="s">
        <v>509</v>
      </c>
      <c r="E408" s="15" t="str">
        <f>HYPERLINK("https://stat100.ameba.jp/tnk47/ratio20/illustrations/card/ill_49953_0_yushamarihime03.jpg?201912-4-RELEASE-guildbattle-445", "■")</f>
        <v>■</v>
      </c>
      <c r="F408" s="1" t="s">
        <v>510</v>
      </c>
      <c r="G408" s="1">
        <v>144494</v>
      </c>
      <c r="H408" s="1">
        <v>128358</v>
      </c>
      <c r="I408" s="1">
        <v>23</v>
      </c>
      <c r="J408" s="1" t="s">
        <v>315</v>
      </c>
      <c r="K408" s="1" t="s">
        <v>511</v>
      </c>
      <c r="L408" s="1" t="s">
        <v>512</v>
      </c>
      <c r="M408" s="1" t="s">
        <v>9158</v>
      </c>
      <c r="N408" s="1" t="s">
        <v>9158</v>
      </c>
      <c r="O408" s="1" t="s">
        <v>9158</v>
      </c>
      <c r="P408" s="1" t="s">
        <v>9158</v>
      </c>
      <c r="Q408" s="1" t="s">
        <v>9158</v>
      </c>
    </row>
    <row r="409" spans="1:18">
      <c r="A409" s="7">
        <v>85793</v>
      </c>
      <c r="B409" s="7" t="s">
        <v>0</v>
      </c>
      <c r="C409" s="7" t="s">
        <v>200</v>
      </c>
      <c r="D409" s="20" t="s">
        <v>10851</v>
      </c>
      <c r="E409" s="15" t="str">
        <f>HYPERLINK("https://stat100.ameba.jp/tnk47/ratio20/illustrations/card/ill_85793_monsutaashikagatakauji03.jpg?201912-4-RELEASE-guildbattle-445", "■")</f>
        <v>■</v>
      </c>
      <c r="F409" s="7" t="s">
        <v>8632</v>
      </c>
      <c r="G409" s="7">
        <v>138186</v>
      </c>
      <c r="H409" s="7">
        <v>148619</v>
      </c>
      <c r="I409" s="7">
        <v>25</v>
      </c>
      <c r="J409" s="1" t="s">
        <v>310</v>
      </c>
      <c r="K409" s="7" t="s">
        <v>8631</v>
      </c>
      <c r="L409" s="7" t="s">
        <v>5541</v>
      </c>
      <c r="M409" s="1" t="s">
        <v>9158</v>
      </c>
      <c r="N409" s="1" t="s">
        <v>9158</v>
      </c>
      <c r="O409" s="1" t="s">
        <v>9158</v>
      </c>
      <c r="P409" s="1" t="s">
        <v>9158</v>
      </c>
      <c r="Q409" s="1" t="s">
        <v>9158</v>
      </c>
    </row>
    <row r="410" spans="1:18">
      <c r="A410" s="7">
        <v>83363</v>
      </c>
      <c r="B410" s="7" t="s">
        <v>15</v>
      </c>
      <c r="C410" s="7" t="s">
        <v>206</v>
      </c>
      <c r="D410" s="20" t="s">
        <v>10852</v>
      </c>
      <c r="E410" s="15" t="str">
        <f>HYPERLINK("https://stat100.ameba.jp/tnk47/ratio20/illustrations/card/ill_83363_intonwadatsumi03.jpg?201912-4-RELEASE-guildbattle-445", "■")</f>
        <v>■</v>
      </c>
      <c r="F410" s="7" t="s">
        <v>8629</v>
      </c>
      <c r="G410" s="7">
        <v>74100</v>
      </c>
      <c r="H410" s="7">
        <v>67210</v>
      </c>
      <c r="I410" s="7">
        <v>25</v>
      </c>
      <c r="J410" s="1" t="s">
        <v>169</v>
      </c>
      <c r="K410" s="7" t="s">
        <v>3340</v>
      </c>
      <c r="L410" s="7" t="s">
        <v>3271</v>
      </c>
      <c r="M410" s="1" t="s">
        <v>9158</v>
      </c>
      <c r="N410" s="1" t="s">
        <v>9158</v>
      </c>
      <c r="O410" s="1" t="s">
        <v>9158</v>
      </c>
      <c r="P410" s="1" t="s">
        <v>9158</v>
      </c>
      <c r="Q410" s="1" t="s">
        <v>9158</v>
      </c>
    </row>
    <row r="411" spans="1:18">
      <c r="A411" s="7">
        <v>80933</v>
      </c>
      <c r="B411" s="7" t="s">
        <v>22</v>
      </c>
      <c r="C411" s="7" t="s">
        <v>185</v>
      </c>
      <c r="D411" s="20" t="s">
        <v>10853</v>
      </c>
      <c r="E411" s="15" t="str">
        <f>HYPERLINK("https://stat100.ameba.jp/tnk47/ratio20/illustrations/card/ill_80933_porisukokeshichan03.jpg?201912-4-RELEASE-guildbattle-445", "■")</f>
        <v>■</v>
      </c>
      <c r="F411" s="7" t="s">
        <v>8626</v>
      </c>
      <c r="G411" s="7">
        <v>43220</v>
      </c>
      <c r="H411" s="7">
        <v>51980</v>
      </c>
      <c r="I411" s="7">
        <v>25</v>
      </c>
      <c r="J411" s="1" t="s">
        <v>26</v>
      </c>
      <c r="K411" s="7" t="s">
        <v>8625</v>
      </c>
      <c r="L411" s="7" t="s">
        <v>28</v>
      </c>
      <c r="M411" s="1" t="s">
        <v>9158</v>
      </c>
      <c r="N411" s="1" t="s">
        <v>9158</v>
      </c>
      <c r="O411" s="1" t="s">
        <v>9158</v>
      </c>
      <c r="P411" s="1" t="s">
        <v>9158</v>
      </c>
      <c r="Q411" s="1" t="s">
        <v>9158</v>
      </c>
    </row>
    <row r="412" spans="1:18">
      <c r="A412" s="7">
        <v>85823</v>
      </c>
      <c r="B412" s="7" t="s">
        <v>30</v>
      </c>
      <c r="C412" s="7" t="s">
        <v>1712</v>
      </c>
      <c r="D412" s="20" t="s">
        <v>10854</v>
      </c>
      <c r="E412" s="15" t="str">
        <f>HYPERLINK("https://stat100.ameba.jp/tnk47/ratio20/illustrations/card/ill_85823_amekomitamahime03.jpg?201912-4-RELEASE-guildbattle-445", "■")</f>
        <v>■</v>
      </c>
      <c r="F412" s="7" t="s">
        <v>8623</v>
      </c>
      <c r="G412" s="7">
        <v>31470</v>
      </c>
      <c r="H412" s="7">
        <v>26430</v>
      </c>
      <c r="I412" s="7">
        <v>25</v>
      </c>
      <c r="J412" s="1" t="s">
        <v>77</v>
      </c>
      <c r="K412" s="7" t="s">
        <v>8622</v>
      </c>
      <c r="L412" s="7" t="s">
        <v>3843</v>
      </c>
      <c r="M412" s="1" t="s">
        <v>9158</v>
      </c>
      <c r="N412" s="1" t="s">
        <v>9158</v>
      </c>
      <c r="O412" s="1" t="s">
        <v>9158</v>
      </c>
      <c r="P412" s="1" t="s">
        <v>9158</v>
      </c>
      <c r="Q412" s="1" t="s">
        <v>9158</v>
      </c>
    </row>
    <row r="413" spans="1:18">
      <c r="E413" s="7"/>
    </row>
    <row r="414" spans="1:18">
      <c r="A414" s="1" t="s">
        <v>13327</v>
      </c>
      <c r="B414" s="1"/>
      <c r="C414" s="1"/>
      <c r="D414" s="1"/>
      <c r="F414" s="1"/>
      <c r="G414" s="1"/>
      <c r="H414" s="1"/>
      <c r="I414" s="1"/>
      <c r="J414" s="1"/>
      <c r="K414" s="1"/>
      <c r="L414" s="1"/>
      <c r="M414" s="1"/>
      <c r="N414" s="1"/>
      <c r="O414" s="1"/>
      <c r="P414" s="1"/>
      <c r="Q414" s="1"/>
      <c r="R414" s="1"/>
    </row>
    <row r="415" spans="1:18">
      <c r="A415" s="1" t="s">
        <v>8705</v>
      </c>
      <c r="B415" s="1"/>
      <c r="C415" s="1"/>
      <c r="D415" s="1"/>
      <c r="F415" s="1"/>
      <c r="G415" s="1"/>
      <c r="H415" s="1"/>
      <c r="I415" s="1"/>
      <c r="J415" s="1"/>
      <c r="K415" s="1"/>
      <c r="L415" s="1"/>
      <c r="M415" s="1"/>
      <c r="N415" s="1"/>
      <c r="O415" s="1"/>
      <c r="P415" s="1"/>
      <c r="Q415" s="1"/>
      <c r="R415" s="1"/>
    </row>
    <row r="416" spans="1:18">
      <c r="A416" s="1">
        <v>75113</v>
      </c>
      <c r="B416" s="1" t="s">
        <v>334</v>
      </c>
      <c r="C416" s="1" t="s">
        <v>335</v>
      </c>
      <c r="D416" s="20" t="s">
        <v>448</v>
      </c>
      <c r="E416" s="15" t="str">
        <f>HYPERLINK("https://stat100.ameba.jp/tnk47/ratio20/illustrations/card/ill_75113_hatahata03.jpg?201912-4-RELEASE-guildbattle-445", "■")</f>
        <v>■</v>
      </c>
      <c r="F416" s="1" t="s">
        <v>449</v>
      </c>
      <c r="G416" s="1">
        <v>123076</v>
      </c>
      <c r="H416" s="1">
        <v>114429</v>
      </c>
      <c r="I416" s="7">
        <v>25</v>
      </c>
      <c r="J416" s="1" t="s">
        <v>283</v>
      </c>
      <c r="K416" s="1" t="s">
        <v>450</v>
      </c>
      <c r="L416" s="1" t="s">
        <v>13129</v>
      </c>
      <c r="M416" s="1" t="s">
        <v>13130</v>
      </c>
      <c r="N416" s="1" t="s">
        <v>343</v>
      </c>
      <c r="O416" s="1" t="s">
        <v>9158</v>
      </c>
      <c r="P416" s="1" t="s">
        <v>9158</v>
      </c>
      <c r="Q416" s="1" t="s">
        <v>9158</v>
      </c>
      <c r="R416" s="14" t="s">
        <v>14748</v>
      </c>
    </row>
    <row r="417" spans="1:18">
      <c r="A417" s="1">
        <v>75112</v>
      </c>
      <c r="B417" s="1" t="s">
        <v>334</v>
      </c>
      <c r="C417" s="1" t="s">
        <v>335</v>
      </c>
      <c r="D417" s="20" t="s">
        <v>448</v>
      </c>
      <c r="E417" s="15" t="str">
        <f>HYPERLINK("https://stat100.ameba.jp/tnk47/ratio20/illustrations/card/ill_75112_hatahata02.jpg?201912-4-RELEASE-guildbattle-445", "■")</f>
        <v>■</v>
      </c>
      <c r="F417" s="1" t="s">
        <v>449</v>
      </c>
      <c r="G417" s="1">
        <v>102885</v>
      </c>
      <c r="H417" s="1">
        <v>94774</v>
      </c>
      <c r="I417" s="7">
        <v>25</v>
      </c>
      <c r="J417" s="1" t="s">
        <v>283</v>
      </c>
      <c r="K417" s="1" t="s">
        <v>450</v>
      </c>
      <c r="L417" s="1" t="s">
        <v>13129</v>
      </c>
      <c r="M417" s="1" t="s">
        <v>13131</v>
      </c>
      <c r="N417" s="1" t="s">
        <v>251</v>
      </c>
      <c r="O417" s="1" t="s">
        <v>9158</v>
      </c>
      <c r="P417" s="1" t="s">
        <v>9158</v>
      </c>
      <c r="Q417" s="1" t="s">
        <v>9158</v>
      </c>
      <c r="R417" s="14" t="s">
        <v>14748</v>
      </c>
    </row>
    <row r="418" spans="1:18">
      <c r="A418" s="1">
        <v>75111</v>
      </c>
      <c r="B418" s="1" t="s">
        <v>334</v>
      </c>
      <c r="C418" s="1" t="s">
        <v>335</v>
      </c>
      <c r="D418" s="20" t="s">
        <v>448</v>
      </c>
      <c r="E418" s="15" t="str">
        <f>HYPERLINK("https://stat100.ameba.jp/tnk47/ratio20/illustrations/card/ill_75111_hatahata01.jpg?201912-4-RELEASE-guildbattle-445", "■")</f>
        <v>■</v>
      </c>
      <c r="F418" s="1" t="s">
        <v>449</v>
      </c>
      <c r="G418" s="1">
        <v>78550</v>
      </c>
      <c r="H418" s="1">
        <v>73125</v>
      </c>
      <c r="I418" s="7">
        <v>25</v>
      </c>
      <c r="J418" s="1" t="s">
        <v>283</v>
      </c>
      <c r="K418" s="1" t="s">
        <v>450</v>
      </c>
      <c r="L418" s="1" t="s">
        <v>13129</v>
      </c>
      <c r="M418" s="1" t="s">
        <v>13131</v>
      </c>
      <c r="N418" s="1" t="s">
        <v>251</v>
      </c>
      <c r="O418" s="1" t="s">
        <v>9158</v>
      </c>
      <c r="P418" s="1" t="s">
        <v>9158</v>
      </c>
      <c r="Q418" s="1" t="s">
        <v>9158</v>
      </c>
      <c r="R418" s="14" t="s">
        <v>14748</v>
      </c>
    </row>
    <row r="419" spans="1:18">
      <c r="A419" s="1">
        <v>75123</v>
      </c>
      <c r="B419" s="1" t="s">
        <v>334</v>
      </c>
      <c r="C419" s="1" t="s">
        <v>307</v>
      </c>
      <c r="D419" s="20" t="s">
        <v>451</v>
      </c>
      <c r="E419" s="15" t="str">
        <f>HYPERLINK("https://stat100.ameba.jp/tnk47/ratio20/illustrations/card/ill_75123_nankintamasudare03.jpg?201912-4-RELEASE-guildbattle-445", "■")</f>
        <v>■</v>
      </c>
      <c r="F419" s="1" t="s">
        <v>452</v>
      </c>
      <c r="G419" s="1">
        <v>114429</v>
      </c>
      <c r="H419" s="1">
        <v>123076</v>
      </c>
      <c r="I419" s="7">
        <v>25</v>
      </c>
      <c r="J419" s="1" t="s">
        <v>274</v>
      </c>
      <c r="K419" s="1" t="s">
        <v>453</v>
      </c>
      <c r="L419" s="1" t="s">
        <v>6711</v>
      </c>
      <c r="M419" s="1" t="s">
        <v>13130</v>
      </c>
      <c r="N419" s="1" t="s">
        <v>343</v>
      </c>
      <c r="O419" s="1" t="s">
        <v>9158</v>
      </c>
      <c r="P419" s="1" t="s">
        <v>9158</v>
      </c>
      <c r="Q419" s="1" t="s">
        <v>9158</v>
      </c>
      <c r="R419" s="14" t="s">
        <v>14748</v>
      </c>
    </row>
    <row r="420" spans="1:18">
      <c r="A420" s="1">
        <v>76013</v>
      </c>
      <c r="B420" s="1" t="s">
        <v>334</v>
      </c>
      <c r="C420" s="1" t="s">
        <v>344</v>
      </c>
      <c r="D420" s="20" t="s">
        <v>454</v>
      </c>
      <c r="E420" s="15" t="str">
        <f>HYPERLINK("https://stat100.ameba.jp/tnk47/ratio20/illustrations/card/ill_76013_miyakojima03.jpg?201912-4-RELEASE-guildbattle-445", "■")</f>
        <v>■</v>
      </c>
      <c r="F420" s="1" t="s">
        <v>455</v>
      </c>
      <c r="G420" s="1">
        <v>123076</v>
      </c>
      <c r="H420" s="1">
        <v>114429</v>
      </c>
      <c r="I420" s="7">
        <v>25</v>
      </c>
      <c r="J420" s="1" t="s">
        <v>369</v>
      </c>
      <c r="K420" s="1" t="s">
        <v>456</v>
      </c>
      <c r="L420" s="1" t="s">
        <v>6712</v>
      </c>
      <c r="M420" s="1" t="s">
        <v>13130</v>
      </c>
      <c r="N420" s="1" t="s">
        <v>343</v>
      </c>
      <c r="O420" s="1" t="s">
        <v>9158</v>
      </c>
      <c r="P420" s="1" t="s">
        <v>9158</v>
      </c>
      <c r="Q420" s="1" t="s">
        <v>9158</v>
      </c>
      <c r="R420" s="14" t="s">
        <v>14748</v>
      </c>
    </row>
    <row r="421" spans="1:18">
      <c r="A421" s="1">
        <v>74333</v>
      </c>
      <c r="B421" s="1" t="s">
        <v>334</v>
      </c>
      <c r="C421" s="1" t="s">
        <v>271</v>
      </c>
      <c r="D421" s="20" t="s">
        <v>457</v>
      </c>
      <c r="E421" s="15" t="str">
        <f>HYPERLINK("https://stat100.ameba.jp/tnk47/ratio20/illustrations/card/ill_74333_iizukaigashichi03.jpg?201912-4-RELEASE-guildbattle-445", "■")</f>
        <v>■</v>
      </c>
      <c r="F421" s="1" t="s">
        <v>458</v>
      </c>
      <c r="G421" s="1">
        <v>114429</v>
      </c>
      <c r="H421" s="1">
        <v>123076</v>
      </c>
      <c r="I421" s="7">
        <v>25</v>
      </c>
      <c r="J421" s="1" t="s">
        <v>414</v>
      </c>
      <c r="K421" s="1" t="s">
        <v>459</v>
      </c>
      <c r="L421" s="1" t="s">
        <v>6713</v>
      </c>
      <c r="M421" s="1" t="s">
        <v>13130</v>
      </c>
      <c r="N421" s="1" t="s">
        <v>343</v>
      </c>
      <c r="O421" s="1" t="s">
        <v>9158</v>
      </c>
      <c r="P421" s="1" t="s">
        <v>9158</v>
      </c>
      <c r="Q421" s="1" t="s">
        <v>9158</v>
      </c>
      <c r="R421" s="14" t="s">
        <v>14748</v>
      </c>
    </row>
    <row r="422" spans="1:18">
      <c r="A422" s="1">
        <v>74343</v>
      </c>
      <c r="B422" s="1" t="s">
        <v>334</v>
      </c>
      <c r="C422" s="1" t="s">
        <v>308</v>
      </c>
      <c r="D422" s="20" t="s">
        <v>460</v>
      </c>
      <c r="E422" s="15" t="str">
        <f>HYPERLINK("https://stat100.ameba.jp/tnk47/ratio20/illustrations/card/ill_74343_wadakoremasa03.jpg?201912-4-RELEASE-guildbattle-445", "■")</f>
        <v>■</v>
      </c>
      <c r="F422" s="1" t="s">
        <v>461</v>
      </c>
      <c r="G422" s="1">
        <v>114429</v>
      </c>
      <c r="H422" s="1">
        <v>123076</v>
      </c>
      <c r="I422" s="7">
        <v>25</v>
      </c>
      <c r="J422" s="1" t="s">
        <v>310</v>
      </c>
      <c r="K422" s="1" t="s">
        <v>462</v>
      </c>
      <c r="L422" s="1" t="s">
        <v>6714</v>
      </c>
      <c r="M422" s="1" t="s">
        <v>13130</v>
      </c>
      <c r="N422" s="1" t="s">
        <v>343</v>
      </c>
      <c r="O422" s="1" t="s">
        <v>9158</v>
      </c>
      <c r="P422" s="1" t="s">
        <v>9158</v>
      </c>
      <c r="Q422" s="1" t="s">
        <v>9158</v>
      </c>
      <c r="R422" s="14" t="s">
        <v>14748</v>
      </c>
    </row>
    <row r="423" spans="1:18">
      <c r="A423" s="1">
        <v>74353</v>
      </c>
      <c r="B423" s="1" t="s">
        <v>334</v>
      </c>
      <c r="C423" s="1" t="s">
        <v>267</v>
      </c>
      <c r="D423" s="20" t="s">
        <v>463</v>
      </c>
      <c r="E423" s="15" t="str">
        <f>HYPERLINK("https://stat100.ameba.jp/tnk47/ratio20/illustrations/card/ill_74353_takechizuizan03.jpg?201912-4-RELEASE-guildbattle-445", "■")</f>
        <v>■</v>
      </c>
      <c r="F423" s="1" t="s">
        <v>464</v>
      </c>
      <c r="G423" s="1">
        <v>123076</v>
      </c>
      <c r="H423" s="1">
        <v>114429</v>
      </c>
      <c r="I423" s="7">
        <v>25</v>
      </c>
      <c r="J423" s="1" t="s">
        <v>351</v>
      </c>
      <c r="K423" s="1" t="s">
        <v>465</v>
      </c>
      <c r="L423" s="1" t="s">
        <v>6715</v>
      </c>
      <c r="M423" s="1" t="s">
        <v>13130</v>
      </c>
      <c r="N423" s="1" t="s">
        <v>343</v>
      </c>
      <c r="O423" s="1" t="s">
        <v>9158</v>
      </c>
      <c r="P423" s="1" t="s">
        <v>9158</v>
      </c>
      <c r="Q423" s="1" t="s">
        <v>9158</v>
      </c>
      <c r="R423" s="14" t="s">
        <v>14748</v>
      </c>
    </row>
    <row r="424" spans="1:18">
      <c r="E424" s="7"/>
    </row>
    <row r="425" spans="1:18">
      <c r="A425" s="7" t="s">
        <v>8707</v>
      </c>
      <c r="E425" s="7"/>
    </row>
    <row r="426" spans="1:18">
      <c r="A426" s="7" t="s">
        <v>8708</v>
      </c>
      <c r="E426" s="7"/>
    </row>
    <row r="427" spans="1:18">
      <c r="A427" s="1" t="s">
        <v>5605</v>
      </c>
      <c r="B427" s="1" t="s">
        <v>52</v>
      </c>
      <c r="C427" s="1" t="s">
        <v>202</v>
      </c>
      <c r="D427" s="20" t="s">
        <v>10332</v>
      </c>
      <c r="E427" s="15" t="str">
        <f>HYPERLINK("https://stat100.ameba.jp/tnk47/ratio20/illustrations/card/ill_79373_0_hommeichokotennyohime03.jpg?201912-X-RELEASE-GP-create-table", "■")</f>
        <v>■</v>
      </c>
      <c r="F427" s="1" t="s">
        <v>3495</v>
      </c>
      <c r="G427" s="1">
        <v>309132</v>
      </c>
      <c r="H427" s="1">
        <v>279407</v>
      </c>
      <c r="I427" s="1">
        <v>25</v>
      </c>
      <c r="J427" s="1" t="s">
        <v>104</v>
      </c>
      <c r="K427" s="1" t="s">
        <v>3496</v>
      </c>
      <c r="L427" s="1" t="s">
        <v>3497</v>
      </c>
      <c r="M427" s="1" t="s">
        <v>9158</v>
      </c>
      <c r="N427" s="1" t="s">
        <v>9158</v>
      </c>
      <c r="O427" s="19" t="s">
        <v>10072</v>
      </c>
      <c r="P427" s="1" t="s">
        <v>3498</v>
      </c>
      <c r="Q427" s="1">
        <v>1</v>
      </c>
    </row>
    <row r="428" spans="1:18">
      <c r="A428" s="1" t="s">
        <v>5724</v>
      </c>
      <c r="B428" s="1" t="s">
        <v>330</v>
      </c>
      <c r="C428" s="1" t="s">
        <v>335</v>
      </c>
      <c r="D428" s="20" t="s">
        <v>698</v>
      </c>
      <c r="E428" s="15" t="str">
        <f>HYPERLINK("https://stat100.ameba.jp/tnk47/ratio20/illustrations/card/ill_66433_0_haroinfujishirogozen03.jpg?201912-X-RELEASE-GP-create-table", "■")</f>
        <v>■</v>
      </c>
      <c r="F428" s="1" t="s">
        <v>699</v>
      </c>
      <c r="G428" s="7">
        <v>153013</v>
      </c>
      <c r="H428" s="1">
        <v>164585</v>
      </c>
      <c r="I428" s="1">
        <v>25</v>
      </c>
      <c r="J428" s="1" t="s">
        <v>315</v>
      </c>
      <c r="K428" s="1" t="s">
        <v>700</v>
      </c>
      <c r="L428" s="1" t="s">
        <v>701</v>
      </c>
      <c r="M428" s="1" t="s">
        <v>9158</v>
      </c>
      <c r="N428" s="1" t="s">
        <v>9158</v>
      </c>
      <c r="O428" s="19" t="s">
        <v>10095</v>
      </c>
      <c r="P428" s="1" t="s">
        <v>3345</v>
      </c>
      <c r="Q428" s="1">
        <v>1</v>
      </c>
    </row>
    <row r="429" spans="1:18">
      <c r="A429" s="1">
        <v>84663</v>
      </c>
      <c r="B429" s="1" t="s">
        <v>334</v>
      </c>
      <c r="C429" s="1" t="s">
        <v>158</v>
      </c>
      <c r="D429" s="20" t="s">
        <v>10648</v>
      </c>
      <c r="E429" s="15" t="str">
        <f>HYPERLINK("https://stat100.ameba.jp/tnk47/ratio20/illustrations/card/ill_84663_juwannonefuerufuito03.jpg?201912-X-RELEASE-GP-create-table", "■")</f>
        <v>■</v>
      </c>
      <c r="F429" s="1" t="s">
        <v>7095</v>
      </c>
      <c r="G429" s="1">
        <v>84456</v>
      </c>
      <c r="H429" s="1">
        <v>116577</v>
      </c>
      <c r="I429" s="1">
        <v>25</v>
      </c>
      <c r="J429" s="1" t="s">
        <v>182</v>
      </c>
      <c r="K429" s="1" t="s">
        <v>7094</v>
      </c>
      <c r="L429" s="1" t="s">
        <v>7093</v>
      </c>
      <c r="M429" s="1" t="s">
        <v>9158</v>
      </c>
      <c r="N429" s="1" t="s">
        <v>9158</v>
      </c>
      <c r="O429" s="19" t="s">
        <v>10091</v>
      </c>
      <c r="P429" s="1" t="s">
        <v>3670</v>
      </c>
      <c r="Q429" s="1">
        <v>1</v>
      </c>
    </row>
    <row r="430" spans="1:18">
      <c r="A430" s="1">
        <v>62043</v>
      </c>
      <c r="B430" s="1" t="s">
        <v>0</v>
      </c>
      <c r="C430" s="1" t="s">
        <v>158</v>
      </c>
      <c r="D430" s="20" t="s">
        <v>10233</v>
      </c>
      <c r="E430" s="15" t="str">
        <f>HYPERLINK("https://stat100.ameba.jp/tnk47/ratio20/illustrations/card/ill_62043_niutsuhimenookami03.jpg?201912-X-RELEASE-GP-create-table", "■")</f>
        <v>■</v>
      </c>
      <c r="F430" s="1" t="s">
        <v>2022</v>
      </c>
      <c r="G430" s="1">
        <v>82654</v>
      </c>
      <c r="H430" s="1">
        <v>114119</v>
      </c>
      <c r="I430" s="1">
        <v>25</v>
      </c>
      <c r="J430" s="1" t="s">
        <v>169</v>
      </c>
      <c r="K430" s="1" t="s">
        <v>2023</v>
      </c>
      <c r="L430" s="1" t="s">
        <v>13144</v>
      </c>
      <c r="M430" s="1" t="s">
        <v>9158</v>
      </c>
      <c r="N430" s="1" t="s">
        <v>9158</v>
      </c>
      <c r="O430" s="19" t="s">
        <v>10093</v>
      </c>
      <c r="P430" s="1" t="s">
        <v>13145</v>
      </c>
      <c r="Q430" s="1">
        <v>1</v>
      </c>
    </row>
    <row r="431" spans="1:18">
      <c r="A431" s="1">
        <v>67643</v>
      </c>
      <c r="B431" s="1" t="s">
        <v>334</v>
      </c>
      <c r="C431" s="1" t="s">
        <v>209</v>
      </c>
      <c r="D431" s="20" t="s">
        <v>3033</v>
      </c>
      <c r="E431" s="15" t="str">
        <f>HYPERLINK("https://stat100.ameba.jp/tnk47/ratio20/illustrations/card/ill_67643_edokarakamichan03.jpg?201912-X-RELEASE-GP-create-table", "■")</f>
        <v>■</v>
      </c>
      <c r="F431" s="6" t="s">
        <v>1196</v>
      </c>
      <c r="G431" s="1">
        <v>118061</v>
      </c>
      <c r="H431" s="1">
        <v>109786</v>
      </c>
      <c r="I431" s="1">
        <v>25</v>
      </c>
      <c r="J431" s="1" t="s">
        <v>26</v>
      </c>
      <c r="K431" s="1" t="s">
        <v>1197</v>
      </c>
      <c r="L431" s="1" t="s">
        <v>1198</v>
      </c>
      <c r="M431" s="1" t="s">
        <v>9158</v>
      </c>
      <c r="N431" s="1" t="s">
        <v>9158</v>
      </c>
      <c r="O431" s="19" t="s">
        <v>3037</v>
      </c>
      <c r="P431" s="1" t="s">
        <v>13128</v>
      </c>
      <c r="Q431" s="1">
        <v>1</v>
      </c>
    </row>
    <row r="432" spans="1:18">
      <c r="A432" s="1">
        <v>60183</v>
      </c>
      <c r="B432" s="1" t="s">
        <v>334</v>
      </c>
      <c r="C432" s="1" t="s">
        <v>209</v>
      </c>
      <c r="D432" s="20" t="s">
        <v>444</v>
      </c>
      <c r="E432" s="15" t="str">
        <f>HYPERLINK("https://stat100.ameba.jp/tnk47/ratio20/illustrations/card/ill_60183_aizuyaichi03.jpg?201912-X-RELEASE-GP-create-table", "■")</f>
        <v>■</v>
      </c>
      <c r="F432" s="1" t="s">
        <v>1035</v>
      </c>
      <c r="G432" s="1">
        <v>82205</v>
      </c>
      <c r="H432" s="1">
        <v>113463</v>
      </c>
      <c r="I432" s="1">
        <v>25</v>
      </c>
      <c r="J432" s="1" t="s">
        <v>16</v>
      </c>
      <c r="K432" s="1" t="s">
        <v>1036</v>
      </c>
      <c r="L432" s="1" t="s">
        <v>1037</v>
      </c>
      <c r="M432" s="1" t="s">
        <v>9158</v>
      </c>
      <c r="N432" s="1" t="s">
        <v>9158</v>
      </c>
      <c r="O432" s="1" t="s">
        <v>9158</v>
      </c>
      <c r="P432" s="1" t="s">
        <v>9158</v>
      </c>
      <c r="Q432" s="1" t="s">
        <v>9158</v>
      </c>
    </row>
    <row r="433" spans="1:17">
      <c r="A433" s="1">
        <v>61343</v>
      </c>
      <c r="B433" s="1" t="s">
        <v>334</v>
      </c>
      <c r="C433" s="1" t="s">
        <v>154</v>
      </c>
      <c r="D433" s="20" t="s">
        <v>10520</v>
      </c>
      <c r="E433" s="15" t="str">
        <f>HYPERLINK("https://stat100.ameba.jp/tnk47/ratio20/illustrations/card/ill_61343_amaiyumechacha03.jpg?201912-X-RELEASE-GP-create-table", "■")</f>
        <v>■</v>
      </c>
      <c r="F433" s="1" t="s">
        <v>683</v>
      </c>
      <c r="G433" s="1">
        <v>79151</v>
      </c>
      <c r="H433" s="1">
        <v>109259</v>
      </c>
      <c r="I433" s="1">
        <v>25</v>
      </c>
      <c r="J433" s="1" t="s">
        <v>315</v>
      </c>
      <c r="K433" s="1" t="s">
        <v>684</v>
      </c>
      <c r="L433" s="1" t="s">
        <v>608</v>
      </c>
      <c r="M433" s="1" t="s">
        <v>9158</v>
      </c>
      <c r="N433" s="1" t="s">
        <v>9158</v>
      </c>
      <c r="O433" s="1" t="s">
        <v>9158</v>
      </c>
      <c r="P433" s="1" t="s">
        <v>9158</v>
      </c>
      <c r="Q433" s="1" t="s">
        <v>9158</v>
      </c>
    </row>
    <row r="434" spans="1:17">
      <c r="A434" s="1">
        <v>49403</v>
      </c>
      <c r="B434" s="1" t="s">
        <v>334</v>
      </c>
      <c r="C434" s="1" t="s">
        <v>263</v>
      </c>
      <c r="D434" s="20" t="s">
        <v>10382</v>
      </c>
      <c r="E434" s="15" t="str">
        <f>HYPERLINK("https://stat100.ameba.jp/tnk47/ratio20/illustrations/card/ill_49403_hyakkiyagyouemaki03.jpg?201912-X-RELEASE-GP-create-table", "■")</f>
        <v>■</v>
      </c>
      <c r="F434" s="1" t="s">
        <v>5741</v>
      </c>
      <c r="G434" s="1">
        <v>103176</v>
      </c>
      <c r="H434" s="1">
        <v>75651</v>
      </c>
      <c r="I434" s="1">
        <v>25</v>
      </c>
      <c r="J434" s="1" t="s">
        <v>38</v>
      </c>
      <c r="K434" s="1" t="s">
        <v>5743</v>
      </c>
      <c r="L434" s="1" t="s">
        <v>5742</v>
      </c>
      <c r="M434" s="1" t="s">
        <v>9158</v>
      </c>
      <c r="N434" s="1" t="s">
        <v>9158</v>
      </c>
      <c r="O434" s="1" t="s">
        <v>9158</v>
      </c>
      <c r="P434" s="1" t="s">
        <v>9158</v>
      </c>
      <c r="Q434" s="1" t="s">
        <v>9158</v>
      </c>
    </row>
    <row r="435" spans="1:17">
      <c r="E435" s="7"/>
    </row>
    <row r="436" spans="1:17">
      <c r="A436" s="1" t="s">
        <v>195</v>
      </c>
      <c r="B436" s="1"/>
      <c r="C436" s="1"/>
      <c r="D436" s="1"/>
      <c r="F436" s="1"/>
      <c r="G436" s="1"/>
      <c r="H436" s="1"/>
      <c r="I436" s="1"/>
      <c r="J436" s="1"/>
      <c r="K436" s="1"/>
      <c r="L436" s="1"/>
      <c r="M436" s="1"/>
      <c r="N436" s="1"/>
      <c r="O436" s="1"/>
      <c r="P436" s="1"/>
      <c r="Q436" s="1"/>
    </row>
    <row r="437" spans="1:17">
      <c r="A437" s="1" t="s">
        <v>8706</v>
      </c>
      <c r="B437" s="1"/>
      <c r="C437" s="1"/>
      <c r="D437" s="1"/>
      <c r="F437" s="1"/>
      <c r="G437" s="1"/>
      <c r="H437" s="1"/>
      <c r="I437" s="1"/>
      <c r="J437" s="1"/>
      <c r="K437" s="1"/>
      <c r="L437" s="1"/>
      <c r="M437" s="1"/>
      <c r="N437" s="1"/>
      <c r="O437" s="1"/>
      <c r="P437" s="1"/>
      <c r="Q437" s="1"/>
    </row>
    <row r="438" spans="1:17">
      <c r="A438" s="1">
        <v>71013</v>
      </c>
      <c r="B438" s="1" t="s">
        <v>334</v>
      </c>
      <c r="C438" s="1" t="s">
        <v>154</v>
      </c>
      <c r="D438" s="20" t="s">
        <v>837</v>
      </c>
      <c r="E438" s="15" t="str">
        <f>HYPERLINK("https://stat100.ameba.jp/tnk47/ratio20/illustrations/card/ill_71013_fujutsushisarashina03.jpg?201912-X-RELEASE-GP-create-table", "■")</f>
        <v>■</v>
      </c>
      <c r="F438" s="1" t="s">
        <v>838</v>
      </c>
      <c r="G438" s="1">
        <v>100256</v>
      </c>
      <c r="H438" s="1">
        <v>107826</v>
      </c>
      <c r="I438" s="1">
        <v>25</v>
      </c>
      <c r="J438" s="1" t="s">
        <v>155</v>
      </c>
      <c r="K438" s="1" t="s">
        <v>1231</v>
      </c>
      <c r="L438" s="1" t="s">
        <v>13152</v>
      </c>
      <c r="M438" s="1" t="s">
        <v>9158</v>
      </c>
      <c r="N438" s="1" t="s">
        <v>9158</v>
      </c>
      <c r="O438" s="1" t="s">
        <v>9158</v>
      </c>
      <c r="P438" s="1" t="s">
        <v>9158</v>
      </c>
      <c r="Q438" s="1" t="s">
        <v>9158</v>
      </c>
    </row>
    <row r="439" spans="1:17">
      <c r="A439" s="1">
        <v>71023</v>
      </c>
      <c r="B439" s="1" t="s">
        <v>334</v>
      </c>
      <c r="C439" s="1" t="s">
        <v>158</v>
      </c>
      <c r="D439" s="20" t="s">
        <v>841</v>
      </c>
      <c r="E439" s="15" t="str">
        <f>HYPERLINK("https://stat100.ameba.jp/tnk47/ratio20/illustrations/card/ill_71023_ommyojiiroha03.jpg?201912-X-RELEASE-GP-create-table", "■")</f>
        <v>■</v>
      </c>
      <c r="F439" s="1" t="s">
        <v>842</v>
      </c>
      <c r="G439" s="1">
        <v>100256</v>
      </c>
      <c r="H439" s="1">
        <v>107826</v>
      </c>
      <c r="I439" s="1">
        <v>25</v>
      </c>
      <c r="J439" s="1" t="s">
        <v>159</v>
      </c>
      <c r="K439" s="1" t="s">
        <v>1232</v>
      </c>
      <c r="L439" s="1" t="s">
        <v>1233</v>
      </c>
      <c r="M439" s="1" t="s">
        <v>9158</v>
      </c>
      <c r="N439" s="1" t="s">
        <v>9158</v>
      </c>
      <c r="O439" s="1" t="s">
        <v>9158</v>
      </c>
      <c r="P439" s="1" t="s">
        <v>9158</v>
      </c>
      <c r="Q439" s="1" t="s">
        <v>9158</v>
      </c>
    </row>
    <row r="440" spans="1:17">
      <c r="A440" s="1">
        <v>66053</v>
      </c>
      <c r="B440" s="1" t="s">
        <v>334</v>
      </c>
      <c r="C440" s="1" t="s">
        <v>205</v>
      </c>
      <c r="D440" s="20" t="s">
        <v>3046</v>
      </c>
      <c r="E440" s="15" t="str">
        <f>HYPERLINK("https://stat100.ameba.jp/tnk47/ratio20/illustrations/card/ill_66053_serebukushiyatamanokami03.jpg?201912-X-RELEASE-GP-create-table", "■")</f>
        <v>■</v>
      </c>
      <c r="F440" s="1" t="s">
        <v>2265</v>
      </c>
      <c r="G440" s="1">
        <v>101971</v>
      </c>
      <c r="H440" s="1">
        <v>94802</v>
      </c>
      <c r="I440" s="1">
        <v>25</v>
      </c>
      <c r="J440" s="1" t="s">
        <v>44</v>
      </c>
      <c r="K440" s="1" t="s">
        <v>2266</v>
      </c>
      <c r="L440" s="1" t="s">
        <v>1860</v>
      </c>
      <c r="M440" s="1" t="s">
        <v>9158</v>
      </c>
      <c r="N440" s="1" t="s">
        <v>9158</v>
      </c>
      <c r="O440" s="1" t="s">
        <v>9158</v>
      </c>
      <c r="P440" s="1" t="s">
        <v>9158</v>
      </c>
      <c r="Q440" s="1" t="s">
        <v>9158</v>
      </c>
    </row>
    <row r="441" spans="1:17">
      <c r="A441" s="1">
        <v>65923</v>
      </c>
      <c r="B441" s="1" t="s">
        <v>334</v>
      </c>
      <c r="C441" s="1" t="s">
        <v>185</v>
      </c>
      <c r="D441" s="20" t="s">
        <v>10204</v>
      </c>
      <c r="E441" s="15" t="str">
        <f>HYPERLINK("https://stat100.ameba.jp/tnk47/ratio20/illustrations/card/ill_65923_arabianginko03.jpg?201912-X-RELEASE-GP-create-table", "■")</f>
        <v>■</v>
      </c>
      <c r="F441" s="1" t="s">
        <v>4978</v>
      </c>
      <c r="G441" s="1">
        <v>104162</v>
      </c>
      <c r="H441" s="1">
        <v>96871</v>
      </c>
      <c r="I441" s="1">
        <v>25</v>
      </c>
      <c r="J441" s="1" t="s">
        <v>182</v>
      </c>
      <c r="K441" s="1" t="s">
        <v>3679</v>
      </c>
      <c r="L441" s="1" t="s">
        <v>13188</v>
      </c>
      <c r="M441" s="1" t="s">
        <v>9158</v>
      </c>
      <c r="N441" s="1" t="s">
        <v>9158</v>
      </c>
      <c r="O441" s="1" t="s">
        <v>9158</v>
      </c>
      <c r="P441" s="1" t="s">
        <v>9158</v>
      </c>
      <c r="Q441" s="1" t="s">
        <v>9158</v>
      </c>
    </row>
    <row r="442" spans="1:17">
      <c r="A442" s="1">
        <v>52863</v>
      </c>
      <c r="B442" s="1" t="s">
        <v>15</v>
      </c>
      <c r="C442" s="1" t="s">
        <v>191</v>
      </c>
      <c r="D442" s="20" t="s">
        <v>10516</v>
      </c>
      <c r="E442" s="15" t="str">
        <f>HYPERLINK("https://stat100.ameba.jp/tnk47/ratio20/illustrations/card/ill_52863_andoroidokingyonota03.jpg?201912-X-RELEASE-GP-create-table", "■")</f>
        <v>■</v>
      </c>
      <c r="F442" s="1" t="s">
        <v>6409</v>
      </c>
      <c r="G442" s="1">
        <v>67210</v>
      </c>
      <c r="H442" s="1">
        <v>74100</v>
      </c>
      <c r="I442" s="1">
        <v>25</v>
      </c>
      <c r="J442" s="1" t="s">
        <v>38</v>
      </c>
      <c r="K442" s="1" t="s">
        <v>6407</v>
      </c>
      <c r="L442" s="1" t="s">
        <v>6406</v>
      </c>
      <c r="M442" s="1" t="s">
        <v>9158</v>
      </c>
      <c r="N442" s="1" t="s">
        <v>9158</v>
      </c>
      <c r="O442" s="1" t="s">
        <v>9158</v>
      </c>
      <c r="P442" s="1" t="s">
        <v>9158</v>
      </c>
      <c r="Q442" s="1" t="s">
        <v>9158</v>
      </c>
    </row>
    <row r="443" spans="1:17">
      <c r="A443" s="1">
        <v>51593</v>
      </c>
      <c r="B443" s="1" t="s">
        <v>15</v>
      </c>
      <c r="C443" s="1" t="s">
        <v>200</v>
      </c>
      <c r="D443" s="20" t="s">
        <v>10517</v>
      </c>
      <c r="E443" s="15" t="str">
        <f>HYPERLINK("https://stat100.ameba.jp/tnk47/ratio20/illustrations/card/ill_51593_kishuhondatadakatsu03.jpg?201912-X-RELEASE-GP-create-table", "■")</f>
        <v>■</v>
      </c>
      <c r="F443" s="1" t="s">
        <v>6413</v>
      </c>
      <c r="G443" s="1">
        <v>67210</v>
      </c>
      <c r="H443" s="1">
        <v>74100</v>
      </c>
      <c r="I443" s="1">
        <v>25</v>
      </c>
      <c r="J443" s="1" t="s">
        <v>143</v>
      </c>
      <c r="K443" s="1" t="s">
        <v>6411</v>
      </c>
      <c r="L443" s="1" t="s">
        <v>6410</v>
      </c>
      <c r="M443" s="1" t="s">
        <v>9158</v>
      </c>
      <c r="N443" s="1" t="s">
        <v>9158</v>
      </c>
      <c r="O443" s="1" t="s">
        <v>9158</v>
      </c>
      <c r="P443" s="1" t="s">
        <v>9158</v>
      </c>
      <c r="Q443" s="1" t="s">
        <v>9158</v>
      </c>
    </row>
    <row r="444" spans="1:17">
      <c r="A444" s="1">
        <v>55403</v>
      </c>
      <c r="B444" s="1" t="s">
        <v>15</v>
      </c>
      <c r="C444" s="1" t="s">
        <v>165</v>
      </c>
      <c r="D444" s="20" t="s">
        <v>10518</v>
      </c>
      <c r="E444" s="15" t="str">
        <f>HYPERLINK("https://stat100.ameba.jp/tnk47/ratio20/illustrations/card/ill_55403_undokaikyogokumaria03.jpg?201912-X-RELEASE-GP-create-table", "■")</f>
        <v>■</v>
      </c>
      <c r="F444" s="1" t="s">
        <v>6417</v>
      </c>
      <c r="G444" s="1">
        <v>74100</v>
      </c>
      <c r="H444" s="1">
        <v>67210</v>
      </c>
      <c r="I444" s="1">
        <v>25</v>
      </c>
      <c r="J444" s="1" t="s">
        <v>77</v>
      </c>
      <c r="K444" s="1" t="s">
        <v>6415</v>
      </c>
      <c r="L444" s="1" t="s">
        <v>6414</v>
      </c>
      <c r="M444" s="1" t="s">
        <v>9158</v>
      </c>
      <c r="N444" s="1" t="s">
        <v>9158</v>
      </c>
      <c r="O444" s="1" t="s">
        <v>9158</v>
      </c>
      <c r="P444" s="1" t="s">
        <v>9158</v>
      </c>
      <c r="Q444" s="1" t="s">
        <v>9158</v>
      </c>
    </row>
    <row r="445" spans="1:17">
      <c r="A445" s="1">
        <v>52973</v>
      </c>
      <c r="B445" s="1" t="s">
        <v>15</v>
      </c>
      <c r="C445" s="1" t="s">
        <v>206</v>
      </c>
      <c r="D445" s="20" t="s">
        <v>10519</v>
      </c>
      <c r="E445" s="15" t="str">
        <f>HYPERLINK("https://stat100.ameba.jp/tnk47/ratio20/illustrations/card/ill_52973_torampuamoronagu03.jpg?201912-X-RELEASE-GP-create-table", "■")</f>
        <v>■</v>
      </c>
      <c r="F445" s="1" t="s">
        <v>6421</v>
      </c>
      <c r="G445" s="1">
        <v>74100</v>
      </c>
      <c r="H445" s="1">
        <v>67210</v>
      </c>
      <c r="I445" s="1">
        <v>25</v>
      </c>
      <c r="J445" s="1" t="s">
        <v>44</v>
      </c>
      <c r="K445" s="1" t="s">
        <v>6419</v>
      </c>
      <c r="L445" s="1" t="s">
        <v>6418</v>
      </c>
      <c r="M445" s="1" t="s">
        <v>9158</v>
      </c>
      <c r="N445" s="1" t="s">
        <v>9158</v>
      </c>
      <c r="O445" s="1" t="s">
        <v>9158</v>
      </c>
      <c r="P445" s="1" t="s">
        <v>9158</v>
      </c>
      <c r="Q445" s="1" t="s">
        <v>9158</v>
      </c>
    </row>
    <row r="446" spans="1:17">
      <c r="E446" s="7"/>
    </row>
    <row r="447" spans="1:17">
      <c r="A447" s="7" t="s">
        <v>897</v>
      </c>
      <c r="E447" s="7"/>
    </row>
    <row r="448" spans="1:17">
      <c r="A448" s="7" t="s">
        <v>2552</v>
      </c>
      <c r="E448" s="7"/>
    </row>
    <row r="449" spans="1:17">
      <c r="A449" s="1" t="s">
        <v>5734</v>
      </c>
      <c r="B449" s="1" t="s">
        <v>330</v>
      </c>
      <c r="C449" s="1" t="s">
        <v>202</v>
      </c>
      <c r="D449" s="20" t="s">
        <v>1497</v>
      </c>
      <c r="E449" s="15" t="str">
        <f>HYPERLINK("https://stat100.ameba.jp/tnk47/ratio20/illustrations/card/ill_74593_0_natsuyuenchikoshihikari03.jpg?201912-X-RELEASE-GP-create-table", "■")</f>
        <v>■</v>
      </c>
      <c r="F449" s="1" t="s">
        <v>1498</v>
      </c>
      <c r="G449" s="1">
        <v>162496</v>
      </c>
      <c r="H449" s="1">
        <v>151067</v>
      </c>
      <c r="I449" s="1">
        <v>15</v>
      </c>
      <c r="J449" s="1" t="s">
        <v>283</v>
      </c>
      <c r="K449" s="1" t="s">
        <v>1499</v>
      </c>
      <c r="L449" s="1" t="s">
        <v>1500</v>
      </c>
      <c r="M449" s="1" t="s">
        <v>9158</v>
      </c>
      <c r="N449" s="1" t="s">
        <v>9158</v>
      </c>
      <c r="O449" s="19" t="s">
        <v>2731</v>
      </c>
      <c r="P449" s="1" t="s">
        <v>2732</v>
      </c>
      <c r="Q449" s="1">
        <v>1</v>
      </c>
    </row>
    <row r="450" spans="1:17">
      <c r="A450" s="1" t="s">
        <v>5607</v>
      </c>
      <c r="B450" s="1" t="s">
        <v>330</v>
      </c>
      <c r="C450" s="1" t="s">
        <v>200</v>
      </c>
      <c r="D450" s="20" t="s">
        <v>421</v>
      </c>
      <c r="E450" s="15" t="str">
        <f>HYPERLINK("https://stat100.ameba.jp/tnk47/ratio20/illustrations/card/ill_58853_0_setsubumpanikkuhiratsukaraicho03.jpg?201912-X-RELEASE-GP-create-table", "■")</f>
        <v>■</v>
      </c>
      <c r="F450" s="1" t="s">
        <v>1040</v>
      </c>
      <c r="G450" s="1">
        <v>94236</v>
      </c>
      <c r="H450" s="1">
        <v>83712</v>
      </c>
      <c r="I450" s="1">
        <v>15</v>
      </c>
      <c r="J450" s="1" t="s">
        <v>16</v>
      </c>
      <c r="K450" s="1" t="s">
        <v>1041</v>
      </c>
      <c r="L450" s="1" t="s">
        <v>1042</v>
      </c>
      <c r="M450" s="1" t="s">
        <v>9158</v>
      </c>
      <c r="N450" s="1" t="s">
        <v>9158</v>
      </c>
      <c r="O450" s="19" t="s">
        <v>10075</v>
      </c>
      <c r="P450" s="1" t="s">
        <v>2870</v>
      </c>
      <c r="Q450" s="1">
        <v>1</v>
      </c>
    </row>
    <row r="451" spans="1:17">
      <c r="A451" s="1" t="s">
        <v>5902</v>
      </c>
      <c r="B451" s="1" t="s">
        <v>330</v>
      </c>
      <c r="C451" s="1" t="s">
        <v>206</v>
      </c>
      <c r="D451" s="20" t="s">
        <v>483</v>
      </c>
      <c r="E451" s="15" t="str">
        <f>HYPERLINK("https://stat100.ameba.jp/tnk47/ratio20/illustrations/card/ill_40343_0_heshikirihasebekurodakambe03.jpg?201912-X-RELEASE-GP-create-table", "■")</f>
        <v>■</v>
      </c>
      <c r="F451" s="1" t="s">
        <v>906</v>
      </c>
      <c r="G451" s="1">
        <v>87780</v>
      </c>
      <c r="H451" s="1">
        <v>82212</v>
      </c>
      <c r="I451" s="1">
        <v>15</v>
      </c>
      <c r="J451" s="1" t="s">
        <v>16</v>
      </c>
      <c r="K451" s="1" t="s">
        <v>907</v>
      </c>
      <c r="L451" s="1" t="s">
        <v>908</v>
      </c>
      <c r="M451" s="1" t="s">
        <v>9158</v>
      </c>
      <c r="N451" s="1" t="s">
        <v>9158</v>
      </c>
      <c r="O451" s="1" t="s">
        <v>9158</v>
      </c>
      <c r="P451" s="1" t="s">
        <v>9158</v>
      </c>
      <c r="Q451" s="1" t="s">
        <v>9158</v>
      </c>
    </row>
    <row r="452" spans="1:17">
      <c r="A452" s="1">
        <v>85873</v>
      </c>
      <c r="B452" s="1" t="s">
        <v>334</v>
      </c>
      <c r="C452" s="1" t="s">
        <v>101</v>
      </c>
      <c r="D452" s="20" t="s">
        <v>10865</v>
      </c>
      <c r="E452" s="15" t="str">
        <f>HYPERLINK("https://stat100.ameba.jp/tnk47/ratio20/illustrations/card/ill_85873_omochamochizukichiyome03.jpg?201912-X-RELEASE-GP-create-table", "■")</f>
        <v>■</v>
      </c>
      <c r="F452" s="1" t="s">
        <v>8715</v>
      </c>
      <c r="G452" s="1">
        <v>183542</v>
      </c>
      <c r="H452" s="1">
        <v>103263</v>
      </c>
      <c r="I452" s="1">
        <v>25</v>
      </c>
      <c r="J452" s="1" t="s">
        <v>16</v>
      </c>
      <c r="K452" s="1" t="s">
        <v>8714</v>
      </c>
      <c r="L452" s="1" t="s">
        <v>8713</v>
      </c>
      <c r="M452" s="1" t="s">
        <v>9158</v>
      </c>
      <c r="N452" s="1" t="s">
        <v>9158</v>
      </c>
      <c r="O452" s="1" t="s">
        <v>9158</v>
      </c>
      <c r="P452" s="1" t="s">
        <v>9158</v>
      </c>
      <c r="Q452" s="1" t="s">
        <v>9158</v>
      </c>
    </row>
    <row r="453" spans="1:17">
      <c r="A453" s="1">
        <v>85883</v>
      </c>
      <c r="B453" s="1" t="s">
        <v>334</v>
      </c>
      <c r="C453" s="1" t="s">
        <v>206</v>
      </c>
      <c r="D453" s="20" t="s">
        <v>10866</v>
      </c>
      <c r="E453" s="15" t="str">
        <f>HYPERLINK("https://stat100.ameba.jp/tnk47/ratio20/illustrations/card/ill_85883_omochapapettomasuta03.jpg?201912-X-RELEASE-GP-create-table", "■")</f>
        <v>■</v>
      </c>
      <c r="F453" s="1" t="s">
        <v>8718</v>
      </c>
      <c r="G453" s="1">
        <v>120570</v>
      </c>
      <c r="H453" s="1">
        <v>67842</v>
      </c>
      <c r="I453" s="1">
        <v>25</v>
      </c>
      <c r="J453" s="1" t="s">
        <v>10</v>
      </c>
      <c r="K453" s="1" t="s">
        <v>8717</v>
      </c>
      <c r="L453" s="1" t="s">
        <v>8716</v>
      </c>
      <c r="M453" s="1" t="s">
        <v>9158</v>
      </c>
      <c r="N453" s="1" t="s">
        <v>9158</v>
      </c>
      <c r="O453" s="1" t="s">
        <v>9158</v>
      </c>
      <c r="P453" s="1" t="s">
        <v>9158</v>
      </c>
      <c r="Q453" s="1" t="s">
        <v>9158</v>
      </c>
    </row>
    <row r="454" spans="1:17">
      <c r="A454" s="1">
        <v>79783</v>
      </c>
      <c r="B454" s="1" t="s">
        <v>334</v>
      </c>
      <c r="C454" s="1" t="s">
        <v>200</v>
      </c>
      <c r="D454" s="20" t="s">
        <v>10330</v>
      </c>
      <c r="E454" s="15" t="str">
        <f>HYPERLINK("https://stat100.ameba.jp/tnk47/ratio20/illustrations/card/ill_79783_entakunokishitakatsukasanobuko03.jpg?201912-X-RELEASE-GP-create-table", "■")</f>
        <v>■</v>
      </c>
      <c r="F454" s="1" t="s">
        <v>8721</v>
      </c>
      <c r="G454" s="1">
        <v>120570</v>
      </c>
      <c r="H454" s="1">
        <v>67842</v>
      </c>
      <c r="I454" s="1">
        <v>25</v>
      </c>
      <c r="J454" s="7" t="s">
        <v>187</v>
      </c>
      <c r="K454" s="1" t="s">
        <v>8720</v>
      </c>
      <c r="L454" s="1" t="s">
        <v>8719</v>
      </c>
      <c r="M454" s="1" t="s">
        <v>9158</v>
      </c>
      <c r="N454" s="1" t="s">
        <v>9158</v>
      </c>
      <c r="O454" s="1" t="s">
        <v>9158</v>
      </c>
      <c r="P454" s="1" t="s">
        <v>9158</v>
      </c>
      <c r="Q454" s="1" t="s">
        <v>9158</v>
      </c>
    </row>
    <row r="455" spans="1:17">
      <c r="A455" s="1">
        <v>81503</v>
      </c>
      <c r="B455" s="1" t="s">
        <v>15</v>
      </c>
      <c r="C455" s="1" t="s">
        <v>165</v>
      </c>
      <c r="D455" s="20" t="s">
        <v>10714</v>
      </c>
      <c r="E455" s="15" t="str">
        <f>HYPERLINK("https://stat100.ameba.jp/tnk47/ratio20/illustrations/card/ill_81503_kurotengu03.jpg?201912-X-RELEASE-GP-create-table", "■")</f>
        <v>■</v>
      </c>
      <c r="F455" s="1" t="s">
        <v>4777</v>
      </c>
      <c r="G455" s="1">
        <v>56316</v>
      </c>
      <c r="H455" s="1">
        <v>51078</v>
      </c>
      <c r="I455" s="1">
        <v>19</v>
      </c>
      <c r="J455" s="1" t="s">
        <v>73</v>
      </c>
      <c r="K455" s="1" t="s">
        <v>4778</v>
      </c>
      <c r="L455" s="1" t="s">
        <v>3835</v>
      </c>
      <c r="M455" s="1" t="s">
        <v>9158</v>
      </c>
      <c r="N455" s="1" t="s">
        <v>9158</v>
      </c>
      <c r="O455" s="1" t="s">
        <v>9158</v>
      </c>
      <c r="P455" s="1" t="s">
        <v>9158</v>
      </c>
      <c r="Q455" s="1" t="s">
        <v>9158</v>
      </c>
    </row>
    <row r="456" spans="1:17">
      <c r="A456" s="1">
        <v>71703</v>
      </c>
      <c r="B456" s="1" t="s">
        <v>15</v>
      </c>
      <c r="C456" s="1" t="s">
        <v>206</v>
      </c>
      <c r="D456" s="20" t="s">
        <v>10543</v>
      </c>
      <c r="E456" s="15" t="str">
        <f>HYPERLINK("https://stat100.ameba.jp/tnk47/ratio20/illustrations/card/ill_71703_shokugyotaikenkusumotoine03.jpg?201912-X-RELEASE-GP-create-table", "■")</f>
        <v>■</v>
      </c>
      <c r="F456" s="1" t="s">
        <v>4239</v>
      </c>
      <c r="G456" s="1">
        <v>56316</v>
      </c>
      <c r="H456" s="1">
        <v>51078</v>
      </c>
      <c r="I456" s="1">
        <v>19</v>
      </c>
      <c r="J456" s="1" t="s">
        <v>16</v>
      </c>
      <c r="K456" s="1" t="s">
        <v>4240</v>
      </c>
      <c r="L456" s="1" t="s">
        <v>21</v>
      </c>
      <c r="M456" s="1" t="s">
        <v>9158</v>
      </c>
      <c r="N456" s="1" t="s">
        <v>9158</v>
      </c>
      <c r="O456" s="1" t="s">
        <v>9158</v>
      </c>
      <c r="P456" s="1" t="s">
        <v>9158</v>
      </c>
      <c r="Q456" s="1" t="s">
        <v>9158</v>
      </c>
    </row>
    <row r="457" spans="1:17">
      <c r="A457" s="1">
        <v>80683</v>
      </c>
      <c r="B457" s="1" t="s">
        <v>15</v>
      </c>
      <c r="C457" s="1" t="s">
        <v>101</v>
      </c>
      <c r="D457" s="20" t="s">
        <v>10715</v>
      </c>
      <c r="E457" s="15" t="str">
        <f>HYPERLINK("https://stat100.ameba.jp/tnk47/ratio20/illustrations/card/ill_80683_nyugakushikimaedatoshiie03.jpg?201912-X-RELEASE-GP-create-table", "■")</f>
        <v>■</v>
      </c>
      <c r="F457" s="1" t="s">
        <v>4223</v>
      </c>
      <c r="G457" s="1">
        <v>56316</v>
      </c>
      <c r="H457" s="1">
        <v>51078</v>
      </c>
      <c r="I457" s="1">
        <v>19</v>
      </c>
      <c r="J457" s="1" t="s">
        <v>143</v>
      </c>
      <c r="K457" s="1" t="s">
        <v>4224</v>
      </c>
      <c r="L457" s="1" t="s">
        <v>3524</v>
      </c>
      <c r="M457" s="1" t="s">
        <v>9158</v>
      </c>
      <c r="N457" s="1" t="s">
        <v>9158</v>
      </c>
      <c r="O457" s="1" t="s">
        <v>9158</v>
      </c>
      <c r="P457" s="1" t="s">
        <v>9158</v>
      </c>
      <c r="Q457" s="1" t="s">
        <v>9158</v>
      </c>
    </row>
    <row r="458" spans="1:17">
      <c r="E458" s="7"/>
    </row>
    <row r="459" spans="1:17">
      <c r="A459" s="7" t="s">
        <v>8712</v>
      </c>
      <c r="E459" s="7"/>
    </row>
    <row r="460" spans="1:17">
      <c r="A460" s="7" t="s">
        <v>8711</v>
      </c>
      <c r="E460" s="7"/>
    </row>
    <row r="461" spans="1:17">
      <c r="A461" s="7">
        <v>41153</v>
      </c>
      <c r="B461" s="7" t="s">
        <v>0</v>
      </c>
      <c r="C461" s="7" t="s">
        <v>165</v>
      </c>
      <c r="D461" s="20" t="s">
        <v>10858</v>
      </c>
      <c r="E461" s="15" t="str">
        <f>HYPERLINK("https://stat100.ameba.jp/tnk47/ratio20/illustrations/card/ill_41153_kingyoku03.jpg?201912-3-RELEASE-dice-e-444x", "■")</f>
        <v>■</v>
      </c>
      <c r="F461" s="7" t="s">
        <v>8649</v>
      </c>
      <c r="G461" s="7">
        <v>89590</v>
      </c>
      <c r="H461" s="7">
        <v>96360</v>
      </c>
      <c r="I461" s="7">
        <v>25</v>
      </c>
      <c r="J461" s="7" t="s">
        <v>216</v>
      </c>
      <c r="K461" s="7" t="s">
        <v>8650</v>
      </c>
      <c r="L461" s="7" t="s">
        <v>13204</v>
      </c>
      <c r="M461" s="1" t="s">
        <v>9158</v>
      </c>
      <c r="N461" s="1" t="s">
        <v>9158</v>
      </c>
      <c r="O461" s="1" t="s">
        <v>9158</v>
      </c>
      <c r="P461" s="1" t="s">
        <v>9158</v>
      </c>
      <c r="Q461" s="1" t="s">
        <v>9158</v>
      </c>
    </row>
    <row r="462" spans="1:17">
      <c r="A462" s="7">
        <v>57803</v>
      </c>
      <c r="B462" s="7" t="s">
        <v>0</v>
      </c>
      <c r="C462" s="7" t="s">
        <v>154</v>
      </c>
      <c r="D462" s="20" t="s">
        <v>772</v>
      </c>
      <c r="E462" s="15" t="str">
        <f>HYPERLINK("https://stat100.ameba.jp/tnk47/ratio20/illustrations/card/ill_57803_piyopiyobaku03.jpg?201912-3-RELEASE-dice-e-444x", "■")</f>
        <v>■</v>
      </c>
      <c r="F462" s="7" t="s">
        <v>93</v>
      </c>
      <c r="G462" s="7">
        <v>89590</v>
      </c>
      <c r="H462" s="7">
        <v>96360</v>
      </c>
      <c r="I462" s="7">
        <v>25</v>
      </c>
      <c r="J462" s="7" t="s">
        <v>169</v>
      </c>
      <c r="K462" s="7" t="s">
        <v>8652</v>
      </c>
      <c r="L462" s="7" t="s">
        <v>13205</v>
      </c>
      <c r="M462" s="1" t="s">
        <v>9158</v>
      </c>
      <c r="N462" s="1" t="s">
        <v>9158</v>
      </c>
      <c r="O462" s="1" t="s">
        <v>9158</v>
      </c>
      <c r="P462" s="1" t="s">
        <v>9158</v>
      </c>
      <c r="Q462" s="1" t="s">
        <v>9158</v>
      </c>
    </row>
    <row r="463" spans="1:17">
      <c r="A463" s="7">
        <v>37663</v>
      </c>
      <c r="B463" s="7" t="s">
        <v>0</v>
      </c>
      <c r="C463" s="7" t="s">
        <v>205</v>
      </c>
      <c r="D463" s="20" t="s">
        <v>10859</v>
      </c>
      <c r="E463" s="15" t="str">
        <f>HYPERLINK("https://stat100.ameba.jp/tnk47/ratio20/illustrations/card/ill_37663_torejamomotaro03.jpg?201912-3-RELEASE-dice-e-444x", "■")</f>
        <v>■</v>
      </c>
      <c r="F463" s="14" t="s">
        <v>11609</v>
      </c>
      <c r="G463" s="7">
        <v>96360</v>
      </c>
      <c r="H463" s="7">
        <v>89590</v>
      </c>
      <c r="I463" s="7">
        <v>25</v>
      </c>
      <c r="J463" s="7" t="s">
        <v>155</v>
      </c>
      <c r="K463" s="7" t="s">
        <v>8653</v>
      </c>
      <c r="L463" s="7" t="s">
        <v>13206</v>
      </c>
      <c r="M463" s="1" t="s">
        <v>9158</v>
      </c>
      <c r="N463" s="1" t="s">
        <v>9158</v>
      </c>
      <c r="O463" s="1" t="s">
        <v>9158</v>
      </c>
      <c r="P463" s="1" t="s">
        <v>9158</v>
      </c>
      <c r="Q463" s="1" t="s">
        <v>9158</v>
      </c>
    </row>
    <row r="464" spans="1:17">
      <c r="A464" s="7">
        <v>68003</v>
      </c>
      <c r="B464" s="7" t="s">
        <v>15</v>
      </c>
      <c r="C464" s="7" t="s">
        <v>185</v>
      </c>
      <c r="D464" s="20" t="s">
        <v>10860</v>
      </c>
      <c r="E464" s="15" t="str">
        <f>HYPERLINK("https://stat100.ameba.jp/tnk47/ratio20/illustrations/card/ill_68003_kurisumasupateihowaitochokochan03.jpg?201912-3-RELEASE-dice-e-444x", "■")</f>
        <v>■</v>
      </c>
      <c r="F464" s="7" t="s">
        <v>8654</v>
      </c>
      <c r="G464" s="7">
        <v>56316</v>
      </c>
      <c r="H464" s="7">
        <v>51078</v>
      </c>
      <c r="I464" s="7">
        <v>19</v>
      </c>
      <c r="J464" s="7" t="s">
        <v>216</v>
      </c>
      <c r="K464" s="7" t="s">
        <v>8655</v>
      </c>
      <c r="L464" s="7" t="s">
        <v>8656</v>
      </c>
      <c r="M464" s="1" t="s">
        <v>9158</v>
      </c>
      <c r="N464" s="1" t="s">
        <v>9158</v>
      </c>
      <c r="O464" s="1" t="s">
        <v>9158</v>
      </c>
      <c r="P464" s="1" t="s">
        <v>9158</v>
      </c>
      <c r="Q464" s="1" t="s">
        <v>9158</v>
      </c>
    </row>
    <row r="465" spans="1:17">
      <c r="A465" s="7">
        <v>68023</v>
      </c>
      <c r="B465" s="7" t="s">
        <v>15</v>
      </c>
      <c r="C465" s="7" t="s">
        <v>206</v>
      </c>
      <c r="D465" s="20" t="s">
        <v>10861</v>
      </c>
      <c r="E465" s="15" t="str">
        <f>HYPERLINK("https://stat100.ameba.jp/tnk47/ratio20/illustrations/card/ill_68023_kurisumasupateiwakanahime03.jpg?201912-3-RELEASE-dice-e-444x", "■")</f>
        <v>■</v>
      </c>
      <c r="F465" s="7" t="s">
        <v>8657</v>
      </c>
      <c r="G465" s="7">
        <v>56316</v>
      </c>
      <c r="H465" s="7">
        <v>51078</v>
      </c>
      <c r="I465" s="7">
        <v>19</v>
      </c>
      <c r="J465" s="7" t="s">
        <v>187</v>
      </c>
      <c r="K465" s="7" t="s">
        <v>8658</v>
      </c>
      <c r="L465" s="7" t="s">
        <v>13207</v>
      </c>
      <c r="M465" s="1" t="s">
        <v>9158</v>
      </c>
      <c r="N465" s="1" t="s">
        <v>9158</v>
      </c>
      <c r="O465" s="1" t="s">
        <v>9158</v>
      </c>
      <c r="P465" s="1" t="s">
        <v>9158</v>
      </c>
      <c r="Q465" s="1" t="s">
        <v>9158</v>
      </c>
    </row>
    <row r="466" spans="1:17">
      <c r="A466" s="7">
        <v>68013</v>
      </c>
      <c r="B466" s="7" t="s">
        <v>15</v>
      </c>
      <c r="C466" s="7" t="s">
        <v>191</v>
      </c>
      <c r="D466" s="20" t="s">
        <v>10862</v>
      </c>
      <c r="E466" s="15" t="str">
        <f>HYPERLINK("https://stat100.ameba.jp/tnk47/ratio20/illustrations/card/ill_68013_kurisumasupateikoteipenginchan03.jpg?201912-3-RELEASE-dice-e-444x", "■")</f>
        <v>■</v>
      </c>
      <c r="F466" s="7" t="s">
        <v>8659</v>
      </c>
      <c r="G466" s="7">
        <v>51078</v>
      </c>
      <c r="H466" s="7">
        <v>56316</v>
      </c>
      <c r="I466" s="7">
        <v>19</v>
      </c>
      <c r="J466" s="7" t="s">
        <v>229</v>
      </c>
      <c r="K466" s="7" t="s">
        <v>8660</v>
      </c>
      <c r="L466" s="7" t="s">
        <v>13208</v>
      </c>
      <c r="M466" s="1" t="s">
        <v>9158</v>
      </c>
      <c r="N466" s="1" t="s">
        <v>9158</v>
      </c>
      <c r="O466" s="1" t="s">
        <v>9158</v>
      </c>
      <c r="P466" s="1" t="s">
        <v>9158</v>
      </c>
      <c r="Q466" s="1" t="s">
        <v>9158</v>
      </c>
    </row>
    <row r="467" spans="1:17">
      <c r="E467" s="7"/>
    </row>
    <row r="468" spans="1:17">
      <c r="A468" s="7" t="s">
        <v>8709</v>
      </c>
      <c r="E468" s="7"/>
    </row>
    <row r="469" spans="1:17">
      <c r="A469" s="1" t="s">
        <v>8710</v>
      </c>
      <c r="E469" s="7"/>
    </row>
    <row r="470" spans="1:17">
      <c r="A470" s="1" t="s">
        <v>5778</v>
      </c>
      <c r="B470" s="1" t="s">
        <v>330</v>
      </c>
      <c r="C470" s="1" t="s">
        <v>205</v>
      </c>
      <c r="D470" s="20" t="s">
        <v>272</v>
      </c>
      <c r="E470" s="15" t="str">
        <f>HYPERLINK("https://stat100.ameba.jp/tnk47/ratio20/illustrations/card/ill_68783_0_gantammomotaro03.jpg?201912-X-RELEASE-GP-create-table", "■")</f>
        <v>■</v>
      </c>
      <c r="F470" s="1" t="s">
        <v>273</v>
      </c>
      <c r="G470" s="1">
        <v>150466</v>
      </c>
      <c r="H470" s="1">
        <v>139878</v>
      </c>
      <c r="I470" s="1">
        <v>22</v>
      </c>
      <c r="J470" s="1" t="s">
        <v>274</v>
      </c>
      <c r="K470" s="1" t="s">
        <v>275</v>
      </c>
      <c r="L470" s="1" t="s">
        <v>276</v>
      </c>
      <c r="M470" s="1" t="s">
        <v>9158</v>
      </c>
      <c r="N470" s="1" t="s">
        <v>9158</v>
      </c>
      <c r="O470" s="19" t="s">
        <v>10099</v>
      </c>
      <c r="P470" s="1" t="s">
        <v>3451</v>
      </c>
      <c r="Q470" s="1">
        <v>1</v>
      </c>
    </row>
    <row r="471" spans="1:17">
      <c r="A471" s="1">
        <v>75853</v>
      </c>
      <c r="B471" s="1" t="s">
        <v>334</v>
      </c>
      <c r="C471" s="1" t="s">
        <v>41</v>
      </c>
      <c r="D471" s="20" t="s">
        <v>10224</v>
      </c>
      <c r="E471" s="15" t="str">
        <f>HYPERLINK("https://stat100.ameba.jp/tnk47/ratio20/illustrations/card/ill_75853_moruganoyuki03.jpg?201912-X-RELEASE-GP-create-table", "■")</f>
        <v>■</v>
      </c>
      <c r="F471" s="1" t="s">
        <v>5106</v>
      </c>
      <c r="G471" s="1">
        <v>125000</v>
      </c>
      <c r="H471" s="1">
        <v>116225</v>
      </c>
      <c r="I471" s="7">
        <v>25</v>
      </c>
      <c r="J471" s="1" t="s">
        <v>16</v>
      </c>
      <c r="K471" s="1" t="s">
        <v>5108</v>
      </c>
      <c r="L471" s="1" t="s">
        <v>1881</v>
      </c>
      <c r="M471" s="1" t="s">
        <v>9158</v>
      </c>
      <c r="N471" s="1" t="s">
        <v>9158</v>
      </c>
      <c r="O471" s="19" t="s">
        <v>10070</v>
      </c>
      <c r="P471" s="1" t="s">
        <v>3579</v>
      </c>
      <c r="Q471" s="1">
        <v>1</v>
      </c>
    </row>
    <row r="472" spans="1:17">
      <c r="A472" s="1">
        <v>80573</v>
      </c>
      <c r="B472" s="1" t="s">
        <v>334</v>
      </c>
      <c r="C472" s="1" t="s">
        <v>165</v>
      </c>
      <c r="D472" s="20" t="s">
        <v>10301</v>
      </c>
      <c r="E472" s="15" t="str">
        <f>HYPERLINK("https://stat100.ameba.jp/tnk47/ratio20/illustrations/card/ill_80573_ohanamigurampingusotorihime03.jpg?201912-X-RELEASE-GP-create-table", "■")</f>
        <v>■</v>
      </c>
      <c r="F472" s="1" t="s">
        <v>4176</v>
      </c>
      <c r="G472" s="1">
        <v>114092</v>
      </c>
      <c r="H472" s="1">
        <v>105890</v>
      </c>
      <c r="I472" s="1">
        <v>25</v>
      </c>
      <c r="J472" s="1" t="s">
        <v>38</v>
      </c>
      <c r="K472" s="1" t="s">
        <v>4177</v>
      </c>
      <c r="L472" s="1" t="s">
        <v>4178</v>
      </c>
      <c r="M472" s="1" t="s">
        <v>9158</v>
      </c>
      <c r="N472" s="1" t="s">
        <v>9158</v>
      </c>
      <c r="O472" s="19" t="s">
        <v>10119</v>
      </c>
      <c r="P472" s="1" t="s">
        <v>3662</v>
      </c>
      <c r="Q472" s="1">
        <v>1</v>
      </c>
    </row>
    <row r="473" spans="1:17">
      <c r="A473" s="1">
        <v>79513</v>
      </c>
      <c r="B473" s="1" t="s">
        <v>334</v>
      </c>
      <c r="C473" s="1" t="s">
        <v>209</v>
      </c>
      <c r="D473" s="20" t="s">
        <v>10404</v>
      </c>
      <c r="E473" s="15" t="str">
        <f>HYPERLINK("https://stat100.ameba.jp/tnk47/ratio20/illustrations/card/ill_79513_suzafuonia03.jpg?201912-X-RELEASE-GP-create-table1", "■")</f>
        <v>■</v>
      </c>
      <c r="F473" s="1" t="s">
        <v>3529</v>
      </c>
      <c r="G473" s="1">
        <v>79151</v>
      </c>
      <c r="H473" s="1">
        <v>109259</v>
      </c>
      <c r="I473" s="1">
        <v>25</v>
      </c>
      <c r="J473" s="1" t="s">
        <v>10</v>
      </c>
      <c r="K473" s="1" t="s">
        <v>3532</v>
      </c>
      <c r="L473" s="1" t="s">
        <v>12</v>
      </c>
      <c r="M473" s="1" t="s">
        <v>9158</v>
      </c>
      <c r="N473" s="1" t="s">
        <v>9158</v>
      </c>
      <c r="O473" s="19" t="s">
        <v>2917</v>
      </c>
      <c r="P473" s="1" t="s">
        <v>3531</v>
      </c>
      <c r="Q473" s="1">
        <v>1</v>
      </c>
    </row>
    <row r="474" spans="1:17">
      <c r="E474" s="7"/>
    </row>
    <row r="475" spans="1:17">
      <c r="A475" s="7" t="s">
        <v>946</v>
      </c>
      <c r="E475" s="7"/>
    </row>
    <row r="476" spans="1:17">
      <c r="A476" s="7" t="s">
        <v>2590</v>
      </c>
      <c r="E476" s="7"/>
    </row>
    <row r="477" spans="1:17">
      <c r="A477" s="1" t="s">
        <v>5733</v>
      </c>
      <c r="B477" s="1" t="s">
        <v>330</v>
      </c>
      <c r="C477" s="1" t="s">
        <v>202</v>
      </c>
      <c r="D477" s="20" t="s">
        <v>2744</v>
      </c>
      <c r="E477" s="15" t="str">
        <f>HYPERLINK("https://stat100.ameba.jp/tnk47/ratio20/illustrations/card/ill_78693_0_kyupittokoinomikoto03.jpg?201912-X-RELEASE-GP-insert-battleleague", "■")</f>
        <v>■</v>
      </c>
      <c r="F477" s="1" t="s">
        <v>2745</v>
      </c>
      <c r="G477" s="1">
        <v>157198</v>
      </c>
      <c r="H477" s="1">
        <v>173933</v>
      </c>
      <c r="I477" s="1">
        <v>15</v>
      </c>
      <c r="J477" s="1" t="s">
        <v>274</v>
      </c>
      <c r="K477" s="1" t="s">
        <v>2746</v>
      </c>
      <c r="L477" s="1" t="s">
        <v>2747</v>
      </c>
      <c r="M477" s="1" t="s">
        <v>9158</v>
      </c>
      <c r="N477" s="1" t="s">
        <v>9158</v>
      </c>
      <c r="O477" s="19" t="s">
        <v>10097</v>
      </c>
      <c r="P477" s="1" t="s">
        <v>2748</v>
      </c>
      <c r="Q477" s="1">
        <v>1</v>
      </c>
    </row>
    <row r="478" spans="1:17">
      <c r="A478" s="1" t="s">
        <v>6030</v>
      </c>
      <c r="B478" s="1" t="s">
        <v>52</v>
      </c>
      <c r="C478" s="1" t="s">
        <v>202</v>
      </c>
      <c r="D478" s="20" t="s">
        <v>10453</v>
      </c>
      <c r="E478" s="15" t="str">
        <f>HYPERLINK("https://stat100.ameba.jp/tnk47/ratio20/illustrations/card/ill_80023_0_hinamatsurikyogokumaria03.jpg?201912-X-RELEASE-GP-insert-battleleague", "■")</f>
        <v>■</v>
      </c>
      <c r="F478" s="1" t="s">
        <v>3709</v>
      </c>
      <c r="G478" s="1">
        <v>202144</v>
      </c>
      <c r="H478" s="1">
        <v>223681</v>
      </c>
      <c r="I478" s="1">
        <v>15</v>
      </c>
      <c r="J478" s="1" t="s">
        <v>26</v>
      </c>
      <c r="K478" s="1" t="s">
        <v>3710</v>
      </c>
      <c r="L478" s="1" t="s">
        <v>3711</v>
      </c>
      <c r="M478" s="1" t="s">
        <v>9158</v>
      </c>
      <c r="N478" s="1" t="s">
        <v>9158</v>
      </c>
      <c r="O478" s="19" t="s">
        <v>10116</v>
      </c>
      <c r="P478" s="1" t="s">
        <v>3713</v>
      </c>
      <c r="Q478" s="1">
        <v>1</v>
      </c>
    </row>
    <row r="479" spans="1:17">
      <c r="A479" s="1" t="s">
        <v>5830</v>
      </c>
      <c r="B479" s="1" t="s">
        <v>330</v>
      </c>
      <c r="C479" s="1" t="s">
        <v>191</v>
      </c>
      <c r="D479" s="20" t="s">
        <v>793</v>
      </c>
      <c r="E479" s="15" t="str">
        <f>HYPERLINK("https://stat100.ameba.jp/tnk47/ratio20/illustrations/card/ill_39933_0_reihiiinaotora03.jpg?201912-X-RELEASE-GP-insert-battleleague", "■")</f>
        <v>■</v>
      </c>
      <c r="F479" s="1" t="s">
        <v>794</v>
      </c>
      <c r="G479" s="1">
        <v>82212</v>
      </c>
      <c r="H479" s="1">
        <v>87780</v>
      </c>
      <c r="I479" s="1">
        <v>15</v>
      </c>
      <c r="J479" s="1" t="s">
        <v>315</v>
      </c>
      <c r="K479" s="1" t="s">
        <v>795</v>
      </c>
      <c r="L479" s="1" t="s">
        <v>796</v>
      </c>
      <c r="M479" s="1" t="s">
        <v>9158</v>
      </c>
      <c r="N479" s="1" t="s">
        <v>9158</v>
      </c>
      <c r="O479" s="1" t="s">
        <v>9158</v>
      </c>
      <c r="P479" s="1" t="s">
        <v>9158</v>
      </c>
      <c r="Q479" s="1" t="s">
        <v>9158</v>
      </c>
    </row>
    <row r="480" spans="1:17">
      <c r="A480" s="1">
        <v>85853</v>
      </c>
      <c r="B480" s="1" t="s">
        <v>0</v>
      </c>
      <c r="C480" s="1" t="s">
        <v>205</v>
      </c>
      <c r="D480" s="20" t="s">
        <v>10867</v>
      </c>
      <c r="E480" s="15" t="str">
        <f>HYPERLINK("https://stat100.ameba.jp/tnk47/ratio20/illustrations/card/ill_85853_omochaitsukushimanonaiji03.jpg?201912-X-RELEASE-GP-insert-battleleague", "■")</f>
        <v>■</v>
      </c>
      <c r="F480" s="1" t="s">
        <v>8729</v>
      </c>
      <c r="G480" s="1">
        <v>70844</v>
      </c>
      <c r="H480" s="1">
        <v>125931</v>
      </c>
      <c r="I480" s="1">
        <v>25</v>
      </c>
      <c r="J480" s="1" t="s">
        <v>8724</v>
      </c>
      <c r="K480" s="1" t="s">
        <v>8728</v>
      </c>
      <c r="L480" s="1" t="s">
        <v>8727</v>
      </c>
      <c r="M480" s="1" t="s">
        <v>9158</v>
      </c>
      <c r="N480" s="1" t="s">
        <v>9158</v>
      </c>
      <c r="O480" s="1" t="s">
        <v>9158</v>
      </c>
      <c r="P480" s="1" t="s">
        <v>9158</v>
      </c>
      <c r="Q480" s="1" t="s">
        <v>9158</v>
      </c>
    </row>
    <row r="481" spans="1:17">
      <c r="A481" s="1">
        <v>85863</v>
      </c>
      <c r="B481" s="1" t="s">
        <v>0</v>
      </c>
      <c r="C481" s="1" t="s">
        <v>185</v>
      </c>
      <c r="D481" s="20" t="s">
        <v>10868</v>
      </c>
      <c r="E481" s="15" t="str">
        <f>HYPERLINK("https://stat100.ameba.jp/tnk47/ratio20/illustrations/card/ill_85863_omochaawariteia03.jpg?201912-X-RELEASE-GP-insert-battleleague", "■")</f>
        <v>■</v>
      </c>
      <c r="F481" s="1" t="s">
        <v>8732</v>
      </c>
      <c r="G481" s="1">
        <v>67842</v>
      </c>
      <c r="H481" s="1">
        <v>120570</v>
      </c>
      <c r="I481" s="1">
        <v>25</v>
      </c>
      <c r="J481" s="1" t="s">
        <v>8725</v>
      </c>
      <c r="K481" s="1" t="s">
        <v>8731</v>
      </c>
      <c r="L481" s="1" t="s">
        <v>8730</v>
      </c>
      <c r="M481" s="1" t="s">
        <v>9158</v>
      </c>
      <c r="N481" s="1" t="s">
        <v>9158</v>
      </c>
      <c r="O481" s="1" t="s">
        <v>9158</v>
      </c>
      <c r="P481" s="1" t="s">
        <v>9158</v>
      </c>
      <c r="Q481" s="1" t="s">
        <v>9158</v>
      </c>
    </row>
    <row r="482" spans="1:17">
      <c r="A482" s="1">
        <v>70803</v>
      </c>
      <c r="B482" s="1" t="s">
        <v>0</v>
      </c>
      <c r="C482" s="1" t="s">
        <v>165</v>
      </c>
      <c r="D482" s="20" t="s">
        <v>10341</v>
      </c>
      <c r="E482" s="15" t="str">
        <f>HYPERLINK("https://stat100.ameba.jp/tnk47/ratio20/illustrations/card/ill_70803_awabichan03.jpg?201912-X-RELEASE-GP-insert-battleleague", "■")</f>
        <v>■</v>
      </c>
      <c r="F482" s="1" t="s">
        <v>8735</v>
      </c>
      <c r="G482" s="1">
        <v>70455</v>
      </c>
      <c r="H482" s="1">
        <v>125213</v>
      </c>
      <c r="I482" s="1">
        <v>25</v>
      </c>
      <c r="J482" s="1" t="s">
        <v>8726</v>
      </c>
      <c r="K482" s="1" t="s">
        <v>8734</v>
      </c>
      <c r="L482" s="1" t="s">
        <v>8733</v>
      </c>
      <c r="M482" s="1" t="s">
        <v>9158</v>
      </c>
      <c r="N482" s="1" t="s">
        <v>9158</v>
      </c>
      <c r="O482" s="1" t="s">
        <v>9158</v>
      </c>
      <c r="P482" s="1" t="s">
        <v>9158</v>
      </c>
      <c r="Q482" s="1" t="s">
        <v>9158</v>
      </c>
    </row>
    <row r="483" spans="1:17">
      <c r="A483" s="1">
        <v>68473</v>
      </c>
      <c r="B483" s="1" t="s">
        <v>15</v>
      </c>
      <c r="C483" s="1" t="s">
        <v>185</v>
      </c>
      <c r="D483" s="20" t="s">
        <v>10510</v>
      </c>
      <c r="E483" s="15" t="str">
        <f>HYPERLINK("https://stat100.ameba.jp/tnk47/ratio20/illustrations/card/ill_68473_sunogurabianakanotakeko03.jpg?201912-X-RELEASE-GP-insert-battleleague", "■")</f>
        <v>■</v>
      </c>
      <c r="F483" s="1" t="s">
        <v>3324</v>
      </c>
      <c r="G483" s="1">
        <v>51078</v>
      </c>
      <c r="H483" s="1">
        <v>56316</v>
      </c>
      <c r="I483" s="1">
        <v>19</v>
      </c>
      <c r="J483" s="1" t="s">
        <v>143</v>
      </c>
      <c r="K483" s="1" t="s">
        <v>3325</v>
      </c>
      <c r="L483" s="1" t="s">
        <v>3326</v>
      </c>
      <c r="M483" s="1" t="s">
        <v>9158</v>
      </c>
      <c r="N483" s="1" t="s">
        <v>9158</v>
      </c>
      <c r="O483" s="1" t="s">
        <v>9158</v>
      </c>
      <c r="P483" s="1" t="s">
        <v>9158</v>
      </c>
      <c r="Q483" s="1" t="s">
        <v>9158</v>
      </c>
    </row>
    <row r="484" spans="1:17">
      <c r="A484" s="1">
        <v>77443</v>
      </c>
      <c r="B484" s="1" t="s">
        <v>15</v>
      </c>
      <c r="C484" s="1" t="s">
        <v>191</v>
      </c>
      <c r="D484" s="20" t="s">
        <v>1666</v>
      </c>
      <c r="E484" s="15" t="str">
        <f>HYPERLINK("https://stat100.ameba.jp/tnk47/ratio20/illustrations/card/ill_77443_kaiinu03.jpg?201912-X-RELEASE-GP-insert-battleleague", "■")</f>
        <v>■</v>
      </c>
      <c r="F484" s="1" t="s">
        <v>1727</v>
      </c>
      <c r="G484" s="1">
        <v>51078</v>
      </c>
      <c r="H484" s="1">
        <v>56316</v>
      </c>
      <c r="I484" s="1">
        <v>19</v>
      </c>
      <c r="J484" s="1" t="s">
        <v>26</v>
      </c>
      <c r="K484" s="1" t="s">
        <v>1728</v>
      </c>
      <c r="L484" s="1" t="s">
        <v>977</v>
      </c>
      <c r="M484" s="1" t="s">
        <v>9158</v>
      </c>
      <c r="N484" s="1" t="s">
        <v>9158</v>
      </c>
      <c r="O484" s="1" t="s">
        <v>9158</v>
      </c>
      <c r="P484" s="1" t="s">
        <v>9158</v>
      </c>
      <c r="Q484" s="1" t="s">
        <v>9158</v>
      </c>
    </row>
    <row r="485" spans="1:17">
      <c r="A485" s="1">
        <v>81993</v>
      </c>
      <c r="B485" s="1" t="s">
        <v>15</v>
      </c>
      <c r="C485" s="1" t="s">
        <v>206</v>
      </c>
      <c r="D485" s="20" t="s">
        <v>10207</v>
      </c>
      <c r="E485" s="15" t="str">
        <f>HYPERLINK("https://stat100.ameba.jp/tnk47/ratio20/illustrations/card/ill_81993_hinohikarichan03.jpg?201912-X-RELEASE-GP-insert-battleleague", "■")</f>
        <v>■</v>
      </c>
      <c r="F485" s="1" t="s">
        <v>5027</v>
      </c>
      <c r="G485" s="1">
        <v>51078</v>
      </c>
      <c r="H485" s="1">
        <v>56316</v>
      </c>
      <c r="I485" s="1">
        <v>19</v>
      </c>
      <c r="J485" s="1" t="s">
        <v>104</v>
      </c>
      <c r="K485" s="1" t="s">
        <v>5029</v>
      </c>
      <c r="L485" s="1" t="s">
        <v>1757</v>
      </c>
      <c r="M485" s="1" t="s">
        <v>9158</v>
      </c>
      <c r="N485" s="1" t="s">
        <v>9158</v>
      </c>
      <c r="O485" s="1" t="s">
        <v>9158</v>
      </c>
      <c r="P485" s="1" t="s">
        <v>9158</v>
      </c>
      <c r="Q485" s="1" t="s">
        <v>9158</v>
      </c>
    </row>
    <row r="486" spans="1:17">
      <c r="E486" s="7"/>
    </row>
    <row r="487" spans="1:17">
      <c r="A487" s="7" t="s">
        <v>8722</v>
      </c>
      <c r="E487" s="7"/>
    </row>
    <row r="488" spans="1:17">
      <c r="A488" s="1" t="s">
        <v>8723</v>
      </c>
      <c r="B488" s="1"/>
      <c r="C488" s="1"/>
      <c r="D488" s="1"/>
      <c r="F488" s="1"/>
      <c r="G488" s="1"/>
      <c r="H488" s="1"/>
      <c r="I488" s="1"/>
      <c r="J488" s="1"/>
      <c r="K488" s="1"/>
      <c r="L488" s="1"/>
      <c r="M488" s="1"/>
      <c r="N488" s="1"/>
      <c r="O488" s="1"/>
      <c r="P488" s="1"/>
      <c r="Q488" s="1"/>
    </row>
    <row r="489" spans="1:17">
      <c r="A489" s="1" t="s">
        <v>5843</v>
      </c>
      <c r="B489" s="1" t="s">
        <v>52</v>
      </c>
      <c r="C489" s="1" t="s">
        <v>202</v>
      </c>
      <c r="D489" s="20" t="s">
        <v>10291</v>
      </c>
      <c r="E489" s="15" t="str">
        <f>HYPERLINK("https://stat100.ameba.jp/tnk47/ratio20/illustrations/card/ill_77963_0_kurisumasudaisakusentakiyashahime03.jpg?201912-X-RELEASE-GP-insert-battleleague", "■")</f>
        <v>■</v>
      </c>
      <c r="F489" s="1" t="s">
        <v>2127</v>
      </c>
      <c r="G489" s="1">
        <v>294746</v>
      </c>
      <c r="H489" s="1">
        <v>266388</v>
      </c>
      <c r="I489" s="1">
        <v>24</v>
      </c>
      <c r="J489" s="1" t="s">
        <v>77</v>
      </c>
      <c r="K489" s="1" t="s">
        <v>2128</v>
      </c>
      <c r="L489" s="1" t="s">
        <v>2129</v>
      </c>
      <c r="M489" s="1" t="s">
        <v>9158</v>
      </c>
      <c r="N489" s="1" t="s">
        <v>9158</v>
      </c>
      <c r="O489" s="19" t="s">
        <v>10107</v>
      </c>
      <c r="P489" s="1" t="s">
        <v>3589</v>
      </c>
      <c r="Q489" s="1">
        <v>2</v>
      </c>
    </row>
    <row r="490" spans="1:17">
      <c r="A490" s="1">
        <v>66353</v>
      </c>
      <c r="B490" s="1" t="s">
        <v>0</v>
      </c>
      <c r="C490" s="1" t="s">
        <v>41</v>
      </c>
      <c r="D490" s="20" t="s">
        <v>440</v>
      </c>
      <c r="E490" s="15" t="str">
        <f>HYPERLINK("https://stat100.ameba.jp/tnk47/ratio20/illustrations/card/ill_66353_kajiwaranyudotoan03.jpg?201912-X-RELEASE-GP-insert-battleleague", "■")</f>
        <v>■</v>
      </c>
      <c r="F490" s="1" t="s">
        <v>142</v>
      </c>
      <c r="G490" s="1">
        <v>166328</v>
      </c>
      <c r="H490" s="1">
        <v>120475</v>
      </c>
      <c r="I490" s="1">
        <v>25</v>
      </c>
      <c r="J490" s="1" t="s">
        <v>143</v>
      </c>
      <c r="K490" s="1" t="s">
        <v>144</v>
      </c>
      <c r="L490" s="1" t="s">
        <v>145</v>
      </c>
      <c r="M490" s="1" t="s">
        <v>9158</v>
      </c>
      <c r="N490" s="1" t="s">
        <v>9158</v>
      </c>
      <c r="O490" s="19" t="s">
        <v>10102</v>
      </c>
      <c r="P490" s="1" t="s">
        <v>3672</v>
      </c>
      <c r="Q490" s="1">
        <v>1</v>
      </c>
    </row>
    <row r="491" spans="1:17">
      <c r="A491" s="7">
        <v>59423</v>
      </c>
      <c r="B491" s="1" t="s">
        <v>334</v>
      </c>
      <c r="C491" s="1" t="s">
        <v>209</v>
      </c>
      <c r="D491" s="20" t="s">
        <v>10286</v>
      </c>
      <c r="E491" s="15" t="str">
        <f>HYPERLINK("https://stat100.ameba.jp/tnk47/ratio20/illustrations/card/ill_59423_yuishosetsu03.jpg?201912-X-RELEASE-GP-insert-battleleague", "■")</f>
        <v>■</v>
      </c>
      <c r="F491" s="1" t="s">
        <v>1143</v>
      </c>
      <c r="G491" s="1">
        <v>113463</v>
      </c>
      <c r="H491" s="1">
        <v>82205</v>
      </c>
      <c r="I491" s="1">
        <v>25</v>
      </c>
      <c r="J491" s="1" t="s">
        <v>16</v>
      </c>
      <c r="K491" s="1" t="s">
        <v>1144</v>
      </c>
      <c r="L491" s="1" t="s">
        <v>1149</v>
      </c>
      <c r="M491" s="1" t="s">
        <v>9158</v>
      </c>
      <c r="N491" s="1" t="s">
        <v>9158</v>
      </c>
      <c r="O491" s="19" t="s">
        <v>2951</v>
      </c>
      <c r="P491" s="1" t="s">
        <v>13122</v>
      </c>
      <c r="Q491" s="1">
        <v>1</v>
      </c>
    </row>
    <row r="492" spans="1:17">
      <c r="A492" s="1">
        <v>75053</v>
      </c>
      <c r="B492" s="1" t="s">
        <v>334</v>
      </c>
      <c r="C492" s="1" t="s">
        <v>47</v>
      </c>
      <c r="D492" s="20" t="s">
        <v>10366</v>
      </c>
      <c r="E492" s="15" t="str">
        <f>HYPERLINK("https://stat100.ameba.jp/tnk47/ratio20/illustrations/card/ill_75053_goshikinuma03.jpg?201912-X-RELEASE-GP-insert-battleleague", "■")</f>
        <v>■</v>
      </c>
      <c r="F492" s="1" t="s">
        <v>5644</v>
      </c>
      <c r="G492" s="1">
        <v>92318</v>
      </c>
      <c r="H492" s="1">
        <v>127464</v>
      </c>
      <c r="I492" s="1">
        <v>25</v>
      </c>
      <c r="J492" s="1" t="s">
        <v>26</v>
      </c>
      <c r="K492" s="1" t="s">
        <v>5646</v>
      </c>
      <c r="L492" s="1" t="s">
        <v>2137</v>
      </c>
      <c r="M492" s="1" t="s">
        <v>9158</v>
      </c>
      <c r="N492" s="1" t="s">
        <v>9158</v>
      </c>
      <c r="O492" s="19" t="s">
        <v>10093</v>
      </c>
      <c r="P492" s="1" t="s">
        <v>13145</v>
      </c>
      <c r="Q492" s="1">
        <v>1</v>
      </c>
    </row>
    <row r="493" spans="1:17">
      <c r="E493" s="7"/>
    </row>
    <row r="494" spans="1:17">
      <c r="A494" s="7" t="s">
        <v>8736</v>
      </c>
      <c r="E494" s="7"/>
    </row>
    <row r="495" spans="1:17">
      <c r="A495" s="1" t="s">
        <v>8737</v>
      </c>
      <c r="E495" s="7"/>
    </row>
    <row r="496" spans="1:17">
      <c r="A496" s="7" t="s">
        <v>8752</v>
      </c>
      <c r="B496" s="7" t="s">
        <v>8738</v>
      </c>
      <c r="C496" s="7" t="s">
        <v>8739</v>
      </c>
      <c r="D496" s="20" t="s">
        <v>10869</v>
      </c>
      <c r="E496" s="15" t="str">
        <f>HYPERLINK("https://stat100.ameba.jp/tnk47/ratio20/illustrations/card/ill_86713_0_tenkuroenjieruzu03.jpg?201912-X-RELEASE-GP-insert-battleleague", "■")</f>
        <v>■</v>
      </c>
      <c r="F496" s="7" t="s">
        <v>8755</v>
      </c>
      <c r="G496" s="7">
        <v>406728</v>
      </c>
      <c r="H496" s="7">
        <v>450016</v>
      </c>
      <c r="I496" s="7">
        <v>35</v>
      </c>
      <c r="J496" s="1" t="s">
        <v>274</v>
      </c>
      <c r="K496" s="7" t="s">
        <v>8754</v>
      </c>
      <c r="L496" s="7" t="s">
        <v>8753</v>
      </c>
      <c r="M496" s="1" t="s">
        <v>9158</v>
      </c>
      <c r="N496" s="1" t="s">
        <v>9158</v>
      </c>
      <c r="O496" s="1" t="s">
        <v>9158</v>
      </c>
      <c r="P496" s="1" t="s">
        <v>9158</v>
      </c>
      <c r="Q496" s="1" t="s">
        <v>9158</v>
      </c>
    </row>
    <row r="497" spans="1:17">
      <c r="A497" s="7" t="s">
        <v>8241</v>
      </c>
      <c r="B497" s="7" t="s">
        <v>117</v>
      </c>
      <c r="C497" s="7" t="s">
        <v>202</v>
      </c>
      <c r="D497" s="20" t="s">
        <v>10794</v>
      </c>
      <c r="E497" s="15" t="str">
        <f>HYPERLINK("https://stat100.ameba.jp/tnk47/ratio20/illustrations/card/ill_86053_0_tenkuroesupizeroichi03.jpg?201912-X-RELEASE-GP-insert-battleleague", "■")</f>
        <v>■</v>
      </c>
      <c r="F497" s="7" t="s">
        <v>8244</v>
      </c>
      <c r="G497" s="7">
        <v>450016</v>
      </c>
      <c r="H497" s="7">
        <v>406728</v>
      </c>
      <c r="I497" s="7">
        <v>35</v>
      </c>
      <c r="J497" s="1" t="s">
        <v>44</v>
      </c>
      <c r="K497" s="7" t="s">
        <v>8243</v>
      </c>
      <c r="L497" s="7" t="s">
        <v>8242</v>
      </c>
      <c r="M497" s="1" t="s">
        <v>9158</v>
      </c>
      <c r="N497" s="1" t="s">
        <v>9158</v>
      </c>
      <c r="O497" s="1" t="s">
        <v>9158</v>
      </c>
      <c r="P497" s="1" t="s">
        <v>9158</v>
      </c>
      <c r="Q497" s="1" t="s">
        <v>9158</v>
      </c>
    </row>
    <row r="498" spans="1:17">
      <c r="A498" s="1" t="s">
        <v>5601</v>
      </c>
      <c r="B498" s="1" t="s">
        <v>330</v>
      </c>
      <c r="C498" s="1" t="s">
        <v>35</v>
      </c>
      <c r="D498" s="20" t="s">
        <v>10318</v>
      </c>
      <c r="E498" s="15" t="str">
        <f>HYPERLINK("https://stat100.ameba.jp/tnk47/ratio20/illustrations/card/ill_82423_0_bikinigarukishi03.jpg?201912-X-RELEASE-GP-insert-battleleague", "■")</f>
        <v>■</v>
      </c>
      <c r="F498" s="1" t="s">
        <v>5391</v>
      </c>
      <c r="G498" s="1">
        <v>266382</v>
      </c>
      <c r="H498" s="1">
        <v>240760</v>
      </c>
      <c r="I498" s="1">
        <v>22</v>
      </c>
      <c r="J498" s="1" t="s">
        <v>77</v>
      </c>
      <c r="K498" s="1" t="s">
        <v>5392</v>
      </c>
      <c r="L498" s="1" t="s">
        <v>5393</v>
      </c>
      <c r="M498" s="1" t="s">
        <v>9158</v>
      </c>
      <c r="N498" s="1" t="s">
        <v>9158</v>
      </c>
      <c r="O498" s="19" t="s">
        <v>10069</v>
      </c>
      <c r="P498" s="1" t="s">
        <v>5394</v>
      </c>
      <c r="Q498" s="1">
        <v>1</v>
      </c>
    </row>
    <row r="499" spans="1:17">
      <c r="A499" s="1">
        <v>83903</v>
      </c>
      <c r="B499" s="1" t="s">
        <v>0</v>
      </c>
      <c r="C499" s="1" t="s">
        <v>185</v>
      </c>
      <c r="D499" s="20" t="s">
        <v>10643</v>
      </c>
      <c r="E499" s="15" t="str">
        <f>HYPERLINK("https://stat100.ameba.jp/tnk47/ratio20/illustrations/card/ill_83903_manekinekotsurumyojin03.jpg?201912-X-RELEASE-GP-insert-battleleague", "■")</f>
        <v>■</v>
      </c>
      <c r="F499" s="1" t="s">
        <v>7078</v>
      </c>
      <c r="G499" s="1">
        <v>114092</v>
      </c>
      <c r="H499" s="1">
        <v>105890</v>
      </c>
      <c r="I499" s="1">
        <v>25</v>
      </c>
      <c r="J499" s="1" t="s">
        <v>38</v>
      </c>
      <c r="K499" s="1" t="s">
        <v>7077</v>
      </c>
      <c r="L499" s="1" t="s">
        <v>4856</v>
      </c>
      <c r="M499" s="1" t="s">
        <v>9158</v>
      </c>
      <c r="N499" s="1" t="s">
        <v>9158</v>
      </c>
      <c r="O499" s="1" t="s">
        <v>9158</v>
      </c>
      <c r="P499" s="1" t="s">
        <v>9158</v>
      </c>
      <c r="Q499" s="1" t="s">
        <v>9158</v>
      </c>
    </row>
    <row r="500" spans="1:17">
      <c r="A500" s="1">
        <v>83163</v>
      </c>
      <c r="B500" s="1" t="s">
        <v>0</v>
      </c>
      <c r="C500" s="1" t="s">
        <v>200</v>
      </c>
      <c r="D500" s="20" t="s">
        <v>10480</v>
      </c>
      <c r="E500" s="15" t="str">
        <f>HYPERLINK("https://stat100.ameba.jp/tnk47/ratio20/illustrations/card/ill_83163_mangamatsurifutomakimatsurizushi03.jpg?201912-X-RELEASE-GP-insert-battleleague", "■")</f>
        <v>■</v>
      </c>
      <c r="F500" s="1" t="s">
        <v>6164</v>
      </c>
      <c r="G500" s="1">
        <v>118063</v>
      </c>
      <c r="H500" s="1">
        <v>109786</v>
      </c>
      <c r="I500" s="1">
        <v>25</v>
      </c>
      <c r="J500" s="1" t="s">
        <v>104</v>
      </c>
      <c r="K500" s="1" t="s">
        <v>6166</v>
      </c>
      <c r="L500" s="1" t="s">
        <v>2409</v>
      </c>
      <c r="M500" s="1" t="s">
        <v>9158</v>
      </c>
      <c r="N500" s="1" t="s">
        <v>9158</v>
      </c>
      <c r="O500" s="1" t="s">
        <v>9158</v>
      </c>
      <c r="P500" s="1" t="s">
        <v>9158</v>
      </c>
      <c r="Q500" s="1" t="s">
        <v>9158</v>
      </c>
    </row>
    <row r="501" spans="1:17">
      <c r="A501" s="1">
        <v>67383</v>
      </c>
      <c r="B501" s="1" t="s">
        <v>0</v>
      </c>
      <c r="C501" s="1" t="s">
        <v>191</v>
      </c>
      <c r="D501" s="20" t="s">
        <v>576</v>
      </c>
      <c r="E501" s="15" t="str">
        <f>HYPERLINK("https://stat100.ameba.jp/tnk47/ratio20/illustrations/card/ill_67383_jobayamakawatomiko03.jpg?201912-X-RELEASE-GP-insert-battleleague", "■")</f>
        <v>■</v>
      </c>
      <c r="F501" s="1" t="s">
        <v>1134</v>
      </c>
      <c r="G501" s="1">
        <v>97651</v>
      </c>
      <c r="H501" s="1">
        <v>90759</v>
      </c>
      <c r="I501" s="1">
        <v>25</v>
      </c>
      <c r="J501" s="1" t="s">
        <v>10</v>
      </c>
      <c r="K501" s="1" t="s">
        <v>1135</v>
      </c>
      <c r="L501" s="1" t="s">
        <v>1136</v>
      </c>
      <c r="M501" s="1" t="s">
        <v>9158</v>
      </c>
      <c r="N501" s="1" t="s">
        <v>9158</v>
      </c>
      <c r="O501" s="1" t="s">
        <v>9158</v>
      </c>
      <c r="P501" s="1" t="s">
        <v>9158</v>
      </c>
      <c r="Q501" s="1" t="s">
        <v>9158</v>
      </c>
    </row>
    <row r="502" spans="1:17">
      <c r="A502" s="1">
        <v>78993</v>
      </c>
      <c r="B502" s="1" t="s">
        <v>0</v>
      </c>
      <c r="C502" s="1" t="s">
        <v>165</v>
      </c>
      <c r="D502" s="20" t="s">
        <v>14607</v>
      </c>
      <c r="E502" s="15" t="str">
        <f>HYPERLINK("https://stat100.ameba.jp/tnk47/ratio20/illustrations/card/ill_78993_uintasupotsutsukimizakechan03.jpg?201912-X-RELEASE-GP-insert-battleleague", "■")</f>
        <v>■</v>
      </c>
      <c r="F502" s="1" t="s">
        <v>6842</v>
      </c>
      <c r="G502" s="1">
        <v>118063</v>
      </c>
      <c r="H502" s="1">
        <v>109786</v>
      </c>
      <c r="I502" s="1">
        <v>25</v>
      </c>
      <c r="J502" s="1" t="s">
        <v>216</v>
      </c>
      <c r="K502" s="1" t="s">
        <v>6841</v>
      </c>
      <c r="L502" s="1" t="s">
        <v>1108</v>
      </c>
      <c r="M502" s="1" t="s">
        <v>9158</v>
      </c>
      <c r="N502" s="1" t="s">
        <v>9158</v>
      </c>
      <c r="O502" s="1" t="s">
        <v>9158</v>
      </c>
      <c r="P502" s="1" t="s">
        <v>9158</v>
      </c>
      <c r="Q502" s="1" t="s">
        <v>9158</v>
      </c>
    </row>
    <row r="503" spans="1:17">
      <c r="A503" s="1">
        <v>53993</v>
      </c>
      <c r="B503" s="1" t="s">
        <v>0</v>
      </c>
      <c r="C503" s="1" t="s">
        <v>205</v>
      </c>
      <c r="D503" s="20" t="s">
        <v>10704</v>
      </c>
      <c r="E503" s="15" t="str">
        <f>HYPERLINK("https://stat100.ameba.jp/tnk47/ratio20/illustrations/card/ill_53993_seiryumeguriakashirejina03.jpg?201912-X-RELEASE-GP-insert-battleleague", "■")</f>
        <v>■</v>
      </c>
      <c r="F503" s="1" t="s">
        <v>7481</v>
      </c>
      <c r="G503" s="1">
        <v>96360</v>
      </c>
      <c r="H503" s="1">
        <v>89590</v>
      </c>
      <c r="I503" s="1">
        <v>25</v>
      </c>
      <c r="J503" s="1" t="s">
        <v>173</v>
      </c>
      <c r="K503" s="1" t="s">
        <v>7480</v>
      </c>
      <c r="L503" s="1" t="s">
        <v>7479</v>
      </c>
      <c r="M503" s="1" t="s">
        <v>9158</v>
      </c>
      <c r="N503" s="1" t="s">
        <v>9158</v>
      </c>
      <c r="O503" s="1" t="s">
        <v>9158</v>
      </c>
      <c r="P503" s="1" t="s">
        <v>9158</v>
      </c>
      <c r="Q503" s="1" t="s">
        <v>9158</v>
      </c>
    </row>
    <row r="504" spans="1:17">
      <c r="A504" s="1">
        <v>80943</v>
      </c>
      <c r="B504" s="1" t="s">
        <v>334</v>
      </c>
      <c r="C504" s="1" t="s">
        <v>107</v>
      </c>
      <c r="D504" s="20" t="s">
        <v>10707</v>
      </c>
      <c r="E504" s="15" t="str">
        <f>HYPERLINK("https://stat100.ameba.jp/tnk47/ratio20/illustrations/card/ill_80943_shinshakaijimburakkuparu03.jpg?201912-X-RELEASE-GP-insert-battleleague", "■")</f>
        <v>■</v>
      </c>
      <c r="F504" s="1" t="s">
        <v>4453</v>
      </c>
      <c r="G504" s="1">
        <v>97651</v>
      </c>
      <c r="H504" s="1">
        <v>90759</v>
      </c>
      <c r="I504" s="1">
        <v>25</v>
      </c>
      <c r="J504" s="1" t="s">
        <v>16</v>
      </c>
      <c r="K504" s="1" t="s">
        <v>4454</v>
      </c>
      <c r="L504" s="1" t="s">
        <v>4455</v>
      </c>
      <c r="M504" s="1" t="s">
        <v>9158</v>
      </c>
      <c r="N504" s="1" t="s">
        <v>9158</v>
      </c>
      <c r="O504" s="1" t="s">
        <v>9158</v>
      </c>
      <c r="P504" s="1" t="s">
        <v>9158</v>
      </c>
      <c r="Q504" s="1" t="s">
        <v>9158</v>
      </c>
    </row>
    <row r="505" spans="1:17">
      <c r="E505" s="7"/>
    </row>
    <row r="506" spans="1:17">
      <c r="A506" s="7" t="s">
        <v>8741</v>
      </c>
      <c r="E506" s="7"/>
    </row>
    <row r="507" spans="1:17">
      <c r="A507" s="1" t="s">
        <v>8742</v>
      </c>
      <c r="E507" s="7"/>
    </row>
    <row r="508" spans="1:17">
      <c r="A508" s="1" t="s">
        <v>5650</v>
      </c>
      <c r="B508" s="1" t="s">
        <v>52</v>
      </c>
      <c r="C508" s="1" t="s">
        <v>23</v>
      </c>
      <c r="D508" s="20" t="s">
        <v>809</v>
      </c>
      <c r="E508" s="15" t="str">
        <f>HYPERLINK("https://stat100.ameba.jp/tnk47/ratio20/illustrations/card/ill_68033_0_kurisumasupateikandamyojin03.jpg?201912-X-RELEASE-GP-insert-battleleaguex", "■")</f>
        <v>■</v>
      </c>
      <c r="F508" s="1" t="s">
        <v>1871</v>
      </c>
      <c r="G508" s="1">
        <v>146235</v>
      </c>
      <c r="H508" s="1">
        <v>157306</v>
      </c>
      <c r="I508" s="1">
        <v>23</v>
      </c>
      <c r="J508" s="1" t="s">
        <v>44</v>
      </c>
      <c r="K508" s="1" t="s">
        <v>1872</v>
      </c>
      <c r="L508" s="1" t="s">
        <v>1873</v>
      </c>
      <c r="M508" s="1" t="s">
        <v>9158</v>
      </c>
      <c r="N508" s="1" t="s">
        <v>9158</v>
      </c>
      <c r="O508" s="19" t="s">
        <v>2997</v>
      </c>
      <c r="P508" s="1" t="s">
        <v>3483</v>
      </c>
      <c r="Q508" s="1">
        <v>2</v>
      </c>
    </row>
    <row r="509" spans="1:17">
      <c r="A509" s="1" t="s">
        <v>5624</v>
      </c>
      <c r="B509" s="1" t="s">
        <v>52</v>
      </c>
      <c r="C509" s="1" t="s">
        <v>101</v>
      </c>
      <c r="D509" s="20" t="s">
        <v>1426</v>
      </c>
      <c r="E509" s="15" t="str">
        <f>HYPERLINK("https://stat100.ameba.jp/tnk47/ratio20/illustrations/card/ill_64953_0_yukatatokugawayoshinobu03.jpg?201912-X-RELEASE-GP-insert-battleleaguex", "■")</f>
        <v>■</v>
      </c>
      <c r="F509" s="1" t="s">
        <v>2090</v>
      </c>
      <c r="G509" s="1">
        <v>143290</v>
      </c>
      <c r="H509" s="1">
        <v>154104</v>
      </c>
      <c r="I509" s="1">
        <v>23</v>
      </c>
      <c r="J509" s="1" t="s">
        <v>10</v>
      </c>
      <c r="K509" s="1" t="s">
        <v>2091</v>
      </c>
      <c r="L509" s="1" t="s">
        <v>2092</v>
      </c>
      <c r="M509" s="1" t="s">
        <v>9158</v>
      </c>
      <c r="N509" s="1" t="s">
        <v>9158</v>
      </c>
      <c r="O509" s="19" t="s">
        <v>2889</v>
      </c>
      <c r="P509" s="1" t="s">
        <v>2890</v>
      </c>
      <c r="Q509" s="1">
        <v>1</v>
      </c>
    </row>
    <row r="510" spans="1:17">
      <c r="A510" s="1" t="s">
        <v>5902</v>
      </c>
      <c r="B510" s="1" t="s">
        <v>330</v>
      </c>
      <c r="C510" s="1" t="s">
        <v>206</v>
      </c>
      <c r="D510" s="20" t="s">
        <v>483</v>
      </c>
      <c r="E510" s="15" t="str">
        <f>HYPERLINK("https://stat100.ameba.jp/tnk47/ratio20/illustrations/card/ill_40343_0_heshikirihasebekurodakambe03.jpg?201912-X-RELEASE-GP-insert-battleleaguex", "■")</f>
        <v>■</v>
      </c>
      <c r="F510" s="1" t="s">
        <v>906</v>
      </c>
      <c r="G510" s="1">
        <v>134596</v>
      </c>
      <c r="H510" s="1">
        <v>126058</v>
      </c>
      <c r="I510" s="1">
        <v>23</v>
      </c>
      <c r="J510" s="1" t="s">
        <v>16</v>
      </c>
      <c r="K510" s="1" t="s">
        <v>907</v>
      </c>
      <c r="L510" s="1" t="s">
        <v>908</v>
      </c>
      <c r="M510" s="1" t="s">
        <v>9158</v>
      </c>
      <c r="N510" s="1" t="s">
        <v>9158</v>
      </c>
      <c r="O510" s="1" t="s">
        <v>9158</v>
      </c>
      <c r="P510" s="1" t="s">
        <v>9158</v>
      </c>
      <c r="Q510" s="1" t="s">
        <v>9158</v>
      </c>
    </row>
    <row r="511" spans="1:17">
      <c r="A511" s="1">
        <v>58803</v>
      </c>
      <c r="B511" s="1" t="s">
        <v>0</v>
      </c>
      <c r="C511" s="1" t="s">
        <v>205</v>
      </c>
      <c r="D511" s="20" t="s">
        <v>10210</v>
      </c>
      <c r="E511" s="15" t="str">
        <f>HYPERLINK("https://stat100.ameba.jp/tnk47/ratio20/illustrations/card/ill_58803_setsubumpanikkumimuratsuru03.jpg?201912-X-RELEASE-GP-insert-battleleaguex", "■")</f>
        <v>■</v>
      </c>
      <c r="F511" s="1" t="s">
        <v>2028</v>
      </c>
      <c r="G511" s="1">
        <v>148199</v>
      </c>
      <c r="H511" s="1">
        <v>89590</v>
      </c>
      <c r="I511" s="1">
        <v>25</v>
      </c>
      <c r="J511" s="1" t="s">
        <v>194</v>
      </c>
      <c r="K511" s="1" t="s">
        <v>2029</v>
      </c>
      <c r="L511" s="1" t="s">
        <v>13171</v>
      </c>
      <c r="M511" s="1" t="s">
        <v>9158</v>
      </c>
      <c r="N511" s="1" t="s">
        <v>9158</v>
      </c>
      <c r="O511" s="19" t="s">
        <v>10092</v>
      </c>
      <c r="P511" s="1" t="s">
        <v>3704</v>
      </c>
      <c r="Q511" s="1">
        <v>1</v>
      </c>
    </row>
    <row r="512" spans="1:17">
      <c r="A512" s="7">
        <v>67473</v>
      </c>
      <c r="B512" s="7" t="s">
        <v>15</v>
      </c>
      <c r="C512" s="7" t="s">
        <v>191</v>
      </c>
      <c r="D512" s="20" t="s">
        <v>10786</v>
      </c>
      <c r="E512" s="15" t="str">
        <f>HYPERLINK("https://stat100.ameba.jp/tnk47/ratio20/illustrations/card/ill_67473_yoigokochikingyonota03.jpg?201912-X-RELEASE-GP-insert-battleleaguex", "■")</f>
        <v>■</v>
      </c>
      <c r="F512" s="7" t="s">
        <v>8111</v>
      </c>
      <c r="G512" s="7">
        <v>67210</v>
      </c>
      <c r="H512" s="7">
        <v>74100</v>
      </c>
      <c r="I512" s="7">
        <v>25</v>
      </c>
      <c r="J512" s="7" t="s">
        <v>155</v>
      </c>
      <c r="K512" s="7" t="s">
        <v>8110</v>
      </c>
      <c r="L512" s="7" t="s">
        <v>1753</v>
      </c>
      <c r="M512" s="1" t="s">
        <v>9158</v>
      </c>
      <c r="N512" s="1" t="s">
        <v>9158</v>
      </c>
      <c r="O512" s="1" t="s">
        <v>9158</v>
      </c>
      <c r="P512" s="1" t="s">
        <v>9158</v>
      </c>
      <c r="Q512" s="1" t="s">
        <v>9158</v>
      </c>
    </row>
    <row r="513" spans="1:18">
      <c r="A513" s="7">
        <v>59763</v>
      </c>
      <c r="B513" s="7" t="s">
        <v>8743</v>
      </c>
      <c r="C513" s="7" t="s">
        <v>8740</v>
      </c>
      <c r="D513" s="20" t="s">
        <v>10870</v>
      </c>
      <c r="E513" s="15" t="str">
        <f>HYPERLINK("https://stat100.ameba.jp/tnk47/ratio20/illustrations/card/ill_59763_shinseiokashidorobotesso03.jpg?201912-X-RELEASE-GP-insert-battleleaguex", "■")</f>
        <v>■</v>
      </c>
      <c r="F513" s="7" t="s">
        <v>8746</v>
      </c>
      <c r="G513" s="7">
        <v>43220</v>
      </c>
      <c r="H513" s="7">
        <v>51980</v>
      </c>
      <c r="I513" s="7">
        <v>25</v>
      </c>
      <c r="J513" s="7" t="s">
        <v>8745</v>
      </c>
      <c r="K513" s="7" t="s">
        <v>8747</v>
      </c>
      <c r="L513" s="7" t="s">
        <v>13209</v>
      </c>
      <c r="M513" s="1" t="s">
        <v>9158</v>
      </c>
      <c r="N513" s="1" t="s">
        <v>9158</v>
      </c>
      <c r="O513" s="1" t="s">
        <v>9158</v>
      </c>
      <c r="P513" s="1" t="s">
        <v>9158</v>
      </c>
      <c r="Q513" s="1" t="s">
        <v>9158</v>
      </c>
    </row>
    <row r="514" spans="1:18">
      <c r="A514" s="7">
        <v>77563</v>
      </c>
      <c r="B514" s="7" t="s">
        <v>8744</v>
      </c>
      <c r="C514" s="7" t="s">
        <v>8748</v>
      </c>
      <c r="D514" s="20" t="s">
        <v>10871</v>
      </c>
      <c r="E514" s="15" t="str">
        <f>HYPERLINK("https://stat100.ameba.jp/tnk47/ratio20/illustrations/card/ill_77563_sendaidagashichan03.jpg?201912-X-RELEASE-GP-insert-battleleaguex", "■")</f>
        <v>■</v>
      </c>
      <c r="F514" s="7" t="s">
        <v>8750</v>
      </c>
      <c r="G514" s="7">
        <v>31470</v>
      </c>
      <c r="H514" s="7">
        <v>26430</v>
      </c>
      <c r="I514" s="7">
        <v>25</v>
      </c>
      <c r="J514" s="7" t="s">
        <v>8726</v>
      </c>
      <c r="K514" s="7" t="s">
        <v>8749</v>
      </c>
      <c r="L514" s="7" t="s">
        <v>13210</v>
      </c>
      <c r="M514" s="1" t="s">
        <v>9158</v>
      </c>
      <c r="N514" s="1" t="s">
        <v>9158</v>
      </c>
      <c r="O514" s="1" t="s">
        <v>9158</v>
      </c>
      <c r="P514" s="1" t="s">
        <v>9158</v>
      </c>
      <c r="Q514" s="1" t="s">
        <v>9158</v>
      </c>
    </row>
    <row r="515" spans="1:18">
      <c r="E515" s="7"/>
    </row>
    <row r="516" spans="1:18">
      <c r="A516" s="1" t="s">
        <v>13327</v>
      </c>
      <c r="B516" s="1"/>
      <c r="C516" s="1"/>
      <c r="D516" s="1"/>
      <c r="F516" s="1"/>
      <c r="G516" s="1"/>
      <c r="H516" s="1"/>
      <c r="I516" s="1"/>
      <c r="J516" s="1"/>
      <c r="K516" s="1"/>
      <c r="L516" s="1"/>
      <c r="M516" s="1"/>
      <c r="N516" s="1"/>
      <c r="O516" s="1"/>
      <c r="P516" s="1"/>
      <c r="Q516" s="1"/>
      <c r="R516" s="1"/>
    </row>
    <row r="517" spans="1:18">
      <c r="A517" s="1" t="s">
        <v>8751</v>
      </c>
      <c r="B517" s="1"/>
      <c r="C517" s="1"/>
      <c r="D517" s="1"/>
      <c r="F517" s="1"/>
      <c r="G517" s="1"/>
      <c r="H517" s="1"/>
      <c r="I517" s="1"/>
      <c r="J517" s="1"/>
      <c r="K517" s="1"/>
      <c r="L517" s="1"/>
      <c r="M517" s="1"/>
      <c r="N517" s="1"/>
      <c r="O517" s="1"/>
      <c r="P517" s="1"/>
      <c r="Q517" s="1"/>
      <c r="R517" s="1"/>
    </row>
    <row r="518" spans="1:18">
      <c r="A518" s="1">
        <v>71873</v>
      </c>
      <c r="B518" s="1" t="s">
        <v>334</v>
      </c>
      <c r="C518" s="1" t="s">
        <v>185</v>
      </c>
      <c r="D518" s="20" t="s">
        <v>10234</v>
      </c>
      <c r="E518" s="15" t="str">
        <f>HYPERLINK("https://stat100.ameba.jp/tnk47/ratio20/illustrations/card/ill_71873_akashita03.jpg?201912-X-RELEASE-GP-insert-battleleaguex", "■")</f>
        <v>■</v>
      </c>
      <c r="F518" s="6" t="s">
        <v>5952</v>
      </c>
      <c r="G518" s="1">
        <v>125851</v>
      </c>
      <c r="H518" s="1">
        <v>117005</v>
      </c>
      <c r="I518" s="1">
        <v>25</v>
      </c>
      <c r="J518" s="1" t="s">
        <v>182</v>
      </c>
      <c r="K518" s="1" t="s">
        <v>217</v>
      </c>
      <c r="L518" s="1" t="s">
        <v>13140</v>
      </c>
      <c r="M518" s="1" t="s">
        <v>13131</v>
      </c>
      <c r="N518" s="1" t="s">
        <v>251</v>
      </c>
      <c r="O518" s="1" t="s">
        <v>9158</v>
      </c>
      <c r="P518" s="1" t="s">
        <v>9158</v>
      </c>
      <c r="Q518" s="1" t="s">
        <v>9158</v>
      </c>
      <c r="R518" s="14"/>
    </row>
    <row r="519" spans="1:18">
      <c r="A519" s="1">
        <v>71872</v>
      </c>
      <c r="B519" s="1" t="s">
        <v>334</v>
      </c>
      <c r="C519" s="1" t="s">
        <v>185</v>
      </c>
      <c r="D519" s="20" t="s">
        <v>10234</v>
      </c>
      <c r="E519" s="15" t="str">
        <f>HYPERLINK("https://stat100.ameba.jp/tnk47/ratio20/illustrations/card/ill_71872_akashita02.jpg?201912-X-RELEASE-GP-insert-battleleaguex", "■")</f>
        <v>■</v>
      </c>
      <c r="F519" s="1" t="s">
        <v>5952</v>
      </c>
      <c r="G519" s="1">
        <v>105139</v>
      </c>
      <c r="H519" s="1">
        <v>96904</v>
      </c>
      <c r="I519" s="7">
        <v>25</v>
      </c>
      <c r="J519" s="1" t="s">
        <v>182</v>
      </c>
      <c r="K519" s="1" t="s">
        <v>217</v>
      </c>
      <c r="L519" s="1" t="s">
        <v>13140</v>
      </c>
      <c r="M519" s="1" t="s">
        <v>13131</v>
      </c>
      <c r="N519" s="1" t="s">
        <v>251</v>
      </c>
      <c r="O519" s="1" t="s">
        <v>9158</v>
      </c>
      <c r="P519" s="1" t="s">
        <v>9158</v>
      </c>
      <c r="Q519" s="1" t="s">
        <v>9158</v>
      </c>
      <c r="R519" s="14"/>
    </row>
    <row r="520" spans="1:18">
      <c r="A520" s="1">
        <v>71871</v>
      </c>
      <c r="B520" s="1" t="s">
        <v>334</v>
      </c>
      <c r="C520" s="1" t="s">
        <v>185</v>
      </c>
      <c r="D520" s="20" t="s">
        <v>10234</v>
      </c>
      <c r="E520" s="15" t="str">
        <f>HYPERLINK("https://stat100.ameba.jp/tnk47/ratio20/illustrations/card/ill_71871_akashita01.jpg?201912-X-RELEASE-GP-insert-battleleaguex", "■")</f>
        <v>■</v>
      </c>
      <c r="F520" s="1" t="s">
        <v>691</v>
      </c>
      <c r="G520" s="1">
        <v>80325</v>
      </c>
      <c r="H520" s="1">
        <v>74775</v>
      </c>
      <c r="I520" s="7">
        <v>25</v>
      </c>
      <c r="J520" s="1" t="s">
        <v>182</v>
      </c>
      <c r="K520" s="1" t="s">
        <v>217</v>
      </c>
      <c r="L520" s="1" t="s">
        <v>13140</v>
      </c>
      <c r="M520" s="1" t="s">
        <v>13131</v>
      </c>
      <c r="N520" s="1" t="s">
        <v>251</v>
      </c>
      <c r="O520" s="1" t="s">
        <v>9158</v>
      </c>
      <c r="P520" s="1" t="s">
        <v>9158</v>
      </c>
      <c r="Q520" s="1" t="s">
        <v>9158</v>
      </c>
      <c r="R520" s="14"/>
    </row>
    <row r="521" spans="1:18">
      <c r="A521" s="1">
        <v>72693</v>
      </c>
      <c r="B521" s="1" t="s">
        <v>334</v>
      </c>
      <c r="C521" s="1" t="s">
        <v>200</v>
      </c>
      <c r="D521" s="20" t="s">
        <v>10235</v>
      </c>
      <c r="E521" s="15" t="str">
        <f>HYPERLINK("https://stat100.ameba.jp/tnk47/ratio20/illustrations/card/ill_72693_sagarasozo03.jpg?201912-X-RELEASE-GP-insert-battleleaguex", "■")</f>
        <v>■</v>
      </c>
      <c r="F521" s="1" t="s">
        <v>692</v>
      </c>
      <c r="G521" s="1">
        <v>117005</v>
      </c>
      <c r="H521" s="1">
        <v>125851</v>
      </c>
      <c r="I521" s="7">
        <v>25</v>
      </c>
      <c r="J521" s="1" t="s">
        <v>194</v>
      </c>
      <c r="K521" s="1" t="s">
        <v>218</v>
      </c>
      <c r="L521" s="1" t="s">
        <v>9892</v>
      </c>
      <c r="M521" s="1" t="s">
        <v>13131</v>
      </c>
      <c r="N521" s="1" t="s">
        <v>251</v>
      </c>
      <c r="O521" s="1" t="s">
        <v>9158</v>
      </c>
      <c r="P521" s="1" t="s">
        <v>9158</v>
      </c>
      <c r="Q521" s="1" t="s">
        <v>9158</v>
      </c>
      <c r="R521" s="1"/>
    </row>
    <row r="522" spans="1:18">
      <c r="A522" s="1">
        <v>72703</v>
      </c>
      <c r="B522" s="1" t="s">
        <v>334</v>
      </c>
      <c r="C522" s="1" t="s">
        <v>191</v>
      </c>
      <c r="D522" s="20" t="s">
        <v>10236</v>
      </c>
      <c r="E522" s="15" t="str">
        <f>HYPERLINK("https://stat100.ameba.jp/tnk47/ratio20/illustrations/card/ill_72703_hayakawanoritsugu03.jpg?201912-X-RELEASE-GP-insert-battleleaguex", "■")</f>
        <v>■</v>
      </c>
      <c r="F522" s="1" t="s">
        <v>693</v>
      </c>
      <c r="G522" s="1">
        <v>125851</v>
      </c>
      <c r="H522" s="1">
        <v>117005</v>
      </c>
      <c r="I522" s="1">
        <v>25</v>
      </c>
      <c r="J522" s="1" t="s">
        <v>173</v>
      </c>
      <c r="K522" s="1" t="s">
        <v>219</v>
      </c>
      <c r="L522" s="1" t="s">
        <v>9893</v>
      </c>
      <c r="M522" s="1" t="s">
        <v>13131</v>
      </c>
      <c r="N522" s="1" t="s">
        <v>251</v>
      </c>
      <c r="O522" s="1" t="s">
        <v>9158</v>
      </c>
      <c r="P522" s="1" t="s">
        <v>9158</v>
      </c>
      <c r="Q522" s="1" t="s">
        <v>9158</v>
      </c>
      <c r="R522" s="1"/>
    </row>
    <row r="523" spans="1:18">
      <c r="A523" s="1">
        <v>73523</v>
      </c>
      <c r="B523" s="1" t="s">
        <v>334</v>
      </c>
      <c r="C523" s="1" t="s">
        <v>165</v>
      </c>
      <c r="D523" s="20" t="s">
        <v>10237</v>
      </c>
      <c r="E523" s="15" t="str">
        <f>HYPERLINK("https://stat100.ameba.jp/tnk47/ratio20/illustrations/card/ill_73523_marunomarudono03.jpg?201912-X-RELEASE-GP-insert-battleleaguex", "■")</f>
        <v>■</v>
      </c>
      <c r="F523" s="1" t="s">
        <v>694</v>
      </c>
      <c r="G523" s="1">
        <v>117005</v>
      </c>
      <c r="H523" s="1">
        <v>125851</v>
      </c>
      <c r="I523" s="7">
        <v>25</v>
      </c>
      <c r="J523" s="1" t="s">
        <v>187</v>
      </c>
      <c r="K523" s="1" t="s">
        <v>220</v>
      </c>
      <c r="L523" s="1" t="s">
        <v>9894</v>
      </c>
      <c r="M523" s="1" t="s">
        <v>13131</v>
      </c>
      <c r="N523" s="1" t="s">
        <v>251</v>
      </c>
      <c r="O523" s="1" t="s">
        <v>9158</v>
      </c>
      <c r="P523" s="1" t="s">
        <v>9158</v>
      </c>
      <c r="Q523" s="1" t="s">
        <v>9158</v>
      </c>
      <c r="R523" s="1"/>
    </row>
    <row r="524" spans="1:18">
      <c r="A524" s="1">
        <v>72713</v>
      </c>
      <c r="B524" s="1" t="s">
        <v>334</v>
      </c>
      <c r="C524" s="1" t="s">
        <v>205</v>
      </c>
      <c r="D524" s="20" t="s">
        <v>10238</v>
      </c>
      <c r="E524" s="15" t="str">
        <f>HYPERLINK("https://stat100.ameba.jp/tnk47/ratio20/illustrations/card/ill_72713_okamuzuminomikoto03.jpg?201912-X-RELEASE-GP-insert-battleleaguex", "■")</f>
        <v>■</v>
      </c>
      <c r="F524" s="1" t="s">
        <v>695</v>
      </c>
      <c r="G524" s="1">
        <v>117005</v>
      </c>
      <c r="H524" s="1">
        <v>125851</v>
      </c>
      <c r="I524" s="7">
        <v>25</v>
      </c>
      <c r="J524" s="1" t="s">
        <v>169</v>
      </c>
      <c r="K524" s="1" t="s">
        <v>221</v>
      </c>
      <c r="L524" s="1" t="s">
        <v>9895</v>
      </c>
      <c r="M524" s="1" t="s">
        <v>13131</v>
      </c>
      <c r="N524" s="1" t="s">
        <v>251</v>
      </c>
      <c r="O524" s="1" t="s">
        <v>9158</v>
      </c>
      <c r="P524" s="1" t="s">
        <v>9158</v>
      </c>
      <c r="Q524" s="1" t="s">
        <v>9158</v>
      </c>
      <c r="R524" s="1"/>
    </row>
    <row r="525" spans="1:18">
      <c r="A525" s="1">
        <v>73533</v>
      </c>
      <c r="B525" s="1" t="s">
        <v>334</v>
      </c>
      <c r="C525" s="1" t="s">
        <v>206</v>
      </c>
      <c r="D525" s="20" t="s">
        <v>10239</v>
      </c>
      <c r="E525" s="15" t="str">
        <f>HYPERLINK("https://stat100.ameba.jp/tnk47/ratio20/illustrations/card/ill_73533_agubutachan03.jpg?201912-X-RELEASE-GP-insert-battleleaguex", "■")</f>
        <v>■</v>
      </c>
      <c r="F525" s="1" t="s">
        <v>696</v>
      </c>
      <c r="G525" s="1">
        <v>125851</v>
      </c>
      <c r="H525" s="1">
        <v>117005</v>
      </c>
      <c r="I525" s="7">
        <v>25</v>
      </c>
      <c r="J525" s="1" t="s">
        <v>216</v>
      </c>
      <c r="K525" s="1" t="s">
        <v>697</v>
      </c>
      <c r="L525" s="1" t="s">
        <v>9896</v>
      </c>
      <c r="M525" s="1" t="s">
        <v>13131</v>
      </c>
      <c r="N525" s="1" t="s">
        <v>251</v>
      </c>
      <c r="O525" s="1" t="s">
        <v>9158</v>
      </c>
      <c r="P525" s="1" t="s">
        <v>9158</v>
      </c>
      <c r="Q525" s="1" t="s">
        <v>9158</v>
      </c>
      <c r="R525" s="1"/>
    </row>
    <row r="526" spans="1:18">
      <c r="E526" s="7"/>
    </row>
    <row r="527" spans="1:18">
      <c r="A527" s="7" t="s">
        <v>8756</v>
      </c>
      <c r="E527" s="7"/>
    </row>
    <row r="528" spans="1:18">
      <c r="A528" s="7" t="s">
        <v>8757</v>
      </c>
      <c r="E528" s="7"/>
    </row>
    <row r="529" spans="1:17">
      <c r="A529" s="1" t="s">
        <v>5891</v>
      </c>
      <c r="B529" s="1" t="s">
        <v>330</v>
      </c>
      <c r="C529" s="1" t="s">
        <v>202</v>
      </c>
      <c r="D529" s="20" t="s">
        <v>1371</v>
      </c>
      <c r="E529" s="15" t="str">
        <f>HYPERLINK("https://stat100.ameba.jp/tnk47/ratio20/illustrations/card/ill_77173_0_yukemuritomoegozen03.jpg?201912-X-RELEASE-GP-insert-battleleaguex", "■")</f>
        <v>■</v>
      </c>
      <c r="F529" s="1" t="s">
        <v>1372</v>
      </c>
      <c r="G529" s="1">
        <v>250610</v>
      </c>
      <c r="H529" s="1">
        <v>277283</v>
      </c>
      <c r="I529" s="1">
        <v>25</v>
      </c>
      <c r="J529" s="1" t="s">
        <v>310</v>
      </c>
      <c r="K529" s="1" t="s">
        <v>1373</v>
      </c>
      <c r="L529" s="1" t="s">
        <v>1374</v>
      </c>
      <c r="M529" s="1" t="s">
        <v>9158</v>
      </c>
      <c r="N529" s="1" t="s">
        <v>9158</v>
      </c>
      <c r="O529" s="19" t="s">
        <v>4067</v>
      </c>
      <c r="P529" s="1" t="s">
        <v>3879</v>
      </c>
      <c r="Q529" s="1">
        <v>2</v>
      </c>
    </row>
    <row r="530" spans="1:17">
      <c r="A530" s="1" t="s">
        <v>5606</v>
      </c>
      <c r="B530" s="1" t="s">
        <v>52</v>
      </c>
      <c r="C530" s="1" t="s">
        <v>206</v>
      </c>
      <c r="D530" s="20" t="s">
        <v>2936</v>
      </c>
      <c r="E530" s="15" t="str">
        <f>HYPERLINK("https://stat100.ameba.jp/tnk47/ratio20/illustrations/card/ill_72233_0_koinoboriryugujin03.jpg?201912-X-RELEASE-GP-insert-battleleaguex", "■")</f>
        <v>■</v>
      </c>
      <c r="F530" s="1" t="s">
        <v>1012</v>
      </c>
      <c r="G530" s="1">
        <v>163991</v>
      </c>
      <c r="H530" s="1">
        <v>176391</v>
      </c>
      <c r="I530" s="1">
        <v>25</v>
      </c>
      <c r="J530" s="1" t="s">
        <v>44</v>
      </c>
      <c r="K530" s="1" t="s">
        <v>1013</v>
      </c>
      <c r="L530" s="1" t="s">
        <v>1014</v>
      </c>
      <c r="M530" s="1" t="s">
        <v>9158</v>
      </c>
      <c r="N530" s="1" t="s">
        <v>9158</v>
      </c>
      <c r="O530" s="19" t="s">
        <v>2940</v>
      </c>
      <c r="P530" s="1" t="s">
        <v>3420</v>
      </c>
      <c r="Q530" s="1">
        <v>2</v>
      </c>
    </row>
    <row r="531" spans="1:17">
      <c r="A531" s="1">
        <v>84633</v>
      </c>
      <c r="B531" s="1" t="s">
        <v>334</v>
      </c>
      <c r="C531" s="1" t="s">
        <v>154</v>
      </c>
      <c r="D531" s="20" t="s">
        <v>10586</v>
      </c>
      <c r="E531" s="15" t="str">
        <f>HYPERLINK("https://stat100.ameba.jp/tnk47/ratio20/illustrations/card/ill_84633_akubishoppu03.jpg?201912-X-RELEASE-GP-insert-battleleaguex", "■")</f>
        <v>■</v>
      </c>
      <c r="F531" s="1" t="s">
        <v>6762</v>
      </c>
      <c r="G531" s="1">
        <v>109259</v>
      </c>
      <c r="H531" s="1">
        <v>79151</v>
      </c>
      <c r="I531" s="1">
        <v>25</v>
      </c>
      <c r="J531" s="1" t="s">
        <v>10</v>
      </c>
      <c r="K531" s="1" t="s">
        <v>6764</v>
      </c>
      <c r="L531" s="1" t="s">
        <v>6763</v>
      </c>
      <c r="M531" s="1" t="s">
        <v>9158</v>
      </c>
      <c r="N531" s="1" t="s">
        <v>9158</v>
      </c>
      <c r="O531" s="19" t="s">
        <v>10090</v>
      </c>
      <c r="P531" s="1" t="s">
        <v>3460</v>
      </c>
      <c r="Q531" s="1">
        <v>1</v>
      </c>
    </row>
    <row r="532" spans="1:17">
      <c r="A532" s="1">
        <v>70373</v>
      </c>
      <c r="B532" s="1" t="s">
        <v>334</v>
      </c>
      <c r="C532" s="1" t="s">
        <v>209</v>
      </c>
      <c r="D532" s="20" t="s">
        <v>10226</v>
      </c>
      <c r="E532" s="15" t="str">
        <f>HYPERLINK("https://stat100.ameba.jp/tnk47/ratio20/illustrations/card/ill_70373_amanoyasukage03.jpg?201912-X-RELEASE-GP-insert-battleleaguex", "■")</f>
        <v>■</v>
      </c>
      <c r="F532" s="1" t="s">
        <v>2617</v>
      </c>
      <c r="G532" s="1">
        <v>129140</v>
      </c>
      <c r="H532" s="1">
        <v>138891</v>
      </c>
      <c r="I532" s="1">
        <v>25</v>
      </c>
      <c r="J532" s="1" t="s">
        <v>143</v>
      </c>
      <c r="K532" s="1" t="s">
        <v>2618</v>
      </c>
      <c r="L532" s="1" t="s">
        <v>2619</v>
      </c>
      <c r="M532" s="1" t="s">
        <v>9158</v>
      </c>
      <c r="N532" s="1" t="s">
        <v>9158</v>
      </c>
      <c r="O532" s="19" t="s">
        <v>10081</v>
      </c>
      <c r="P532" s="1" t="s">
        <v>4146</v>
      </c>
      <c r="Q532" s="1">
        <v>1</v>
      </c>
    </row>
    <row r="533" spans="1:17">
      <c r="A533" s="1">
        <v>79523</v>
      </c>
      <c r="B533" s="1" t="s">
        <v>0</v>
      </c>
      <c r="C533" s="1" t="s">
        <v>203</v>
      </c>
      <c r="D533" s="20" t="s">
        <v>10309</v>
      </c>
      <c r="E533" s="15" t="str">
        <f>HYPERLINK("https://stat100.ameba.jp/tnk47/ratio20/illustrations/card/ill_79523_shikyokunoashurato03.jpg?201912-X-RELEASE-GP-insert-battleleaguex", "■")</f>
        <v>■</v>
      </c>
      <c r="F533" s="1" t="s">
        <v>3590</v>
      </c>
      <c r="G533" s="1">
        <v>79151</v>
      </c>
      <c r="H533" s="1">
        <v>109259</v>
      </c>
      <c r="I533" s="1">
        <v>25</v>
      </c>
      <c r="J533" s="1" t="s">
        <v>77</v>
      </c>
      <c r="K533" s="1" t="s">
        <v>3591</v>
      </c>
      <c r="L533" s="1" t="s">
        <v>1955</v>
      </c>
      <c r="M533" s="1" t="s">
        <v>9158</v>
      </c>
      <c r="N533" s="1" t="s">
        <v>9158</v>
      </c>
      <c r="O533" s="19" t="s">
        <v>10074</v>
      </c>
      <c r="P533" s="1" t="s">
        <v>3592</v>
      </c>
      <c r="Q533" s="1">
        <v>1</v>
      </c>
    </row>
    <row r="534" spans="1:17">
      <c r="A534" s="1">
        <v>65633</v>
      </c>
      <c r="B534" s="1" t="s">
        <v>0</v>
      </c>
      <c r="C534" s="1" t="s">
        <v>41</v>
      </c>
      <c r="D534" s="20" t="s">
        <v>10227</v>
      </c>
      <c r="E534" s="15" t="str">
        <f>HYPERLINK("https://stat100.ameba.jp/tnk47/ratio20/illustrations/card/ill_65633_shinnoakugoro03.jpg?201912-X-RELEASE-GP-insert-battleleaguex", "■")</f>
        <v>■</v>
      </c>
      <c r="F534" s="1" t="s">
        <v>70</v>
      </c>
      <c r="G534" s="1">
        <v>116577</v>
      </c>
      <c r="H534" s="1">
        <v>84456</v>
      </c>
      <c r="I534" s="1">
        <v>25</v>
      </c>
      <c r="J534" s="1" t="s">
        <v>73</v>
      </c>
      <c r="K534" s="1" t="s">
        <v>71</v>
      </c>
      <c r="L534" s="1" t="s">
        <v>72</v>
      </c>
      <c r="M534" s="1" t="s">
        <v>9158</v>
      </c>
      <c r="N534" s="1" t="s">
        <v>9158</v>
      </c>
      <c r="O534" s="1" t="s">
        <v>9158</v>
      </c>
      <c r="P534" s="1" t="s">
        <v>9158</v>
      </c>
      <c r="Q534" s="1" t="s">
        <v>9158</v>
      </c>
    </row>
    <row r="535" spans="1:17">
      <c r="A535" s="1">
        <v>67963</v>
      </c>
      <c r="B535" s="1" t="s">
        <v>334</v>
      </c>
      <c r="C535" s="1" t="s">
        <v>203</v>
      </c>
      <c r="D535" s="20" t="s">
        <v>10307</v>
      </c>
      <c r="E535" s="15" t="str">
        <f>HYPERLINK("https://stat100.ameba.jp/tnk47/ratio20/illustrations/card/ill_67963_kinokuniyabunzaemon03.jpg?201912-X-RELEASE-GP-insert-battleleaguex", "■")</f>
        <v>■</v>
      </c>
      <c r="F535" s="1" t="s">
        <v>825</v>
      </c>
      <c r="G535" s="1">
        <v>113463</v>
      </c>
      <c r="H535" s="1">
        <v>82205</v>
      </c>
      <c r="I535" s="1">
        <v>25</v>
      </c>
      <c r="J535" s="1" t="s">
        <v>414</v>
      </c>
      <c r="K535" s="1" t="s">
        <v>826</v>
      </c>
      <c r="L535" s="1" t="s">
        <v>827</v>
      </c>
      <c r="M535" s="1" t="s">
        <v>9158</v>
      </c>
      <c r="N535" s="1" t="s">
        <v>9158</v>
      </c>
      <c r="O535" s="1" t="s">
        <v>9158</v>
      </c>
      <c r="P535" s="1" t="s">
        <v>9158</v>
      </c>
      <c r="Q535" s="1" t="s">
        <v>9158</v>
      </c>
    </row>
    <row r="536" spans="1:17">
      <c r="A536" s="1">
        <v>76773</v>
      </c>
      <c r="B536" s="1" t="s">
        <v>334</v>
      </c>
      <c r="C536" s="1" t="s">
        <v>209</v>
      </c>
      <c r="D536" s="20" t="s">
        <v>10471</v>
      </c>
      <c r="E536" s="15" t="str">
        <f>HYPERLINK("https://stat100.ameba.jp/tnk47/ratio20/illustrations/card/ill_76773_monsutatominushihime03.jpg?201912-X-RELEASE-GP-insert-battleleaguex", "■")</f>
        <v>■</v>
      </c>
      <c r="F536" s="1" t="s">
        <v>817</v>
      </c>
      <c r="G536" s="1">
        <v>114119</v>
      </c>
      <c r="H536" s="1">
        <v>82654</v>
      </c>
      <c r="I536" s="7">
        <v>25</v>
      </c>
      <c r="J536" s="1" t="s">
        <v>401</v>
      </c>
      <c r="K536" s="1" t="s">
        <v>818</v>
      </c>
      <c r="L536" s="1" t="s">
        <v>819</v>
      </c>
      <c r="M536" s="1" t="s">
        <v>9158</v>
      </c>
      <c r="N536" s="1" t="s">
        <v>9158</v>
      </c>
      <c r="O536" s="1" t="s">
        <v>9158</v>
      </c>
      <c r="P536" s="1" t="s">
        <v>9158</v>
      </c>
      <c r="Q536" s="1" t="s">
        <v>9158</v>
      </c>
    </row>
    <row r="537" spans="1:17">
      <c r="E537" s="7"/>
    </row>
    <row r="538" spans="1:17">
      <c r="A538" s="7" t="s">
        <v>8758</v>
      </c>
      <c r="E538" s="7"/>
    </row>
    <row r="539" spans="1:17">
      <c r="A539" s="7" t="s">
        <v>8759</v>
      </c>
      <c r="E539" s="7"/>
    </row>
    <row r="540" spans="1:17">
      <c r="A540" s="1" t="s">
        <v>5848</v>
      </c>
      <c r="B540" s="1" t="s">
        <v>330</v>
      </c>
      <c r="C540" s="1" t="s">
        <v>200</v>
      </c>
      <c r="D540" s="20" t="s">
        <v>3160</v>
      </c>
      <c r="E540" s="15" t="str">
        <f>HYPERLINK("https://stat100.ameba.jp/tnk47/ratio20/illustrations/card/ill_72963_0_amenohanayomehiguchiichiyo03.jpg?201912-X-RELEASE-GP-insert-battleleaguex", "■")</f>
        <v>■</v>
      </c>
      <c r="F540" s="1" t="s">
        <v>1139</v>
      </c>
      <c r="G540" s="1">
        <v>147404</v>
      </c>
      <c r="H540" s="1">
        <v>137060</v>
      </c>
      <c r="I540" s="1">
        <v>22</v>
      </c>
      <c r="J540" s="1" t="s">
        <v>10</v>
      </c>
      <c r="K540" s="1" t="s">
        <v>1140</v>
      </c>
      <c r="L540" s="1" t="s">
        <v>1141</v>
      </c>
      <c r="M540" s="1" t="s">
        <v>9158</v>
      </c>
      <c r="N540" s="1" t="s">
        <v>9158</v>
      </c>
      <c r="O540" s="19" t="s">
        <v>3162</v>
      </c>
      <c r="P540" s="1" t="s">
        <v>3163</v>
      </c>
      <c r="Q540" s="1">
        <v>1</v>
      </c>
    </row>
    <row r="541" spans="1:17">
      <c r="A541" s="1">
        <v>67993</v>
      </c>
      <c r="B541" s="1" t="s">
        <v>334</v>
      </c>
      <c r="C541" s="1" t="s">
        <v>205</v>
      </c>
      <c r="D541" s="20" t="s">
        <v>10183</v>
      </c>
      <c r="E541" s="15" t="str">
        <f>HYPERLINK("https://stat100.ameba.jp/tnk47/ratio20/illustrations/card/ill_67993_kurisumasupateikanekomisuzu03.jpg?201912-X-RELEASE-GP-insert-battleleaguex", "■")</f>
        <v>■</v>
      </c>
      <c r="F541" s="1" t="s">
        <v>1286</v>
      </c>
      <c r="G541" s="1">
        <v>97651</v>
      </c>
      <c r="H541" s="1">
        <v>90759</v>
      </c>
      <c r="I541" s="1">
        <v>25</v>
      </c>
      <c r="J541" s="1" t="s">
        <v>10</v>
      </c>
      <c r="K541" s="1" t="s">
        <v>2547</v>
      </c>
      <c r="L541" s="1" t="s">
        <v>2548</v>
      </c>
      <c r="M541" s="1" t="s">
        <v>9158</v>
      </c>
      <c r="N541" s="1" t="s">
        <v>9158</v>
      </c>
      <c r="O541" s="19" t="s">
        <v>10086</v>
      </c>
      <c r="P541" s="1" t="s">
        <v>3701</v>
      </c>
      <c r="Q541" s="1">
        <v>1</v>
      </c>
    </row>
    <row r="542" spans="1:17">
      <c r="A542" s="1">
        <v>71343</v>
      </c>
      <c r="B542" s="1" t="s">
        <v>334</v>
      </c>
      <c r="C542" s="1" t="s">
        <v>185</v>
      </c>
      <c r="D542" s="20" t="s">
        <v>10544</v>
      </c>
      <c r="E542" s="15" t="str">
        <f>HYPERLINK("https://stat100.ameba.jp/tnk47/ratio20/illustrations/card/ill_71343_ohanamimatehime03.jpg?201912-X-RELEASE-GP-insert-battleleaguex", "■")</f>
        <v>■</v>
      </c>
      <c r="F542" s="1" t="s">
        <v>536</v>
      </c>
      <c r="G542" s="1">
        <v>90759</v>
      </c>
      <c r="H542" s="1">
        <v>97651</v>
      </c>
      <c r="I542" s="1">
        <v>25</v>
      </c>
      <c r="J542" s="1" t="s">
        <v>187</v>
      </c>
      <c r="K542" s="1" t="s">
        <v>188</v>
      </c>
      <c r="L542" s="1" t="s">
        <v>13132</v>
      </c>
      <c r="M542" s="1" t="s">
        <v>9158</v>
      </c>
      <c r="N542" s="1" t="s">
        <v>9158</v>
      </c>
      <c r="O542" s="19" t="s">
        <v>2752</v>
      </c>
      <c r="P542" s="1" t="s">
        <v>13123</v>
      </c>
      <c r="Q542" s="1">
        <v>1</v>
      </c>
    </row>
    <row r="543" spans="1:17">
      <c r="A543" s="1">
        <v>53423</v>
      </c>
      <c r="B543" s="1" t="s">
        <v>0</v>
      </c>
      <c r="C543" s="1" t="s">
        <v>191</v>
      </c>
      <c r="D543" s="20" t="s">
        <v>10300</v>
      </c>
      <c r="E543" s="15" t="str">
        <f>HYPERLINK("https://stat100.ameba.jp/tnk47/ratio20/illustrations/card/ill_53423_natsumatsuriikumatsu03.jpg?201912-X-RELEASE-GP-insert-battleleaguex", "■")</f>
        <v>■</v>
      </c>
      <c r="F543" s="1" t="s">
        <v>3621</v>
      </c>
      <c r="G543" s="1">
        <v>89590</v>
      </c>
      <c r="H543" s="1">
        <v>96360</v>
      </c>
      <c r="I543" s="1">
        <v>25</v>
      </c>
      <c r="J543" s="1" t="s">
        <v>16</v>
      </c>
      <c r="K543" s="1" t="s">
        <v>3622</v>
      </c>
      <c r="L543" s="1" t="s">
        <v>3623</v>
      </c>
      <c r="M543" s="1" t="s">
        <v>9158</v>
      </c>
      <c r="N543" s="1" t="s">
        <v>9158</v>
      </c>
      <c r="O543" s="19" t="s">
        <v>10109</v>
      </c>
      <c r="P543" s="1" t="s">
        <v>3625</v>
      </c>
      <c r="Q543" s="1">
        <v>1</v>
      </c>
    </row>
    <row r="544" spans="1:17">
      <c r="E544" s="7"/>
    </row>
    <row r="545" spans="1:17">
      <c r="A545" s="7" t="s">
        <v>9425</v>
      </c>
      <c r="E545" s="7"/>
    </row>
    <row r="546" spans="1:17">
      <c r="A546" s="7" t="s">
        <v>9426</v>
      </c>
      <c r="E546" s="7"/>
    </row>
    <row r="547" spans="1:17">
      <c r="A547" s="7" t="s">
        <v>9427</v>
      </c>
      <c r="E547" s="7"/>
    </row>
    <row r="548" spans="1:17">
      <c r="A548" s="7" t="s">
        <v>8437</v>
      </c>
      <c r="B548" s="7" t="s">
        <v>52</v>
      </c>
      <c r="C548" s="7" t="s">
        <v>202</v>
      </c>
      <c r="D548" s="20" t="s">
        <v>10806</v>
      </c>
      <c r="E548" s="15" t="str">
        <f>HYPERLINK("https://stat100.ameba.jp/tnk47/ratio20/illustrations/card/ill_85523_0_seitankuronikurukusumotoine03.jpg?201912-5-RELEASE-marathon-446", "■")</f>
        <v>■</v>
      </c>
      <c r="F548" s="7" t="s">
        <v>8440</v>
      </c>
      <c r="G548" s="7">
        <v>242288</v>
      </c>
      <c r="H548" s="7">
        <v>218992</v>
      </c>
      <c r="I548" s="7">
        <v>20</v>
      </c>
      <c r="J548" s="1" t="s">
        <v>77</v>
      </c>
      <c r="K548" s="7" t="s">
        <v>8446</v>
      </c>
      <c r="L548" s="7" t="s">
        <v>8439</v>
      </c>
      <c r="M548" s="1" t="s">
        <v>9158</v>
      </c>
      <c r="N548" s="1" t="s">
        <v>9158</v>
      </c>
      <c r="O548" s="19" t="s">
        <v>10133</v>
      </c>
      <c r="P548" s="7" t="s">
        <v>8441</v>
      </c>
      <c r="Q548" s="7">
        <v>1</v>
      </c>
    </row>
    <row r="549" spans="1:17">
      <c r="A549" s="7">
        <v>85953</v>
      </c>
      <c r="B549" s="7" t="s">
        <v>8760</v>
      </c>
      <c r="C549" s="7" t="s">
        <v>8764</v>
      </c>
      <c r="D549" s="20" t="s">
        <v>10872</v>
      </c>
      <c r="E549" s="15" t="str">
        <f>HYPERLINK("https://stat100.ameba.jp/tnk47/ratio20/illustrations/card/ill_85953_toshikoshitakiyashahime03.jpg?201912-5-RELEASE-marathon-446", "■")</f>
        <v>■</v>
      </c>
      <c r="F549" s="7" t="s">
        <v>8787</v>
      </c>
      <c r="G549" s="7">
        <v>90759</v>
      </c>
      <c r="H549" s="7">
        <v>97651</v>
      </c>
      <c r="I549" s="7">
        <v>25</v>
      </c>
      <c r="J549" s="1" t="s">
        <v>77</v>
      </c>
      <c r="K549" s="7" t="s">
        <v>8786</v>
      </c>
      <c r="L549" s="7" t="s">
        <v>8785</v>
      </c>
      <c r="M549" s="1" t="s">
        <v>9158</v>
      </c>
      <c r="N549" s="1" t="s">
        <v>9158</v>
      </c>
      <c r="O549" s="1" t="s">
        <v>9158</v>
      </c>
      <c r="P549" s="1" t="s">
        <v>9158</v>
      </c>
      <c r="Q549" s="1" t="s">
        <v>9158</v>
      </c>
    </row>
    <row r="550" spans="1:17">
      <c r="A550" s="7">
        <v>85963</v>
      </c>
      <c r="B550" s="7" t="s">
        <v>8760</v>
      </c>
      <c r="C550" s="7" t="s">
        <v>8765</v>
      </c>
      <c r="D550" s="20" t="s">
        <v>10873</v>
      </c>
      <c r="E550" s="15" t="str">
        <f>HYPERLINK("https://stat100.ameba.jp/tnk47/ratio20/illustrations/card/ill_85963_birikenchan03.jpg?201912-5-RELEASE-marathon-446", "■")</f>
        <v>■</v>
      </c>
      <c r="F550" s="7" t="s">
        <v>8784</v>
      </c>
      <c r="G550" s="7">
        <v>113890</v>
      </c>
      <c r="H550" s="7">
        <v>105890</v>
      </c>
      <c r="I550" s="7">
        <v>25</v>
      </c>
      <c r="J550" s="7" t="s">
        <v>8769</v>
      </c>
      <c r="K550" s="7" t="s">
        <v>8783</v>
      </c>
      <c r="L550" s="7" t="s">
        <v>8782</v>
      </c>
      <c r="M550" s="1" t="s">
        <v>9158</v>
      </c>
      <c r="N550" s="1" t="s">
        <v>9158</v>
      </c>
      <c r="O550" s="1" t="s">
        <v>9158</v>
      </c>
      <c r="P550" s="1" t="s">
        <v>9158</v>
      </c>
      <c r="Q550" s="1" t="s">
        <v>9158</v>
      </c>
    </row>
    <row r="551" spans="1:17">
      <c r="A551" s="7">
        <v>85973</v>
      </c>
      <c r="B551" s="7" t="s">
        <v>8761</v>
      </c>
      <c r="C551" s="7" t="s">
        <v>8766</v>
      </c>
      <c r="D551" s="20" t="s">
        <v>10874</v>
      </c>
      <c r="E551" s="15" t="str">
        <f>HYPERLINK("https://stat100.ameba.jp/tnk47/ratio20/illustrations/card/ill_85973_asahihime03.jpg?201912-5-RELEASE-marathon-446", "■")</f>
        <v>■</v>
      </c>
      <c r="F551" s="7" t="s">
        <v>8781</v>
      </c>
      <c r="G551" s="7">
        <v>67210</v>
      </c>
      <c r="H551" s="7">
        <v>74100</v>
      </c>
      <c r="I551" s="7">
        <v>25</v>
      </c>
      <c r="J551" s="7" t="s">
        <v>8770</v>
      </c>
      <c r="K551" s="7" t="s">
        <v>8780</v>
      </c>
      <c r="L551" s="7" t="s">
        <v>8779</v>
      </c>
      <c r="M551" s="1" t="s">
        <v>9158</v>
      </c>
      <c r="N551" s="1" t="s">
        <v>9158</v>
      </c>
      <c r="O551" s="1" t="s">
        <v>9158</v>
      </c>
      <c r="P551" s="1" t="s">
        <v>9158</v>
      </c>
      <c r="Q551" s="1" t="s">
        <v>9158</v>
      </c>
    </row>
    <row r="552" spans="1:17">
      <c r="A552" s="7">
        <v>85983</v>
      </c>
      <c r="B552" s="7" t="s">
        <v>8762</v>
      </c>
      <c r="C552" s="7" t="s">
        <v>8767</v>
      </c>
      <c r="D552" s="20" t="s">
        <v>10875</v>
      </c>
      <c r="E552" s="15" t="str">
        <f>HYPERLINK("https://stat100.ameba.jp/tnk47/ratio20/illustrations/card/ill_85983_nabeyakiudonchan03.jpg?201912-5-RELEASE-marathon-446", "■")</f>
        <v>■</v>
      </c>
      <c r="F552" s="7" t="s">
        <v>8778</v>
      </c>
      <c r="G552" s="7">
        <v>51980</v>
      </c>
      <c r="H552" s="7">
        <v>43220</v>
      </c>
      <c r="I552" s="7">
        <v>25</v>
      </c>
      <c r="J552" s="7" t="s">
        <v>8771</v>
      </c>
      <c r="K552" s="7" t="s">
        <v>8777</v>
      </c>
      <c r="L552" s="7" t="s">
        <v>8776</v>
      </c>
      <c r="M552" s="1" t="s">
        <v>9158</v>
      </c>
      <c r="N552" s="1" t="s">
        <v>9158</v>
      </c>
      <c r="O552" s="1" t="s">
        <v>9158</v>
      </c>
      <c r="P552" s="1" t="s">
        <v>9158</v>
      </c>
      <c r="Q552" s="1" t="s">
        <v>9158</v>
      </c>
    </row>
    <row r="553" spans="1:17">
      <c r="A553" s="7">
        <v>85993</v>
      </c>
      <c r="B553" s="7" t="s">
        <v>8763</v>
      </c>
      <c r="C553" s="7" t="s">
        <v>8768</v>
      </c>
      <c r="D553" s="20" t="s">
        <v>10876</v>
      </c>
      <c r="E553" s="15" t="str">
        <f>HYPERLINK("https://stat100.ameba.jp/tnk47/ratio20/illustrations/card/ill_85993_hosokawayuusai03.jpg?201912-5-RELEASE-marathon-446", "■")</f>
        <v>■</v>
      </c>
      <c r="F553" s="7" t="s">
        <v>8775</v>
      </c>
      <c r="G553" s="7">
        <v>26430</v>
      </c>
      <c r="H553" s="7">
        <v>31470</v>
      </c>
      <c r="I553" s="7">
        <v>25</v>
      </c>
      <c r="J553" s="7" t="s">
        <v>8772</v>
      </c>
      <c r="K553" s="7" t="s">
        <v>8774</v>
      </c>
      <c r="L553" s="7" t="s">
        <v>8773</v>
      </c>
      <c r="M553" s="1" t="s">
        <v>9158</v>
      </c>
      <c r="N553" s="1" t="s">
        <v>9158</v>
      </c>
      <c r="O553" s="1" t="s">
        <v>9158</v>
      </c>
      <c r="P553" s="1" t="s">
        <v>9158</v>
      </c>
      <c r="Q553" s="1" t="s">
        <v>9158</v>
      </c>
    </row>
    <row r="554" spans="1:17">
      <c r="E554" s="7"/>
    </row>
    <row r="555" spans="1:17">
      <c r="A555" s="7" t="s">
        <v>204</v>
      </c>
      <c r="E555" s="7"/>
    </row>
    <row r="556" spans="1:17">
      <c r="A556" s="7" t="s">
        <v>8788</v>
      </c>
      <c r="E556" s="7"/>
    </row>
    <row r="557" spans="1:17">
      <c r="A557" s="1" t="s">
        <v>5605</v>
      </c>
      <c r="B557" s="1" t="s">
        <v>52</v>
      </c>
      <c r="C557" s="1" t="s">
        <v>202</v>
      </c>
      <c r="D557" s="20" t="s">
        <v>10332</v>
      </c>
      <c r="E557" s="15" t="str">
        <f>HYPERLINK("https://stat100.ameba.jp/tnk47/ratio20/illustrations/card/ill_79373_0_hommeichokotennyohime03.jpg?201912-5-RELEASE-marathon-446", "■")</f>
        <v>■</v>
      </c>
      <c r="F557" s="1" t="s">
        <v>3495</v>
      </c>
      <c r="G557" s="1">
        <v>272036</v>
      </c>
      <c r="H557" s="1">
        <v>245878</v>
      </c>
      <c r="I557" s="1">
        <v>22</v>
      </c>
      <c r="J557" s="1" t="s">
        <v>104</v>
      </c>
      <c r="K557" s="1" t="s">
        <v>3496</v>
      </c>
      <c r="L557" s="1" t="s">
        <v>3497</v>
      </c>
      <c r="M557" s="1" t="s">
        <v>9158</v>
      </c>
      <c r="N557" s="1" t="s">
        <v>9158</v>
      </c>
      <c r="O557" s="19" t="s">
        <v>10072</v>
      </c>
      <c r="P557" s="1" t="s">
        <v>3498</v>
      </c>
      <c r="Q557" s="1">
        <v>1</v>
      </c>
    </row>
    <row r="558" spans="1:17">
      <c r="A558" s="1" t="s">
        <v>5603</v>
      </c>
      <c r="B558" s="1" t="s">
        <v>330</v>
      </c>
      <c r="C558" s="1" t="s">
        <v>205</v>
      </c>
      <c r="D558" s="20" t="s">
        <v>611</v>
      </c>
      <c r="E558" s="15" t="str">
        <f>HYPERLINK("https://stat100.ameba.jp/tnk47/ratio20/illustrations/card/ill_61893_0_onikirishumiyamotomusashi03.jpg?201912-5-RELEASE-marathon-446", "■")</f>
        <v>■</v>
      </c>
      <c r="F558" s="1" t="s">
        <v>612</v>
      </c>
      <c r="G558" s="1">
        <v>205358</v>
      </c>
      <c r="H558" s="1">
        <v>190952</v>
      </c>
      <c r="I558" s="1">
        <v>22</v>
      </c>
      <c r="J558" s="1" t="s">
        <v>310</v>
      </c>
      <c r="K558" s="1" t="s">
        <v>613</v>
      </c>
      <c r="L558" s="1" t="s">
        <v>312</v>
      </c>
      <c r="M558" s="1" t="s">
        <v>9158</v>
      </c>
      <c r="N558" s="1" t="s">
        <v>9158</v>
      </c>
      <c r="O558" s="19" t="s">
        <v>10071</v>
      </c>
      <c r="P558" s="1" t="s">
        <v>3253</v>
      </c>
      <c r="Q558" s="1">
        <v>1</v>
      </c>
    </row>
    <row r="559" spans="1:17">
      <c r="A559" s="7" t="s">
        <v>5902</v>
      </c>
      <c r="B559" s="1" t="s">
        <v>330</v>
      </c>
      <c r="C559" s="1" t="s">
        <v>344</v>
      </c>
      <c r="D559" s="20" t="s">
        <v>483</v>
      </c>
      <c r="E559" s="15" t="str">
        <f>HYPERLINK("https://stat100.ameba.jp/tnk47/ratio20/illustrations/card/ill_40343_0_heshikirihasebekurodakambe03.jpg?201912-5-RELEASE-marathon-446", "■")</f>
        <v>■</v>
      </c>
      <c r="F559" s="1" t="s">
        <v>484</v>
      </c>
      <c r="G559" s="1">
        <v>128744</v>
      </c>
      <c r="H559" s="1">
        <v>120576</v>
      </c>
      <c r="I559" s="1">
        <v>22</v>
      </c>
      <c r="J559" s="1" t="s">
        <v>414</v>
      </c>
      <c r="K559" s="1" t="s">
        <v>485</v>
      </c>
      <c r="L559" s="1" t="s">
        <v>486</v>
      </c>
      <c r="M559" s="1" t="s">
        <v>9158</v>
      </c>
      <c r="N559" s="1" t="s">
        <v>9158</v>
      </c>
      <c r="O559" s="1" t="s">
        <v>9158</v>
      </c>
      <c r="P559" s="1" t="s">
        <v>9158</v>
      </c>
      <c r="Q559" s="1" t="s">
        <v>9158</v>
      </c>
    </row>
    <row r="560" spans="1:17">
      <c r="A560" s="1">
        <v>78453</v>
      </c>
      <c r="B560" s="1" t="s">
        <v>0</v>
      </c>
      <c r="C560" s="1" t="s">
        <v>165</v>
      </c>
      <c r="D560" s="20" t="s">
        <v>10393</v>
      </c>
      <c r="E560" s="15" t="str">
        <f>HYPERLINK("https://stat100.ameba.jp/tnk47/ratio20/illustrations/card/ill_78453_dobutsunoshimahashihime03.jpg?201912-5-RELEASE-marathon-446", "■")</f>
        <v>■</v>
      </c>
      <c r="F560" s="1" t="s">
        <v>2555</v>
      </c>
      <c r="G560" s="1">
        <v>140761</v>
      </c>
      <c r="H560" s="1">
        <v>79221</v>
      </c>
      <c r="I560" s="1">
        <v>25</v>
      </c>
      <c r="J560" s="1" t="s">
        <v>155</v>
      </c>
      <c r="K560" s="1" t="s">
        <v>2556</v>
      </c>
      <c r="L560" s="1" t="s">
        <v>2557</v>
      </c>
      <c r="M560" s="1" t="s">
        <v>9158</v>
      </c>
      <c r="N560" s="1" t="s">
        <v>9158</v>
      </c>
      <c r="O560" s="1" t="s">
        <v>9158</v>
      </c>
      <c r="P560" s="1" t="s">
        <v>9158</v>
      </c>
      <c r="Q560" s="1" t="s">
        <v>9158</v>
      </c>
    </row>
    <row r="561" spans="1:19">
      <c r="A561" s="1">
        <v>68383</v>
      </c>
      <c r="B561" s="1" t="s">
        <v>0</v>
      </c>
      <c r="C561" s="1" t="s">
        <v>206</v>
      </c>
      <c r="D561" s="20" t="s">
        <v>10604</v>
      </c>
      <c r="E561" s="15" t="str">
        <f>HYPERLINK("https://stat100.ameba.jp/tnk47/ratio20/illustrations/card/ill_68383_amudosukiasu03.jpg?201912-5-RELEASE-marathon-446", "■")</f>
        <v>■</v>
      </c>
      <c r="F561" s="1" t="s">
        <v>2224</v>
      </c>
      <c r="G561" s="1">
        <v>183542</v>
      </c>
      <c r="H561" s="1">
        <v>103263</v>
      </c>
      <c r="I561" s="1">
        <v>25</v>
      </c>
      <c r="J561" s="1" t="s">
        <v>73</v>
      </c>
      <c r="K561" s="1" t="s">
        <v>2225</v>
      </c>
      <c r="L561" s="1" t="s">
        <v>2226</v>
      </c>
      <c r="M561" s="1" t="s">
        <v>9158</v>
      </c>
      <c r="N561" s="1" t="s">
        <v>9158</v>
      </c>
      <c r="O561" s="1" t="s">
        <v>9158</v>
      </c>
      <c r="P561" s="1" t="s">
        <v>9158</v>
      </c>
      <c r="Q561" s="1" t="s">
        <v>9158</v>
      </c>
    </row>
    <row r="562" spans="1:19">
      <c r="A562" s="1">
        <v>71613</v>
      </c>
      <c r="B562" s="1" t="s">
        <v>334</v>
      </c>
      <c r="C562" s="1" t="s">
        <v>101</v>
      </c>
      <c r="D562" s="20" t="s">
        <v>10877</v>
      </c>
      <c r="E562" s="15" t="str">
        <f>HYPERLINK("https://stat100.ameba.jp/tnk47/ratio20/illustrations/card/ill_71613_ikegamishuho03.jpg?201912-5-RELEASE-marathon-446", "■")</f>
        <v>■</v>
      </c>
      <c r="F562" s="1" t="s">
        <v>4447</v>
      </c>
      <c r="G562" s="1">
        <v>101373</v>
      </c>
      <c r="H562" s="1">
        <v>94295</v>
      </c>
      <c r="I562" s="1">
        <v>25</v>
      </c>
      <c r="J562" s="1" t="s">
        <v>16</v>
      </c>
      <c r="K562" s="1" t="s">
        <v>4448</v>
      </c>
      <c r="L562" s="1" t="s">
        <v>920</v>
      </c>
      <c r="M562" s="1" t="s">
        <v>9158</v>
      </c>
      <c r="N562" s="1" t="s">
        <v>9158</v>
      </c>
      <c r="O562" s="1" t="s">
        <v>9158</v>
      </c>
      <c r="P562" s="1" t="s">
        <v>9158</v>
      </c>
      <c r="Q562" s="1" t="s">
        <v>9158</v>
      </c>
      <c r="R562" s="1"/>
      <c r="S562" s="1"/>
    </row>
    <row r="563" spans="1:19">
      <c r="A563" s="1">
        <v>62213</v>
      </c>
      <c r="B563" s="1" t="s">
        <v>15</v>
      </c>
      <c r="C563" s="1" t="s">
        <v>96</v>
      </c>
      <c r="D563" s="20" t="s">
        <v>10514</v>
      </c>
      <c r="E563" s="15" t="str">
        <f>HYPERLINK("https://stat100.ameba.jp/tnk47/ratio20/illustrations/card/ill_62213_teikyoin03.jpg?201912-5-RELEASE-marathon-446", "■")</f>
        <v>■</v>
      </c>
      <c r="F563" s="1" t="s">
        <v>6379</v>
      </c>
      <c r="G563" s="1">
        <v>65208</v>
      </c>
      <c r="H563" s="1">
        <v>59144</v>
      </c>
      <c r="I563" s="1">
        <v>22</v>
      </c>
      <c r="J563" s="1" t="s">
        <v>77</v>
      </c>
      <c r="K563" s="1" t="s">
        <v>6382</v>
      </c>
      <c r="L563" s="1" t="s">
        <v>932</v>
      </c>
      <c r="M563" s="1" t="s">
        <v>9158</v>
      </c>
      <c r="N563" s="1" t="s">
        <v>9158</v>
      </c>
      <c r="O563" s="1" t="s">
        <v>9158</v>
      </c>
      <c r="P563" s="1" t="s">
        <v>9158</v>
      </c>
      <c r="Q563" s="1" t="s">
        <v>9158</v>
      </c>
    </row>
    <row r="564" spans="1:19">
      <c r="A564" s="1">
        <v>73263</v>
      </c>
      <c r="B564" s="1" t="s">
        <v>15</v>
      </c>
      <c r="C564" s="1" t="s">
        <v>185</v>
      </c>
      <c r="D564" s="20" t="s">
        <v>4062</v>
      </c>
      <c r="E564" s="15" t="str">
        <f>HYPERLINK("https://stat100.ameba.jp/tnk47/ratio20/illustrations/card/ill_73263_ajisainiijimayae03.jpg?201912-5-RELEASE-marathon-446", "■")</f>
        <v>■</v>
      </c>
      <c r="F564" s="1" t="s">
        <v>3273</v>
      </c>
      <c r="G564" s="1">
        <v>65208</v>
      </c>
      <c r="H564" s="1">
        <v>59144</v>
      </c>
      <c r="I564" s="1">
        <v>22</v>
      </c>
      <c r="J564" s="1" t="s">
        <v>10</v>
      </c>
      <c r="K564" s="1" t="s">
        <v>3274</v>
      </c>
      <c r="L564" s="1" t="s">
        <v>3275</v>
      </c>
      <c r="M564" s="1" t="s">
        <v>9158</v>
      </c>
      <c r="N564" s="1" t="s">
        <v>9158</v>
      </c>
      <c r="O564" s="1" t="s">
        <v>9158</v>
      </c>
      <c r="P564" s="1" t="s">
        <v>9158</v>
      </c>
      <c r="Q564" s="1" t="s">
        <v>9158</v>
      </c>
    </row>
    <row r="565" spans="1:19">
      <c r="A565" s="1">
        <v>72453</v>
      </c>
      <c r="B565" s="1" t="s">
        <v>15</v>
      </c>
      <c r="C565" s="1" t="s">
        <v>101</v>
      </c>
      <c r="D565" s="20" t="s">
        <v>10340</v>
      </c>
      <c r="E565" s="15" t="str">
        <f>HYPERLINK("https://stat100.ameba.jp/tnk47/ratio20/illustrations/card/ill_72453_rengeso03.jpg?201912-5-RELEASE-marathon-446", "■")</f>
        <v>■</v>
      </c>
      <c r="F565" s="1" t="s">
        <v>5478</v>
      </c>
      <c r="G565" s="1">
        <v>65208</v>
      </c>
      <c r="H565" s="1">
        <v>59144</v>
      </c>
      <c r="I565" s="1">
        <v>22</v>
      </c>
      <c r="J565" s="1" t="s">
        <v>26</v>
      </c>
      <c r="K565" s="1" t="s">
        <v>5479</v>
      </c>
      <c r="L565" s="1" t="s">
        <v>2011</v>
      </c>
      <c r="M565" s="1" t="s">
        <v>9158</v>
      </c>
      <c r="N565" s="1" t="s">
        <v>9158</v>
      </c>
      <c r="O565" s="1" t="s">
        <v>9158</v>
      </c>
      <c r="P565" s="1" t="s">
        <v>9158</v>
      </c>
      <c r="Q565" s="1" t="s">
        <v>9158</v>
      </c>
    </row>
    <row r="566" spans="1:19">
      <c r="E566" s="7"/>
    </row>
    <row r="567" spans="1:19">
      <c r="A567" s="1" t="s">
        <v>3916</v>
      </c>
      <c r="B567" s="1"/>
      <c r="C567" s="1"/>
      <c r="D567" s="1"/>
      <c r="F567" s="1"/>
      <c r="G567" s="1"/>
      <c r="H567" s="1"/>
      <c r="I567" s="1"/>
      <c r="J567" s="1"/>
      <c r="K567" s="1"/>
      <c r="L567" s="1"/>
      <c r="M567" s="1"/>
      <c r="N567" s="1"/>
      <c r="O567" s="1"/>
      <c r="P567" s="1"/>
      <c r="Q567" s="1"/>
    </row>
    <row r="568" spans="1:19">
      <c r="A568" s="1" t="s">
        <v>2678</v>
      </c>
      <c r="B568" s="1"/>
      <c r="C568" s="1"/>
      <c r="D568" s="1"/>
      <c r="F568" s="1"/>
      <c r="G568" s="1"/>
      <c r="H568" s="1"/>
      <c r="I568" s="1"/>
      <c r="J568" s="1"/>
      <c r="K568" s="1"/>
      <c r="L568" s="1"/>
      <c r="M568" s="1"/>
      <c r="N568" s="1"/>
      <c r="O568" s="1"/>
      <c r="P568" s="1"/>
      <c r="Q568" s="1"/>
    </row>
    <row r="569" spans="1:19">
      <c r="A569" s="1">
        <v>62203</v>
      </c>
      <c r="B569" s="1" t="s">
        <v>334</v>
      </c>
      <c r="C569" s="1" t="s">
        <v>154</v>
      </c>
      <c r="D569" s="20" t="s">
        <v>3039</v>
      </c>
      <c r="E569" s="15" t="str">
        <f>HYPERLINK("https://stat100.ameba.jp/tnk47/ratio20/illustrations/card/ill_62203_keishoimmasahime03.jpg?201912-5-RELEASE-marathon-446", "■")</f>
        <v>■</v>
      </c>
      <c r="F569" s="1" t="s">
        <v>2261</v>
      </c>
      <c r="G569" s="1">
        <v>100256</v>
      </c>
      <c r="H569" s="1">
        <v>107826</v>
      </c>
      <c r="I569" s="1">
        <v>25</v>
      </c>
      <c r="J569" s="1" t="s">
        <v>77</v>
      </c>
      <c r="K569" s="1" t="s">
        <v>2262</v>
      </c>
      <c r="L569" s="1" t="s">
        <v>2263</v>
      </c>
      <c r="M569" s="1" t="s">
        <v>9158</v>
      </c>
      <c r="N569" s="1" t="s">
        <v>9158</v>
      </c>
      <c r="O569" s="1" t="s">
        <v>9158</v>
      </c>
      <c r="P569" s="1" t="s">
        <v>9158</v>
      </c>
      <c r="Q569" s="1" t="s">
        <v>9158</v>
      </c>
    </row>
    <row r="570" spans="1:19">
      <c r="A570" s="1">
        <v>69723</v>
      </c>
      <c r="B570" s="1" t="s">
        <v>334</v>
      </c>
      <c r="C570" s="1" t="s">
        <v>158</v>
      </c>
      <c r="D570" s="20" t="s">
        <v>3042</v>
      </c>
      <c r="E570" s="15" t="str">
        <f>HYPERLINK("https://stat100.ameba.jp/tnk47/ratio20/illustrations/card/ill_69723_nakaurajurian03.jpg?201912-5-RELEASE-marathon-446", "■")</f>
        <v>■</v>
      </c>
      <c r="F570" s="1" t="s">
        <v>2257</v>
      </c>
      <c r="G570" s="1">
        <v>100256</v>
      </c>
      <c r="H570" s="1">
        <v>107826</v>
      </c>
      <c r="I570" s="1">
        <v>25</v>
      </c>
      <c r="J570" s="1" t="s">
        <v>173</v>
      </c>
      <c r="K570" s="1" t="s">
        <v>2258</v>
      </c>
      <c r="L570" s="1" t="s">
        <v>2259</v>
      </c>
      <c r="M570" s="1" t="s">
        <v>9158</v>
      </c>
      <c r="N570" s="1" t="s">
        <v>9158</v>
      </c>
      <c r="O570" s="1" t="s">
        <v>9158</v>
      </c>
      <c r="P570" s="1" t="s">
        <v>9158</v>
      </c>
      <c r="Q570" s="1" t="s">
        <v>9158</v>
      </c>
    </row>
    <row r="571" spans="1:19">
      <c r="A571" s="1">
        <v>76483</v>
      </c>
      <c r="B571" s="1" t="s">
        <v>334</v>
      </c>
      <c r="C571" s="1" t="s">
        <v>307</v>
      </c>
      <c r="D571" s="20" t="s">
        <v>589</v>
      </c>
      <c r="E571" s="15" t="str">
        <f>HYPERLINK("https://stat100.ameba.jp/tnk47/ratio20/illustrations/card/ill_76483_yukemurimizuhanome03.jpg?201912-5-RELEASE-marathon-446", "■")</f>
        <v>■</v>
      </c>
      <c r="F571" s="1" t="s">
        <v>590</v>
      </c>
      <c r="G571" s="1">
        <v>101971</v>
      </c>
      <c r="H571" s="1">
        <v>94802</v>
      </c>
      <c r="I571" s="1">
        <v>25</v>
      </c>
      <c r="J571" s="1" t="s">
        <v>401</v>
      </c>
      <c r="K571" s="1" t="s">
        <v>591</v>
      </c>
      <c r="L571" s="1" t="s">
        <v>592</v>
      </c>
      <c r="M571" s="1" t="s">
        <v>9158</v>
      </c>
      <c r="N571" s="1" t="s">
        <v>9158</v>
      </c>
      <c r="O571" s="1" t="s">
        <v>9158</v>
      </c>
      <c r="P571" s="1" t="s">
        <v>9158</v>
      </c>
      <c r="Q571" s="1" t="s">
        <v>9158</v>
      </c>
    </row>
    <row r="572" spans="1:19">
      <c r="A572" s="1">
        <v>70023</v>
      </c>
      <c r="B572" s="1" t="s">
        <v>334</v>
      </c>
      <c r="C572" s="1" t="s">
        <v>344</v>
      </c>
      <c r="D572" s="20" t="s">
        <v>10230</v>
      </c>
      <c r="E572" s="15" t="str">
        <f>HYPERLINK("https://stat100.ameba.jp/tnk47/ratio20/illustrations/card/ill_70023_yukinoukokunabeshimanobakeneko03.jpg?201912-5-RELEASE-marathon-446", "■")</f>
        <v>■</v>
      </c>
      <c r="F572" s="1" t="s">
        <v>769</v>
      </c>
      <c r="G572" s="1">
        <v>96871</v>
      </c>
      <c r="H572" s="1">
        <v>104162</v>
      </c>
      <c r="I572" s="1">
        <v>25</v>
      </c>
      <c r="J572" s="1" t="s">
        <v>320</v>
      </c>
      <c r="K572" s="1" t="s">
        <v>770</v>
      </c>
      <c r="L572" s="1" t="s">
        <v>771</v>
      </c>
      <c r="M572" s="1" t="s">
        <v>9158</v>
      </c>
      <c r="N572" s="1" t="s">
        <v>9158</v>
      </c>
      <c r="O572" s="1" t="s">
        <v>9158</v>
      </c>
      <c r="P572" s="1" t="s">
        <v>9158</v>
      </c>
      <c r="Q572" s="1" t="s">
        <v>9158</v>
      </c>
    </row>
    <row r="573" spans="1:19">
      <c r="A573" s="1">
        <v>52733</v>
      </c>
      <c r="B573" s="1" t="s">
        <v>15</v>
      </c>
      <c r="C573" s="1" t="s">
        <v>185</v>
      </c>
      <c r="D573" s="20" t="s">
        <v>10491</v>
      </c>
      <c r="E573" s="15" t="str">
        <f>HYPERLINK("https://stat100.ameba.jp/tnk47/ratio20/illustrations/card/ill_52733_sekkinambutsuruhime03.jpg?201912-5-RELEASE-marathon-446", "■")</f>
        <v>■</v>
      </c>
      <c r="F573" s="1" t="s">
        <v>6246</v>
      </c>
      <c r="G573" s="1">
        <v>67210</v>
      </c>
      <c r="H573" s="1">
        <v>74100</v>
      </c>
      <c r="I573" s="1">
        <v>25</v>
      </c>
      <c r="J573" s="1" t="s">
        <v>77</v>
      </c>
      <c r="K573" s="1" t="s">
        <v>6248</v>
      </c>
      <c r="L573" s="1" t="s">
        <v>6249</v>
      </c>
      <c r="M573" s="1" t="s">
        <v>9158</v>
      </c>
      <c r="N573" s="1" t="s">
        <v>9158</v>
      </c>
      <c r="O573" s="1" t="s">
        <v>9158</v>
      </c>
      <c r="P573" s="1" t="s">
        <v>9158</v>
      </c>
      <c r="Q573" s="1" t="s">
        <v>9158</v>
      </c>
    </row>
    <row r="574" spans="1:19">
      <c r="A574" s="1">
        <v>54003</v>
      </c>
      <c r="B574" s="1" t="s">
        <v>15</v>
      </c>
      <c r="C574" s="1" t="s">
        <v>200</v>
      </c>
      <c r="D574" s="20" t="s">
        <v>10492</v>
      </c>
      <c r="E574" s="15" t="str">
        <f>HYPERLINK("https://stat100.ameba.jp/tnk47/ratio20/illustrations/card/ill_54003_seiryumegurihiguchiichiyo03.jpg?201912-5-RELEASE-marathon-446", "■")</f>
        <v>■</v>
      </c>
      <c r="F574" s="1" t="s">
        <v>6250</v>
      </c>
      <c r="G574" s="1">
        <v>74100</v>
      </c>
      <c r="H574" s="1">
        <v>67210</v>
      </c>
      <c r="I574" s="1">
        <v>25</v>
      </c>
      <c r="J574" s="1" t="s">
        <v>10</v>
      </c>
      <c r="K574" s="1" t="s">
        <v>6252</v>
      </c>
      <c r="L574" s="1" t="s">
        <v>6253</v>
      </c>
      <c r="M574" s="1" t="s">
        <v>9158</v>
      </c>
      <c r="N574" s="1" t="s">
        <v>9158</v>
      </c>
      <c r="O574" s="1" t="s">
        <v>9158</v>
      </c>
      <c r="P574" s="1" t="s">
        <v>9158</v>
      </c>
      <c r="Q574" s="1" t="s">
        <v>9158</v>
      </c>
    </row>
    <row r="575" spans="1:19">
      <c r="A575" s="1">
        <v>51833</v>
      </c>
      <c r="B575" s="1" t="s">
        <v>15</v>
      </c>
      <c r="C575" s="1" t="s">
        <v>205</v>
      </c>
      <c r="D575" s="20" t="s">
        <v>10493</v>
      </c>
      <c r="E575" s="15" t="str">
        <f>HYPERLINK("https://stat100.ameba.jp/tnk47/ratio20/illustrations/card/ill_51833_jukimakitsuhikonomikoto03.jpg?201912-5-RELEASE-marathon-446", "■")</f>
        <v>■</v>
      </c>
      <c r="F575" s="1" t="s">
        <v>6254</v>
      </c>
      <c r="G575" s="1">
        <v>74100</v>
      </c>
      <c r="H575" s="1">
        <v>67210</v>
      </c>
      <c r="I575" s="1">
        <v>25</v>
      </c>
      <c r="J575" s="1" t="s">
        <v>44</v>
      </c>
      <c r="K575" s="1" t="s">
        <v>6257</v>
      </c>
      <c r="L575" s="1" t="s">
        <v>6256</v>
      </c>
      <c r="M575" s="1" t="s">
        <v>9158</v>
      </c>
      <c r="N575" s="1" t="s">
        <v>9158</v>
      </c>
      <c r="O575" s="1" t="s">
        <v>9158</v>
      </c>
      <c r="P575" s="1" t="s">
        <v>9158</v>
      </c>
      <c r="Q575" s="1" t="s">
        <v>9158</v>
      </c>
    </row>
    <row r="576" spans="1:19">
      <c r="A576" s="1">
        <v>53203</v>
      </c>
      <c r="B576" s="1" t="s">
        <v>15</v>
      </c>
      <c r="C576" s="1" t="s">
        <v>165</v>
      </c>
      <c r="D576" s="20" t="s">
        <v>10494</v>
      </c>
      <c r="E576" s="15" t="str">
        <f>HYPERLINK("https://stat100.ameba.jp/tnk47/ratio20/illustrations/card/ill_53203_buruhawaichan03.jpg?201912-5-RELEASE-marathon-446", "■")</f>
        <v>■</v>
      </c>
      <c r="F576" s="1" t="s">
        <v>6258</v>
      </c>
      <c r="G576" s="1">
        <v>67210</v>
      </c>
      <c r="H576" s="1">
        <v>74100</v>
      </c>
      <c r="I576" s="1">
        <v>25</v>
      </c>
      <c r="J576" s="1" t="s">
        <v>104</v>
      </c>
      <c r="K576" s="1" t="s">
        <v>6261</v>
      </c>
      <c r="L576" s="1" t="s">
        <v>6260</v>
      </c>
      <c r="M576" s="1" t="s">
        <v>9158</v>
      </c>
      <c r="N576" s="1" t="s">
        <v>9158</v>
      </c>
      <c r="O576" s="1" t="s">
        <v>9158</v>
      </c>
      <c r="P576" s="1" t="s">
        <v>9158</v>
      </c>
      <c r="Q576" s="1" t="s">
        <v>9158</v>
      </c>
    </row>
    <row r="577" spans="1:17">
      <c r="E577" s="7"/>
    </row>
    <row r="578" spans="1:17">
      <c r="A578" s="7" t="s">
        <v>8789</v>
      </c>
      <c r="E578" s="7"/>
    </row>
    <row r="579" spans="1:17">
      <c r="A579" s="7" t="s">
        <v>8792</v>
      </c>
      <c r="E579" s="7"/>
    </row>
    <row r="580" spans="1:17">
      <c r="A580" s="1" t="s">
        <v>5787</v>
      </c>
      <c r="B580" s="1" t="s">
        <v>330</v>
      </c>
      <c r="C580" s="1" t="s">
        <v>270</v>
      </c>
      <c r="D580" s="20" t="s">
        <v>331</v>
      </c>
      <c r="E580" s="15" t="str">
        <f>HYPERLINK("https://stat100.ameba.jp/tnk47/ratio20/illustrations/card/ill_76303_0_haroinkaguya03.jpg?201912-5-RELEASE-marathon-446", "■")</f>
        <v>■</v>
      </c>
      <c r="F580" s="1" t="s">
        <v>332</v>
      </c>
      <c r="G580" s="1">
        <v>285614</v>
      </c>
      <c r="H580" s="1">
        <v>265526</v>
      </c>
      <c r="I580" s="1">
        <v>24</v>
      </c>
      <c r="J580" s="1" t="s">
        <v>274</v>
      </c>
      <c r="K580" s="1" t="s">
        <v>333</v>
      </c>
      <c r="L580" s="1" t="s">
        <v>276</v>
      </c>
      <c r="M580" s="1" t="s">
        <v>9158</v>
      </c>
      <c r="N580" s="1" t="s">
        <v>9158</v>
      </c>
      <c r="O580" s="19" t="s">
        <v>2976</v>
      </c>
      <c r="P580" s="1" t="s">
        <v>2724</v>
      </c>
      <c r="Q580" s="1">
        <v>1</v>
      </c>
    </row>
    <row r="581" spans="1:17">
      <c r="A581" s="1">
        <v>78133</v>
      </c>
      <c r="B581" s="1" t="s">
        <v>0</v>
      </c>
      <c r="C581" s="1" t="s">
        <v>154</v>
      </c>
      <c r="D581" s="20" t="s">
        <v>10313</v>
      </c>
      <c r="E581" s="15" t="str">
        <f>HYPERLINK("https://stat100.ameba.jp/tnk47/ratio20/illustrations/card/ill_78133_akazukin03.jpg?201912-5-RELEASE-marathon-446", "■")</f>
        <v>■</v>
      </c>
      <c r="F581" s="1" t="s">
        <v>2202</v>
      </c>
      <c r="G581" s="1">
        <v>88706</v>
      </c>
      <c r="H581" s="1">
        <v>122476</v>
      </c>
      <c r="I581" s="1">
        <v>24</v>
      </c>
      <c r="J581" s="1" t="s">
        <v>38</v>
      </c>
      <c r="K581" s="1" t="s">
        <v>2203</v>
      </c>
      <c r="L581" s="1" t="s">
        <v>2204</v>
      </c>
      <c r="M581" s="1" t="s">
        <v>9158</v>
      </c>
      <c r="N581" s="1" t="s">
        <v>9158</v>
      </c>
      <c r="O581" s="19" t="s">
        <v>2917</v>
      </c>
      <c r="P581" s="1" t="s">
        <v>3531</v>
      </c>
      <c r="Q581" s="1">
        <v>1</v>
      </c>
    </row>
    <row r="582" spans="1:17">
      <c r="A582" s="1">
        <v>62473</v>
      </c>
      <c r="B582" s="1" t="s">
        <v>334</v>
      </c>
      <c r="C582" s="1" t="s">
        <v>203</v>
      </c>
      <c r="D582" s="20" t="s">
        <v>2834</v>
      </c>
      <c r="E582" s="15" t="str">
        <f>HYPERLINK("https://stat100.ameba.jp/tnk47/ratio20/illustrations/card/ill_62473_kokuriko03.jpg?201912-5-RELEASE-marathon-446", "■")</f>
        <v>■</v>
      </c>
      <c r="F582" s="1" t="s">
        <v>2835</v>
      </c>
      <c r="G582" s="1">
        <v>109554</v>
      </c>
      <c r="H582" s="1">
        <v>79348</v>
      </c>
      <c r="I582" s="1">
        <v>24</v>
      </c>
      <c r="J582" s="1" t="s">
        <v>401</v>
      </c>
      <c r="K582" s="1" t="s">
        <v>2836</v>
      </c>
      <c r="L582" s="1" t="s">
        <v>2837</v>
      </c>
      <c r="M582" s="1" t="s">
        <v>9158</v>
      </c>
      <c r="N582" s="1" t="s">
        <v>9158</v>
      </c>
      <c r="O582" s="19" t="s">
        <v>2838</v>
      </c>
      <c r="P582" s="1" t="s">
        <v>2839</v>
      </c>
      <c r="Q582" s="1">
        <v>1</v>
      </c>
    </row>
    <row r="583" spans="1:17">
      <c r="A583" s="1">
        <v>77673</v>
      </c>
      <c r="B583" s="1" t="s">
        <v>334</v>
      </c>
      <c r="C583" s="1" t="s">
        <v>158</v>
      </c>
      <c r="D583" s="20" t="s">
        <v>10270</v>
      </c>
      <c r="E583" s="15" t="str">
        <f>HYPERLINK("https://stat100.ameba.jp/tnk47/ratio20/illustrations/card/ill_77673_ryunochoji03.jpg?201912-5-RELEASE-marathon-446", "■")</f>
        <v>■</v>
      </c>
      <c r="F583" s="1" t="s">
        <v>1777</v>
      </c>
      <c r="G583" s="1">
        <v>111914</v>
      </c>
      <c r="H583" s="1">
        <v>81078</v>
      </c>
      <c r="I583" s="1">
        <v>24</v>
      </c>
      <c r="J583" s="1" t="s">
        <v>73</v>
      </c>
      <c r="K583" s="1" t="s">
        <v>1778</v>
      </c>
      <c r="L583" s="1" t="s">
        <v>1779</v>
      </c>
      <c r="M583" s="1" t="s">
        <v>9158</v>
      </c>
      <c r="N583" s="1" t="s">
        <v>9158</v>
      </c>
      <c r="O583" s="19" t="s">
        <v>10090</v>
      </c>
      <c r="P583" s="1" t="s">
        <v>3460</v>
      </c>
      <c r="Q583" s="1">
        <v>1</v>
      </c>
    </row>
    <row r="584" spans="1:17">
      <c r="E584" s="7"/>
    </row>
    <row r="585" spans="1:17">
      <c r="A585" s="7" t="s">
        <v>8790</v>
      </c>
      <c r="E585" s="7"/>
    </row>
    <row r="586" spans="1:17">
      <c r="A586" s="7" t="s">
        <v>8791</v>
      </c>
      <c r="E586" s="7"/>
    </row>
    <row r="587" spans="1:17" s="9" customFormat="1">
      <c r="A587" s="9" t="s">
        <v>12986</v>
      </c>
    </row>
    <row r="588" spans="1:17">
      <c r="A588" s="1" t="s">
        <v>7150</v>
      </c>
      <c r="B588" s="1" t="s">
        <v>52</v>
      </c>
      <c r="C588" s="1" t="s">
        <v>202</v>
      </c>
      <c r="D588" s="20" t="s">
        <v>10656</v>
      </c>
      <c r="E588" s="15" t="str">
        <f>HYPERLINK("https://stat100.ameba.jp/tnk47/ratio20/illustrations/card/ill_84203_0_tarottofujiwaranoshoshi03.jpg?201912-5-RELEASE-marathon-446", "■")</f>
        <v>■</v>
      </c>
      <c r="F588" s="1" t="s">
        <v>7153</v>
      </c>
      <c r="G588" s="1">
        <v>323812</v>
      </c>
      <c r="H588" s="1">
        <v>292680</v>
      </c>
      <c r="I588" s="1">
        <v>22</v>
      </c>
      <c r="J588" s="1" t="s">
        <v>10</v>
      </c>
      <c r="K588" s="1" t="s">
        <v>7152</v>
      </c>
      <c r="L588" s="1" t="s">
        <v>7151</v>
      </c>
      <c r="M588" s="1" t="s">
        <v>9158</v>
      </c>
      <c r="N588" s="1" t="s">
        <v>9158</v>
      </c>
      <c r="O588" s="19" t="s">
        <v>10128</v>
      </c>
      <c r="P588" s="1" t="s">
        <v>7154</v>
      </c>
      <c r="Q588" s="1">
        <v>1</v>
      </c>
    </row>
    <row r="589" spans="1:17">
      <c r="A589" s="1" t="s">
        <v>5601</v>
      </c>
      <c r="B589" s="1" t="s">
        <v>330</v>
      </c>
      <c r="C589" s="1" t="s">
        <v>35</v>
      </c>
      <c r="D589" s="20" t="s">
        <v>10318</v>
      </c>
      <c r="E589" s="15" t="str">
        <f>HYPERLINK("https://stat100.ameba.jp/tnk47/ratio20/illustrations/card/ill_82423_0_bikinigarukishi03.jpg?201912-5-RELEASE-marathon-446", "■")</f>
        <v>■</v>
      </c>
      <c r="F589" s="1" t="s">
        <v>5391</v>
      </c>
      <c r="G589" s="1">
        <v>302708</v>
      </c>
      <c r="H589" s="1">
        <v>273591</v>
      </c>
      <c r="I589" s="1">
        <v>25</v>
      </c>
      <c r="J589" s="1" t="s">
        <v>77</v>
      </c>
      <c r="K589" s="1" t="s">
        <v>5392</v>
      </c>
      <c r="L589" s="1" t="s">
        <v>5393</v>
      </c>
      <c r="M589" s="1" t="s">
        <v>9158</v>
      </c>
      <c r="N589" s="1" t="s">
        <v>9158</v>
      </c>
      <c r="O589" s="19" t="s">
        <v>10069</v>
      </c>
      <c r="P589" s="1" t="s">
        <v>5394</v>
      </c>
      <c r="Q589" s="1">
        <v>1</v>
      </c>
    </row>
    <row r="590" spans="1:17">
      <c r="A590" s="1" t="s">
        <v>6508</v>
      </c>
      <c r="B590" s="1" t="s">
        <v>330</v>
      </c>
      <c r="C590" s="1" t="s">
        <v>35</v>
      </c>
      <c r="D590" s="20" t="s">
        <v>10168</v>
      </c>
      <c r="E590" s="15" t="str">
        <f>HYPERLINK("https://stat100.ameba.jp/tnk47/ratio20/illustrations/card/ill_81783_0_denshagarukoteipenginchan03.jpg?201912-5-RELEASE-marathon-446", "■")</f>
        <v>■</v>
      </c>
      <c r="F590" s="1" t="s">
        <v>4834</v>
      </c>
      <c r="G590" s="1">
        <v>290731</v>
      </c>
      <c r="H590" s="1">
        <v>262745</v>
      </c>
      <c r="I590" s="1">
        <v>25</v>
      </c>
      <c r="J590" s="1" t="s">
        <v>26</v>
      </c>
      <c r="K590" s="1" t="s">
        <v>4836</v>
      </c>
      <c r="L590" s="1" t="s">
        <v>1783</v>
      </c>
      <c r="M590" s="1" t="s">
        <v>9158</v>
      </c>
      <c r="N590" s="1" t="s">
        <v>9158</v>
      </c>
      <c r="O590" s="19" t="s">
        <v>10124</v>
      </c>
      <c r="P590" s="1" t="s">
        <v>4838</v>
      </c>
      <c r="Q590" s="1">
        <v>1</v>
      </c>
    </row>
    <row r="591" spans="1:17">
      <c r="A591" s="1" t="s">
        <v>6905</v>
      </c>
      <c r="B591" s="1" t="s">
        <v>330</v>
      </c>
      <c r="C591" s="1" t="s">
        <v>35</v>
      </c>
      <c r="D591" s="20" t="s">
        <v>10299</v>
      </c>
      <c r="E591" s="15" t="str">
        <f>HYPERLINK("https://stat100.ameba.jp/tnk47/ratio20/illustrations/card/ill_80623_0_ohanamigurampingutominushihime03.jpg?201912-5-RELEASE-marathon-446", "■")</f>
        <v>■</v>
      </c>
      <c r="F591" s="1" t="s">
        <v>4162</v>
      </c>
      <c r="G591" s="1">
        <v>301326</v>
      </c>
      <c r="H591" s="1">
        <v>272366</v>
      </c>
      <c r="I591" s="1">
        <v>25</v>
      </c>
      <c r="J591" s="1" t="s">
        <v>44</v>
      </c>
      <c r="K591" s="1" t="s">
        <v>4163</v>
      </c>
      <c r="L591" s="1" t="s">
        <v>4164</v>
      </c>
      <c r="M591" s="1" t="s">
        <v>9158</v>
      </c>
      <c r="N591" s="1" t="s">
        <v>9158</v>
      </c>
      <c r="O591" s="19" t="s">
        <v>10126</v>
      </c>
      <c r="P591" s="1" t="s">
        <v>4166</v>
      </c>
      <c r="Q591" s="1">
        <v>1</v>
      </c>
    </row>
    <row r="592" spans="1:17">
      <c r="A592" s="1" t="s">
        <v>5963</v>
      </c>
      <c r="B592" s="1" t="s">
        <v>330</v>
      </c>
      <c r="C592" s="1" t="s">
        <v>35</v>
      </c>
      <c r="D592" s="20" t="s">
        <v>10438</v>
      </c>
      <c r="E592" s="15" t="str">
        <f>HYPERLINK("https://stat100.ameba.jp/tnk47/ratio20/illustrations/card/ill_82963_0_yukatamatsuritomokazuki03.jpg?201912-5-RELEASE-marathon-446", "■")</f>
        <v>■</v>
      </c>
      <c r="F592" s="1" t="s">
        <v>5964</v>
      </c>
      <c r="G592" s="1">
        <v>297801</v>
      </c>
      <c r="H592" s="1">
        <v>329511</v>
      </c>
      <c r="I592" s="1">
        <v>25</v>
      </c>
      <c r="J592" s="1" t="s">
        <v>73</v>
      </c>
      <c r="K592" s="1" t="s">
        <v>5966</v>
      </c>
      <c r="L592" s="1" t="s">
        <v>5967</v>
      </c>
      <c r="M592" s="1" t="s">
        <v>9158</v>
      </c>
      <c r="N592" s="1" t="s">
        <v>9158</v>
      </c>
      <c r="O592" s="19" t="s">
        <v>10115</v>
      </c>
      <c r="P592" s="1" t="s">
        <v>5968</v>
      </c>
      <c r="Q592" s="1">
        <v>1</v>
      </c>
    </row>
    <row r="593" spans="1:17">
      <c r="A593" s="1" t="s">
        <v>5619</v>
      </c>
      <c r="B593" s="1" t="s">
        <v>330</v>
      </c>
      <c r="C593" s="1" t="s">
        <v>202</v>
      </c>
      <c r="D593" s="20" t="s">
        <v>10348</v>
      </c>
      <c r="E593" s="15" t="str">
        <f>HYPERLINK("https://stat100.ameba.jp/tnk47/ratio20/illustrations/card/ill_81183_0_shinryokunokisetsuamaterasu03.jpg?201912-5-RELEASE-marathon-446", "■")</f>
        <v>■</v>
      </c>
      <c r="F593" s="1" t="s">
        <v>4505</v>
      </c>
      <c r="G593" s="1">
        <v>262627</v>
      </c>
      <c r="H593" s="1">
        <v>290607</v>
      </c>
      <c r="I593" s="1">
        <v>25</v>
      </c>
      <c r="J593" s="1" t="s">
        <v>44</v>
      </c>
      <c r="K593" s="1" t="s">
        <v>4506</v>
      </c>
      <c r="L593" s="1" t="s">
        <v>4507</v>
      </c>
      <c r="M593" s="1" t="s">
        <v>9158</v>
      </c>
      <c r="N593" s="1" t="s">
        <v>9158</v>
      </c>
      <c r="O593" s="19" t="s">
        <v>10083</v>
      </c>
      <c r="P593" s="1" t="s">
        <v>4509</v>
      </c>
      <c r="Q593" s="1">
        <v>0</v>
      </c>
    </row>
    <row r="594" spans="1:17">
      <c r="A594" s="1" t="s">
        <v>5891</v>
      </c>
      <c r="B594" s="1" t="s">
        <v>330</v>
      </c>
      <c r="C594" s="1" t="s">
        <v>202</v>
      </c>
      <c r="D594" s="20" t="s">
        <v>1371</v>
      </c>
      <c r="E594" s="15" t="str">
        <f>HYPERLINK("https://stat100.ameba.jp/tnk47/ratio20/illustrations/card/ill_77173_0_yukemuritomoegozen03.jpg?201912-5-RELEASE-marathon-446", "■")</f>
        <v>■</v>
      </c>
      <c r="F594" s="1" t="s">
        <v>1372</v>
      </c>
      <c r="G594" s="1">
        <v>250610</v>
      </c>
      <c r="H594" s="1">
        <v>277283</v>
      </c>
      <c r="I594" s="1">
        <v>25</v>
      </c>
      <c r="J594" s="1" t="s">
        <v>310</v>
      </c>
      <c r="K594" s="1" t="s">
        <v>1373</v>
      </c>
      <c r="L594" s="1" t="s">
        <v>1374</v>
      </c>
      <c r="M594" s="1" t="s">
        <v>9158</v>
      </c>
      <c r="N594" s="1" t="s">
        <v>9158</v>
      </c>
      <c r="O594" s="19" t="s">
        <v>4067</v>
      </c>
      <c r="P594" s="1" t="s">
        <v>3879</v>
      </c>
      <c r="Q594" s="1">
        <v>2</v>
      </c>
    </row>
    <row r="595" spans="1:17">
      <c r="A595" s="7">
        <v>80353</v>
      </c>
      <c r="B595" s="1" t="s">
        <v>0</v>
      </c>
      <c r="C595" s="1" t="s">
        <v>14</v>
      </c>
      <c r="D595" s="20" t="s">
        <v>4122</v>
      </c>
      <c r="E595" s="15" t="str">
        <f>HYPERLINK("https://stat100.ameba.jp/tnk47/ratio20/illustrations/card/ill_80353_seibugekisentoin03.jpg?201912-5-RELEASE-marathon-446", "■")</f>
        <v>■</v>
      </c>
      <c r="F595" s="1" t="s">
        <v>4094</v>
      </c>
      <c r="G595" s="1">
        <v>101558</v>
      </c>
      <c r="H595" s="1">
        <v>94390</v>
      </c>
      <c r="I595" s="1">
        <v>26</v>
      </c>
      <c r="J595" s="1" t="s">
        <v>77</v>
      </c>
      <c r="K595" s="1" t="s">
        <v>4095</v>
      </c>
      <c r="L595" s="1" t="s">
        <v>4096</v>
      </c>
      <c r="M595" s="1" t="s">
        <v>9158</v>
      </c>
      <c r="N595" s="1" t="s">
        <v>9158</v>
      </c>
      <c r="O595" s="1" t="s">
        <v>9158</v>
      </c>
      <c r="P595" s="1" t="s">
        <v>9158</v>
      </c>
      <c r="Q595" s="1" t="s">
        <v>9158</v>
      </c>
    </row>
    <row r="596" spans="1:17">
      <c r="A596" s="7">
        <v>60093</v>
      </c>
      <c r="B596" s="1" t="s">
        <v>334</v>
      </c>
      <c r="C596" s="1" t="s">
        <v>200</v>
      </c>
      <c r="D596" s="20" t="s">
        <v>10878</v>
      </c>
      <c r="E596" s="15" t="str">
        <f>HYPERLINK("https://stat100.ameba.jp/tnk47/ratio20/illustrations/card/ill_60093_bukitakiyashahime03.jpg?201912-5-RELEASE-marathon-446", "■")</f>
        <v>■</v>
      </c>
      <c r="F596" s="1" t="s">
        <v>3955</v>
      </c>
      <c r="G596" s="1">
        <v>101558</v>
      </c>
      <c r="H596" s="1">
        <v>94390</v>
      </c>
      <c r="I596" s="1">
        <v>26</v>
      </c>
      <c r="J596" s="1" t="s">
        <v>77</v>
      </c>
      <c r="K596" s="1" t="s">
        <v>3956</v>
      </c>
      <c r="L596" s="1" t="s">
        <v>76</v>
      </c>
      <c r="M596" s="1" t="s">
        <v>9158</v>
      </c>
      <c r="N596" s="1" t="s">
        <v>9158</v>
      </c>
      <c r="O596" s="1" t="s">
        <v>9158</v>
      </c>
      <c r="P596" s="1" t="s">
        <v>9158</v>
      </c>
      <c r="Q596" s="1" t="s">
        <v>9158</v>
      </c>
    </row>
    <row r="597" spans="1:17">
      <c r="A597" s="7">
        <v>59923</v>
      </c>
      <c r="B597" s="1" t="s">
        <v>334</v>
      </c>
      <c r="C597" s="1" t="s">
        <v>191</v>
      </c>
      <c r="D597" s="20" t="s">
        <v>3124</v>
      </c>
      <c r="E597" s="15" t="str">
        <f>HYPERLINK("https://stat100.ameba.jp/tnk47/ratio20/illustrations/card/ill_59923_yuseikuroyuridensetsu03.jpg?201912-5-RELEASE-marathon-446", "■")</f>
        <v>■</v>
      </c>
      <c r="F597" s="1" t="s">
        <v>1495</v>
      </c>
      <c r="G597" s="1">
        <v>118656</v>
      </c>
      <c r="H597" s="1">
        <v>110126</v>
      </c>
      <c r="I597" s="1">
        <v>26</v>
      </c>
      <c r="J597" s="1" t="s">
        <v>155</v>
      </c>
      <c r="K597" s="1" t="s">
        <v>1355</v>
      </c>
      <c r="L597" s="1" t="s">
        <v>13163</v>
      </c>
      <c r="M597" s="1" t="s">
        <v>9158</v>
      </c>
      <c r="N597" s="1" t="s">
        <v>9158</v>
      </c>
      <c r="O597" s="1" t="s">
        <v>9158</v>
      </c>
      <c r="P597" s="1" t="s">
        <v>9158</v>
      </c>
      <c r="Q597" s="1" t="s">
        <v>9158</v>
      </c>
    </row>
    <row r="598" spans="1:17">
      <c r="A598" s="1">
        <v>70743</v>
      </c>
      <c r="B598" s="1" t="s">
        <v>0</v>
      </c>
      <c r="C598" s="1" t="s">
        <v>96</v>
      </c>
      <c r="D598" s="20" t="s">
        <v>10475</v>
      </c>
      <c r="E598" s="15" t="str">
        <f>HYPERLINK("https://stat100.ameba.jp/tnk47/ratio20/illustrations/card/ill_70743_howaitodekitanokata03.jpg?201912-5-RELEASE-marathon-446", "■")</f>
        <v>■</v>
      </c>
      <c r="F598" s="1" t="s">
        <v>3611</v>
      </c>
      <c r="G598" s="1">
        <v>154562</v>
      </c>
      <c r="H598" s="1">
        <v>143714</v>
      </c>
      <c r="I598" s="1">
        <v>26</v>
      </c>
      <c r="J598" s="1" t="s">
        <v>143</v>
      </c>
      <c r="K598" s="1" t="s">
        <v>3612</v>
      </c>
      <c r="L598" s="1" t="s">
        <v>3459</v>
      </c>
      <c r="M598" s="1" t="s">
        <v>9158</v>
      </c>
      <c r="N598" s="1" t="s">
        <v>9158</v>
      </c>
      <c r="O598" s="1" t="s">
        <v>9158</v>
      </c>
      <c r="P598" s="1" t="s">
        <v>9158</v>
      </c>
      <c r="Q598" s="1" t="s">
        <v>9158</v>
      </c>
    </row>
    <row r="599" spans="1:17">
      <c r="A599" s="7">
        <v>64193</v>
      </c>
      <c r="B599" s="1" t="s">
        <v>0</v>
      </c>
      <c r="C599" s="1" t="s">
        <v>205</v>
      </c>
      <c r="D599" s="20" t="s">
        <v>3188</v>
      </c>
      <c r="E599" s="15" t="str">
        <f>HYPERLINK("https://stat100.ameba.jp/tnk47/ratio20/illustrations/card/ill_64193_meikokoizumiyakumo03.jpg?201912-5-RELEASE-marathon-446", "■")</f>
        <v>■</v>
      </c>
      <c r="F599" s="1" t="s">
        <v>1992</v>
      </c>
      <c r="G599" s="1">
        <v>105426</v>
      </c>
      <c r="H599" s="1">
        <v>98066</v>
      </c>
      <c r="I599" s="1">
        <v>26</v>
      </c>
      <c r="J599" s="1" t="s">
        <v>16</v>
      </c>
      <c r="K599" s="1" t="s">
        <v>1993</v>
      </c>
      <c r="L599" s="1" t="s">
        <v>920</v>
      </c>
      <c r="M599" s="1" t="s">
        <v>9158</v>
      </c>
      <c r="N599" s="1" t="s">
        <v>9158</v>
      </c>
      <c r="O599" s="1" t="s">
        <v>9158</v>
      </c>
      <c r="P599" s="1" t="s">
        <v>9158</v>
      </c>
      <c r="Q599" s="1" t="s">
        <v>9158</v>
      </c>
    </row>
    <row r="600" spans="1:17">
      <c r="A600" s="1">
        <v>76563</v>
      </c>
      <c r="B600" s="1" t="s">
        <v>334</v>
      </c>
      <c r="C600" s="1" t="s">
        <v>206</v>
      </c>
      <c r="D600" s="20" t="s">
        <v>10247</v>
      </c>
      <c r="E600" s="15" t="str">
        <f>HYPERLINK("https://stat100.ameba.jp/tnk47/ratio20/illustrations/card/ill_76563_hannarideru03.jpg?201912-5-RELEASE-marathon-446", "■")</f>
        <v>■</v>
      </c>
      <c r="F600" s="1" t="s">
        <v>6236</v>
      </c>
      <c r="G600" s="1">
        <v>101558</v>
      </c>
      <c r="H600" s="1">
        <v>94390</v>
      </c>
      <c r="I600" s="1">
        <v>26</v>
      </c>
      <c r="J600" s="1" t="s">
        <v>10</v>
      </c>
      <c r="K600" s="1" t="s">
        <v>6239</v>
      </c>
      <c r="L600" s="1" t="s">
        <v>1202</v>
      </c>
      <c r="M600" s="1" t="s">
        <v>9158</v>
      </c>
      <c r="N600" s="1" t="s">
        <v>9158</v>
      </c>
      <c r="O600" s="1" t="s">
        <v>9158</v>
      </c>
      <c r="P600" s="1" t="s">
        <v>9158</v>
      </c>
      <c r="Q600" s="1" t="s">
        <v>9158</v>
      </c>
    </row>
    <row r="601" spans="1:17">
      <c r="E601" s="7"/>
    </row>
    <row r="602" spans="1:17">
      <c r="A602" s="7" t="s">
        <v>8798</v>
      </c>
      <c r="E602" s="7"/>
    </row>
    <row r="603" spans="1:17">
      <c r="A603" s="1" t="s">
        <v>2685</v>
      </c>
      <c r="E603" s="7"/>
    </row>
    <row r="604" spans="1:17">
      <c r="B604" s="7" t="s">
        <v>8797</v>
      </c>
      <c r="E604" s="7"/>
      <c r="I604" s="7">
        <v>23</v>
      </c>
      <c r="M604" s="1" t="s">
        <v>9158</v>
      </c>
      <c r="N604" s="1" t="s">
        <v>9158</v>
      </c>
      <c r="O604" s="1" t="s">
        <v>9158</v>
      </c>
      <c r="P604" s="1" t="s">
        <v>9158</v>
      </c>
      <c r="Q604" s="1" t="s">
        <v>9158</v>
      </c>
    </row>
    <row r="605" spans="1:17">
      <c r="B605" s="7" t="s">
        <v>8797</v>
      </c>
      <c r="E605" s="7"/>
      <c r="I605" s="7">
        <v>23</v>
      </c>
      <c r="M605" s="1" t="s">
        <v>9158</v>
      </c>
      <c r="N605" s="1" t="s">
        <v>9158</v>
      </c>
      <c r="O605" s="1" t="s">
        <v>9158</v>
      </c>
      <c r="P605" s="1" t="s">
        <v>9158</v>
      </c>
      <c r="Q605" s="1" t="s">
        <v>9158</v>
      </c>
    </row>
    <row r="606" spans="1:17">
      <c r="B606" s="7" t="s">
        <v>8797</v>
      </c>
      <c r="E606" s="7"/>
      <c r="I606" s="7">
        <v>23</v>
      </c>
      <c r="M606" s="1" t="s">
        <v>9158</v>
      </c>
      <c r="N606" s="1" t="s">
        <v>9158</v>
      </c>
      <c r="O606" s="1" t="s">
        <v>9158</v>
      </c>
      <c r="P606" s="1" t="s">
        <v>9158</v>
      </c>
      <c r="Q606" s="1" t="s">
        <v>9158</v>
      </c>
    </row>
    <row r="607" spans="1:17">
      <c r="A607" s="7">
        <v>85953</v>
      </c>
      <c r="B607" s="7" t="s">
        <v>0</v>
      </c>
      <c r="C607" s="7" t="s">
        <v>200</v>
      </c>
      <c r="D607" s="20" t="s">
        <v>10872</v>
      </c>
      <c r="E607" s="15" t="str">
        <f>HYPERLINK("https://stat100.ameba.jp/tnk47/ratio20/illustrations/card/ill_85953_toshikoshitakiyashahime03.jpg?202001-1-RELEASE-raid-447x", "■")</f>
        <v>■</v>
      </c>
      <c r="F607" s="7" t="s">
        <v>8787</v>
      </c>
      <c r="G607" s="7">
        <v>90759</v>
      </c>
      <c r="H607" s="7">
        <v>97651</v>
      </c>
      <c r="I607" s="7">
        <v>25</v>
      </c>
      <c r="J607" s="1" t="s">
        <v>77</v>
      </c>
      <c r="K607" s="7" t="s">
        <v>8786</v>
      </c>
      <c r="L607" s="7" t="s">
        <v>7158</v>
      </c>
      <c r="M607" s="1" t="s">
        <v>9158</v>
      </c>
      <c r="N607" s="1" t="s">
        <v>9158</v>
      </c>
      <c r="O607" s="1" t="s">
        <v>9158</v>
      </c>
      <c r="P607" s="1" t="s">
        <v>9158</v>
      </c>
      <c r="Q607" s="1" t="s">
        <v>9158</v>
      </c>
    </row>
    <row r="608" spans="1:17">
      <c r="A608" s="7">
        <v>85973</v>
      </c>
      <c r="B608" s="7" t="s">
        <v>15</v>
      </c>
      <c r="C608" s="7" t="s">
        <v>191</v>
      </c>
      <c r="D608" s="20" t="s">
        <v>10874</v>
      </c>
      <c r="E608" s="15" t="str">
        <f>HYPERLINK("https://stat100.ameba.jp/tnk47/ratio20/illustrations/card/ill_85973_asahihime03.jpg?202001-1-RELEASE-raid-447x", "■")</f>
        <v>■</v>
      </c>
      <c r="F608" s="7" t="s">
        <v>8781</v>
      </c>
      <c r="G608" s="7">
        <v>67210</v>
      </c>
      <c r="H608" s="7">
        <v>74100</v>
      </c>
      <c r="I608" s="7">
        <v>25</v>
      </c>
      <c r="J608" s="7" t="s">
        <v>187</v>
      </c>
      <c r="K608" s="7" t="s">
        <v>8780</v>
      </c>
      <c r="L608" s="7" t="s">
        <v>973</v>
      </c>
      <c r="M608" s="1" t="s">
        <v>9158</v>
      </c>
      <c r="N608" s="1" t="s">
        <v>9158</v>
      </c>
      <c r="O608" s="1" t="s">
        <v>9158</v>
      </c>
      <c r="P608" s="1" t="s">
        <v>9158</v>
      </c>
      <c r="Q608" s="1" t="s">
        <v>9158</v>
      </c>
    </row>
    <row r="609" spans="1:17">
      <c r="A609" s="7">
        <v>85983</v>
      </c>
      <c r="B609" s="7" t="s">
        <v>22</v>
      </c>
      <c r="C609" s="7" t="s">
        <v>205</v>
      </c>
      <c r="D609" s="20" t="s">
        <v>10875</v>
      </c>
      <c r="E609" s="15" t="str">
        <f>HYPERLINK("https://stat100.ameba.jp/tnk47/ratio20/illustrations/card/ill_85983_nabeyakiudonchan03.jpg?202001-1-RELEASE-raid-447x", "■")</f>
        <v>■</v>
      </c>
      <c r="F609" s="7" t="s">
        <v>8778</v>
      </c>
      <c r="G609" s="7">
        <v>51980</v>
      </c>
      <c r="H609" s="7">
        <v>43220</v>
      </c>
      <c r="I609" s="7">
        <v>25</v>
      </c>
      <c r="J609" s="7" t="s">
        <v>216</v>
      </c>
      <c r="K609" s="7" t="s">
        <v>8777</v>
      </c>
      <c r="L609" s="7" t="s">
        <v>2674</v>
      </c>
      <c r="M609" s="1" t="s">
        <v>9158</v>
      </c>
      <c r="N609" s="1" t="s">
        <v>9158</v>
      </c>
      <c r="O609" s="1" t="s">
        <v>9158</v>
      </c>
      <c r="P609" s="1" t="s">
        <v>9158</v>
      </c>
      <c r="Q609" s="1" t="s">
        <v>9158</v>
      </c>
    </row>
    <row r="610" spans="1:17">
      <c r="A610" s="7">
        <v>85993</v>
      </c>
      <c r="B610" s="7" t="s">
        <v>30</v>
      </c>
      <c r="C610" s="7" t="s">
        <v>8768</v>
      </c>
      <c r="D610" s="20" t="s">
        <v>10876</v>
      </c>
      <c r="E610" s="15" t="str">
        <f>HYPERLINK("https://stat100.ameba.jp/tnk47/ratio20/illustrations/card/ill_85993_hosokawayuusai03.jpg?202001-1-RELEASE-raid-447x", "■")</f>
        <v>■</v>
      </c>
      <c r="F610" s="7" t="s">
        <v>8775</v>
      </c>
      <c r="G610" s="7">
        <v>26430</v>
      </c>
      <c r="H610" s="7">
        <v>31470</v>
      </c>
      <c r="I610" s="7">
        <v>25</v>
      </c>
      <c r="J610" s="7" t="s">
        <v>194</v>
      </c>
      <c r="K610" s="7" t="s">
        <v>8774</v>
      </c>
      <c r="L610" s="7" t="s">
        <v>4961</v>
      </c>
      <c r="M610" s="1" t="s">
        <v>9158</v>
      </c>
      <c r="N610" s="1" t="s">
        <v>9158</v>
      </c>
      <c r="O610" s="1" t="s">
        <v>9158</v>
      </c>
      <c r="P610" s="1" t="s">
        <v>9158</v>
      </c>
      <c r="Q610" s="1" t="s">
        <v>9158</v>
      </c>
    </row>
    <row r="611" spans="1:17">
      <c r="E611" s="7"/>
      <c r="G611" s="1"/>
      <c r="H611" s="1"/>
      <c r="I611" s="1"/>
      <c r="M611" s="1"/>
      <c r="N611" s="1"/>
      <c r="O611" s="1"/>
      <c r="P611" s="1"/>
      <c r="Q611" s="1"/>
    </row>
    <row r="612" spans="1:17">
      <c r="A612" s="7" t="s">
        <v>8794</v>
      </c>
      <c r="E612" s="7"/>
    </row>
    <row r="613" spans="1:17">
      <c r="A613" s="7" t="s">
        <v>8793</v>
      </c>
      <c r="E613" s="7"/>
    </row>
    <row r="614" spans="1:17">
      <c r="A614" s="1" t="s">
        <v>5621</v>
      </c>
      <c r="B614" s="1" t="s">
        <v>330</v>
      </c>
      <c r="C614" s="1" t="s">
        <v>191</v>
      </c>
      <c r="D614" s="20" t="s">
        <v>2871</v>
      </c>
      <c r="E614" s="15" t="str">
        <f>HYPERLINK("https://stat100.ameba.jp/tnk47/ratio20/illustrations/card/ill_51973_0_kemonomizugikuroyuridensetsu03.jpg?202001-1-RELEASE-raid-447x", "■")</f>
        <v>■</v>
      </c>
      <c r="F614" s="1" t="s">
        <v>2872</v>
      </c>
      <c r="G614" s="1">
        <v>138212</v>
      </c>
      <c r="H614" s="1">
        <v>122776</v>
      </c>
      <c r="I614" s="1">
        <v>22</v>
      </c>
      <c r="J614" s="1" t="s">
        <v>274</v>
      </c>
      <c r="K614" s="1" t="s">
        <v>2873</v>
      </c>
      <c r="L614" s="1" t="s">
        <v>2874</v>
      </c>
      <c r="M614" s="1" t="s">
        <v>9158</v>
      </c>
      <c r="N614" s="1" t="s">
        <v>9158</v>
      </c>
      <c r="O614" s="19" t="s">
        <v>10088</v>
      </c>
      <c r="P614" s="1" t="s">
        <v>13172</v>
      </c>
      <c r="Q614" s="1">
        <v>1</v>
      </c>
    </row>
    <row r="615" spans="1:17">
      <c r="B615" s="7" t="s">
        <v>8795</v>
      </c>
      <c r="E615" s="7"/>
      <c r="I615" s="7">
        <v>25</v>
      </c>
      <c r="M615" s="1" t="s">
        <v>9158</v>
      </c>
      <c r="N615" s="1" t="s">
        <v>9158</v>
      </c>
      <c r="O615" s="1" t="s">
        <v>9158</v>
      </c>
      <c r="P615" s="1" t="s">
        <v>9158</v>
      </c>
      <c r="Q615" s="1" t="s">
        <v>9158</v>
      </c>
    </row>
    <row r="616" spans="1:17">
      <c r="B616" s="7" t="s">
        <v>8795</v>
      </c>
      <c r="E616" s="7"/>
      <c r="I616" s="7">
        <v>25</v>
      </c>
      <c r="M616" s="1" t="s">
        <v>9158</v>
      </c>
      <c r="N616" s="1" t="s">
        <v>9158</v>
      </c>
      <c r="O616" s="1" t="s">
        <v>9158</v>
      </c>
      <c r="P616" s="1" t="s">
        <v>9158</v>
      </c>
      <c r="Q616" s="1" t="s">
        <v>9158</v>
      </c>
    </row>
    <row r="617" spans="1:17">
      <c r="B617" s="7" t="s">
        <v>8795</v>
      </c>
      <c r="E617" s="7"/>
      <c r="I617" s="7">
        <v>25</v>
      </c>
      <c r="M617" s="1" t="s">
        <v>9158</v>
      </c>
      <c r="N617" s="1" t="s">
        <v>9158</v>
      </c>
      <c r="O617" s="1" t="s">
        <v>9158</v>
      </c>
      <c r="P617" s="1" t="s">
        <v>9158</v>
      </c>
      <c r="Q617" s="1" t="s">
        <v>9158</v>
      </c>
    </row>
    <row r="618" spans="1:17">
      <c r="E618" s="7"/>
    </row>
    <row r="619" spans="1:17">
      <c r="A619" s="7" t="s">
        <v>8796</v>
      </c>
      <c r="E619" s="7"/>
    </row>
    <row r="620" spans="1:17">
      <c r="A620" s="1" t="s">
        <v>8800</v>
      </c>
      <c r="E620" s="7"/>
    </row>
    <row r="621" spans="1:17">
      <c r="A621" s="1" t="s">
        <v>5804</v>
      </c>
      <c r="B621" s="1" t="s">
        <v>52</v>
      </c>
      <c r="C621" s="1" t="s">
        <v>14</v>
      </c>
      <c r="D621" s="20" t="s">
        <v>3195</v>
      </c>
      <c r="E621" s="15" t="str">
        <f>HYPERLINK("https://stat100.ameba.jp/tnk47/ratio20/illustrations/card/ill_75393_0_resukuinotsukisamaniittausagi03.jpg?202001-1-RELEASE-raid-447x", "■")</f>
        <v>■</v>
      </c>
      <c r="F621" s="1" t="s">
        <v>3248</v>
      </c>
      <c r="G621" s="1">
        <v>261978</v>
      </c>
      <c r="H621" s="1">
        <v>243570</v>
      </c>
      <c r="I621" s="1">
        <v>23</v>
      </c>
      <c r="J621" s="1" t="s">
        <v>26</v>
      </c>
      <c r="K621" s="1" t="s">
        <v>3249</v>
      </c>
      <c r="L621" s="1" t="s">
        <v>3250</v>
      </c>
      <c r="M621" s="1" t="s">
        <v>9158</v>
      </c>
      <c r="N621" s="1" t="s">
        <v>9158</v>
      </c>
      <c r="O621" s="19" t="s">
        <v>10101</v>
      </c>
      <c r="P621" s="1" t="s">
        <v>3251</v>
      </c>
      <c r="Q621" s="1">
        <v>2</v>
      </c>
    </row>
    <row r="622" spans="1:17">
      <c r="A622" s="1" t="s">
        <v>5618</v>
      </c>
      <c r="B622" s="1" t="s">
        <v>52</v>
      </c>
      <c r="C622" s="1" t="s">
        <v>23</v>
      </c>
      <c r="D622" s="20" t="s">
        <v>665</v>
      </c>
      <c r="E622" s="15" t="str">
        <f>HYPERLINK("https://stat100.ameba.jp/tnk47/ratio20/illustrations/card/ill_63173_0_minazukikonakaiteruko03.jpg?202001-1-RELEASE-raid-447x", "■")</f>
        <v>■</v>
      </c>
      <c r="F622" s="1" t="s">
        <v>1188</v>
      </c>
      <c r="G622" s="1">
        <v>199630</v>
      </c>
      <c r="H622" s="1">
        <v>214692</v>
      </c>
      <c r="I622" s="1">
        <v>23</v>
      </c>
      <c r="J622" s="1" t="s">
        <v>143</v>
      </c>
      <c r="K622" s="1" t="s">
        <v>1189</v>
      </c>
      <c r="L622" s="1" t="s">
        <v>1190</v>
      </c>
      <c r="M622" s="1" t="s">
        <v>9158</v>
      </c>
      <c r="N622" s="1" t="s">
        <v>9158</v>
      </c>
      <c r="O622" s="19" t="s">
        <v>10079</v>
      </c>
      <c r="P622" s="1" t="s">
        <v>3329</v>
      </c>
      <c r="Q622" s="1">
        <v>1</v>
      </c>
    </row>
    <row r="623" spans="1:17">
      <c r="A623" s="1" t="s">
        <v>5721</v>
      </c>
      <c r="B623" s="1" t="s">
        <v>52</v>
      </c>
      <c r="C623" s="1" t="s">
        <v>1</v>
      </c>
      <c r="D623" s="20" t="s">
        <v>11539</v>
      </c>
      <c r="E623" s="15" t="str">
        <f>HYPERLINK("https://stat100.ameba.jp/tnk47/ratio20/illustrations/card/ill_44283_0_izumonokuni03.jpg?202001-1-RELEASE-raid-447x", "■")</f>
        <v>■</v>
      </c>
      <c r="F623" s="1" t="s">
        <v>1716</v>
      </c>
      <c r="G623" s="1">
        <v>134596</v>
      </c>
      <c r="H623" s="1">
        <v>126058</v>
      </c>
      <c r="I623" s="1">
        <v>23</v>
      </c>
      <c r="J623" s="1" t="s">
        <v>16</v>
      </c>
      <c r="K623" s="1" t="s">
        <v>2254</v>
      </c>
      <c r="L623" s="1" t="s">
        <v>1718</v>
      </c>
      <c r="M623" s="1" t="s">
        <v>9158</v>
      </c>
      <c r="N623" s="1" t="s">
        <v>9158</v>
      </c>
      <c r="O623" s="1" t="s">
        <v>9158</v>
      </c>
      <c r="P623" s="1" t="s">
        <v>9158</v>
      </c>
      <c r="Q623" s="1" t="s">
        <v>9158</v>
      </c>
    </row>
    <row r="624" spans="1:17">
      <c r="A624" s="7">
        <v>85963</v>
      </c>
      <c r="B624" s="7" t="s">
        <v>0</v>
      </c>
      <c r="C624" s="7" t="s">
        <v>165</v>
      </c>
      <c r="D624" s="20" t="s">
        <v>10873</v>
      </c>
      <c r="E624" s="15" t="str">
        <f>HYPERLINK("https://stat100.ameba.jp/tnk47/ratio20/illustrations/card/ill_85963_birikenchan03.jpg?202001-1-RELEASE-raid-447x", "■")</f>
        <v>■</v>
      </c>
      <c r="F624" s="7" t="s">
        <v>8784</v>
      </c>
      <c r="G624" s="7">
        <v>113890</v>
      </c>
      <c r="H624" s="7">
        <v>105890</v>
      </c>
      <c r="I624" s="7">
        <v>25</v>
      </c>
      <c r="J624" s="7" t="s">
        <v>229</v>
      </c>
      <c r="K624" s="7" t="s">
        <v>8783</v>
      </c>
      <c r="L624" s="7" t="s">
        <v>6473</v>
      </c>
      <c r="M624" s="1" t="s">
        <v>9158</v>
      </c>
      <c r="N624" s="1" t="s">
        <v>9158</v>
      </c>
      <c r="O624" s="1" t="s">
        <v>9158</v>
      </c>
      <c r="P624" s="1" t="s">
        <v>9158</v>
      </c>
      <c r="Q624" s="1" t="s">
        <v>9158</v>
      </c>
    </row>
    <row r="625" spans="1:17">
      <c r="A625" s="7">
        <v>85973</v>
      </c>
      <c r="B625" s="7" t="s">
        <v>15</v>
      </c>
      <c r="C625" s="7" t="s">
        <v>191</v>
      </c>
      <c r="D625" s="20" t="s">
        <v>10874</v>
      </c>
      <c r="E625" s="15" t="str">
        <f>HYPERLINK("https://stat100.ameba.jp/tnk47/ratio20/illustrations/card/ill_85973_asahihime03.jpg?202001-1-RELEASE-raid-447x", "■")</f>
        <v>■</v>
      </c>
      <c r="F625" s="7" t="s">
        <v>8781</v>
      </c>
      <c r="G625" s="7">
        <v>67210</v>
      </c>
      <c r="H625" s="7">
        <v>74100</v>
      </c>
      <c r="I625" s="7">
        <v>25</v>
      </c>
      <c r="J625" s="7" t="s">
        <v>187</v>
      </c>
      <c r="K625" s="7" t="s">
        <v>8780</v>
      </c>
      <c r="L625" s="7" t="s">
        <v>973</v>
      </c>
      <c r="M625" s="1" t="s">
        <v>9158</v>
      </c>
      <c r="N625" s="1" t="s">
        <v>9158</v>
      </c>
      <c r="O625" s="1" t="s">
        <v>9158</v>
      </c>
      <c r="P625" s="1" t="s">
        <v>9158</v>
      </c>
      <c r="Q625" s="1" t="s">
        <v>9158</v>
      </c>
    </row>
    <row r="626" spans="1:17">
      <c r="A626" s="7">
        <v>85983</v>
      </c>
      <c r="B626" s="7" t="s">
        <v>22</v>
      </c>
      <c r="C626" s="7" t="s">
        <v>205</v>
      </c>
      <c r="D626" s="20" t="s">
        <v>10875</v>
      </c>
      <c r="E626" s="15" t="str">
        <f>HYPERLINK("https://stat100.ameba.jp/tnk47/ratio20/illustrations/card/ill_85983_nabeyakiudonchan03.jpg?202001-1-RELEASE-raid-447x", "■")</f>
        <v>■</v>
      </c>
      <c r="F626" s="7" t="s">
        <v>8778</v>
      </c>
      <c r="G626" s="7">
        <v>51980</v>
      </c>
      <c r="H626" s="7">
        <v>43220</v>
      </c>
      <c r="I626" s="7">
        <v>25</v>
      </c>
      <c r="J626" s="7" t="s">
        <v>216</v>
      </c>
      <c r="K626" s="7" t="s">
        <v>8777</v>
      </c>
      <c r="L626" s="7" t="s">
        <v>2674</v>
      </c>
      <c r="M626" s="1" t="s">
        <v>9158</v>
      </c>
      <c r="N626" s="1" t="s">
        <v>9158</v>
      </c>
      <c r="O626" s="1" t="s">
        <v>9158</v>
      </c>
      <c r="P626" s="1" t="s">
        <v>9158</v>
      </c>
      <c r="Q626" s="1" t="s">
        <v>9158</v>
      </c>
    </row>
    <row r="627" spans="1:17">
      <c r="A627" s="7">
        <v>85993</v>
      </c>
      <c r="B627" s="7" t="s">
        <v>30</v>
      </c>
      <c r="C627" s="7" t="s">
        <v>8768</v>
      </c>
      <c r="D627" s="20" t="s">
        <v>10876</v>
      </c>
      <c r="E627" s="15" t="str">
        <f>HYPERLINK("https://stat100.ameba.jp/tnk47/ratio20/illustrations/card/ill_85993_hosokawayuusai03.jpg?202001-1-RELEASE-raid-447x", "■")</f>
        <v>■</v>
      </c>
      <c r="F627" s="7" t="s">
        <v>8775</v>
      </c>
      <c r="G627" s="7">
        <v>26430</v>
      </c>
      <c r="H627" s="7">
        <v>31470</v>
      </c>
      <c r="I627" s="7">
        <v>25</v>
      </c>
      <c r="J627" s="7" t="s">
        <v>194</v>
      </c>
      <c r="K627" s="7" t="s">
        <v>8774</v>
      </c>
      <c r="L627" s="7" t="s">
        <v>4961</v>
      </c>
      <c r="M627" s="1" t="s">
        <v>9158</v>
      </c>
      <c r="N627" s="1" t="s">
        <v>9158</v>
      </c>
      <c r="O627" s="1" t="s">
        <v>9158</v>
      </c>
      <c r="P627" s="1" t="s">
        <v>9158</v>
      </c>
      <c r="Q627" s="1" t="s">
        <v>9158</v>
      </c>
    </row>
    <row r="628" spans="1:17">
      <c r="E628" s="7"/>
    </row>
    <row r="629" spans="1:17">
      <c r="A629" s="7" t="s">
        <v>8811</v>
      </c>
      <c r="E629" s="7"/>
    </row>
    <row r="630" spans="1:17">
      <c r="A630" s="7" t="s">
        <v>8810</v>
      </c>
      <c r="E630" s="7"/>
    </row>
    <row r="631" spans="1:17">
      <c r="A631" s="1" t="s">
        <v>5650</v>
      </c>
      <c r="B631" s="1" t="s">
        <v>52</v>
      </c>
      <c r="C631" s="1" t="s">
        <v>23</v>
      </c>
      <c r="D631" s="20" t="s">
        <v>809</v>
      </c>
      <c r="E631" s="15" t="str">
        <f>HYPERLINK("https://stat100.ameba.jp/tnk47/ratio20/illustrations/card/ill_68033_0_kurisumasupateikandamyojin03.jpg?202001-1-RELEASE-raid-447x", "■")</f>
        <v>■</v>
      </c>
      <c r="F631" s="1" t="s">
        <v>1871</v>
      </c>
      <c r="G631" s="1">
        <v>139878</v>
      </c>
      <c r="H631" s="1">
        <v>150466</v>
      </c>
      <c r="I631" s="1">
        <v>22</v>
      </c>
      <c r="J631" s="1" t="s">
        <v>44</v>
      </c>
      <c r="K631" s="1" t="s">
        <v>1872</v>
      </c>
      <c r="L631" s="1" t="s">
        <v>1873</v>
      </c>
      <c r="M631" s="1" t="s">
        <v>9158</v>
      </c>
      <c r="N631" s="1" t="s">
        <v>9158</v>
      </c>
      <c r="O631" s="19" t="s">
        <v>2997</v>
      </c>
      <c r="P631" s="1" t="s">
        <v>3483</v>
      </c>
      <c r="Q631" s="1">
        <v>2</v>
      </c>
    </row>
    <row r="632" spans="1:17">
      <c r="A632" s="1" t="s">
        <v>5724</v>
      </c>
      <c r="B632" s="1" t="s">
        <v>330</v>
      </c>
      <c r="C632" s="1" t="s">
        <v>335</v>
      </c>
      <c r="D632" s="20" t="s">
        <v>698</v>
      </c>
      <c r="E632" s="15" t="str">
        <f>HYPERLINK("https://stat100.ameba.jp/tnk47/ratio20/illustrations/card/ill_66433_0_haroinfujishirogozen03.jpg?202001-1-RELEASE-raid-447x", "■")</f>
        <v>■</v>
      </c>
      <c r="F632" s="1" t="s">
        <v>699</v>
      </c>
      <c r="G632" s="1">
        <v>134652</v>
      </c>
      <c r="H632" s="1">
        <v>144834</v>
      </c>
      <c r="I632" s="1">
        <v>22</v>
      </c>
      <c r="J632" s="1" t="s">
        <v>315</v>
      </c>
      <c r="K632" s="1" t="s">
        <v>700</v>
      </c>
      <c r="L632" s="1" t="s">
        <v>701</v>
      </c>
      <c r="M632" s="1" t="s">
        <v>9158</v>
      </c>
      <c r="N632" s="1" t="s">
        <v>9158</v>
      </c>
      <c r="O632" s="19" t="s">
        <v>10095</v>
      </c>
      <c r="P632" s="1" t="s">
        <v>3345</v>
      </c>
      <c r="Q632" s="1">
        <v>1</v>
      </c>
    </row>
    <row r="633" spans="1:17">
      <c r="A633" s="1" t="s">
        <v>6132</v>
      </c>
      <c r="B633" s="1" t="s">
        <v>330</v>
      </c>
      <c r="C633" s="1" t="s">
        <v>205</v>
      </c>
      <c r="D633" s="20" t="s">
        <v>702</v>
      </c>
      <c r="E633" s="15" t="str">
        <f>HYPERLINK("https://stat100.ameba.jp/tnk47/ratio20/illustrations/card/ill_50693_0_hanamizugimimuratsuru03.jpg?202001-1-RELEASE-raid-447x", "■")</f>
        <v>■</v>
      </c>
      <c r="F633" s="1" t="s">
        <v>703</v>
      </c>
      <c r="G633" s="1">
        <v>122776</v>
      </c>
      <c r="H633" s="1">
        <v>138212</v>
      </c>
      <c r="I633" s="1">
        <v>22</v>
      </c>
      <c r="J633" s="1" t="s">
        <v>310</v>
      </c>
      <c r="K633" s="1" t="s">
        <v>704</v>
      </c>
      <c r="L633" s="1" t="s">
        <v>705</v>
      </c>
      <c r="M633" s="1" t="s">
        <v>9158</v>
      </c>
      <c r="N633" s="1" t="s">
        <v>9158</v>
      </c>
      <c r="O633" s="1" t="s">
        <v>9158</v>
      </c>
      <c r="P633" s="1" t="s">
        <v>9158</v>
      </c>
      <c r="Q633" s="1" t="s">
        <v>9158</v>
      </c>
    </row>
    <row r="634" spans="1:17">
      <c r="A634" s="7">
        <v>57243</v>
      </c>
      <c r="B634" s="1" t="s">
        <v>334</v>
      </c>
      <c r="C634" s="1" t="s">
        <v>23</v>
      </c>
      <c r="D634" s="20" t="s">
        <v>547</v>
      </c>
      <c r="E634" s="15" t="str">
        <f>HYPERLINK("https://stat100.ameba.jp/tnk47/ratio20/illustrations/card/ill_57243_mizunoyahanryusai03.jpg?202001-1-RELEASE-raid-447x", "■")</f>
        <v>■</v>
      </c>
      <c r="F634" s="1" t="s">
        <v>8803</v>
      </c>
      <c r="G634" s="1">
        <v>89590</v>
      </c>
      <c r="H634" s="1">
        <v>148199</v>
      </c>
      <c r="I634" s="1">
        <v>25</v>
      </c>
      <c r="J634" s="1" t="s">
        <v>310</v>
      </c>
      <c r="K634" s="1" t="s">
        <v>8802</v>
      </c>
      <c r="L634" s="1" t="s">
        <v>8801</v>
      </c>
      <c r="M634" s="1" t="s">
        <v>9158</v>
      </c>
      <c r="N634" s="1" t="s">
        <v>9158</v>
      </c>
      <c r="O634" s="1" t="s">
        <v>9158</v>
      </c>
      <c r="P634" s="1" t="s">
        <v>9158</v>
      </c>
      <c r="Q634" s="1" t="s">
        <v>9158</v>
      </c>
    </row>
    <row r="635" spans="1:17">
      <c r="A635" s="1">
        <v>74923</v>
      </c>
      <c r="B635" s="1" t="s">
        <v>0</v>
      </c>
      <c r="C635" s="1" t="s">
        <v>205</v>
      </c>
      <c r="D635" s="20" t="s">
        <v>10879</v>
      </c>
      <c r="E635" s="15" t="str">
        <f>HYPERLINK("https://stat100.ameba.jp/tnk47/ratio20/illustrations/card/ill_74923_amenoshihomimi03.jpg?202001-1-RELEASE-raid-447x", "■")</f>
        <v>■</v>
      </c>
      <c r="F635" s="1" t="s">
        <v>8806</v>
      </c>
      <c r="G635" s="1">
        <v>70844</v>
      </c>
      <c r="H635" s="1">
        <v>125931</v>
      </c>
      <c r="I635" s="1">
        <v>25</v>
      </c>
      <c r="J635" s="1" t="s">
        <v>44</v>
      </c>
      <c r="K635" s="1" t="s">
        <v>8805</v>
      </c>
      <c r="L635" s="1" t="s">
        <v>8804</v>
      </c>
      <c r="M635" s="1" t="s">
        <v>9158</v>
      </c>
      <c r="N635" s="1" t="s">
        <v>9158</v>
      </c>
      <c r="O635" s="1" t="s">
        <v>9158</v>
      </c>
      <c r="P635" s="1" t="s">
        <v>9158</v>
      </c>
      <c r="Q635" s="1" t="s">
        <v>9158</v>
      </c>
    </row>
    <row r="636" spans="1:17">
      <c r="A636" s="7">
        <v>70663</v>
      </c>
      <c r="B636" s="1" t="s">
        <v>334</v>
      </c>
      <c r="C636" s="1" t="s">
        <v>335</v>
      </c>
      <c r="D636" s="20" t="s">
        <v>10281</v>
      </c>
      <c r="E636" s="15" t="str">
        <f>HYPERLINK("https://stat100.ameba.jp/tnk47/ratio20/illustrations/card/ill_70663_shitsujikissanagasawarosetsu03.jpg?202001-1-RELEASE-raid-447x", "■")</f>
        <v>■</v>
      </c>
      <c r="F636" s="1" t="s">
        <v>8809</v>
      </c>
      <c r="G636" s="1">
        <v>90759</v>
      </c>
      <c r="H636" s="1">
        <v>97651</v>
      </c>
      <c r="I636" s="1">
        <v>25</v>
      </c>
      <c r="J636" s="1" t="s">
        <v>10</v>
      </c>
      <c r="K636" s="1" t="s">
        <v>8808</v>
      </c>
      <c r="L636" s="1" t="s">
        <v>8807</v>
      </c>
      <c r="M636" s="1" t="s">
        <v>9158</v>
      </c>
      <c r="N636" s="1" t="s">
        <v>9158</v>
      </c>
      <c r="O636" s="1" t="s">
        <v>9158</v>
      </c>
      <c r="P636" s="1" t="s">
        <v>9158</v>
      </c>
      <c r="Q636" s="1" t="s">
        <v>9158</v>
      </c>
    </row>
    <row r="637" spans="1:17">
      <c r="A637" s="7">
        <v>67393</v>
      </c>
      <c r="B637" s="7" t="s">
        <v>15</v>
      </c>
      <c r="C637" s="1" t="s">
        <v>206</v>
      </c>
      <c r="D637" s="20" t="s">
        <v>10845</v>
      </c>
      <c r="E637" s="15" t="str">
        <f>HYPERLINK("https://stat100.ameba.jp/tnk47/ratio20/illustrations/card/ill_67393_jobaamahime03.jpg?202001-1-RELEASE-raid-447x", "■")</f>
        <v>■</v>
      </c>
      <c r="F637" s="7" t="s">
        <v>971</v>
      </c>
      <c r="G637" s="7">
        <v>59144</v>
      </c>
      <c r="H637" s="7">
        <v>65208</v>
      </c>
      <c r="I637" s="7">
        <v>22</v>
      </c>
      <c r="J637" s="7" t="s">
        <v>187</v>
      </c>
      <c r="K637" s="7" t="s">
        <v>972</v>
      </c>
      <c r="L637" s="7" t="s">
        <v>973</v>
      </c>
      <c r="M637" s="1" t="s">
        <v>9158</v>
      </c>
      <c r="N637" s="1" t="s">
        <v>9158</v>
      </c>
      <c r="O637" s="1" t="s">
        <v>9158</v>
      </c>
      <c r="P637" s="1" t="s">
        <v>9158</v>
      </c>
      <c r="Q637" s="1" t="s">
        <v>9158</v>
      </c>
    </row>
    <row r="638" spans="1:17">
      <c r="A638" s="7">
        <v>61993</v>
      </c>
      <c r="B638" s="7" t="s">
        <v>15</v>
      </c>
      <c r="C638" s="1" t="s">
        <v>307</v>
      </c>
      <c r="D638" s="20" t="s">
        <v>10460</v>
      </c>
      <c r="E638" s="15" t="str">
        <f>HYPERLINK("https://stat100.ameba.jp/tnk47/ratio20/illustrations/card/ill_61993_koinoborihosekichan03.jpg?202001-1-RELEASE-raid-447x", "■")</f>
        <v>■</v>
      </c>
      <c r="F638" s="7" t="s">
        <v>6057</v>
      </c>
      <c r="G638" s="7">
        <v>59144</v>
      </c>
      <c r="H638" s="7">
        <v>65208</v>
      </c>
      <c r="I638" s="7">
        <v>22</v>
      </c>
      <c r="J638" s="1" t="s">
        <v>229</v>
      </c>
      <c r="K638" s="7" t="s">
        <v>8579</v>
      </c>
      <c r="L638" s="7" t="s">
        <v>977</v>
      </c>
      <c r="M638" s="1" t="s">
        <v>9158</v>
      </c>
      <c r="N638" s="1" t="s">
        <v>9158</v>
      </c>
      <c r="O638" s="1" t="s">
        <v>9158</v>
      </c>
      <c r="P638" s="1" t="s">
        <v>9158</v>
      </c>
      <c r="Q638" s="1" t="s">
        <v>9158</v>
      </c>
    </row>
    <row r="639" spans="1:17">
      <c r="A639" s="7">
        <v>72663</v>
      </c>
      <c r="B639" s="7" t="s">
        <v>15</v>
      </c>
      <c r="C639" s="1" t="s">
        <v>165</v>
      </c>
      <c r="D639" s="20" t="s">
        <v>3017</v>
      </c>
      <c r="E639" s="15" t="str">
        <f>HYPERLINK("https://stat100.ameba.jp/tnk47/ratio20/illustrations/card/ill_72663_shokanoseisomadorenuchan03.jpg?202001-1-RELEASE-raid-447x", "■")</f>
        <v>■</v>
      </c>
      <c r="F639" s="7" t="s">
        <v>3586</v>
      </c>
      <c r="G639" s="7">
        <v>59144</v>
      </c>
      <c r="H639" s="7">
        <v>65208</v>
      </c>
      <c r="I639" s="7">
        <v>22</v>
      </c>
      <c r="J639" s="7" t="s">
        <v>104</v>
      </c>
      <c r="K639" s="7" t="s">
        <v>3587</v>
      </c>
      <c r="L639" s="7" t="s">
        <v>1757</v>
      </c>
      <c r="M639" s="1" t="s">
        <v>9158</v>
      </c>
      <c r="N639" s="1" t="s">
        <v>9158</v>
      </c>
      <c r="O639" s="1" t="s">
        <v>9158</v>
      </c>
      <c r="P639" s="1" t="s">
        <v>9158</v>
      </c>
      <c r="Q639" s="1" t="s">
        <v>9158</v>
      </c>
    </row>
    <row r="640" spans="1:17">
      <c r="E640" s="7"/>
    </row>
    <row r="641" spans="1:18">
      <c r="A641" s="1" t="s">
        <v>13326</v>
      </c>
      <c r="B641" s="1"/>
      <c r="C641" s="1"/>
      <c r="D641" s="1"/>
      <c r="F641" s="1"/>
      <c r="G641" s="1"/>
      <c r="H641" s="1"/>
      <c r="I641" s="1"/>
      <c r="J641" s="1"/>
      <c r="K641" s="1"/>
      <c r="L641" s="1"/>
      <c r="M641" s="1"/>
      <c r="N641" s="1"/>
      <c r="O641" s="1"/>
      <c r="P641" s="1"/>
      <c r="Q641" s="1"/>
      <c r="R641" s="1"/>
    </row>
    <row r="642" spans="1:18">
      <c r="A642" s="1" t="s">
        <v>8812</v>
      </c>
      <c r="B642" s="1"/>
      <c r="C642" s="1"/>
      <c r="D642" s="1"/>
      <c r="F642" s="1"/>
      <c r="G642" s="1"/>
      <c r="H642" s="1"/>
      <c r="I642" s="1"/>
      <c r="J642" s="1"/>
      <c r="K642" s="1"/>
      <c r="L642" s="1"/>
      <c r="M642" s="1"/>
      <c r="N642" s="1"/>
      <c r="O642" s="1"/>
      <c r="P642" s="1"/>
      <c r="Q642" s="1"/>
      <c r="R642" s="1"/>
    </row>
    <row r="643" spans="1:18">
      <c r="A643" s="1">
        <v>66113</v>
      </c>
      <c r="B643" s="1" t="s">
        <v>334</v>
      </c>
      <c r="C643" s="1" t="s">
        <v>185</v>
      </c>
      <c r="D643" s="20" t="s">
        <v>1292</v>
      </c>
      <c r="E643" s="15" t="str">
        <f>HYPERLINK("https://stat100.ameba.jp/tnk47/ratio20/illustrations/card/ill_66113_shirarikahime03.jpg?202001-1-RELEASE-raid-447x", "■")</f>
        <v>■</v>
      </c>
      <c r="F643" s="1" t="s">
        <v>1293</v>
      </c>
      <c r="G643" s="1">
        <v>123076</v>
      </c>
      <c r="H643" s="1">
        <v>114429</v>
      </c>
      <c r="I643" s="7">
        <v>25</v>
      </c>
      <c r="J643" s="1" t="s">
        <v>274</v>
      </c>
      <c r="K643" s="1" t="s">
        <v>1304</v>
      </c>
      <c r="L643" s="2" t="s">
        <v>9908</v>
      </c>
      <c r="M643" s="1" t="s">
        <v>13151</v>
      </c>
      <c r="N643" s="1" t="s">
        <v>251</v>
      </c>
      <c r="O643" s="1" t="s">
        <v>9158</v>
      </c>
      <c r="P643" s="1" t="s">
        <v>9158</v>
      </c>
      <c r="Q643" s="1" t="s">
        <v>9158</v>
      </c>
      <c r="R643" s="14" t="s">
        <v>14858</v>
      </c>
    </row>
    <row r="644" spans="1:18">
      <c r="A644" s="1">
        <v>66112</v>
      </c>
      <c r="B644" s="1" t="s">
        <v>334</v>
      </c>
      <c r="C644" s="1" t="s">
        <v>185</v>
      </c>
      <c r="D644" s="20" t="s">
        <v>1292</v>
      </c>
      <c r="E644" s="15" t="str">
        <f>HYPERLINK("https://stat100.ameba.jp/tnk47/ratio20/illustrations/card/ill_66112_shirarikahime02.jpg?202001-1-RELEASE-raid-447x", "■")</f>
        <v>■</v>
      </c>
      <c r="F644" s="1" t="s">
        <v>1293</v>
      </c>
      <c r="G644" s="1">
        <v>102885</v>
      </c>
      <c r="H644" s="1">
        <v>94774</v>
      </c>
      <c r="I644" s="7">
        <v>25</v>
      </c>
      <c r="J644" s="1" t="s">
        <v>274</v>
      </c>
      <c r="K644" s="1" t="s">
        <v>1304</v>
      </c>
      <c r="L644" s="2" t="s">
        <v>9908</v>
      </c>
      <c r="M644" s="1" t="s">
        <v>13156</v>
      </c>
      <c r="N644" s="1" t="s">
        <v>1310</v>
      </c>
      <c r="O644" s="1" t="s">
        <v>9158</v>
      </c>
      <c r="P644" s="1" t="s">
        <v>9158</v>
      </c>
      <c r="Q644" s="1" t="s">
        <v>9158</v>
      </c>
      <c r="R644" s="14" t="s">
        <v>14858</v>
      </c>
    </row>
    <row r="645" spans="1:18">
      <c r="A645" s="1">
        <v>66111</v>
      </c>
      <c r="B645" s="1" t="s">
        <v>334</v>
      </c>
      <c r="C645" s="1" t="s">
        <v>185</v>
      </c>
      <c r="D645" s="20" t="s">
        <v>1292</v>
      </c>
      <c r="E645" s="15" t="str">
        <f>HYPERLINK("https://stat100.ameba.jp/tnk47/ratio20/illustrations/card/ill_66111_shirarikahime01.jpg?202001-1-RELEASE-raid-447x", "■")</f>
        <v>■</v>
      </c>
      <c r="F645" s="1" t="s">
        <v>1293</v>
      </c>
      <c r="G645" s="1">
        <v>78550</v>
      </c>
      <c r="H645" s="1">
        <v>73125</v>
      </c>
      <c r="I645" s="7">
        <v>25</v>
      </c>
      <c r="J645" s="1" t="s">
        <v>274</v>
      </c>
      <c r="K645" s="1" t="s">
        <v>1304</v>
      </c>
      <c r="L645" s="2" t="s">
        <v>9908</v>
      </c>
      <c r="M645" s="1" t="s">
        <v>13156</v>
      </c>
      <c r="N645" s="1" t="s">
        <v>1310</v>
      </c>
      <c r="O645" s="1" t="s">
        <v>9158</v>
      </c>
      <c r="P645" s="1" t="s">
        <v>9158</v>
      </c>
      <c r="Q645" s="1" t="s">
        <v>9158</v>
      </c>
      <c r="R645" s="14" t="s">
        <v>14858</v>
      </c>
    </row>
    <row r="646" spans="1:18">
      <c r="A646" s="1">
        <v>65383</v>
      </c>
      <c r="B646" s="1" t="s">
        <v>334</v>
      </c>
      <c r="C646" s="1" t="s">
        <v>200</v>
      </c>
      <c r="D646" s="20" t="s">
        <v>1294</v>
      </c>
      <c r="E646" s="15" t="str">
        <f>HYPERLINK("https://stat100.ameba.jp/tnk47/ratio20/illustrations/card/ill_65383_aogashimachan03.jpg?202001-1-RELEASE-raid-447x", "■")</f>
        <v>■</v>
      </c>
      <c r="F646" s="1" t="s">
        <v>1295</v>
      </c>
      <c r="G646" s="1">
        <v>114429</v>
      </c>
      <c r="H646" s="1">
        <v>123076</v>
      </c>
      <c r="I646" s="7">
        <v>25</v>
      </c>
      <c r="J646" s="1" t="s">
        <v>369</v>
      </c>
      <c r="K646" s="1" t="s">
        <v>1305</v>
      </c>
      <c r="L646" s="2" t="s">
        <v>9909</v>
      </c>
      <c r="M646" s="1" t="s">
        <v>13151</v>
      </c>
      <c r="N646" s="1" t="s">
        <v>251</v>
      </c>
      <c r="O646" s="1" t="s">
        <v>9158</v>
      </c>
      <c r="P646" s="1" t="s">
        <v>9158</v>
      </c>
      <c r="Q646" s="1" t="s">
        <v>9158</v>
      </c>
      <c r="R646" s="14" t="s">
        <v>14858</v>
      </c>
    </row>
    <row r="647" spans="1:18">
      <c r="A647" s="1">
        <v>66123</v>
      </c>
      <c r="B647" s="1" t="s">
        <v>334</v>
      </c>
      <c r="C647" s="1" t="s">
        <v>191</v>
      </c>
      <c r="D647" s="20" t="s">
        <v>1296</v>
      </c>
      <c r="E647" s="15" t="str">
        <f>HYPERLINK("https://stat100.ameba.jp/tnk47/ratio20/illustrations/card/ill_66123_taikemmoninnohorikawa03.jpg?202001-1-RELEASE-raid-447x", "■")</f>
        <v>■</v>
      </c>
      <c r="F647" s="1" t="s">
        <v>1297</v>
      </c>
      <c r="G647" s="1">
        <v>123076</v>
      </c>
      <c r="H647" s="1">
        <v>114429</v>
      </c>
      <c r="I647" s="7">
        <v>25</v>
      </c>
      <c r="J647" s="1" t="s">
        <v>414</v>
      </c>
      <c r="K647" s="1" t="s">
        <v>1306</v>
      </c>
      <c r="L647" s="2" t="s">
        <v>9910</v>
      </c>
      <c r="M647" s="1" t="s">
        <v>13151</v>
      </c>
      <c r="N647" s="1" t="s">
        <v>251</v>
      </c>
      <c r="O647" s="1" t="s">
        <v>9158</v>
      </c>
      <c r="P647" s="1" t="s">
        <v>9158</v>
      </c>
      <c r="Q647" s="1" t="s">
        <v>9158</v>
      </c>
      <c r="R647" s="14" t="s">
        <v>14858</v>
      </c>
    </row>
    <row r="648" spans="1:18">
      <c r="A648" s="1">
        <v>66133</v>
      </c>
      <c r="B648" s="1" t="s">
        <v>334</v>
      </c>
      <c r="C648" s="1" t="s">
        <v>165</v>
      </c>
      <c r="D648" s="20" t="s">
        <v>1298</v>
      </c>
      <c r="E648" s="15" t="str">
        <f>HYPERLINK("https://stat100.ameba.jp/tnk47/ratio20/illustrations/card/ill_66133_iinaosuke03.jpg?202001-1-RELEASE-raid-447x", "■")</f>
        <v>■</v>
      </c>
      <c r="F648" s="1" t="s">
        <v>1299</v>
      </c>
      <c r="G648" s="1">
        <v>114429</v>
      </c>
      <c r="H648" s="1">
        <v>123076</v>
      </c>
      <c r="I648" s="7">
        <v>25</v>
      </c>
      <c r="J648" s="1" t="s">
        <v>351</v>
      </c>
      <c r="K648" s="1" t="s">
        <v>1307</v>
      </c>
      <c r="L648" s="2" t="s">
        <v>9911</v>
      </c>
      <c r="M648" s="1" t="s">
        <v>13151</v>
      </c>
      <c r="N648" s="1" t="s">
        <v>251</v>
      </c>
      <c r="O648" s="1" t="s">
        <v>9158</v>
      </c>
      <c r="P648" s="1" t="s">
        <v>9158</v>
      </c>
      <c r="Q648" s="1" t="s">
        <v>9158</v>
      </c>
      <c r="R648" s="14" t="s">
        <v>14858</v>
      </c>
    </row>
    <row r="649" spans="1:18">
      <c r="A649" s="1">
        <v>65393</v>
      </c>
      <c r="B649" s="1" t="s">
        <v>334</v>
      </c>
      <c r="C649" s="1" t="s">
        <v>205</v>
      </c>
      <c r="D649" s="20" t="s">
        <v>1300</v>
      </c>
      <c r="E649" s="15" t="str">
        <f>HYPERLINK("https://stat100.ameba.jp/tnk47/ratio20/illustrations/card/ill_65393_motochikafujin03.jpg?202001-1-RELEASE-raid-447x", "■")</f>
        <v>■</v>
      </c>
      <c r="F649" s="1" t="s">
        <v>1301</v>
      </c>
      <c r="G649" s="1">
        <v>114429</v>
      </c>
      <c r="H649" s="1">
        <v>123076</v>
      </c>
      <c r="I649" s="7">
        <v>25</v>
      </c>
      <c r="J649" s="1" t="s">
        <v>315</v>
      </c>
      <c r="K649" s="1" t="s">
        <v>1308</v>
      </c>
      <c r="L649" s="2" t="s">
        <v>9912</v>
      </c>
      <c r="M649" s="1" t="s">
        <v>13151</v>
      </c>
      <c r="N649" s="1" t="s">
        <v>251</v>
      </c>
      <c r="O649" s="1" t="s">
        <v>9158</v>
      </c>
      <c r="P649" s="1" t="s">
        <v>9158</v>
      </c>
      <c r="Q649" s="1" t="s">
        <v>9158</v>
      </c>
      <c r="R649" s="14" t="s">
        <v>14858</v>
      </c>
    </row>
    <row r="650" spans="1:18">
      <c r="A650" s="1">
        <v>65403</v>
      </c>
      <c r="B650" s="1" t="s">
        <v>334</v>
      </c>
      <c r="C650" s="1" t="s">
        <v>206</v>
      </c>
      <c r="D650" s="20" t="s">
        <v>1302</v>
      </c>
      <c r="E650" s="15" t="str">
        <f>HYPERLINK("https://stat100.ameba.jp/tnk47/ratio20/illustrations/card/ill_65403_amenokoyanenomikoto03.jpg?202001-1-RELEASE-raid-447x", "■")</f>
        <v>■</v>
      </c>
      <c r="F650" s="1" t="s">
        <v>1303</v>
      </c>
      <c r="G650" s="1">
        <v>123076</v>
      </c>
      <c r="H650" s="1">
        <v>114429</v>
      </c>
      <c r="I650" s="7">
        <v>25</v>
      </c>
      <c r="J650" s="1" t="s">
        <v>401</v>
      </c>
      <c r="K650" s="1" t="s">
        <v>1309</v>
      </c>
      <c r="L650" s="2" t="s">
        <v>9913</v>
      </c>
      <c r="M650" s="1" t="s">
        <v>13151</v>
      </c>
      <c r="N650" s="1" t="s">
        <v>251</v>
      </c>
      <c r="O650" s="1" t="s">
        <v>9158</v>
      </c>
      <c r="P650" s="1" t="s">
        <v>9158</v>
      </c>
      <c r="Q650" s="1" t="s">
        <v>9158</v>
      </c>
      <c r="R650" s="14" t="s">
        <v>14858</v>
      </c>
    </row>
    <row r="651" spans="1:18">
      <c r="E651" s="7"/>
    </row>
    <row r="652" spans="1:18">
      <c r="A652" s="7" t="s">
        <v>8813</v>
      </c>
      <c r="E652" s="7"/>
    </row>
    <row r="653" spans="1:18">
      <c r="A653" s="7" t="s">
        <v>8814</v>
      </c>
      <c r="E653" s="7"/>
    </row>
    <row r="654" spans="1:18">
      <c r="A654" s="1" t="s">
        <v>5602</v>
      </c>
      <c r="B654" s="1" t="s">
        <v>52</v>
      </c>
      <c r="C654" s="1" t="s">
        <v>14</v>
      </c>
      <c r="D654" s="20" t="s">
        <v>813</v>
      </c>
      <c r="E654" s="15" t="str">
        <f>HYPERLINK("https://stat100.ameba.jp/tnk47/ratio20/illustrations/card/ill_55313_0_haroinononokomachi03.jpg?202001-1-RELEASE-raid-447x", "■")</f>
        <v>■</v>
      </c>
      <c r="F654" s="1" t="s">
        <v>2094</v>
      </c>
      <c r="G654" s="1">
        <v>157060</v>
      </c>
      <c r="H654" s="1">
        <v>139520</v>
      </c>
      <c r="I654" s="1">
        <v>25</v>
      </c>
      <c r="J654" s="1" t="s">
        <v>10</v>
      </c>
      <c r="K654" s="1" t="s">
        <v>2095</v>
      </c>
      <c r="L654" s="1" t="s">
        <v>2096</v>
      </c>
      <c r="M654" s="1" t="s">
        <v>9158</v>
      </c>
      <c r="N654" s="1" t="s">
        <v>9158</v>
      </c>
      <c r="O654" s="19" t="s">
        <v>2733</v>
      </c>
      <c r="P654" s="1" t="s">
        <v>2734</v>
      </c>
      <c r="Q654" s="1">
        <v>1</v>
      </c>
    </row>
    <row r="655" spans="1:18">
      <c r="A655" s="1" t="s">
        <v>5778</v>
      </c>
      <c r="B655" s="1" t="s">
        <v>330</v>
      </c>
      <c r="C655" s="1" t="s">
        <v>205</v>
      </c>
      <c r="D655" s="20" t="s">
        <v>272</v>
      </c>
      <c r="E655" s="15" t="str">
        <f>HYPERLINK("https://stat100.ameba.jp/tnk47/ratio20/illustrations/card/ill_68783_0_gantammomotaro03.jpg?202001-1-RELEASE-raid-447x", "■")</f>
        <v>■</v>
      </c>
      <c r="F655" s="1" t="s">
        <v>273</v>
      </c>
      <c r="G655" s="1">
        <v>170984</v>
      </c>
      <c r="H655" s="1">
        <v>158951</v>
      </c>
      <c r="I655" s="1">
        <v>25</v>
      </c>
      <c r="J655" s="1" t="s">
        <v>274</v>
      </c>
      <c r="K655" s="1" t="s">
        <v>275</v>
      </c>
      <c r="L655" s="1" t="s">
        <v>276</v>
      </c>
      <c r="M655" s="1" t="s">
        <v>9158</v>
      </c>
      <c r="N655" s="1" t="s">
        <v>9158</v>
      </c>
      <c r="O655" s="19" t="s">
        <v>10099</v>
      </c>
      <c r="P655" s="1" t="s">
        <v>3085</v>
      </c>
      <c r="Q655" s="1">
        <v>1</v>
      </c>
    </row>
    <row r="656" spans="1:18">
      <c r="A656" s="1">
        <v>82543</v>
      </c>
      <c r="B656" s="1" t="s">
        <v>334</v>
      </c>
      <c r="C656" s="1" t="s">
        <v>41</v>
      </c>
      <c r="D656" s="20" t="s">
        <v>10342</v>
      </c>
      <c r="E656" s="15" t="str">
        <f>HYPERLINK("https://stat100.ameba.jp/tnk47/ratio20/illustrations/card/ill_82543_nabeshimanagako03.jpg?202001-1-RELEASE-raid-447x", "■")</f>
        <v>■</v>
      </c>
      <c r="F656" s="1" t="s">
        <v>5491</v>
      </c>
      <c r="G656" s="1">
        <v>109259</v>
      </c>
      <c r="H656" s="1">
        <v>79151</v>
      </c>
      <c r="I656" s="1">
        <v>25</v>
      </c>
      <c r="J656" s="1" t="s">
        <v>10</v>
      </c>
      <c r="K656" s="1" t="s">
        <v>5493</v>
      </c>
      <c r="L656" s="1" t="s">
        <v>5494</v>
      </c>
      <c r="M656" s="1" t="s">
        <v>9158</v>
      </c>
      <c r="N656" s="1" t="s">
        <v>9158</v>
      </c>
      <c r="O656" s="19" t="s">
        <v>10080</v>
      </c>
      <c r="P656" s="1" t="s">
        <v>3705</v>
      </c>
      <c r="Q656" s="1">
        <v>1</v>
      </c>
    </row>
    <row r="657" spans="1:18">
      <c r="A657" s="1">
        <v>75093</v>
      </c>
      <c r="B657" s="1" t="s">
        <v>334</v>
      </c>
      <c r="C657" s="1" t="s">
        <v>158</v>
      </c>
      <c r="D657" s="20" t="s">
        <v>10403</v>
      </c>
      <c r="E657" s="15" t="str">
        <f>HYPERLINK("https://stat100.ameba.jp/tnk47/ratio20/illustrations/card/ill_75093_hangonko03.jpg?202001-1-RELEASE-raid-447x", "■")</f>
        <v>■</v>
      </c>
      <c r="F657" s="1" t="s">
        <v>2614</v>
      </c>
      <c r="G657" s="1">
        <v>132144</v>
      </c>
      <c r="H657" s="1">
        <v>95703</v>
      </c>
      <c r="I657" s="1">
        <v>25</v>
      </c>
      <c r="J657" s="1" t="s">
        <v>44</v>
      </c>
      <c r="K657" s="1" t="s">
        <v>2615</v>
      </c>
      <c r="L657" s="1" t="s">
        <v>1108</v>
      </c>
      <c r="M657" s="1" t="s">
        <v>9158</v>
      </c>
      <c r="N657" s="1" t="s">
        <v>9158</v>
      </c>
      <c r="O657" s="19" t="s">
        <v>2951</v>
      </c>
      <c r="P657" s="1" t="s">
        <v>13122</v>
      </c>
      <c r="Q657" s="1">
        <v>1</v>
      </c>
    </row>
    <row r="658" spans="1:18">
      <c r="A658" s="1">
        <v>75873</v>
      </c>
      <c r="B658" s="1" t="s">
        <v>334</v>
      </c>
      <c r="C658" s="1" t="s">
        <v>209</v>
      </c>
      <c r="D658" s="20" t="s">
        <v>10221</v>
      </c>
      <c r="E658" s="15" t="str">
        <f>HYPERLINK("https://stat100.ameba.jp/tnk47/ratio20/illustrations/card/ill_75873_harajukuroriitachan03.jpg?202001-1-RELEASE-raid-447x", "■")</f>
        <v>■</v>
      </c>
      <c r="F658" s="1" t="s">
        <v>1945</v>
      </c>
      <c r="G658" s="1">
        <v>109786</v>
      </c>
      <c r="H658" s="1">
        <v>118063</v>
      </c>
      <c r="I658" s="1">
        <v>25</v>
      </c>
      <c r="J658" s="1" t="s">
        <v>26</v>
      </c>
      <c r="K658" s="1" t="s">
        <v>1946</v>
      </c>
      <c r="L658" s="1" t="s">
        <v>1947</v>
      </c>
      <c r="M658" s="1" t="s">
        <v>9158</v>
      </c>
      <c r="N658" s="1" t="s">
        <v>9158</v>
      </c>
      <c r="O658" s="19" t="s">
        <v>2752</v>
      </c>
      <c r="P658" s="1" t="s">
        <v>13123</v>
      </c>
      <c r="Q658" s="1">
        <v>1</v>
      </c>
    </row>
    <row r="659" spans="1:18">
      <c r="A659" s="1">
        <v>64883</v>
      </c>
      <c r="B659" s="1" t="s">
        <v>0</v>
      </c>
      <c r="C659" s="1" t="s">
        <v>47</v>
      </c>
      <c r="D659" s="20" t="s">
        <v>10272</v>
      </c>
      <c r="E659" s="15" t="str">
        <f>HYPERLINK("https://stat100.ameba.jp/tnk47/ratio20/illustrations/card/ill_64883_kasane03.jpg?202001-1-RELEASE-raid-447x", "■")</f>
        <v>■</v>
      </c>
      <c r="F659" s="1" t="s">
        <v>126</v>
      </c>
      <c r="G659" s="1">
        <v>92402</v>
      </c>
      <c r="H659" s="1">
        <v>127580</v>
      </c>
      <c r="I659" s="1">
        <v>25</v>
      </c>
      <c r="J659" s="1" t="s">
        <v>38</v>
      </c>
      <c r="K659" s="1" t="s">
        <v>127</v>
      </c>
      <c r="L659" s="1" t="s">
        <v>128</v>
      </c>
      <c r="M659" s="1" t="s">
        <v>9158</v>
      </c>
      <c r="N659" s="1" t="s">
        <v>9158</v>
      </c>
      <c r="O659" s="1" t="s">
        <v>9158</v>
      </c>
      <c r="P659" s="1" t="s">
        <v>9158</v>
      </c>
      <c r="Q659" s="1" t="s">
        <v>9158</v>
      </c>
    </row>
    <row r="660" spans="1:18">
      <c r="A660" s="7">
        <v>54203</v>
      </c>
      <c r="B660" s="1" t="s">
        <v>0</v>
      </c>
      <c r="C660" s="1" t="s">
        <v>262</v>
      </c>
      <c r="D660" s="20" t="s">
        <v>10203</v>
      </c>
      <c r="E660" s="15" t="str">
        <f>HYPERLINK("https://stat100.ameba.jp/tnk47/ratio20/illustrations/card/ill_54203_dazaiosamu03.jpg?202001-1-RELEASE-raid-447x", "■")</f>
        <v>■</v>
      </c>
      <c r="F660" s="1" t="s">
        <v>1949</v>
      </c>
      <c r="G660" s="1">
        <v>103176</v>
      </c>
      <c r="H660" s="1">
        <v>75651</v>
      </c>
      <c r="I660" s="1">
        <v>25</v>
      </c>
      <c r="J660" s="1" t="s">
        <v>16</v>
      </c>
      <c r="K660" s="1" t="s">
        <v>1950</v>
      </c>
      <c r="L660" s="1" t="s">
        <v>1951</v>
      </c>
      <c r="M660" s="1" t="s">
        <v>9158</v>
      </c>
      <c r="N660" s="1" t="s">
        <v>9158</v>
      </c>
      <c r="O660" s="1" t="s">
        <v>9158</v>
      </c>
      <c r="P660" s="1" t="s">
        <v>9158</v>
      </c>
      <c r="Q660" s="1" t="s">
        <v>9158</v>
      </c>
    </row>
    <row r="661" spans="1:18">
      <c r="A661" s="1">
        <v>64873</v>
      </c>
      <c r="B661" s="1" t="s">
        <v>334</v>
      </c>
      <c r="C661" s="1" t="s">
        <v>203</v>
      </c>
      <c r="D661" s="20" t="s">
        <v>2840</v>
      </c>
      <c r="E661" s="15" t="str">
        <f>HYPERLINK("https://stat100.ameba.jp/tnk47/ratio20/illustrations/card/ill_64873_sessofujin03.jpg?202001-1-RELEASE-raid-447x", "■")</f>
        <v>■</v>
      </c>
      <c r="F661" s="1" t="s">
        <v>2841</v>
      </c>
      <c r="G661" s="1">
        <v>79151</v>
      </c>
      <c r="H661" s="1">
        <v>109259</v>
      </c>
      <c r="I661" s="1">
        <v>25</v>
      </c>
      <c r="J661" s="1" t="s">
        <v>315</v>
      </c>
      <c r="K661" s="1" t="s">
        <v>2842</v>
      </c>
      <c r="L661" s="1" t="s">
        <v>2843</v>
      </c>
      <c r="M661" s="1" t="s">
        <v>9158</v>
      </c>
      <c r="N661" s="1" t="s">
        <v>9158</v>
      </c>
      <c r="O661" s="1" t="s">
        <v>9158</v>
      </c>
      <c r="P661" s="1" t="s">
        <v>9158</v>
      </c>
      <c r="Q661" s="1" t="s">
        <v>9158</v>
      </c>
    </row>
    <row r="662" spans="1:18">
      <c r="E662" s="7"/>
    </row>
    <row r="663" spans="1:18">
      <c r="A663" s="7" t="s">
        <v>4654</v>
      </c>
      <c r="E663" s="7"/>
    </row>
    <row r="664" spans="1:18">
      <c r="A664" s="7" t="s">
        <v>8815</v>
      </c>
      <c r="E664" s="7"/>
    </row>
    <row r="665" spans="1:18">
      <c r="A665" s="1" t="s">
        <v>6905</v>
      </c>
      <c r="B665" s="1" t="s">
        <v>330</v>
      </c>
      <c r="C665" s="1" t="s">
        <v>35</v>
      </c>
      <c r="D665" s="20" t="s">
        <v>10299</v>
      </c>
      <c r="E665" s="15" t="str">
        <f>HYPERLINK("https://stat100.ameba.jp/tnk47/ratio20/illustrations/card/ill_80623_0_ohanamigurampingutominushihime03.jpg?202001-1-RELEASE-raid-447xx", "■")</f>
        <v>■</v>
      </c>
      <c r="F665" s="1" t="s">
        <v>4162</v>
      </c>
      <c r="G665" s="1">
        <v>289274</v>
      </c>
      <c r="H665" s="1">
        <v>261472</v>
      </c>
      <c r="I665" s="1">
        <v>24</v>
      </c>
      <c r="J665" s="1" t="s">
        <v>44</v>
      </c>
      <c r="K665" s="1" t="s">
        <v>4163</v>
      </c>
      <c r="L665" s="1" t="s">
        <v>4164</v>
      </c>
      <c r="M665" s="1" t="s">
        <v>9158</v>
      </c>
      <c r="N665" s="1" t="s">
        <v>9158</v>
      </c>
      <c r="O665" s="19" t="s">
        <v>10126</v>
      </c>
      <c r="P665" s="1" t="s">
        <v>4166</v>
      </c>
      <c r="Q665" s="1">
        <v>1</v>
      </c>
    </row>
    <row r="666" spans="1:18">
      <c r="A666" s="1">
        <v>82903</v>
      </c>
      <c r="B666" s="1" t="s">
        <v>334</v>
      </c>
      <c r="C666" s="1" t="s">
        <v>185</v>
      </c>
      <c r="D666" s="20" t="s">
        <v>10439</v>
      </c>
      <c r="E666" s="15" t="str">
        <f>HYPERLINK("https://stat100.ameba.jp/tnk47/ratio20/illustrations/card/ill_82903_yukatamatsurisonobehideo03.jpg?202001-1-RELEASE-raid-447xx", "■")</f>
        <v>■</v>
      </c>
      <c r="F666" s="1" t="s">
        <v>5970</v>
      </c>
      <c r="G666" s="1">
        <v>93746</v>
      </c>
      <c r="H666" s="1">
        <v>87128</v>
      </c>
      <c r="I666" s="1">
        <v>24</v>
      </c>
      <c r="J666" s="1" t="s">
        <v>10</v>
      </c>
      <c r="K666" s="1" t="s">
        <v>5972</v>
      </c>
      <c r="L666" s="1" t="s">
        <v>5973</v>
      </c>
      <c r="M666" s="1" t="s">
        <v>9158</v>
      </c>
      <c r="N666" s="1" t="s">
        <v>9158</v>
      </c>
      <c r="O666" s="19" t="s">
        <v>10102</v>
      </c>
      <c r="P666" s="1" t="s">
        <v>3672</v>
      </c>
      <c r="Q666" s="1">
        <v>1</v>
      </c>
    </row>
    <row r="667" spans="1:18">
      <c r="A667" s="1">
        <v>67103</v>
      </c>
      <c r="B667" s="1" t="s">
        <v>334</v>
      </c>
      <c r="C667" s="1" t="s">
        <v>154</v>
      </c>
      <c r="D667" s="20" t="s">
        <v>10253</v>
      </c>
      <c r="E667" s="15" t="str">
        <f>HYPERLINK("https://stat100.ameba.jp/tnk47/ratio20/illustrations/card/ill_67103_ankonabe03.jpg?202001-1-RELEASE-raid-447xx", "■")</f>
        <v>■</v>
      </c>
      <c r="F667" s="1" t="s">
        <v>1283</v>
      </c>
      <c r="G667" s="1">
        <v>91876</v>
      </c>
      <c r="H667" s="1">
        <v>126858</v>
      </c>
      <c r="I667" s="1">
        <v>24</v>
      </c>
      <c r="J667" s="1" t="s">
        <v>216</v>
      </c>
      <c r="K667" s="1" t="s">
        <v>1284</v>
      </c>
      <c r="L667" s="1" t="s">
        <v>13153</v>
      </c>
      <c r="M667" s="1" t="s">
        <v>9158</v>
      </c>
      <c r="N667" s="1" t="s">
        <v>9158</v>
      </c>
      <c r="O667" s="19" t="s">
        <v>4074</v>
      </c>
      <c r="P667" s="1" t="s">
        <v>3462</v>
      </c>
      <c r="Q667" s="1">
        <v>1</v>
      </c>
    </row>
    <row r="668" spans="1:18">
      <c r="A668" s="1">
        <v>75883</v>
      </c>
      <c r="B668" s="1" t="s">
        <v>334</v>
      </c>
      <c r="C668" s="1" t="s">
        <v>154</v>
      </c>
      <c r="D668" s="20" t="s">
        <v>10402</v>
      </c>
      <c r="E668" s="15" t="str">
        <f>HYPERLINK("https://stat100.ameba.jp/tnk47/ratio20/illustrations/card/ill_75883_kitajokagehiro03.jpg?202001-1-RELEASE-raid-447xx", "■")</f>
        <v>■</v>
      </c>
      <c r="F668" s="1" t="s">
        <v>2411</v>
      </c>
      <c r="G668" s="1">
        <v>115656</v>
      </c>
      <c r="H668" s="1">
        <v>159674</v>
      </c>
      <c r="I668" s="1">
        <v>24</v>
      </c>
      <c r="J668" s="1" t="s">
        <v>143</v>
      </c>
      <c r="K668" s="1" t="s">
        <v>2412</v>
      </c>
      <c r="L668" s="1" t="s">
        <v>1148</v>
      </c>
      <c r="M668" s="1" t="s">
        <v>9158</v>
      </c>
      <c r="N668" s="1" t="s">
        <v>9158</v>
      </c>
      <c r="O668" s="19" t="s">
        <v>10106</v>
      </c>
      <c r="P668" s="1" t="s">
        <v>3330</v>
      </c>
      <c r="Q668" s="1">
        <v>2</v>
      </c>
    </row>
    <row r="669" spans="1:18">
      <c r="E669" s="7"/>
    </row>
    <row r="670" spans="1:18">
      <c r="A670" s="7" t="s">
        <v>3643</v>
      </c>
      <c r="E670" s="7"/>
    </row>
    <row r="671" spans="1:18">
      <c r="A671" s="7" t="s">
        <v>2710</v>
      </c>
      <c r="E671" s="7"/>
    </row>
    <row r="672" spans="1:18">
      <c r="A672" s="7">
        <v>82525</v>
      </c>
      <c r="B672" s="7" t="s">
        <v>0</v>
      </c>
      <c r="C672" s="7" t="s">
        <v>202</v>
      </c>
      <c r="D672" s="20" t="s">
        <v>10359</v>
      </c>
      <c r="E672" s="15" t="str">
        <f>HYPERLINK("https://stat100.ameba.jp/tnk47/ratio20/illustrations/card/ill_82525_meruburea05.jpg?202001-1-RELEASE-raid-447xx", "■")</f>
        <v>■</v>
      </c>
      <c r="F672" s="7" t="s">
        <v>8818</v>
      </c>
      <c r="G672" s="7">
        <v>118460</v>
      </c>
      <c r="H672" s="7">
        <v>85758</v>
      </c>
      <c r="I672" s="7">
        <v>24</v>
      </c>
      <c r="J672" s="1" t="s">
        <v>143</v>
      </c>
      <c r="K672" s="7" t="s">
        <v>8817</v>
      </c>
      <c r="L672" s="7" t="s">
        <v>8816</v>
      </c>
      <c r="M672" s="1" t="s">
        <v>9158</v>
      </c>
      <c r="N672" s="1" t="s">
        <v>9158</v>
      </c>
      <c r="O672" s="1" t="s">
        <v>9158</v>
      </c>
      <c r="P672" s="1" t="s">
        <v>9158</v>
      </c>
      <c r="Q672" s="1" t="s">
        <v>9158</v>
      </c>
      <c r="R672" s="7" t="s">
        <v>174</v>
      </c>
    </row>
    <row r="673" spans="1:18">
      <c r="A673" s="7">
        <v>82523</v>
      </c>
      <c r="B673" s="7" t="s">
        <v>15</v>
      </c>
      <c r="C673" s="7" t="s">
        <v>154</v>
      </c>
      <c r="D673" s="20" t="s">
        <v>10359</v>
      </c>
      <c r="E673" s="15" t="str">
        <f>HYPERLINK("https://stat100.ameba.jp/tnk47/ratio20/illustrations/card/ill_82523_meruburea03.jpg?202001-1-RELEASE-raid-447xx", "■")</f>
        <v>■</v>
      </c>
      <c r="F673" s="7" t="s">
        <v>8818</v>
      </c>
      <c r="G673" s="7">
        <v>87270</v>
      </c>
      <c r="H673" s="7">
        <v>63180</v>
      </c>
      <c r="I673" s="7">
        <v>24</v>
      </c>
      <c r="J673" s="1" t="s">
        <v>143</v>
      </c>
      <c r="K673" s="7" t="s">
        <v>8817</v>
      </c>
      <c r="L673" s="7" t="s">
        <v>8819</v>
      </c>
      <c r="M673" s="1" t="s">
        <v>9158</v>
      </c>
      <c r="N673" s="1" t="s">
        <v>9158</v>
      </c>
      <c r="O673" s="1" t="s">
        <v>9158</v>
      </c>
      <c r="P673" s="1" t="s">
        <v>9158</v>
      </c>
      <c r="Q673" s="1" t="s">
        <v>9158</v>
      </c>
      <c r="R673" s="7" t="s">
        <v>175</v>
      </c>
    </row>
    <row r="674" spans="1:18">
      <c r="A674" s="7">
        <v>82521</v>
      </c>
      <c r="B674" s="7" t="s">
        <v>15</v>
      </c>
      <c r="C674" s="7" t="s">
        <v>154</v>
      </c>
      <c r="D674" s="20" t="s">
        <v>10359</v>
      </c>
      <c r="E674" s="15" t="str">
        <f>HYPERLINK("https://stat100.ameba.jp/tnk47/ratio20/illustrations/card/ill_82521_meruburea01.jpg?202001-1-RELEASE-raid-447xx", "■")</f>
        <v>■</v>
      </c>
      <c r="F674" s="7" t="s">
        <v>8818</v>
      </c>
      <c r="G674" s="7">
        <v>55512</v>
      </c>
      <c r="H674" s="7">
        <v>40176</v>
      </c>
      <c r="I674" s="7">
        <v>24</v>
      </c>
      <c r="J674" s="1" t="s">
        <v>143</v>
      </c>
      <c r="K674" s="7" t="s">
        <v>8817</v>
      </c>
      <c r="L674" s="7" t="s">
        <v>8820</v>
      </c>
      <c r="M674" s="1" t="s">
        <v>9158</v>
      </c>
      <c r="N674" s="1" t="s">
        <v>9158</v>
      </c>
      <c r="O674" s="1" t="s">
        <v>9158</v>
      </c>
      <c r="P674" s="1" t="s">
        <v>9158</v>
      </c>
      <c r="Q674" s="1" t="s">
        <v>9158</v>
      </c>
      <c r="R674" s="7" t="s">
        <v>176</v>
      </c>
    </row>
    <row r="675" spans="1:18">
      <c r="A675" s="7">
        <v>81895</v>
      </c>
      <c r="B675" s="7" t="s">
        <v>0</v>
      </c>
      <c r="C675" s="7" t="s">
        <v>202</v>
      </c>
      <c r="D675" s="20" t="s">
        <v>10211</v>
      </c>
      <c r="E675" s="15" t="str">
        <f>HYPERLINK("https://stat100.ameba.jp/tnk47/ratio20/illustrations/card/ill_81895_kyansa05.jpg?202001-1-RELEASE-raid-447xx", "■")</f>
        <v>■</v>
      </c>
      <c r="F675" s="7" t="s">
        <v>8823</v>
      </c>
      <c r="G675" s="7">
        <v>136458</v>
      </c>
      <c r="H675" s="7">
        <v>98816</v>
      </c>
      <c r="I675" s="7">
        <v>24</v>
      </c>
      <c r="J675" s="1" t="s">
        <v>26</v>
      </c>
      <c r="K675" s="7" t="s">
        <v>8822</v>
      </c>
      <c r="L675" s="7" t="s">
        <v>8821</v>
      </c>
      <c r="M675" s="1" t="s">
        <v>9158</v>
      </c>
      <c r="N675" s="1" t="s">
        <v>9158</v>
      </c>
      <c r="O675" s="1" t="s">
        <v>9158</v>
      </c>
      <c r="P675" s="1" t="s">
        <v>9158</v>
      </c>
      <c r="Q675" s="1" t="s">
        <v>9158</v>
      </c>
      <c r="R675" s="7" t="s">
        <v>174</v>
      </c>
    </row>
    <row r="676" spans="1:18">
      <c r="A676" s="7">
        <v>81893</v>
      </c>
      <c r="B676" s="7" t="s">
        <v>15</v>
      </c>
      <c r="C676" s="7" t="s">
        <v>158</v>
      </c>
      <c r="D676" s="20" t="s">
        <v>10211</v>
      </c>
      <c r="E676" s="15" t="str">
        <f>HYPERLINK("https://stat100.ameba.jp/tnk47/ratio20/illustrations/card/ill_81893_kyansa03.jpg?202001-1-RELEASE-raid-447xx", "■")</f>
        <v>■</v>
      </c>
      <c r="F676" s="7" t="s">
        <v>8823</v>
      </c>
      <c r="G676" s="7">
        <v>100550</v>
      </c>
      <c r="H676" s="7">
        <v>72806</v>
      </c>
      <c r="I676" s="7">
        <v>24</v>
      </c>
      <c r="J676" s="1" t="s">
        <v>26</v>
      </c>
      <c r="K676" s="7" t="s">
        <v>8822</v>
      </c>
      <c r="L676" s="7" t="s">
        <v>8824</v>
      </c>
      <c r="M676" s="1" t="s">
        <v>9158</v>
      </c>
      <c r="N676" s="1" t="s">
        <v>9158</v>
      </c>
      <c r="O676" s="1" t="s">
        <v>9158</v>
      </c>
      <c r="P676" s="1" t="s">
        <v>9158</v>
      </c>
      <c r="Q676" s="1" t="s">
        <v>9158</v>
      </c>
      <c r="R676" s="7" t="s">
        <v>175</v>
      </c>
    </row>
    <row r="677" spans="1:18">
      <c r="A677" s="7">
        <v>81891</v>
      </c>
      <c r="B677" s="7" t="s">
        <v>15</v>
      </c>
      <c r="C677" s="7" t="s">
        <v>158</v>
      </c>
      <c r="D677" s="20" t="s">
        <v>10211</v>
      </c>
      <c r="E677" s="15" t="str">
        <f>HYPERLINK("https://stat100.ameba.jp/tnk47/ratio20/illustrations/card/ill_81891_kyansa01.jpg?202001-1-RELEASE-raid-447xx", "■")</f>
        <v>■</v>
      </c>
      <c r="F677" s="7" t="s">
        <v>8823</v>
      </c>
      <c r="G677" s="7">
        <v>63960</v>
      </c>
      <c r="H677" s="7">
        <v>46320</v>
      </c>
      <c r="I677" s="7">
        <v>24</v>
      </c>
      <c r="J677" s="1" t="s">
        <v>26</v>
      </c>
      <c r="K677" s="7" t="s">
        <v>8822</v>
      </c>
      <c r="L677" s="7" t="s">
        <v>8825</v>
      </c>
      <c r="M677" s="1" t="s">
        <v>9158</v>
      </c>
      <c r="N677" s="1" t="s">
        <v>9158</v>
      </c>
      <c r="O677" s="1" t="s">
        <v>9158</v>
      </c>
      <c r="P677" s="1" t="s">
        <v>9158</v>
      </c>
      <c r="Q677" s="1" t="s">
        <v>9158</v>
      </c>
      <c r="R677" s="7" t="s">
        <v>176</v>
      </c>
    </row>
    <row r="678" spans="1:18">
      <c r="A678" s="7">
        <v>83065</v>
      </c>
      <c r="B678" s="7" t="s">
        <v>0</v>
      </c>
      <c r="C678" s="7" t="s">
        <v>202</v>
      </c>
      <c r="D678" s="20" t="s">
        <v>10484</v>
      </c>
      <c r="E678" s="15" t="str">
        <f>HYPERLINK("https://stat100.ameba.jp/tnk47/ratio20/illustrations/card/ill_83065_aisumajishan05.jpg?202001-1-RELEASE-raid-447xx", "■")</f>
        <v>■</v>
      </c>
      <c r="F678" s="7" t="s">
        <v>8828</v>
      </c>
      <c r="G678" s="7">
        <v>98816</v>
      </c>
      <c r="H678" s="7">
        <v>136458</v>
      </c>
      <c r="I678" s="7">
        <v>24</v>
      </c>
      <c r="J678" s="1" t="s">
        <v>216</v>
      </c>
      <c r="K678" s="7" t="s">
        <v>8827</v>
      </c>
      <c r="L678" s="7" t="s">
        <v>8826</v>
      </c>
      <c r="M678" s="1" t="s">
        <v>9158</v>
      </c>
      <c r="N678" s="1" t="s">
        <v>9158</v>
      </c>
      <c r="O678" s="1" t="s">
        <v>9158</v>
      </c>
      <c r="P678" s="1" t="s">
        <v>9158</v>
      </c>
      <c r="Q678" s="1" t="s">
        <v>9158</v>
      </c>
      <c r="R678" s="7" t="s">
        <v>174</v>
      </c>
    </row>
    <row r="679" spans="1:18">
      <c r="A679" s="7">
        <v>83063</v>
      </c>
      <c r="B679" s="7" t="s">
        <v>15</v>
      </c>
      <c r="C679" s="7" t="s">
        <v>158</v>
      </c>
      <c r="D679" s="20" t="s">
        <v>10484</v>
      </c>
      <c r="E679" s="15" t="str">
        <f>HYPERLINK("https://stat100.ameba.jp/tnk47/ratio20/illustrations/card/ill_83063_aisumajishan03.jpg?202001-1-RELEASE-raid-447xx", "■")</f>
        <v>■</v>
      </c>
      <c r="F679" s="7" t="s">
        <v>8828</v>
      </c>
      <c r="G679" s="7">
        <v>72806</v>
      </c>
      <c r="H679" s="7">
        <v>100550</v>
      </c>
      <c r="I679" s="7">
        <v>24</v>
      </c>
      <c r="J679" s="1" t="s">
        <v>216</v>
      </c>
      <c r="K679" s="7" t="s">
        <v>8827</v>
      </c>
      <c r="L679" s="7" t="s">
        <v>8829</v>
      </c>
      <c r="M679" s="1" t="s">
        <v>9158</v>
      </c>
      <c r="N679" s="1" t="s">
        <v>9158</v>
      </c>
      <c r="O679" s="1" t="s">
        <v>9158</v>
      </c>
      <c r="P679" s="1" t="s">
        <v>9158</v>
      </c>
      <c r="Q679" s="1" t="s">
        <v>9158</v>
      </c>
      <c r="R679" s="7" t="s">
        <v>175</v>
      </c>
    </row>
    <row r="680" spans="1:18">
      <c r="A680" s="7">
        <v>83061</v>
      </c>
      <c r="B680" s="7" t="s">
        <v>15</v>
      </c>
      <c r="C680" s="7" t="s">
        <v>158</v>
      </c>
      <c r="D680" s="20" t="s">
        <v>10484</v>
      </c>
      <c r="E680" s="15" t="str">
        <f>HYPERLINK("https://stat100.ameba.jp/tnk47/ratio20/illustrations/card/ill_83061_aisumajishan01.jpg?202001-1-RELEASE-raid-447xx", "■")</f>
        <v>■</v>
      </c>
      <c r="F680" s="7" t="s">
        <v>8828</v>
      </c>
      <c r="G680" s="7">
        <v>46320</v>
      </c>
      <c r="H680" s="7">
        <v>63960</v>
      </c>
      <c r="I680" s="7">
        <v>24</v>
      </c>
      <c r="J680" s="1" t="s">
        <v>216</v>
      </c>
      <c r="K680" s="7" t="s">
        <v>8827</v>
      </c>
      <c r="L680" s="7" t="s">
        <v>8830</v>
      </c>
      <c r="M680" s="1" t="s">
        <v>9158</v>
      </c>
      <c r="N680" s="1" t="s">
        <v>9158</v>
      </c>
      <c r="O680" s="1" t="s">
        <v>9158</v>
      </c>
      <c r="P680" s="1" t="s">
        <v>9158</v>
      </c>
      <c r="Q680" s="1" t="s">
        <v>9158</v>
      </c>
      <c r="R680" s="7" t="s">
        <v>176</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68BA2-1478-4E95-A345-D05C81376787}">
  <dimension ref="A1:S633"/>
  <sheetViews>
    <sheetView zoomScale="55" zoomScaleNormal="55" workbookViewId="0">
      <pane ySplit="1" topLeftCell="A431" activePane="bottomLeft" state="frozen"/>
      <selection activeCell="A274" sqref="A274:Q274"/>
      <selection pane="bottomLeft" activeCell="A442" sqref="A442"/>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9140625" style="14"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2" spans="1:19">
      <c r="B2" s="7"/>
      <c r="C2" s="7"/>
      <c r="D2" s="7"/>
      <c r="F2" s="7"/>
      <c r="G2" s="7"/>
      <c r="H2" s="7"/>
      <c r="I2" s="7"/>
      <c r="J2" s="7"/>
      <c r="K2" s="7"/>
      <c r="L2" s="7"/>
      <c r="M2" s="7"/>
      <c r="N2" s="7"/>
      <c r="O2" s="7"/>
      <c r="P2" s="7"/>
      <c r="Q2" s="7"/>
      <c r="R2" s="7"/>
    </row>
    <row r="3" spans="1:19">
      <c r="A3" s="1" t="s">
        <v>17476</v>
      </c>
      <c r="B3" s="7"/>
      <c r="C3" s="7"/>
      <c r="D3" s="7"/>
      <c r="F3" s="7"/>
      <c r="G3" s="7"/>
      <c r="H3" s="7"/>
      <c r="I3" s="7"/>
      <c r="J3" s="7"/>
      <c r="K3" s="7"/>
      <c r="L3" s="7"/>
      <c r="M3" s="7"/>
      <c r="N3" s="7"/>
      <c r="O3" s="7"/>
      <c r="P3" s="7"/>
      <c r="Q3" s="7"/>
      <c r="R3" s="7"/>
    </row>
    <row r="4" spans="1:19">
      <c r="A4" s="1" t="s">
        <v>8832</v>
      </c>
      <c r="B4" s="7"/>
      <c r="C4" s="7"/>
      <c r="D4" s="7"/>
      <c r="F4" s="7"/>
      <c r="G4" s="7"/>
      <c r="H4" s="7"/>
      <c r="I4" s="7"/>
      <c r="J4" s="7"/>
      <c r="K4" s="7"/>
      <c r="L4" s="7"/>
      <c r="M4" s="7"/>
      <c r="N4" s="7"/>
      <c r="O4" s="7"/>
      <c r="P4" s="7"/>
      <c r="Q4" s="7"/>
      <c r="R4" s="7"/>
    </row>
    <row r="5" spans="1:19">
      <c r="A5" s="1" t="s">
        <v>8831</v>
      </c>
      <c r="B5" s="7"/>
      <c r="C5" s="7"/>
      <c r="D5" s="7"/>
      <c r="F5" s="7"/>
      <c r="G5" s="7"/>
      <c r="H5" s="7"/>
      <c r="I5" s="7"/>
      <c r="J5" s="7"/>
      <c r="K5" s="7"/>
      <c r="L5" s="7"/>
      <c r="M5" s="7"/>
      <c r="N5" s="7"/>
      <c r="O5" s="7"/>
      <c r="P5" s="7"/>
      <c r="Q5" s="7"/>
      <c r="R5" s="7"/>
    </row>
    <row r="6" spans="1:19">
      <c r="A6" s="7" t="s">
        <v>8839</v>
      </c>
      <c r="B6" s="7" t="s">
        <v>52</v>
      </c>
      <c r="C6" s="7" t="s">
        <v>202</v>
      </c>
      <c r="D6" s="20" t="s">
        <v>10880</v>
      </c>
      <c r="E6" s="15" t="str">
        <f>HYPERLINK("https://stat100.ameba.jp/tnk47/ratio20/illustrations/card/ill_86273_0_oshogatsuniijimayae03.jpg?202001-1-RELEASE-raid-447xx", "■")</f>
        <v>■</v>
      </c>
      <c r="F6" s="7" t="s">
        <v>8838</v>
      </c>
      <c r="G6" s="7">
        <v>329246</v>
      </c>
      <c r="H6" s="7">
        <v>364296</v>
      </c>
      <c r="I6" s="7">
        <v>30</v>
      </c>
      <c r="J6" s="1" t="s">
        <v>8833</v>
      </c>
      <c r="K6" s="7" t="s">
        <v>8837</v>
      </c>
      <c r="L6" s="7" t="s">
        <v>13211</v>
      </c>
      <c r="M6" s="1" t="s">
        <v>9158</v>
      </c>
      <c r="N6" s="1" t="s">
        <v>9158</v>
      </c>
      <c r="O6" s="19" t="s">
        <v>10134</v>
      </c>
      <c r="P6" s="7" t="s">
        <v>8870</v>
      </c>
      <c r="Q6" s="7">
        <v>1</v>
      </c>
      <c r="R6" s="1"/>
    </row>
    <row r="7" spans="1:19">
      <c r="A7" s="1">
        <v>86223</v>
      </c>
      <c r="B7" s="1" t="s">
        <v>0</v>
      </c>
      <c r="C7" s="1" t="s">
        <v>8834</v>
      </c>
      <c r="D7" s="20" t="s">
        <v>10881</v>
      </c>
      <c r="E7" s="15" t="str">
        <f>HYPERLINK("https://stat100.ameba.jp/tnk47/ratio20/illustrations/card/ill_86223_oshogatsumiyoshino03.jpg?202001-1-RELEASE-raid-447xx", "■")</f>
        <v>■</v>
      </c>
      <c r="F7" s="1" t="s">
        <v>8871</v>
      </c>
      <c r="G7" s="1">
        <v>94390</v>
      </c>
      <c r="H7" s="1">
        <v>101558</v>
      </c>
      <c r="I7" s="1">
        <v>26</v>
      </c>
      <c r="J7" s="1" t="s">
        <v>8842</v>
      </c>
      <c r="K7" s="1" t="s">
        <v>8845</v>
      </c>
      <c r="L7" s="1" t="s">
        <v>13212</v>
      </c>
      <c r="M7" s="1" t="s">
        <v>9158</v>
      </c>
      <c r="N7" s="1" t="s">
        <v>9158</v>
      </c>
      <c r="O7" s="19" t="s">
        <v>10119</v>
      </c>
      <c r="P7" s="1" t="s">
        <v>3662</v>
      </c>
      <c r="Q7" s="1">
        <v>1</v>
      </c>
      <c r="R7" s="1"/>
    </row>
    <row r="8" spans="1:19">
      <c r="A8" s="1">
        <v>86213</v>
      </c>
      <c r="B8" s="1" t="s">
        <v>0</v>
      </c>
      <c r="C8" s="1" t="s">
        <v>8835</v>
      </c>
      <c r="D8" s="20" t="s">
        <v>10882</v>
      </c>
      <c r="E8" s="15" t="str">
        <f>HYPERLINK("https://stat100.ameba.jp/tnk47/ratio20/illustrations/card/ill_86213_oshogatsushigozen03.jpg?202001-1-RELEASE-raid-447xx", "■")</f>
        <v>■</v>
      </c>
      <c r="F8" s="1" t="s">
        <v>8841</v>
      </c>
      <c r="G8" s="9">
        <v>118656</v>
      </c>
      <c r="H8" s="1">
        <v>110126</v>
      </c>
      <c r="I8" s="1">
        <v>26</v>
      </c>
      <c r="J8" s="1" t="s">
        <v>8843</v>
      </c>
      <c r="K8" s="1" t="s">
        <v>8846</v>
      </c>
      <c r="L8" s="1" t="s">
        <v>8849</v>
      </c>
      <c r="M8" s="1" t="s">
        <v>2138</v>
      </c>
      <c r="N8" s="1" t="s">
        <v>2139</v>
      </c>
      <c r="O8" s="1" t="s">
        <v>9158</v>
      </c>
      <c r="P8" s="1" t="s">
        <v>9158</v>
      </c>
      <c r="Q8" s="1" t="s">
        <v>9158</v>
      </c>
      <c r="R8" s="1" t="s">
        <v>13120</v>
      </c>
    </row>
    <row r="9" spans="1:19">
      <c r="A9" s="1">
        <v>86233</v>
      </c>
      <c r="B9" s="1" t="s">
        <v>0</v>
      </c>
      <c r="C9" s="1" t="s">
        <v>8836</v>
      </c>
      <c r="D9" s="20" t="s">
        <v>10883</v>
      </c>
      <c r="E9" s="15" t="str">
        <f>HYPERLINK("https://stat100.ameba.jp/tnk47/ratio20/illustrations/card/ill_86233_oshogatsukoizumiyakumo03.jpg?202001-1-RELEASE-raid-447xx", "■")</f>
        <v>■</v>
      </c>
      <c r="F9" s="1" t="s">
        <v>8840</v>
      </c>
      <c r="G9" s="9">
        <v>101558</v>
      </c>
      <c r="H9" s="1">
        <v>94390</v>
      </c>
      <c r="I9" s="1">
        <v>26</v>
      </c>
      <c r="J9" s="1" t="s">
        <v>8844</v>
      </c>
      <c r="K9" s="1" t="s">
        <v>8847</v>
      </c>
      <c r="L9" s="1" t="s">
        <v>8848</v>
      </c>
      <c r="M9" s="1" t="s">
        <v>2138</v>
      </c>
      <c r="N9" s="1" t="s">
        <v>2139</v>
      </c>
      <c r="O9" s="1" t="s">
        <v>9158</v>
      </c>
      <c r="P9" s="1" t="s">
        <v>9158</v>
      </c>
      <c r="Q9" s="1" t="s">
        <v>9158</v>
      </c>
      <c r="R9" s="1" t="s">
        <v>13120</v>
      </c>
    </row>
    <row r="10" spans="1:19">
      <c r="A10" s="1">
        <v>86243</v>
      </c>
      <c r="B10" s="1" t="s">
        <v>15</v>
      </c>
      <c r="C10" s="1" t="s">
        <v>8850</v>
      </c>
      <c r="D10" s="20" t="s">
        <v>10884</v>
      </c>
      <c r="E10" s="15" t="str">
        <f>HYPERLINK("https://stat100.ameba.jp/tnk47/ratio20/illustrations/card/ill_86243_shogatsunisenjunanagomafuazarashichan03.jpg?202001-1-RELEASE-raid-447xx", "■")</f>
        <v>■</v>
      </c>
      <c r="F10" s="1" t="s">
        <v>8851</v>
      </c>
      <c r="G10" s="1">
        <v>74100</v>
      </c>
      <c r="H10" s="1">
        <v>67210</v>
      </c>
      <c r="I10" s="1">
        <v>25</v>
      </c>
      <c r="J10" s="1" t="s">
        <v>8852</v>
      </c>
      <c r="K10" s="1" t="s">
        <v>8853</v>
      </c>
      <c r="L10" s="1" t="s">
        <v>5926</v>
      </c>
      <c r="M10" s="1" t="s">
        <v>9158</v>
      </c>
      <c r="N10" s="1" t="s">
        <v>9158</v>
      </c>
      <c r="O10" s="1" t="s">
        <v>9158</v>
      </c>
      <c r="P10" s="1" t="s">
        <v>9158</v>
      </c>
      <c r="Q10" s="1" t="s">
        <v>9158</v>
      </c>
      <c r="R10" s="1"/>
    </row>
    <row r="11" spans="1:19">
      <c r="A11" s="1">
        <v>86253</v>
      </c>
      <c r="B11" s="1" t="s">
        <v>15</v>
      </c>
      <c r="C11" s="1" t="s">
        <v>8854</v>
      </c>
      <c r="D11" s="20" t="s">
        <v>10885</v>
      </c>
      <c r="E11" s="15" t="str">
        <f>HYPERLINK("https://stat100.ameba.jp/tnk47/ratio20/illustrations/card/ill_86253_nishinosechichan03.jpg?202001-1-RELEASE-raid-447xx", "■")</f>
        <v>■</v>
      </c>
      <c r="F11" s="7" t="s">
        <v>8857</v>
      </c>
      <c r="G11" s="1">
        <v>67210</v>
      </c>
      <c r="H11" s="1">
        <v>74100</v>
      </c>
      <c r="I11" s="1">
        <v>25</v>
      </c>
      <c r="J11" s="1" t="s">
        <v>8855</v>
      </c>
      <c r="K11" s="7" t="s">
        <v>8856</v>
      </c>
      <c r="L11" s="7" t="s">
        <v>2154</v>
      </c>
      <c r="M11" s="1" t="s">
        <v>9158</v>
      </c>
      <c r="N11" s="1" t="s">
        <v>9158</v>
      </c>
      <c r="O11" s="1" t="s">
        <v>9158</v>
      </c>
      <c r="P11" s="1" t="s">
        <v>9158</v>
      </c>
      <c r="Q11" s="1" t="s">
        <v>9158</v>
      </c>
      <c r="R11" s="1"/>
    </row>
    <row r="12" spans="1:19">
      <c r="A12" s="1">
        <v>86263</v>
      </c>
      <c r="B12" s="1" t="s">
        <v>15</v>
      </c>
      <c r="C12" s="1" t="s">
        <v>8859</v>
      </c>
      <c r="D12" s="20" t="s">
        <v>10886</v>
      </c>
      <c r="E12" s="15" t="str">
        <f>HYPERLINK("https://stat100.ameba.jp/tnk47/ratio20/illustrations/card/ill_86263_shogatsunisenjunanatamagusukuseiju03.jpg?202001-1-RELEASE-raid-447xx", "■")</f>
        <v>■</v>
      </c>
      <c r="F12" s="1" t="s">
        <v>8861</v>
      </c>
      <c r="G12" s="1">
        <v>74100</v>
      </c>
      <c r="H12" s="1">
        <v>67210</v>
      </c>
      <c r="I12" s="1">
        <v>25</v>
      </c>
      <c r="J12" s="1" t="s">
        <v>8858</v>
      </c>
      <c r="K12" s="1" t="s">
        <v>8860</v>
      </c>
      <c r="L12" s="1" t="s">
        <v>2462</v>
      </c>
      <c r="M12" s="1" t="s">
        <v>9158</v>
      </c>
      <c r="N12" s="1" t="s">
        <v>9158</v>
      </c>
      <c r="O12" s="1" t="s">
        <v>9158</v>
      </c>
      <c r="P12" s="1" t="s">
        <v>9158</v>
      </c>
      <c r="Q12" s="1" t="s">
        <v>9158</v>
      </c>
      <c r="R12" s="1"/>
    </row>
    <row r="13" spans="1:19">
      <c r="A13" s="1">
        <v>86283</v>
      </c>
      <c r="B13" s="1" t="s">
        <v>22</v>
      </c>
      <c r="C13" s="1" t="s">
        <v>200</v>
      </c>
      <c r="D13" s="20" t="s">
        <v>10887</v>
      </c>
      <c r="E13" s="15" t="str">
        <f>HYPERLINK("https://stat100.ameba.jp/tnk47/ratio20/illustrations/card/ill_86283_zohiki03.jpg?202001-1-RELEASE-raid-447xx", "■")</f>
        <v>■</v>
      </c>
      <c r="F13" s="1" t="s">
        <v>8874</v>
      </c>
      <c r="G13" s="1">
        <v>51980</v>
      </c>
      <c r="H13" s="1">
        <v>43220</v>
      </c>
      <c r="I13" s="1">
        <v>25</v>
      </c>
      <c r="J13" s="1" t="s">
        <v>155</v>
      </c>
      <c r="K13" s="1" t="s">
        <v>8873</v>
      </c>
      <c r="L13" s="1" t="s">
        <v>8872</v>
      </c>
      <c r="M13" s="1" t="s">
        <v>9158</v>
      </c>
      <c r="N13" s="1" t="s">
        <v>9158</v>
      </c>
      <c r="O13" s="1" t="s">
        <v>9158</v>
      </c>
      <c r="P13" s="1" t="s">
        <v>9158</v>
      </c>
      <c r="Q13" s="1" t="s">
        <v>9158</v>
      </c>
      <c r="R13" s="1"/>
    </row>
    <row r="14" spans="1:19">
      <c r="A14" s="1">
        <v>86293</v>
      </c>
      <c r="B14" s="1" t="s">
        <v>22</v>
      </c>
      <c r="C14" s="1" t="s">
        <v>191</v>
      </c>
      <c r="D14" s="20" t="s">
        <v>10888</v>
      </c>
      <c r="E14" s="15" t="str">
        <f>HYPERLINK("https://stat100.ameba.jp/tnk47/ratio20/illustrations/card/ill_86293_kurikinton03.jpg?202001-1-RELEASE-raid-447xx", "■")</f>
        <v>■</v>
      </c>
      <c r="F14" s="1" t="s">
        <v>8877</v>
      </c>
      <c r="G14" s="1">
        <v>43220</v>
      </c>
      <c r="H14" s="1">
        <v>51980</v>
      </c>
      <c r="I14" s="1">
        <v>25</v>
      </c>
      <c r="J14" s="1" t="s">
        <v>104</v>
      </c>
      <c r="K14" s="1" t="s">
        <v>8876</v>
      </c>
      <c r="L14" s="1" t="s">
        <v>8875</v>
      </c>
      <c r="M14" s="1" t="s">
        <v>9158</v>
      </c>
      <c r="N14" s="1" t="s">
        <v>9158</v>
      </c>
      <c r="O14" s="1" t="s">
        <v>9158</v>
      </c>
      <c r="P14" s="1" t="s">
        <v>9158</v>
      </c>
      <c r="Q14" s="1" t="s">
        <v>9158</v>
      </c>
      <c r="R14" s="1"/>
    </row>
    <row r="15" spans="1:19">
      <c r="A15" s="1">
        <v>86303</v>
      </c>
      <c r="B15" s="1" t="s">
        <v>30</v>
      </c>
      <c r="C15" s="1" t="s">
        <v>8862</v>
      </c>
      <c r="D15" s="20" t="s">
        <v>10889</v>
      </c>
      <c r="E15" s="15" t="str">
        <f>HYPERLINK("https://stat100.ameba.jp/tnk47/ratio20/illustrations/card/ill_86303_kannushitakasugishinsaku03.jpg?202001-1-RELEASE-raid-447xx", "■")</f>
        <v>■</v>
      </c>
      <c r="F15" s="1" t="s">
        <v>8863</v>
      </c>
      <c r="G15" s="7">
        <v>31470</v>
      </c>
      <c r="H15" s="7">
        <v>26430</v>
      </c>
      <c r="I15" s="1">
        <v>25</v>
      </c>
      <c r="J15" s="1" t="s">
        <v>8864</v>
      </c>
      <c r="K15" s="1" t="s">
        <v>8865</v>
      </c>
      <c r="L15" s="1" t="s">
        <v>13213</v>
      </c>
      <c r="M15" s="1" t="s">
        <v>9158</v>
      </c>
      <c r="N15" s="1" t="s">
        <v>9158</v>
      </c>
      <c r="O15" s="1" t="s">
        <v>9158</v>
      </c>
      <c r="P15" s="1" t="s">
        <v>9158</v>
      </c>
      <c r="Q15" s="1" t="s">
        <v>9158</v>
      </c>
      <c r="R15" s="1"/>
    </row>
    <row r="16" spans="1:19">
      <c r="A16" s="1">
        <v>86313</v>
      </c>
      <c r="B16" s="1" t="s">
        <v>30</v>
      </c>
      <c r="C16" s="1" t="s">
        <v>8866</v>
      </c>
      <c r="D16" s="20" t="s">
        <v>10890</v>
      </c>
      <c r="E16" s="15" t="str">
        <f>HYPERLINK("https://stat100.ameba.jp/tnk47/ratio20/illustrations/card/ill_86313_ema03.jpg?202001-1-RELEASE-raid-447xx", "■")</f>
        <v>■</v>
      </c>
      <c r="F16" s="1" t="s">
        <v>8867</v>
      </c>
      <c r="G16" s="7">
        <v>26430</v>
      </c>
      <c r="H16" s="7">
        <v>31470</v>
      </c>
      <c r="I16" s="1">
        <v>25</v>
      </c>
      <c r="J16" s="1" t="s">
        <v>8868</v>
      </c>
      <c r="K16" s="1" t="s">
        <v>8869</v>
      </c>
      <c r="L16" s="1" t="s">
        <v>13214</v>
      </c>
      <c r="M16" s="1" t="s">
        <v>9158</v>
      </c>
      <c r="N16" s="1" t="s">
        <v>9158</v>
      </c>
      <c r="O16" s="1" t="s">
        <v>9158</v>
      </c>
      <c r="P16" s="1" t="s">
        <v>9158</v>
      </c>
      <c r="Q16" s="1" t="s">
        <v>9158</v>
      </c>
      <c r="R16" s="1"/>
    </row>
    <row r="17" spans="1:18">
      <c r="E17" s="9"/>
    </row>
    <row r="18" spans="1:18">
      <c r="A18" s="7" t="s">
        <v>13374</v>
      </c>
      <c r="B18" s="7"/>
      <c r="C18" s="7"/>
      <c r="D18" s="7"/>
      <c r="E18" s="7"/>
      <c r="F18" s="7"/>
      <c r="G18" s="7"/>
      <c r="H18" s="7"/>
      <c r="I18" s="7"/>
      <c r="J18" s="7"/>
      <c r="K18" s="7"/>
      <c r="L18" s="7"/>
      <c r="M18" s="7"/>
      <c r="N18" s="7"/>
      <c r="O18" s="7"/>
      <c r="P18" s="7"/>
      <c r="Q18" s="7"/>
      <c r="R18" s="7"/>
    </row>
    <row r="19" spans="1:18">
      <c r="A19" s="7" t="s">
        <v>8878</v>
      </c>
      <c r="B19" s="7"/>
      <c r="C19" s="7"/>
      <c r="D19" s="7"/>
      <c r="E19" s="7"/>
      <c r="F19" s="7"/>
      <c r="G19" s="7"/>
      <c r="H19" s="7"/>
      <c r="I19" s="7"/>
      <c r="J19" s="7"/>
      <c r="K19" s="7"/>
      <c r="L19" s="7"/>
      <c r="M19" s="7"/>
      <c r="N19" s="7"/>
      <c r="O19" s="7"/>
      <c r="P19" s="7"/>
      <c r="Q19" s="7"/>
      <c r="R19" s="7"/>
    </row>
    <row r="20" spans="1:18">
      <c r="A20" s="7">
        <v>86365</v>
      </c>
      <c r="B20" s="7" t="s">
        <v>0</v>
      </c>
      <c r="C20" s="7" t="s">
        <v>202</v>
      </c>
      <c r="D20" s="20" t="s">
        <v>10891</v>
      </c>
      <c r="E20" s="15" t="str">
        <f>HYPERLINK("https://stat100.ameba.jp/tnk47/ratio20/illustrations/card/ill_86365_hagoitataisenhinotomiko05.jpg?202001-1-RELEASE-raid-447xx", "■")</f>
        <v>■</v>
      </c>
      <c r="F20" s="7" t="s">
        <v>8880</v>
      </c>
      <c r="G20" s="7">
        <v>88500</v>
      </c>
      <c r="H20" s="7">
        <v>122234</v>
      </c>
      <c r="I20" s="7">
        <v>25</v>
      </c>
      <c r="J20" s="1" t="s">
        <v>187</v>
      </c>
      <c r="K20" s="7" t="s">
        <v>8882</v>
      </c>
      <c r="L20" s="7" t="s">
        <v>8881</v>
      </c>
      <c r="M20" s="1" t="s">
        <v>9158</v>
      </c>
      <c r="N20" s="1" t="s">
        <v>9158</v>
      </c>
      <c r="O20" s="1" t="s">
        <v>9158</v>
      </c>
      <c r="P20" s="1" t="s">
        <v>9158</v>
      </c>
      <c r="Q20" s="1" t="s">
        <v>9158</v>
      </c>
      <c r="R20" s="7" t="s">
        <v>174</v>
      </c>
    </row>
    <row r="21" spans="1:18">
      <c r="A21" s="7">
        <v>86363</v>
      </c>
      <c r="B21" s="7" t="s">
        <v>15</v>
      </c>
      <c r="C21" s="7" t="s">
        <v>8879</v>
      </c>
      <c r="D21" s="20" t="s">
        <v>10891</v>
      </c>
      <c r="E21" s="15" t="str">
        <f>HYPERLINK("https://stat100.ameba.jp/tnk47/ratio20/illustrations/card/ill_86363_hagoitataisenhinotomiko03.jpg?202001-1-RELEASE-raid-447xx", "■")</f>
        <v>■</v>
      </c>
      <c r="F21" s="7" t="s">
        <v>8880</v>
      </c>
      <c r="G21" s="7">
        <v>65202</v>
      </c>
      <c r="H21" s="7">
        <v>90050</v>
      </c>
      <c r="I21" s="7">
        <v>25</v>
      </c>
      <c r="J21" s="1" t="s">
        <v>187</v>
      </c>
      <c r="K21" s="7" t="s">
        <v>8882</v>
      </c>
      <c r="L21" s="7" t="s">
        <v>8883</v>
      </c>
      <c r="M21" s="1" t="s">
        <v>9158</v>
      </c>
      <c r="N21" s="1" t="s">
        <v>9158</v>
      </c>
      <c r="O21" s="1" t="s">
        <v>9158</v>
      </c>
      <c r="P21" s="1" t="s">
        <v>9158</v>
      </c>
      <c r="Q21" s="1" t="s">
        <v>9158</v>
      </c>
      <c r="R21" s="7" t="s">
        <v>175</v>
      </c>
    </row>
    <row r="22" spans="1:18">
      <c r="A22" s="7">
        <v>86361</v>
      </c>
      <c r="B22" s="7" t="s">
        <v>15</v>
      </c>
      <c r="C22" s="7" t="s">
        <v>8879</v>
      </c>
      <c r="D22" s="20" t="s">
        <v>10891</v>
      </c>
      <c r="E22" s="15" t="str">
        <f>HYPERLINK("https://stat100.ameba.jp/tnk47/ratio20/illustrations/card/ill_86361_hagoitataisenhinotomiko01.jpg?202001-1-RELEASE-raid-447xx", "■")</f>
        <v>■</v>
      </c>
      <c r="F22" s="7" t="s">
        <v>8880</v>
      </c>
      <c r="G22" s="7">
        <v>41470</v>
      </c>
      <c r="H22" s="7">
        <v>57278</v>
      </c>
      <c r="I22" s="7">
        <v>25</v>
      </c>
      <c r="J22" s="1" t="s">
        <v>187</v>
      </c>
      <c r="K22" s="7" t="s">
        <v>8882</v>
      </c>
      <c r="L22" s="7" t="s">
        <v>8884</v>
      </c>
      <c r="M22" s="1" t="s">
        <v>9158</v>
      </c>
      <c r="N22" s="1" t="s">
        <v>9158</v>
      </c>
      <c r="O22" s="1" t="s">
        <v>9158</v>
      </c>
      <c r="P22" s="1" t="s">
        <v>9158</v>
      </c>
      <c r="Q22" s="1" t="s">
        <v>9158</v>
      </c>
      <c r="R22" s="7" t="s">
        <v>176</v>
      </c>
    </row>
    <row r="23" spans="1:18">
      <c r="E23" s="9"/>
    </row>
    <row r="24" spans="1:18">
      <c r="A24" s="7" t="s">
        <v>204</v>
      </c>
      <c r="B24" s="7"/>
      <c r="C24" s="7"/>
      <c r="D24" s="7"/>
      <c r="E24" s="7"/>
      <c r="F24" s="7"/>
      <c r="G24" s="7"/>
      <c r="H24" s="7"/>
      <c r="I24" s="7"/>
      <c r="J24" s="7"/>
      <c r="K24" s="7"/>
      <c r="L24" s="7"/>
      <c r="M24" s="7"/>
      <c r="N24" s="7"/>
      <c r="O24" s="7"/>
      <c r="P24" s="7"/>
      <c r="Q24" s="7"/>
    </row>
    <row r="25" spans="1:18">
      <c r="A25" s="7" t="s">
        <v>8885</v>
      </c>
      <c r="B25" s="7"/>
      <c r="C25" s="7"/>
      <c r="D25" s="7"/>
      <c r="E25" s="7"/>
      <c r="F25" s="7"/>
      <c r="G25" s="7"/>
      <c r="H25" s="7"/>
      <c r="I25" s="7"/>
      <c r="J25" s="7"/>
      <c r="K25" s="7"/>
      <c r="L25" s="7"/>
      <c r="M25" s="7"/>
      <c r="N25" s="7"/>
      <c r="O25" s="7"/>
      <c r="P25" s="7"/>
      <c r="Q25" s="7"/>
    </row>
    <row r="26" spans="1:18">
      <c r="A26" s="1" t="s">
        <v>6195</v>
      </c>
      <c r="B26" s="1" t="s">
        <v>52</v>
      </c>
      <c r="C26" s="1" t="s">
        <v>191</v>
      </c>
      <c r="D26" s="20" t="s">
        <v>10217</v>
      </c>
      <c r="E26" s="15" t="str">
        <f>HYPERLINK("https://stat100.ameba.jp/tnk47/ratio20/illustrations/card/ill_56493_0_poppukurisumasuikomakitsuno03.jpg?202001-1-RELEASE-raid-447xx", "■")</f>
        <v>■</v>
      </c>
      <c r="F26" s="1" t="s">
        <v>1769</v>
      </c>
      <c r="G26" s="1">
        <v>138212</v>
      </c>
      <c r="H26" s="1">
        <v>122776</v>
      </c>
      <c r="I26" s="1">
        <v>22</v>
      </c>
      <c r="J26" s="1" t="s">
        <v>77</v>
      </c>
      <c r="K26" s="1" t="s">
        <v>1770</v>
      </c>
      <c r="L26" s="1" t="s">
        <v>1771</v>
      </c>
      <c r="M26" s="1" t="s">
        <v>9158</v>
      </c>
      <c r="N26" s="1" t="s">
        <v>9158</v>
      </c>
      <c r="O26" s="19" t="s">
        <v>10120</v>
      </c>
      <c r="P26" s="1" t="s">
        <v>2724</v>
      </c>
      <c r="Q26" s="1">
        <v>1</v>
      </c>
    </row>
    <row r="27" spans="1:18">
      <c r="A27" s="1" t="s">
        <v>5620</v>
      </c>
      <c r="B27" s="1" t="s">
        <v>330</v>
      </c>
      <c r="C27" s="1" t="s">
        <v>206</v>
      </c>
      <c r="D27" s="20" t="s">
        <v>669</v>
      </c>
      <c r="E27" s="15" t="str">
        <f>HYPERLINK("https://stat100.ameba.jp/tnk47/ratio20/illustrations/card/ill_67173_0_yukemuriawamorichan03.jpg?202001-1-RELEASE-raid-447xx", "■")</f>
        <v>■</v>
      </c>
      <c r="F27" s="1" t="s">
        <v>670</v>
      </c>
      <c r="G27" s="1">
        <v>169032</v>
      </c>
      <c r="H27" s="1">
        <v>157150</v>
      </c>
      <c r="I27" s="1">
        <v>22</v>
      </c>
      <c r="J27" s="1" t="s">
        <v>283</v>
      </c>
      <c r="K27" s="1" t="s">
        <v>671</v>
      </c>
      <c r="L27" s="1" t="s">
        <v>672</v>
      </c>
      <c r="M27" s="1" t="s">
        <v>9158</v>
      </c>
      <c r="N27" s="1" t="s">
        <v>9158</v>
      </c>
      <c r="O27" s="19" t="s">
        <v>10087</v>
      </c>
      <c r="P27" s="1" t="s">
        <v>3455</v>
      </c>
      <c r="Q27" s="1">
        <v>1</v>
      </c>
    </row>
    <row r="28" spans="1:18">
      <c r="A28" s="1" t="s">
        <v>5608</v>
      </c>
      <c r="B28" s="1" t="s">
        <v>52</v>
      </c>
      <c r="C28" s="1" t="s">
        <v>96</v>
      </c>
      <c r="D28" s="20" t="s">
        <v>634</v>
      </c>
      <c r="E28" s="15" t="str">
        <f>HYPERLINK("https://stat100.ameba.jp/tnk47/ratio20/illustrations/card/ill_40963_0_makami03.jpg?202001-1-RELEASE-raid-447xx", "■")</f>
        <v>■</v>
      </c>
      <c r="F28" s="1" t="s">
        <v>2038</v>
      </c>
      <c r="G28" s="1">
        <v>128744</v>
      </c>
      <c r="H28" s="1">
        <v>120576</v>
      </c>
      <c r="I28" s="1">
        <v>22</v>
      </c>
      <c r="J28" s="1" t="s">
        <v>44</v>
      </c>
      <c r="K28" s="1" t="s">
        <v>2039</v>
      </c>
      <c r="L28" s="1" t="s">
        <v>2040</v>
      </c>
      <c r="M28" s="1" t="s">
        <v>9158</v>
      </c>
      <c r="N28" s="1" t="s">
        <v>9158</v>
      </c>
      <c r="O28" s="1" t="s">
        <v>9158</v>
      </c>
      <c r="P28" s="1" t="s">
        <v>9158</v>
      </c>
      <c r="Q28" s="1" t="s">
        <v>9158</v>
      </c>
    </row>
    <row r="29" spans="1:18">
      <c r="A29" s="1">
        <v>62313</v>
      </c>
      <c r="B29" s="1" t="s">
        <v>334</v>
      </c>
      <c r="C29" s="1" t="s">
        <v>185</v>
      </c>
      <c r="D29" s="20" t="s">
        <v>2879</v>
      </c>
      <c r="E29" s="15" t="str">
        <f>HYPERLINK("https://stat100.ameba.jp/tnk47/ratio20/illustrations/card/ill_62313_mukadehime03.jpg?202001-1-RELEASE-raid-447xx", "■")</f>
        <v>■</v>
      </c>
      <c r="F29" s="1" t="s">
        <v>2880</v>
      </c>
      <c r="G29" s="1">
        <v>146392</v>
      </c>
      <c r="H29" s="1">
        <v>82390</v>
      </c>
      <c r="I29" s="1">
        <v>26</v>
      </c>
      <c r="J29" s="1" t="s">
        <v>274</v>
      </c>
      <c r="K29" s="1" t="s">
        <v>2881</v>
      </c>
      <c r="L29" s="1" t="s">
        <v>4380</v>
      </c>
      <c r="M29" s="1" t="s">
        <v>9158</v>
      </c>
      <c r="N29" s="1" t="s">
        <v>9158</v>
      </c>
      <c r="O29" s="1" t="s">
        <v>9158</v>
      </c>
      <c r="P29" s="1" t="s">
        <v>9158</v>
      </c>
      <c r="Q29" s="1" t="s">
        <v>9158</v>
      </c>
    </row>
    <row r="30" spans="1:18">
      <c r="A30" s="1">
        <v>56083</v>
      </c>
      <c r="B30" s="1" t="s">
        <v>334</v>
      </c>
      <c r="C30" s="1" t="s">
        <v>200</v>
      </c>
      <c r="D30" s="20" t="s">
        <v>4047</v>
      </c>
      <c r="E30" s="15" t="str">
        <f>HYPERLINK("https://stat100.ameba.jp/tnk47/ratio20/illustrations/card/ill_56083_tanakashozo03.jpg?202001-1-RELEASE-raid-447xx", "■")</f>
        <v>■</v>
      </c>
      <c r="F30" s="1" t="s">
        <v>914</v>
      </c>
      <c r="G30" s="1">
        <v>112808</v>
      </c>
      <c r="H30" s="1">
        <v>81098</v>
      </c>
      <c r="I30" s="1">
        <v>26</v>
      </c>
      <c r="J30" s="1" t="s">
        <v>10</v>
      </c>
      <c r="K30" s="1" t="s">
        <v>915</v>
      </c>
      <c r="L30" s="1" t="s">
        <v>916</v>
      </c>
      <c r="M30" s="1" t="s">
        <v>9158</v>
      </c>
      <c r="N30" s="1" t="s">
        <v>9158</v>
      </c>
      <c r="O30" s="1" t="s">
        <v>9158</v>
      </c>
      <c r="P30" s="1" t="s">
        <v>9158</v>
      </c>
      <c r="Q30" s="1" t="s">
        <v>9158</v>
      </c>
    </row>
    <row r="31" spans="1:18">
      <c r="A31" s="1">
        <v>67463</v>
      </c>
      <c r="B31" s="1" t="s">
        <v>334</v>
      </c>
      <c r="C31" s="1" t="s">
        <v>205</v>
      </c>
      <c r="D31" s="20" t="s">
        <v>10892</v>
      </c>
      <c r="E31" s="15" t="str">
        <f>HYPERLINK("https://stat100.ameba.jp/tnk47/ratio20/illustrations/card/ill_67463_yoigokochiizumonokuni03.jpg?202001-1-RELEASE-raid-447xx", "■")</f>
        <v>■</v>
      </c>
      <c r="F31" s="1" t="s">
        <v>2536</v>
      </c>
      <c r="G31" s="1">
        <v>105426</v>
      </c>
      <c r="H31" s="1">
        <v>98066</v>
      </c>
      <c r="I31" s="1">
        <v>26</v>
      </c>
      <c r="J31" s="1" t="s">
        <v>16</v>
      </c>
      <c r="K31" s="1" t="s">
        <v>2537</v>
      </c>
      <c r="L31" s="1" t="s">
        <v>920</v>
      </c>
      <c r="M31" s="1" t="s">
        <v>9158</v>
      </c>
      <c r="N31" s="1" t="s">
        <v>9158</v>
      </c>
      <c r="O31" s="1" t="s">
        <v>9158</v>
      </c>
      <c r="P31" s="1" t="s">
        <v>9158</v>
      </c>
      <c r="Q31" s="1" t="s">
        <v>9158</v>
      </c>
    </row>
    <row r="32" spans="1:18">
      <c r="A32" s="1">
        <v>75803</v>
      </c>
      <c r="B32" s="1" t="s">
        <v>15</v>
      </c>
      <c r="C32" s="1" t="s">
        <v>185</v>
      </c>
      <c r="D32" s="20" t="s">
        <v>10462</v>
      </c>
      <c r="E32" s="15" t="str">
        <f>HYPERLINK("https://stat100.ameba.jp/tnk47/ratio20/illustrations/card/ill_75803_hasekuratsunenaga03.jpg?202001-1-RELEASE-raid-447xx", "■")</f>
        <v>■</v>
      </c>
      <c r="F32" s="1" t="s">
        <v>6063</v>
      </c>
      <c r="G32" s="1">
        <v>65208</v>
      </c>
      <c r="H32" s="1">
        <v>59144</v>
      </c>
      <c r="I32" s="1">
        <v>22</v>
      </c>
      <c r="J32" s="1" t="s">
        <v>159</v>
      </c>
      <c r="K32" s="1" t="s">
        <v>6065</v>
      </c>
      <c r="L32" s="1" t="s">
        <v>13200</v>
      </c>
      <c r="M32" s="1" t="s">
        <v>9158</v>
      </c>
      <c r="N32" s="1" t="s">
        <v>9158</v>
      </c>
      <c r="O32" s="1" t="s">
        <v>9158</v>
      </c>
      <c r="P32" s="1" t="s">
        <v>9158</v>
      </c>
      <c r="Q32" s="1" t="s">
        <v>9158</v>
      </c>
    </row>
    <row r="33" spans="1:18">
      <c r="A33" s="1">
        <v>56283</v>
      </c>
      <c r="B33" s="1" t="s">
        <v>15</v>
      </c>
      <c r="C33" s="1" t="s">
        <v>200</v>
      </c>
      <c r="D33" s="20" t="s">
        <v>10893</v>
      </c>
      <c r="E33" s="15" t="str">
        <f>HYPERLINK("https://stat100.ameba.jp/tnk47/ratio20/illustrations/card/ill_56283_miritarimizugishirotsubakinosei03.jpg?202001-1-RELEASE-raid-447xx", "■")</f>
        <v>■</v>
      </c>
      <c r="F33" s="1" t="s">
        <v>8887</v>
      </c>
      <c r="G33" s="1">
        <v>65208</v>
      </c>
      <c r="H33" s="1">
        <v>59144</v>
      </c>
      <c r="I33" s="1">
        <v>22</v>
      </c>
      <c r="J33" s="1" t="s">
        <v>274</v>
      </c>
      <c r="K33" s="1" t="s">
        <v>8886</v>
      </c>
      <c r="L33" s="1" t="s">
        <v>1702</v>
      </c>
      <c r="M33" s="1" t="s">
        <v>9158</v>
      </c>
      <c r="N33" s="1" t="s">
        <v>9158</v>
      </c>
      <c r="O33" s="1" t="s">
        <v>9158</v>
      </c>
      <c r="P33" s="1" t="s">
        <v>9158</v>
      </c>
      <c r="Q33" s="1" t="s">
        <v>9158</v>
      </c>
    </row>
    <row r="34" spans="1:18">
      <c r="A34" s="1">
        <v>49243</v>
      </c>
      <c r="B34" s="1" t="s">
        <v>15</v>
      </c>
      <c r="C34" s="1" t="s">
        <v>205</v>
      </c>
      <c r="D34" s="20" t="s">
        <v>10894</v>
      </c>
      <c r="E34" s="15" t="str">
        <f>HYPERLINK("https://stat100.ameba.jp/tnk47/ratio20/illustrations/card/ill_49243_kanfukatsurakogorou03.jpg?202001-1-RELEASE-raid-447xx", "■")</f>
        <v>■</v>
      </c>
      <c r="F34" s="1" t="s">
        <v>8890</v>
      </c>
      <c r="G34" s="1">
        <v>65208</v>
      </c>
      <c r="H34" s="1">
        <v>59144</v>
      </c>
      <c r="I34" s="1">
        <v>22</v>
      </c>
      <c r="J34" s="1" t="s">
        <v>10</v>
      </c>
      <c r="K34" s="1" t="s">
        <v>8889</v>
      </c>
      <c r="L34" s="1" t="s">
        <v>8888</v>
      </c>
      <c r="M34" s="1" t="s">
        <v>9158</v>
      </c>
      <c r="N34" s="1" t="s">
        <v>9158</v>
      </c>
      <c r="O34" s="1" t="s">
        <v>9158</v>
      </c>
      <c r="P34" s="1" t="s">
        <v>9158</v>
      </c>
      <c r="Q34" s="1" t="s">
        <v>9158</v>
      </c>
    </row>
    <row r="35" spans="1:18">
      <c r="E35" s="9"/>
    </row>
    <row r="36" spans="1:18">
      <c r="A36" s="9" t="s">
        <v>8891</v>
      </c>
      <c r="E36" s="9"/>
    </row>
    <row r="37" spans="1:18">
      <c r="A37" s="9" t="s">
        <v>8892</v>
      </c>
      <c r="E37" s="9"/>
    </row>
    <row r="38" spans="1:18">
      <c r="A38" s="1" t="s">
        <v>5963</v>
      </c>
      <c r="B38" s="1" t="s">
        <v>330</v>
      </c>
      <c r="C38" s="1" t="s">
        <v>35</v>
      </c>
      <c r="D38" s="20" t="s">
        <v>10438</v>
      </c>
      <c r="E38" s="15" t="str">
        <f>HYPERLINK("https://stat100.ameba.jp/tnk47/ratio20/illustrations/card/ill_82963_0_yukatamatsuritomokazuki03.jpg?202001-1-RELEASE-raid-447xx", "■")</f>
        <v>■</v>
      </c>
      <c r="F38" s="1" t="s">
        <v>5964</v>
      </c>
      <c r="G38" s="1">
        <v>285888</v>
      </c>
      <c r="H38" s="1">
        <v>316330</v>
      </c>
      <c r="I38" s="1">
        <v>24</v>
      </c>
      <c r="J38" s="1" t="s">
        <v>73</v>
      </c>
      <c r="K38" s="1" t="s">
        <v>5966</v>
      </c>
      <c r="L38" s="1" t="s">
        <v>5967</v>
      </c>
      <c r="M38" s="1" t="s">
        <v>9158</v>
      </c>
      <c r="N38" s="1" t="s">
        <v>9158</v>
      </c>
      <c r="O38" s="19" t="s">
        <v>10115</v>
      </c>
      <c r="P38" s="1" t="s">
        <v>5968</v>
      </c>
      <c r="Q38" s="1">
        <v>1</v>
      </c>
    </row>
    <row r="39" spans="1:18">
      <c r="A39" s="1">
        <v>84153</v>
      </c>
      <c r="B39" s="1" t="s">
        <v>0</v>
      </c>
      <c r="C39" s="1" t="s">
        <v>165</v>
      </c>
      <c r="D39" s="20" t="s">
        <v>10658</v>
      </c>
      <c r="E39" s="15" t="str">
        <f>HYPERLINK("https://stat100.ameba.jp/tnk47/ratio20/illustrations/card/ill_84153_tarottotoyotomihideyori03.jpg?202001-1-RELEASE-raid-447xx", "■")</f>
        <v>■</v>
      </c>
      <c r="F39" s="1" t="s">
        <v>7155</v>
      </c>
      <c r="G39" s="1">
        <v>142674</v>
      </c>
      <c r="H39" s="1">
        <v>132658</v>
      </c>
      <c r="I39" s="1">
        <v>24</v>
      </c>
      <c r="J39" s="1" t="s">
        <v>143</v>
      </c>
      <c r="K39" s="1" t="s">
        <v>7156</v>
      </c>
      <c r="L39" s="1" t="s">
        <v>145</v>
      </c>
      <c r="M39" s="1" t="s">
        <v>9158</v>
      </c>
      <c r="N39" s="1" t="s">
        <v>9158</v>
      </c>
      <c r="O39" s="19" t="s">
        <v>10090</v>
      </c>
      <c r="P39" s="1" t="s">
        <v>3460</v>
      </c>
      <c r="Q39" s="1">
        <v>1</v>
      </c>
      <c r="R39" s="1"/>
    </row>
    <row r="40" spans="1:18">
      <c r="A40" s="1">
        <v>81303</v>
      </c>
      <c r="B40" s="1" t="s">
        <v>334</v>
      </c>
      <c r="C40" s="1" t="s">
        <v>41</v>
      </c>
      <c r="D40" s="20" t="s">
        <v>10349</v>
      </c>
      <c r="E40" s="15" t="str">
        <f>HYPERLINK("https://stat100.ameba.jp/tnk47/ratio20/illustrations/card/ill_81303_suteirukuin03.jpg?202001-1-RELEASE-raid-447xx", "■")</f>
        <v>■</v>
      </c>
      <c r="F40" s="1" t="s">
        <v>4581</v>
      </c>
      <c r="G40" s="1">
        <v>115656</v>
      </c>
      <c r="H40" s="1">
        <v>159674</v>
      </c>
      <c r="I40" s="1">
        <v>24</v>
      </c>
      <c r="J40" s="1" t="s">
        <v>104</v>
      </c>
      <c r="K40" s="1" t="s">
        <v>4582</v>
      </c>
      <c r="L40" s="1" t="s">
        <v>2304</v>
      </c>
      <c r="M40" s="1" t="s">
        <v>9158</v>
      </c>
      <c r="N40" s="1" t="s">
        <v>9158</v>
      </c>
      <c r="O40" s="19" t="s">
        <v>10084</v>
      </c>
      <c r="P40" s="1" t="s">
        <v>4584</v>
      </c>
      <c r="Q40" s="1">
        <v>1</v>
      </c>
    </row>
    <row r="41" spans="1:18">
      <c r="A41" s="1">
        <v>64043</v>
      </c>
      <c r="B41" s="1" t="s">
        <v>334</v>
      </c>
      <c r="C41" s="1" t="s">
        <v>209</v>
      </c>
      <c r="D41" s="20" t="s">
        <v>10262</v>
      </c>
      <c r="E41" s="15" t="str">
        <f>HYPERLINK("https://stat100.ameba.jp/tnk47/ratio20/illustrations/card/ill_64043_kegonnotaki03.jpg?202001-1-RELEASE-raid-447xx", "■")</f>
        <v>■</v>
      </c>
      <c r="F41" s="1" t="s">
        <v>759</v>
      </c>
      <c r="G41" s="1">
        <v>114160</v>
      </c>
      <c r="H41" s="1">
        <v>82694</v>
      </c>
      <c r="I41" s="1">
        <v>24</v>
      </c>
      <c r="J41" s="1" t="s">
        <v>229</v>
      </c>
      <c r="K41" s="1" t="s">
        <v>230</v>
      </c>
      <c r="L41" s="1" t="s">
        <v>13143</v>
      </c>
      <c r="M41" s="1" t="s">
        <v>9158</v>
      </c>
      <c r="N41" s="1" t="s">
        <v>9158</v>
      </c>
      <c r="O41" s="19" t="s">
        <v>10070</v>
      </c>
      <c r="P41" s="1" t="s">
        <v>3579</v>
      </c>
      <c r="Q41" s="1">
        <v>1</v>
      </c>
    </row>
    <row r="42" spans="1:18">
      <c r="E42" s="9"/>
    </row>
    <row r="43" spans="1:18">
      <c r="A43" s="7" t="s">
        <v>13327</v>
      </c>
      <c r="B43" s="7"/>
      <c r="C43" s="7"/>
      <c r="D43" s="7"/>
      <c r="E43" s="7"/>
      <c r="F43" s="7"/>
      <c r="G43" s="7"/>
      <c r="H43" s="7"/>
      <c r="I43" s="7"/>
      <c r="J43" s="7"/>
      <c r="K43" s="7"/>
      <c r="L43" s="7"/>
      <c r="M43" s="7"/>
      <c r="N43" s="7"/>
      <c r="O43" s="7"/>
      <c r="P43" s="7"/>
      <c r="Q43" s="7"/>
      <c r="R43" s="7"/>
    </row>
    <row r="44" spans="1:18">
      <c r="A44" s="7" t="s">
        <v>8893</v>
      </c>
      <c r="B44" s="7"/>
      <c r="C44" s="7"/>
      <c r="D44" s="7"/>
      <c r="E44" s="7"/>
      <c r="F44" s="7"/>
      <c r="G44" s="7"/>
      <c r="H44" s="7"/>
      <c r="I44" s="7"/>
      <c r="J44" s="7"/>
      <c r="K44" s="7"/>
      <c r="L44" s="7"/>
      <c r="M44" s="7"/>
      <c r="N44" s="7"/>
      <c r="O44" s="7"/>
      <c r="P44" s="7"/>
      <c r="Q44" s="7"/>
      <c r="R44" s="7"/>
    </row>
    <row r="45" spans="1:18">
      <c r="A45" s="1">
        <v>86063</v>
      </c>
      <c r="B45" s="1" t="s">
        <v>334</v>
      </c>
      <c r="C45" s="1" t="s">
        <v>14</v>
      </c>
      <c r="D45" s="20" t="s">
        <v>10818</v>
      </c>
      <c r="E45" s="15" t="str">
        <f>HYPERLINK("https://stat100.ameba.jp/tnk47/ratio20/illustrations/card/ill_86063_uotchimeika03.jpg?202001-1-RELEASE-raid-447xx", "■")</f>
        <v>■</v>
      </c>
      <c r="F45" s="1" t="s">
        <v>8368</v>
      </c>
      <c r="G45" s="1">
        <v>119006</v>
      </c>
      <c r="H45" s="1">
        <v>128000</v>
      </c>
      <c r="I45" s="1">
        <v>26</v>
      </c>
      <c r="J45" s="1" t="s">
        <v>173</v>
      </c>
      <c r="K45" s="1" t="s">
        <v>8367</v>
      </c>
      <c r="L45" s="1" t="s">
        <v>8366</v>
      </c>
      <c r="M45" s="1" t="s">
        <v>13130</v>
      </c>
      <c r="N45" s="1" t="s">
        <v>343</v>
      </c>
      <c r="O45" s="1" t="s">
        <v>9158</v>
      </c>
      <c r="P45" s="1" t="s">
        <v>9158</v>
      </c>
      <c r="Q45" s="1" t="s">
        <v>9158</v>
      </c>
      <c r="R45" s="14" t="s">
        <v>14748</v>
      </c>
    </row>
    <row r="46" spans="1:18">
      <c r="A46" s="1">
        <v>86062</v>
      </c>
      <c r="B46" s="1" t="s">
        <v>334</v>
      </c>
      <c r="C46" s="1" t="s">
        <v>14</v>
      </c>
      <c r="D46" s="20" t="s">
        <v>10818</v>
      </c>
      <c r="E46" s="15" t="str">
        <f>HYPERLINK("https://stat100.ameba.jp/tnk47/ratio20/illustrations/card/ill_86062_uotchimeika02.jpg?202001-1-RELEASE-raid-447xx", "■")</f>
        <v>■</v>
      </c>
      <c r="F46" s="1" t="s">
        <v>8368</v>
      </c>
      <c r="G46" s="1">
        <v>98566</v>
      </c>
      <c r="H46" s="1">
        <v>107000</v>
      </c>
      <c r="I46" s="1">
        <v>26</v>
      </c>
      <c r="J46" s="1" t="s">
        <v>173</v>
      </c>
      <c r="K46" s="1" t="s">
        <v>8367</v>
      </c>
      <c r="L46" s="1" t="s">
        <v>8366</v>
      </c>
      <c r="M46" s="1" t="s">
        <v>13131</v>
      </c>
      <c r="N46" s="1" t="s">
        <v>251</v>
      </c>
      <c r="O46" s="1" t="s">
        <v>9158</v>
      </c>
      <c r="P46" s="1" t="s">
        <v>9158</v>
      </c>
      <c r="Q46" s="1" t="s">
        <v>9158</v>
      </c>
      <c r="R46" s="14" t="s">
        <v>14748</v>
      </c>
    </row>
    <row r="47" spans="1:18">
      <c r="A47" s="1">
        <v>86061</v>
      </c>
      <c r="B47" s="1" t="s">
        <v>0</v>
      </c>
      <c r="C47" s="1" t="s">
        <v>14</v>
      </c>
      <c r="D47" s="20" t="s">
        <v>10818</v>
      </c>
      <c r="E47" s="15" t="str">
        <f>HYPERLINK("https://stat100.ameba.jp/tnk47/ratio20/illustrations/card/ill_86061_uotchimeika01.jpg?202001-1-RELEASE-raid-447xx", "■")</f>
        <v>■</v>
      </c>
      <c r="F47" s="1" t="s">
        <v>8368</v>
      </c>
      <c r="G47" s="1">
        <v>76050</v>
      </c>
      <c r="H47" s="1">
        <v>81692</v>
      </c>
      <c r="I47" s="1">
        <v>26</v>
      </c>
      <c r="J47" s="1" t="s">
        <v>173</v>
      </c>
      <c r="K47" s="1" t="s">
        <v>8367</v>
      </c>
      <c r="L47" s="1" t="s">
        <v>8366</v>
      </c>
      <c r="M47" s="1" t="s">
        <v>13131</v>
      </c>
      <c r="N47" s="1" t="s">
        <v>251</v>
      </c>
      <c r="O47" s="1" t="s">
        <v>9158</v>
      </c>
      <c r="P47" s="1" t="s">
        <v>9158</v>
      </c>
      <c r="Q47" s="1" t="s">
        <v>9158</v>
      </c>
      <c r="R47" s="14" t="s">
        <v>14748</v>
      </c>
    </row>
    <row r="48" spans="1:18">
      <c r="A48" s="1">
        <v>86073</v>
      </c>
      <c r="B48" s="1" t="s">
        <v>334</v>
      </c>
      <c r="C48" s="1" t="s">
        <v>23</v>
      </c>
      <c r="D48" s="20" t="s">
        <v>10819</v>
      </c>
      <c r="E48" s="15" t="str">
        <f>HYPERLINK("https://stat100.ameba.jp/tnk47/ratio20/illustrations/card/ill_86073_maddohatta03.jpg?202001-1-RELEASE-raid-447xx", "■")</f>
        <v>■</v>
      </c>
      <c r="F48" s="1" t="s">
        <v>8371</v>
      </c>
      <c r="G48" s="1">
        <v>119006</v>
      </c>
      <c r="H48" s="1">
        <v>128000</v>
      </c>
      <c r="I48" s="1">
        <v>26</v>
      </c>
      <c r="J48" s="1" t="s">
        <v>155</v>
      </c>
      <c r="K48" s="1" t="s">
        <v>8370</v>
      </c>
      <c r="L48" s="1" t="s">
        <v>8369</v>
      </c>
      <c r="M48" s="1" t="s">
        <v>13130</v>
      </c>
      <c r="N48" s="1" t="s">
        <v>343</v>
      </c>
      <c r="O48" s="1" t="s">
        <v>9158</v>
      </c>
      <c r="P48" s="1" t="s">
        <v>9158</v>
      </c>
      <c r="Q48" s="1" t="s">
        <v>9158</v>
      </c>
      <c r="R48" s="14" t="s">
        <v>14748</v>
      </c>
    </row>
    <row r="49" spans="1:18">
      <c r="A49" s="1">
        <v>86083</v>
      </c>
      <c r="B49" s="1" t="s">
        <v>334</v>
      </c>
      <c r="C49" s="1" t="s">
        <v>101</v>
      </c>
      <c r="D49" s="20" t="s">
        <v>10820</v>
      </c>
      <c r="E49" s="15" t="str">
        <f>HYPERLINK("https://stat100.ameba.jp/tnk47/ratio20/illustrations/card/ill_86083_keieinochojomeruro03.jpg?202001-1-RELEASE-raid-447xx", "■")</f>
        <v>■</v>
      </c>
      <c r="F49" s="1" t="s">
        <v>8375</v>
      </c>
      <c r="G49" s="1">
        <v>128000</v>
      </c>
      <c r="H49" s="1">
        <v>119006</v>
      </c>
      <c r="I49" s="1">
        <v>26</v>
      </c>
      <c r="J49" s="1" t="s">
        <v>229</v>
      </c>
      <c r="K49" s="1" t="s">
        <v>8374</v>
      </c>
      <c r="L49" s="1" t="s">
        <v>8373</v>
      </c>
      <c r="M49" s="1" t="s">
        <v>13130</v>
      </c>
      <c r="N49" s="1" t="s">
        <v>343</v>
      </c>
      <c r="O49" s="1" t="s">
        <v>9158</v>
      </c>
      <c r="P49" s="1" t="s">
        <v>9158</v>
      </c>
      <c r="Q49" s="1" t="s">
        <v>9158</v>
      </c>
      <c r="R49" s="14" t="s">
        <v>14748</v>
      </c>
    </row>
    <row r="50" spans="1:18">
      <c r="A50" s="1">
        <v>86093</v>
      </c>
      <c r="B50" s="1" t="s">
        <v>0</v>
      </c>
      <c r="C50" s="1" t="s">
        <v>96</v>
      </c>
      <c r="D50" s="20" t="s">
        <v>10821</v>
      </c>
      <c r="E50" s="15" t="str">
        <f>HYPERLINK("https://stat100.ameba.jp/tnk47/ratio20/illustrations/card/ill_86093_minamotonoyoshimitsu03.jpg?202001-1-RELEASE-raid-447xx", "■")</f>
        <v>■</v>
      </c>
      <c r="F50" s="1" t="s">
        <v>8379</v>
      </c>
      <c r="G50" s="1">
        <v>128000</v>
      </c>
      <c r="H50" s="1">
        <v>119006</v>
      </c>
      <c r="I50" s="1">
        <v>26</v>
      </c>
      <c r="J50" s="1" t="s">
        <v>194</v>
      </c>
      <c r="K50" s="1" t="s">
        <v>8377</v>
      </c>
      <c r="L50" s="1" t="s">
        <v>8376</v>
      </c>
      <c r="M50" s="1" t="s">
        <v>13130</v>
      </c>
      <c r="N50" s="1" t="s">
        <v>343</v>
      </c>
      <c r="O50" s="1" t="s">
        <v>9158</v>
      </c>
      <c r="P50" s="1" t="s">
        <v>9158</v>
      </c>
      <c r="Q50" s="1" t="s">
        <v>9158</v>
      </c>
      <c r="R50" s="14" t="s">
        <v>14748</v>
      </c>
    </row>
    <row r="51" spans="1:18">
      <c r="A51" s="1">
        <v>86103</v>
      </c>
      <c r="B51" s="1" t="s">
        <v>334</v>
      </c>
      <c r="C51" s="1" t="s">
        <v>205</v>
      </c>
      <c r="D51" s="20" t="s">
        <v>10822</v>
      </c>
      <c r="E51" s="15" t="str">
        <f>HYPERLINK("https://stat100.ameba.jp/tnk47/ratio20/illustrations/card/ill_86103_omatsudaimyojin03.jpg?202001-1-RELEASE-raid-447xx", "■")</f>
        <v>■</v>
      </c>
      <c r="F51" s="1" t="s">
        <v>8383</v>
      </c>
      <c r="G51" s="1">
        <v>128000</v>
      </c>
      <c r="H51" s="1">
        <v>119006</v>
      </c>
      <c r="I51" s="1">
        <v>26</v>
      </c>
      <c r="J51" s="1" t="s">
        <v>169</v>
      </c>
      <c r="K51" s="1" t="s">
        <v>8381</v>
      </c>
      <c r="L51" s="1" t="s">
        <v>8380</v>
      </c>
      <c r="M51" s="1" t="s">
        <v>13130</v>
      </c>
      <c r="N51" s="1" t="s">
        <v>343</v>
      </c>
      <c r="O51" s="1" t="s">
        <v>9158</v>
      </c>
      <c r="P51" s="1" t="s">
        <v>9158</v>
      </c>
      <c r="Q51" s="1" t="s">
        <v>9158</v>
      </c>
      <c r="R51" s="14" t="s">
        <v>14748</v>
      </c>
    </row>
    <row r="52" spans="1:18">
      <c r="A52" s="1">
        <v>86113</v>
      </c>
      <c r="B52" s="1" t="s">
        <v>334</v>
      </c>
      <c r="C52" s="1" t="s">
        <v>107</v>
      </c>
      <c r="D52" s="20" t="s">
        <v>10823</v>
      </c>
      <c r="E52" s="15" t="str">
        <f>HYPERLINK("https://stat100.ameba.jp/tnk47/ratio20/illustrations/card/ill_86113_yuno03.jpg?202001-1-RELEASE-raid-447xx", "■")</f>
        <v>■</v>
      </c>
      <c r="F52" s="1" t="s">
        <v>8387</v>
      </c>
      <c r="G52" s="1">
        <v>119006</v>
      </c>
      <c r="H52" s="1">
        <v>128000</v>
      </c>
      <c r="I52" s="1">
        <v>26</v>
      </c>
      <c r="J52" s="1" t="s">
        <v>159</v>
      </c>
      <c r="K52" s="1" t="s">
        <v>8385</v>
      </c>
      <c r="L52" s="1" t="s">
        <v>8384</v>
      </c>
      <c r="M52" s="1" t="s">
        <v>13130</v>
      </c>
      <c r="N52" s="1" t="s">
        <v>343</v>
      </c>
      <c r="O52" s="1" t="s">
        <v>9158</v>
      </c>
      <c r="P52" s="1" t="s">
        <v>9158</v>
      </c>
      <c r="Q52" s="1" t="s">
        <v>9158</v>
      </c>
      <c r="R52" s="14" t="s">
        <v>14748</v>
      </c>
    </row>
    <row r="53" spans="1:18">
      <c r="E53" s="9"/>
    </row>
    <row r="54" spans="1:18">
      <c r="A54" s="9" t="s">
        <v>8894</v>
      </c>
      <c r="E54" s="9"/>
    </row>
    <row r="55" spans="1:18">
      <c r="A55" s="9" t="s">
        <v>8895</v>
      </c>
      <c r="E55" s="9"/>
    </row>
    <row r="56" spans="1:18">
      <c r="A56" s="1" t="s">
        <v>5734</v>
      </c>
      <c r="B56" s="1" t="s">
        <v>330</v>
      </c>
      <c r="C56" s="1" t="s">
        <v>202</v>
      </c>
      <c r="D56" s="20" t="s">
        <v>1497</v>
      </c>
      <c r="E56" s="15" t="str">
        <f>HYPERLINK("https://stat100.ameba.jp/tnk47/ratio20/illustrations/card/ill_74593_0_natsuyuenchikoshihikari03.jpg?202001-1-RELEASE-raid-447xx", "■")</f>
        <v>■</v>
      </c>
      <c r="F56" s="1" t="s">
        <v>1498</v>
      </c>
      <c r="G56" s="1">
        <v>281662</v>
      </c>
      <c r="H56" s="1">
        <v>261852</v>
      </c>
      <c r="I56" s="1">
        <v>26</v>
      </c>
      <c r="J56" s="1" t="s">
        <v>283</v>
      </c>
      <c r="K56" s="1" t="s">
        <v>1499</v>
      </c>
      <c r="L56" s="1" t="s">
        <v>1500</v>
      </c>
      <c r="M56" s="1" t="s">
        <v>9158</v>
      </c>
      <c r="N56" s="1" t="s">
        <v>9158</v>
      </c>
      <c r="O56" s="19" t="s">
        <v>2731</v>
      </c>
      <c r="P56" s="1" t="s">
        <v>2732</v>
      </c>
      <c r="Q56" s="1">
        <v>1</v>
      </c>
    </row>
    <row r="57" spans="1:18">
      <c r="A57" s="1" t="s">
        <v>5615</v>
      </c>
      <c r="B57" s="1" t="s">
        <v>330</v>
      </c>
      <c r="C57" s="1" t="s">
        <v>206</v>
      </c>
      <c r="D57" s="20" t="s">
        <v>2814</v>
      </c>
      <c r="E57" s="15" t="str">
        <f>HYPERLINK("https://stat100.ameba.jp/tnk47/ratio20/illustrations/card/ill_57733_0_shogatsunisenjunanaamakusashiro03.jpg?202001-1-RELEASE-raid-447xx", "■")</f>
        <v>■</v>
      </c>
      <c r="F57" s="1" t="s">
        <v>2815</v>
      </c>
      <c r="G57" s="1">
        <v>145100</v>
      </c>
      <c r="H57" s="1">
        <v>163342</v>
      </c>
      <c r="I57" s="1">
        <v>26</v>
      </c>
      <c r="J57" s="1" t="s">
        <v>351</v>
      </c>
      <c r="K57" s="1" t="s">
        <v>2816</v>
      </c>
      <c r="L57" s="1" t="s">
        <v>2817</v>
      </c>
      <c r="M57" s="1" t="s">
        <v>9158</v>
      </c>
      <c r="N57" s="1" t="s">
        <v>9158</v>
      </c>
      <c r="O57" s="19" t="s">
        <v>10077</v>
      </c>
      <c r="P57" s="1" t="s">
        <v>3062</v>
      </c>
      <c r="Q57" s="1">
        <v>1</v>
      </c>
    </row>
    <row r="58" spans="1:18">
      <c r="A58" s="1">
        <v>84333</v>
      </c>
      <c r="B58" s="1" t="s">
        <v>0</v>
      </c>
      <c r="C58" s="1" t="s">
        <v>209</v>
      </c>
      <c r="D58" s="20" t="s">
        <v>10692</v>
      </c>
      <c r="E58" s="15" t="str">
        <f>HYPERLINK("https://stat100.ameba.jp/tnk47/ratio20/illustrations/card/ill_84333_otometeia03.jpg?202001-1-RELEASE-raid-447xx", "■")</f>
        <v>■</v>
      </c>
      <c r="F58" s="1" t="s">
        <v>7401</v>
      </c>
      <c r="G58" s="1">
        <v>109259</v>
      </c>
      <c r="H58" s="1">
        <v>79151</v>
      </c>
      <c r="I58" s="1">
        <v>25</v>
      </c>
      <c r="J58" s="1" t="s">
        <v>16</v>
      </c>
      <c r="K58" s="1" t="s">
        <v>7399</v>
      </c>
      <c r="L58" s="1" t="s">
        <v>4046</v>
      </c>
      <c r="M58" s="1" t="s">
        <v>9158</v>
      </c>
      <c r="N58" s="1" t="s">
        <v>9158</v>
      </c>
      <c r="O58" s="19" t="s">
        <v>10129</v>
      </c>
      <c r="P58" s="1" t="s">
        <v>3581</v>
      </c>
      <c r="Q58" s="1">
        <v>1</v>
      </c>
    </row>
    <row r="59" spans="1:18">
      <c r="A59" s="1">
        <v>76793</v>
      </c>
      <c r="B59" s="1" t="s">
        <v>334</v>
      </c>
      <c r="C59" s="1" t="s">
        <v>268</v>
      </c>
      <c r="D59" s="20" t="s">
        <v>425</v>
      </c>
      <c r="E59" s="15" t="str">
        <f>HYPERLINK("https://stat100.ameba.jp/tnk47/ratio20/illustrations/card/ill_76793_monsutatamatebako03.jpg?202001-1-RELEASE-raid-447xx", "■")</f>
        <v>■</v>
      </c>
      <c r="F59" s="1" t="s">
        <v>426</v>
      </c>
      <c r="G59" s="1">
        <v>113463</v>
      </c>
      <c r="H59" s="1">
        <v>82205</v>
      </c>
      <c r="I59" s="1">
        <v>25</v>
      </c>
      <c r="J59" s="1" t="s">
        <v>274</v>
      </c>
      <c r="K59" s="1" t="s">
        <v>427</v>
      </c>
      <c r="L59" s="1" t="s">
        <v>428</v>
      </c>
      <c r="M59" s="1" t="s">
        <v>9158</v>
      </c>
      <c r="N59" s="1" t="s">
        <v>9158</v>
      </c>
      <c r="O59" s="19" t="s">
        <v>3037</v>
      </c>
      <c r="P59" s="1" t="s">
        <v>13128</v>
      </c>
      <c r="Q59" s="1">
        <v>1</v>
      </c>
    </row>
    <row r="60" spans="1:18">
      <c r="A60" s="1">
        <v>69513</v>
      </c>
      <c r="B60" s="1" t="s">
        <v>0</v>
      </c>
      <c r="C60" s="1" t="s">
        <v>158</v>
      </c>
      <c r="D60" s="20" t="s">
        <v>10265</v>
      </c>
      <c r="E60" s="15" t="str">
        <f>HYPERLINK("https://stat100.ameba.jp/tnk47/ratio20/illustrations/card/ill_69513_somedononokisaki03.jpg?202001-1-RELEASE-raid-447xx", "■")</f>
        <v>■</v>
      </c>
      <c r="F60" s="1" t="s">
        <v>3674</v>
      </c>
      <c r="G60" s="1">
        <v>82654</v>
      </c>
      <c r="H60" s="1">
        <v>114119</v>
      </c>
      <c r="I60" s="1">
        <v>25</v>
      </c>
      <c r="J60" s="1" t="s">
        <v>187</v>
      </c>
      <c r="K60" s="1" t="s">
        <v>3675</v>
      </c>
      <c r="L60" s="1" t="s">
        <v>13187</v>
      </c>
      <c r="M60" s="1" t="s">
        <v>9158</v>
      </c>
      <c r="N60" s="1" t="s">
        <v>9158</v>
      </c>
      <c r="O60" s="19" t="s">
        <v>2752</v>
      </c>
      <c r="P60" s="1" t="s">
        <v>13173</v>
      </c>
      <c r="Q60" s="1">
        <v>1</v>
      </c>
    </row>
    <row r="61" spans="1:18">
      <c r="A61" s="1">
        <v>70383</v>
      </c>
      <c r="B61" s="1" t="s">
        <v>0</v>
      </c>
      <c r="C61" s="1" t="s">
        <v>41</v>
      </c>
      <c r="D61" s="20" t="s">
        <v>10201</v>
      </c>
      <c r="E61" s="15" t="str">
        <f>HYPERLINK("https://stat100.ameba.jp/tnk47/ratio20/illustrations/card/ill_70383_saraudon03.jpg?202001-1-RELEASE-raid-447xx", "■")</f>
        <v>■</v>
      </c>
      <c r="F61" s="1" t="s">
        <v>3487</v>
      </c>
      <c r="G61" s="1">
        <v>132144</v>
      </c>
      <c r="H61" s="1">
        <v>95703</v>
      </c>
      <c r="I61" s="7">
        <v>25</v>
      </c>
      <c r="J61" s="1" t="s">
        <v>104</v>
      </c>
      <c r="K61" s="1" t="s">
        <v>3488</v>
      </c>
      <c r="L61" s="1" t="s">
        <v>3489</v>
      </c>
      <c r="M61" s="1" t="s">
        <v>9158</v>
      </c>
      <c r="N61" s="1" t="s">
        <v>9158</v>
      </c>
      <c r="O61" s="1" t="s">
        <v>9158</v>
      </c>
      <c r="P61" s="1" t="s">
        <v>9158</v>
      </c>
      <c r="Q61" s="1" t="s">
        <v>9158</v>
      </c>
    </row>
    <row r="62" spans="1:18">
      <c r="A62" s="1">
        <v>67943</v>
      </c>
      <c r="B62" s="1" t="s">
        <v>334</v>
      </c>
      <c r="C62" s="1" t="s">
        <v>154</v>
      </c>
      <c r="D62" s="20" t="s">
        <v>3175</v>
      </c>
      <c r="E62" s="15" t="str">
        <f>HYPERLINK("https://stat100.ameba.jp/tnk47/ratio20/illustrations/card/ill_67943_hoshinamasayuki03.jpg?202001-1-RELEASE-raid-447xx", "■")</f>
        <v>■</v>
      </c>
      <c r="F62" s="1" t="s">
        <v>1781</v>
      </c>
      <c r="G62" s="1">
        <v>77779</v>
      </c>
      <c r="H62" s="1">
        <v>72301</v>
      </c>
      <c r="I62" s="1">
        <v>25</v>
      </c>
      <c r="J62" s="1" t="s">
        <v>10</v>
      </c>
      <c r="K62" s="1" t="s">
        <v>1782</v>
      </c>
      <c r="L62" s="1" t="s">
        <v>1783</v>
      </c>
      <c r="M62" s="1" t="s">
        <v>9158</v>
      </c>
      <c r="N62" s="1" t="s">
        <v>9158</v>
      </c>
      <c r="O62" s="1" t="s">
        <v>9158</v>
      </c>
      <c r="P62" s="1" t="s">
        <v>9158</v>
      </c>
      <c r="Q62" s="1" t="s">
        <v>9158</v>
      </c>
    </row>
    <row r="63" spans="1:18">
      <c r="A63" s="1">
        <v>59403</v>
      </c>
      <c r="B63" s="1" t="s">
        <v>334</v>
      </c>
      <c r="C63" s="1" t="s">
        <v>158</v>
      </c>
      <c r="D63" s="20" t="s">
        <v>10539</v>
      </c>
      <c r="E63" s="15" t="str">
        <f>HYPERLINK("https://stat100.ameba.jp/tnk47/ratio20/illustrations/card/ill_59403_hakuzosu03.jpg?202001-1-RELEASE-raid-447xx", "■")</f>
        <v>■</v>
      </c>
      <c r="F63" s="1" t="s">
        <v>3697</v>
      </c>
      <c r="G63" s="1">
        <v>75651</v>
      </c>
      <c r="H63" s="1">
        <v>103176</v>
      </c>
      <c r="I63" s="1">
        <v>25</v>
      </c>
      <c r="J63" s="1" t="s">
        <v>73</v>
      </c>
      <c r="K63" s="1" t="s">
        <v>3698</v>
      </c>
      <c r="L63" s="1" t="s">
        <v>3699</v>
      </c>
      <c r="M63" s="1" t="s">
        <v>9158</v>
      </c>
      <c r="N63" s="1" t="s">
        <v>9158</v>
      </c>
      <c r="O63" s="1" t="s">
        <v>9158</v>
      </c>
      <c r="P63" s="1" t="s">
        <v>9158</v>
      </c>
      <c r="Q63" s="1" t="s">
        <v>9158</v>
      </c>
    </row>
    <row r="64" spans="1:18">
      <c r="E64" s="9"/>
    </row>
    <row r="65" spans="1:17">
      <c r="A65" s="9" t="s">
        <v>8896</v>
      </c>
      <c r="E65" s="9"/>
    </row>
    <row r="66" spans="1:17">
      <c r="A66" s="9" t="s">
        <v>8898</v>
      </c>
      <c r="E66" s="9"/>
    </row>
    <row r="67" spans="1:17">
      <c r="A67" s="9" t="s">
        <v>8897</v>
      </c>
      <c r="E67" s="9"/>
    </row>
    <row r="68" spans="1:17">
      <c r="A68" s="7" t="s">
        <v>8839</v>
      </c>
      <c r="B68" s="7" t="s">
        <v>52</v>
      </c>
      <c r="C68" s="7" t="s">
        <v>202</v>
      </c>
      <c r="D68" s="20" t="s">
        <v>10880</v>
      </c>
      <c r="E68" s="15" t="str">
        <f>HYPERLINK("https://stat100.ameba.jp/tnk47/ratio20/illustrations/card/ill_86273_0_oshogatsuniijimayae03.jpg?202001-1-RELEASE-raid-447xx", "■")</f>
        <v>■</v>
      </c>
      <c r="F68" s="7" t="s">
        <v>8838</v>
      </c>
      <c r="G68" s="7">
        <v>219498</v>
      </c>
      <c r="H68" s="7">
        <v>242864</v>
      </c>
      <c r="I68" s="7">
        <v>20</v>
      </c>
      <c r="J68" s="1" t="s">
        <v>173</v>
      </c>
      <c r="K68" s="7" t="s">
        <v>8837</v>
      </c>
      <c r="L68" s="7" t="s">
        <v>13211</v>
      </c>
      <c r="M68" s="1" t="s">
        <v>9158</v>
      </c>
      <c r="N68" s="1" t="s">
        <v>9158</v>
      </c>
      <c r="O68" s="19" t="s">
        <v>10134</v>
      </c>
      <c r="P68" s="7" t="s">
        <v>8870</v>
      </c>
      <c r="Q68" s="7">
        <v>1</v>
      </c>
    </row>
    <row r="69" spans="1:17">
      <c r="A69" s="9">
        <v>86323</v>
      </c>
      <c r="B69" s="9" t="s">
        <v>8899</v>
      </c>
      <c r="C69" s="9" t="s">
        <v>8903</v>
      </c>
      <c r="D69" s="20" t="s">
        <v>10895</v>
      </c>
      <c r="E69" s="15" t="str">
        <f>HYPERLINK("https://stat100.ameba.jp/tnk47/ratio20/illustrations/card/ill_86323_hagoitataisemmatsukawahime03.jpg?202001-1-RELEASE-raid-447xx", "■")</f>
        <v>■</v>
      </c>
      <c r="F69" s="9" t="s">
        <v>8909</v>
      </c>
      <c r="G69" s="9">
        <v>154562</v>
      </c>
      <c r="H69" s="9">
        <v>143714</v>
      </c>
      <c r="I69" s="9">
        <v>26</v>
      </c>
      <c r="J69" s="1" t="s">
        <v>73</v>
      </c>
      <c r="K69" s="9" t="s">
        <v>8908</v>
      </c>
      <c r="L69" s="9" t="s">
        <v>8907</v>
      </c>
      <c r="M69" s="1" t="s">
        <v>9158</v>
      </c>
      <c r="N69" s="1" t="s">
        <v>9158</v>
      </c>
      <c r="O69" s="1" t="s">
        <v>9158</v>
      </c>
      <c r="P69" s="1" t="s">
        <v>9158</v>
      </c>
      <c r="Q69" s="1" t="s">
        <v>9158</v>
      </c>
    </row>
    <row r="70" spans="1:17">
      <c r="A70" s="9">
        <v>86333</v>
      </c>
      <c r="B70" s="9" t="s">
        <v>8900</v>
      </c>
      <c r="C70" s="9" t="s">
        <v>8904</v>
      </c>
      <c r="D70" s="20" t="s">
        <v>10896</v>
      </c>
      <c r="E70" s="15" t="str">
        <f>HYPERLINK("https://stat100.ameba.jp/tnk47/ratio20/illustrations/card/ill_86333_nihonnoshougatsusukajanmusume03.jpg?202001-1-RELEASE-raid-447xx", "■")</f>
        <v>■</v>
      </c>
      <c r="F70" s="9" t="s">
        <v>8912</v>
      </c>
      <c r="G70" s="9">
        <v>69898</v>
      </c>
      <c r="H70" s="9">
        <v>77064</v>
      </c>
      <c r="I70" s="9">
        <v>26</v>
      </c>
      <c r="J70" s="1" t="s">
        <v>229</v>
      </c>
      <c r="K70" s="9" t="s">
        <v>8911</v>
      </c>
      <c r="L70" s="9" t="s">
        <v>8910</v>
      </c>
      <c r="M70" s="1" t="s">
        <v>9158</v>
      </c>
      <c r="N70" s="1" t="s">
        <v>9158</v>
      </c>
      <c r="O70" s="1" t="s">
        <v>9158</v>
      </c>
      <c r="P70" s="1" t="s">
        <v>9158</v>
      </c>
      <c r="Q70" s="1" t="s">
        <v>9158</v>
      </c>
    </row>
    <row r="71" spans="1:17">
      <c r="A71" s="9">
        <v>86343</v>
      </c>
      <c r="B71" s="9" t="s">
        <v>8901</v>
      </c>
      <c r="C71" s="9" t="s">
        <v>8905</v>
      </c>
      <c r="D71" s="20" t="s">
        <v>10897</v>
      </c>
      <c r="E71" s="15" t="str">
        <f>HYPERLINK("https://stat100.ameba.jp/tnk47/ratio20/illustrations/card/ill_86343_hottakichiko03.jpg?202001-1-RELEASE-raid-447xx", "■")</f>
        <v>■</v>
      </c>
      <c r="F71" s="9" t="s">
        <v>8915</v>
      </c>
      <c r="G71" s="9">
        <v>54058</v>
      </c>
      <c r="H71" s="9">
        <v>44948</v>
      </c>
      <c r="I71" s="9">
        <v>26</v>
      </c>
      <c r="J71" s="1" t="s">
        <v>16</v>
      </c>
      <c r="K71" s="9" t="s">
        <v>8914</v>
      </c>
      <c r="L71" s="9" t="s">
        <v>8913</v>
      </c>
      <c r="M71" s="1" t="s">
        <v>9158</v>
      </c>
      <c r="N71" s="1" t="s">
        <v>9158</v>
      </c>
      <c r="O71" s="1" t="s">
        <v>9158</v>
      </c>
      <c r="P71" s="1" t="s">
        <v>9158</v>
      </c>
      <c r="Q71" s="1" t="s">
        <v>9158</v>
      </c>
    </row>
    <row r="72" spans="1:17">
      <c r="A72" s="9">
        <v>86353</v>
      </c>
      <c r="B72" s="9" t="s">
        <v>8902</v>
      </c>
      <c r="C72" s="9" t="s">
        <v>8906</v>
      </c>
      <c r="D72" s="20" t="s">
        <v>10898</v>
      </c>
      <c r="E72" s="15" t="str">
        <f>HYPERLINK("https://stat100.ameba.jp/tnk47/ratio20/illustrations/card/ill_86353_furisodekagoikenokitsune03.jpg?202001-1-RELEASE-raid-447xx", "■")</f>
        <v>■</v>
      </c>
      <c r="F72" s="9" t="s">
        <v>8918</v>
      </c>
      <c r="G72" s="9">
        <v>27486</v>
      </c>
      <c r="H72" s="9">
        <v>32728</v>
      </c>
      <c r="I72" s="9">
        <v>26</v>
      </c>
      <c r="J72" s="1" t="s">
        <v>274</v>
      </c>
      <c r="K72" s="9" t="s">
        <v>8917</v>
      </c>
      <c r="L72" s="9" t="s">
        <v>8916</v>
      </c>
      <c r="M72" s="1" t="s">
        <v>9158</v>
      </c>
      <c r="N72" s="1" t="s">
        <v>9158</v>
      </c>
      <c r="O72" s="1" t="s">
        <v>9158</v>
      </c>
      <c r="P72" s="1" t="s">
        <v>9158</v>
      </c>
      <c r="Q72" s="1" t="s">
        <v>9158</v>
      </c>
    </row>
    <row r="73" spans="1:17">
      <c r="E73" s="9"/>
    </row>
    <row r="74" spans="1:17">
      <c r="A74" s="9" t="s">
        <v>8919</v>
      </c>
      <c r="E74" s="9"/>
    </row>
    <row r="75" spans="1:17">
      <c r="A75" s="9" t="s">
        <v>8920</v>
      </c>
      <c r="E75" s="9"/>
    </row>
    <row r="76" spans="1:17">
      <c r="A76" s="1" t="s">
        <v>5609</v>
      </c>
      <c r="B76" s="1" t="s">
        <v>52</v>
      </c>
      <c r="C76" s="1" t="s">
        <v>200</v>
      </c>
      <c r="D76" s="20" t="s">
        <v>389</v>
      </c>
      <c r="E76" s="15" t="str">
        <f>HYPERLINK("https://stat100.ameba.jp/tnk47/ratio20/illustrations/card/ill_53753_0_natsumatsuritokugawaieyasu03.jpg?202001-1-RELEASE-raid-447xx", "■")</f>
        <v>■</v>
      </c>
      <c r="F76" s="1" t="s">
        <v>902</v>
      </c>
      <c r="G76" s="1">
        <v>150776</v>
      </c>
      <c r="H76" s="1">
        <v>133938</v>
      </c>
      <c r="I76" s="1">
        <v>24</v>
      </c>
      <c r="J76" s="1" t="s">
        <v>194</v>
      </c>
      <c r="K76" s="1" t="s">
        <v>1714</v>
      </c>
      <c r="L76" s="1" t="s">
        <v>904</v>
      </c>
      <c r="M76" s="1" t="s">
        <v>9158</v>
      </c>
      <c r="N76" s="1" t="s">
        <v>9158</v>
      </c>
      <c r="O76" s="19" t="s">
        <v>10076</v>
      </c>
      <c r="P76" s="1" t="s">
        <v>13121</v>
      </c>
      <c r="Q76" s="1">
        <v>1</v>
      </c>
    </row>
    <row r="77" spans="1:17">
      <c r="A77" s="1" t="s">
        <v>5614</v>
      </c>
      <c r="B77" s="1" t="s">
        <v>330</v>
      </c>
      <c r="C77" s="1" t="s">
        <v>267</v>
      </c>
      <c r="D77" s="20" t="s">
        <v>313</v>
      </c>
      <c r="E77" s="15" t="str">
        <f>HYPERLINK("https://stat100.ameba.jp/tnk47/ratio20/illustrations/card/ill_56223_0_onsempanikkugohime03.jpg?202001-1-RELEASE-raid-447xx", "■")</f>
        <v>■</v>
      </c>
      <c r="F77" s="1" t="s">
        <v>314</v>
      </c>
      <c r="G77" s="1">
        <v>133938</v>
      </c>
      <c r="H77" s="1">
        <v>150776</v>
      </c>
      <c r="I77" s="1">
        <v>24</v>
      </c>
      <c r="J77" s="1" t="s">
        <v>315</v>
      </c>
      <c r="K77" s="1" t="s">
        <v>316</v>
      </c>
      <c r="L77" s="1" t="s">
        <v>317</v>
      </c>
      <c r="M77" s="1" t="s">
        <v>9158</v>
      </c>
      <c r="N77" s="1" t="s">
        <v>9158</v>
      </c>
      <c r="O77" s="19" t="s">
        <v>3021</v>
      </c>
      <c r="P77" s="1" t="s">
        <v>2890</v>
      </c>
      <c r="Q77" s="1">
        <v>1</v>
      </c>
    </row>
    <row r="78" spans="1:17">
      <c r="A78" s="1" t="s">
        <v>5604</v>
      </c>
      <c r="B78" s="1" t="s">
        <v>330</v>
      </c>
      <c r="C78" s="1" t="s">
        <v>206</v>
      </c>
      <c r="D78" s="20" t="s">
        <v>614</v>
      </c>
      <c r="E78" s="15" t="str">
        <f>HYPERLINK("https://stat100.ameba.jp/tnk47/ratio20/illustrations/card/ill_47263_0_oukyuuatsuhime03.jpg?202001-1-RELEASE-raid-447xx", "■")</f>
        <v>■</v>
      </c>
      <c r="F78" s="1" t="s">
        <v>615</v>
      </c>
      <c r="G78" s="1">
        <v>150776</v>
      </c>
      <c r="H78" s="1">
        <v>133938</v>
      </c>
      <c r="I78" s="1">
        <v>24</v>
      </c>
      <c r="J78" s="1" t="s">
        <v>315</v>
      </c>
      <c r="K78" s="1" t="s">
        <v>616</v>
      </c>
      <c r="L78" s="1" t="s">
        <v>617</v>
      </c>
      <c r="M78" s="1" t="s">
        <v>9158</v>
      </c>
      <c r="N78" s="1" t="s">
        <v>9158</v>
      </c>
      <c r="O78" s="1" t="s">
        <v>9158</v>
      </c>
      <c r="P78" s="1" t="s">
        <v>9158</v>
      </c>
      <c r="Q78" s="1" t="s">
        <v>9158</v>
      </c>
    </row>
    <row r="79" spans="1:17">
      <c r="A79" s="9">
        <v>86323</v>
      </c>
      <c r="B79" s="9" t="s">
        <v>8899</v>
      </c>
      <c r="C79" s="9" t="s">
        <v>8903</v>
      </c>
      <c r="D79" s="20" t="s">
        <v>10895</v>
      </c>
      <c r="E79" s="15" t="str">
        <f>HYPERLINK("https://stat100.ameba.jp/tnk47/ratio20/illustrations/card/ill_86323_hagoitataisemmatsukawahime03.jpg?202001-1-RELEASE-raid-447xx", "■")</f>
        <v>■</v>
      </c>
      <c r="F79" s="9" t="s">
        <v>8909</v>
      </c>
      <c r="G79" s="9">
        <v>148619</v>
      </c>
      <c r="H79" s="9">
        <v>138186</v>
      </c>
      <c r="I79" s="9">
        <v>25</v>
      </c>
      <c r="J79" s="1" t="s">
        <v>73</v>
      </c>
      <c r="K79" s="9" t="s">
        <v>8908</v>
      </c>
      <c r="L79" s="9" t="s">
        <v>8907</v>
      </c>
      <c r="M79" s="1" t="s">
        <v>9158</v>
      </c>
      <c r="N79" s="1" t="s">
        <v>9158</v>
      </c>
      <c r="O79" s="1" t="s">
        <v>9158</v>
      </c>
      <c r="P79" s="1" t="s">
        <v>9158</v>
      </c>
      <c r="Q79" s="1" t="s">
        <v>9158</v>
      </c>
    </row>
    <row r="80" spans="1:17">
      <c r="A80" s="9">
        <v>86333</v>
      </c>
      <c r="B80" s="9" t="s">
        <v>8900</v>
      </c>
      <c r="C80" s="9" t="s">
        <v>8904</v>
      </c>
      <c r="D80" s="20" t="s">
        <v>10896</v>
      </c>
      <c r="E80" s="15" t="str">
        <f>HYPERLINK("https://stat100.ameba.jp/tnk47/ratio20/illustrations/card/ill_86333_nihonnoshougatsusukajanmusume03.jpg?202001-1-RELEASE-raid-447xx", "■")</f>
        <v>■</v>
      </c>
      <c r="F80" s="9" t="s">
        <v>8912</v>
      </c>
      <c r="G80" s="9">
        <v>67210</v>
      </c>
      <c r="H80" s="9">
        <v>74100</v>
      </c>
      <c r="I80" s="9">
        <v>25</v>
      </c>
      <c r="J80" s="1" t="s">
        <v>229</v>
      </c>
      <c r="K80" s="9" t="s">
        <v>8911</v>
      </c>
      <c r="L80" s="9" t="s">
        <v>8910</v>
      </c>
      <c r="M80" s="1" t="s">
        <v>9158</v>
      </c>
      <c r="N80" s="1" t="s">
        <v>9158</v>
      </c>
      <c r="O80" s="1" t="s">
        <v>9158</v>
      </c>
      <c r="P80" s="1" t="s">
        <v>9158</v>
      </c>
      <c r="Q80" s="1" t="s">
        <v>9158</v>
      </c>
    </row>
    <row r="81" spans="1:17">
      <c r="A81" s="9">
        <v>86343</v>
      </c>
      <c r="B81" s="9" t="s">
        <v>8901</v>
      </c>
      <c r="C81" s="9" t="s">
        <v>8905</v>
      </c>
      <c r="D81" s="20" t="s">
        <v>10897</v>
      </c>
      <c r="E81" s="15" t="str">
        <f>HYPERLINK("https://stat100.ameba.jp/tnk47/ratio20/illustrations/card/ill_86343_hottakichiko03.jpg?202001-1-RELEASE-raid-447xx", "■")</f>
        <v>■</v>
      </c>
      <c r="F81" s="9" t="s">
        <v>8915</v>
      </c>
      <c r="G81" s="9">
        <v>51980</v>
      </c>
      <c r="H81" s="9">
        <v>43220</v>
      </c>
      <c r="I81" s="9">
        <v>25</v>
      </c>
      <c r="J81" s="1" t="s">
        <v>16</v>
      </c>
      <c r="K81" s="9" t="s">
        <v>8914</v>
      </c>
      <c r="L81" s="9" t="s">
        <v>8913</v>
      </c>
      <c r="M81" s="1" t="s">
        <v>9158</v>
      </c>
      <c r="N81" s="1" t="s">
        <v>9158</v>
      </c>
      <c r="O81" s="1" t="s">
        <v>9158</v>
      </c>
      <c r="P81" s="1" t="s">
        <v>9158</v>
      </c>
      <c r="Q81" s="1" t="s">
        <v>9158</v>
      </c>
    </row>
    <row r="82" spans="1:17">
      <c r="A82" s="9">
        <v>86353</v>
      </c>
      <c r="B82" s="9" t="s">
        <v>8902</v>
      </c>
      <c r="C82" s="9" t="s">
        <v>8906</v>
      </c>
      <c r="D82" s="20" t="s">
        <v>10898</v>
      </c>
      <c r="E82" s="15" t="str">
        <f>HYPERLINK("https://stat100.ameba.jp/tnk47/ratio20/illustrations/card/ill_86353_furisodekagoikenokitsune03.jpg?202001-1-RELEASE-raid-447xx", "■")</f>
        <v>■</v>
      </c>
      <c r="F82" s="9" t="s">
        <v>8918</v>
      </c>
      <c r="G82" s="9">
        <v>26430</v>
      </c>
      <c r="H82" s="9">
        <v>31470</v>
      </c>
      <c r="I82" s="9">
        <v>25</v>
      </c>
      <c r="J82" s="1" t="s">
        <v>274</v>
      </c>
      <c r="K82" s="9" t="s">
        <v>8917</v>
      </c>
      <c r="L82" s="9" t="s">
        <v>8916</v>
      </c>
      <c r="M82" s="1" t="s">
        <v>9158</v>
      </c>
      <c r="N82" s="1" t="s">
        <v>9158</v>
      </c>
      <c r="O82" s="1" t="s">
        <v>9158</v>
      </c>
      <c r="P82" s="1" t="s">
        <v>9158</v>
      </c>
      <c r="Q82" s="1" t="s">
        <v>9158</v>
      </c>
    </row>
    <row r="83" spans="1:17">
      <c r="E83" s="9"/>
    </row>
    <row r="84" spans="1:17">
      <c r="A84" s="9" t="s">
        <v>8921</v>
      </c>
      <c r="E84" s="9"/>
    </row>
    <row r="85" spans="1:17">
      <c r="A85" s="9" t="s">
        <v>8922</v>
      </c>
      <c r="E85" s="9"/>
    </row>
    <row r="86" spans="1:17">
      <c r="A86" s="1" t="s">
        <v>5618</v>
      </c>
      <c r="B86" s="1" t="s">
        <v>330</v>
      </c>
      <c r="C86" s="1" t="s">
        <v>200</v>
      </c>
      <c r="D86" s="20" t="s">
        <v>665</v>
      </c>
      <c r="E86" s="15" t="str">
        <f>HYPERLINK("https://stat100.ameba.jp/tnk47/ratio20/illustrations/card/ill_63173_0_minazukikonakaiteruko03.jpg?202001-1-RELEASE-raid-447xx", "■")</f>
        <v>■</v>
      </c>
      <c r="F86" s="1" t="s">
        <v>666</v>
      </c>
      <c r="G86" s="1">
        <v>190952</v>
      </c>
      <c r="H86" s="1">
        <v>205358</v>
      </c>
      <c r="I86" s="1">
        <v>22</v>
      </c>
      <c r="J86" s="1" t="s">
        <v>310</v>
      </c>
      <c r="K86" s="1" t="s">
        <v>667</v>
      </c>
      <c r="L86" s="1" t="s">
        <v>668</v>
      </c>
      <c r="M86" s="1" t="s">
        <v>9158</v>
      </c>
      <c r="N86" s="1" t="s">
        <v>9158</v>
      </c>
      <c r="O86" s="19" t="s">
        <v>10079</v>
      </c>
      <c r="P86" s="1" t="s">
        <v>3329</v>
      </c>
      <c r="Q86" s="1">
        <v>1</v>
      </c>
    </row>
    <row r="87" spans="1:17">
      <c r="A87" s="1" t="s">
        <v>5725</v>
      </c>
      <c r="B87" s="1" t="s">
        <v>52</v>
      </c>
      <c r="C87" s="1" t="s">
        <v>107</v>
      </c>
      <c r="D87" s="20" t="s">
        <v>543</v>
      </c>
      <c r="E87" s="15" t="str">
        <f>HYPERLINK("https://stat100.ameba.jp/tnk47/ratio20/illustrations/card/ill_52693_0_sengokumibirakiyanagiharabyakuren03.jpg?202001-1-RELEASE-raid-447xx", "■")</f>
        <v>■</v>
      </c>
      <c r="F87" s="1" t="s">
        <v>1246</v>
      </c>
      <c r="G87" s="1">
        <v>122776</v>
      </c>
      <c r="H87" s="1">
        <v>138212</v>
      </c>
      <c r="I87" s="1">
        <v>22</v>
      </c>
      <c r="J87" s="1" t="s">
        <v>16</v>
      </c>
      <c r="K87" s="1" t="s">
        <v>1247</v>
      </c>
      <c r="L87" s="1" t="s">
        <v>1248</v>
      </c>
      <c r="M87" s="1" t="s">
        <v>9158</v>
      </c>
      <c r="N87" s="1" t="s">
        <v>9158</v>
      </c>
      <c r="O87" s="19" t="s">
        <v>2886</v>
      </c>
      <c r="P87" s="1" t="s">
        <v>3304</v>
      </c>
      <c r="Q87" s="1">
        <v>1</v>
      </c>
    </row>
    <row r="88" spans="1:17">
      <c r="A88" s="9" t="s">
        <v>8923</v>
      </c>
      <c r="B88" s="1" t="s">
        <v>330</v>
      </c>
      <c r="C88" s="1" t="s">
        <v>191</v>
      </c>
      <c r="D88" s="20" t="s">
        <v>793</v>
      </c>
      <c r="E88" s="15" t="str">
        <f>HYPERLINK("https://stat100.ameba.jp/tnk47/ratio20/illustrations/card/ill_39933_0_reihiiinaotora03.jpg?202001-1-RELEASE-raid-447xx", "■")</f>
        <v>■</v>
      </c>
      <c r="F88" s="1" t="s">
        <v>794</v>
      </c>
      <c r="G88" s="1">
        <v>120576</v>
      </c>
      <c r="H88" s="1">
        <v>128744</v>
      </c>
      <c r="I88" s="1">
        <v>22</v>
      </c>
      <c r="J88" s="1" t="s">
        <v>315</v>
      </c>
      <c r="K88" s="1" t="s">
        <v>795</v>
      </c>
      <c r="L88" s="1" t="s">
        <v>796</v>
      </c>
      <c r="M88" s="1" t="s">
        <v>9158</v>
      </c>
      <c r="N88" s="1" t="s">
        <v>9158</v>
      </c>
      <c r="O88" s="1" t="s">
        <v>9158</v>
      </c>
      <c r="P88" s="1" t="s">
        <v>9158</v>
      </c>
      <c r="Q88" s="1" t="s">
        <v>9158</v>
      </c>
    </row>
    <row r="89" spans="1:17">
      <c r="A89" s="1">
        <v>82203</v>
      </c>
      <c r="B89" s="1" t="s">
        <v>0</v>
      </c>
      <c r="C89" s="1" t="s">
        <v>165</v>
      </c>
      <c r="D89" s="20" t="s">
        <v>10280</v>
      </c>
      <c r="E89" s="15" t="str">
        <f>HYPERLINK("https://stat100.ameba.jp/tnk47/ratio20/illustrations/card/ill_82203_tsuyuromanteikyoin03.jpg?202001-1-RELEASE-raid-447xx", "■")</f>
        <v>■</v>
      </c>
      <c r="F89" s="1" t="s">
        <v>5268</v>
      </c>
      <c r="G89" s="1">
        <v>70556</v>
      </c>
      <c r="H89" s="1">
        <v>125392</v>
      </c>
      <c r="I89" s="1">
        <v>26</v>
      </c>
      <c r="J89" s="1" t="s">
        <v>187</v>
      </c>
      <c r="K89" s="1" t="s">
        <v>5270</v>
      </c>
      <c r="L89" s="1" t="s">
        <v>969</v>
      </c>
      <c r="M89" s="1" t="s">
        <v>9158</v>
      </c>
      <c r="N89" s="1" t="s">
        <v>9158</v>
      </c>
      <c r="O89" s="1" t="s">
        <v>9158</v>
      </c>
      <c r="P89" s="1" t="s">
        <v>9158</v>
      </c>
      <c r="Q89" s="1" t="s">
        <v>9158</v>
      </c>
    </row>
    <row r="90" spans="1:17">
      <c r="A90" s="1">
        <v>78463</v>
      </c>
      <c r="B90" s="1" t="s">
        <v>334</v>
      </c>
      <c r="C90" s="1" t="s">
        <v>191</v>
      </c>
      <c r="D90" s="20" t="s">
        <v>10611</v>
      </c>
      <c r="E90" s="15" t="str">
        <f>HYPERLINK("https://stat100.ameba.jp/tnk47/ratio20/illustrations/card/ill_78463_dobutsunoshimatakuhatachijihime03.jpg?202001-1-RELEASE-raid-447xx", "■")</f>
        <v>■</v>
      </c>
      <c r="F90" s="1" t="s">
        <v>2592</v>
      </c>
      <c r="G90" s="1">
        <v>73678</v>
      </c>
      <c r="H90" s="1">
        <v>130968</v>
      </c>
      <c r="I90" s="1">
        <v>26</v>
      </c>
      <c r="J90" s="1" t="s">
        <v>169</v>
      </c>
      <c r="K90" s="1" t="s">
        <v>2593</v>
      </c>
      <c r="L90" s="1" t="s">
        <v>1209</v>
      </c>
      <c r="M90" s="1" t="s">
        <v>9158</v>
      </c>
      <c r="N90" s="1" t="s">
        <v>9158</v>
      </c>
      <c r="O90" s="1" t="s">
        <v>9158</v>
      </c>
      <c r="P90" s="1" t="s">
        <v>9158</v>
      </c>
      <c r="Q90" s="1" t="s">
        <v>9158</v>
      </c>
    </row>
    <row r="91" spans="1:17">
      <c r="A91" s="1">
        <v>83603</v>
      </c>
      <c r="B91" s="1" t="s">
        <v>0</v>
      </c>
      <c r="C91" s="1" t="s">
        <v>107</v>
      </c>
      <c r="D91" s="20" t="s">
        <v>10576</v>
      </c>
      <c r="E91" s="15" t="str">
        <f>HYPERLINK("https://stat100.ameba.jp/tnk47/ratio20/illustrations/card/ill_83603_yuenchihazadojingukogo03.jpg?202001-1-RELEASE-raid-447xx", "■")</f>
        <v>■</v>
      </c>
      <c r="F91" s="1" t="s">
        <v>6668</v>
      </c>
      <c r="G91" s="1">
        <v>94390</v>
      </c>
      <c r="H91" s="1">
        <v>101558</v>
      </c>
      <c r="I91" s="1">
        <v>26</v>
      </c>
      <c r="J91" s="1" t="s">
        <v>10</v>
      </c>
      <c r="K91" s="1" t="s">
        <v>6666</v>
      </c>
      <c r="L91" s="1" t="s">
        <v>2057</v>
      </c>
      <c r="M91" s="1" t="s">
        <v>9158</v>
      </c>
      <c r="N91" s="1" t="s">
        <v>9158</v>
      </c>
      <c r="O91" s="1" t="s">
        <v>9158</v>
      </c>
      <c r="P91" s="1" t="s">
        <v>9158</v>
      </c>
      <c r="Q91" s="1" t="s">
        <v>9158</v>
      </c>
    </row>
    <row r="92" spans="1:17">
      <c r="A92" s="9">
        <v>56263</v>
      </c>
      <c r="B92" s="1" t="s">
        <v>15</v>
      </c>
      <c r="C92" s="1" t="s">
        <v>165</v>
      </c>
      <c r="D92" s="20" t="s">
        <v>10899</v>
      </c>
      <c r="E92" s="15" t="str">
        <f>HYPERLINK("https://stat100.ameba.jp/tnk47/ratio20/illustrations/card/ill_56263_ongakusaikujotakeko03.jpg?202001-1-RELEASE-raid-447xx", "■")</f>
        <v>■</v>
      </c>
      <c r="F92" s="1" t="s">
        <v>3968</v>
      </c>
      <c r="G92" s="1">
        <v>59144</v>
      </c>
      <c r="H92" s="1">
        <v>65208</v>
      </c>
      <c r="I92" s="1">
        <v>22</v>
      </c>
      <c r="J92" s="1" t="s">
        <v>16</v>
      </c>
      <c r="K92" s="1" t="s">
        <v>3969</v>
      </c>
      <c r="L92" s="1" t="s">
        <v>3970</v>
      </c>
      <c r="M92" s="1" t="s">
        <v>9158</v>
      </c>
      <c r="N92" s="1" t="s">
        <v>9158</v>
      </c>
      <c r="O92" s="1" t="s">
        <v>9158</v>
      </c>
      <c r="P92" s="1" t="s">
        <v>9158</v>
      </c>
      <c r="Q92" s="1" t="s">
        <v>9158</v>
      </c>
    </row>
    <row r="93" spans="1:17">
      <c r="A93" s="9">
        <v>60863</v>
      </c>
      <c r="B93" s="1" t="s">
        <v>15</v>
      </c>
      <c r="C93" s="1" t="s">
        <v>205</v>
      </c>
      <c r="D93" s="20" t="s">
        <v>10900</v>
      </c>
      <c r="E93" s="15" t="str">
        <f>HYPERLINK("https://stat100.ameba.jp/tnk47/ratio20/illustrations/card/ill_60863_hieinihonrisuchan03.jpg?202001-1-RELEASE-raid-447xx", "■")</f>
        <v>■</v>
      </c>
      <c r="F93" s="1" t="s">
        <v>975</v>
      </c>
      <c r="G93" s="1">
        <v>59144</v>
      </c>
      <c r="H93" s="1">
        <v>65208</v>
      </c>
      <c r="I93" s="1">
        <v>22</v>
      </c>
      <c r="J93" s="1" t="s">
        <v>26</v>
      </c>
      <c r="K93" s="1" t="s">
        <v>976</v>
      </c>
      <c r="L93" s="1" t="s">
        <v>977</v>
      </c>
      <c r="M93" s="1" t="s">
        <v>9158</v>
      </c>
      <c r="N93" s="1" t="s">
        <v>9158</v>
      </c>
      <c r="O93" s="1" t="s">
        <v>9158</v>
      </c>
      <c r="P93" s="1" t="s">
        <v>9158</v>
      </c>
      <c r="Q93" s="1" t="s">
        <v>9158</v>
      </c>
    </row>
    <row r="94" spans="1:17">
      <c r="A94" s="9">
        <v>79723</v>
      </c>
      <c r="B94" s="1" t="s">
        <v>15</v>
      </c>
      <c r="C94" s="1" t="s">
        <v>23</v>
      </c>
      <c r="D94" s="20" t="s">
        <v>10639</v>
      </c>
      <c r="E94" s="15" t="str">
        <f>HYPERLINK("https://stat100.ameba.jp/tnk47/ratio20/illustrations/card/ill_79723_inazumaraigoro03.jpg?202001-1-RELEASE-raid-447xx", "■")</f>
        <v>■</v>
      </c>
      <c r="F94" s="1" t="s">
        <v>3691</v>
      </c>
      <c r="G94" s="1">
        <v>59144</v>
      </c>
      <c r="H94" s="1">
        <v>65208</v>
      </c>
      <c r="I94" s="1">
        <v>22</v>
      </c>
      <c r="J94" s="1" t="s">
        <v>143</v>
      </c>
      <c r="K94" s="1" t="s">
        <v>3692</v>
      </c>
      <c r="L94" s="1" t="s">
        <v>3326</v>
      </c>
      <c r="M94" s="1" t="s">
        <v>9158</v>
      </c>
      <c r="N94" s="1" t="s">
        <v>9158</v>
      </c>
      <c r="O94" s="1" t="s">
        <v>9158</v>
      </c>
      <c r="P94" s="1" t="s">
        <v>9158</v>
      </c>
      <c r="Q94" s="1" t="s">
        <v>9158</v>
      </c>
    </row>
    <row r="95" spans="1:17">
      <c r="E95" s="9"/>
    </row>
    <row r="96" spans="1:17">
      <c r="A96" s="9" t="s">
        <v>8924</v>
      </c>
      <c r="E96" s="9"/>
    </row>
    <row r="97" spans="1:17">
      <c r="A97" s="9" t="s">
        <v>8925</v>
      </c>
      <c r="E97" s="9"/>
    </row>
    <row r="98" spans="1:17">
      <c r="A98" s="1" t="s">
        <v>5642</v>
      </c>
      <c r="B98" s="1" t="s">
        <v>330</v>
      </c>
      <c r="C98" s="1" t="s">
        <v>185</v>
      </c>
      <c r="D98" s="20" t="s">
        <v>3086</v>
      </c>
      <c r="E98" s="15" t="str">
        <f>HYPERLINK("https://stat100.ameba.jp/tnk47/ratio20/illustrations/card/ill_69593_0_setsubunyukionna03.jpg?202001-1-RELEASE-raid-447xx", "■")</f>
        <v>■</v>
      </c>
      <c r="F98" s="1" t="s">
        <v>3087</v>
      </c>
      <c r="G98" s="1">
        <v>171436</v>
      </c>
      <c r="H98" s="1">
        <v>184400</v>
      </c>
      <c r="I98" s="1">
        <v>24</v>
      </c>
      <c r="J98" s="1" t="s">
        <v>320</v>
      </c>
      <c r="K98" s="1" t="s">
        <v>3088</v>
      </c>
      <c r="L98" s="1" t="s">
        <v>3089</v>
      </c>
      <c r="M98" s="1" t="s">
        <v>9158</v>
      </c>
      <c r="N98" s="1" t="s">
        <v>9158</v>
      </c>
      <c r="O98" s="19" t="s">
        <v>3090</v>
      </c>
      <c r="P98" s="1" t="s">
        <v>3091</v>
      </c>
      <c r="Q98" s="1">
        <v>2</v>
      </c>
    </row>
    <row r="99" spans="1:17">
      <c r="A99" s="1">
        <v>56443</v>
      </c>
      <c r="B99" s="1" t="s">
        <v>0</v>
      </c>
      <c r="C99" s="1" t="s">
        <v>205</v>
      </c>
      <c r="D99" s="20" t="s">
        <v>10314</v>
      </c>
      <c r="E99" s="15" t="str">
        <f>HYPERLINK("https://stat100.ameba.jp/tnk47/ratio20/illustrations/card/ill_56443_poppukurisumasuizumonokuni03.jpg?202001-1-RELEASE-raid-447xx", "■")</f>
        <v>■</v>
      </c>
      <c r="F99" s="1" t="s">
        <v>1151</v>
      </c>
      <c r="G99" s="1">
        <v>89590</v>
      </c>
      <c r="H99" s="1">
        <v>96360</v>
      </c>
      <c r="I99" s="1">
        <v>25</v>
      </c>
      <c r="J99" s="1" t="s">
        <v>10</v>
      </c>
      <c r="K99" s="1" t="s">
        <v>1152</v>
      </c>
      <c r="L99" s="1" t="s">
        <v>1153</v>
      </c>
      <c r="M99" s="1" t="s">
        <v>9158</v>
      </c>
      <c r="N99" s="1" t="s">
        <v>9158</v>
      </c>
      <c r="O99" s="19" t="s">
        <v>10119</v>
      </c>
      <c r="P99" s="1" t="s">
        <v>3662</v>
      </c>
      <c r="Q99" s="1">
        <v>1</v>
      </c>
    </row>
    <row r="100" spans="1:17">
      <c r="A100" s="1">
        <v>63283</v>
      </c>
      <c r="B100" s="1" t="s">
        <v>334</v>
      </c>
      <c r="C100" s="1" t="s">
        <v>209</v>
      </c>
      <c r="D100" s="20" t="s">
        <v>327</v>
      </c>
      <c r="E100" s="15" t="str">
        <f>HYPERLINK("https://stat100.ameba.jp/tnk47/ratio20/illustrations/card/ill_63283_mizuyokanchan03.jpg?202001-1-RELEASE-raid-447xx", "■")</f>
        <v>■</v>
      </c>
      <c r="F100" s="1" t="s">
        <v>327</v>
      </c>
      <c r="G100" s="1">
        <v>118063</v>
      </c>
      <c r="H100" s="1">
        <v>109786</v>
      </c>
      <c r="I100" s="7">
        <v>25</v>
      </c>
      <c r="J100" s="1" t="s">
        <v>283</v>
      </c>
      <c r="K100" s="1" t="s">
        <v>328</v>
      </c>
      <c r="L100" s="1" t="s">
        <v>329</v>
      </c>
      <c r="M100" s="1" t="s">
        <v>9158</v>
      </c>
      <c r="N100" s="1" t="s">
        <v>9158</v>
      </c>
      <c r="O100" s="19" t="s">
        <v>10084</v>
      </c>
      <c r="P100" s="1" t="s">
        <v>3563</v>
      </c>
      <c r="Q100" s="1">
        <v>1</v>
      </c>
    </row>
    <row r="101" spans="1:17">
      <c r="A101" s="1">
        <v>84643</v>
      </c>
      <c r="B101" s="1" t="s">
        <v>0</v>
      </c>
      <c r="C101" s="1" t="s">
        <v>203</v>
      </c>
      <c r="D101" s="20" t="s">
        <v>10605</v>
      </c>
      <c r="E101" s="15" t="str">
        <f>HYPERLINK("https://stat100.ameba.jp/tnk47/ratio20/illustrations/card/ill_84643_rikayaojo03.jpg?202001-1-RELEASE-raid-447xx", "■")</f>
        <v>■</v>
      </c>
      <c r="F101" s="1" t="s">
        <v>6853</v>
      </c>
      <c r="G101" s="1">
        <v>166328</v>
      </c>
      <c r="H101" s="1">
        <v>120475</v>
      </c>
      <c r="I101" s="1">
        <v>25</v>
      </c>
      <c r="J101" s="1" t="s">
        <v>315</v>
      </c>
      <c r="K101" s="1" t="s">
        <v>6852</v>
      </c>
      <c r="L101" s="1" t="s">
        <v>6851</v>
      </c>
      <c r="M101" s="1" t="s">
        <v>9158</v>
      </c>
      <c r="N101" s="1" t="s">
        <v>9158</v>
      </c>
      <c r="O101" s="19" t="s">
        <v>10082</v>
      </c>
      <c r="P101" s="1" t="s">
        <v>13124</v>
      </c>
      <c r="Q101" s="1">
        <v>1</v>
      </c>
    </row>
    <row r="102" spans="1:17">
      <c r="E102" s="9"/>
    </row>
    <row r="103" spans="1:17">
      <c r="A103" s="9" t="s">
        <v>8926</v>
      </c>
      <c r="E103" s="9"/>
    </row>
    <row r="104" spans="1:17">
      <c r="A104" s="9" t="s">
        <v>8927</v>
      </c>
      <c r="E104" s="9"/>
    </row>
    <row r="105" spans="1:17">
      <c r="A105" s="1">
        <v>84733</v>
      </c>
      <c r="B105" s="1" t="s">
        <v>0</v>
      </c>
      <c r="C105" s="1" t="s">
        <v>154</v>
      </c>
      <c r="D105" s="20" t="s">
        <v>10677</v>
      </c>
      <c r="E105" s="15" t="str">
        <f>HYPERLINK("https://stat100.ameba.jp/tnk47/ratio20/illustrations/card/ill_84733_madadoru03.jpg?202001-1-RELEASE-raid-447xx", "■")</f>
        <v>■</v>
      </c>
      <c r="F105" s="1" t="s">
        <v>7293</v>
      </c>
      <c r="G105" s="1">
        <v>107826</v>
      </c>
      <c r="H105" s="1">
        <v>100256</v>
      </c>
      <c r="I105" s="1">
        <v>25</v>
      </c>
      <c r="J105" s="1" t="s">
        <v>182</v>
      </c>
      <c r="K105" s="1" t="s">
        <v>7296</v>
      </c>
      <c r="L105" s="1" t="s">
        <v>7295</v>
      </c>
      <c r="M105" s="1" t="s">
        <v>9158</v>
      </c>
      <c r="N105" s="1" t="s">
        <v>9158</v>
      </c>
      <c r="O105" s="1" t="s">
        <v>9158</v>
      </c>
      <c r="P105" s="1" t="s">
        <v>9158</v>
      </c>
      <c r="Q105" s="1" t="s">
        <v>9158</v>
      </c>
    </row>
    <row r="106" spans="1:17">
      <c r="A106" s="1">
        <v>84743</v>
      </c>
      <c r="B106" s="1" t="s">
        <v>0</v>
      </c>
      <c r="C106" s="1" t="s">
        <v>158</v>
      </c>
      <c r="D106" s="20" t="s">
        <v>10678</v>
      </c>
      <c r="E106" s="15" t="str">
        <f>HYPERLINK("https://stat100.ameba.jp/tnk47/ratio20/illustrations/card/ill_84743_rinnenonyumpe03.jpg?202001-1-RELEASE-raid-447xx", "■")</f>
        <v>■</v>
      </c>
      <c r="F106" s="1" t="s">
        <v>7294</v>
      </c>
      <c r="G106" s="1">
        <v>107826</v>
      </c>
      <c r="H106" s="1">
        <v>100256</v>
      </c>
      <c r="I106" s="1">
        <v>25</v>
      </c>
      <c r="J106" s="1" t="s">
        <v>169</v>
      </c>
      <c r="K106" s="1" t="s">
        <v>7297</v>
      </c>
      <c r="L106" s="1" t="s">
        <v>7298</v>
      </c>
      <c r="M106" s="1" t="s">
        <v>9158</v>
      </c>
      <c r="N106" s="1" t="s">
        <v>9158</v>
      </c>
      <c r="O106" s="1" t="s">
        <v>9158</v>
      </c>
      <c r="P106" s="1" t="s">
        <v>9158</v>
      </c>
      <c r="Q106" s="1" t="s">
        <v>9158</v>
      </c>
    </row>
    <row r="107" spans="1:17">
      <c r="A107" s="1">
        <v>69883</v>
      </c>
      <c r="B107" s="1" t="s">
        <v>334</v>
      </c>
      <c r="C107" s="1" t="s">
        <v>185</v>
      </c>
      <c r="D107" s="20" t="s">
        <v>10293</v>
      </c>
      <c r="E107" s="15" t="str">
        <f>HYPERLINK("https://stat100.ameba.jp/tnk47/ratio20/illustrations/card/ill_69883_kyupiddotominushihime03.jpg?202001-1-RELEASE-raid-447xx", "■")</f>
        <v>■</v>
      </c>
      <c r="F107" s="1" t="s">
        <v>4142</v>
      </c>
      <c r="G107" s="1">
        <v>94802</v>
      </c>
      <c r="H107" s="1">
        <v>101971</v>
      </c>
      <c r="I107" s="1">
        <v>25</v>
      </c>
      <c r="J107" s="1" t="s">
        <v>169</v>
      </c>
      <c r="K107" s="1" t="s">
        <v>4143</v>
      </c>
      <c r="L107" s="1" t="s">
        <v>13190</v>
      </c>
      <c r="M107" s="1" t="s">
        <v>9158</v>
      </c>
      <c r="N107" s="1" t="s">
        <v>9158</v>
      </c>
      <c r="O107" s="1" t="s">
        <v>9158</v>
      </c>
      <c r="P107" s="1" t="s">
        <v>9158</v>
      </c>
      <c r="Q107" s="1" t="s">
        <v>9158</v>
      </c>
    </row>
    <row r="108" spans="1:17">
      <c r="A108" s="1">
        <v>71833</v>
      </c>
      <c r="B108" s="1" t="s">
        <v>334</v>
      </c>
      <c r="C108" s="1" t="s">
        <v>165</v>
      </c>
      <c r="D108" s="20" t="s">
        <v>10294</v>
      </c>
      <c r="E108" s="15" t="str">
        <f>HYPERLINK("https://stat100.ameba.jp/tnk47/ratio20/illustrations/card/ill_71833_autodoanuregamidoji03.jpg?202001-1-RELEASE-raid-447xx", "■")</f>
        <v>■</v>
      </c>
      <c r="F108" s="1" t="s">
        <v>5291</v>
      </c>
      <c r="G108" s="1">
        <v>96871</v>
      </c>
      <c r="H108" s="1">
        <v>104162</v>
      </c>
      <c r="I108" s="1">
        <v>25</v>
      </c>
      <c r="J108" s="1" t="s">
        <v>320</v>
      </c>
      <c r="K108" s="1" t="s">
        <v>4244</v>
      </c>
      <c r="L108" s="1" t="s">
        <v>4245</v>
      </c>
      <c r="M108" s="1" t="s">
        <v>9158</v>
      </c>
      <c r="N108" s="1" t="s">
        <v>9158</v>
      </c>
      <c r="O108" s="1" t="s">
        <v>9158</v>
      </c>
      <c r="P108" s="1" t="s">
        <v>9158</v>
      </c>
      <c r="Q108" s="1" t="s">
        <v>9158</v>
      </c>
    </row>
    <row r="109" spans="1:17">
      <c r="A109" s="1">
        <v>52973</v>
      </c>
      <c r="B109" s="1" t="s">
        <v>15</v>
      </c>
      <c r="C109" s="1" t="s">
        <v>206</v>
      </c>
      <c r="D109" s="20" t="s">
        <v>10519</v>
      </c>
      <c r="E109" s="15" t="str">
        <f>HYPERLINK("https://stat100.ameba.jp/tnk47/ratio20/illustrations/card/ill_52973_torampuamoronagu03.jpg?202001-1-RELEASE-raid-447xx", "■")</f>
        <v>■</v>
      </c>
      <c r="F109" s="1" t="s">
        <v>6421</v>
      </c>
      <c r="G109" s="1">
        <v>74100</v>
      </c>
      <c r="H109" s="1">
        <v>67210</v>
      </c>
      <c r="I109" s="1">
        <v>25</v>
      </c>
      <c r="J109" s="1" t="s">
        <v>44</v>
      </c>
      <c r="K109" s="1" t="s">
        <v>6419</v>
      </c>
      <c r="L109" s="1" t="s">
        <v>6418</v>
      </c>
      <c r="M109" s="1" t="s">
        <v>9158</v>
      </c>
      <c r="N109" s="1" t="s">
        <v>9158</v>
      </c>
      <c r="O109" s="1" t="s">
        <v>9158</v>
      </c>
      <c r="P109" s="1" t="s">
        <v>9158</v>
      </c>
      <c r="Q109" s="1" t="s">
        <v>9158</v>
      </c>
    </row>
    <row r="110" spans="1:17">
      <c r="A110" s="1">
        <v>52333</v>
      </c>
      <c r="B110" s="1" t="s">
        <v>15</v>
      </c>
      <c r="C110" s="1" t="s">
        <v>200</v>
      </c>
      <c r="D110" s="20" t="s">
        <v>10537</v>
      </c>
      <c r="E110" s="15" t="str">
        <f>HYPERLINK("https://stat100.ameba.jp/tnk47/ratio20/illustrations/card/ill_52333_chichibuyomatsuri03.jpg?202001-1-RELEASE-raid-447xx", "■")</f>
        <v>■</v>
      </c>
      <c r="F110" s="1" t="s">
        <v>3614</v>
      </c>
      <c r="G110" s="1">
        <v>74100</v>
      </c>
      <c r="H110" s="1">
        <v>67210</v>
      </c>
      <c r="I110" s="1">
        <v>25</v>
      </c>
      <c r="J110" s="1" t="s">
        <v>38</v>
      </c>
      <c r="K110" s="1" t="s">
        <v>3615</v>
      </c>
      <c r="L110" s="1" t="s">
        <v>3616</v>
      </c>
      <c r="M110" s="1" t="s">
        <v>9158</v>
      </c>
      <c r="N110" s="1" t="s">
        <v>9158</v>
      </c>
      <c r="O110" s="1" t="s">
        <v>9158</v>
      </c>
      <c r="P110" s="1" t="s">
        <v>9158</v>
      </c>
      <c r="Q110" s="1" t="s">
        <v>9158</v>
      </c>
    </row>
    <row r="111" spans="1:17">
      <c r="A111" s="1">
        <v>51913</v>
      </c>
      <c r="B111" s="1" t="s">
        <v>15</v>
      </c>
      <c r="C111" s="1" t="s">
        <v>191</v>
      </c>
      <c r="D111" s="20" t="s">
        <v>10538</v>
      </c>
      <c r="E111" s="15" t="str">
        <f>HYPERLINK("https://stat100.ameba.jp/tnk47/ratio20/illustrations/card/ill_51913_kemonomizugihamahime03.jpg?202001-1-RELEASE-raid-447xx", "■")</f>
        <v>■</v>
      </c>
      <c r="F111" s="1" t="s">
        <v>6501</v>
      </c>
      <c r="G111" s="1">
        <v>67210</v>
      </c>
      <c r="H111" s="1">
        <v>74100</v>
      </c>
      <c r="I111" s="1">
        <v>25</v>
      </c>
      <c r="J111" s="1" t="s">
        <v>182</v>
      </c>
      <c r="K111" s="1" t="s">
        <v>6500</v>
      </c>
      <c r="L111" s="1" t="s">
        <v>6499</v>
      </c>
      <c r="M111" s="1" t="s">
        <v>9158</v>
      </c>
      <c r="N111" s="1" t="s">
        <v>9158</v>
      </c>
      <c r="O111" s="1" t="s">
        <v>9158</v>
      </c>
      <c r="P111" s="1" t="s">
        <v>9158</v>
      </c>
      <c r="Q111" s="1" t="s">
        <v>9158</v>
      </c>
    </row>
    <row r="112" spans="1:17">
      <c r="A112" s="1">
        <v>51833</v>
      </c>
      <c r="B112" s="1" t="s">
        <v>15</v>
      </c>
      <c r="C112" s="1" t="s">
        <v>205</v>
      </c>
      <c r="D112" s="20" t="s">
        <v>10493</v>
      </c>
      <c r="E112" s="15" t="str">
        <f>HYPERLINK("https://stat100.ameba.jp/tnk47/ratio20/illustrations/card/ill_51833_jukimakitsuhikonomikoto03.jpg?202001-1-RELEASE-raid-447xx", "■")</f>
        <v>■</v>
      </c>
      <c r="F112" s="1" t="s">
        <v>6254</v>
      </c>
      <c r="G112" s="1">
        <v>74100</v>
      </c>
      <c r="H112" s="1">
        <v>67210</v>
      </c>
      <c r="I112" s="1">
        <v>25</v>
      </c>
      <c r="J112" s="1" t="s">
        <v>44</v>
      </c>
      <c r="K112" s="1" t="s">
        <v>6257</v>
      </c>
      <c r="L112" s="1" t="s">
        <v>6256</v>
      </c>
      <c r="M112" s="1" t="s">
        <v>9158</v>
      </c>
      <c r="N112" s="1" t="s">
        <v>9158</v>
      </c>
      <c r="O112" s="1" t="s">
        <v>9158</v>
      </c>
      <c r="P112" s="1" t="s">
        <v>9158</v>
      </c>
      <c r="Q112" s="1" t="s">
        <v>9158</v>
      </c>
    </row>
    <row r="113" spans="1:17">
      <c r="E113" s="9"/>
    </row>
    <row r="114" spans="1:17">
      <c r="A114" s="9" t="s">
        <v>8941</v>
      </c>
      <c r="E114" s="9"/>
    </row>
    <row r="115" spans="1:17">
      <c r="A115" s="9" t="s">
        <v>8942</v>
      </c>
      <c r="E115" s="9"/>
    </row>
    <row r="116" spans="1:17">
      <c r="A116" s="1" t="s">
        <v>5891</v>
      </c>
      <c r="B116" s="1" t="s">
        <v>330</v>
      </c>
      <c r="C116" s="1" t="s">
        <v>202</v>
      </c>
      <c r="D116" s="20" t="s">
        <v>1371</v>
      </c>
      <c r="E116" s="15" t="str">
        <f>HYPERLINK("https://stat100.ameba.jp/tnk47/ratio20/illustrations/card/ill_77173_0_yukemuritomoegozen03.jpg?202001-2-RELEASE-unionbattle-448", "■")</f>
        <v>■</v>
      </c>
      <c r="F116" s="1" t="s">
        <v>1372</v>
      </c>
      <c r="G116" s="1">
        <v>240586</v>
      </c>
      <c r="H116" s="1">
        <v>266192</v>
      </c>
      <c r="I116" s="1">
        <v>24</v>
      </c>
      <c r="J116" s="1" t="s">
        <v>310</v>
      </c>
      <c r="K116" s="1" t="s">
        <v>1373</v>
      </c>
      <c r="L116" s="1" t="s">
        <v>1374</v>
      </c>
      <c r="M116" s="1" t="s">
        <v>9158</v>
      </c>
      <c r="N116" s="1" t="s">
        <v>9158</v>
      </c>
      <c r="O116" s="19" t="s">
        <v>4067</v>
      </c>
      <c r="P116" s="1" t="s">
        <v>3879</v>
      </c>
      <c r="Q116" s="1">
        <v>2</v>
      </c>
    </row>
    <row r="117" spans="1:17">
      <c r="A117" s="1">
        <v>81313</v>
      </c>
      <c r="B117" s="1" t="s">
        <v>0</v>
      </c>
      <c r="C117" s="1" t="s">
        <v>154</v>
      </c>
      <c r="D117" s="20" t="s">
        <v>10511</v>
      </c>
      <c r="E117" s="15" t="str">
        <f>HYPERLINK("https://stat100.ameba.jp/tnk47/ratio20/illustrations/card/ill_81313_harihara03.jpg?202001-2-RELEASE-unionbattle-448", "■")</f>
        <v>■</v>
      </c>
      <c r="F117" s="1" t="s">
        <v>4667</v>
      </c>
      <c r="G117" s="1">
        <v>159674</v>
      </c>
      <c r="H117" s="1">
        <v>115656</v>
      </c>
      <c r="I117" s="1">
        <v>24</v>
      </c>
      <c r="J117" s="1" t="s">
        <v>44</v>
      </c>
      <c r="K117" s="1" t="s">
        <v>4668</v>
      </c>
      <c r="L117" s="1" t="s">
        <v>4669</v>
      </c>
      <c r="M117" s="1" t="s">
        <v>9158</v>
      </c>
      <c r="N117" s="1" t="s">
        <v>9158</v>
      </c>
      <c r="O117" s="19" t="s">
        <v>10114</v>
      </c>
      <c r="P117" s="1" t="s">
        <v>3658</v>
      </c>
      <c r="Q117" s="1">
        <v>1</v>
      </c>
    </row>
    <row r="118" spans="1:17">
      <c r="A118" s="1">
        <v>78133</v>
      </c>
      <c r="B118" s="1" t="s">
        <v>0</v>
      </c>
      <c r="C118" s="1" t="s">
        <v>154</v>
      </c>
      <c r="D118" s="20" t="s">
        <v>10313</v>
      </c>
      <c r="E118" s="15" t="str">
        <f>HYPERLINK("https://stat100.ameba.jp/tnk47/ratio20/illustrations/card/ill_78133_akazukin03.jpg?202001-2-RELEASE-unionbattle-448", "■")</f>
        <v>■</v>
      </c>
      <c r="F118" s="1" t="s">
        <v>2202</v>
      </c>
      <c r="G118" s="1">
        <v>88706</v>
      </c>
      <c r="H118" s="1">
        <v>122476</v>
      </c>
      <c r="I118" s="1">
        <v>24</v>
      </c>
      <c r="J118" s="1" t="s">
        <v>38</v>
      </c>
      <c r="K118" s="1" t="s">
        <v>2203</v>
      </c>
      <c r="L118" s="1" t="s">
        <v>2204</v>
      </c>
      <c r="M118" s="1" t="s">
        <v>9158</v>
      </c>
      <c r="N118" s="1" t="s">
        <v>9158</v>
      </c>
      <c r="O118" s="19" t="s">
        <v>2917</v>
      </c>
      <c r="P118" s="1" t="s">
        <v>3531</v>
      </c>
      <c r="Q118" s="1">
        <v>1</v>
      </c>
    </row>
    <row r="119" spans="1:17">
      <c r="A119" s="1">
        <v>71333</v>
      </c>
      <c r="B119" s="1" t="s">
        <v>0</v>
      </c>
      <c r="C119" s="1" t="s">
        <v>41</v>
      </c>
      <c r="D119" s="20" t="s">
        <v>10256</v>
      </c>
      <c r="E119" s="15" t="str">
        <f>HYPERLINK("https://stat100.ameba.jp/tnk47/ratio20/illustrations/card/ill_71333_fujiwaranokamatari03.jpg?202001-2-RELEASE-unionbattle-448", "■")</f>
        <v>■</v>
      </c>
      <c r="F119" s="1" t="s">
        <v>58</v>
      </c>
      <c r="G119" s="1">
        <v>104890</v>
      </c>
      <c r="H119" s="1">
        <v>75984</v>
      </c>
      <c r="I119" s="1">
        <v>24</v>
      </c>
      <c r="J119" s="1" t="s">
        <v>10</v>
      </c>
      <c r="K119" s="1" t="s">
        <v>59</v>
      </c>
      <c r="L119" s="1" t="s">
        <v>60</v>
      </c>
      <c r="M119" s="1" t="s">
        <v>9158</v>
      </c>
      <c r="N119" s="1" t="s">
        <v>9158</v>
      </c>
      <c r="O119" s="19" t="s">
        <v>10098</v>
      </c>
      <c r="P119" s="1" t="s">
        <v>3491</v>
      </c>
      <c r="Q119" s="1">
        <v>1</v>
      </c>
    </row>
    <row r="120" spans="1:17">
      <c r="E120" s="9"/>
    </row>
    <row r="121" spans="1:17">
      <c r="A121" s="9" t="s">
        <v>8928</v>
      </c>
      <c r="E121" s="9"/>
    </row>
    <row r="122" spans="1:17">
      <c r="A122" s="9" t="s">
        <v>8929</v>
      </c>
      <c r="E122" s="9"/>
    </row>
    <row r="123" spans="1:17">
      <c r="A123" s="1" t="s">
        <v>5617</v>
      </c>
      <c r="B123" s="1" t="s">
        <v>330</v>
      </c>
      <c r="C123" s="1" t="s">
        <v>165</v>
      </c>
      <c r="D123" s="20" t="s">
        <v>385</v>
      </c>
      <c r="E123" s="15" t="str">
        <f>HYPERLINK("https://stat100.ameba.jp/tnk47/ratio20/illustrations/card/ill_59673_0_oheyashutendoji03.jpg?202001-2-RELEASE-unionbattle-448", "■")</f>
        <v>■</v>
      </c>
      <c r="F123" s="1" t="s">
        <v>983</v>
      </c>
      <c r="G123" s="1">
        <v>105545</v>
      </c>
      <c r="H123" s="1">
        <v>113525</v>
      </c>
      <c r="I123" s="1">
        <v>15</v>
      </c>
      <c r="J123" s="1" t="s">
        <v>73</v>
      </c>
      <c r="K123" s="1" t="s">
        <v>984</v>
      </c>
      <c r="L123" s="1" t="s">
        <v>985</v>
      </c>
      <c r="M123" s="1" t="s">
        <v>9158</v>
      </c>
      <c r="N123" s="1" t="s">
        <v>9158</v>
      </c>
      <c r="O123" s="19" t="s">
        <v>10078</v>
      </c>
      <c r="P123" s="1" t="s">
        <v>3022</v>
      </c>
      <c r="Q123" s="1">
        <v>1</v>
      </c>
    </row>
    <row r="124" spans="1:17">
      <c r="A124" s="1" t="s">
        <v>5607</v>
      </c>
      <c r="B124" s="1" t="s">
        <v>330</v>
      </c>
      <c r="C124" s="1" t="s">
        <v>200</v>
      </c>
      <c r="D124" s="20" t="s">
        <v>421</v>
      </c>
      <c r="E124" s="15" t="str">
        <f>HYPERLINK("https://stat100.ameba.jp/tnk47/ratio20/illustrations/card/ill_58853_0_setsubumpanikkuhiratsukaraicho03.jpg?202001-2-RELEASE-unionbattle-448", "■")</f>
        <v>■</v>
      </c>
      <c r="F124" s="1" t="s">
        <v>1040</v>
      </c>
      <c r="G124" s="1">
        <v>94236</v>
      </c>
      <c r="H124" s="1">
        <v>83712</v>
      </c>
      <c r="I124" s="1">
        <v>15</v>
      </c>
      <c r="J124" s="1" t="s">
        <v>16</v>
      </c>
      <c r="K124" s="1" t="s">
        <v>1041</v>
      </c>
      <c r="L124" s="1" t="s">
        <v>1042</v>
      </c>
      <c r="M124" s="1" t="s">
        <v>9158</v>
      </c>
      <c r="N124" s="1" t="s">
        <v>9158</v>
      </c>
      <c r="O124" s="19" t="s">
        <v>10075</v>
      </c>
      <c r="P124" s="1" t="s">
        <v>2870</v>
      </c>
      <c r="Q124" s="1">
        <v>1</v>
      </c>
    </row>
    <row r="125" spans="1:17">
      <c r="A125" s="1" t="s">
        <v>5622</v>
      </c>
      <c r="B125" s="1" t="s">
        <v>330</v>
      </c>
      <c r="C125" s="1" t="s">
        <v>335</v>
      </c>
      <c r="D125" s="20" t="s">
        <v>509</v>
      </c>
      <c r="E125" s="15" t="str">
        <f>HYPERLINK("https://stat100.ameba.jp/tnk47/ratio20/illustrations/card/ill_49953_0_yushamarihime03.jpg?202001-2-RELEASE-unionbattle-448", "■")</f>
        <v>■</v>
      </c>
      <c r="F125" s="1" t="s">
        <v>510</v>
      </c>
      <c r="G125" s="1">
        <v>94236</v>
      </c>
      <c r="H125" s="1">
        <v>83712</v>
      </c>
      <c r="I125" s="1">
        <v>15</v>
      </c>
      <c r="J125" s="1" t="s">
        <v>315</v>
      </c>
      <c r="K125" s="1" t="s">
        <v>511</v>
      </c>
      <c r="L125" s="1" t="s">
        <v>512</v>
      </c>
      <c r="M125" s="1" t="s">
        <v>9158</v>
      </c>
      <c r="N125" s="1" t="s">
        <v>9158</v>
      </c>
      <c r="O125" s="1" t="s">
        <v>9158</v>
      </c>
      <c r="P125" s="1" t="s">
        <v>9158</v>
      </c>
      <c r="Q125" s="1" t="s">
        <v>9158</v>
      </c>
    </row>
    <row r="126" spans="1:17">
      <c r="A126" s="1">
        <v>83353</v>
      </c>
      <c r="B126" s="1" t="s">
        <v>0</v>
      </c>
      <c r="C126" s="1" t="s">
        <v>267</v>
      </c>
      <c r="D126" s="20" t="s">
        <v>10532</v>
      </c>
      <c r="E126" s="15" t="str">
        <f>HYPERLINK("https://stat100.ameba.jp/tnk47/ratio20/illustrations/card/ill_83353_kunoichikumanofudechan03.jpg?202001-2-RELEASE-unionbattle-448", "■")</f>
        <v>■</v>
      </c>
      <c r="F126" s="1" t="s">
        <v>6475</v>
      </c>
      <c r="G126" s="1">
        <v>113890</v>
      </c>
      <c r="H126" s="1">
        <v>105890</v>
      </c>
      <c r="I126" s="1">
        <v>25</v>
      </c>
      <c r="J126" s="1" t="s">
        <v>229</v>
      </c>
      <c r="K126" s="1" t="s">
        <v>6474</v>
      </c>
      <c r="L126" s="1" t="s">
        <v>6473</v>
      </c>
      <c r="M126" s="1" t="s">
        <v>9158</v>
      </c>
      <c r="N126" s="1" t="s">
        <v>9158</v>
      </c>
      <c r="O126" s="1" t="s">
        <v>9158</v>
      </c>
      <c r="P126" s="1" t="s">
        <v>9158</v>
      </c>
      <c r="Q126" s="1" t="s">
        <v>9158</v>
      </c>
    </row>
    <row r="127" spans="1:17">
      <c r="A127" s="1">
        <v>84033</v>
      </c>
      <c r="B127" s="1" t="s">
        <v>0</v>
      </c>
      <c r="C127" s="1" t="s">
        <v>344</v>
      </c>
      <c r="D127" s="20" t="s">
        <v>10533</v>
      </c>
      <c r="E127" s="15" t="str">
        <f>HYPERLINK("https://stat100.ameba.jp/tnk47/ratio20/illustrations/card/ill_84033_ogiyaka03.jpg?202001-2-RELEASE-unionbattle-448", "■")</f>
        <v>■</v>
      </c>
      <c r="F127" s="1" t="s">
        <v>6479</v>
      </c>
      <c r="G127" s="1">
        <v>90759</v>
      </c>
      <c r="H127" s="1">
        <v>97651</v>
      </c>
      <c r="I127" s="1">
        <v>25</v>
      </c>
      <c r="J127" s="1" t="s">
        <v>77</v>
      </c>
      <c r="K127" s="1" t="s">
        <v>6477</v>
      </c>
      <c r="L127" s="1" t="s">
        <v>969</v>
      </c>
      <c r="M127" s="1" t="s">
        <v>9158</v>
      </c>
      <c r="N127" s="1" t="s">
        <v>9158</v>
      </c>
      <c r="O127" s="1" t="s">
        <v>9158</v>
      </c>
      <c r="P127" s="1" t="s">
        <v>9158</v>
      </c>
      <c r="Q127" s="1" t="s">
        <v>9158</v>
      </c>
    </row>
    <row r="128" spans="1:17">
      <c r="A128" s="1">
        <v>82373</v>
      </c>
      <c r="B128" s="1" t="s">
        <v>334</v>
      </c>
      <c r="C128" s="1" t="s">
        <v>191</v>
      </c>
      <c r="D128" s="20" t="s">
        <v>10320</v>
      </c>
      <c r="E128" s="15" t="str">
        <f>HYPERLINK("https://stat100.ameba.jp/tnk47/ratio20/illustrations/card/ill_82373_bikinigaruyasharyujin03.jpg?202001-2-RELEASE-unionbattle-448", "■")</f>
        <v>■</v>
      </c>
      <c r="F128" s="1" t="s">
        <v>5397</v>
      </c>
      <c r="G128" s="1">
        <v>101971</v>
      </c>
      <c r="H128" s="1">
        <v>94802</v>
      </c>
      <c r="I128" s="1">
        <v>25</v>
      </c>
      <c r="J128" s="1" t="s">
        <v>44</v>
      </c>
      <c r="K128" s="1" t="s">
        <v>5398</v>
      </c>
      <c r="L128" s="1" t="s">
        <v>3356</v>
      </c>
      <c r="M128" s="1" t="s">
        <v>9158</v>
      </c>
      <c r="N128" s="1" t="s">
        <v>9158</v>
      </c>
      <c r="O128" s="19" t="s">
        <v>10070</v>
      </c>
      <c r="P128" s="1" t="s">
        <v>3579</v>
      </c>
      <c r="Q128" s="1">
        <v>1</v>
      </c>
    </row>
    <row r="129" spans="1:17">
      <c r="A129" s="9">
        <v>58023</v>
      </c>
      <c r="B129" s="1" t="s">
        <v>15</v>
      </c>
      <c r="C129" s="9" t="s">
        <v>8930</v>
      </c>
      <c r="D129" s="20" t="s">
        <v>10901</v>
      </c>
      <c r="E129" s="15" t="str">
        <f>HYPERLINK("https://stat100.ameba.jp/tnk47/ratio20/illustrations/card/ill_58023_ryukishishimazutoyohisa03.jpg?202001-2-RELEASE-unionbattle-448", "■")</f>
        <v>■</v>
      </c>
      <c r="F129" s="9" t="s">
        <v>8934</v>
      </c>
      <c r="G129" s="9">
        <v>65208</v>
      </c>
      <c r="H129" s="9">
        <v>59144</v>
      </c>
      <c r="I129" s="9">
        <v>22</v>
      </c>
      <c r="J129" s="9" t="s">
        <v>8931</v>
      </c>
      <c r="K129" s="9" t="s">
        <v>8933</v>
      </c>
      <c r="L129" s="9" t="s">
        <v>8932</v>
      </c>
      <c r="M129" s="1" t="s">
        <v>9158</v>
      </c>
      <c r="N129" s="1" t="s">
        <v>9158</v>
      </c>
      <c r="O129" s="1" t="s">
        <v>9158</v>
      </c>
      <c r="P129" s="1" t="s">
        <v>9158</v>
      </c>
      <c r="Q129" s="1" t="s">
        <v>9158</v>
      </c>
    </row>
    <row r="130" spans="1:17">
      <c r="A130" s="9">
        <v>54903</v>
      </c>
      <c r="B130" s="1" t="s">
        <v>15</v>
      </c>
      <c r="C130" s="1" t="s">
        <v>267</v>
      </c>
      <c r="D130" s="20" t="s">
        <v>566</v>
      </c>
      <c r="E130" s="15" t="str">
        <f>HYPERLINK("https://stat100.ameba.jp/tnk47/ratio20/illustrations/card/ill_54903_baniyamanetoshiko03.jpg?202001-2-RELEASE-unionbattle-448", "■")</f>
        <v>■</v>
      </c>
      <c r="F130" s="9" t="s">
        <v>8940</v>
      </c>
      <c r="G130" s="9">
        <v>52764</v>
      </c>
      <c r="H130" s="9">
        <v>71588</v>
      </c>
      <c r="I130" s="9">
        <v>22</v>
      </c>
      <c r="J130" s="1" t="s">
        <v>16</v>
      </c>
      <c r="K130" s="9" t="s">
        <v>8939</v>
      </c>
      <c r="L130" s="9" t="s">
        <v>8938</v>
      </c>
      <c r="M130" s="1" t="s">
        <v>9158</v>
      </c>
      <c r="N130" s="1" t="s">
        <v>9158</v>
      </c>
      <c r="O130" s="1" t="s">
        <v>9158</v>
      </c>
      <c r="P130" s="1" t="s">
        <v>9158</v>
      </c>
      <c r="Q130" s="1" t="s">
        <v>9158</v>
      </c>
    </row>
    <row r="131" spans="1:17">
      <c r="A131" s="9">
        <v>47543</v>
      </c>
      <c r="B131" s="1" t="s">
        <v>15</v>
      </c>
      <c r="C131" s="1" t="s">
        <v>335</v>
      </c>
      <c r="D131" s="20" t="s">
        <v>10902</v>
      </c>
      <c r="E131" s="15" t="str">
        <f>HYPERLINK("https://stat100.ameba.jp/tnk47/ratio20/illustrations/card/ill_47543_hebimetakageonna03.jpg?202001-2-RELEASE-unionbattle-448", "■")</f>
        <v>■</v>
      </c>
      <c r="F131" s="9" t="s">
        <v>8937</v>
      </c>
      <c r="G131" s="9">
        <v>65208</v>
      </c>
      <c r="H131" s="9">
        <v>59144</v>
      </c>
      <c r="I131" s="9">
        <v>22</v>
      </c>
      <c r="J131" s="1" t="s">
        <v>73</v>
      </c>
      <c r="K131" s="9" t="s">
        <v>8936</v>
      </c>
      <c r="L131" s="9" t="s">
        <v>8935</v>
      </c>
      <c r="M131" s="1" t="s">
        <v>9158</v>
      </c>
      <c r="N131" s="1" t="s">
        <v>9158</v>
      </c>
      <c r="O131" s="1" t="s">
        <v>9158</v>
      </c>
      <c r="P131" s="1" t="s">
        <v>9158</v>
      </c>
      <c r="Q131" s="1" t="s">
        <v>9158</v>
      </c>
    </row>
    <row r="132" spans="1:17">
      <c r="E132" s="9"/>
    </row>
    <row r="133" spans="1:17">
      <c r="A133" s="9" t="s">
        <v>8952</v>
      </c>
      <c r="E133" s="9"/>
    </row>
    <row r="134" spans="1:17">
      <c r="A134" s="9" t="s">
        <v>8951</v>
      </c>
      <c r="E134" s="9"/>
    </row>
    <row r="135" spans="1:17">
      <c r="A135" s="9" t="s">
        <v>8953</v>
      </c>
      <c r="E135" s="9"/>
    </row>
    <row r="136" spans="1:17">
      <c r="A136" s="7" t="s">
        <v>8839</v>
      </c>
      <c r="B136" s="7" t="s">
        <v>52</v>
      </c>
      <c r="C136" s="7" t="s">
        <v>202</v>
      </c>
      <c r="D136" s="20" t="s">
        <v>10880</v>
      </c>
      <c r="E136" s="15" t="str">
        <f>HYPERLINK("https://stat100.ameba.jp/tnk47/ratio20/illustrations/card/ill_86273_0_oshogatsuniijimayae03.jpg?202001-2-RELEASE-unionbattle-448", "■")</f>
        <v>■</v>
      </c>
      <c r="F136" s="7" t="s">
        <v>8838</v>
      </c>
      <c r="G136" s="7">
        <v>219498</v>
      </c>
      <c r="H136" s="7">
        <v>242864</v>
      </c>
      <c r="I136" s="7">
        <v>20</v>
      </c>
      <c r="J136" s="1" t="s">
        <v>173</v>
      </c>
      <c r="K136" s="7" t="s">
        <v>8837</v>
      </c>
      <c r="L136" s="7" t="s">
        <v>13211</v>
      </c>
      <c r="M136" s="1" t="s">
        <v>9158</v>
      </c>
      <c r="N136" s="1" t="s">
        <v>9158</v>
      </c>
      <c r="O136" s="19" t="s">
        <v>10134</v>
      </c>
      <c r="P136" s="7" t="s">
        <v>8870</v>
      </c>
      <c r="Q136" s="7">
        <v>1</v>
      </c>
    </row>
    <row r="137" spans="1:17">
      <c r="A137" s="9">
        <v>86463</v>
      </c>
      <c r="B137" s="9" t="s">
        <v>8947</v>
      </c>
      <c r="C137" s="9" t="s">
        <v>8954</v>
      </c>
      <c r="D137" s="20" t="s">
        <v>10903</v>
      </c>
      <c r="E137" s="15" t="str">
        <f>HYPERLINK("https://stat100.ameba.jp/tnk47/ratio20/illustrations/card/ill_86463_mochimakimiyazuhime03.jpg?202001-2-RELEASE-unionbattle-448", "■")</f>
        <v>■</v>
      </c>
      <c r="F137" s="9" t="s">
        <v>8961</v>
      </c>
      <c r="G137" s="9">
        <v>98594</v>
      </c>
      <c r="H137" s="9">
        <v>106050</v>
      </c>
      <c r="I137" s="9">
        <v>26</v>
      </c>
      <c r="J137" s="1" t="s">
        <v>44</v>
      </c>
      <c r="K137" s="9" t="s">
        <v>8960</v>
      </c>
      <c r="L137" s="9" t="s">
        <v>8959</v>
      </c>
      <c r="M137" s="1" t="s">
        <v>9158</v>
      </c>
      <c r="N137" s="1" t="s">
        <v>9158</v>
      </c>
      <c r="O137" s="1" t="s">
        <v>9158</v>
      </c>
      <c r="P137" s="1" t="s">
        <v>9158</v>
      </c>
      <c r="Q137" s="1" t="s">
        <v>9158</v>
      </c>
    </row>
    <row r="138" spans="1:17">
      <c r="A138" s="9">
        <v>86473</v>
      </c>
      <c r="B138" s="9" t="s">
        <v>8947</v>
      </c>
      <c r="C138" s="9" t="s">
        <v>8955</v>
      </c>
      <c r="D138" s="20" t="s">
        <v>10904</v>
      </c>
      <c r="E138" s="15" t="str">
        <f>HYPERLINK("https://stat100.ameba.jp/tnk47/ratio20/illustrations/card/ill_86473_shogatsunisenjunanatokugawahidetada03.jpg?202001-2-RELEASE-unionbattle-448", "■")</f>
        <v>■</v>
      </c>
      <c r="F138" s="9" t="s">
        <v>8967</v>
      </c>
      <c r="G138" s="9">
        <v>122786</v>
      </c>
      <c r="H138" s="9">
        <v>114176</v>
      </c>
      <c r="I138" s="9">
        <v>26</v>
      </c>
      <c r="J138" s="9" t="s">
        <v>194</v>
      </c>
      <c r="K138" s="9" t="s">
        <v>8963</v>
      </c>
      <c r="L138" s="9" t="s">
        <v>8962</v>
      </c>
      <c r="M138" s="1" t="s">
        <v>9158</v>
      </c>
      <c r="N138" s="1" t="s">
        <v>9158</v>
      </c>
      <c r="O138" s="1" t="s">
        <v>9158</v>
      </c>
      <c r="P138" s="1" t="s">
        <v>9158</v>
      </c>
      <c r="Q138" s="1" t="s">
        <v>9158</v>
      </c>
    </row>
    <row r="139" spans="1:17">
      <c r="A139" s="9">
        <v>86483</v>
      </c>
      <c r="B139" s="9" t="s">
        <v>8948</v>
      </c>
      <c r="C139" s="9" t="s">
        <v>8956</v>
      </c>
      <c r="D139" s="20" t="s">
        <v>10905</v>
      </c>
      <c r="E139" s="15" t="str">
        <f>HYPERLINK("https://stat100.ameba.jp/tnk47/ratio20/illustrations/card/ill_86483_gantammomonohasui03.jpg?202001-2-RELEASE-unionbattle-448", "■")</f>
        <v>■</v>
      </c>
      <c r="F139" s="9" t="s">
        <v>8966</v>
      </c>
      <c r="G139" s="9">
        <v>69898</v>
      </c>
      <c r="H139" s="9">
        <v>77064</v>
      </c>
      <c r="I139" s="9">
        <v>26</v>
      </c>
      <c r="J139" s="1" t="s">
        <v>229</v>
      </c>
      <c r="K139" s="9" t="s">
        <v>8965</v>
      </c>
      <c r="L139" s="9" t="s">
        <v>8964</v>
      </c>
      <c r="M139" s="1" t="s">
        <v>9158</v>
      </c>
      <c r="N139" s="1" t="s">
        <v>9158</v>
      </c>
      <c r="O139" s="1" t="s">
        <v>9158</v>
      </c>
      <c r="P139" s="1" t="s">
        <v>9158</v>
      </c>
      <c r="Q139" s="1" t="s">
        <v>9158</v>
      </c>
    </row>
    <row r="140" spans="1:17">
      <c r="A140" s="9">
        <v>86493</v>
      </c>
      <c r="B140" s="9" t="s">
        <v>8949</v>
      </c>
      <c r="C140" s="9" t="s">
        <v>8957</v>
      </c>
      <c r="D140" s="20" t="s">
        <v>10906</v>
      </c>
      <c r="E140" s="15" t="str">
        <f>HYPERLINK("https://stat100.ameba.jp/tnk47/ratio20/illustrations/card/ill_86493_seijinshikitesso03.jpg?202001-2-RELEASE-unionbattle-448", "■")</f>
        <v>■</v>
      </c>
      <c r="F140" s="9" t="s">
        <v>8970</v>
      </c>
      <c r="G140" s="9">
        <v>54058</v>
      </c>
      <c r="H140" s="9">
        <v>44948</v>
      </c>
      <c r="I140" s="9">
        <v>26</v>
      </c>
      <c r="J140" s="1" t="s">
        <v>73</v>
      </c>
      <c r="K140" s="9" t="s">
        <v>8969</v>
      </c>
      <c r="L140" s="9" t="s">
        <v>8968</v>
      </c>
      <c r="M140" s="1" t="s">
        <v>9158</v>
      </c>
      <c r="N140" s="1" t="s">
        <v>9158</v>
      </c>
      <c r="O140" s="1" t="s">
        <v>9158</v>
      </c>
      <c r="P140" s="1" t="s">
        <v>9158</v>
      </c>
      <c r="Q140" s="1" t="s">
        <v>9158</v>
      </c>
    </row>
    <row r="141" spans="1:17">
      <c r="A141" s="9">
        <v>86503</v>
      </c>
      <c r="B141" s="9" t="s">
        <v>8950</v>
      </c>
      <c r="C141" s="9" t="s">
        <v>8958</v>
      </c>
      <c r="D141" s="20" t="s">
        <v>10907</v>
      </c>
      <c r="E141" s="15" t="str">
        <f>HYPERLINK("https://stat100.ameba.jp/tnk47/ratio20/illustrations/card/ill_86503_dagojiruchan03.jpg?202001-2-RELEASE-unionbattle-448", "■")</f>
        <v>■</v>
      </c>
      <c r="F141" s="9" t="s">
        <v>8973</v>
      </c>
      <c r="G141" s="9">
        <v>27486</v>
      </c>
      <c r="H141" s="9">
        <v>32728</v>
      </c>
      <c r="I141" s="9">
        <v>26</v>
      </c>
      <c r="J141" s="1" t="s">
        <v>283</v>
      </c>
      <c r="K141" s="9" t="s">
        <v>8972</v>
      </c>
      <c r="L141" s="9" t="s">
        <v>8971</v>
      </c>
      <c r="M141" s="1" t="s">
        <v>9158</v>
      </c>
      <c r="N141" s="1" t="s">
        <v>9158</v>
      </c>
      <c r="O141" s="1" t="s">
        <v>9158</v>
      </c>
      <c r="P141" s="1" t="s">
        <v>9158</v>
      </c>
      <c r="Q141" s="1" t="s">
        <v>9158</v>
      </c>
    </row>
    <row r="142" spans="1:17">
      <c r="E142" s="9"/>
    </row>
    <row r="143" spans="1:17">
      <c r="A143" s="9" t="s">
        <v>8943</v>
      </c>
      <c r="E143" s="9"/>
    </row>
    <row r="144" spans="1:17">
      <c r="A144" s="9" t="s">
        <v>8944</v>
      </c>
      <c r="E144" s="9"/>
    </row>
    <row r="145" spans="1:17">
      <c r="A145" s="1" t="s">
        <v>5650</v>
      </c>
      <c r="B145" s="1" t="s">
        <v>52</v>
      </c>
      <c r="C145" s="1" t="s">
        <v>23</v>
      </c>
      <c r="D145" s="20" t="s">
        <v>809</v>
      </c>
      <c r="E145" s="15" t="str">
        <f>HYPERLINK("https://stat100.ameba.jp/tnk47/ratio20/illustrations/card/ill_68033_0_kurisumasupateikandamyojin03.jpg?202001-2-RELEASE-unionbattle-448", "■")</f>
        <v>■</v>
      </c>
      <c r="F145" s="1" t="s">
        <v>1871</v>
      </c>
      <c r="G145" s="1">
        <v>152594</v>
      </c>
      <c r="H145" s="1">
        <v>164144</v>
      </c>
      <c r="I145" s="1">
        <v>24</v>
      </c>
      <c r="J145" s="1" t="s">
        <v>44</v>
      </c>
      <c r="K145" s="1" t="s">
        <v>1872</v>
      </c>
      <c r="L145" s="1" t="s">
        <v>1873</v>
      </c>
      <c r="M145" s="1" t="s">
        <v>9158</v>
      </c>
      <c r="N145" s="1" t="s">
        <v>9158</v>
      </c>
      <c r="O145" s="19" t="s">
        <v>2997</v>
      </c>
      <c r="P145" s="1" t="s">
        <v>3483</v>
      </c>
      <c r="Q145" s="1">
        <v>2</v>
      </c>
    </row>
    <row r="146" spans="1:17">
      <c r="A146" s="1">
        <v>52083</v>
      </c>
      <c r="B146" s="1" t="s">
        <v>0</v>
      </c>
      <c r="C146" s="1" t="s">
        <v>158</v>
      </c>
      <c r="D146" s="20" t="s">
        <v>2913</v>
      </c>
      <c r="E146" s="15" t="str">
        <f>HYPERLINK("https://stat100.ameba.jp/tnk47/ratio20/illustrations/card/ill_52083_berubetto03.jpg?202001-2-RELEASE-unionbattle-448", "■")</f>
        <v>■</v>
      </c>
      <c r="F146" s="1" t="s">
        <v>944</v>
      </c>
      <c r="G146" s="1">
        <v>86140</v>
      </c>
      <c r="H146" s="1">
        <v>118917</v>
      </c>
      <c r="I146" s="1">
        <v>25</v>
      </c>
      <c r="J146" s="1" t="s">
        <v>26</v>
      </c>
      <c r="K146" s="1" t="s">
        <v>1864</v>
      </c>
      <c r="L146" s="1" t="s">
        <v>1865</v>
      </c>
      <c r="M146" s="1" t="s">
        <v>9158</v>
      </c>
      <c r="N146" s="1" t="s">
        <v>9158</v>
      </c>
      <c r="O146" s="19" t="s">
        <v>2917</v>
      </c>
      <c r="P146" s="1" t="s">
        <v>2918</v>
      </c>
      <c r="Q146" s="1">
        <v>1</v>
      </c>
    </row>
    <row r="147" spans="1:17">
      <c r="A147" s="9">
        <v>64893</v>
      </c>
      <c r="B147" s="1" t="s">
        <v>334</v>
      </c>
      <c r="C147" s="1" t="s">
        <v>185</v>
      </c>
      <c r="D147" s="20" t="s">
        <v>10908</v>
      </c>
      <c r="E147" s="15" t="str">
        <f>HYPERLINK("https://stat100.ameba.jp/tnk47/ratio20/illustrations/card/ill_64893_yukataonamihime03.jpg?202001-2-RELEASE-unionbattle-448", "■")</f>
        <v>■</v>
      </c>
      <c r="F147" s="1" t="s">
        <v>1289</v>
      </c>
      <c r="G147" s="1">
        <v>148619</v>
      </c>
      <c r="H147" s="1">
        <v>138186</v>
      </c>
      <c r="I147" s="1">
        <v>25</v>
      </c>
      <c r="J147" s="1" t="s">
        <v>194</v>
      </c>
      <c r="K147" s="1" t="s">
        <v>1290</v>
      </c>
      <c r="L147" s="1" t="s">
        <v>13155</v>
      </c>
      <c r="M147" s="1" t="s">
        <v>9158</v>
      </c>
      <c r="N147" s="1" t="s">
        <v>9158</v>
      </c>
      <c r="O147" s="19" t="s">
        <v>10135</v>
      </c>
      <c r="P147" s="1" t="s">
        <v>13124</v>
      </c>
      <c r="Q147" s="1">
        <v>1</v>
      </c>
    </row>
    <row r="148" spans="1:17">
      <c r="A148" s="1">
        <v>74553</v>
      </c>
      <c r="B148" s="1" t="s">
        <v>0</v>
      </c>
      <c r="C148" s="1" t="s">
        <v>107</v>
      </c>
      <c r="D148" s="20" t="s">
        <v>10389</v>
      </c>
      <c r="E148" s="15" t="str">
        <f>HYPERLINK("https://stat100.ameba.jp/tnk47/ratio20/illustrations/card/ill_74553_natsuyuenchikusumotoine03.jpg?202001-2-RELEASE-unionbattle-448", "■")</f>
        <v>■</v>
      </c>
      <c r="F148" s="1" t="s">
        <v>4109</v>
      </c>
      <c r="G148" s="1">
        <v>101373</v>
      </c>
      <c r="H148" s="1">
        <v>94295</v>
      </c>
      <c r="I148" s="1">
        <v>25</v>
      </c>
      <c r="J148" s="1" t="s">
        <v>16</v>
      </c>
      <c r="K148" s="1" t="s">
        <v>4110</v>
      </c>
      <c r="L148" s="1" t="s">
        <v>1149</v>
      </c>
      <c r="M148" s="1" t="s">
        <v>9158</v>
      </c>
      <c r="N148" s="1" t="s">
        <v>9158</v>
      </c>
      <c r="O148" s="19" t="s">
        <v>10090</v>
      </c>
      <c r="P148" s="1" t="s">
        <v>3460</v>
      </c>
      <c r="Q148" s="1">
        <v>1</v>
      </c>
    </row>
    <row r="149" spans="1:17">
      <c r="E149" s="9"/>
    </row>
    <row r="150" spans="1:17">
      <c r="A150" s="9" t="s">
        <v>8945</v>
      </c>
      <c r="E150" s="9"/>
    </row>
    <row r="151" spans="1:17">
      <c r="A151" s="9" t="s">
        <v>8946</v>
      </c>
      <c r="E151" s="9"/>
    </row>
    <row r="152" spans="1:17">
      <c r="A152" s="1" t="s">
        <v>6195</v>
      </c>
      <c r="B152" s="1" t="s">
        <v>52</v>
      </c>
      <c r="C152" s="1" t="s">
        <v>191</v>
      </c>
      <c r="D152" s="20" t="s">
        <v>10217</v>
      </c>
      <c r="E152" s="15" t="str">
        <f>HYPERLINK("https://stat100.ameba.jp/tnk47/ratio20/illustrations/card/ill_56493_0_poppukurisumasuikomakitsuno03.jpg?202001-2-RELEASE-unionbattle-448", "■")</f>
        <v>■</v>
      </c>
      <c r="F152" s="1" t="s">
        <v>1769</v>
      </c>
      <c r="G152" s="1">
        <v>138212</v>
      </c>
      <c r="H152" s="1">
        <v>122776</v>
      </c>
      <c r="I152" s="1">
        <v>22</v>
      </c>
      <c r="J152" s="1" t="s">
        <v>77</v>
      </c>
      <c r="K152" s="1" t="s">
        <v>1770</v>
      </c>
      <c r="L152" s="1" t="s">
        <v>1771</v>
      </c>
      <c r="M152" s="1" t="s">
        <v>9158</v>
      </c>
      <c r="N152" s="1" t="s">
        <v>9158</v>
      </c>
      <c r="O152" s="19" t="s">
        <v>10120</v>
      </c>
      <c r="P152" s="1" t="s">
        <v>2724</v>
      </c>
      <c r="Q152" s="1">
        <v>1</v>
      </c>
    </row>
    <row r="153" spans="1:17">
      <c r="A153" s="1" t="s">
        <v>5620</v>
      </c>
      <c r="B153" s="1" t="s">
        <v>330</v>
      </c>
      <c r="C153" s="1" t="s">
        <v>206</v>
      </c>
      <c r="D153" s="20" t="s">
        <v>669</v>
      </c>
      <c r="E153" s="15" t="str">
        <f>HYPERLINK("https://stat100.ameba.jp/tnk47/ratio20/illustrations/card/ill_67173_0_yukemuriawamorichan03.jpg?202001-2-RELEASE-unionbattle-448", "■")</f>
        <v>■</v>
      </c>
      <c r="F153" s="1" t="s">
        <v>670</v>
      </c>
      <c r="G153" s="1">
        <v>169032</v>
      </c>
      <c r="H153" s="1">
        <v>157150</v>
      </c>
      <c r="I153" s="1">
        <v>22</v>
      </c>
      <c r="J153" s="1" t="s">
        <v>283</v>
      </c>
      <c r="K153" s="1" t="s">
        <v>671</v>
      </c>
      <c r="L153" s="1" t="s">
        <v>672</v>
      </c>
      <c r="M153" s="1" t="s">
        <v>9158</v>
      </c>
      <c r="N153" s="1" t="s">
        <v>9158</v>
      </c>
      <c r="O153" s="19" t="s">
        <v>10087</v>
      </c>
      <c r="P153" s="1" t="s">
        <v>3455</v>
      </c>
      <c r="Q153" s="1">
        <v>1</v>
      </c>
    </row>
    <row r="154" spans="1:17">
      <c r="A154" s="1" t="s">
        <v>5608</v>
      </c>
      <c r="B154" s="1" t="s">
        <v>52</v>
      </c>
      <c r="C154" s="1" t="s">
        <v>96</v>
      </c>
      <c r="D154" s="20" t="s">
        <v>634</v>
      </c>
      <c r="E154" s="15" t="str">
        <f>HYPERLINK("https://stat100.ameba.jp/tnk47/ratio20/illustrations/card/ill_40963_0_makami03.jpg?202001-2-RELEASE-unionbattle-448", "■")</f>
        <v>■</v>
      </c>
      <c r="F154" s="1" t="s">
        <v>2038</v>
      </c>
      <c r="G154" s="1">
        <v>128744</v>
      </c>
      <c r="H154" s="1">
        <v>120576</v>
      </c>
      <c r="I154" s="1">
        <v>22</v>
      </c>
      <c r="J154" s="1" t="s">
        <v>44</v>
      </c>
      <c r="K154" s="1" t="s">
        <v>2039</v>
      </c>
      <c r="L154" s="1" t="s">
        <v>2040</v>
      </c>
      <c r="M154" s="1" t="s">
        <v>9158</v>
      </c>
      <c r="N154" s="1" t="s">
        <v>9158</v>
      </c>
      <c r="O154" s="1" t="s">
        <v>9158</v>
      </c>
      <c r="P154" s="1" t="s">
        <v>9158</v>
      </c>
      <c r="Q154" s="1" t="s">
        <v>9158</v>
      </c>
    </row>
    <row r="155" spans="1:17">
      <c r="A155" s="1">
        <v>70793</v>
      </c>
      <c r="B155" s="1" t="s">
        <v>0</v>
      </c>
      <c r="C155" s="1" t="s">
        <v>191</v>
      </c>
      <c r="D155" s="20" t="s">
        <v>10687</v>
      </c>
      <c r="E155" s="15" t="str">
        <f>HYPERLINK("https://stat100.ameba.jp/tnk47/ratio20/illustrations/card/ill_70793_tojimbo03.jpg?202001-2-RELEASE-unionbattle-448", "■")</f>
        <v>■</v>
      </c>
      <c r="F155" s="1" t="s">
        <v>3258</v>
      </c>
      <c r="G155" s="1">
        <v>125392</v>
      </c>
      <c r="H155" s="1">
        <v>70556</v>
      </c>
      <c r="I155" s="1">
        <v>26</v>
      </c>
      <c r="J155" s="1" t="s">
        <v>229</v>
      </c>
      <c r="K155" s="1" t="s">
        <v>3259</v>
      </c>
      <c r="L155" s="1" t="s">
        <v>3260</v>
      </c>
      <c r="M155" s="1" t="s">
        <v>9158</v>
      </c>
      <c r="N155" s="1" t="s">
        <v>9158</v>
      </c>
      <c r="O155" s="1" t="s">
        <v>9158</v>
      </c>
      <c r="P155" s="1" t="s">
        <v>9158</v>
      </c>
      <c r="Q155" s="1" t="s">
        <v>9158</v>
      </c>
    </row>
    <row r="156" spans="1:17">
      <c r="A156" s="1">
        <v>72583</v>
      </c>
      <c r="B156" s="1" t="s">
        <v>334</v>
      </c>
      <c r="C156" s="1" t="s">
        <v>107</v>
      </c>
      <c r="D156" s="20" t="s">
        <v>10909</v>
      </c>
      <c r="E156" s="15" t="str">
        <f>HYPERLINK("https://stat100.ameba.jp/tnk47/ratio20/illustrations/card/ill_72583_itohime03.jpg?202001-2-RELEASE-unionbattle-448", "■")</f>
        <v>■</v>
      </c>
      <c r="F156" s="1" t="s">
        <v>4752</v>
      </c>
      <c r="G156" s="1">
        <v>125392</v>
      </c>
      <c r="H156" s="1">
        <v>70556</v>
      </c>
      <c r="I156" s="1">
        <v>26</v>
      </c>
      <c r="J156" s="1" t="s">
        <v>77</v>
      </c>
      <c r="K156" s="1" t="s">
        <v>4753</v>
      </c>
      <c r="L156" s="1" t="s">
        <v>76</v>
      </c>
      <c r="M156" s="1" t="s">
        <v>9158</v>
      </c>
      <c r="N156" s="1" t="s">
        <v>9158</v>
      </c>
      <c r="O156" s="1" t="s">
        <v>9158</v>
      </c>
      <c r="P156" s="1" t="s">
        <v>9158</v>
      </c>
      <c r="Q156" s="1" t="s">
        <v>9158</v>
      </c>
    </row>
    <row r="157" spans="1:17">
      <c r="A157" s="1">
        <v>81233</v>
      </c>
      <c r="B157" s="1" t="s">
        <v>334</v>
      </c>
      <c r="C157" s="1" t="s">
        <v>165</v>
      </c>
      <c r="D157" s="20" t="s">
        <v>10734</v>
      </c>
      <c r="E157" s="15" t="str">
        <f>HYPERLINK("https://stat100.ameba.jp/tnk47/ratio20/illustrations/card/ill_81233_sakasutengaihata03.jpg?202001-2-RELEASE-unionbattle-448", "■")</f>
        <v>■</v>
      </c>
      <c r="F157" s="1" t="s">
        <v>4547</v>
      </c>
      <c r="G157" s="1">
        <v>106050</v>
      </c>
      <c r="H157" s="1">
        <v>98594</v>
      </c>
      <c r="I157" s="1">
        <v>26</v>
      </c>
      <c r="J157" s="1" t="s">
        <v>44</v>
      </c>
      <c r="K157" s="1" t="s">
        <v>4548</v>
      </c>
      <c r="L157" s="1" t="s">
        <v>4549</v>
      </c>
      <c r="M157" s="1" t="s">
        <v>9158</v>
      </c>
      <c r="N157" s="1" t="s">
        <v>9158</v>
      </c>
      <c r="O157" s="1" t="s">
        <v>9158</v>
      </c>
      <c r="P157" s="1" t="s">
        <v>9158</v>
      </c>
      <c r="Q157" s="1" t="s">
        <v>9158</v>
      </c>
    </row>
    <row r="158" spans="1:17">
      <c r="A158" s="1">
        <v>75803</v>
      </c>
      <c r="B158" s="1" t="s">
        <v>15</v>
      </c>
      <c r="C158" s="1" t="s">
        <v>185</v>
      </c>
      <c r="D158" s="20" t="s">
        <v>10462</v>
      </c>
      <c r="E158" s="15" t="str">
        <f>HYPERLINK("https://stat100.ameba.jp/tnk47/ratio20/illustrations/card/ill_75803_hasekuratsunenaga03.jpg?202001-2-RELEASE-unionbattle-448", "■")</f>
        <v>■</v>
      </c>
      <c r="F158" s="1" t="s">
        <v>6063</v>
      </c>
      <c r="G158" s="1">
        <v>77064</v>
      </c>
      <c r="H158" s="1">
        <v>69898</v>
      </c>
      <c r="I158" s="1">
        <v>26</v>
      </c>
      <c r="J158" s="1" t="s">
        <v>159</v>
      </c>
      <c r="K158" s="1" t="s">
        <v>6065</v>
      </c>
      <c r="L158" s="1" t="s">
        <v>13200</v>
      </c>
      <c r="M158" s="1" t="s">
        <v>9158</v>
      </c>
      <c r="N158" s="1" t="s">
        <v>9158</v>
      </c>
      <c r="O158" s="1" t="s">
        <v>9158</v>
      </c>
      <c r="P158" s="1" t="s">
        <v>9158</v>
      </c>
      <c r="Q158" s="1" t="s">
        <v>9158</v>
      </c>
    </row>
    <row r="159" spans="1:17">
      <c r="A159" s="1">
        <v>56283</v>
      </c>
      <c r="B159" s="1" t="s">
        <v>15</v>
      </c>
      <c r="C159" s="1" t="s">
        <v>200</v>
      </c>
      <c r="D159" s="20" t="s">
        <v>10893</v>
      </c>
      <c r="E159" s="15" t="str">
        <f>HYPERLINK("https://stat100.ameba.jp/tnk47/ratio20/illustrations/card/ill_56283_miritarimizugishirotsubakinosei03.jpg?202001-2-RELEASE-unionbattle-448", "■")</f>
        <v>■</v>
      </c>
      <c r="F159" s="1" t="s">
        <v>8887</v>
      </c>
      <c r="G159" s="1">
        <v>77064</v>
      </c>
      <c r="H159" s="1">
        <v>69898</v>
      </c>
      <c r="I159" s="1">
        <v>26</v>
      </c>
      <c r="J159" s="1" t="s">
        <v>274</v>
      </c>
      <c r="K159" s="1" t="s">
        <v>8886</v>
      </c>
      <c r="L159" s="1" t="s">
        <v>1702</v>
      </c>
      <c r="M159" s="1" t="s">
        <v>9158</v>
      </c>
      <c r="N159" s="1" t="s">
        <v>9158</v>
      </c>
      <c r="O159" s="1" t="s">
        <v>9158</v>
      </c>
      <c r="P159" s="1" t="s">
        <v>9158</v>
      </c>
      <c r="Q159" s="1" t="s">
        <v>9158</v>
      </c>
    </row>
    <row r="160" spans="1:17">
      <c r="A160" s="1">
        <v>49243</v>
      </c>
      <c r="B160" s="1" t="s">
        <v>15</v>
      </c>
      <c r="C160" s="1" t="s">
        <v>205</v>
      </c>
      <c r="D160" s="20" t="s">
        <v>10894</v>
      </c>
      <c r="E160" s="15" t="str">
        <f>HYPERLINK("https://stat100.ameba.jp/tnk47/ratio20/illustrations/card/ill_49243_kanfukatsurakogorou03.jpg?202001-2-RELEASE-unionbattle-448", "■")</f>
        <v>■</v>
      </c>
      <c r="F160" s="1" t="s">
        <v>8890</v>
      </c>
      <c r="G160" s="1">
        <v>77064</v>
      </c>
      <c r="H160" s="1">
        <v>69898</v>
      </c>
      <c r="I160" s="1">
        <v>26</v>
      </c>
      <c r="J160" s="1" t="s">
        <v>10</v>
      </c>
      <c r="K160" s="1" t="s">
        <v>8889</v>
      </c>
      <c r="L160" s="1" t="s">
        <v>8888</v>
      </c>
      <c r="M160" s="1" t="s">
        <v>9158</v>
      </c>
      <c r="N160" s="1" t="s">
        <v>9158</v>
      </c>
      <c r="O160" s="1" t="s">
        <v>9158</v>
      </c>
      <c r="P160" s="1" t="s">
        <v>9158</v>
      </c>
      <c r="Q160" s="1" t="s">
        <v>9158</v>
      </c>
    </row>
    <row r="161" spans="1:18">
      <c r="E161" s="9"/>
    </row>
    <row r="162" spans="1:18">
      <c r="A162" s="7" t="s">
        <v>13375</v>
      </c>
      <c r="B162" s="7"/>
      <c r="C162" s="7"/>
      <c r="D162" s="7"/>
      <c r="E162" s="7"/>
      <c r="F162" s="7"/>
      <c r="G162" s="7"/>
      <c r="H162" s="7"/>
      <c r="I162" s="7"/>
      <c r="J162" s="7"/>
      <c r="K162" s="7"/>
      <c r="L162" s="7"/>
      <c r="M162" s="7"/>
      <c r="N162" s="7"/>
      <c r="O162" s="7"/>
      <c r="P162" s="7"/>
      <c r="Q162" s="7"/>
      <c r="R162" s="7"/>
    </row>
    <row r="163" spans="1:18">
      <c r="A163" s="7" t="s">
        <v>8974</v>
      </c>
      <c r="B163" s="7"/>
      <c r="C163" s="7"/>
      <c r="D163" s="7"/>
      <c r="E163" s="7"/>
      <c r="F163" s="7"/>
      <c r="G163" s="7"/>
      <c r="H163" s="7"/>
      <c r="I163" s="7"/>
      <c r="J163" s="7"/>
      <c r="K163" s="7"/>
      <c r="L163" s="7"/>
      <c r="M163" s="7"/>
      <c r="N163" s="7"/>
      <c r="O163" s="7"/>
      <c r="P163" s="7"/>
      <c r="Q163" s="7"/>
      <c r="R163" s="7"/>
    </row>
    <row r="164" spans="1:18">
      <c r="A164" s="7">
        <v>86375</v>
      </c>
      <c r="B164" s="7" t="s">
        <v>0</v>
      </c>
      <c r="C164" s="7" t="s">
        <v>202</v>
      </c>
      <c r="D164" s="20" t="s">
        <v>10910</v>
      </c>
      <c r="E164" s="15" t="str">
        <f>HYPERLINK("https://stat100.ameba.jp/tnk47/ratio20/illustrations/card/ill_86375_bakkasu05.jpg?202001-2-RELEASE-unionbattle-448", "■")</f>
        <v>■</v>
      </c>
      <c r="F164" s="7" t="s">
        <v>8975</v>
      </c>
      <c r="G164" s="7">
        <v>88500</v>
      </c>
      <c r="H164" s="7">
        <v>122234</v>
      </c>
      <c r="I164" s="7">
        <v>26</v>
      </c>
      <c r="J164" s="1" t="s">
        <v>44</v>
      </c>
      <c r="K164" s="7" t="s">
        <v>8976</v>
      </c>
      <c r="L164" s="7" t="s">
        <v>8980</v>
      </c>
      <c r="M164" s="1" t="s">
        <v>9158</v>
      </c>
      <c r="N164" s="1" t="s">
        <v>9158</v>
      </c>
      <c r="O164" s="1" t="s">
        <v>9158</v>
      </c>
      <c r="P164" s="1" t="s">
        <v>9158</v>
      </c>
      <c r="Q164" s="1" t="s">
        <v>9158</v>
      </c>
      <c r="R164" s="7" t="s">
        <v>174</v>
      </c>
    </row>
    <row r="165" spans="1:18">
      <c r="A165" s="7">
        <v>86373</v>
      </c>
      <c r="B165" s="7" t="s">
        <v>15</v>
      </c>
      <c r="C165" s="7" t="s">
        <v>154</v>
      </c>
      <c r="D165" s="20" t="s">
        <v>10910</v>
      </c>
      <c r="E165" s="15" t="str">
        <f>HYPERLINK("https://stat100.ameba.jp/tnk47/ratio20/illustrations/card/ill_86373_bakkasu03.jpg?202001-2-RELEASE-unionbattle-448", "■")</f>
        <v>■</v>
      </c>
      <c r="F165" s="7" t="s">
        <v>8975</v>
      </c>
      <c r="G165" s="7">
        <v>65202</v>
      </c>
      <c r="H165" s="7">
        <v>90050</v>
      </c>
      <c r="I165" s="7">
        <v>26</v>
      </c>
      <c r="J165" s="1" t="s">
        <v>44</v>
      </c>
      <c r="K165" s="7" t="s">
        <v>8976</v>
      </c>
      <c r="L165" s="7" t="s">
        <v>8979</v>
      </c>
      <c r="M165" s="1" t="s">
        <v>9158</v>
      </c>
      <c r="N165" s="1" t="s">
        <v>9158</v>
      </c>
      <c r="O165" s="1" t="s">
        <v>9158</v>
      </c>
      <c r="P165" s="1" t="s">
        <v>9158</v>
      </c>
      <c r="Q165" s="1" t="s">
        <v>9158</v>
      </c>
      <c r="R165" s="7" t="s">
        <v>175</v>
      </c>
    </row>
    <row r="166" spans="1:18">
      <c r="A166" s="7">
        <v>86371</v>
      </c>
      <c r="B166" s="7" t="s">
        <v>15</v>
      </c>
      <c r="C166" s="7" t="s">
        <v>154</v>
      </c>
      <c r="D166" s="20" t="s">
        <v>10910</v>
      </c>
      <c r="E166" s="15" t="str">
        <f>HYPERLINK("https://stat100.ameba.jp/tnk47/ratio20/illustrations/card/ill_86371_bakkasu01.jpg?202001-2-RELEASE-unionbattle-448", "■")</f>
        <v>■</v>
      </c>
      <c r="F166" s="7" t="s">
        <v>8975</v>
      </c>
      <c r="G166" s="7">
        <v>41470</v>
      </c>
      <c r="H166" s="7">
        <v>57278</v>
      </c>
      <c r="I166" s="7">
        <v>26</v>
      </c>
      <c r="J166" s="1" t="s">
        <v>44</v>
      </c>
      <c r="K166" s="7" t="s">
        <v>8976</v>
      </c>
      <c r="L166" s="7" t="s">
        <v>8978</v>
      </c>
      <c r="M166" s="1" t="s">
        <v>9158</v>
      </c>
      <c r="N166" s="1" t="s">
        <v>9158</v>
      </c>
      <c r="O166" s="1" t="s">
        <v>9158</v>
      </c>
      <c r="P166" s="1" t="s">
        <v>9158</v>
      </c>
      <c r="Q166" s="1" t="s">
        <v>9158</v>
      </c>
      <c r="R166" s="7" t="s">
        <v>176</v>
      </c>
    </row>
    <row r="167" spans="1:18">
      <c r="A167" s="7"/>
      <c r="B167" s="7"/>
      <c r="C167" s="7"/>
      <c r="D167" s="7"/>
      <c r="E167" s="7"/>
      <c r="F167" s="7"/>
      <c r="G167" s="7"/>
      <c r="H167" s="7"/>
      <c r="I167" s="7"/>
      <c r="J167" s="7"/>
      <c r="K167" s="7"/>
      <c r="L167" s="7"/>
      <c r="M167" s="7"/>
      <c r="N167" s="7"/>
      <c r="O167" s="7"/>
      <c r="P167" s="7"/>
      <c r="Q167" s="7"/>
      <c r="R167" s="7"/>
    </row>
    <row r="168" spans="1:18">
      <c r="A168" s="1" t="s">
        <v>13327</v>
      </c>
      <c r="B168" s="1"/>
      <c r="C168" s="1"/>
      <c r="D168" s="1"/>
      <c r="F168" s="1"/>
      <c r="G168" s="1"/>
      <c r="H168" s="1"/>
      <c r="I168" s="1"/>
      <c r="J168" s="1"/>
      <c r="K168" s="1"/>
      <c r="L168" s="1"/>
      <c r="M168" s="1"/>
      <c r="N168" s="1"/>
      <c r="O168" s="1"/>
      <c r="P168" s="1"/>
      <c r="Q168" s="1"/>
      <c r="R168" s="1"/>
    </row>
    <row r="169" spans="1:18">
      <c r="A169" s="1" t="s">
        <v>8977</v>
      </c>
      <c r="B169" s="1"/>
      <c r="C169" s="1"/>
      <c r="D169" s="1"/>
      <c r="F169" s="1"/>
      <c r="G169" s="1"/>
      <c r="H169" s="1"/>
      <c r="I169" s="1"/>
      <c r="J169" s="1"/>
      <c r="K169" s="1"/>
      <c r="L169" s="1"/>
      <c r="M169" s="1"/>
      <c r="N169" s="1"/>
      <c r="O169" s="1"/>
      <c r="P169" s="1"/>
      <c r="Q169" s="1"/>
      <c r="R169" s="1"/>
    </row>
    <row r="170" spans="1:18">
      <c r="A170" s="1">
        <v>82213</v>
      </c>
      <c r="B170" s="1" t="s">
        <v>0</v>
      </c>
      <c r="C170" s="1" t="s">
        <v>185</v>
      </c>
      <c r="D170" s="20" t="s">
        <v>10185</v>
      </c>
      <c r="E170" s="15" t="str">
        <f>HYPERLINK("https://stat100.ameba.jp/tnk47/ratio20/illustrations/card/ill_82213_tatarimokke03.jpg?202001-2-RELEASE-unionbattle-448", "■")</f>
        <v>■</v>
      </c>
      <c r="F170" s="1" t="s">
        <v>4935</v>
      </c>
      <c r="G170" s="1">
        <v>119006</v>
      </c>
      <c r="H170" s="1">
        <v>128000</v>
      </c>
      <c r="I170" s="7">
        <v>26</v>
      </c>
      <c r="J170" s="1" t="s">
        <v>182</v>
      </c>
      <c r="K170" s="1" t="s">
        <v>4937</v>
      </c>
      <c r="L170" s="1" t="s">
        <v>13191</v>
      </c>
      <c r="M170" s="1" t="s">
        <v>13130</v>
      </c>
      <c r="N170" s="1" t="s">
        <v>343</v>
      </c>
      <c r="O170" s="1" t="s">
        <v>9158</v>
      </c>
      <c r="P170" s="1" t="s">
        <v>9158</v>
      </c>
      <c r="Q170" s="1" t="s">
        <v>9158</v>
      </c>
      <c r="R170" s="14" t="s">
        <v>14748</v>
      </c>
    </row>
    <row r="171" spans="1:18">
      <c r="A171" s="1">
        <v>82212</v>
      </c>
      <c r="B171" s="1" t="s">
        <v>334</v>
      </c>
      <c r="C171" s="1" t="s">
        <v>185</v>
      </c>
      <c r="D171" s="20" t="s">
        <v>10185</v>
      </c>
      <c r="E171" s="15" t="str">
        <f>HYPERLINK("https://stat100.ameba.jp/tnk47/ratio20/illustrations/card/ill_82212_tatarimokke02.jpg?202001-2-RELEASE-unionbattle-448", "■")</f>
        <v>■</v>
      </c>
      <c r="F171" s="1" t="s">
        <v>4935</v>
      </c>
      <c r="G171" s="1">
        <v>98566</v>
      </c>
      <c r="H171" s="1">
        <v>107000</v>
      </c>
      <c r="I171" s="7">
        <v>26</v>
      </c>
      <c r="J171" s="1" t="s">
        <v>182</v>
      </c>
      <c r="K171" s="1" t="s">
        <v>4937</v>
      </c>
      <c r="L171" s="1" t="s">
        <v>13191</v>
      </c>
      <c r="M171" s="1" t="s">
        <v>13131</v>
      </c>
      <c r="N171" s="1" t="s">
        <v>251</v>
      </c>
      <c r="O171" s="1" t="s">
        <v>9158</v>
      </c>
      <c r="P171" s="1" t="s">
        <v>9158</v>
      </c>
      <c r="Q171" s="1" t="s">
        <v>9158</v>
      </c>
      <c r="R171" s="14" t="s">
        <v>14748</v>
      </c>
    </row>
    <row r="172" spans="1:18">
      <c r="A172" s="1">
        <v>82211</v>
      </c>
      <c r="B172" s="1" t="s">
        <v>0</v>
      </c>
      <c r="C172" s="1" t="s">
        <v>185</v>
      </c>
      <c r="D172" s="20" t="s">
        <v>10185</v>
      </c>
      <c r="E172" s="15" t="str">
        <f>HYPERLINK("https://stat100.ameba.jp/tnk47/ratio20/illustrations/card/ill_82211_tatarimokke01.jpg?202001-2-RELEASE-unionbattle-448", "■")</f>
        <v>■</v>
      </c>
      <c r="F172" s="1" t="s">
        <v>4935</v>
      </c>
      <c r="G172" s="1">
        <v>76050</v>
      </c>
      <c r="H172" s="1">
        <v>81692</v>
      </c>
      <c r="I172" s="7">
        <v>26</v>
      </c>
      <c r="J172" s="1" t="s">
        <v>182</v>
      </c>
      <c r="K172" s="1" t="s">
        <v>4937</v>
      </c>
      <c r="L172" s="1" t="s">
        <v>13191</v>
      </c>
      <c r="M172" s="1" t="s">
        <v>13131</v>
      </c>
      <c r="N172" s="1" t="s">
        <v>251</v>
      </c>
      <c r="O172" s="1" t="s">
        <v>9158</v>
      </c>
      <c r="P172" s="1" t="s">
        <v>9158</v>
      </c>
      <c r="Q172" s="1" t="s">
        <v>9158</v>
      </c>
      <c r="R172" s="14" t="s">
        <v>14748</v>
      </c>
    </row>
    <row r="173" spans="1:18">
      <c r="A173" s="1">
        <v>82223</v>
      </c>
      <c r="B173" s="1" t="s">
        <v>334</v>
      </c>
      <c r="C173" s="1" t="s">
        <v>200</v>
      </c>
      <c r="D173" s="20" t="s">
        <v>10186</v>
      </c>
      <c r="E173" s="15" t="str">
        <f>HYPERLINK("https://stat100.ameba.jp/tnk47/ratio20/illustrations/card/ill_82223_oyayubihime03.jpg?202001-2-RELEASE-unionbattle-448", "■")</f>
        <v>■</v>
      </c>
      <c r="F173" s="1" t="s">
        <v>4931</v>
      </c>
      <c r="G173" s="1">
        <v>128000</v>
      </c>
      <c r="H173" s="1">
        <v>119006</v>
      </c>
      <c r="I173" s="7">
        <v>26</v>
      </c>
      <c r="J173" s="1" t="s">
        <v>155</v>
      </c>
      <c r="K173" s="1" t="s">
        <v>4933</v>
      </c>
      <c r="L173" s="1" t="s">
        <v>4934</v>
      </c>
      <c r="M173" s="1" t="s">
        <v>13130</v>
      </c>
      <c r="N173" s="1" t="s">
        <v>343</v>
      </c>
      <c r="O173" s="1" t="s">
        <v>9158</v>
      </c>
      <c r="P173" s="1" t="s">
        <v>9158</v>
      </c>
      <c r="Q173" s="1" t="s">
        <v>9158</v>
      </c>
      <c r="R173" s="14" t="s">
        <v>14748</v>
      </c>
    </row>
    <row r="174" spans="1:18">
      <c r="A174" s="1">
        <v>82233</v>
      </c>
      <c r="B174" s="1" t="s">
        <v>334</v>
      </c>
      <c r="C174" s="1" t="s">
        <v>191</v>
      </c>
      <c r="D174" s="20" t="s">
        <v>10187</v>
      </c>
      <c r="E174" s="15" t="str">
        <f>HYPERLINK("https://stat100.ameba.jp/tnk47/ratio20/illustrations/card/ill_82233_iseokiku03.jpg?202001-2-RELEASE-unionbattle-448", "■")</f>
        <v>■</v>
      </c>
      <c r="F174" s="1" t="s">
        <v>4924</v>
      </c>
      <c r="G174" s="1">
        <v>128000</v>
      </c>
      <c r="H174" s="1">
        <v>119006</v>
      </c>
      <c r="I174" s="7">
        <v>26</v>
      </c>
      <c r="J174" s="1" t="s">
        <v>187</v>
      </c>
      <c r="K174" s="1" t="s">
        <v>4926</v>
      </c>
      <c r="L174" s="1" t="s">
        <v>4930</v>
      </c>
      <c r="M174" s="1" t="s">
        <v>13130</v>
      </c>
      <c r="N174" s="1" t="s">
        <v>343</v>
      </c>
      <c r="O174" s="1" t="s">
        <v>9158</v>
      </c>
      <c r="P174" s="1" t="s">
        <v>9158</v>
      </c>
      <c r="Q174" s="1" t="s">
        <v>9158</v>
      </c>
      <c r="R174" s="14" t="s">
        <v>14748</v>
      </c>
    </row>
    <row r="175" spans="1:18">
      <c r="A175" s="1">
        <v>82243</v>
      </c>
      <c r="B175" s="1" t="s">
        <v>0</v>
      </c>
      <c r="C175" s="1" t="s">
        <v>165</v>
      </c>
      <c r="D175" s="20" t="s">
        <v>10188</v>
      </c>
      <c r="E175" s="15" t="str">
        <f>HYPERLINK("https://stat100.ameba.jp/tnk47/ratio20/illustrations/card/ill_82243_nanohana03.jpg?202001-2-RELEASE-unionbattle-448", "■")</f>
        <v>■</v>
      </c>
      <c r="F175" s="1" t="s">
        <v>4921</v>
      </c>
      <c r="G175" s="1">
        <v>128000</v>
      </c>
      <c r="H175" s="1">
        <v>119006</v>
      </c>
      <c r="I175" s="7">
        <v>26</v>
      </c>
      <c r="J175" s="1" t="s">
        <v>229</v>
      </c>
      <c r="K175" s="1" t="s">
        <v>4923</v>
      </c>
      <c r="L175" s="1" t="s">
        <v>4929</v>
      </c>
      <c r="M175" s="1" t="s">
        <v>13130</v>
      </c>
      <c r="N175" s="1" t="s">
        <v>343</v>
      </c>
      <c r="O175" s="1" t="s">
        <v>9158</v>
      </c>
      <c r="P175" s="1" t="s">
        <v>9158</v>
      </c>
      <c r="Q175" s="1" t="s">
        <v>9158</v>
      </c>
      <c r="R175" s="14" t="s">
        <v>14748</v>
      </c>
    </row>
    <row r="176" spans="1:18">
      <c r="A176" s="1">
        <v>82253</v>
      </c>
      <c r="B176" s="1" t="s">
        <v>334</v>
      </c>
      <c r="C176" s="1" t="s">
        <v>205</v>
      </c>
      <c r="D176" s="20" t="s">
        <v>10189</v>
      </c>
      <c r="E176" s="15" t="str">
        <f>HYPERLINK("https://stat100.ameba.jp/tnk47/ratio20/illustrations/card/ill_82253_ajisaikyogokuichiko03.jpg?202001-2-RELEASE-unionbattle-448", "■")</f>
        <v>■</v>
      </c>
      <c r="F176" s="1" t="s">
        <v>4920</v>
      </c>
      <c r="G176" s="1">
        <v>119006</v>
      </c>
      <c r="H176" s="1">
        <v>128000</v>
      </c>
      <c r="I176" s="7">
        <v>26</v>
      </c>
      <c r="J176" s="1" t="s">
        <v>159</v>
      </c>
      <c r="K176" s="1" t="s">
        <v>4919</v>
      </c>
      <c r="L176" s="1" t="s">
        <v>4927</v>
      </c>
      <c r="M176" s="1" t="s">
        <v>13130</v>
      </c>
      <c r="N176" s="1" t="s">
        <v>343</v>
      </c>
      <c r="O176" s="1" t="s">
        <v>9158</v>
      </c>
      <c r="P176" s="1" t="s">
        <v>9158</v>
      </c>
      <c r="Q176" s="1" t="s">
        <v>9158</v>
      </c>
      <c r="R176" s="14" t="s">
        <v>14748</v>
      </c>
    </row>
    <row r="177" spans="1:18">
      <c r="A177" s="1">
        <v>82263</v>
      </c>
      <c r="B177" s="1" t="s">
        <v>334</v>
      </c>
      <c r="C177" s="1" t="s">
        <v>206</v>
      </c>
      <c r="D177" s="20" t="s">
        <v>10190</v>
      </c>
      <c r="E177" s="15" t="str">
        <f>HYPERLINK("https://stat100.ameba.jp/tnk47/ratio20/illustrations/card/ill_82263_euterupe03.jpg?202001-2-RELEASE-unionbattle-448", "■")</f>
        <v>■</v>
      </c>
      <c r="F177" s="1" t="s">
        <v>4915</v>
      </c>
      <c r="G177" s="1">
        <v>119006</v>
      </c>
      <c r="H177" s="1">
        <v>128000</v>
      </c>
      <c r="I177" s="7">
        <v>26</v>
      </c>
      <c r="J177" s="1" t="s">
        <v>169</v>
      </c>
      <c r="K177" s="1" t="s">
        <v>4917</v>
      </c>
      <c r="L177" s="1" t="s">
        <v>4928</v>
      </c>
      <c r="M177" s="1" t="s">
        <v>13130</v>
      </c>
      <c r="N177" s="1" t="s">
        <v>343</v>
      </c>
      <c r="O177" s="1" t="s">
        <v>9158</v>
      </c>
      <c r="P177" s="1" t="s">
        <v>9158</v>
      </c>
      <c r="Q177" s="1" t="s">
        <v>9158</v>
      </c>
      <c r="R177" s="14" t="s">
        <v>14748</v>
      </c>
    </row>
    <row r="178" spans="1:18">
      <c r="E178" s="9"/>
    </row>
    <row r="179" spans="1:18">
      <c r="A179" s="9" t="s">
        <v>8981</v>
      </c>
      <c r="E179" s="9"/>
    </row>
    <row r="180" spans="1:18">
      <c r="A180" s="9" t="s">
        <v>8982</v>
      </c>
      <c r="E180" s="9"/>
    </row>
    <row r="181" spans="1:18">
      <c r="A181" s="1" t="s">
        <v>5610</v>
      </c>
      <c r="B181" s="1" t="s">
        <v>330</v>
      </c>
      <c r="C181" s="1" t="s">
        <v>185</v>
      </c>
      <c r="D181" s="20" t="s">
        <v>539</v>
      </c>
      <c r="E181" s="15" t="str">
        <f>HYPERLINK("https://stat100.ameba.jp/tnk47/ratio20/illustrations/card/ill_60633_0_harumaisentoin03.jpg?202001-3-RELEASE-dice-e-449", "■")</f>
        <v>■</v>
      </c>
      <c r="F181" s="1" t="s">
        <v>540</v>
      </c>
      <c r="G181" s="1">
        <v>152594</v>
      </c>
      <c r="H181" s="1">
        <v>164144</v>
      </c>
      <c r="I181" s="1">
        <v>24</v>
      </c>
      <c r="J181" s="1" t="s">
        <v>274</v>
      </c>
      <c r="K181" s="1" t="s">
        <v>541</v>
      </c>
      <c r="L181" s="1" t="s">
        <v>542</v>
      </c>
      <c r="M181" s="1" t="s">
        <v>9158</v>
      </c>
      <c r="N181" s="1" t="s">
        <v>9158</v>
      </c>
      <c r="O181" s="19" t="s">
        <v>2888</v>
      </c>
      <c r="P181" s="1" t="s">
        <v>3144</v>
      </c>
      <c r="Q181" s="1">
        <v>1</v>
      </c>
    </row>
    <row r="182" spans="1:18">
      <c r="A182" s="1" t="s">
        <v>5719</v>
      </c>
      <c r="B182" s="1" t="s">
        <v>52</v>
      </c>
      <c r="C182" s="1" t="s">
        <v>165</v>
      </c>
      <c r="D182" s="20" t="s">
        <v>10379</v>
      </c>
      <c r="E182" s="15" t="str">
        <f>HYPERLINK("https://stat100.ameba.jp/tnk47/ratio20/illustrations/card/ill_54523_0_yonshunennionohime03.jpg?202001-3-RELEASE-dice-e-449", "■")</f>
        <v>■</v>
      </c>
      <c r="F182" s="1" t="s">
        <v>1773</v>
      </c>
      <c r="G182" s="1">
        <v>133938</v>
      </c>
      <c r="H182" s="1">
        <v>150776</v>
      </c>
      <c r="I182" s="1">
        <v>24</v>
      </c>
      <c r="J182" s="1" t="s">
        <v>38</v>
      </c>
      <c r="K182" s="1" t="s">
        <v>1774</v>
      </c>
      <c r="L182" s="1" t="s">
        <v>1775</v>
      </c>
      <c r="M182" s="1" t="s">
        <v>9158</v>
      </c>
      <c r="N182" s="1" t="s">
        <v>9158</v>
      </c>
      <c r="O182" s="19" t="s">
        <v>10094</v>
      </c>
      <c r="P182" s="1" t="s">
        <v>13168</v>
      </c>
      <c r="Q182" s="1">
        <v>1</v>
      </c>
    </row>
    <row r="183" spans="1:18">
      <c r="A183" s="1" t="s">
        <v>5625</v>
      </c>
      <c r="B183" s="1" t="s">
        <v>330</v>
      </c>
      <c r="C183" s="1" t="s">
        <v>200</v>
      </c>
      <c r="D183" s="20" t="s">
        <v>630</v>
      </c>
      <c r="E183" s="15" t="str">
        <f>HYPERLINK("https://stat100.ameba.jp/tnk47/ratio20/illustrations/card/ill_48283_0_kyuubitamamonomae03.jpg?202001-3-RELEASE-dice-e-449", "■")</f>
        <v>■</v>
      </c>
      <c r="F183" s="1" t="s">
        <v>631</v>
      </c>
      <c r="G183" s="1">
        <v>150776</v>
      </c>
      <c r="H183" s="1">
        <v>133938</v>
      </c>
      <c r="I183" s="1">
        <v>24</v>
      </c>
      <c r="J183" s="1" t="s">
        <v>320</v>
      </c>
      <c r="K183" s="1" t="s">
        <v>632</v>
      </c>
      <c r="L183" s="1" t="s">
        <v>633</v>
      </c>
      <c r="M183" s="1" t="s">
        <v>9158</v>
      </c>
      <c r="N183" s="1" t="s">
        <v>9158</v>
      </c>
      <c r="O183" s="1" t="s">
        <v>9158</v>
      </c>
      <c r="P183" s="1" t="s">
        <v>9158</v>
      </c>
      <c r="Q183" s="1" t="s">
        <v>9158</v>
      </c>
    </row>
    <row r="184" spans="1:18">
      <c r="A184" s="9">
        <v>86463</v>
      </c>
      <c r="B184" s="9" t="s">
        <v>0</v>
      </c>
      <c r="C184" s="9" t="s">
        <v>191</v>
      </c>
      <c r="D184" s="20" t="s">
        <v>10903</v>
      </c>
      <c r="E184" s="15" t="str">
        <f>HYPERLINK("https://stat100.ameba.jp/tnk47/ratio20/illustrations/card/ill_86463_mochimakimiyazuhime03.jpg?202001-3-RELEASE-dice-e-449", "■")</f>
        <v>■</v>
      </c>
      <c r="F184" s="9" t="s">
        <v>8961</v>
      </c>
      <c r="G184" s="9">
        <v>94802</v>
      </c>
      <c r="H184" s="9">
        <v>101971</v>
      </c>
      <c r="I184" s="9">
        <v>25</v>
      </c>
      <c r="J184" s="1" t="s">
        <v>44</v>
      </c>
      <c r="K184" s="9" t="s">
        <v>8960</v>
      </c>
      <c r="L184" s="9" t="s">
        <v>4263</v>
      </c>
      <c r="M184" s="1" t="s">
        <v>9158</v>
      </c>
      <c r="N184" s="1" t="s">
        <v>9158</v>
      </c>
      <c r="O184" s="1" t="s">
        <v>9158</v>
      </c>
      <c r="P184" s="1" t="s">
        <v>9158</v>
      </c>
      <c r="Q184" s="1" t="s">
        <v>9158</v>
      </c>
    </row>
    <row r="185" spans="1:18">
      <c r="A185" s="9">
        <v>86483</v>
      </c>
      <c r="B185" s="9" t="s">
        <v>15</v>
      </c>
      <c r="C185" s="9" t="s">
        <v>205</v>
      </c>
      <c r="D185" s="20" t="s">
        <v>10905</v>
      </c>
      <c r="E185" s="15" t="str">
        <f>HYPERLINK("https://stat100.ameba.jp/tnk47/ratio20/illustrations/card/ill_86483_gantammomonohasui03.jpg?202001-3-RELEASE-dice-e-449", "■")</f>
        <v>■</v>
      </c>
      <c r="F185" s="9" t="s">
        <v>8966</v>
      </c>
      <c r="G185" s="9">
        <v>67210</v>
      </c>
      <c r="H185" s="9">
        <v>74100</v>
      </c>
      <c r="I185" s="9">
        <v>25</v>
      </c>
      <c r="J185" s="1" t="s">
        <v>229</v>
      </c>
      <c r="K185" s="9" t="s">
        <v>8965</v>
      </c>
      <c r="L185" s="9" t="s">
        <v>977</v>
      </c>
      <c r="M185" s="1" t="s">
        <v>9158</v>
      </c>
      <c r="N185" s="1" t="s">
        <v>9158</v>
      </c>
      <c r="O185" s="1" t="s">
        <v>9158</v>
      </c>
      <c r="P185" s="1" t="s">
        <v>9158</v>
      </c>
      <c r="Q185" s="1" t="s">
        <v>9158</v>
      </c>
    </row>
    <row r="186" spans="1:18">
      <c r="A186" s="9">
        <v>86493</v>
      </c>
      <c r="B186" s="9" t="s">
        <v>22</v>
      </c>
      <c r="C186" s="9" t="s">
        <v>165</v>
      </c>
      <c r="D186" s="20" t="s">
        <v>10906</v>
      </c>
      <c r="E186" s="15" t="str">
        <f>HYPERLINK("https://stat100.ameba.jp/tnk47/ratio20/illustrations/card/ill_86493_seijinshikitesso03.jpg?202001-3-RELEASE-dice-e-449", "■")</f>
        <v>■</v>
      </c>
      <c r="F186" s="9" t="s">
        <v>8970</v>
      </c>
      <c r="G186" s="9">
        <v>51980</v>
      </c>
      <c r="H186" s="9">
        <v>43220</v>
      </c>
      <c r="I186" s="9">
        <v>25</v>
      </c>
      <c r="J186" s="1" t="s">
        <v>73</v>
      </c>
      <c r="K186" s="9" t="s">
        <v>8969</v>
      </c>
      <c r="L186" s="9" t="s">
        <v>4556</v>
      </c>
      <c r="M186" s="1" t="s">
        <v>9158</v>
      </c>
      <c r="N186" s="1" t="s">
        <v>9158</v>
      </c>
      <c r="O186" s="1" t="s">
        <v>9158</v>
      </c>
      <c r="P186" s="1" t="s">
        <v>9158</v>
      </c>
      <c r="Q186" s="1" t="s">
        <v>9158</v>
      </c>
    </row>
    <row r="187" spans="1:18">
      <c r="A187" s="9">
        <v>86503</v>
      </c>
      <c r="B187" s="9" t="s">
        <v>30</v>
      </c>
      <c r="C187" s="9" t="s">
        <v>8768</v>
      </c>
      <c r="D187" s="20" t="s">
        <v>10907</v>
      </c>
      <c r="E187" s="15" t="str">
        <f>HYPERLINK("https://stat100.ameba.jp/tnk47/ratio20/illustrations/card/ill_86503_dagojiruchan03.jpg?202001-3-RELEASE-dice-e-449", "■")</f>
        <v>■</v>
      </c>
      <c r="F187" s="9" t="s">
        <v>8973</v>
      </c>
      <c r="G187" s="9">
        <v>26430</v>
      </c>
      <c r="H187" s="9">
        <v>31470</v>
      </c>
      <c r="I187" s="9">
        <v>25</v>
      </c>
      <c r="J187" s="1" t="s">
        <v>283</v>
      </c>
      <c r="K187" s="9" t="s">
        <v>8972</v>
      </c>
      <c r="L187" s="9" t="s">
        <v>1806</v>
      </c>
      <c r="M187" s="1" t="s">
        <v>9158</v>
      </c>
      <c r="N187" s="1" t="s">
        <v>9158</v>
      </c>
      <c r="O187" s="1" t="s">
        <v>9158</v>
      </c>
      <c r="P187" s="1" t="s">
        <v>9158</v>
      </c>
      <c r="Q187" s="1" t="s">
        <v>9158</v>
      </c>
    </row>
    <row r="188" spans="1:18">
      <c r="E188" s="9"/>
    </row>
    <row r="189" spans="1:18">
      <c r="A189" s="9" t="s">
        <v>8983</v>
      </c>
      <c r="E189" s="9"/>
    </row>
    <row r="190" spans="1:18">
      <c r="A190" s="9" t="s">
        <v>8984</v>
      </c>
      <c r="E190" s="9"/>
    </row>
    <row r="191" spans="1:18">
      <c r="A191" s="1" t="s">
        <v>5778</v>
      </c>
      <c r="B191" s="1" t="s">
        <v>330</v>
      </c>
      <c r="C191" s="1" t="s">
        <v>205</v>
      </c>
      <c r="D191" s="20" t="s">
        <v>272</v>
      </c>
      <c r="E191" s="15" t="str">
        <f>HYPERLINK("https://stat100.ameba.jp/tnk47/ratio20/illustrations/card/ill_68783_0_gantammomotaro03.jpg?202001-3-RELEASE-dice-e-449", "■")</f>
        <v>■</v>
      </c>
      <c r="F191" s="1" t="s">
        <v>273</v>
      </c>
      <c r="G191" s="1">
        <v>164144</v>
      </c>
      <c r="H191" s="1">
        <v>152594</v>
      </c>
      <c r="I191" s="1">
        <v>24</v>
      </c>
      <c r="J191" s="1" t="s">
        <v>274</v>
      </c>
      <c r="K191" s="1" t="s">
        <v>275</v>
      </c>
      <c r="L191" s="1" t="s">
        <v>276</v>
      </c>
      <c r="M191" s="1" t="s">
        <v>9158</v>
      </c>
      <c r="N191" s="1" t="s">
        <v>9158</v>
      </c>
      <c r="O191" s="19" t="s">
        <v>10099</v>
      </c>
      <c r="P191" s="1" t="s">
        <v>3085</v>
      </c>
      <c r="Q191" s="1">
        <v>1</v>
      </c>
    </row>
    <row r="192" spans="1:18">
      <c r="A192" s="1">
        <v>63853</v>
      </c>
      <c r="B192" s="1" t="s">
        <v>334</v>
      </c>
      <c r="C192" s="1" t="s">
        <v>200</v>
      </c>
      <c r="D192" s="20" t="s">
        <v>10284</v>
      </c>
      <c r="E192" s="15" t="str">
        <f>HYPERLINK("https://stat100.ameba.jp/tnk47/ratio20/illustrations/card/ill_63853_daikokaijidainansosatomihakkenden03.jpg?202001-3-RELEASE-dice-e-449", "■")</f>
        <v>■</v>
      </c>
      <c r="F192" s="1" t="s">
        <v>941</v>
      </c>
      <c r="G192" s="1">
        <v>105890</v>
      </c>
      <c r="H192" s="1">
        <v>105890</v>
      </c>
      <c r="I192" s="1">
        <v>25</v>
      </c>
      <c r="J192" s="1" t="s">
        <v>155</v>
      </c>
      <c r="K192" s="1" t="s">
        <v>942</v>
      </c>
      <c r="L192" s="1" t="s">
        <v>13149</v>
      </c>
      <c r="M192" s="1" t="s">
        <v>9158</v>
      </c>
      <c r="N192" s="1" t="s">
        <v>9158</v>
      </c>
      <c r="O192" s="19" t="s">
        <v>10121</v>
      </c>
      <c r="P192" s="1" t="s">
        <v>3330</v>
      </c>
      <c r="Q192" s="1">
        <v>1</v>
      </c>
    </row>
    <row r="193" spans="1:17">
      <c r="A193" s="1">
        <v>67953</v>
      </c>
      <c r="B193" s="1" t="s">
        <v>334</v>
      </c>
      <c r="C193" s="1" t="s">
        <v>154</v>
      </c>
      <c r="D193" s="20" t="s">
        <v>10202</v>
      </c>
      <c r="E193" s="15" t="str">
        <f>HYPERLINK("https://stat100.ameba.jp/tnk47/ratio20/illustrations/card/ill_67953_kutaniyaki03.jpg?202001-3-RELEASE-dice-e-449", "■")</f>
        <v>■</v>
      </c>
      <c r="F193" s="1" t="s">
        <v>2487</v>
      </c>
      <c r="G193" s="1">
        <v>82205</v>
      </c>
      <c r="H193" s="1">
        <v>113463</v>
      </c>
      <c r="I193" s="7">
        <v>25</v>
      </c>
      <c r="J193" s="1" t="s">
        <v>26</v>
      </c>
      <c r="K193" s="1" t="s">
        <v>2488</v>
      </c>
      <c r="L193" s="1" t="s">
        <v>2489</v>
      </c>
      <c r="M193" s="1" t="s">
        <v>9158</v>
      </c>
      <c r="N193" s="1" t="s">
        <v>9158</v>
      </c>
      <c r="O193" s="19" t="s">
        <v>10074</v>
      </c>
      <c r="P193" s="1" t="s">
        <v>3592</v>
      </c>
      <c r="Q193" s="1">
        <v>1</v>
      </c>
    </row>
    <row r="194" spans="1:17">
      <c r="A194" s="1">
        <v>62473</v>
      </c>
      <c r="B194" s="1" t="s">
        <v>334</v>
      </c>
      <c r="C194" s="1" t="s">
        <v>203</v>
      </c>
      <c r="D194" s="20" t="s">
        <v>2834</v>
      </c>
      <c r="E194" s="15" t="str">
        <f>HYPERLINK("https://stat100.ameba.jp/tnk47/ratio20/illustrations/card/ill_62473_kokuriko03.jpg?202001-3-RELEASE-dice-e-449", "■")</f>
        <v>■</v>
      </c>
      <c r="F194" s="1" t="s">
        <v>2835</v>
      </c>
      <c r="G194" s="1">
        <v>114119</v>
      </c>
      <c r="H194" s="1">
        <v>82654</v>
      </c>
      <c r="I194" s="1">
        <v>25</v>
      </c>
      <c r="J194" s="1" t="s">
        <v>401</v>
      </c>
      <c r="K194" s="1" t="s">
        <v>2836</v>
      </c>
      <c r="L194" s="1" t="s">
        <v>2837</v>
      </c>
      <c r="M194" s="1" t="s">
        <v>9158</v>
      </c>
      <c r="N194" s="1" t="s">
        <v>9158</v>
      </c>
      <c r="O194" s="19" t="s">
        <v>2838</v>
      </c>
      <c r="P194" s="1" t="s">
        <v>2839</v>
      </c>
      <c r="Q194" s="1">
        <v>1</v>
      </c>
    </row>
    <row r="195" spans="1:17">
      <c r="E195" s="9"/>
    </row>
    <row r="196" spans="1:17">
      <c r="A196" s="9" t="s">
        <v>8985</v>
      </c>
      <c r="E196" s="9"/>
    </row>
    <row r="197" spans="1:17">
      <c r="A197" s="9" t="s">
        <v>8986</v>
      </c>
      <c r="E197" s="9"/>
    </row>
    <row r="198" spans="1:17">
      <c r="A198" s="1" t="s">
        <v>6508</v>
      </c>
      <c r="B198" s="1" t="s">
        <v>330</v>
      </c>
      <c r="C198" s="1" t="s">
        <v>35</v>
      </c>
      <c r="D198" s="20" t="s">
        <v>10168</v>
      </c>
      <c r="E198" s="15" t="str">
        <f>HYPERLINK("https://stat100.ameba.jp/tnk47/ratio20/illustrations/card/ill_81783_0_denshagarukoteipenginchan03.jpg?202001-3-RELEASE-dice-e-449x", "■")</f>
        <v>■</v>
      </c>
      <c r="F198" s="1" t="s">
        <v>4834</v>
      </c>
      <c r="G198" s="1">
        <v>279102</v>
      </c>
      <c r="H198" s="1">
        <v>252236</v>
      </c>
      <c r="I198" s="1">
        <v>24</v>
      </c>
      <c r="J198" s="1" t="s">
        <v>26</v>
      </c>
      <c r="K198" s="1" t="s">
        <v>4836</v>
      </c>
      <c r="L198" s="1" t="s">
        <v>1783</v>
      </c>
      <c r="M198" s="1" t="s">
        <v>9158</v>
      </c>
      <c r="N198" s="1" t="s">
        <v>9158</v>
      </c>
      <c r="O198" s="19" t="s">
        <v>10124</v>
      </c>
      <c r="P198" s="1" t="s">
        <v>4838</v>
      </c>
      <c r="Q198" s="1">
        <v>1</v>
      </c>
    </row>
    <row r="199" spans="1:17">
      <c r="A199" s="1">
        <v>81903</v>
      </c>
      <c r="B199" s="1" t="s">
        <v>334</v>
      </c>
      <c r="C199" s="1" t="s">
        <v>47</v>
      </c>
      <c r="D199" s="20" t="s">
        <v>10200</v>
      </c>
      <c r="E199" s="15" t="str">
        <f>HYPERLINK("https://stat100.ameba.jp/tnk47/ratio20/illustrations/card/ill_81903_kiryuhimeiren03.jpg?202001-3-RELEASE-dice-e-449x", "■")</f>
        <v>■</v>
      </c>
      <c r="F199" s="1" t="s">
        <v>4983</v>
      </c>
      <c r="G199" s="1">
        <v>79348</v>
      </c>
      <c r="H199" s="1">
        <v>109554</v>
      </c>
      <c r="I199" s="1">
        <v>24</v>
      </c>
      <c r="J199" s="1" t="s">
        <v>77</v>
      </c>
      <c r="K199" s="1" t="s">
        <v>4985</v>
      </c>
      <c r="L199" s="1" t="s">
        <v>4986</v>
      </c>
      <c r="M199" s="1" t="s">
        <v>9158</v>
      </c>
      <c r="N199" s="1" t="s">
        <v>9158</v>
      </c>
      <c r="O199" s="19" t="s">
        <v>10112</v>
      </c>
      <c r="P199" s="1" t="s">
        <v>13150</v>
      </c>
      <c r="Q199" s="1">
        <v>1</v>
      </c>
    </row>
    <row r="200" spans="1:17">
      <c r="A200" s="1">
        <v>66363</v>
      </c>
      <c r="B200" s="1" t="s">
        <v>334</v>
      </c>
      <c r="C200" s="1" t="s">
        <v>158</v>
      </c>
      <c r="D200" s="20" t="s">
        <v>2910</v>
      </c>
      <c r="E200" s="15" t="str">
        <f>HYPERLINK("https://stat100.ameba.jp/tnk47/ratio20/illustrations/card/ill_66363_iharasaikaku03.jpg?202001-3-RELEASE-dice-e-449x", "■")</f>
        <v>■</v>
      </c>
      <c r="F200" s="1" t="s">
        <v>122</v>
      </c>
      <c r="G200" s="1">
        <v>78916</v>
      </c>
      <c r="H200" s="1">
        <v>108924</v>
      </c>
      <c r="I200" s="1">
        <v>24</v>
      </c>
      <c r="J200" s="1" t="s">
        <v>414</v>
      </c>
      <c r="K200" s="1" t="s">
        <v>2911</v>
      </c>
      <c r="L200" s="1" t="s">
        <v>1575</v>
      </c>
      <c r="M200" s="1" t="s">
        <v>9158</v>
      </c>
      <c r="N200" s="1" t="s">
        <v>9158</v>
      </c>
      <c r="O200" s="19" t="s">
        <v>10074</v>
      </c>
      <c r="P200" s="1" t="s">
        <v>2822</v>
      </c>
      <c r="Q200" s="1">
        <v>1</v>
      </c>
    </row>
    <row r="201" spans="1:17">
      <c r="A201" s="1">
        <v>75083</v>
      </c>
      <c r="B201" s="1" t="s">
        <v>334</v>
      </c>
      <c r="C201" s="1" t="s">
        <v>209</v>
      </c>
      <c r="D201" s="20" t="s">
        <v>10401</v>
      </c>
      <c r="E201" s="15" t="str">
        <f>HYPERLINK("https://stat100.ameba.jp/tnk47/ratio20/illustrations/card/ill_75083_sukumizuhanakosan03.jpg?202001-3-RELEASE-dice-e-449x", "■")</f>
        <v>■</v>
      </c>
      <c r="F201" s="1" t="s">
        <v>1020</v>
      </c>
      <c r="G201" s="1">
        <v>111914</v>
      </c>
      <c r="H201" s="1">
        <v>81078</v>
      </c>
      <c r="I201" s="1">
        <v>24</v>
      </c>
      <c r="J201" s="1" t="s">
        <v>73</v>
      </c>
      <c r="K201" s="1" t="s">
        <v>1021</v>
      </c>
      <c r="L201" s="1" t="s">
        <v>1022</v>
      </c>
      <c r="M201" s="1" t="s">
        <v>9158</v>
      </c>
      <c r="N201" s="1" t="s">
        <v>9158</v>
      </c>
      <c r="O201" s="19" t="s">
        <v>10105</v>
      </c>
      <c r="P201" s="1" t="s">
        <v>3416</v>
      </c>
      <c r="Q201" s="1">
        <v>1</v>
      </c>
    </row>
    <row r="202" spans="1:17">
      <c r="E202" s="9"/>
    </row>
    <row r="203" spans="1:17">
      <c r="A203" s="9" t="s">
        <v>115</v>
      </c>
      <c r="E203" s="9"/>
    </row>
    <row r="204" spans="1:17">
      <c r="A204" s="9" t="s">
        <v>8987</v>
      </c>
      <c r="E204" s="9"/>
    </row>
    <row r="205" spans="1:17">
      <c r="A205" s="1" t="s">
        <v>5618</v>
      </c>
      <c r="B205" s="1" t="s">
        <v>330</v>
      </c>
      <c r="C205" s="1" t="s">
        <v>200</v>
      </c>
      <c r="D205" s="20" t="s">
        <v>665</v>
      </c>
      <c r="E205" s="15" t="str">
        <f>HYPERLINK("https://stat100.ameba.jp/tnk47/ratio20/illustrations/card/ill_63173_0_minazukikonakaiteruko03.jpg?202001-3-RELEASE-dice-e-449x", "■")</f>
        <v>■</v>
      </c>
      <c r="F205" s="1" t="s">
        <v>666</v>
      </c>
      <c r="G205" s="1">
        <v>190952</v>
      </c>
      <c r="H205" s="1">
        <v>205358</v>
      </c>
      <c r="I205" s="1">
        <v>22</v>
      </c>
      <c r="J205" s="1" t="s">
        <v>310</v>
      </c>
      <c r="K205" s="1" t="s">
        <v>667</v>
      </c>
      <c r="L205" s="1" t="s">
        <v>668</v>
      </c>
      <c r="M205" s="1" t="s">
        <v>9158</v>
      </c>
      <c r="N205" s="1" t="s">
        <v>9158</v>
      </c>
      <c r="O205" s="19" t="s">
        <v>10079</v>
      </c>
      <c r="P205" s="1" t="s">
        <v>3329</v>
      </c>
      <c r="Q205" s="1">
        <v>1</v>
      </c>
    </row>
    <row r="206" spans="1:17">
      <c r="A206" s="1" t="s">
        <v>5725</v>
      </c>
      <c r="B206" s="1" t="s">
        <v>52</v>
      </c>
      <c r="C206" s="1" t="s">
        <v>107</v>
      </c>
      <c r="D206" s="20" t="s">
        <v>543</v>
      </c>
      <c r="E206" s="15" t="str">
        <f>HYPERLINK("https://stat100.ameba.jp/tnk47/ratio20/illustrations/card/ill_52693_0_sengokumibirakiyanagiharabyakuren03.jpg?202001-3-RELEASE-dice-e-449x", "■")</f>
        <v>■</v>
      </c>
      <c r="F206" s="1" t="s">
        <v>1246</v>
      </c>
      <c r="G206" s="1">
        <v>122776</v>
      </c>
      <c r="H206" s="1">
        <v>138212</v>
      </c>
      <c r="I206" s="1">
        <v>22</v>
      </c>
      <c r="J206" s="1" t="s">
        <v>16</v>
      </c>
      <c r="K206" s="1" t="s">
        <v>1247</v>
      </c>
      <c r="L206" s="1" t="s">
        <v>1248</v>
      </c>
      <c r="M206" s="1" t="s">
        <v>9158</v>
      </c>
      <c r="N206" s="1" t="s">
        <v>9158</v>
      </c>
      <c r="O206" s="19" t="s">
        <v>2886</v>
      </c>
      <c r="P206" s="1" t="s">
        <v>3304</v>
      </c>
      <c r="Q206" s="1">
        <v>1</v>
      </c>
    </row>
    <row r="207" spans="1:17">
      <c r="A207" s="9" t="s">
        <v>5830</v>
      </c>
      <c r="B207" s="1" t="s">
        <v>330</v>
      </c>
      <c r="C207" s="1" t="s">
        <v>191</v>
      </c>
      <c r="D207" s="20" t="s">
        <v>793</v>
      </c>
      <c r="E207" s="15" t="str">
        <f>HYPERLINK("https://stat100.ameba.jp/tnk47/ratio20/illustrations/card/ill_39933_0_reihiiinaotora03.jpg?202001-3-RELEASE-dice-e-449x", "■")</f>
        <v>■</v>
      </c>
      <c r="F207" s="1" t="s">
        <v>794</v>
      </c>
      <c r="G207" s="1">
        <v>120576</v>
      </c>
      <c r="H207" s="1">
        <v>128744</v>
      </c>
      <c r="I207" s="1">
        <v>22</v>
      </c>
      <c r="J207" s="1" t="s">
        <v>315</v>
      </c>
      <c r="K207" s="1" t="s">
        <v>795</v>
      </c>
      <c r="L207" s="1" t="s">
        <v>796</v>
      </c>
      <c r="M207" s="1" t="s">
        <v>9158</v>
      </c>
      <c r="N207" s="1" t="s">
        <v>9158</v>
      </c>
      <c r="O207" s="1" t="s">
        <v>9158</v>
      </c>
      <c r="P207" s="1" t="s">
        <v>9158</v>
      </c>
      <c r="Q207" s="1" t="s">
        <v>9158</v>
      </c>
    </row>
    <row r="208" spans="1:17">
      <c r="A208" s="1">
        <v>79153</v>
      </c>
      <c r="B208" s="1" t="s">
        <v>0</v>
      </c>
      <c r="C208" s="1" t="s">
        <v>205</v>
      </c>
      <c r="D208" s="20" t="s">
        <v>10463</v>
      </c>
      <c r="E208" s="15" t="str">
        <f>HYPERLINK("https://stat100.ameba.jp/tnk47/ratio20/illustrations/card/ill_79153_karutafutaoijimanoyamanokami03.jpg?202001-3-RELEASE-dice-e-449x", "■")</f>
        <v>■</v>
      </c>
      <c r="F208" s="1" t="s">
        <v>8993</v>
      </c>
      <c r="G208" s="1">
        <v>73678</v>
      </c>
      <c r="H208" s="1">
        <v>130968</v>
      </c>
      <c r="I208" s="1">
        <v>26</v>
      </c>
      <c r="J208" s="1" t="s">
        <v>8990</v>
      </c>
      <c r="K208" s="1" t="s">
        <v>8992</v>
      </c>
      <c r="L208" s="1" t="s">
        <v>8991</v>
      </c>
      <c r="M208" s="1" t="s">
        <v>9158</v>
      </c>
      <c r="N208" s="1" t="s">
        <v>9158</v>
      </c>
      <c r="O208" s="1" t="s">
        <v>9158</v>
      </c>
      <c r="P208" s="1" t="s">
        <v>9158</v>
      </c>
      <c r="Q208" s="1" t="s">
        <v>9158</v>
      </c>
    </row>
    <row r="209" spans="1:17">
      <c r="A209" s="1">
        <v>74313</v>
      </c>
      <c r="B209" s="1" t="s">
        <v>334</v>
      </c>
      <c r="C209" s="1" t="s">
        <v>185</v>
      </c>
      <c r="D209" s="20" t="s">
        <v>10911</v>
      </c>
      <c r="E209" s="15" t="str">
        <f>HYPERLINK("https://stat100.ameba.jp/tnk47/ratio20/illustrations/card/ill_74313_towadako03.jpg?202001-3-RELEASE-dice-e-449x", "■")</f>
        <v>■</v>
      </c>
      <c r="F209" s="1" t="s">
        <v>8996</v>
      </c>
      <c r="G209" s="1">
        <v>82310</v>
      </c>
      <c r="H209" s="1">
        <v>146262</v>
      </c>
      <c r="I209" s="1">
        <v>26</v>
      </c>
      <c r="J209" s="1" t="s">
        <v>26</v>
      </c>
      <c r="K209" s="1" t="s">
        <v>8995</v>
      </c>
      <c r="L209" s="1" t="s">
        <v>8994</v>
      </c>
      <c r="M209" s="1" t="s">
        <v>9158</v>
      </c>
      <c r="N209" s="1" t="s">
        <v>9158</v>
      </c>
      <c r="O209" s="1" t="s">
        <v>9158</v>
      </c>
      <c r="P209" s="1" t="s">
        <v>9158</v>
      </c>
      <c r="Q209" s="1" t="s">
        <v>9158</v>
      </c>
    </row>
    <row r="210" spans="1:17">
      <c r="A210" s="1">
        <v>74773</v>
      </c>
      <c r="B210" s="1" t="s">
        <v>0</v>
      </c>
      <c r="C210" s="1" t="s">
        <v>200</v>
      </c>
      <c r="D210" s="20" t="s">
        <v>2735</v>
      </c>
      <c r="E210" s="15" t="str">
        <f>HYPERLINK("https://stat100.ameba.jp/tnk47/ratio20/illustrations/card/ill_74773_natsumatsurinasunoyoichi03.jpg?202001-3-RELEASE-dice-e-449x", "■")</f>
        <v>■</v>
      </c>
      <c r="F210" s="1" t="s">
        <v>8997</v>
      </c>
      <c r="G210" s="1">
        <v>143714</v>
      </c>
      <c r="H210" s="1">
        <v>154562</v>
      </c>
      <c r="I210" s="1">
        <v>26</v>
      </c>
      <c r="J210" s="1" t="s">
        <v>310</v>
      </c>
      <c r="K210" s="1" t="s">
        <v>8989</v>
      </c>
      <c r="L210" s="1" t="s">
        <v>8988</v>
      </c>
      <c r="M210" s="1" t="s">
        <v>9158</v>
      </c>
      <c r="N210" s="1" t="s">
        <v>9158</v>
      </c>
      <c r="O210" s="1" t="s">
        <v>9158</v>
      </c>
      <c r="P210" s="1" t="s">
        <v>9158</v>
      </c>
      <c r="Q210" s="1" t="s">
        <v>9158</v>
      </c>
    </row>
    <row r="211" spans="1:17">
      <c r="A211" s="9">
        <v>56263</v>
      </c>
      <c r="B211" s="1" t="s">
        <v>15</v>
      </c>
      <c r="C211" s="1" t="s">
        <v>165</v>
      </c>
      <c r="D211" s="20" t="s">
        <v>10899</v>
      </c>
      <c r="E211" s="15" t="str">
        <f>HYPERLINK("https://stat100.ameba.jp/tnk47/ratio20/illustrations/card/ill_56263_ongakusaikujotakeko03.jpg?202001-3-RELEASE-dice-e-449x", "■")</f>
        <v>■</v>
      </c>
      <c r="F211" s="1" t="s">
        <v>3968</v>
      </c>
      <c r="G211" s="1">
        <v>69898</v>
      </c>
      <c r="H211" s="1">
        <v>77064</v>
      </c>
      <c r="I211" s="1">
        <v>26</v>
      </c>
      <c r="J211" s="1" t="s">
        <v>16</v>
      </c>
      <c r="K211" s="1" t="s">
        <v>3969</v>
      </c>
      <c r="L211" s="1" t="s">
        <v>3970</v>
      </c>
      <c r="M211" s="1" t="s">
        <v>9158</v>
      </c>
      <c r="N211" s="1" t="s">
        <v>9158</v>
      </c>
      <c r="O211" s="1" t="s">
        <v>9158</v>
      </c>
      <c r="P211" s="1" t="s">
        <v>9158</v>
      </c>
      <c r="Q211" s="1" t="s">
        <v>9158</v>
      </c>
    </row>
    <row r="212" spans="1:17">
      <c r="A212" s="9">
        <v>60863</v>
      </c>
      <c r="B212" s="1" t="s">
        <v>15</v>
      </c>
      <c r="C212" s="1" t="s">
        <v>205</v>
      </c>
      <c r="D212" s="20" t="s">
        <v>10900</v>
      </c>
      <c r="E212" s="15" t="str">
        <f>HYPERLINK("https://stat100.ameba.jp/tnk47/ratio20/illustrations/card/ill_60863_hieinihonrisuchan03.jpg?202001-3-RELEASE-dice-e-449x", "■")</f>
        <v>■</v>
      </c>
      <c r="F212" s="1" t="s">
        <v>975</v>
      </c>
      <c r="G212" s="1">
        <v>69898</v>
      </c>
      <c r="H212" s="1">
        <v>77064</v>
      </c>
      <c r="I212" s="1">
        <v>26</v>
      </c>
      <c r="J212" s="1" t="s">
        <v>26</v>
      </c>
      <c r="K212" s="1" t="s">
        <v>976</v>
      </c>
      <c r="L212" s="1" t="s">
        <v>977</v>
      </c>
      <c r="M212" s="1" t="s">
        <v>9158</v>
      </c>
      <c r="N212" s="1" t="s">
        <v>9158</v>
      </c>
      <c r="O212" s="1" t="s">
        <v>9158</v>
      </c>
      <c r="P212" s="1" t="s">
        <v>9158</v>
      </c>
      <c r="Q212" s="1" t="s">
        <v>9158</v>
      </c>
    </row>
    <row r="213" spans="1:17">
      <c r="A213" s="9">
        <v>79723</v>
      </c>
      <c r="B213" s="1" t="s">
        <v>15</v>
      </c>
      <c r="C213" s="1" t="s">
        <v>23</v>
      </c>
      <c r="D213" s="20" t="s">
        <v>10639</v>
      </c>
      <c r="E213" s="15" t="str">
        <f>HYPERLINK("https://stat100.ameba.jp/tnk47/ratio20/illustrations/card/ill_79723_inazumaraigoro03.jpg?202001-3-RELEASE-dice-e-449x", "■")</f>
        <v>■</v>
      </c>
      <c r="F213" s="1" t="s">
        <v>3691</v>
      </c>
      <c r="G213" s="1">
        <v>69898</v>
      </c>
      <c r="H213" s="1">
        <v>77064</v>
      </c>
      <c r="I213" s="1">
        <v>26</v>
      </c>
      <c r="J213" s="1" t="s">
        <v>143</v>
      </c>
      <c r="K213" s="1" t="s">
        <v>3692</v>
      </c>
      <c r="L213" s="1" t="s">
        <v>3326</v>
      </c>
      <c r="M213" s="1" t="s">
        <v>9158</v>
      </c>
      <c r="N213" s="1" t="s">
        <v>9158</v>
      </c>
      <c r="O213" s="1" t="s">
        <v>9158</v>
      </c>
      <c r="P213" s="1" t="s">
        <v>9158</v>
      </c>
      <c r="Q213" s="1" t="s">
        <v>9158</v>
      </c>
    </row>
    <row r="214" spans="1:17">
      <c r="E214" s="9"/>
    </row>
    <row r="215" spans="1:17">
      <c r="A215" s="9" t="s">
        <v>8998</v>
      </c>
      <c r="E215" s="9"/>
    </row>
    <row r="216" spans="1:17">
      <c r="A216" s="9" t="s">
        <v>8999</v>
      </c>
      <c r="E216" s="9"/>
    </row>
    <row r="217" spans="1:17">
      <c r="A217" s="1" t="s">
        <v>5605</v>
      </c>
      <c r="B217" s="1" t="s">
        <v>52</v>
      </c>
      <c r="C217" s="1" t="s">
        <v>202</v>
      </c>
      <c r="D217" s="20" t="s">
        <v>10332</v>
      </c>
      <c r="E217" s="15" t="str">
        <f>HYPERLINK("https://stat100.ameba.jp/tnk47/ratio20/illustrations/card/ill_79373_0_hommeichokotennyohime03.jpg?202001-3-RELEASE-dice-e-449x", "■")</f>
        <v>■</v>
      </c>
      <c r="F217" s="1" t="s">
        <v>3495</v>
      </c>
      <c r="G217" s="1">
        <v>321496</v>
      </c>
      <c r="H217" s="1">
        <v>268230</v>
      </c>
      <c r="I217" s="1">
        <v>26</v>
      </c>
      <c r="J217" s="1" t="s">
        <v>104</v>
      </c>
      <c r="K217" s="1" t="s">
        <v>3496</v>
      </c>
      <c r="L217" s="1" t="s">
        <v>3497</v>
      </c>
      <c r="M217" s="1" t="s">
        <v>9158</v>
      </c>
      <c r="N217" s="1" t="s">
        <v>9158</v>
      </c>
      <c r="O217" s="19" t="s">
        <v>10072</v>
      </c>
      <c r="P217" s="1" t="s">
        <v>3498</v>
      </c>
      <c r="Q217" s="1">
        <v>1</v>
      </c>
    </row>
    <row r="218" spans="1:17">
      <c r="A218" s="1" t="s">
        <v>5724</v>
      </c>
      <c r="B218" s="1" t="s">
        <v>330</v>
      </c>
      <c r="C218" s="1" t="s">
        <v>335</v>
      </c>
      <c r="D218" s="20" t="s">
        <v>698</v>
      </c>
      <c r="E218" s="15" t="str">
        <f>HYPERLINK("https://stat100.ameba.jp/tnk47/ratio20/illustrations/card/ill_66433_0_haroinfujishirogozen03.jpg?202001-3-RELEASE-dice-e-449x", "■")</f>
        <v>■</v>
      </c>
      <c r="F218" s="1" t="s">
        <v>699</v>
      </c>
      <c r="G218" s="1">
        <v>159134</v>
      </c>
      <c r="H218" s="1">
        <v>171168</v>
      </c>
      <c r="I218" s="1">
        <v>26</v>
      </c>
      <c r="J218" s="1" t="s">
        <v>315</v>
      </c>
      <c r="K218" s="1" t="s">
        <v>700</v>
      </c>
      <c r="L218" s="1" t="s">
        <v>701</v>
      </c>
      <c r="M218" s="1" t="s">
        <v>9158</v>
      </c>
      <c r="N218" s="1" t="s">
        <v>9158</v>
      </c>
      <c r="O218" s="19" t="s">
        <v>10095</v>
      </c>
      <c r="P218" s="1" t="s">
        <v>3345</v>
      </c>
      <c r="Q218" s="1">
        <v>1</v>
      </c>
    </row>
    <row r="219" spans="1:17">
      <c r="A219" s="1">
        <v>84323</v>
      </c>
      <c r="B219" s="1" t="s">
        <v>0</v>
      </c>
      <c r="C219" s="1" t="s">
        <v>158</v>
      </c>
      <c r="D219" s="20" t="s">
        <v>10669</v>
      </c>
      <c r="E219" s="15" t="str">
        <f>HYPERLINK("https://stat100.ameba.jp/tnk47/ratio20/illustrations/card/ill_84323_kagizumebyakko03.jpg?202001-3-RELEASE-dice-e-449x", "■")</f>
        <v>■</v>
      </c>
      <c r="F219" s="1" t="s">
        <v>7284</v>
      </c>
      <c r="G219" s="1">
        <v>127464</v>
      </c>
      <c r="H219" s="1">
        <v>92318</v>
      </c>
      <c r="I219" s="1">
        <v>25</v>
      </c>
      <c r="J219" s="1" t="s">
        <v>155</v>
      </c>
      <c r="K219" s="1" t="s">
        <v>7283</v>
      </c>
      <c r="L219" s="1" t="s">
        <v>7282</v>
      </c>
      <c r="M219" s="1" t="s">
        <v>9158</v>
      </c>
      <c r="N219" s="1" t="s">
        <v>9158</v>
      </c>
      <c r="O219" s="19" t="s">
        <v>10109</v>
      </c>
      <c r="P219" s="1" t="s">
        <v>3625</v>
      </c>
      <c r="Q219" s="1">
        <v>1</v>
      </c>
    </row>
    <row r="220" spans="1:17">
      <c r="A220" s="1">
        <v>76783</v>
      </c>
      <c r="B220" s="1" t="s">
        <v>334</v>
      </c>
      <c r="C220" s="1" t="s">
        <v>203</v>
      </c>
      <c r="D220" s="20" t="s">
        <v>10367</v>
      </c>
      <c r="E220" s="15" t="str">
        <f>HYPERLINK("https://stat100.ameba.jp/tnk47/ratio20/illustrations/card/ill_76783_monsutaakashirejina03.jpg?202001-3-RELEASE-dice-e-449x", "■")</f>
        <v>■</v>
      </c>
      <c r="F220" s="1" t="s">
        <v>1192</v>
      </c>
      <c r="G220" s="1">
        <v>79151</v>
      </c>
      <c r="H220" s="1">
        <v>109259</v>
      </c>
      <c r="I220" s="1">
        <v>25</v>
      </c>
      <c r="J220" s="1" t="s">
        <v>10</v>
      </c>
      <c r="K220" s="1" t="s">
        <v>1193</v>
      </c>
      <c r="L220" s="1" t="s">
        <v>1194</v>
      </c>
      <c r="M220" s="1" t="s">
        <v>9158</v>
      </c>
      <c r="N220" s="1" t="s">
        <v>9158</v>
      </c>
      <c r="O220" s="19" t="s">
        <v>2752</v>
      </c>
      <c r="P220" s="1" t="s">
        <v>13123</v>
      </c>
      <c r="Q220" s="1">
        <v>1</v>
      </c>
    </row>
    <row r="221" spans="1:17">
      <c r="A221" s="1">
        <v>73913</v>
      </c>
      <c r="B221" s="1" t="s">
        <v>334</v>
      </c>
      <c r="C221" s="1" t="s">
        <v>154</v>
      </c>
      <c r="D221" s="20" t="s">
        <v>3202</v>
      </c>
      <c r="E221" s="15" t="str">
        <f>HYPERLINK("https://stat100.ameba.jp/tnk47/ratio20/illustrations/card/ill_73913_atsutajingu03.jpg?202001-3-RELEASE-dice-e-449x", "■")</f>
        <v>■</v>
      </c>
      <c r="F221" s="1" t="s">
        <v>1207</v>
      </c>
      <c r="G221" s="1">
        <v>82654</v>
      </c>
      <c r="H221" s="1">
        <v>114119</v>
      </c>
      <c r="I221" s="1">
        <v>25</v>
      </c>
      <c r="J221" s="1" t="s">
        <v>44</v>
      </c>
      <c r="K221" s="1" t="s">
        <v>1208</v>
      </c>
      <c r="L221" s="1" t="s">
        <v>1209</v>
      </c>
      <c r="M221" s="1" t="s">
        <v>9158</v>
      </c>
      <c r="N221" s="1" t="s">
        <v>9158</v>
      </c>
      <c r="O221" s="19" t="s">
        <v>10074</v>
      </c>
      <c r="P221" s="1" t="s">
        <v>2822</v>
      </c>
      <c r="Q221" s="1">
        <v>1</v>
      </c>
    </row>
    <row r="222" spans="1:17">
      <c r="A222" s="1">
        <v>65623</v>
      </c>
      <c r="B222" s="1" t="s">
        <v>334</v>
      </c>
      <c r="C222" s="1" t="s">
        <v>209</v>
      </c>
      <c r="D222" s="20" t="s">
        <v>10254</v>
      </c>
      <c r="E222" s="15" t="str">
        <f>HYPERLINK("https://stat100.ameba.jp/tnk47/ratio20/illustrations/card/ill_65623_hosoyajudayu03.jpg?202001-3-RELEASE-dice-e-449x", "■")</f>
        <v>■</v>
      </c>
      <c r="F222" s="1" t="s">
        <v>823</v>
      </c>
      <c r="G222" s="1">
        <v>166328</v>
      </c>
      <c r="H222" s="1">
        <v>166328</v>
      </c>
      <c r="I222" s="1">
        <v>25</v>
      </c>
      <c r="J222" s="1" t="s">
        <v>310</v>
      </c>
      <c r="K222" s="1" t="s">
        <v>824</v>
      </c>
      <c r="L222" s="1" t="s">
        <v>443</v>
      </c>
      <c r="M222" s="1" t="s">
        <v>9158</v>
      </c>
      <c r="N222" s="1" t="s">
        <v>9158</v>
      </c>
      <c r="O222" s="1" t="s">
        <v>9158</v>
      </c>
      <c r="P222" s="1" t="s">
        <v>9158</v>
      </c>
      <c r="Q222" s="1" t="s">
        <v>9158</v>
      </c>
    </row>
    <row r="223" spans="1:17">
      <c r="A223" s="1">
        <v>58333</v>
      </c>
      <c r="B223" s="1" t="s">
        <v>334</v>
      </c>
      <c r="C223" s="1" t="s">
        <v>158</v>
      </c>
      <c r="D223" s="20" t="s">
        <v>10415</v>
      </c>
      <c r="E223" s="15" t="str">
        <f>HYPERLINK("https://stat100.ameba.jp/tnk47/ratio20/illustrations/card/ill_58333_chikinnamban03.jpg?202001-3-RELEASE-dice-e-449x", "■")</f>
        <v>■</v>
      </c>
      <c r="F223" s="1" t="s">
        <v>1789</v>
      </c>
      <c r="G223" s="1">
        <v>103176</v>
      </c>
      <c r="H223" s="1">
        <v>75651</v>
      </c>
      <c r="I223" s="1">
        <v>25</v>
      </c>
      <c r="J223" s="1" t="s">
        <v>104</v>
      </c>
      <c r="K223" s="1" t="s">
        <v>1790</v>
      </c>
      <c r="L223" s="1" t="s">
        <v>1791</v>
      </c>
      <c r="M223" s="1" t="s">
        <v>9158</v>
      </c>
      <c r="N223" s="1" t="s">
        <v>9158</v>
      </c>
      <c r="O223" s="1" t="s">
        <v>9158</v>
      </c>
      <c r="P223" s="1" t="s">
        <v>9158</v>
      </c>
      <c r="Q223" s="1" t="s">
        <v>9158</v>
      </c>
    </row>
    <row r="224" spans="1:17">
      <c r="A224" s="1">
        <v>66343</v>
      </c>
      <c r="B224" s="1" t="s">
        <v>0</v>
      </c>
      <c r="C224" s="1" t="s">
        <v>209</v>
      </c>
      <c r="D224" s="20" t="s">
        <v>832</v>
      </c>
      <c r="E224" s="15" t="str">
        <f>HYPERLINK("https://stat100.ameba.jp/tnk47/ratio20/illustrations/card/ill_66343_shunobon03.jpg?202001-3-RELEASE-dice-e-449x", "■")</f>
        <v>■</v>
      </c>
      <c r="F224" s="1" t="s">
        <v>1254</v>
      </c>
      <c r="G224" s="1">
        <v>84456</v>
      </c>
      <c r="H224" s="1">
        <v>116577</v>
      </c>
      <c r="I224" s="1">
        <v>25</v>
      </c>
      <c r="J224" s="1" t="s">
        <v>73</v>
      </c>
      <c r="K224" s="1" t="s">
        <v>1255</v>
      </c>
      <c r="L224" s="1" t="s">
        <v>1256</v>
      </c>
      <c r="M224" s="1" t="s">
        <v>9158</v>
      </c>
      <c r="N224" s="1" t="s">
        <v>9158</v>
      </c>
      <c r="O224" s="1" t="s">
        <v>9158</v>
      </c>
      <c r="P224" s="1" t="s">
        <v>9158</v>
      </c>
      <c r="Q224" s="1" t="s">
        <v>9158</v>
      </c>
    </row>
    <row r="225" spans="1:17">
      <c r="E225" s="9"/>
    </row>
    <row r="226" spans="1:17">
      <c r="A226" s="9" t="s">
        <v>207</v>
      </c>
      <c r="E226" s="9"/>
    </row>
    <row r="227" spans="1:17">
      <c r="A227" s="9" t="s">
        <v>8982</v>
      </c>
      <c r="E227" s="9"/>
    </row>
    <row r="228" spans="1:17">
      <c r="A228" s="1" t="s">
        <v>5899</v>
      </c>
      <c r="B228" s="1" t="s">
        <v>330</v>
      </c>
      <c r="C228" s="1" t="s">
        <v>205</v>
      </c>
      <c r="D228" s="20" t="s">
        <v>1559</v>
      </c>
      <c r="E228" s="15" t="str">
        <f>HYPERLINK("https://stat100.ameba.jp/tnk47/ratio20/illustrations/card/ill_73773_0_umibirakiinugamigyobu03.jpg?202001-3-RELEASE-dice-e-449x", "■")</f>
        <v>■</v>
      </c>
      <c r="F228" s="1" t="s">
        <v>935</v>
      </c>
      <c r="G228" s="1">
        <v>208256</v>
      </c>
      <c r="H228" s="1">
        <v>224000</v>
      </c>
      <c r="I228" s="1">
        <v>24</v>
      </c>
      <c r="J228" s="1" t="s">
        <v>182</v>
      </c>
      <c r="K228" s="1" t="s">
        <v>936</v>
      </c>
      <c r="L228" s="1" t="s">
        <v>13147</v>
      </c>
      <c r="M228" s="1" t="s">
        <v>9158</v>
      </c>
      <c r="N228" s="1" t="s">
        <v>9158</v>
      </c>
      <c r="O228" s="19" t="s">
        <v>2978</v>
      </c>
      <c r="P228" s="1" t="s">
        <v>2979</v>
      </c>
      <c r="Q228" s="1">
        <v>2</v>
      </c>
    </row>
    <row r="229" spans="1:17">
      <c r="A229" s="1" t="s">
        <v>5822</v>
      </c>
      <c r="B229" s="1" t="s">
        <v>330</v>
      </c>
      <c r="C229" s="1" t="s">
        <v>307</v>
      </c>
      <c r="D229" s="20" t="s">
        <v>306</v>
      </c>
      <c r="E229" s="15" t="str">
        <f>HYPERLINK("https://stat100.ameba.jp/tnk47/ratio20/illustrations/card/ill_71403_0_ohanamisanadayukimura03.jpg?202001-3-RELEASE-dice-e-449x", "■")</f>
        <v>■</v>
      </c>
      <c r="F229" s="1" t="s">
        <v>309</v>
      </c>
      <c r="G229" s="1">
        <v>224026</v>
      </c>
      <c r="H229" s="1">
        <v>208310</v>
      </c>
      <c r="I229" s="1">
        <v>24</v>
      </c>
      <c r="J229" s="1" t="s">
        <v>310</v>
      </c>
      <c r="K229" s="1" t="s">
        <v>311</v>
      </c>
      <c r="L229" s="1" t="s">
        <v>312</v>
      </c>
      <c r="M229" s="1" t="s">
        <v>9158</v>
      </c>
      <c r="N229" s="1" t="s">
        <v>9158</v>
      </c>
      <c r="O229" s="19" t="s">
        <v>10104</v>
      </c>
      <c r="P229" s="1" t="s">
        <v>3418</v>
      </c>
      <c r="Q229" s="1">
        <v>2</v>
      </c>
    </row>
    <row r="230" spans="1:17">
      <c r="A230" s="1" t="s">
        <v>5616</v>
      </c>
      <c r="B230" s="1" t="s">
        <v>52</v>
      </c>
      <c r="C230" s="1" t="s">
        <v>14</v>
      </c>
      <c r="D230" s="20" t="s">
        <v>638</v>
      </c>
      <c r="E230" s="15" t="str">
        <f>HYPERLINK("https://stat100.ameba.jp/tnk47/ratio20/illustrations/card/ill_44253_0_dokuganryudatemasamune03.jpg?202001-3-RELEASE-dice-e-449x", "■")</f>
        <v>■</v>
      </c>
      <c r="F230" s="1" t="s">
        <v>1181</v>
      </c>
      <c r="G230" s="1">
        <v>131538</v>
      </c>
      <c r="H230" s="1">
        <v>140448</v>
      </c>
      <c r="I230" s="1">
        <v>24</v>
      </c>
      <c r="J230" s="1" t="s">
        <v>143</v>
      </c>
      <c r="K230" s="1" t="s">
        <v>1182</v>
      </c>
      <c r="L230" s="1" t="s">
        <v>1183</v>
      </c>
      <c r="M230" s="1" t="s">
        <v>9158</v>
      </c>
      <c r="N230" s="1" t="s">
        <v>9158</v>
      </c>
      <c r="O230" s="1" t="s">
        <v>9158</v>
      </c>
      <c r="P230" s="1" t="s">
        <v>9158</v>
      </c>
      <c r="Q230" s="1" t="s">
        <v>9158</v>
      </c>
    </row>
    <row r="231" spans="1:17">
      <c r="A231" s="9">
        <v>86473</v>
      </c>
      <c r="B231" s="9" t="s">
        <v>0</v>
      </c>
      <c r="C231" s="9" t="s">
        <v>200</v>
      </c>
      <c r="D231" s="20" t="s">
        <v>10904</v>
      </c>
      <c r="E231" s="15" t="str">
        <f>HYPERLINK("https://stat100.ameba.jp/tnk47/ratio20/illustrations/card/ill_86473_shogatsunisenjunanatokugawahidetada03.jpg?202001-3-RELEASE-dice-e-449x", "■")</f>
        <v>■</v>
      </c>
      <c r="F231" s="9" t="s">
        <v>8967</v>
      </c>
      <c r="G231" s="9">
        <v>118063</v>
      </c>
      <c r="H231" s="9">
        <v>109786</v>
      </c>
      <c r="I231" s="9">
        <v>25</v>
      </c>
      <c r="J231" s="9" t="s">
        <v>194</v>
      </c>
      <c r="K231" s="9" t="s">
        <v>8963</v>
      </c>
      <c r="L231" s="9" t="s">
        <v>901</v>
      </c>
      <c r="M231" s="1" t="s">
        <v>9158</v>
      </c>
      <c r="N231" s="1" t="s">
        <v>9158</v>
      </c>
      <c r="O231" s="1" t="s">
        <v>9158</v>
      </c>
      <c r="P231" s="1" t="s">
        <v>9158</v>
      </c>
      <c r="Q231" s="1" t="s">
        <v>9158</v>
      </c>
    </row>
    <row r="232" spans="1:17">
      <c r="A232" s="9">
        <v>86483</v>
      </c>
      <c r="B232" s="9" t="s">
        <v>15</v>
      </c>
      <c r="C232" s="9" t="s">
        <v>205</v>
      </c>
      <c r="D232" s="20" t="s">
        <v>10905</v>
      </c>
      <c r="E232" s="15" t="str">
        <f>HYPERLINK("https://stat100.ameba.jp/tnk47/ratio20/illustrations/card/ill_86483_gantammomonohasui03.jpg?202001-3-RELEASE-dice-e-449x", "■")</f>
        <v>■</v>
      </c>
      <c r="F232" s="9" t="s">
        <v>8966</v>
      </c>
      <c r="G232" s="9">
        <v>67210</v>
      </c>
      <c r="H232" s="9">
        <v>74100</v>
      </c>
      <c r="I232" s="9">
        <v>25</v>
      </c>
      <c r="J232" s="1" t="s">
        <v>229</v>
      </c>
      <c r="K232" s="9" t="s">
        <v>8965</v>
      </c>
      <c r="L232" s="9" t="s">
        <v>977</v>
      </c>
      <c r="M232" s="1" t="s">
        <v>9158</v>
      </c>
      <c r="N232" s="1" t="s">
        <v>9158</v>
      </c>
      <c r="O232" s="1" t="s">
        <v>9158</v>
      </c>
      <c r="P232" s="1" t="s">
        <v>9158</v>
      </c>
      <c r="Q232" s="1" t="s">
        <v>9158</v>
      </c>
    </row>
    <row r="233" spans="1:17">
      <c r="A233" s="9">
        <v>86493</v>
      </c>
      <c r="B233" s="9" t="s">
        <v>22</v>
      </c>
      <c r="C233" s="9" t="s">
        <v>165</v>
      </c>
      <c r="D233" s="20" t="s">
        <v>10906</v>
      </c>
      <c r="E233" s="15" t="str">
        <f>HYPERLINK("https://stat100.ameba.jp/tnk47/ratio20/illustrations/card/ill_86493_seijinshikitesso03.jpg?202001-3-RELEASE-dice-e-449x", "■")</f>
        <v>■</v>
      </c>
      <c r="F233" s="9" t="s">
        <v>8970</v>
      </c>
      <c r="G233" s="9">
        <v>51980</v>
      </c>
      <c r="H233" s="9">
        <v>43220</v>
      </c>
      <c r="I233" s="9">
        <v>25</v>
      </c>
      <c r="J233" s="1" t="s">
        <v>73</v>
      </c>
      <c r="K233" s="9" t="s">
        <v>8969</v>
      </c>
      <c r="L233" s="9" t="s">
        <v>4556</v>
      </c>
      <c r="M233" s="1" t="s">
        <v>9158</v>
      </c>
      <c r="N233" s="1" t="s">
        <v>9158</v>
      </c>
      <c r="O233" s="1" t="s">
        <v>9158</v>
      </c>
      <c r="P233" s="1" t="s">
        <v>9158</v>
      </c>
      <c r="Q233" s="1" t="s">
        <v>9158</v>
      </c>
    </row>
    <row r="234" spans="1:17">
      <c r="A234" s="9">
        <v>86503</v>
      </c>
      <c r="B234" s="9" t="s">
        <v>30</v>
      </c>
      <c r="C234" s="9" t="s">
        <v>8768</v>
      </c>
      <c r="D234" s="20" t="s">
        <v>10907</v>
      </c>
      <c r="E234" s="15" t="str">
        <f>HYPERLINK("https://stat100.ameba.jp/tnk47/ratio20/illustrations/card/ill_86503_dagojiruchan03.jpg?202001-3-RELEASE-dice-e-449x", "■")</f>
        <v>■</v>
      </c>
      <c r="F234" s="9" t="s">
        <v>8973</v>
      </c>
      <c r="G234" s="9">
        <v>26430</v>
      </c>
      <c r="H234" s="9">
        <v>31470</v>
      </c>
      <c r="I234" s="9">
        <v>25</v>
      </c>
      <c r="J234" s="1" t="s">
        <v>283</v>
      </c>
      <c r="K234" s="9" t="s">
        <v>8972</v>
      </c>
      <c r="L234" s="9" t="s">
        <v>1806</v>
      </c>
      <c r="M234" s="1" t="s">
        <v>9158</v>
      </c>
      <c r="N234" s="1" t="s">
        <v>9158</v>
      </c>
      <c r="O234" s="1" t="s">
        <v>9158</v>
      </c>
      <c r="P234" s="1" t="s">
        <v>9158</v>
      </c>
      <c r="Q234" s="1" t="s">
        <v>9158</v>
      </c>
    </row>
    <row r="235" spans="1:17">
      <c r="E235" s="9"/>
    </row>
    <row r="236" spans="1:17">
      <c r="A236" s="9" t="s">
        <v>9000</v>
      </c>
      <c r="E236" s="9"/>
    </row>
    <row r="237" spans="1:17">
      <c r="A237" s="9" t="s">
        <v>9001</v>
      </c>
      <c r="E237" s="9"/>
    </row>
    <row r="238" spans="1:17">
      <c r="A238" s="1" t="s">
        <v>5623</v>
      </c>
      <c r="B238" s="1" t="s">
        <v>330</v>
      </c>
      <c r="C238" s="1" t="s">
        <v>165</v>
      </c>
      <c r="D238" s="20" t="s">
        <v>3146</v>
      </c>
      <c r="E238" s="15" t="str">
        <f>HYPERLINK("https://stat100.ameba.jp/tnk47/ratio20/illustrations/card/ill_65713_0_undokaionikirimaru03.jpg?202001-3-RELEASE-dice-e-449x", "■")</f>
        <v>■</v>
      </c>
      <c r="F238" s="1" t="s">
        <v>535</v>
      </c>
      <c r="G238" s="1">
        <v>181640</v>
      </c>
      <c r="H238" s="1">
        <v>168874</v>
      </c>
      <c r="I238" s="1">
        <v>24</v>
      </c>
      <c r="J238" s="1" t="s">
        <v>320</v>
      </c>
      <c r="K238" s="1" t="s">
        <v>3147</v>
      </c>
      <c r="L238" s="1" t="s">
        <v>3148</v>
      </c>
      <c r="M238" s="1" t="s">
        <v>9158</v>
      </c>
      <c r="N238" s="1" t="s">
        <v>9158</v>
      </c>
      <c r="O238" s="19" t="s">
        <v>2869</v>
      </c>
      <c r="P238" s="1" t="s">
        <v>2870</v>
      </c>
      <c r="Q238" s="1">
        <v>1</v>
      </c>
    </row>
    <row r="239" spans="1:17">
      <c r="A239" s="1">
        <v>60173</v>
      </c>
      <c r="B239" s="1" t="s">
        <v>0</v>
      </c>
      <c r="C239" s="1" t="s">
        <v>41</v>
      </c>
      <c r="D239" s="20" t="s">
        <v>10231</v>
      </c>
      <c r="E239" s="15" t="str">
        <f>HYPERLINK("https://stat100.ameba.jp/tnk47/ratio20/illustrations/card/ill_60173_kugutsushi03.jpg?202001-3-RELEASE-dice-e-449x", "■")</f>
        <v>■</v>
      </c>
      <c r="F239" s="1" t="s">
        <v>4282</v>
      </c>
      <c r="G239" s="1">
        <v>92402</v>
      </c>
      <c r="H239" s="1">
        <v>127580</v>
      </c>
      <c r="I239" s="1">
        <v>25</v>
      </c>
      <c r="J239" s="1" t="s">
        <v>38</v>
      </c>
      <c r="K239" s="1" t="s">
        <v>4283</v>
      </c>
      <c r="L239" s="1" t="s">
        <v>2714</v>
      </c>
      <c r="M239" s="1" t="s">
        <v>9158</v>
      </c>
      <c r="N239" s="1" t="s">
        <v>9158</v>
      </c>
      <c r="O239" s="19" t="s">
        <v>10113</v>
      </c>
      <c r="P239" s="1" t="s">
        <v>4285</v>
      </c>
      <c r="Q239" s="1">
        <v>1</v>
      </c>
    </row>
    <row r="240" spans="1:17">
      <c r="A240" s="1">
        <v>76243</v>
      </c>
      <c r="B240" s="1" t="s">
        <v>334</v>
      </c>
      <c r="C240" s="1" t="s">
        <v>335</v>
      </c>
      <c r="D240" s="20" t="s">
        <v>10263</v>
      </c>
      <c r="E240" s="15" t="str">
        <f>HYPERLINK("https://stat100.ameba.jp/tnk47/ratio20/illustrations/card/ill_76243_haroinkaraguchinihonshuchan03.jpg?202001-3-RELEASE-dice-e-449x", "■")</f>
        <v>■</v>
      </c>
      <c r="F240" s="1" t="s">
        <v>336</v>
      </c>
      <c r="G240" s="1">
        <v>118063</v>
      </c>
      <c r="H240" s="1">
        <v>109786</v>
      </c>
      <c r="I240" s="1">
        <v>25</v>
      </c>
      <c r="J240" s="1" t="s">
        <v>283</v>
      </c>
      <c r="K240" s="1" t="s">
        <v>337</v>
      </c>
      <c r="L240" s="1" t="s">
        <v>338</v>
      </c>
      <c r="M240" s="1" t="s">
        <v>9158</v>
      </c>
      <c r="N240" s="1" t="s">
        <v>9158</v>
      </c>
      <c r="O240" s="19" t="s">
        <v>10090</v>
      </c>
      <c r="P240" s="1" t="s">
        <v>3561</v>
      </c>
      <c r="Q240" s="1">
        <v>1</v>
      </c>
    </row>
    <row r="241" spans="1:18">
      <c r="A241" s="1">
        <v>69533</v>
      </c>
      <c r="B241" s="1" t="s">
        <v>0</v>
      </c>
      <c r="C241" s="1" t="s">
        <v>101</v>
      </c>
      <c r="D241" s="20" t="s">
        <v>10418</v>
      </c>
      <c r="E241" s="15" t="str">
        <f>HYPERLINK("https://stat100.ameba.jp/tnk47/ratio20/illustrations/card/ill_69533_setsubunodainokata03.jpg?202001-3-RELEASE-dice-e-449x", "■")</f>
        <v>■</v>
      </c>
      <c r="F241" s="1" t="s">
        <v>138</v>
      </c>
      <c r="G241" s="1">
        <v>97651</v>
      </c>
      <c r="H241" s="1">
        <v>90759</v>
      </c>
      <c r="I241" s="1">
        <v>25</v>
      </c>
      <c r="J241" s="1" t="s">
        <v>10</v>
      </c>
      <c r="K241" s="1" t="s">
        <v>139</v>
      </c>
      <c r="L241" s="1" t="s">
        <v>140</v>
      </c>
      <c r="M241" s="1" t="s">
        <v>9158</v>
      </c>
      <c r="N241" s="1" t="s">
        <v>9158</v>
      </c>
      <c r="O241" s="19" t="s">
        <v>10082</v>
      </c>
      <c r="P241" s="1" t="s">
        <v>13124</v>
      </c>
      <c r="Q241" s="1">
        <v>1</v>
      </c>
    </row>
    <row r="242" spans="1:18">
      <c r="E242" s="9"/>
    </row>
    <row r="243" spans="1:18">
      <c r="A243" s="1" t="s">
        <v>13327</v>
      </c>
      <c r="B243" s="1"/>
      <c r="C243" s="1"/>
      <c r="D243" s="1"/>
      <c r="F243" s="1"/>
      <c r="G243" s="1"/>
      <c r="H243" s="1"/>
      <c r="I243" s="1"/>
      <c r="J243" s="1"/>
      <c r="K243" s="1"/>
      <c r="L243" s="1"/>
      <c r="M243" s="1"/>
      <c r="N243" s="1"/>
      <c r="O243" s="1"/>
      <c r="P243" s="1"/>
      <c r="Q243" s="1"/>
      <c r="R243" s="1"/>
    </row>
    <row r="244" spans="1:18">
      <c r="A244" s="1" t="s">
        <v>9002</v>
      </c>
      <c r="B244" s="1"/>
      <c r="C244" s="1"/>
      <c r="D244" s="1"/>
      <c r="F244" s="1"/>
      <c r="G244" s="1"/>
      <c r="H244" s="1"/>
      <c r="I244" s="1"/>
      <c r="J244" s="1"/>
      <c r="K244" s="1"/>
      <c r="L244" s="1"/>
      <c r="M244" s="1"/>
      <c r="N244" s="1"/>
      <c r="O244" s="1"/>
      <c r="P244" s="1"/>
      <c r="Q244" s="1"/>
      <c r="R244" s="1"/>
    </row>
    <row r="245" spans="1:18">
      <c r="A245" s="1">
        <v>83973</v>
      </c>
      <c r="B245" s="1" t="s">
        <v>334</v>
      </c>
      <c r="C245" s="1" t="s">
        <v>14</v>
      </c>
      <c r="D245" s="20" t="s">
        <v>10570</v>
      </c>
      <c r="E245" s="15" t="str">
        <f>HYPERLINK("https://stat100.ameba.jp/tnk47/ratio20/illustrations/card/ill_83973_nekokishiirurosu03.jpg?202001-3-RELEASE-dice-e-449x", "■")</f>
        <v>■</v>
      </c>
      <c r="F245" s="1" t="s">
        <v>6706</v>
      </c>
      <c r="G245" s="1">
        <v>128000</v>
      </c>
      <c r="H245" s="1">
        <v>119006</v>
      </c>
      <c r="I245" s="1">
        <v>26</v>
      </c>
      <c r="J245" s="1" t="s">
        <v>229</v>
      </c>
      <c r="K245" s="1" t="s">
        <v>6707</v>
      </c>
      <c r="L245" s="1" t="s">
        <v>13202</v>
      </c>
      <c r="M245" s="1" t="s">
        <v>13130</v>
      </c>
      <c r="N245" s="1" t="s">
        <v>343</v>
      </c>
      <c r="O245" s="1" t="s">
        <v>9158</v>
      </c>
      <c r="P245" s="1" t="s">
        <v>9158</v>
      </c>
      <c r="Q245" s="1" t="s">
        <v>9158</v>
      </c>
      <c r="R245" s="14" t="s">
        <v>14748</v>
      </c>
    </row>
    <row r="246" spans="1:18">
      <c r="A246" s="1">
        <v>83972</v>
      </c>
      <c r="B246" s="1" t="s">
        <v>334</v>
      </c>
      <c r="C246" s="1" t="s">
        <v>14</v>
      </c>
      <c r="D246" s="20" t="s">
        <v>10570</v>
      </c>
      <c r="E246" s="15" t="str">
        <f>HYPERLINK("https://stat100.ameba.jp/tnk47/ratio20/illustrations/card/ill_83972_nekokishiirurosu02.jpg?202001-3-RELEASE-dice-e-449x", "■")</f>
        <v>■</v>
      </c>
      <c r="F246" s="1" t="s">
        <v>6706</v>
      </c>
      <c r="G246" s="1">
        <v>107000</v>
      </c>
      <c r="H246" s="1">
        <v>98566</v>
      </c>
      <c r="I246" s="1">
        <v>26</v>
      </c>
      <c r="J246" s="1" t="s">
        <v>229</v>
      </c>
      <c r="K246" s="1" t="s">
        <v>6707</v>
      </c>
      <c r="L246" s="1" t="s">
        <v>13201</v>
      </c>
      <c r="M246" s="1" t="s">
        <v>13131</v>
      </c>
      <c r="N246" s="1" t="s">
        <v>251</v>
      </c>
      <c r="O246" s="1" t="s">
        <v>9158</v>
      </c>
      <c r="P246" s="1" t="s">
        <v>9158</v>
      </c>
      <c r="Q246" s="1" t="s">
        <v>9158</v>
      </c>
      <c r="R246" s="14" t="s">
        <v>14748</v>
      </c>
    </row>
    <row r="247" spans="1:18">
      <c r="A247" s="1">
        <v>83971</v>
      </c>
      <c r="B247" s="1" t="s">
        <v>0</v>
      </c>
      <c r="C247" s="1" t="s">
        <v>14</v>
      </c>
      <c r="D247" s="20" t="s">
        <v>10570</v>
      </c>
      <c r="E247" s="15" t="str">
        <f>HYPERLINK("https://stat100.ameba.jp/tnk47/ratio20/illustrations/card/ill_83971_nekokishiirurosu01.jpg?202001-3-RELEASE-dice-e-449x", "■")</f>
        <v>■</v>
      </c>
      <c r="F247" s="1" t="s">
        <v>6706</v>
      </c>
      <c r="G247" s="1">
        <v>81692</v>
      </c>
      <c r="H247" s="1">
        <v>76050</v>
      </c>
      <c r="I247" s="1">
        <v>26</v>
      </c>
      <c r="J247" s="1" t="s">
        <v>229</v>
      </c>
      <c r="K247" s="1" t="s">
        <v>6707</v>
      </c>
      <c r="L247" s="1" t="s">
        <v>13201</v>
      </c>
      <c r="M247" s="1" t="s">
        <v>13131</v>
      </c>
      <c r="N247" s="1" t="s">
        <v>251</v>
      </c>
      <c r="O247" s="1" t="s">
        <v>9158</v>
      </c>
      <c r="P247" s="1" t="s">
        <v>9158</v>
      </c>
      <c r="Q247" s="1" t="s">
        <v>9158</v>
      </c>
      <c r="R247" s="14" t="s">
        <v>14748</v>
      </c>
    </row>
    <row r="248" spans="1:18">
      <c r="A248" s="1">
        <v>83983</v>
      </c>
      <c r="B248" s="1" t="s">
        <v>334</v>
      </c>
      <c r="C248" s="1" t="s">
        <v>23</v>
      </c>
      <c r="D248" s="20" t="s">
        <v>10571</v>
      </c>
      <c r="E248" s="15" t="str">
        <f>HYPERLINK("https://stat100.ameba.jp/tnk47/ratio20/illustrations/card/ill_83983_ryujinsui03.jpg?202001-3-RELEASE-dice-e-449x", "■")</f>
        <v>■</v>
      </c>
      <c r="F248" s="1" t="s">
        <v>6708</v>
      </c>
      <c r="G248" s="1">
        <v>119006</v>
      </c>
      <c r="H248" s="1">
        <v>128000</v>
      </c>
      <c r="I248" s="1">
        <v>26</v>
      </c>
      <c r="J248" s="1" t="s">
        <v>169</v>
      </c>
      <c r="K248" s="1" t="s">
        <v>6710</v>
      </c>
      <c r="L248" s="1" t="s">
        <v>6721</v>
      </c>
      <c r="M248" s="1" t="s">
        <v>13130</v>
      </c>
      <c r="N248" s="1" t="s">
        <v>343</v>
      </c>
      <c r="O248" s="1" t="s">
        <v>9158</v>
      </c>
      <c r="P248" s="1" t="s">
        <v>9158</v>
      </c>
      <c r="Q248" s="1" t="s">
        <v>9158</v>
      </c>
      <c r="R248" s="14" t="s">
        <v>14748</v>
      </c>
    </row>
    <row r="249" spans="1:18">
      <c r="A249" s="1">
        <v>83993</v>
      </c>
      <c r="B249" s="1" t="s">
        <v>334</v>
      </c>
      <c r="C249" s="1" t="s">
        <v>101</v>
      </c>
      <c r="D249" s="20" t="s">
        <v>10572</v>
      </c>
      <c r="E249" s="15" t="str">
        <f>HYPERLINK("https://stat100.ameba.jp/tnk47/ratio20/illustrations/card/ill_83993_enjieruzuranotamagochan03.jpg?202001-3-RELEASE-dice-e-449x", "■")</f>
        <v>■</v>
      </c>
      <c r="F249" s="1" t="s">
        <v>6722</v>
      </c>
      <c r="G249" s="1">
        <v>119006</v>
      </c>
      <c r="H249" s="1">
        <v>128000</v>
      </c>
      <c r="I249" s="1">
        <v>26</v>
      </c>
      <c r="J249" s="1" t="s">
        <v>216</v>
      </c>
      <c r="K249" s="1" t="s">
        <v>6723</v>
      </c>
      <c r="L249" s="1" t="s">
        <v>6724</v>
      </c>
      <c r="M249" s="1" t="s">
        <v>13130</v>
      </c>
      <c r="N249" s="1" t="s">
        <v>343</v>
      </c>
      <c r="O249" s="1" t="s">
        <v>9158</v>
      </c>
      <c r="P249" s="1" t="s">
        <v>9158</v>
      </c>
      <c r="Q249" s="1" t="s">
        <v>9158</v>
      </c>
      <c r="R249" s="14" t="s">
        <v>14748</v>
      </c>
    </row>
    <row r="250" spans="1:18">
      <c r="A250" s="1">
        <v>84003</v>
      </c>
      <c r="B250" s="1" t="s">
        <v>0</v>
      </c>
      <c r="C250" s="1" t="s">
        <v>96</v>
      </c>
      <c r="D250" s="20" t="s">
        <v>10573</v>
      </c>
      <c r="E250" s="15" t="str">
        <f>HYPERLINK("https://stat100.ameba.jp/tnk47/ratio20/illustrations/card/ill_84003_sukoropendora03.jpg?202001-3-RELEASE-dice-e-449x", "■")</f>
        <v>■</v>
      </c>
      <c r="F250" s="1" t="s">
        <v>6725</v>
      </c>
      <c r="G250" s="1">
        <v>128000</v>
      </c>
      <c r="H250" s="1">
        <v>119006</v>
      </c>
      <c r="I250" s="1">
        <v>26</v>
      </c>
      <c r="J250" s="1" t="s">
        <v>182</v>
      </c>
      <c r="K250" s="1" t="s">
        <v>6727</v>
      </c>
      <c r="L250" s="1" t="s">
        <v>6728</v>
      </c>
      <c r="M250" s="1" t="s">
        <v>13130</v>
      </c>
      <c r="N250" s="1" t="s">
        <v>343</v>
      </c>
      <c r="O250" s="1" t="s">
        <v>9158</v>
      </c>
      <c r="P250" s="1" t="s">
        <v>9158</v>
      </c>
      <c r="Q250" s="1" t="s">
        <v>9158</v>
      </c>
      <c r="R250" s="14" t="s">
        <v>14748</v>
      </c>
    </row>
    <row r="251" spans="1:18">
      <c r="A251" s="1">
        <v>84013</v>
      </c>
      <c r="B251" s="1" t="s">
        <v>334</v>
      </c>
      <c r="C251" s="1" t="s">
        <v>205</v>
      </c>
      <c r="D251" s="20" t="s">
        <v>10574</v>
      </c>
      <c r="E251" s="15" t="str">
        <f>HYPERLINK("https://stat100.ameba.jp/tnk47/ratio20/illustrations/card/ill_84013_neikiddo03.jpg?202001-3-RELEASE-dice-e-449x", "■")</f>
        <v>■</v>
      </c>
      <c r="F251" s="1" t="s">
        <v>6729</v>
      </c>
      <c r="G251" s="1">
        <v>119006</v>
      </c>
      <c r="H251" s="1">
        <v>128000</v>
      </c>
      <c r="I251" s="1">
        <v>26</v>
      </c>
      <c r="J251" s="1" t="s">
        <v>194</v>
      </c>
      <c r="K251" s="1" t="s">
        <v>6731</v>
      </c>
      <c r="L251" s="1" t="s">
        <v>6732</v>
      </c>
      <c r="M251" s="1" t="s">
        <v>13130</v>
      </c>
      <c r="N251" s="1" t="s">
        <v>343</v>
      </c>
      <c r="O251" s="1" t="s">
        <v>9158</v>
      </c>
      <c r="P251" s="1" t="s">
        <v>9158</v>
      </c>
      <c r="Q251" s="1" t="s">
        <v>9158</v>
      </c>
      <c r="R251" s="14" t="s">
        <v>14748</v>
      </c>
    </row>
    <row r="252" spans="1:18">
      <c r="A252" s="1">
        <v>76763</v>
      </c>
      <c r="B252" s="1" t="s">
        <v>334</v>
      </c>
      <c r="C252" s="1" t="s">
        <v>107</v>
      </c>
      <c r="D252" s="20" t="s">
        <v>10575</v>
      </c>
      <c r="E252" s="15" t="str">
        <f>HYPERLINK("https://stat100.ameba.jp/tnk47/ratio20/illustrations/card/ill_76763_monsutanabeshimakeiginni03.jpg?202001-3-RELEASE-dice-e-449x", "■")</f>
        <v>■</v>
      </c>
      <c r="F252" s="1" t="s">
        <v>6733</v>
      </c>
      <c r="G252" s="1">
        <v>128000</v>
      </c>
      <c r="H252" s="1">
        <v>119006</v>
      </c>
      <c r="I252" s="1">
        <v>26</v>
      </c>
      <c r="J252" s="1" t="s">
        <v>187</v>
      </c>
      <c r="K252" s="1" t="s">
        <v>6735</v>
      </c>
      <c r="L252" s="1" t="s">
        <v>6736</v>
      </c>
      <c r="M252" s="1" t="s">
        <v>13130</v>
      </c>
      <c r="N252" s="1" t="s">
        <v>343</v>
      </c>
      <c r="O252" s="1" t="s">
        <v>9158</v>
      </c>
      <c r="P252" s="1" t="s">
        <v>9158</v>
      </c>
      <c r="Q252" s="1" t="s">
        <v>9158</v>
      </c>
      <c r="R252" s="14" t="s">
        <v>14748</v>
      </c>
    </row>
    <row r="253" spans="1:18">
      <c r="E253" s="9"/>
    </row>
    <row r="254" spans="1:18">
      <c r="A254" s="9" t="s">
        <v>9003</v>
      </c>
      <c r="E254" s="9"/>
    </row>
    <row r="255" spans="1:18">
      <c r="A255" s="9" t="s">
        <v>9005</v>
      </c>
      <c r="E255" s="9"/>
    </row>
    <row r="256" spans="1:18">
      <c r="A256" s="9" t="s">
        <v>9004</v>
      </c>
      <c r="E256" s="9"/>
    </row>
    <row r="257" spans="1:17">
      <c r="A257" s="7" t="s">
        <v>8839</v>
      </c>
      <c r="B257" s="7" t="s">
        <v>52</v>
      </c>
      <c r="C257" s="7" t="s">
        <v>202</v>
      </c>
      <c r="D257" s="20" t="s">
        <v>10880</v>
      </c>
      <c r="E257" s="15" t="str">
        <f>HYPERLINK("https://stat100.ameba.jp/tnk47/ratio20/illustrations/card/ill_86273_0_oshogatsuniijimayae03.jpg?202001-4-RELEASE-guildbattle-450", "■")</f>
        <v>■</v>
      </c>
      <c r="F257" s="7" t="s">
        <v>8838</v>
      </c>
      <c r="G257" s="7">
        <v>164623</v>
      </c>
      <c r="H257" s="7">
        <v>182147</v>
      </c>
      <c r="I257" s="7">
        <v>15</v>
      </c>
      <c r="J257" s="1" t="s">
        <v>173</v>
      </c>
      <c r="K257" s="7" t="s">
        <v>8837</v>
      </c>
      <c r="L257" s="7" t="s">
        <v>13211</v>
      </c>
      <c r="M257" s="1" t="s">
        <v>9158</v>
      </c>
      <c r="N257" s="1" t="s">
        <v>9158</v>
      </c>
      <c r="O257" s="19" t="s">
        <v>10134</v>
      </c>
      <c r="P257" s="7" t="s">
        <v>8870</v>
      </c>
      <c r="Q257" s="7">
        <v>1</v>
      </c>
    </row>
    <row r="258" spans="1:17">
      <c r="A258" s="9">
        <v>86523</v>
      </c>
      <c r="B258" s="9" t="s">
        <v>9006</v>
      </c>
      <c r="C258" s="9" t="s">
        <v>9010</v>
      </c>
      <c r="D258" s="20" t="s">
        <v>10912</v>
      </c>
      <c r="E258" s="15" t="str">
        <f>HYPERLINK("https://stat100.ameba.jp/tnk47/ratio20/illustrations/card/ill_86523_supahirosaimeitenno03.jpg?202001-4-RELEASE-guildbattle-450", "■")</f>
        <v>■</v>
      </c>
      <c r="F258" s="9" t="s">
        <v>9020</v>
      </c>
      <c r="G258" s="9">
        <v>101558</v>
      </c>
      <c r="H258" s="9">
        <v>94390</v>
      </c>
      <c r="I258" s="9">
        <v>26</v>
      </c>
      <c r="J258" s="9" t="s">
        <v>9015</v>
      </c>
      <c r="K258" s="9" t="s">
        <v>9019</v>
      </c>
      <c r="L258" s="9" t="s">
        <v>9018</v>
      </c>
      <c r="M258" s="1" t="s">
        <v>9158</v>
      </c>
      <c r="N258" s="1" t="s">
        <v>9158</v>
      </c>
      <c r="O258" s="1" t="s">
        <v>9158</v>
      </c>
      <c r="P258" s="1" t="s">
        <v>9158</v>
      </c>
      <c r="Q258" s="1" t="s">
        <v>9158</v>
      </c>
    </row>
    <row r="259" spans="1:17">
      <c r="A259" s="9">
        <v>86533</v>
      </c>
      <c r="B259" s="9" t="s">
        <v>9006</v>
      </c>
      <c r="C259" s="9" t="s">
        <v>9011</v>
      </c>
      <c r="D259" s="20" t="s">
        <v>10913</v>
      </c>
      <c r="E259" s="15" t="str">
        <f>HYPERLINK("https://stat100.ameba.jp/tnk47/ratio20/illustrations/card/ill_86533_onikirishuyoriyorichan03.jpg?202001-4-RELEASE-guildbattle-450", "■")</f>
        <v>■</v>
      </c>
      <c r="F259" s="9" t="s">
        <v>9023</v>
      </c>
      <c r="G259" s="9">
        <v>110126</v>
      </c>
      <c r="H259" s="9">
        <v>118446</v>
      </c>
      <c r="I259" s="9">
        <v>26</v>
      </c>
      <c r="J259" s="9" t="s">
        <v>9016</v>
      </c>
      <c r="K259" s="9" t="s">
        <v>9022</v>
      </c>
      <c r="L259" s="9" t="s">
        <v>9021</v>
      </c>
      <c r="M259" s="1" t="s">
        <v>9158</v>
      </c>
      <c r="N259" s="1" t="s">
        <v>9158</v>
      </c>
      <c r="O259" s="1" t="s">
        <v>9158</v>
      </c>
      <c r="P259" s="1" t="s">
        <v>9158</v>
      </c>
      <c r="Q259" s="1" t="s">
        <v>9158</v>
      </c>
    </row>
    <row r="260" spans="1:17">
      <c r="A260" s="9">
        <v>86543</v>
      </c>
      <c r="B260" s="9" t="s">
        <v>9007</v>
      </c>
      <c r="C260" s="9" t="s">
        <v>9012</v>
      </c>
      <c r="D260" s="20" t="s">
        <v>10914</v>
      </c>
      <c r="E260" s="15" t="str">
        <f>HYPERLINK("https://stat100.ameba.jp/tnk47/ratio20/illustrations/card/ill_86543_keijisonobehideo03.jpg?202001-4-RELEASE-guildbattle-450", "■")</f>
        <v>■</v>
      </c>
      <c r="F260" s="9" t="s">
        <v>9026</v>
      </c>
      <c r="G260" s="9">
        <v>77064</v>
      </c>
      <c r="H260" s="9">
        <v>69898</v>
      </c>
      <c r="I260" s="9">
        <v>26</v>
      </c>
      <c r="J260" s="9" t="s">
        <v>9015</v>
      </c>
      <c r="K260" s="9" t="s">
        <v>9025</v>
      </c>
      <c r="L260" s="9" t="s">
        <v>9024</v>
      </c>
      <c r="M260" s="1" t="s">
        <v>9158</v>
      </c>
      <c r="N260" s="1" t="s">
        <v>9158</v>
      </c>
      <c r="O260" s="1" t="s">
        <v>9158</v>
      </c>
      <c r="P260" s="1" t="s">
        <v>9158</v>
      </c>
      <c r="Q260" s="1" t="s">
        <v>9158</v>
      </c>
    </row>
    <row r="261" spans="1:17">
      <c r="A261" s="9">
        <v>86553</v>
      </c>
      <c r="B261" s="9" t="s">
        <v>9008</v>
      </c>
      <c r="C261" s="9" t="s">
        <v>9013</v>
      </c>
      <c r="D261" s="20" t="s">
        <v>10915</v>
      </c>
      <c r="E261" s="15" t="str">
        <f>HYPERLINK("https://stat100.ameba.jp/tnk47/ratio20/illustrations/card/ill_86553_amekomiizumozenzaichan03.jpg?202001-4-RELEASE-guildbattle-450", "■")</f>
        <v>■</v>
      </c>
      <c r="F261" s="9" t="s">
        <v>9029</v>
      </c>
      <c r="G261" s="9">
        <v>44948</v>
      </c>
      <c r="H261" s="9">
        <v>54058</v>
      </c>
      <c r="I261" s="9">
        <v>26</v>
      </c>
      <c r="J261" s="9" t="s">
        <v>9016</v>
      </c>
      <c r="K261" s="9" t="s">
        <v>9028</v>
      </c>
      <c r="L261" s="9" t="s">
        <v>9027</v>
      </c>
      <c r="M261" s="1" t="s">
        <v>9158</v>
      </c>
      <c r="N261" s="1" t="s">
        <v>9158</v>
      </c>
      <c r="O261" s="1" t="s">
        <v>9158</v>
      </c>
      <c r="P261" s="1" t="s">
        <v>9158</v>
      </c>
      <c r="Q261" s="1" t="s">
        <v>9158</v>
      </c>
    </row>
    <row r="262" spans="1:17">
      <c r="A262" s="9">
        <v>86563</v>
      </c>
      <c r="B262" s="9" t="s">
        <v>9009</v>
      </c>
      <c r="C262" s="9" t="s">
        <v>9014</v>
      </c>
      <c r="D262" s="20" t="s">
        <v>10916</v>
      </c>
      <c r="E262" s="15" t="str">
        <f>HYPERLINK("https://stat100.ameba.jp/tnk47/ratio20/illustrations/card/ill_86563_akaiteruko03.jpg?202001-4-RELEASE-guildbattle-450", "■")</f>
        <v>■</v>
      </c>
      <c r="F262" s="9" t="s">
        <v>9032</v>
      </c>
      <c r="G262" s="9">
        <v>32728</v>
      </c>
      <c r="H262" s="9">
        <v>27486</v>
      </c>
      <c r="I262" s="9">
        <v>26</v>
      </c>
      <c r="J262" s="9" t="s">
        <v>9017</v>
      </c>
      <c r="K262" s="9" t="s">
        <v>9031</v>
      </c>
      <c r="L262" s="9" t="s">
        <v>9030</v>
      </c>
      <c r="M262" s="1" t="s">
        <v>9158</v>
      </c>
      <c r="N262" s="1" t="s">
        <v>9158</v>
      </c>
      <c r="O262" s="1" t="s">
        <v>9158</v>
      </c>
      <c r="P262" s="1" t="s">
        <v>9158</v>
      </c>
      <c r="Q262" s="1" t="s">
        <v>9158</v>
      </c>
    </row>
    <row r="263" spans="1:17">
      <c r="E263" s="9"/>
    </row>
    <row r="264" spans="1:17">
      <c r="A264" s="9" t="s">
        <v>9033</v>
      </c>
      <c r="E264" s="9"/>
    </row>
    <row r="265" spans="1:17">
      <c r="A265" s="9" t="s">
        <v>9034</v>
      </c>
      <c r="E265" s="9"/>
    </row>
    <row r="266" spans="1:17">
      <c r="A266" s="1" t="s">
        <v>6030</v>
      </c>
      <c r="B266" s="1" t="s">
        <v>52</v>
      </c>
      <c r="C266" s="1" t="s">
        <v>202</v>
      </c>
      <c r="D266" s="20" t="s">
        <v>10453</v>
      </c>
      <c r="E266" s="15" t="str">
        <f>HYPERLINK("https://stat100.ameba.jp/tnk47/ratio20/illustrations/card/ill_80023_0_hinamatsurikyogokumaria03.jpg?202001-4-RELEASE-guildbattle-450", "■")</f>
        <v>■</v>
      </c>
      <c r="F266" s="1" t="s">
        <v>3709</v>
      </c>
      <c r="G266" s="1">
        <v>323430</v>
      </c>
      <c r="H266" s="1">
        <v>357888</v>
      </c>
      <c r="I266" s="1">
        <v>24</v>
      </c>
      <c r="J266" s="1" t="s">
        <v>26</v>
      </c>
      <c r="K266" s="1" t="s">
        <v>3710</v>
      </c>
      <c r="L266" s="1" t="s">
        <v>3711</v>
      </c>
      <c r="M266" s="1" t="s">
        <v>9158</v>
      </c>
      <c r="N266" s="1" t="s">
        <v>9158</v>
      </c>
      <c r="O266" s="19" t="s">
        <v>10116</v>
      </c>
      <c r="P266" s="1" t="s">
        <v>3713</v>
      </c>
      <c r="Q266" s="1">
        <v>1</v>
      </c>
    </row>
    <row r="267" spans="1:17">
      <c r="A267" s="1">
        <v>80743</v>
      </c>
      <c r="B267" s="1" t="s">
        <v>0</v>
      </c>
      <c r="C267" s="1" t="s">
        <v>209</v>
      </c>
      <c r="D267" s="20" t="s">
        <v>10414</v>
      </c>
      <c r="E267" s="15" t="str">
        <f>HYPERLINK("https://stat100.ameba.jp/tnk47/ratio20/illustrations/card/ill_80743_senseijutsushi03.jpg?202001-4-RELEASE-guildbattle-450", "■")</f>
        <v>■</v>
      </c>
      <c r="F267" s="1" t="s">
        <v>4249</v>
      </c>
      <c r="G267" s="1">
        <v>75984</v>
      </c>
      <c r="H267" s="1">
        <v>104890</v>
      </c>
      <c r="I267" s="1">
        <v>24</v>
      </c>
      <c r="J267" s="1" t="s">
        <v>16</v>
      </c>
      <c r="K267" s="1" t="s">
        <v>4250</v>
      </c>
      <c r="L267" s="1" t="s">
        <v>4251</v>
      </c>
      <c r="M267" s="1" t="s">
        <v>9158</v>
      </c>
      <c r="N267" s="1" t="s">
        <v>9158</v>
      </c>
      <c r="O267" s="19" t="s">
        <v>10109</v>
      </c>
      <c r="P267" s="1" t="s">
        <v>3625</v>
      </c>
      <c r="Q267" s="1">
        <v>1</v>
      </c>
    </row>
    <row r="268" spans="1:17">
      <c r="A268" s="1">
        <v>73893</v>
      </c>
      <c r="B268" s="1" t="s">
        <v>334</v>
      </c>
      <c r="C268" s="1" t="s">
        <v>203</v>
      </c>
      <c r="D268" s="20" t="s">
        <v>10388</v>
      </c>
      <c r="E268" s="15" t="str">
        <f>HYPERLINK("https://stat100.ameba.jp/tnk47/ratio20/illustrations/card/ill_73893_kurohachidaimyojintookami03.jpg?202001-4-RELEASE-guildbattle-450", "■")</f>
        <v>■</v>
      </c>
      <c r="F268" s="1" t="s">
        <v>685</v>
      </c>
      <c r="G268" s="1">
        <v>122476</v>
      </c>
      <c r="H268" s="1">
        <v>88706</v>
      </c>
      <c r="I268" s="1">
        <v>24</v>
      </c>
      <c r="J268" s="1" t="s">
        <v>274</v>
      </c>
      <c r="K268" s="1" t="s">
        <v>686</v>
      </c>
      <c r="L268" s="1" t="s">
        <v>428</v>
      </c>
      <c r="M268" s="1" t="s">
        <v>9158</v>
      </c>
      <c r="N268" s="1" t="s">
        <v>9158</v>
      </c>
      <c r="O268" s="19" t="s">
        <v>10100</v>
      </c>
      <c r="P268" s="1" t="s">
        <v>3810</v>
      </c>
      <c r="Q268" s="1">
        <v>1</v>
      </c>
    </row>
    <row r="269" spans="1:17">
      <c r="A269" s="1">
        <v>68693</v>
      </c>
      <c r="B269" s="1" t="s">
        <v>334</v>
      </c>
      <c r="C269" s="1" t="s">
        <v>154</v>
      </c>
      <c r="D269" s="20" t="s">
        <v>10232</v>
      </c>
      <c r="E269" s="15" t="str">
        <f>HYPERLINK("https://stat100.ameba.jp/tnk47/ratio20/illustrations/card/ill_68693_mayoiga03.jpg?202001-4-RELEASE-guildbattle-450", "■")</f>
        <v>■</v>
      </c>
      <c r="F269" s="1" t="s">
        <v>3466</v>
      </c>
      <c r="G269" s="1">
        <v>126858</v>
      </c>
      <c r="H269" s="1">
        <v>91876</v>
      </c>
      <c r="I269" s="1">
        <v>24</v>
      </c>
      <c r="J269" s="1" t="s">
        <v>73</v>
      </c>
      <c r="K269" s="1" t="s">
        <v>3467</v>
      </c>
      <c r="L269" s="1" t="s">
        <v>3468</v>
      </c>
      <c r="M269" s="1" t="s">
        <v>9158</v>
      </c>
      <c r="N269" s="1" t="s">
        <v>9158</v>
      </c>
      <c r="O269" s="19" t="s">
        <v>3037</v>
      </c>
      <c r="P269" s="1" t="s">
        <v>13128</v>
      </c>
      <c r="Q269" s="1">
        <v>1</v>
      </c>
    </row>
    <row r="270" spans="1:17">
      <c r="E270" s="9"/>
    </row>
    <row r="271" spans="1:17">
      <c r="A271" s="7" t="s">
        <v>204</v>
      </c>
      <c r="B271" s="7"/>
      <c r="C271" s="7"/>
      <c r="D271" s="7"/>
      <c r="E271" s="7"/>
      <c r="F271" s="7"/>
      <c r="G271" s="7"/>
      <c r="H271" s="7"/>
      <c r="I271" s="7"/>
      <c r="J271" s="7"/>
      <c r="K271" s="7"/>
      <c r="L271" s="7"/>
      <c r="M271" s="7"/>
      <c r="N271" s="7"/>
      <c r="O271" s="7"/>
      <c r="P271" s="7"/>
      <c r="Q271" s="7"/>
    </row>
    <row r="272" spans="1:17">
      <c r="A272" s="7" t="s">
        <v>9035</v>
      </c>
      <c r="B272" s="7"/>
      <c r="C272" s="7"/>
      <c r="D272" s="7"/>
      <c r="E272" s="7"/>
      <c r="F272" s="7"/>
      <c r="G272" s="7"/>
      <c r="H272" s="7"/>
      <c r="I272" s="7"/>
      <c r="J272" s="7"/>
      <c r="K272" s="7"/>
      <c r="L272" s="7"/>
      <c r="M272" s="7"/>
      <c r="N272" s="7"/>
      <c r="O272" s="7"/>
      <c r="P272" s="7"/>
      <c r="Q272" s="7"/>
    </row>
    <row r="273" spans="1:18">
      <c r="A273" s="1" t="s">
        <v>6195</v>
      </c>
      <c r="B273" s="1" t="s">
        <v>52</v>
      </c>
      <c r="C273" s="1" t="s">
        <v>191</v>
      </c>
      <c r="D273" s="20" t="s">
        <v>10217</v>
      </c>
      <c r="E273" s="15" t="str">
        <f>HYPERLINK("https://stat100.ameba.jp/tnk47/ratio20/illustrations/card/ill_56493_0_poppukurisumasuikomakitsuno03.jpg?202001-4-RELEASE-guildbattle-450", "■")</f>
        <v>■</v>
      </c>
      <c r="F273" s="1" t="s">
        <v>1769</v>
      </c>
      <c r="G273" s="1">
        <v>138212</v>
      </c>
      <c r="H273" s="1">
        <v>122776</v>
      </c>
      <c r="I273" s="1">
        <v>22</v>
      </c>
      <c r="J273" s="1" t="s">
        <v>77</v>
      </c>
      <c r="K273" s="1" t="s">
        <v>1770</v>
      </c>
      <c r="L273" s="1" t="s">
        <v>1771</v>
      </c>
      <c r="M273" s="1" t="s">
        <v>9158</v>
      </c>
      <c r="N273" s="1" t="s">
        <v>9158</v>
      </c>
      <c r="O273" s="19" t="s">
        <v>10120</v>
      </c>
      <c r="P273" s="1" t="s">
        <v>2724</v>
      </c>
      <c r="Q273" s="1">
        <v>1</v>
      </c>
    </row>
    <row r="274" spans="1:18">
      <c r="A274" s="1" t="s">
        <v>5620</v>
      </c>
      <c r="B274" s="1" t="s">
        <v>330</v>
      </c>
      <c r="C274" s="1" t="s">
        <v>206</v>
      </c>
      <c r="D274" s="20" t="s">
        <v>14326</v>
      </c>
      <c r="E274" s="15" t="str">
        <f>HYPERLINK("https://stat100.ameba.jp/tnk47/ratio20/illustrations/card/ill_67173_0_yukemuriawamorichan03.jpg?202001-4-RELEASE-guildbattle-450", "■")</f>
        <v>■</v>
      </c>
      <c r="F274" s="1" t="s">
        <v>670</v>
      </c>
      <c r="G274" s="1">
        <v>169032</v>
      </c>
      <c r="H274" s="1">
        <v>157150</v>
      </c>
      <c r="I274" s="1">
        <v>22</v>
      </c>
      <c r="J274" s="1" t="s">
        <v>283</v>
      </c>
      <c r="K274" s="1" t="s">
        <v>671</v>
      </c>
      <c r="L274" s="1" t="s">
        <v>672</v>
      </c>
      <c r="M274" s="1" t="s">
        <v>9158</v>
      </c>
      <c r="N274" s="1" t="s">
        <v>9158</v>
      </c>
      <c r="O274" s="19" t="s">
        <v>10087</v>
      </c>
      <c r="P274" s="1" t="s">
        <v>3455</v>
      </c>
      <c r="Q274" s="1">
        <v>1</v>
      </c>
    </row>
    <row r="275" spans="1:18">
      <c r="A275" s="1" t="s">
        <v>5608</v>
      </c>
      <c r="B275" s="1" t="s">
        <v>52</v>
      </c>
      <c r="C275" s="1" t="s">
        <v>96</v>
      </c>
      <c r="D275" s="20" t="s">
        <v>634</v>
      </c>
      <c r="E275" s="15" t="str">
        <f>HYPERLINK("https://stat100.ameba.jp/tnk47/ratio20/illustrations/card/ill_40963_0_makami03.jpg?202001-4-RELEASE-guildbattle-450", "■")</f>
        <v>■</v>
      </c>
      <c r="F275" s="1" t="s">
        <v>2038</v>
      </c>
      <c r="G275" s="1">
        <v>128744</v>
      </c>
      <c r="H275" s="1">
        <v>120576</v>
      </c>
      <c r="I275" s="1">
        <v>22</v>
      </c>
      <c r="J275" s="1" t="s">
        <v>44</v>
      </c>
      <c r="K275" s="1" t="s">
        <v>2039</v>
      </c>
      <c r="L275" s="1" t="s">
        <v>2040</v>
      </c>
      <c r="M275" s="1" t="s">
        <v>9158</v>
      </c>
      <c r="N275" s="1" t="s">
        <v>9158</v>
      </c>
      <c r="O275" s="1" t="s">
        <v>9158</v>
      </c>
      <c r="P275" s="1" t="s">
        <v>9158</v>
      </c>
      <c r="Q275" s="1" t="s">
        <v>9158</v>
      </c>
    </row>
    <row r="276" spans="1:18">
      <c r="A276" s="1">
        <v>73503</v>
      </c>
      <c r="B276" s="1" t="s">
        <v>334</v>
      </c>
      <c r="C276" s="1" t="s">
        <v>200</v>
      </c>
      <c r="D276" s="20" t="s">
        <v>2875</v>
      </c>
      <c r="E276" s="15" t="str">
        <f>HYPERLINK("https://stat100.ameba.jp/tnk47/ratio20/illustrations/card/ill_73503_nagashirahanokami03.jpg?202001-4-RELEASE-guildbattle-450", "■")</f>
        <v>■</v>
      </c>
      <c r="F276" s="1" t="s">
        <v>9038</v>
      </c>
      <c r="G276" s="1">
        <v>130968</v>
      </c>
      <c r="H276" s="1">
        <v>73678</v>
      </c>
      <c r="I276" s="1">
        <v>26</v>
      </c>
      <c r="J276" s="1" t="s">
        <v>44</v>
      </c>
      <c r="K276" s="1" t="s">
        <v>9037</v>
      </c>
      <c r="L276" s="1" t="s">
        <v>9036</v>
      </c>
      <c r="M276" s="1" t="s">
        <v>9158</v>
      </c>
      <c r="N276" s="1" t="s">
        <v>9158</v>
      </c>
      <c r="O276" s="1" t="s">
        <v>9158</v>
      </c>
      <c r="P276" s="1" t="s">
        <v>9158</v>
      </c>
      <c r="Q276" s="1" t="s">
        <v>9158</v>
      </c>
    </row>
    <row r="277" spans="1:18">
      <c r="A277" s="1">
        <v>53033</v>
      </c>
      <c r="B277" s="1" t="s">
        <v>334</v>
      </c>
      <c r="C277" s="1" t="s">
        <v>205</v>
      </c>
      <c r="D277" s="20" t="s">
        <v>10917</v>
      </c>
      <c r="E277" s="15" t="str">
        <f>HYPERLINK("https://stat100.ameba.jp/tnk47/ratio20/illustrations/card/ill_53033_sogomasayasu03.jpg?202001-4-RELEASE-guildbattle-450", "■")</f>
        <v>■</v>
      </c>
      <c r="F277" s="1" t="s">
        <v>9041</v>
      </c>
      <c r="G277" s="1">
        <v>154128</v>
      </c>
      <c r="H277" s="1">
        <v>93172</v>
      </c>
      <c r="I277" s="1">
        <v>26</v>
      </c>
      <c r="J277" s="9" t="s">
        <v>9017</v>
      </c>
      <c r="K277" s="1" t="s">
        <v>9040</v>
      </c>
      <c r="L277" s="1" t="s">
        <v>9039</v>
      </c>
      <c r="M277" s="1" t="s">
        <v>9158</v>
      </c>
      <c r="N277" s="1" t="s">
        <v>9158</v>
      </c>
      <c r="O277" s="1" t="s">
        <v>9158</v>
      </c>
      <c r="P277" s="1" t="s">
        <v>9158</v>
      </c>
      <c r="Q277" s="1" t="s">
        <v>9158</v>
      </c>
    </row>
    <row r="278" spans="1:18">
      <c r="A278" s="1">
        <v>84713</v>
      </c>
      <c r="B278" s="1" t="s">
        <v>334</v>
      </c>
      <c r="C278" s="1" t="s">
        <v>185</v>
      </c>
      <c r="D278" s="20" t="s">
        <v>10696</v>
      </c>
      <c r="E278" s="15" t="str">
        <f>HYPERLINK("https://stat100.ameba.jp/tnk47/ratio20/illustrations/card/ill_84713_shogiyodabenzo03.jpg?202001-4-RELEASE-guildbattle-450", "■")</f>
        <v>■</v>
      </c>
      <c r="F278" s="1" t="s">
        <v>9044</v>
      </c>
      <c r="G278" s="1">
        <v>101558</v>
      </c>
      <c r="H278" s="1">
        <v>94390</v>
      </c>
      <c r="I278" s="1">
        <v>26</v>
      </c>
      <c r="J278" s="1" t="s">
        <v>10</v>
      </c>
      <c r="K278" s="1" t="s">
        <v>9043</v>
      </c>
      <c r="L278" s="1" t="s">
        <v>9042</v>
      </c>
      <c r="M278" s="1" t="s">
        <v>9158</v>
      </c>
      <c r="N278" s="1" t="s">
        <v>9158</v>
      </c>
      <c r="O278" s="1" t="s">
        <v>9158</v>
      </c>
      <c r="P278" s="1" t="s">
        <v>9158</v>
      </c>
      <c r="Q278" s="1" t="s">
        <v>9158</v>
      </c>
    </row>
    <row r="279" spans="1:18">
      <c r="A279" s="1">
        <v>75803</v>
      </c>
      <c r="B279" s="1" t="s">
        <v>15</v>
      </c>
      <c r="C279" s="1" t="s">
        <v>185</v>
      </c>
      <c r="D279" s="20" t="s">
        <v>10462</v>
      </c>
      <c r="E279" s="15" t="str">
        <f>HYPERLINK("https://stat100.ameba.jp/tnk47/ratio20/illustrations/card/ill_75803_hasekuratsunenaga03.jpg?202001-4-RELEASE-guildbattle-450", "■")</f>
        <v>■</v>
      </c>
      <c r="F279" s="1" t="s">
        <v>6063</v>
      </c>
      <c r="G279" s="1">
        <v>77064</v>
      </c>
      <c r="H279" s="1">
        <v>69898</v>
      </c>
      <c r="I279" s="1">
        <v>26</v>
      </c>
      <c r="J279" s="1" t="s">
        <v>159</v>
      </c>
      <c r="K279" s="1" t="s">
        <v>6065</v>
      </c>
      <c r="L279" s="1" t="s">
        <v>13200</v>
      </c>
      <c r="M279" s="1" t="s">
        <v>9158</v>
      </c>
      <c r="N279" s="1" t="s">
        <v>9158</v>
      </c>
      <c r="O279" s="1" t="s">
        <v>9158</v>
      </c>
      <c r="P279" s="1" t="s">
        <v>9158</v>
      </c>
      <c r="Q279" s="1" t="s">
        <v>9158</v>
      </c>
    </row>
    <row r="280" spans="1:18">
      <c r="A280" s="1">
        <v>56283</v>
      </c>
      <c r="B280" s="1" t="s">
        <v>15</v>
      </c>
      <c r="C280" s="1" t="s">
        <v>200</v>
      </c>
      <c r="D280" s="20" t="s">
        <v>10893</v>
      </c>
      <c r="E280" s="15" t="str">
        <f>HYPERLINK("https://stat100.ameba.jp/tnk47/ratio20/illustrations/card/ill_56283_miritarimizugishirotsubakinosei03.jpg?202001-4-RELEASE-guildbattle-450", "■")</f>
        <v>■</v>
      </c>
      <c r="F280" s="1" t="s">
        <v>8887</v>
      </c>
      <c r="G280" s="1">
        <v>77064</v>
      </c>
      <c r="H280" s="1">
        <v>69898</v>
      </c>
      <c r="I280" s="1">
        <v>26</v>
      </c>
      <c r="J280" s="1" t="s">
        <v>274</v>
      </c>
      <c r="K280" s="1" t="s">
        <v>8886</v>
      </c>
      <c r="L280" s="1" t="s">
        <v>1702</v>
      </c>
      <c r="M280" s="1" t="s">
        <v>9158</v>
      </c>
      <c r="N280" s="1" t="s">
        <v>9158</v>
      </c>
      <c r="O280" s="1" t="s">
        <v>9158</v>
      </c>
      <c r="P280" s="1" t="s">
        <v>9158</v>
      </c>
      <c r="Q280" s="1" t="s">
        <v>9158</v>
      </c>
    </row>
    <row r="281" spans="1:18">
      <c r="A281" s="1">
        <v>49243</v>
      </c>
      <c r="B281" s="1" t="s">
        <v>15</v>
      </c>
      <c r="C281" s="1" t="s">
        <v>205</v>
      </c>
      <c r="D281" s="20" t="s">
        <v>10894</v>
      </c>
      <c r="E281" s="15" t="str">
        <f>HYPERLINK("https://stat100.ameba.jp/tnk47/ratio20/illustrations/card/ill_49243_kanfukatsurakogorou03.jpg?202001-4-RELEASE-guildbattle-450", "■")</f>
        <v>■</v>
      </c>
      <c r="F281" s="1" t="s">
        <v>8890</v>
      </c>
      <c r="G281" s="1">
        <v>77064</v>
      </c>
      <c r="H281" s="1">
        <v>69898</v>
      </c>
      <c r="I281" s="1">
        <v>26</v>
      </c>
      <c r="J281" s="1" t="s">
        <v>10</v>
      </c>
      <c r="K281" s="1" t="s">
        <v>8889</v>
      </c>
      <c r="L281" s="1" t="s">
        <v>8888</v>
      </c>
      <c r="M281" s="1" t="s">
        <v>9158</v>
      </c>
      <c r="N281" s="1" t="s">
        <v>9158</v>
      </c>
      <c r="O281" s="1" t="s">
        <v>9158</v>
      </c>
      <c r="P281" s="1" t="s">
        <v>9158</v>
      </c>
      <c r="Q281" s="1" t="s">
        <v>9158</v>
      </c>
    </row>
    <row r="282" spans="1:18">
      <c r="E282" s="9"/>
    </row>
    <row r="283" spans="1:18">
      <c r="A283" s="9" t="s">
        <v>13389</v>
      </c>
      <c r="E283" s="9"/>
    </row>
    <row r="284" spans="1:18">
      <c r="A284" s="9" t="s">
        <v>9045</v>
      </c>
      <c r="E284" s="9"/>
    </row>
    <row r="285" spans="1:18">
      <c r="A285" s="9">
        <v>86385</v>
      </c>
      <c r="B285" s="9" t="s">
        <v>9046</v>
      </c>
      <c r="C285" s="9" t="s">
        <v>9048</v>
      </c>
      <c r="D285" s="20" t="s">
        <v>10918</v>
      </c>
      <c r="E285" s="15" t="str">
        <f>HYPERLINK("https://stat100.ameba.jp/tnk47/ratio20/illustrations/card/ill_86385_jirudorei05.jpg?202001-4-RELEASE-guildbattle-450", "■")</f>
        <v>■</v>
      </c>
      <c r="F285" s="9" t="s">
        <v>9055</v>
      </c>
      <c r="G285" s="9">
        <v>141442</v>
      </c>
      <c r="H285" s="9">
        <v>195332</v>
      </c>
      <c r="I285" s="9">
        <v>26</v>
      </c>
      <c r="J285" s="1" t="s">
        <v>10</v>
      </c>
      <c r="K285" s="9" t="s">
        <v>9054</v>
      </c>
      <c r="L285" s="9" t="s">
        <v>9053</v>
      </c>
      <c r="M285" s="1" t="s">
        <v>9158</v>
      </c>
      <c r="N285" s="1" t="s">
        <v>9158</v>
      </c>
      <c r="O285" s="1" t="s">
        <v>9158</v>
      </c>
      <c r="P285" s="1" t="s">
        <v>9158</v>
      </c>
      <c r="Q285" s="1" t="s">
        <v>9158</v>
      </c>
      <c r="R285" s="9" t="s">
        <v>9050</v>
      </c>
    </row>
    <row r="286" spans="1:18">
      <c r="A286" s="9">
        <v>86383</v>
      </c>
      <c r="B286" s="9" t="s">
        <v>9047</v>
      </c>
      <c r="C286" s="9" t="s">
        <v>9049</v>
      </c>
      <c r="D286" s="20" t="s">
        <v>10918</v>
      </c>
      <c r="E286" s="15" t="str">
        <f>HYPERLINK("https://stat100.ameba.jp/tnk47/ratio20/illustrations/card/ill_86383_jirudorei03.jpg?202001-4-RELEASE-guildbattle-450", "■")</f>
        <v>■</v>
      </c>
      <c r="F286" s="9" t="s">
        <v>9055</v>
      </c>
      <c r="G286" s="9">
        <v>104218</v>
      </c>
      <c r="H286" s="9">
        <v>143920</v>
      </c>
      <c r="I286" s="9">
        <v>26</v>
      </c>
      <c r="J286" s="1" t="s">
        <v>10</v>
      </c>
      <c r="K286" s="9" t="s">
        <v>9054</v>
      </c>
      <c r="L286" s="9" t="s">
        <v>9056</v>
      </c>
      <c r="M286" s="1" t="s">
        <v>9158</v>
      </c>
      <c r="N286" s="1" t="s">
        <v>9158</v>
      </c>
      <c r="O286" s="1" t="s">
        <v>9158</v>
      </c>
      <c r="P286" s="1" t="s">
        <v>9158</v>
      </c>
      <c r="Q286" s="1" t="s">
        <v>9158</v>
      </c>
      <c r="R286" s="9" t="s">
        <v>9051</v>
      </c>
    </row>
    <row r="287" spans="1:18">
      <c r="A287" s="9">
        <v>86381</v>
      </c>
      <c r="B287" s="9" t="s">
        <v>9047</v>
      </c>
      <c r="C287" s="9" t="s">
        <v>9049</v>
      </c>
      <c r="D287" s="20" t="s">
        <v>10918</v>
      </c>
      <c r="E287" s="15" t="str">
        <f>HYPERLINK("https://stat100.ameba.jp/tnk47/ratio20/illustrations/card/ill_86381_jirudorei01.jpg?202001-4-RELEASE-guildbattle-450", "■")</f>
        <v>■</v>
      </c>
      <c r="F287" s="9" t="s">
        <v>9055</v>
      </c>
      <c r="G287" s="9">
        <v>66300</v>
      </c>
      <c r="H287" s="9">
        <v>91546</v>
      </c>
      <c r="I287" s="9">
        <v>26</v>
      </c>
      <c r="J287" s="1" t="s">
        <v>10</v>
      </c>
      <c r="K287" s="9" t="s">
        <v>9054</v>
      </c>
      <c r="L287" s="9" t="s">
        <v>9057</v>
      </c>
      <c r="M287" s="1" t="s">
        <v>9158</v>
      </c>
      <c r="N287" s="1" t="s">
        <v>9158</v>
      </c>
      <c r="O287" s="1" t="s">
        <v>9158</v>
      </c>
      <c r="P287" s="1" t="s">
        <v>9158</v>
      </c>
      <c r="Q287" s="1" t="s">
        <v>9158</v>
      </c>
      <c r="R287" s="9" t="s">
        <v>9052</v>
      </c>
    </row>
    <row r="288" spans="1:18">
      <c r="E288" s="9"/>
    </row>
    <row r="289" spans="1:17">
      <c r="A289" s="9" t="s">
        <v>10553</v>
      </c>
      <c r="E289" s="9"/>
    </row>
    <row r="290" spans="1:17">
      <c r="A290" s="9" t="s">
        <v>9424</v>
      </c>
      <c r="E290" s="9"/>
    </row>
    <row r="291" spans="1:17">
      <c r="A291" s="9">
        <v>41433</v>
      </c>
      <c r="B291" s="9" t="s">
        <v>9046</v>
      </c>
      <c r="C291" s="9" t="s">
        <v>9058</v>
      </c>
      <c r="D291" s="20" t="s">
        <v>11608</v>
      </c>
      <c r="E291" s="15" t="str">
        <f>HYPERLINK("https://stat100.ameba.jp/tnk47/ratio20/illustrations/card/ill_41433_baikuodanobunaga03.jpg?202001-4-RELEASE-guildbattle-450", "■")</f>
        <v>■</v>
      </c>
      <c r="F291" s="9" t="s">
        <v>9070</v>
      </c>
      <c r="G291" s="9">
        <v>148199</v>
      </c>
      <c r="H291" s="9">
        <v>89590</v>
      </c>
      <c r="I291" s="9">
        <v>25</v>
      </c>
      <c r="J291" s="9" t="s">
        <v>9063</v>
      </c>
      <c r="K291" s="9" t="s">
        <v>9069</v>
      </c>
      <c r="L291" s="9" t="s">
        <v>9068</v>
      </c>
      <c r="M291" s="1" t="s">
        <v>9158</v>
      </c>
      <c r="N291" s="1" t="s">
        <v>9158</v>
      </c>
      <c r="O291" s="1" t="s">
        <v>9158</v>
      </c>
      <c r="P291" s="1" t="s">
        <v>9158</v>
      </c>
      <c r="Q291" s="1" t="s">
        <v>9158</v>
      </c>
    </row>
    <row r="292" spans="1:17">
      <c r="A292" s="9">
        <v>42533</v>
      </c>
      <c r="B292" s="9" t="s">
        <v>9046</v>
      </c>
      <c r="C292" s="9" t="s">
        <v>9049</v>
      </c>
      <c r="D292" s="20" t="s">
        <v>11607</v>
      </c>
      <c r="E292" s="15" t="str">
        <f>HYPERLINK("https://stat100.ameba.jp/tnk47/ratio20/illustrations/card/ill_42533_meigetsuhime03.jpg?202001-4-RELEASE-guildbattle-450", "■")</f>
        <v>■</v>
      </c>
      <c r="F292" s="9" t="s">
        <v>9073</v>
      </c>
      <c r="G292" s="9">
        <v>96360</v>
      </c>
      <c r="H292" s="9">
        <v>89590</v>
      </c>
      <c r="I292" s="9">
        <v>25</v>
      </c>
      <c r="J292" s="9" t="s">
        <v>9064</v>
      </c>
      <c r="K292" s="9" t="s">
        <v>9072</v>
      </c>
      <c r="L292" s="9" t="s">
        <v>9071</v>
      </c>
      <c r="M292" s="1" t="s">
        <v>9158</v>
      </c>
      <c r="N292" s="1" t="s">
        <v>9158</v>
      </c>
      <c r="O292" s="1" t="s">
        <v>9158</v>
      </c>
      <c r="P292" s="1" t="s">
        <v>9158</v>
      </c>
      <c r="Q292" s="1" t="s">
        <v>9158</v>
      </c>
    </row>
    <row r="293" spans="1:17">
      <c r="A293" s="9">
        <v>42413</v>
      </c>
      <c r="B293" s="9" t="s">
        <v>9046</v>
      </c>
      <c r="C293" s="9" t="s">
        <v>9059</v>
      </c>
      <c r="D293" s="20" t="s">
        <v>3049</v>
      </c>
      <c r="E293" s="15" t="str">
        <f>HYPERLINK("https://stat100.ameba.jp/tnk47/ratio20/illustrations/card/ill_42413_temma03.jpg?202001-4-RELEASE-guildbattle-450", "■")</f>
        <v>■</v>
      </c>
      <c r="F293" s="9" t="s">
        <v>9076</v>
      </c>
      <c r="G293" s="9">
        <v>89590</v>
      </c>
      <c r="H293" s="9">
        <v>96360</v>
      </c>
      <c r="I293" s="9">
        <v>25</v>
      </c>
      <c r="J293" s="9" t="s">
        <v>9065</v>
      </c>
      <c r="K293" s="9" t="s">
        <v>9075</v>
      </c>
      <c r="L293" s="9" t="s">
        <v>9074</v>
      </c>
      <c r="M293" s="1" t="s">
        <v>9158</v>
      </c>
      <c r="N293" s="1" t="s">
        <v>9158</v>
      </c>
      <c r="O293" s="1" t="s">
        <v>9158</v>
      </c>
      <c r="P293" s="1" t="s">
        <v>9158</v>
      </c>
      <c r="Q293" s="1" t="s">
        <v>9158</v>
      </c>
    </row>
    <row r="294" spans="1:17">
      <c r="A294" s="9">
        <v>47163</v>
      </c>
      <c r="B294" s="9" t="s">
        <v>9047</v>
      </c>
      <c r="C294" s="9" t="s">
        <v>9060</v>
      </c>
      <c r="D294" s="20" t="s">
        <v>10919</v>
      </c>
      <c r="E294" s="15" t="str">
        <f>HYPERLINK("https://stat100.ameba.jp/tnk47/ratio20/illustrations/card/ill_47163_oukyuuhyourin03.jpg?202001-4-RELEASE-guildbattle-450", "■")</f>
        <v>■</v>
      </c>
      <c r="F294" s="9" t="s">
        <v>9079</v>
      </c>
      <c r="G294" s="9">
        <v>56316</v>
      </c>
      <c r="H294" s="9">
        <v>51078</v>
      </c>
      <c r="I294" s="9">
        <v>19</v>
      </c>
      <c r="J294" s="9" t="s">
        <v>9065</v>
      </c>
      <c r="K294" s="9" t="s">
        <v>9078</v>
      </c>
      <c r="L294" s="9" t="s">
        <v>9077</v>
      </c>
      <c r="M294" s="1" t="s">
        <v>9158</v>
      </c>
      <c r="N294" s="1" t="s">
        <v>9158</v>
      </c>
      <c r="O294" s="1" t="s">
        <v>9158</v>
      </c>
      <c r="P294" s="1" t="s">
        <v>9158</v>
      </c>
      <c r="Q294" s="1" t="s">
        <v>9158</v>
      </c>
    </row>
    <row r="295" spans="1:17">
      <c r="A295" s="9">
        <v>59883</v>
      </c>
      <c r="B295" s="9" t="s">
        <v>9047</v>
      </c>
      <c r="C295" s="9" t="s">
        <v>9061</v>
      </c>
      <c r="D295" s="20" t="s">
        <v>10676</v>
      </c>
      <c r="E295" s="15" t="str">
        <f>HYPERLINK("https://stat100.ameba.jp/tnk47/ratio20/illustrations/card/ill_59883_yoseienshininden03.jpg?202001-4-RELEASE-guildbattle-450", "■")</f>
        <v>■</v>
      </c>
      <c r="F295" s="9" t="s">
        <v>9082</v>
      </c>
      <c r="G295" s="9">
        <v>51078</v>
      </c>
      <c r="H295" s="9">
        <v>56316</v>
      </c>
      <c r="I295" s="9">
        <v>19</v>
      </c>
      <c r="J295" s="9" t="s">
        <v>9066</v>
      </c>
      <c r="K295" s="9" t="s">
        <v>9081</v>
      </c>
      <c r="L295" s="9" t="s">
        <v>9080</v>
      </c>
      <c r="M295" s="1" t="s">
        <v>9158</v>
      </c>
      <c r="N295" s="1" t="s">
        <v>9158</v>
      </c>
      <c r="O295" s="1" t="s">
        <v>9158</v>
      </c>
      <c r="P295" s="1" t="s">
        <v>9158</v>
      </c>
      <c r="Q295" s="1" t="s">
        <v>9158</v>
      </c>
    </row>
    <row r="296" spans="1:17">
      <c r="A296" s="9">
        <v>67303</v>
      </c>
      <c r="B296" s="9" t="s">
        <v>9047</v>
      </c>
      <c r="C296" s="9" t="s">
        <v>9062</v>
      </c>
      <c r="D296" s="20" t="s">
        <v>10920</v>
      </c>
      <c r="E296" s="15" t="str">
        <f>HYPERLINK("https://stat100.ameba.jp/tnk47/ratio20/illustrations/card/ill_67303_kobitokaba03.jpg?202001-4-RELEASE-guildbattle-450", "■")</f>
        <v>■</v>
      </c>
      <c r="F296" s="9" t="s">
        <v>9085</v>
      </c>
      <c r="G296" s="9">
        <v>51078</v>
      </c>
      <c r="H296" s="9">
        <v>56316</v>
      </c>
      <c r="I296" s="9">
        <v>19</v>
      </c>
      <c r="J296" s="9" t="s">
        <v>9067</v>
      </c>
      <c r="K296" s="9" t="s">
        <v>9084</v>
      </c>
      <c r="L296" s="9" t="s">
        <v>9083</v>
      </c>
      <c r="M296" s="1" t="s">
        <v>9158</v>
      </c>
      <c r="N296" s="1" t="s">
        <v>9158</v>
      </c>
      <c r="O296" s="1" t="s">
        <v>9158</v>
      </c>
      <c r="P296" s="1" t="s">
        <v>9158</v>
      </c>
      <c r="Q296" s="1" t="s">
        <v>9158</v>
      </c>
    </row>
    <row r="297" spans="1:17">
      <c r="E297" s="9"/>
    </row>
    <row r="298" spans="1:17">
      <c r="A298" s="9" t="s">
        <v>1711</v>
      </c>
      <c r="E298" s="9"/>
    </row>
    <row r="299" spans="1:17">
      <c r="A299" s="9" t="s">
        <v>9086</v>
      </c>
      <c r="E299" s="9"/>
    </row>
    <row r="300" spans="1:17">
      <c r="A300" s="1" t="s">
        <v>5606</v>
      </c>
      <c r="B300" s="1" t="s">
        <v>52</v>
      </c>
      <c r="C300" s="1" t="s">
        <v>206</v>
      </c>
      <c r="D300" s="20" t="s">
        <v>2936</v>
      </c>
      <c r="E300" s="15" t="str">
        <f>HYPERLINK("https://stat100.ameba.jp/tnk47/ratio20/illustrations/card/ill_72233_0_koinoboriryugujin03.jpg?202001-4-RELEASE-guildbattle-450x", "■")</f>
        <v>■</v>
      </c>
      <c r="F300" s="1" t="s">
        <v>1012</v>
      </c>
      <c r="G300" s="1">
        <v>157432</v>
      </c>
      <c r="H300" s="1">
        <v>169334</v>
      </c>
      <c r="I300" s="1">
        <v>24</v>
      </c>
      <c r="J300" s="1" t="s">
        <v>44</v>
      </c>
      <c r="K300" s="1" t="s">
        <v>1013</v>
      </c>
      <c r="L300" s="1" t="s">
        <v>1014</v>
      </c>
      <c r="M300" s="1" t="s">
        <v>9158</v>
      </c>
      <c r="N300" s="1" t="s">
        <v>9158</v>
      </c>
      <c r="O300" s="19" t="s">
        <v>2940</v>
      </c>
      <c r="P300" s="1" t="s">
        <v>2941</v>
      </c>
      <c r="Q300" s="1">
        <v>2</v>
      </c>
    </row>
    <row r="301" spans="1:17">
      <c r="A301" s="1" t="s">
        <v>5901</v>
      </c>
      <c r="B301" s="1" t="s">
        <v>52</v>
      </c>
      <c r="C301" s="1" t="s">
        <v>101</v>
      </c>
      <c r="D301" s="20" t="s">
        <v>1426</v>
      </c>
      <c r="E301" s="15" t="str">
        <f>HYPERLINK("https://stat100.ameba.jp/tnk47/ratio20/illustrations/card/ill_64953_0_yukatatokugawayoshinobu03.jpg?202001-4-RELEASE-guildbattle-450x", "■")</f>
        <v>■</v>
      </c>
      <c r="F301" s="1" t="s">
        <v>2090</v>
      </c>
      <c r="G301" s="1">
        <v>149520</v>
      </c>
      <c r="H301" s="1">
        <v>160804</v>
      </c>
      <c r="I301" s="1">
        <v>24</v>
      </c>
      <c r="J301" s="1" t="s">
        <v>10</v>
      </c>
      <c r="K301" s="1" t="s">
        <v>2091</v>
      </c>
      <c r="L301" s="1" t="s">
        <v>2092</v>
      </c>
      <c r="M301" s="1" t="s">
        <v>9158</v>
      </c>
      <c r="N301" s="1" t="s">
        <v>9158</v>
      </c>
      <c r="O301" s="19" t="s">
        <v>2889</v>
      </c>
      <c r="P301" s="1" t="s">
        <v>2890</v>
      </c>
      <c r="Q301" s="1">
        <v>1</v>
      </c>
    </row>
    <row r="302" spans="1:17">
      <c r="A302" s="1" t="s">
        <v>5721</v>
      </c>
      <c r="B302" s="1" t="s">
        <v>52</v>
      </c>
      <c r="C302" s="1" t="s">
        <v>1</v>
      </c>
      <c r="D302" s="20" t="s">
        <v>513</v>
      </c>
      <c r="E302" s="15" t="str">
        <f>HYPERLINK("https://stat100.ameba.jp/tnk47/ratio20/illustrations/card/ill_44283_0_izumonokuni03.jpg?202001-4-RELEASE-guildbattle-450x", "■")</f>
        <v>■</v>
      </c>
      <c r="F302" s="1" t="s">
        <v>1716</v>
      </c>
      <c r="G302" s="1">
        <v>140448</v>
      </c>
      <c r="H302" s="1">
        <v>131538</v>
      </c>
      <c r="I302" s="1">
        <v>24</v>
      </c>
      <c r="J302" s="1" t="s">
        <v>16</v>
      </c>
      <c r="K302" s="1" t="s">
        <v>2254</v>
      </c>
      <c r="L302" s="1" t="s">
        <v>1718</v>
      </c>
      <c r="M302" s="1" t="s">
        <v>9158</v>
      </c>
      <c r="N302" s="1" t="s">
        <v>9158</v>
      </c>
      <c r="O302" s="1" t="s">
        <v>9158</v>
      </c>
      <c r="P302" s="1" t="s">
        <v>9158</v>
      </c>
      <c r="Q302" s="1" t="s">
        <v>9158</v>
      </c>
    </row>
    <row r="303" spans="1:17">
      <c r="A303" s="9">
        <v>86523</v>
      </c>
      <c r="B303" s="9" t="s">
        <v>0</v>
      </c>
      <c r="C303" s="9" t="s">
        <v>165</v>
      </c>
      <c r="D303" s="20" t="s">
        <v>10912</v>
      </c>
      <c r="E303" s="15" t="str">
        <f>HYPERLINK("https://stat100.ameba.jp/tnk47/ratio20/illustrations/card/ill_86523_supahirosaimeitenno03.jpg?202001-4-RELEASE-guildbattle-450x", "■")</f>
        <v>■</v>
      </c>
      <c r="F303" s="9" t="s">
        <v>9020</v>
      </c>
      <c r="G303" s="9">
        <v>97651</v>
      </c>
      <c r="H303" s="9">
        <v>90759</v>
      </c>
      <c r="I303" s="9">
        <v>25</v>
      </c>
      <c r="J303" s="9" t="s">
        <v>173</v>
      </c>
      <c r="K303" s="9" t="s">
        <v>9019</v>
      </c>
      <c r="L303" s="9" t="s">
        <v>6763</v>
      </c>
      <c r="M303" s="1" t="s">
        <v>9158</v>
      </c>
      <c r="N303" s="1" t="s">
        <v>9158</v>
      </c>
      <c r="O303" s="1" t="s">
        <v>9158</v>
      </c>
      <c r="P303" s="1" t="s">
        <v>9158</v>
      </c>
      <c r="Q303" s="1" t="s">
        <v>9158</v>
      </c>
    </row>
    <row r="304" spans="1:17">
      <c r="A304" s="9">
        <v>86543</v>
      </c>
      <c r="B304" s="9" t="s">
        <v>15</v>
      </c>
      <c r="C304" s="9" t="s">
        <v>185</v>
      </c>
      <c r="D304" s="20" t="s">
        <v>10914</v>
      </c>
      <c r="E304" s="15" t="str">
        <f>HYPERLINK("https://stat100.ameba.jp/tnk47/ratio20/illustrations/card/ill_86543_keijisonobehideo03.jpg?202001-4-RELEASE-guildbattle-450x", "■")</f>
        <v>■</v>
      </c>
      <c r="F304" s="9" t="s">
        <v>9026</v>
      </c>
      <c r="G304" s="9">
        <v>74100</v>
      </c>
      <c r="H304" s="9">
        <v>67210</v>
      </c>
      <c r="I304" s="9">
        <v>25</v>
      </c>
      <c r="J304" s="9" t="s">
        <v>173</v>
      </c>
      <c r="K304" s="9" t="s">
        <v>9025</v>
      </c>
      <c r="L304" s="9" t="s">
        <v>3275</v>
      </c>
      <c r="M304" s="1" t="s">
        <v>9158</v>
      </c>
      <c r="N304" s="1" t="s">
        <v>9158</v>
      </c>
      <c r="O304" s="1" t="s">
        <v>9158</v>
      </c>
      <c r="P304" s="1" t="s">
        <v>9158</v>
      </c>
      <c r="Q304" s="1" t="s">
        <v>9158</v>
      </c>
    </row>
    <row r="305" spans="1:18">
      <c r="A305" s="9">
        <v>86553</v>
      </c>
      <c r="B305" s="9" t="s">
        <v>22</v>
      </c>
      <c r="C305" s="9" t="s">
        <v>205</v>
      </c>
      <c r="D305" s="20" t="s">
        <v>10915</v>
      </c>
      <c r="E305" s="15" t="str">
        <f>HYPERLINK("https://stat100.ameba.jp/tnk47/ratio20/illustrations/card/ill_86553_amekomiizumozenzaichan03.jpg?202001-4-RELEASE-guildbattle-450x", "■")</f>
        <v>■</v>
      </c>
      <c r="F305" s="9" t="s">
        <v>9029</v>
      </c>
      <c r="G305" s="9">
        <v>43220</v>
      </c>
      <c r="H305" s="9">
        <v>51980</v>
      </c>
      <c r="I305" s="9">
        <v>25</v>
      </c>
      <c r="J305" s="9" t="s">
        <v>216</v>
      </c>
      <c r="K305" s="9" t="s">
        <v>9028</v>
      </c>
      <c r="L305" s="9" t="s">
        <v>3839</v>
      </c>
      <c r="M305" s="1" t="s">
        <v>9158</v>
      </c>
      <c r="N305" s="1" t="s">
        <v>9158</v>
      </c>
      <c r="O305" s="1" t="s">
        <v>9158</v>
      </c>
      <c r="P305" s="1" t="s">
        <v>9158</v>
      </c>
      <c r="Q305" s="1" t="s">
        <v>9158</v>
      </c>
    </row>
    <row r="306" spans="1:18">
      <c r="A306" s="9">
        <v>86563</v>
      </c>
      <c r="B306" s="9" t="s">
        <v>30</v>
      </c>
      <c r="C306" s="9" t="s">
        <v>9014</v>
      </c>
      <c r="D306" s="20" t="s">
        <v>10916</v>
      </c>
      <c r="E306" s="15" t="str">
        <f>HYPERLINK("https://stat100.ameba.jp/tnk47/ratio20/illustrations/card/ill_86563_akaiteruko03.jpg?202001-4-RELEASE-guildbattle-450x", "■")</f>
        <v>■</v>
      </c>
      <c r="F306" s="9" t="s">
        <v>9032</v>
      </c>
      <c r="G306" s="9">
        <v>31470</v>
      </c>
      <c r="H306" s="9">
        <v>26430</v>
      </c>
      <c r="I306" s="9">
        <v>25</v>
      </c>
      <c r="J306" s="9" t="s">
        <v>194</v>
      </c>
      <c r="K306" s="9" t="s">
        <v>9031</v>
      </c>
      <c r="L306" s="9" t="s">
        <v>2428</v>
      </c>
      <c r="M306" s="1" t="s">
        <v>9158</v>
      </c>
      <c r="N306" s="1" t="s">
        <v>9158</v>
      </c>
      <c r="O306" s="1" t="s">
        <v>9158</v>
      </c>
      <c r="P306" s="1" t="s">
        <v>9158</v>
      </c>
      <c r="Q306" s="1" t="s">
        <v>9158</v>
      </c>
    </row>
    <row r="307" spans="1:18">
      <c r="E307" s="9"/>
    </row>
    <row r="308" spans="1:18">
      <c r="A308" s="9" t="s">
        <v>9087</v>
      </c>
      <c r="E308" s="9"/>
    </row>
    <row r="309" spans="1:18">
      <c r="A309" s="9" t="s">
        <v>9088</v>
      </c>
      <c r="E309" s="9"/>
    </row>
    <row r="310" spans="1:18">
      <c r="A310" s="1" t="s">
        <v>5733</v>
      </c>
      <c r="B310" s="1" t="s">
        <v>330</v>
      </c>
      <c r="C310" s="1" t="s">
        <v>202</v>
      </c>
      <c r="D310" s="20" t="s">
        <v>2744</v>
      </c>
      <c r="E310" s="15" t="str">
        <f>HYPERLINK("https://stat100.ameba.jp/tnk47/ratio20/illustrations/card/ill_78693_0_kyupittokoinomikoto03.jpg?202001-4-RELEASE-guildbattle-450x", "■")</f>
        <v>■</v>
      </c>
      <c r="F310" s="1" t="s">
        <v>2745</v>
      </c>
      <c r="G310" s="1">
        <v>251516</v>
      </c>
      <c r="H310" s="1">
        <v>278294</v>
      </c>
      <c r="I310" s="1">
        <v>24</v>
      </c>
      <c r="J310" s="1" t="s">
        <v>274</v>
      </c>
      <c r="K310" s="1" t="s">
        <v>2746</v>
      </c>
      <c r="L310" s="1" t="s">
        <v>2747</v>
      </c>
      <c r="M310" s="1" t="s">
        <v>9158</v>
      </c>
      <c r="N310" s="1" t="s">
        <v>9158</v>
      </c>
      <c r="O310" s="19" t="s">
        <v>10097</v>
      </c>
      <c r="P310" s="1" t="s">
        <v>2748</v>
      </c>
      <c r="Q310" s="1">
        <v>1</v>
      </c>
    </row>
    <row r="311" spans="1:18">
      <c r="A311" s="1">
        <v>81023</v>
      </c>
      <c r="B311" s="1" t="s">
        <v>334</v>
      </c>
      <c r="C311" s="1" t="s">
        <v>41</v>
      </c>
      <c r="D311" s="20" t="s">
        <v>10274</v>
      </c>
      <c r="E311" s="15" t="str">
        <f>HYPERLINK("https://stat100.ameba.jp/tnk47/ratio20/illustrations/card/ill_81023_momonokenki03.jpg?202001-4-RELEASE-guildbattle-450x", "■")</f>
        <v>■</v>
      </c>
      <c r="F311" s="1" t="s">
        <v>4088</v>
      </c>
      <c r="G311" s="1">
        <v>126858</v>
      </c>
      <c r="H311" s="1">
        <v>91876</v>
      </c>
      <c r="I311" s="1">
        <v>24</v>
      </c>
      <c r="J311" s="1" t="s">
        <v>143</v>
      </c>
      <c r="K311" s="1" t="s">
        <v>4089</v>
      </c>
      <c r="L311" s="1" t="s">
        <v>2049</v>
      </c>
      <c r="M311" s="1" t="s">
        <v>9158</v>
      </c>
      <c r="N311" s="1" t="s">
        <v>9158</v>
      </c>
      <c r="O311" s="19" t="s">
        <v>10096</v>
      </c>
      <c r="P311" s="1" t="s">
        <v>3245</v>
      </c>
      <c r="Q311" s="1">
        <v>1</v>
      </c>
    </row>
    <row r="312" spans="1:18">
      <c r="A312" s="1">
        <v>78143</v>
      </c>
      <c r="B312" s="1" t="s">
        <v>334</v>
      </c>
      <c r="C312" s="1" t="s">
        <v>203</v>
      </c>
      <c r="D312" s="20" t="s">
        <v>10285</v>
      </c>
      <c r="E312" s="15" t="str">
        <f>HYPERLINK("https://stat100.ameba.jp/tnk47/ratio20/illustrations/card/ill_78143_kanibarukuin03.jpg?202001-4-RELEASE-guildbattle-450x", "■")</f>
        <v>■</v>
      </c>
      <c r="F312" s="1" t="s">
        <v>2687</v>
      </c>
      <c r="G312" s="1">
        <v>88624</v>
      </c>
      <c r="H312" s="1">
        <v>122366</v>
      </c>
      <c r="I312" s="1">
        <v>24</v>
      </c>
      <c r="J312" s="1" t="s">
        <v>26</v>
      </c>
      <c r="K312" s="1" t="s">
        <v>2688</v>
      </c>
      <c r="L312" s="1" t="s">
        <v>2137</v>
      </c>
      <c r="M312" s="1" t="s">
        <v>9158</v>
      </c>
      <c r="N312" s="1" t="s">
        <v>9158</v>
      </c>
      <c r="O312" s="19" t="s">
        <v>10103</v>
      </c>
      <c r="P312" s="1" t="s">
        <v>3897</v>
      </c>
      <c r="Q312" s="1">
        <v>1</v>
      </c>
    </row>
    <row r="313" spans="1:18">
      <c r="A313" s="1">
        <v>73093</v>
      </c>
      <c r="B313" s="1" t="s">
        <v>334</v>
      </c>
      <c r="C313" s="1" t="s">
        <v>209</v>
      </c>
      <c r="D313" s="20" t="s">
        <v>433</v>
      </c>
      <c r="E313" s="15" t="str">
        <f>HYPERLINK("https://stat100.ameba.jp/tnk47/ratio20/illustrations/card/ill_73093_aisukurinchan03.jpg?202001-4-RELEASE-guildbattle-450x", "■")</f>
        <v>■</v>
      </c>
      <c r="F313" s="1" t="s">
        <v>1027</v>
      </c>
      <c r="G313" s="1">
        <v>159674</v>
      </c>
      <c r="H313" s="1">
        <v>115656</v>
      </c>
      <c r="I313" s="1">
        <v>24</v>
      </c>
      <c r="J313" s="1" t="s">
        <v>104</v>
      </c>
      <c r="K313" s="1" t="s">
        <v>1028</v>
      </c>
      <c r="L313" s="1" t="s">
        <v>1029</v>
      </c>
      <c r="M313" s="1" t="s">
        <v>9158</v>
      </c>
      <c r="N313" s="1" t="s">
        <v>9158</v>
      </c>
      <c r="O313" s="19" t="s">
        <v>2741</v>
      </c>
      <c r="P313" s="1" t="s">
        <v>2742</v>
      </c>
      <c r="Q313" s="1">
        <v>1</v>
      </c>
    </row>
    <row r="314" spans="1:18">
      <c r="E314" s="9"/>
    </row>
    <row r="315" spans="1:18">
      <c r="A315" s="1" t="s">
        <v>13326</v>
      </c>
      <c r="B315" s="1"/>
      <c r="C315" s="1"/>
      <c r="D315" s="1"/>
      <c r="F315" s="1"/>
      <c r="G315" s="1"/>
      <c r="H315" s="1"/>
      <c r="I315" s="1"/>
      <c r="J315" s="1"/>
      <c r="K315" s="1"/>
      <c r="L315" s="1"/>
      <c r="M315" s="1"/>
      <c r="N315" s="1"/>
      <c r="O315" s="1"/>
      <c r="P315" s="1"/>
      <c r="Q315" s="1"/>
      <c r="R315" s="1"/>
    </row>
    <row r="316" spans="1:18">
      <c r="A316" s="1" t="s">
        <v>9089</v>
      </c>
      <c r="B316" s="1"/>
      <c r="C316" s="1"/>
      <c r="D316" s="1"/>
      <c r="F316" s="1"/>
      <c r="G316" s="1"/>
      <c r="H316" s="1"/>
      <c r="I316" s="1"/>
      <c r="J316" s="1"/>
      <c r="K316" s="1"/>
      <c r="L316" s="1"/>
      <c r="M316" s="1"/>
      <c r="N316" s="1"/>
      <c r="O316" s="1"/>
      <c r="P316" s="1"/>
      <c r="Q316" s="1"/>
      <c r="R316" s="1"/>
    </row>
    <row r="317" spans="1:18">
      <c r="A317" s="1">
        <v>69293</v>
      </c>
      <c r="B317" s="1" t="s">
        <v>334</v>
      </c>
      <c r="C317" s="1" t="s">
        <v>185</v>
      </c>
      <c r="D317" s="20" t="s">
        <v>1155</v>
      </c>
      <c r="E317" s="15" t="str">
        <f>HYPERLINK("https://stat100.ameba.jp/tnk47/ratio20/illustrations/card/ill_69293_merukishiru03.jpg?202001-4-RELEASE-guildbattle-450x", "■")</f>
        <v>■</v>
      </c>
      <c r="F317" s="1" t="s">
        <v>1156</v>
      </c>
      <c r="G317" s="1">
        <v>128000</v>
      </c>
      <c r="H317" s="1">
        <v>119006</v>
      </c>
      <c r="I317" s="1">
        <v>26</v>
      </c>
      <c r="J317" s="1" t="s">
        <v>414</v>
      </c>
      <c r="K317" s="1" t="s">
        <v>1170</v>
      </c>
      <c r="L317" s="1" t="s">
        <v>9902</v>
      </c>
      <c r="M317" s="1" t="s">
        <v>13151</v>
      </c>
      <c r="N317" s="1" t="s">
        <v>251</v>
      </c>
      <c r="O317" s="1" t="s">
        <v>9158</v>
      </c>
      <c r="P317" s="1" t="s">
        <v>9158</v>
      </c>
      <c r="Q317" s="1" t="s">
        <v>9158</v>
      </c>
      <c r="R317" s="14"/>
    </row>
    <row r="318" spans="1:18">
      <c r="A318" s="1">
        <v>69292</v>
      </c>
      <c r="B318" s="1" t="s">
        <v>334</v>
      </c>
      <c r="C318" s="1" t="s">
        <v>185</v>
      </c>
      <c r="D318" s="20" t="s">
        <v>1155</v>
      </c>
      <c r="E318" s="15" t="str">
        <f>HYPERLINK("https://stat100.ameba.jp/tnk47/ratio20/illustrations/card/ill_69292_merukishiru02.jpg?202001-4-RELEASE-guildbattle-450x", "■")</f>
        <v>■</v>
      </c>
      <c r="F318" s="1" t="s">
        <v>1156</v>
      </c>
      <c r="G318" s="1">
        <v>107000</v>
      </c>
      <c r="H318" s="1">
        <v>98566</v>
      </c>
      <c r="I318" s="1">
        <v>26</v>
      </c>
      <c r="J318" s="1" t="s">
        <v>414</v>
      </c>
      <c r="K318" s="1" t="s">
        <v>1170</v>
      </c>
      <c r="L318" s="1" t="s">
        <v>9902</v>
      </c>
      <c r="M318" s="1" t="s">
        <v>13151</v>
      </c>
      <c r="N318" s="1" t="s">
        <v>251</v>
      </c>
      <c r="O318" s="1" t="s">
        <v>9158</v>
      </c>
      <c r="P318" s="1" t="s">
        <v>9158</v>
      </c>
      <c r="Q318" s="1" t="s">
        <v>9158</v>
      </c>
      <c r="R318" s="14"/>
    </row>
    <row r="319" spans="1:18">
      <c r="A319" s="1">
        <v>69291</v>
      </c>
      <c r="B319" s="1" t="s">
        <v>334</v>
      </c>
      <c r="C319" s="1" t="s">
        <v>185</v>
      </c>
      <c r="D319" s="20" t="s">
        <v>1155</v>
      </c>
      <c r="E319" s="15" t="str">
        <f>HYPERLINK("https://stat100.ameba.jp/tnk47/ratio20/illustrations/card/ill_69291_merukishiru01.jpg?202001-4-RELEASE-guildbattle-450x", "■")</f>
        <v>■</v>
      </c>
      <c r="F319" s="1" t="s">
        <v>1156</v>
      </c>
      <c r="G319" s="1">
        <v>81692</v>
      </c>
      <c r="H319" s="1">
        <v>76050</v>
      </c>
      <c r="I319" s="1">
        <v>26</v>
      </c>
      <c r="J319" s="1" t="s">
        <v>414</v>
      </c>
      <c r="K319" s="1" t="s">
        <v>1170</v>
      </c>
      <c r="L319" s="1" t="s">
        <v>9902</v>
      </c>
      <c r="M319" s="1" t="s">
        <v>13151</v>
      </c>
      <c r="N319" s="1" t="s">
        <v>251</v>
      </c>
      <c r="O319" s="1" t="s">
        <v>9158</v>
      </c>
      <c r="P319" s="1" t="s">
        <v>9158</v>
      </c>
      <c r="Q319" s="1" t="s">
        <v>9158</v>
      </c>
      <c r="R319" s="14"/>
    </row>
    <row r="320" spans="1:18">
      <c r="A320" s="1">
        <v>69303</v>
      </c>
      <c r="B320" s="1" t="s">
        <v>334</v>
      </c>
      <c r="C320" s="1" t="s">
        <v>200</v>
      </c>
      <c r="D320" s="20" t="s">
        <v>1157</v>
      </c>
      <c r="E320" s="15" t="str">
        <f>HYPERLINK("https://stat100.ameba.jp/tnk47/ratio20/illustrations/card/ill_69303_torumushaito03.jpg?202001-4-RELEASE-guildbattle-450x", "■")</f>
        <v>■</v>
      </c>
      <c r="F320" s="1" t="s">
        <v>1162</v>
      </c>
      <c r="G320" s="1">
        <v>128000</v>
      </c>
      <c r="H320" s="1">
        <v>119006</v>
      </c>
      <c r="I320" s="1">
        <v>26</v>
      </c>
      <c r="J320" s="1" t="s">
        <v>369</v>
      </c>
      <c r="K320" s="1" t="s">
        <v>1171</v>
      </c>
      <c r="L320" s="1" t="s">
        <v>9903</v>
      </c>
      <c r="M320" s="1" t="s">
        <v>13151</v>
      </c>
      <c r="N320" s="1" t="s">
        <v>251</v>
      </c>
      <c r="O320" s="1" t="s">
        <v>9158</v>
      </c>
      <c r="P320" s="1" t="s">
        <v>9158</v>
      </c>
      <c r="Q320" s="1" t="s">
        <v>9158</v>
      </c>
      <c r="R320" s="1"/>
    </row>
    <row r="321" spans="1:18">
      <c r="A321" s="1">
        <v>69313</v>
      </c>
      <c r="B321" s="1" t="s">
        <v>334</v>
      </c>
      <c r="C321" s="1" t="s">
        <v>191</v>
      </c>
      <c r="D321" s="20" t="s">
        <v>1158</v>
      </c>
      <c r="E321" s="15" t="str">
        <f>HYPERLINK("https://stat100.ameba.jp/tnk47/ratio20/illustrations/card/ill_69313_teishutoriya03.jpg?202001-4-RELEASE-guildbattle-450x", "■")</f>
        <v>■</v>
      </c>
      <c r="F321" s="1" t="s">
        <v>1163</v>
      </c>
      <c r="G321" s="1">
        <v>119006</v>
      </c>
      <c r="H321" s="1">
        <v>128000</v>
      </c>
      <c r="I321" s="1">
        <v>26</v>
      </c>
      <c r="J321" s="1" t="s">
        <v>401</v>
      </c>
      <c r="K321" s="1" t="s">
        <v>1172</v>
      </c>
      <c r="L321" s="1" t="s">
        <v>9904</v>
      </c>
      <c r="M321" s="1" t="s">
        <v>13151</v>
      </c>
      <c r="N321" s="1" t="s">
        <v>251</v>
      </c>
      <c r="O321" s="1" t="s">
        <v>9158</v>
      </c>
      <c r="P321" s="1" t="s">
        <v>9158</v>
      </c>
      <c r="Q321" s="1" t="s">
        <v>9158</v>
      </c>
      <c r="R321" s="1"/>
    </row>
    <row r="322" spans="1:18">
      <c r="A322" s="1">
        <v>69323</v>
      </c>
      <c r="B322" s="1" t="s">
        <v>334</v>
      </c>
      <c r="C322" s="1" t="s">
        <v>165</v>
      </c>
      <c r="D322" s="20" t="s">
        <v>10257</v>
      </c>
      <c r="E322" s="15" t="str">
        <f>HYPERLINK("https://stat100.ameba.jp/tnk47/ratio20/illustrations/card/ill_69323_fujitsubonomiya03.jpg?202001-4-RELEASE-guildbattle-450x", "■")</f>
        <v>■</v>
      </c>
      <c r="F322" s="1" t="s">
        <v>1164</v>
      </c>
      <c r="G322" s="1">
        <v>119006</v>
      </c>
      <c r="H322" s="1">
        <v>128000</v>
      </c>
      <c r="I322" s="1">
        <v>26</v>
      </c>
      <c r="J322" s="1" t="s">
        <v>1167</v>
      </c>
      <c r="K322" s="1" t="s">
        <v>1173</v>
      </c>
      <c r="L322" s="1" t="s">
        <v>9905</v>
      </c>
      <c r="M322" s="1" t="s">
        <v>13151</v>
      </c>
      <c r="N322" s="1" t="s">
        <v>251</v>
      </c>
      <c r="O322" s="1" t="s">
        <v>9158</v>
      </c>
      <c r="P322" s="1" t="s">
        <v>9158</v>
      </c>
      <c r="Q322" s="1" t="s">
        <v>9158</v>
      </c>
      <c r="R322" s="1"/>
    </row>
    <row r="323" spans="1:18">
      <c r="A323" s="1">
        <v>69333</v>
      </c>
      <c r="B323" s="1" t="s">
        <v>334</v>
      </c>
      <c r="C323" s="1" t="s">
        <v>205</v>
      </c>
      <c r="D323" s="20" t="s">
        <v>1160</v>
      </c>
      <c r="E323" s="15" t="str">
        <f>HYPERLINK("https://stat100.ameba.jp/tnk47/ratio20/illustrations/card/ill_69333_mefuisutofueresu03.jpg?202001-4-RELEASE-guildbattle-450x", "■")</f>
        <v>■</v>
      </c>
      <c r="F323" s="1" t="s">
        <v>1165</v>
      </c>
      <c r="G323" s="1">
        <v>128000</v>
      </c>
      <c r="H323" s="1">
        <v>119006</v>
      </c>
      <c r="I323" s="1">
        <v>26</v>
      </c>
      <c r="J323" s="1" t="s">
        <v>1168</v>
      </c>
      <c r="K323" s="1" t="s">
        <v>1174</v>
      </c>
      <c r="L323" s="1" t="s">
        <v>9906</v>
      </c>
      <c r="M323" s="1" t="s">
        <v>13151</v>
      </c>
      <c r="N323" s="1" t="s">
        <v>251</v>
      </c>
      <c r="O323" s="1" t="s">
        <v>9158</v>
      </c>
      <c r="P323" s="1" t="s">
        <v>9158</v>
      </c>
      <c r="Q323" s="1" t="s">
        <v>9158</v>
      </c>
      <c r="R323" s="1"/>
    </row>
    <row r="324" spans="1:18">
      <c r="A324" s="1">
        <v>69343</v>
      </c>
      <c r="B324" s="1" t="s">
        <v>334</v>
      </c>
      <c r="C324" s="1" t="s">
        <v>206</v>
      </c>
      <c r="D324" s="20" t="s">
        <v>10258</v>
      </c>
      <c r="E324" s="15" t="str">
        <f>HYPERLINK("https://stat100.ameba.jp/tnk47/ratio20/illustrations/card/ill_69343_teikinnofuire03.jpg?202001-4-RELEASE-guildbattle-450x", "■")</f>
        <v>■</v>
      </c>
      <c r="F324" s="1" t="s">
        <v>1166</v>
      </c>
      <c r="G324" s="1">
        <v>119006</v>
      </c>
      <c r="H324" s="1">
        <v>128000</v>
      </c>
      <c r="I324" s="1">
        <v>26</v>
      </c>
      <c r="J324" s="1" t="s">
        <v>1169</v>
      </c>
      <c r="K324" s="1" t="s">
        <v>1175</v>
      </c>
      <c r="L324" s="1" t="s">
        <v>9907</v>
      </c>
      <c r="M324" s="1" t="s">
        <v>13151</v>
      </c>
      <c r="N324" s="1" t="s">
        <v>251</v>
      </c>
      <c r="O324" s="1" t="s">
        <v>9158</v>
      </c>
      <c r="P324" s="1" t="s">
        <v>9158</v>
      </c>
      <c r="Q324" s="1" t="s">
        <v>9158</v>
      </c>
      <c r="R324" s="1"/>
    </row>
    <row r="325" spans="1:18">
      <c r="E325" s="9"/>
    </row>
    <row r="326" spans="1:18">
      <c r="A326" s="9" t="s">
        <v>115</v>
      </c>
      <c r="E326" s="9"/>
    </row>
    <row r="327" spans="1:18">
      <c r="A327" s="9" t="s">
        <v>9091</v>
      </c>
      <c r="E327" s="9"/>
    </row>
    <row r="328" spans="1:18">
      <c r="A328" s="1" t="s">
        <v>5618</v>
      </c>
      <c r="B328" s="1" t="s">
        <v>330</v>
      </c>
      <c r="C328" s="1" t="s">
        <v>200</v>
      </c>
      <c r="D328" s="20" t="s">
        <v>665</v>
      </c>
      <c r="E328" s="15" t="str">
        <f>HYPERLINK("https://stat100.ameba.jp/tnk47/ratio20/illustrations/card/ill_63173_0_minazukikonakaiteruko03.jpg?202001-4-RELEASE-guildbattle-450x", "■")</f>
        <v>■</v>
      </c>
      <c r="F328" s="1" t="s">
        <v>666</v>
      </c>
      <c r="G328" s="1">
        <v>190952</v>
      </c>
      <c r="H328" s="1">
        <v>205358</v>
      </c>
      <c r="I328" s="1">
        <v>22</v>
      </c>
      <c r="J328" s="1" t="s">
        <v>310</v>
      </c>
      <c r="K328" s="1" t="s">
        <v>667</v>
      </c>
      <c r="L328" s="1" t="s">
        <v>668</v>
      </c>
      <c r="M328" s="1" t="s">
        <v>9158</v>
      </c>
      <c r="N328" s="1" t="s">
        <v>9158</v>
      </c>
      <c r="O328" s="19" t="s">
        <v>10079</v>
      </c>
      <c r="P328" s="1" t="s">
        <v>3329</v>
      </c>
      <c r="Q328" s="1">
        <v>1</v>
      </c>
    </row>
    <row r="329" spans="1:18">
      <c r="A329" s="1" t="s">
        <v>5725</v>
      </c>
      <c r="B329" s="1" t="s">
        <v>52</v>
      </c>
      <c r="C329" s="1" t="s">
        <v>107</v>
      </c>
      <c r="D329" s="20" t="s">
        <v>543</v>
      </c>
      <c r="E329" s="15" t="str">
        <f>HYPERLINK("https://stat100.ameba.jp/tnk47/ratio20/illustrations/card/ill_52693_0_sengokumibirakiyanagiharabyakuren03.jpg?202001-4-RELEASE-guildbattle-450x", "■")</f>
        <v>■</v>
      </c>
      <c r="F329" s="1" t="s">
        <v>1246</v>
      </c>
      <c r="G329" s="1">
        <v>122776</v>
      </c>
      <c r="H329" s="1">
        <v>138212</v>
      </c>
      <c r="I329" s="1">
        <v>22</v>
      </c>
      <c r="J329" s="1" t="s">
        <v>16</v>
      </c>
      <c r="K329" s="1" t="s">
        <v>1247</v>
      </c>
      <c r="L329" s="1" t="s">
        <v>1248</v>
      </c>
      <c r="M329" s="1" t="s">
        <v>9158</v>
      </c>
      <c r="N329" s="1" t="s">
        <v>9158</v>
      </c>
      <c r="O329" s="19" t="s">
        <v>2886</v>
      </c>
      <c r="P329" s="1" t="s">
        <v>3304</v>
      </c>
      <c r="Q329" s="1">
        <v>1</v>
      </c>
    </row>
    <row r="330" spans="1:18">
      <c r="A330" s="9" t="s">
        <v>5830</v>
      </c>
      <c r="B330" s="1" t="s">
        <v>330</v>
      </c>
      <c r="C330" s="1" t="s">
        <v>191</v>
      </c>
      <c r="D330" s="20" t="s">
        <v>793</v>
      </c>
      <c r="E330" s="15" t="str">
        <f>HYPERLINK("https://stat100.ameba.jp/tnk47/ratio20/illustrations/card/ill_39933_0_reihiiinaotora03.jpg?202001-4-RELEASE-guildbattle-450x", "■")</f>
        <v>■</v>
      </c>
      <c r="F330" s="1" t="s">
        <v>794</v>
      </c>
      <c r="G330" s="1">
        <v>120576</v>
      </c>
      <c r="H330" s="1">
        <v>128744</v>
      </c>
      <c r="I330" s="1">
        <v>22</v>
      </c>
      <c r="J330" s="1" t="s">
        <v>315</v>
      </c>
      <c r="K330" s="1" t="s">
        <v>795</v>
      </c>
      <c r="L330" s="1" t="s">
        <v>796</v>
      </c>
      <c r="M330" s="1" t="s">
        <v>9158</v>
      </c>
      <c r="N330" s="1" t="s">
        <v>9158</v>
      </c>
      <c r="O330" s="1" t="s">
        <v>9158</v>
      </c>
      <c r="P330" s="1" t="s">
        <v>9158</v>
      </c>
      <c r="Q330" s="1" t="s">
        <v>9158</v>
      </c>
    </row>
    <row r="331" spans="1:18">
      <c r="A331" s="1">
        <v>81553</v>
      </c>
      <c r="B331" s="1" t="s">
        <v>0</v>
      </c>
      <c r="C331" s="1" t="s">
        <v>191</v>
      </c>
      <c r="D331" s="20" t="s">
        <v>10709</v>
      </c>
      <c r="E331" s="15" t="str">
        <f>HYPERLINK("https://stat100.ameba.jp/tnk47/ratio20/illustrations/card/ill_81553_kyamerajoshijukeini03.jpg?202001-4-RELEASE-guildbattle-450x", "■")</f>
        <v>■</v>
      </c>
      <c r="F331" s="1" t="s">
        <v>9101</v>
      </c>
      <c r="G331" s="1">
        <v>58812</v>
      </c>
      <c r="H331" s="1">
        <v>104520</v>
      </c>
      <c r="I331" s="1">
        <v>26</v>
      </c>
      <c r="J331" s="1" t="s">
        <v>16</v>
      </c>
      <c r="K331" s="1" t="s">
        <v>9100</v>
      </c>
      <c r="L331" s="1" t="s">
        <v>9099</v>
      </c>
      <c r="M331" s="1" t="s">
        <v>9158</v>
      </c>
      <c r="N331" s="1" t="s">
        <v>9158</v>
      </c>
      <c r="O331" s="1" t="s">
        <v>9158</v>
      </c>
      <c r="P331" s="1" t="s">
        <v>9158</v>
      </c>
      <c r="Q331" s="1" t="s">
        <v>9158</v>
      </c>
    </row>
    <row r="332" spans="1:18">
      <c r="A332" s="1">
        <v>60223</v>
      </c>
      <c r="B332" s="1" t="s">
        <v>334</v>
      </c>
      <c r="C332" s="1" t="s">
        <v>107</v>
      </c>
      <c r="D332" s="20" t="s">
        <v>728</v>
      </c>
      <c r="E332" s="15" t="str">
        <f>HYPERLINK("https://stat100.ameba.jp/tnk47/ratio20/illustrations/card/ill_60223_soyoshitoshi03.jpg?202001-4-RELEASE-guildbattle-450x", "■")</f>
        <v>■</v>
      </c>
      <c r="F332" s="1" t="s">
        <v>9098</v>
      </c>
      <c r="G332" s="1">
        <v>111644</v>
      </c>
      <c r="H332" s="1">
        <v>154154</v>
      </c>
      <c r="I332" s="1">
        <v>26</v>
      </c>
      <c r="J332" s="1" t="s">
        <v>310</v>
      </c>
      <c r="K332" s="1" t="s">
        <v>9097</v>
      </c>
      <c r="L332" s="1" t="s">
        <v>9096</v>
      </c>
      <c r="M332" s="1" t="s">
        <v>9158</v>
      </c>
      <c r="N332" s="1" t="s">
        <v>9158</v>
      </c>
      <c r="O332" s="1" t="s">
        <v>9158</v>
      </c>
      <c r="P332" s="1" t="s">
        <v>9158</v>
      </c>
      <c r="Q332" s="1" t="s">
        <v>9158</v>
      </c>
    </row>
    <row r="333" spans="1:18">
      <c r="A333" s="1">
        <v>81373</v>
      </c>
      <c r="B333" s="1" t="s">
        <v>0</v>
      </c>
      <c r="C333" s="1" t="s">
        <v>165</v>
      </c>
      <c r="D333" s="20" t="s">
        <v>10710</v>
      </c>
      <c r="E333" s="15" t="str">
        <f>HYPERLINK("https://stat100.ameba.jp/tnk47/ratio20/illustrations/card/ill_81373_hakatadontakuhayamisosei03.jpg?202001-4-RELEASE-guildbattle-450x", "■")</f>
        <v>■</v>
      </c>
      <c r="F333" s="1" t="s">
        <v>9095</v>
      </c>
      <c r="G333" s="1">
        <v>78754</v>
      </c>
      <c r="H333" s="1">
        <v>84578</v>
      </c>
      <c r="I333" s="1">
        <v>26</v>
      </c>
      <c r="J333" s="1" t="s">
        <v>9094</v>
      </c>
      <c r="K333" s="1" t="s">
        <v>9093</v>
      </c>
      <c r="L333" s="1" t="s">
        <v>9092</v>
      </c>
      <c r="M333" s="1" t="s">
        <v>9158</v>
      </c>
      <c r="N333" s="1" t="s">
        <v>9158</v>
      </c>
      <c r="O333" s="1" t="s">
        <v>9158</v>
      </c>
      <c r="P333" s="1" t="s">
        <v>9158</v>
      </c>
      <c r="Q333" s="1" t="s">
        <v>9158</v>
      </c>
    </row>
    <row r="334" spans="1:18">
      <c r="A334" s="9">
        <v>56263</v>
      </c>
      <c r="B334" s="1" t="s">
        <v>15</v>
      </c>
      <c r="C334" s="1" t="s">
        <v>165</v>
      </c>
      <c r="D334" s="20" t="s">
        <v>10899</v>
      </c>
      <c r="E334" s="15" t="str">
        <f>HYPERLINK("https://stat100.ameba.jp/tnk47/ratio20/illustrations/card/ill_56263_ongakusaikujotakeko03.jpg?202001-4-RELEASE-guildbattle-450x", "■")</f>
        <v>■</v>
      </c>
      <c r="F334" s="1" t="s">
        <v>3968</v>
      </c>
      <c r="G334" s="1">
        <v>69898</v>
      </c>
      <c r="H334" s="1">
        <v>77064</v>
      </c>
      <c r="I334" s="1">
        <v>26</v>
      </c>
      <c r="J334" s="1" t="s">
        <v>16</v>
      </c>
      <c r="K334" s="1" t="s">
        <v>3969</v>
      </c>
      <c r="L334" s="1" t="s">
        <v>3970</v>
      </c>
      <c r="M334" s="1" t="s">
        <v>9158</v>
      </c>
      <c r="N334" s="1" t="s">
        <v>9158</v>
      </c>
      <c r="O334" s="1" t="s">
        <v>9158</v>
      </c>
      <c r="P334" s="1" t="s">
        <v>9158</v>
      </c>
      <c r="Q334" s="1" t="s">
        <v>9158</v>
      </c>
    </row>
    <row r="335" spans="1:18">
      <c r="A335" s="9">
        <v>60863</v>
      </c>
      <c r="B335" s="1" t="s">
        <v>15</v>
      </c>
      <c r="C335" s="1" t="s">
        <v>205</v>
      </c>
      <c r="D335" s="20" t="s">
        <v>10900</v>
      </c>
      <c r="E335" s="15" t="str">
        <f>HYPERLINK("https://stat100.ameba.jp/tnk47/ratio20/illustrations/card/ill_60863_hieinihonrisuchan03.jpg?202001-4-RELEASE-guildbattle-450x", "■")</f>
        <v>■</v>
      </c>
      <c r="F335" s="1" t="s">
        <v>975</v>
      </c>
      <c r="G335" s="1">
        <v>69898</v>
      </c>
      <c r="H335" s="1">
        <v>77064</v>
      </c>
      <c r="I335" s="1">
        <v>26</v>
      </c>
      <c r="J335" s="1" t="s">
        <v>26</v>
      </c>
      <c r="K335" s="1" t="s">
        <v>976</v>
      </c>
      <c r="L335" s="1" t="s">
        <v>977</v>
      </c>
      <c r="M335" s="1" t="s">
        <v>9158</v>
      </c>
      <c r="N335" s="1" t="s">
        <v>9158</v>
      </c>
      <c r="O335" s="1" t="s">
        <v>9158</v>
      </c>
      <c r="P335" s="1" t="s">
        <v>9158</v>
      </c>
      <c r="Q335" s="1" t="s">
        <v>9158</v>
      </c>
    </row>
    <row r="336" spans="1:18">
      <c r="A336" s="9">
        <v>79723</v>
      </c>
      <c r="B336" s="1" t="s">
        <v>15</v>
      </c>
      <c r="C336" s="1" t="s">
        <v>23</v>
      </c>
      <c r="D336" s="20" t="s">
        <v>10639</v>
      </c>
      <c r="E336" s="15" t="str">
        <f>HYPERLINK("https://stat100.ameba.jp/tnk47/ratio20/illustrations/card/ill_79723_inazumaraigoro03.jpg?202001-4-RELEASE-guildbattle-450x", "■")</f>
        <v>■</v>
      </c>
      <c r="F336" s="1" t="s">
        <v>3691</v>
      </c>
      <c r="G336" s="1">
        <v>69898</v>
      </c>
      <c r="H336" s="1">
        <v>77064</v>
      </c>
      <c r="I336" s="1">
        <v>26</v>
      </c>
      <c r="J336" s="1" t="s">
        <v>143</v>
      </c>
      <c r="K336" s="1" t="s">
        <v>3692</v>
      </c>
      <c r="L336" s="1" t="s">
        <v>3326</v>
      </c>
      <c r="M336" s="1" t="s">
        <v>9158</v>
      </c>
      <c r="N336" s="1" t="s">
        <v>9158</v>
      </c>
      <c r="O336" s="1" t="s">
        <v>9158</v>
      </c>
      <c r="P336" s="1" t="s">
        <v>9158</v>
      </c>
      <c r="Q336" s="1" t="s">
        <v>9158</v>
      </c>
    </row>
    <row r="337" spans="1:17">
      <c r="E337" s="9"/>
    </row>
    <row r="338" spans="1:17">
      <c r="A338" s="1" t="s">
        <v>195</v>
      </c>
      <c r="B338" s="1"/>
      <c r="C338" s="1"/>
      <c r="D338" s="1"/>
      <c r="F338" s="1"/>
      <c r="G338" s="1"/>
      <c r="H338" s="1"/>
      <c r="I338" s="1"/>
      <c r="J338" s="1"/>
      <c r="K338" s="1"/>
      <c r="L338" s="1"/>
      <c r="M338" s="1"/>
      <c r="N338" s="1"/>
      <c r="O338" s="1"/>
      <c r="P338" s="1"/>
      <c r="Q338" s="1"/>
    </row>
    <row r="339" spans="1:17">
      <c r="A339" s="1" t="s">
        <v>9090</v>
      </c>
      <c r="B339" s="1"/>
      <c r="C339" s="1"/>
      <c r="D339" s="1"/>
      <c r="F339" s="1"/>
      <c r="G339" s="1"/>
      <c r="H339" s="1"/>
      <c r="I339" s="1"/>
      <c r="J339" s="1"/>
      <c r="K339" s="1"/>
      <c r="L339" s="1"/>
      <c r="M339" s="1"/>
      <c r="N339" s="1"/>
      <c r="O339" s="1"/>
      <c r="P339" s="1"/>
      <c r="Q339" s="1"/>
    </row>
    <row r="340" spans="1:17">
      <c r="A340" s="1">
        <v>76103</v>
      </c>
      <c r="B340" s="1" t="s">
        <v>334</v>
      </c>
      <c r="C340" s="1" t="s">
        <v>154</v>
      </c>
      <c r="D340" s="20" t="s">
        <v>570</v>
      </c>
      <c r="E340" s="15" t="str">
        <f>HYPERLINK("https://stat100.ameba.jp/tnk47/ratio20/illustrations/card/ill_76103_shibuaji03.jpg?202001-4-RELEASE-guildbattle-450x", "■")</f>
        <v>■</v>
      </c>
      <c r="F340" s="1" t="s">
        <v>1122</v>
      </c>
      <c r="G340" s="1">
        <v>107826</v>
      </c>
      <c r="H340" s="1">
        <v>100256</v>
      </c>
      <c r="I340" s="1">
        <v>25</v>
      </c>
      <c r="J340" s="1" t="s">
        <v>143</v>
      </c>
      <c r="K340" s="1" t="s">
        <v>1123</v>
      </c>
      <c r="L340" s="1" t="s">
        <v>1124</v>
      </c>
      <c r="M340" s="1" t="s">
        <v>9158</v>
      </c>
      <c r="N340" s="1" t="s">
        <v>9158</v>
      </c>
      <c r="O340" s="1" t="s">
        <v>9158</v>
      </c>
      <c r="P340" s="1" t="s">
        <v>9158</v>
      </c>
      <c r="Q340" s="1" t="s">
        <v>9158</v>
      </c>
    </row>
    <row r="341" spans="1:17">
      <c r="A341" s="1">
        <v>76113</v>
      </c>
      <c r="B341" s="1" t="s">
        <v>334</v>
      </c>
      <c r="C341" s="1" t="s">
        <v>158</v>
      </c>
      <c r="D341" s="20" t="s">
        <v>10268</v>
      </c>
      <c r="E341" s="15" t="str">
        <f>HYPERLINK("https://stat100.ameba.jp/tnk47/ratio20/illustrations/card/ill_76113_jannudaruku03.jpg?202001-4-RELEASE-guildbattle-450x", "■")</f>
        <v>■</v>
      </c>
      <c r="F341" s="1" t="s">
        <v>1126</v>
      </c>
      <c r="G341" s="1">
        <v>107826</v>
      </c>
      <c r="H341" s="1">
        <v>100256</v>
      </c>
      <c r="I341" s="1">
        <v>25</v>
      </c>
      <c r="J341" s="1" t="s">
        <v>10</v>
      </c>
      <c r="K341" s="1" t="s">
        <v>1127</v>
      </c>
      <c r="L341" s="1" t="s">
        <v>1128</v>
      </c>
      <c r="M341" s="1" t="s">
        <v>9158</v>
      </c>
      <c r="N341" s="1" t="s">
        <v>9158</v>
      </c>
      <c r="O341" s="1" t="s">
        <v>9158</v>
      </c>
      <c r="P341" s="1" t="s">
        <v>9158</v>
      </c>
      <c r="Q341" s="1" t="s">
        <v>9158</v>
      </c>
    </row>
    <row r="342" spans="1:17">
      <c r="A342" s="1">
        <v>63323</v>
      </c>
      <c r="B342" s="1" t="s">
        <v>0</v>
      </c>
      <c r="C342" s="1" t="s">
        <v>200</v>
      </c>
      <c r="D342" s="20" t="s">
        <v>10269</v>
      </c>
      <c r="E342" s="15" t="str">
        <f>HYPERLINK("https://stat100.ameba.jp/tnk47/ratio20/illustrations/card/ill_63323_ajisaikushinadahime03.jpg?202001-4-RELEASE-guildbattle-450x", "■")</f>
        <v>■</v>
      </c>
      <c r="F342" s="1" t="s">
        <v>3583</v>
      </c>
      <c r="G342" s="1">
        <v>94802</v>
      </c>
      <c r="H342" s="1">
        <v>101971</v>
      </c>
      <c r="I342" s="1">
        <v>25</v>
      </c>
      <c r="J342" s="1" t="s">
        <v>44</v>
      </c>
      <c r="K342" s="1" t="s">
        <v>3584</v>
      </c>
      <c r="L342" s="1" t="s">
        <v>2400</v>
      </c>
      <c r="M342" s="1" t="s">
        <v>9158</v>
      </c>
      <c r="N342" s="1" t="s">
        <v>9158</v>
      </c>
      <c r="O342" s="1" t="s">
        <v>9158</v>
      </c>
      <c r="P342" s="1" t="s">
        <v>9158</v>
      </c>
      <c r="Q342" s="1" t="s">
        <v>9158</v>
      </c>
    </row>
    <row r="343" spans="1:17">
      <c r="A343" s="1">
        <v>59863</v>
      </c>
      <c r="B343" s="1" t="s">
        <v>334</v>
      </c>
      <c r="C343" s="1" t="s">
        <v>165</v>
      </c>
      <c r="D343" s="20" t="s">
        <v>318</v>
      </c>
      <c r="E343" s="15" t="str">
        <f>HYPERLINK("https://stat100.ameba.jp/tnk47/ratio20/illustrations/card/ill_59863_yoseiichimokuren03.jpg?202001-4-RELEASE-guildbattle-450x", "■")</f>
        <v>■</v>
      </c>
      <c r="F343" s="1" t="s">
        <v>319</v>
      </c>
      <c r="G343" s="1">
        <v>104162</v>
      </c>
      <c r="H343" s="1">
        <v>96871</v>
      </c>
      <c r="I343" s="1">
        <v>25</v>
      </c>
      <c r="J343" s="1" t="s">
        <v>320</v>
      </c>
      <c r="K343" s="1" t="s">
        <v>321</v>
      </c>
      <c r="L343" s="1" t="s">
        <v>322</v>
      </c>
      <c r="M343" s="1" t="s">
        <v>9158</v>
      </c>
      <c r="N343" s="1" t="s">
        <v>9158</v>
      </c>
      <c r="O343" s="1" t="s">
        <v>9158</v>
      </c>
      <c r="P343" s="1" t="s">
        <v>9158</v>
      </c>
      <c r="Q343" s="1" t="s">
        <v>9158</v>
      </c>
    </row>
    <row r="344" spans="1:17">
      <c r="A344" s="1">
        <v>51823</v>
      </c>
      <c r="B344" s="1" t="s">
        <v>15</v>
      </c>
      <c r="C344" s="1" t="s">
        <v>101</v>
      </c>
      <c r="D344" s="20" t="s">
        <v>10587</v>
      </c>
      <c r="E344" s="15" t="str">
        <f>HYPERLINK("https://stat100.ameba.jp/tnk47/ratio20/illustrations/card/ill_51823_jukimatsu03.jpg?202001-4-RELEASE-guildbattle-450x", "■")</f>
        <v>■</v>
      </c>
      <c r="F344" s="1" t="s">
        <v>6742</v>
      </c>
      <c r="G344" s="1">
        <v>67210</v>
      </c>
      <c r="H344" s="1">
        <v>74100</v>
      </c>
      <c r="I344" s="1">
        <v>25</v>
      </c>
      <c r="J344" s="1" t="s">
        <v>77</v>
      </c>
      <c r="K344" s="1" t="s">
        <v>6743</v>
      </c>
      <c r="L344" s="1" t="s">
        <v>6744</v>
      </c>
      <c r="M344" s="1" t="s">
        <v>9158</v>
      </c>
      <c r="N344" s="1" t="s">
        <v>9158</v>
      </c>
      <c r="O344" s="1" t="s">
        <v>9158</v>
      </c>
      <c r="P344" s="1" t="s">
        <v>9158</v>
      </c>
      <c r="Q344" s="1" t="s">
        <v>9158</v>
      </c>
    </row>
    <row r="345" spans="1:17">
      <c r="A345" s="1">
        <v>51773</v>
      </c>
      <c r="B345" s="1" t="s">
        <v>15</v>
      </c>
      <c r="C345" s="1" t="s">
        <v>205</v>
      </c>
      <c r="D345" s="20" t="s">
        <v>10588</v>
      </c>
      <c r="E345" s="15" t="str">
        <f>HYPERLINK("https://stat100.ameba.jp/tnk47/ratio20/illustrations/card/ill_51773_kawaasobikanekomisuzu03.jpg?202001-4-RELEASE-guildbattle-450x", "■")</f>
        <v>■</v>
      </c>
      <c r="F345" s="1" t="s">
        <v>6747</v>
      </c>
      <c r="G345" s="1">
        <v>74100</v>
      </c>
      <c r="H345" s="1">
        <v>67210</v>
      </c>
      <c r="I345" s="1">
        <v>25</v>
      </c>
      <c r="J345" s="1" t="s">
        <v>10</v>
      </c>
      <c r="K345" s="1" t="s">
        <v>6746</v>
      </c>
      <c r="L345" s="1" t="s">
        <v>6745</v>
      </c>
      <c r="M345" s="1" t="s">
        <v>9158</v>
      </c>
      <c r="N345" s="1" t="s">
        <v>9158</v>
      </c>
      <c r="O345" s="1" t="s">
        <v>9158</v>
      </c>
      <c r="P345" s="1" t="s">
        <v>9158</v>
      </c>
      <c r="Q345" s="1" t="s">
        <v>9158</v>
      </c>
    </row>
    <row r="346" spans="1:17">
      <c r="A346" s="1">
        <v>51733</v>
      </c>
      <c r="B346" s="1" t="s">
        <v>15</v>
      </c>
      <c r="C346" s="1" t="s">
        <v>185</v>
      </c>
      <c r="D346" s="20" t="s">
        <v>10589</v>
      </c>
      <c r="E346" s="15" t="str">
        <f>HYPERLINK("https://stat100.ameba.jp/tnk47/ratio20/illustrations/card/ill_51733_ekusoshisutopoiyampe03.jpg?202001-4-RELEASE-guildbattle-450x", "■")</f>
        <v>■</v>
      </c>
      <c r="F346" s="1" t="s">
        <v>6750</v>
      </c>
      <c r="G346" s="1">
        <v>67210</v>
      </c>
      <c r="H346" s="1">
        <v>74100</v>
      </c>
      <c r="I346" s="1">
        <v>25</v>
      </c>
      <c r="J346" s="1" t="s">
        <v>274</v>
      </c>
      <c r="K346" s="1" t="s">
        <v>6749</v>
      </c>
      <c r="L346" s="1" t="s">
        <v>6748</v>
      </c>
      <c r="M346" s="1" t="s">
        <v>9158</v>
      </c>
      <c r="N346" s="1" t="s">
        <v>9158</v>
      </c>
      <c r="O346" s="1" t="s">
        <v>9158</v>
      </c>
      <c r="P346" s="1" t="s">
        <v>9158</v>
      </c>
      <c r="Q346" s="1" t="s">
        <v>9158</v>
      </c>
    </row>
    <row r="347" spans="1:17">
      <c r="A347" s="1">
        <v>55743</v>
      </c>
      <c r="B347" s="1" t="s">
        <v>15</v>
      </c>
      <c r="C347" s="1" t="s">
        <v>96</v>
      </c>
      <c r="D347" s="20" t="s">
        <v>10590</v>
      </c>
      <c r="E347" s="15" t="str">
        <f>HYPERLINK("https://stat100.ameba.jp/tnk47/ratio20/illustrations/card/ill_55743_nankoume03.jpg?202001-4-RELEASE-guildbattle-450x", "■")</f>
        <v>■</v>
      </c>
      <c r="F347" s="1" t="s">
        <v>4308</v>
      </c>
      <c r="G347" s="1">
        <v>67210</v>
      </c>
      <c r="H347" s="1">
        <v>74100</v>
      </c>
      <c r="I347" s="1">
        <v>25</v>
      </c>
      <c r="J347" s="1" t="s">
        <v>216</v>
      </c>
      <c r="K347" s="1" t="s">
        <v>4310</v>
      </c>
      <c r="L347" s="1" t="s">
        <v>4311</v>
      </c>
      <c r="M347" s="1" t="s">
        <v>9158</v>
      </c>
      <c r="N347" s="1" t="s">
        <v>9158</v>
      </c>
      <c r="O347" s="1" t="s">
        <v>9158</v>
      </c>
      <c r="P347" s="1" t="s">
        <v>9158</v>
      </c>
      <c r="Q347" s="1" t="s">
        <v>9158</v>
      </c>
    </row>
    <row r="348" spans="1:17">
      <c r="E348" s="9"/>
    </row>
    <row r="349" spans="1:17">
      <c r="A349" s="7" t="s">
        <v>7403</v>
      </c>
      <c r="E349" s="9"/>
    </row>
    <row r="350" spans="1:17">
      <c r="A350" s="7" t="s">
        <v>9105</v>
      </c>
      <c r="E350" s="9"/>
    </row>
    <row r="351" spans="1:17">
      <c r="A351" s="7" t="s">
        <v>9104</v>
      </c>
      <c r="E351" s="9"/>
    </row>
    <row r="352" spans="1:17">
      <c r="A352" s="1" t="s">
        <v>5619</v>
      </c>
      <c r="B352" s="1" t="s">
        <v>330</v>
      </c>
      <c r="C352" s="1" t="s">
        <v>202</v>
      </c>
      <c r="D352" s="20" t="s">
        <v>10348</v>
      </c>
      <c r="E352" s="15" t="str">
        <f>HYPERLINK("https://stat100.ameba.jp/tnk47/ratio20/illustrations/card/ill_81183_0_shinryokunokisetsuamaterasu03.jpg?202002-5-RELEASE-marathon-456", "■")</f>
        <v>■</v>
      </c>
      <c r="F352" s="1" t="s">
        <v>4505</v>
      </c>
      <c r="G352" s="1">
        <v>273132</v>
      </c>
      <c r="H352" s="1">
        <v>302232</v>
      </c>
      <c r="I352" s="1">
        <v>26</v>
      </c>
      <c r="J352" s="1" t="s">
        <v>44</v>
      </c>
      <c r="K352" s="1" t="s">
        <v>4506</v>
      </c>
      <c r="L352" s="1" t="s">
        <v>4507</v>
      </c>
      <c r="M352" s="1" t="s">
        <v>9158</v>
      </c>
      <c r="N352" s="1" t="s">
        <v>9158</v>
      </c>
      <c r="O352" s="19" t="s">
        <v>10083</v>
      </c>
      <c r="P352" s="1" t="s">
        <v>4509</v>
      </c>
      <c r="Q352" s="1">
        <v>0</v>
      </c>
    </row>
    <row r="353" spans="1:17">
      <c r="A353" s="1" t="s">
        <v>5601</v>
      </c>
      <c r="B353" s="1" t="s">
        <v>330</v>
      </c>
      <c r="C353" s="1" t="s">
        <v>35</v>
      </c>
      <c r="D353" s="20" t="s">
        <v>10318</v>
      </c>
      <c r="E353" s="15" t="str">
        <f>HYPERLINK("https://stat100.ameba.jp/tnk47/ratio20/illustrations/card/ill_82423_0_bikinigarukishi03.jpg?202002-5-RELEASE-marathon-456", "■")</f>
        <v>■</v>
      </c>
      <c r="F353" s="1" t="s">
        <v>5391</v>
      </c>
      <c r="G353" s="1">
        <v>314816</v>
      </c>
      <c r="H353" s="1">
        <v>284536</v>
      </c>
      <c r="I353" s="1">
        <v>26</v>
      </c>
      <c r="J353" s="1" t="s">
        <v>77</v>
      </c>
      <c r="K353" s="1" t="s">
        <v>5392</v>
      </c>
      <c r="L353" s="1" t="s">
        <v>5393</v>
      </c>
      <c r="M353" s="1" t="s">
        <v>9158</v>
      </c>
      <c r="N353" s="1" t="s">
        <v>9158</v>
      </c>
      <c r="O353" s="19" t="s">
        <v>10069</v>
      </c>
      <c r="P353" s="1" t="s">
        <v>5394</v>
      </c>
      <c r="Q353" s="1">
        <v>1</v>
      </c>
    </row>
    <row r="354" spans="1:17">
      <c r="A354" s="1" t="s">
        <v>5603</v>
      </c>
      <c r="B354" s="1" t="s">
        <v>330</v>
      </c>
      <c r="C354" s="1" t="s">
        <v>205</v>
      </c>
      <c r="D354" s="20" t="s">
        <v>611</v>
      </c>
      <c r="E354" s="15" t="str">
        <f>HYPERLINK("https://stat100.ameba.jp/tnk47/ratio20/illustrations/card/ill_61893_0_onikirishumiyamotomusashi03.jpg?202002-5-RELEASE-marathon-456", "■")</f>
        <v>■</v>
      </c>
      <c r="F354" s="1" t="s">
        <v>612</v>
      </c>
      <c r="G354" s="1">
        <v>242696</v>
      </c>
      <c r="H354" s="1">
        <v>225670</v>
      </c>
      <c r="I354" s="1">
        <v>26</v>
      </c>
      <c r="J354" s="1" t="s">
        <v>310</v>
      </c>
      <c r="K354" s="1" t="s">
        <v>613</v>
      </c>
      <c r="L354" s="1" t="s">
        <v>312</v>
      </c>
      <c r="M354" s="1" t="s">
        <v>9158</v>
      </c>
      <c r="N354" s="1" t="s">
        <v>9158</v>
      </c>
      <c r="O354" s="19" t="s">
        <v>10071</v>
      </c>
      <c r="P354" s="1" t="s">
        <v>3253</v>
      </c>
      <c r="Q354" s="1">
        <v>1</v>
      </c>
    </row>
    <row r="355" spans="1:17">
      <c r="A355" s="1">
        <v>77663</v>
      </c>
      <c r="B355" s="1" t="s">
        <v>334</v>
      </c>
      <c r="C355" s="1" t="s">
        <v>202</v>
      </c>
      <c r="D355" s="20" t="s">
        <v>10614</v>
      </c>
      <c r="E355" s="15" t="str">
        <f>HYPERLINK("https://stat100.ameba.jp/tnk47/ratio20/illustrations/card/ill_77663_deipuburu03.jpg?202002-5-RELEASE-marathon-456", "■")</f>
        <v>■</v>
      </c>
      <c r="F355" s="1" t="s">
        <v>1573</v>
      </c>
      <c r="G355" s="1">
        <v>85492</v>
      </c>
      <c r="H355" s="1">
        <v>118000</v>
      </c>
      <c r="I355" s="1">
        <v>26</v>
      </c>
      <c r="J355" s="1" t="s">
        <v>414</v>
      </c>
      <c r="K355" s="1" t="s">
        <v>1574</v>
      </c>
      <c r="L355" s="1" t="s">
        <v>1575</v>
      </c>
      <c r="M355" s="1" t="s">
        <v>9158</v>
      </c>
      <c r="N355" s="1" t="s">
        <v>9158</v>
      </c>
      <c r="O355" s="19" t="s">
        <v>10117</v>
      </c>
      <c r="P355" s="1" t="s">
        <v>3625</v>
      </c>
      <c r="Q355" s="1">
        <v>1</v>
      </c>
    </row>
    <row r="356" spans="1:17">
      <c r="A356" s="1">
        <v>83093</v>
      </c>
      <c r="B356" s="1" t="s">
        <v>0</v>
      </c>
      <c r="C356" s="1" t="s">
        <v>158</v>
      </c>
      <c r="D356" s="20" t="s">
        <v>10490</v>
      </c>
      <c r="E356" s="15" t="str">
        <f>HYPERLINK("https://stat100.ameba.jp/tnk47/ratio20/illustrations/card/ill_83093_yusuraume03.jpg?202002-5-RELEASE-marathon-456", "■")</f>
        <v>■</v>
      </c>
      <c r="F356" s="1" t="s">
        <v>6267</v>
      </c>
      <c r="G356" s="1">
        <v>137430</v>
      </c>
      <c r="H356" s="1">
        <v>99532</v>
      </c>
      <c r="I356" s="1">
        <v>26</v>
      </c>
      <c r="J356" s="1" t="s">
        <v>104</v>
      </c>
      <c r="K356" s="1" t="s">
        <v>6266</v>
      </c>
      <c r="L356" s="1" t="s">
        <v>2409</v>
      </c>
      <c r="M356" s="1" t="s">
        <v>9158</v>
      </c>
      <c r="N356" s="1" t="s">
        <v>9158</v>
      </c>
      <c r="O356" s="19" t="s">
        <v>10090</v>
      </c>
      <c r="P356" s="1" t="s">
        <v>3460</v>
      </c>
      <c r="Q356" s="1">
        <v>1</v>
      </c>
    </row>
    <row r="357" spans="1:17">
      <c r="A357" s="1">
        <v>60763</v>
      </c>
      <c r="B357" s="1" t="s">
        <v>334</v>
      </c>
      <c r="C357" s="1" t="s">
        <v>203</v>
      </c>
      <c r="D357" s="20" t="s">
        <v>10420</v>
      </c>
      <c r="E357" s="15" t="str">
        <f>HYPERLINK("https://stat100.ameba.jp/tnk47/ratio20/illustrations/card/ill_60763_fujiwarakagekiyo03.jpg?202002-5-RELEASE-marathon-456", "■")</f>
        <v>■</v>
      </c>
      <c r="F357" s="1" t="s">
        <v>1146</v>
      </c>
      <c r="G357" s="1">
        <v>125296</v>
      </c>
      <c r="H357" s="1">
        <v>172982</v>
      </c>
      <c r="I357" s="1">
        <v>26</v>
      </c>
      <c r="J357" s="1" t="s">
        <v>143</v>
      </c>
      <c r="K357" s="1" t="s">
        <v>1147</v>
      </c>
      <c r="L357" s="1" t="s">
        <v>1148</v>
      </c>
      <c r="M357" s="1" t="s">
        <v>9158</v>
      </c>
      <c r="N357" s="1" t="s">
        <v>9158</v>
      </c>
      <c r="O357" s="19" t="s">
        <v>10112</v>
      </c>
      <c r="P357" s="1" t="s">
        <v>13150</v>
      </c>
      <c r="Q357" s="1">
        <v>1</v>
      </c>
    </row>
    <row r="358" spans="1:17">
      <c r="A358" s="1">
        <v>83083</v>
      </c>
      <c r="B358" s="1" t="s">
        <v>0</v>
      </c>
      <c r="C358" s="1" t="s">
        <v>209</v>
      </c>
      <c r="D358" s="20" t="s">
        <v>10469</v>
      </c>
      <c r="E358" s="15" t="str">
        <f>HYPERLINK("https://stat100.ameba.jp/tnk47/ratio20/illustrations/card/ill_83083_burakkukingu03.jpg?202002-5-RELEASE-marathon-456", "■")</f>
        <v>■</v>
      </c>
      <c r="F358" s="1" t="s">
        <v>6093</v>
      </c>
      <c r="G358" s="1">
        <v>125296</v>
      </c>
      <c r="H358" s="1">
        <v>172982</v>
      </c>
      <c r="I358" s="1">
        <v>26</v>
      </c>
      <c r="J358" s="1" t="s">
        <v>194</v>
      </c>
      <c r="K358" s="1" t="s">
        <v>6095</v>
      </c>
      <c r="L358" s="1" t="s">
        <v>1148</v>
      </c>
      <c r="M358" s="1" t="s">
        <v>9158</v>
      </c>
      <c r="N358" s="1" t="s">
        <v>9158</v>
      </c>
      <c r="O358" s="19" t="s">
        <v>10117</v>
      </c>
      <c r="P358" s="1" t="s">
        <v>3625</v>
      </c>
      <c r="Q358" s="1">
        <v>1</v>
      </c>
    </row>
    <row r="359" spans="1:17">
      <c r="A359" s="1">
        <v>82543</v>
      </c>
      <c r="B359" s="1" t="s">
        <v>334</v>
      </c>
      <c r="C359" s="1" t="s">
        <v>41</v>
      </c>
      <c r="D359" s="20" t="s">
        <v>10342</v>
      </c>
      <c r="E359" s="15" t="str">
        <f>HYPERLINK("https://stat100.ameba.jp/tnk47/ratio20/illustrations/card/ill_82543_nabeshimanagako03.jpg?202002-5-RELEASE-marathon-456", "■")</f>
        <v>■</v>
      </c>
      <c r="F359" s="1" t="s">
        <v>5491</v>
      </c>
      <c r="G359" s="1">
        <v>113630</v>
      </c>
      <c r="H359" s="1">
        <v>82318</v>
      </c>
      <c r="I359" s="1">
        <v>26</v>
      </c>
      <c r="J359" s="1" t="s">
        <v>10</v>
      </c>
      <c r="K359" s="1" t="s">
        <v>5493</v>
      </c>
      <c r="L359" s="1" t="s">
        <v>5494</v>
      </c>
      <c r="M359" s="1" t="s">
        <v>9158</v>
      </c>
      <c r="N359" s="1" t="s">
        <v>9158</v>
      </c>
      <c r="O359" s="19" t="s">
        <v>10080</v>
      </c>
      <c r="P359" s="1" t="s">
        <v>3705</v>
      </c>
      <c r="Q359" s="1">
        <v>1</v>
      </c>
    </row>
    <row r="360" spans="1:17">
      <c r="A360" s="1">
        <v>67643</v>
      </c>
      <c r="B360" s="1" t="s">
        <v>334</v>
      </c>
      <c r="C360" s="1" t="s">
        <v>209</v>
      </c>
      <c r="D360" s="20" t="s">
        <v>3033</v>
      </c>
      <c r="E360" s="15" t="str">
        <f>HYPERLINK("https://stat100.ameba.jp/tnk47/ratio20/illustrations/card/ill_67643_edokarakamichan03.jpg?202002-5-RELEASE-marathon-456", "■")</f>
        <v>■</v>
      </c>
      <c r="F360" s="6" t="s">
        <v>1196</v>
      </c>
      <c r="G360" s="1">
        <v>122784</v>
      </c>
      <c r="H360" s="1">
        <v>114176</v>
      </c>
      <c r="I360" s="1">
        <v>26</v>
      </c>
      <c r="J360" s="1" t="s">
        <v>26</v>
      </c>
      <c r="K360" s="1" t="s">
        <v>1197</v>
      </c>
      <c r="L360" s="1" t="s">
        <v>1198</v>
      </c>
      <c r="M360" s="1" t="s">
        <v>9158</v>
      </c>
      <c r="N360" s="1" t="s">
        <v>9158</v>
      </c>
      <c r="O360" s="19" t="s">
        <v>3037</v>
      </c>
      <c r="P360" s="1" t="s">
        <v>13128</v>
      </c>
      <c r="Q360" s="1">
        <v>1</v>
      </c>
    </row>
    <row r="361" spans="1:17">
      <c r="A361" s="7">
        <v>73443</v>
      </c>
      <c r="B361" s="7" t="s">
        <v>0</v>
      </c>
      <c r="C361" s="7" t="s">
        <v>185</v>
      </c>
      <c r="D361" s="20" t="s">
        <v>10780</v>
      </c>
      <c r="E361" s="15" t="str">
        <f>HYPERLINK("https://stat100.ameba.jp/tnk47/ratio20/illustrations/card/ill_73443_kejonumadensetsu03.jpg?202002-5-RELEASE-marathon-456", "■")</f>
        <v>■</v>
      </c>
      <c r="F361" s="7" t="s">
        <v>8077</v>
      </c>
      <c r="G361" s="7">
        <v>110126</v>
      </c>
      <c r="H361" s="7">
        <v>118656</v>
      </c>
      <c r="I361" s="7">
        <v>26</v>
      </c>
      <c r="J361" s="7" t="s">
        <v>155</v>
      </c>
      <c r="K361" s="7" t="s">
        <v>8076</v>
      </c>
      <c r="L361" s="7" t="s">
        <v>3696</v>
      </c>
      <c r="M361" s="1" t="s">
        <v>9158</v>
      </c>
      <c r="N361" s="1" t="s">
        <v>9158</v>
      </c>
      <c r="O361" s="1" t="s">
        <v>9158</v>
      </c>
      <c r="P361" s="1" t="s">
        <v>9158</v>
      </c>
      <c r="Q361" s="1" t="s">
        <v>9158</v>
      </c>
    </row>
    <row r="362" spans="1:17">
      <c r="A362" s="9">
        <v>65313</v>
      </c>
      <c r="B362" s="1" t="s">
        <v>334</v>
      </c>
      <c r="C362" s="1" t="s">
        <v>200</v>
      </c>
      <c r="D362" s="20" t="s">
        <v>3131</v>
      </c>
      <c r="E362" s="15" t="str">
        <f>HYPERLINK("https://stat100.ameba.jp/tnk47/ratio20/illustrations/card/ill_65313_viranzukasuganotsubone03.jpg?202002-5-RELEASE-marathon-456", "■")</f>
        <v>■</v>
      </c>
      <c r="F362" s="1" t="s">
        <v>3132</v>
      </c>
      <c r="G362" s="1">
        <v>98066</v>
      </c>
      <c r="H362" s="1">
        <v>105426</v>
      </c>
      <c r="I362" s="1">
        <v>26</v>
      </c>
      <c r="J362" s="1" t="s">
        <v>414</v>
      </c>
      <c r="K362" s="1" t="s">
        <v>3133</v>
      </c>
      <c r="L362" s="1" t="s">
        <v>3134</v>
      </c>
      <c r="M362" s="1" t="s">
        <v>9158</v>
      </c>
      <c r="N362" s="1" t="s">
        <v>9158</v>
      </c>
      <c r="O362" s="1" t="s">
        <v>9158</v>
      </c>
      <c r="P362" s="1" t="s">
        <v>9158</v>
      </c>
      <c r="Q362" s="1" t="s">
        <v>9158</v>
      </c>
    </row>
    <row r="363" spans="1:17">
      <c r="A363" s="1">
        <v>65173</v>
      </c>
      <c r="B363" s="1" t="s">
        <v>0</v>
      </c>
      <c r="C363" s="1" t="s">
        <v>191</v>
      </c>
      <c r="D363" s="20" t="s">
        <v>10503</v>
      </c>
      <c r="E363" s="15" t="str">
        <f>HYPERLINK("https://stat100.ameba.jp/tnk47/ratio20/illustrations/card/ill_65173_kimodameshihorahamahime03.jpg?202002-5-RELEASE-marathon-456", "■")</f>
        <v>■</v>
      </c>
      <c r="F363" s="1" t="s">
        <v>3565</v>
      </c>
      <c r="G363" s="1">
        <v>100744</v>
      </c>
      <c r="H363" s="1">
        <v>108330</v>
      </c>
      <c r="I363" s="1">
        <v>26</v>
      </c>
      <c r="J363" s="1" t="s">
        <v>182</v>
      </c>
      <c r="K363" s="1" t="s">
        <v>3566</v>
      </c>
      <c r="L363" s="1" t="s">
        <v>13185</v>
      </c>
      <c r="M363" s="1" t="s">
        <v>9158</v>
      </c>
      <c r="N363" s="1" t="s">
        <v>9158</v>
      </c>
      <c r="O363" s="1" t="s">
        <v>9158</v>
      </c>
      <c r="P363" s="1" t="s">
        <v>9158</v>
      </c>
      <c r="Q363" s="1" t="s">
        <v>9158</v>
      </c>
    </row>
    <row r="364" spans="1:17">
      <c r="A364" s="1">
        <v>83963</v>
      </c>
      <c r="B364" s="1" t="s">
        <v>0</v>
      </c>
      <c r="C364" s="1" t="s">
        <v>165</v>
      </c>
      <c r="D364" s="20" t="s">
        <v>10496</v>
      </c>
      <c r="E364" s="15" t="str">
        <f>HYPERLINK("https://stat100.ameba.jp/tnk47/ratio20/illustrations/card/ill_83963_natsumatsurikaguya03.jpg?202002-5-RELEASE-marathon-456", "■")</f>
        <v>■</v>
      </c>
      <c r="F364" s="1" t="s">
        <v>6286</v>
      </c>
      <c r="G364" s="1">
        <v>110126</v>
      </c>
      <c r="H364" s="1">
        <v>118656</v>
      </c>
      <c r="I364" s="1">
        <v>26</v>
      </c>
      <c r="J364" s="1" t="s">
        <v>38</v>
      </c>
      <c r="K364" s="1" t="s">
        <v>6289</v>
      </c>
      <c r="L364" s="1" t="s">
        <v>2204</v>
      </c>
      <c r="M364" s="1" t="s">
        <v>9158</v>
      </c>
      <c r="N364" s="1" t="s">
        <v>9158</v>
      </c>
      <c r="O364" s="1" t="s">
        <v>9158</v>
      </c>
      <c r="P364" s="1" t="s">
        <v>9158</v>
      </c>
      <c r="Q364" s="1" t="s">
        <v>9158</v>
      </c>
    </row>
    <row r="365" spans="1:17">
      <c r="A365" s="1">
        <v>83013</v>
      </c>
      <c r="B365" s="1" t="s">
        <v>0</v>
      </c>
      <c r="C365" s="1" t="s">
        <v>205</v>
      </c>
      <c r="D365" s="20" t="s">
        <v>10454</v>
      </c>
      <c r="E365" s="15" t="str">
        <f>HYPERLINK("https://stat100.ameba.jp/tnk47/ratio20/illustrations/card/ill_83013_kyofunobyotosuseribime03.jpg?202002-5-RELEASE-marathon-456", "■")</f>
        <v>■</v>
      </c>
      <c r="F365" s="1" t="s">
        <v>6035</v>
      </c>
      <c r="G365" s="1">
        <v>98594</v>
      </c>
      <c r="H365" s="1">
        <v>106050</v>
      </c>
      <c r="I365" s="1">
        <v>26</v>
      </c>
      <c r="J365" s="1" t="s">
        <v>169</v>
      </c>
      <c r="K365" s="1" t="s">
        <v>6037</v>
      </c>
      <c r="L365" s="1" t="s">
        <v>13194</v>
      </c>
      <c r="M365" s="1" t="s">
        <v>9158</v>
      </c>
      <c r="N365" s="1" t="s">
        <v>9158</v>
      </c>
      <c r="O365" s="1" t="s">
        <v>9158</v>
      </c>
      <c r="P365" s="1" t="s">
        <v>9158</v>
      </c>
      <c r="Q365" s="1" t="s">
        <v>9158</v>
      </c>
    </row>
    <row r="366" spans="1:17">
      <c r="A366" s="1">
        <v>60943</v>
      </c>
      <c r="B366" s="1" t="s">
        <v>334</v>
      </c>
      <c r="C366" s="1" t="s">
        <v>206</v>
      </c>
      <c r="D366" s="20" t="s">
        <v>10465</v>
      </c>
      <c r="E366" s="15" t="str">
        <f>HYPERLINK("https://stat100.ameba.jp/tnk47/ratio20/illustrations/card/ill_60943_sukurugarutenshoin03.jpg?202002-5-RELEASE-marathon-456", "■")</f>
        <v>■</v>
      </c>
      <c r="F366" s="1" t="s">
        <v>3958</v>
      </c>
      <c r="G366" s="1">
        <v>94390</v>
      </c>
      <c r="H366" s="1">
        <v>101558</v>
      </c>
      <c r="I366" s="1">
        <v>26</v>
      </c>
      <c r="J366" s="1" t="s">
        <v>10</v>
      </c>
      <c r="K366" s="1" t="s">
        <v>3959</v>
      </c>
      <c r="L366" s="1" t="s">
        <v>12</v>
      </c>
      <c r="M366" s="1" t="s">
        <v>9158</v>
      </c>
      <c r="N366" s="1" t="s">
        <v>9158</v>
      </c>
      <c r="O366" s="1" t="s">
        <v>9158</v>
      </c>
      <c r="P366" s="1" t="s">
        <v>9158</v>
      </c>
      <c r="Q366" s="1" t="s">
        <v>9158</v>
      </c>
    </row>
    <row r="367" spans="1:17">
      <c r="A367" s="1">
        <v>53533</v>
      </c>
      <c r="B367" s="1" t="s">
        <v>9106</v>
      </c>
      <c r="C367" s="1" t="s">
        <v>9107</v>
      </c>
      <c r="D367" s="20" t="s">
        <v>14609</v>
      </c>
      <c r="E367" s="15" t="str">
        <f>HYPERLINK("https://stat100.ameba.jp/tnk47/ratio20/illustrations/card/ill_53533_seizatokachinoraijin03.jpg?202002-5-RELEASE-marathon-456", "■")</f>
        <v>■</v>
      </c>
      <c r="F367" s="1" t="s">
        <v>9115</v>
      </c>
      <c r="G367" s="1" t="s">
        <v>9117</v>
      </c>
      <c r="H367" s="1" t="s">
        <v>9117</v>
      </c>
      <c r="I367" s="1">
        <v>26</v>
      </c>
      <c r="J367" s="1" t="s">
        <v>9110</v>
      </c>
      <c r="K367" s="1" t="s">
        <v>14610</v>
      </c>
      <c r="L367" s="1" t="s">
        <v>9117</v>
      </c>
      <c r="M367" s="1" t="s">
        <v>9158</v>
      </c>
      <c r="N367" s="1" t="s">
        <v>9158</v>
      </c>
      <c r="O367" s="1" t="s">
        <v>9158</v>
      </c>
      <c r="P367" s="1" t="s">
        <v>9158</v>
      </c>
      <c r="Q367" s="1" t="s">
        <v>9158</v>
      </c>
    </row>
    <row r="368" spans="1:17">
      <c r="A368" s="1">
        <v>55383</v>
      </c>
      <c r="B368" s="1" t="s">
        <v>9106</v>
      </c>
      <c r="C368" s="1" t="s">
        <v>9108</v>
      </c>
      <c r="D368" s="20" t="s">
        <v>10921</v>
      </c>
      <c r="E368" s="15" t="str">
        <f>HYPERLINK("https://stat100.ameba.jp/tnk47/ratio20/illustrations/card/ill_55383_naitopateitorumarin03.jpg?202002-5-RELEASE-marathon-456", "■")</f>
        <v>■</v>
      </c>
      <c r="F368" s="1" t="s">
        <v>9114</v>
      </c>
      <c r="G368" s="1">
        <v>69898</v>
      </c>
      <c r="H368" s="1">
        <v>77064</v>
      </c>
      <c r="I368" s="1">
        <v>26</v>
      </c>
      <c r="J368" s="1" t="s">
        <v>9111</v>
      </c>
      <c r="K368" s="1" t="s">
        <v>9113</v>
      </c>
      <c r="L368" s="1" t="s">
        <v>9116</v>
      </c>
      <c r="M368" s="1" t="s">
        <v>9158</v>
      </c>
      <c r="N368" s="1" t="s">
        <v>9158</v>
      </c>
      <c r="O368" s="1" t="s">
        <v>9158</v>
      </c>
      <c r="P368" s="1" t="s">
        <v>9158</v>
      </c>
      <c r="Q368" s="1" t="s">
        <v>9158</v>
      </c>
    </row>
    <row r="369" spans="1:17">
      <c r="A369" s="1">
        <v>78303</v>
      </c>
      <c r="B369" s="1" t="s">
        <v>9106</v>
      </c>
      <c r="C369" s="1" t="s">
        <v>9109</v>
      </c>
      <c r="D369" s="20" t="s">
        <v>10452</v>
      </c>
      <c r="E369" s="15" t="str">
        <f>HYPERLINK("https://stat100.ameba.jp/tnk47/ratio20/illustrations/card/ill_78303_kobewain03.jpg?202002-5-RELEASE-marathon-456", "■")</f>
        <v>■</v>
      </c>
      <c r="F369" s="1" t="s">
        <v>2419</v>
      </c>
      <c r="G369" s="1">
        <v>77064</v>
      </c>
      <c r="H369" s="1">
        <v>69898</v>
      </c>
      <c r="I369" s="1">
        <v>26</v>
      </c>
      <c r="J369" s="1" t="s">
        <v>9112</v>
      </c>
      <c r="K369" s="1" t="s">
        <v>2420</v>
      </c>
      <c r="L369" s="1" t="s">
        <v>13178</v>
      </c>
      <c r="M369" s="1" t="s">
        <v>9158</v>
      </c>
      <c r="N369" s="1" t="s">
        <v>9158</v>
      </c>
      <c r="O369" s="1" t="s">
        <v>9158</v>
      </c>
      <c r="P369" s="1" t="s">
        <v>9158</v>
      </c>
      <c r="Q369" s="1" t="s">
        <v>9158</v>
      </c>
    </row>
    <row r="370" spans="1:17">
      <c r="B370" s="1"/>
      <c r="C370" s="1"/>
      <c r="D370" s="1"/>
      <c r="I370" s="1"/>
      <c r="J370" s="1"/>
    </row>
    <row r="371" spans="1:17">
      <c r="A371" s="9" t="s">
        <v>9102</v>
      </c>
      <c r="E371" s="9"/>
    </row>
    <row r="372" spans="1:17">
      <c r="A372" s="9" t="s">
        <v>9103</v>
      </c>
      <c r="E372" s="9"/>
    </row>
    <row r="373" spans="1:17">
      <c r="A373" s="1" t="s">
        <v>5615</v>
      </c>
      <c r="B373" s="1" t="s">
        <v>330</v>
      </c>
      <c r="C373" s="1" t="s">
        <v>206</v>
      </c>
      <c r="D373" s="20" t="s">
        <v>2814</v>
      </c>
      <c r="E373" s="15" t="str">
        <f>HYPERLINK("https://stat100.ameba.jp/tnk47/ratio20/illustrations/card/ill_57733_0_shogatsunisenjunanaamakusashiro03.jpg?202002-5-RELEASE-marathon-456", "■")</f>
        <v>■</v>
      </c>
      <c r="F373" s="1" t="s">
        <v>2815</v>
      </c>
      <c r="G373" s="1">
        <v>133938</v>
      </c>
      <c r="H373" s="1">
        <v>150776</v>
      </c>
      <c r="I373" s="1">
        <v>24</v>
      </c>
      <c r="J373" s="1" t="s">
        <v>351</v>
      </c>
      <c r="K373" s="1" t="s">
        <v>2816</v>
      </c>
      <c r="L373" s="1" t="s">
        <v>2817</v>
      </c>
      <c r="M373" s="1" t="s">
        <v>9158</v>
      </c>
      <c r="N373" s="1" t="s">
        <v>9158</v>
      </c>
      <c r="O373" s="19" t="s">
        <v>10077</v>
      </c>
      <c r="P373" s="1" t="s">
        <v>3062</v>
      </c>
      <c r="Q373" s="1">
        <v>1</v>
      </c>
    </row>
    <row r="374" spans="1:17">
      <c r="A374" s="9">
        <v>68723</v>
      </c>
      <c r="B374" s="1" t="s">
        <v>334</v>
      </c>
      <c r="C374" s="1" t="s">
        <v>185</v>
      </c>
      <c r="D374" s="20" t="s">
        <v>10922</v>
      </c>
      <c r="E374" s="15" t="str">
        <f>HYPERLINK("https://stat100.ameba.jp/tnk47/ratio20/illustrations/card/ill_68723_gantanfukuhime03.jpg?202002-5-RELEASE-marathon-456", "■")</f>
        <v>■</v>
      </c>
      <c r="F374" s="1" t="s">
        <v>2077</v>
      </c>
      <c r="G374" s="1">
        <v>90759</v>
      </c>
      <c r="H374" s="1">
        <v>97651</v>
      </c>
      <c r="I374" s="1">
        <v>25</v>
      </c>
      <c r="J374" s="1" t="s">
        <v>77</v>
      </c>
      <c r="K374" s="1" t="s">
        <v>2078</v>
      </c>
      <c r="L374" s="1" t="s">
        <v>969</v>
      </c>
      <c r="M374" s="1" t="s">
        <v>9158</v>
      </c>
      <c r="N374" s="1" t="s">
        <v>9158</v>
      </c>
      <c r="O374" s="19" t="s">
        <v>10074</v>
      </c>
      <c r="P374" s="1" t="s">
        <v>3592</v>
      </c>
      <c r="Q374" s="1">
        <v>1</v>
      </c>
    </row>
    <row r="375" spans="1:17">
      <c r="A375" s="1">
        <v>79963</v>
      </c>
      <c r="B375" s="1" t="s">
        <v>0</v>
      </c>
      <c r="C375" s="1" t="s">
        <v>200</v>
      </c>
      <c r="D375" s="20" t="s">
        <v>10477</v>
      </c>
      <c r="E375" s="15" t="str">
        <f>HYPERLINK("https://stat100.ameba.jp/tnk47/ratio20/illustrations/card/ill_79963_hinamatsurirakko03.jpg?202002-5-RELEASE-marathon-456", "■")</f>
        <v>■</v>
      </c>
      <c r="F375" s="1" t="s">
        <v>3715</v>
      </c>
      <c r="G375" s="1">
        <v>113890</v>
      </c>
      <c r="H375" s="1">
        <v>105890</v>
      </c>
      <c r="I375" s="1">
        <v>25</v>
      </c>
      <c r="J375" s="1" t="s">
        <v>26</v>
      </c>
      <c r="K375" s="1" t="s">
        <v>3716</v>
      </c>
      <c r="L375" s="1" t="s">
        <v>1086</v>
      </c>
      <c r="M375" s="1" t="s">
        <v>9158</v>
      </c>
      <c r="N375" s="1" t="s">
        <v>9158</v>
      </c>
      <c r="O375" s="19" t="s">
        <v>10090</v>
      </c>
      <c r="P375" s="1" t="s">
        <v>3460</v>
      </c>
      <c r="Q375" s="1">
        <v>1</v>
      </c>
    </row>
    <row r="376" spans="1:17">
      <c r="A376" s="1">
        <v>75853</v>
      </c>
      <c r="B376" s="1" t="s">
        <v>334</v>
      </c>
      <c r="C376" s="1" t="s">
        <v>41</v>
      </c>
      <c r="D376" s="20" t="s">
        <v>10224</v>
      </c>
      <c r="E376" s="15" t="str">
        <f>HYPERLINK("https://stat100.ameba.jp/tnk47/ratio20/illustrations/card/ill_75853_moruganoyuki03.jpg?202002-5-RELEASE-marathon-456", "■")</f>
        <v>■</v>
      </c>
      <c r="F376" s="1" t="s">
        <v>5106</v>
      </c>
      <c r="G376" s="1">
        <v>125000</v>
      </c>
      <c r="H376" s="1">
        <v>116225</v>
      </c>
      <c r="I376" s="7">
        <v>25</v>
      </c>
      <c r="J376" s="1" t="s">
        <v>16</v>
      </c>
      <c r="K376" s="1" t="s">
        <v>5108</v>
      </c>
      <c r="L376" s="1" t="s">
        <v>1881</v>
      </c>
      <c r="M376" s="1" t="s">
        <v>9158</v>
      </c>
      <c r="N376" s="1" t="s">
        <v>9158</v>
      </c>
      <c r="O376" s="19" t="s">
        <v>10070</v>
      </c>
      <c r="P376" s="1" t="s">
        <v>3579</v>
      </c>
      <c r="Q376" s="1">
        <v>1</v>
      </c>
    </row>
    <row r="377" spans="1:17">
      <c r="E377" s="9"/>
    </row>
    <row r="378" spans="1:17">
      <c r="A378" s="9" t="s">
        <v>9118</v>
      </c>
      <c r="E378" s="9"/>
    </row>
    <row r="379" spans="1:17">
      <c r="A379" s="9" t="s">
        <v>9119</v>
      </c>
      <c r="E379" s="9"/>
    </row>
    <row r="380" spans="1:17">
      <c r="A380" s="1" t="s">
        <v>5787</v>
      </c>
      <c r="B380" s="1" t="s">
        <v>330</v>
      </c>
      <c r="C380" s="1" t="s">
        <v>270</v>
      </c>
      <c r="D380" s="20" t="s">
        <v>331</v>
      </c>
      <c r="E380" s="15" t="str">
        <f>HYPERLINK("https://stat100.ameba.jp/tnk47/ratio20/illustrations/card/ill_76303_0_haroinkaguya03.jpg?202002-5-RELEASE-marathon-456", "■")</f>
        <v>■</v>
      </c>
      <c r="F380" s="1" t="s">
        <v>332</v>
      </c>
      <c r="G380" s="1">
        <v>285614</v>
      </c>
      <c r="H380" s="1">
        <v>265526</v>
      </c>
      <c r="I380" s="1">
        <v>24</v>
      </c>
      <c r="J380" s="1" t="s">
        <v>274</v>
      </c>
      <c r="K380" s="1" t="s">
        <v>333</v>
      </c>
      <c r="L380" s="1" t="s">
        <v>276</v>
      </c>
      <c r="M380" s="1" t="s">
        <v>9158</v>
      </c>
      <c r="N380" s="1" t="s">
        <v>9158</v>
      </c>
      <c r="O380" s="19" t="s">
        <v>2976</v>
      </c>
      <c r="P380" s="1" t="s">
        <v>2724</v>
      </c>
      <c r="Q380" s="1">
        <v>1</v>
      </c>
    </row>
    <row r="381" spans="1:17">
      <c r="A381" s="1" t="s">
        <v>5778</v>
      </c>
      <c r="B381" s="1" t="s">
        <v>330</v>
      </c>
      <c r="C381" s="1" t="s">
        <v>205</v>
      </c>
      <c r="D381" s="20" t="s">
        <v>272</v>
      </c>
      <c r="E381" s="15" t="str">
        <f>HYPERLINK("https://stat100.ameba.jp/tnk47/ratio20/illustrations/card/ill_68783_0_gantammomotaro03.jpg?202002-5-RELEASE-marathon-456", "■")</f>
        <v>■</v>
      </c>
      <c r="F381" s="1" t="s">
        <v>273</v>
      </c>
      <c r="G381" s="1">
        <v>164144</v>
      </c>
      <c r="H381" s="1">
        <v>152594</v>
      </c>
      <c r="I381" s="1">
        <v>24</v>
      </c>
      <c r="J381" s="1" t="s">
        <v>274</v>
      </c>
      <c r="K381" s="1" t="s">
        <v>275</v>
      </c>
      <c r="L381" s="1" t="s">
        <v>276</v>
      </c>
      <c r="M381" s="1" t="s">
        <v>9158</v>
      </c>
      <c r="N381" s="1" t="s">
        <v>9158</v>
      </c>
      <c r="O381" s="19" t="s">
        <v>10099</v>
      </c>
      <c r="P381" s="1" t="s">
        <v>3085</v>
      </c>
      <c r="Q381" s="1">
        <v>1</v>
      </c>
    </row>
    <row r="382" spans="1:17">
      <c r="A382" s="1" t="s">
        <v>5897</v>
      </c>
      <c r="B382" s="1" t="s">
        <v>52</v>
      </c>
      <c r="C382" s="1" t="s">
        <v>23</v>
      </c>
      <c r="D382" s="20" t="s">
        <v>277</v>
      </c>
      <c r="E382" s="15" t="str">
        <f>HYPERLINK("https://stat100.ameba.jp/tnk47/ratio20/illustrations/card/ill_40913_0_reigyokudensetsufusehime03.jpg?202002-5-RELEASE-marathon-456", "■")</f>
        <v>■</v>
      </c>
      <c r="F382" s="1" t="s">
        <v>955</v>
      </c>
      <c r="G382" s="1">
        <v>131538</v>
      </c>
      <c r="H382" s="1">
        <v>140448</v>
      </c>
      <c r="I382" s="1">
        <v>24</v>
      </c>
      <c r="J382" s="1" t="s">
        <v>38</v>
      </c>
      <c r="K382" s="1" t="s">
        <v>956</v>
      </c>
      <c r="L382" s="1" t="s">
        <v>957</v>
      </c>
      <c r="M382" s="1" t="s">
        <v>9158</v>
      </c>
      <c r="N382" s="1" t="s">
        <v>9158</v>
      </c>
      <c r="O382" s="1" t="s">
        <v>9158</v>
      </c>
      <c r="P382" s="1" t="s">
        <v>9158</v>
      </c>
      <c r="Q382" s="1" t="s">
        <v>9158</v>
      </c>
    </row>
    <row r="383" spans="1:17">
      <c r="A383" s="9">
        <v>86533</v>
      </c>
      <c r="B383" s="9" t="s">
        <v>0</v>
      </c>
      <c r="C383" s="9" t="s">
        <v>206</v>
      </c>
      <c r="D383" s="20" t="s">
        <v>10913</v>
      </c>
      <c r="E383" s="15" t="str">
        <f>HYPERLINK("https://stat100.ameba.jp/tnk47/ratio20/illustrations/card/ill_86533_onikirishuyoriyorichan03.jpg?202002-5-RELEASE-marathon-456", "■")</f>
        <v>■</v>
      </c>
      <c r="F383" s="9" t="s">
        <v>9023</v>
      </c>
      <c r="G383" s="9">
        <v>105890</v>
      </c>
      <c r="H383" s="9">
        <v>113890</v>
      </c>
      <c r="I383" s="9">
        <v>25</v>
      </c>
      <c r="J383" s="9" t="s">
        <v>216</v>
      </c>
      <c r="K383" s="9" t="s">
        <v>9022</v>
      </c>
      <c r="L383" s="9" t="s">
        <v>9021</v>
      </c>
      <c r="M383" s="1" t="s">
        <v>9158</v>
      </c>
      <c r="N383" s="1" t="s">
        <v>9158</v>
      </c>
      <c r="O383" s="1" t="s">
        <v>9158</v>
      </c>
      <c r="P383" s="1" t="s">
        <v>9158</v>
      </c>
      <c r="Q383" s="1" t="s">
        <v>9158</v>
      </c>
    </row>
    <row r="384" spans="1:17">
      <c r="A384" s="9">
        <v>86543</v>
      </c>
      <c r="B384" s="9" t="s">
        <v>15</v>
      </c>
      <c r="C384" s="9" t="s">
        <v>185</v>
      </c>
      <c r="D384" s="20" t="s">
        <v>10914</v>
      </c>
      <c r="E384" s="15" t="str">
        <f>HYPERLINK("https://stat100.ameba.jp/tnk47/ratio20/illustrations/card/ill_86543_keijisonobehideo03.jpg?202002-5-RELEASE-marathon-456", "■")</f>
        <v>■</v>
      </c>
      <c r="F384" s="9" t="s">
        <v>9026</v>
      </c>
      <c r="G384" s="9">
        <v>74100</v>
      </c>
      <c r="H384" s="9">
        <v>67210</v>
      </c>
      <c r="I384" s="9">
        <v>25</v>
      </c>
      <c r="J384" s="9" t="s">
        <v>173</v>
      </c>
      <c r="K384" s="9" t="s">
        <v>9025</v>
      </c>
      <c r="L384" s="9" t="s">
        <v>3275</v>
      </c>
      <c r="M384" s="1" t="s">
        <v>9158</v>
      </c>
      <c r="N384" s="1" t="s">
        <v>9158</v>
      </c>
      <c r="O384" s="1" t="s">
        <v>9158</v>
      </c>
      <c r="P384" s="1" t="s">
        <v>9158</v>
      </c>
      <c r="Q384" s="1" t="s">
        <v>9158</v>
      </c>
    </row>
    <row r="385" spans="1:18">
      <c r="A385" s="9">
        <v>86553</v>
      </c>
      <c r="B385" s="9" t="s">
        <v>22</v>
      </c>
      <c r="C385" s="9" t="s">
        <v>205</v>
      </c>
      <c r="D385" s="20" t="s">
        <v>10915</v>
      </c>
      <c r="E385" s="15" t="str">
        <f>HYPERLINK("https://stat100.ameba.jp/tnk47/ratio20/illustrations/card/ill_86553_amekomiizumozenzaichan03.jpg?202002-5-RELEASE-marathon-456", "■")</f>
        <v>■</v>
      </c>
      <c r="F385" s="9" t="s">
        <v>9029</v>
      </c>
      <c r="G385" s="9">
        <v>43220</v>
      </c>
      <c r="H385" s="9">
        <v>51980</v>
      </c>
      <c r="I385" s="9">
        <v>25</v>
      </c>
      <c r="J385" s="9" t="s">
        <v>216</v>
      </c>
      <c r="K385" s="9" t="s">
        <v>9028</v>
      </c>
      <c r="L385" s="9" t="s">
        <v>3839</v>
      </c>
      <c r="M385" s="1" t="s">
        <v>9158</v>
      </c>
      <c r="N385" s="1" t="s">
        <v>9158</v>
      </c>
      <c r="O385" s="1" t="s">
        <v>9158</v>
      </c>
      <c r="P385" s="1" t="s">
        <v>9158</v>
      </c>
      <c r="Q385" s="1" t="s">
        <v>9158</v>
      </c>
    </row>
    <row r="386" spans="1:18">
      <c r="A386" s="9">
        <v>86563</v>
      </c>
      <c r="B386" s="9" t="s">
        <v>30</v>
      </c>
      <c r="C386" s="9" t="s">
        <v>9014</v>
      </c>
      <c r="D386" s="20" t="s">
        <v>10916</v>
      </c>
      <c r="E386" s="15" t="str">
        <f>HYPERLINK("https://stat100.ameba.jp/tnk47/ratio20/illustrations/card/ill_86563_akaiteruko03.jpg?202002-5-RELEASE-marathon-456", "■")</f>
        <v>■</v>
      </c>
      <c r="F386" s="9" t="s">
        <v>9032</v>
      </c>
      <c r="G386" s="9">
        <v>31470</v>
      </c>
      <c r="H386" s="9">
        <v>26430</v>
      </c>
      <c r="I386" s="9">
        <v>25</v>
      </c>
      <c r="J386" s="9" t="s">
        <v>194</v>
      </c>
      <c r="K386" s="9" t="s">
        <v>9031</v>
      </c>
      <c r="L386" s="9" t="s">
        <v>2428</v>
      </c>
      <c r="M386" s="1" t="s">
        <v>9158</v>
      </c>
      <c r="N386" s="1" t="s">
        <v>9158</v>
      </c>
      <c r="O386" s="1" t="s">
        <v>9158</v>
      </c>
      <c r="P386" s="1" t="s">
        <v>9158</v>
      </c>
      <c r="Q386" s="1" t="s">
        <v>9158</v>
      </c>
    </row>
    <row r="387" spans="1:18">
      <c r="E387" s="9"/>
    </row>
    <row r="388" spans="1:18">
      <c r="A388" s="1" t="s">
        <v>13327</v>
      </c>
      <c r="B388" s="1"/>
      <c r="C388" s="1"/>
      <c r="D388" s="1"/>
      <c r="F388" s="1"/>
      <c r="G388" s="1"/>
      <c r="H388" s="1"/>
      <c r="I388" s="1"/>
      <c r="J388" s="1"/>
      <c r="K388" s="1"/>
      <c r="L388" s="1"/>
      <c r="M388" s="1"/>
      <c r="N388" s="1"/>
      <c r="O388" s="1"/>
      <c r="P388" s="1"/>
      <c r="Q388" s="1"/>
      <c r="R388" s="1"/>
    </row>
    <row r="389" spans="1:18">
      <c r="A389" s="1" t="s">
        <v>9120</v>
      </c>
      <c r="B389" s="1"/>
      <c r="C389" s="1"/>
      <c r="D389" s="1"/>
      <c r="F389" s="1"/>
      <c r="G389" s="1"/>
      <c r="H389" s="1"/>
      <c r="I389" s="1"/>
      <c r="J389" s="1"/>
      <c r="K389" s="1"/>
      <c r="L389" s="1"/>
      <c r="M389" s="1"/>
      <c r="N389" s="1"/>
      <c r="O389" s="1"/>
      <c r="P389" s="1"/>
      <c r="Q389" s="1"/>
      <c r="R389" s="1"/>
    </row>
    <row r="390" spans="1:18">
      <c r="A390" s="1">
        <v>75113</v>
      </c>
      <c r="B390" s="1" t="s">
        <v>334</v>
      </c>
      <c r="C390" s="1" t="s">
        <v>335</v>
      </c>
      <c r="D390" s="20" t="s">
        <v>448</v>
      </c>
      <c r="E390" s="15" t="str">
        <f>HYPERLINK("https://stat100.ameba.jp/tnk47/ratio20/illustrations/card/ill_75113_hatahata03.jpg?202002-5-RELEASE-marathon-456", "■")</f>
        <v>■</v>
      </c>
      <c r="F390" s="1" t="s">
        <v>449</v>
      </c>
      <c r="G390" s="1">
        <v>128000</v>
      </c>
      <c r="H390" s="1">
        <v>119006</v>
      </c>
      <c r="I390" s="7">
        <v>26</v>
      </c>
      <c r="J390" s="1" t="s">
        <v>283</v>
      </c>
      <c r="K390" s="1" t="s">
        <v>450</v>
      </c>
      <c r="L390" s="1" t="s">
        <v>13129</v>
      </c>
      <c r="M390" s="1" t="s">
        <v>13130</v>
      </c>
      <c r="N390" s="1" t="s">
        <v>343</v>
      </c>
      <c r="O390" s="1" t="s">
        <v>9158</v>
      </c>
      <c r="P390" s="1" t="s">
        <v>9158</v>
      </c>
      <c r="Q390" s="1" t="s">
        <v>9158</v>
      </c>
      <c r="R390" s="14" t="s">
        <v>14748</v>
      </c>
    </row>
    <row r="391" spans="1:18">
      <c r="A391" s="1">
        <v>75112</v>
      </c>
      <c r="B391" s="1" t="s">
        <v>334</v>
      </c>
      <c r="C391" s="1" t="s">
        <v>335</v>
      </c>
      <c r="D391" s="20" t="s">
        <v>448</v>
      </c>
      <c r="E391" s="15" t="str">
        <f>HYPERLINK("https://stat100.ameba.jp/tnk47/ratio20/illustrations/card/ill_75112_hatahata02.jpg?202002-5-RELEASE-marathon-456", "■")</f>
        <v>■</v>
      </c>
      <c r="F391" s="1" t="s">
        <v>449</v>
      </c>
      <c r="G391" s="1">
        <v>107000</v>
      </c>
      <c r="H391" s="1">
        <v>98566</v>
      </c>
      <c r="I391" s="7">
        <v>26</v>
      </c>
      <c r="J391" s="1" t="s">
        <v>283</v>
      </c>
      <c r="K391" s="1" t="s">
        <v>450</v>
      </c>
      <c r="L391" s="1" t="s">
        <v>13129</v>
      </c>
      <c r="M391" s="1" t="s">
        <v>13131</v>
      </c>
      <c r="N391" s="1" t="s">
        <v>251</v>
      </c>
      <c r="O391" s="1" t="s">
        <v>9158</v>
      </c>
      <c r="P391" s="1" t="s">
        <v>9158</v>
      </c>
      <c r="Q391" s="1" t="s">
        <v>9158</v>
      </c>
      <c r="R391" s="14" t="s">
        <v>14748</v>
      </c>
    </row>
    <row r="392" spans="1:18">
      <c r="A392" s="1">
        <v>75111</v>
      </c>
      <c r="B392" s="1" t="s">
        <v>334</v>
      </c>
      <c r="C392" s="1" t="s">
        <v>335</v>
      </c>
      <c r="D392" s="20" t="s">
        <v>448</v>
      </c>
      <c r="E392" s="15" t="str">
        <f>HYPERLINK("https://stat100.ameba.jp/tnk47/ratio20/illustrations/card/ill_75111_hatahata01.jpg?202002-5-RELEASE-marathon-456", "■")</f>
        <v>■</v>
      </c>
      <c r="F392" s="1" t="s">
        <v>449</v>
      </c>
      <c r="G392" s="1">
        <v>81692</v>
      </c>
      <c r="H392" s="1">
        <v>76050</v>
      </c>
      <c r="I392" s="7">
        <v>26</v>
      </c>
      <c r="J392" s="1" t="s">
        <v>283</v>
      </c>
      <c r="K392" s="1" t="s">
        <v>450</v>
      </c>
      <c r="L392" s="1" t="s">
        <v>13129</v>
      </c>
      <c r="M392" s="1" t="s">
        <v>13131</v>
      </c>
      <c r="N392" s="1" t="s">
        <v>251</v>
      </c>
      <c r="O392" s="1" t="s">
        <v>9158</v>
      </c>
      <c r="P392" s="1" t="s">
        <v>9158</v>
      </c>
      <c r="Q392" s="1" t="s">
        <v>9158</v>
      </c>
      <c r="R392" s="14" t="s">
        <v>14748</v>
      </c>
    </row>
    <row r="393" spans="1:18">
      <c r="A393" s="1">
        <v>75123</v>
      </c>
      <c r="B393" s="1" t="s">
        <v>334</v>
      </c>
      <c r="C393" s="1" t="s">
        <v>307</v>
      </c>
      <c r="D393" s="20" t="s">
        <v>451</v>
      </c>
      <c r="E393" s="15" t="str">
        <f>HYPERLINK("https://stat100.ameba.jp/tnk47/ratio20/illustrations/card/ill_75123_nankintamasudare03.jpg?202002-5-RELEASE-marathon-456", "■")</f>
        <v>■</v>
      </c>
      <c r="F393" s="1" t="s">
        <v>452</v>
      </c>
      <c r="G393" s="1">
        <v>119006</v>
      </c>
      <c r="H393" s="1">
        <v>128000</v>
      </c>
      <c r="I393" s="7">
        <v>26</v>
      </c>
      <c r="J393" s="1" t="s">
        <v>274</v>
      </c>
      <c r="K393" s="1" t="s">
        <v>453</v>
      </c>
      <c r="L393" s="1" t="s">
        <v>6711</v>
      </c>
      <c r="M393" s="1" t="s">
        <v>13130</v>
      </c>
      <c r="N393" s="1" t="s">
        <v>343</v>
      </c>
      <c r="O393" s="1" t="s">
        <v>9158</v>
      </c>
      <c r="P393" s="1" t="s">
        <v>9158</v>
      </c>
      <c r="Q393" s="1" t="s">
        <v>9158</v>
      </c>
      <c r="R393" s="14" t="s">
        <v>14748</v>
      </c>
    </row>
    <row r="394" spans="1:18">
      <c r="A394" s="1">
        <v>76013</v>
      </c>
      <c r="B394" s="1" t="s">
        <v>334</v>
      </c>
      <c r="C394" s="1" t="s">
        <v>344</v>
      </c>
      <c r="D394" s="20" t="s">
        <v>454</v>
      </c>
      <c r="E394" s="15" t="str">
        <f>HYPERLINK("https://stat100.ameba.jp/tnk47/ratio20/illustrations/card/ill_76013_miyakojima03.jpg?202002-5-RELEASE-marathon-456", "■")</f>
        <v>■</v>
      </c>
      <c r="F394" s="1" t="s">
        <v>455</v>
      </c>
      <c r="G394" s="1">
        <v>128000</v>
      </c>
      <c r="H394" s="1">
        <v>119006</v>
      </c>
      <c r="I394" s="7">
        <v>26</v>
      </c>
      <c r="J394" s="1" t="s">
        <v>369</v>
      </c>
      <c r="K394" s="1" t="s">
        <v>456</v>
      </c>
      <c r="L394" s="1" t="s">
        <v>6712</v>
      </c>
      <c r="M394" s="1" t="s">
        <v>13130</v>
      </c>
      <c r="N394" s="1" t="s">
        <v>343</v>
      </c>
      <c r="O394" s="1" t="s">
        <v>9158</v>
      </c>
      <c r="P394" s="1" t="s">
        <v>9158</v>
      </c>
      <c r="Q394" s="1" t="s">
        <v>9158</v>
      </c>
      <c r="R394" s="14" t="s">
        <v>14748</v>
      </c>
    </row>
    <row r="395" spans="1:18">
      <c r="A395" s="1">
        <v>74333</v>
      </c>
      <c r="B395" s="1" t="s">
        <v>334</v>
      </c>
      <c r="C395" s="1" t="s">
        <v>271</v>
      </c>
      <c r="D395" s="20" t="s">
        <v>457</v>
      </c>
      <c r="E395" s="15" t="str">
        <f>HYPERLINK("https://stat100.ameba.jp/tnk47/ratio20/illustrations/card/ill_74333_iizukaigashichi03.jpg?202002-5-RELEASE-marathon-456", "■")</f>
        <v>■</v>
      </c>
      <c r="F395" s="1" t="s">
        <v>458</v>
      </c>
      <c r="G395" s="1">
        <v>119006</v>
      </c>
      <c r="H395" s="1">
        <v>128000</v>
      </c>
      <c r="I395" s="7">
        <v>26</v>
      </c>
      <c r="J395" s="1" t="s">
        <v>414</v>
      </c>
      <c r="K395" s="1" t="s">
        <v>459</v>
      </c>
      <c r="L395" s="1" t="s">
        <v>6713</v>
      </c>
      <c r="M395" s="1" t="s">
        <v>13130</v>
      </c>
      <c r="N395" s="1" t="s">
        <v>343</v>
      </c>
      <c r="O395" s="1" t="s">
        <v>9158</v>
      </c>
      <c r="P395" s="1" t="s">
        <v>9158</v>
      </c>
      <c r="Q395" s="1" t="s">
        <v>9158</v>
      </c>
      <c r="R395" s="14" t="s">
        <v>14748</v>
      </c>
    </row>
    <row r="396" spans="1:18">
      <c r="A396" s="1">
        <v>74343</v>
      </c>
      <c r="B396" s="1" t="s">
        <v>334</v>
      </c>
      <c r="C396" s="1" t="s">
        <v>308</v>
      </c>
      <c r="D396" s="20" t="s">
        <v>460</v>
      </c>
      <c r="E396" s="15" t="str">
        <f>HYPERLINK("https://stat100.ameba.jp/tnk47/ratio20/illustrations/card/ill_74343_wadakoremasa03.jpg?202002-5-RELEASE-marathon-456", "■")</f>
        <v>■</v>
      </c>
      <c r="F396" s="1" t="s">
        <v>461</v>
      </c>
      <c r="G396" s="1">
        <v>119006</v>
      </c>
      <c r="H396" s="1">
        <v>128000</v>
      </c>
      <c r="I396" s="7">
        <v>26</v>
      </c>
      <c r="J396" s="1" t="s">
        <v>310</v>
      </c>
      <c r="K396" s="1" t="s">
        <v>462</v>
      </c>
      <c r="L396" s="1" t="s">
        <v>6714</v>
      </c>
      <c r="M396" s="1" t="s">
        <v>13130</v>
      </c>
      <c r="N396" s="1" t="s">
        <v>343</v>
      </c>
      <c r="O396" s="1" t="s">
        <v>9158</v>
      </c>
      <c r="P396" s="1" t="s">
        <v>9158</v>
      </c>
      <c r="Q396" s="1" t="s">
        <v>9158</v>
      </c>
      <c r="R396" s="14" t="s">
        <v>14748</v>
      </c>
    </row>
    <row r="397" spans="1:18">
      <c r="A397" s="1">
        <v>74353</v>
      </c>
      <c r="B397" s="1" t="s">
        <v>334</v>
      </c>
      <c r="C397" s="1" t="s">
        <v>267</v>
      </c>
      <c r="D397" s="20" t="s">
        <v>463</v>
      </c>
      <c r="E397" s="15" t="str">
        <f>HYPERLINK("https://stat100.ameba.jp/tnk47/ratio20/illustrations/card/ill_74353_takechizuizan03.jpg?202002-5-RELEASE-marathon-456", "■")</f>
        <v>■</v>
      </c>
      <c r="F397" s="1" t="s">
        <v>464</v>
      </c>
      <c r="G397" s="1">
        <v>128000</v>
      </c>
      <c r="H397" s="1">
        <v>119006</v>
      </c>
      <c r="I397" s="7">
        <v>26</v>
      </c>
      <c r="J397" s="1" t="s">
        <v>351</v>
      </c>
      <c r="K397" s="1" t="s">
        <v>465</v>
      </c>
      <c r="L397" s="1" t="s">
        <v>6715</v>
      </c>
      <c r="M397" s="1" t="s">
        <v>13130</v>
      </c>
      <c r="N397" s="1" t="s">
        <v>343</v>
      </c>
      <c r="O397" s="1" t="s">
        <v>9158</v>
      </c>
      <c r="P397" s="1" t="s">
        <v>9158</v>
      </c>
      <c r="Q397" s="1" t="s">
        <v>9158</v>
      </c>
      <c r="R397" s="14" t="s">
        <v>14748</v>
      </c>
    </row>
    <row r="398" spans="1:18">
      <c r="E398" s="9"/>
    </row>
    <row r="399" spans="1:18">
      <c r="A399" s="9" t="s">
        <v>9122</v>
      </c>
      <c r="E399" s="9"/>
    </row>
    <row r="400" spans="1:18">
      <c r="A400" s="9" t="s">
        <v>9123</v>
      </c>
      <c r="E400" s="9"/>
    </row>
    <row r="401" spans="1:17">
      <c r="A401" s="1" t="s">
        <v>5734</v>
      </c>
      <c r="B401" s="1" t="s">
        <v>330</v>
      </c>
      <c r="C401" s="1" t="s">
        <v>202</v>
      </c>
      <c r="D401" s="20" t="s">
        <v>1497</v>
      </c>
      <c r="E401" s="15" t="str">
        <f>HYPERLINK("https://stat100.ameba.jp/tnk47/ratio20/illustrations/card/ill_74593_0_natsuyuenchikoshihikari03.jpg?202002-5-RELEASE-marathon-456", "■")</f>
        <v>■</v>
      </c>
      <c r="F401" s="1" t="s">
        <v>1498</v>
      </c>
      <c r="G401" s="1">
        <v>259994</v>
      </c>
      <c r="H401" s="1">
        <v>241708</v>
      </c>
      <c r="I401" s="1">
        <v>24</v>
      </c>
      <c r="J401" s="1" t="s">
        <v>283</v>
      </c>
      <c r="K401" s="1" t="s">
        <v>1499</v>
      </c>
      <c r="L401" s="1" t="s">
        <v>1500</v>
      </c>
      <c r="M401" s="1" t="s">
        <v>9158</v>
      </c>
      <c r="N401" s="1" t="s">
        <v>9158</v>
      </c>
      <c r="O401" s="19" t="s">
        <v>2731</v>
      </c>
      <c r="P401" s="1" t="s">
        <v>2732</v>
      </c>
      <c r="Q401" s="1">
        <v>1</v>
      </c>
    </row>
    <row r="402" spans="1:17">
      <c r="A402" s="1">
        <v>83393</v>
      </c>
      <c r="B402" s="1" t="s">
        <v>334</v>
      </c>
      <c r="C402" s="1" t="s">
        <v>209</v>
      </c>
      <c r="D402" s="20" t="s">
        <v>10381</v>
      </c>
      <c r="E402" s="15" t="str">
        <f>HYPERLINK("https://stat100.ameba.jp/tnk47/ratio20/illustrations/card/ill_83393_rito03.jpg?202002-5-RELEASE-marathon-456", "■")</f>
        <v>■</v>
      </c>
      <c r="F402" s="1" t="s">
        <v>5735</v>
      </c>
      <c r="G402" s="1">
        <v>122476</v>
      </c>
      <c r="H402" s="1">
        <v>88706</v>
      </c>
      <c r="I402" s="1">
        <v>24</v>
      </c>
      <c r="J402" s="1" t="s">
        <v>38</v>
      </c>
      <c r="K402" s="1" t="s">
        <v>5738</v>
      </c>
      <c r="L402" s="1" t="s">
        <v>5400</v>
      </c>
      <c r="M402" s="1" t="s">
        <v>9158</v>
      </c>
      <c r="N402" s="1" t="s">
        <v>9158</v>
      </c>
      <c r="O402" s="19" t="s">
        <v>10098</v>
      </c>
      <c r="P402" s="1" t="s">
        <v>3491</v>
      </c>
      <c r="Q402" s="1">
        <v>1</v>
      </c>
    </row>
    <row r="403" spans="1:17">
      <c r="A403" s="1">
        <v>80163</v>
      </c>
      <c r="B403" s="1" t="s">
        <v>334</v>
      </c>
      <c r="C403" s="1" t="s">
        <v>158</v>
      </c>
      <c r="D403" s="20" t="s">
        <v>10391</v>
      </c>
      <c r="E403" s="15" t="str">
        <f>HYPERLINK("https://stat100.ameba.jp/tnk47/ratio20/illustrations/card/ill_80163_kuronosu03.jpg?202002-5-RELEASE-marathon-456", "■")</f>
        <v>■</v>
      </c>
      <c r="F403" s="1" t="s">
        <v>3766</v>
      </c>
      <c r="G403" s="1">
        <v>79348</v>
      </c>
      <c r="H403" s="1">
        <v>109554</v>
      </c>
      <c r="I403" s="1">
        <v>24</v>
      </c>
      <c r="J403" s="1" t="s">
        <v>44</v>
      </c>
      <c r="K403" s="1" t="s">
        <v>3767</v>
      </c>
      <c r="L403" s="1" t="s">
        <v>1209</v>
      </c>
      <c r="M403" s="1" t="s">
        <v>9158</v>
      </c>
      <c r="N403" s="1" t="s">
        <v>9158</v>
      </c>
      <c r="O403" s="19" t="s">
        <v>2752</v>
      </c>
      <c r="P403" s="1" t="s">
        <v>13123</v>
      </c>
      <c r="Q403" s="1">
        <v>1</v>
      </c>
    </row>
    <row r="404" spans="1:17">
      <c r="A404" s="1">
        <v>84663</v>
      </c>
      <c r="B404" s="1" t="s">
        <v>334</v>
      </c>
      <c r="C404" s="1" t="s">
        <v>158</v>
      </c>
      <c r="D404" s="20" t="s">
        <v>10648</v>
      </c>
      <c r="E404" s="15" t="str">
        <f>HYPERLINK("https://stat100.ameba.jp/tnk47/ratio20/illustrations/card/ill_84663_juwannonefuerufuito03.jpg?202002-5-RELEASE-marathon-456", "■")</f>
        <v>■</v>
      </c>
      <c r="F404" s="1" t="s">
        <v>7095</v>
      </c>
      <c r="G404" s="1">
        <v>81078</v>
      </c>
      <c r="H404" s="1">
        <v>111914</v>
      </c>
      <c r="I404" s="1">
        <v>24</v>
      </c>
      <c r="J404" s="1" t="s">
        <v>182</v>
      </c>
      <c r="K404" s="1" t="s">
        <v>7094</v>
      </c>
      <c r="L404" s="1" t="s">
        <v>7093</v>
      </c>
      <c r="M404" s="1" t="s">
        <v>9158</v>
      </c>
      <c r="N404" s="1" t="s">
        <v>9158</v>
      </c>
      <c r="O404" s="19" t="s">
        <v>10091</v>
      </c>
      <c r="P404" s="1" t="s">
        <v>3670</v>
      </c>
      <c r="Q404" s="1">
        <v>1</v>
      </c>
    </row>
    <row r="405" spans="1:17">
      <c r="E405" s="9"/>
    </row>
    <row r="406" spans="1:17">
      <c r="A406" s="1" t="s">
        <v>195</v>
      </c>
      <c r="B406" s="1"/>
      <c r="C406" s="1"/>
      <c r="D406" s="1"/>
      <c r="F406" s="1"/>
      <c r="G406" s="1"/>
      <c r="H406" s="1"/>
      <c r="I406" s="1"/>
      <c r="J406" s="1"/>
      <c r="K406" s="1"/>
      <c r="L406" s="1"/>
      <c r="M406" s="1"/>
      <c r="N406" s="1"/>
      <c r="O406" s="1"/>
      <c r="P406" s="1"/>
      <c r="Q406" s="1"/>
    </row>
    <row r="407" spans="1:17">
      <c r="A407" s="1" t="s">
        <v>9121</v>
      </c>
      <c r="B407" s="1"/>
      <c r="C407" s="1"/>
      <c r="D407" s="1"/>
      <c r="F407" s="1"/>
      <c r="G407" s="1"/>
      <c r="H407" s="1"/>
      <c r="I407" s="1"/>
      <c r="J407" s="1"/>
      <c r="K407" s="1"/>
      <c r="L407" s="1"/>
      <c r="M407" s="1"/>
      <c r="N407" s="1"/>
      <c r="O407" s="1"/>
      <c r="P407" s="1"/>
      <c r="Q407" s="1"/>
    </row>
    <row r="408" spans="1:17">
      <c r="A408" s="1">
        <v>71013</v>
      </c>
      <c r="B408" s="1" t="s">
        <v>334</v>
      </c>
      <c r="C408" s="1" t="s">
        <v>154</v>
      </c>
      <c r="D408" s="20" t="s">
        <v>837</v>
      </c>
      <c r="E408" s="15" t="str">
        <f>HYPERLINK("https://stat100.ameba.jp/tnk47/ratio20/illustrations/card/ill_71013_fujutsushisarashina03.jpg?202002-5-RELEASE-marathon-456", "■")</f>
        <v>■</v>
      </c>
      <c r="F408" s="1" t="s">
        <v>838</v>
      </c>
      <c r="G408" s="1">
        <v>100256</v>
      </c>
      <c r="H408" s="1">
        <v>107826</v>
      </c>
      <c r="I408" s="1">
        <v>25</v>
      </c>
      <c r="J408" s="1" t="s">
        <v>155</v>
      </c>
      <c r="K408" s="1" t="s">
        <v>1231</v>
      </c>
      <c r="L408" s="1" t="s">
        <v>13152</v>
      </c>
      <c r="M408" s="1" t="s">
        <v>9158</v>
      </c>
      <c r="N408" s="1" t="s">
        <v>9158</v>
      </c>
      <c r="O408" s="1" t="s">
        <v>9158</v>
      </c>
      <c r="P408" s="1" t="s">
        <v>9158</v>
      </c>
      <c r="Q408" s="1" t="s">
        <v>9158</v>
      </c>
    </row>
    <row r="409" spans="1:17">
      <c r="A409" s="1">
        <v>71023</v>
      </c>
      <c r="B409" s="1" t="s">
        <v>334</v>
      </c>
      <c r="C409" s="1" t="s">
        <v>158</v>
      </c>
      <c r="D409" s="20" t="s">
        <v>841</v>
      </c>
      <c r="E409" s="15" t="str">
        <f>HYPERLINK("https://stat100.ameba.jp/tnk47/ratio20/illustrations/card/ill_71023_ommyojiiroha03.jpg?202002-5-RELEASE-marathon-456", "■")</f>
        <v>■</v>
      </c>
      <c r="F409" s="1" t="s">
        <v>842</v>
      </c>
      <c r="G409" s="1">
        <v>100256</v>
      </c>
      <c r="H409" s="1">
        <v>107826</v>
      </c>
      <c r="I409" s="1">
        <v>25</v>
      </c>
      <c r="J409" s="1" t="s">
        <v>159</v>
      </c>
      <c r="K409" s="1" t="s">
        <v>1232</v>
      </c>
      <c r="L409" s="1" t="s">
        <v>1233</v>
      </c>
      <c r="M409" s="1" t="s">
        <v>9158</v>
      </c>
      <c r="N409" s="1" t="s">
        <v>9158</v>
      </c>
      <c r="O409" s="1" t="s">
        <v>9158</v>
      </c>
      <c r="P409" s="1" t="s">
        <v>9158</v>
      </c>
      <c r="Q409" s="1" t="s">
        <v>9158</v>
      </c>
    </row>
    <row r="410" spans="1:17">
      <c r="A410" s="1">
        <v>66053</v>
      </c>
      <c r="B410" s="1" t="s">
        <v>334</v>
      </c>
      <c r="C410" s="1" t="s">
        <v>205</v>
      </c>
      <c r="D410" s="20" t="s">
        <v>3046</v>
      </c>
      <c r="E410" s="15" t="str">
        <f>HYPERLINK("https://stat100.ameba.jp/tnk47/ratio20/illustrations/card/ill_66053_serebukushiyatamanokami03.jpg?202002-5-RELEASE-marathon-456", "■")</f>
        <v>■</v>
      </c>
      <c r="F410" s="1" t="s">
        <v>2265</v>
      </c>
      <c r="G410" s="1">
        <v>101971</v>
      </c>
      <c r="H410" s="1">
        <v>94802</v>
      </c>
      <c r="I410" s="1">
        <v>25</v>
      </c>
      <c r="J410" s="1" t="s">
        <v>44</v>
      </c>
      <c r="K410" s="1" t="s">
        <v>2266</v>
      </c>
      <c r="L410" s="1" t="s">
        <v>1860</v>
      </c>
      <c r="M410" s="1" t="s">
        <v>9158</v>
      </c>
      <c r="N410" s="1" t="s">
        <v>9158</v>
      </c>
      <c r="O410" s="1" t="s">
        <v>9158</v>
      </c>
      <c r="P410" s="1" t="s">
        <v>9158</v>
      </c>
      <c r="Q410" s="1" t="s">
        <v>9158</v>
      </c>
    </row>
    <row r="411" spans="1:17">
      <c r="A411" s="1">
        <v>65923</v>
      </c>
      <c r="B411" s="1" t="s">
        <v>334</v>
      </c>
      <c r="C411" s="1" t="s">
        <v>185</v>
      </c>
      <c r="D411" s="20" t="s">
        <v>10204</v>
      </c>
      <c r="E411" s="15" t="str">
        <f>HYPERLINK("https://stat100.ameba.jp/tnk47/ratio20/illustrations/card/ill_65923_arabianginko03.jpg?202002-5-RELEASE-marathon-456", "■")</f>
        <v>■</v>
      </c>
      <c r="F411" s="1" t="s">
        <v>4978</v>
      </c>
      <c r="G411" s="1">
        <v>104162</v>
      </c>
      <c r="H411" s="1">
        <v>96871</v>
      </c>
      <c r="I411" s="1">
        <v>25</v>
      </c>
      <c r="J411" s="1" t="s">
        <v>182</v>
      </c>
      <c r="K411" s="1" t="s">
        <v>3679</v>
      </c>
      <c r="L411" s="1" t="s">
        <v>13188</v>
      </c>
      <c r="M411" s="1" t="s">
        <v>9158</v>
      </c>
      <c r="N411" s="1" t="s">
        <v>9158</v>
      </c>
      <c r="O411" s="1" t="s">
        <v>9158</v>
      </c>
      <c r="P411" s="1" t="s">
        <v>9158</v>
      </c>
      <c r="Q411" s="1" t="s">
        <v>9158</v>
      </c>
    </row>
    <row r="412" spans="1:17">
      <c r="A412" s="1">
        <v>52863</v>
      </c>
      <c r="B412" s="1" t="s">
        <v>15</v>
      </c>
      <c r="C412" s="1" t="s">
        <v>191</v>
      </c>
      <c r="D412" s="20" t="s">
        <v>10516</v>
      </c>
      <c r="E412" s="15" t="str">
        <f>HYPERLINK("https://stat100.ameba.jp/tnk47/ratio20/illustrations/card/ill_52863_andoroidokingyonota03.jpg?202002-5-RELEASE-marathon-456", "■")</f>
        <v>■</v>
      </c>
      <c r="F412" s="1" t="s">
        <v>6409</v>
      </c>
      <c r="G412" s="1">
        <v>67210</v>
      </c>
      <c r="H412" s="1">
        <v>74100</v>
      </c>
      <c r="I412" s="1">
        <v>25</v>
      </c>
      <c r="J412" s="1" t="s">
        <v>38</v>
      </c>
      <c r="K412" s="1" t="s">
        <v>6407</v>
      </c>
      <c r="L412" s="1" t="s">
        <v>6406</v>
      </c>
      <c r="M412" s="1" t="s">
        <v>9158</v>
      </c>
      <c r="N412" s="1" t="s">
        <v>9158</v>
      </c>
      <c r="O412" s="1" t="s">
        <v>9158</v>
      </c>
      <c r="P412" s="1" t="s">
        <v>9158</v>
      </c>
      <c r="Q412" s="1" t="s">
        <v>9158</v>
      </c>
    </row>
    <row r="413" spans="1:17">
      <c r="A413" s="1">
        <v>51593</v>
      </c>
      <c r="B413" s="1" t="s">
        <v>15</v>
      </c>
      <c r="C413" s="1" t="s">
        <v>200</v>
      </c>
      <c r="D413" s="20" t="s">
        <v>10517</v>
      </c>
      <c r="E413" s="15" t="str">
        <f>HYPERLINK("https://stat100.ameba.jp/tnk47/ratio20/illustrations/card/ill_51593_kishuhondatadakatsu03.jpg?202002-5-RELEASE-marathon-456", "■")</f>
        <v>■</v>
      </c>
      <c r="F413" s="1" t="s">
        <v>6413</v>
      </c>
      <c r="G413" s="1">
        <v>67210</v>
      </c>
      <c r="H413" s="1">
        <v>74100</v>
      </c>
      <c r="I413" s="1">
        <v>25</v>
      </c>
      <c r="J413" s="1" t="s">
        <v>143</v>
      </c>
      <c r="K413" s="1" t="s">
        <v>6411</v>
      </c>
      <c r="L413" s="1" t="s">
        <v>6410</v>
      </c>
      <c r="M413" s="1" t="s">
        <v>9158</v>
      </c>
      <c r="N413" s="1" t="s">
        <v>9158</v>
      </c>
      <c r="O413" s="1" t="s">
        <v>9158</v>
      </c>
      <c r="P413" s="1" t="s">
        <v>9158</v>
      </c>
      <c r="Q413" s="1" t="s">
        <v>9158</v>
      </c>
    </row>
    <row r="414" spans="1:17">
      <c r="A414" s="1">
        <v>55403</v>
      </c>
      <c r="B414" s="1" t="s">
        <v>15</v>
      </c>
      <c r="C414" s="1" t="s">
        <v>165</v>
      </c>
      <c r="D414" s="20" t="s">
        <v>10518</v>
      </c>
      <c r="E414" s="15" t="str">
        <f>HYPERLINK("https://stat100.ameba.jp/tnk47/ratio20/illustrations/card/ill_55403_undokaikyogokumaria03.jpg?202002-5-RELEASE-marathon-456", "■")</f>
        <v>■</v>
      </c>
      <c r="F414" s="1" t="s">
        <v>6417</v>
      </c>
      <c r="G414" s="1">
        <v>74100</v>
      </c>
      <c r="H414" s="1">
        <v>67210</v>
      </c>
      <c r="I414" s="1">
        <v>25</v>
      </c>
      <c r="J414" s="1" t="s">
        <v>77</v>
      </c>
      <c r="K414" s="1" t="s">
        <v>6415</v>
      </c>
      <c r="L414" s="1" t="s">
        <v>6414</v>
      </c>
      <c r="M414" s="1" t="s">
        <v>9158</v>
      </c>
      <c r="N414" s="1" t="s">
        <v>9158</v>
      </c>
      <c r="O414" s="1" t="s">
        <v>9158</v>
      </c>
      <c r="P414" s="1" t="s">
        <v>9158</v>
      </c>
      <c r="Q414" s="1" t="s">
        <v>9158</v>
      </c>
    </row>
    <row r="415" spans="1:17">
      <c r="A415" s="1">
        <v>52973</v>
      </c>
      <c r="B415" s="1" t="s">
        <v>15</v>
      </c>
      <c r="C415" s="1" t="s">
        <v>206</v>
      </c>
      <c r="D415" s="20" t="s">
        <v>10519</v>
      </c>
      <c r="E415" s="15" t="str">
        <f>HYPERLINK("https://stat100.ameba.jp/tnk47/ratio20/illustrations/card/ill_52973_torampuamoronagu03.jpg?202002-5-RELEASE-marathon-456", "■")</f>
        <v>■</v>
      </c>
      <c r="F415" s="1" t="s">
        <v>6421</v>
      </c>
      <c r="G415" s="1">
        <v>74100</v>
      </c>
      <c r="H415" s="1">
        <v>67210</v>
      </c>
      <c r="I415" s="1">
        <v>25</v>
      </c>
      <c r="J415" s="1" t="s">
        <v>44</v>
      </c>
      <c r="K415" s="1" t="s">
        <v>6419</v>
      </c>
      <c r="L415" s="1" t="s">
        <v>6418</v>
      </c>
      <c r="M415" s="1" t="s">
        <v>9158</v>
      </c>
      <c r="N415" s="1" t="s">
        <v>9158</v>
      </c>
      <c r="O415" s="1" t="s">
        <v>9158</v>
      </c>
      <c r="P415" s="1" t="s">
        <v>9158</v>
      </c>
      <c r="Q415" s="1" t="s">
        <v>9158</v>
      </c>
    </row>
    <row r="416" spans="1:17">
      <c r="E416" s="9"/>
    </row>
    <row r="417" spans="1:17">
      <c r="A417" s="9" t="s">
        <v>9124</v>
      </c>
      <c r="E417" s="9"/>
    </row>
    <row r="418" spans="1:17">
      <c r="A418" s="9" t="s">
        <v>9125</v>
      </c>
      <c r="E418" s="9"/>
    </row>
    <row r="419" spans="1:17">
      <c r="A419" s="1" t="s">
        <v>5822</v>
      </c>
      <c r="B419" s="1" t="s">
        <v>330</v>
      </c>
      <c r="C419" s="1" t="s">
        <v>307</v>
      </c>
      <c r="D419" s="20" t="s">
        <v>306</v>
      </c>
      <c r="E419" s="15" t="str">
        <f>HYPERLINK("https://stat100.ameba.jp/tnk47/ratio20/illustrations/card/ill_71403_0_ohanamisanadayukimura03.jpg?202002-i_prefecture_active_user", "■")</f>
        <v>■</v>
      </c>
      <c r="F419" s="1" t="s">
        <v>309</v>
      </c>
      <c r="G419" s="1">
        <v>224026</v>
      </c>
      <c r="H419" s="1">
        <v>208310</v>
      </c>
      <c r="I419" s="1">
        <v>24</v>
      </c>
      <c r="J419" s="1" t="s">
        <v>310</v>
      </c>
      <c r="K419" s="1" t="s">
        <v>311</v>
      </c>
      <c r="L419" s="1" t="s">
        <v>312</v>
      </c>
      <c r="M419" s="1" t="s">
        <v>9158</v>
      </c>
      <c r="N419" s="1" t="s">
        <v>9158</v>
      </c>
      <c r="O419" s="19" t="s">
        <v>10104</v>
      </c>
      <c r="P419" s="1" t="s">
        <v>3418</v>
      </c>
      <c r="Q419" s="1">
        <v>2</v>
      </c>
    </row>
    <row r="420" spans="1:17">
      <c r="A420" s="1">
        <v>67993</v>
      </c>
      <c r="B420" s="1" t="s">
        <v>334</v>
      </c>
      <c r="C420" s="1" t="s">
        <v>205</v>
      </c>
      <c r="D420" s="20" t="s">
        <v>10183</v>
      </c>
      <c r="E420" s="15" t="str">
        <f>HYPERLINK("https://stat100.ameba.jp/tnk47/ratio20/illustrations/card/ill_67993_kurisumasupateikanekomisuzu03.jpg?202002-i_prefecture_active_user", "■")</f>
        <v>■</v>
      </c>
      <c r="F420" s="1" t="s">
        <v>1286</v>
      </c>
      <c r="G420" s="1">
        <v>97651</v>
      </c>
      <c r="H420" s="1">
        <v>90759</v>
      </c>
      <c r="I420" s="1">
        <v>25</v>
      </c>
      <c r="J420" s="1" t="s">
        <v>10</v>
      </c>
      <c r="K420" s="1" t="s">
        <v>2547</v>
      </c>
      <c r="L420" s="1" t="s">
        <v>2548</v>
      </c>
      <c r="M420" s="1" t="s">
        <v>9158</v>
      </c>
      <c r="N420" s="1" t="s">
        <v>9158</v>
      </c>
      <c r="O420" s="19" t="s">
        <v>10086</v>
      </c>
      <c r="P420" s="1" t="s">
        <v>3701</v>
      </c>
      <c r="Q420" s="1">
        <v>1</v>
      </c>
    </row>
    <row r="421" spans="1:17">
      <c r="A421" s="1">
        <v>72923</v>
      </c>
      <c r="B421" s="1" t="s">
        <v>0</v>
      </c>
      <c r="C421" s="1" t="s">
        <v>206</v>
      </c>
      <c r="D421" s="20" t="s">
        <v>3199</v>
      </c>
      <c r="E421" s="15" t="str">
        <f>HYPERLINK("https://stat100.ameba.jp/tnk47/ratio20/illustrations/card/ill_72923_amenohanayomemyorinni03.jpg?202002-i_prefecture_active_user", "■")</f>
        <v>■</v>
      </c>
      <c r="F421" s="1" t="s">
        <v>1837</v>
      </c>
      <c r="G421" s="1">
        <v>138186</v>
      </c>
      <c r="H421" s="1">
        <v>148619</v>
      </c>
      <c r="I421" s="1">
        <v>25</v>
      </c>
      <c r="J421" s="1" t="s">
        <v>194</v>
      </c>
      <c r="K421" s="1" t="s">
        <v>1838</v>
      </c>
      <c r="L421" s="1" t="s">
        <v>13160</v>
      </c>
      <c r="M421" s="1" t="s">
        <v>9158</v>
      </c>
      <c r="N421" s="1" t="s">
        <v>9158</v>
      </c>
      <c r="O421" s="19" t="s">
        <v>2752</v>
      </c>
      <c r="P421" s="1" t="s">
        <v>13123</v>
      </c>
      <c r="Q421" s="1">
        <v>1</v>
      </c>
    </row>
    <row r="422" spans="1:17">
      <c r="A422" s="1">
        <v>70363</v>
      </c>
      <c r="B422" s="1" t="s">
        <v>334</v>
      </c>
      <c r="C422" s="1" t="s">
        <v>209</v>
      </c>
      <c r="D422" s="20" t="s">
        <v>10266</v>
      </c>
      <c r="E422" s="15" t="str">
        <f>HYPERLINK("https://stat100.ameba.jp/tnk47/ratio20/illustrations/card/ill_70363_hokushimmyokembosatsu03.jpg?202002-i_prefecture_active_user", "■")</f>
        <v>■</v>
      </c>
      <c r="F422" s="1" t="s">
        <v>2502</v>
      </c>
      <c r="G422" s="1">
        <v>166328</v>
      </c>
      <c r="H422" s="1">
        <v>120475</v>
      </c>
      <c r="I422" s="1">
        <v>25</v>
      </c>
      <c r="J422" s="1" t="s">
        <v>44</v>
      </c>
      <c r="K422" s="1" t="s">
        <v>2503</v>
      </c>
      <c r="L422" s="1" t="s">
        <v>2504</v>
      </c>
      <c r="M422" s="1" t="s">
        <v>9158</v>
      </c>
      <c r="N422" s="1" t="s">
        <v>9158</v>
      </c>
      <c r="O422" s="19" t="s">
        <v>10114</v>
      </c>
      <c r="P422" s="1" t="s">
        <v>3658</v>
      </c>
      <c r="Q422" s="1">
        <v>1</v>
      </c>
    </row>
    <row r="423" spans="1:17">
      <c r="E423" s="9"/>
    </row>
    <row r="424" spans="1:17">
      <c r="A424" s="9" t="s">
        <v>9126</v>
      </c>
      <c r="E424" s="9"/>
    </row>
    <row r="425" spans="1:17">
      <c r="A425" s="9" t="s">
        <v>9127</v>
      </c>
      <c r="E425" s="9"/>
    </row>
    <row r="426" spans="1:17">
      <c r="A426" s="9" t="s">
        <v>11909</v>
      </c>
      <c r="E426" s="9"/>
    </row>
    <row r="427" spans="1:17">
      <c r="A427" s="9">
        <v>87383</v>
      </c>
      <c r="B427" s="1" t="s">
        <v>334</v>
      </c>
      <c r="C427" s="9" t="s">
        <v>9128</v>
      </c>
      <c r="D427" s="20" t="s">
        <v>10923</v>
      </c>
      <c r="E427" s="15" t="str">
        <f>HYPERLINK("https://stat100.ameba.jp/tnk47/ratio20/illustrations/card/ill_87383_shifurumidoshiun03.jpg?202002-i_prefecture_active_user", "■")</f>
        <v>■</v>
      </c>
      <c r="F427" s="9" t="s">
        <v>9141</v>
      </c>
      <c r="G427" s="9">
        <v>155784</v>
      </c>
      <c r="H427" s="9">
        <v>87564</v>
      </c>
      <c r="I427" s="9">
        <v>26</v>
      </c>
      <c r="J427" s="9" t="s">
        <v>9134</v>
      </c>
      <c r="K427" s="9" t="s">
        <v>9140</v>
      </c>
      <c r="L427" s="9" t="s">
        <v>9139</v>
      </c>
      <c r="M427" s="1" t="s">
        <v>9158</v>
      </c>
      <c r="N427" s="1" t="s">
        <v>9158</v>
      </c>
      <c r="O427" s="1" t="s">
        <v>9158</v>
      </c>
      <c r="P427" s="1" t="s">
        <v>9158</v>
      </c>
      <c r="Q427" s="1" t="s">
        <v>9158</v>
      </c>
    </row>
    <row r="428" spans="1:17">
      <c r="A428" s="9">
        <v>87393</v>
      </c>
      <c r="B428" s="1" t="s">
        <v>0</v>
      </c>
      <c r="C428" s="9" t="s">
        <v>9129</v>
      </c>
      <c r="D428" s="20" t="s">
        <v>10924</v>
      </c>
      <c r="E428" s="15" t="str">
        <f>HYPERLINK("https://stat100.ameba.jp/tnk47/ratio20/illustrations/card/ill_87393_hoenjojikeito03.jpg?202002-i_prefecture_active_user", "■")</f>
        <v>■</v>
      </c>
      <c r="F428" s="9" t="s">
        <v>9144</v>
      </c>
      <c r="G428" s="9">
        <v>155784</v>
      </c>
      <c r="H428" s="9">
        <v>87564</v>
      </c>
      <c r="I428" s="9">
        <v>26</v>
      </c>
      <c r="J428" s="9" t="s">
        <v>9135</v>
      </c>
      <c r="K428" s="9" t="s">
        <v>9143</v>
      </c>
      <c r="L428" s="9" t="s">
        <v>9142</v>
      </c>
      <c r="M428" s="1" t="s">
        <v>9158</v>
      </c>
      <c r="N428" s="1" t="s">
        <v>9158</v>
      </c>
      <c r="O428" s="1" t="s">
        <v>9158</v>
      </c>
      <c r="P428" s="1" t="s">
        <v>9158</v>
      </c>
      <c r="Q428" s="1" t="s">
        <v>9158</v>
      </c>
    </row>
    <row r="429" spans="1:17">
      <c r="A429" s="9">
        <v>87403</v>
      </c>
      <c r="B429" s="1" t="s">
        <v>334</v>
      </c>
      <c r="C429" s="9" t="s">
        <v>9130</v>
      </c>
      <c r="D429" s="20" t="s">
        <v>10925</v>
      </c>
      <c r="E429" s="15" t="str">
        <f>HYPERLINK("https://stat100.ameba.jp/tnk47/ratio20/illustrations/card/ill_87403_kyoyunokarairu03.jpg?202002-i_prefecture_active_user", "■")</f>
        <v>■</v>
      </c>
      <c r="F429" s="9" t="s">
        <v>9147</v>
      </c>
      <c r="G429" s="9">
        <v>155784</v>
      </c>
      <c r="H429" s="9">
        <v>87564</v>
      </c>
      <c r="I429" s="9">
        <v>26</v>
      </c>
      <c r="J429" s="9" t="s">
        <v>9136</v>
      </c>
      <c r="K429" s="9" t="s">
        <v>9146</v>
      </c>
      <c r="L429" s="9" t="s">
        <v>9145</v>
      </c>
      <c r="M429" s="1" t="s">
        <v>9158</v>
      </c>
      <c r="N429" s="1" t="s">
        <v>9158</v>
      </c>
      <c r="O429" s="1" t="s">
        <v>9158</v>
      </c>
      <c r="P429" s="1" t="s">
        <v>9158</v>
      </c>
      <c r="Q429" s="1" t="s">
        <v>9158</v>
      </c>
    </row>
    <row r="430" spans="1:17">
      <c r="A430" s="9">
        <v>87413</v>
      </c>
      <c r="B430" s="1" t="s">
        <v>334</v>
      </c>
      <c r="C430" s="9" t="s">
        <v>9131</v>
      </c>
      <c r="D430" s="20" t="s">
        <v>10926</v>
      </c>
      <c r="E430" s="15" t="str">
        <f>HYPERLINK("https://stat100.ameba.jp/tnk47/ratio20/illustrations/card/ill_87413_kiryuagito03.jpg?202002-i_prefecture_active_user", "■")</f>
        <v>■</v>
      </c>
      <c r="F430" s="9" t="s">
        <v>9150</v>
      </c>
      <c r="G430" s="9">
        <v>155784</v>
      </c>
      <c r="H430" s="9">
        <v>87564</v>
      </c>
      <c r="I430" s="9">
        <v>26</v>
      </c>
      <c r="J430" s="9" t="s">
        <v>9134</v>
      </c>
      <c r="K430" s="9" t="s">
        <v>9149</v>
      </c>
      <c r="L430" s="9" t="s">
        <v>9148</v>
      </c>
      <c r="M430" s="1" t="s">
        <v>9158</v>
      </c>
      <c r="N430" s="1" t="s">
        <v>9158</v>
      </c>
      <c r="O430" s="1" t="s">
        <v>9158</v>
      </c>
      <c r="P430" s="1" t="s">
        <v>9158</v>
      </c>
      <c r="Q430" s="1" t="s">
        <v>9158</v>
      </c>
    </row>
    <row r="431" spans="1:17">
      <c r="A431" s="9">
        <v>87423</v>
      </c>
      <c r="B431" s="1" t="s">
        <v>0</v>
      </c>
      <c r="C431" s="9" t="s">
        <v>9132</v>
      </c>
      <c r="D431" s="20" t="s">
        <v>10927</v>
      </c>
      <c r="E431" s="15" t="str">
        <f>HYPERLINK("https://stat100.ameba.jp/tnk47/ratio20/illustrations/card/ill_87423_iazemichikarin03.jpg?202002-i_prefecture_active_user", "■")</f>
        <v>■</v>
      </c>
      <c r="F431" s="9" t="s">
        <v>9153</v>
      </c>
      <c r="G431" s="9">
        <v>155784</v>
      </c>
      <c r="H431" s="9">
        <v>87564</v>
      </c>
      <c r="I431" s="9">
        <v>26</v>
      </c>
      <c r="J431" s="9" t="s">
        <v>9137</v>
      </c>
      <c r="K431" s="9" t="s">
        <v>9152</v>
      </c>
      <c r="L431" s="9" t="s">
        <v>9151</v>
      </c>
      <c r="M431" s="1" t="s">
        <v>9158</v>
      </c>
      <c r="N431" s="1" t="s">
        <v>9158</v>
      </c>
      <c r="O431" s="1" t="s">
        <v>9158</v>
      </c>
      <c r="P431" s="1" t="s">
        <v>9158</v>
      </c>
      <c r="Q431" s="1" t="s">
        <v>9158</v>
      </c>
    </row>
    <row r="432" spans="1:17">
      <c r="A432" s="9">
        <v>87433</v>
      </c>
      <c r="B432" s="1" t="s">
        <v>334</v>
      </c>
      <c r="C432" s="9" t="s">
        <v>9133</v>
      </c>
      <c r="D432" s="20" t="s">
        <v>10928</v>
      </c>
      <c r="E432" s="15" t="str">
        <f>HYPERLINK("https://stat100.ameba.jp/tnk47/ratio20/illustrations/card/ill_87433_kaiamamorikuzuha03.jpg?202002-i_prefecture_active_user", "■")</f>
        <v>■</v>
      </c>
      <c r="F432" s="9" t="s">
        <v>9156</v>
      </c>
      <c r="G432" s="9">
        <v>155784</v>
      </c>
      <c r="H432" s="9">
        <v>87564</v>
      </c>
      <c r="I432" s="9">
        <v>26</v>
      </c>
      <c r="J432" s="9" t="s">
        <v>9138</v>
      </c>
      <c r="K432" s="9" t="s">
        <v>9155</v>
      </c>
      <c r="L432" s="9" t="s">
        <v>9154</v>
      </c>
      <c r="M432" s="1" t="s">
        <v>9158</v>
      </c>
      <c r="N432" s="1" t="s">
        <v>9158</v>
      </c>
      <c r="O432" s="1" t="s">
        <v>9158</v>
      </c>
      <c r="P432" s="1" t="s">
        <v>9158</v>
      </c>
      <c r="Q432" s="1" t="s">
        <v>9158</v>
      </c>
    </row>
    <row r="433" spans="1:19">
      <c r="A433" s="9">
        <v>79793</v>
      </c>
      <c r="B433" s="1" t="s">
        <v>334</v>
      </c>
      <c r="C433" s="1" t="s">
        <v>202</v>
      </c>
      <c r="D433" s="20" t="s">
        <v>2790</v>
      </c>
      <c r="E433" s="15" t="str">
        <f>HYPERLINK("https://stat100.ameba.jp/tnk47/ratio20/illustrations/card/ill_79793_kuresuteirureina03.jpg?202002-i_prefecture_active_user", "■")</f>
        <v>■</v>
      </c>
      <c r="F433" s="1" t="s">
        <v>2791</v>
      </c>
      <c r="G433" s="1">
        <v>89554</v>
      </c>
      <c r="H433" s="1">
        <v>159228</v>
      </c>
      <c r="I433" s="1">
        <v>26</v>
      </c>
      <c r="J433" s="1" t="s">
        <v>283</v>
      </c>
      <c r="K433" s="1" t="s">
        <v>2792</v>
      </c>
      <c r="L433" s="1" t="s">
        <v>2793</v>
      </c>
      <c r="M433" s="1" t="s">
        <v>9158</v>
      </c>
      <c r="N433" s="1" t="s">
        <v>9158</v>
      </c>
      <c r="O433" s="1" t="s">
        <v>9158</v>
      </c>
      <c r="P433" s="1" t="s">
        <v>9158</v>
      </c>
      <c r="Q433" s="1" t="s">
        <v>9158</v>
      </c>
      <c r="R433" s="1"/>
      <c r="S433" s="1"/>
    </row>
    <row r="434" spans="1:19">
      <c r="A434" s="9">
        <v>79803</v>
      </c>
      <c r="B434" s="1" t="s">
        <v>334</v>
      </c>
      <c r="C434" s="1" t="s">
        <v>202</v>
      </c>
      <c r="D434" s="20" t="s">
        <v>2794</v>
      </c>
      <c r="E434" s="15" t="str">
        <f>HYPERLINK("https://stat100.ameba.jp/tnk47/ratio20/illustrations/card/ill_79803_oyamadaisane03.jpg?202002-i_prefecture_active_user", "■")</f>
        <v>■</v>
      </c>
      <c r="F434" s="1" t="s">
        <v>2795</v>
      </c>
      <c r="G434" s="1">
        <v>74078</v>
      </c>
      <c r="H434" s="1">
        <v>131656</v>
      </c>
      <c r="I434" s="1">
        <v>26</v>
      </c>
      <c r="J434" s="1" t="s">
        <v>351</v>
      </c>
      <c r="K434" s="1" t="s">
        <v>2796</v>
      </c>
      <c r="L434" s="1" t="s">
        <v>2797</v>
      </c>
      <c r="M434" s="1" t="s">
        <v>9158</v>
      </c>
      <c r="N434" s="1" t="s">
        <v>9158</v>
      </c>
      <c r="O434" s="1" t="s">
        <v>9158</v>
      </c>
      <c r="P434" s="1" t="s">
        <v>9158</v>
      </c>
      <c r="Q434" s="1" t="s">
        <v>9158</v>
      </c>
      <c r="R434" s="1"/>
      <c r="S434" s="1"/>
    </row>
    <row r="435" spans="1:19">
      <c r="A435" s="9">
        <v>79813</v>
      </c>
      <c r="B435" s="1" t="s">
        <v>334</v>
      </c>
      <c r="C435" s="1" t="s">
        <v>202</v>
      </c>
      <c r="D435" s="20" t="s">
        <v>2798</v>
      </c>
      <c r="E435" s="15" t="str">
        <f>HYPERLINK("https://stat100.ameba.jp/tnk47/ratio20/illustrations/card/ill_79813_takarazukamarimo03.jpg?202002-i_prefecture_active_user", "■")</f>
        <v>■</v>
      </c>
      <c r="F435" s="1" t="s">
        <v>2799</v>
      </c>
      <c r="G435" s="1">
        <v>153698</v>
      </c>
      <c r="H435" s="1">
        <v>86484</v>
      </c>
      <c r="I435" s="1">
        <v>26</v>
      </c>
      <c r="J435" s="1" t="s">
        <v>274</v>
      </c>
      <c r="K435" s="1" t="s">
        <v>2800</v>
      </c>
      <c r="L435" s="1" t="s">
        <v>489</v>
      </c>
      <c r="M435" s="1" t="s">
        <v>9158</v>
      </c>
      <c r="N435" s="1" t="s">
        <v>9158</v>
      </c>
      <c r="O435" s="1" t="s">
        <v>9158</v>
      </c>
      <c r="P435" s="1" t="s">
        <v>9158</v>
      </c>
      <c r="Q435" s="1" t="s">
        <v>9158</v>
      </c>
      <c r="R435" s="1"/>
      <c r="S435" s="1"/>
    </row>
    <row r="436" spans="1:19">
      <c r="A436" s="9">
        <v>79843</v>
      </c>
      <c r="B436" s="1" t="s">
        <v>334</v>
      </c>
      <c r="C436" s="1" t="s">
        <v>202</v>
      </c>
      <c r="D436" s="20" t="s">
        <v>10929</v>
      </c>
      <c r="E436" s="15" t="str">
        <f>HYPERLINK("https://stat100.ameba.jp/tnk47/ratio20/illustrations/card/ill_79843_saotomereiichi03.jpg?202002-i_prefecture_active_user", "■")</f>
        <v>■</v>
      </c>
      <c r="F436" s="1" t="s">
        <v>3514</v>
      </c>
      <c r="G436" s="1">
        <v>200430</v>
      </c>
      <c r="H436" s="1">
        <v>112788</v>
      </c>
      <c r="I436" s="1">
        <v>26</v>
      </c>
      <c r="J436" s="1" t="s">
        <v>143</v>
      </c>
      <c r="K436" s="1" t="s">
        <v>3515</v>
      </c>
      <c r="L436" s="1" t="s">
        <v>145</v>
      </c>
      <c r="M436" s="1" t="s">
        <v>9158</v>
      </c>
      <c r="N436" s="1" t="s">
        <v>9158</v>
      </c>
      <c r="O436" s="1" t="s">
        <v>9158</v>
      </c>
      <c r="P436" s="1" t="s">
        <v>9158</v>
      </c>
      <c r="Q436" s="1" t="s">
        <v>9158</v>
      </c>
      <c r="R436" s="1"/>
      <c r="S436" s="1"/>
    </row>
    <row r="437" spans="1:19">
      <c r="A437" s="9">
        <v>79853</v>
      </c>
      <c r="B437" s="1" t="s">
        <v>334</v>
      </c>
      <c r="C437" s="1" t="s">
        <v>202</v>
      </c>
      <c r="D437" s="20" t="s">
        <v>10930</v>
      </c>
      <c r="E437" s="15" t="str">
        <f>HYPERLINK("https://stat100.ameba.jp/tnk47/ratio20/illustrations/card/ill_79853_ryuoinsamidare03.jpg?202002-i_prefecture_active_user", "■")</f>
        <v>■</v>
      </c>
      <c r="F437" s="1" t="s">
        <v>3516</v>
      </c>
      <c r="G437" s="1">
        <v>140488</v>
      </c>
      <c r="H437" s="1">
        <v>79068</v>
      </c>
      <c r="I437" s="1">
        <v>26</v>
      </c>
      <c r="J437" s="1" t="s">
        <v>73</v>
      </c>
      <c r="K437" s="1" t="s">
        <v>3517</v>
      </c>
      <c r="L437" s="1" t="s">
        <v>3518</v>
      </c>
      <c r="M437" s="1" t="s">
        <v>9158</v>
      </c>
      <c r="N437" s="1" t="s">
        <v>9158</v>
      </c>
      <c r="O437" s="1" t="s">
        <v>9158</v>
      </c>
      <c r="P437" s="1" t="s">
        <v>9158</v>
      </c>
      <c r="Q437" s="1" t="s">
        <v>9158</v>
      </c>
      <c r="R437" s="1"/>
      <c r="S437" s="1"/>
    </row>
    <row r="438" spans="1:19">
      <c r="A438" s="9">
        <v>79863</v>
      </c>
      <c r="B438" s="1" t="s">
        <v>334</v>
      </c>
      <c r="C438" s="1" t="s">
        <v>202</v>
      </c>
      <c r="D438" s="20" t="s">
        <v>10931</v>
      </c>
      <c r="E438" s="15" t="str">
        <f>HYPERLINK("https://stat100.ameba.jp/tnk47/ratio20/illustrations/card/ill_79863_nagadoayumi03.jpg?202002-i_prefecture_active_user", "■")</f>
        <v>■</v>
      </c>
      <c r="F438" s="1" t="s">
        <v>3519</v>
      </c>
      <c r="G438" s="1">
        <v>77386</v>
      </c>
      <c r="H438" s="1">
        <v>137520</v>
      </c>
      <c r="I438" s="1">
        <v>26</v>
      </c>
      <c r="J438" s="1" t="s">
        <v>44</v>
      </c>
      <c r="K438" s="1" t="s">
        <v>3520</v>
      </c>
      <c r="L438" s="1" t="s">
        <v>1209</v>
      </c>
      <c r="M438" s="1" t="s">
        <v>9158</v>
      </c>
      <c r="N438" s="1" t="s">
        <v>9158</v>
      </c>
      <c r="O438" s="1" t="s">
        <v>9158</v>
      </c>
      <c r="P438" s="1" t="s">
        <v>9158</v>
      </c>
      <c r="Q438" s="1" t="s">
        <v>9158</v>
      </c>
      <c r="R438" s="1"/>
      <c r="S438" s="1"/>
    </row>
    <row r="439" spans="1:19">
      <c r="E439" s="9"/>
    </row>
    <row r="440" spans="1:19">
      <c r="A440" s="9" t="s">
        <v>9171</v>
      </c>
      <c r="E440" s="9"/>
    </row>
    <row r="441" spans="1:19">
      <c r="A441" s="9" t="s">
        <v>9172</v>
      </c>
      <c r="E441" s="9"/>
    </row>
    <row r="442" spans="1:19">
      <c r="A442" s="9" t="s">
        <v>11935</v>
      </c>
      <c r="B442" s="9" t="s">
        <v>9174</v>
      </c>
      <c r="C442" s="9" t="s">
        <v>9173</v>
      </c>
      <c r="D442" s="20" t="s">
        <v>10932</v>
      </c>
      <c r="E442" s="15" t="str">
        <f>HYPERLINK("https://stat100.ameba.jp/tnk47/ratio20/illustrations/card/ill_87453_0_tenkuroinoshikacho03.jpg?202002-i_prefecture_active_userx", "■")</f>
        <v>■</v>
      </c>
      <c r="F442" s="9" t="s">
        <v>9175</v>
      </c>
      <c r="G442" s="9">
        <v>450016</v>
      </c>
      <c r="H442" s="9">
        <v>406728</v>
      </c>
      <c r="I442" s="9">
        <v>35</v>
      </c>
      <c r="J442" s="9" t="s">
        <v>9176</v>
      </c>
      <c r="K442" s="9" t="s">
        <v>9177</v>
      </c>
      <c r="L442" s="9" t="s">
        <v>9178</v>
      </c>
      <c r="M442" s="1" t="s">
        <v>9158</v>
      </c>
      <c r="N442" s="1" t="s">
        <v>9158</v>
      </c>
      <c r="O442" s="1" t="s">
        <v>9158</v>
      </c>
      <c r="P442" s="1" t="s">
        <v>9158</v>
      </c>
      <c r="Q442" s="1" t="s">
        <v>9158</v>
      </c>
    </row>
    <row r="443" spans="1:19">
      <c r="A443" s="7" t="s">
        <v>8241</v>
      </c>
      <c r="B443" s="7" t="s">
        <v>117</v>
      </c>
      <c r="C443" s="7" t="s">
        <v>202</v>
      </c>
      <c r="D443" s="20" t="s">
        <v>10794</v>
      </c>
      <c r="E443" s="15" t="str">
        <f>HYPERLINK("https://stat100.ameba.jp/tnk47/ratio20/illustrations/card/ill_86053_0_tenkuroesupizeroichi03.jpg?202002-i_prefecture_active_userx", "■")</f>
        <v>■</v>
      </c>
      <c r="F443" s="7" t="s">
        <v>8244</v>
      </c>
      <c r="G443" s="7">
        <v>450016</v>
      </c>
      <c r="H443" s="7">
        <v>406728</v>
      </c>
      <c r="I443" s="7">
        <v>35</v>
      </c>
      <c r="J443" s="1" t="s">
        <v>44</v>
      </c>
      <c r="K443" s="7" t="s">
        <v>8243</v>
      </c>
      <c r="L443" s="7" t="s">
        <v>8242</v>
      </c>
      <c r="M443" s="1" t="s">
        <v>9158</v>
      </c>
      <c r="N443" s="1" t="s">
        <v>9158</v>
      </c>
      <c r="O443" s="1" t="s">
        <v>9158</v>
      </c>
      <c r="P443" s="1" t="s">
        <v>9158</v>
      </c>
      <c r="Q443" s="1" t="s">
        <v>9158</v>
      </c>
    </row>
    <row r="444" spans="1:19">
      <c r="A444" s="7" t="s">
        <v>8752</v>
      </c>
      <c r="B444" s="7" t="s">
        <v>117</v>
      </c>
      <c r="C444" s="7" t="s">
        <v>202</v>
      </c>
      <c r="D444" s="20" t="s">
        <v>10869</v>
      </c>
      <c r="E444" s="15" t="str">
        <f>HYPERLINK("https://stat100.ameba.jp/tnk47/ratio20/illustrations/card/ill_86713_0_tenkuroenjieruzu03.jpg?202002-i_prefecture_active_userx", "■")</f>
        <v>■</v>
      </c>
      <c r="F444" s="7" t="s">
        <v>8755</v>
      </c>
      <c r="G444" s="7">
        <v>406728</v>
      </c>
      <c r="H444" s="7">
        <v>450016</v>
      </c>
      <c r="I444" s="7">
        <v>35</v>
      </c>
      <c r="J444" s="1" t="s">
        <v>274</v>
      </c>
      <c r="K444" s="7" t="s">
        <v>8754</v>
      </c>
      <c r="L444" s="7" t="s">
        <v>8753</v>
      </c>
      <c r="M444" s="1" t="s">
        <v>9158</v>
      </c>
      <c r="N444" s="1" t="s">
        <v>9158</v>
      </c>
      <c r="O444" s="1" t="s">
        <v>9158</v>
      </c>
      <c r="P444" s="1" t="s">
        <v>9158</v>
      </c>
      <c r="Q444" s="1" t="s">
        <v>9158</v>
      </c>
    </row>
    <row r="445" spans="1:19">
      <c r="A445" s="1" t="s">
        <v>5963</v>
      </c>
      <c r="B445" s="1" t="s">
        <v>330</v>
      </c>
      <c r="C445" s="1" t="s">
        <v>35</v>
      </c>
      <c r="D445" s="20" t="s">
        <v>10438</v>
      </c>
      <c r="E445" s="15" t="str">
        <f>HYPERLINK("https://stat100.ameba.jp/tnk47/ratio20/illustrations/card/ill_82963_0_yukatamatsuritomokazuki03.jpg?202002-i_prefecture_active_userx", "■")</f>
        <v>■</v>
      </c>
      <c r="F445" s="1" t="s">
        <v>5964</v>
      </c>
      <c r="G445" s="1">
        <v>262064</v>
      </c>
      <c r="H445" s="1">
        <v>289970</v>
      </c>
      <c r="I445" s="1">
        <v>22</v>
      </c>
      <c r="J445" s="1" t="s">
        <v>73</v>
      </c>
      <c r="K445" s="1" t="s">
        <v>5966</v>
      </c>
      <c r="L445" s="1" t="s">
        <v>5967</v>
      </c>
      <c r="M445" s="1" t="s">
        <v>9158</v>
      </c>
      <c r="N445" s="1" t="s">
        <v>9158</v>
      </c>
      <c r="O445" s="19" t="s">
        <v>10115</v>
      </c>
      <c r="P445" s="1" t="s">
        <v>5968</v>
      </c>
      <c r="Q445" s="1">
        <v>1</v>
      </c>
    </row>
    <row r="446" spans="1:19">
      <c r="A446" s="1">
        <v>75653</v>
      </c>
      <c r="B446" s="1" t="s">
        <v>334</v>
      </c>
      <c r="C446" s="1" t="s">
        <v>185</v>
      </c>
      <c r="D446" s="20" t="s">
        <v>10767</v>
      </c>
      <c r="E446" s="15" t="str">
        <f>HYPERLINK("https://stat100.ameba.jp/tnk47/ratio20/illustrations/card/ill_75653_kitanobuchika03.jpg?202002-i_prefecture_active_userx", "■")</f>
        <v>■</v>
      </c>
      <c r="F446" s="1" t="s">
        <v>7960</v>
      </c>
      <c r="G446" s="1">
        <v>138186</v>
      </c>
      <c r="H446" s="1">
        <v>148619</v>
      </c>
      <c r="I446" s="1">
        <v>25</v>
      </c>
      <c r="J446" s="1" t="s">
        <v>194</v>
      </c>
      <c r="K446" s="1" t="s">
        <v>7959</v>
      </c>
      <c r="L446" s="1" t="s">
        <v>1148</v>
      </c>
      <c r="M446" s="1" t="s">
        <v>9158</v>
      </c>
      <c r="N446" s="1" t="s">
        <v>9158</v>
      </c>
      <c r="O446" s="1" t="s">
        <v>9158</v>
      </c>
      <c r="P446" s="1" t="s">
        <v>9158</v>
      </c>
      <c r="Q446" s="1" t="s">
        <v>9158</v>
      </c>
    </row>
    <row r="447" spans="1:19">
      <c r="A447" s="9">
        <v>52843</v>
      </c>
      <c r="B447" s="1" t="s">
        <v>334</v>
      </c>
      <c r="C447" s="1" t="s">
        <v>200</v>
      </c>
      <c r="D447" s="20" t="s">
        <v>10933</v>
      </c>
      <c r="E447" s="15" t="str">
        <f>HYPERLINK("https://stat100.ameba.jp/tnk47/ratio20/illustrations/card/ill_52843_andoroidofumakotaro03.jpg?202002-i_prefecture_active_userx", "■")</f>
        <v>■</v>
      </c>
      <c r="F447" s="9" t="s">
        <v>9190</v>
      </c>
      <c r="G447" s="9">
        <v>89590</v>
      </c>
      <c r="H447" s="9">
        <v>96360</v>
      </c>
      <c r="I447" s="9">
        <v>25</v>
      </c>
      <c r="J447" s="9" t="s">
        <v>9181</v>
      </c>
      <c r="K447" s="9" t="s">
        <v>9180</v>
      </c>
      <c r="L447" s="9" t="s">
        <v>9179</v>
      </c>
      <c r="M447" s="1" t="s">
        <v>9158</v>
      </c>
      <c r="N447" s="1" t="s">
        <v>9158</v>
      </c>
      <c r="O447" s="1" t="s">
        <v>9158</v>
      </c>
      <c r="P447" s="1" t="s">
        <v>9158</v>
      </c>
      <c r="Q447" s="1" t="s">
        <v>9158</v>
      </c>
    </row>
    <row r="448" spans="1:19">
      <c r="A448" s="9">
        <v>62193</v>
      </c>
      <c r="B448" s="1" t="s">
        <v>334</v>
      </c>
      <c r="C448" s="9" t="s">
        <v>9186</v>
      </c>
      <c r="D448" s="20" t="s">
        <v>10523</v>
      </c>
      <c r="E448" s="15" t="str">
        <f>HYPERLINK("https://stat100.ameba.jp/tnk47/ratio20/illustrations/card/ill_62193_sakakibaramichiko03.jpg?202002-i_prefecture_active_userx", "■")</f>
        <v>■</v>
      </c>
      <c r="F448" s="9" t="s">
        <v>9193</v>
      </c>
      <c r="G448" s="9">
        <v>90759</v>
      </c>
      <c r="H448" s="9">
        <v>97651</v>
      </c>
      <c r="I448" s="1">
        <v>25</v>
      </c>
      <c r="J448" s="9" t="s">
        <v>9182</v>
      </c>
      <c r="K448" s="9" t="s">
        <v>9192</v>
      </c>
      <c r="L448" s="9" t="s">
        <v>9191</v>
      </c>
      <c r="M448" s="1" t="s">
        <v>9158</v>
      </c>
      <c r="N448" s="1" t="s">
        <v>9158</v>
      </c>
      <c r="O448" s="1" t="s">
        <v>9158</v>
      </c>
      <c r="P448" s="1" t="s">
        <v>9158</v>
      </c>
      <c r="Q448" s="1" t="s">
        <v>9158</v>
      </c>
    </row>
    <row r="449" spans="1:19">
      <c r="A449" s="9">
        <v>72523</v>
      </c>
      <c r="B449" s="1" t="s">
        <v>334</v>
      </c>
      <c r="C449" s="9" t="s">
        <v>9187</v>
      </c>
      <c r="D449" s="20" t="s">
        <v>10422</v>
      </c>
      <c r="E449" s="15" t="str">
        <f>HYPERLINK("https://stat100.ameba.jp/tnk47/ratio20/illustrations/card/ill_72523_safuaripakunakisawame03.jpg?202002-i_prefecture_active_userx", "■")</f>
        <v>■</v>
      </c>
      <c r="F449" s="9" t="s">
        <v>9196</v>
      </c>
      <c r="G449" s="9">
        <v>94802</v>
      </c>
      <c r="H449" s="9">
        <v>101971</v>
      </c>
      <c r="I449" s="9">
        <v>25</v>
      </c>
      <c r="J449" s="9" t="s">
        <v>9183</v>
      </c>
      <c r="K449" s="9" t="s">
        <v>9195</v>
      </c>
      <c r="L449" s="9" t="s">
        <v>9194</v>
      </c>
      <c r="M449" s="1" t="s">
        <v>9158</v>
      </c>
      <c r="N449" s="1" t="s">
        <v>9158</v>
      </c>
      <c r="O449" s="1" t="s">
        <v>9158</v>
      </c>
      <c r="P449" s="1" t="s">
        <v>9158</v>
      </c>
      <c r="Q449" s="1" t="s">
        <v>9158</v>
      </c>
    </row>
    <row r="450" spans="1:19">
      <c r="A450" s="9">
        <v>67243</v>
      </c>
      <c r="B450" s="1" t="s">
        <v>334</v>
      </c>
      <c r="C450" s="9" t="s">
        <v>9188</v>
      </c>
      <c r="D450" s="20" t="s">
        <v>10199</v>
      </c>
      <c r="E450" s="15" t="str">
        <f>HYPERLINK("https://stat100.ameba.jp/tnk47/ratio20/illustrations/card/ill_67243_onsenyadomoryo03.jpg?202002-i_prefecture_active_userx", "■")</f>
        <v>■</v>
      </c>
      <c r="F450" s="9" t="s">
        <v>9199</v>
      </c>
      <c r="G450" s="9">
        <v>96871</v>
      </c>
      <c r="H450" s="9">
        <v>104162</v>
      </c>
      <c r="I450" s="1">
        <v>25</v>
      </c>
      <c r="J450" s="9" t="s">
        <v>9184</v>
      </c>
      <c r="K450" s="9" t="s">
        <v>9198</v>
      </c>
      <c r="L450" s="9" t="s">
        <v>9197</v>
      </c>
      <c r="M450" s="1" t="s">
        <v>9158</v>
      </c>
      <c r="N450" s="1" t="s">
        <v>9158</v>
      </c>
      <c r="O450" s="1" t="s">
        <v>9158</v>
      </c>
      <c r="P450" s="1" t="s">
        <v>9158</v>
      </c>
      <c r="Q450" s="1" t="s">
        <v>9158</v>
      </c>
    </row>
    <row r="451" spans="1:19">
      <c r="A451" s="9">
        <v>47523</v>
      </c>
      <c r="B451" s="1" t="s">
        <v>334</v>
      </c>
      <c r="C451" s="9" t="s">
        <v>9189</v>
      </c>
      <c r="D451" s="20" t="s">
        <v>10934</v>
      </c>
      <c r="E451" s="15" t="str">
        <f>HYPERLINK("https://stat100.ameba.jp/tnk47/ratio20/illustrations/card/ill_47523_edoushinpei03.jpg?202002-i_prefecture_active_userx", "■")</f>
        <v>■</v>
      </c>
      <c r="F451" s="9" t="s">
        <v>9202</v>
      </c>
      <c r="G451" s="9">
        <v>77980</v>
      </c>
      <c r="H451" s="9">
        <v>108470</v>
      </c>
      <c r="I451" s="9">
        <v>25</v>
      </c>
      <c r="J451" s="9" t="s">
        <v>9185</v>
      </c>
      <c r="K451" s="9" t="s">
        <v>9201</v>
      </c>
      <c r="L451" s="9" t="s">
        <v>9200</v>
      </c>
      <c r="M451" s="1" t="s">
        <v>9158</v>
      </c>
      <c r="N451" s="1" t="s">
        <v>9158</v>
      </c>
      <c r="O451" s="1" t="s">
        <v>9158</v>
      </c>
      <c r="P451" s="1" t="s">
        <v>9158</v>
      </c>
      <c r="Q451" s="1" t="s">
        <v>9158</v>
      </c>
    </row>
    <row r="452" spans="1:19">
      <c r="E452" s="9"/>
    </row>
    <row r="453" spans="1:19">
      <c r="A453" s="9" t="s">
        <v>9203</v>
      </c>
      <c r="E453" s="9"/>
    </row>
    <row r="454" spans="1:19">
      <c r="A454" s="9" t="s">
        <v>9204</v>
      </c>
      <c r="E454" s="9"/>
    </row>
    <row r="455" spans="1:19">
      <c r="A455" s="1" t="s">
        <v>5614</v>
      </c>
      <c r="B455" s="1" t="s">
        <v>330</v>
      </c>
      <c r="C455" s="1" t="s">
        <v>267</v>
      </c>
      <c r="D455" s="20" t="s">
        <v>313</v>
      </c>
      <c r="E455" s="15" t="str">
        <f>HYPERLINK("https://stat100.ameba.jp/tnk47/ratio20/illustrations/card/ill_56223_0_onsempanikkugohime03.jpg?202002-i_prefecture_active_userx", "■")</f>
        <v>■</v>
      </c>
      <c r="F455" s="1" t="s">
        <v>314</v>
      </c>
      <c r="G455" s="1">
        <v>83712</v>
      </c>
      <c r="H455" s="1">
        <v>94236</v>
      </c>
      <c r="I455" s="1">
        <v>15</v>
      </c>
      <c r="J455" s="1" t="s">
        <v>315</v>
      </c>
      <c r="K455" s="1" t="s">
        <v>316</v>
      </c>
      <c r="L455" s="1" t="s">
        <v>317</v>
      </c>
      <c r="M455" s="1" t="s">
        <v>9158</v>
      </c>
      <c r="N455" s="1" t="s">
        <v>9158</v>
      </c>
      <c r="O455" s="19" t="s">
        <v>3021</v>
      </c>
      <c r="P455" s="1" t="s">
        <v>2890</v>
      </c>
      <c r="Q455" s="1">
        <v>1</v>
      </c>
    </row>
    <row r="456" spans="1:19">
      <c r="A456" s="1" t="s">
        <v>5724</v>
      </c>
      <c r="B456" s="1" t="s">
        <v>330</v>
      </c>
      <c r="C456" s="1" t="s">
        <v>335</v>
      </c>
      <c r="D456" s="20" t="s">
        <v>698</v>
      </c>
      <c r="E456" s="15" t="str">
        <f>HYPERLINK("https://stat100.ameba.jp/tnk47/ratio20/illustrations/card/ill_66433_0_haroinfujishirogozen03.jpg?202002-i_prefecture_active_userx", "■")</f>
        <v>■</v>
      </c>
      <c r="F456" s="1" t="s">
        <v>699</v>
      </c>
      <c r="G456" s="1">
        <v>91807</v>
      </c>
      <c r="H456" s="1">
        <v>98751</v>
      </c>
      <c r="I456" s="1">
        <v>15</v>
      </c>
      <c r="J456" s="1" t="s">
        <v>315</v>
      </c>
      <c r="K456" s="1" t="s">
        <v>700</v>
      </c>
      <c r="L456" s="1" t="s">
        <v>701</v>
      </c>
      <c r="M456" s="1" t="s">
        <v>9158</v>
      </c>
      <c r="N456" s="1" t="s">
        <v>9158</v>
      </c>
      <c r="O456" s="19" t="s">
        <v>10095</v>
      </c>
      <c r="P456" s="1" t="s">
        <v>3345</v>
      </c>
      <c r="Q456" s="1">
        <v>1</v>
      </c>
    </row>
    <row r="457" spans="1:19">
      <c r="A457" s="1" t="s">
        <v>5820</v>
      </c>
      <c r="B457" s="1" t="s">
        <v>330</v>
      </c>
      <c r="C457" s="1" t="s">
        <v>271</v>
      </c>
      <c r="D457" s="20" t="s">
        <v>630</v>
      </c>
      <c r="E457" s="15" t="str">
        <f>HYPERLINK("https://stat100.ameba.jp/tnk47/ratio20/illustrations/card/ill_48283_0_kyuubitamamonomae03.jpg?202002-i_prefecture_active_userx", "■")</f>
        <v>■</v>
      </c>
      <c r="F457" s="1" t="s">
        <v>631</v>
      </c>
      <c r="G457" s="1">
        <v>94236</v>
      </c>
      <c r="H457" s="1">
        <v>83712</v>
      </c>
      <c r="I457" s="1">
        <v>15</v>
      </c>
      <c r="J457" s="1" t="s">
        <v>320</v>
      </c>
      <c r="K457" s="1" t="s">
        <v>632</v>
      </c>
      <c r="L457" s="1" t="s">
        <v>633</v>
      </c>
      <c r="M457" s="1" t="s">
        <v>9158</v>
      </c>
      <c r="N457" s="1" t="s">
        <v>9158</v>
      </c>
      <c r="O457" s="1" t="s">
        <v>9158</v>
      </c>
      <c r="P457" s="1" t="s">
        <v>9158</v>
      </c>
      <c r="Q457" s="1" t="s">
        <v>9158</v>
      </c>
    </row>
    <row r="458" spans="1:19">
      <c r="A458" s="9">
        <v>77283</v>
      </c>
      <c r="B458" s="9" t="s">
        <v>9205</v>
      </c>
      <c r="C458" s="9" t="s">
        <v>9206</v>
      </c>
      <c r="D458" s="20" t="s">
        <v>11880</v>
      </c>
      <c r="E458" s="15" t="str">
        <f>HYPERLINK("https://stat100.ameba.jp/tnk47/ratio20/illustrations/card/ill_77283_chayamusumemurasame03.jpg?202002-i_prefecture_active_userx", "■")</f>
        <v>■</v>
      </c>
      <c r="F458" s="9" t="s">
        <v>9216</v>
      </c>
      <c r="G458" s="9">
        <v>98594</v>
      </c>
      <c r="H458" s="9">
        <v>106050</v>
      </c>
      <c r="I458" s="9">
        <v>26</v>
      </c>
      <c r="J458" s="9" t="s">
        <v>9183</v>
      </c>
      <c r="K458" s="9" t="s">
        <v>9215</v>
      </c>
      <c r="L458" s="9" t="s">
        <v>9214</v>
      </c>
      <c r="M458" s="1" t="s">
        <v>9158</v>
      </c>
      <c r="N458" s="1" t="s">
        <v>9158</v>
      </c>
      <c r="O458" s="1" t="s">
        <v>9158</v>
      </c>
      <c r="P458" s="1" t="s">
        <v>9158</v>
      </c>
      <c r="Q458" s="1" t="s">
        <v>9158</v>
      </c>
      <c r="S458" s="14" t="s">
        <v>11881</v>
      </c>
    </row>
    <row r="459" spans="1:19">
      <c r="A459" s="9">
        <v>80913</v>
      </c>
      <c r="B459" s="9" t="s">
        <v>9205</v>
      </c>
      <c r="C459" s="9" t="s">
        <v>9207</v>
      </c>
      <c r="D459" s="20" t="s">
        <v>11882</v>
      </c>
      <c r="E459" s="15" t="str">
        <f>HYPERLINK("https://stat100.ameba.jp/tnk47/ratio20/illustrations/card/ill_80913_shinshakaijimbotchan03.jpg?202002-i_prefecture_active_userx", "■")</f>
        <v>■</v>
      </c>
      <c r="F459" s="9" t="s">
        <v>9219</v>
      </c>
      <c r="G459" s="9">
        <v>105426</v>
      </c>
      <c r="H459" s="9">
        <v>98066</v>
      </c>
      <c r="I459" s="9">
        <v>26</v>
      </c>
      <c r="J459" s="9" t="s">
        <v>9209</v>
      </c>
      <c r="K459" s="9" t="s">
        <v>9218</v>
      </c>
      <c r="L459" s="9" t="s">
        <v>9217</v>
      </c>
      <c r="M459" s="1" t="s">
        <v>9158</v>
      </c>
      <c r="N459" s="1" t="s">
        <v>9158</v>
      </c>
      <c r="O459" s="1" t="s">
        <v>9158</v>
      </c>
      <c r="P459" s="1" t="s">
        <v>9158</v>
      </c>
      <c r="Q459" s="1" t="s">
        <v>9158</v>
      </c>
      <c r="S459" s="14" t="s">
        <v>11883</v>
      </c>
    </row>
    <row r="460" spans="1:19">
      <c r="A460" s="9">
        <v>81033</v>
      </c>
      <c r="B460" s="9" t="s">
        <v>9205</v>
      </c>
      <c r="C460" s="9" t="s">
        <v>9208</v>
      </c>
      <c r="D460" s="20" t="s">
        <v>11884</v>
      </c>
      <c r="E460" s="15" t="str">
        <f>HYPERLINK("https://stat100.ameba.jp/tnk47/ratio20/illustrations/card/ill_81033_sakasuibarakiyanki03.jpg?202002-i_prefecture_active_userx", "■")</f>
        <v>■</v>
      </c>
      <c r="F460" s="9" t="s">
        <v>9222</v>
      </c>
      <c r="G460" s="9">
        <v>123970</v>
      </c>
      <c r="H460" s="9">
        <v>115240</v>
      </c>
      <c r="I460" s="9">
        <v>26</v>
      </c>
      <c r="J460" s="9" t="s">
        <v>9210</v>
      </c>
      <c r="K460" s="9" t="s">
        <v>9221</v>
      </c>
      <c r="L460" s="9" t="s">
        <v>9220</v>
      </c>
      <c r="M460" s="1" t="s">
        <v>9158</v>
      </c>
      <c r="N460" s="1" t="s">
        <v>9158</v>
      </c>
      <c r="O460" s="1" t="s">
        <v>9158</v>
      </c>
      <c r="P460" s="1" t="s">
        <v>9158</v>
      </c>
      <c r="Q460" s="1" t="s">
        <v>9158</v>
      </c>
      <c r="S460" s="14" t="s">
        <v>11885</v>
      </c>
    </row>
    <row r="461" spans="1:19">
      <c r="A461" s="9">
        <v>73493</v>
      </c>
      <c r="B461" s="9" t="s">
        <v>9211</v>
      </c>
      <c r="C461" s="9" t="s">
        <v>9187</v>
      </c>
      <c r="D461" s="20" t="s">
        <v>11876</v>
      </c>
      <c r="E461" s="15" t="str">
        <f>HYPERLINK("https://stat100.ameba.jp/tnk47/ratio20/illustrations/card/ill_73493_akashiyakichan03.jpg?202002-i_prefecture_active_userx", "■")</f>
        <v>■</v>
      </c>
      <c r="F461" s="9" t="s">
        <v>9225</v>
      </c>
      <c r="G461" s="9">
        <v>69898</v>
      </c>
      <c r="H461" s="9">
        <v>77064</v>
      </c>
      <c r="I461" s="9">
        <v>26</v>
      </c>
      <c r="J461" s="9" t="s">
        <v>9212</v>
      </c>
      <c r="K461" s="9" t="s">
        <v>9224</v>
      </c>
      <c r="L461" s="9" t="s">
        <v>9223</v>
      </c>
      <c r="M461" s="1" t="s">
        <v>9158</v>
      </c>
      <c r="N461" s="1" t="s">
        <v>9158</v>
      </c>
      <c r="O461" s="1" t="s">
        <v>9158</v>
      </c>
      <c r="P461" s="1" t="s">
        <v>9158</v>
      </c>
      <c r="Q461" s="1" t="s">
        <v>9158</v>
      </c>
      <c r="S461" s="14" t="s">
        <v>11877</v>
      </c>
    </row>
    <row r="462" spans="1:19">
      <c r="A462" s="9">
        <v>65223</v>
      </c>
      <c r="B462" s="9" t="s">
        <v>9211</v>
      </c>
      <c r="C462" s="9" t="s">
        <v>9186</v>
      </c>
      <c r="D462" s="20" t="s">
        <v>10935</v>
      </c>
      <c r="E462" s="15" t="str">
        <f>HYPERLINK("https://stat100.ameba.jp/tnk47/ratio20/illustrations/card/ill_65223_moriyoshinari03.jpg?202002-i_prefecture_active_userx", "■")</f>
        <v>■</v>
      </c>
      <c r="F462" s="9" t="s">
        <v>9228</v>
      </c>
      <c r="G462" s="9">
        <v>77064</v>
      </c>
      <c r="H462" s="9">
        <v>69898</v>
      </c>
      <c r="I462" s="9">
        <v>26</v>
      </c>
      <c r="J462" s="9" t="s">
        <v>9213</v>
      </c>
      <c r="K462" s="9" t="s">
        <v>9227</v>
      </c>
      <c r="L462" s="9" t="s">
        <v>9226</v>
      </c>
      <c r="M462" s="1" t="s">
        <v>9158</v>
      </c>
      <c r="N462" s="1" t="s">
        <v>9158</v>
      </c>
      <c r="O462" s="1" t="s">
        <v>9158</v>
      </c>
      <c r="P462" s="1" t="s">
        <v>9158</v>
      </c>
      <c r="Q462" s="1" t="s">
        <v>9158</v>
      </c>
      <c r="S462" s="14" t="s">
        <v>11878</v>
      </c>
    </row>
    <row r="463" spans="1:19">
      <c r="A463" s="9">
        <v>73973</v>
      </c>
      <c r="B463" s="9" t="s">
        <v>9211</v>
      </c>
      <c r="C463" s="9" t="s">
        <v>9189</v>
      </c>
      <c r="D463" s="20" t="s">
        <v>11879</v>
      </c>
      <c r="E463" s="15" t="str">
        <f>HYPERLINK("https://stat100.ameba.jp/tnk47/ratio20/illustrations/card/ill_73973_hikozanbuzenbou03.jpg?202002-i_prefecture_active_userx", "■")</f>
        <v>■</v>
      </c>
      <c r="F463" s="9" t="s">
        <v>9231</v>
      </c>
      <c r="G463" s="9">
        <v>77064</v>
      </c>
      <c r="H463" s="9">
        <v>69898</v>
      </c>
      <c r="I463" s="9">
        <v>26</v>
      </c>
      <c r="J463" s="9" t="s">
        <v>9184</v>
      </c>
      <c r="K463" s="9" t="s">
        <v>9230</v>
      </c>
      <c r="L463" s="9" t="s">
        <v>9229</v>
      </c>
      <c r="M463" s="1" t="s">
        <v>9158</v>
      </c>
      <c r="N463" s="1" t="s">
        <v>9158</v>
      </c>
      <c r="O463" s="1" t="s">
        <v>9158</v>
      </c>
      <c r="P463" s="1" t="s">
        <v>9158</v>
      </c>
      <c r="Q463" s="1" t="s">
        <v>9158</v>
      </c>
      <c r="S463" s="14" t="s">
        <v>11768</v>
      </c>
    </row>
    <row r="464" spans="1:19">
      <c r="E464" s="9"/>
    </row>
    <row r="465" spans="1:18">
      <c r="A465" s="9" t="s">
        <v>9164</v>
      </c>
      <c r="E465" s="9"/>
    </row>
    <row r="466" spans="1:18">
      <c r="A466" s="9" t="s">
        <v>9165</v>
      </c>
      <c r="E466" s="9"/>
    </row>
    <row r="467" spans="1:18">
      <c r="A467" s="1" t="s">
        <v>5848</v>
      </c>
      <c r="B467" s="1" t="s">
        <v>52</v>
      </c>
      <c r="C467" s="1" t="s">
        <v>200</v>
      </c>
      <c r="D467" s="20" t="s">
        <v>3160</v>
      </c>
      <c r="E467" s="15" t="str">
        <f>HYPERLINK("https://stat100.ameba.jp/tnk47/ratio20/illustrations/card/ill_72963_0_amenohanayomehiguchiichiyo03.jpg?202002-i_prefecture_active_userx", "■")</f>
        <v>■</v>
      </c>
      <c r="F467" s="1" t="s">
        <v>1139</v>
      </c>
      <c r="G467" s="1">
        <v>160804</v>
      </c>
      <c r="H467" s="1">
        <v>149520</v>
      </c>
      <c r="I467" s="1">
        <v>24</v>
      </c>
      <c r="J467" s="1" t="s">
        <v>10</v>
      </c>
      <c r="K467" s="1" t="s">
        <v>1140</v>
      </c>
      <c r="L467" s="1" t="s">
        <v>1141</v>
      </c>
      <c r="M467" s="1" t="s">
        <v>9158</v>
      </c>
      <c r="N467" s="1" t="s">
        <v>9158</v>
      </c>
      <c r="O467" s="19" t="s">
        <v>3162</v>
      </c>
      <c r="P467" s="1" t="s">
        <v>3410</v>
      </c>
      <c r="Q467" s="1">
        <v>1</v>
      </c>
    </row>
    <row r="468" spans="1:18">
      <c r="A468" s="1" t="s">
        <v>5621</v>
      </c>
      <c r="B468" s="1" t="s">
        <v>330</v>
      </c>
      <c r="C468" s="1" t="s">
        <v>191</v>
      </c>
      <c r="D468" s="20" t="s">
        <v>2871</v>
      </c>
      <c r="E468" s="15" t="str">
        <f>HYPERLINK("https://stat100.ameba.jp/tnk47/ratio20/illustrations/card/ill_51973_0_kemonomizugikuroyuridensetsu03.jpg?202002-i_prefecture_active_userx", "■")</f>
        <v>■</v>
      </c>
      <c r="F468" s="1" t="s">
        <v>2034</v>
      </c>
      <c r="G468" s="1">
        <v>150776</v>
      </c>
      <c r="H468" s="1">
        <v>133938</v>
      </c>
      <c r="I468" s="1">
        <v>24</v>
      </c>
      <c r="J468" s="1" t="s">
        <v>38</v>
      </c>
      <c r="K468" s="1" t="s">
        <v>2035</v>
      </c>
      <c r="L468" s="1" t="s">
        <v>2036</v>
      </c>
      <c r="M468" s="1" t="s">
        <v>9158</v>
      </c>
      <c r="N468" s="1" t="s">
        <v>9158</v>
      </c>
      <c r="O468" s="19" t="s">
        <v>10088</v>
      </c>
      <c r="P468" s="1" t="s">
        <v>13172</v>
      </c>
      <c r="Q468" s="1">
        <v>1</v>
      </c>
    </row>
    <row r="469" spans="1:18">
      <c r="A469" s="1" t="s">
        <v>5612</v>
      </c>
      <c r="B469" s="1" t="s">
        <v>52</v>
      </c>
      <c r="C469" s="1" t="s">
        <v>165</v>
      </c>
      <c r="D469" s="20" t="s">
        <v>789</v>
      </c>
      <c r="E469" s="15" t="str">
        <f>HYPERLINK("https://stat100.ameba.jp/tnk47/ratio20/illustrations/card/ill_49193_0_onmyoudouabenoseimei03.jpg?202002-i_prefecture_active_userx", "■")</f>
        <v>■</v>
      </c>
      <c r="F469" s="1" t="s">
        <v>1896</v>
      </c>
      <c r="G469" s="1">
        <v>133938</v>
      </c>
      <c r="H469" s="1">
        <v>150776</v>
      </c>
      <c r="I469" s="1">
        <v>24</v>
      </c>
      <c r="J469" s="1" t="s">
        <v>10</v>
      </c>
      <c r="K469" s="1" t="s">
        <v>1897</v>
      </c>
      <c r="L469" s="1" t="s">
        <v>1898</v>
      </c>
      <c r="M469" s="1" t="s">
        <v>9158</v>
      </c>
      <c r="N469" s="1" t="s">
        <v>9158</v>
      </c>
      <c r="O469" s="1" t="s">
        <v>9158</v>
      </c>
      <c r="P469" s="1" t="s">
        <v>9158</v>
      </c>
      <c r="Q469" s="1" t="s">
        <v>9158</v>
      </c>
    </row>
    <row r="470" spans="1:18">
      <c r="A470" s="1">
        <v>59613</v>
      </c>
      <c r="B470" s="1" t="s">
        <v>0</v>
      </c>
      <c r="C470" s="1" t="s">
        <v>185</v>
      </c>
      <c r="D470" s="20" t="s">
        <v>10267</v>
      </c>
      <c r="E470" s="15" t="str">
        <f>HYPERLINK("https://stat100.ameba.jp/tnk47/ratio20/illustrations/card/ill_59613_oheyadaria03.jpg?202002-i_prefecture_active_userx", "■")</f>
        <v>■</v>
      </c>
      <c r="F470" s="1" t="s">
        <v>2293</v>
      </c>
      <c r="G470" s="1">
        <v>106266</v>
      </c>
      <c r="H470" s="1">
        <v>98789</v>
      </c>
      <c r="I470" s="1">
        <v>25</v>
      </c>
      <c r="J470" s="1" t="s">
        <v>26</v>
      </c>
      <c r="K470" s="1" t="s">
        <v>2294</v>
      </c>
      <c r="L470" s="1" t="s">
        <v>2295</v>
      </c>
      <c r="M470" s="1" t="s">
        <v>9158</v>
      </c>
      <c r="N470" s="1" t="s">
        <v>9158</v>
      </c>
      <c r="O470" s="19" t="s">
        <v>10111</v>
      </c>
      <c r="P470" s="1" t="s">
        <v>3610</v>
      </c>
      <c r="Q470" s="1">
        <v>1</v>
      </c>
    </row>
    <row r="471" spans="1:18">
      <c r="A471" s="1">
        <v>79453</v>
      </c>
      <c r="B471" s="1" t="s">
        <v>15</v>
      </c>
      <c r="C471" s="1" t="s">
        <v>206</v>
      </c>
      <c r="D471" s="20" t="s">
        <v>10568</v>
      </c>
      <c r="E471" s="15" t="str">
        <f>HYPERLINK("https://stat100.ameba.jp/tnk47/ratio20/illustrations/card/ill_79453_shogiamanozume03.jpg?202002-i_prefecture_active_userx", "■")</f>
        <v>■</v>
      </c>
      <c r="F471" s="1" t="s">
        <v>3540</v>
      </c>
      <c r="G471" s="1">
        <v>74100</v>
      </c>
      <c r="H471" s="1">
        <v>67210</v>
      </c>
      <c r="I471" s="1">
        <v>25</v>
      </c>
      <c r="J471" s="1" t="s">
        <v>44</v>
      </c>
      <c r="K471" s="1" t="s">
        <v>3541</v>
      </c>
      <c r="L471" s="1" t="s">
        <v>3271</v>
      </c>
      <c r="M471" s="1" t="s">
        <v>9158</v>
      </c>
      <c r="N471" s="1" t="s">
        <v>9158</v>
      </c>
      <c r="O471" s="1" t="s">
        <v>9158</v>
      </c>
      <c r="P471" s="1" t="s">
        <v>9158</v>
      </c>
      <c r="Q471" s="1" t="s">
        <v>9158</v>
      </c>
    </row>
    <row r="472" spans="1:18">
      <c r="A472" s="9">
        <v>79113</v>
      </c>
      <c r="B472" s="1" t="s">
        <v>22</v>
      </c>
      <c r="C472" s="1" t="s">
        <v>205</v>
      </c>
      <c r="D472" s="20" t="s">
        <v>10936</v>
      </c>
      <c r="E472" s="15" t="str">
        <f>HYPERLINK("https://stat100.ameba.jp/tnk47/ratio20/illustrations/card/ill_79113_mourimotonari03.jpg?202002-i_prefecture_active_userx", "■")</f>
        <v>■</v>
      </c>
      <c r="F472" s="1" t="s">
        <v>3401</v>
      </c>
      <c r="G472" s="1">
        <v>43220</v>
      </c>
      <c r="H472" s="1">
        <v>51980</v>
      </c>
      <c r="I472" s="1">
        <v>25</v>
      </c>
      <c r="J472" s="1" t="s">
        <v>143</v>
      </c>
      <c r="K472" s="1" t="s">
        <v>3402</v>
      </c>
      <c r="L472" s="1" t="s">
        <v>3403</v>
      </c>
      <c r="M472" s="1" t="s">
        <v>9158</v>
      </c>
      <c r="N472" s="1" t="s">
        <v>9158</v>
      </c>
      <c r="O472" s="1" t="s">
        <v>9158</v>
      </c>
      <c r="P472" s="1" t="s">
        <v>9158</v>
      </c>
      <c r="Q472" s="1" t="s">
        <v>9158</v>
      </c>
    </row>
    <row r="473" spans="1:18">
      <c r="A473" s="9">
        <v>67493</v>
      </c>
      <c r="B473" s="9" t="s">
        <v>9166</v>
      </c>
      <c r="C473" s="9" t="s">
        <v>9167</v>
      </c>
      <c r="D473" s="20" t="s">
        <v>10937</v>
      </c>
      <c r="E473" s="15" t="str">
        <f>HYPERLINK("https://stat100.ameba.jp/tnk47/ratio20/illustrations/card/ill_67493_shizukamochi03.jpg?202002-i_prefecture_active_userx", "■")</f>
        <v>■</v>
      </c>
      <c r="F473" s="9" t="s">
        <v>9170</v>
      </c>
      <c r="G473" s="9">
        <v>26430</v>
      </c>
      <c r="H473" s="9">
        <v>31470</v>
      </c>
      <c r="I473" s="9">
        <v>25</v>
      </c>
      <c r="J473" s="1" t="s">
        <v>182</v>
      </c>
      <c r="K473" s="9" t="s">
        <v>9169</v>
      </c>
      <c r="L473" s="9" t="s">
        <v>9168</v>
      </c>
      <c r="M473" s="1" t="s">
        <v>9158</v>
      </c>
      <c r="N473" s="1" t="s">
        <v>9158</v>
      </c>
      <c r="O473" s="1" t="s">
        <v>9158</v>
      </c>
      <c r="P473" s="1" t="s">
        <v>9158</v>
      </c>
      <c r="Q473" s="1" t="s">
        <v>9158</v>
      </c>
    </row>
    <row r="474" spans="1:18">
      <c r="E474" s="9"/>
    </row>
    <row r="475" spans="1:18">
      <c r="A475" s="1" t="s">
        <v>13327</v>
      </c>
      <c r="B475" s="1"/>
      <c r="C475" s="1"/>
      <c r="D475" s="1"/>
      <c r="F475" s="1"/>
      <c r="G475" s="1"/>
      <c r="H475" s="1"/>
      <c r="I475" s="1"/>
      <c r="J475" s="1"/>
      <c r="K475" s="1"/>
      <c r="L475" s="1"/>
      <c r="M475" s="1"/>
      <c r="N475" s="1"/>
      <c r="O475" s="1"/>
      <c r="P475" s="1"/>
      <c r="Q475" s="1"/>
      <c r="R475" s="1"/>
    </row>
    <row r="476" spans="1:18">
      <c r="A476" s="1" t="s">
        <v>9163</v>
      </c>
      <c r="B476" s="1"/>
      <c r="C476" s="1"/>
      <c r="D476" s="1"/>
      <c r="F476" s="1"/>
      <c r="G476" s="1"/>
      <c r="H476" s="1"/>
      <c r="I476" s="1"/>
      <c r="J476" s="1"/>
      <c r="K476" s="1"/>
      <c r="L476" s="1"/>
      <c r="M476" s="1"/>
      <c r="N476" s="1"/>
      <c r="O476" s="1"/>
      <c r="P476" s="1"/>
      <c r="Q476" s="1"/>
      <c r="R476" s="1"/>
    </row>
    <row r="477" spans="1:18">
      <c r="A477" s="1">
        <v>71873</v>
      </c>
      <c r="B477" s="1" t="s">
        <v>334</v>
      </c>
      <c r="C477" s="1" t="s">
        <v>185</v>
      </c>
      <c r="D477" s="20" t="s">
        <v>10234</v>
      </c>
      <c r="E477" s="15" t="str">
        <f>HYPERLINK("https://stat100.ameba.jp/tnk47/ratio20/illustrations/card/ill_71873_akashita03.jpg?202002-i_prefecture_active_userx", "■")</f>
        <v>■</v>
      </c>
      <c r="F477" s="6" t="s">
        <v>5952</v>
      </c>
      <c r="G477" s="1">
        <v>130886</v>
      </c>
      <c r="H477" s="1">
        <v>121686</v>
      </c>
      <c r="I477" s="1">
        <v>26</v>
      </c>
      <c r="J477" s="1" t="s">
        <v>182</v>
      </c>
      <c r="K477" s="1" t="s">
        <v>217</v>
      </c>
      <c r="L477" s="1" t="s">
        <v>13140</v>
      </c>
      <c r="M477" s="1" t="s">
        <v>13131</v>
      </c>
      <c r="N477" s="1" t="s">
        <v>251</v>
      </c>
      <c r="O477" s="1" t="s">
        <v>9158</v>
      </c>
      <c r="P477" s="1" t="s">
        <v>9158</v>
      </c>
      <c r="Q477" s="1" t="s">
        <v>9158</v>
      </c>
      <c r="R477" s="14"/>
    </row>
    <row r="478" spans="1:18">
      <c r="A478" s="1">
        <v>71872</v>
      </c>
      <c r="B478" s="1" t="s">
        <v>334</v>
      </c>
      <c r="C478" s="1" t="s">
        <v>185</v>
      </c>
      <c r="D478" s="20" t="s">
        <v>10234</v>
      </c>
      <c r="E478" s="15" t="str">
        <f>HYPERLINK("https://stat100.ameba.jp/tnk47/ratio20/illustrations/card/ill_71872_akashita02.jpg?202002-i_prefecture_active_userx", "■")</f>
        <v>■</v>
      </c>
      <c r="F478" s="1" t="s">
        <v>5952</v>
      </c>
      <c r="G478" s="1">
        <v>109344</v>
      </c>
      <c r="H478" s="1">
        <v>100780</v>
      </c>
      <c r="I478" s="7">
        <v>26</v>
      </c>
      <c r="J478" s="1" t="s">
        <v>182</v>
      </c>
      <c r="K478" s="1" t="s">
        <v>217</v>
      </c>
      <c r="L478" s="1" t="s">
        <v>13140</v>
      </c>
      <c r="M478" s="1" t="s">
        <v>13131</v>
      </c>
      <c r="N478" s="1" t="s">
        <v>251</v>
      </c>
      <c r="O478" s="1" t="s">
        <v>9158</v>
      </c>
      <c r="P478" s="1" t="s">
        <v>9158</v>
      </c>
      <c r="Q478" s="1" t="s">
        <v>9158</v>
      </c>
      <c r="R478" s="14"/>
    </row>
    <row r="479" spans="1:18">
      <c r="A479" s="1">
        <v>71871</v>
      </c>
      <c r="B479" s="1" t="s">
        <v>334</v>
      </c>
      <c r="C479" s="1" t="s">
        <v>185</v>
      </c>
      <c r="D479" s="20" t="s">
        <v>10234</v>
      </c>
      <c r="E479" s="15" t="str">
        <f>HYPERLINK("https://stat100.ameba.jp/tnk47/ratio20/illustrations/card/ill_71871_akashita01.jpg?202002-i_prefecture_active_userx", "■")</f>
        <v>■</v>
      </c>
      <c r="F479" s="1" t="s">
        <v>691</v>
      </c>
      <c r="G479" s="1">
        <v>83538</v>
      </c>
      <c r="H479" s="1">
        <v>77766</v>
      </c>
      <c r="I479" s="1">
        <v>26</v>
      </c>
      <c r="J479" s="1" t="s">
        <v>182</v>
      </c>
      <c r="K479" s="1" t="s">
        <v>217</v>
      </c>
      <c r="L479" s="1" t="s">
        <v>13140</v>
      </c>
      <c r="M479" s="1" t="s">
        <v>13131</v>
      </c>
      <c r="N479" s="1" t="s">
        <v>251</v>
      </c>
      <c r="O479" s="1" t="s">
        <v>9158</v>
      </c>
      <c r="P479" s="1" t="s">
        <v>9158</v>
      </c>
      <c r="Q479" s="1" t="s">
        <v>9158</v>
      </c>
      <c r="R479" s="14"/>
    </row>
    <row r="480" spans="1:18">
      <c r="A480" s="1">
        <v>72693</v>
      </c>
      <c r="B480" s="1" t="s">
        <v>334</v>
      </c>
      <c r="C480" s="1" t="s">
        <v>200</v>
      </c>
      <c r="D480" s="20" t="s">
        <v>10235</v>
      </c>
      <c r="E480" s="15" t="str">
        <f>HYPERLINK("https://stat100.ameba.jp/tnk47/ratio20/illustrations/card/ill_72693_sagarasozo03.jpg?202002-i_prefecture_active_userx", "■")</f>
        <v>■</v>
      </c>
      <c r="F480" s="1" t="s">
        <v>692</v>
      </c>
      <c r="G480" s="1">
        <v>121686</v>
      </c>
      <c r="H480" s="1">
        <v>130886</v>
      </c>
      <c r="I480" s="7">
        <v>26</v>
      </c>
      <c r="J480" s="1" t="s">
        <v>194</v>
      </c>
      <c r="K480" s="1" t="s">
        <v>218</v>
      </c>
      <c r="L480" s="1" t="s">
        <v>9892</v>
      </c>
      <c r="M480" s="1" t="s">
        <v>13131</v>
      </c>
      <c r="N480" s="1" t="s">
        <v>251</v>
      </c>
      <c r="O480" s="1" t="s">
        <v>9158</v>
      </c>
      <c r="P480" s="1" t="s">
        <v>9158</v>
      </c>
      <c r="Q480" s="1" t="s">
        <v>9158</v>
      </c>
      <c r="R480" s="1"/>
    </row>
    <row r="481" spans="1:18">
      <c r="A481" s="1">
        <v>72703</v>
      </c>
      <c r="B481" s="1" t="s">
        <v>334</v>
      </c>
      <c r="C481" s="1" t="s">
        <v>191</v>
      </c>
      <c r="D481" s="20" t="s">
        <v>10236</v>
      </c>
      <c r="E481" s="15" t="str">
        <f>HYPERLINK("https://stat100.ameba.jp/tnk47/ratio20/illustrations/card/ill_72703_hayakawanoritsugu03.jpg?202002-i_prefecture_active_userx", "■")</f>
        <v>■</v>
      </c>
      <c r="F481" s="1" t="s">
        <v>693</v>
      </c>
      <c r="G481" s="1">
        <v>130886</v>
      </c>
      <c r="H481" s="1">
        <v>121686</v>
      </c>
      <c r="I481" s="1">
        <v>26</v>
      </c>
      <c r="J481" s="1" t="s">
        <v>173</v>
      </c>
      <c r="K481" s="1" t="s">
        <v>219</v>
      </c>
      <c r="L481" s="1" t="s">
        <v>9893</v>
      </c>
      <c r="M481" s="1" t="s">
        <v>13131</v>
      </c>
      <c r="N481" s="1" t="s">
        <v>251</v>
      </c>
      <c r="O481" s="1" t="s">
        <v>9158</v>
      </c>
      <c r="P481" s="1" t="s">
        <v>9158</v>
      </c>
      <c r="Q481" s="1" t="s">
        <v>9158</v>
      </c>
      <c r="R481" s="1"/>
    </row>
    <row r="482" spans="1:18">
      <c r="A482" s="1">
        <v>73523</v>
      </c>
      <c r="B482" s="1" t="s">
        <v>334</v>
      </c>
      <c r="C482" s="1" t="s">
        <v>165</v>
      </c>
      <c r="D482" s="20" t="s">
        <v>10237</v>
      </c>
      <c r="E482" s="15" t="str">
        <f>HYPERLINK("https://stat100.ameba.jp/tnk47/ratio20/illustrations/card/ill_73523_marunomarudono03.jpg?202002-i_prefecture_active_userx", "■")</f>
        <v>■</v>
      </c>
      <c r="F482" s="1" t="s">
        <v>694</v>
      </c>
      <c r="G482" s="1">
        <v>121686</v>
      </c>
      <c r="H482" s="1">
        <v>130886</v>
      </c>
      <c r="I482" s="7">
        <v>26</v>
      </c>
      <c r="J482" s="1" t="s">
        <v>187</v>
      </c>
      <c r="K482" s="1" t="s">
        <v>220</v>
      </c>
      <c r="L482" s="1" t="s">
        <v>9894</v>
      </c>
      <c r="M482" s="1" t="s">
        <v>13131</v>
      </c>
      <c r="N482" s="1" t="s">
        <v>251</v>
      </c>
      <c r="O482" s="1" t="s">
        <v>9158</v>
      </c>
      <c r="P482" s="1" t="s">
        <v>9158</v>
      </c>
      <c r="Q482" s="1" t="s">
        <v>9158</v>
      </c>
      <c r="R482" s="1"/>
    </row>
    <row r="483" spans="1:18">
      <c r="A483" s="1">
        <v>72713</v>
      </c>
      <c r="B483" s="1" t="s">
        <v>334</v>
      </c>
      <c r="C483" s="1" t="s">
        <v>205</v>
      </c>
      <c r="D483" s="20" t="s">
        <v>10238</v>
      </c>
      <c r="E483" s="15" t="str">
        <f>HYPERLINK("https://stat100.ameba.jp/tnk47/ratio20/illustrations/card/ill_72713_okamuzuminomikoto03.jpg?202002-i_prefecture_active_userx", "■")</f>
        <v>■</v>
      </c>
      <c r="F483" s="1" t="s">
        <v>695</v>
      </c>
      <c r="G483" s="1">
        <v>121686</v>
      </c>
      <c r="H483" s="1">
        <v>130886</v>
      </c>
      <c r="I483" s="1">
        <v>26</v>
      </c>
      <c r="J483" s="1" t="s">
        <v>169</v>
      </c>
      <c r="K483" s="1" t="s">
        <v>221</v>
      </c>
      <c r="L483" s="1" t="s">
        <v>9895</v>
      </c>
      <c r="M483" s="1" t="s">
        <v>13131</v>
      </c>
      <c r="N483" s="1" t="s">
        <v>251</v>
      </c>
      <c r="O483" s="1" t="s">
        <v>9158</v>
      </c>
      <c r="P483" s="1" t="s">
        <v>9158</v>
      </c>
      <c r="Q483" s="1" t="s">
        <v>9158</v>
      </c>
      <c r="R483" s="1"/>
    </row>
    <row r="484" spans="1:18">
      <c r="A484" s="1">
        <v>73533</v>
      </c>
      <c r="B484" s="1" t="s">
        <v>334</v>
      </c>
      <c r="C484" s="1" t="s">
        <v>206</v>
      </c>
      <c r="D484" s="20" t="s">
        <v>10239</v>
      </c>
      <c r="E484" s="15" t="str">
        <f>HYPERLINK("https://stat100.ameba.jp/tnk47/ratio20/illustrations/card/ill_73533_agubutachan03.jpg?202002-i_prefecture_active_userx", "■")</f>
        <v>■</v>
      </c>
      <c r="F484" s="1" t="s">
        <v>696</v>
      </c>
      <c r="G484" s="1">
        <v>130886</v>
      </c>
      <c r="H484" s="1">
        <v>121686</v>
      </c>
      <c r="I484" s="7">
        <v>26</v>
      </c>
      <c r="J484" s="1" t="s">
        <v>216</v>
      </c>
      <c r="K484" s="1" t="s">
        <v>697</v>
      </c>
      <c r="L484" s="1" t="s">
        <v>9896</v>
      </c>
      <c r="M484" s="1" t="s">
        <v>13131</v>
      </c>
      <c r="N484" s="1" t="s">
        <v>251</v>
      </c>
      <c r="O484" s="1" t="s">
        <v>9158</v>
      </c>
      <c r="P484" s="1" t="s">
        <v>9158</v>
      </c>
      <c r="Q484" s="1" t="s">
        <v>9158</v>
      </c>
      <c r="R484" s="1"/>
    </row>
    <row r="485" spans="1:18">
      <c r="E485" s="9"/>
    </row>
    <row r="486" spans="1:18">
      <c r="A486" s="9" t="s">
        <v>9234</v>
      </c>
      <c r="E486" s="9"/>
    </row>
    <row r="487" spans="1:18">
      <c r="A487" s="9" t="s">
        <v>9235</v>
      </c>
      <c r="E487" s="9"/>
    </row>
    <row r="488" spans="1:18">
      <c r="A488" s="1" t="s">
        <v>5617</v>
      </c>
      <c r="B488" s="1" t="s">
        <v>330</v>
      </c>
      <c r="C488" s="1" t="s">
        <v>308</v>
      </c>
      <c r="D488" s="20" t="s">
        <v>385</v>
      </c>
      <c r="E488" s="15" t="str">
        <f>HYPERLINK("https://stat100.ameba.jp/tnk47/ratio20/illustrations/card/ill_59673_0_oheyashutendoji03.jpg?202002-i_prefecture_active_userx", "■")</f>
        <v>■</v>
      </c>
      <c r="F488" s="1" t="s">
        <v>386</v>
      </c>
      <c r="G488" s="1">
        <v>182946</v>
      </c>
      <c r="H488" s="1">
        <v>196778</v>
      </c>
      <c r="I488" s="1">
        <v>26</v>
      </c>
      <c r="J488" s="1" t="s">
        <v>320</v>
      </c>
      <c r="K488" s="1" t="s">
        <v>387</v>
      </c>
      <c r="L488" s="1" t="s">
        <v>388</v>
      </c>
      <c r="M488" s="1" t="s">
        <v>9158</v>
      </c>
      <c r="N488" s="1" t="s">
        <v>9158</v>
      </c>
      <c r="O488" s="19" t="s">
        <v>10078</v>
      </c>
      <c r="P488" s="1" t="s">
        <v>3022</v>
      </c>
      <c r="Q488" s="1">
        <v>1</v>
      </c>
    </row>
    <row r="489" spans="1:18">
      <c r="A489" s="1" t="s">
        <v>5607</v>
      </c>
      <c r="B489" s="1" t="s">
        <v>330</v>
      </c>
      <c r="C489" s="1" t="s">
        <v>200</v>
      </c>
      <c r="D489" s="20" t="s">
        <v>421</v>
      </c>
      <c r="E489" s="15" t="str">
        <f>HYPERLINK("https://stat100.ameba.jp/tnk47/ratio20/illustrations/card/ill_58853_0_setsubumpanikkuhiratsukaraicho03.jpg?202002-i_prefecture_active_userx", "■")</f>
        <v>■</v>
      </c>
      <c r="F489" s="1" t="s">
        <v>1040</v>
      </c>
      <c r="G489" s="1">
        <v>163342</v>
      </c>
      <c r="H489" s="1">
        <v>145100</v>
      </c>
      <c r="I489" s="1">
        <v>26</v>
      </c>
      <c r="J489" s="1" t="s">
        <v>16</v>
      </c>
      <c r="K489" s="1" t="s">
        <v>1041</v>
      </c>
      <c r="L489" s="1" t="s">
        <v>1042</v>
      </c>
      <c r="M489" s="1" t="s">
        <v>9158</v>
      </c>
      <c r="N489" s="1" t="s">
        <v>9158</v>
      </c>
      <c r="O489" s="19" t="s">
        <v>10075</v>
      </c>
      <c r="P489" s="1" t="s">
        <v>2870</v>
      </c>
      <c r="Q489" s="1">
        <v>1</v>
      </c>
    </row>
    <row r="490" spans="1:18">
      <c r="A490" s="1">
        <v>84653</v>
      </c>
      <c r="B490" s="1" t="s">
        <v>334</v>
      </c>
      <c r="C490" s="1" t="s">
        <v>209</v>
      </c>
      <c r="D490" s="20" t="s">
        <v>10626</v>
      </c>
      <c r="E490" s="15" t="str">
        <f>HYPERLINK("https://stat100.ameba.jp/tnk47/ratio20/illustrations/card/ill_84653_soru03.jpg?202002-i_prefecture_active_userx", "■")</f>
        <v>■</v>
      </c>
      <c r="F490" s="1" t="s">
        <v>6954</v>
      </c>
      <c r="G490" s="1">
        <v>79151</v>
      </c>
      <c r="H490" s="1">
        <v>109259</v>
      </c>
      <c r="I490" s="1">
        <v>25</v>
      </c>
      <c r="J490" s="1" t="s">
        <v>44</v>
      </c>
      <c r="K490" s="1" t="s">
        <v>6956</v>
      </c>
      <c r="L490" s="1" t="s">
        <v>3652</v>
      </c>
      <c r="M490" s="1" t="s">
        <v>9158</v>
      </c>
      <c r="N490" s="1" t="s">
        <v>9158</v>
      </c>
      <c r="O490" s="19" t="s">
        <v>10103</v>
      </c>
      <c r="P490" s="1" t="s">
        <v>3897</v>
      </c>
      <c r="Q490" s="1">
        <v>1</v>
      </c>
    </row>
    <row r="491" spans="1:18">
      <c r="A491" s="1">
        <v>80173</v>
      </c>
      <c r="B491" s="1" t="s">
        <v>334</v>
      </c>
      <c r="C491" s="1" t="s">
        <v>47</v>
      </c>
      <c r="D491" s="20" t="s">
        <v>10390</v>
      </c>
      <c r="E491" s="15" t="str">
        <f>HYPERLINK("https://stat100.ameba.jp/tnk47/ratio20/illustrations/card/ill_80173_jusomedeia03.jpg?202002-i_prefecture_active_userx", "■")</f>
        <v>■</v>
      </c>
      <c r="F491" s="1" t="s">
        <v>3914</v>
      </c>
      <c r="G491" s="1">
        <v>95703</v>
      </c>
      <c r="H491" s="1">
        <v>132144</v>
      </c>
      <c r="I491" s="1">
        <v>25</v>
      </c>
      <c r="J491" s="1" t="s">
        <v>73</v>
      </c>
      <c r="K491" s="1" t="s">
        <v>3915</v>
      </c>
      <c r="L491" s="1" t="s">
        <v>1033</v>
      </c>
      <c r="M491" s="1" t="s">
        <v>9158</v>
      </c>
      <c r="N491" s="1" t="s">
        <v>9158</v>
      </c>
      <c r="O491" s="19" t="s">
        <v>10074</v>
      </c>
      <c r="P491" s="1" t="s">
        <v>3592</v>
      </c>
      <c r="Q491" s="1">
        <v>1</v>
      </c>
    </row>
    <row r="492" spans="1:18">
      <c r="A492" s="1">
        <v>63273</v>
      </c>
      <c r="B492" s="1" t="s">
        <v>334</v>
      </c>
      <c r="C492" s="1" t="s">
        <v>158</v>
      </c>
      <c r="D492" s="20" t="s">
        <v>828</v>
      </c>
      <c r="E492" s="15" t="str">
        <f>HYPERLINK("https://stat100.ameba.jp/tnk47/ratio20/illustrations/card/ill_63273_tsukushimai03.jpg?202002-i_prefecture_active_userx", "■")</f>
        <v>■</v>
      </c>
      <c r="F492" s="1" t="s">
        <v>1211</v>
      </c>
      <c r="G492" s="1">
        <v>127580</v>
      </c>
      <c r="H492" s="1">
        <v>92402</v>
      </c>
      <c r="I492" s="1">
        <v>25</v>
      </c>
      <c r="J492" s="1" t="s">
        <v>38</v>
      </c>
      <c r="K492" s="1" t="s">
        <v>1212</v>
      </c>
      <c r="L492" s="1" t="s">
        <v>1213</v>
      </c>
      <c r="M492" s="1" t="s">
        <v>9158</v>
      </c>
      <c r="N492" s="1" t="s">
        <v>9158</v>
      </c>
      <c r="O492" s="19" t="s">
        <v>10110</v>
      </c>
      <c r="P492" s="1" t="s">
        <v>13128</v>
      </c>
      <c r="Q492" s="1">
        <v>1</v>
      </c>
    </row>
    <row r="493" spans="1:18">
      <c r="A493" s="1">
        <v>61353</v>
      </c>
      <c r="B493" s="1" t="s">
        <v>334</v>
      </c>
      <c r="C493" s="1" t="s">
        <v>203</v>
      </c>
      <c r="D493" s="20" t="s">
        <v>10417</v>
      </c>
      <c r="E493" s="15" t="str">
        <f>HYPERLINK("https://stat100.ameba.jp/tnk47/ratio20/illustrations/card/ill_61353_shinkidohimiko03.jpg?202002-i_prefecture_active_userx", "■")</f>
        <v>■</v>
      </c>
      <c r="F493" s="1" t="s">
        <v>1200</v>
      </c>
      <c r="G493" s="1">
        <v>109259</v>
      </c>
      <c r="H493" s="1">
        <v>79151</v>
      </c>
      <c r="I493" s="1">
        <v>25</v>
      </c>
      <c r="J493" s="1" t="s">
        <v>10</v>
      </c>
      <c r="K493" s="1" t="s">
        <v>1201</v>
      </c>
      <c r="L493" s="1" t="s">
        <v>1202</v>
      </c>
      <c r="M493" s="1" t="s">
        <v>9158</v>
      </c>
      <c r="N493" s="1" t="s">
        <v>9158</v>
      </c>
      <c r="O493" s="1" t="s">
        <v>9158</v>
      </c>
      <c r="P493" s="1" t="s">
        <v>9158</v>
      </c>
      <c r="Q493" s="1" t="s">
        <v>9158</v>
      </c>
    </row>
    <row r="494" spans="1:18">
      <c r="A494" s="9">
        <v>54843</v>
      </c>
      <c r="B494" s="1" t="s">
        <v>334</v>
      </c>
      <c r="C494" s="9" t="s">
        <v>9236</v>
      </c>
      <c r="D494" s="20" t="s">
        <v>10938</v>
      </c>
      <c r="E494" s="15" t="str">
        <f>HYPERLINK("https://stat100.ameba.jp/tnk47/ratio20/illustrations/card/ill_54843_joteisenahime03.jpg?202002-i_prefecture_active_userx", "■")</f>
        <v>■</v>
      </c>
      <c r="F494" s="9" t="s">
        <v>9239</v>
      </c>
      <c r="G494" s="9">
        <v>75651</v>
      </c>
      <c r="H494" s="9">
        <v>103176</v>
      </c>
      <c r="I494" s="9">
        <v>25</v>
      </c>
      <c r="J494" s="1" t="s">
        <v>77</v>
      </c>
      <c r="K494" s="9" t="s">
        <v>9238</v>
      </c>
      <c r="L494" s="9" t="s">
        <v>9237</v>
      </c>
      <c r="M494" s="1" t="s">
        <v>9158</v>
      </c>
      <c r="N494" s="1" t="s">
        <v>9158</v>
      </c>
      <c r="O494" s="1" t="s">
        <v>9158</v>
      </c>
      <c r="P494" s="1" t="s">
        <v>9158</v>
      </c>
      <c r="Q494" s="1" t="s">
        <v>9158</v>
      </c>
    </row>
    <row r="495" spans="1:18">
      <c r="A495" s="1">
        <v>67963</v>
      </c>
      <c r="B495" s="1" t="s">
        <v>334</v>
      </c>
      <c r="C495" s="1" t="s">
        <v>203</v>
      </c>
      <c r="D495" s="20" t="s">
        <v>10307</v>
      </c>
      <c r="E495" s="15" t="str">
        <f>HYPERLINK("https://stat100.ameba.jp/tnk47/ratio20/illustrations/card/ill_67963_kinokuniyabunzaemon03.jpg?202002-i_prefecture_active_userx", "■")</f>
        <v>■</v>
      </c>
      <c r="F495" s="1" t="s">
        <v>825</v>
      </c>
      <c r="G495" s="1">
        <v>113463</v>
      </c>
      <c r="H495" s="1">
        <v>82205</v>
      </c>
      <c r="I495" s="1">
        <v>25</v>
      </c>
      <c r="J495" s="1" t="s">
        <v>414</v>
      </c>
      <c r="K495" s="1" t="s">
        <v>826</v>
      </c>
      <c r="L495" s="1" t="s">
        <v>827</v>
      </c>
      <c r="M495" s="1" t="s">
        <v>9158</v>
      </c>
      <c r="N495" s="1" t="s">
        <v>9158</v>
      </c>
      <c r="O495" s="1" t="s">
        <v>9158</v>
      </c>
      <c r="P495" s="1" t="s">
        <v>9158</v>
      </c>
      <c r="Q495" s="1" t="s">
        <v>9158</v>
      </c>
    </row>
    <row r="496" spans="1:18">
      <c r="E496" s="9"/>
    </row>
    <row r="497" spans="1:17">
      <c r="A497" s="9" t="s">
        <v>9232</v>
      </c>
      <c r="E497" s="9"/>
    </row>
    <row r="498" spans="1:17">
      <c r="A498" s="9" t="s">
        <v>9233</v>
      </c>
      <c r="E498" s="9"/>
    </row>
    <row r="499" spans="1:17">
      <c r="A499" s="1" t="s">
        <v>5605</v>
      </c>
      <c r="B499" s="1" t="s">
        <v>52</v>
      </c>
      <c r="C499" s="1" t="s">
        <v>202</v>
      </c>
      <c r="D499" s="20" t="s">
        <v>10332</v>
      </c>
      <c r="E499" s="15" t="str">
        <f>HYPERLINK("https://stat100.ameba.jp/tnk47/ratio20/illustrations/card/ill_79373_0_hommeichokotennyohime03.jpg?202002-i_prefecture_active_userx", "■")</f>
        <v>■</v>
      </c>
      <c r="F499" s="1" t="s">
        <v>3495</v>
      </c>
      <c r="G499" s="1">
        <v>296766</v>
      </c>
      <c r="H499" s="1">
        <v>268230</v>
      </c>
      <c r="I499" s="1">
        <v>24</v>
      </c>
      <c r="J499" s="1" t="s">
        <v>104</v>
      </c>
      <c r="K499" s="1" t="s">
        <v>3496</v>
      </c>
      <c r="L499" s="1" t="s">
        <v>3497</v>
      </c>
      <c r="M499" s="1" t="s">
        <v>9158</v>
      </c>
      <c r="N499" s="1" t="s">
        <v>9158</v>
      </c>
      <c r="O499" s="19" t="s">
        <v>10072</v>
      </c>
      <c r="P499" s="1" t="s">
        <v>3498</v>
      </c>
      <c r="Q499" s="1">
        <v>1</v>
      </c>
    </row>
    <row r="500" spans="1:17">
      <c r="A500" s="1">
        <v>77123</v>
      </c>
      <c r="B500" s="1" t="s">
        <v>334</v>
      </c>
      <c r="C500" s="1" t="s">
        <v>191</v>
      </c>
      <c r="D500" s="20" t="s">
        <v>10424</v>
      </c>
      <c r="E500" s="15" t="str">
        <f>HYPERLINK("https://stat100.ameba.jp/tnk47/ratio20/illustrations/card/ill_77123_yukemuriizuna03.jpg?202002-i_prefecture_active_userx", "■")</f>
        <v>■</v>
      </c>
      <c r="F500" s="1" t="s">
        <v>1377</v>
      </c>
      <c r="G500" s="1">
        <v>104162</v>
      </c>
      <c r="H500" s="1">
        <v>96871</v>
      </c>
      <c r="I500" s="1">
        <v>25</v>
      </c>
      <c r="J500" s="1" t="s">
        <v>320</v>
      </c>
      <c r="K500" s="1" t="s">
        <v>1378</v>
      </c>
      <c r="L500" s="1" t="s">
        <v>1379</v>
      </c>
      <c r="M500" s="1" t="s">
        <v>9158</v>
      </c>
      <c r="N500" s="1" t="s">
        <v>9158</v>
      </c>
      <c r="O500" s="19" t="s">
        <v>2838</v>
      </c>
      <c r="P500" s="1" t="s">
        <v>3579</v>
      </c>
      <c r="Q500" s="1">
        <v>1</v>
      </c>
    </row>
    <row r="501" spans="1:17">
      <c r="A501" s="1">
        <v>61433</v>
      </c>
      <c r="B501" s="1" t="s">
        <v>0</v>
      </c>
      <c r="C501" s="1" t="s">
        <v>23</v>
      </c>
      <c r="D501" s="20" t="s">
        <v>1582</v>
      </c>
      <c r="E501" s="15" t="str">
        <f>HYPERLINK("https://stat100.ameba.jp/tnk47/ratio20/illustrations/card/ill_61433_isehime03.jpg?202002-i_prefecture_active_userx", "■")</f>
        <v>■</v>
      </c>
      <c r="F501" s="1" t="s">
        <v>78</v>
      </c>
      <c r="G501" s="1">
        <v>109259</v>
      </c>
      <c r="H501" s="1">
        <v>79151</v>
      </c>
      <c r="I501" s="1">
        <v>25</v>
      </c>
      <c r="J501" s="1" t="s">
        <v>77</v>
      </c>
      <c r="K501" s="1" t="s">
        <v>75</v>
      </c>
      <c r="L501" s="1" t="s">
        <v>76</v>
      </c>
      <c r="M501" s="1" t="s">
        <v>9158</v>
      </c>
      <c r="N501" s="1" t="s">
        <v>9158</v>
      </c>
      <c r="O501" s="19" t="s">
        <v>2752</v>
      </c>
      <c r="P501" s="1" t="s">
        <v>13123</v>
      </c>
      <c r="Q501" s="1">
        <v>1</v>
      </c>
    </row>
    <row r="502" spans="1:17">
      <c r="A502" s="1">
        <v>62043</v>
      </c>
      <c r="B502" s="1" t="s">
        <v>0</v>
      </c>
      <c r="C502" s="1" t="s">
        <v>158</v>
      </c>
      <c r="D502" s="20" t="s">
        <v>10233</v>
      </c>
      <c r="E502" s="15" t="str">
        <f>HYPERLINK("https://stat100.ameba.jp/tnk47/ratio20/illustrations/card/ill_62043_niutsuhimenookami03.jpg?202002-i_prefecture_active_userx", "■")</f>
        <v>■</v>
      </c>
      <c r="F502" s="1" t="s">
        <v>2022</v>
      </c>
      <c r="G502" s="1">
        <v>82654</v>
      </c>
      <c r="H502" s="1">
        <v>114119</v>
      </c>
      <c r="I502" s="1">
        <v>25</v>
      </c>
      <c r="J502" s="1" t="s">
        <v>169</v>
      </c>
      <c r="K502" s="1" t="s">
        <v>2023</v>
      </c>
      <c r="L502" s="1" t="s">
        <v>13144</v>
      </c>
      <c r="M502" s="1" t="s">
        <v>9158</v>
      </c>
      <c r="N502" s="1" t="s">
        <v>9158</v>
      </c>
      <c r="O502" s="19" t="s">
        <v>10093</v>
      </c>
      <c r="P502" s="1" t="s">
        <v>13145</v>
      </c>
      <c r="Q502" s="1">
        <v>1</v>
      </c>
    </row>
    <row r="503" spans="1:17">
      <c r="E503" s="9"/>
    </row>
    <row r="504" spans="1:17">
      <c r="A504" s="9" t="s">
        <v>9240</v>
      </c>
      <c r="E504" s="9"/>
    </row>
    <row r="505" spans="1:17">
      <c r="A505" s="9" t="s">
        <v>9242</v>
      </c>
      <c r="E505" s="9"/>
    </row>
    <row r="506" spans="1:17">
      <c r="A506" s="9" t="s">
        <v>9241</v>
      </c>
      <c r="E506" s="9"/>
    </row>
    <row r="507" spans="1:17">
      <c r="A507" s="7" t="s">
        <v>8839</v>
      </c>
      <c r="B507" s="7" t="s">
        <v>52</v>
      </c>
      <c r="C507" s="7" t="s">
        <v>202</v>
      </c>
      <c r="D507" s="20" t="s">
        <v>10880</v>
      </c>
      <c r="E507" s="15" t="str">
        <f>HYPERLINK("https://stat100.ameba.jp/tnk47/ratio20/illustrations/card/ill_86273_0_oshogatsuniijimayae03.jpg?202002-i_prefecture_active_userx", "■")</f>
        <v>■</v>
      </c>
      <c r="F507" s="7" t="s">
        <v>8838</v>
      </c>
      <c r="G507" s="7">
        <v>219498</v>
      </c>
      <c r="H507" s="7">
        <v>242864</v>
      </c>
      <c r="I507" s="7">
        <v>20</v>
      </c>
      <c r="J507" s="1" t="s">
        <v>173</v>
      </c>
      <c r="K507" s="7" t="s">
        <v>8837</v>
      </c>
      <c r="L507" s="7" t="s">
        <v>13211</v>
      </c>
      <c r="M507" s="1" t="s">
        <v>9158</v>
      </c>
      <c r="N507" s="1" t="s">
        <v>9158</v>
      </c>
      <c r="O507" s="19" t="s">
        <v>10134</v>
      </c>
      <c r="P507" s="7" t="s">
        <v>8870</v>
      </c>
      <c r="Q507" s="7">
        <v>1</v>
      </c>
    </row>
    <row r="508" spans="1:17">
      <c r="A508" s="9">
        <v>86663</v>
      </c>
      <c r="B508" s="9" t="s">
        <v>9243</v>
      </c>
      <c r="C508" s="9" t="s">
        <v>9247</v>
      </c>
      <c r="D508" s="20" t="s">
        <v>10939</v>
      </c>
      <c r="E508" s="15" t="str">
        <f>HYPERLINK("https://stat100.ameba.jp/tnk47/ratio20/illustrations/card/ill_86663_darumaichitsukimizakechan03.jpg?202002-i_prefecture_active_userx", "■")</f>
        <v>■</v>
      </c>
      <c r="F508" s="9" t="s">
        <v>9258</v>
      </c>
      <c r="G508" s="9">
        <v>114176</v>
      </c>
      <c r="H508" s="9">
        <v>122786</v>
      </c>
      <c r="I508" s="9">
        <v>26</v>
      </c>
      <c r="J508" s="9" t="s">
        <v>9252</v>
      </c>
      <c r="K508" s="9" t="s">
        <v>9257</v>
      </c>
      <c r="L508" s="9" t="s">
        <v>9256</v>
      </c>
      <c r="M508" s="1" t="s">
        <v>9158</v>
      </c>
      <c r="N508" s="1" t="s">
        <v>9158</v>
      </c>
      <c r="O508" s="1" t="s">
        <v>9158</v>
      </c>
      <c r="P508" s="1" t="s">
        <v>9158</v>
      </c>
      <c r="Q508" s="1" t="s">
        <v>9158</v>
      </c>
    </row>
    <row r="509" spans="1:17">
      <c r="A509" s="9">
        <v>86673</v>
      </c>
      <c r="B509" s="9" t="s">
        <v>9243</v>
      </c>
      <c r="C509" s="9" t="s">
        <v>9248</v>
      </c>
      <c r="D509" s="20" t="s">
        <v>10940</v>
      </c>
      <c r="E509" s="15" t="str">
        <f>HYPERLINK("https://stat100.ameba.jp/tnk47/ratio20/illustrations/card/ill_86673_shogatsunisenjunanayamakawatomiko03.jpg?202002-i_prefecture_active_userx", "■")</f>
        <v>■</v>
      </c>
      <c r="F509" s="9" t="s">
        <v>9261</v>
      </c>
      <c r="G509" s="9">
        <v>101558</v>
      </c>
      <c r="H509" s="9">
        <v>94390</v>
      </c>
      <c r="I509" s="9">
        <v>26</v>
      </c>
      <c r="J509" s="9" t="s">
        <v>9253</v>
      </c>
      <c r="K509" s="9" t="s">
        <v>9260</v>
      </c>
      <c r="L509" s="9" t="s">
        <v>9259</v>
      </c>
      <c r="M509" s="1" t="s">
        <v>9158</v>
      </c>
      <c r="N509" s="1" t="s">
        <v>9158</v>
      </c>
      <c r="O509" s="1" t="s">
        <v>9158</v>
      </c>
      <c r="P509" s="1" t="s">
        <v>9158</v>
      </c>
      <c r="Q509" s="1" t="s">
        <v>9158</v>
      </c>
    </row>
    <row r="510" spans="1:17">
      <c r="A510" s="9">
        <v>86683</v>
      </c>
      <c r="B510" s="9" t="s">
        <v>9244</v>
      </c>
      <c r="C510" s="9" t="s">
        <v>9249</v>
      </c>
      <c r="D510" s="20" t="s">
        <v>10941</v>
      </c>
      <c r="E510" s="15" t="str">
        <f>HYPERLINK("https://stat100.ameba.jp/tnk47/ratio20/illustrations/card/ill_86683_takaodaimyojin03.jpg?202002-i_prefecture_active_userx", "■")</f>
        <v>■</v>
      </c>
      <c r="F510" s="9" t="s">
        <v>9264</v>
      </c>
      <c r="G510" s="9">
        <v>69898</v>
      </c>
      <c r="H510" s="9">
        <v>77064</v>
      </c>
      <c r="I510" s="9">
        <v>26</v>
      </c>
      <c r="J510" s="9" t="s">
        <v>9254</v>
      </c>
      <c r="K510" s="9" t="s">
        <v>9263</v>
      </c>
      <c r="L510" s="9" t="s">
        <v>9262</v>
      </c>
      <c r="M510" s="1" t="s">
        <v>9158</v>
      </c>
      <c r="N510" s="1" t="s">
        <v>9158</v>
      </c>
      <c r="O510" s="1" t="s">
        <v>9158</v>
      </c>
      <c r="P510" s="1" t="s">
        <v>9158</v>
      </c>
      <c r="Q510" s="1" t="s">
        <v>9158</v>
      </c>
    </row>
    <row r="511" spans="1:17">
      <c r="A511" s="9">
        <v>86693</v>
      </c>
      <c r="B511" s="9" t="s">
        <v>9245</v>
      </c>
      <c r="C511" s="9" t="s">
        <v>9250</v>
      </c>
      <c r="D511" s="20" t="s">
        <v>10942</v>
      </c>
      <c r="E511" s="15" t="str">
        <f>HYPERLINK("https://stat100.ameba.jp/tnk47/ratio20/illustrations/card/ill_86693_azuminoisora03.jpg?202002-i_prefecture_active_userx", "■")</f>
        <v>■</v>
      </c>
      <c r="F511" s="9" t="s">
        <v>9267</v>
      </c>
      <c r="G511" s="9">
        <v>54058</v>
      </c>
      <c r="H511" s="9">
        <v>44948</v>
      </c>
      <c r="I511" s="9">
        <v>26</v>
      </c>
      <c r="J511" s="9" t="s">
        <v>9254</v>
      </c>
      <c r="K511" s="9" t="s">
        <v>9266</v>
      </c>
      <c r="L511" s="9" t="s">
        <v>9265</v>
      </c>
      <c r="M511" s="1" t="s">
        <v>9158</v>
      </c>
      <c r="N511" s="1" t="s">
        <v>9158</v>
      </c>
      <c r="O511" s="1" t="s">
        <v>9158</v>
      </c>
      <c r="P511" s="1" t="s">
        <v>9158</v>
      </c>
      <c r="Q511" s="1" t="s">
        <v>9158</v>
      </c>
    </row>
    <row r="512" spans="1:17">
      <c r="A512" s="9">
        <v>86703</v>
      </c>
      <c r="B512" s="9" t="s">
        <v>9246</v>
      </c>
      <c r="C512" s="9" t="s">
        <v>9251</v>
      </c>
      <c r="D512" s="20" t="s">
        <v>10943</v>
      </c>
      <c r="E512" s="15" t="str">
        <f>HYPERLINK("https://stat100.ameba.jp/tnk47/ratio20/illustrations/card/ill_86703_fudematsuri03.jpg?202002-i_prefecture_active_userx", "■")</f>
        <v>■</v>
      </c>
      <c r="F512" s="9" t="s">
        <v>9270</v>
      </c>
      <c r="G512" s="9">
        <v>32728</v>
      </c>
      <c r="H512" s="9">
        <v>32728</v>
      </c>
      <c r="I512" s="9">
        <v>26</v>
      </c>
      <c r="J512" s="9" t="s">
        <v>9255</v>
      </c>
      <c r="K512" s="9" t="s">
        <v>9269</v>
      </c>
      <c r="L512" s="9" t="s">
        <v>9268</v>
      </c>
      <c r="M512" s="1" t="s">
        <v>9158</v>
      </c>
      <c r="N512" s="1" t="s">
        <v>9158</v>
      </c>
      <c r="O512" s="1" t="s">
        <v>9158</v>
      </c>
      <c r="P512" s="1" t="s">
        <v>9158</v>
      </c>
      <c r="Q512" s="1" t="s">
        <v>9158</v>
      </c>
    </row>
    <row r="513" spans="1:17">
      <c r="E513" s="9"/>
    </row>
    <row r="514" spans="1:17">
      <c r="A514" s="7" t="s">
        <v>204</v>
      </c>
      <c r="B514" s="7"/>
      <c r="C514" s="7"/>
      <c r="D514" s="7"/>
      <c r="E514" s="7"/>
      <c r="F514" s="7"/>
      <c r="G514" s="7"/>
      <c r="H514" s="7"/>
      <c r="I514" s="7"/>
      <c r="J514" s="7"/>
      <c r="K514" s="7"/>
      <c r="L514" s="7"/>
      <c r="M514" s="7"/>
      <c r="N514" s="7"/>
      <c r="O514" s="7"/>
      <c r="P514" s="7"/>
      <c r="Q514" s="7"/>
    </row>
    <row r="515" spans="1:17">
      <c r="A515" s="7" t="s">
        <v>3417</v>
      </c>
      <c r="B515" s="7"/>
      <c r="C515" s="7"/>
      <c r="D515" s="7"/>
      <c r="E515" s="7"/>
      <c r="F515" s="7"/>
      <c r="G515" s="7"/>
      <c r="H515" s="7"/>
      <c r="I515" s="7"/>
      <c r="J515" s="7"/>
      <c r="K515" s="7"/>
      <c r="L515" s="7"/>
      <c r="M515" s="7"/>
      <c r="N515" s="7"/>
      <c r="O515" s="7"/>
      <c r="P515" s="7"/>
      <c r="Q515" s="7"/>
    </row>
    <row r="516" spans="1:17">
      <c r="A516" s="1" t="s">
        <v>6195</v>
      </c>
      <c r="B516" s="1" t="s">
        <v>52</v>
      </c>
      <c r="C516" s="1" t="s">
        <v>191</v>
      </c>
      <c r="D516" s="20" t="s">
        <v>10217</v>
      </c>
      <c r="E516" s="15" t="str">
        <f>HYPERLINK("https://stat100.ameba.jp/tnk47/ratio20/illustrations/card/ill_56493_0_poppukurisumasuikomakitsuno03.jpg?202002-i_prefecture_active_userx", "■")</f>
        <v>■</v>
      </c>
      <c r="F516" s="1" t="s">
        <v>1769</v>
      </c>
      <c r="G516" s="1">
        <v>138212</v>
      </c>
      <c r="H516" s="1">
        <v>122776</v>
      </c>
      <c r="I516" s="1">
        <v>22</v>
      </c>
      <c r="J516" s="1" t="s">
        <v>77</v>
      </c>
      <c r="K516" s="1" t="s">
        <v>1770</v>
      </c>
      <c r="L516" s="1" t="s">
        <v>1771</v>
      </c>
      <c r="M516" s="1" t="s">
        <v>9158</v>
      </c>
      <c r="N516" s="1" t="s">
        <v>9158</v>
      </c>
      <c r="O516" s="19" t="s">
        <v>10120</v>
      </c>
      <c r="P516" s="1" t="s">
        <v>2724</v>
      </c>
      <c r="Q516" s="1">
        <v>1</v>
      </c>
    </row>
    <row r="517" spans="1:17">
      <c r="A517" s="1" t="s">
        <v>5620</v>
      </c>
      <c r="B517" s="1" t="s">
        <v>330</v>
      </c>
      <c r="C517" s="1" t="s">
        <v>206</v>
      </c>
      <c r="D517" s="20" t="s">
        <v>669</v>
      </c>
      <c r="E517" s="15" t="str">
        <f>HYPERLINK("https://stat100.ameba.jp/tnk47/ratio20/illustrations/card/ill_67173_0_yukemuriawamorichan03.jpg?202002-i_prefecture_active_userx", "■")</f>
        <v>■</v>
      </c>
      <c r="F517" s="1" t="s">
        <v>670</v>
      </c>
      <c r="G517" s="1">
        <v>169032</v>
      </c>
      <c r="H517" s="1">
        <v>157150</v>
      </c>
      <c r="I517" s="1">
        <v>22</v>
      </c>
      <c r="J517" s="1" t="s">
        <v>283</v>
      </c>
      <c r="K517" s="1" t="s">
        <v>671</v>
      </c>
      <c r="L517" s="1" t="s">
        <v>672</v>
      </c>
      <c r="M517" s="1" t="s">
        <v>9158</v>
      </c>
      <c r="N517" s="1" t="s">
        <v>9158</v>
      </c>
      <c r="O517" s="19" t="s">
        <v>10087</v>
      </c>
      <c r="P517" s="1" t="s">
        <v>3455</v>
      </c>
      <c r="Q517" s="1">
        <v>1</v>
      </c>
    </row>
    <row r="518" spans="1:17">
      <c r="A518" s="1" t="s">
        <v>5608</v>
      </c>
      <c r="B518" s="1" t="s">
        <v>52</v>
      </c>
      <c r="C518" s="1" t="s">
        <v>96</v>
      </c>
      <c r="D518" s="20" t="s">
        <v>634</v>
      </c>
      <c r="E518" s="15" t="str">
        <f>HYPERLINK("https://stat100.ameba.jp/tnk47/ratio20/illustrations/card/ill_40963_0_makami03.jpg?202002-i_prefecture_active_userx", "■")</f>
        <v>■</v>
      </c>
      <c r="F518" s="1" t="s">
        <v>2038</v>
      </c>
      <c r="G518" s="1">
        <v>128744</v>
      </c>
      <c r="H518" s="1">
        <v>120576</v>
      </c>
      <c r="I518" s="1">
        <v>22</v>
      </c>
      <c r="J518" s="1" t="s">
        <v>44</v>
      </c>
      <c r="K518" s="1" t="s">
        <v>2039</v>
      </c>
      <c r="L518" s="1" t="s">
        <v>2040</v>
      </c>
      <c r="M518" s="1" t="s">
        <v>9158</v>
      </c>
      <c r="N518" s="1" t="s">
        <v>9158</v>
      </c>
      <c r="O518" s="1" t="s">
        <v>9158</v>
      </c>
      <c r="P518" s="1" t="s">
        <v>9158</v>
      </c>
      <c r="Q518" s="1" t="s">
        <v>9158</v>
      </c>
    </row>
    <row r="519" spans="1:17">
      <c r="A519" s="1">
        <v>82193</v>
      </c>
      <c r="B519" s="1" t="s">
        <v>334</v>
      </c>
      <c r="C519" s="1" t="s">
        <v>206</v>
      </c>
      <c r="D519" s="20" t="s">
        <v>10275</v>
      </c>
      <c r="E519" s="15" t="str">
        <f>HYPERLINK("https://stat100.ameba.jp/tnk47/ratio20/illustrations/card/ill_82193_tsuyuromantatsukuchinawa03.jpg?202002-i_prefecture_active_userx", "■")</f>
        <v>■</v>
      </c>
      <c r="F519" s="1" t="s">
        <v>9274</v>
      </c>
      <c r="G519" s="1">
        <v>190884</v>
      </c>
      <c r="H519" s="1">
        <v>107392</v>
      </c>
      <c r="I519" s="1">
        <v>26</v>
      </c>
      <c r="J519" s="1" t="s">
        <v>9271</v>
      </c>
      <c r="K519" s="1" t="s">
        <v>9273</v>
      </c>
      <c r="L519" s="1" t="s">
        <v>9272</v>
      </c>
      <c r="M519" s="1" t="s">
        <v>9158</v>
      </c>
      <c r="N519" s="1" t="s">
        <v>9158</v>
      </c>
      <c r="O519" s="1" t="s">
        <v>9158</v>
      </c>
      <c r="P519" s="1" t="s">
        <v>9158</v>
      </c>
      <c r="Q519" s="1" t="s">
        <v>9158</v>
      </c>
    </row>
    <row r="520" spans="1:17">
      <c r="A520" s="1">
        <v>60213</v>
      </c>
      <c r="B520" s="1" t="s">
        <v>334</v>
      </c>
      <c r="C520" s="1" t="s">
        <v>191</v>
      </c>
      <c r="D520" s="20" t="s">
        <v>10944</v>
      </c>
      <c r="E520" s="15" t="str">
        <f>HYPERLINK("https://stat100.ameba.jp/tnk47/ratio20/illustrations/card/ill_60213_nonakachiyoko03.jpg?202002-i_prefecture_active_userx", "■")</f>
        <v>■</v>
      </c>
      <c r="F520" s="1" t="s">
        <v>9277</v>
      </c>
      <c r="G520" s="1">
        <v>118000</v>
      </c>
      <c r="H520" s="1">
        <v>85492</v>
      </c>
      <c r="I520" s="1">
        <v>26</v>
      </c>
      <c r="J520" s="1" t="s">
        <v>159</v>
      </c>
      <c r="K520" s="1" t="s">
        <v>9276</v>
      </c>
      <c r="L520" s="1" t="s">
        <v>9275</v>
      </c>
      <c r="M520" s="1" t="s">
        <v>9158</v>
      </c>
      <c r="N520" s="1" t="s">
        <v>9158</v>
      </c>
      <c r="O520" s="1" t="s">
        <v>9158</v>
      </c>
      <c r="P520" s="1" t="s">
        <v>9158</v>
      </c>
      <c r="Q520" s="1" t="s">
        <v>9158</v>
      </c>
    </row>
    <row r="521" spans="1:17">
      <c r="A521" s="1">
        <v>69803</v>
      </c>
      <c r="B521" s="1" t="s">
        <v>334</v>
      </c>
      <c r="C521" s="1" t="s">
        <v>96</v>
      </c>
      <c r="D521" s="20" t="s">
        <v>10621</v>
      </c>
      <c r="E521" s="15" t="str">
        <f>HYPERLINK("https://stat100.ameba.jp/tnk47/ratio20/illustrations/card/ill_69803_bummeikaikahatsumenotsubone03.jpg?202002-i_prefecture_active_userx", "■")</f>
        <v>■</v>
      </c>
      <c r="F521" s="1" t="s">
        <v>9280</v>
      </c>
      <c r="G521" s="1">
        <v>101558</v>
      </c>
      <c r="H521" s="1">
        <v>94390</v>
      </c>
      <c r="I521" s="1">
        <v>26</v>
      </c>
      <c r="J521" s="1" t="s">
        <v>77</v>
      </c>
      <c r="K521" s="1" t="s">
        <v>9279</v>
      </c>
      <c r="L521" s="1" t="s">
        <v>9278</v>
      </c>
      <c r="M521" s="1" t="s">
        <v>9158</v>
      </c>
      <c r="N521" s="1" t="s">
        <v>9158</v>
      </c>
      <c r="O521" s="1" t="s">
        <v>9158</v>
      </c>
      <c r="P521" s="1" t="s">
        <v>9158</v>
      </c>
      <c r="Q521" s="1" t="s">
        <v>9158</v>
      </c>
    </row>
    <row r="522" spans="1:17">
      <c r="A522" s="1">
        <v>75803</v>
      </c>
      <c r="B522" s="1" t="s">
        <v>15</v>
      </c>
      <c r="C522" s="1" t="s">
        <v>185</v>
      </c>
      <c r="D522" s="20" t="s">
        <v>10462</v>
      </c>
      <c r="E522" s="15" t="str">
        <f>HYPERLINK("https://stat100.ameba.jp/tnk47/ratio20/illustrations/card/ill_75803_hasekuratsunenaga03.jpg?202002-i_prefecture_active_userx", "■")</f>
        <v>■</v>
      </c>
      <c r="F522" s="1" t="s">
        <v>6063</v>
      </c>
      <c r="G522" s="1">
        <v>77064</v>
      </c>
      <c r="H522" s="1">
        <v>69898</v>
      </c>
      <c r="I522" s="1">
        <v>26</v>
      </c>
      <c r="J522" s="1" t="s">
        <v>159</v>
      </c>
      <c r="K522" s="1" t="s">
        <v>6065</v>
      </c>
      <c r="L522" s="1" t="s">
        <v>13200</v>
      </c>
      <c r="M522" s="1" t="s">
        <v>9158</v>
      </c>
      <c r="N522" s="1" t="s">
        <v>9158</v>
      </c>
      <c r="O522" s="1" t="s">
        <v>9158</v>
      </c>
      <c r="P522" s="1" t="s">
        <v>9158</v>
      </c>
      <c r="Q522" s="1" t="s">
        <v>9158</v>
      </c>
    </row>
    <row r="523" spans="1:17">
      <c r="A523" s="1">
        <v>56283</v>
      </c>
      <c r="B523" s="1" t="s">
        <v>15</v>
      </c>
      <c r="C523" s="1" t="s">
        <v>200</v>
      </c>
      <c r="D523" s="20" t="s">
        <v>10893</v>
      </c>
      <c r="E523" s="15" t="str">
        <f>HYPERLINK("https://stat100.ameba.jp/tnk47/ratio20/illustrations/card/ill_56283_miritarimizugishirotsubakinosei03.jpg?202002-i_prefecture_active_userx", "■")</f>
        <v>■</v>
      </c>
      <c r="F523" s="1" t="s">
        <v>8887</v>
      </c>
      <c r="G523" s="1">
        <v>77064</v>
      </c>
      <c r="H523" s="1">
        <v>69898</v>
      </c>
      <c r="I523" s="1">
        <v>26</v>
      </c>
      <c r="J523" s="1" t="s">
        <v>274</v>
      </c>
      <c r="K523" s="1" t="s">
        <v>8886</v>
      </c>
      <c r="L523" s="1" t="s">
        <v>1702</v>
      </c>
      <c r="M523" s="1" t="s">
        <v>9158</v>
      </c>
      <c r="N523" s="1" t="s">
        <v>9158</v>
      </c>
      <c r="O523" s="1" t="s">
        <v>9158</v>
      </c>
      <c r="P523" s="1" t="s">
        <v>9158</v>
      </c>
      <c r="Q523" s="1" t="s">
        <v>9158</v>
      </c>
    </row>
    <row r="524" spans="1:17">
      <c r="A524" s="1">
        <v>49243</v>
      </c>
      <c r="B524" s="1" t="s">
        <v>15</v>
      </c>
      <c r="C524" s="1" t="s">
        <v>205</v>
      </c>
      <c r="D524" s="20" t="s">
        <v>10894</v>
      </c>
      <c r="E524" s="15" t="str">
        <f>HYPERLINK("https://stat100.ameba.jp/tnk47/ratio20/illustrations/card/ill_49243_kanfukatsurakogorou03.jpg?202002-i_prefecture_active_userx", "■")</f>
        <v>■</v>
      </c>
      <c r="F524" s="1" t="s">
        <v>8890</v>
      </c>
      <c r="G524" s="1">
        <v>77064</v>
      </c>
      <c r="H524" s="1">
        <v>69898</v>
      </c>
      <c r="I524" s="1">
        <v>26</v>
      </c>
      <c r="J524" s="1" t="s">
        <v>10</v>
      </c>
      <c r="K524" s="1" t="s">
        <v>8889</v>
      </c>
      <c r="L524" s="1" t="s">
        <v>8888</v>
      </c>
      <c r="M524" s="1" t="s">
        <v>9158</v>
      </c>
      <c r="N524" s="1" t="s">
        <v>9158</v>
      </c>
      <c r="O524" s="1" t="s">
        <v>9158</v>
      </c>
      <c r="P524" s="1" t="s">
        <v>9158</v>
      </c>
      <c r="Q524" s="1" t="s">
        <v>9158</v>
      </c>
    </row>
    <row r="525" spans="1:17">
      <c r="E525" s="9"/>
    </row>
    <row r="526" spans="1:17">
      <c r="A526" s="9" t="s">
        <v>9281</v>
      </c>
      <c r="E526" s="9"/>
    </row>
    <row r="527" spans="1:17">
      <c r="A527" s="9" t="s">
        <v>9282</v>
      </c>
      <c r="E527" s="9"/>
    </row>
    <row r="528" spans="1:17">
      <c r="A528" s="1" t="s">
        <v>5843</v>
      </c>
      <c r="B528" s="1" t="s">
        <v>52</v>
      </c>
      <c r="C528" s="1" t="s">
        <v>202</v>
      </c>
      <c r="D528" s="20" t="s">
        <v>10291</v>
      </c>
      <c r="E528" s="15" t="str">
        <f>HYPERLINK("https://stat100.ameba.jp/tnk47/ratio20/illustrations/card/ill_77963_0_kurisumasudaisakusentakiyashahime03.jpg?202002-i_prefecture_active_userx", "■")</f>
        <v>■</v>
      </c>
      <c r="F528" s="1" t="s">
        <v>2127</v>
      </c>
      <c r="G528" s="1">
        <v>294746</v>
      </c>
      <c r="H528" s="1">
        <v>266388</v>
      </c>
      <c r="I528" s="1">
        <v>24</v>
      </c>
      <c r="J528" s="1" t="s">
        <v>77</v>
      </c>
      <c r="K528" s="1" t="s">
        <v>2128</v>
      </c>
      <c r="L528" s="1" t="s">
        <v>2129</v>
      </c>
      <c r="M528" s="1" t="s">
        <v>9158</v>
      </c>
      <c r="N528" s="1" t="s">
        <v>9158</v>
      </c>
      <c r="O528" s="19" t="s">
        <v>10107</v>
      </c>
      <c r="P528" s="1" t="s">
        <v>3589</v>
      </c>
      <c r="Q528" s="1">
        <v>2</v>
      </c>
    </row>
    <row r="529" spans="1:18">
      <c r="A529" s="1">
        <v>81743</v>
      </c>
      <c r="B529" s="1" t="s">
        <v>334</v>
      </c>
      <c r="C529" s="1" t="s">
        <v>107</v>
      </c>
      <c r="D529" s="20" t="s">
        <v>10171</v>
      </c>
      <c r="E529" s="15" t="str">
        <f>HYPERLINK("https://stat100.ameba.jp/tnk47/ratio20/illustrations/card/ill_81743_denshagarusakyogabashinohebi03.jpg?202002-i_prefecture_active_userx", "■")</f>
        <v>■</v>
      </c>
      <c r="F529" s="1" t="s">
        <v>4853</v>
      </c>
      <c r="G529" s="1">
        <v>109528</v>
      </c>
      <c r="H529" s="1">
        <v>101656</v>
      </c>
      <c r="I529" s="1">
        <v>24</v>
      </c>
      <c r="J529" s="1" t="s">
        <v>38</v>
      </c>
      <c r="K529" s="1" t="s">
        <v>4855</v>
      </c>
      <c r="L529" s="1" t="s">
        <v>4856</v>
      </c>
      <c r="M529" s="1" t="s">
        <v>9158</v>
      </c>
      <c r="N529" s="1" t="s">
        <v>9158</v>
      </c>
      <c r="O529" s="19" t="s">
        <v>10091</v>
      </c>
      <c r="P529" s="1" t="s">
        <v>3670</v>
      </c>
      <c r="Q529" s="1">
        <v>1</v>
      </c>
    </row>
    <row r="530" spans="1:18">
      <c r="A530" s="1">
        <v>72193</v>
      </c>
      <c r="B530" s="1" t="s">
        <v>334</v>
      </c>
      <c r="C530" s="1" t="s">
        <v>165</v>
      </c>
      <c r="D530" s="20" t="s">
        <v>3112</v>
      </c>
      <c r="E530" s="15" t="str">
        <f>HYPERLINK("https://stat100.ameba.jp/tnk47/ratio20/illustrations/card/ill_72193_koinoborikomyokogo03.jpg?202002-i_prefecture_active_userx", "■")</f>
        <v>■</v>
      </c>
      <c r="F530" s="1" t="s">
        <v>2539</v>
      </c>
      <c r="G530" s="1">
        <v>93746</v>
      </c>
      <c r="H530" s="1">
        <v>87128</v>
      </c>
      <c r="I530" s="1">
        <v>24</v>
      </c>
      <c r="J530" s="1" t="s">
        <v>10</v>
      </c>
      <c r="K530" s="1" t="s">
        <v>2540</v>
      </c>
      <c r="L530" s="1" t="s">
        <v>60</v>
      </c>
      <c r="M530" s="1" t="s">
        <v>9158</v>
      </c>
      <c r="N530" s="1" t="s">
        <v>9158</v>
      </c>
      <c r="O530" s="19" t="s">
        <v>10090</v>
      </c>
      <c r="P530" s="1" t="s">
        <v>3460</v>
      </c>
      <c r="Q530" s="1">
        <v>1</v>
      </c>
    </row>
    <row r="531" spans="1:18">
      <c r="A531" s="1">
        <v>67103</v>
      </c>
      <c r="B531" s="1" t="s">
        <v>334</v>
      </c>
      <c r="C531" s="1" t="s">
        <v>154</v>
      </c>
      <c r="D531" s="20" t="s">
        <v>10253</v>
      </c>
      <c r="E531" s="15" t="str">
        <f>HYPERLINK("https://stat100.ameba.jp/tnk47/ratio20/illustrations/card/ill_67103_ankonabe03.jpg?202002-i_prefecture_active_userx", "■")</f>
        <v>■</v>
      </c>
      <c r="F531" s="1" t="s">
        <v>1283</v>
      </c>
      <c r="G531" s="1">
        <v>91876</v>
      </c>
      <c r="H531" s="1">
        <v>126858</v>
      </c>
      <c r="I531" s="1">
        <v>24</v>
      </c>
      <c r="J531" s="1" t="s">
        <v>216</v>
      </c>
      <c r="K531" s="1" t="s">
        <v>1284</v>
      </c>
      <c r="L531" s="1" t="s">
        <v>13153</v>
      </c>
      <c r="M531" s="1" t="s">
        <v>9158</v>
      </c>
      <c r="N531" s="1" t="s">
        <v>9158</v>
      </c>
      <c r="O531" s="19" t="s">
        <v>4074</v>
      </c>
      <c r="P531" s="1" t="s">
        <v>3462</v>
      </c>
      <c r="Q531" s="1">
        <v>1</v>
      </c>
    </row>
    <row r="532" spans="1:18">
      <c r="E532" s="9"/>
    </row>
    <row r="533" spans="1:18">
      <c r="A533" s="1" t="s">
        <v>13326</v>
      </c>
      <c r="B533" s="1"/>
      <c r="C533" s="1"/>
      <c r="D533" s="1"/>
      <c r="F533" s="1"/>
      <c r="G533" s="1"/>
      <c r="H533" s="1"/>
      <c r="I533" s="1"/>
      <c r="J533" s="1"/>
      <c r="K533" s="1"/>
      <c r="L533" s="1"/>
      <c r="M533" s="1"/>
      <c r="N533" s="1"/>
      <c r="O533" s="1"/>
      <c r="P533" s="1"/>
      <c r="Q533" s="1"/>
      <c r="R533" s="1"/>
    </row>
    <row r="534" spans="1:18">
      <c r="A534" s="1" t="s">
        <v>3407</v>
      </c>
      <c r="B534" s="1"/>
      <c r="C534" s="1"/>
      <c r="D534" s="1"/>
      <c r="F534" s="1"/>
      <c r="G534" s="1"/>
      <c r="H534" s="1"/>
      <c r="I534" s="1"/>
      <c r="J534" s="1"/>
      <c r="K534" s="1"/>
      <c r="L534" s="1"/>
      <c r="M534" s="1"/>
      <c r="N534" s="1"/>
      <c r="O534" s="1"/>
      <c r="P534" s="1"/>
      <c r="Q534" s="1"/>
      <c r="R534" s="1"/>
    </row>
    <row r="535" spans="1:18">
      <c r="A535" s="1">
        <v>70073</v>
      </c>
      <c r="B535" s="1" t="s">
        <v>334</v>
      </c>
      <c r="C535" s="1" t="s">
        <v>185</v>
      </c>
      <c r="D535" s="20" t="s">
        <v>859</v>
      </c>
      <c r="E535" s="15" t="str">
        <f>HYPERLINK("https://stat100.ameba.jp/tnk47/ratio20/illustrations/card/ill_70073_muhime03.jpg?202002-i_prefecture_active_userx", "■")</f>
        <v>■</v>
      </c>
      <c r="F535" s="1" t="s">
        <v>5846</v>
      </c>
      <c r="G535" s="1">
        <v>119006</v>
      </c>
      <c r="H535" s="1">
        <v>128000</v>
      </c>
      <c r="I535" s="1">
        <v>26</v>
      </c>
      <c r="J535" s="1" t="s">
        <v>315</v>
      </c>
      <c r="K535" s="1" t="s">
        <v>861</v>
      </c>
      <c r="L535" s="1" t="s">
        <v>862</v>
      </c>
      <c r="M535" s="1" t="s">
        <v>250</v>
      </c>
      <c r="N535" s="1" t="s">
        <v>251</v>
      </c>
      <c r="O535" s="1" t="s">
        <v>9158</v>
      </c>
      <c r="P535" s="1" t="s">
        <v>9158</v>
      </c>
      <c r="Q535" s="1" t="s">
        <v>9158</v>
      </c>
      <c r="R535" s="14"/>
    </row>
    <row r="536" spans="1:18">
      <c r="A536" s="1">
        <v>70072</v>
      </c>
      <c r="B536" s="1" t="s">
        <v>334</v>
      </c>
      <c r="C536" s="1" t="s">
        <v>185</v>
      </c>
      <c r="D536" s="20" t="s">
        <v>859</v>
      </c>
      <c r="E536" s="15" t="str">
        <f>HYPERLINK("https://stat100.ameba.jp/tnk47/ratio20/illustrations/card/ill_70072_muhime02.jpg?202002-i_prefecture_active_userx", "■")</f>
        <v>■</v>
      </c>
      <c r="F536" s="1" t="s">
        <v>860</v>
      </c>
      <c r="G536" s="1">
        <v>98566</v>
      </c>
      <c r="H536" s="1">
        <v>107000</v>
      </c>
      <c r="I536" s="1">
        <v>26</v>
      </c>
      <c r="J536" s="1" t="s">
        <v>315</v>
      </c>
      <c r="K536" s="1" t="s">
        <v>861</v>
      </c>
      <c r="L536" s="1" t="s">
        <v>862</v>
      </c>
      <c r="M536" s="1" t="s">
        <v>250</v>
      </c>
      <c r="N536" s="1" t="s">
        <v>251</v>
      </c>
      <c r="O536" s="1" t="s">
        <v>9158</v>
      </c>
      <c r="P536" s="1" t="s">
        <v>9158</v>
      </c>
      <c r="Q536" s="1" t="s">
        <v>9158</v>
      </c>
      <c r="R536" s="14"/>
    </row>
    <row r="537" spans="1:18">
      <c r="A537" s="1">
        <v>70071</v>
      </c>
      <c r="B537" s="1" t="s">
        <v>334</v>
      </c>
      <c r="C537" s="1" t="s">
        <v>185</v>
      </c>
      <c r="D537" s="20" t="s">
        <v>859</v>
      </c>
      <c r="E537" s="15" t="str">
        <f>HYPERLINK("https://stat100.ameba.jp/tnk47/ratio20/illustrations/card/ill_70071_muhime01.jpg?202002-i_prefecture_active_userx", "■")</f>
        <v>■</v>
      </c>
      <c r="F537" s="1" t="s">
        <v>860</v>
      </c>
      <c r="G537" s="1">
        <v>76050</v>
      </c>
      <c r="H537" s="1">
        <v>81692</v>
      </c>
      <c r="I537" s="1">
        <v>26</v>
      </c>
      <c r="J537" s="1" t="s">
        <v>315</v>
      </c>
      <c r="K537" s="1" t="s">
        <v>861</v>
      </c>
      <c r="L537" s="1" t="s">
        <v>862</v>
      </c>
      <c r="M537" s="1" t="s">
        <v>250</v>
      </c>
      <c r="N537" s="1" t="s">
        <v>251</v>
      </c>
      <c r="O537" s="1" t="s">
        <v>9158</v>
      </c>
      <c r="P537" s="1" t="s">
        <v>9158</v>
      </c>
      <c r="Q537" s="1" t="s">
        <v>9158</v>
      </c>
      <c r="R537" s="14"/>
    </row>
    <row r="538" spans="1:18">
      <c r="A538" s="1">
        <v>70083</v>
      </c>
      <c r="B538" s="1" t="s">
        <v>334</v>
      </c>
      <c r="C538" s="1" t="s">
        <v>200</v>
      </c>
      <c r="D538" s="20" t="s">
        <v>10212</v>
      </c>
      <c r="E538" s="15" t="str">
        <f>HYPERLINK("https://stat100.ameba.jp/tnk47/ratio20/illustrations/card/ill_70083_kimurakaishu03.jpg?202002-i_prefecture_active_userx", "■")</f>
        <v>■</v>
      </c>
      <c r="F538" s="1" t="s">
        <v>863</v>
      </c>
      <c r="G538" s="1">
        <v>128000</v>
      </c>
      <c r="H538" s="1">
        <v>119006</v>
      </c>
      <c r="I538" s="1">
        <v>26</v>
      </c>
      <c r="J538" s="1" t="s">
        <v>173</v>
      </c>
      <c r="K538" s="1" t="s">
        <v>257</v>
      </c>
      <c r="L538" s="1" t="s">
        <v>9897</v>
      </c>
      <c r="M538" s="1" t="s">
        <v>250</v>
      </c>
      <c r="N538" s="1" t="s">
        <v>251</v>
      </c>
      <c r="O538" s="1" t="s">
        <v>9158</v>
      </c>
      <c r="P538" s="1" t="s">
        <v>9158</v>
      </c>
      <c r="Q538" s="1" t="s">
        <v>9158</v>
      </c>
      <c r="R538" s="1"/>
    </row>
    <row r="539" spans="1:18">
      <c r="A539" s="1">
        <v>70923</v>
      </c>
      <c r="B539" s="1" t="s">
        <v>334</v>
      </c>
      <c r="C539" s="1" t="s">
        <v>191</v>
      </c>
      <c r="D539" s="20" t="s">
        <v>10213</v>
      </c>
      <c r="E539" s="15" t="str">
        <f>HYPERLINK("https://stat100.ameba.jp/tnk47/ratio20/illustrations/card/ill_70923_hidawagyu03.jpg?202002-i_prefecture_active_userx", "■")</f>
        <v>■</v>
      </c>
      <c r="F539" s="1" t="s">
        <v>864</v>
      </c>
      <c r="G539" s="1">
        <v>128000</v>
      </c>
      <c r="H539" s="1">
        <v>119006</v>
      </c>
      <c r="I539" s="1">
        <v>26</v>
      </c>
      <c r="J539" s="1" t="s">
        <v>216</v>
      </c>
      <c r="K539" s="1" t="s">
        <v>258</v>
      </c>
      <c r="L539" s="1" t="s">
        <v>9898</v>
      </c>
      <c r="M539" s="1" t="s">
        <v>250</v>
      </c>
      <c r="N539" s="1" t="s">
        <v>251</v>
      </c>
      <c r="O539" s="1" t="s">
        <v>9158</v>
      </c>
      <c r="P539" s="1" t="s">
        <v>9158</v>
      </c>
      <c r="Q539" s="1" t="s">
        <v>9158</v>
      </c>
      <c r="R539" s="1"/>
    </row>
    <row r="540" spans="1:18">
      <c r="A540" s="1">
        <v>70093</v>
      </c>
      <c r="B540" s="1" t="s">
        <v>334</v>
      </c>
      <c r="C540" s="1" t="s">
        <v>308</v>
      </c>
      <c r="D540" s="20" t="s">
        <v>10214</v>
      </c>
      <c r="E540" s="15" t="str">
        <f>HYPERLINK("https://stat100.ameba.jp/tnk47/ratio20/illustrations/card/ill_70093_sarutahikonookami03.jpg?202002-i_prefecture_active_userx", "■")</f>
        <v>■</v>
      </c>
      <c r="F540" s="1" t="s">
        <v>865</v>
      </c>
      <c r="G540" s="1">
        <v>119006</v>
      </c>
      <c r="H540" s="1">
        <v>128000</v>
      </c>
      <c r="I540" s="1">
        <v>26</v>
      </c>
      <c r="J540" s="1" t="s">
        <v>169</v>
      </c>
      <c r="K540" s="1" t="s">
        <v>259</v>
      </c>
      <c r="L540" s="1" t="s">
        <v>9899</v>
      </c>
      <c r="M540" s="1" t="s">
        <v>250</v>
      </c>
      <c r="N540" s="1" t="s">
        <v>251</v>
      </c>
      <c r="O540" s="1" t="s">
        <v>9158</v>
      </c>
      <c r="P540" s="1" t="s">
        <v>9158</v>
      </c>
      <c r="Q540" s="1" t="s">
        <v>9158</v>
      </c>
      <c r="R540" s="1"/>
    </row>
    <row r="541" spans="1:18">
      <c r="A541" s="1">
        <v>70933</v>
      </c>
      <c r="B541" s="1" t="s">
        <v>334</v>
      </c>
      <c r="C541" s="1" t="s">
        <v>267</v>
      </c>
      <c r="D541" s="20" t="s">
        <v>10215</v>
      </c>
      <c r="E541" s="15" t="str">
        <f>HYPERLINK("https://stat100.ameba.jp/tnk47/ratio20/illustrations/card/ill_70933_zenigatasunae03.jpg?202002-i_prefecture_active_userx", "■")</f>
        <v>■</v>
      </c>
      <c r="F541" s="1" t="s">
        <v>866</v>
      </c>
      <c r="G541" s="1">
        <v>119006</v>
      </c>
      <c r="H541" s="1">
        <v>128000</v>
      </c>
      <c r="I541" s="1">
        <v>26</v>
      </c>
      <c r="J541" s="1" t="s">
        <v>229</v>
      </c>
      <c r="K541" s="1" t="s">
        <v>260</v>
      </c>
      <c r="L541" s="1" t="s">
        <v>9900</v>
      </c>
      <c r="M541" s="1" t="s">
        <v>250</v>
      </c>
      <c r="N541" s="1" t="s">
        <v>251</v>
      </c>
      <c r="O541" s="1" t="s">
        <v>9158</v>
      </c>
      <c r="P541" s="1" t="s">
        <v>9158</v>
      </c>
      <c r="Q541" s="1" t="s">
        <v>9158</v>
      </c>
      <c r="R541" s="1"/>
    </row>
    <row r="542" spans="1:18">
      <c r="A542" s="1">
        <v>70943</v>
      </c>
      <c r="B542" s="1" t="s">
        <v>334</v>
      </c>
      <c r="C542" s="1" t="s">
        <v>344</v>
      </c>
      <c r="D542" s="20" t="s">
        <v>10216</v>
      </c>
      <c r="E542" s="15" t="str">
        <f>HYPERLINK("https://stat100.ameba.jp/tnk47/ratio20/illustrations/card/ill_70943_tengunokakuremino03.jpg?202002-i_prefecture_active_userx", "■")</f>
        <v>■</v>
      </c>
      <c r="F542" s="1" t="s">
        <v>867</v>
      </c>
      <c r="G542" s="1">
        <v>128000</v>
      </c>
      <c r="H542" s="1">
        <v>119006</v>
      </c>
      <c r="I542" s="1">
        <v>26</v>
      </c>
      <c r="J542" s="1" t="s">
        <v>155</v>
      </c>
      <c r="K542" s="1" t="s">
        <v>261</v>
      </c>
      <c r="L542" s="1" t="s">
        <v>9901</v>
      </c>
      <c r="M542" s="1" t="s">
        <v>250</v>
      </c>
      <c r="N542" s="1" t="s">
        <v>251</v>
      </c>
      <c r="O542" s="1" t="s">
        <v>9158</v>
      </c>
      <c r="P542" s="1" t="s">
        <v>9158</v>
      </c>
      <c r="Q542" s="1" t="s">
        <v>9158</v>
      </c>
      <c r="R542" s="1"/>
    </row>
    <row r="543" spans="1:18">
      <c r="E543" s="9"/>
    </row>
    <row r="544" spans="1:18">
      <c r="A544" s="9" t="s">
        <v>9283</v>
      </c>
      <c r="E544" s="9"/>
    </row>
    <row r="545" spans="1:17">
      <c r="A545" s="1" t="s">
        <v>3447</v>
      </c>
      <c r="E545" s="9"/>
    </row>
    <row r="546" spans="1:17">
      <c r="A546" s="1" t="s">
        <v>5603</v>
      </c>
      <c r="B546" s="1" t="s">
        <v>330</v>
      </c>
      <c r="C546" s="1" t="s">
        <v>205</v>
      </c>
      <c r="D546" s="20" t="s">
        <v>611</v>
      </c>
      <c r="E546" s="15" t="str">
        <f>HYPERLINK("https://stat100.ameba.jp/tnk47/ratio20/illustrations/card/ill_61893_0_onikirishumiyamotomusashi03.jpg?202002-i_prefecture_active_userx", "■")</f>
        <v>■</v>
      </c>
      <c r="F546" s="1" t="s">
        <v>612</v>
      </c>
      <c r="G546" s="1">
        <v>224026</v>
      </c>
      <c r="H546" s="1">
        <v>208310</v>
      </c>
      <c r="I546" s="1">
        <v>24</v>
      </c>
      <c r="J546" s="1" t="s">
        <v>310</v>
      </c>
      <c r="K546" s="1" t="s">
        <v>613</v>
      </c>
      <c r="L546" s="1" t="s">
        <v>312</v>
      </c>
      <c r="M546" s="1" t="s">
        <v>9158</v>
      </c>
      <c r="N546" s="1" t="s">
        <v>9158</v>
      </c>
      <c r="O546" s="19" t="s">
        <v>10071</v>
      </c>
      <c r="P546" s="1" t="s">
        <v>3253</v>
      </c>
      <c r="Q546" s="1">
        <v>1</v>
      </c>
    </row>
    <row r="547" spans="1:17">
      <c r="A547" s="1" t="s">
        <v>5602</v>
      </c>
      <c r="B547" s="1" t="s">
        <v>52</v>
      </c>
      <c r="C547" s="1" t="s">
        <v>14</v>
      </c>
      <c r="D547" s="20" t="s">
        <v>813</v>
      </c>
      <c r="E547" s="15" t="str">
        <f>HYPERLINK("https://stat100.ameba.jp/tnk47/ratio20/illustrations/card/ill_55313_0_haroinononokomachi03.jpg?202002-i_prefecture_active_userx", "■")</f>
        <v>■</v>
      </c>
      <c r="F547" s="1" t="s">
        <v>2094</v>
      </c>
      <c r="G547" s="1">
        <v>150776</v>
      </c>
      <c r="H547" s="1">
        <v>133938</v>
      </c>
      <c r="I547" s="1">
        <v>24</v>
      </c>
      <c r="J547" s="1" t="s">
        <v>10</v>
      </c>
      <c r="K547" s="1" t="s">
        <v>2095</v>
      </c>
      <c r="L547" s="1" t="s">
        <v>2096</v>
      </c>
      <c r="M547" s="1" t="s">
        <v>9158</v>
      </c>
      <c r="N547" s="1" t="s">
        <v>9158</v>
      </c>
      <c r="O547" s="19" t="s">
        <v>2733</v>
      </c>
      <c r="P547" s="1" t="s">
        <v>2734</v>
      </c>
      <c r="Q547" s="1">
        <v>1</v>
      </c>
    </row>
    <row r="548" spans="1:17">
      <c r="A548" s="1" t="s">
        <v>5627</v>
      </c>
      <c r="B548" s="1" t="s">
        <v>330</v>
      </c>
      <c r="C548" s="1" t="s">
        <v>191</v>
      </c>
      <c r="D548" s="20" t="s">
        <v>393</v>
      </c>
      <c r="E548" s="15" t="str">
        <f>HYPERLINK("https://stat100.ameba.jp/tnk47/ratio20/illustrations/card/ill_46283_0_odanobunaga03.jpg?202002-i_prefecture_active_userx", "■")</f>
        <v>■</v>
      </c>
      <c r="F548" s="1" t="s">
        <v>1073</v>
      </c>
      <c r="G548" s="1">
        <v>131538</v>
      </c>
      <c r="H548" s="1">
        <v>140448</v>
      </c>
      <c r="I548" s="1">
        <v>24</v>
      </c>
      <c r="J548" s="1" t="s">
        <v>143</v>
      </c>
      <c r="K548" s="1" t="s">
        <v>1074</v>
      </c>
      <c r="L548" s="1" t="s">
        <v>1075</v>
      </c>
      <c r="M548" s="1" t="s">
        <v>9158</v>
      </c>
      <c r="N548" s="1" t="s">
        <v>9158</v>
      </c>
      <c r="O548" s="1" t="s">
        <v>9158</v>
      </c>
      <c r="P548" s="1" t="s">
        <v>9158</v>
      </c>
      <c r="Q548" s="1" t="s">
        <v>9158</v>
      </c>
    </row>
    <row r="549" spans="1:17">
      <c r="A549" s="9">
        <v>86663</v>
      </c>
      <c r="B549" s="9" t="s">
        <v>0</v>
      </c>
      <c r="C549" s="9" t="s">
        <v>165</v>
      </c>
      <c r="D549" s="20" t="s">
        <v>10939</v>
      </c>
      <c r="E549" s="15" t="str">
        <f>HYPERLINK("https://stat100.ameba.jp/tnk47/ratio20/illustrations/card/ill_86663_darumaichitsukimizakechan03.jpg?202002-i_prefecture_active_userx", "■")</f>
        <v>■</v>
      </c>
      <c r="F549" s="9" t="s">
        <v>9258</v>
      </c>
      <c r="G549" s="9">
        <v>109786</v>
      </c>
      <c r="H549" s="9">
        <v>118063</v>
      </c>
      <c r="I549" s="9">
        <v>25</v>
      </c>
      <c r="J549" s="9" t="s">
        <v>216</v>
      </c>
      <c r="K549" s="9" t="s">
        <v>9257</v>
      </c>
      <c r="L549" s="9" t="s">
        <v>1079</v>
      </c>
      <c r="M549" s="1" t="s">
        <v>9158</v>
      </c>
      <c r="N549" s="1" t="s">
        <v>9158</v>
      </c>
      <c r="O549" s="1" t="s">
        <v>9158</v>
      </c>
      <c r="P549" s="1" t="s">
        <v>9158</v>
      </c>
      <c r="Q549" s="1" t="s">
        <v>9158</v>
      </c>
    </row>
    <row r="550" spans="1:17">
      <c r="A550" s="9">
        <v>86683</v>
      </c>
      <c r="B550" s="9" t="s">
        <v>15</v>
      </c>
      <c r="C550" s="9" t="s">
        <v>200</v>
      </c>
      <c r="D550" s="20" t="s">
        <v>10941</v>
      </c>
      <c r="E550" s="15" t="str">
        <f>HYPERLINK("https://stat100.ameba.jp/tnk47/ratio20/illustrations/card/ill_86683_takaodaimyojin03.jpg?202002-i_prefecture_active_userx", "■")</f>
        <v>■</v>
      </c>
      <c r="F550" s="9" t="s">
        <v>9264</v>
      </c>
      <c r="G550" s="1">
        <v>67210</v>
      </c>
      <c r="H550" s="1">
        <v>74100</v>
      </c>
      <c r="I550" s="9">
        <v>25</v>
      </c>
      <c r="J550" s="9" t="s">
        <v>169</v>
      </c>
      <c r="K550" s="9" t="s">
        <v>9263</v>
      </c>
      <c r="L550" s="9" t="s">
        <v>973</v>
      </c>
      <c r="M550" s="1" t="s">
        <v>9158</v>
      </c>
      <c r="N550" s="1" t="s">
        <v>9158</v>
      </c>
      <c r="O550" s="1" t="s">
        <v>9158</v>
      </c>
      <c r="P550" s="1" t="s">
        <v>9158</v>
      </c>
      <c r="Q550" s="1" t="s">
        <v>9158</v>
      </c>
    </row>
    <row r="551" spans="1:17">
      <c r="A551" s="9">
        <v>86693</v>
      </c>
      <c r="B551" s="9" t="s">
        <v>22</v>
      </c>
      <c r="C551" s="9" t="s">
        <v>206</v>
      </c>
      <c r="D551" s="20" t="s">
        <v>10942</v>
      </c>
      <c r="E551" s="15" t="str">
        <f>HYPERLINK("https://stat100.ameba.jp/tnk47/ratio20/illustrations/card/ill_86693_azuminoisora03.jpg?202002-i_prefecture_active_userx", "■")</f>
        <v>■</v>
      </c>
      <c r="F551" s="9" t="s">
        <v>9267</v>
      </c>
      <c r="G551" s="1">
        <v>51980</v>
      </c>
      <c r="H551" s="1">
        <v>43220</v>
      </c>
      <c r="I551" s="9">
        <v>25</v>
      </c>
      <c r="J551" s="9" t="s">
        <v>169</v>
      </c>
      <c r="K551" s="9" t="s">
        <v>9266</v>
      </c>
      <c r="L551" s="9" t="s">
        <v>4956</v>
      </c>
      <c r="M551" s="1" t="s">
        <v>9158</v>
      </c>
      <c r="N551" s="1" t="s">
        <v>9158</v>
      </c>
      <c r="O551" s="1" t="s">
        <v>9158</v>
      </c>
      <c r="P551" s="1" t="s">
        <v>9158</v>
      </c>
      <c r="Q551" s="1" t="s">
        <v>9158</v>
      </c>
    </row>
    <row r="552" spans="1:17">
      <c r="A552" s="9">
        <v>86703</v>
      </c>
      <c r="B552" s="9" t="s">
        <v>30</v>
      </c>
      <c r="C552" s="9" t="s">
        <v>248</v>
      </c>
      <c r="D552" s="20" t="s">
        <v>10943</v>
      </c>
      <c r="E552" s="15" t="str">
        <f>HYPERLINK("https://stat100.ameba.jp/tnk47/ratio20/illustrations/card/ill_86703_fudematsuri03.jpg?202002-i_prefecture_active_userx", "■")</f>
        <v>■</v>
      </c>
      <c r="F552" s="9" t="s">
        <v>9270</v>
      </c>
      <c r="G552" s="9">
        <v>26430</v>
      </c>
      <c r="H552" s="9">
        <v>31470</v>
      </c>
      <c r="I552" s="9">
        <v>25</v>
      </c>
      <c r="J552" s="9" t="s">
        <v>229</v>
      </c>
      <c r="K552" s="9" t="s">
        <v>9269</v>
      </c>
      <c r="L552" s="9" t="s">
        <v>2221</v>
      </c>
      <c r="M552" s="1" t="s">
        <v>9158</v>
      </c>
      <c r="N552" s="1" t="s">
        <v>9158</v>
      </c>
      <c r="O552" s="1" t="s">
        <v>9158</v>
      </c>
      <c r="P552" s="1" t="s">
        <v>9158</v>
      </c>
      <c r="Q552" s="1" t="s">
        <v>9158</v>
      </c>
    </row>
    <row r="553" spans="1:17">
      <c r="E553" s="9"/>
    </row>
    <row r="554" spans="1:17">
      <c r="A554" s="9" t="s">
        <v>9284</v>
      </c>
      <c r="E554" s="9"/>
    </row>
    <row r="555" spans="1:17">
      <c r="A555" s="1" t="s">
        <v>9285</v>
      </c>
      <c r="E555" s="9"/>
    </row>
    <row r="556" spans="1:17">
      <c r="A556" s="1" t="s">
        <v>5620</v>
      </c>
      <c r="B556" s="1" t="s">
        <v>52</v>
      </c>
      <c r="C556" s="1" t="s">
        <v>344</v>
      </c>
      <c r="D556" s="20" t="s">
        <v>669</v>
      </c>
      <c r="E556" s="15" t="str">
        <f>HYPERLINK("https://stat100.ameba.jp/tnk47/ratio20/illustrations/card/ill_67173_0_yukemuriawamorichan03.jpg?202002-i_prefecture_active_userx", "■")</f>
        <v>■</v>
      </c>
      <c r="F556" s="1" t="s">
        <v>2043</v>
      </c>
      <c r="G556" s="1">
        <v>184400</v>
      </c>
      <c r="H556" s="1">
        <v>171436</v>
      </c>
      <c r="I556" s="1">
        <v>24</v>
      </c>
      <c r="J556" s="1" t="s">
        <v>104</v>
      </c>
      <c r="K556" s="1" t="s">
        <v>2044</v>
      </c>
      <c r="L556" s="1" t="s">
        <v>2045</v>
      </c>
      <c r="M556" s="1" t="s">
        <v>9158</v>
      </c>
      <c r="N556" s="1" t="s">
        <v>9158</v>
      </c>
      <c r="O556" s="19" t="s">
        <v>10087</v>
      </c>
      <c r="P556" s="1" t="s">
        <v>3455</v>
      </c>
      <c r="Q556" s="1">
        <v>1</v>
      </c>
    </row>
    <row r="557" spans="1:17">
      <c r="A557" s="1">
        <v>58743</v>
      </c>
      <c r="B557" s="1" t="s">
        <v>334</v>
      </c>
      <c r="C557" s="1" t="s">
        <v>209</v>
      </c>
      <c r="D557" s="20" t="s">
        <v>10273</v>
      </c>
      <c r="E557" s="15" t="str">
        <f>HYPERLINK("https://stat100.ameba.jp/tnk47/ratio20/illustrations/card/ill_58743_enkirienoki03.jpg?202002-i_prefecture_active_userx", "■")</f>
        <v>■</v>
      </c>
      <c r="F557" s="1" t="s">
        <v>2550</v>
      </c>
      <c r="G557" s="1">
        <v>75651</v>
      </c>
      <c r="H557" s="1">
        <v>103176</v>
      </c>
      <c r="I557" s="1">
        <v>25</v>
      </c>
      <c r="J557" s="1" t="s">
        <v>44</v>
      </c>
      <c r="K557" s="1" t="s">
        <v>2551</v>
      </c>
      <c r="L557" s="1" t="s">
        <v>95</v>
      </c>
      <c r="M557" s="1" t="s">
        <v>9158</v>
      </c>
      <c r="N557" s="1" t="s">
        <v>9158</v>
      </c>
      <c r="O557" s="19" t="s">
        <v>10091</v>
      </c>
      <c r="P557" s="1" t="s">
        <v>3670</v>
      </c>
      <c r="Q557" s="1">
        <v>1</v>
      </c>
    </row>
    <row r="558" spans="1:17">
      <c r="A558" s="1">
        <v>70843</v>
      </c>
      <c r="B558" s="1" t="s">
        <v>334</v>
      </c>
      <c r="C558" s="1" t="s">
        <v>268</v>
      </c>
      <c r="D558" s="20" t="s">
        <v>10651</v>
      </c>
      <c r="E558" s="15" t="str">
        <f>HYPERLINK("https://stat100.ameba.jp/tnk47/ratio20/illustrations/card/ill_70843_indoshinwakurionechan03.jpg?202002-i_prefecture_active_userx", "■")</f>
        <v>■</v>
      </c>
      <c r="F558" s="1" t="s">
        <v>856</v>
      </c>
      <c r="G558" s="1">
        <v>105890</v>
      </c>
      <c r="H558" s="1">
        <v>113890</v>
      </c>
      <c r="I558" s="1">
        <v>25</v>
      </c>
      <c r="J558" s="1" t="s">
        <v>369</v>
      </c>
      <c r="K558" s="1" t="s">
        <v>857</v>
      </c>
      <c r="L558" s="1" t="s">
        <v>496</v>
      </c>
      <c r="M558" s="1" t="s">
        <v>9158</v>
      </c>
      <c r="N558" s="1" t="s">
        <v>9158</v>
      </c>
      <c r="O558" s="19" t="s">
        <v>10074</v>
      </c>
      <c r="P558" s="1" t="s">
        <v>3592</v>
      </c>
      <c r="Q558" s="1">
        <v>1</v>
      </c>
    </row>
    <row r="559" spans="1:17">
      <c r="A559" s="1">
        <v>80573</v>
      </c>
      <c r="B559" s="1" t="s">
        <v>334</v>
      </c>
      <c r="C559" s="1" t="s">
        <v>165</v>
      </c>
      <c r="D559" s="20" t="s">
        <v>10301</v>
      </c>
      <c r="E559" s="15" t="str">
        <f>HYPERLINK("https://stat100.ameba.jp/tnk47/ratio20/illustrations/card/ill_80573_ohanamigurampingusotorihime03.jpg?202002-i_prefecture_active_userx", "■")</f>
        <v>■</v>
      </c>
      <c r="F559" s="1" t="s">
        <v>4176</v>
      </c>
      <c r="G559" s="1">
        <v>114092</v>
      </c>
      <c r="H559" s="1">
        <v>105890</v>
      </c>
      <c r="I559" s="1">
        <v>25</v>
      </c>
      <c r="J559" s="1" t="s">
        <v>38</v>
      </c>
      <c r="K559" s="1" t="s">
        <v>4177</v>
      </c>
      <c r="L559" s="1" t="s">
        <v>4178</v>
      </c>
      <c r="M559" s="1" t="s">
        <v>9158</v>
      </c>
      <c r="N559" s="1" t="s">
        <v>9158</v>
      </c>
      <c r="O559" s="19" t="s">
        <v>10119</v>
      </c>
      <c r="P559" s="1" t="s">
        <v>3662</v>
      </c>
      <c r="Q559" s="1">
        <v>1</v>
      </c>
    </row>
    <row r="560" spans="1:17">
      <c r="E560" s="9"/>
    </row>
    <row r="561" spans="1:17">
      <c r="A561" s="9" t="s">
        <v>9283</v>
      </c>
      <c r="E561" s="9"/>
    </row>
    <row r="562" spans="1:17">
      <c r="A562" s="1" t="s">
        <v>9286</v>
      </c>
      <c r="E562" s="9"/>
    </row>
    <row r="563" spans="1:17">
      <c r="A563" s="1" t="s">
        <v>5804</v>
      </c>
      <c r="B563" s="1" t="s">
        <v>52</v>
      </c>
      <c r="C563" s="1" t="s">
        <v>14</v>
      </c>
      <c r="D563" s="20" t="s">
        <v>3195</v>
      </c>
      <c r="E563" s="15" t="str">
        <f>HYPERLINK("https://stat100.ameba.jp/tnk47/ratio20/illustrations/card/ill_75393_0_resukuinotsukisamaniittausagi03.jpg?202002-i_prefecture_active_userx", "■")</f>
        <v>■</v>
      </c>
      <c r="F563" s="1" t="s">
        <v>3248</v>
      </c>
      <c r="G563" s="1">
        <v>273368</v>
      </c>
      <c r="H563" s="1">
        <v>254160</v>
      </c>
      <c r="I563" s="1">
        <v>24</v>
      </c>
      <c r="J563" s="1" t="s">
        <v>26</v>
      </c>
      <c r="K563" s="1" t="s">
        <v>3249</v>
      </c>
      <c r="L563" s="1" t="s">
        <v>3250</v>
      </c>
      <c r="M563" s="1" t="s">
        <v>9158</v>
      </c>
      <c r="N563" s="1" t="s">
        <v>9158</v>
      </c>
      <c r="O563" s="19" t="s">
        <v>10101</v>
      </c>
      <c r="P563" s="1" t="s">
        <v>3251</v>
      </c>
      <c r="Q563" s="1">
        <v>2</v>
      </c>
    </row>
    <row r="564" spans="1:17">
      <c r="A564" s="1" t="s">
        <v>5650</v>
      </c>
      <c r="B564" s="1" t="s">
        <v>52</v>
      </c>
      <c r="C564" s="1" t="s">
        <v>23</v>
      </c>
      <c r="D564" s="20" t="s">
        <v>809</v>
      </c>
      <c r="E564" s="15" t="str">
        <f>HYPERLINK("https://stat100.ameba.jp/tnk47/ratio20/illustrations/card/ill_68033_0_kurisumasupateikandamyojin03.jpg?202002-i_prefecture_active_userx", "■")</f>
        <v>■</v>
      </c>
      <c r="F564" s="1" t="s">
        <v>1871</v>
      </c>
      <c r="G564" s="1">
        <v>152594</v>
      </c>
      <c r="H564" s="1">
        <v>164144</v>
      </c>
      <c r="I564" s="1">
        <v>24</v>
      </c>
      <c r="J564" s="1" t="s">
        <v>44</v>
      </c>
      <c r="K564" s="1" t="s">
        <v>1872</v>
      </c>
      <c r="L564" s="1" t="s">
        <v>1873</v>
      </c>
      <c r="M564" s="1" t="s">
        <v>9158</v>
      </c>
      <c r="N564" s="1" t="s">
        <v>9158</v>
      </c>
      <c r="O564" s="19" t="s">
        <v>2997</v>
      </c>
      <c r="P564" s="1" t="s">
        <v>3483</v>
      </c>
      <c r="Q564" s="1">
        <v>2</v>
      </c>
    </row>
    <row r="565" spans="1:17">
      <c r="A565" s="1" t="s">
        <v>6132</v>
      </c>
      <c r="B565" s="1" t="s">
        <v>52</v>
      </c>
      <c r="C565" s="1" t="s">
        <v>205</v>
      </c>
      <c r="D565" s="20" t="s">
        <v>702</v>
      </c>
      <c r="E565" s="15" t="str">
        <f>HYPERLINK("https://stat100.ameba.jp/tnk47/ratio20/illustrations/card/ill_50693_0_hanamizugimimuratsuru03.jpg?202002-i_prefecture_active_userx", "■")</f>
        <v>■</v>
      </c>
      <c r="F565" s="1" t="s">
        <v>2282</v>
      </c>
      <c r="G565" s="1">
        <v>133938</v>
      </c>
      <c r="H565" s="1">
        <v>150776</v>
      </c>
      <c r="I565" s="1">
        <v>24</v>
      </c>
      <c r="J565" s="1" t="s">
        <v>143</v>
      </c>
      <c r="K565" s="1" t="s">
        <v>2283</v>
      </c>
      <c r="L565" s="1" t="s">
        <v>2284</v>
      </c>
      <c r="M565" s="1" t="s">
        <v>9158</v>
      </c>
      <c r="N565" s="1" t="s">
        <v>9158</v>
      </c>
      <c r="O565" s="1" t="s">
        <v>9158</v>
      </c>
      <c r="P565" s="1" t="s">
        <v>9158</v>
      </c>
      <c r="Q565" s="1" t="s">
        <v>9158</v>
      </c>
    </row>
    <row r="566" spans="1:17">
      <c r="A566" s="9">
        <v>86673</v>
      </c>
      <c r="B566" s="9" t="s">
        <v>0</v>
      </c>
      <c r="C566" s="9" t="s">
        <v>191</v>
      </c>
      <c r="D566" s="20" t="s">
        <v>10940</v>
      </c>
      <c r="E566" s="15" t="str">
        <f>HYPERLINK("https://stat100.ameba.jp/tnk47/ratio20/illustrations/card/ill_86673_shogatsunisenjunanayamakawatomiko03.jpg?202002-i_prefecture_active_userx", "■")</f>
        <v>■</v>
      </c>
      <c r="F566" s="9" t="s">
        <v>9261</v>
      </c>
      <c r="G566" s="9">
        <v>97651</v>
      </c>
      <c r="H566" s="9">
        <v>90759</v>
      </c>
      <c r="I566" s="9">
        <v>25</v>
      </c>
      <c r="J566" s="9" t="s">
        <v>173</v>
      </c>
      <c r="K566" s="9" t="s">
        <v>9260</v>
      </c>
      <c r="L566" s="9" t="s">
        <v>6763</v>
      </c>
      <c r="M566" s="1" t="s">
        <v>9158</v>
      </c>
      <c r="N566" s="1" t="s">
        <v>9158</v>
      </c>
      <c r="O566" s="1" t="s">
        <v>9158</v>
      </c>
      <c r="P566" s="1" t="s">
        <v>9158</v>
      </c>
      <c r="Q566" s="1" t="s">
        <v>9158</v>
      </c>
    </row>
    <row r="567" spans="1:17">
      <c r="A567" s="9">
        <v>86683</v>
      </c>
      <c r="B567" s="9" t="s">
        <v>15</v>
      </c>
      <c r="C567" s="9" t="s">
        <v>200</v>
      </c>
      <c r="D567" s="20" t="s">
        <v>10941</v>
      </c>
      <c r="E567" s="15" t="str">
        <f>HYPERLINK("https://stat100.ameba.jp/tnk47/ratio20/illustrations/card/ill_86683_takaodaimyojin03.jpg?202002-i_prefecture_active_userx", "■")</f>
        <v>■</v>
      </c>
      <c r="F567" s="9" t="s">
        <v>9264</v>
      </c>
      <c r="G567" s="1">
        <v>67210</v>
      </c>
      <c r="H567" s="1">
        <v>74100</v>
      </c>
      <c r="I567" s="9">
        <v>25</v>
      </c>
      <c r="J567" s="9" t="s">
        <v>169</v>
      </c>
      <c r="K567" s="9" t="s">
        <v>9263</v>
      </c>
      <c r="L567" s="9" t="s">
        <v>973</v>
      </c>
      <c r="M567" s="1" t="s">
        <v>9158</v>
      </c>
      <c r="N567" s="1" t="s">
        <v>9158</v>
      </c>
      <c r="O567" s="1" t="s">
        <v>9158</v>
      </c>
      <c r="P567" s="1" t="s">
        <v>9158</v>
      </c>
      <c r="Q567" s="1" t="s">
        <v>9158</v>
      </c>
    </row>
    <row r="568" spans="1:17">
      <c r="A568" s="9">
        <v>86693</v>
      </c>
      <c r="B568" s="9" t="s">
        <v>22</v>
      </c>
      <c r="C568" s="9" t="s">
        <v>206</v>
      </c>
      <c r="D568" s="20" t="s">
        <v>10942</v>
      </c>
      <c r="E568" s="15" t="str">
        <f>HYPERLINK("https://stat100.ameba.jp/tnk47/ratio20/illustrations/card/ill_86693_azuminoisora03.jpg?202002-i_prefecture_active_userx", "■")</f>
        <v>■</v>
      </c>
      <c r="F568" s="9" t="s">
        <v>9267</v>
      </c>
      <c r="G568" s="1">
        <v>51980</v>
      </c>
      <c r="H568" s="1">
        <v>43220</v>
      </c>
      <c r="I568" s="9">
        <v>25</v>
      </c>
      <c r="J568" s="9" t="s">
        <v>169</v>
      </c>
      <c r="K568" s="9" t="s">
        <v>9266</v>
      </c>
      <c r="L568" s="9" t="s">
        <v>4956</v>
      </c>
      <c r="M568" s="1" t="s">
        <v>9158</v>
      </c>
      <c r="N568" s="1" t="s">
        <v>9158</v>
      </c>
      <c r="O568" s="1" t="s">
        <v>9158</v>
      </c>
      <c r="P568" s="1" t="s">
        <v>9158</v>
      </c>
      <c r="Q568" s="1" t="s">
        <v>9158</v>
      </c>
    </row>
    <row r="569" spans="1:17">
      <c r="A569" s="9">
        <v>86703</v>
      </c>
      <c r="B569" s="9" t="s">
        <v>30</v>
      </c>
      <c r="C569" s="9" t="s">
        <v>248</v>
      </c>
      <c r="D569" s="20" t="s">
        <v>10943</v>
      </c>
      <c r="E569" s="15" t="str">
        <f>HYPERLINK("https://stat100.ameba.jp/tnk47/ratio20/illustrations/card/ill_86703_fudematsuri03.jpg?202002-i_prefecture_active_userx", "■")</f>
        <v>■</v>
      </c>
      <c r="F569" s="9" t="s">
        <v>9270</v>
      </c>
      <c r="G569" s="9">
        <v>26430</v>
      </c>
      <c r="H569" s="9">
        <v>31470</v>
      </c>
      <c r="I569" s="9">
        <v>25</v>
      </c>
      <c r="J569" s="9" t="s">
        <v>229</v>
      </c>
      <c r="K569" s="9" t="s">
        <v>9269</v>
      </c>
      <c r="L569" s="9" t="s">
        <v>2221</v>
      </c>
      <c r="M569" s="1" t="s">
        <v>9158</v>
      </c>
      <c r="N569" s="1" t="s">
        <v>9158</v>
      </c>
      <c r="O569" s="1" t="s">
        <v>9158</v>
      </c>
      <c r="P569" s="1" t="s">
        <v>9158</v>
      </c>
      <c r="Q569" s="1" t="s">
        <v>9158</v>
      </c>
    </row>
    <row r="570" spans="1:17">
      <c r="E570" s="9"/>
    </row>
    <row r="571" spans="1:17">
      <c r="A571" s="9" t="s">
        <v>115</v>
      </c>
      <c r="E571" s="9"/>
    </row>
    <row r="572" spans="1:17">
      <c r="A572" s="9" t="s">
        <v>9287</v>
      </c>
      <c r="E572" s="9"/>
    </row>
    <row r="573" spans="1:17">
      <c r="A573" s="1" t="s">
        <v>5618</v>
      </c>
      <c r="B573" s="1" t="s">
        <v>330</v>
      </c>
      <c r="C573" s="1" t="s">
        <v>200</v>
      </c>
      <c r="D573" s="20" t="s">
        <v>665</v>
      </c>
      <c r="E573" s="15" t="str">
        <f>HYPERLINK("https://stat100.ameba.jp/tnk47/ratio20/illustrations/card/ill_63173_0_minazukikonakaiteruko03.jpg?202002-i_prefecture_active_userx", "■")</f>
        <v>■</v>
      </c>
      <c r="F573" s="1" t="s">
        <v>666</v>
      </c>
      <c r="G573" s="1">
        <v>190952</v>
      </c>
      <c r="H573" s="1">
        <v>205358</v>
      </c>
      <c r="I573" s="1">
        <v>22</v>
      </c>
      <c r="J573" s="1" t="s">
        <v>310</v>
      </c>
      <c r="K573" s="1" t="s">
        <v>667</v>
      </c>
      <c r="L573" s="1" t="s">
        <v>668</v>
      </c>
      <c r="M573" s="1" t="s">
        <v>9158</v>
      </c>
      <c r="N573" s="1" t="s">
        <v>9158</v>
      </c>
      <c r="O573" s="19" t="s">
        <v>10079</v>
      </c>
      <c r="P573" s="1" t="s">
        <v>3329</v>
      </c>
      <c r="Q573" s="1">
        <v>1</v>
      </c>
    </row>
    <row r="574" spans="1:17">
      <c r="A574" s="1" t="s">
        <v>5725</v>
      </c>
      <c r="B574" s="1" t="s">
        <v>52</v>
      </c>
      <c r="C574" s="1" t="s">
        <v>107</v>
      </c>
      <c r="D574" s="20" t="s">
        <v>543</v>
      </c>
      <c r="E574" s="15" t="str">
        <f>HYPERLINK("https://stat100.ameba.jp/tnk47/ratio20/illustrations/card/ill_52693_0_sengokumibirakiyanagiharabyakuren03.jpg?202002-i_prefecture_active_userx", "■")</f>
        <v>■</v>
      </c>
      <c r="F574" s="1" t="s">
        <v>1246</v>
      </c>
      <c r="G574" s="1">
        <v>122776</v>
      </c>
      <c r="H574" s="1">
        <v>138212</v>
      </c>
      <c r="I574" s="1">
        <v>22</v>
      </c>
      <c r="J574" s="1" t="s">
        <v>16</v>
      </c>
      <c r="K574" s="1" t="s">
        <v>1247</v>
      </c>
      <c r="L574" s="1" t="s">
        <v>1248</v>
      </c>
      <c r="M574" s="1" t="s">
        <v>9158</v>
      </c>
      <c r="N574" s="1" t="s">
        <v>9158</v>
      </c>
      <c r="O574" s="19" t="s">
        <v>2886</v>
      </c>
      <c r="P574" s="1" t="s">
        <v>3304</v>
      </c>
      <c r="Q574" s="1">
        <v>1</v>
      </c>
    </row>
    <row r="575" spans="1:17">
      <c r="A575" s="9" t="s">
        <v>5830</v>
      </c>
      <c r="B575" s="1" t="s">
        <v>330</v>
      </c>
      <c r="C575" s="1" t="s">
        <v>191</v>
      </c>
      <c r="D575" s="20" t="s">
        <v>793</v>
      </c>
      <c r="E575" s="15" t="str">
        <f>HYPERLINK("https://stat100.ameba.jp/tnk47/ratio20/illustrations/card/ill_39933_0_reihiiinaotora03.jpg?202002-i_prefecture_active_userx", "■")</f>
        <v>■</v>
      </c>
      <c r="F575" s="1" t="s">
        <v>794</v>
      </c>
      <c r="G575" s="1">
        <v>120576</v>
      </c>
      <c r="H575" s="1">
        <v>128744</v>
      </c>
      <c r="I575" s="1">
        <v>22</v>
      </c>
      <c r="J575" s="1" t="s">
        <v>315</v>
      </c>
      <c r="K575" s="1" t="s">
        <v>795</v>
      </c>
      <c r="L575" s="1" t="s">
        <v>796</v>
      </c>
      <c r="M575" s="1" t="s">
        <v>9158</v>
      </c>
      <c r="N575" s="1" t="s">
        <v>9158</v>
      </c>
      <c r="O575" s="1" t="s">
        <v>9158</v>
      </c>
      <c r="P575" s="1" t="s">
        <v>9158</v>
      </c>
      <c r="Q575" s="1" t="s">
        <v>9158</v>
      </c>
    </row>
    <row r="576" spans="1:17">
      <c r="A576" s="1">
        <v>54773</v>
      </c>
      <c r="B576" s="1" t="s">
        <v>0</v>
      </c>
      <c r="C576" s="1" t="s">
        <v>185</v>
      </c>
      <c r="D576" s="20" t="s">
        <v>10945</v>
      </c>
      <c r="E576" s="15" t="str">
        <f>HYPERLINK("https://stat100.ameba.jp/tnk47/ratio20/illustrations/card/ill_54773_repunkamui03.jpg?202002-i_prefecture_active_userx", "■")</f>
        <v>■</v>
      </c>
      <c r="F576" s="1" t="s">
        <v>9293</v>
      </c>
      <c r="G576" s="1">
        <v>81098</v>
      </c>
      <c r="H576" s="1">
        <v>112808</v>
      </c>
      <c r="I576" s="1">
        <v>26</v>
      </c>
      <c r="J576" s="1" t="s">
        <v>9288</v>
      </c>
      <c r="K576" s="1" t="s">
        <v>9292</v>
      </c>
      <c r="L576" s="1" t="s">
        <v>9291</v>
      </c>
      <c r="M576" s="1" t="s">
        <v>9158</v>
      </c>
      <c r="N576" s="1" t="s">
        <v>9158</v>
      </c>
      <c r="O576" s="1" t="s">
        <v>9158</v>
      </c>
      <c r="P576" s="1" t="s">
        <v>9158</v>
      </c>
      <c r="Q576" s="1" t="s">
        <v>9158</v>
      </c>
    </row>
    <row r="577" spans="1:17">
      <c r="A577" s="1">
        <v>59433</v>
      </c>
      <c r="B577" s="1" t="s">
        <v>334</v>
      </c>
      <c r="C577" s="1" t="s">
        <v>200</v>
      </c>
      <c r="D577" s="20" t="s">
        <v>10946</v>
      </c>
      <c r="E577" s="15" t="str">
        <f>HYPERLINK("https://stat100.ameba.jp/tnk47/ratio20/illustrations/card/ill_59433_shotoin03.jpg?202002-i_prefecture_active_userx", "■")</f>
        <v>■</v>
      </c>
      <c r="F577" s="1" t="s">
        <v>9296</v>
      </c>
      <c r="G577" s="1">
        <v>81098</v>
      </c>
      <c r="H577" s="1">
        <v>112808</v>
      </c>
      <c r="I577" s="1">
        <v>26</v>
      </c>
      <c r="J577" s="1" t="s">
        <v>9289</v>
      </c>
      <c r="K577" s="1" t="s">
        <v>9295</v>
      </c>
      <c r="L577" s="1" t="s">
        <v>9294</v>
      </c>
      <c r="M577" s="1" t="s">
        <v>9158</v>
      </c>
      <c r="N577" s="1" t="s">
        <v>9158</v>
      </c>
      <c r="O577" s="1" t="s">
        <v>9158</v>
      </c>
      <c r="P577" s="1" t="s">
        <v>9158</v>
      </c>
      <c r="Q577" s="1" t="s">
        <v>9158</v>
      </c>
    </row>
    <row r="578" spans="1:17">
      <c r="A578" s="1">
        <v>78293</v>
      </c>
      <c r="B578" s="1" t="s">
        <v>0</v>
      </c>
      <c r="C578" s="1" t="s">
        <v>205</v>
      </c>
      <c r="D578" s="20" t="s">
        <v>10591</v>
      </c>
      <c r="E578" s="15" t="str">
        <f>HYPERLINK("https://stat100.ameba.jp/tnk47/ratio20/illustrations/card/ill_78293_yukinotaawaodori03.jpg?202002-i_prefecture_active_userx", "■")</f>
        <v>■</v>
      </c>
      <c r="F578" s="1" t="s">
        <v>9299</v>
      </c>
      <c r="G578" s="1">
        <v>110126</v>
      </c>
      <c r="H578" s="1">
        <v>118446</v>
      </c>
      <c r="I578" s="1">
        <v>26</v>
      </c>
      <c r="J578" s="1" t="s">
        <v>9290</v>
      </c>
      <c r="K578" s="1" t="s">
        <v>9298</v>
      </c>
      <c r="L578" s="1" t="s">
        <v>9297</v>
      </c>
      <c r="M578" s="1" t="s">
        <v>9158</v>
      </c>
      <c r="N578" s="1" t="s">
        <v>9158</v>
      </c>
      <c r="O578" s="1" t="s">
        <v>9158</v>
      </c>
      <c r="P578" s="1" t="s">
        <v>9158</v>
      </c>
      <c r="Q578" s="1" t="s">
        <v>9158</v>
      </c>
    </row>
    <row r="579" spans="1:17">
      <c r="A579" s="9">
        <v>56263</v>
      </c>
      <c r="B579" s="1" t="s">
        <v>15</v>
      </c>
      <c r="C579" s="1" t="s">
        <v>165</v>
      </c>
      <c r="D579" s="20" t="s">
        <v>10899</v>
      </c>
      <c r="E579" s="15" t="str">
        <f>HYPERLINK("https://stat100.ameba.jp/tnk47/ratio20/illustrations/card/ill_56263_ongakusaikujotakeko03.jpg?202002-i_prefecture_active_userx", "■")</f>
        <v>■</v>
      </c>
      <c r="F579" s="1" t="s">
        <v>3968</v>
      </c>
      <c r="G579" s="1">
        <v>69898</v>
      </c>
      <c r="H579" s="1">
        <v>77064</v>
      </c>
      <c r="I579" s="1">
        <v>26</v>
      </c>
      <c r="J579" s="1" t="s">
        <v>16</v>
      </c>
      <c r="K579" s="1" t="s">
        <v>3969</v>
      </c>
      <c r="L579" s="1" t="s">
        <v>3970</v>
      </c>
      <c r="M579" s="1" t="s">
        <v>9158</v>
      </c>
      <c r="N579" s="1" t="s">
        <v>9158</v>
      </c>
      <c r="O579" s="1" t="s">
        <v>9158</v>
      </c>
      <c r="P579" s="1" t="s">
        <v>9158</v>
      </c>
      <c r="Q579" s="1" t="s">
        <v>9158</v>
      </c>
    </row>
    <row r="580" spans="1:17">
      <c r="A580" s="9">
        <v>60863</v>
      </c>
      <c r="B580" s="1" t="s">
        <v>15</v>
      </c>
      <c r="C580" s="1" t="s">
        <v>205</v>
      </c>
      <c r="D580" s="20" t="s">
        <v>10900</v>
      </c>
      <c r="E580" s="15" t="str">
        <f>HYPERLINK("https://stat100.ameba.jp/tnk47/ratio20/illustrations/card/ill_60863_hieinihonrisuchan03.jpg?202002-i_prefecture_active_userx", "■")</f>
        <v>■</v>
      </c>
      <c r="F580" s="1" t="s">
        <v>975</v>
      </c>
      <c r="G580" s="1">
        <v>69898</v>
      </c>
      <c r="H580" s="1">
        <v>77064</v>
      </c>
      <c r="I580" s="1">
        <v>26</v>
      </c>
      <c r="J580" s="1" t="s">
        <v>26</v>
      </c>
      <c r="K580" s="1" t="s">
        <v>976</v>
      </c>
      <c r="L580" s="1" t="s">
        <v>977</v>
      </c>
      <c r="M580" s="1" t="s">
        <v>9158</v>
      </c>
      <c r="N580" s="1" t="s">
        <v>9158</v>
      </c>
      <c r="O580" s="1" t="s">
        <v>9158</v>
      </c>
      <c r="P580" s="1" t="s">
        <v>9158</v>
      </c>
      <c r="Q580" s="1" t="s">
        <v>9158</v>
      </c>
    </row>
    <row r="581" spans="1:17">
      <c r="A581" s="9">
        <v>79723</v>
      </c>
      <c r="B581" s="1" t="s">
        <v>15</v>
      </c>
      <c r="C581" s="1" t="s">
        <v>23</v>
      </c>
      <c r="D581" s="20" t="s">
        <v>10639</v>
      </c>
      <c r="E581" s="15" t="str">
        <f>HYPERLINK("https://stat100.ameba.jp/tnk47/ratio20/illustrations/card/ill_79723_inazumaraigoro03.jpg?202002-i_prefecture_active_userx", "■")</f>
        <v>■</v>
      </c>
      <c r="F581" s="1" t="s">
        <v>3691</v>
      </c>
      <c r="G581" s="1">
        <v>69898</v>
      </c>
      <c r="H581" s="1">
        <v>77064</v>
      </c>
      <c r="I581" s="1">
        <v>26</v>
      </c>
      <c r="J581" s="1" t="s">
        <v>143</v>
      </c>
      <c r="K581" s="1" t="s">
        <v>3692</v>
      </c>
      <c r="L581" s="1" t="s">
        <v>3326</v>
      </c>
      <c r="M581" s="1" t="s">
        <v>9158</v>
      </c>
      <c r="N581" s="1" t="s">
        <v>9158</v>
      </c>
      <c r="O581" s="1" t="s">
        <v>9158</v>
      </c>
      <c r="P581" s="1" t="s">
        <v>9158</v>
      </c>
      <c r="Q581" s="1" t="s">
        <v>9158</v>
      </c>
    </row>
    <row r="582" spans="1:17">
      <c r="E582" s="9"/>
    </row>
    <row r="583" spans="1:17">
      <c r="A583" s="1" t="s">
        <v>3916</v>
      </c>
      <c r="B583" s="1"/>
      <c r="C583" s="1"/>
      <c r="D583" s="1"/>
      <c r="F583" s="1"/>
      <c r="G583" s="1"/>
      <c r="H583" s="1"/>
      <c r="I583" s="1"/>
      <c r="J583" s="1"/>
      <c r="K583" s="1"/>
      <c r="L583" s="1"/>
      <c r="M583" s="1"/>
      <c r="N583" s="1"/>
      <c r="O583" s="1"/>
      <c r="P583" s="1"/>
      <c r="Q583" s="1"/>
    </row>
    <row r="584" spans="1:17">
      <c r="A584" s="1" t="s">
        <v>3453</v>
      </c>
      <c r="B584" s="1"/>
      <c r="C584" s="1"/>
      <c r="D584" s="1"/>
      <c r="F584" s="1"/>
      <c r="G584" s="1"/>
      <c r="H584" s="1"/>
      <c r="I584" s="1"/>
      <c r="J584" s="1"/>
      <c r="K584" s="1"/>
      <c r="L584" s="1"/>
      <c r="M584" s="1"/>
      <c r="N584" s="1"/>
      <c r="O584" s="1"/>
      <c r="P584" s="1"/>
      <c r="Q584" s="1"/>
    </row>
    <row r="585" spans="1:17">
      <c r="A585" s="1">
        <v>62203</v>
      </c>
      <c r="B585" s="1" t="s">
        <v>334</v>
      </c>
      <c r="C585" s="1" t="s">
        <v>154</v>
      </c>
      <c r="D585" s="20" t="s">
        <v>3039</v>
      </c>
      <c r="E585" s="15" t="str">
        <f>HYPERLINK("https://stat100.ameba.jp/tnk47/ratio20/illustrations/card/ill_62203_keishoimmasahime03.jpg?202002-i_prefecture_active_userx", "■")</f>
        <v>■</v>
      </c>
      <c r="F585" s="1" t="s">
        <v>2261</v>
      </c>
      <c r="G585" s="1">
        <v>100256</v>
      </c>
      <c r="H585" s="1">
        <v>107826</v>
      </c>
      <c r="I585" s="1">
        <v>25</v>
      </c>
      <c r="J585" s="1" t="s">
        <v>77</v>
      </c>
      <c r="K585" s="1" t="s">
        <v>2262</v>
      </c>
      <c r="L585" s="1" t="s">
        <v>2263</v>
      </c>
      <c r="M585" s="1" t="s">
        <v>9158</v>
      </c>
      <c r="N585" s="1" t="s">
        <v>9158</v>
      </c>
      <c r="O585" s="1" t="s">
        <v>9158</v>
      </c>
      <c r="P585" s="1" t="s">
        <v>9158</v>
      </c>
      <c r="Q585" s="1" t="s">
        <v>9158</v>
      </c>
    </row>
    <row r="586" spans="1:17">
      <c r="A586" s="1">
        <v>69723</v>
      </c>
      <c r="B586" s="1" t="s">
        <v>334</v>
      </c>
      <c r="C586" s="1" t="s">
        <v>158</v>
      </c>
      <c r="D586" s="20" t="s">
        <v>3042</v>
      </c>
      <c r="E586" s="15" t="str">
        <f>HYPERLINK("https://stat100.ameba.jp/tnk47/ratio20/illustrations/card/ill_69723_nakaurajurian03.jpg?202002-i_prefecture_active_userx", "■")</f>
        <v>■</v>
      </c>
      <c r="F586" s="1" t="s">
        <v>2257</v>
      </c>
      <c r="G586" s="1">
        <v>100256</v>
      </c>
      <c r="H586" s="1">
        <v>107826</v>
      </c>
      <c r="I586" s="1">
        <v>25</v>
      </c>
      <c r="J586" s="1" t="s">
        <v>173</v>
      </c>
      <c r="K586" s="1" t="s">
        <v>2258</v>
      </c>
      <c r="L586" s="1" t="s">
        <v>2259</v>
      </c>
      <c r="M586" s="1" t="s">
        <v>9158</v>
      </c>
      <c r="N586" s="1" t="s">
        <v>9158</v>
      </c>
      <c r="O586" s="1" t="s">
        <v>9158</v>
      </c>
      <c r="P586" s="1" t="s">
        <v>9158</v>
      </c>
      <c r="Q586" s="1" t="s">
        <v>9158</v>
      </c>
    </row>
    <row r="587" spans="1:17">
      <c r="A587" s="1">
        <v>76483</v>
      </c>
      <c r="B587" s="1" t="s">
        <v>334</v>
      </c>
      <c r="C587" s="1" t="s">
        <v>307</v>
      </c>
      <c r="D587" s="20" t="s">
        <v>589</v>
      </c>
      <c r="E587" s="15" t="str">
        <f>HYPERLINK("https://stat100.ameba.jp/tnk47/ratio20/illustrations/card/ill_76483_yukemurimizuhanome03.jpg?202002-i_prefecture_active_userx", "■")</f>
        <v>■</v>
      </c>
      <c r="F587" s="1" t="s">
        <v>590</v>
      </c>
      <c r="G587" s="1">
        <v>101971</v>
      </c>
      <c r="H587" s="1">
        <v>94802</v>
      </c>
      <c r="I587" s="1">
        <v>25</v>
      </c>
      <c r="J587" s="1" t="s">
        <v>401</v>
      </c>
      <c r="K587" s="1" t="s">
        <v>591</v>
      </c>
      <c r="L587" s="1" t="s">
        <v>592</v>
      </c>
      <c r="M587" s="1" t="s">
        <v>9158</v>
      </c>
      <c r="N587" s="1" t="s">
        <v>9158</v>
      </c>
      <c r="O587" s="1" t="s">
        <v>9158</v>
      </c>
      <c r="P587" s="1" t="s">
        <v>9158</v>
      </c>
      <c r="Q587" s="1" t="s">
        <v>9158</v>
      </c>
    </row>
    <row r="588" spans="1:17">
      <c r="A588" s="1">
        <v>70023</v>
      </c>
      <c r="B588" s="1" t="s">
        <v>334</v>
      </c>
      <c r="C588" s="1" t="s">
        <v>344</v>
      </c>
      <c r="D588" s="20" t="s">
        <v>10230</v>
      </c>
      <c r="E588" s="15" t="str">
        <f>HYPERLINK("https://stat100.ameba.jp/tnk47/ratio20/illustrations/card/ill_70023_yukinoukokunabeshimanobakeneko03.jpg?202002-i_prefecture_active_userx", "■")</f>
        <v>■</v>
      </c>
      <c r="F588" s="1" t="s">
        <v>769</v>
      </c>
      <c r="G588" s="1">
        <v>96871</v>
      </c>
      <c r="H588" s="1">
        <v>104162</v>
      </c>
      <c r="I588" s="1">
        <v>25</v>
      </c>
      <c r="J588" s="1" t="s">
        <v>320</v>
      </c>
      <c r="K588" s="1" t="s">
        <v>770</v>
      </c>
      <c r="L588" s="1" t="s">
        <v>771</v>
      </c>
      <c r="M588" s="1" t="s">
        <v>9158</v>
      </c>
      <c r="N588" s="1" t="s">
        <v>9158</v>
      </c>
      <c r="O588" s="1" t="s">
        <v>9158</v>
      </c>
      <c r="P588" s="1" t="s">
        <v>9158</v>
      </c>
      <c r="Q588" s="1" t="s">
        <v>9158</v>
      </c>
    </row>
    <row r="589" spans="1:17">
      <c r="A589" s="1">
        <v>52733</v>
      </c>
      <c r="B589" s="1" t="s">
        <v>15</v>
      </c>
      <c r="C589" s="1" t="s">
        <v>185</v>
      </c>
      <c r="D589" s="20" t="s">
        <v>10491</v>
      </c>
      <c r="E589" s="15" t="str">
        <f>HYPERLINK("https://stat100.ameba.jp/tnk47/ratio20/illustrations/card/ill_52733_sekkinambutsuruhime03.jpg?202002-i_prefecture_active_userx", "■")</f>
        <v>■</v>
      </c>
      <c r="F589" s="1" t="s">
        <v>6246</v>
      </c>
      <c r="G589" s="1">
        <v>67210</v>
      </c>
      <c r="H589" s="1">
        <v>74100</v>
      </c>
      <c r="I589" s="1">
        <v>25</v>
      </c>
      <c r="J589" s="1" t="s">
        <v>77</v>
      </c>
      <c r="K589" s="1" t="s">
        <v>6248</v>
      </c>
      <c r="L589" s="1" t="s">
        <v>6249</v>
      </c>
      <c r="M589" s="1" t="s">
        <v>9158</v>
      </c>
      <c r="N589" s="1" t="s">
        <v>9158</v>
      </c>
      <c r="O589" s="1" t="s">
        <v>9158</v>
      </c>
      <c r="P589" s="1" t="s">
        <v>9158</v>
      </c>
      <c r="Q589" s="1" t="s">
        <v>9158</v>
      </c>
    </row>
    <row r="590" spans="1:17">
      <c r="A590" s="1">
        <v>54003</v>
      </c>
      <c r="B590" s="1" t="s">
        <v>15</v>
      </c>
      <c r="C590" s="1" t="s">
        <v>200</v>
      </c>
      <c r="D590" s="20" t="s">
        <v>10492</v>
      </c>
      <c r="E590" s="15" t="str">
        <f>HYPERLINK("https://stat100.ameba.jp/tnk47/ratio20/illustrations/card/ill_54003_seiryumegurihiguchiichiyo03.jpg?202002-i_prefecture_active_userx", "■")</f>
        <v>■</v>
      </c>
      <c r="F590" s="1" t="s">
        <v>6250</v>
      </c>
      <c r="G590" s="1">
        <v>74100</v>
      </c>
      <c r="H590" s="1">
        <v>67210</v>
      </c>
      <c r="I590" s="1">
        <v>25</v>
      </c>
      <c r="J590" s="1" t="s">
        <v>10</v>
      </c>
      <c r="K590" s="1" t="s">
        <v>6252</v>
      </c>
      <c r="L590" s="1" t="s">
        <v>6253</v>
      </c>
      <c r="M590" s="1" t="s">
        <v>9158</v>
      </c>
      <c r="N590" s="1" t="s">
        <v>9158</v>
      </c>
      <c r="O590" s="1" t="s">
        <v>9158</v>
      </c>
      <c r="P590" s="1" t="s">
        <v>9158</v>
      </c>
      <c r="Q590" s="1" t="s">
        <v>9158</v>
      </c>
    </row>
    <row r="591" spans="1:17">
      <c r="A591" s="1">
        <v>51833</v>
      </c>
      <c r="B591" s="1" t="s">
        <v>15</v>
      </c>
      <c r="C591" s="1" t="s">
        <v>205</v>
      </c>
      <c r="D591" s="20" t="s">
        <v>10493</v>
      </c>
      <c r="E591" s="15" t="str">
        <f>HYPERLINK("https://stat100.ameba.jp/tnk47/ratio20/illustrations/card/ill_51833_jukimakitsuhikonomikoto03.jpg?202002-i_prefecture_active_userx", "■")</f>
        <v>■</v>
      </c>
      <c r="F591" s="1" t="s">
        <v>6254</v>
      </c>
      <c r="G591" s="1">
        <v>74100</v>
      </c>
      <c r="H591" s="1">
        <v>67210</v>
      </c>
      <c r="I591" s="1">
        <v>25</v>
      </c>
      <c r="J591" s="1" t="s">
        <v>44</v>
      </c>
      <c r="K591" s="1" t="s">
        <v>6257</v>
      </c>
      <c r="L591" s="1" t="s">
        <v>6256</v>
      </c>
      <c r="M591" s="1" t="s">
        <v>9158</v>
      </c>
      <c r="N591" s="1" t="s">
        <v>9158</v>
      </c>
      <c r="O591" s="1" t="s">
        <v>9158</v>
      </c>
      <c r="P591" s="1" t="s">
        <v>9158</v>
      </c>
      <c r="Q591" s="1" t="s">
        <v>9158</v>
      </c>
    </row>
    <row r="592" spans="1:17">
      <c r="A592" s="1">
        <v>53203</v>
      </c>
      <c r="B592" s="1" t="s">
        <v>15</v>
      </c>
      <c r="C592" s="1" t="s">
        <v>165</v>
      </c>
      <c r="D592" s="20" t="s">
        <v>10494</v>
      </c>
      <c r="E592" s="15" t="str">
        <f>HYPERLINK("https://stat100.ameba.jp/tnk47/ratio20/illustrations/card/ill_53203_buruhawaichan03.jpg?202002-i_prefecture_active_userx", "■")</f>
        <v>■</v>
      </c>
      <c r="F592" s="1" t="s">
        <v>6258</v>
      </c>
      <c r="G592" s="1">
        <v>67210</v>
      </c>
      <c r="H592" s="1">
        <v>74100</v>
      </c>
      <c r="I592" s="1">
        <v>25</v>
      </c>
      <c r="J592" s="1" t="s">
        <v>104</v>
      </c>
      <c r="K592" s="1" t="s">
        <v>6261</v>
      </c>
      <c r="L592" s="1" t="s">
        <v>6260</v>
      </c>
      <c r="M592" s="1" t="s">
        <v>9158</v>
      </c>
      <c r="N592" s="1" t="s">
        <v>9158</v>
      </c>
      <c r="O592" s="1" t="s">
        <v>9158</v>
      </c>
      <c r="P592" s="1" t="s">
        <v>9158</v>
      </c>
      <c r="Q592" s="1" t="s">
        <v>9158</v>
      </c>
    </row>
    <row r="593" spans="1:18">
      <c r="E593" s="9"/>
    </row>
    <row r="594" spans="1:18">
      <c r="A594" s="9" t="s">
        <v>9301</v>
      </c>
      <c r="E594" s="9"/>
    </row>
    <row r="595" spans="1:18">
      <c r="A595" s="9" t="s">
        <v>9302</v>
      </c>
      <c r="E595" s="9"/>
    </row>
    <row r="596" spans="1:18">
      <c r="A596" s="1" t="s">
        <v>5623</v>
      </c>
      <c r="B596" s="1" t="s">
        <v>330</v>
      </c>
      <c r="C596" s="1" t="s">
        <v>165</v>
      </c>
      <c r="D596" s="20" t="s">
        <v>3146</v>
      </c>
      <c r="E596" s="15" t="str">
        <f>HYPERLINK("https://stat100.ameba.jp/tnk47/ratio20/illustrations/card/ill_65713_0_undokaionikirimaru03.jpg?202002-i_prefecture_active_userx", "■")</f>
        <v>■</v>
      </c>
      <c r="F596" s="1" t="s">
        <v>535</v>
      </c>
      <c r="G596" s="1">
        <v>196778</v>
      </c>
      <c r="H596" s="1">
        <v>182946</v>
      </c>
      <c r="I596" s="1">
        <v>26</v>
      </c>
      <c r="J596" s="1" t="s">
        <v>320</v>
      </c>
      <c r="K596" s="1" t="s">
        <v>3147</v>
      </c>
      <c r="L596" s="1" t="s">
        <v>3148</v>
      </c>
      <c r="M596" s="1" t="s">
        <v>9158</v>
      </c>
      <c r="N596" s="1" t="s">
        <v>9158</v>
      </c>
      <c r="O596" s="19" t="s">
        <v>2869</v>
      </c>
      <c r="P596" s="1" t="s">
        <v>2870</v>
      </c>
      <c r="Q596" s="1">
        <v>1</v>
      </c>
    </row>
    <row r="597" spans="1:18">
      <c r="A597" s="1" t="s">
        <v>5611</v>
      </c>
      <c r="B597" s="1" t="s">
        <v>330</v>
      </c>
      <c r="C597" s="1" t="s">
        <v>185</v>
      </c>
      <c r="D597" s="20" t="s">
        <v>539</v>
      </c>
      <c r="E597" s="15" t="str">
        <f>HYPERLINK("https://stat100.ameba.jp/tnk47/ratio20/illustrations/card/ill_60633_0_harumaisentoin03.jpg?202002-i_prefecture_active_userx", "■")</f>
        <v>■</v>
      </c>
      <c r="F597" s="1" t="s">
        <v>540</v>
      </c>
      <c r="G597" s="1">
        <v>165310</v>
      </c>
      <c r="H597" s="1">
        <v>177824</v>
      </c>
      <c r="I597" s="1">
        <v>26</v>
      </c>
      <c r="J597" s="1" t="s">
        <v>274</v>
      </c>
      <c r="K597" s="1" t="s">
        <v>541</v>
      </c>
      <c r="L597" s="1" t="s">
        <v>542</v>
      </c>
      <c r="M597" s="1" t="s">
        <v>9158</v>
      </c>
      <c r="N597" s="1" t="s">
        <v>9158</v>
      </c>
      <c r="O597" s="19" t="s">
        <v>2888</v>
      </c>
      <c r="P597" s="1" t="s">
        <v>3144</v>
      </c>
      <c r="Q597" s="1">
        <v>1</v>
      </c>
    </row>
    <row r="598" spans="1:18">
      <c r="A598" s="1">
        <v>75053</v>
      </c>
      <c r="B598" s="1" t="s">
        <v>334</v>
      </c>
      <c r="C598" s="1" t="s">
        <v>47</v>
      </c>
      <c r="D598" s="20" t="s">
        <v>10366</v>
      </c>
      <c r="E598" s="15" t="str">
        <f>HYPERLINK("https://stat100.ameba.jp/tnk47/ratio20/illustrations/card/ill_75053_goshikinuma03.jpg?202002-i_prefecture_active_userx", "■")</f>
        <v>■</v>
      </c>
      <c r="F598" s="1" t="s">
        <v>5644</v>
      </c>
      <c r="G598" s="1">
        <v>92318</v>
      </c>
      <c r="H598" s="1">
        <v>127464</v>
      </c>
      <c r="I598" s="1">
        <v>25</v>
      </c>
      <c r="J598" s="1" t="s">
        <v>26</v>
      </c>
      <c r="K598" s="1" t="s">
        <v>5646</v>
      </c>
      <c r="L598" s="1" t="s">
        <v>2137</v>
      </c>
      <c r="M598" s="1" t="s">
        <v>9158</v>
      </c>
      <c r="N598" s="1" t="s">
        <v>9158</v>
      </c>
      <c r="O598" s="19" t="s">
        <v>10093</v>
      </c>
      <c r="P598" s="1" t="s">
        <v>13145</v>
      </c>
      <c r="Q598" s="1">
        <v>1</v>
      </c>
    </row>
    <row r="599" spans="1:18">
      <c r="A599" s="1">
        <v>75073</v>
      </c>
      <c r="B599" s="1" t="s">
        <v>334</v>
      </c>
      <c r="C599" s="1" t="s">
        <v>154</v>
      </c>
      <c r="D599" s="20" t="s">
        <v>4252</v>
      </c>
      <c r="E599" s="15" t="str">
        <f>HYPERLINK("https://stat100.ameba.jp/tnk47/ratio20/illustrations/card/ill_75073_puruchacha03.jpg?202002-i_prefecture_active_userx", "■")</f>
        <v>■</v>
      </c>
      <c r="F599" s="1" t="s">
        <v>4253</v>
      </c>
      <c r="G599" s="1">
        <v>109259</v>
      </c>
      <c r="H599" s="1">
        <v>79151</v>
      </c>
      <c r="I599" s="7">
        <v>25</v>
      </c>
      <c r="J599" s="1" t="s">
        <v>315</v>
      </c>
      <c r="K599" s="1" t="s">
        <v>4254</v>
      </c>
      <c r="L599" s="1" t="s">
        <v>1432</v>
      </c>
      <c r="M599" s="1" t="s">
        <v>9158</v>
      </c>
      <c r="N599" s="1" t="s">
        <v>9158</v>
      </c>
      <c r="O599" s="19" t="s">
        <v>10082</v>
      </c>
      <c r="P599" s="1" t="s">
        <v>13124</v>
      </c>
      <c r="Q599" s="1">
        <v>1</v>
      </c>
    </row>
    <row r="600" spans="1:18">
      <c r="A600" s="1">
        <v>75093</v>
      </c>
      <c r="B600" s="1" t="s">
        <v>334</v>
      </c>
      <c r="C600" s="1" t="s">
        <v>158</v>
      </c>
      <c r="D600" s="20" t="s">
        <v>10403</v>
      </c>
      <c r="E600" s="15" t="str">
        <f>HYPERLINK("https://stat100.ameba.jp/tnk47/ratio20/illustrations/card/ill_75093_hangonko03.jpg?202002-i_prefecture_active_userx", "■")</f>
        <v>■</v>
      </c>
      <c r="F600" s="1" t="s">
        <v>2614</v>
      </c>
      <c r="G600" s="1">
        <v>132144</v>
      </c>
      <c r="H600" s="1">
        <v>95703</v>
      </c>
      <c r="I600" s="1">
        <v>25</v>
      </c>
      <c r="J600" s="1" t="s">
        <v>44</v>
      </c>
      <c r="K600" s="1" t="s">
        <v>2615</v>
      </c>
      <c r="L600" s="1" t="s">
        <v>1108</v>
      </c>
      <c r="M600" s="1" t="s">
        <v>9158</v>
      </c>
      <c r="N600" s="1" t="s">
        <v>9158</v>
      </c>
      <c r="O600" s="19" t="s">
        <v>2951</v>
      </c>
      <c r="P600" s="1" t="s">
        <v>13122</v>
      </c>
      <c r="Q600" s="1">
        <v>1</v>
      </c>
    </row>
    <row r="601" spans="1:18">
      <c r="A601" s="1">
        <v>68703</v>
      </c>
      <c r="B601" s="1" t="s">
        <v>0</v>
      </c>
      <c r="C601" s="1" t="s">
        <v>47</v>
      </c>
      <c r="D601" s="20" t="s">
        <v>687</v>
      </c>
      <c r="E601" s="15" t="str">
        <f>HYPERLINK("https://stat100.ameba.jp/tnk47/ratio20/illustrations/card/ill_68703_manryu03.jpg?202002-i_prefecture_active_userx", "■")</f>
        <v>■</v>
      </c>
      <c r="F601" s="1" t="s">
        <v>80</v>
      </c>
      <c r="G601" s="1">
        <v>79151</v>
      </c>
      <c r="H601" s="1">
        <v>109259</v>
      </c>
      <c r="I601" s="1">
        <v>25</v>
      </c>
      <c r="J601" s="1" t="s">
        <v>16</v>
      </c>
      <c r="K601" s="1" t="s">
        <v>81</v>
      </c>
      <c r="L601" s="1" t="s">
        <v>82</v>
      </c>
      <c r="M601" s="1" t="s">
        <v>9158</v>
      </c>
      <c r="N601" s="1" t="s">
        <v>9158</v>
      </c>
      <c r="O601" s="1" t="s">
        <v>9158</v>
      </c>
      <c r="P601" s="1" t="s">
        <v>9158</v>
      </c>
      <c r="Q601" s="1" t="s">
        <v>9158</v>
      </c>
    </row>
    <row r="602" spans="1:18">
      <c r="A602" s="1">
        <v>71313</v>
      </c>
      <c r="B602" s="1" t="s">
        <v>334</v>
      </c>
      <c r="C602" s="1" t="s">
        <v>203</v>
      </c>
      <c r="D602" s="20" t="s">
        <v>2823</v>
      </c>
      <c r="E602" s="15" t="str">
        <f>HYPERLINK("https://stat100.ameba.jp/tnk47/ratio20/illustrations/card/ill_71313_kagewani03.jpg?202002-i_prefecture_active_userx", "■")</f>
        <v>■</v>
      </c>
      <c r="F602" s="1" t="s">
        <v>2824</v>
      </c>
      <c r="G602" s="1">
        <v>92402</v>
      </c>
      <c r="H602" s="1">
        <v>127580</v>
      </c>
      <c r="I602" s="1">
        <v>25</v>
      </c>
      <c r="J602" s="1" t="s">
        <v>274</v>
      </c>
      <c r="K602" s="1" t="s">
        <v>2825</v>
      </c>
      <c r="L602" s="1" t="s">
        <v>2826</v>
      </c>
      <c r="M602" s="1" t="s">
        <v>9158</v>
      </c>
      <c r="N602" s="1" t="s">
        <v>9158</v>
      </c>
      <c r="O602" s="1" t="s">
        <v>9158</v>
      </c>
      <c r="P602" s="1" t="s">
        <v>9158</v>
      </c>
      <c r="Q602" s="1" t="s">
        <v>9158</v>
      </c>
    </row>
    <row r="603" spans="1:18">
      <c r="A603" s="1">
        <v>72153</v>
      </c>
      <c r="B603" s="1" t="s">
        <v>334</v>
      </c>
      <c r="C603" s="1" t="s">
        <v>203</v>
      </c>
      <c r="D603" s="20" t="s">
        <v>436</v>
      </c>
      <c r="E603" s="15" t="str">
        <f>HYPERLINK("https://stat100.ameba.jp/tnk47/ratio20/illustrations/card/ill_72153_bakki03.jpg?202002-i_prefecture_active_userx", "■")</f>
        <v>■</v>
      </c>
      <c r="F603" s="1" t="s">
        <v>1031</v>
      </c>
      <c r="G603" s="1">
        <v>95703</v>
      </c>
      <c r="H603" s="1">
        <v>132144</v>
      </c>
      <c r="I603" s="7">
        <v>25</v>
      </c>
      <c r="J603" s="1" t="s">
        <v>73</v>
      </c>
      <c r="K603" s="1" t="s">
        <v>1032</v>
      </c>
      <c r="L603" s="1" t="s">
        <v>1033</v>
      </c>
      <c r="M603" s="1" t="s">
        <v>9158</v>
      </c>
      <c r="N603" s="1" t="s">
        <v>9158</v>
      </c>
      <c r="O603" s="1" t="s">
        <v>9158</v>
      </c>
      <c r="P603" s="1" t="s">
        <v>9158</v>
      </c>
      <c r="Q603" s="1" t="s">
        <v>9158</v>
      </c>
    </row>
    <row r="604" spans="1:18">
      <c r="E604" s="9"/>
    </row>
    <row r="605" spans="1:18">
      <c r="A605" s="1" t="s">
        <v>13326</v>
      </c>
      <c r="B605" s="1"/>
      <c r="C605" s="1"/>
      <c r="D605" s="1"/>
      <c r="F605" s="1"/>
      <c r="G605" s="1"/>
      <c r="H605" s="1"/>
      <c r="I605" s="1"/>
      <c r="J605" s="1"/>
      <c r="K605" s="1"/>
      <c r="L605" s="1"/>
      <c r="M605" s="1"/>
      <c r="N605" s="1"/>
      <c r="O605" s="1"/>
      <c r="P605" s="1"/>
      <c r="Q605" s="1"/>
      <c r="R605" s="1"/>
    </row>
    <row r="606" spans="1:18">
      <c r="A606" s="1" t="s">
        <v>9300</v>
      </c>
      <c r="B606" s="1"/>
      <c r="C606" s="1"/>
      <c r="D606" s="1"/>
      <c r="F606" s="1"/>
      <c r="G606" s="1"/>
      <c r="H606" s="1"/>
      <c r="I606" s="1"/>
      <c r="J606" s="1"/>
      <c r="K606" s="1"/>
      <c r="L606" s="1"/>
      <c r="M606" s="1"/>
      <c r="N606" s="1"/>
      <c r="O606" s="1"/>
      <c r="P606" s="1"/>
      <c r="Q606" s="1"/>
      <c r="R606" s="1"/>
    </row>
    <row r="607" spans="1:18">
      <c r="A607" s="1">
        <v>66113</v>
      </c>
      <c r="B607" s="1" t="s">
        <v>334</v>
      </c>
      <c r="C607" s="1" t="s">
        <v>185</v>
      </c>
      <c r="D607" s="20" t="s">
        <v>1292</v>
      </c>
      <c r="E607" s="15" t="str">
        <f>HYPERLINK("https://stat100.ameba.jp/tnk47/ratio20/illustrations/card/ill_66113_shirarikahime03.jpg?202001-1-RELEASE-raid-447x", "■")</f>
        <v>■</v>
      </c>
      <c r="F607" s="1" t="s">
        <v>1293</v>
      </c>
      <c r="G607" s="1">
        <v>128000</v>
      </c>
      <c r="H607" s="1">
        <v>119006</v>
      </c>
      <c r="I607" s="1">
        <v>26</v>
      </c>
      <c r="J607" s="1" t="s">
        <v>274</v>
      </c>
      <c r="K607" s="1" t="s">
        <v>1304</v>
      </c>
      <c r="L607" s="2" t="s">
        <v>9908</v>
      </c>
      <c r="M607" s="1" t="s">
        <v>13151</v>
      </c>
      <c r="N607" s="1" t="s">
        <v>251</v>
      </c>
      <c r="O607" s="1" t="s">
        <v>9158</v>
      </c>
      <c r="P607" s="1" t="s">
        <v>9158</v>
      </c>
      <c r="Q607" s="1" t="s">
        <v>9158</v>
      </c>
      <c r="R607" s="14" t="s">
        <v>14858</v>
      </c>
    </row>
    <row r="608" spans="1:18">
      <c r="A608" s="1">
        <v>66112</v>
      </c>
      <c r="B608" s="1" t="s">
        <v>334</v>
      </c>
      <c r="C608" s="1" t="s">
        <v>185</v>
      </c>
      <c r="D608" s="20" t="s">
        <v>1292</v>
      </c>
      <c r="E608" s="15" t="str">
        <f>HYPERLINK("https://stat100.ameba.jp/tnk47/ratio20/illustrations/card/ill_66112_shirarikahime02.jpg?202001-1-RELEASE-raid-447x", "■")</f>
        <v>■</v>
      </c>
      <c r="F608" s="1" t="s">
        <v>1293</v>
      </c>
      <c r="G608" s="1">
        <v>107000</v>
      </c>
      <c r="H608" s="1">
        <v>98566</v>
      </c>
      <c r="I608" s="1">
        <v>26</v>
      </c>
      <c r="J608" s="1" t="s">
        <v>274</v>
      </c>
      <c r="K608" s="1" t="s">
        <v>1304</v>
      </c>
      <c r="L608" s="2" t="s">
        <v>9908</v>
      </c>
      <c r="M608" s="1" t="s">
        <v>13156</v>
      </c>
      <c r="N608" s="1" t="s">
        <v>1310</v>
      </c>
      <c r="O608" s="1" t="s">
        <v>9158</v>
      </c>
      <c r="P608" s="1" t="s">
        <v>9158</v>
      </c>
      <c r="Q608" s="1" t="s">
        <v>9158</v>
      </c>
      <c r="R608" s="14" t="s">
        <v>14858</v>
      </c>
    </row>
    <row r="609" spans="1:18">
      <c r="A609" s="1">
        <v>66111</v>
      </c>
      <c r="B609" s="1" t="s">
        <v>334</v>
      </c>
      <c r="C609" s="1" t="s">
        <v>185</v>
      </c>
      <c r="D609" s="20" t="s">
        <v>1292</v>
      </c>
      <c r="E609" s="15" t="str">
        <f>HYPERLINK("https://stat100.ameba.jp/tnk47/ratio20/illustrations/card/ill_66111_shirarikahime01.jpg?202001-1-RELEASE-raid-447x", "■")</f>
        <v>■</v>
      </c>
      <c r="F609" s="1" t="s">
        <v>1293</v>
      </c>
      <c r="G609" s="1">
        <v>81692</v>
      </c>
      <c r="H609" s="1">
        <v>76050</v>
      </c>
      <c r="I609" s="1">
        <v>26</v>
      </c>
      <c r="J609" s="1" t="s">
        <v>274</v>
      </c>
      <c r="K609" s="1" t="s">
        <v>1304</v>
      </c>
      <c r="L609" s="2" t="s">
        <v>9908</v>
      </c>
      <c r="M609" s="1" t="s">
        <v>13156</v>
      </c>
      <c r="N609" s="1" t="s">
        <v>1310</v>
      </c>
      <c r="O609" s="1" t="s">
        <v>9158</v>
      </c>
      <c r="P609" s="1" t="s">
        <v>9158</v>
      </c>
      <c r="Q609" s="1" t="s">
        <v>9158</v>
      </c>
      <c r="R609" s="14" t="s">
        <v>14858</v>
      </c>
    </row>
    <row r="610" spans="1:18">
      <c r="A610" s="1">
        <v>65383</v>
      </c>
      <c r="B610" s="1" t="s">
        <v>334</v>
      </c>
      <c r="C610" s="1" t="s">
        <v>200</v>
      </c>
      <c r="D610" s="20" t="s">
        <v>1294</v>
      </c>
      <c r="E610" s="15" t="str">
        <f>HYPERLINK("https://stat100.ameba.jp/tnk47/ratio20/illustrations/card/ill_65383_aogashimachan03.jpg?202001-1-RELEASE-raid-447x", "■")</f>
        <v>■</v>
      </c>
      <c r="F610" s="1" t="s">
        <v>1295</v>
      </c>
      <c r="G610" s="1">
        <v>119006</v>
      </c>
      <c r="H610" s="1">
        <v>128000</v>
      </c>
      <c r="I610" s="1">
        <v>26</v>
      </c>
      <c r="J610" s="1" t="s">
        <v>369</v>
      </c>
      <c r="K610" s="1" t="s">
        <v>1305</v>
      </c>
      <c r="L610" s="2" t="s">
        <v>9909</v>
      </c>
      <c r="M610" s="1" t="s">
        <v>13151</v>
      </c>
      <c r="N610" s="1" t="s">
        <v>251</v>
      </c>
      <c r="O610" s="1" t="s">
        <v>9158</v>
      </c>
      <c r="P610" s="1" t="s">
        <v>9158</v>
      </c>
      <c r="Q610" s="1" t="s">
        <v>9158</v>
      </c>
      <c r="R610" s="14" t="s">
        <v>14858</v>
      </c>
    </row>
    <row r="611" spans="1:18">
      <c r="A611" s="1">
        <v>66123</v>
      </c>
      <c r="B611" s="1" t="s">
        <v>334</v>
      </c>
      <c r="C611" s="1" t="s">
        <v>191</v>
      </c>
      <c r="D611" s="20" t="s">
        <v>1296</v>
      </c>
      <c r="E611" s="15" t="str">
        <f>HYPERLINK("https://stat100.ameba.jp/tnk47/ratio20/illustrations/card/ill_66123_taikemmoninnohorikawa03.jpg?202001-1-RELEASE-raid-447x", "■")</f>
        <v>■</v>
      </c>
      <c r="F611" s="1" t="s">
        <v>1297</v>
      </c>
      <c r="G611" s="1">
        <v>128000</v>
      </c>
      <c r="H611" s="1">
        <v>119006</v>
      </c>
      <c r="I611" s="1">
        <v>26</v>
      </c>
      <c r="J611" s="1" t="s">
        <v>414</v>
      </c>
      <c r="K611" s="1" t="s">
        <v>1306</v>
      </c>
      <c r="L611" s="2" t="s">
        <v>9910</v>
      </c>
      <c r="M611" s="1" t="s">
        <v>13151</v>
      </c>
      <c r="N611" s="1" t="s">
        <v>251</v>
      </c>
      <c r="O611" s="1" t="s">
        <v>9158</v>
      </c>
      <c r="P611" s="1" t="s">
        <v>9158</v>
      </c>
      <c r="Q611" s="1" t="s">
        <v>9158</v>
      </c>
      <c r="R611" s="14" t="s">
        <v>14858</v>
      </c>
    </row>
    <row r="612" spans="1:18">
      <c r="A612" s="1">
        <v>66133</v>
      </c>
      <c r="B612" s="1" t="s">
        <v>334</v>
      </c>
      <c r="C612" s="1" t="s">
        <v>165</v>
      </c>
      <c r="D612" s="20" t="s">
        <v>1298</v>
      </c>
      <c r="E612" s="15" t="str">
        <f>HYPERLINK("https://stat100.ameba.jp/tnk47/ratio20/illustrations/card/ill_66133_iinaosuke03.jpg?202001-1-RELEASE-raid-447x", "■")</f>
        <v>■</v>
      </c>
      <c r="F612" s="1" t="s">
        <v>1299</v>
      </c>
      <c r="G612" s="1">
        <v>119006</v>
      </c>
      <c r="H612" s="1">
        <v>128000</v>
      </c>
      <c r="I612" s="1">
        <v>26</v>
      </c>
      <c r="J612" s="1" t="s">
        <v>351</v>
      </c>
      <c r="K612" s="1" t="s">
        <v>1307</v>
      </c>
      <c r="L612" s="2" t="s">
        <v>9911</v>
      </c>
      <c r="M612" s="1" t="s">
        <v>13151</v>
      </c>
      <c r="N612" s="1" t="s">
        <v>251</v>
      </c>
      <c r="O612" s="1" t="s">
        <v>9158</v>
      </c>
      <c r="P612" s="1" t="s">
        <v>9158</v>
      </c>
      <c r="Q612" s="1" t="s">
        <v>9158</v>
      </c>
      <c r="R612" s="14" t="s">
        <v>14858</v>
      </c>
    </row>
    <row r="613" spans="1:18">
      <c r="A613" s="1">
        <v>65393</v>
      </c>
      <c r="B613" s="1" t="s">
        <v>334</v>
      </c>
      <c r="C613" s="1" t="s">
        <v>205</v>
      </c>
      <c r="D613" s="20" t="s">
        <v>1300</v>
      </c>
      <c r="E613" s="15" t="str">
        <f>HYPERLINK("https://stat100.ameba.jp/tnk47/ratio20/illustrations/card/ill_65393_motochikafujin03.jpg?202001-1-RELEASE-raid-447x", "■")</f>
        <v>■</v>
      </c>
      <c r="F613" s="1" t="s">
        <v>1301</v>
      </c>
      <c r="G613" s="1">
        <v>119006</v>
      </c>
      <c r="H613" s="1">
        <v>128000</v>
      </c>
      <c r="I613" s="1">
        <v>26</v>
      </c>
      <c r="J613" s="1" t="s">
        <v>315</v>
      </c>
      <c r="K613" s="1" t="s">
        <v>1308</v>
      </c>
      <c r="L613" s="2" t="s">
        <v>9912</v>
      </c>
      <c r="M613" s="1" t="s">
        <v>13151</v>
      </c>
      <c r="N613" s="1" t="s">
        <v>251</v>
      </c>
      <c r="O613" s="1" t="s">
        <v>9158</v>
      </c>
      <c r="P613" s="1" t="s">
        <v>9158</v>
      </c>
      <c r="Q613" s="1" t="s">
        <v>9158</v>
      </c>
      <c r="R613" s="14" t="s">
        <v>14858</v>
      </c>
    </row>
    <row r="614" spans="1:18">
      <c r="A614" s="1">
        <v>65403</v>
      </c>
      <c r="B614" s="1" t="s">
        <v>334</v>
      </c>
      <c r="C614" s="1" t="s">
        <v>206</v>
      </c>
      <c r="D614" s="20" t="s">
        <v>1302</v>
      </c>
      <c r="E614" s="15" t="str">
        <f>HYPERLINK("https://stat100.ameba.jp/tnk47/ratio20/illustrations/card/ill_65403_amenokoyanenomikoto03.jpg?202001-1-RELEASE-raid-447x", "■")</f>
        <v>■</v>
      </c>
      <c r="F614" s="1" t="s">
        <v>1303</v>
      </c>
      <c r="G614" s="1">
        <v>128000</v>
      </c>
      <c r="H614" s="1">
        <v>119006</v>
      </c>
      <c r="I614" s="1">
        <v>26</v>
      </c>
      <c r="J614" s="1" t="s">
        <v>401</v>
      </c>
      <c r="K614" s="1" t="s">
        <v>1309</v>
      </c>
      <c r="L614" s="2" t="s">
        <v>9913</v>
      </c>
      <c r="M614" s="1" t="s">
        <v>13151</v>
      </c>
      <c r="N614" s="1" t="s">
        <v>251</v>
      </c>
      <c r="O614" s="1" t="s">
        <v>9158</v>
      </c>
      <c r="P614" s="1" t="s">
        <v>9158</v>
      </c>
      <c r="Q614" s="1" t="s">
        <v>9158</v>
      </c>
      <c r="R614" s="14" t="s">
        <v>14858</v>
      </c>
    </row>
    <row r="615" spans="1:18">
      <c r="E615" s="9"/>
    </row>
    <row r="616" spans="1:18">
      <c r="A616" s="9" t="s">
        <v>9304</v>
      </c>
      <c r="E616" s="9"/>
    </row>
    <row r="617" spans="1:18">
      <c r="A617" s="9" t="s">
        <v>9303</v>
      </c>
      <c r="E617" s="9"/>
    </row>
    <row r="618" spans="1:18">
      <c r="A618" s="1" t="s">
        <v>5899</v>
      </c>
      <c r="B618" s="1" t="s">
        <v>330</v>
      </c>
      <c r="C618" s="1" t="s">
        <v>205</v>
      </c>
      <c r="D618" s="20" t="s">
        <v>1559</v>
      </c>
      <c r="E618" s="15" t="str">
        <f>HYPERLINK("https://stat100.ameba.jp/tnk47/ratio20/illustrations/card/ill_73773_0_umibirakiinugamigyobu03.jpg?202002-i_prefecture_active_userx", "■")</f>
        <v>■</v>
      </c>
      <c r="F618" s="1" t="s">
        <v>935</v>
      </c>
      <c r="G618" s="1">
        <v>208256</v>
      </c>
      <c r="H618" s="1">
        <v>224000</v>
      </c>
      <c r="I618" s="1">
        <v>24</v>
      </c>
      <c r="J618" s="1" t="s">
        <v>182</v>
      </c>
      <c r="K618" s="1" t="s">
        <v>936</v>
      </c>
      <c r="L618" s="1" t="s">
        <v>13147</v>
      </c>
      <c r="M618" s="1" t="s">
        <v>9158</v>
      </c>
      <c r="N618" s="1" t="s">
        <v>9158</v>
      </c>
      <c r="O618" s="19" t="s">
        <v>2978</v>
      </c>
      <c r="P618" s="1" t="s">
        <v>2979</v>
      </c>
      <c r="Q618" s="1">
        <v>2</v>
      </c>
    </row>
    <row r="619" spans="1:18">
      <c r="A619" s="1">
        <v>65643</v>
      </c>
      <c r="B619" s="1" t="s">
        <v>0</v>
      </c>
      <c r="C619" s="1" t="s">
        <v>209</v>
      </c>
      <c r="D619" s="20" t="s">
        <v>1681</v>
      </c>
      <c r="E619" s="15" t="str">
        <f>HYPERLINK("https://stat100.ameba.jp/tnk47/ratio20/illustrations/card/ill_65643_shitompekamui03.jpg?202002-i_prefecture_active_userx", "■")</f>
        <v>■</v>
      </c>
      <c r="F619" s="1" t="s">
        <v>1250</v>
      </c>
      <c r="G619" s="1">
        <v>79348</v>
      </c>
      <c r="H619" s="1">
        <v>109554</v>
      </c>
      <c r="I619" s="1">
        <v>24</v>
      </c>
      <c r="J619" s="1" t="s">
        <v>44</v>
      </c>
      <c r="K619" s="1" t="s">
        <v>1251</v>
      </c>
      <c r="L619" s="1" t="s">
        <v>1252</v>
      </c>
      <c r="M619" s="1" t="s">
        <v>9158</v>
      </c>
      <c r="N619" s="1" t="s">
        <v>9158</v>
      </c>
      <c r="O619" s="19" t="s">
        <v>10096</v>
      </c>
      <c r="P619" s="1" t="s">
        <v>3245</v>
      </c>
      <c r="Q619" s="1">
        <v>1</v>
      </c>
    </row>
    <row r="620" spans="1:18">
      <c r="A620" s="1">
        <v>79203</v>
      </c>
      <c r="B620" s="1" t="s">
        <v>0</v>
      </c>
      <c r="C620" s="1" t="s">
        <v>202</v>
      </c>
      <c r="D620" s="20" t="s">
        <v>10351</v>
      </c>
      <c r="E620" s="15" t="str">
        <f>HYPERLINK("https://stat100.ameba.jp/tnk47/ratio20/illustrations/card/ill_79203_santaokokuredeisanta03.jpg?202002-i_prefecture_active_userx", "■")</f>
        <v>■</v>
      </c>
      <c r="F620" s="1" t="s">
        <v>2621</v>
      </c>
      <c r="G620" s="1">
        <v>106680</v>
      </c>
      <c r="H620" s="1">
        <v>99182</v>
      </c>
      <c r="I620" s="1">
        <v>24</v>
      </c>
      <c r="J620" s="1" t="s">
        <v>38</v>
      </c>
      <c r="K620" s="1" t="s">
        <v>2622</v>
      </c>
      <c r="L620" s="1" t="s">
        <v>2623</v>
      </c>
      <c r="M620" s="1" t="s">
        <v>9158</v>
      </c>
      <c r="N620" s="1" t="s">
        <v>9158</v>
      </c>
      <c r="O620" s="19" t="s">
        <v>10086</v>
      </c>
      <c r="P620" s="1" t="s">
        <v>3701</v>
      </c>
      <c r="Q620" s="1">
        <v>1</v>
      </c>
    </row>
    <row r="621" spans="1:18">
      <c r="A621" s="1">
        <v>77673</v>
      </c>
      <c r="B621" s="1" t="s">
        <v>334</v>
      </c>
      <c r="C621" s="1" t="s">
        <v>158</v>
      </c>
      <c r="D621" s="20" t="s">
        <v>10270</v>
      </c>
      <c r="E621" s="15" t="str">
        <f>HYPERLINK("https://stat100.ameba.jp/tnk47/ratio20/illustrations/card/ill_77673_ryunochoji03.jpg?202002-i_prefecture_active_userx", "■")</f>
        <v>■</v>
      </c>
      <c r="F621" s="1" t="s">
        <v>1777</v>
      </c>
      <c r="G621" s="1">
        <v>111914</v>
      </c>
      <c r="H621" s="1">
        <v>81078</v>
      </c>
      <c r="I621" s="1">
        <v>24</v>
      </c>
      <c r="J621" s="1" t="s">
        <v>73</v>
      </c>
      <c r="K621" s="1" t="s">
        <v>1778</v>
      </c>
      <c r="L621" s="1" t="s">
        <v>1779</v>
      </c>
      <c r="M621" s="1" t="s">
        <v>9158</v>
      </c>
      <c r="N621" s="1" t="s">
        <v>9158</v>
      </c>
      <c r="O621" s="19" t="s">
        <v>10090</v>
      </c>
      <c r="P621" s="1" t="s">
        <v>3460</v>
      </c>
      <c r="Q621" s="1">
        <v>1</v>
      </c>
    </row>
    <row r="622" spans="1:18">
      <c r="A622" s="7"/>
      <c r="B622" s="7"/>
      <c r="C622" s="7"/>
      <c r="D622" s="7"/>
      <c r="E622" s="7"/>
      <c r="F622" s="7"/>
      <c r="G622" s="7"/>
      <c r="H622" s="7"/>
      <c r="I622" s="7"/>
      <c r="J622" s="7"/>
      <c r="K622" s="7"/>
      <c r="L622" s="7"/>
      <c r="M622" s="7"/>
      <c r="N622" s="7"/>
      <c r="O622" s="7"/>
      <c r="P622" s="7"/>
      <c r="Q622" s="7"/>
      <c r="R622" s="7"/>
    </row>
    <row r="623" spans="1:18">
      <c r="A623" s="7" t="s">
        <v>3643</v>
      </c>
      <c r="B623" s="7"/>
      <c r="C623" s="7"/>
      <c r="D623" s="7"/>
      <c r="E623" s="7"/>
      <c r="F623" s="7"/>
      <c r="G623" s="7"/>
      <c r="H623" s="7"/>
      <c r="I623" s="7"/>
      <c r="J623" s="7"/>
      <c r="K623" s="7"/>
      <c r="L623" s="7"/>
      <c r="M623" s="7"/>
      <c r="N623" s="7"/>
      <c r="O623" s="7"/>
      <c r="P623" s="7"/>
      <c r="Q623" s="7"/>
      <c r="R623" s="7"/>
    </row>
    <row r="624" spans="1:18">
      <c r="A624" s="7" t="s">
        <v>9315</v>
      </c>
      <c r="B624" s="7"/>
      <c r="C624" s="7"/>
      <c r="D624" s="7"/>
      <c r="E624" s="7"/>
      <c r="F624" s="7"/>
      <c r="G624" s="7"/>
      <c r="H624" s="7"/>
      <c r="I624" s="7"/>
      <c r="J624" s="7"/>
      <c r="K624" s="7"/>
      <c r="L624" s="7"/>
      <c r="M624" s="7"/>
      <c r="N624" s="7"/>
      <c r="O624" s="7"/>
      <c r="P624" s="7"/>
      <c r="Q624" s="7"/>
      <c r="R624" s="7"/>
    </row>
    <row r="625" spans="1:18">
      <c r="A625" s="7">
        <v>83055</v>
      </c>
      <c r="B625" s="7" t="s">
        <v>0</v>
      </c>
      <c r="C625" s="7" t="s">
        <v>202</v>
      </c>
      <c r="D625" s="20" t="s">
        <v>10449</v>
      </c>
      <c r="E625" s="15" t="str">
        <f>HYPERLINK("https://stat100.ameba.jp/tnk47/ratio20/illustrations/card/ill_83055_kyofunobyotohakutsuru05.jpg?202002-i_prefecture_active_userx", "■")</f>
        <v>■</v>
      </c>
      <c r="F625" s="7" t="s">
        <v>6018</v>
      </c>
      <c r="G625" s="7">
        <v>125396</v>
      </c>
      <c r="H625" s="7">
        <v>90810</v>
      </c>
      <c r="I625" s="7">
        <v>25</v>
      </c>
      <c r="J625" s="1" t="s">
        <v>38</v>
      </c>
      <c r="K625" s="7" t="s">
        <v>6021</v>
      </c>
      <c r="L625" s="7" t="s">
        <v>6020</v>
      </c>
      <c r="M625" s="1" t="s">
        <v>9158</v>
      </c>
      <c r="N625" s="1" t="s">
        <v>9158</v>
      </c>
      <c r="O625" s="1" t="s">
        <v>9158</v>
      </c>
      <c r="P625" s="1" t="s">
        <v>9158</v>
      </c>
      <c r="Q625" s="1" t="s">
        <v>9158</v>
      </c>
      <c r="R625" s="7" t="s">
        <v>174</v>
      </c>
    </row>
    <row r="626" spans="1:18">
      <c r="A626" s="7">
        <v>83053</v>
      </c>
      <c r="B626" s="7" t="s">
        <v>15</v>
      </c>
      <c r="C626" s="7" t="s">
        <v>154</v>
      </c>
      <c r="D626" s="20" t="s">
        <v>10449</v>
      </c>
      <c r="E626" s="15" t="str">
        <f>HYPERLINK("https://stat100.ameba.jp/tnk47/ratio20/illustrations/card/ill_83053_kyofunobyotohakutsuru03.jpg?202002-i_prefecture_active_userx", "■")</f>
        <v>■</v>
      </c>
      <c r="F626" s="7" t="s">
        <v>6018</v>
      </c>
      <c r="G626" s="7">
        <v>92405</v>
      </c>
      <c r="H626" s="7">
        <v>66897</v>
      </c>
      <c r="I626" s="7">
        <v>25</v>
      </c>
      <c r="J626" s="1" t="s">
        <v>38</v>
      </c>
      <c r="K626" s="7" t="s">
        <v>6021</v>
      </c>
      <c r="L626" s="7" t="s">
        <v>6024</v>
      </c>
      <c r="M626" s="1" t="s">
        <v>9158</v>
      </c>
      <c r="N626" s="1" t="s">
        <v>9158</v>
      </c>
      <c r="O626" s="1" t="s">
        <v>9158</v>
      </c>
      <c r="P626" s="1" t="s">
        <v>9158</v>
      </c>
      <c r="Q626" s="1" t="s">
        <v>9158</v>
      </c>
      <c r="R626" s="7" t="s">
        <v>175</v>
      </c>
    </row>
    <row r="627" spans="1:18">
      <c r="A627" s="7">
        <v>83051</v>
      </c>
      <c r="B627" s="7" t="s">
        <v>15</v>
      </c>
      <c r="C627" s="7" t="s">
        <v>154</v>
      </c>
      <c r="D627" s="20" t="s">
        <v>10449</v>
      </c>
      <c r="E627" s="15" t="str">
        <f>HYPERLINK("https://stat100.ameba.jp/tnk47/ratio20/illustrations/card/ill_83051_kyofunobyotohakutsuru01.jpg?202002-i_prefecture_active_userx", "■")</f>
        <v>■</v>
      </c>
      <c r="F627" s="7" t="s">
        <v>6018</v>
      </c>
      <c r="G627" s="7">
        <v>58775</v>
      </c>
      <c r="H627" s="7">
        <v>42550</v>
      </c>
      <c r="I627" s="7">
        <v>25</v>
      </c>
      <c r="J627" s="1" t="s">
        <v>38</v>
      </c>
      <c r="K627" s="7" t="s">
        <v>6021</v>
      </c>
      <c r="L627" s="7" t="s">
        <v>6023</v>
      </c>
      <c r="M627" s="1" t="s">
        <v>9158</v>
      </c>
      <c r="N627" s="1" t="s">
        <v>9158</v>
      </c>
      <c r="O627" s="1" t="s">
        <v>9158</v>
      </c>
      <c r="P627" s="1" t="s">
        <v>9158</v>
      </c>
      <c r="Q627" s="1" t="s">
        <v>9158</v>
      </c>
      <c r="R627" s="7" t="s">
        <v>176</v>
      </c>
    </row>
    <row r="628" spans="1:18">
      <c r="A628" s="7">
        <v>78085</v>
      </c>
      <c r="B628" s="7" t="s">
        <v>0</v>
      </c>
      <c r="C628" s="7" t="s">
        <v>202</v>
      </c>
      <c r="D628" s="20" t="s">
        <v>10374</v>
      </c>
      <c r="E628" s="15" t="str">
        <f>HYPERLINK("https://stat100.ameba.jp/tnk47/ratio20/illustrations/card/ill_78085_ryoribatoruhidarukami05.jpg?202002-i_prefecture_active_userx", "■")</f>
        <v>■</v>
      </c>
      <c r="F628" s="7" t="s">
        <v>9307</v>
      </c>
      <c r="G628" s="7">
        <v>129537</v>
      </c>
      <c r="H628" s="7">
        <v>178902</v>
      </c>
      <c r="I628" s="7">
        <v>25</v>
      </c>
      <c r="J628" s="1" t="s">
        <v>73</v>
      </c>
      <c r="K628" s="7" t="s">
        <v>9306</v>
      </c>
      <c r="L628" s="7" t="s">
        <v>9305</v>
      </c>
      <c r="M628" s="1" t="s">
        <v>9158</v>
      </c>
      <c r="N628" s="1" t="s">
        <v>9158</v>
      </c>
      <c r="O628" s="1" t="s">
        <v>9158</v>
      </c>
      <c r="P628" s="1" t="s">
        <v>9158</v>
      </c>
      <c r="Q628" s="1" t="s">
        <v>9158</v>
      </c>
      <c r="R628" s="7" t="s">
        <v>174</v>
      </c>
    </row>
    <row r="629" spans="1:18">
      <c r="A629" s="7">
        <v>78083</v>
      </c>
      <c r="B629" s="7" t="s">
        <v>15</v>
      </c>
      <c r="C629" s="7" t="s">
        <v>158</v>
      </c>
      <c r="D629" s="20" t="s">
        <v>10374</v>
      </c>
      <c r="E629" s="15" t="str">
        <f>HYPERLINK("https://stat100.ameba.jp/tnk47/ratio20/illustrations/card/ill_78083_ryoribatoruhidarukami03.jpg?202002-i_prefecture_active_userx", "■")</f>
        <v>■</v>
      </c>
      <c r="F629" s="7" t="s">
        <v>9307</v>
      </c>
      <c r="G629" s="7">
        <v>95438</v>
      </c>
      <c r="H629" s="7">
        <v>131814</v>
      </c>
      <c r="I629" s="7">
        <v>25</v>
      </c>
      <c r="J629" s="1" t="s">
        <v>73</v>
      </c>
      <c r="K629" s="7" t="s">
        <v>9306</v>
      </c>
      <c r="L629" s="7" t="s">
        <v>9308</v>
      </c>
      <c r="M629" s="1" t="s">
        <v>9158</v>
      </c>
      <c r="N629" s="1" t="s">
        <v>9158</v>
      </c>
      <c r="O629" s="1" t="s">
        <v>9158</v>
      </c>
      <c r="P629" s="1" t="s">
        <v>9158</v>
      </c>
      <c r="Q629" s="1" t="s">
        <v>9158</v>
      </c>
      <c r="R629" s="7" t="s">
        <v>175</v>
      </c>
    </row>
    <row r="630" spans="1:18">
      <c r="A630" s="7">
        <v>78081</v>
      </c>
      <c r="B630" s="7" t="s">
        <v>15</v>
      </c>
      <c r="C630" s="7" t="s">
        <v>158</v>
      </c>
      <c r="D630" s="20" t="s">
        <v>10374</v>
      </c>
      <c r="E630" s="15" t="str">
        <f>HYPERLINK("https://stat100.ameba.jp/tnk47/ratio20/illustrations/card/ill_78081_ryoribatoruhidarukami01.jpg?202002-i_prefecture_active_userx", "■")</f>
        <v>■</v>
      </c>
      <c r="F630" s="7" t="s">
        <v>9307</v>
      </c>
      <c r="G630" s="7">
        <v>60725</v>
      </c>
      <c r="H630" s="7">
        <v>83850</v>
      </c>
      <c r="I630" s="7">
        <v>25</v>
      </c>
      <c r="J630" s="1" t="s">
        <v>73</v>
      </c>
      <c r="K630" s="7" t="s">
        <v>9306</v>
      </c>
      <c r="L630" s="7" t="s">
        <v>9309</v>
      </c>
      <c r="M630" s="1" t="s">
        <v>9158</v>
      </c>
      <c r="N630" s="1" t="s">
        <v>9158</v>
      </c>
      <c r="O630" s="1" t="s">
        <v>9158</v>
      </c>
      <c r="P630" s="1" t="s">
        <v>9158</v>
      </c>
      <c r="Q630" s="1" t="s">
        <v>9158</v>
      </c>
      <c r="R630" s="7" t="s">
        <v>176</v>
      </c>
    </row>
    <row r="631" spans="1:18">
      <c r="A631" s="7">
        <v>83645</v>
      </c>
      <c r="B631" s="7" t="s">
        <v>0</v>
      </c>
      <c r="C631" s="7" t="s">
        <v>202</v>
      </c>
      <c r="D631" s="20" t="s">
        <v>10566</v>
      </c>
      <c r="E631" s="15" t="str">
        <f>HYPERLINK("https://stat100.ameba.jp/tnk47/ratio20/illustrations/card/ill_83645_yuenchihazadoehimenomikoto05.jpg?202002-i_prefecture_active_userx", "■")</f>
        <v>■</v>
      </c>
      <c r="F631" s="7" t="s">
        <v>9312</v>
      </c>
      <c r="G631" s="7">
        <v>117532</v>
      </c>
      <c r="H631" s="7">
        <v>85097</v>
      </c>
      <c r="I631" s="7">
        <v>25</v>
      </c>
      <c r="J631" s="1" t="s">
        <v>44</v>
      </c>
      <c r="K631" s="7" t="s">
        <v>9311</v>
      </c>
      <c r="L631" s="7" t="s">
        <v>9310</v>
      </c>
      <c r="M631" s="1" t="s">
        <v>9158</v>
      </c>
      <c r="N631" s="1" t="s">
        <v>9158</v>
      </c>
      <c r="O631" s="1" t="s">
        <v>9158</v>
      </c>
      <c r="P631" s="1" t="s">
        <v>9158</v>
      </c>
      <c r="Q631" s="1" t="s">
        <v>9158</v>
      </c>
      <c r="R631" s="7" t="s">
        <v>174</v>
      </c>
    </row>
    <row r="632" spans="1:18">
      <c r="A632" s="7">
        <v>83643</v>
      </c>
      <c r="B632" s="7" t="s">
        <v>15</v>
      </c>
      <c r="C632" s="7" t="s">
        <v>158</v>
      </c>
      <c r="D632" s="20" t="s">
        <v>10566</v>
      </c>
      <c r="E632" s="15" t="str">
        <f>HYPERLINK("https://stat100.ameba.jp/tnk47/ratio20/illustrations/card/ill_83643_yuenchihazadoehimenomikoto03.jpg?202002-i_prefecture_active_userx", "■")</f>
        <v>■</v>
      </c>
      <c r="F632" s="7" t="s">
        <v>9312</v>
      </c>
      <c r="G632" s="7">
        <v>86587</v>
      </c>
      <c r="H632" s="7">
        <v>62693</v>
      </c>
      <c r="I632" s="7">
        <v>25</v>
      </c>
      <c r="J632" s="1" t="s">
        <v>44</v>
      </c>
      <c r="K632" s="7" t="s">
        <v>9311</v>
      </c>
      <c r="L632" s="7" t="s">
        <v>9313</v>
      </c>
      <c r="M632" s="1" t="s">
        <v>9158</v>
      </c>
      <c r="N632" s="1" t="s">
        <v>9158</v>
      </c>
      <c r="O632" s="1" t="s">
        <v>9158</v>
      </c>
      <c r="P632" s="1" t="s">
        <v>9158</v>
      </c>
      <c r="Q632" s="1" t="s">
        <v>9158</v>
      </c>
      <c r="R632" s="7" t="s">
        <v>175</v>
      </c>
    </row>
    <row r="633" spans="1:18">
      <c r="A633" s="7">
        <v>83641</v>
      </c>
      <c r="B633" s="7" t="s">
        <v>15</v>
      </c>
      <c r="C633" s="7" t="s">
        <v>158</v>
      </c>
      <c r="D633" s="20" t="s">
        <v>10566</v>
      </c>
      <c r="E633" s="15" t="str">
        <f>HYPERLINK("https://stat100.ameba.jp/tnk47/ratio20/illustrations/card/ill_83641_yuenchihazadoehimenomikoto01.jpg?202002-i_prefecture_active_userx", "■")</f>
        <v>■</v>
      </c>
      <c r="F633" s="7" t="s">
        <v>9312</v>
      </c>
      <c r="G633" s="7">
        <v>55075</v>
      </c>
      <c r="H633" s="7">
        <v>39875</v>
      </c>
      <c r="I633" s="7">
        <v>25</v>
      </c>
      <c r="J633" s="1" t="s">
        <v>44</v>
      </c>
      <c r="K633" s="7" t="s">
        <v>9311</v>
      </c>
      <c r="L633" s="7" t="s">
        <v>9314</v>
      </c>
      <c r="M633" s="1" t="s">
        <v>9158</v>
      </c>
      <c r="N633" s="1" t="s">
        <v>9158</v>
      </c>
      <c r="O633" s="1" t="s">
        <v>9158</v>
      </c>
      <c r="P633" s="1" t="s">
        <v>9158</v>
      </c>
      <c r="Q633" s="1" t="s">
        <v>9158</v>
      </c>
      <c r="R633" s="7" t="s">
        <v>176</v>
      </c>
    </row>
  </sheetData>
  <phoneticPr fontId="1"/>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2FA08-9C64-48B4-9970-93E547D93466}">
  <dimension ref="A1:S612"/>
  <sheetViews>
    <sheetView zoomScale="55" zoomScaleNormal="55" workbookViewId="0">
      <pane ySplit="1" topLeftCell="A454" activePane="bottomLeft" state="frozen"/>
      <selection activeCell="A274" sqref="A274:Q274"/>
      <selection pane="bottomLeft" activeCell="A466" sqref="A466"/>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9140625" style="14"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9321</v>
      </c>
    </row>
    <row r="4" spans="1:19">
      <c r="A4" s="9" t="s">
        <v>9323</v>
      </c>
    </row>
    <row r="5" spans="1:19">
      <c r="A5" s="9" t="s">
        <v>9322</v>
      </c>
    </row>
    <row r="6" spans="1:19">
      <c r="A6" s="9" t="s">
        <v>9325</v>
      </c>
      <c r="B6" s="7" t="s">
        <v>52</v>
      </c>
      <c r="C6" s="9" t="s">
        <v>202</v>
      </c>
      <c r="D6" s="19" t="s">
        <v>10947</v>
      </c>
      <c r="E6" s="15" t="str">
        <f>HYPERLINK("https://stat100.ameba.jp/tnk47/ratio20/illustrations/card/ill_86893_0_chokonohisukeban03.jpg?202002-i_prefecture_active_userxx", "■")</f>
        <v>■</v>
      </c>
      <c r="F6" s="14" t="s">
        <v>9332</v>
      </c>
      <c r="G6" s="9">
        <v>390808</v>
      </c>
      <c r="H6" s="9">
        <v>353192</v>
      </c>
      <c r="I6" s="7">
        <v>30</v>
      </c>
      <c r="J6" s="9" t="s">
        <v>187</v>
      </c>
      <c r="K6" s="13" t="s">
        <v>9330</v>
      </c>
      <c r="L6" s="13" t="s">
        <v>9331</v>
      </c>
      <c r="M6" s="1" t="s">
        <v>9158</v>
      </c>
      <c r="N6" s="1" t="s">
        <v>9158</v>
      </c>
      <c r="O6" s="19" t="s">
        <v>10136</v>
      </c>
      <c r="P6" s="7" t="s">
        <v>9324</v>
      </c>
      <c r="Q6" s="7">
        <v>1</v>
      </c>
      <c r="R6" s="1"/>
    </row>
    <row r="7" spans="1:19">
      <c r="A7" s="9">
        <v>86833</v>
      </c>
      <c r="B7" s="1" t="s">
        <v>0</v>
      </c>
      <c r="C7" s="9" t="s">
        <v>185</v>
      </c>
      <c r="D7" s="19" t="s">
        <v>12619</v>
      </c>
      <c r="E7" s="15" t="str">
        <f>HYPERLINK("https://stat100.ameba.jp/tnk47/ratio20/illustrations/card/ill_86833_chokonohidosankochan03.jpg?202002-i_prefecture_active_userxx", "■")</f>
        <v>■</v>
      </c>
      <c r="F7" s="9" t="s">
        <v>9335</v>
      </c>
      <c r="G7" s="9">
        <v>98066</v>
      </c>
      <c r="H7" s="9">
        <v>105426</v>
      </c>
      <c r="I7" s="1">
        <v>26</v>
      </c>
      <c r="J7" s="9" t="s">
        <v>229</v>
      </c>
      <c r="K7" s="9" t="s">
        <v>9334</v>
      </c>
      <c r="L7" s="9" t="s">
        <v>9333</v>
      </c>
      <c r="M7" s="1" t="s">
        <v>9158</v>
      </c>
      <c r="N7" s="1" t="s">
        <v>9158</v>
      </c>
      <c r="O7" s="19" t="s">
        <v>2752</v>
      </c>
      <c r="P7" s="1" t="s">
        <v>13123</v>
      </c>
      <c r="Q7" s="1">
        <v>1</v>
      </c>
      <c r="R7" s="1"/>
    </row>
    <row r="8" spans="1:19">
      <c r="A8" s="9">
        <v>86843</v>
      </c>
      <c r="B8" s="1" t="s">
        <v>0</v>
      </c>
      <c r="C8" s="9" t="s">
        <v>191</v>
      </c>
      <c r="D8" s="19" t="s">
        <v>10948</v>
      </c>
      <c r="E8" s="15" t="str">
        <f>HYPERLINK("https://stat100.ameba.jp/tnk47/ratio20/illustrations/card/ill_86843_chokonohitoyotakerosho03.jpg?202002-i_prefecture_active_userxx", "■")</f>
        <v>■</v>
      </c>
      <c r="F8" s="9" t="s">
        <v>9337</v>
      </c>
      <c r="G8" s="9">
        <v>101558</v>
      </c>
      <c r="H8" s="9">
        <v>94390</v>
      </c>
      <c r="I8" s="1">
        <v>26</v>
      </c>
      <c r="J8" s="9" t="s">
        <v>173</v>
      </c>
      <c r="K8" s="9" t="s">
        <v>9336</v>
      </c>
      <c r="L8" s="9" t="s">
        <v>5494</v>
      </c>
      <c r="M8" s="1" t="s">
        <v>2138</v>
      </c>
      <c r="N8" s="1" t="s">
        <v>2139</v>
      </c>
      <c r="O8" s="1" t="s">
        <v>9158</v>
      </c>
      <c r="P8" s="1" t="s">
        <v>9158</v>
      </c>
      <c r="Q8" s="1" t="s">
        <v>9158</v>
      </c>
      <c r="R8" s="1" t="s">
        <v>13120</v>
      </c>
    </row>
    <row r="9" spans="1:19">
      <c r="A9" s="9">
        <v>86853</v>
      </c>
      <c r="B9" s="1" t="s">
        <v>0</v>
      </c>
      <c r="C9" s="9" t="s">
        <v>205</v>
      </c>
      <c r="D9" s="19" t="s">
        <v>10949</v>
      </c>
      <c r="E9" s="15" t="str">
        <f>HYPERLINK("https://stat100.ameba.jp/tnk47/ratio20/illustrations/card/ill_86853_chokonohisangoiro03.jpg?202002-i_prefecture_active_userxx", "■")</f>
        <v>■</v>
      </c>
      <c r="F9" s="9" t="s">
        <v>9340</v>
      </c>
      <c r="G9" s="9">
        <v>110126</v>
      </c>
      <c r="H9" s="9">
        <v>118656</v>
      </c>
      <c r="I9" s="1">
        <v>26</v>
      </c>
      <c r="J9" s="9" t="s">
        <v>155</v>
      </c>
      <c r="K9" s="9" t="s">
        <v>9339</v>
      </c>
      <c r="L9" s="9" t="s">
        <v>9338</v>
      </c>
      <c r="M9" s="1" t="s">
        <v>2138</v>
      </c>
      <c r="N9" s="1" t="s">
        <v>2139</v>
      </c>
      <c r="O9" s="1" t="s">
        <v>9158</v>
      </c>
      <c r="P9" s="1" t="s">
        <v>9158</v>
      </c>
      <c r="Q9" s="1" t="s">
        <v>9158</v>
      </c>
      <c r="R9" s="1" t="s">
        <v>13120</v>
      </c>
    </row>
    <row r="10" spans="1:19">
      <c r="A10" s="9">
        <v>86863</v>
      </c>
      <c r="B10" s="1" t="s">
        <v>15</v>
      </c>
      <c r="C10" s="9" t="s">
        <v>206</v>
      </c>
      <c r="D10" s="19" t="s">
        <v>10950</v>
      </c>
      <c r="E10" s="15" t="str">
        <f>HYPERLINK("https://stat100.ameba.jp/tnk47/ratio20/illustrations/card/ill_86863_chokoretokeki03.jpg?202002-i_prefecture_active_userxx", "■")</f>
        <v>■</v>
      </c>
      <c r="F10" s="9" t="s">
        <v>9342</v>
      </c>
      <c r="G10" s="9">
        <v>74100</v>
      </c>
      <c r="H10" s="9">
        <v>67210</v>
      </c>
      <c r="I10" s="1">
        <v>25</v>
      </c>
      <c r="J10" s="9" t="s">
        <v>216</v>
      </c>
      <c r="K10" s="9" t="s">
        <v>9341</v>
      </c>
      <c r="L10" s="9" t="s">
        <v>3502</v>
      </c>
      <c r="M10" s="1" t="s">
        <v>9158</v>
      </c>
      <c r="N10" s="1" t="s">
        <v>9158</v>
      </c>
      <c r="O10" s="1" t="s">
        <v>9158</v>
      </c>
      <c r="P10" s="1" t="s">
        <v>9158</v>
      </c>
      <c r="Q10" s="1" t="s">
        <v>9158</v>
      </c>
      <c r="R10" s="1"/>
    </row>
    <row r="11" spans="1:19">
      <c r="A11" s="9">
        <v>86873</v>
      </c>
      <c r="B11" s="1" t="s">
        <v>15</v>
      </c>
      <c r="C11" s="9" t="s">
        <v>165</v>
      </c>
      <c r="D11" s="19" t="s">
        <v>10951</v>
      </c>
      <c r="E11" s="15" t="str">
        <f>HYPERLINK("https://stat100.ameba.jp/tnk47/ratio20/illustrations/card/ill_86873_uehasuchan03.jpg?202002-i_prefecture_active_userxx", "■")</f>
        <v>■</v>
      </c>
      <c r="F11" s="9" t="s">
        <v>9344</v>
      </c>
      <c r="G11" s="9">
        <v>67210</v>
      </c>
      <c r="H11" s="9">
        <v>74100</v>
      </c>
      <c r="I11" s="1">
        <v>25</v>
      </c>
      <c r="J11" s="9" t="s">
        <v>216</v>
      </c>
      <c r="K11" s="9" t="s">
        <v>9343</v>
      </c>
      <c r="L11" s="9" t="s">
        <v>2154</v>
      </c>
      <c r="M11" s="1" t="s">
        <v>9158</v>
      </c>
      <c r="N11" s="1" t="s">
        <v>9158</v>
      </c>
      <c r="O11" s="1" t="s">
        <v>9158</v>
      </c>
      <c r="P11" s="1" t="s">
        <v>9158</v>
      </c>
      <c r="Q11" s="1" t="s">
        <v>9158</v>
      </c>
      <c r="R11" s="1"/>
    </row>
    <row r="12" spans="1:19">
      <c r="A12" s="9">
        <v>86883</v>
      </c>
      <c r="B12" s="1" t="s">
        <v>15</v>
      </c>
      <c r="C12" s="9" t="s">
        <v>200</v>
      </c>
      <c r="D12" s="19" t="s">
        <v>10952</v>
      </c>
      <c r="E12" s="15" t="str">
        <f>HYPERLINK("https://stat100.ameba.jp/tnk47/ratio20/illustrations/card/ill_86883_barentainakibameido03.jpg?202002-i_prefecture_active_userxx", "■")</f>
        <v>■</v>
      </c>
      <c r="F12" s="9" t="s">
        <v>9346</v>
      </c>
      <c r="G12" s="9">
        <v>74100</v>
      </c>
      <c r="H12" s="9">
        <v>67210</v>
      </c>
      <c r="I12" s="1">
        <v>25</v>
      </c>
      <c r="J12" s="9" t="s">
        <v>229</v>
      </c>
      <c r="K12" s="9" t="s">
        <v>9345</v>
      </c>
      <c r="L12" s="9" t="s">
        <v>5926</v>
      </c>
      <c r="M12" s="1" t="s">
        <v>9158</v>
      </c>
      <c r="N12" s="1" t="s">
        <v>9158</v>
      </c>
      <c r="O12" s="1" t="s">
        <v>9158</v>
      </c>
      <c r="P12" s="1" t="s">
        <v>9158</v>
      </c>
      <c r="Q12" s="1" t="s">
        <v>9158</v>
      </c>
      <c r="R12" s="1"/>
    </row>
    <row r="13" spans="1:19">
      <c r="A13" s="9">
        <v>86903</v>
      </c>
      <c r="B13" s="1" t="s">
        <v>22</v>
      </c>
      <c r="C13" s="9" t="s">
        <v>205</v>
      </c>
      <c r="D13" s="19" t="s">
        <v>10953</v>
      </c>
      <c r="E13" s="15" t="str">
        <f>HYPERLINK("https://stat100.ameba.jp/tnk47/ratio20/illustrations/card/ill_86903_valentine_sakamotoryouma03.jpg?202002-i_prefecture_active_userxx", "■")</f>
        <v>■</v>
      </c>
      <c r="F13" s="9" t="s">
        <v>9349</v>
      </c>
      <c r="G13" s="9">
        <v>43220</v>
      </c>
      <c r="H13" s="9">
        <v>51980</v>
      </c>
      <c r="I13" s="1">
        <v>25</v>
      </c>
      <c r="J13" s="9" t="s">
        <v>173</v>
      </c>
      <c r="K13" s="9" t="s">
        <v>9348</v>
      </c>
      <c r="L13" s="9" t="s">
        <v>9347</v>
      </c>
      <c r="M13" s="1" t="s">
        <v>9158</v>
      </c>
      <c r="N13" s="1" t="s">
        <v>9158</v>
      </c>
      <c r="O13" s="1" t="s">
        <v>9158</v>
      </c>
      <c r="P13" s="1" t="s">
        <v>9158</v>
      </c>
      <c r="Q13" s="1" t="s">
        <v>9158</v>
      </c>
      <c r="R13" s="1"/>
    </row>
    <row r="14" spans="1:19">
      <c r="A14" s="9">
        <v>86913</v>
      </c>
      <c r="B14" s="1" t="s">
        <v>22</v>
      </c>
      <c r="C14" s="9" t="s">
        <v>185</v>
      </c>
      <c r="D14" s="19" t="s">
        <v>10954</v>
      </c>
      <c r="E14" s="15" t="str">
        <f>HYPERLINK("https://stat100.ameba.jp/tnk47/ratio20/illustrations/card/ill_86913_hommeiuesugiyozan03.jpg?202002-i_prefecture_active_userxx", "■")</f>
        <v>■</v>
      </c>
      <c r="F14" s="9" t="s">
        <v>9351</v>
      </c>
      <c r="G14" s="9">
        <v>51980</v>
      </c>
      <c r="H14" s="9">
        <v>43220</v>
      </c>
      <c r="I14" s="1">
        <v>25</v>
      </c>
      <c r="J14" s="9" t="s">
        <v>194</v>
      </c>
      <c r="K14" s="9" t="s">
        <v>9350</v>
      </c>
      <c r="L14" s="9" t="s">
        <v>3737</v>
      </c>
      <c r="M14" s="1" t="s">
        <v>9158</v>
      </c>
      <c r="N14" s="1" t="s">
        <v>9158</v>
      </c>
      <c r="O14" s="1" t="s">
        <v>9158</v>
      </c>
      <c r="P14" s="1" t="s">
        <v>9158</v>
      </c>
      <c r="Q14" s="1" t="s">
        <v>9158</v>
      </c>
      <c r="R14" s="1"/>
    </row>
    <row r="15" spans="1:19">
      <c r="A15" s="9">
        <v>86923</v>
      </c>
      <c r="B15" s="1" t="s">
        <v>30</v>
      </c>
      <c r="C15" s="9" t="s">
        <v>1100</v>
      </c>
      <c r="D15" s="19" t="s">
        <v>10955</v>
      </c>
      <c r="E15" s="15" t="str">
        <f>HYPERLINK("https://stat100.ameba.jp/tnk47/ratio20/illustrations/card/ill_86923_hommeihojohojoujiyasu03.jpg?202002-i_prefecture_active_userxx", "■")</f>
        <v>■</v>
      </c>
      <c r="F15" s="9" t="s">
        <v>9327</v>
      </c>
      <c r="G15" s="7">
        <v>26430</v>
      </c>
      <c r="H15" s="7">
        <v>31470</v>
      </c>
      <c r="I15" s="1">
        <v>25</v>
      </c>
      <c r="J15" s="9" t="s">
        <v>194</v>
      </c>
      <c r="K15" s="9" t="s">
        <v>9326</v>
      </c>
      <c r="L15" s="9" t="s">
        <v>6014</v>
      </c>
      <c r="M15" s="1" t="s">
        <v>9158</v>
      </c>
      <c r="N15" s="1" t="s">
        <v>9158</v>
      </c>
      <c r="O15" s="1" t="s">
        <v>9158</v>
      </c>
      <c r="P15" s="1" t="s">
        <v>9158</v>
      </c>
      <c r="Q15" s="1" t="s">
        <v>9158</v>
      </c>
      <c r="R15" s="1"/>
    </row>
    <row r="16" spans="1:19">
      <c r="A16" s="9">
        <v>86933</v>
      </c>
      <c r="B16" s="1" t="s">
        <v>30</v>
      </c>
      <c r="C16" s="9" t="s">
        <v>2611</v>
      </c>
      <c r="D16" s="19" t="s">
        <v>10956</v>
      </c>
      <c r="E16" s="15" t="str">
        <f>HYPERLINK("https://stat100.ameba.jp/tnk47/ratio20/illustrations/card/ill_86933_chocolatier03.jpg?202002-i_prefecture_active_userxx", "■")</f>
        <v>■</v>
      </c>
      <c r="F16" s="9" t="s">
        <v>9329</v>
      </c>
      <c r="G16" s="7">
        <v>31470</v>
      </c>
      <c r="H16" s="7">
        <v>26430</v>
      </c>
      <c r="I16" s="1">
        <v>25</v>
      </c>
      <c r="J16" s="9" t="s">
        <v>229</v>
      </c>
      <c r="K16" s="9" t="s">
        <v>9328</v>
      </c>
      <c r="L16" s="9" t="s">
        <v>4205</v>
      </c>
      <c r="M16" s="1" t="s">
        <v>9158</v>
      </c>
      <c r="N16" s="1" t="s">
        <v>9158</v>
      </c>
      <c r="O16" s="1" t="s">
        <v>9158</v>
      </c>
      <c r="P16" s="1" t="s">
        <v>9158</v>
      </c>
      <c r="Q16" s="1" t="s">
        <v>9158</v>
      </c>
      <c r="R16" s="1"/>
    </row>
    <row r="17" spans="1:18">
      <c r="E17" s="9"/>
    </row>
    <row r="18" spans="1:18">
      <c r="A18" s="9" t="s">
        <v>13376</v>
      </c>
      <c r="E18" s="9"/>
    </row>
    <row r="19" spans="1:18">
      <c r="A19" s="9" t="s">
        <v>3746</v>
      </c>
      <c r="E19" s="9"/>
      <c r="M19" s="1"/>
      <c r="N19" s="1"/>
      <c r="O19" s="1"/>
      <c r="P19" s="1"/>
      <c r="Q19" s="1"/>
    </row>
    <row r="20" spans="1:18">
      <c r="A20" s="9">
        <v>86985</v>
      </c>
      <c r="B20" s="9" t="s">
        <v>0</v>
      </c>
      <c r="C20" s="9" t="s">
        <v>202</v>
      </c>
      <c r="D20" s="19" t="s">
        <v>10957</v>
      </c>
      <c r="E20" s="15" t="str">
        <f>HYPERLINK("https://stat100.ameba.jp/tnk47/ratio20/illustrations/card/ill_86985_setsubunkamejuhime05.jpg?202002-i_prefecture_active_userxx", "■")</f>
        <v>■</v>
      </c>
      <c r="F20" s="9" t="s">
        <v>9317</v>
      </c>
      <c r="G20" s="9">
        <v>117368</v>
      </c>
      <c r="H20" s="9">
        <v>89910</v>
      </c>
      <c r="I20" s="9">
        <v>26</v>
      </c>
      <c r="J20" s="9" t="s">
        <v>187</v>
      </c>
      <c r="K20" s="9" t="s">
        <v>9316</v>
      </c>
      <c r="L20" s="9" t="s">
        <v>4678</v>
      </c>
      <c r="M20" s="1" t="s">
        <v>9158</v>
      </c>
      <c r="N20" s="1" t="s">
        <v>9158</v>
      </c>
      <c r="O20" s="1" t="s">
        <v>9158</v>
      </c>
      <c r="P20" s="1" t="s">
        <v>9158</v>
      </c>
      <c r="Q20" s="1" t="s">
        <v>9158</v>
      </c>
      <c r="R20" s="9" t="s">
        <v>174</v>
      </c>
    </row>
    <row r="21" spans="1:18">
      <c r="A21" s="9">
        <v>86983</v>
      </c>
      <c r="B21" s="9" t="s">
        <v>15</v>
      </c>
      <c r="C21" s="9" t="s">
        <v>158</v>
      </c>
      <c r="D21" s="19" t="s">
        <v>10957</v>
      </c>
      <c r="E21" s="15" t="str">
        <f>HYPERLINK("https://stat100.ameba.jp/tnk47/ratio20/illustrations/card/ill_86983_setsubunkamejuhime03.jpg?202002-i_prefecture_active_userxx", "■")</f>
        <v>■</v>
      </c>
      <c r="F21" s="9" t="s">
        <v>9317</v>
      </c>
      <c r="G21" s="9">
        <v>83088</v>
      </c>
      <c r="H21" s="9">
        <v>69636</v>
      </c>
      <c r="I21" s="9">
        <v>26</v>
      </c>
      <c r="J21" s="9" t="s">
        <v>187</v>
      </c>
      <c r="K21" s="9" t="s">
        <v>9316</v>
      </c>
      <c r="L21" s="9" t="s">
        <v>9318</v>
      </c>
      <c r="M21" s="1" t="s">
        <v>9158</v>
      </c>
      <c r="N21" s="1" t="s">
        <v>9158</v>
      </c>
      <c r="O21" s="1" t="s">
        <v>9158</v>
      </c>
      <c r="P21" s="1" t="s">
        <v>9158</v>
      </c>
      <c r="Q21" s="1" t="s">
        <v>9158</v>
      </c>
      <c r="R21" s="9" t="s">
        <v>175</v>
      </c>
    </row>
    <row r="22" spans="1:18">
      <c r="A22" s="9">
        <v>86981</v>
      </c>
      <c r="B22" s="9" t="s">
        <v>15</v>
      </c>
      <c r="C22" s="9" t="s">
        <v>158</v>
      </c>
      <c r="D22" s="19" t="s">
        <v>10957</v>
      </c>
      <c r="E22" s="15" t="str">
        <f>HYPERLINK("https://stat100.ameba.jp/tnk47/ratio20/illustrations/card/ill_86981_setsubunkamejuhime01.jpg?202002-i_prefecture_active_userxx", "■")</f>
        <v>■</v>
      </c>
      <c r="F22" s="9" t="s">
        <v>9317</v>
      </c>
      <c r="G22" s="9">
        <v>51584</v>
      </c>
      <c r="H22" s="9">
        <v>45578</v>
      </c>
      <c r="I22" s="9">
        <v>26</v>
      </c>
      <c r="J22" s="9" t="s">
        <v>187</v>
      </c>
      <c r="K22" s="9" t="s">
        <v>9316</v>
      </c>
      <c r="L22" s="9" t="s">
        <v>9319</v>
      </c>
      <c r="M22" s="1" t="s">
        <v>9158</v>
      </c>
      <c r="N22" s="1" t="s">
        <v>9158</v>
      </c>
      <c r="O22" s="1" t="s">
        <v>9158</v>
      </c>
      <c r="P22" s="1" t="s">
        <v>9158</v>
      </c>
      <c r="Q22" s="1" t="s">
        <v>9158</v>
      </c>
      <c r="R22" s="9" t="s">
        <v>176</v>
      </c>
    </row>
    <row r="23" spans="1:18">
      <c r="E23" s="9"/>
    </row>
    <row r="24" spans="1:18">
      <c r="A24" s="9" t="s">
        <v>204</v>
      </c>
      <c r="E24" s="9"/>
    </row>
    <row r="25" spans="1:18">
      <c r="A25" s="9" t="s">
        <v>3511</v>
      </c>
      <c r="E25" s="9"/>
    </row>
    <row r="26" spans="1:18">
      <c r="A26" s="1" t="s">
        <v>5787</v>
      </c>
      <c r="B26" s="1" t="s">
        <v>330</v>
      </c>
      <c r="C26" s="1" t="s">
        <v>270</v>
      </c>
      <c r="D26" s="19" t="s">
        <v>331</v>
      </c>
      <c r="E26" s="15" t="str">
        <f>HYPERLINK("https://stat100.ameba.jp/tnk47/ratio20/illustrations/card/ill_76303_0_haroinkaguya03.jpg?202002-i_prefecture_active_userxx", "■")</f>
        <v>■</v>
      </c>
      <c r="F26" s="1" t="s">
        <v>332</v>
      </c>
      <c r="G26" s="1">
        <v>261812</v>
      </c>
      <c r="H26" s="1">
        <v>243398</v>
      </c>
      <c r="I26" s="1">
        <v>22</v>
      </c>
      <c r="J26" s="1" t="s">
        <v>274</v>
      </c>
      <c r="K26" s="1" t="s">
        <v>333</v>
      </c>
      <c r="L26" s="1" t="s">
        <v>276</v>
      </c>
      <c r="M26" s="1" t="s">
        <v>9158</v>
      </c>
      <c r="N26" s="1" t="s">
        <v>9158</v>
      </c>
      <c r="O26" s="19" t="s">
        <v>2976</v>
      </c>
      <c r="P26" s="1" t="s">
        <v>2724</v>
      </c>
      <c r="Q26" s="1">
        <v>1</v>
      </c>
    </row>
    <row r="27" spans="1:18">
      <c r="A27" s="1" t="s">
        <v>7150</v>
      </c>
      <c r="B27" s="1" t="s">
        <v>52</v>
      </c>
      <c r="C27" s="1" t="s">
        <v>202</v>
      </c>
      <c r="D27" s="19" t="s">
        <v>10656</v>
      </c>
      <c r="E27" s="15" t="str">
        <f>HYPERLINK("https://stat100.ameba.jp/tnk47/ratio20/illustrations/card/ill_84203_0_tarottofujiwaranoshoshi03.jpg?202002-i_prefecture_active_userxx", "■")</f>
        <v>■</v>
      </c>
      <c r="F27" s="1" t="s">
        <v>7153</v>
      </c>
      <c r="G27" s="1">
        <v>323812</v>
      </c>
      <c r="H27" s="1">
        <v>292680</v>
      </c>
      <c r="I27" s="1">
        <v>22</v>
      </c>
      <c r="J27" s="1" t="s">
        <v>10</v>
      </c>
      <c r="K27" s="1" t="s">
        <v>7152</v>
      </c>
      <c r="L27" s="1" t="s">
        <v>7151</v>
      </c>
      <c r="M27" s="1" t="s">
        <v>9158</v>
      </c>
      <c r="N27" s="1" t="s">
        <v>9158</v>
      </c>
      <c r="O27" s="19" t="s">
        <v>10128</v>
      </c>
      <c r="P27" s="1" t="s">
        <v>7154</v>
      </c>
      <c r="Q27" s="1">
        <v>1</v>
      </c>
    </row>
    <row r="28" spans="1:18">
      <c r="A28" s="1" t="s">
        <v>5604</v>
      </c>
      <c r="B28" s="1" t="s">
        <v>330</v>
      </c>
      <c r="C28" s="1" t="s">
        <v>206</v>
      </c>
      <c r="D28" s="19" t="s">
        <v>614</v>
      </c>
      <c r="E28" s="15" t="str">
        <f>HYPERLINK("https://stat100.ameba.jp/tnk47/ratio20/illustrations/card/ill_47263_0_oukyuuatsuhime03.jpg?202002-i_prefecture_active_userxx", "■")</f>
        <v>■</v>
      </c>
      <c r="F28" s="1" t="s">
        <v>615</v>
      </c>
      <c r="G28" s="1">
        <v>138212</v>
      </c>
      <c r="H28" s="1">
        <v>122776</v>
      </c>
      <c r="I28" s="1">
        <v>22</v>
      </c>
      <c r="J28" s="1" t="s">
        <v>315</v>
      </c>
      <c r="K28" s="1" t="s">
        <v>616</v>
      </c>
      <c r="L28" s="1" t="s">
        <v>617</v>
      </c>
      <c r="M28" s="1" t="s">
        <v>9158</v>
      </c>
      <c r="N28" s="1" t="s">
        <v>9158</v>
      </c>
      <c r="O28" s="1" t="s">
        <v>9158</v>
      </c>
      <c r="P28" s="1" t="s">
        <v>9158</v>
      </c>
      <c r="Q28" s="1" t="s">
        <v>9158</v>
      </c>
    </row>
    <row r="29" spans="1:18">
      <c r="A29" s="1">
        <v>67523</v>
      </c>
      <c r="B29" s="1" t="s">
        <v>334</v>
      </c>
      <c r="C29" s="1" t="s">
        <v>200</v>
      </c>
      <c r="D29" s="19" t="s">
        <v>1414</v>
      </c>
      <c r="E29" s="15" t="str">
        <f>HYPERLINK("https://stat100.ameba.jp/tnk47/ratio20/illustrations/card/ill_67523_shirazuyawatanomori03.jpg?201908-3-RELEASE-dice-e-424", "■")</f>
        <v>■</v>
      </c>
      <c r="F29" s="1" t="s">
        <v>2601</v>
      </c>
      <c r="G29" s="1">
        <v>146392</v>
      </c>
      <c r="H29" s="1">
        <v>146392</v>
      </c>
      <c r="I29" s="1">
        <v>26</v>
      </c>
      <c r="J29" s="1" t="s">
        <v>38</v>
      </c>
      <c r="K29" s="1" t="s">
        <v>6235</v>
      </c>
      <c r="L29" s="1" t="s">
        <v>6234</v>
      </c>
      <c r="M29" s="1" t="s">
        <v>9158</v>
      </c>
      <c r="N29" s="1" t="s">
        <v>9158</v>
      </c>
      <c r="O29" s="1" t="s">
        <v>9158</v>
      </c>
      <c r="P29" s="1" t="s">
        <v>9158</v>
      </c>
      <c r="Q29" s="14" t="s">
        <v>9158</v>
      </c>
    </row>
    <row r="30" spans="1:18">
      <c r="A30" s="1">
        <v>69943</v>
      </c>
      <c r="B30" s="1" t="s">
        <v>334</v>
      </c>
      <c r="C30" s="1" t="s">
        <v>165</v>
      </c>
      <c r="D30" s="19" t="s">
        <v>10364</v>
      </c>
      <c r="E30" s="15" t="str">
        <f>HYPERLINK("https://stat100.ameba.jp/tnk47/ratio20/illustrations/card/ill_69943_hanzaiopakabaro03.jpg?202002-i_prefecture_active_userxx", "■")</f>
        <v>■</v>
      </c>
      <c r="F30" s="1" t="s">
        <v>1887</v>
      </c>
      <c r="G30" s="1">
        <v>125392</v>
      </c>
      <c r="H30" s="1">
        <v>70556</v>
      </c>
      <c r="I30" s="1">
        <v>26</v>
      </c>
      <c r="J30" s="1" t="s">
        <v>16</v>
      </c>
      <c r="K30" s="1" t="s">
        <v>1888</v>
      </c>
      <c r="L30" s="1" t="s">
        <v>1889</v>
      </c>
      <c r="M30" s="1" t="s">
        <v>9158</v>
      </c>
      <c r="N30" s="1" t="s">
        <v>9158</v>
      </c>
      <c r="O30" s="1" t="s">
        <v>9158</v>
      </c>
      <c r="P30" s="1" t="s">
        <v>9158</v>
      </c>
      <c r="Q30" s="1" t="s">
        <v>9158</v>
      </c>
    </row>
    <row r="31" spans="1:18">
      <c r="A31" s="1">
        <v>79713</v>
      </c>
      <c r="B31" s="1" t="s">
        <v>0</v>
      </c>
      <c r="C31" s="1" t="s">
        <v>191</v>
      </c>
      <c r="D31" s="19" t="s">
        <v>10717</v>
      </c>
      <c r="E31" s="15" t="str">
        <f>HYPERLINK("https://stat100.ameba.jp/tnk47/ratio20/illustrations/card/ill_79713_yukinosaitembodeikonchan03.jpg?202002-i_prefecture_active_userxx", "■")</f>
        <v>■</v>
      </c>
      <c r="F31" s="1" t="s">
        <v>3689</v>
      </c>
      <c r="G31" s="1">
        <v>118446</v>
      </c>
      <c r="H31" s="1">
        <v>110126</v>
      </c>
      <c r="I31" s="1">
        <v>26</v>
      </c>
      <c r="J31" s="1" t="s">
        <v>26</v>
      </c>
      <c r="K31" s="1" t="s">
        <v>3690</v>
      </c>
      <c r="L31" s="1" t="s">
        <v>1086</v>
      </c>
      <c r="M31" s="1" t="s">
        <v>9158</v>
      </c>
      <c r="N31" s="1" t="s">
        <v>9158</v>
      </c>
      <c r="O31" s="1" t="s">
        <v>9158</v>
      </c>
      <c r="P31" s="1" t="s">
        <v>9158</v>
      </c>
      <c r="Q31" s="1" t="s">
        <v>9158</v>
      </c>
    </row>
    <row r="32" spans="1:18">
      <c r="A32" s="1">
        <v>75663</v>
      </c>
      <c r="B32" s="1" t="s">
        <v>348</v>
      </c>
      <c r="C32" s="1" t="s">
        <v>101</v>
      </c>
      <c r="D32" s="19" t="s">
        <v>10387</v>
      </c>
      <c r="E32" s="15" t="str">
        <f>HYPERLINK("https://stat100.ameba.jp/tnk47/ratio20/illustrations/card/ill_75663_ikumatsu03.jpg?202002-i_prefecture_active_userxx", "■")</f>
        <v>■</v>
      </c>
      <c r="F32" s="1" t="s">
        <v>5781</v>
      </c>
      <c r="G32" s="1">
        <v>77064</v>
      </c>
      <c r="H32" s="1">
        <v>69898</v>
      </c>
      <c r="I32" s="1">
        <v>26</v>
      </c>
      <c r="J32" s="1" t="s">
        <v>16</v>
      </c>
      <c r="K32" s="1" t="s">
        <v>5783</v>
      </c>
      <c r="L32" s="1" t="s">
        <v>21</v>
      </c>
      <c r="M32" s="1" t="s">
        <v>9158</v>
      </c>
      <c r="N32" s="1" t="s">
        <v>9158</v>
      </c>
      <c r="O32" s="1" t="s">
        <v>9158</v>
      </c>
      <c r="P32" s="1" t="s">
        <v>9158</v>
      </c>
      <c r="Q32" s="1" t="s">
        <v>9158</v>
      </c>
    </row>
    <row r="33" spans="1:18">
      <c r="A33" s="1">
        <v>74863</v>
      </c>
      <c r="B33" s="1" t="s">
        <v>15</v>
      </c>
      <c r="C33" s="1" t="s">
        <v>1</v>
      </c>
      <c r="D33" s="19" t="s">
        <v>10250</v>
      </c>
      <c r="E33" s="15" t="str">
        <f>HYPERLINK("https://stat100.ameba.jp/tnk47/ratio20/illustrations/card/ill_74863_yukatanekodanuki03.jpg?202002-i_prefecture_active_userxx", "■")</f>
        <v>■</v>
      </c>
      <c r="F33" s="1" t="s">
        <v>5167</v>
      </c>
      <c r="G33" s="1">
        <v>77064</v>
      </c>
      <c r="H33" s="1">
        <v>69898</v>
      </c>
      <c r="I33" s="1">
        <v>26</v>
      </c>
      <c r="J33" s="1" t="s">
        <v>73</v>
      </c>
      <c r="K33" s="1" t="s">
        <v>5169</v>
      </c>
      <c r="L33" s="1" t="s">
        <v>3835</v>
      </c>
      <c r="M33" s="1" t="s">
        <v>9158</v>
      </c>
      <c r="N33" s="1" t="s">
        <v>9158</v>
      </c>
      <c r="O33" s="1" t="s">
        <v>9158</v>
      </c>
      <c r="P33" s="1" t="s">
        <v>9158</v>
      </c>
      <c r="Q33" s="1" t="s">
        <v>9158</v>
      </c>
    </row>
    <row r="34" spans="1:18">
      <c r="A34" s="1">
        <v>83753</v>
      </c>
      <c r="B34" s="1" t="s">
        <v>15</v>
      </c>
      <c r="C34" s="1" t="s">
        <v>185</v>
      </c>
      <c r="D34" s="19" t="s">
        <v>10596</v>
      </c>
      <c r="E34" s="15" t="str">
        <f>HYPERLINK("https://stat100.ameba.jp/tnk47/ratio20/illustrations/card/ill_83753_otsukisamaniittausagi03.jpg?202002-i_prefecture_active_userxx", "■")</f>
        <v>■</v>
      </c>
      <c r="F34" s="1" t="s">
        <v>6787</v>
      </c>
      <c r="G34" s="1">
        <v>77064</v>
      </c>
      <c r="H34" s="1">
        <v>69898</v>
      </c>
      <c r="I34" s="1">
        <v>26</v>
      </c>
      <c r="J34" s="1" t="s">
        <v>38</v>
      </c>
      <c r="K34" s="1" t="s">
        <v>6786</v>
      </c>
      <c r="L34" s="1" t="s">
        <v>3267</v>
      </c>
      <c r="M34" s="1" t="s">
        <v>9158</v>
      </c>
      <c r="N34" s="1" t="s">
        <v>9158</v>
      </c>
      <c r="O34" s="1" t="s">
        <v>9158</v>
      </c>
      <c r="P34" s="1" t="s">
        <v>9158</v>
      </c>
      <c r="Q34" s="1" t="s">
        <v>9158</v>
      </c>
    </row>
    <row r="35" spans="1:18">
      <c r="E35" s="9"/>
    </row>
    <row r="36" spans="1:18">
      <c r="A36" s="9" t="s">
        <v>135</v>
      </c>
      <c r="E36" s="9"/>
    </row>
    <row r="37" spans="1:18">
      <c r="A37" s="9" t="s">
        <v>9320</v>
      </c>
      <c r="E37" s="9"/>
    </row>
    <row r="38" spans="1:18">
      <c r="A38" s="1" t="s">
        <v>6598</v>
      </c>
      <c r="B38" s="1" t="s">
        <v>330</v>
      </c>
      <c r="C38" s="1" t="s">
        <v>35</v>
      </c>
      <c r="D38" s="19" t="s">
        <v>10555</v>
      </c>
      <c r="E38" s="15" t="str">
        <f>HYPERLINK("https://stat100.ameba.jp/tnk47/ratio20/illustrations/card/ill_83553_0_kajuenamoronagu03.jpg?202002-i_prefecture_active_userxx", "■")</f>
        <v>■</v>
      </c>
      <c r="F38" s="1" t="s">
        <v>6597</v>
      </c>
      <c r="G38" s="1">
        <v>252640</v>
      </c>
      <c r="H38" s="1">
        <v>279536</v>
      </c>
      <c r="I38" s="1">
        <v>24</v>
      </c>
      <c r="J38" s="1" t="s">
        <v>44</v>
      </c>
      <c r="K38" s="1" t="s">
        <v>6595</v>
      </c>
      <c r="L38" s="1" t="s">
        <v>6594</v>
      </c>
      <c r="M38" s="1" t="s">
        <v>9158</v>
      </c>
      <c r="N38" s="1" t="s">
        <v>9158</v>
      </c>
      <c r="O38" s="19" t="s">
        <v>10125</v>
      </c>
      <c r="P38" s="1" t="s">
        <v>6599</v>
      </c>
      <c r="Q38" s="1">
        <v>1</v>
      </c>
    </row>
    <row r="39" spans="1:18">
      <c r="A39" s="1">
        <v>82543</v>
      </c>
      <c r="B39" s="1" t="s">
        <v>334</v>
      </c>
      <c r="C39" s="1" t="s">
        <v>41</v>
      </c>
      <c r="D39" s="19" t="s">
        <v>10342</v>
      </c>
      <c r="E39" s="15" t="str">
        <f>HYPERLINK("https://stat100.ameba.jp/tnk47/ratio20/illustrations/card/ill_82543_nabeshimanagako03.jpg?202002-i_prefecture_active_userxx", "■")</f>
        <v>■</v>
      </c>
      <c r="F39" s="1" t="s">
        <v>5491</v>
      </c>
      <c r="G39" s="1">
        <v>104890</v>
      </c>
      <c r="H39" s="1">
        <v>75984</v>
      </c>
      <c r="I39" s="1">
        <v>24</v>
      </c>
      <c r="J39" s="1" t="s">
        <v>10</v>
      </c>
      <c r="K39" s="1" t="s">
        <v>5493</v>
      </c>
      <c r="L39" s="1" t="s">
        <v>5494</v>
      </c>
      <c r="M39" s="1" t="s">
        <v>9158</v>
      </c>
      <c r="N39" s="1" t="s">
        <v>9158</v>
      </c>
      <c r="O39" s="19" t="s">
        <v>10080</v>
      </c>
      <c r="P39" s="1" t="s">
        <v>3705</v>
      </c>
      <c r="Q39" s="1">
        <v>1</v>
      </c>
    </row>
    <row r="40" spans="1:18">
      <c r="A40" s="1">
        <v>77663</v>
      </c>
      <c r="B40" s="1" t="s">
        <v>334</v>
      </c>
      <c r="C40" s="1" t="s">
        <v>202</v>
      </c>
      <c r="D40" s="19" t="s">
        <v>10614</v>
      </c>
      <c r="E40" s="15" t="str">
        <f>HYPERLINK("https://stat100.ameba.jp/tnk47/ratio20/illustrations/card/ill_77663_deipuburu03.jpg?202002-i_prefecture_active_userxx", "■")</f>
        <v>■</v>
      </c>
      <c r="F40" s="1" t="s">
        <v>1573</v>
      </c>
      <c r="G40" s="1">
        <v>78916</v>
      </c>
      <c r="H40" s="1">
        <v>108924</v>
      </c>
      <c r="I40" s="1">
        <v>24</v>
      </c>
      <c r="J40" s="1" t="s">
        <v>414</v>
      </c>
      <c r="K40" s="1" t="s">
        <v>1574</v>
      </c>
      <c r="L40" s="1" t="s">
        <v>1575</v>
      </c>
      <c r="M40" s="1" t="s">
        <v>9158</v>
      </c>
      <c r="N40" s="1" t="s">
        <v>9158</v>
      </c>
      <c r="O40" s="19" t="s">
        <v>10117</v>
      </c>
      <c r="P40" s="1" t="s">
        <v>3625</v>
      </c>
      <c r="Q40" s="1">
        <v>1</v>
      </c>
    </row>
    <row r="41" spans="1:18">
      <c r="A41" s="1">
        <v>69503</v>
      </c>
      <c r="B41" s="1" t="s">
        <v>0</v>
      </c>
      <c r="C41" s="1" t="s">
        <v>47</v>
      </c>
      <c r="D41" s="19" t="s">
        <v>2949</v>
      </c>
      <c r="E41" s="15" t="str">
        <f>HYPERLINK("https://stat100.ameba.jp/tnk47/ratio20/illustrations/card/ill_69503_azusayumi03.jpg?202002-i_prefecture_active_userxx", "■")</f>
        <v>■</v>
      </c>
      <c r="F41" s="1" t="s">
        <v>66</v>
      </c>
      <c r="G41" s="1">
        <v>108924</v>
      </c>
      <c r="H41" s="1">
        <v>78916</v>
      </c>
      <c r="I41" s="1">
        <v>24</v>
      </c>
      <c r="J41" s="1" t="s">
        <v>38</v>
      </c>
      <c r="K41" s="1" t="s">
        <v>67</v>
      </c>
      <c r="L41" s="1" t="s">
        <v>68</v>
      </c>
      <c r="M41" s="1" t="s">
        <v>9158</v>
      </c>
      <c r="N41" s="1" t="s">
        <v>9158</v>
      </c>
      <c r="O41" s="19" t="s">
        <v>2951</v>
      </c>
      <c r="P41" s="1" t="s">
        <v>13122</v>
      </c>
      <c r="Q41" s="1">
        <v>1</v>
      </c>
    </row>
    <row r="42" spans="1:18">
      <c r="E42" s="9"/>
    </row>
    <row r="43" spans="1:18">
      <c r="A43" s="7" t="s">
        <v>13327</v>
      </c>
      <c r="B43" s="7"/>
      <c r="C43" s="7"/>
      <c r="D43" s="7"/>
      <c r="E43" s="7"/>
      <c r="F43" s="7"/>
      <c r="G43" s="7"/>
      <c r="H43" s="7"/>
      <c r="I43" s="7"/>
      <c r="J43" s="7"/>
      <c r="K43" s="7"/>
      <c r="L43" s="7"/>
      <c r="M43" s="7"/>
      <c r="N43" s="7"/>
      <c r="O43" s="7"/>
      <c r="P43" s="7"/>
      <c r="Q43" s="7"/>
      <c r="R43" s="7"/>
    </row>
    <row r="44" spans="1:18">
      <c r="A44" s="7" t="s">
        <v>3533</v>
      </c>
      <c r="B44" s="7"/>
      <c r="C44" s="7"/>
      <c r="D44" s="7"/>
      <c r="E44" s="7"/>
      <c r="F44" s="7"/>
      <c r="G44" s="7"/>
      <c r="H44" s="7"/>
      <c r="I44" s="7"/>
      <c r="J44" s="7"/>
      <c r="K44" s="7"/>
      <c r="L44" s="7"/>
      <c r="M44" s="7"/>
      <c r="N44" s="7"/>
      <c r="O44" s="7"/>
      <c r="P44" s="7"/>
      <c r="Q44" s="7"/>
      <c r="R44" s="7"/>
    </row>
    <row r="45" spans="1:18">
      <c r="A45" s="1">
        <v>86063</v>
      </c>
      <c r="B45" s="1" t="s">
        <v>334</v>
      </c>
      <c r="C45" s="1" t="s">
        <v>14</v>
      </c>
      <c r="D45" s="19" t="s">
        <v>10818</v>
      </c>
      <c r="E45" s="15" t="str">
        <f>HYPERLINK("https://stat100.ameba.jp/tnk47/ratio20/illustrations/card/ill_86063_uotchimeika03.jpg?202002-i_prefecture_active_userxx", "■")</f>
        <v>■</v>
      </c>
      <c r="F45" s="1" t="s">
        <v>8368</v>
      </c>
      <c r="G45" s="1">
        <v>119006</v>
      </c>
      <c r="H45" s="1">
        <v>128000</v>
      </c>
      <c r="I45" s="1">
        <v>26</v>
      </c>
      <c r="J45" s="1" t="s">
        <v>173</v>
      </c>
      <c r="K45" s="1" t="s">
        <v>8367</v>
      </c>
      <c r="L45" s="1" t="s">
        <v>8366</v>
      </c>
      <c r="M45" s="1" t="s">
        <v>13130</v>
      </c>
      <c r="N45" s="1" t="s">
        <v>343</v>
      </c>
      <c r="O45" s="1" t="s">
        <v>9158</v>
      </c>
      <c r="P45" s="1" t="s">
        <v>9158</v>
      </c>
      <c r="Q45" s="1" t="s">
        <v>9158</v>
      </c>
      <c r="R45" s="14" t="s">
        <v>14748</v>
      </c>
    </row>
    <row r="46" spans="1:18">
      <c r="A46" s="1">
        <v>86062</v>
      </c>
      <c r="B46" s="1" t="s">
        <v>334</v>
      </c>
      <c r="C46" s="1" t="s">
        <v>14</v>
      </c>
      <c r="D46" s="19" t="s">
        <v>10818</v>
      </c>
      <c r="E46" s="15" t="str">
        <f>HYPERLINK("https://stat100.ameba.jp/tnk47/ratio20/illustrations/card/ill_86062_uotchimeika02.jpg?202002-i_prefecture_active_userxx", "■")</f>
        <v>■</v>
      </c>
      <c r="F46" s="1" t="s">
        <v>8368</v>
      </c>
      <c r="G46" s="1">
        <v>98566</v>
      </c>
      <c r="H46" s="1">
        <v>107000</v>
      </c>
      <c r="I46" s="1">
        <v>26</v>
      </c>
      <c r="J46" s="1" t="s">
        <v>173</v>
      </c>
      <c r="K46" s="1" t="s">
        <v>8367</v>
      </c>
      <c r="L46" s="1" t="s">
        <v>8366</v>
      </c>
      <c r="M46" s="1" t="s">
        <v>13131</v>
      </c>
      <c r="N46" s="1" t="s">
        <v>251</v>
      </c>
      <c r="O46" s="1" t="s">
        <v>9158</v>
      </c>
      <c r="P46" s="1" t="s">
        <v>9158</v>
      </c>
      <c r="Q46" s="1" t="s">
        <v>9158</v>
      </c>
      <c r="R46" s="14" t="s">
        <v>14748</v>
      </c>
    </row>
    <row r="47" spans="1:18">
      <c r="A47" s="1">
        <v>86061</v>
      </c>
      <c r="B47" s="1" t="s">
        <v>0</v>
      </c>
      <c r="C47" s="1" t="s">
        <v>14</v>
      </c>
      <c r="D47" s="19" t="s">
        <v>10818</v>
      </c>
      <c r="E47" s="15" t="str">
        <f>HYPERLINK("https://stat100.ameba.jp/tnk47/ratio20/illustrations/card/ill_86061_uotchimeika01.jpg?202002-i_prefecture_active_userxx", "■")</f>
        <v>■</v>
      </c>
      <c r="F47" s="1" t="s">
        <v>8368</v>
      </c>
      <c r="G47" s="1">
        <v>76050</v>
      </c>
      <c r="H47" s="1">
        <v>81692</v>
      </c>
      <c r="I47" s="1">
        <v>26</v>
      </c>
      <c r="J47" s="1" t="s">
        <v>173</v>
      </c>
      <c r="K47" s="1" t="s">
        <v>8367</v>
      </c>
      <c r="L47" s="1" t="s">
        <v>8366</v>
      </c>
      <c r="M47" s="1" t="s">
        <v>13131</v>
      </c>
      <c r="N47" s="1" t="s">
        <v>251</v>
      </c>
      <c r="O47" s="1" t="s">
        <v>9158</v>
      </c>
      <c r="P47" s="1" t="s">
        <v>9158</v>
      </c>
      <c r="Q47" s="1" t="s">
        <v>9158</v>
      </c>
      <c r="R47" s="14" t="s">
        <v>14748</v>
      </c>
    </row>
    <row r="48" spans="1:18">
      <c r="A48" s="1">
        <v>86073</v>
      </c>
      <c r="B48" s="1" t="s">
        <v>334</v>
      </c>
      <c r="C48" s="1" t="s">
        <v>23</v>
      </c>
      <c r="D48" s="19" t="s">
        <v>10819</v>
      </c>
      <c r="E48" s="15" t="str">
        <f>HYPERLINK("https://stat100.ameba.jp/tnk47/ratio20/illustrations/card/ill_86073_maddohatta03.jpg?202002-i_prefecture_active_userxx", "■")</f>
        <v>■</v>
      </c>
      <c r="F48" s="1" t="s">
        <v>8371</v>
      </c>
      <c r="G48" s="1">
        <v>119006</v>
      </c>
      <c r="H48" s="1">
        <v>128000</v>
      </c>
      <c r="I48" s="1">
        <v>26</v>
      </c>
      <c r="J48" s="1" t="s">
        <v>155</v>
      </c>
      <c r="K48" s="1" t="s">
        <v>8370</v>
      </c>
      <c r="L48" s="1" t="s">
        <v>8369</v>
      </c>
      <c r="M48" s="1" t="s">
        <v>13130</v>
      </c>
      <c r="N48" s="1" t="s">
        <v>343</v>
      </c>
      <c r="O48" s="1" t="s">
        <v>9158</v>
      </c>
      <c r="P48" s="1" t="s">
        <v>9158</v>
      </c>
      <c r="Q48" s="1" t="s">
        <v>9158</v>
      </c>
      <c r="R48" s="14" t="s">
        <v>14748</v>
      </c>
    </row>
    <row r="49" spans="1:18">
      <c r="A49" s="1">
        <v>86083</v>
      </c>
      <c r="B49" s="1" t="s">
        <v>334</v>
      </c>
      <c r="C49" s="1" t="s">
        <v>101</v>
      </c>
      <c r="D49" s="19" t="s">
        <v>10820</v>
      </c>
      <c r="E49" s="15" t="str">
        <f>HYPERLINK("https://stat100.ameba.jp/tnk47/ratio20/illustrations/card/ill_86083_keieinochojomeruro03.jpg?202002-i_prefecture_active_userxx", "■")</f>
        <v>■</v>
      </c>
      <c r="F49" s="1" t="s">
        <v>8375</v>
      </c>
      <c r="G49" s="1">
        <v>128000</v>
      </c>
      <c r="H49" s="1">
        <v>119006</v>
      </c>
      <c r="I49" s="1">
        <v>26</v>
      </c>
      <c r="J49" s="1" t="s">
        <v>229</v>
      </c>
      <c r="K49" s="1" t="s">
        <v>8374</v>
      </c>
      <c r="L49" s="1" t="s">
        <v>8373</v>
      </c>
      <c r="M49" s="1" t="s">
        <v>13130</v>
      </c>
      <c r="N49" s="1" t="s">
        <v>343</v>
      </c>
      <c r="O49" s="1" t="s">
        <v>9158</v>
      </c>
      <c r="P49" s="1" t="s">
        <v>9158</v>
      </c>
      <c r="Q49" s="1" t="s">
        <v>9158</v>
      </c>
      <c r="R49" s="14" t="s">
        <v>14748</v>
      </c>
    </row>
    <row r="50" spans="1:18">
      <c r="A50" s="1">
        <v>86093</v>
      </c>
      <c r="B50" s="1" t="s">
        <v>0</v>
      </c>
      <c r="C50" s="1" t="s">
        <v>96</v>
      </c>
      <c r="D50" s="19" t="s">
        <v>10821</v>
      </c>
      <c r="E50" s="15" t="str">
        <f>HYPERLINK("https://stat100.ameba.jp/tnk47/ratio20/illustrations/card/ill_86093_minamotonoyoshimitsu03.jpg?202002-i_prefecture_active_userxx", "■")</f>
        <v>■</v>
      </c>
      <c r="F50" s="1" t="s">
        <v>8379</v>
      </c>
      <c r="G50" s="1">
        <v>128000</v>
      </c>
      <c r="H50" s="1">
        <v>119006</v>
      </c>
      <c r="I50" s="1">
        <v>26</v>
      </c>
      <c r="J50" s="1" t="s">
        <v>194</v>
      </c>
      <c r="K50" s="1" t="s">
        <v>8377</v>
      </c>
      <c r="L50" s="1" t="s">
        <v>8376</v>
      </c>
      <c r="M50" s="1" t="s">
        <v>13130</v>
      </c>
      <c r="N50" s="1" t="s">
        <v>343</v>
      </c>
      <c r="O50" s="1" t="s">
        <v>9158</v>
      </c>
      <c r="P50" s="1" t="s">
        <v>9158</v>
      </c>
      <c r="Q50" s="1" t="s">
        <v>9158</v>
      </c>
      <c r="R50" s="14" t="s">
        <v>14748</v>
      </c>
    </row>
    <row r="51" spans="1:18">
      <c r="A51" s="1">
        <v>86103</v>
      </c>
      <c r="B51" s="1" t="s">
        <v>334</v>
      </c>
      <c r="C51" s="1" t="s">
        <v>205</v>
      </c>
      <c r="D51" s="19" t="s">
        <v>10822</v>
      </c>
      <c r="E51" s="15" t="str">
        <f>HYPERLINK("https://stat100.ameba.jp/tnk47/ratio20/illustrations/card/ill_86103_omatsudaimyojin03.jpg?202002-i_prefecture_active_userxx", "■")</f>
        <v>■</v>
      </c>
      <c r="F51" s="1" t="s">
        <v>8383</v>
      </c>
      <c r="G51" s="1">
        <v>128000</v>
      </c>
      <c r="H51" s="1">
        <v>119006</v>
      </c>
      <c r="I51" s="1">
        <v>26</v>
      </c>
      <c r="J51" s="1" t="s">
        <v>169</v>
      </c>
      <c r="K51" s="1" t="s">
        <v>8381</v>
      </c>
      <c r="L51" s="1" t="s">
        <v>8380</v>
      </c>
      <c r="M51" s="1" t="s">
        <v>13130</v>
      </c>
      <c r="N51" s="1" t="s">
        <v>343</v>
      </c>
      <c r="O51" s="1" t="s">
        <v>9158</v>
      </c>
      <c r="P51" s="1" t="s">
        <v>9158</v>
      </c>
      <c r="Q51" s="1" t="s">
        <v>9158</v>
      </c>
      <c r="R51" s="14" t="s">
        <v>14748</v>
      </c>
    </row>
    <row r="52" spans="1:18">
      <c r="A52" s="1">
        <v>86113</v>
      </c>
      <c r="B52" s="1" t="s">
        <v>334</v>
      </c>
      <c r="C52" s="1" t="s">
        <v>107</v>
      </c>
      <c r="D52" s="19" t="s">
        <v>10823</v>
      </c>
      <c r="E52" s="15" t="str">
        <f>HYPERLINK("https://stat100.ameba.jp/tnk47/ratio20/illustrations/card/ill_86113_yuno03.jpg?202002-i_prefecture_active_userxx", "■")</f>
        <v>■</v>
      </c>
      <c r="F52" s="1" t="s">
        <v>8387</v>
      </c>
      <c r="G52" s="1">
        <v>119006</v>
      </c>
      <c r="H52" s="1">
        <v>128000</v>
      </c>
      <c r="I52" s="1">
        <v>26</v>
      </c>
      <c r="J52" s="1" t="s">
        <v>159</v>
      </c>
      <c r="K52" s="1" t="s">
        <v>8385</v>
      </c>
      <c r="L52" s="1" t="s">
        <v>8384</v>
      </c>
      <c r="M52" s="1" t="s">
        <v>13130</v>
      </c>
      <c r="N52" s="1" t="s">
        <v>343</v>
      </c>
      <c r="O52" s="1" t="s">
        <v>9158</v>
      </c>
      <c r="P52" s="1" t="s">
        <v>9158</v>
      </c>
      <c r="Q52" s="1" t="s">
        <v>9158</v>
      </c>
      <c r="R52" s="14" t="s">
        <v>14748</v>
      </c>
    </row>
    <row r="53" spans="1:18">
      <c r="E53" s="9"/>
    </row>
    <row r="54" spans="1:18">
      <c r="A54" s="9" t="s">
        <v>9352</v>
      </c>
      <c r="E54" s="9"/>
    </row>
    <row r="55" spans="1:18">
      <c r="A55" s="9" t="s">
        <v>3535</v>
      </c>
      <c r="E55" s="9"/>
    </row>
    <row r="56" spans="1:18">
      <c r="A56" s="9" t="s">
        <v>9353</v>
      </c>
      <c r="E56" s="9"/>
    </row>
    <row r="57" spans="1:18">
      <c r="A57" s="9" t="s">
        <v>9325</v>
      </c>
      <c r="B57" s="7" t="s">
        <v>52</v>
      </c>
      <c r="C57" s="9" t="s">
        <v>202</v>
      </c>
      <c r="D57" s="19" t="s">
        <v>10947</v>
      </c>
      <c r="E57" s="15" t="str">
        <f>HYPERLINK("https://stat100.ameba.jp/tnk47/ratio20/illustrations/card/ill_86893_0_chokonohisukeban03.jpg?202002-i_prefecture_active_userxx", "■")</f>
        <v>■</v>
      </c>
      <c r="F57" s="14" t="s">
        <v>9332</v>
      </c>
      <c r="G57" s="9">
        <v>260538</v>
      </c>
      <c r="H57" s="9">
        <v>235462</v>
      </c>
      <c r="I57" s="7">
        <v>20</v>
      </c>
      <c r="J57" s="9" t="s">
        <v>187</v>
      </c>
      <c r="K57" s="14" t="s">
        <v>9330</v>
      </c>
      <c r="L57" s="14" t="s">
        <v>9331</v>
      </c>
      <c r="M57" s="14" t="s">
        <v>9158</v>
      </c>
      <c r="N57" s="14" t="s">
        <v>9158</v>
      </c>
      <c r="O57" s="19" t="s">
        <v>10136</v>
      </c>
      <c r="P57" s="7" t="s">
        <v>9324</v>
      </c>
      <c r="Q57" s="7">
        <v>1</v>
      </c>
    </row>
    <row r="58" spans="1:18">
      <c r="A58" s="9">
        <v>86943</v>
      </c>
      <c r="B58" s="9" t="s">
        <v>0</v>
      </c>
      <c r="C58" s="9" t="s">
        <v>206</v>
      </c>
      <c r="D58" s="19" t="s">
        <v>10958</v>
      </c>
      <c r="E58" s="15" t="str">
        <f>HYPERLINK("https://stat100.ameba.jp/tnk47/ratio20/illustrations/card/ill_86943_setsubunhaniyasu03.jpg?202002-i_prefecture_active_userxx", "■")</f>
        <v>■</v>
      </c>
      <c r="F58" s="9" t="s">
        <v>9355</v>
      </c>
      <c r="G58" s="9">
        <v>106050</v>
      </c>
      <c r="H58" s="9">
        <v>98594</v>
      </c>
      <c r="I58" s="9">
        <v>26</v>
      </c>
      <c r="J58" s="9" t="s">
        <v>169</v>
      </c>
      <c r="K58" s="9" t="s">
        <v>9354</v>
      </c>
      <c r="L58" s="9" t="s">
        <v>7243</v>
      </c>
      <c r="M58" s="14" t="s">
        <v>9158</v>
      </c>
      <c r="N58" s="14" t="s">
        <v>9158</v>
      </c>
      <c r="O58" s="14" t="s">
        <v>9158</v>
      </c>
      <c r="P58" s="14" t="s">
        <v>9158</v>
      </c>
      <c r="Q58" s="14" t="s">
        <v>9158</v>
      </c>
    </row>
    <row r="59" spans="1:18">
      <c r="A59" s="9">
        <v>86953</v>
      </c>
      <c r="B59" s="9" t="s">
        <v>15</v>
      </c>
      <c r="C59" s="9" t="s">
        <v>165</v>
      </c>
      <c r="D59" s="19" t="s">
        <v>10959</v>
      </c>
      <c r="E59" s="15" t="str">
        <f>HYPERLINK("https://stat100.ameba.jp/tnk47/ratio20/illustrations/card/ill_86953_setsubumpanikkukunohisa03.jpg?202002-i_prefecture_active_userxx", "■")</f>
        <v>■</v>
      </c>
      <c r="F59" s="9" t="s">
        <v>9357</v>
      </c>
      <c r="G59" s="9">
        <v>69898</v>
      </c>
      <c r="H59" s="9">
        <v>77064</v>
      </c>
      <c r="I59" s="9">
        <v>26</v>
      </c>
      <c r="J59" s="9" t="s">
        <v>173</v>
      </c>
      <c r="K59" s="9" t="s">
        <v>9356</v>
      </c>
      <c r="L59" s="9" t="s">
        <v>3337</v>
      </c>
      <c r="M59" s="14" t="s">
        <v>9158</v>
      </c>
      <c r="N59" s="14" t="s">
        <v>9158</v>
      </c>
      <c r="O59" s="14" t="s">
        <v>9158</v>
      </c>
      <c r="P59" s="14" t="s">
        <v>9158</v>
      </c>
      <c r="Q59" s="14" t="s">
        <v>9158</v>
      </c>
    </row>
    <row r="60" spans="1:18">
      <c r="A60" s="9">
        <v>86963</v>
      </c>
      <c r="B60" s="9" t="s">
        <v>22</v>
      </c>
      <c r="C60" s="9" t="s">
        <v>200</v>
      </c>
      <c r="D60" s="19" t="s">
        <v>10960</v>
      </c>
      <c r="E60" s="15" t="str">
        <f>HYPERLINK("https://stat100.ameba.jp/tnk47/ratio20/illustrations/card/ill_86963_setsubunonikoisetsubunsai03.jpg?202002-i_prefecture_active_userxx", "■")</f>
        <v>■</v>
      </c>
      <c r="F60" s="9" t="s">
        <v>9359</v>
      </c>
      <c r="G60" s="9">
        <v>54058</v>
      </c>
      <c r="H60" s="9">
        <v>44948</v>
      </c>
      <c r="I60" s="9">
        <v>26</v>
      </c>
      <c r="J60" s="9" t="s">
        <v>155</v>
      </c>
      <c r="K60" s="9" t="s">
        <v>9358</v>
      </c>
      <c r="L60" s="9" t="s">
        <v>7248</v>
      </c>
      <c r="M60" s="14" t="s">
        <v>9158</v>
      </c>
      <c r="N60" s="14" t="s">
        <v>9158</v>
      </c>
      <c r="O60" s="14" t="s">
        <v>9158</v>
      </c>
      <c r="P60" s="14" t="s">
        <v>9158</v>
      </c>
      <c r="Q60" s="14" t="s">
        <v>9158</v>
      </c>
    </row>
    <row r="61" spans="1:18">
      <c r="A61" s="9">
        <v>86973</v>
      </c>
      <c r="B61" s="9" t="s">
        <v>30</v>
      </c>
      <c r="C61" s="9" t="s">
        <v>4772</v>
      </c>
      <c r="D61" s="19" t="s">
        <v>10961</v>
      </c>
      <c r="E61" s="15" t="str">
        <f>HYPERLINK("https://stat100.ameba.jp/tnk47/ratio20/illustrations/card/ill_86973_rakkasei03.jpg?202002-i_prefecture_active_userxx", "■")</f>
        <v>■</v>
      </c>
      <c r="F61" s="9" t="s">
        <v>9361</v>
      </c>
      <c r="G61" s="9">
        <v>27486</v>
      </c>
      <c r="H61" s="9">
        <v>32728</v>
      </c>
      <c r="I61" s="9">
        <v>26</v>
      </c>
      <c r="J61" s="9" t="s">
        <v>216</v>
      </c>
      <c r="K61" s="9" t="s">
        <v>9360</v>
      </c>
      <c r="L61" s="9" t="s">
        <v>4560</v>
      </c>
      <c r="M61" s="14" t="s">
        <v>9158</v>
      </c>
      <c r="N61" s="14" t="s">
        <v>9158</v>
      </c>
      <c r="O61" s="14" t="s">
        <v>9158</v>
      </c>
      <c r="P61" s="14" t="s">
        <v>9158</v>
      </c>
      <c r="Q61" s="14" t="s">
        <v>9158</v>
      </c>
    </row>
    <row r="62" spans="1:18">
      <c r="E62" s="9"/>
    </row>
    <row r="63" spans="1:18">
      <c r="A63" s="9" t="s">
        <v>7403</v>
      </c>
      <c r="E63" s="9"/>
    </row>
    <row r="64" spans="1:18">
      <c r="A64" s="9" t="s">
        <v>9363</v>
      </c>
      <c r="E64" s="9"/>
    </row>
    <row r="65" spans="1:17">
      <c r="A65" s="9" t="s">
        <v>9362</v>
      </c>
      <c r="E65" s="9"/>
    </row>
    <row r="66" spans="1:17">
      <c r="A66" s="14" t="s">
        <v>5963</v>
      </c>
      <c r="B66" s="14" t="s">
        <v>330</v>
      </c>
      <c r="C66" s="14" t="s">
        <v>35</v>
      </c>
      <c r="D66" s="19" t="s">
        <v>10438</v>
      </c>
      <c r="E66" s="15" t="str">
        <f>HYPERLINK("https://stat100.ameba.jp/tnk47/ratio20/illustrations/card/ill_82963_0_yukatamatsuritomokazuki03.jpg?202002-i_prefecture_active_userxx", "■")</f>
        <v>■</v>
      </c>
      <c r="F66" s="14" t="s">
        <v>5964</v>
      </c>
      <c r="G66" s="14">
        <v>309714</v>
      </c>
      <c r="H66" s="14">
        <v>342692</v>
      </c>
      <c r="I66" s="14">
        <v>26</v>
      </c>
      <c r="J66" s="14" t="s">
        <v>73</v>
      </c>
      <c r="K66" s="14" t="s">
        <v>5966</v>
      </c>
      <c r="L66" s="14" t="s">
        <v>5967</v>
      </c>
      <c r="M66" s="14" t="s">
        <v>9158</v>
      </c>
      <c r="N66" s="14" t="s">
        <v>9158</v>
      </c>
      <c r="O66" s="19" t="s">
        <v>10115</v>
      </c>
      <c r="P66" s="14" t="s">
        <v>5968</v>
      </c>
      <c r="Q66" s="14">
        <v>1</v>
      </c>
    </row>
    <row r="67" spans="1:17">
      <c r="A67" s="14" t="s">
        <v>5822</v>
      </c>
      <c r="B67" s="14" t="s">
        <v>330</v>
      </c>
      <c r="C67" s="14" t="s">
        <v>307</v>
      </c>
      <c r="D67" s="19" t="s">
        <v>306</v>
      </c>
      <c r="E67" s="15" t="str">
        <f>HYPERLINK("https://stat100.ameba.jp/tnk47/ratio20/illustrations/card/ill_71403_0_ohanamisanadayukimura03.jpg?202002-i_prefecture_active_userxx", "■")</f>
        <v>■</v>
      </c>
      <c r="F67" s="14" t="s">
        <v>309</v>
      </c>
      <c r="G67" s="14">
        <v>242696</v>
      </c>
      <c r="H67" s="14">
        <v>225670</v>
      </c>
      <c r="I67" s="14">
        <v>26</v>
      </c>
      <c r="J67" s="14" t="s">
        <v>310</v>
      </c>
      <c r="K67" s="14" t="s">
        <v>311</v>
      </c>
      <c r="L67" s="14" t="s">
        <v>312</v>
      </c>
      <c r="M67" s="14" t="s">
        <v>9158</v>
      </c>
      <c r="N67" s="14" t="s">
        <v>9158</v>
      </c>
      <c r="O67" s="19" t="s">
        <v>10104</v>
      </c>
      <c r="P67" s="14" t="s">
        <v>3418</v>
      </c>
      <c r="Q67" s="14">
        <v>2</v>
      </c>
    </row>
    <row r="68" spans="1:17">
      <c r="A68" s="14" t="s">
        <v>5606</v>
      </c>
      <c r="B68" s="14" t="s">
        <v>52</v>
      </c>
      <c r="C68" s="14" t="s">
        <v>206</v>
      </c>
      <c r="D68" s="19" t="s">
        <v>2936</v>
      </c>
      <c r="E68" s="15" t="str">
        <f>HYPERLINK("https://stat100.ameba.jp/tnk47/ratio20/illustrations/card/ill_72233_0_koinoboriryugujin03.jpg?202002-i_prefecture_active_userxx", "■")</f>
        <v>■</v>
      </c>
      <c r="F68" s="14" t="s">
        <v>1012</v>
      </c>
      <c r="G68" s="14">
        <v>170550</v>
      </c>
      <c r="H68" s="14">
        <v>183446</v>
      </c>
      <c r="I68" s="14">
        <v>26</v>
      </c>
      <c r="J68" s="14" t="s">
        <v>44</v>
      </c>
      <c r="K68" s="14" t="s">
        <v>1013</v>
      </c>
      <c r="L68" s="14" t="s">
        <v>1014</v>
      </c>
      <c r="M68" s="14" t="s">
        <v>9158</v>
      </c>
      <c r="N68" s="14" t="s">
        <v>9158</v>
      </c>
      <c r="O68" s="19" t="s">
        <v>2940</v>
      </c>
      <c r="P68" s="14" t="s">
        <v>3420</v>
      </c>
      <c r="Q68" s="14">
        <v>2</v>
      </c>
    </row>
    <row r="69" spans="1:17">
      <c r="A69" s="14">
        <v>83393</v>
      </c>
      <c r="B69" s="14" t="s">
        <v>334</v>
      </c>
      <c r="C69" s="14" t="s">
        <v>209</v>
      </c>
      <c r="D69" s="19" t="s">
        <v>10381</v>
      </c>
      <c r="E69" s="15" t="str">
        <f>HYPERLINK("https://stat100.ameba.jp/tnk47/ratio20/illustrations/card/ill_83393_rito03.jpg?202002-i_prefecture_active_userxx", "■")</f>
        <v>■</v>
      </c>
      <c r="F69" s="14" t="s">
        <v>5735</v>
      </c>
      <c r="G69" s="14">
        <v>132684</v>
      </c>
      <c r="H69" s="14">
        <v>96100</v>
      </c>
      <c r="I69" s="14">
        <v>26</v>
      </c>
      <c r="J69" s="14" t="s">
        <v>38</v>
      </c>
      <c r="K69" s="14" t="s">
        <v>5738</v>
      </c>
      <c r="L69" s="14" t="s">
        <v>5400</v>
      </c>
      <c r="M69" s="14" t="s">
        <v>9158</v>
      </c>
      <c r="N69" s="14" t="s">
        <v>9158</v>
      </c>
      <c r="O69" s="19" t="s">
        <v>10098</v>
      </c>
      <c r="P69" s="14" t="s">
        <v>3491</v>
      </c>
      <c r="Q69" s="14">
        <v>1</v>
      </c>
    </row>
    <row r="70" spans="1:17">
      <c r="A70" s="14">
        <v>75873</v>
      </c>
      <c r="B70" s="14" t="s">
        <v>334</v>
      </c>
      <c r="C70" s="14" t="s">
        <v>209</v>
      </c>
      <c r="D70" s="19" t="s">
        <v>10221</v>
      </c>
      <c r="E70" s="15" t="str">
        <f>HYPERLINK("https://stat100.ameba.jp/tnk47/ratio20/illustrations/card/ill_75873_harajukuroriitachan03.jpg?202002-i_prefecture_active_userxx", "■")</f>
        <v>■</v>
      </c>
      <c r="F70" s="14" t="s">
        <v>1945</v>
      </c>
      <c r="G70" s="14">
        <v>114176</v>
      </c>
      <c r="H70" s="14">
        <v>122786</v>
      </c>
      <c r="I70" s="14">
        <v>26</v>
      </c>
      <c r="J70" s="14" t="s">
        <v>26</v>
      </c>
      <c r="K70" s="14" t="s">
        <v>1946</v>
      </c>
      <c r="L70" s="14" t="s">
        <v>1947</v>
      </c>
      <c r="M70" s="14" t="s">
        <v>9158</v>
      </c>
      <c r="N70" s="14" t="s">
        <v>9158</v>
      </c>
      <c r="O70" s="19" t="s">
        <v>2752</v>
      </c>
      <c r="P70" s="14" t="s">
        <v>13123</v>
      </c>
      <c r="Q70" s="14">
        <v>1</v>
      </c>
    </row>
    <row r="71" spans="1:17">
      <c r="A71" s="14">
        <v>60173</v>
      </c>
      <c r="B71" s="14" t="s">
        <v>0</v>
      </c>
      <c r="C71" s="14" t="s">
        <v>41</v>
      </c>
      <c r="D71" s="19" t="s">
        <v>10231</v>
      </c>
      <c r="E71" s="15" t="str">
        <f>HYPERLINK("https://stat100.ameba.jp/tnk47/ratio20/illustrations/card/ill_60173_kugutsushi03.jpg?202002-i_prefecture_active_userxx", "■")</f>
        <v>■</v>
      </c>
      <c r="F71" s="14" t="s">
        <v>4282</v>
      </c>
      <c r="G71" s="14">
        <v>96100</v>
      </c>
      <c r="H71" s="14">
        <v>132684</v>
      </c>
      <c r="I71" s="14">
        <v>26</v>
      </c>
      <c r="J71" s="14" t="s">
        <v>38</v>
      </c>
      <c r="K71" s="14" t="s">
        <v>4283</v>
      </c>
      <c r="L71" s="14" t="s">
        <v>2714</v>
      </c>
      <c r="M71" s="14" t="s">
        <v>9158</v>
      </c>
      <c r="N71" s="14" t="s">
        <v>9158</v>
      </c>
      <c r="O71" s="19" t="s">
        <v>10113</v>
      </c>
      <c r="P71" s="14" t="s">
        <v>4285</v>
      </c>
      <c r="Q71" s="14">
        <v>1</v>
      </c>
    </row>
    <row r="72" spans="1:17">
      <c r="A72" s="14">
        <v>76803</v>
      </c>
      <c r="B72" s="14" t="s">
        <v>334</v>
      </c>
      <c r="C72" s="14" t="s">
        <v>202</v>
      </c>
      <c r="D72" s="19" t="s">
        <v>673</v>
      </c>
      <c r="E72" s="15" t="str">
        <f>HYPERLINK("https://stat100.ameba.jp/tnk47/ratio20/illustrations/card/ill_76803_monsutakujirachan03.jpg?202002-i_prefecture_active_userxx", "■")</f>
        <v>■</v>
      </c>
      <c r="F72" s="14" t="s">
        <v>674</v>
      </c>
      <c r="G72" s="14">
        <v>172982</v>
      </c>
      <c r="H72" s="14">
        <v>125296</v>
      </c>
      <c r="I72" s="14">
        <v>26</v>
      </c>
      <c r="J72" s="14" t="s">
        <v>283</v>
      </c>
      <c r="K72" s="14" t="s">
        <v>675</v>
      </c>
      <c r="L72" s="14" t="s">
        <v>435</v>
      </c>
      <c r="M72" s="14" t="s">
        <v>9158</v>
      </c>
      <c r="N72" s="14" t="s">
        <v>9158</v>
      </c>
      <c r="O72" s="19" t="s">
        <v>3165</v>
      </c>
      <c r="P72" s="14" t="s">
        <v>13139</v>
      </c>
      <c r="Q72" s="14">
        <v>1</v>
      </c>
    </row>
    <row r="73" spans="1:17">
      <c r="A73" s="14">
        <v>79513</v>
      </c>
      <c r="B73" s="14" t="s">
        <v>334</v>
      </c>
      <c r="C73" s="14" t="s">
        <v>209</v>
      </c>
      <c r="D73" s="19" t="s">
        <v>10404</v>
      </c>
      <c r="E73" s="15" t="str">
        <f>HYPERLINK("https://stat100.ameba.jp/tnk47/ratio20/illustrations/card/ill_79513_suzafuonia03.jpg?202002-i_prefecture_active_userxx", "■")</f>
        <v>■</v>
      </c>
      <c r="F73" s="14" t="s">
        <v>3529</v>
      </c>
      <c r="G73" s="14">
        <v>82318</v>
      </c>
      <c r="H73" s="14">
        <v>113630</v>
      </c>
      <c r="I73" s="14">
        <v>26</v>
      </c>
      <c r="J73" s="14" t="s">
        <v>10</v>
      </c>
      <c r="K73" s="14" t="s">
        <v>3532</v>
      </c>
      <c r="L73" s="14" t="s">
        <v>12</v>
      </c>
      <c r="M73" s="14" t="s">
        <v>9158</v>
      </c>
      <c r="N73" s="14" t="s">
        <v>9158</v>
      </c>
      <c r="O73" s="19" t="s">
        <v>2917</v>
      </c>
      <c r="P73" s="14" t="s">
        <v>3531</v>
      </c>
      <c r="Q73" s="14">
        <v>1</v>
      </c>
    </row>
    <row r="74" spans="1:17">
      <c r="A74" s="14">
        <v>75893</v>
      </c>
      <c r="B74" s="14" t="s">
        <v>0</v>
      </c>
      <c r="C74" s="14" t="s">
        <v>158</v>
      </c>
      <c r="D74" s="19" t="s">
        <v>3095</v>
      </c>
      <c r="E74" s="15" t="str">
        <f>HYPERLINK("https://stat100.ameba.jp/tnk47/ratio20/illustrations/card/ill_75893_hamamatsutakuni03.jpg?202002-i_prefecture_active_userxx", "■")</f>
        <v>■</v>
      </c>
      <c r="F74" s="14" t="s">
        <v>3594</v>
      </c>
      <c r="G74" s="14">
        <v>118000</v>
      </c>
      <c r="H74" s="14">
        <v>85492</v>
      </c>
      <c r="I74" s="14">
        <v>26</v>
      </c>
      <c r="J74" s="14" t="s">
        <v>16</v>
      </c>
      <c r="K74" s="14" t="s">
        <v>3595</v>
      </c>
      <c r="L74" s="14" t="s">
        <v>920</v>
      </c>
      <c r="M74" s="14" t="s">
        <v>9158</v>
      </c>
      <c r="N74" s="14" t="s">
        <v>9158</v>
      </c>
      <c r="O74" s="19" t="s">
        <v>3037</v>
      </c>
      <c r="P74" s="14" t="s">
        <v>13128</v>
      </c>
      <c r="Q74" s="14">
        <v>1</v>
      </c>
    </row>
    <row r="75" spans="1:17">
      <c r="A75" s="14">
        <v>74063</v>
      </c>
      <c r="B75" s="14" t="s">
        <v>334</v>
      </c>
      <c r="C75" s="14" t="s">
        <v>185</v>
      </c>
      <c r="D75" s="19" t="s">
        <v>10476</v>
      </c>
      <c r="E75" s="15" t="str">
        <f>HYPERLINK("https://stat100.ameba.jp/tnk47/ratio20/illustrations/card/ill_74063_yokoyamamatsusaburo03.jpg?202002-i_prefecture_active_userxx", "■")</f>
        <v>■</v>
      </c>
      <c r="F75" s="14" t="s">
        <v>4430</v>
      </c>
      <c r="G75" s="14">
        <v>98066</v>
      </c>
      <c r="H75" s="14">
        <v>105426</v>
      </c>
      <c r="I75" s="14">
        <v>26</v>
      </c>
      <c r="J75" s="14" t="s">
        <v>16</v>
      </c>
      <c r="K75" s="14" t="s">
        <v>4431</v>
      </c>
      <c r="L75" s="14" t="s">
        <v>124</v>
      </c>
      <c r="M75" s="14" t="s">
        <v>9158</v>
      </c>
      <c r="N75" s="14" t="s">
        <v>9158</v>
      </c>
      <c r="O75" s="14" t="s">
        <v>9158</v>
      </c>
      <c r="P75" s="14" t="s">
        <v>9158</v>
      </c>
      <c r="Q75" s="14" t="s">
        <v>9158</v>
      </c>
    </row>
    <row r="76" spans="1:17">
      <c r="A76" s="14">
        <v>80283</v>
      </c>
      <c r="B76" s="14" t="s">
        <v>0</v>
      </c>
      <c r="C76" s="14" t="s">
        <v>200</v>
      </c>
      <c r="D76" s="19" t="s">
        <v>3971</v>
      </c>
      <c r="E76" s="15" t="str">
        <f>HYPERLINK("https://stat100.ameba.jp/tnk47/ratio20/illustrations/card/ill_80283_howaitodehanakosan03.jpg?202002-i_prefecture_active_userxx", "■")</f>
        <v>■</v>
      </c>
      <c r="F76" s="14" t="s">
        <v>3935</v>
      </c>
      <c r="G76" s="14">
        <v>108330</v>
      </c>
      <c r="H76" s="14">
        <v>100744</v>
      </c>
      <c r="I76" s="14">
        <v>26</v>
      </c>
      <c r="J76" s="14" t="s">
        <v>73</v>
      </c>
      <c r="K76" s="14" t="s">
        <v>3936</v>
      </c>
      <c r="L76" s="14" t="s">
        <v>3937</v>
      </c>
      <c r="M76" s="14" t="s">
        <v>9158</v>
      </c>
      <c r="N76" s="14" t="s">
        <v>9158</v>
      </c>
      <c r="O76" s="14" t="s">
        <v>9158</v>
      </c>
      <c r="P76" s="14" t="s">
        <v>9158</v>
      </c>
      <c r="Q76" s="14" t="s">
        <v>9158</v>
      </c>
    </row>
    <row r="77" spans="1:17">
      <c r="A77" s="7">
        <v>81983</v>
      </c>
      <c r="B77" s="7" t="s">
        <v>0</v>
      </c>
      <c r="C77" s="7" t="s">
        <v>191</v>
      </c>
      <c r="D77" s="19" t="s">
        <v>10206</v>
      </c>
      <c r="E77" s="15" t="str">
        <f>HYPERLINK("https://stat100.ameba.jp/tnk47/ratio20/illustrations/card/ill_81983_otenkinonesammatsushitaotome03.jpg?202002-i_prefecture_active_userxx", "■")</f>
        <v>■</v>
      </c>
      <c r="F77" s="7" t="s">
        <v>5022</v>
      </c>
      <c r="G77" s="7">
        <v>101558</v>
      </c>
      <c r="H77" s="7">
        <v>94390</v>
      </c>
      <c r="I77" s="7">
        <v>26</v>
      </c>
      <c r="J77" s="7" t="s">
        <v>187</v>
      </c>
      <c r="K77" s="7" t="s">
        <v>5024</v>
      </c>
      <c r="L77" s="7" t="s">
        <v>4678</v>
      </c>
      <c r="M77" s="14" t="s">
        <v>9158</v>
      </c>
      <c r="N77" s="14" t="s">
        <v>9158</v>
      </c>
      <c r="O77" s="14" t="s">
        <v>9158</v>
      </c>
      <c r="P77" s="14" t="s">
        <v>9158</v>
      </c>
      <c r="Q77" s="14" t="s">
        <v>9158</v>
      </c>
    </row>
    <row r="78" spans="1:17">
      <c r="A78" s="14">
        <v>80673</v>
      </c>
      <c r="B78" s="14" t="s">
        <v>0</v>
      </c>
      <c r="C78" s="14" t="s">
        <v>107</v>
      </c>
      <c r="D78" s="19" t="s">
        <v>10540</v>
      </c>
      <c r="E78" s="15" t="str">
        <f>HYPERLINK("https://stat100.ameba.jp/tnk47/ratio20/illustrations/card/ill_80673_banchoshishirianraisu03.jpg?202002-i_prefecture_active_userxx", "■")</f>
        <v>■</v>
      </c>
      <c r="F78" s="14" t="s">
        <v>4220</v>
      </c>
      <c r="G78" s="14">
        <v>143714</v>
      </c>
      <c r="H78" s="14">
        <v>154562</v>
      </c>
      <c r="I78" s="14">
        <v>26</v>
      </c>
      <c r="J78" s="14" t="s">
        <v>104</v>
      </c>
      <c r="K78" s="14" t="s">
        <v>4221</v>
      </c>
      <c r="L78" s="14" t="s">
        <v>2304</v>
      </c>
      <c r="M78" s="14" t="s">
        <v>9158</v>
      </c>
      <c r="N78" s="14" t="s">
        <v>9158</v>
      </c>
      <c r="O78" s="14" t="s">
        <v>9158</v>
      </c>
      <c r="P78" s="14" t="s">
        <v>9158</v>
      </c>
      <c r="Q78" s="14" t="s">
        <v>9158</v>
      </c>
    </row>
    <row r="79" spans="1:17">
      <c r="A79" s="14">
        <v>80823</v>
      </c>
      <c r="B79" s="14" t="s">
        <v>334</v>
      </c>
      <c r="C79" s="14" t="s">
        <v>96</v>
      </c>
      <c r="D79" s="19" t="s">
        <v>10541</v>
      </c>
      <c r="E79" s="15" t="str">
        <f>HYPERLINK("https://stat100.ameba.jp/tnk47/ratio20/illustrations/card/ill_80823_utatanekitanokata03.jpg?202002-i_prefecture_active_userxx", "■")</f>
        <v>■</v>
      </c>
      <c r="F79" s="14" t="s">
        <v>4268</v>
      </c>
      <c r="G79" s="14">
        <v>143714</v>
      </c>
      <c r="H79" s="14">
        <v>154562</v>
      </c>
      <c r="I79" s="14">
        <v>26</v>
      </c>
      <c r="J79" s="14" t="s">
        <v>143</v>
      </c>
      <c r="K79" s="14" t="s">
        <v>4269</v>
      </c>
      <c r="L79" s="14" t="s">
        <v>1148</v>
      </c>
      <c r="M79" s="14" t="s">
        <v>9158</v>
      </c>
      <c r="N79" s="14" t="s">
        <v>9158</v>
      </c>
      <c r="O79" s="14" t="s">
        <v>9158</v>
      </c>
      <c r="P79" s="14" t="s">
        <v>9158</v>
      </c>
      <c r="Q79" s="14" t="s">
        <v>9158</v>
      </c>
    </row>
    <row r="80" spans="1:17">
      <c r="A80" s="14">
        <v>82033</v>
      </c>
      <c r="B80" s="14" t="s">
        <v>334</v>
      </c>
      <c r="C80" s="14" t="s">
        <v>205</v>
      </c>
      <c r="D80" s="19" t="s">
        <v>10240</v>
      </c>
      <c r="E80" s="15" t="str">
        <f>HYPERLINK("https://stat100.ameba.jp/tnk47/ratio20/illustrations/card/ill_82033_chichinohiakashirejina03.jpg?202002-i_prefecture_active_userxx", "■")</f>
        <v>■</v>
      </c>
      <c r="F80" s="14" t="s">
        <v>5126</v>
      </c>
      <c r="G80" s="14">
        <v>101558</v>
      </c>
      <c r="H80" s="14">
        <v>94390</v>
      </c>
      <c r="I80" s="14">
        <v>26</v>
      </c>
      <c r="J80" s="14" t="s">
        <v>10</v>
      </c>
      <c r="K80" s="14" t="s">
        <v>5128</v>
      </c>
      <c r="L80" s="14" t="s">
        <v>4347</v>
      </c>
      <c r="M80" s="14" t="s">
        <v>9158</v>
      </c>
      <c r="N80" s="14" t="s">
        <v>9158</v>
      </c>
      <c r="O80" s="14" t="s">
        <v>9158</v>
      </c>
      <c r="P80" s="14" t="s">
        <v>9158</v>
      </c>
      <c r="Q80" s="14" t="s">
        <v>9158</v>
      </c>
    </row>
    <row r="81" spans="1:17">
      <c r="A81" s="14">
        <v>59113</v>
      </c>
      <c r="B81" s="14" t="s">
        <v>348</v>
      </c>
      <c r="C81" s="14" t="s">
        <v>185</v>
      </c>
      <c r="D81" s="19" t="s">
        <v>2898</v>
      </c>
      <c r="E81" s="15" t="str">
        <f>HYPERLINK("https://stat100.ameba.jp/tnk47/ratio20/illustrations/card/ill_59113_hananodayunakanotakeko03.jpg?202002-i_prefecture_active_userxx", "■")</f>
        <v>■</v>
      </c>
      <c r="F81" s="14" t="s">
        <v>2899</v>
      </c>
      <c r="G81" s="9">
        <v>77064</v>
      </c>
      <c r="H81" s="9">
        <v>69898</v>
      </c>
      <c r="I81" s="14">
        <v>26</v>
      </c>
      <c r="J81" s="14" t="s">
        <v>310</v>
      </c>
      <c r="K81" s="14" t="s">
        <v>2900</v>
      </c>
      <c r="L81" s="14" t="s">
        <v>1525</v>
      </c>
      <c r="M81" s="14" t="s">
        <v>9158</v>
      </c>
      <c r="N81" s="14" t="s">
        <v>9158</v>
      </c>
      <c r="O81" s="14" t="s">
        <v>9158</v>
      </c>
      <c r="P81" s="14" t="s">
        <v>9158</v>
      </c>
      <c r="Q81" s="14" t="s">
        <v>9158</v>
      </c>
    </row>
    <row r="82" spans="1:17">
      <c r="A82" s="9">
        <v>56663</v>
      </c>
      <c r="B82" s="9" t="s">
        <v>15</v>
      </c>
      <c r="C82" s="9" t="s">
        <v>200</v>
      </c>
      <c r="D82" s="19" t="s">
        <v>10962</v>
      </c>
      <c r="E82" s="15" t="str">
        <f>HYPERLINK("https://stat100.ameba.jp/tnk47/ratio20/illustrations/card/ill_56663_irumineshonkitaharasatoko03.jpg?202002-i_prefecture_active_userxx", "■")</f>
        <v>■</v>
      </c>
      <c r="F82" s="9" t="s">
        <v>9365</v>
      </c>
      <c r="G82" s="9">
        <v>77064</v>
      </c>
      <c r="H82" s="9">
        <v>69898</v>
      </c>
      <c r="I82" s="9">
        <v>26</v>
      </c>
      <c r="J82" s="9" t="s">
        <v>173</v>
      </c>
      <c r="K82" s="9" t="s">
        <v>9364</v>
      </c>
      <c r="L82" s="9" t="s">
        <v>9369</v>
      </c>
      <c r="M82" s="14" t="s">
        <v>9158</v>
      </c>
      <c r="N82" s="14" t="s">
        <v>9158</v>
      </c>
      <c r="O82" s="14" t="s">
        <v>9158</v>
      </c>
      <c r="P82" s="14" t="s">
        <v>9158</v>
      </c>
      <c r="Q82" s="14" t="s">
        <v>9158</v>
      </c>
    </row>
    <row r="83" spans="1:17">
      <c r="A83" s="9">
        <v>38473</v>
      </c>
      <c r="B83" s="9" t="s">
        <v>15</v>
      </c>
      <c r="C83" s="9" t="s">
        <v>165</v>
      </c>
      <c r="D83" s="19" t="s">
        <v>10963</v>
      </c>
      <c r="E83" s="15" t="str">
        <f>HYPERLINK("https://stat100.ameba.jp/tnk47/ratio20/illustrations/card/ill_38473_sonezakishinju03.jpg?202002-i_prefecture_active_userxx", "■")</f>
        <v>■</v>
      </c>
      <c r="F83" s="9" t="s">
        <v>9367</v>
      </c>
      <c r="G83" s="9">
        <v>69898</v>
      </c>
      <c r="H83" s="9">
        <v>77064</v>
      </c>
      <c r="I83" s="9">
        <v>26</v>
      </c>
      <c r="J83" s="9" t="s">
        <v>155</v>
      </c>
      <c r="K83" s="9" t="s">
        <v>9366</v>
      </c>
      <c r="L83" s="14" t="s">
        <v>9368</v>
      </c>
      <c r="M83" s="14" t="s">
        <v>9158</v>
      </c>
      <c r="N83" s="14" t="s">
        <v>9158</v>
      </c>
      <c r="O83" s="14" t="s">
        <v>9158</v>
      </c>
      <c r="P83" s="14" t="s">
        <v>9158</v>
      </c>
      <c r="Q83" s="14" t="s">
        <v>9158</v>
      </c>
    </row>
    <row r="84" spans="1:17">
      <c r="E84" s="9"/>
    </row>
    <row r="85" spans="1:17">
      <c r="A85" s="9" t="s">
        <v>9370</v>
      </c>
      <c r="E85" s="9"/>
    </row>
    <row r="86" spans="1:17">
      <c r="A86" s="9" t="s">
        <v>9371</v>
      </c>
      <c r="E86" s="9"/>
    </row>
    <row r="87" spans="1:17">
      <c r="A87" s="14" t="s">
        <v>5609</v>
      </c>
      <c r="B87" s="14" t="s">
        <v>52</v>
      </c>
      <c r="C87" s="14" t="s">
        <v>200</v>
      </c>
      <c r="D87" s="19" t="s">
        <v>389</v>
      </c>
      <c r="E87" s="15" t="str">
        <f>HYPERLINK("https://stat100.ameba.jp/tnk47/ratio20/illustrations/card/ill_53753_0_natsumatsuritokugawaieyasu03.jpg?202002-i_prefecture_active_userxxx", "■")</f>
        <v>■</v>
      </c>
      <c r="F87" s="14" t="s">
        <v>902</v>
      </c>
      <c r="G87" s="14">
        <v>150776</v>
      </c>
      <c r="H87" s="14">
        <v>133938</v>
      </c>
      <c r="I87" s="14">
        <v>24</v>
      </c>
      <c r="J87" s="14" t="s">
        <v>194</v>
      </c>
      <c r="K87" s="14" t="s">
        <v>1714</v>
      </c>
      <c r="L87" s="14" t="s">
        <v>904</v>
      </c>
      <c r="M87" s="14" t="s">
        <v>9158</v>
      </c>
      <c r="N87" s="14" t="s">
        <v>9158</v>
      </c>
      <c r="O87" s="19" t="s">
        <v>10076</v>
      </c>
      <c r="P87" s="14" t="s">
        <v>13121</v>
      </c>
      <c r="Q87" s="14">
        <v>1</v>
      </c>
    </row>
    <row r="88" spans="1:17">
      <c r="A88" s="14" t="s">
        <v>5719</v>
      </c>
      <c r="B88" s="14" t="s">
        <v>52</v>
      </c>
      <c r="C88" s="14" t="s">
        <v>165</v>
      </c>
      <c r="D88" s="19" t="s">
        <v>10379</v>
      </c>
      <c r="E88" s="15" t="str">
        <f>HYPERLINK("https://stat100.ameba.jp/tnk47/ratio20/illustrations/card/ill_54523_0_yonshunennionohime03.jpg?202002-i_prefecture_active_userxxx", "■")</f>
        <v>■</v>
      </c>
      <c r="F88" s="14" t="s">
        <v>1773</v>
      </c>
      <c r="G88" s="14">
        <v>133938</v>
      </c>
      <c r="H88" s="14">
        <v>150776</v>
      </c>
      <c r="I88" s="14">
        <v>24</v>
      </c>
      <c r="J88" s="14" t="s">
        <v>38</v>
      </c>
      <c r="K88" s="14" t="s">
        <v>1774</v>
      </c>
      <c r="L88" s="14" t="s">
        <v>1775</v>
      </c>
      <c r="M88" s="14" t="s">
        <v>9158</v>
      </c>
      <c r="N88" s="14" t="s">
        <v>9158</v>
      </c>
      <c r="O88" s="19" t="s">
        <v>10094</v>
      </c>
      <c r="P88" s="14" t="s">
        <v>13168</v>
      </c>
      <c r="Q88" s="14">
        <v>1</v>
      </c>
    </row>
    <row r="89" spans="1:17">
      <c r="A89" s="14" t="s">
        <v>5721</v>
      </c>
      <c r="B89" s="14" t="s">
        <v>52</v>
      </c>
      <c r="C89" s="14" t="s">
        <v>1</v>
      </c>
      <c r="D89" s="19" t="s">
        <v>513</v>
      </c>
      <c r="E89" s="15" t="str">
        <f>HYPERLINK("https://stat100.ameba.jp/tnk47/ratio20/illustrations/card/ill_44283_0_izumonokuni03.jpg?202002-i_prefecture_active_userxxx", "■")</f>
        <v>■</v>
      </c>
      <c r="F89" s="14" t="s">
        <v>1716</v>
      </c>
      <c r="G89" s="14">
        <v>140448</v>
      </c>
      <c r="H89" s="14">
        <v>131538</v>
      </c>
      <c r="I89" s="14">
        <v>24</v>
      </c>
      <c r="J89" s="14" t="s">
        <v>16</v>
      </c>
      <c r="K89" s="14" t="s">
        <v>2254</v>
      </c>
      <c r="L89" s="14" t="s">
        <v>1718</v>
      </c>
      <c r="M89" s="14" t="s">
        <v>9158</v>
      </c>
      <c r="N89" s="14" t="s">
        <v>9158</v>
      </c>
      <c r="O89" s="14" t="s">
        <v>9158</v>
      </c>
      <c r="P89" s="14" t="s">
        <v>9158</v>
      </c>
      <c r="Q89" s="14" t="s">
        <v>9158</v>
      </c>
    </row>
    <row r="90" spans="1:17">
      <c r="A90" s="9">
        <v>86943</v>
      </c>
      <c r="B90" s="9" t="s">
        <v>0</v>
      </c>
      <c r="C90" s="9" t="s">
        <v>206</v>
      </c>
      <c r="D90" s="19" t="s">
        <v>10958</v>
      </c>
      <c r="E90" s="15" t="str">
        <f>HYPERLINK("https://stat100.ameba.jp/tnk47/ratio20/illustrations/card/ill_86943_setsubunhaniyasu03.jpg?202002-i_prefecture_active_userxxx", "■")</f>
        <v>■</v>
      </c>
      <c r="F90" s="9" t="s">
        <v>9355</v>
      </c>
      <c r="G90" s="9">
        <v>101971</v>
      </c>
      <c r="H90" s="9">
        <v>94802</v>
      </c>
      <c r="I90" s="9">
        <v>25</v>
      </c>
      <c r="J90" s="9" t="s">
        <v>169</v>
      </c>
      <c r="K90" s="9" t="s">
        <v>9354</v>
      </c>
      <c r="L90" s="9" t="s">
        <v>7243</v>
      </c>
      <c r="M90" s="14" t="s">
        <v>9158</v>
      </c>
      <c r="N90" s="14" t="s">
        <v>9158</v>
      </c>
      <c r="O90" s="14" t="s">
        <v>9158</v>
      </c>
      <c r="P90" s="14" t="s">
        <v>9158</v>
      </c>
      <c r="Q90" s="14" t="s">
        <v>9158</v>
      </c>
    </row>
    <row r="91" spans="1:17">
      <c r="A91" s="9">
        <v>86953</v>
      </c>
      <c r="B91" s="9" t="s">
        <v>15</v>
      </c>
      <c r="C91" s="9" t="s">
        <v>165</v>
      </c>
      <c r="D91" s="19" t="s">
        <v>10959</v>
      </c>
      <c r="E91" s="15" t="str">
        <f>HYPERLINK("https://stat100.ameba.jp/tnk47/ratio20/illustrations/card/ill_86953_setsubumpanikkukunohisa03.jpg?202002-i_prefecture_active_userxxx", "■")</f>
        <v>■</v>
      </c>
      <c r="F91" s="9" t="s">
        <v>9357</v>
      </c>
      <c r="G91" s="9">
        <v>67210</v>
      </c>
      <c r="H91" s="9">
        <v>74100</v>
      </c>
      <c r="I91" s="9">
        <v>25</v>
      </c>
      <c r="J91" s="9" t="s">
        <v>173</v>
      </c>
      <c r="K91" s="9" t="s">
        <v>9356</v>
      </c>
      <c r="L91" s="9" t="s">
        <v>3337</v>
      </c>
      <c r="M91" s="14" t="s">
        <v>9158</v>
      </c>
      <c r="N91" s="14" t="s">
        <v>9158</v>
      </c>
      <c r="O91" s="14" t="s">
        <v>9158</v>
      </c>
      <c r="P91" s="14" t="s">
        <v>9158</v>
      </c>
      <c r="Q91" s="14" t="s">
        <v>9158</v>
      </c>
    </row>
    <row r="92" spans="1:17">
      <c r="A92" s="9">
        <v>86963</v>
      </c>
      <c r="B92" s="9" t="s">
        <v>22</v>
      </c>
      <c r="C92" s="9" t="s">
        <v>200</v>
      </c>
      <c r="D92" s="19" t="s">
        <v>10960</v>
      </c>
      <c r="E92" s="15" t="str">
        <f>HYPERLINK("https://stat100.ameba.jp/tnk47/ratio20/illustrations/card/ill_86963_setsubunonikoisetsubunsai03.jpg?202002-i_prefecture_active_userxxx", "■")</f>
        <v>■</v>
      </c>
      <c r="F92" s="9" t="s">
        <v>9359</v>
      </c>
      <c r="G92" s="9">
        <v>51980</v>
      </c>
      <c r="H92" s="9">
        <v>43220</v>
      </c>
      <c r="I92" s="9">
        <v>25</v>
      </c>
      <c r="J92" s="9" t="s">
        <v>155</v>
      </c>
      <c r="K92" s="9" t="s">
        <v>9358</v>
      </c>
      <c r="L92" s="9" t="s">
        <v>7248</v>
      </c>
      <c r="M92" s="14" t="s">
        <v>9158</v>
      </c>
      <c r="N92" s="14" t="s">
        <v>9158</v>
      </c>
      <c r="O92" s="14" t="s">
        <v>9158</v>
      </c>
      <c r="P92" s="14" t="s">
        <v>9158</v>
      </c>
      <c r="Q92" s="14" t="s">
        <v>9158</v>
      </c>
    </row>
    <row r="93" spans="1:17">
      <c r="A93" s="9">
        <v>86973</v>
      </c>
      <c r="B93" s="9" t="s">
        <v>30</v>
      </c>
      <c r="C93" s="9" t="s">
        <v>4772</v>
      </c>
      <c r="D93" s="19" t="s">
        <v>10961</v>
      </c>
      <c r="E93" s="15" t="str">
        <f>HYPERLINK("https://stat100.ameba.jp/tnk47/ratio20/illustrations/card/ill_86973_rakkasei03.jpg?202002-i_prefecture_active_userxxx", "■")</f>
        <v>■</v>
      </c>
      <c r="F93" s="9" t="s">
        <v>9361</v>
      </c>
      <c r="G93" s="9">
        <v>26430</v>
      </c>
      <c r="H93" s="9">
        <v>31470</v>
      </c>
      <c r="I93" s="9">
        <v>25</v>
      </c>
      <c r="J93" s="9" t="s">
        <v>216</v>
      </c>
      <c r="K93" s="9" t="s">
        <v>9360</v>
      </c>
      <c r="L93" s="9" t="s">
        <v>4560</v>
      </c>
      <c r="M93" s="14" t="s">
        <v>9158</v>
      </c>
      <c r="N93" s="14" t="s">
        <v>9158</v>
      </c>
      <c r="O93" s="14" t="s">
        <v>9158</v>
      </c>
      <c r="P93" s="14" t="s">
        <v>9158</v>
      </c>
      <c r="Q93" s="14" t="s">
        <v>9158</v>
      </c>
    </row>
    <row r="94" spans="1:17">
      <c r="E94" s="9"/>
    </row>
    <row r="95" spans="1:17">
      <c r="A95" s="9" t="s">
        <v>9372</v>
      </c>
      <c r="E95" s="9"/>
    </row>
    <row r="96" spans="1:17">
      <c r="A96" s="9" t="s">
        <v>9373</v>
      </c>
      <c r="E96" s="9"/>
    </row>
    <row r="97" spans="1:17">
      <c r="A97" s="14" t="s">
        <v>5724</v>
      </c>
      <c r="B97" s="14" t="s">
        <v>330</v>
      </c>
      <c r="C97" s="14" t="s">
        <v>335</v>
      </c>
      <c r="D97" s="19" t="s">
        <v>698</v>
      </c>
      <c r="E97" s="15" t="str">
        <f>HYPERLINK("https://stat100.ameba.jp/tnk47/ratio20/illustrations/card/ill_66433_0_haroinfujishirogozen03.jpg?202002-i_prefecture_active_userxxx", "■")</f>
        <v>■</v>
      </c>
      <c r="F97" s="14" t="s">
        <v>699</v>
      </c>
      <c r="G97" s="14">
        <v>134652</v>
      </c>
      <c r="H97" s="14">
        <v>144834</v>
      </c>
      <c r="I97" s="14">
        <v>22</v>
      </c>
      <c r="J97" s="14" t="s">
        <v>315</v>
      </c>
      <c r="K97" s="14" t="s">
        <v>700</v>
      </c>
      <c r="L97" s="14" t="s">
        <v>701</v>
      </c>
      <c r="M97" s="14" t="s">
        <v>9158</v>
      </c>
      <c r="N97" s="14" t="s">
        <v>9158</v>
      </c>
      <c r="O97" s="19" t="s">
        <v>10095</v>
      </c>
      <c r="P97" s="14" t="s">
        <v>3345</v>
      </c>
      <c r="Q97" s="14">
        <v>1</v>
      </c>
    </row>
    <row r="98" spans="1:17">
      <c r="A98" s="14" t="s">
        <v>5624</v>
      </c>
      <c r="B98" s="14" t="s">
        <v>52</v>
      </c>
      <c r="C98" s="14" t="s">
        <v>101</v>
      </c>
      <c r="D98" s="19" t="s">
        <v>1426</v>
      </c>
      <c r="E98" s="15" t="str">
        <f>HYPERLINK("https://stat100.ameba.jp/tnk47/ratio20/illustrations/card/ill_64953_0_yukatatokugawayoshinobu03.jpg?202002-i_prefecture_active_userxxx", "■")</f>
        <v>■</v>
      </c>
      <c r="F98" s="14" t="s">
        <v>2090</v>
      </c>
      <c r="G98" s="14">
        <v>137060</v>
      </c>
      <c r="H98" s="14">
        <v>147404</v>
      </c>
      <c r="I98" s="14">
        <v>22</v>
      </c>
      <c r="J98" s="14" t="s">
        <v>10</v>
      </c>
      <c r="K98" s="14" t="s">
        <v>2091</v>
      </c>
      <c r="L98" s="14" t="s">
        <v>2092</v>
      </c>
      <c r="M98" s="14" t="s">
        <v>9158</v>
      </c>
      <c r="N98" s="14" t="s">
        <v>9158</v>
      </c>
      <c r="O98" s="19" t="s">
        <v>2889</v>
      </c>
      <c r="P98" s="14" t="s">
        <v>2890</v>
      </c>
      <c r="Q98" s="14">
        <v>1</v>
      </c>
    </row>
    <row r="99" spans="1:17">
      <c r="A99" s="14" t="s">
        <v>5897</v>
      </c>
      <c r="B99" s="14" t="s">
        <v>52</v>
      </c>
      <c r="C99" s="14" t="s">
        <v>23</v>
      </c>
      <c r="D99" s="19" t="s">
        <v>277</v>
      </c>
      <c r="E99" s="15" t="str">
        <f>HYPERLINK("https://stat100.ameba.jp/tnk47/ratio20/illustrations/card/ill_40913_0_reigyokudensetsufusehime03.jpg?202002-i_prefecture_active_userxxx", "■")</f>
        <v>■</v>
      </c>
      <c r="F99" s="14" t="s">
        <v>955</v>
      </c>
      <c r="G99" s="14">
        <v>120576</v>
      </c>
      <c r="H99" s="14">
        <v>128744</v>
      </c>
      <c r="I99" s="14">
        <v>22</v>
      </c>
      <c r="J99" s="14" t="s">
        <v>38</v>
      </c>
      <c r="K99" s="14" t="s">
        <v>956</v>
      </c>
      <c r="L99" s="14" t="s">
        <v>957</v>
      </c>
      <c r="M99" s="14" t="s">
        <v>9158</v>
      </c>
      <c r="N99" s="14" t="s">
        <v>9158</v>
      </c>
      <c r="O99" s="14" t="s">
        <v>9158</v>
      </c>
      <c r="P99" s="14" t="s">
        <v>9158</v>
      </c>
      <c r="Q99" s="14" t="s">
        <v>9158</v>
      </c>
    </row>
    <row r="100" spans="1:17">
      <c r="A100" s="14">
        <v>84523</v>
      </c>
      <c r="B100" s="14" t="s">
        <v>0</v>
      </c>
      <c r="C100" s="14" t="s">
        <v>165</v>
      </c>
      <c r="D100" s="19" t="s">
        <v>10720</v>
      </c>
      <c r="E100" s="15" t="str">
        <f>HYPERLINK("https://stat100.ameba.jp/tnk47/ratio20/illustrations/card/ill_84523_haroinhoihoibi03.jpg?202002-i_prefecture_active_userxxx", "■")</f>
        <v>■</v>
      </c>
      <c r="F100" s="14" t="s">
        <v>7580</v>
      </c>
      <c r="G100" s="14">
        <v>107392</v>
      </c>
      <c r="H100" s="14">
        <v>190884</v>
      </c>
      <c r="I100" s="14">
        <v>26</v>
      </c>
      <c r="J100" s="14" t="s">
        <v>320</v>
      </c>
      <c r="K100" s="14" t="s">
        <v>7579</v>
      </c>
      <c r="L100" s="14" t="s">
        <v>7578</v>
      </c>
      <c r="M100" s="14" t="s">
        <v>9158</v>
      </c>
      <c r="N100" s="14" t="s">
        <v>9158</v>
      </c>
      <c r="O100" s="14" t="s">
        <v>9158</v>
      </c>
      <c r="P100" s="14" t="s">
        <v>9158</v>
      </c>
      <c r="Q100" s="14" t="s">
        <v>9158</v>
      </c>
    </row>
    <row r="101" spans="1:17">
      <c r="A101" s="14">
        <v>61423</v>
      </c>
      <c r="B101" s="14" t="s">
        <v>334</v>
      </c>
      <c r="C101" s="14" t="s">
        <v>107</v>
      </c>
      <c r="D101" s="19" t="s">
        <v>10584</v>
      </c>
      <c r="E101" s="15" t="str">
        <f>HYPERLINK("https://stat100.ameba.jp/tnk47/ratio20/illustrations/card/ill_61423_itogemboku03.jpg?202002-i_prefecture_active_userxxx", "■")</f>
        <v>■</v>
      </c>
      <c r="F101" s="14" t="s">
        <v>6759</v>
      </c>
      <c r="G101" s="14">
        <v>85492</v>
      </c>
      <c r="H101" s="14">
        <v>118000</v>
      </c>
      <c r="I101" s="14">
        <v>26</v>
      </c>
      <c r="J101" s="14" t="s">
        <v>159</v>
      </c>
      <c r="K101" s="14" t="s">
        <v>6758</v>
      </c>
      <c r="L101" s="14" t="s">
        <v>4830</v>
      </c>
      <c r="M101" s="14" t="s">
        <v>9158</v>
      </c>
      <c r="N101" s="14" t="s">
        <v>9158</v>
      </c>
      <c r="O101" s="14" t="s">
        <v>9158</v>
      </c>
      <c r="P101" s="14" t="s">
        <v>9158</v>
      </c>
      <c r="Q101" s="14" t="s">
        <v>9158</v>
      </c>
    </row>
    <row r="102" spans="1:17">
      <c r="A102" s="14">
        <v>74853</v>
      </c>
      <c r="B102" s="14" t="s">
        <v>334</v>
      </c>
      <c r="C102" s="14" t="s">
        <v>191</v>
      </c>
      <c r="D102" s="19" t="s">
        <v>10248</v>
      </c>
      <c r="E102" s="15" t="str">
        <f>HYPERLINK("https://stat100.ameba.jp/tnk47/ratio20/illustrations/card/ill_74853_ennichikingyonota03.jpg?202002-i_prefecture_active_userxxx", "■")</f>
        <v>■</v>
      </c>
      <c r="F102" s="14" t="s">
        <v>3313</v>
      </c>
      <c r="G102" s="14">
        <v>98066</v>
      </c>
      <c r="H102" s="14">
        <v>105426</v>
      </c>
      <c r="I102" s="14">
        <v>26</v>
      </c>
      <c r="J102" s="14" t="s">
        <v>38</v>
      </c>
      <c r="K102" s="14" t="s">
        <v>3314</v>
      </c>
      <c r="L102" s="14" t="s">
        <v>3315</v>
      </c>
      <c r="M102" s="14" t="s">
        <v>9158</v>
      </c>
      <c r="N102" s="14" t="s">
        <v>9158</v>
      </c>
      <c r="O102" s="14" t="s">
        <v>9158</v>
      </c>
      <c r="P102" s="14" t="s">
        <v>9158</v>
      </c>
      <c r="Q102" s="14" t="s">
        <v>9158</v>
      </c>
    </row>
    <row r="103" spans="1:17">
      <c r="A103" s="14">
        <v>60703</v>
      </c>
      <c r="B103" s="14" t="s">
        <v>348</v>
      </c>
      <c r="C103" s="14" t="s">
        <v>185</v>
      </c>
      <c r="D103" s="19" t="s">
        <v>3010</v>
      </c>
      <c r="E103" s="15" t="str">
        <f>HYPERLINK("https://stat100.ameba.jp/tnk47/ratio20/illustrations/card/ill_60703_isutabaniyamamurokieko03.jpg?202002-i_prefecture_active_userxxx", "■")</f>
        <v>■</v>
      </c>
      <c r="F103" s="14" t="s">
        <v>3011</v>
      </c>
      <c r="G103" s="14">
        <v>69898</v>
      </c>
      <c r="H103" s="14">
        <v>77064</v>
      </c>
      <c r="I103" s="14">
        <v>26</v>
      </c>
      <c r="J103" s="14" t="s">
        <v>351</v>
      </c>
      <c r="K103" s="14" t="s">
        <v>3012</v>
      </c>
      <c r="L103" s="14" t="s">
        <v>3013</v>
      </c>
      <c r="M103" s="14" t="s">
        <v>9158</v>
      </c>
      <c r="N103" s="14" t="s">
        <v>9158</v>
      </c>
      <c r="O103" s="14" t="s">
        <v>9158</v>
      </c>
      <c r="P103" s="14" t="s">
        <v>9158</v>
      </c>
      <c r="Q103" s="14" t="s">
        <v>9158</v>
      </c>
    </row>
    <row r="104" spans="1:17">
      <c r="A104" s="14">
        <v>78043</v>
      </c>
      <c r="B104" s="14" t="s">
        <v>15</v>
      </c>
      <c r="C104" s="14" t="s">
        <v>165</v>
      </c>
      <c r="D104" s="19" t="s">
        <v>10398</v>
      </c>
      <c r="E104" s="15" t="str">
        <f>HYPERLINK("https://stat100.ameba.jp/tnk47/ratio20/illustrations/card/ill_78043_yushinaishinno03.jpg?202002-i_prefecture_active_userxxx", "■")</f>
        <v>■</v>
      </c>
      <c r="F104" s="14" t="s">
        <v>2213</v>
      </c>
      <c r="G104" s="14">
        <v>69898</v>
      </c>
      <c r="H104" s="14">
        <v>77064</v>
      </c>
      <c r="I104" s="14">
        <v>26</v>
      </c>
      <c r="J104" s="14" t="s">
        <v>16</v>
      </c>
      <c r="K104" s="14" t="s">
        <v>2214</v>
      </c>
      <c r="L104" s="14" t="s">
        <v>981</v>
      </c>
      <c r="M104" s="14" t="s">
        <v>9158</v>
      </c>
      <c r="N104" s="14" t="s">
        <v>9158</v>
      </c>
      <c r="O104" s="14" t="s">
        <v>9158</v>
      </c>
      <c r="P104" s="14" t="s">
        <v>9158</v>
      </c>
      <c r="Q104" s="14" t="s">
        <v>9158</v>
      </c>
    </row>
    <row r="105" spans="1:17">
      <c r="A105" s="14">
        <v>69083</v>
      </c>
      <c r="B105" s="14" t="s">
        <v>348</v>
      </c>
      <c r="C105" s="14" t="s">
        <v>206</v>
      </c>
      <c r="D105" s="19" t="s">
        <v>3014</v>
      </c>
      <c r="E105" s="15" t="str">
        <f>HYPERLINK("https://stat100.ameba.jp/tnk47/ratio20/illustrations/card/ill_69083_uintasupotsukuwahime03.jpg?202002-i_prefecture_active_userxxx", "■")</f>
        <v>■</v>
      </c>
      <c r="F105" s="14" t="s">
        <v>3015</v>
      </c>
      <c r="G105" s="14">
        <v>69898</v>
      </c>
      <c r="H105" s="14">
        <v>77064</v>
      </c>
      <c r="I105" s="14">
        <v>26</v>
      </c>
      <c r="J105" s="14" t="s">
        <v>315</v>
      </c>
      <c r="K105" s="14" t="s">
        <v>3016</v>
      </c>
      <c r="L105" s="14" t="s">
        <v>596</v>
      </c>
      <c r="M105" s="14" t="s">
        <v>9158</v>
      </c>
      <c r="N105" s="14" t="s">
        <v>9158</v>
      </c>
      <c r="O105" s="14" t="s">
        <v>9158</v>
      </c>
      <c r="P105" s="14" t="s">
        <v>9158</v>
      </c>
      <c r="Q105" s="14" t="s">
        <v>9158</v>
      </c>
    </row>
    <row r="106" spans="1:17">
      <c r="E106" s="9"/>
    </row>
    <row r="107" spans="1:17">
      <c r="A107" s="9" t="s">
        <v>9374</v>
      </c>
      <c r="E107" s="9"/>
    </row>
    <row r="108" spans="1:17">
      <c r="A108" s="9" t="s">
        <v>9375</v>
      </c>
      <c r="E108" s="9"/>
    </row>
    <row r="109" spans="1:17">
      <c r="A109" s="14" t="s">
        <v>6195</v>
      </c>
      <c r="B109" s="14" t="s">
        <v>52</v>
      </c>
      <c r="C109" s="14" t="s">
        <v>191</v>
      </c>
      <c r="D109" s="19" t="s">
        <v>10217</v>
      </c>
      <c r="E109" s="15" t="str">
        <f>HYPERLINK("https://stat100.ameba.jp/tnk47/ratio20/illustrations/card/ill_56493_0_poppukurisumasuikomakitsuno03.jpg?202002-i_prefecture_active_userxxx", "■")</f>
        <v>■</v>
      </c>
      <c r="F109" s="14" t="s">
        <v>1769</v>
      </c>
      <c r="G109" s="14">
        <v>150776</v>
      </c>
      <c r="H109" s="14">
        <v>133938</v>
      </c>
      <c r="I109" s="14">
        <v>24</v>
      </c>
      <c r="J109" s="14" t="s">
        <v>77</v>
      </c>
      <c r="K109" s="14" t="s">
        <v>1770</v>
      </c>
      <c r="L109" s="14" t="s">
        <v>1771</v>
      </c>
      <c r="M109" s="14" t="s">
        <v>9158</v>
      </c>
      <c r="N109" s="14" t="s">
        <v>9158</v>
      </c>
      <c r="O109" s="19" t="s">
        <v>10120</v>
      </c>
      <c r="P109" s="14" t="s">
        <v>2724</v>
      </c>
      <c r="Q109" s="14">
        <v>1</v>
      </c>
    </row>
    <row r="110" spans="1:17">
      <c r="A110" s="14">
        <v>77123</v>
      </c>
      <c r="B110" s="14" t="s">
        <v>334</v>
      </c>
      <c r="C110" s="14" t="s">
        <v>191</v>
      </c>
      <c r="D110" s="19" t="s">
        <v>10424</v>
      </c>
      <c r="E110" s="15" t="str">
        <f>HYPERLINK("https://stat100.ameba.jp/tnk47/ratio20/illustrations/card/ill_77123_yukemuriizuna03.jpg?202002-i_prefecture_active_userxxx", "■")</f>
        <v>■</v>
      </c>
      <c r="F110" s="14" t="s">
        <v>1377</v>
      </c>
      <c r="G110" s="14">
        <v>104162</v>
      </c>
      <c r="H110" s="14">
        <v>96871</v>
      </c>
      <c r="I110" s="14">
        <v>25</v>
      </c>
      <c r="J110" s="14" t="s">
        <v>320</v>
      </c>
      <c r="K110" s="14" t="s">
        <v>1378</v>
      </c>
      <c r="L110" s="14" t="s">
        <v>1379</v>
      </c>
      <c r="M110" s="14" t="s">
        <v>9158</v>
      </c>
      <c r="N110" s="14" t="s">
        <v>9158</v>
      </c>
      <c r="O110" s="19" t="s">
        <v>2838</v>
      </c>
      <c r="P110" s="14" t="s">
        <v>3579</v>
      </c>
      <c r="Q110" s="14">
        <v>1</v>
      </c>
    </row>
    <row r="111" spans="1:17">
      <c r="A111" s="14">
        <v>66363</v>
      </c>
      <c r="B111" s="14" t="s">
        <v>334</v>
      </c>
      <c r="C111" s="14" t="s">
        <v>158</v>
      </c>
      <c r="D111" s="19" t="s">
        <v>2910</v>
      </c>
      <c r="E111" s="15" t="str">
        <f>HYPERLINK("https://stat100.ameba.jp/tnk47/ratio20/illustrations/card/ill_66363_iharasaikaku03.jpg?202002-i_prefecture_active_userxxx", "■")</f>
        <v>■</v>
      </c>
      <c r="F111" s="14" t="s">
        <v>122</v>
      </c>
      <c r="G111" s="9">
        <v>82205</v>
      </c>
      <c r="H111" s="9">
        <v>113463</v>
      </c>
      <c r="I111" s="9">
        <v>25</v>
      </c>
      <c r="J111" s="14" t="s">
        <v>414</v>
      </c>
      <c r="K111" s="14" t="s">
        <v>2911</v>
      </c>
      <c r="L111" s="14" t="s">
        <v>1575</v>
      </c>
      <c r="M111" s="14" t="s">
        <v>9158</v>
      </c>
      <c r="N111" s="14" t="s">
        <v>9158</v>
      </c>
      <c r="O111" s="19" t="s">
        <v>10074</v>
      </c>
      <c r="P111" s="14" t="s">
        <v>2822</v>
      </c>
      <c r="Q111" s="14">
        <v>1</v>
      </c>
    </row>
    <row r="112" spans="1:17">
      <c r="A112" s="14">
        <v>58343</v>
      </c>
      <c r="B112" s="14" t="s">
        <v>334</v>
      </c>
      <c r="C112" s="14" t="s">
        <v>268</v>
      </c>
      <c r="D112" s="19" t="s">
        <v>585</v>
      </c>
      <c r="E112" s="15" t="str">
        <f>HYPERLINK("https://stat100.ameba.jp/tnk47/ratio20/illustrations/card/ill_58343_agemakidayu03.jpg?202002-i_prefecture_active_userxxx", "■")</f>
        <v>■</v>
      </c>
      <c r="F112" s="14" t="s">
        <v>586</v>
      </c>
      <c r="G112" s="14">
        <v>103176</v>
      </c>
      <c r="H112" s="14">
        <v>75651</v>
      </c>
      <c r="I112" s="14">
        <v>25</v>
      </c>
      <c r="J112" s="14" t="s">
        <v>274</v>
      </c>
      <c r="K112" s="14" t="s">
        <v>587</v>
      </c>
      <c r="L112" s="14" t="s">
        <v>588</v>
      </c>
      <c r="M112" s="14" t="s">
        <v>9158</v>
      </c>
      <c r="N112" s="14" t="s">
        <v>9158</v>
      </c>
      <c r="O112" s="19" t="s">
        <v>2912</v>
      </c>
      <c r="P112" s="14" t="s">
        <v>13122</v>
      </c>
      <c r="Q112" s="14">
        <v>1</v>
      </c>
    </row>
    <row r="113" spans="1:17">
      <c r="E113" s="9"/>
    </row>
    <row r="114" spans="1:17">
      <c r="A114" s="9" t="s">
        <v>195</v>
      </c>
      <c r="E114" s="9"/>
    </row>
    <row r="115" spans="1:17">
      <c r="A115" s="9" t="s">
        <v>3567</v>
      </c>
      <c r="E115" s="9"/>
    </row>
    <row r="116" spans="1:17">
      <c r="A116" s="14">
        <v>84733</v>
      </c>
      <c r="B116" s="14" t="s">
        <v>0</v>
      </c>
      <c r="C116" s="14" t="s">
        <v>154</v>
      </c>
      <c r="D116" s="19" t="s">
        <v>10677</v>
      </c>
      <c r="E116" s="15" t="str">
        <f>HYPERLINK("https://stat100.ameba.jp/tnk47/ratio20/illustrations/card/ill_84733_madadoru03.jpg?202002-i_prefecture_active_userxxx", "■")</f>
        <v>■</v>
      </c>
      <c r="F116" s="14" t="s">
        <v>7293</v>
      </c>
      <c r="G116" s="14">
        <v>107826</v>
      </c>
      <c r="H116" s="14">
        <v>100256</v>
      </c>
      <c r="I116" s="14">
        <v>25</v>
      </c>
      <c r="J116" s="14" t="s">
        <v>182</v>
      </c>
      <c r="K116" s="14" t="s">
        <v>7296</v>
      </c>
      <c r="L116" s="14" t="s">
        <v>7295</v>
      </c>
      <c r="M116" s="14" t="s">
        <v>9158</v>
      </c>
      <c r="N116" s="14" t="s">
        <v>9158</v>
      </c>
      <c r="O116" s="14" t="s">
        <v>9158</v>
      </c>
      <c r="P116" s="14" t="s">
        <v>9158</v>
      </c>
      <c r="Q116" s="14" t="s">
        <v>9158</v>
      </c>
    </row>
    <row r="117" spans="1:17">
      <c r="A117" s="14">
        <v>84743</v>
      </c>
      <c r="B117" s="14" t="s">
        <v>0</v>
      </c>
      <c r="C117" s="14" t="s">
        <v>158</v>
      </c>
      <c r="D117" s="19" t="s">
        <v>10678</v>
      </c>
      <c r="E117" s="15" t="str">
        <f>HYPERLINK("https://stat100.ameba.jp/tnk47/ratio20/illustrations/card/ill_84743_rinnenonyumpe03.jpg?202002-i_prefecture_active_userxxx", "■")</f>
        <v>■</v>
      </c>
      <c r="F117" s="14" t="s">
        <v>7294</v>
      </c>
      <c r="G117" s="14">
        <v>107826</v>
      </c>
      <c r="H117" s="14">
        <v>100256</v>
      </c>
      <c r="I117" s="14">
        <v>25</v>
      </c>
      <c r="J117" s="14" t="s">
        <v>169</v>
      </c>
      <c r="K117" s="14" t="s">
        <v>7297</v>
      </c>
      <c r="L117" s="14" t="s">
        <v>7298</v>
      </c>
      <c r="M117" s="14" t="s">
        <v>9158</v>
      </c>
      <c r="N117" s="14" t="s">
        <v>9158</v>
      </c>
      <c r="O117" s="14" t="s">
        <v>9158</v>
      </c>
      <c r="P117" s="14" t="s">
        <v>9158</v>
      </c>
      <c r="Q117" s="14" t="s">
        <v>9158</v>
      </c>
    </row>
    <row r="118" spans="1:17">
      <c r="A118" s="14">
        <v>69883</v>
      </c>
      <c r="B118" s="14" t="s">
        <v>334</v>
      </c>
      <c r="C118" s="14" t="s">
        <v>185</v>
      </c>
      <c r="D118" s="19" t="s">
        <v>10293</v>
      </c>
      <c r="E118" s="15" t="str">
        <f>HYPERLINK("https://stat100.ameba.jp/tnk47/ratio20/illustrations/card/ill_69883_kyupiddotominushihime03.jpg?202002-i_prefecture_active_userxxx", "■")</f>
        <v>■</v>
      </c>
      <c r="F118" s="14" t="s">
        <v>4142</v>
      </c>
      <c r="G118" s="14">
        <v>94802</v>
      </c>
      <c r="H118" s="14">
        <v>101971</v>
      </c>
      <c r="I118" s="14">
        <v>25</v>
      </c>
      <c r="J118" s="14" t="s">
        <v>169</v>
      </c>
      <c r="K118" s="14" t="s">
        <v>4143</v>
      </c>
      <c r="L118" s="14" t="s">
        <v>13190</v>
      </c>
      <c r="M118" s="14" t="s">
        <v>9158</v>
      </c>
      <c r="N118" s="14" t="s">
        <v>9158</v>
      </c>
      <c r="O118" s="14" t="s">
        <v>9158</v>
      </c>
      <c r="P118" s="14" t="s">
        <v>9158</v>
      </c>
      <c r="Q118" s="14" t="s">
        <v>9158</v>
      </c>
    </row>
    <row r="119" spans="1:17">
      <c r="A119" s="14">
        <v>71833</v>
      </c>
      <c r="B119" s="14" t="s">
        <v>334</v>
      </c>
      <c r="C119" s="14" t="s">
        <v>165</v>
      </c>
      <c r="D119" s="19" t="s">
        <v>10294</v>
      </c>
      <c r="E119" s="15" t="str">
        <f>HYPERLINK("https://stat100.ameba.jp/tnk47/ratio20/illustrations/card/ill_71833_autodoanuregamidoji03.jpg?202002-i_prefecture_active_userxxx", "■")</f>
        <v>■</v>
      </c>
      <c r="F119" s="14" t="s">
        <v>5291</v>
      </c>
      <c r="G119" s="14">
        <v>96871</v>
      </c>
      <c r="H119" s="14">
        <v>104162</v>
      </c>
      <c r="I119" s="14">
        <v>25</v>
      </c>
      <c r="J119" s="14" t="s">
        <v>320</v>
      </c>
      <c r="K119" s="14" t="s">
        <v>4244</v>
      </c>
      <c r="L119" s="14" t="s">
        <v>4245</v>
      </c>
      <c r="M119" s="14" t="s">
        <v>9158</v>
      </c>
      <c r="N119" s="14" t="s">
        <v>9158</v>
      </c>
      <c r="O119" s="14" t="s">
        <v>9158</v>
      </c>
      <c r="P119" s="14" t="s">
        <v>9158</v>
      </c>
      <c r="Q119" s="14" t="s">
        <v>9158</v>
      </c>
    </row>
    <row r="120" spans="1:17">
      <c r="A120" s="14">
        <v>52973</v>
      </c>
      <c r="B120" s="14" t="s">
        <v>15</v>
      </c>
      <c r="C120" s="14" t="s">
        <v>206</v>
      </c>
      <c r="D120" s="19" t="s">
        <v>10519</v>
      </c>
      <c r="E120" s="15" t="str">
        <f>HYPERLINK("https://stat100.ameba.jp/tnk47/ratio20/illustrations/card/ill_52973_torampuamoronagu03.jpg?202002-i_prefecture_active_userxxx", "■")</f>
        <v>■</v>
      </c>
      <c r="F120" s="14" t="s">
        <v>6421</v>
      </c>
      <c r="G120" s="14">
        <v>74100</v>
      </c>
      <c r="H120" s="14">
        <v>67210</v>
      </c>
      <c r="I120" s="14">
        <v>25</v>
      </c>
      <c r="J120" s="14" t="s">
        <v>44</v>
      </c>
      <c r="K120" s="14" t="s">
        <v>6419</v>
      </c>
      <c r="L120" s="14" t="s">
        <v>6418</v>
      </c>
      <c r="M120" s="14" t="s">
        <v>9158</v>
      </c>
      <c r="N120" s="14" t="s">
        <v>9158</v>
      </c>
      <c r="O120" s="14" t="s">
        <v>9158</v>
      </c>
      <c r="P120" s="14" t="s">
        <v>9158</v>
      </c>
      <c r="Q120" s="14" t="s">
        <v>9158</v>
      </c>
    </row>
    <row r="121" spans="1:17">
      <c r="A121" s="14">
        <v>52333</v>
      </c>
      <c r="B121" s="14" t="s">
        <v>15</v>
      </c>
      <c r="C121" s="14" t="s">
        <v>200</v>
      </c>
      <c r="D121" s="19" t="s">
        <v>10537</v>
      </c>
      <c r="E121" s="15" t="str">
        <f>HYPERLINK("https://stat100.ameba.jp/tnk47/ratio20/illustrations/card/ill_52333_chichibuyomatsuri03.jpg?202002-i_prefecture_active_userxxx", "■")</f>
        <v>■</v>
      </c>
      <c r="F121" s="14" t="s">
        <v>3614</v>
      </c>
      <c r="G121" s="14">
        <v>74100</v>
      </c>
      <c r="H121" s="14">
        <v>67210</v>
      </c>
      <c r="I121" s="14">
        <v>25</v>
      </c>
      <c r="J121" s="14" t="s">
        <v>38</v>
      </c>
      <c r="K121" s="14" t="s">
        <v>3615</v>
      </c>
      <c r="L121" s="14" t="s">
        <v>3616</v>
      </c>
      <c r="M121" s="14" t="s">
        <v>9158</v>
      </c>
      <c r="N121" s="14" t="s">
        <v>9158</v>
      </c>
      <c r="O121" s="14" t="s">
        <v>9158</v>
      </c>
      <c r="P121" s="14" t="s">
        <v>9158</v>
      </c>
      <c r="Q121" s="14" t="s">
        <v>9158</v>
      </c>
    </row>
    <row r="122" spans="1:17">
      <c r="A122" s="14">
        <v>51913</v>
      </c>
      <c r="B122" s="14" t="s">
        <v>15</v>
      </c>
      <c r="C122" s="14" t="s">
        <v>191</v>
      </c>
      <c r="D122" s="19" t="s">
        <v>10538</v>
      </c>
      <c r="E122" s="15" t="str">
        <f>HYPERLINK("https://stat100.ameba.jp/tnk47/ratio20/illustrations/card/ill_51913_kemonomizugihamahime03.jpg?202002-i_prefecture_active_userxxx", "■")</f>
        <v>■</v>
      </c>
      <c r="F122" s="14" t="s">
        <v>6501</v>
      </c>
      <c r="G122" s="14">
        <v>67210</v>
      </c>
      <c r="H122" s="14">
        <v>74100</v>
      </c>
      <c r="I122" s="14">
        <v>25</v>
      </c>
      <c r="J122" s="14" t="s">
        <v>182</v>
      </c>
      <c r="K122" s="14" t="s">
        <v>6500</v>
      </c>
      <c r="L122" s="14" t="s">
        <v>6499</v>
      </c>
      <c r="M122" s="14" t="s">
        <v>9158</v>
      </c>
      <c r="N122" s="14" t="s">
        <v>9158</v>
      </c>
      <c r="O122" s="14" t="s">
        <v>9158</v>
      </c>
      <c r="P122" s="14" t="s">
        <v>9158</v>
      </c>
      <c r="Q122" s="14" t="s">
        <v>9158</v>
      </c>
    </row>
    <row r="123" spans="1:17">
      <c r="A123" s="14">
        <v>51833</v>
      </c>
      <c r="B123" s="14" t="s">
        <v>15</v>
      </c>
      <c r="C123" s="14" t="s">
        <v>205</v>
      </c>
      <c r="D123" s="19" t="s">
        <v>10493</v>
      </c>
      <c r="E123" s="15" t="str">
        <f>HYPERLINK("https://stat100.ameba.jp/tnk47/ratio20/illustrations/card/ill_51833_jukimakitsuhikonomikoto03.jpg?202002-i_prefecture_active_userxxx", "■")</f>
        <v>■</v>
      </c>
      <c r="F123" s="14" t="s">
        <v>6254</v>
      </c>
      <c r="G123" s="14">
        <v>74100</v>
      </c>
      <c r="H123" s="14">
        <v>67210</v>
      </c>
      <c r="I123" s="14">
        <v>25</v>
      </c>
      <c r="J123" s="14" t="s">
        <v>44</v>
      </c>
      <c r="K123" s="14" t="s">
        <v>6257</v>
      </c>
      <c r="L123" s="14" t="s">
        <v>6256</v>
      </c>
      <c r="M123" s="14" t="s">
        <v>9158</v>
      </c>
      <c r="N123" s="14" t="s">
        <v>9158</v>
      </c>
      <c r="O123" s="14" t="s">
        <v>9158</v>
      </c>
      <c r="P123" s="14" t="s">
        <v>9158</v>
      </c>
      <c r="Q123" s="14" t="s">
        <v>9158</v>
      </c>
    </row>
    <row r="124" spans="1:17">
      <c r="E124" s="9"/>
    </row>
    <row r="125" spans="1:17">
      <c r="A125" s="9" t="s">
        <v>9376</v>
      </c>
      <c r="E125" s="9"/>
    </row>
    <row r="126" spans="1:17">
      <c r="A126" s="9" t="s">
        <v>9377</v>
      </c>
      <c r="E126" s="9"/>
    </row>
    <row r="127" spans="1:17">
      <c r="A127" s="14" t="s">
        <v>5734</v>
      </c>
      <c r="B127" s="14" t="s">
        <v>330</v>
      </c>
      <c r="C127" s="14" t="s">
        <v>202</v>
      </c>
      <c r="D127" s="19" t="s">
        <v>1497</v>
      </c>
      <c r="E127" s="15" t="str">
        <f>HYPERLINK("https://stat100.ameba.jp/tnk47/ratio20/illustrations/card/ill_74593_0_natsuyuenchikoshihikari03.jpg?202002-i_prefecture_active_userxxx", "■")</f>
        <v>■</v>
      </c>
      <c r="F127" s="14" t="s">
        <v>1498</v>
      </c>
      <c r="G127" s="14">
        <v>259994</v>
      </c>
      <c r="H127" s="14">
        <v>241708</v>
      </c>
      <c r="I127" s="14">
        <v>24</v>
      </c>
      <c r="J127" s="14" t="s">
        <v>283</v>
      </c>
      <c r="K127" s="14" t="s">
        <v>1499</v>
      </c>
      <c r="L127" s="14" t="s">
        <v>1500</v>
      </c>
      <c r="M127" s="14" t="s">
        <v>9158</v>
      </c>
      <c r="N127" s="14" t="s">
        <v>9158</v>
      </c>
      <c r="O127" s="19" t="s">
        <v>2731</v>
      </c>
      <c r="P127" s="14" t="s">
        <v>2732</v>
      </c>
      <c r="Q127" s="14">
        <v>1</v>
      </c>
    </row>
    <row r="128" spans="1:17">
      <c r="A128" s="14">
        <v>69533</v>
      </c>
      <c r="B128" s="14" t="s">
        <v>0</v>
      </c>
      <c r="C128" s="14" t="s">
        <v>101</v>
      </c>
      <c r="D128" s="19" t="s">
        <v>10418</v>
      </c>
      <c r="E128" s="15" t="str">
        <f>HYPERLINK("https://stat100.ameba.jp/tnk47/ratio20/illustrations/card/ill_69533_setsubunodainokata03.jpg?202002-i_prefecture_active_userxxx", "■")</f>
        <v>■</v>
      </c>
      <c r="F128" s="14" t="s">
        <v>138</v>
      </c>
      <c r="G128" s="14">
        <v>93746</v>
      </c>
      <c r="H128" s="14">
        <v>87128</v>
      </c>
      <c r="I128" s="14">
        <v>24</v>
      </c>
      <c r="J128" s="14" t="s">
        <v>10</v>
      </c>
      <c r="K128" s="14" t="s">
        <v>139</v>
      </c>
      <c r="L128" s="14" t="s">
        <v>140</v>
      </c>
      <c r="M128" s="14" t="s">
        <v>9158</v>
      </c>
      <c r="N128" s="14" t="s">
        <v>9158</v>
      </c>
      <c r="O128" s="19" t="s">
        <v>10082</v>
      </c>
      <c r="P128" s="14" t="s">
        <v>13124</v>
      </c>
      <c r="Q128" s="14">
        <v>1</v>
      </c>
    </row>
    <row r="129" spans="1:17">
      <c r="A129" s="14">
        <v>72923</v>
      </c>
      <c r="B129" s="14" t="s">
        <v>0</v>
      </c>
      <c r="C129" s="14" t="s">
        <v>206</v>
      </c>
      <c r="D129" s="19" t="s">
        <v>3199</v>
      </c>
      <c r="E129" s="15" t="str">
        <f>HYPERLINK("https://stat100.ameba.jp/tnk47/ratio20/illustrations/card/ill_72923_amenohanayomemyorinni03.jpg?202002-i_prefecture_active_userxxx", "■")</f>
        <v>■</v>
      </c>
      <c r="F129" s="14" t="s">
        <v>1837</v>
      </c>
      <c r="G129" s="14">
        <v>132658</v>
      </c>
      <c r="H129" s="14">
        <v>142674</v>
      </c>
      <c r="I129" s="14">
        <v>24</v>
      </c>
      <c r="J129" s="14" t="s">
        <v>194</v>
      </c>
      <c r="K129" s="14" t="s">
        <v>1838</v>
      </c>
      <c r="L129" s="14" t="s">
        <v>13160</v>
      </c>
      <c r="M129" s="14" t="s">
        <v>9158</v>
      </c>
      <c r="N129" s="14" t="s">
        <v>9158</v>
      </c>
      <c r="O129" s="19" t="s">
        <v>2752</v>
      </c>
      <c r="P129" s="14" t="s">
        <v>13123</v>
      </c>
      <c r="Q129" s="14">
        <v>1</v>
      </c>
    </row>
    <row r="130" spans="1:17">
      <c r="A130" s="14">
        <v>63283</v>
      </c>
      <c r="B130" s="14" t="s">
        <v>334</v>
      </c>
      <c r="C130" s="14" t="s">
        <v>209</v>
      </c>
      <c r="D130" s="19" t="s">
        <v>327</v>
      </c>
      <c r="E130" s="15" t="str">
        <f>HYPERLINK("https://stat100.ameba.jp/tnk47/ratio20/illustrations/card/ill_63283_mizuyokanchan03.jpg?202002-i_prefecture_active_userxxx", "■")</f>
        <v>■</v>
      </c>
      <c r="F130" s="14" t="s">
        <v>327</v>
      </c>
      <c r="G130" s="14">
        <v>113340</v>
      </c>
      <c r="H130" s="14">
        <v>105394</v>
      </c>
      <c r="I130" s="14">
        <v>24</v>
      </c>
      <c r="J130" s="14" t="s">
        <v>283</v>
      </c>
      <c r="K130" s="14" t="s">
        <v>328</v>
      </c>
      <c r="L130" s="14" t="s">
        <v>329</v>
      </c>
      <c r="M130" s="14" t="s">
        <v>9158</v>
      </c>
      <c r="N130" s="14" t="s">
        <v>9158</v>
      </c>
      <c r="O130" s="19" t="s">
        <v>10084</v>
      </c>
      <c r="P130" s="14" t="s">
        <v>3563</v>
      </c>
      <c r="Q130" s="14">
        <v>1</v>
      </c>
    </row>
    <row r="131" spans="1:17">
      <c r="E131" s="9"/>
    </row>
    <row r="132" spans="1:17">
      <c r="A132" s="9" t="s">
        <v>9378</v>
      </c>
      <c r="E132" s="9"/>
    </row>
    <row r="133" spans="1:17">
      <c r="A133" s="9" t="s">
        <v>9379</v>
      </c>
      <c r="E133" s="9"/>
    </row>
    <row r="134" spans="1:17">
      <c r="A134" s="14" t="s">
        <v>5615</v>
      </c>
      <c r="B134" s="14" t="s">
        <v>330</v>
      </c>
      <c r="C134" s="14" t="s">
        <v>206</v>
      </c>
      <c r="D134" s="19" t="s">
        <v>2814</v>
      </c>
      <c r="E134" s="15" t="str">
        <f>HYPERLINK("https://stat100.ameba.jp/tnk47/ratio20/illustrations/card/ill_57733_0_shogatsunisenjunanaamakusashiro03.jpg?202002-i_prefecture_active_userxxx", "■")</f>
        <v>■</v>
      </c>
      <c r="F134" s="14" t="s">
        <v>2815</v>
      </c>
      <c r="G134" s="14">
        <v>111616</v>
      </c>
      <c r="H134" s="14">
        <v>125648</v>
      </c>
      <c r="I134" s="14">
        <v>20</v>
      </c>
      <c r="J134" s="14" t="s">
        <v>351</v>
      </c>
      <c r="K134" s="14" t="s">
        <v>2816</v>
      </c>
      <c r="L134" s="14" t="s">
        <v>2817</v>
      </c>
      <c r="M134" s="14" t="s">
        <v>9158</v>
      </c>
      <c r="N134" s="14" t="s">
        <v>9158</v>
      </c>
      <c r="O134" s="19" t="s">
        <v>10077</v>
      </c>
      <c r="P134" s="14" t="s">
        <v>3062</v>
      </c>
      <c r="Q134" s="14">
        <v>1</v>
      </c>
    </row>
    <row r="135" spans="1:17">
      <c r="A135" s="14" t="s">
        <v>5843</v>
      </c>
      <c r="B135" s="14" t="s">
        <v>52</v>
      </c>
      <c r="C135" s="14" t="s">
        <v>202</v>
      </c>
      <c r="D135" s="19" t="s">
        <v>10291</v>
      </c>
      <c r="E135" s="15" t="str">
        <f>HYPERLINK("https://stat100.ameba.jp/tnk47/ratio20/illustrations/card/ill_77963_0_kurisumasudaisakusentakiyashahime03.jpg?202002-i_prefecture_active_userxxx", "■")</f>
        <v>■</v>
      </c>
      <c r="F135" s="14" t="s">
        <v>2127</v>
      </c>
      <c r="G135" s="14">
        <v>245622</v>
      </c>
      <c r="H135" s="14">
        <v>221990</v>
      </c>
      <c r="I135" s="14">
        <v>20</v>
      </c>
      <c r="J135" s="14" t="s">
        <v>77</v>
      </c>
      <c r="K135" s="14" t="s">
        <v>2128</v>
      </c>
      <c r="L135" s="14" t="s">
        <v>2129</v>
      </c>
      <c r="M135" s="14" t="s">
        <v>9158</v>
      </c>
      <c r="N135" s="14" t="s">
        <v>9158</v>
      </c>
      <c r="O135" s="19" t="s">
        <v>10107</v>
      </c>
      <c r="P135" s="14" t="s">
        <v>3589</v>
      </c>
      <c r="Q135" s="14">
        <v>2</v>
      </c>
    </row>
    <row r="136" spans="1:17">
      <c r="A136" s="14" t="s">
        <v>5627</v>
      </c>
      <c r="B136" s="14" t="s">
        <v>330</v>
      </c>
      <c r="C136" s="14" t="s">
        <v>191</v>
      </c>
      <c r="D136" s="19" t="s">
        <v>393</v>
      </c>
      <c r="E136" s="15" t="str">
        <f>HYPERLINK("https://stat100.ameba.jp/tnk47/ratio20/illustrations/card/ill_46283_0_odanobunaga03.jpg?202002-i_prefecture_active_userxxx", "■")</f>
        <v>■</v>
      </c>
      <c r="F136" s="14" t="s">
        <v>1073</v>
      </c>
      <c r="G136" s="14">
        <v>109616</v>
      </c>
      <c r="H136" s="14">
        <v>117040</v>
      </c>
      <c r="I136" s="14">
        <v>20</v>
      </c>
      <c r="J136" s="14" t="s">
        <v>143</v>
      </c>
      <c r="K136" s="14" t="s">
        <v>1074</v>
      </c>
      <c r="L136" s="14" t="s">
        <v>1075</v>
      </c>
      <c r="M136" s="14" t="s">
        <v>9158</v>
      </c>
      <c r="N136" s="14" t="s">
        <v>9158</v>
      </c>
      <c r="O136" s="14" t="s">
        <v>9158</v>
      </c>
      <c r="P136" s="14" t="s">
        <v>9158</v>
      </c>
      <c r="Q136" s="14" t="s">
        <v>9158</v>
      </c>
    </row>
    <row r="137" spans="1:17">
      <c r="A137" s="14">
        <v>77353</v>
      </c>
      <c r="B137" s="14" t="s">
        <v>0</v>
      </c>
      <c r="C137" s="14" t="s">
        <v>200</v>
      </c>
      <c r="D137" s="19" t="s">
        <v>1529</v>
      </c>
      <c r="E137" s="15" t="str">
        <f>HYPERLINK("https://stat100.ameba.jp/tnk47/ratio20/illustrations/card/ill_77353_chayamusumekandamatsuri03.jpg?202002-i_prefecture_active_userxxx", "■")</f>
        <v>■</v>
      </c>
      <c r="F137" s="14" t="s">
        <v>7222</v>
      </c>
      <c r="G137" s="14">
        <v>113890</v>
      </c>
      <c r="H137" s="14">
        <v>105890</v>
      </c>
      <c r="I137" s="14">
        <v>25</v>
      </c>
      <c r="J137" s="14" t="s">
        <v>229</v>
      </c>
      <c r="K137" s="14" t="s">
        <v>7221</v>
      </c>
      <c r="L137" s="14" t="s">
        <v>1086</v>
      </c>
      <c r="M137" s="14" t="s">
        <v>9158</v>
      </c>
      <c r="N137" s="14" t="s">
        <v>9158</v>
      </c>
      <c r="O137" s="14" t="s">
        <v>9158</v>
      </c>
      <c r="P137" s="14" t="s">
        <v>9158</v>
      </c>
      <c r="Q137" s="14" t="s">
        <v>9158</v>
      </c>
    </row>
    <row r="138" spans="1:17">
      <c r="A138" s="7">
        <v>73253</v>
      </c>
      <c r="B138" s="14" t="s">
        <v>0</v>
      </c>
      <c r="C138" s="14" t="s">
        <v>96</v>
      </c>
      <c r="D138" s="19" t="s">
        <v>10245</v>
      </c>
      <c r="E138" s="15" t="str">
        <f>HYPERLINK("https://stat100.ameba.jp/tnk47/ratio20/illustrations/card/ill_73253_minakatakumagusu03.jpg?202002-i_prefecture_active_userxxx", "■")</f>
        <v>■</v>
      </c>
      <c r="F138" s="14" t="s">
        <v>5148</v>
      </c>
      <c r="G138" s="14">
        <v>94295</v>
      </c>
      <c r="H138" s="14">
        <v>101373</v>
      </c>
      <c r="I138" s="7">
        <v>25</v>
      </c>
      <c r="J138" s="14" t="s">
        <v>16</v>
      </c>
      <c r="K138" s="14" t="s">
        <v>5149</v>
      </c>
      <c r="L138" s="14" t="s">
        <v>1997</v>
      </c>
      <c r="M138" s="14" t="s">
        <v>9158</v>
      </c>
      <c r="N138" s="14" t="s">
        <v>9158</v>
      </c>
      <c r="O138" s="14" t="s">
        <v>9158</v>
      </c>
      <c r="P138" s="14" t="s">
        <v>9158</v>
      </c>
      <c r="Q138" s="14" t="s">
        <v>9158</v>
      </c>
    </row>
    <row r="139" spans="1:17">
      <c r="A139" s="9">
        <v>64893</v>
      </c>
      <c r="B139" s="14" t="s">
        <v>334</v>
      </c>
      <c r="C139" s="14" t="s">
        <v>185</v>
      </c>
      <c r="D139" s="19" t="s">
        <v>10908</v>
      </c>
      <c r="E139" s="15" t="str">
        <f>HYPERLINK("https://stat100.ameba.jp/tnk47/ratio20/illustrations/card/ill_64893_yukataonamihime03.jpg?202002-i_prefecture_active_userxxx", "■")</f>
        <v>■</v>
      </c>
      <c r="F139" s="14" t="s">
        <v>1289</v>
      </c>
      <c r="G139" s="14">
        <v>148619</v>
      </c>
      <c r="H139" s="14">
        <v>138186</v>
      </c>
      <c r="I139" s="14">
        <v>25</v>
      </c>
      <c r="J139" s="14" t="s">
        <v>194</v>
      </c>
      <c r="K139" s="14" t="s">
        <v>1290</v>
      </c>
      <c r="L139" s="14" t="s">
        <v>13155</v>
      </c>
      <c r="M139" s="14" t="s">
        <v>9158</v>
      </c>
      <c r="N139" s="14" t="s">
        <v>9158</v>
      </c>
      <c r="O139" s="19" t="s">
        <v>10135</v>
      </c>
      <c r="P139" s="14" t="s">
        <v>13124</v>
      </c>
      <c r="Q139" s="14">
        <v>1</v>
      </c>
    </row>
    <row r="140" spans="1:17">
      <c r="A140" s="9">
        <v>35133</v>
      </c>
      <c r="B140" s="9" t="s">
        <v>9380</v>
      </c>
      <c r="C140" s="14" t="s">
        <v>191</v>
      </c>
      <c r="D140" s="19" t="s">
        <v>10964</v>
      </c>
      <c r="E140" s="15" t="str">
        <f>HYPERLINK("https://stat100.ameba.jp/tnk47/ratio20/illustrations/card/ill_35133_obo03.jpg?202002-i_prefecture_active_userxxx", "■")</f>
        <v>■</v>
      </c>
      <c r="F140" s="9" t="s">
        <v>9383</v>
      </c>
      <c r="G140" s="9">
        <v>65208</v>
      </c>
      <c r="H140" s="9">
        <v>59144</v>
      </c>
      <c r="I140" s="9">
        <v>22</v>
      </c>
      <c r="J140" s="14" t="s">
        <v>182</v>
      </c>
      <c r="K140" s="9" t="s">
        <v>9382</v>
      </c>
      <c r="L140" s="9" t="s">
        <v>9381</v>
      </c>
      <c r="M140" s="14" t="s">
        <v>9158</v>
      </c>
      <c r="N140" s="14" t="s">
        <v>9158</v>
      </c>
      <c r="O140" s="14" t="s">
        <v>9158</v>
      </c>
      <c r="P140" s="14" t="s">
        <v>9158</v>
      </c>
      <c r="Q140" s="14" t="s">
        <v>9158</v>
      </c>
    </row>
    <row r="141" spans="1:17">
      <c r="A141" s="9">
        <v>34623</v>
      </c>
      <c r="B141" s="9" t="s">
        <v>9380</v>
      </c>
      <c r="C141" s="14" t="s">
        <v>96</v>
      </c>
      <c r="D141" s="19" t="s">
        <v>10965</v>
      </c>
      <c r="E141" s="15" t="str">
        <f>HYPERLINK("https://stat100.ameba.jp/tnk47/ratio20/illustrations/card/ill_34623_nekodojo03.jpg?202002-i_prefecture_active_userxxx", "■")</f>
        <v>■</v>
      </c>
      <c r="F141" s="9" t="s">
        <v>9386</v>
      </c>
      <c r="G141" s="9">
        <v>65208</v>
      </c>
      <c r="H141" s="9">
        <v>59144</v>
      </c>
      <c r="I141" s="9">
        <v>22</v>
      </c>
      <c r="J141" s="14" t="s">
        <v>38</v>
      </c>
      <c r="K141" s="9" t="s">
        <v>9385</v>
      </c>
      <c r="L141" s="9" t="s">
        <v>9384</v>
      </c>
      <c r="M141" s="14" t="s">
        <v>9158</v>
      </c>
      <c r="N141" s="14" t="s">
        <v>9158</v>
      </c>
      <c r="O141" s="14" t="s">
        <v>9158</v>
      </c>
      <c r="P141" s="14" t="s">
        <v>9158</v>
      </c>
      <c r="Q141" s="14" t="s">
        <v>9158</v>
      </c>
    </row>
    <row r="142" spans="1:17">
      <c r="A142" s="9">
        <v>46973</v>
      </c>
      <c r="B142" s="9" t="s">
        <v>9380</v>
      </c>
      <c r="C142" s="14" t="s">
        <v>185</v>
      </c>
      <c r="D142" s="19" t="s">
        <v>10966</v>
      </c>
      <c r="E142" s="15" t="str">
        <f>HYPERLINK("https://stat100.ameba.jp/tnk47/ratio20/illustrations/card/ill_46973_isekitominushihime03.jpg?202002-i_prefecture_active_userxxx", "■")</f>
        <v>■</v>
      </c>
      <c r="F142" s="9" t="s">
        <v>9389</v>
      </c>
      <c r="G142" s="9">
        <v>59144</v>
      </c>
      <c r="H142" s="9">
        <v>65208</v>
      </c>
      <c r="I142" s="9">
        <v>22</v>
      </c>
      <c r="J142" s="14" t="s">
        <v>44</v>
      </c>
      <c r="K142" s="9" t="s">
        <v>9388</v>
      </c>
      <c r="L142" s="9" t="s">
        <v>9387</v>
      </c>
      <c r="M142" s="14" t="s">
        <v>9158</v>
      </c>
      <c r="N142" s="14" t="s">
        <v>9158</v>
      </c>
      <c r="O142" s="14" t="s">
        <v>9158</v>
      </c>
      <c r="P142" s="14" t="s">
        <v>9158</v>
      </c>
      <c r="Q142" s="14" t="s">
        <v>9158</v>
      </c>
    </row>
    <row r="143" spans="1:17">
      <c r="E143" s="9"/>
    </row>
    <row r="144" spans="1:17">
      <c r="A144" s="9" t="s">
        <v>9390</v>
      </c>
      <c r="E144" s="9"/>
    </row>
    <row r="145" spans="1:17">
      <c r="A145" s="9" t="s">
        <v>9392</v>
      </c>
      <c r="E145" s="9"/>
    </row>
    <row r="146" spans="1:17">
      <c r="A146" s="9" t="s">
        <v>9391</v>
      </c>
      <c r="E146" s="9"/>
    </row>
    <row r="147" spans="1:17">
      <c r="A147" s="9" t="s">
        <v>9325</v>
      </c>
      <c r="B147" s="7" t="s">
        <v>52</v>
      </c>
      <c r="C147" s="9" t="s">
        <v>202</v>
      </c>
      <c r="D147" s="19" t="s">
        <v>10947</v>
      </c>
      <c r="E147" s="15" t="str">
        <f>HYPERLINK("https://stat100.ameba.jp/tnk47/ratio20/illustrations/card/ill_86893_0_chokonohisukeban03.jpg?202002-i_prefecture_active_userxxxx", "■")</f>
        <v>■</v>
      </c>
      <c r="F147" s="14" t="s">
        <v>9332</v>
      </c>
      <c r="G147" s="9">
        <v>260538</v>
      </c>
      <c r="H147" s="9">
        <v>235462</v>
      </c>
      <c r="I147" s="7">
        <v>20</v>
      </c>
      <c r="J147" s="9" t="s">
        <v>187</v>
      </c>
      <c r="K147" s="14" t="s">
        <v>9330</v>
      </c>
      <c r="L147" s="14" t="s">
        <v>9331</v>
      </c>
      <c r="M147" s="14" t="s">
        <v>9158</v>
      </c>
      <c r="N147" s="14" t="s">
        <v>9158</v>
      </c>
      <c r="O147" s="19" t="s">
        <v>10136</v>
      </c>
      <c r="P147" s="7" t="s">
        <v>9324</v>
      </c>
      <c r="Q147" s="7">
        <v>1</v>
      </c>
    </row>
    <row r="148" spans="1:17">
      <c r="A148" s="9">
        <v>87093</v>
      </c>
      <c r="B148" s="9" t="s">
        <v>9393</v>
      </c>
      <c r="C148" s="9" t="s">
        <v>9396</v>
      </c>
      <c r="D148" s="19" t="s">
        <v>10967</v>
      </c>
      <c r="E148" s="15" t="str">
        <f>HYPERLINK("https://stat100.ameba.jp/tnk47/ratio20/illustrations/card/ill_87093_togijosesutasu03.jpg?202002-i_prefecture_active_userxxxx", "■")</f>
        <v>■</v>
      </c>
      <c r="F148" s="9" t="s">
        <v>9408</v>
      </c>
      <c r="G148" s="9">
        <v>118446</v>
      </c>
      <c r="H148" s="9">
        <v>110126</v>
      </c>
      <c r="I148" s="9">
        <v>26</v>
      </c>
      <c r="J148" s="9" t="s">
        <v>9401</v>
      </c>
      <c r="K148" s="9" t="s">
        <v>9407</v>
      </c>
      <c r="L148" s="9" t="s">
        <v>9406</v>
      </c>
      <c r="M148" s="14" t="s">
        <v>9158</v>
      </c>
      <c r="N148" s="14" t="s">
        <v>9158</v>
      </c>
      <c r="O148" s="14" t="s">
        <v>9158</v>
      </c>
      <c r="P148" s="14" t="s">
        <v>9158</v>
      </c>
      <c r="Q148" s="14" t="s">
        <v>9158</v>
      </c>
    </row>
    <row r="149" spans="1:17">
      <c r="A149" s="9">
        <v>87103</v>
      </c>
      <c r="B149" s="9" t="s">
        <v>9393</v>
      </c>
      <c r="C149" s="9" t="s">
        <v>9397</v>
      </c>
      <c r="D149" s="19" t="s">
        <v>10968</v>
      </c>
      <c r="E149" s="15" t="str">
        <f>HYPERLINK("https://stat100.ameba.jp/tnk47/ratio20/illustrations/card/ill_87103_monsutanakisawame03.jpg?202002-i_prefecture_active_userxxxx", "■")</f>
        <v>■</v>
      </c>
      <c r="F149" s="9" t="s">
        <v>9411</v>
      </c>
      <c r="G149" s="9">
        <v>106050</v>
      </c>
      <c r="H149" s="9">
        <v>98594</v>
      </c>
      <c r="I149" s="9">
        <v>26</v>
      </c>
      <c r="J149" s="9" t="s">
        <v>9402</v>
      </c>
      <c r="K149" s="9" t="s">
        <v>9410</v>
      </c>
      <c r="L149" s="9" t="s">
        <v>9409</v>
      </c>
      <c r="M149" s="14" t="s">
        <v>9158</v>
      </c>
      <c r="N149" s="14" t="s">
        <v>9158</v>
      </c>
      <c r="O149" s="14" t="s">
        <v>9158</v>
      </c>
      <c r="P149" s="14" t="s">
        <v>9158</v>
      </c>
      <c r="Q149" s="14" t="s">
        <v>9158</v>
      </c>
    </row>
    <row r="150" spans="1:17">
      <c r="A150" s="9">
        <v>87113</v>
      </c>
      <c r="B150" s="9" t="s">
        <v>9380</v>
      </c>
      <c r="C150" s="9" t="s">
        <v>9398</v>
      </c>
      <c r="D150" s="19" t="s">
        <v>10969</v>
      </c>
      <c r="E150" s="15" t="str">
        <f>HYPERLINK("https://stat100.ameba.jp/tnk47/ratio20/illustrations/card/ill_87113_shirokishihasekuratsunenaga03.jpg?202002-i_prefecture_active_userxxxx", "■")</f>
        <v>■</v>
      </c>
      <c r="F150" s="9" t="s">
        <v>9414</v>
      </c>
      <c r="G150" s="9">
        <v>69898</v>
      </c>
      <c r="H150" s="9">
        <v>77064</v>
      </c>
      <c r="I150" s="9">
        <v>26</v>
      </c>
      <c r="J150" s="9" t="s">
        <v>9403</v>
      </c>
      <c r="K150" s="9" t="s">
        <v>9413</v>
      </c>
      <c r="L150" s="9" t="s">
        <v>9412</v>
      </c>
      <c r="M150" s="14" t="s">
        <v>9158</v>
      </c>
      <c r="N150" s="14" t="s">
        <v>9158</v>
      </c>
      <c r="O150" s="14" t="s">
        <v>9158</v>
      </c>
      <c r="P150" s="14" t="s">
        <v>9158</v>
      </c>
      <c r="Q150" s="14" t="s">
        <v>9158</v>
      </c>
    </row>
    <row r="151" spans="1:17">
      <c r="A151" s="9">
        <v>87123</v>
      </c>
      <c r="B151" s="9" t="s">
        <v>9394</v>
      </c>
      <c r="C151" s="9" t="s">
        <v>9399</v>
      </c>
      <c r="D151" s="19" t="s">
        <v>10970</v>
      </c>
      <c r="E151" s="15" t="str">
        <f>HYPERLINK("https://stat100.ameba.jp/tnk47/ratio20/illustrations/card/ill_87123_hihi03.jpg?202002-i_prefecture_active_userxxxx", "■")</f>
        <v>■</v>
      </c>
      <c r="F151" s="9" t="s">
        <v>9417</v>
      </c>
      <c r="G151" s="9">
        <v>54058</v>
      </c>
      <c r="H151" s="9">
        <v>44948</v>
      </c>
      <c r="I151" s="9">
        <v>26</v>
      </c>
      <c r="J151" s="9" t="s">
        <v>9404</v>
      </c>
      <c r="K151" s="9" t="s">
        <v>9416</v>
      </c>
      <c r="L151" s="9" t="s">
        <v>9415</v>
      </c>
      <c r="M151" s="14" t="s">
        <v>9158</v>
      </c>
      <c r="N151" s="14" t="s">
        <v>9158</v>
      </c>
      <c r="O151" s="14" t="s">
        <v>9158</v>
      </c>
      <c r="P151" s="14" t="s">
        <v>9158</v>
      </c>
      <c r="Q151" s="14" t="s">
        <v>9158</v>
      </c>
    </row>
    <row r="152" spans="1:17">
      <c r="A152" s="9">
        <v>87133</v>
      </c>
      <c r="B152" s="9" t="s">
        <v>9395</v>
      </c>
      <c r="C152" s="9" t="s">
        <v>9400</v>
      </c>
      <c r="D152" s="19" t="s">
        <v>10971</v>
      </c>
      <c r="E152" s="15" t="str">
        <f>HYPERLINK("https://stat100.ameba.jp/tnk47/ratio20/illustrations/card/ill_87133_mushaenobori03.jpg?202002-i_prefecture_active_userxxxx", "■")</f>
        <v>■</v>
      </c>
      <c r="F152" s="9" t="s">
        <v>9420</v>
      </c>
      <c r="G152" s="9">
        <v>27486</v>
      </c>
      <c r="H152" s="9">
        <v>32728</v>
      </c>
      <c r="I152" s="9">
        <v>26</v>
      </c>
      <c r="J152" s="9" t="s">
        <v>9405</v>
      </c>
      <c r="K152" s="9" t="s">
        <v>9419</v>
      </c>
      <c r="L152" s="9" t="s">
        <v>9418</v>
      </c>
      <c r="M152" s="14" t="s">
        <v>9158</v>
      </c>
      <c r="N152" s="14" t="s">
        <v>9158</v>
      </c>
      <c r="O152" s="14" t="s">
        <v>9158</v>
      </c>
      <c r="P152" s="14" t="s">
        <v>9158</v>
      </c>
      <c r="Q152" s="14" t="s">
        <v>9158</v>
      </c>
    </row>
    <row r="153" spans="1:17">
      <c r="E153" s="9"/>
    </row>
    <row r="154" spans="1:17">
      <c r="A154" s="9" t="s">
        <v>9421</v>
      </c>
      <c r="E154" s="9"/>
    </row>
    <row r="155" spans="1:17">
      <c r="A155" s="9" t="s">
        <v>9423</v>
      </c>
      <c r="E155" s="9"/>
    </row>
    <row r="156" spans="1:17">
      <c r="A156" s="9" t="s">
        <v>9422</v>
      </c>
      <c r="E156" s="9"/>
    </row>
    <row r="157" spans="1:17">
      <c r="A157" s="9" t="s">
        <v>11908</v>
      </c>
      <c r="E157" s="9"/>
    </row>
    <row r="158" spans="1:17">
      <c r="A158" s="14" t="s">
        <v>5601</v>
      </c>
      <c r="B158" s="14" t="s">
        <v>330</v>
      </c>
      <c r="C158" s="14" t="s">
        <v>35</v>
      </c>
      <c r="D158" s="19" t="s">
        <v>10318</v>
      </c>
      <c r="E158" s="15" t="str">
        <f>HYPERLINK("https://stat100.ameba.jp/tnk47/ratio20/illustrations/card/ill_82423_0_bikinigarukishi03.jpg?202002-i_prefecture_active_userxxxx", "■")</f>
        <v>■</v>
      </c>
      <c r="F158" s="14" t="s">
        <v>5391</v>
      </c>
      <c r="G158" s="14">
        <v>302708</v>
      </c>
      <c r="H158" s="14">
        <v>273591</v>
      </c>
      <c r="I158" s="14">
        <v>25</v>
      </c>
      <c r="J158" s="14" t="s">
        <v>77</v>
      </c>
      <c r="K158" s="14" t="s">
        <v>5392</v>
      </c>
      <c r="L158" s="14" t="s">
        <v>5393</v>
      </c>
      <c r="M158" s="14" t="s">
        <v>9158</v>
      </c>
      <c r="N158" s="14" t="s">
        <v>9158</v>
      </c>
      <c r="O158" s="19" t="s">
        <v>10069</v>
      </c>
      <c r="P158" s="14" t="s">
        <v>5394</v>
      </c>
      <c r="Q158" s="14">
        <v>1</v>
      </c>
    </row>
    <row r="159" spans="1:17">
      <c r="A159" s="14" t="s">
        <v>6905</v>
      </c>
      <c r="B159" s="14" t="s">
        <v>330</v>
      </c>
      <c r="C159" s="14" t="s">
        <v>35</v>
      </c>
      <c r="D159" s="19" t="s">
        <v>10299</v>
      </c>
      <c r="E159" s="15" t="str">
        <f>HYPERLINK("https://stat100.ameba.jp/tnk47/ratio20/illustrations/card/ill_80623_0_ohanamigurampingutominushihime03.jpg?202002-i_prefecture_active_userxxxx", "■")</f>
        <v>■</v>
      </c>
      <c r="F159" s="14" t="s">
        <v>4162</v>
      </c>
      <c r="G159" s="14">
        <v>301326</v>
      </c>
      <c r="H159" s="14">
        <v>272366</v>
      </c>
      <c r="I159" s="14">
        <v>25</v>
      </c>
      <c r="J159" s="14" t="s">
        <v>44</v>
      </c>
      <c r="K159" s="14" t="s">
        <v>4163</v>
      </c>
      <c r="L159" s="14" t="s">
        <v>4164</v>
      </c>
      <c r="M159" s="14" t="s">
        <v>9158</v>
      </c>
      <c r="N159" s="14" t="s">
        <v>9158</v>
      </c>
      <c r="O159" s="19" t="s">
        <v>10126</v>
      </c>
      <c r="P159" s="14" t="s">
        <v>4166</v>
      </c>
      <c r="Q159" s="14">
        <v>1</v>
      </c>
    </row>
    <row r="160" spans="1:17">
      <c r="A160" s="14" t="s">
        <v>6598</v>
      </c>
      <c r="B160" s="14" t="s">
        <v>330</v>
      </c>
      <c r="C160" s="14" t="s">
        <v>35</v>
      </c>
      <c r="D160" s="19" t="s">
        <v>10555</v>
      </c>
      <c r="E160" s="15" t="str">
        <f>HYPERLINK("https://stat100.ameba.jp/tnk47/ratio20/illustrations/card/ill_83553_0_kajuenamoronagu03.jpg?202002-i_prefecture_active_userxx", "■")</f>
        <v>■</v>
      </c>
      <c r="F160" s="14" t="s">
        <v>6597</v>
      </c>
      <c r="G160" s="14">
        <v>263165</v>
      </c>
      <c r="H160" s="14">
        <v>291184</v>
      </c>
      <c r="I160" s="14">
        <v>25</v>
      </c>
      <c r="J160" s="14" t="s">
        <v>44</v>
      </c>
      <c r="K160" s="14" t="s">
        <v>6595</v>
      </c>
      <c r="L160" s="14" t="s">
        <v>6594</v>
      </c>
      <c r="M160" s="14" t="s">
        <v>9158</v>
      </c>
      <c r="N160" s="14" t="s">
        <v>9158</v>
      </c>
      <c r="O160" s="19" t="s">
        <v>10125</v>
      </c>
      <c r="P160" s="14" t="s">
        <v>6599</v>
      </c>
      <c r="Q160" s="14">
        <v>1</v>
      </c>
    </row>
    <row r="161" spans="1:17">
      <c r="A161" s="14" t="s">
        <v>5619</v>
      </c>
      <c r="B161" s="14" t="s">
        <v>330</v>
      </c>
      <c r="C161" s="14" t="s">
        <v>202</v>
      </c>
      <c r="D161" s="19" t="s">
        <v>10348</v>
      </c>
      <c r="E161" s="15" t="str">
        <f>HYPERLINK("https://stat100.ameba.jp/tnk47/ratio20/illustrations/card/ill_81183_0_shinryokunokisetsuamaterasu03.jpg?202002-i_prefecture_active_userxxxx", "■")</f>
        <v>■</v>
      </c>
      <c r="F161" s="14" t="s">
        <v>4505</v>
      </c>
      <c r="G161" s="14">
        <v>262627</v>
      </c>
      <c r="H161" s="14">
        <v>290607</v>
      </c>
      <c r="I161" s="14">
        <v>25</v>
      </c>
      <c r="J161" s="14" t="s">
        <v>44</v>
      </c>
      <c r="K161" s="14" t="s">
        <v>4506</v>
      </c>
      <c r="L161" s="14" t="s">
        <v>4507</v>
      </c>
      <c r="M161" s="14" t="s">
        <v>9158</v>
      </c>
      <c r="N161" s="14" t="s">
        <v>9158</v>
      </c>
      <c r="O161" s="19" t="s">
        <v>10083</v>
      </c>
      <c r="P161" s="14" t="s">
        <v>4509</v>
      </c>
      <c r="Q161" s="14">
        <v>0</v>
      </c>
    </row>
    <row r="162" spans="1:17">
      <c r="A162" s="14" t="s">
        <v>6508</v>
      </c>
      <c r="B162" s="14" t="s">
        <v>330</v>
      </c>
      <c r="C162" s="14" t="s">
        <v>35</v>
      </c>
      <c r="D162" s="19" t="s">
        <v>10168</v>
      </c>
      <c r="E162" s="15" t="str">
        <f>HYPERLINK("https://stat100.ameba.jp/tnk47/ratio20/illustrations/card/ill_81783_0_denshagarukoteipenginchan03.jpg?202002-i_prefecture_active_userxxxx", "■")</f>
        <v>■</v>
      </c>
      <c r="F162" s="14" t="s">
        <v>4834</v>
      </c>
      <c r="G162" s="14">
        <v>290731</v>
      </c>
      <c r="H162" s="14">
        <v>262745</v>
      </c>
      <c r="I162" s="14">
        <v>25</v>
      </c>
      <c r="J162" s="14" t="s">
        <v>26</v>
      </c>
      <c r="K162" s="14" t="s">
        <v>4836</v>
      </c>
      <c r="L162" s="14" t="s">
        <v>1783</v>
      </c>
      <c r="M162" s="14" t="s">
        <v>9158</v>
      </c>
      <c r="N162" s="14" t="s">
        <v>9158</v>
      </c>
      <c r="O162" s="19" t="s">
        <v>10124</v>
      </c>
      <c r="P162" s="14" t="s">
        <v>4838</v>
      </c>
      <c r="Q162" s="14">
        <v>1</v>
      </c>
    </row>
    <row r="163" spans="1:17">
      <c r="A163" s="14" t="s">
        <v>5963</v>
      </c>
      <c r="B163" s="14" t="s">
        <v>330</v>
      </c>
      <c r="C163" s="14" t="s">
        <v>35</v>
      </c>
      <c r="D163" s="19" t="s">
        <v>10438</v>
      </c>
      <c r="E163" s="15" t="str">
        <f>HYPERLINK("https://stat100.ameba.jp/tnk47/ratio20/illustrations/card/ill_82963_0_yukatamatsuritomokazuki03.jpg?202002-i_prefecture_active_userxxxx", "■")</f>
        <v>■</v>
      </c>
      <c r="F163" s="14" t="s">
        <v>5964</v>
      </c>
      <c r="G163" s="14">
        <v>297801</v>
      </c>
      <c r="H163" s="14">
        <v>329511</v>
      </c>
      <c r="I163" s="14">
        <v>25</v>
      </c>
      <c r="J163" s="14" t="s">
        <v>73</v>
      </c>
      <c r="K163" s="14" t="s">
        <v>5966</v>
      </c>
      <c r="L163" s="14" t="s">
        <v>5967</v>
      </c>
      <c r="M163" s="14" t="s">
        <v>9158</v>
      </c>
      <c r="N163" s="14" t="s">
        <v>9158</v>
      </c>
      <c r="O163" s="19" t="s">
        <v>10115</v>
      </c>
      <c r="P163" s="14" t="s">
        <v>5968</v>
      </c>
      <c r="Q163" s="14">
        <v>1</v>
      </c>
    </row>
    <row r="164" spans="1:17">
      <c r="A164" s="7">
        <v>85113</v>
      </c>
      <c r="B164" s="7" t="s">
        <v>0</v>
      </c>
      <c r="C164" s="7" t="s">
        <v>185</v>
      </c>
      <c r="D164" s="19" t="s">
        <v>10760</v>
      </c>
      <c r="E164" s="15" t="str">
        <f>HYPERLINK("https://stat100.ameba.jp/tnk47/ratio20/illustrations/card/ill_85113_gakuensainaoekanetsugu03.jpg?202002-i_prefecture_active_userxxxx", "■")</f>
        <v>■</v>
      </c>
      <c r="F164" s="7" t="s">
        <v>7901</v>
      </c>
      <c r="G164" s="7">
        <v>154562</v>
      </c>
      <c r="H164" s="7">
        <v>143714</v>
      </c>
      <c r="I164" s="7">
        <v>26</v>
      </c>
      <c r="J164" s="7" t="s">
        <v>194</v>
      </c>
      <c r="K164" s="7" t="s">
        <v>7900</v>
      </c>
      <c r="L164" s="7" t="s">
        <v>3459</v>
      </c>
      <c r="M164" s="14" t="s">
        <v>9158</v>
      </c>
      <c r="N164" s="14" t="s">
        <v>9158</v>
      </c>
      <c r="O164" s="14" t="s">
        <v>9158</v>
      </c>
      <c r="P164" s="14" t="s">
        <v>9158</v>
      </c>
      <c r="Q164" s="14" t="s">
        <v>9158</v>
      </c>
    </row>
    <row r="165" spans="1:17">
      <c r="A165" s="14">
        <v>84253</v>
      </c>
      <c r="B165" s="14" t="s">
        <v>0</v>
      </c>
      <c r="C165" s="14" t="s">
        <v>200</v>
      </c>
      <c r="D165" s="19" t="s">
        <v>10670</v>
      </c>
      <c r="E165" s="15" t="str">
        <f>HYPERLINK("https://stat100.ameba.jp/tnk47/ratio20/illustrations/card/ill_84253_yokaitaisenkushinadahime03.jpg?202002-i_prefecture_active_userxxxx", "■")</f>
        <v>■</v>
      </c>
      <c r="F165" s="14" t="s">
        <v>7240</v>
      </c>
      <c r="G165" s="14">
        <v>106050</v>
      </c>
      <c r="H165" s="14">
        <v>98594</v>
      </c>
      <c r="I165" s="14">
        <v>26</v>
      </c>
      <c r="J165" s="14" t="s">
        <v>44</v>
      </c>
      <c r="K165" s="14" t="s">
        <v>7242</v>
      </c>
      <c r="L165" s="14" t="s">
        <v>7243</v>
      </c>
      <c r="M165" s="14" t="s">
        <v>9158</v>
      </c>
      <c r="N165" s="14" t="s">
        <v>9158</v>
      </c>
      <c r="O165" s="14" t="s">
        <v>9158</v>
      </c>
      <c r="P165" s="14" t="s">
        <v>9158</v>
      </c>
      <c r="Q165" s="14" t="s">
        <v>9158</v>
      </c>
    </row>
    <row r="166" spans="1:17">
      <c r="A166" s="14">
        <v>78213</v>
      </c>
      <c r="B166" s="14" t="s">
        <v>0</v>
      </c>
      <c r="C166" s="14" t="s">
        <v>191</v>
      </c>
      <c r="D166" s="19" t="s">
        <v>10205</v>
      </c>
      <c r="E166" s="15" t="str">
        <f>HYPERLINK("https://stat100.ameba.jp/tnk47/ratio20/illustrations/card/ill_78213_otomarijoshikaitaiyakichan03.jpg?202002-i_prefecture_active_userxxxx", "■")</f>
        <v>■</v>
      </c>
      <c r="F166" s="14" t="s">
        <v>2313</v>
      </c>
      <c r="G166" s="14">
        <v>154562</v>
      </c>
      <c r="H166" s="14">
        <v>143714</v>
      </c>
      <c r="I166" s="14">
        <v>26</v>
      </c>
      <c r="J166" s="14" t="s">
        <v>104</v>
      </c>
      <c r="K166" s="14" t="s">
        <v>2314</v>
      </c>
      <c r="L166" s="14" t="s">
        <v>1029</v>
      </c>
      <c r="M166" s="14" t="s">
        <v>9158</v>
      </c>
      <c r="N166" s="14" t="s">
        <v>9158</v>
      </c>
      <c r="O166" s="14" t="s">
        <v>9158</v>
      </c>
      <c r="P166" s="14" t="s">
        <v>9158</v>
      </c>
      <c r="Q166" s="14" t="s">
        <v>9158</v>
      </c>
    </row>
    <row r="167" spans="1:17">
      <c r="A167" s="7">
        <v>84973</v>
      </c>
      <c r="B167" s="7" t="s">
        <v>0</v>
      </c>
      <c r="C167" s="14" t="s">
        <v>308</v>
      </c>
      <c r="D167" s="19" t="s">
        <v>10753</v>
      </c>
      <c r="E167" s="15" t="str">
        <f>HYPERLINK("https://stat100.ameba.jp/tnk47/ratio20/illustrations/card/ill_84973_yukimomijiuchidenokozuchi03.jpg?202002-i_prefecture_active_userxxxx", "■")</f>
        <v>■</v>
      </c>
      <c r="F167" s="7" t="s">
        <v>7849</v>
      </c>
      <c r="G167" s="7">
        <v>118446</v>
      </c>
      <c r="H167" s="7">
        <v>110126</v>
      </c>
      <c r="I167" s="7">
        <v>26</v>
      </c>
      <c r="J167" s="14" t="s">
        <v>38</v>
      </c>
      <c r="K167" s="7" t="s">
        <v>7848</v>
      </c>
      <c r="L167" s="7" t="s">
        <v>7847</v>
      </c>
      <c r="M167" s="14" t="s">
        <v>9158</v>
      </c>
      <c r="N167" s="14" t="s">
        <v>9158</v>
      </c>
      <c r="O167" s="14" t="s">
        <v>9158</v>
      </c>
      <c r="P167" s="14" t="s">
        <v>9158</v>
      </c>
      <c r="Q167" s="14" t="s">
        <v>9158</v>
      </c>
    </row>
    <row r="168" spans="1:17">
      <c r="A168" s="14">
        <v>84403</v>
      </c>
      <c r="B168" s="14" t="s">
        <v>0</v>
      </c>
      <c r="C168" s="14" t="s">
        <v>205</v>
      </c>
      <c r="D168" s="19" t="s">
        <v>10682</v>
      </c>
      <c r="E168" s="15" t="str">
        <f>HYPERLINK("https://stat100.ameba.jp/tnk47/ratio20/illustrations/card/ill_84403_dokushonokisetsuheikegani03.jpg?202002-i_prefecture_active_userxxxx", "■")</f>
        <v>■</v>
      </c>
      <c r="F168" s="14" t="s">
        <v>7329</v>
      </c>
      <c r="G168" s="14">
        <v>108330</v>
      </c>
      <c r="H168" s="14">
        <v>100744</v>
      </c>
      <c r="I168" s="14">
        <v>26</v>
      </c>
      <c r="J168" s="14" t="s">
        <v>73</v>
      </c>
      <c r="K168" s="14" t="s">
        <v>7328</v>
      </c>
      <c r="L168" s="14" t="s">
        <v>7327</v>
      </c>
      <c r="M168" s="14" t="s">
        <v>9158</v>
      </c>
      <c r="N168" s="14" t="s">
        <v>9158</v>
      </c>
      <c r="O168" s="14" t="s">
        <v>9158</v>
      </c>
      <c r="P168" s="14" t="s">
        <v>9158</v>
      </c>
      <c r="Q168" s="14" t="s">
        <v>9158</v>
      </c>
    </row>
    <row r="169" spans="1:17">
      <c r="A169" s="14">
        <v>84723</v>
      </c>
      <c r="B169" s="14" t="s">
        <v>0</v>
      </c>
      <c r="C169" s="14" t="s">
        <v>206</v>
      </c>
      <c r="D169" s="19" t="s">
        <v>10728</v>
      </c>
      <c r="E169" s="15" t="str">
        <f>HYPERLINK("https://stat100.ameba.jp/tnk47/ratio20/illustrations/card/ill_84723_undokairyuguneko03.jpg?202002-i_prefecture_active_userxxxx", "■")</f>
        <v>■</v>
      </c>
      <c r="F169" s="14" t="s">
        <v>7684</v>
      </c>
      <c r="G169" s="14">
        <v>118656</v>
      </c>
      <c r="H169" s="14">
        <v>118656</v>
      </c>
      <c r="I169" s="14">
        <v>26</v>
      </c>
      <c r="J169" s="14" t="s">
        <v>155</v>
      </c>
      <c r="K169" s="14" t="s">
        <v>7683</v>
      </c>
      <c r="L169" s="14" t="s">
        <v>7682</v>
      </c>
      <c r="M169" s="14" t="s">
        <v>9158</v>
      </c>
      <c r="N169" s="14" t="s">
        <v>9158</v>
      </c>
      <c r="O169" s="14" t="s">
        <v>9158</v>
      </c>
      <c r="P169" s="14" t="s">
        <v>9158</v>
      </c>
      <c r="Q169" s="14" t="s">
        <v>9158</v>
      </c>
    </row>
    <row r="170" spans="1:17">
      <c r="E170" s="9"/>
    </row>
    <row r="171" spans="1:17">
      <c r="A171" s="9" t="s">
        <v>9441</v>
      </c>
      <c r="E171" s="9"/>
    </row>
    <row r="172" spans="1:17">
      <c r="A172" s="9" t="s">
        <v>9442</v>
      </c>
      <c r="E172" s="9"/>
    </row>
    <row r="173" spans="1:17">
      <c r="A173" s="14" t="s">
        <v>5787</v>
      </c>
      <c r="B173" s="14" t="s">
        <v>330</v>
      </c>
      <c r="C173" s="14" t="s">
        <v>270</v>
      </c>
      <c r="D173" s="19" t="s">
        <v>331</v>
      </c>
      <c r="E173" s="15" t="str">
        <f>HYPERLINK("https://stat100.ameba.jp/tnk47/ratio20/illustrations/card/ill_76303_0_haroinkaguya03.jpg?202002-i_prefecture_active_userxxxx", "■")</f>
        <v>■</v>
      </c>
      <c r="F173" s="14" t="s">
        <v>332</v>
      </c>
      <c r="G173" s="14">
        <v>261812</v>
      </c>
      <c r="H173" s="14">
        <v>243398</v>
      </c>
      <c r="I173" s="14">
        <v>22</v>
      </c>
      <c r="J173" s="14" t="s">
        <v>274</v>
      </c>
      <c r="K173" s="14" t="s">
        <v>333</v>
      </c>
      <c r="L173" s="14" t="s">
        <v>276</v>
      </c>
      <c r="M173" s="14" t="s">
        <v>9158</v>
      </c>
      <c r="N173" s="14" t="s">
        <v>9158</v>
      </c>
      <c r="O173" s="19" t="s">
        <v>2976</v>
      </c>
      <c r="P173" s="14" t="s">
        <v>2724</v>
      </c>
      <c r="Q173" s="14">
        <v>1</v>
      </c>
    </row>
    <row r="174" spans="1:17">
      <c r="A174" s="14" t="s">
        <v>7150</v>
      </c>
      <c r="B174" s="14" t="s">
        <v>52</v>
      </c>
      <c r="C174" s="14" t="s">
        <v>202</v>
      </c>
      <c r="D174" s="19" t="s">
        <v>10656</v>
      </c>
      <c r="E174" s="15" t="str">
        <f>HYPERLINK("https://stat100.ameba.jp/tnk47/ratio20/illustrations/card/ill_84203_0_tarottofujiwaranoshoshi03.jpg?202002-i_prefecture_active_userxxxx", "■")</f>
        <v>■</v>
      </c>
      <c r="F174" s="14" t="s">
        <v>7153</v>
      </c>
      <c r="G174" s="14">
        <v>323812</v>
      </c>
      <c r="H174" s="14">
        <v>292680</v>
      </c>
      <c r="I174" s="14">
        <v>22</v>
      </c>
      <c r="J174" s="14" t="s">
        <v>10</v>
      </c>
      <c r="K174" s="14" t="s">
        <v>7152</v>
      </c>
      <c r="L174" s="14" t="s">
        <v>7151</v>
      </c>
      <c r="M174" s="14" t="s">
        <v>9158</v>
      </c>
      <c r="N174" s="14" t="s">
        <v>9158</v>
      </c>
      <c r="O174" s="19" t="s">
        <v>10128</v>
      </c>
      <c r="P174" s="14" t="s">
        <v>7154</v>
      </c>
      <c r="Q174" s="14">
        <v>1</v>
      </c>
    </row>
    <row r="175" spans="1:17">
      <c r="A175" s="14" t="s">
        <v>5604</v>
      </c>
      <c r="B175" s="14" t="s">
        <v>330</v>
      </c>
      <c r="C175" s="14" t="s">
        <v>206</v>
      </c>
      <c r="D175" s="19" t="s">
        <v>614</v>
      </c>
      <c r="E175" s="15" t="str">
        <f>HYPERLINK("https://stat100.ameba.jp/tnk47/ratio20/illustrations/card/ill_47263_0_oukyuuatsuhime03.jpg?202002-i_prefecture_active_userxxxx", "■")</f>
        <v>■</v>
      </c>
      <c r="F175" s="14" t="s">
        <v>615</v>
      </c>
      <c r="G175" s="14">
        <v>138212</v>
      </c>
      <c r="H175" s="14">
        <v>122776</v>
      </c>
      <c r="I175" s="14">
        <v>22</v>
      </c>
      <c r="J175" s="14" t="s">
        <v>315</v>
      </c>
      <c r="K175" s="14" t="s">
        <v>616</v>
      </c>
      <c r="L175" s="14" t="s">
        <v>617</v>
      </c>
      <c r="M175" s="14" t="s">
        <v>9158</v>
      </c>
      <c r="N175" s="14" t="s">
        <v>9158</v>
      </c>
      <c r="O175" s="14" t="s">
        <v>9158</v>
      </c>
      <c r="P175" s="14" t="s">
        <v>9158</v>
      </c>
      <c r="Q175" s="14" t="s">
        <v>9158</v>
      </c>
    </row>
    <row r="176" spans="1:17">
      <c r="A176" s="14">
        <v>82723</v>
      </c>
      <c r="B176" s="14" t="s">
        <v>334</v>
      </c>
      <c r="C176" s="14" t="s">
        <v>191</v>
      </c>
      <c r="D176" s="19" t="s">
        <v>10392</v>
      </c>
      <c r="E176" s="15" t="str">
        <f>HYPERLINK("https://stat100.ameba.jp/tnk47/ratio20/illustrations/card/ill_82723_natsufuesuyamakawatomiko03.jpg?202002-i_prefecture_active_userxxxx", "■")</f>
        <v>■</v>
      </c>
      <c r="F176" s="14" t="s">
        <v>5817</v>
      </c>
      <c r="G176" s="14">
        <v>125392</v>
      </c>
      <c r="H176" s="14">
        <v>70556</v>
      </c>
      <c r="I176" s="14">
        <v>26</v>
      </c>
      <c r="J176" s="14" t="s">
        <v>10</v>
      </c>
      <c r="K176" s="14" t="s">
        <v>5818</v>
      </c>
      <c r="L176" s="14" t="s">
        <v>60</v>
      </c>
      <c r="M176" s="14" t="s">
        <v>9158</v>
      </c>
      <c r="N176" s="14" t="s">
        <v>9158</v>
      </c>
      <c r="O176" s="14" t="s">
        <v>9158</v>
      </c>
      <c r="P176" s="14" t="s">
        <v>9158</v>
      </c>
      <c r="Q176" s="14" t="s">
        <v>9158</v>
      </c>
    </row>
    <row r="177" spans="1:18">
      <c r="A177" s="14">
        <v>69133</v>
      </c>
      <c r="B177" s="14" t="s">
        <v>0</v>
      </c>
      <c r="C177" s="14" t="s">
        <v>185</v>
      </c>
      <c r="D177" s="19" t="s">
        <v>3152</v>
      </c>
      <c r="E177" s="15" t="str">
        <f>HYPERLINK("https://stat100.ameba.jp/tnk47/ratio20/illustrations/card/ill_69133_payokakamui03.jpg?202002-i_prefecture_active_userxxxx", "■")</f>
        <v>■</v>
      </c>
      <c r="F177" s="14" t="s">
        <v>4416</v>
      </c>
      <c r="G177" s="14">
        <v>130968</v>
      </c>
      <c r="H177" s="14">
        <v>73678</v>
      </c>
      <c r="I177" s="14">
        <v>26</v>
      </c>
      <c r="J177" s="14" t="s">
        <v>169</v>
      </c>
      <c r="K177" s="14" t="s">
        <v>4417</v>
      </c>
      <c r="L177" s="14" t="s">
        <v>4418</v>
      </c>
      <c r="M177" s="14" t="s">
        <v>9158</v>
      </c>
      <c r="N177" s="14" t="s">
        <v>9158</v>
      </c>
      <c r="O177" s="14" t="s">
        <v>9158</v>
      </c>
      <c r="P177" s="14" t="s">
        <v>9158</v>
      </c>
      <c r="Q177" s="14" t="s">
        <v>9158</v>
      </c>
    </row>
    <row r="178" spans="1:18">
      <c r="A178" s="14">
        <v>60693</v>
      </c>
      <c r="B178" s="14" t="s">
        <v>0</v>
      </c>
      <c r="C178" s="14" t="s">
        <v>205</v>
      </c>
      <c r="D178" s="19" t="s">
        <v>10718</v>
      </c>
      <c r="E178" s="15" t="str">
        <f>HYPERLINK("https://stat100.ameba.jp/tnk47/ratio20/illustrations/card/ill_60693_isutabanigohime03.jpg?202002-i_prefecture_active_userxxxx", "■")</f>
        <v>■</v>
      </c>
      <c r="F178" s="14" t="s">
        <v>7566</v>
      </c>
      <c r="G178" s="14">
        <v>101558</v>
      </c>
      <c r="H178" s="14">
        <v>101558</v>
      </c>
      <c r="I178" s="14">
        <v>26</v>
      </c>
      <c r="J178" s="14" t="s">
        <v>77</v>
      </c>
      <c r="K178" s="14" t="s">
        <v>7564</v>
      </c>
      <c r="L178" s="14" t="s">
        <v>76</v>
      </c>
      <c r="M178" s="14" t="s">
        <v>9158</v>
      </c>
      <c r="N178" s="14" t="s">
        <v>9158</v>
      </c>
      <c r="O178" s="14" t="s">
        <v>9158</v>
      </c>
      <c r="P178" s="14" t="s">
        <v>9158</v>
      </c>
      <c r="Q178" s="14" t="s">
        <v>9158</v>
      </c>
    </row>
    <row r="179" spans="1:18">
      <c r="A179" s="14">
        <v>75663</v>
      </c>
      <c r="B179" s="14" t="s">
        <v>348</v>
      </c>
      <c r="C179" s="14" t="s">
        <v>101</v>
      </c>
      <c r="D179" s="19" t="s">
        <v>10387</v>
      </c>
      <c r="E179" s="15" t="str">
        <f>HYPERLINK("https://stat100.ameba.jp/tnk47/ratio20/illustrations/card/ill_75663_ikumatsu03.jpg?202002-i_prefecture_active_userxxxx", "■")</f>
        <v>■</v>
      </c>
      <c r="F179" s="14" t="s">
        <v>5781</v>
      </c>
      <c r="G179" s="14">
        <v>77064</v>
      </c>
      <c r="H179" s="14">
        <v>69898</v>
      </c>
      <c r="I179" s="14">
        <v>26</v>
      </c>
      <c r="J179" s="14" t="s">
        <v>16</v>
      </c>
      <c r="K179" s="14" t="s">
        <v>5783</v>
      </c>
      <c r="L179" s="14" t="s">
        <v>21</v>
      </c>
      <c r="M179" s="14" t="s">
        <v>9158</v>
      </c>
      <c r="N179" s="14" t="s">
        <v>9158</v>
      </c>
      <c r="O179" s="14" t="s">
        <v>9158</v>
      </c>
      <c r="P179" s="14" t="s">
        <v>9158</v>
      </c>
      <c r="Q179" s="14" t="s">
        <v>9158</v>
      </c>
    </row>
    <row r="180" spans="1:18">
      <c r="A180" s="14">
        <v>74863</v>
      </c>
      <c r="B180" s="14" t="s">
        <v>15</v>
      </c>
      <c r="C180" s="14" t="s">
        <v>1</v>
      </c>
      <c r="D180" s="19" t="s">
        <v>10250</v>
      </c>
      <c r="E180" s="15" t="str">
        <f>HYPERLINK("https://stat100.ameba.jp/tnk47/ratio20/illustrations/card/ill_74863_yukatanekodanuki03.jpg?202002-i_prefecture_active_userxxxx", "■")</f>
        <v>■</v>
      </c>
      <c r="F180" s="14" t="s">
        <v>5167</v>
      </c>
      <c r="G180" s="14">
        <v>77064</v>
      </c>
      <c r="H180" s="14">
        <v>69898</v>
      </c>
      <c r="I180" s="14">
        <v>26</v>
      </c>
      <c r="J180" s="14" t="s">
        <v>73</v>
      </c>
      <c r="K180" s="14" t="s">
        <v>5169</v>
      </c>
      <c r="L180" s="14" t="s">
        <v>3835</v>
      </c>
      <c r="M180" s="14" t="s">
        <v>9158</v>
      </c>
      <c r="N180" s="14" t="s">
        <v>9158</v>
      </c>
      <c r="O180" s="14" t="s">
        <v>9158</v>
      </c>
      <c r="P180" s="14" t="s">
        <v>9158</v>
      </c>
      <c r="Q180" s="14" t="s">
        <v>9158</v>
      </c>
    </row>
    <row r="181" spans="1:18">
      <c r="A181" s="14">
        <v>83753</v>
      </c>
      <c r="B181" s="14" t="s">
        <v>15</v>
      </c>
      <c r="C181" s="14" t="s">
        <v>185</v>
      </c>
      <c r="D181" s="19" t="s">
        <v>10596</v>
      </c>
      <c r="E181" s="15" t="str">
        <f>HYPERLINK("https://stat100.ameba.jp/tnk47/ratio20/illustrations/card/ill_83753_otsukisamaniittausagi03.jpg?202002-i_prefecture_active_userxxxx", "■")</f>
        <v>■</v>
      </c>
      <c r="F181" s="14" t="s">
        <v>6787</v>
      </c>
      <c r="G181" s="14">
        <v>77064</v>
      </c>
      <c r="H181" s="14">
        <v>69898</v>
      </c>
      <c r="I181" s="14">
        <v>26</v>
      </c>
      <c r="J181" s="14" t="s">
        <v>38</v>
      </c>
      <c r="K181" s="14" t="s">
        <v>6786</v>
      </c>
      <c r="L181" s="14" t="s">
        <v>3267</v>
      </c>
      <c r="M181" s="14" t="s">
        <v>9158</v>
      </c>
      <c r="N181" s="14" t="s">
        <v>9158</v>
      </c>
      <c r="O181" s="14" t="s">
        <v>9158</v>
      </c>
      <c r="P181" s="14" t="s">
        <v>9158</v>
      </c>
      <c r="Q181" s="14" t="s">
        <v>9158</v>
      </c>
    </row>
    <row r="182" spans="1:18">
      <c r="E182" s="9"/>
    </row>
    <row r="183" spans="1:18">
      <c r="A183" s="9" t="s">
        <v>13377</v>
      </c>
      <c r="E183" s="9"/>
    </row>
    <row r="184" spans="1:18">
      <c r="A184" s="9" t="s">
        <v>9444</v>
      </c>
      <c r="E184" s="9"/>
    </row>
    <row r="185" spans="1:18">
      <c r="A185" s="9">
        <v>86995</v>
      </c>
      <c r="B185" s="9" t="s">
        <v>9393</v>
      </c>
      <c r="C185" s="9" t="s">
        <v>9448</v>
      </c>
      <c r="D185" s="19" t="s">
        <v>10972</v>
      </c>
      <c r="E185" s="15" t="str">
        <f>HYPERLINK("https://stat100.ameba.jp/tnk47/ratio20/illustrations/card/ill_86995_yai05.jpg?202002-i_prefecture_active_userxxxx", "■")</f>
        <v>■</v>
      </c>
      <c r="F185" s="9" t="s">
        <v>9452</v>
      </c>
      <c r="G185" s="9">
        <v>122234</v>
      </c>
      <c r="H185" s="9">
        <v>88500</v>
      </c>
      <c r="I185" s="9">
        <v>26</v>
      </c>
      <c r="J185" s="9" t="s">
        <v>9405</v>
      </c>
      <c r="K185" s="9" t="s">
        <v>9451</v>
      </c>
      <c r="L185" s="9" t="s">
        <v>9450</v>
      </c>
      <c r="M185" s="14" t="s">
        <v>9158</v>
      </c>
      <c r="N185" s="14" t="s">
        <v>9158</v>
      </c>
      <c r="O185" s="14" t="s">
        <v>9158</v>
      </c>
      <c r="P185" s="14" t="s">
        <v>9158</v>
      </c>
      <c r="Q185" s="14" t="s">
        <v>9158</v>
      </c>
      <c r="R185" s="9" t="s">
        <v>9445</v>
      </c>
    </row>
    <row r="186" spans="1:18">
      <c r="A186" s="9">
        <v>86993</v>
      </c>
      <c r="B186" s="9" t="s">
        <v>9380</v>
      </c>
      <c r="C186" s="9" t="s">
        <v>9449</v>
      </c>
      <c r="D186" s="19" t="s">
        <v>10972</v>
      </c>
      <c r="E186" s="15" t="str">
        <f>HYPERLINK("https://stat100.ameba.jp/tnk47/ratio20/illustrations/card/ill_86993_yai03.jpg?202002-i_prefecture_active_userxxxx", "■")</f>
        <v>■</v>
      </c>
      <c r="F186" s="9" t="s">
        <v>9452</v>
      </c>
      <c r="G186" s="9">
        <v>90050</v>
      </c>
      <c r="H186" s="9">
        <v>65202</v>
      </c>
      <c r="I186" s="9">
        <v>26</v>
      </c>
      <c r="J186" s="9" t="s">
        <v>9405</v>
      </c>
      <c r="K186" s="9" t="s">
        <v>9451</v>
      </c>
      <c r="L186" s="9" t="s">
        <v>9453</v>
      </c>
      <c r="M186" s="14" t="s">
        <v>9158</v>
      </c>
      <c r="N186" s="14" t="s">
        <v>9158</v>
      </c>
      <c r="O186" s="14" t="s">
        <v>9158</v>
      </c>
      <c r="P186" s="14" t="s">
        <v>9158</v>
      </c>
      <c r="Q186" s="14" t="s">
        <v>9158</v>
      </c>
      <c r="R186" s="9" t="s">
        <v>9446</v>
      </c>
    </row>
    <row r="187" spans="1:18">
      <c r="A187" s="9">
        <v>86991</v>
      </c>
      <c r="B187" s="9" t="s">
        <v>9380</v>
      </c>
      <c r="C187" s="9" t="s">
        <v>9449</v>
      </c>
      <c r="D187" s="19" t="s">
        <v>10972</v>
      </c>
      <c r="E187" s="15" t="str">
        <f>HYPERLINK("https://stat100.ameba.jp/tnk47/ratio20/illustrations/card/ill_86991_yai01.jpg?202002-i_prefecture_active_userxxxx", "■")</f>
        <v>■</v>
      </c>
      <c r="F187" s="9" t="s">
        <v>9452</v>
      </c>
      <c r="G187" s="9">
        <v>57278</v>
      </c>
      <c r="H187" s="9">
        <v>41470</v>
      </c>
      <c r="I187" s="9">
        <v>26</v>
      </c>
      <c r="J187" s="9" t="s">
        <v>9405</v>
      </c>
      <c r="K187" s="9" t="s">
        <v>9451</v>
      </c>
      <c r="L187" s="9" t="s">
        <v>9454</v>
      </c>
      <c r="M187" s="14" t="s">
        <v>9158</v>
      </c>
      <c r="N187" s="14" t="s">
        <v>9158</v>
      </c>
      <c r="O187" s="14" t="s">
        <v>9158</v>
      </c>
      <c r="P187" s="14" t="s">
        <v>9158</v>
      </c>
      <c r="Q187" s="14" t="s">
        <v>9158</v>
      </c>
      <c r="R187" s="9" t="s">
        <v>9447</v>
      </c>
    </row>
    <row r="188" spans="1:18">
      <c r="E188" s="9"/>
    </row>
    <row r="189" spans="1:18">
      <c r="A189" s="14" t="s">
        <v>13327</v>
      </c>
      <c r="B189" s="14"/>
      <c r="C189" s="14"/>
      <c r="D189" s="14"/>
      <c r="F189" s="14"/>
      <c r="G189" s="14"/>
      <c r="H189" s="14"/>
      <c r="I189" s="14"/>
      <c r="J189" s="14"/>
      <c r="K189" s="14"/>
      <c r="L189" s="14"/>
      <c r="M189" s="14"/>
      <c r="N189" s="14"/>
      <c r="O189" s="14"/>
      <c r="P189" s="14"/>
      <c r="Q189" s="14"/>
      <c r="R189" s="14"/>
    </row>
    <row r="190" spans="1:18">
      <c r="A190" s="14" t="s">
        <v>11578</v>
      </c>
      <c r="B190" s="14"/>
      <c r="C190" s="14"/>
      <c r="D190" s="14"/>
      <c r="F190" s="14"/>
      <c r="G190" s="14"/>
      <c r="H190" s="14"/>
      <c r="I190" s="14"/>
      <c r="J190" s="14"/>
      <c r="K190" s="14"/>
      <c r="L190" s="14"/>
      <c r="M190" s="14"/>
      <c r="N190" s="14"/>
      <c r="O190" s="14"/>
      <c r="P190" s="14"/>
      <c r="Q190" s="14"/>
      <c r="R190" s="14"/>
    </row>
    <row r="191" spans="1:18">
      <c r="A191" s="14">
        <v>83973</v>
      </c>
      <c r="B191" s="14" t="s">
        <v>334</v>
      </c>
      <c r="C191" s="14" t="s">
        <v>14</v>
      </c>
      <c r="D191" s="19" t="s">
        <v>10570</v>
      </c>
      <c r="E191" s="15" t="str">
        <f>HYPERLINK("https://stat100.ameba.jp/tnk47/ratio20/illustrations/card/ill_83973_nekokishiirurosu03.jpg?202002-i_prefecture_active_userxxxx", "■")</f>
        <v>■</v>
      </c>
      <c r="F191" s="14" t="s">
        <v>6706</v>
      </c>
      <c r="G191" s="14">
        <v>128000</v>
      </c>
      <c r="H191" s="14">
        <v>119006</v>
      </c>
      <c r="I191" s="14">
        <v>26</v>
      </c>
      <c r="J191" s="14" t="s">
        <v>229</v>
      </c>
      <c r="K191" s="14" t="s">
        <v>6707</v>
      </c>
      <c r="L191" s="14" t="s">
        <v>13202</v>
      </c>
      <c r="M191" s="14" t="s">
        <v>13130</v>
      </c>
      <c r="N191" s="14" t="s">
        <v>343</v>
      </c>
      <c r="O191" s="14" t="s">
        <v>9158</v>
      </c>
      <c r="P191" s="14" t="s">
        <v>9158</v>
      </c>
      <c r="Q191" s="14" t="s">
        <v>9158</v>
      </c>
      <c r="R191" s="14" t="s">
        <v>14748</v>
      </c>
    </row>
    <row r="192" spans="1:18">
      <c r="A192" s="14">
        <v>83972</v>
      </c>
      <c r="B192" s="14" t="s">
        <v>334</v>
      </c>
      <c r="C192" s="14" t="s">
        <v>14</v>
      </c>
      <c r="D192" s="19" t="s">
        <v>10570</v>
      </c>
      <c r="E192" s="15" t="str">
        <f>HYPERLINK("https://stat100.ameba.jp/tnk47/ratio20/illustrations/card/ill_83972_nekokishiirurosu02.jpg?202002-i_prefecture_active_userxxxx", "■")</f>
        <v>■</v>
      </c>
      <c r="F192" s="14" t="s">
        <v>6706</v>
      </c>
      <c r="G192" s="14">
        <v>107000</v>
      </c>
      <c r="H192" s="14">
        <v>98566</v>
      </c>
      <c r="I192" s="14">
        <v>26</v>
      </c>
      <c r="J192" s="14" t="s">
        <v>229</v>
      </c>
      <c r="K192" s="14" t="s">
        <v>6707</v>
      </c>
      <c r="L192" s="14" t="s">
        <v>13201</v>
      </c>
      <c r="M192" s="14" t="s">
        <v>13131</v>
      </c>
      <c r="N192" s="14" t="s">
        <v>251</v>
      </c>
      <c r="O192" s="14" t="s">
        <v>9158</v>
      </c>
      <c r="P192" s="14" t="s">
        <v>9158</v>
      </c>
      <c r="Q192" s="14" t="s">
        <v>9158</v>
      </c>
      <c r="R192" s="14" t="s">
        <v>14748</v>
      </c>
    </row>
    <row r="193" spans="1:18">
      <c r="A193" s="14">
        <v>83971</v>
      </c>
      <c r="B193" s="14" t="s">
        <v>0</v>
      </c>
      <c r="C193" s="14" t="s">
        <v>14</v>
      </c>
      <c r="D193" s="19" t="s">
        <v>10570</v>
      </c>
      <c r="E193" s="15" t="str">
        <f>HYPERLINK("https://stat100.ameba.jp/tnk47/ratio20/illustrations/card/ill_83971_nekokishiirurosu01.jpg?202002-i_prefecture_active_userxxxx", "■")</f>
        <v>■</v>
      </c>
      <c r="F193" s="14" t="s">
        <v>6706</v>
      </c>
      <c r="G193" s="14">
        <v>81692</v>
      </c>
      <c r="H193" s="14">
        <v>76050</v>
      </c>
      <c r="I193" s="14">
        <v>26</v>
      </c>
      <c r="J193" s="14" t="s">
        <v>229</v>
      </c>
      <c r="K193" s="14" t="s">
        <v>6707</v>
      </c>
      <c r="L193" s="14" t="s">
        <v>13201</v>
      </c>
      <c r="M193" s="14" t="s">
        <v>13131</v>
      </c>
      <c r="N193" s="14" t="s">
        <v>251</v>
      </c>
      <c r="O193" s="14" t="s">
        <v>9158</v>
      </c>
      <c r="P193" s="14" t="s">
        <v>9158</v>
      </c>
      <c r="Q193" s="14" t="s">
        <v>9158</v>
      </c>
      <c r="R193" s="14" t="s">
        <v>14748</v>
      </c>
    </row>
    <row r="194" spans="1:18">
      <c r="A194" s="14">
        <v>83983</v>
      </c>
      <c r="B194" s="14" t="s">
        <v>334</v>
      </c>
      <c r="C194" s="14" t="s">
        <v>23</v>
      </c>
      <c r="D194" s="19" t="s">
        <v>10571</v>
      </c>
      <c r="E194" s="15" t="str">
        <f>HYPERLINK("https://stat100.ameba.jp/tnk47/ratio20/illustrations/card/ill_83983_ryujinsui03.jpg?202002-i_prefecture_active_userxxxx", "■")</f>
        <v>■</v>
      </c>
      <c r="F194" s="14" t="s">
        <v>6708</v>
      </c>
      <c r="G194" s="14">
        <v>119006</v>
      </c>
      <c r="H194" s="14">
        <v>128000</v>
      </c>
      <c r="I194" s="14">
        <v>26</v>
      </c>
      <c r="J194" s="14" t="s">
        <v>169</v>
      </c>
      <c r="K194" s="14" t="s">
        <v>6710</v>
      </c>
      <c r="L194" s="14" t="s">
        <v>6721</v>
      </c>
      <c r="M194" s="14" t="s">
        <v>13130</v>
      </c>
      <c r="N194" s="14" t="s">
        <v>343</v>
      </c>
      <c r="O194" s="14" t="s">
        <v>9158</v>
      </c>
      <c r="P194" s="14" t="s">
        <v>9158</v>
      </c>
      <c r="Q194" s="14" t="s">
        <v>9158</v>
      </c>
      <c r="R194" s="14" t="s">
        <v>14748</v>
      </c>
    </row>
    <row r="195" spans="1:18">
      <c r="A195" s="14">
        <v>83993</v>
      </c>
      <c r="B195" s="14" t="s">
        <v>334</v>
      </c>
      <c r="C195" s="14" t="s">
        <v>101</v>
      </c>
      <c r="D195" s="19" t="s">
        <v>10572</v>
      </c>
      <c r="E195" s="15" t="str">
        <f>HYPERLINK("https://stat100.ameba.jp/tnk47/ratio20/illustrations/card/ill_83993_enjieruzuranotamagochan03.jpg?202002-i_prefecture_active_userxxxx", "■")</f>
        <v>■</v>
      </c>
      <c r="F195" s="14" t="s">
        <v>6722</v>
      </c>
      <c r="G195" s="14">
        <v>119006</v>
      </c>
      <c r="H195" s="14">
        <v>128000</v>
      </c>
      <c r="I195" s="14">
        <v>26</v>
      </c>
      <c r="J195" s="14" t="s">
        <v>216</v>
      </c>
      <c r="K195" s="14" t="s">
        <v>6723</v>
      </c>
      <c r="L195" s="14" t="s">
        <v>6724</v>
      </c>
      <c r="M195" s="14" t="s">
        <v>13130</v>
      </c>
      <c r="N195" s="14" t="s">
        <v>343</v>
      </c>
      <c r="O195" s="14" t="s">
        <v>9158</v>
      </c>
      <c r="P195" s="14" t="s">
        <v>9158</v>
      </c>
      <c r="Q195" s="14" t="s">
        <v>9158</v>
      </c>
      <c r="R195" s="14" t="s">
        <v>14748</v>
      </c>
    </row>
    <row r="196" spans="1:18">
      <c r="A196" s="14">
        <v>84003</v>
      </c>
      <c r="B196" s="14" t="s">
        <v>0</v>
      </c>
      <c r="C196" s="14" t="s">
        <v>96</v>
      </c>
      <c r="D196" s="19" t="s">
        <v>10573</v>
      </c>
      <c r="E196" s="15" t="str">
        <f>HYPERLINK("https://stat100.ameba.jp/tnk47/ratio20/illustrations/card/ill_84003_sukoropendora03.jpg?202002-i_prefecture_active_userxxxx", "■")</f>
        <v>■</v>
      </c>
      <c r="F196" s="14" t="s">
        <v>6725</v>
      </c>
      <c r="G196" s="14">
        <v>128000</v>
      </c>
      <c r="H196" s="14">
        <v>119006</v>
      </c>
      <c r="I196" s="14">
        <v>26</v>
      </c>
      <c r="J196" s="14" t="s">
        <v>182</v>
      </c>
      <c r="K196" s="14" t="s">
        <v>6727</v>
      </c>
      <c r="L196" s="14" t="s">
        <v>6728</v>
      </c>
      <c r="M196" s="14" t="s">
        <v>13130</v>
      </c>
      <c r="N196" s="14" t="s">
        <v>343</v>
      </c>
      <c r="O196" s="14" t="s">
        <v>9158</v>
      </c>
      <c r="P196" s="14" t="s">
        <v>9158</v>
      </c>
      <c r="Q196" s="14" t="s">
        <v>9158</v>
      </c>
      <c r="R196" s="14" t="s">
        <v>14748</v>
      </c>
    </row>
    <row r="197" spans="1:18">
      <c r="A197" s="14">
        <v>84013</v>
      </c>
      <c r="B197" s="14" t="s">
        <v>334</v>
      </c>
      <c r="C197" s="14" t="s">
        <v>205</v>
      </c>
      <c r="D197" s="19" t="s">
        <v>10574</v>
      </c>
      <c r="E197" s="15" t="str">
        <f>HYPERLINK("https://stat100.ameba.jp/tnk47/ratio20/illustrations/card/ill_84013_neikiddo03.jpg?202002-i_prefecture_active_userxxxx", "■")</f>
        <v>■</v>
      </c>
      <c r="F197" s="14" t="s">
        <v>6729</v>
      </c>
      <c r="G197" s="14">
        <v>119006</v>
      </c>
      <c r="H197" s="14">
        <v>128000</v>
      </c>
      <c r="I197" s="14">
        <v>26</v>
      </c>
      <c r="J197" s="14" t="s">
        <v>194</v>
      </c>
      <c r="K197" s="14" t="s">
        <v>6731</v>
      </c>
      <c r="L197" s="14" t="s">
        <v>6732</v>
      </c>
      <c r="M197" s="14" t="s">
        <v>13130</v>
      </c>
      <c r="N197" s="14" t="s">
        <v>343</v>
      </c>
      <c r="O197" s="14" t="s">
        <v>9158</v>
      </c>
      <c r="P197" s="14" t="s">
        <v>9158</v>
      </c>
      <c r="Q197" s="14" t="s">
        <v>9158</v>
      </c>
      <c r="R197" s="14" t="s">
        <v>14748</v>
      </c>
    </row>
    <row r="198" spans="1:18">
      <c r="A198" s="14">
        <v>76763</v>
      </c>
      <c r="B198" s="14" t="s">
        <v>334</v>
      </c>
      <c r="C198" s="14" t="s">
        <v>107</v>
      </c>
      <c r="D198" s="19" t="s">
        <v>10575</v>
      </c>
      <c r="E198" s="15" t="str">
        <f>HYPERLINK("https://stat100.ameba.jp/tnk47/ratio20/illustrations/card/ill_76763_monsutanabeshimakeiginni03.jpg?202002-i_prefecture_active_userxxxx", "■")</f>
        <v>■</v>
      </c>
      <c r="F198" s="14" t="s">
        <v>6733</v>
      </c>
      <c r="G198" s="14">
        <v>128000</v>
      </c>
      <c r="H198" s="14">
        <v>119006</v>
      </c>
      <c r="I198" s="14">
        <v>26</v>
      </c>
      <c r="J198" s="14" t="s">
        <v>187</v>
      </c>
      <c r="K198" s="14" t="s">
        <v>6735</v>
      </c>
      <c r="L198" s="14" t="s">
        <v>6736</v>
      </c>
      <c r="M198" s="14" t="s">
        <v>13130</v>
      </c>
      <c r="N198" s="14" t="s">
        <v>343</v>
      </c>
      <c r="O198" s="14" t="s">
        <v>9158</v>
      </c>
      <c r="P198" s="14" t="s">
        <v>9158</v>
      </c>
      <c r="Q198" s="14" t="s">
        <v>9158</v>
      </c>
      <c r="R198" s="14" t="s">
        <v>14748</v>
      </c>
    </row>
    <row r="199" spans="1:18">
      <c r="E199" s="9"/>
    </row>
    <row r="200" spans="1:18">
      <c r="A200" s="9" t="s">
        <v>9465</v>
      </c>
      <c r="E200" s="9"/>
    </row>
    <row r="201" spans="1:18">
      <c r="A201" s="9" t="s">
        <v>9466</v>
      </c>
      <c r="E201" s="9"/>
    </row>
    <row r="202" spans="1:18">
      <c r="A202" s="14" t="s">
        <v>5778</v>
      </c>
      <c r="B202" s="14" t="s">
        <v>330</v>
      </c>
      <c r="C202" s="14" t="s">
        <v>205</v>
      </c>
      <c r="D202" s="19" t="s">
        <v>272</v>
      </c>
      <c r="E202" s="15" t="str">
        <f>HYPERLINK("https://stat100.ameba.jp/tnk47/ratio20/illustrations/card/ill_68783_0_gantammomotaro03.jpg?202002-i_prefecture_active_userxxxx", "■")</f>
        <v>■</v>
      </c>
      <c r="F202" s="14" t="s">
        <v>273</v>
      </c>
      <c r="G202" s="14">
        <v>164144</v>
      </c>
      <c r="H202" s="14">
        <v>152594</v>
      </c>
      <c r="I202" s="14">
        <v>24</v>
      </c>
      <c r="J202" s="14" t="s">
        <v>274</v>
      </c>
      <c r="K202" s="14" t="s">
        <v>275</v>
      </c>
      <c r="L202" s="14" t="s">
        <v>276</v>
      </c>
      <c r="M202" s="14" t="s">
        <v>9158</v>
      </c>
      <c r="N202" s="14" t="s">
        <v>9158</v>
      </c>
      <c r="O202" s="19" t="s">
        <v>10099</v>
      </c>
      <c r="P202" s="14" t="s">
        <v>3085</v>
      </c>
      <c r="Q202" s="14">
        <v>1</v>
      </c>
    </row>
    <row r="203" spans="1:18">
      <c r="A203" s="14">
        <v>84323</v>
      </c>
      <c r="B203" s="14" t="s">
        <v>0</v>
      </c>
      <c r="C203" s="14" t="s">
        <v>158</v>
      </c>
      <c r="D203" s="19" t="s">
        <v>10669</v>
      </c>
      <c r="E203" s="15" t="str">
        <f>HYPERLINK("https://stat100.ameba.jp/tnk47/ratio20/illustrations/card/ill_84323_kagizumebyakko03.jpg?202002-i_prefecture_active_userxxxx", "■")</f>
        <v>■</v>
      </c>
      <c r="F203" s="14" t="s">
        <v>7284</v>
      </c>
      <c r="G203" s="14">
        <v>127464</v>
      </c>
      <c r="H203" s="14">
        <v>92318</v>
      </c>
      <c r="I203" s="14">
        <v>25</v>
      </c>
      <c r="J203" s="14" t="s">
        <v>155</v>
      </c>
      <c r="K203" s="14" t="s">
        <v>7283</v>
      </c>
      <c r="L203" s="14" t="s">
        <v>7282</v>
      </c>
      <c r="M203" s="14" t="s">
        <v>9158</v>
      </c>
      <c r="N203" s="14" t="s">
        <v>9158</v>
      </c>
      <c r="O203" s="19" t="s">
        <v>10109</v>
      </c>
      <c r="P203" s="14" t="s">
        <v>3625</v>
      </c>
      <c r="Q203" s="14">
        <v>1</v>
      </c>
    </row>
    <row r="204" spans="1:18">
      <c r="A204" s="14">
        <v>84333</v>
      </c>
      <c r="B204" s="14" t="s">
        <v>0</v>
      </c>
      <c r="C204" s="14" t="s">
        <v>209</v>
      </c>
      <c r="D204" s="19" t="s">
        <v>10692</v>
      </c>
      <c r="E204" s="15" t="str">
        <f>HYPERLINK("https://stat100.ameba.jp/tnk47/ratio20/illustrations/card/ill_84333_otometeia03.jpg?202002-i_prefecture_active_userxxxx", "■")</f>
        <v>■</v>
      </c>
      <c r="F204" s="14" t="s">
        <v>7401</v>
      </c>
      <c r="G204" s="14">
        <v>109259</v>
      </c>
      <c r="H204" s="14">
        <v>79151</v>
      </c>
      <c r="I204" s="14">
        <v>25</v>
      </c>
      <c r="J204" s="14" t="s">
        <v>16</v>
      </c>
      <c r="K204" s="14" t="s">
        <v>7399</v>
      </c>
      <c r="L204" s="14" t="s">
        <v>4046</v>
      </c>
      <c r="M204" s="14" t="s">
        <v>9158</v>
      </c>
      <c r="N204" s="14" t="s">
        <v>9158</v>
      </c>
      <c r="O204" s="19" t="s">
        <v>10129</v>
      </c>
      <c r="P204" s="14" t="s">
        <v>3581</v>
      </c>
      <c r="Q204" s="14">
        <v>1</v>
      </c>
    </row>
    <row r="205" spans="1:18">
      <c r="A205" s="14">
        <v>75333</v>
      </c>
      <c r="B205" s="14" t="s">
        <v>334</v>
      </c>
      <c r="C205" s="14" t="s">
        <v>200</v>
      </c>
      <c r="D205" s="19" t="s">
        <v>3206</v>
      </c>
      <c r="E205" s="15" t="str">
        <f>HYPERLINK("https://stat100.ameba.jp/tnk47/ratio20/illustrations/card/ill_75333_resukuintamamonomae03.jpg?202002-i_prefecture_active_userxxxx", "■")</f>
        <v>■</v>
      </c>
      <c r="F205" s="14" t="s">
        <v>3207</v>
      </c>
      <c r="G205" s="14">
        <v>96871</v>
      </c>
      <c r="H205" s="14">
        <v>104162</v>
      </c>
      <c r="I205" s="7">
        <v>25</v>
      </c>
      <c r="J205" s="14" t="s">
        <v>320</v>
      </c>
      <c r="K205" s="14" t="s">
        <v>3208</v>
      </c>
      <c r="L205" s="14" t="s">
        <v>3209</v>
      </c>
      <c r="M205" s="14" t="s">
        <v>9158</v>
      </c>
      <c r="N205" s="14" t="s">
        <v>9158</v>
      </c>
      <c r="O205" s="19" t="s">
        <v>10074</v>
      </c>
      <c r="P205" s="14" t="s">
        <v>2822</v>
      </c>
      <c r="Q205" s="14">
        <v>1</v>
      </c>
    </row>
    <row r="206" spans="1:18">
      <c r="E206" s="9"/>
    </row>
    <row r="207" spans="1:18">
      <c r="A207" s="9" t="s">
        <v>9463</v>
      </c>
      <c r="E207" s="9"/>
    </row>
    <row r="208" spans="1:18">
      <c r="A208" s="9" t="s">
        <v>9464</v>
      </c>
      <c r="E208" s="9"/>
    </row>
    <row r="209" spans="1:17">
      <c r="A209" s="14" t="s">
        <v>5725</v>
      </c>
      <c r="B209" s="14" t="s">
        <v>52</v>
      </c>
      <c r="C209" s="14" t="s">
        <v>107</v>
      </c>
      <c r="D209" s="19" t="s">
        <v>543</v>
      </c>
      <c r="E209" s="15" t="str">
        <f>HYPERLINK("https://stat100.ameba.jp/tnk47/ratio20/illustrations/card/ill_52693_0_sengokumibirakiyanagiharabyakuren03.jpg?202002-i_prefecture_active_userxxxx", "■")</f>
        <v>■</v>
      </c>
      <c r="F209" s="14" t="s">
        <v>1246</v>
      </c>
      <c r="G209" s="14">
        <v>133938</v>
      </c>
      <c r="H209" s="14">
        <v>150776</v>
      </c>
      <c r="I209" s="14">
        <v>24</v>
      </c>
      <c r="J209" s="14" t="s">
        <v>16</v>
      </c>
      <c r="K209" s="14" t="s">
        <v>1247</v>
      </c>
      <c r="L209" s="14" t="s">
        <v>1248</v>
      </c>
      <c r="M209" s="14" t="s">
        <v>9158</v>
      </c>
      <c r="N209" s="14" t="s">
        <v>9158</v>
      </c>
      <c r="O209" s="19" t="s">
        <v>2886</v>
      </c>
      <c r="P209" s="14" t="s">
        <v>3304</v>
      </c>
      <c r="Q209" s="14">
        <v>1</v>
      </c>
    </row>
    <row r="210" spans="1:17">
      <c r="A210" s="14" t="s">
        <v>5621</v>
      </c>
      <c r="B210" s="14" t="s">
        <v>330</v>
      </c>
      <c r="C210" s="14" t="s">
        <v>191</v>
      </c>
      <c r="D210" s="19" t="s">
        <v>2871</v>
      </c>
      <c r="E210" s="15" t="str">
        <f>HYPERLINK("https://stat100.ameba.jp/tnk47/ratio20/illustrations/card/ill_51973_0_kemonomizugikuroyuridensetsu03.jpg?202002-i_prefecture_active_userxxxx", "■")</f>
        <v>■</v>
      </c>
      <c r="F210" s="14" t="s">
        <v>2034</v>
      </c>
      <c r="G210" s="14">
        <v>150776</v>
      </c>
      <c r="H210" s="14">
        <v>133938</v>
      </c>
      <c r="I210" s="14">
        <v>24</v>
      </c>
      <c r="J210" s="14" t="s">
        <v>38</v>
      </c>
      <c r="K210" s="14" t="s">
        <v>2035</v>
      </c>
      <c r="L210" s="14" t="s">
        <v>2036</v>
      </c>
      <c r="M210" s="14" t="s">
        <v>9158</v>
      </c>
      <c r="N210" s="14" t="s">
        <v>9158</v>
      </c>
      <c r="O210" s="19" t="s">
        <v>10088</v>
      </c>
      <c r="P210" s="14" t="s">
        <v>13172</v>
      </c>
      <c r="Q210" s="14">
        <v>1</v>
      </c>
    </row>
    <row r="211" spans="1:17">
      <c r="A211" s="14" t="s">
        <v>5608</v>
      </c>
      <c r="B211" s="14" t="s">
        <v>52</v>
      </c>
      <c r="C211" s="14" t="s">
        <v>96</v>
      </c>
      <c r="D211" s="19" t="s">
        <v>634</v>
      </c>
      <c r="E211" s="15" t="str">
        <f>HYPERLINK("https://stat100.ameba.jp/tnk47/ratio20/illustrations/card/ill_40963_0_makami03.jpg?202002-i_prefecture_active_userxxxx", "■")</f>
        <v>■</v>
      </c>
      <c r="F211" s="14" t="s">
        <v>2038</v>
      </c>
      <c r="G211" s="14">
        <v>140448</v>
      </c>
      <c r="H211" s="14">
        <v>131538</v>
      </c>
      <c r="I211" s="14">
        <v>24</v>
      </c>
      <c r="J211" s="14" t="s">
        <v>44</v>
      </c>
      <c r="K211" s="14" t="s">
        <v>2039</v>
      </c>
      <c r="L211" s="14" t="s">
        <v>2040</v>
      </c>
      <c r="M211" s="14" t="s">
        <v>9158</v>
      </c>
      <c r="N211" s="14" t="s">
        <v>9158</v>
      </c>
      <c r="O211" s="14" t="s">
        <v>9158</v>
      </c>
      <c r="P211" s="14" t="s">
        <v>9158</v>
      </c>
      <c r="Q211" s="14" t="s">
        <v>9158</v>
      </c>
    </row>
    <row r="212" spans="1:17">
      <c r="A212" s="9">
        <v>87093</v>
      </c>
      <c r="B212" s="9" t="s">
        <v>0</v>
      </c>
      <c r="C212" s="9" t="s">
        <v>200</v>
      </c>
      <c r="D212" s="19" t="s">
        <v>10967</v>
      </c>
      <c r="E212" s="15" t="str">
        <f>HYPERLINK("https://stat100.ameba.jp/tnk47/ratio20/illustrations/card/ill_87093_togijosesutasu03.jpg?202002-i_prefecture_active_userxxxx", "■")</f>
        <v>■</v>
      </c>
      <c r="F212" s="9" t="s">
        <v>9408</v>
      </c>
      <c r="G212" s="9">
        <v>113890</v>
      </c>
      <c r="H212" s="9">
        <v>105890</v>
      </c>
      <c r="I212" s="9">
        <v>25</v>
      </c>
      <c r="J212" s="9" t="s">
        <v>155</v>
      </c>
      <c r="K212" s="9" t="s">
        <v>9407</v>
      </c>
      <c r="L212" s="9" t="s">
        <v>7847</v>
      </c>
      <c r="M212" s="14" t="s">
        <v>9158</v>
      </c>
      <c r="N212" s="14" t="s">
        <v>9158</v>
      </c>
      <c r="O212" s="14" t="s">
        <v>9158</v>
      </c>
      <c r="P212" s="14" t="s">
        <v>9158</v>
      </c>
      <c r="Q212" s="14" t="s">
        <v>9158</v>
      </c>
    </row>
    <row r="213" spans="1:17">
      <c r="A213" s="9">
        <v>87113</v>
      </c>
      <c r="B213" s="9" t="s">
        <v>15</v>
      </c>
      <c r="C213" s="9" t="s">
        <v>185</v>
      </c>
      <c r="D213" s="19" t="s">
        <v>10969</v>
      </c>
      <c r="E213" s="15" t="str">
        <f>HYPERLINK("https://stat100.ameba.jp/tnk47/ratio20/illustrations/card/ill_87113_shirokishihasekuratsunenaga03.jpg?202002-i_prefecture_active_userxxxx", "■")</f>
        <v>■</v>
      </c>
      <c r="F213" s="9" t="s">
        <v>9414</v>
      </c>
      <c r="G213" s="9">
        <v>67210</v>
      </c>
      <c r="H213" s="9">
        <v>74100</v>
      </c>
      <c r="I213" s="9">
        <v>25</v>
      </c>
      <c r="J213" s="9" t="s">
        <v>159</v>
      </c>
      <c r="K213" s="9" t="s">
        <v>9413</v>
      </c>
      <c r="L213" s="9" t="s">
        <v>981</v>
      </c>
      <c r="M213" s="14" t="s">
        <v>9158</v>
      </c>
      <c r="N213" s="14" t="s">
        <v>9158</v>
      </c>
      <c r="O213" s="14" t="s">
        <v>9158</v>
      </c>
      <c r="P213" s="14" t="s">
        <v>9158</v>
      </c>
      <c r="Q213" s="14" t="s">
        <v>9158</v>
      </c>
    </row>
    <row r="214" spans="1:17">
      <c r="A214" s="9">
        <v>87123</v>
      </c>
      <c r="B214" s="9" t="s">
        <v>22</v>
      </c>
      <c r="C214" s="9" t="s">
        <v>191</v>
      </c>
      <c r="D214" s="19" t="s">
        <v>10970</v>
      </c>
      <c r="E214" s="15" t="str">
        <f>HYPERLINK("https://stat100.ameba.jp/tnk47/ratio20/illustrations/card/ill_87123_hihi03.jpg?202002-i_prefecture_active_userxxxx", "■")</f>
        <v>■</v>
      </c>
      <c r="F214" s="9" t="s">
        <v>9417</v>
      </c>
      <c r="G214" s="9">
        <v>51980</v>
      </c>
      <c r="H214" s="9">
        <v>43220</v>
      </c>
      <c r="I214" s="9">
        <v>25</v>
      </c>
      <c r="J214" s="9" t="s">
        <v>182</v>
      </c>
      <c r="K214" s="9" t="s">
        <v>9416</v>
      </c>
      <c r="L214" s="9" t="s">
        <v>4556</v>
      </c>
      <c r="M214" s="14" t="s">
        <v>9158</v>
      </c>
      <c r="N214" s="14" t="s">
        <v>9158</v>
      </c>
      <c r="O214" s="14" t="s">
        <v>9158</v>
      </c>
      <c r="P214" s="14" t="s">
        <v>9158</v>
      </c>
      <c r="Q214" s="14" t="s">
        <v>9158</v>
      </c>
    </row>
    <row r="215" spans="1:17">
      <c r="A215" s="9">
        <v>87133</v>
      </c>
      <c r="B215" s="9" t="s">
        <v>30</v>
      </c>
      <c r="C215" s="9" t="s">
        <v>1331</v>
      </c>
      <c r="D215" s="19" t="s">
        <v>10971</v>
      </c>
      <c r="E215" s="15" t="str">
        <f>HYPERLINK("https://stat100.ameba.jp/tnk47/ratio20/illustrations/card/ill_87133_mushaenobori03.jpg?202002-i_prefecture_active_userxxxx", "■")</f>
        <v>■</v>
      </c>
      <c r="F215" s="9" t="s">
        <v>9420</v>
      </c>
      <c r="G215" s="9">
        <v>26430</v>
      </c>
      <c r="H215" s="9">
        <v>31470</v>
      </c>
      <c r="I215" s="9">
        <v>25</v>
      </c>
      <c r="J215" s="9" t="s">
        <v>229</v>
      </c>
      <c r="K215" s="9" t="s">
        <v>9419</v>
      </c>
      <c r="L215" s="9" t="s">
        <v>3947</v>
      </c>
      <c r="M215" s="14" t="s">
        <v>9158</v>
      </c>
      <c r="N215" s="14" t="s">
        <v>9158</v>
      </c>
      <c r="O215" s="14" t="s">
        <v>9158</v>
      </c>
      <c r="P215" s="14" t="s">
        <v>9158</v>
      </c>
      <c r="Q215" s="14" t="s">
        <v>9158</v>
      </c>
    </row>
    <row r="216" spans="1:17">
      <c r="E216" s="9"/>
    </row>
    <row r="217" spans="1:17">
      <c r="A217" s="9" t="s">
        <v>9498</v>
      </c>
      <c r="E217" s="9"/>
    </row>
    <row r="218" spans="1:17">
      <c r="A218" s="9" t="s">
        <v>9499</v>
      </c>
      <c r="E218" s="9"/>
    </row>
    <row r="219" spans="1:17">
      <c r="A219" s="14" t="s">
        <v>5733</v>
      </c>
      <c r="B219" s="14" t="s">
        <v>330</v>
      </c>
      <c r="C219" s="14" t="s">
        <v>202</v>
      </c>
      <c r="D219" s="19" t="s">
        <v>2744</v>
      </c>
      <c r="E219" s="15" t="str">
        <f>HYPERLINK("https://stat100.ameba.jp/tnk47/ratio20/illustrations/card/ill_78693_0_kyupittokoinomikoto03.jpg?202002-i_prefecture_active_userxxxx", "■")</f>
        <v>■</v>
      </c>
      <c r="F219" s="14" t="s">
        <v>2745</v>
      </c>
      <c r="G219" s="14">
        <v>251516</v>
      </c>
      <c r="H219" s="14">
        <v>278294</v>
      </c>
      <c r="I219" s="14">
        <v>24</v>
      </c>
      <c r="J219" s="14" t="s">
        <v>274</v>
      </c>
      <c r="K219" s="14" t="s">
        <v>2746</v>
      </c>
      <c r="L219" s="14" t="s">
        <v>2747</v>
      </c>
      <c r="M219" s="14" t="s">
        <v>9158</v>
      </c>
      <c r="N219" s="14" t="s">
        <v>9158</v>
      </c>
      <c r="O219" s="19" t="s">
        <v>10097</v>
      </c>
      <c r="P219" s="14" t="s">
        <v>2748</v>
      </c>
      <c r="Q219" s="14">
        <v>1</v>
      </c>
    </row>
    <row r="220" spans="1:17">
      <c r="A220" s="14">
        <v>56443</v>
      </c>
      <c r="B220" s="14" t="s">
        <v>0</v>
      </c>
      <c r="C220" s="14" t="s">
        <v>205</v>
      </c>
      <c r="D220" s="19" t="s">
        <v>10314</v>
      </c>
      <c r="E220" s="15" t="str">
        <f>HYPERLINK("https://stat100.ameba.jp/tnk47/ratio20/illustrations/card/ill_56443_poppukurisumasuizumonokuni03.jpg?202002-i_prefecture_active_userxxxx", "■")</f>
        <v>■</v>
      </c>
      <c r="F220" s="14" t="s">
        <v>1151</v>
      </c>
      <c r="G220" s="14">
        <v>86006</v>
      </c>
      <c r="H220" s="14">
        <v>92504</v>
      </c>
      <c r="I220" s="14">
        <v>24</v>
      </c>
      <c r="J220" s="14" t="s">
        <v>10</v>
      </c>
      <c r="K220" s="14" t="s">
        <v>1152</v>
      </c>
      <c r="L220" s="14" t="s">
        <v>1153</v>
      </c>
      <c r="M220" s="14" t="s">
        <v>9158</v>
      </c>
      <c r="N220" s="14" t="s">
        <v>9158</v>
      </c>
      <c r="O220" s="19" t="s">
        <v>10119</v>
      </c>
      <c r="P220" s="14" t="s">
        <v>3662</v>
      </c>
      <c r="Q220" s="14">
        <v>1</v>
      </c>
    </row>
    <row r="221" spans="1:17">
      <c r="A221" s="14">
        <v>81023</v>
      </c>
      <c r="B221" s="14" t="s">
        <v>334</v>
      </c>
      <c r="C221" s="14" t="s">
        <v>41</v>
      </c>
      <c r="D221" s="19" t="s">
        <v>10274</v>
      </c>
      <c r="E221" s="15" t="str">
        <f>HYPERLINK("https://stat100.ameba.jp/tnk47/ratio20/illustrations/card/ill_81023_momonokenki03.jpg?202002-i_prefecture_active_userxxxx", "■")</f>
        <v>■</v>
      </c>
      <c r="F221" s="14" t="s">
        <v>4088</v>
      </c>
      <c r="G221" s="14">
        <v>126858</v>
      </c>
      <c r="H221" s="14">
        <v>91876</v>
      </c>
      <c r="I221" s="14">
        <v>24</v>
      </c>
      <c r="J221" s="14" t="s">
        <v>143</v>
      </c>
      <c r="K221" s="14" t="s">
        <v>4089</v>
      </c>
      <c r="L221" s="14" t="s">
        <v>2049</v>
      </c>
      <c r="M221" s="14" t="s">
        <v>9158</v>
      </c>
      <c r="N221" s="14" t="s">
        <v>9158</v>
      </c>
      <c r="O221" s="19" t="s">
        <v>10096</v>
      </c>
      <c r="P221" s="14" t="s">
        <v>3245</v>
      </c>
      <c r="Q221" s="14">
        <v>1</v>
      </c>
    </row>
    <row r="222" spans="1:17">
      <c r="A222" s="14">
        <v>81313</v>
      </c>
      <c r="B222" s="14" t="s">
        <v>0</v>
      </c>
      <c r="C222" s="14" t="s">
        <v>154</v>
      </c>
      <c r="D222" s="19" t="s">
        <v>10511</v>
      </c>
      <c r="E222" s="15" t="str">
        <f>HYPERLINK("https://stat100.ameba.jp/tnk47/ratio20/illustrations/card/ill_81313_harihara03.jpg?202002-i_prefecture_active_userxxxx", "■")</f>
        <v>■</v>
      </c>
      <c r="F222" s="14" t="s">
        <v>4667</v>
      </c>
      <c r="G222" s="14">
        <v>159674</v>
      </c>
      <c r="H222" s="14">
        <v>115656</v>
      </c>
      <c r="I222" s="14">
        <v>24</v>
      </c>
      <c r="J222" s="14" t="s">
        <v>44</v>
      </c>
      <c r="K222" s="14" t="s">
        <v>4668</v>
      </c>
      <c r="L222" s="14" t="s">
        <v>4669</v>
      </c>
      <c r="M222" s="14" t="s">
        <v>9158</v>
      </c>
      <c r="N222" s="14" t="s">
        <v>9158</v>
      </c>
      <c r="O222" s="19" t="s">
        <v>10114</v>
      </c>
      <c r="P222" s="14" t="s">
        <v>3658</v>
      </c>
      <c r="Q222" s="14">
        <v>1</v>
      </c>
    </row>
    <row r="223" spans="1:17">
      <c r="E223" s="9"/>
    </row>
    <row r="224" spans="1:17">
      <c r="A224" s="9" t="s">
        <v>115</v>
      </c>
      <c r="E224" s="9"/>
    </row>
    <row r="225" spans="1:17">
      <c r="A225" s="9" t="s">
        <v>9500</v>
      </c>
      <c r="E225" s="9"/>
    </row>
    <row r="226" spans="1:17">
      <c r="A226" s="14" t="s">
        <v>5724</v>
      </c>
      <c r="B226" s="14" t="s">
        <v>330</v>
      </c>
      <c r="C226" s="14" t="s">
        <v>335</v>
      </c>
      <c r="D226" s="19" t="s">
        <v>698</v>
      </c>
      <c r="E226" s="15" t="str">
        <f>HYPERLINK("https://stat100.ameba.jp/tnk47/ratio20/illustrations/card/ill_66433_0_haroinfujishirogozen03.jpg?202002-i_prefecture_active_userxxxx", "■")</f>
        <v>■</v>
      </c>
      <c r="F226" s="14" t="s">
        <v>699</v>
      </c>
      <c r="G226" s="14">
        <v>134652</v>
      </c>
      <c r="H226" s="14">
        <v>144834</v>
      </c>
      <c r="I226" s="14">
        <v>22</v>
      </c>
      <c r="J226" s="14" t="s">
        <v>315</v>
      </c>
      <c r="K226" s="14" t="s">
        <v>700</v>
      </c>
      <c r="L226" s="14" t="s">
        <v>701</v>
      </c>
      <c r="M226" s="14" t="s">
        <v>9158</v>
      </c>
      <c r="N226" s="14" t="s">
        <v>9158</v>
      </c>
      <c r="O226" s="19" t="s">
        <v>10095</v>
      </c>
      <c r="P226" s="14" t="s">
        <v>3345</v>
      </c>
      <c r="Q226" s="14">
        <v>1</v>
      </c>
    </row>
    <row r="227" spans="1:17">
      <c r="A227" s="14" t="s">
        <v>5624</v>
      </c>
      <c r="B227" s="14" t="s">
        <v>52</v>
      </c>
      <c r="C227" s="14" t="s">
        <v>101</v>
      </c>
      <c r="D227" s="19" t="s">
        <v>1426</v>
      </c>
      <c r="E227" s="15" t="str">
        <f>HYPERLINK("https://stat100.ameba.jp/tnk47/ratio20/illustrations/card/ill_64953_0_yukatatokugawayoshinobu03.jpg?202002-i_prefecture_active_userxxxx", "■")</f>
        <v>■</v>
      </c>
      <c r="F227" s="14" t="s">
        <v>2090</v>
      </c>
      <c r="G227" s="14">
        <v>137060</v>
      </c>
      <c r="H227" s="14">
        <v>147404</v>
      </c>
      <c r="I227" s="14">
        <v>22</v>
      </c>
      <c r="J227" s="14" t="s">
        <v>10</v>
      </c>
      <c r="K227" s="14" t="s">
        <v>2091</v>
      </c>
      <c r="L227" s="14" t="s">
        <v>2092</v>
      </c>
      <c r="M227" s="14" t="s">
        <v>9158</v>
      </c>
      <c r="N227" s="14" t="s">
        <v>9158</v>
      </c>
      <c r="O227" s="19" t="s">
        <v>2889</v>
      </c>
      <c r="P227" s="14" t="s">
        <v>2890</v>
      </c>
      <c r="Q227" s="14">
        <v>1</v>
      </c>
    </row>
    <row r="228" spans="1:17">
      <c r="A228" s="14" t="s">
        <v>5897</v>
      </c>
      <c r="B228" s="14" t="s">
        <v>52</v>
      </c>
      <c r="C228" s="14" t="s">
        <v>23</v>
      </c>
      <c r="D228" s="19" t="s">
        <v>277</v>
      </c>
      <c r="E228" s="15" t="str">
        <f>HYPERLINK("https://stat100.ameba.jp/tnk47/ratio20/illustrations/card/ill_40913_0_reigyokudensetsufusehime03.jpg?202002-i_prefecture_active_userxxxx", "■")</f>
        <v>■</v>
      </c>
      <c r="F228" s="14" t="s">
        <v>955</v>
      </c>
      <c r="G228" s="14">
        <v>120576</v>
      </c>
      <c r="H228" s="14">
        <v>128744</v>
      </c>
      <c r="I228" s="14">
        <v>22</v>
      </c>
      <c r="J228" s="14" t="s">
        <v>38</v>
      </c>
      <c r="K228" s="14" t="s">
        <v>956</v>
      </c>
      <c r="L228" s="14" t="s">
        <v>957</v>
      </c>
      <c r="M228" s="14" t="s">
        <v>9158</v>
      </c>
      <c r="N228" s="14" t="s">
        <v>9158</v>
      </c>
      <c r="O228" s="14" t="s">
        <v>9158</v>
      </c>
      <c r="P228" s="14" t="s">
        <v>9158</v>
      </c>
      <c r="Q228" s="14" t="s">
        <v>9158</v>
      </c>
    </row>
    <row r="229" spans="1:17">
      <c r="A229" s="14">
        <v>82733</v>
      </c>
      <c r="B229" s="14" t="s">
        <v>0</v>
      </c>
      <c r="C229" s="14" t="s">
        <v>205</v>
      </c>
      <c r="D229" s="19" t="s">
        <v>10396</v>
      </c>
      <c r="E229" s="15" t="str">
        <f>HYPERLINK("https://stat100.ameba.jp/tnk47/ratio20/illustrations/card/ill_82733_natsufuesukyogokuichiko03.jpg?202002-i_prefecture_active_userxxxx", "■")</f>
        <v>■</v>
      </c>
      <c r="F229" s="14" t="s">
        <v>9512</v>
      </c>
      <c r="G229" s="14">
        <v>73272</v>
      </c>
      <c r="H229" s="14">
        <v>130220</v>
      </c>
      <c r="I229" s="14">
        <v>26</v>
      </c>
      <c r="J229" s="14" t="s">
        <v>9501</v>
      </c>
      <c r="K229" s="14" t="s">
        <v>9511</v>
      </c>
      <c r="L229" s="14" t="s">
        <v>9510</v>
      </c>
      <c r="M229" s="14" t="s">
        <v>9158</v>
      </c>
      <c r="N229" s="14" t="s">
        <v>9158</v>
      </c>
      <c r="O229" s="14" t="s">
        <v>9158</v>
      </c>
      <c r="P229" s="14" t="s">
        <v>9158</v>
      </c>
      <c r="Q229" s="14" t="s">
        <v>9158</v>
      </c>
    </row>
    <row r="230" spans="1:17">
      <c r="A230" s="14">
        <v>81003</v>
      </c>
      <c r="B230" s="14" t="s">
        <v>334</v>
      </c>
      <c r="C230" s="14" t="s">
        <v>200</v>
      </c>
      <c r="D230" s="19" t="s">
        <v>10583</v>
      </c>
      <c r="E230" s="15" t="str">
        <f>HYPERLINK("https://stat100.ameba.jp/tnk47/ratio20/illustrations/card/ill_81003_furudenshago03.jpg?202002-i_prefecture_active_userxxxx", "■")</f>
        <v>■</v>
      </c>
      <c r="F230" s="14" t="s">
        <v>9509</v>
      </c>
      <c r="G230" s="14">
        <v>70556</v>
      </c>
      <c r="H230" s="14">
        <v>125392</v>
      </c>
      <c r="I230" s="14">
        <v>26</v>
      </c>
      <c r="J230" s="14" t="s">
        <v>9502</v>
      </c>
      <c r="K230" s="14" t="s">
        <v>9508</v>
      </c>
      <c r="L230" s="14" t="s">
        <v>9507</v>
      </c>
      <c r="M230" s="14" t="s">
        <v>9158</v>
      </c>
      <c r="N230" s="14" t="s">
        <v>9158</v>
      </c>
      <c r="O230" s="14" t="s">
        <v>9158</v>
      </c>
      <c r="P230" s="14" t="s">
        <v>9158</v>
      </c>
      <c r="Q230" s="14" t="s">
        <v>9158</v>
      </c>
    </row>
    <row r="231" spans="1:17">
      <c r="A231" s="14">
        <v>79643</v>
      </c>
      <c r="B231" s="14" t="s">
        <v>334</v>
      </c>
      <c r="C231" s="14" t="s">
        <v>185</v>
      </c>
      <c r="D231" s="19" t="s">
        <v>10622</v>
      </c>
      <c r="E231" s="15" t="str">
        <f>HYPERLINK("https://stat100.ameba.jp/tnk47/ratio20/illustrations/card/ill_79643_hibikiwataruneirosonobehideo03.jpg?202002-i_prefecture_active_userxxxx", "■")</f>
        <v>■</v>
      </c>
      <c r="F231" s="14" t="s">
        <v>9506</v>
      </c>
      <c r="G231" s="14">
        <v>94390</v>
      </c>
      <c r="H231" s="14">
        <v>101558</v>
      </c>
      <c r="I231" s="14">
        <v>26</v>
      </c>
      <c r="J231" s="14" t="s">
        <v>9503</v>
      </c>
      <c r="K231" s="14" t="s">
        <v>9505</v>
      </c>
      <c r="L231" s="14" t="s">
        <v>9504</v>
      </c>
      <c r="M231" s="14" t="s">
        <v>9158</v>
      </c>
      <c r="N231" s="14" t="s">
        <v>9158</v>
      </c>
      <c r="O231" s="14" t="s">
        <v>9158</v>
      </c>
      <c r="P231" s="14" t="s">
        <v>9158</v>
      </c>
      <c r="Q231" s="14" t="s">
        <v>9158</v>
      </c>
    </row>
    <row r="232" spans="1:17">
      <c r="A232" s="14">
        <v>60703</v>
      </c>
      <c r="B232" s="14" t="s">
        <v>348</v>
      </c>
      <c r="C232" s="14" t="s">
        <v>185</v>
      </c>
      <c r="D232" s="19" t="s">
        <v>3010</v>
      </c>
      <c r="E232" s="15" t="str">
        <f>HYPERLINK("https://stat100.ameba.jp/tnk47/ratio20/illustrations/card/ill_60703_isutabaniyamamurokieko03.jpg?202002-i_prefecture_active_userxxxx", "■")</f>
        <v>■</v>
      </c>
      <c r="F232" s="14" t="s">
        <v>3011</v>
      </c>
      <c r="G232" s="14">
        <v>69898</v>
      </c>
      <c r="H232" s="14">
        <v>77064</v>
      </c>
      <c r="I232" s="14">
        <v>26</v>
      </c>
      <c r="J232" s="14" t="s">
        <v>351</v>
      </c>
      <c r="K232" s="14" t="s">
        <v>3012</v>
      </c>
      <c r="L232" s="14" t="s">
        <v>3013</v>
      </c>
      <c r="M232" s="14" t="s">
        <v>9158</v>
      </c>
      <c r="N232" s="14" t="s">
        <v>9158</v>
      </c>
      <c r="O232" s="14" t="s">
        <v>9158</v>
      </c>
      <c r="P232" s="14" t="s">
        <v>9158</v>
      </c>
      <c r="Q232" s="14" t="s">
        <v>9158</v>
      </c>
    </row>
    <row r="233" spans="1:17">
      <c r="A233" s="14">
        <v>78043</v>
      </c>
      <c r="B233" s="14" t="s">
        <v>15</v>
      </c>
      <c r="C233" s="14" t="s">
        <v>165</v>
      </c>
      <c r="D233" s="19" t="s">
        <v>10398</v>
      </c>
      <c r="E233" s="15" t="str">
        <f>HYPERLINK("https://stat100.ameba.jp/tnk47/ratio20/illustrations/card/ill_78043_yushinaishinno03.jpg?202002-i_prefecture_active_userxxxx", "■")</f>
        <v>■</v>
      </c>
      <c r="F233" s="14" t="s">
        <v>2213</v>
      </c>
      <c r="G233" s="14">
        <v>69898</v>
      </c>
      <c r="H233" s="14">
        <v>77064</v>
      </c>
      <c r="I233" s="14">
        <v>26</v>
      </c>
      <c r="J233" s="14" t="s">
        <v>16</v>
      </c>
      <c r="K233" s="14" t="s">
        <v>2214</v>
      </c>
      <c r="L233" s="14" t="s">
        <v>981</v>
      </c>
      <c r="M233" s="14" t="s">
        <v>9158</v>
      </c>
      <c r="N233" s="14" t="s">
        <v>9158</v>
      </c>
      <c r="O233" s="14" t="s">
        <v>9158</v>
      </c>
      <c r="P233" s="14" t="s">
        <v>9158</v>
      </c>
      <c r="Q233" s="14" t="s">
        <v>9158</v>
      </c>
    </row>
    <row r="234" spans="1:17">
      <c r="A234" s="14">
        <v>69083</v>
      </c>
      <c r="B234" s="14" t="s">
        <v>348</v>
      </c>
      <c r="C234" s="14" t="s">
        <v>206</v>
      </c>
      <c r="D234" s="19" t="s">
        <v>3014</v>
      </c>
      <c r="E234" s="15" t="str">
        <f>HYPERLINK("https://stat100.ameba.jp/tnk47/ratio20/illustrations/card/ill_69083_uintasupotsukuwahime03.jpg?202002-i_prefecture_active_userxxxx", "■")</f>
        <v>■</v>
      </c>
      <c r="F234" s="14" t="s">
        <v>3015</v>
      </c>
      <c r="G234" s="14">
        <v>69898</v>
      </c>
      <c r="H234" s="14">
        <v>77064</v>
      </c>
      <c r="I234" s="14">
        <v>26</v>
      </c>
      <c r="J234" s="14" t="s">
        <v>315</v>
      </c>
      <c r="K234" s="14" t="s">
        <v>3016</v>
      </c>
      <c r="L234" s="14" t="s">
        <v>596</v>
      </c>
      <c r="M234" s="14" t="s">
        <v>9158</v>
      </c>
      <c r="N234" s="14" t="s">
        <v>9158</v>
      </c>
      <c r="O234" s="14" t="s">
        <v>9158</v>
      </c>
      <c r="P234" s="14" t="s">
        <v>9158</v>
      </c>
      <c r="Q234" s="14" t="s">
        <v>9158</v>
      </c>
    </row>
    <row r="235" spans="1:17">
      <c r="E235" s="9"/>
    </row>
    <row r="236" spans="1:17">
      <c r="A236" s="9" t="s">
        <v>9515</v>
      </c>
      <c r="E236" s="9"/>
    </row>
    <row r="237" spans="1:17">
      <c r="A237" s="14" t="s">
        <v>9514</v>
      </c>
      <c r="E237" s="9"/>
    </row>
    <row r="238" spans="1:17">
      <c r="A238" s="14" t="s">
        <v>5618</v>
      </c>
      <c r="B238" s="14" t="s">
        <v>52</v>
      </c>
      <c r="C238" s="14" t="s">
        <v>23</v>
      </c>
      <c r="D238" s="19" t="s">
        <v>665</v>
      </c>
      <c r="E238" s="15" t="str">
        <f>HYPERLINK("https://stat100.ameba.jp/tnk47/ratio20/illustrations/card/ill_63173_0_minazukikonakaiteruko03.jpg?202002-i_prefecture_active_userxxxx", "■")</f>
        <v>■</v>
      </c>
      <c r="F238" s="14" t="s">
        <v>1188</v>
      </c>
      <c r="G238" s="14">
        <v>208310</v>
      </c>
      <c r="H238" s="14">
        <v>224026</v>
      </c>
      <c r="I238" s="14">
        <v>24</v>
      </c>
      <c r="J238" s="14" t="s">
        <v>143</v>
      </c>
      <c r="K238" s="14" t="s">
        <v>1189</v>
      </c>
      <c r="L238" s="14" t="s">
        <v>1190</v>
      </c>
      <c r="M238" s="14" t="s">
        <v>9158</v>
      </c>
      <c r="N238" s="14" t="s">
        <v>9158</v>
      </c>
      <c r="O238" s="19" t="s">
        <v>10079</v>
      </c>
      <c r="P238" s="14" t="s">
        <v>3329</v>
      </c>
      <c r="Q238" s="14">
        <v>1</v>
      </c>
    </row>
    <row r="239" spans="1:17">
      <c r="A239" s="14" t="s">
        <v>5804</v>
      </c>
      <c r="B239" s="14" t="s">
        <v>52</v>
      </c>
      <c r="C239" s="14" t="s">
        <v>14</v>
      </c>
      <c r="D239" s="19" t="s">
        <v>3195</v>
      </c>
      <c r="E239" s="15" t="str">
        <f>HYPERLINK("https://stat100.ameba.jp/tnk47/ratio20/illustrations/card/ill_75393_0_resukuinotsukisamaniittausagi03.jpg?202002-i_prefecture_active_userxxxx", "■")</f>
        <v>■</v>
      </c>
      <c r="F239" s="14" t="s">
        <v>3248</v>
      </c>
      <c r="G239" s="14">
        <v>273368</v>
      </c>
      <c r="H239" s="14">
        <v>254160</v>
      </c>
      <c r="I239" s="14">
        <v>24</v>
      </c>
      <c r="J239" s="14" t="s">
        <v>26</v>
      </c>
      <c r="K239" s="14" t="s">
        <v>3249</v>
      </c>
      <c r="L239" s="14" t="s">
        <v>3250</v>
      </c>
      <c r="M239" s="14" t="s">
        <v>9158</v>
      </c>
      <c r="N239" s="14" t="s">
        <v>9158</v>
      </c>
      <c r="O239" s="19" t="s">
        <v>10101</v>
      </c>
      <c r="P239" s="14" t="s">
        <v>3251</v>
      </c>
      <c r="Q239" s="14">
        <v>2</v>
      </c>
    </row>
    <row r="240" spans="1:17">
      <c r="A240" s="14" t="s">
        <v>5830</v>
      </c>
      <c r="B240" s="14" t="s">
        <v>330</v>
      </c>
      <c r="C240" s="14" t="s">
        <v>191</v>
      </c>
      <c r="D240" s="19" t="s">
        <v>793</v>
      </c>
      <c r="E240" s="15" t="str">
        <f>HYPERLINK("https://stat100.ameba.jp/tnk47/ratio20/illustrations/card/ill_39933_0_reihiiinaotora03.jpg?202002-i_prefecture_active_userxxxx", "■")</f>
        <v>■</v>
      </c>
      <c r="F240" s="14" t="s">
        <v>794</v>
      </c>
      <c r="G240" s="14">
        <v>131538</v>
      </c>
      <c r="H240" s="14">
        <v>140448</v>
      </c>
      <c r="I240" s="14">
        <v>24</v>
      </c>
      <c r="J240" s="14" t="s">
        <v>315</v>
      </c>
      <c r="K240" s="14" t="s">
        <v>795</v>
      </c>
      <c r="L240" s="14" t="s">
        <v>796</v>
      </c>
      <c r="M240" s="14" t="s">
        <v>9158</v>
      </c>
      <c r="N240" s="14" t="s">
        <v>9158</v>
      </c>
      <c r="O240" s="14" t="s">
        <v>9158</v>
      </c>
      <c r="P240" s="14" t="s">
        <v>9158</v>
      </c>
      <c r="Q240" s="14" t="s">
        <v>9158</v>
      </c>
    </row>
    <row r="241" spans="1:17">
      <c r="A241" s="9">
        <v>87103</v>
      </c>
      <c r="B241" s="9" t="s">
        <v>0</v>
      </c>
      <c r="C241" s="9" t="s">
        <v>165</v>
      </c>
      <c r="D241" s="19" t="s">
        <v>10968</v>
      </c>
      <c r="E241" s="15" t="str">
        <f>HYPERLINK("https://stat100.ameba.jp/tnk47/ratio20/illustrations/card/ill_87103_monsutanakisawame03.jpg?202002-i_prefecture_active_userxxxx", "■")</f>
        <v>■</v>
      </c>
      <c r="F241" s="9" t="s">
        <v>9411</v>
      </c>
      <c r="G241" s="9">
        <v>101971</v>
      </c>
      <c r="H241" s="9">
        <v>94802</v>
      </c>
      <c r="I241" s="9">
        <v>25</v>
      </c>
      <c r="J241" s="9" t="s">
        <v>169</v>
      </c>
      <c r="K241" s="9" t="s">
        <v>9410</v>
      </c>
      <c r="L241" s="9" t="s">
        <v>7243</v>
      </c>
      <c r="M241" s="14" t="s">
        <v>9158</v>
      </c>
      <c r="N241" s="14" t="s">
        <v>9158</v>
      </c>
      <c r="O241" s="14" t="s">
        <v>9158</v>
      </c>
      <c r="P241" s="14" t="s">
        <v>9158</v>
      </c>
      <c r="Q241" s="14" t="s">
        <v>9158</v>
      </c>
    </row>
    <row r="242" spans="1:17">
      <c r="A242" s="9">
        <v>87113</v>
      </c>
      <c r="B242" s="9" t="s">
        <v>15</v>
      </c>
      <c r="C242" s="9" t="s">
        <v>185</v>
      </c>
      <c r="D242" s="19" t="s">
        <v>10969</v>
      </c>
      <c r="E242" s="15" t="str">
        <f>HYPERLINK("https://stat100.ameba.jp/tnk47/ratio20/illustrations/card/ill_87113_shirokishihasekuratsunenaga03.jpg?202002-i_prefecture_active_userxxxx", "■")</f>
        <v>■</v>
      </c>
      <c r="F242" s="9" t="s">
        <v>9414</v>
      </c>
      <c r="G242" s="9">
        <v>67210</v>
      </c>
      <c r="H242" s="9">
        <v>74100</v>
      </c>
      <c r="I242" s="9">
        <v>25</v>
      </c>
      <c r="J242" s="9" t="s">
        <v>159</v>
      </c>
      <c r="K242" s="9" t="s">
        <v>9413</v>
      </c>
      <c r="L242" s="9" t="s">
        <v>981</v>
      </c>
      <c r="M242" s="14" t="s">
        <v>9158</v>
      </c>
      <c r="N242" s="14" t="s">
        <v>9158</v>
      </c>
      <c r="O242" s="14" t="s">
        <v>9158</v>
      </c>
      <c r="P242" s="14" t="s">
        <v>9158</v>
      </c>
      <c r="Q242" s="14" t="s">
        <v>9158</v>
      </c>
    </row>
    <row r="243" spans="1:17">
      <c r="A243" s="9">
        <v>87123</v>
      </c>
      <c r="B243" s="9" t="s">
        <v>22</v>
      </c>
      <c r="C243" s="9" t="s">
        <v>191</v>
      </c>
      <c r="D243" s="19" t="s">
        <v>10970</v>
      </c>
      <c r="E243" s="15" t="str">
        <f>HYPERLINK("https://stat100.ameba.jp/tnk47/ratio20/illustrations/card/ill_87123_hihi03.jpg?202002-i_prefecture_active_userxxxx", "■")</f>
        <v>■</v>
      </c>
      <c r="F243" s="9" t="s">
        <v>9417</v>
      </c>
      <c r="G243" s="9">
        <v>51980</v>
      </c>
      <c r="H243" s="9">
        <v>43220</v>
      </c>
      <c r="I243" s="9">
        <v>25</v>
      </c>
      <c r="J243" s="9" t="s">
        <v>182</v>
      </c>
      <c r="K243" s="9" t="s">
        <v>9416</v>
      </c>
      <c r="L243" s="9" t="s">
        <v>4556</v>
      </c>
      <c r="M243" s="14" t="s">
        <v>9158</v>
      </c>
      <c r="N243" s="14" t="s">
        <v>9158</v>
      </c>
      <c r="O243" s="14" t="s">
        <v>9158</v>
      </c>
      <c r="P243" s="14" t="s">
        <v>9158</v>
      </c>
      <c r="Q243" s="14" t="s">
        <v>9158</v>
      </c>
    </row>
    <row r="244" spans="1:17">
      <c r="A244" s="9">
        <v>87133</v>
      </c>
      <c r="B244" s="9" t="s">
        <v>30</v>
      </c>
      <c r="C244" s="9" t="s">
        <v>1331</v>
      </c>
      <c r="D244" s="19" t="s">
        <v>10971</v>
      </c>
      <c r="E244" s="15" t="str">
        <f>HYPERLINK("https://stat100.ameba.jp/tnk47/ratio20/illustrations/card/ill_87133_mushaenobori03.jpg?202002-i_prefecture_active_userxxxx", "■")</f>
        <v>■</v>
      </c>
      <c r="F244" s="9" t="s">
        <v>9420</v>
      </c>
      <c r="G244" s="9">
        <v>26430</v>
      </c>
      <c r="H244" s="9">
        <v>31470</v>
      </c>
      <c r="I244" s="9">
        <v>25</v>
      </c>
      <c r="J244" s="9" t="s">
        <v>229</v>
      </c>
      <c r="K244" s="9" t="s">
        <v>9419</v>
      </c>
      <c r="L244" s="9" t="s">
        <v>3947</v>
      </c>
      <c r="M244" s="14" t="s">
        <v>9158</v>
      </c>
      <c r="N244" s="14" t="s">
        <v>9158</v>
      </c>
      <c r="O244" s="14" t="s">
        <v>9158</v>
      </c>
      <c r="P244" s="14" t="s">
        <v>9158</v>
      </c>
      <c r="Q244" s="14" t="s">
        <v>9158</v>
      </c>
    </row>
    <row r="245" spans="1:17">
      <c r="E245" s="9"/>
    </row>
    <row r="246" spans="1:17">
      <c r="A246" s="14" t="s">
        <v>195</v>
      </c>
      <c r="B246" s="14"/>
      <c r="C246" s="14"/>
      <c r="D246" s="14"/>
      <c r="F246" s="14"/>
      <c r="G246" s="14"/>
      <c r="H246" s="14"/>
      <c r="I246" s="14"/>
      <c r="J246" s="14"/>
      <c r="K246" s="14"/>
      <c r="L246" s="14"/>
      <c r="M246" s="14"/>
      <c r="N246" s="14"/>
      <c r="O246" s="14"/>
      <c r="P246" s="14"/>
      <c r="Q246" s="14"/>
    </row>
    <row r="247" spans="1:17">
      <c r="A247" s="14" t="s">
        <v>9513</v>
      </c>
      <c r="B247" s="14"/>
      <c r="C247" s="14"/>
      <c r="D247" s="14"/>
      <c r="F247" s="14"/>
      <c r="G247" s="14"/>
      <c r="H247" s="14"/>
      <c r="I247" s="14"/>
      <c r="J247" s="14"/>
      <c r="K247" s="14"/>
      <c r="L247" s="14"/>
      <c r="M247" s="14"/>
      <c r="N247" s="14"/>
      <c r="O247" s="14"/>
      <c r="P247" s="14"/>
      <c r="Q247" s="14"/>
    </row>
    <row r="248" spans="1:17">
      <c r="A248" s="14">
        <v>76103</v>
      </c>
      <c r="B248" s="14" t="s">
        <v>334</v>
      </c>
      <c r="C248" s="14" t="s">
        <v>154</v>
      </c>
      <c r="D248" s="19" t="s">
        <v>570</v>
      </c>
      <c r="E248" s="15" t="str">
        <f>HYPERLINK("https://stat100.ameba.jp/tnk47/ratio20/illustrations/card/ill_76103_shibuaji03.jpg?202002-i_prefecture_active_userxxxx", "■")</f>
        <v>■</v>
      </c>
      <c r="F248" s="14" t="s">
        <v>1122</v>
      </c>
      <c r="G248" s="14">
        <v>107826</v>
      </c>
      <c r="H248" s="14">
        <v>100256</v>
      </c>
      <c r="I248" s="14">
        <v>25</v>
      </c>
      <c r="J248" s="14" t="s">
        <v>143</v>
      </c>
      <c r="K248" s="14" t="s">
        <v>1123</v>
      </c>
      <c r="L248" s="14" t="s">
        <v>1124</v>
      </c>
      <c r="M248" s="14" t="s">
        <v>9158</v>
      </c>
      <c r="N248" s="14" t="s">
        <v>9158</v>
      </c>
      <c r="O248" s="14" t="s">
        <v>9158</v>
      </c>
      <c r="P248" s="14" t="s">
        <v>9158</v>
      </c>
      <c r="Q248" s="14" t="s">
        <v>9158</v>
      </c>
    </row>
    <row r="249" spans="1:17">
      <c r="A249" s="14">
        <v>76113</v>
      </c>
      <c r="B249" s="14" t="s">
        <v>334</v>
      </c>
      <c r="C249" s="14" t="s">
        <v>158</v>
      </c>
      <c r="D249" s="19" t="s">
        <v>10268</v>
      </c>
      <c r="E249" s="15" t="str">
        <f>HYPERLINK("https://stat100.ameba.jp/tnk47/ratio20/illustrations/card/ill_76113_jannudaruku03.jpg?202002-i_prefecture_active_userxxxx", "■")</f>
        <v>■</v>
      </c>
      <c r="F249" s="14" t="s">
        <v>1126</v>
      </c>
      <c r="G249" s="14">
        <v>107826</v>
      </c>
      <c r="H249" s="14">
        <v>100256</v>
      </c>
      <c r="I249" s="14">
        <v>25</v>
      </c>
      <c r="J249" s="14" t="s">
        <v>10</v>
      </c>
      <c r="K249" s="14" t="s">
        <v>1127</v>
      </c>
      <c r="L249" s="14" t="s">
        <v>1128</v>
      </c>
      <c r="M249" s="14" t="s">
        <v>9158</v>
      </c>
      <c r="N249" s="14" t="s">
        <v>9158</v>
      </c>
      <c r="O249" s="14" t="s">
        <v>9158</v>
      </c>
      <c r="P249" s="14" t="s">
        <v>9158</v>
      </c>
      <c r="Q249" s="14" t="s">
        <v>9158</v>
      </c>
    </row>
    <row r="250" spans="1:17">
      <c r="A250" s="14">
        <v>63323</v>
      </c>
      <c r="B250" s="14" t="s">
        <v>0</v>
      </c>
      <c r="C250" s="14" t="s">
        <v>200</v>
      </c>
      <c r="D250" s="19" t="s">
        <v>10269</v>
      </c>
      <c r="E250" s="15" t="str">
        <f>HYPERLINK("https://stat100.ameba.jp/tnk47/ratio20/illustrations/card/ill_63323_ajisaikushinadahime03.jpg?202002-i_prefecture_active_userxxxx", "■")</f>
        <v>■</v>
      </c>
      <c r="F250" s="14" t="s">
        <v>3583</v>
      </c>
      <c r="G250" s="14">
        <v>94802</v>
      </c>
      <c r="H250" s="14">
        <v>101971</v>
      </c>
      <c r="I250" s="14">
        <v>25</v>
      </c>
      <c r="J250" s="14" t="s">
        <v>44</v>
      </c>
      <c r="K250" s="14" t="s">
        <v>3584</v>
      </c>
      <c r="L250" s="14" t="s">
        <v>2400</v>
      </c>
      <c r="M250" s="14" t="s">
        <v>9158</v>
      </c>
      <c r="N250" s="14" t="s">
        <v>9158</v>
      </c>
      <c r="O250" s="14" t="s">
        <v>9158</v>
      </c>
      <c r="P250" s="14" t="s">
        <v>9158</v>
      </c>
      <c r="Q250" s="14" t="s">
        <v>9158</v>
      </c>
    </row>
    <row r="251" spans="1:17">
      <c r="A251" s="14">
        <v>59863</v>
      </c>
      <c r="B251" s="14" t="s">
        <v>334</v>
      </c>
      <c r="C251" s="14" t="s">
        <v>165</v>
      </c>
      <c r="D251" s="19" t="s">
        <v>318</v>
      </c>
      <c r="E251" s="15" t="str">
        <f>HYPERLINK("https://stat100.ameba.jp/tnk47/ratio20/illustrations/card/ill_59863_yoseiichimokuren03.jpg?202002-i_prefecture_active_userxxxx", "■")</f>
        <v>■</v>
      </c>
      <c r="F251" s="14" t="s">
        <v>319</v>
      </c>
      <c r="G251" s="14">
        <v>104162</v>
      </c>
      <c r="H251" s="14">
        <v>96871</v>
      </c>
      <c r="I251" s="14">
        <v>25</v>
      </c>
      <c r="J251" s="14" t="s">
        <v>320</v>
      </c>
      <c r="K251" s="14" t="s">
        <v>321</v>
      </c>
      <c r="L251" s="14" t="s">
        <v>322</v>
      </c>
      <c r="M251" s="14" t="s">
        <v>9158</v>
      </c>
      <c r="N251" s="14" t="s">
        <v>9158</v>
      </c>
      <c r="O251" s="14" t="s">
        <v>9158</v>
      </c>
      <c r="P251" s="14" t="s">
        <v>9158</v>
      </c>
      <c r="Q251" s="14" t="s">
        <v>9158</v>
      </c>
    </row>
    <row r="252" spans="1:17">
      <c r="A252" s="14">
        <v>51823</v>
      </c>
      <c r="B252" s="14" t="s">
        <v>15</v>
      </c>
      <c r="C252" s="14" t="s">
        <v>101</v>
      </c>
      <c r="D252" s="19" t="s">
        <v>10587</v>
      </c>
      <c r="E252" s="15" t="str">
        <f>HYPERLINK("https://stat100.ameba.jp/tnk47/ratio20/illustrations/card/ill_51823_jukimatsu03.jpg?202002-i_prefecture_active_userxxxx", "■")</f>
        <v>■</v>
      </c>
      <c r="F252" s="14" t="s">
        <v>6742</v>
      </c>
      <c r="G252" s="14">
        <v>67210</v>
      </c>
      <c r="H252" s="14">
        <v>74100</v>
      </c>
      <c r="I252" s="14">
        <v>25</v>
      </c>
      <c r="J252" s="14" t="s">
        <v>77</v>
      </c>
      <c r="K252" s="14" t="s">
        <v>6743</v>
      </c>
      <c r="L252" s="14" t="s">
        <v>6744</v>
      </c>
      <c r="M252" s="14" t="s">
        <v>9158</v>
      </c>
      <c r="N252" s="14" t="s">
        <v>9158</v>
      </c>
      <c r="O252" s="14" t="s">
        <v>9158</v>
      </c>
      <c r="P252" s="14" t="s">
        <v>9158</v>
      </c>
      <c r="Q252" s="14" t="s">
        <v>9158</v>
      </c>
    </row>
    <row r="253" spans="1:17">
      <c r="A253" s="14">
        <v>51773</v>
      </c>
      <c r="B253" s="14" t="s">
        <v>15</v>
      </c>
      <c r="C253" s="14" t="s">
        <v>205</v>
      </c>
      <c r="D253" s="19" t="s">
        <v>10588</v>
      </c>
      <c r="E253" s="15" t="str">
        <f>HYPERLINK("https://stat100.ameba.jp/tnk47/ratio20/illustrations/card/ill_51773_kawaasobikanekomisuzu03.jpg?202002-i_prefecture_active_userxxxx", "■")</f>
        <v>■</v>
      </c>
      <c r="F253" s="14" t="s">
        <v>6747</v>
      </c>
      <c r="G253" s="14">
        <v>74100</v>
      </c>
      <c r="H253" s="14">
        <v>67210</v>
      </c>
      <c r="I253" s="14">
        <v>25</v>
      </c>
      <c r="J253" s="14" t="s">
        <v>10</v>
      </c>
      <c r="K253" s="14" t="s">
        <v>6746</v>
      </c>
      <c r="L253" s="14" t="s">
        <v>6745</v>
      </c>
      <c r="M253" s="14" t="s">
        <v>9158</v>
      </c>
      <c r="N253" s="14" t="s">
        <v>9158</v>
      </c>
      <c r="O253" s="14" t="s">
        <v>9158</v>
      </c>
      <c r="P253" s="14" t="s">
        <v>9158</v>
      </c>
      <c r="Q253" s="14" t="s">
        <v>9158</v>
      </c>
    </row>
    <row r="254" spans="1:17">
      <c r="A254" s="14">
        <v>51733</v>
      </c>
      <c r="B254" s="14" t="s">
        <v>15</v>
      </c>
      <c r="C254" s="14" t="s">
        <v>185</v>
      </c>
      <c r="D254" s="19" t="s">
        <v>10589</v>
      </c>
      <c r="E254" s="15" t="str">
        <f>HYPERLINK("https://stat100.ameba.jp/tnk47/ratio20/illustrations/card/ill_51733_ekusoshisutopoiyampe03.jpg?202002-i_prefecture_active_userxxxx", "■")</f>
        <v>■</v>
      </c>
      <c r="F254" s="14" t="s">
        <v>6750</v>
      </c>
      <c r="G254" s="14">
        <v>67210</v>
      </c>
      <c r="H254" s="14">
        <v>74100</v>
      </c>
      <c r="I254" s="14">
        <v>25</v>
      </c>
      <c r="J254" s="14" t="s">
        <v>274</v>
      </c>
      <c r="K254" s="14" t="s">
        <v>6749</v>
      </c>
      <c r="L254" s="14" t="s">
        <v>6748</v>
      </c>
      <c r="M254" s="14" t="s">
        <v>9158</v>
      </c>
      <c r="N254" s="14" t="s">
        <v>9158</v>
      </c>
      <c r="O254" s="14" t="s">
        <v>9158</v>
      </c>
      <c r="P254" s="14" t="s">
        <v>9158</v>
      </c>
      <c r="Q254" s="14" t="s">
        <v>9158</v>
      </c>
    </row>
    <row r="255" spans="1:17">
      <c r="A255" s="14">
        <v>55743</v>
      </c>
      <c r="B255" s="14" t="s">
        <v>15</v>
      </c>
      <c r="C255" s="14" t="s">
        <v>96</v>
      </c>
      <c r="D255" s="19" t="s">
        <v>10590</v>
      </c>
      <c r="E255" s="15" t="str">
        <f>HYPERLINK("https://stat100.ameba.jp/tnk47/ratio20/illustrations/card/ill_55743_nankoume03.jpg?202002-i_prefecture_active_userxxxx", "■")</f>
        <v>■</v>
      </c>
      <c r="F255" s="14" t="s">
        <v>4308</v>
      </c>
      <c r="G255" s="14">
        <v>67210</v>
      </c>
      <c r="H255" s="14">
        <v>74100</v>
      </c>
      <c r="I255" s="14">
        <v>25</v>
      </c>
      <c r="J255" s="14" t="s">
        <v>216</v>
      </c>
      <c r="K255" s="14" t="s">
        <v>4310</v>
      </c>
      <c r="L255" s="14" t="s">
        <v>4311</v>
      </c>
      <c r="M255" s="14" t="s">
        <v>9158</v>
      </c>
      <c r="N255" s="14" t="s">
        <v>9158</v>
      </c>
      <c r="O255" s="14" t="s">
        <v>9158</v>
      </c>
      <c r="P255" s="14" t="s">
        <v>9158</v>
      </c>
      <c r="Q255" s="14" t="s">
        <v>9158</v>
      </c>
    </row>
    <row r="256" spans="1:17">
      <c r="E256" s="9"/>
    </row>
    <row r="257" spans="1:18">
      <c r="A257" s="9" t="s">
        <v>9516</v>
      </c>
      <c r="E257" s="9"/>
    </row>
    <row r="258" spans="1:18">
      <c r="A258" s="9" t="s">
        <v>9517</v>
      </c>
      <c r="E258" s="9"/>
    </row>
    <row r="259" spans="1:18">
      <c r="A259" s="14" t="s">
        <v>5605</v>
      </c>
      <c r="B259" s="14" t="s">
        <v>52</v>
      </c>
      <c r="C259" s="14" t="s">
        <v>202</v>
      </c>
      <c r="D259" s="19" t="s">
        <v>10332</v>
      </c>
      <c r="E259" s="15" t="str">
        <f>HYPERLINK("https://stat100.ameba.jp/tnk47/ratio20/illustrations/card/ill_79373_0_hommeichokotennyohime03.jpg?202002-i_prefecture_active_userxxxxx", "■")</f>
        <v>■</v>
      </c>
      <c r="F259" s="14" t="s">
        <v>3495</v>
      </c>
      <c r="G259" s="14">
        <v>296766</v>
      </c>
      <c r="H259" s="14">
        <v>268230</v>
      </c>
      <c r="I259" s="14">
        <v>24</v>
      </c>
      <c r="J259" s="14" t="s">
        <v>104</v>
      </c>
      <c r="K259" s="14" t="s">
        <v>3496</v>
      </c>
      <c r="L259" s="14" t="s">
        <v>3497</v>
      </c>
      <c r="M259" s="14" t="s">
        <v>9158</v>
      </c>
      <c r="N259" s="14" t="s">
        <v>9158</v>
      </c>
      <c r="O259" s="19" t="s">
        <v>10072</v>
      </c>
      <c r="P259" s="14" t="s">
        <v>3498</v>
      </c>
      <c r="Q259" s="14">
        <v>1</v>
      </c>
    </row>
    <row r="260" spans="1:18">
      <c r="A260" s="14">
        <v>79963</v>
      </c>
      <c r="B260" s="14" t="s">
        <v>0</v>
      </c>
      <c r="C260" s="14" t="s">
        <v>200</v>
      </c>
      <c r="D260" s="19" t="s">
        <v>10477</v>
      </c>
      <c r="E260" s="15" t="str">
        <f>HYPERLINK("https://stat100.ameba.jp/tnk47/ratio20/illustrations/card/ill_79963_hinamatsurirakko03.jpg?202002-i_prefecture_active_userxxxxx", "■")</f>
        <v>■</v>
      </c>
      <c r="F260" s="14" t="s">
        <v>3715</v>
      </c>
      <c r="G260" s="14">
        <v>113890</v>
      </c>
      <c r="H260" s="14">
        <v>105890</v>
      </c>
      <c r="I260" s="14">
        <v>25</v>
      </c>
      <c r="J260" s="14" t="s">
        <v>26</v>
      </c>
      <c r="K260" s="14" t="s">
        <v>3716</v>
      </c>
      <c r="L260" s="14" t="s">
        <v>1086</v>
      </c>
      <c r="M260" s="14" t="s">
        <v>9158</v>
      </c>
      <c r="N260" s="14" t="s">
        <v>9158</v>
      </c>
      <c r="O260" s="19" t="s">
        <v>10090</v>
      </c>
      <c r="P260" s="14" t="s">
        <v>3460</v>
      </c>
      <c r="Q260" s="14">
        <v>1</v>
      </c>
    </row>
    <row r="261" spans="1:18">
      <c r="A261" s="14">
        <v>63273</v>
      </c>
      <c r="B261" s="14" t="s">
        <v>334</v>
      </c>
      <c r="C261" s="14" t="s">
        <v>158</v>
      </c>
      <c r="D261" s="19" t="s">
        <v>828</v>
      </c>
      <c r="E261" s="15" t="str">
        <f>HYPERLINK("https://stat100.ameba.jp/tnk47/ratio20/illustrations/card/ill_63273_tsukushimai03.jpg?202002-i_prefecture_active_userxxxxx", "■")</f>
        <v>■</v>
      </c>
      <c r="F261" s="14" t="s">
        <v>1211</v>
      </c>
      <c r="G261" s="14">
        <v>127580</v>
      </c>
      <c r="H261" s="14">
        <v>92402</v>
      </c>
      <c r="I261" s="14">
        <v>25</v>
      </c>
      <c r="J261" s="14" t="s">
        <v>38</v>
      </c>
      <c r="K261" s="14" t="s">
        <v>1212</v>
      </c>
      <c r="L261" s="14" t="s">
        <v>1213</v>
      </c>
      <c r="M261" s="14" t="s">
        <v>9158</v>
      </c>
      <c r="N261" s="14" t="s">
        <v>9158</v>
      </c>
      <c r="O261" s="19" t="s">
        <v>10110</v>
      </c>
      <c r="P261" s="14" t="s">
        <v>13128</v>
      </c>
      <c r="Q261" s="14">
        <v>1</v>
      </c>
    </row>
    <row r="262" spans="1:18">
      <c r="A262" s="14">
        <v>73913</v>
      </c>
      <c r="B262" s="14" t="s">
        <v>334</v>
      </c>
      <c r="C262" s="14" t="s">
        <v>154</v>
      </c>
      <c r="D262" s="19" t="s">
        <v>3202</v>
      </c>
      <c r="E262" s="15" t="str">
        <f>HYPERLINK("https://stat100.ameba.jp/tnk47/ratio20/illustrations/card/ill_73913_atsutajingu03.jpg?202002-i_prefecture_active_userxxxxx", "■")</f>
        <v>■</v>
      </c>
      <c r="F262" s="14" t="s">
        <v>1207</v>
      </c>
      <c r="G262" s="14">
        <v>82654</v>
      </c>
      <c r="H262" s="14">
        <v>114119</v>
      </c>
      <c r="I262" s="14">
        <v>25</v>
      </c>
      <c r="J262" s="14" t="s">
        <v>44</v>
      </c>
      <c r="K262" s="14" t="s">
        <v>1208</v>
      </c>
      <c r="L262" s="14" t="s">
        <v>1209</v>
      </c>
      <c r="M262" s="14" t="s">
        <v>9158</v>
      </c>
      <c r="N262" s="14" t="s">
        <v>9158</v>
      </c>
      <c r="O262" s="19" t="s">
        <v>10074</v>
      </c>
      <c r="P262" s="14" t="s">
        <v>2822</v>
      </c>
      <c r="Q262" s="14">
        <v>1</v>
      </c>
    </row>
    <row r="263" spans="1:18">
      <c r="E263" s="9"/>
    </row>
    <row r="264" spans="1:18">
      <c r="A264" s="14" t="s">
        <v>13326</v>
      </c>
      <c r="B264" s="14"/>
      <c r="C264" s="14"/>
      <c r="D264" s="14"/>
      <c r="F264" s="14"/>
      <c r="G264" s="14"/>
      <c r="H264" s="14"/>
      <c r="I264" s="14"/>
      <c r="J264" s="14"/>
      <c r="K264" s="14"/>
      <c r="L264" s="14"/>
      <c r="M264" s="14"/>
      <c r="N264" s="14"/>
      <c r="O264" s="14"/>
      <c r="P264" s="14"/>
      <c r="Q264" s="14"/>
      <c r="R264" s="14"/>
    </row>
    <row r="265" spans="1:18">
      <c r="A265" s="14" t="s">
        <v>9518</v>
      </c>
      <c r="B265" s="14"/>
      <c r="C265" s="14"/>
      <c r="D265" s="14"/>
      <c r="F265" s="14"/>
      <c r="G265" s="14"/>
      <c r="H265" s="14"/>
      <c r="I265" s="14"/>
      <c r="J265" s="14"/>
      <c r="K265" s="14"/>
      <c r="L265" s="14"/>
      <c r="M265" s="14"/>
      <c r="N265" s="14"/>
      <c r="O265" s="14"/>
      <c r="P265" s="14"/>
      <c r="Q265" s="14"/>
      <c r="R265" s="14"/>
    </row>
    <row r="266" spans="1:18">
      <c r="A266" s="14">
        <v>69293</v>
      </c>
      <c r="B266" s="14" t="s">
        <v>334</v>
      </c>
      <c r="C266" s="14" t="s">
        <v>185</v>
      </c>
      <c r="D266" s="19" t="s">
        <v>1155</v>
      </c>
      <c r="E266" s="15" t="str">
        <f>HYPERLINK("https://stat100.ameba.jp/tnk47/ratio20/illustrations/card/ill_69293_merukishiru03.jpg?202002-i_prefecture_active_userxxxxx", "■")</f>
        <v>■</v>
      </c>
      <c r="F266" s="14" t="s">
        <v>1156</v>
      </c>
      <c r="G266" s="14">
        <v>128000</v>
      </c>
      <c r="H266" s="14">
        <v>119006</v>
      </c>
      <c r="I266" s="14">
        <v>26</v>
      </c>
      <c r="J266" s="14" t="s">
        <v>414</v>
      </c>
      <c r="K266" s="14" t="s">
        <v>1170</v>
      </c>
      <c r="L266" s="14" t="s">
        <v>9902</v>
      </c>
      <c r="M266" s="14" t="s">
        <v>13151</v>
      </c>
      <c r="N266" s="14" t="s">
        <v>251</v>
      </c>
      <c r="O266" s="14" t="s">
        <v>9158</v>
      </c>
      <c r="P266" s="14" t="s">
        <v>9158</v>
      </c>
      <c r="Q266" s="14" t="s">
        <v>9158</v>
      </c>
      <c r="R266" s="14"/>
    </row>
    <row r="267" spans="1:18">
      <c r="A267" s="14">
        <v>69292</v>
      </c>
      <c r="B267" s="14" t="s">
        <v>334</v>
      </c>
      <c r="C267" s="14" t="s">
        <v>185</v>
      </c>
      <c r="D267" s="19" t="s">
        <v>1155</v>
      </c>
      <c r="E267" s="15" t="str">
        <f>HYPERLINK("https://stat100.ameba.jp/tnk47/ratio20/illustrations/card/ill_69292_merukishiru02.jpg?202002-i_prefecture_active_userxxxxx", "■")</f>
        <v>■</v>
      </c>
      <c r="F267" s="14" t="s">
        <v>1156</v>
      </c>
      <c r="G267" s="14">
        <v>107000</v>
      </c>
      <c r="H267" s="14">
        <v>98566</v>
      </c>
      <c r="I267" s="14">
        <v>26</v>
      </c>
      <c r="J267" s="14" t="s">
        <v>414</v>
      </c>
      <c r="K267" s="14" t="s">
        <v>1170</v>
      </c>
      <c r="L267" s="14" t="s">
        <v>9902</v>
      </c>
      <c r="M267" s="14" t="s">
        <v>13151</v>
      </c>
      <c r="N267" s="14" t="s">
        <v>251</v>
      </c>
      <c r="O267" s="14" t="s">
        <v>9158</v>
      </c>
      <c r="P267" s="14" t="s">
        <v>9158</v>
      </c>
      <c r="Q267" s="14" t="s">
        <v>9158</v>
      </c>
      <c r="R267" s="14"/>
    </row>
    <row r="268" spans="1:18">
      <c r="A268" s="14">
        <v>69291</v>
      </c>
      <c r="B268" s="14" t="s">
        <v>334</v>
      </c>
      <c r="C268" s="14" t="s">
        <v>185</v>
      </c>
      <c r="D268" s="19" t="s">
        <v>1155</v>
      </c>
      <c r="E268" s="15" t="str">
        <f>HYPERLINK("https://stat100.ameba.jp/tnk47/ratio20/illustrations/card/ill_69291_merukishiru01.jpg?202002-i_prefecture_active_userxxxxx", "■")</f>
        <v>■</v>
      </c>
      <c r="F268" s="14" t="s">
        <v>1156</v>
      </c>
      <c r="G268" s="14">
        <v>81692</v>
      </c>
      <c r="H268" s="14">
        <v>76050</v>
      </c>
      <c r="I268" s="14">
        <v>26</v>
      </c>
      <c r="J268" s="14" t="s">
        <v>414</v>
      </c>
      <c r="K268" s="14" t="s">
        <v>1170</v>
      </c>
      <c r="L268" s="14" t="s">
        <v>9902</v>
      </c>
      <c r="M268" s="14" t="s">
        <v>13151</v>
      </c>
      <c r="N268" s="14" t="s">
        <v>251</v>
      </c>
      <c r="O268" s="14" t="s">
        <v>9158</v>
      </c>
      <c r="P268" s="14" t="s">
        <v>9158</v>
      </c>
      <c r="Q268" s="14" t="s">
        <v>9158</v>
      </c>
      <c r="R268" s="14"/>
    </row>
    <row r="269" spans="1:18">
      <c r="A269" s="14">
        <v>69303</v>
      </c>
      <c r="B269" s="14" t="s">
        <v>334</v>
      </c>
      <c r="C269" s="14" t="s">
        <v>200</v>
      </c>
      <c r="D269" s="19" t="s">
        <v>1157</v>
      </c>
      <c r="E269" s="15" t="str">
        <f>HYPERLINK("https://stat100.ameba.jp/tnk47/ratio20/illustrations/card/ill_69303_torumushaito03.jpg?202002-i_prefecture_active_userxxxxx", "■")</f>
        <v>■</v>
      </c>
      <c r="F269" s="14" t="s">
        <v>1162</v>
      </c>
      <c r="G269" s="14">
        <v>128000</v>
      </c>
      <c r="H269" s="14">
        <v>119006</v>
      </c>
      <c r="I269" s="14">
        <v>26</v>
      </c>
      <c r="J269" s="14" t="s">
        <v>369</v>
      </c>
      <c r="K269" s="14" t="s">
        <v>1171</v>
      </c>
      <c r="L269" s="14" t="s">
        <v>9903</v>
      </c>
      <c r="M269" s="14" t="s">
        <v>13151</v>
      </c>
      <c r="N269" s="14" t="s">
        <v>251</v>
      </c>
      <c r="O269" s="14" t="s">
        <v>9158</v>
      </c>
      <c r="P269" s="14" t="s">
        <v>9158</v>
      </c>
      <c r="Q269" s="14" t="s">
        <v>9158</v>
      </c>
      <c r="R269" s="14"/>
    </row>
    <row r="270" spans="1:18">
      <c r="A270" s="14">
        <v>69313</v>
      </c>
      <c r="B270" s="14" t="s">
        <v>334</v>
      </c>
      <c r="C270" s="14" t="s">
        <v>191</v>
      </c>
      <c r="D270" s="19" t="s">
        <v>1158</v>
      </c>
      <c r="E270" s="15" t="str">
        <f>HYPERLINK("https://stat100.ameba.jp/tnk47/ratio20/illustrations/card/ill_69313_teishutoriya03.jpg?202002-i_prefecture_active_userxxxxx", "■")</f>
        <v>■</v>
      </c>
      <c r="F270" s="14" t="s">
        <v>1163</v>
      </c>
      <c r="G270" s="14">
        <v>119006</v>
      </c>
      <c r="H270" s="14">
        <v>128000</v>
      </c>
      <c r="I270" s="14">
        <v>26</v>
      </c>
      <c r="J270" s="14" t="s">
        <v>401</v>
      </c>
      <c r="K270" s="14" t="s">
        <v>1172</v>
      </c>
      <c r="L270" s="14" t="s">
        <v>9904</v>
      </c>
      <c r="M270" s="14" t="s">
        <v>13151</v>
      </c>
      <c r="N270" s="14" t="s">
        <v>251</v>
      </c>
      <c r="O270" s="14" t="s">
        <v>9158</v>
      </c>
      <c r="P270" s="14" t="s">
        <v>9158</v>
      </c>
      <c r="Q270" s="14" t="s">
        <v>9158</v>
      </c>
      <c r="R270" s="14"/>
    </row>
    <row r="271" spans="1:18">
      <c r="A271" s="14">
        <v>69323</v>
      </c>
      <c r="B271" s="14" t="s">
        <v>334</v>
      </c>
      <c r="C271" s="14" t="s">
        <v>165</v>
      </c>
      <c r="D271" s="19" t="s">
        <v>10257</v>
      </c>
      <c r="E271" s="15" t="str">
        <f>HYPERLINK("https://stat100.ameba.jp/tnk47/ratio20/illustrations/card/ill_69323_fujitsubonomiya03.jpg?202002-i_prefecture_active_userxxxxx", "■")</f>
        <v>■</v>
      </c>
      <c r="F271" s="14" t="s">
        <v>1164</v>
      </c>
      <c r="G271" s="14">
        <v>119006</v>
      </c>
      <c r="H271" s="14">
        <v>128000</v>
      </c>
      <c r="I271" s="14">
        <v>26</v>
      </c>
      <c r="J271" s="14" t="s">
        <v>1167</v>
      </c>
      <c r="K271" s="14" t="s">
        <v>1173</v>
      </c>
      <c r="L271" s="14" t="s">
        <v>9905</v>
      </c>
      <c r="M271" s="14" t="s">
        <v>13151</v>
      </c>
      <c r="N271" s="14" t="s">
        <v>251</v>
      </c>
      <c r="O271" s="14" t="s">
        <v>9158</v>
      </c>
      <c r="P271" s="14" t="s">
        <v>9158</v>
      </c>
      <c r="Q271" s="14" t="s">
        <v>9158</v>
      </c>
      <c r="R271" s="14"/>
    </row>
    <row r="272" spans="1:18">
      <c r="A272" s="14">
        <v>69333</v>
      </c>
      <c r="B272" s="14" t="s">
        <v>334</v>
      </c>
      <c r="C272" s="14" t="s">
        <v>205</v>
      </c>
      <c r="D272" s="19" t="s">
        <v>1160</v>
      </c>
      <c r="E272" s="15" t="str">
        <f>HYPERLINK("https://stat100.ameba.jp/tnk47/ratio20/illustrations/card/ill_69333_mefuisutofueresu03.jpg?202002-i_prefecture_active_userxxxxx", "■")</f>
        <v>■</v>
      </c>
      <c r="F272" s="14" t="s">
        <v>1165</v>
      </c>
      <c r="G272" s="14">
        <v>128000</v>
      </c>
      <c r="H272" s="14">
        <v>119006</v>
      </c>
      <c r="I272" s="14">
        <v>26</v>
      </c>
      <c r="J272" s="14" t="s">
        <v>1168</v>
      </c>
      <c r="K272" s="14" t="s">
        <v>1174</v>
      </c>
      <c r="L272" s="14" t="s">
        <v>9906</v>
      </c>
      <c r="M272" s="14" t="s">
        <v>13151</v>
      </c>
      <c r="N272" s="14" t="s">
        <v>251</v>
      </c>
      <c r="O272" s="14" t="s">
        <v>9158</v>
      </c>
      <c r="P272" s="14" t="s">
        <v>9158</v>
      </c>
      <c r="Q272" s="14" t="s">
        <v>9158</v>
      </c>
      <c r="R272" s="14"/>
    </row>
    <row r="273" spans="1:18">
      <c r="A273" s="14">
        <v>69343</v>
      </c>
      <c r="B273" s="14" t="s">
        <v>334</v>
      </c>
      <c r="C273" s="14" t="s">
        <v>206</v>
      </c>
      <c r="D273" s="19" t="s">
        <v>10258</v>
      </c>
      <c r="E273" s="15" t="str">
        <f>HYPERLINK("https://stat100.ameba.jp/tnk47/ratio20/illustrations/card/ill_69343_teikinnofuire03.jpg?202002-i_prefecture_active_userxxxxx", "■")</f>
        <v>■</v>
      </c>
      <c r="F273" s="14" t="s">
        <v>1166</v>
      </c>
      <c r="G273" s="14">
        <v>119006</v>
      </c>
      <c r="H273" s="14">
        <v>128000</v>
      </c>
      <c r="I273" s="14">
        <v>26</v>
      </c>
      <c r="J273" s="14" t="s">
        <v>1169</v>
      </c>
      <c r="K273" s="14" t="s">
        <v>1175</v>
      </c>
      <c r="L273" s="14" t="s">
        <v>9907</v>
      </c>
      <c r="M273" s="14" t="s">
        <v>13151</v>
      </c>
      <c r="N273" s="14" t="s">
        <v>251</v>
      </c>
      <c r="O273" s="14" t="s">
        <v>9158</v>
      </c>
      <c r="P273" s="14" t="s">
        <v>9158</v>
      </c>
      <c r="Q273" s="14" t="s">
        <v>9158</v>
      </c>
      <c r="R273" s="14"/>
    </row>
    <row r="274" spans="1:18">
      <c r="E274" s="9"/>
    </row>
    <row r="275" spans="1:18">
      <c r="A275" s="9" t="s">
        <v>9519</v>
      </c>
      <c r="E275" s="9"/>
    </row>
    <row r="276" spans="1:18">
      <c r="A276" s="9" t="s">
        <v>9521</v>
      </c>
      <c r="E276" s="9"/>
    </row>
    <row r="277" spans="1:18">
      <c r="A277" s="9" t="s">
        <v>9520</v>
      </c>
      <c r="E277" s="9"/>
    </row>
    <row r="278" spans="1:18">
      <c r="A278" s="9" t="s">
        <v>9325</v>
      </c>
      <c r="B278" s="7" t="s">
        <v>52</v>
      </c>
      <c r="C278" s="9" t="s">
        <v>202</v>
      </c>
      <c r="D278" s="19" t="s">
        <v>10947</v>
      </c>
      <c r="E278" s="15" t="str">
        <f>HYPERLINK("https://stat100.ameba.jp/tnk47/ratio20/illustrations/card/ill_86893_0_chokonohisukeban03.jpg?202002-i_prefecture_active_userxxxxx", "■")</f>
        <v>■</v>
      </c>
      <c r="F278" s="14" t="s">
        <v>9332</v>
      </c>
      <c r="G278" s="9">
        <v>260538</v>
      </c>
      <c r="H278" s="9">
        <v>235462</v>
      </c>
      <c r="I278" s="7">
        <v>20</v>
      </c>
      <c r="J278" s="9" t="s">
        <v>187</v>
      </c>
      <c r="K278" s="14" t="s">
        <v>9330</v>
      </c>
      <c r="L278" s="14" t="s">
        <v>9331</v>
      </c>
      <c r="M278" s="14" t="s">
        <v>9158</v>
      </c>
      <c r="N278" s="14" t="s">
        <v>9158</v>
      </c>
      <c r="O278" s="19" t="s">
        <v>10136</v>
      </c>
      <c r="P278" s="7" t="s">
        <v>9324</v>
      </c>
      <c r="Q278" s="7">
        <v>1</v>
      </c>
    </row>
    <row r="279" spans="1:18">
      <c r="A279" s="9">
        <v>87153</v>
      </c>
      <c r="B279" s="9" t="s">
        <v>9527</v>
      </c>
      <c r="C279" s="9" t="s">
        <v>9522</v>
      </c>
      <c r="D279" s="19" t="s">
        <v>10973</v>
      </c>
      <c r="E279" s="15" t="str">
        <f>HYPERLINK("https://stat100.ameba.jp/tnk47/ratio20/illustrations/card/ill_87153_doragonteimaryanda03.jpg?202002-i_prefecture_active_userxxxxx", "■")</f>
        <v>■</v>
      </c>
      <c r="F279" s="9" t="s">
        <v>9549</v>
      </c>
      <c r="G279" s="9">
        <v>154562</v>
      </c>
      <c r="H279" s="9">
        <v>143714</v>
      </c>
      <c r="I279" s="9">
        <v>26</v>
      </c>
      <c r="J279" s="9" t="s">
        <v>9531</v>
      </c>
      <c r="K279" s="9" t="s">
        <v>9548</v>
      </c>
      <c r="L279" s="9" t="s">
        <v>9547</v>
      </c>
      <c r="M279" s="14" t="s">
        <v>9158</v>
      </c>
      <c r="N279" s="14" t="s">
        <v>9158</v>
      </c>
      <c r="O279" s="14" t="s">
        <v>9158</v>
      </c>
      <c r="P279" s="14" t="s">
        <v>9158</v>
      </c>
      <c r="Q279" s="14" t="s">
        <v>9158</v>
      </c>
    </row>
    <row r="280" spans="1:18">
      <c r="A280" s="9">
        <v>87163</v>
      </c>
      <c r="B280" s="9" t="s">
        <v>9527</v>
      </c>
      <c r="C280" s="9" t="s">
        <v>9523</v>
      </c>
      <c r="D280" s="19" t="s">
        <v>10974</v>
      </c>
      <c r="E280" s="15" t="str">
        <f>HYPERLINK("https://stat100.ameba.jp/tnk47/ratio20/illustrations/card/ill_87163_minazukikongoryunotsubone03.jpg?202002-i_prefecture_active_userxxxxx", "■")</f>
        <v>■</v>
      </c>
      <c r="F280" s="9" t="s">
        <v>9546</v>
      </c>
      <c r="G280" s="9">
        <v>101558</v>
      </c>
      <c r="H280" s="9">
        <v>94390</v>
      </c>
      <c r="I280" s="9">
        <v>26</v>
      </c>
      <c r="J280" s="9" t="s">
        <v>9532</v>
      </c>
      <c r="K280" s="9" t="s">
        <v>9545</v>
      </c>
      <c r="L280" s="9" t="s">
        <v>9544</v>
      </c>
      <c r="M280" s="14" t="s">
        <v>9158</v>
      </c>
      <c r="N280" s="14" t="s">
        <v>9158</v>
      </c>
      <c r="O280" s="14" t="s">
        <v>9158</v>
      </c>
      <c r="P280" s="14" t="s">
        <v>9158</v>
      </c>
      <c r="Q280" s="14" t="s">
        <v>9158</v>
      </c>
    </row>
    <row r="281" spans="1:18">
      <c r="A281" s="9">
        <v>87173</v>
      </c>
      <c r="B281" s="9" t="s">
        <v>9528</v>
      </c>
      <c r="C281" s="9" t="s">
        <v>9524</v>
      </c>
      <c r="D281" s="19" t="s">
        <v>10975</v>
      </c>
      <c r="E281" s="15" t="str">
        <f>HYPERLINK("https://stat100.ameba.jp/tnk47/ratio20/illustrations/card/ill_87173_kuzuryu03.jpg?202002-i_prefecture_active_userxxxxx", "■")</f>
        <v>■</v>
      </c>
      <c r="F281" s="9" t="s">
        <v>9543</v>
      </c>
      <c r="G281" s="9">
        <v>69898</v>
      </c>
      <c r="H281" s="9">
        <v>77064</v>
      </c>
      <c r="I281" s="9">
        <v>26</v>
      </c>
      <c r="J281" s="9" t="s">
        <v>9533</v>
      </c>
      <c r="K281" s="9" t="s">
        <v>9542</v>
      </c>
      <c r="L281" s="9" t="s">
        <v>9541</v>
      </c>
      <c r="M281" s="14" t="s">
        <v>9158</v>
      </c>
      <c r="N281" s="14" t="s">
        <v>9158</v>
      </c>
      <c r="O281" s="14" t="s">
        <v>9158</v>
      </c>
      <c r="P281" s="14" t="s">
        <v>9158</v>
      </c>
      <c r="Q281" s="14" t="s">
        <v>9158</v>
      </c>
    </row>
    <row r="282" spans="1:18">
      <c r="A282" s="9">
        <v>87183</v>
      </c>
      <c r="B282" s="9" t="s">
        <v>9529</v>
      </c>
      <c r="C282" s="9" t="s">
        <v>9525</v>
      </c>
      <c r="D282" s="19" t="s">
        <v>10976</v>
      </c>
      <c r="E282" s="15" t="str">
        <f>HYPERLINK("https://stat100.ameba.jp/tnk47/ratio20/illustrations/card/ill_87183_tobaryu03.jpg?202002-i_prefecture_active_userxxxxx", "■")</f>
        <v>■</v>
      </c>
      <c r="F282" s="9" t="s">
        <v>9540</v>
      </c>
      <c r="G282" s="9">
        <v>54058</v>
      </c>
      <c r="H282" s="9">
        <v>44948</v>
      </c>
      <c r="I282" s="9">
        <v>26</v>
      </c>
      <c r="J282" s="9" t="s">
        <v>9534</v>
      </c>
      <c r="K282" s="9" t="s">
        <v>9539</v>
      </c>
      <c r="L282" s="9" t="s">
        <v>9538</v>
      </c>
      <c r="M282" s="14" t="s">
        <v>9158</v>
      </c>
      <c r="N282" s="14" t="s">
        <v>9158</v>
      </c>
      <c r="O282" s="14" t="s">
        <v>9158</v>
      </c>
      <c r="P282" s="14" t="s">
        <v>9158</v>
      </c>
      <c r="Q282" s="14" t="s">
        <v>9158</v>
      </c>
    </row>
    <row r="283" spans="1:18">
      <c r="A283" s="9">
        <v>87193</v>
      </c>
      <c r="B283" s="9" t="s">
        <v>9530</v>
      </c>
      <c r="C283" s="9" t="s">
        <v>9526</v>
      </c>
      <c r="D283" s="19" t="s">
        <v>10977</v>
      </c>
      <c r="E283" s="15" t="str">
        <f>HYPERLINK("https://stat100.ameba.jp/tnk47/ratio20/illustrations/card/ill_87193_karatsukunchi03.jpg?202002-i_prefecture_active_userxxxxx", "■")</f>
        <v>■</v>
      </c>
      <c r="F283" s="9" t="s">
        <v>9537</v>
      </c>
      <c r="G283" s="9">
        <v>27486</v>
      </c>
      <c r="H283" s="9">
        <v>32728</v>
      </c>
      <c r="I283" s="9">
        <v>26</v>
      </c>
      <c r="J283" s="9" t="s">
        <v>9534</v>
      </c>
      <c r="K283" s="9" t="s">
        <v>9536</v>
      </c>
      <c r="L283" s="9" t="s">
        <v>9535</v>
      </c>
      <c r="M283" s="14" t="s">
        <v>9158</v>
      </c>
      <c r="N283" s="14" t="s">
        <v>9158</v>
      </c>
      <c r="O283" s="14" t="s">
        <v>9158</v>
      </c>
      <c r="P283" s="14" t="s">
        <v>9158</v>
      </c>
      <c r="Q283" s="14" t="s">
        <v>9158</v>
      </c>
    </row>
    <row r="284" spans="1:18">
      <c r="E284" s="9"/>
    </row>
    <row r="285" spans="1:18">
      <c r="A285" s="9" t="s">
        <v>9550</v>
      </c>
      <c r="E285" s="9"/>
    </row>
    <row r="286" spans="1:18">
      <c r="A286" s="9" t="s">
        <v>9551</v>
      </c>
      <c r="E286" s="9"/>
    </row>
    <row r="287" spans="1:18">
      <c r="A287" s="14" t="s">
        <v>11911</v>
      </c>
      <c r="E287" s="9"/>
    </row>
    <row r="288" spans="1:18">
      <c r="A288" s="9" t="s">
        <v>9568</v>
      </c>
      <c r="B288" s="9" t="s">
        <v>9552</v>
      </c>
      <c r="C288" s="9" t="s">
        <v>202</v>
      </c>
      <c r="D288" s="19" t="s">
        <v>10978</v>
      </c>
      <c r="E288" s="15" t="str">
        <f>HYPERLINK("https://stat100.ameba.jp/tnk47/ratio20/illustrations/card/ill_88083_0_seirennosammegami03.jpg?202002-i_prefecture_active_userxxxxx", "■")</f>
        <v>■</v>
      </c>
      <c r="F288" s="9" t="s">
        <v>9573</v>
      </c>
      <c r="G288" s="9">
        <v>328348</v>
      </c>
      <c r="H288" s="9">
        <v>363286</v>
      </c>
      <c r="I288" s="9">
        <v>30</v>
      </c>
      <c r="J288" s="9" t="s">
        <v>9557</v>
      </c>
      <c r="K288" s="9" t="s">
        <v>9572</v>
      </c>
      <c r="L288" s="9" t="s">
        <v>9571</v>
      </c>
      <c r="M288" s="14" t="s">
        <v>9158</v>
      </c>
      <c r="N288" s="14" t="s">
        <v>9158</v>
      </c>
      <c r="O288" s="19" t="s">
        <v>10137</v>
      </c>
      <c r="P288" s="9" t="s">
        <v>9564</v>
      </c>
      <c r="Q288" s="9">
        <v>0</v>
      </c>
      <c r="R288" s="9" t="s">
        <v>9565</v>
      </c>
    </row>
    <row r="289" spans="1:18">
      <c r="A289" s="9" t="s">
        <v>9569</v>
      </c>
      <c r="B289" s="9" t="s">
        <v>9552</v>
      </c>
      <c r="C289" s="9" t="s">
        <v>202</v>
      </c>
      <c r="D289" s="19" t="s">
        <v>10978</v>
      </c>
      <c r="E289" s="15" t="str">
        <f>HYPERLINK("https://stat100.ameba.jp/tnk47/ratio20/illustrations/card/ill_88082_0_seirennosammegami02.jpg?202002-i_prefecture_active_userxxxxx", "■")</f>
        <v>■</v>
      </c>
      <c r="F289" s="9" t="s">
        <v>9573</v>
      </c>
      <c r="G289" s="9">
        <v>271944</v>
      </c>
      <c r="H289" s="9">
        <v>303684</v>
      </c>
      <c r="I289" s="9">
        <v>30</v>
      </c>
      <c r="J289" s="9" t="s">
        <v>9557</v>
      </c>
      <c r="K289" s="9" t="s">
        <v>9572</v>
      </c>
      <c r="L289" s="9" t="s">
        <v>9574</v>
      </c>
      <c r="M289" s="14" t="s">
        <v>9158</v>
      </c>
      <c r="N289" s="14" t="s">
        <v>9158</v>
      </c>
      <c r="O289" s="19" t="s">
        <v>10137</v>
      </c>
      <c r="P289" s="9" t="s">
        <v>9564</v>
      </c>
      <c r="Q289" s="9">
        <v>0</v>
      </c>
      <c r="R289" s="9" t="s">
        <v>9566</v>
      </c>
    </row>
    <row r="290" spans="1:18">
      <c r="A290" s="9" t="s">
        <v>9570</v>
      </c>
      <c r="B290" s="9" t="s">
        <v>9552</v>
      </c>
      <c r="C290" s="9" t="s">
        <v>202</v>
      </c>
      <c r="D290" s="19" t="s">
        <v>10978</v>
      </c>
      <c r="E290" s="15" t="str">
        <f>HYPERLINK("https://stat100.ameba.jp/tnk47/ratio20/illustrations/card/ill_88081_0_seirennosammegami01.jpg?202002-i_prefecture_active_userxxxxx", "■")</f>
        <v>■</v>
      </c>
      <c r="F290" s="9" t="s">
        <v>9573</v>
      </c>
      <c r="G290" s="9">
        <v>209820</v>
      </c>
      <c r="H290" s="9">
        <v>231870</v>
      </c>
      <c r="I290" s="9">
        <v>30</v>
      </c>
      <c r="J290" s="9" t="s">
        <v>9557</v>
      </c>
      <c r="K290" s="9" t="s">
        <v>9572</v>
      </c>
      <c r="L290" s="9" t="s">
        <v>9575</v>
      </c>
      <c r="M290" s="14" t="s">
        <v>9158</v>
      </c>
      <c r="N290" s="14" t="s">
        <v>9158</v>
      </c>
      <c r="O290" s="19" t="s">
        <v>10137</v>
      </c>
      <c r="P290" s="9" t="s">
        <v>9564</v>
      </c>
      <c r="Q290" s="9">
        <v>0</v>
      </c>
      <c r="R290" s="9" t="s">
        <v>9567</v>
      </c>
    </row>
    <row r="291" spans="1:18">
      <c r="A291" s="9">
        <v>80093</v>
      </c>
      <c r="B291" s="9" t="s">
        <v>9527</v>
      </c>
      <c r="C291" s="9" t="s">
        <v>9576</v>
      </c>
      <c r="D291" s="19" t="s">
        <v>10735</v>
      </c>
      <c r="E291" s="15" t="str">
        <f>HYPERLINK("https://stat100.ameba.jp/tnk47/ratio20/illustrations/card/ill_80093_kafunshuraijakotsumusume03.jpg?202002-i_prefecture_active_userxxxxx", "■")</f>
        <v>■</v>
      </c>
      <c r="F291" s="9" t="s">
        <v>9596</v>
      </c>
      <c r="G291" s="9">
        <v>100744</v>
      </c>
      <c r="H291" s="9">
        <v>108330</v>
      </c>
      <c r="I291" s="9">
        <v>26</v>
      </c>
      <c r="J291" s="9" t="s">
        <v>9556</v>
      </c>
      <c r="K291" s="9" t="s">
        <v>9595</v>
      </c>
      <c r="L291" s="9" t="s">
        <v>9594</v>
      </c>
      <c r="M291" s="14" t="s">
        <v>9158</v>
      </c>
      <c r="N291" s="14" t="s">
        <v>9158</v>
      </c>
      <c r="O291" s="14" t="s">
        <v>9158</v>
      </c>
      <c r="P291" s="14" t="s">
        <v>9158</v>
      </c>
      <c r="Q291" s="14" t="s">
        <v>9158</v>
      </c>
    </row>
    <row r="292" spans="1:18">
      <c r="A292" s="9">
        <v>79593</v>
      </c>
      <c r="B292" s="9" t="s">
        <v>9527</v>
      </c>
      <c r="C292" s="9" t="s">
        <v>9524</v>
      </c>
      <c r="D292" s="19" t="s">
        <v>10592</v>
      </c>
      <c r="E292" s="15" t="str">
        <f>HYPERLINK("https://stat100.ameba.jp/tnk47/ratio20/illustrations/card/ill_79593_nabepateihonoikazuchinookami03.jpg?202002-i_prefecture_active_userxxxxx", "■")</f>
        <v>■</v>
      </c>
      <c r="F292" s="9" t="s">
        <v>9593</v>
      </c>
      <c r="G292" s="9">
        <v>98594</v>
      </c>
      <c r="H292" s="9">
        <v>106050</v>
      </c>
      <c r="I292" s="9">
        <v>26</v>
      </c>
      <c r="J292" s="9" t="s">
        <v>9533</v>
      </c>
      <c r="K292" s="9" t="s">
        <v>9592</v>
      </c>
      <c r="L292" s="9" t="s">
        <v>9591</v>
      </c>
      <c r="M292" s="14" t="s">
        <v>9158</v>
      </c>
      <c r="N292" s="14" t="s">
        <v>9158</v>
      </c>
      <c r="O292" s="14" t="s">
        <v>9158</v>
      </c>
      <c r="P292" s="14" t="s">
        <v>9158</v>
      </c>
      <c r="Q292" s="14" t="s">
        <v>9158</v>
      </c>
    </row>
    <row r="293" spans="1:18">
      <c r="A293" s="9">
        <v>84593</v>
      </c>
      <c r="B293" s="9" t="s">
        <v>9527</v>
      </c>
      <c r="C293" s="9" t="s">
        <v>9522</v>
      </c>
      <c r="D293" s="19" t="s">
        <v>10727</v>
      </c>
      <c r="E293" s="15" t="str">
        <f>HYPERLINK("https://stat100.ameba.jp/tnk47/ratio20/illustrations/card/ill_84593_sarugundanhashibahideyoshi03.jpg?202002-i_prefecture_active_userxxxxx", "■")</f>
        <v>■</v>
      </c>
      <c r="F293" s="9" t="s">
        <v>9590</v>
      </c>
      <c r="G293" s="9">
        <v>143714</v>
      </c>
      <c r="H293" s="9">
        <v>154562</v>
      </c>
      <c r="I293" s="9">
        <v>26</v>
      </c>
      <c r="J293" s="9" t="s">
        <v>9531</v>
      </c>
      <c r="K293" s="9" t="s">
        <v>9589</v>
      </c>
      <c r="L293" s="9" t="s">
        <v>9588</v>
      </c>
      <c r="M293" s="14" t="s">
        <v>9158</v>
      </c>
      <c r="N293" s="14" t="s">
        <v>9158</v>
      </c>
      <c r="O293" s="14" t="s">
        <v>9158</v>
      </c>
      <c r="P293" s="14" t="s">
        <v>9158</v>
      </c>
      <c r="Q293" s="14" t="s">
        <v>9158</v>
      </c>
    </row>
    <row r="294" spans="1:18">
      <c r="A294" s="9">
        <v>82133</v>
      </c>
      <c r="B294" s="9" t="s">
        <v>9527</v>
      </c>
      <c r="C294" s="9" t="s">
        <v>9525</v>
      </c>
      <c r="D294" s="19" t="s">
        <v>10295</v>
      </c>
      <c r="E294" s="15" t="str">
        <f>HYPERLINK("https://stat100.ameba.jp/tnk47/ratio20/illustrations/card/ill_82133_senritsunosumasshukobitokaba03.jpg?202002-i_prefecture_active_userxxxxx", "■")</f>
        <v>■</v>
      </c>
      <c r="F294" s="9" t="s">
        <v>9587</v>
      </c>
      <c r="G294" s="9">
        <v>98594</v>
      </c>
      <c r="H294" s="9">
        <v>106050</v>
      </c>
      <c r="I294" s="9">
        <v>26</v>
      </c>
      <c r="J294" s="9" t="s">
        <v>9534</v>
      </c>
      <c r="K294" s="9" t="s">
        <v>9586</v>
      </c>
      <c r="L294" s="9" t="s">
        <v>9585</v>
      </c>
      <c r="M294" s="14" t="s">
        <v>9158</v>
      </c>
      <c r="N294" s="14" t="s">
        <v>9158</v>
      </c>
      <c r="O294" s="14" t="s">
        <v>9158</v>
      </c>
      <c r="P294" s="14" t="s">
        <v>9158</v>
      </c>
      <c r="Q294" s="14" t="s">
        <v>9158</v>
      </c>
    </row>
    <row r="295" spans="1:18">
      <c r="A295" s="9">
        <v>80233</v>
      </c>
      <c r="B295" s="9" t="s">
        <v>9527</v>
      </c>
      <c r="C295" s="9" t="s">
        <v>9523</v>
      </c>
      <c r="D295" s="19" t="s">
        <v>10979</v>
      </c>
      <c r="E295" s="15" t="str">
        <f>HYPERLINK("https://stat100.ameba.jp/tnk47/ratio20/illustrations/card/ill_80233_haruichibangoryunotsubone03.jpg?202002-i_prefecture_active_userxxxxx", "■")</f>
        <v>■</v>
      </c>
      <c r="F295" s="9" t="s">
        <v>9584</v>
      </c>
      <c r="G295" s="9">
        <v>94390</v>
      </c>
      <c r="H295" s="9">
        <v>101558</v>
      </c>
      <c r="I295" s="9">
        <v>26</v>
      </c>
      <c r="J295" s="9" t="s">
        <v>9532</v>
      </c>
      <c r="K295" s="9" t="s">
        <v>9583</v>
      </c>
      <c r="L295" s="9" t="s">
        <v>9582</v>
      </c>
      <c r="M295" s="14" t="s">
        <v>9158</v>
      </c>
      <c r="N295" s="14" t="s">
        <v>9158</v>
      </c>
      <c r="O295" s="14" t="s">
        <v>9158</v>
      </c>
      <c r="P295" s="14" t="s">
        <v>9158</v>
      </c>
      <c r="Q295" s="14" t="s">
        <v>9158</v>
      </c>
    </row>
    <row r="296" spans="1:18">
      <c r="A296" s="9">
        <v>74143</v>
      </c>
      <c r="B296" s="9" t="s">
        <v>9527</v>
      </c>
      <c r="C296" s="9" t="s">
        <v>9577</v>
      </c>
      <c r="D296" s="19" t="s">
        <v>10980</v>
      </c>
      <c r="E296" s="15" t="str">
        <f>HYPERLINK("https://stat100.ameba.jp/tnk47/ratio20/illustrations/card/ill_74143_sasagitsune03.jpg?202002-i_prefecture_active_userxxxxx", "■")</f>
        <v>■</v>
      </c>
      <c r="F296" s="9" t="s">
        <v>9579</v>
      </c>
      <c r="G296" s="9">
        <v>110126</v>
      </c>
      <c r="H296" s="9">
        <v>118656</v>
      </c>
      <c r="I296" s="9">
        <v>26</v>
      </c>
      <c r="J296" s="9" t="s">
        <v>9578</v>
      </c>
      <c r="K296" s="9" t="s">
        <v>9581</v>
      </c>
      <c r="L296" s="9" t="s">
        <v>9580</v>
      </c>
      <c r="M296" s="14" t="s">
        <v>9158</v>
      </c>
      <c r="N296" s="14" t="s">
        <v>9158</v>
      </c>
      <c r="O296" s="14" t="s">
        <v>9158</v>
      </c>
      <c r="P296" s="14" t="s">
        <v>9158</v>
      </c>
      <c r="Q296" s="14" t="s">
        <v>9158</v>
      </c>
    </row>
    <row r="297" spans="1:18">
      <c r="E297" s="9"/>
    </row>
    <row r="298" spans="1:18">
      <c r="A298" s="9" t="s">
        <v>204</v>
      </c>
      <c r="E298" s="9"/>
    </row>
    <row r="299" spans="1:18">
      <c r="A299" s="9" t="s">
        <v>9553</v>
      </c>
      <c r="E299" s="9"/>
    </row>
    <row r="300" spans="1:18">
      <c r="A300" s="14" t="s">
        <v>5787</v>
      </c>
      <c r="B300" s="14" t="s">
        <v>330</v>
      </c>
      <c r="C300" s="14" t="s">
        <v>270</v>
      </c>
      <c r="D300" s="19" t="s">
        <v>331</v>
      </c>
      <c r="E300" s="15" t="str">
        <f>HYPERLINK("https://stat100.ameba.jp/tnk47/ratio20/illustrations/card/ill_76303_0_haroinkaguya03.jpg?202002-i_prefecture_active_userxxxxx", "■")</f>
        <v>■</v>
      </c>
      <c r="F300" s="14" t="s">
        <v>332</v>
      </c>
      <c r="G300" s="14">
        <v>261812</v>
      </c>
      <c r="H300" s="14">
        <v>243398</v>
      </c>
      <c r="I300" s="14">
        <v>22</v>
      </c>
      <c r="J300" s="14" t="s">
        <v>274</v>
      </c>
      <c r="K300" s="14" t="s">
        <v>333</v>
      </c>
      <c r="L300" s="14" t="s">
        <v>276</v>
      </c>
      <c r="M300" s="14" t="s">
        <v>9158</v>
      </c>
      <c r="N300" s="14" t="s">
        <v>9158</v>
      </c>
      <c r="O300" s="19" t="s">
        <v>2976</v>
      </c>
      <c r="P300" s="14" t="s">
        <v>2724</v>
      </c>
      <c r="Q300" s="14">
        <v>1</v>
      </c>
    </row>
    <row r="301" spans="1:18">
      <c r="A301" s="14" t="s">
        <v>7150</v>
      </c>
      <c r="B301" s="14" t="s">
        <v>52</v>
      </c>
      <c r="C301" s="14" t="s">
        <v>202</v>
      </c>
      <c r="D301" s="19" t="s">
        <v>10656</v>
      </c>
      <c r="E301" s="15" t="str">
        <f>HYPERLINK("https://stat100.ameba.jp/tnk47/ratio20/illustrations/card/ill_84203_0_tarottofujiwaranoshoshi03.jpg?202002-i_prefecture_active_userxxxxx", "■")</f>
        <v>■</v>
      </c>
      <c r="F301" s="14" t="s">
        <v>7153</v>
      </c>
      <c r="G301" s="14">
        <v>323812</v>
      </c>
      <c r="H301" s="14">
        <v>292680</v>
      </c>
      <c r="I301" s="14">
        <v>22</v>
      </c>
      <c r="J301" s="14" t="s">
        <v>10</v>
      </c>
      <c r="K301" s="14" t="s">
        <v>7152</v>
      </c>
      <c r="L301" s="14" t="s">
        <v>7151</v>
      </c>
      <c r="M301" s="14" t="s">
        <v>9158</v>
      </c>
      <c r="N301" s="14" t="s">
        <v>9158</v>
      </c>
      <c r="O301" s="19" t="s">
        <v>10128</v>
      </c>
      <c r="P301" s="14" t="s">
        <v>7154</v>
      </c>
      <c r="Q301" s="14">
        <v>1</v>
      </c>
    </row>
    <row r="302" spans="1:18">
      <c r="A302" s="14" t="s">
        <v>5604</v>
      </c>
      <c r="B302" s="14" t="s">
        <v>330</v>
      </c>
      <c r="C302" s="14" t="s">
        <v>206</v>
      </c>
      <c r="D302" s="19" t="s">
        <v>614</v>
      </c>
      <c r="E302" s="15" t="str">
        <f>HYPERLINK("https://stat100.ameba.jp/tnk47/ratio20/illustrations/card/ill_47263_0_oukyuuatsuhime03.jpg?202002-i_prefecture_active_userxxxxx", "■")</f>
        <v>■</v>
      </c>
      <c r="F302" s="14" t="s">
        <v>615</v>
      </c>
      <c r="G302" s="14">
        <v>138212</v>
      </c>
      <c r="H302" s="14">
        <v>122776</v>
      </c>
      <c r="I302" s="14">
        <v>22</v>
      </c>
      <c r="J302" s="14" t="s">
        <v>315</v>
      </c>
      <c r="K302" s="14" t="s">
        <v>616</v>
      </c>
      <c r="L302" s="14" t="s">
        <v>617</v>
      </c>
      <c r="M302" s="14" t="s">
        <v>9158</v>
      </c>
      <c r="N302" s="14" t="s">
        <v>9158</v>
      </c>
      <c r="O302" s="14" t="s">
        <v>9158</v>
      </c>
      <c r="P302" s="14" t="s">
        <v>9158</v>
      </c>
      <c r="Q302" s="14" t="s">
        <v>9158</v>
      </c>
    </row>
    <row r="303" spans="1:18">
      <c r="A303" s="14">
        <v>79783</v>
      </c>
      <c r="B303" s="14" t="s">
        <v>334</v>
      </c>
      <c r="C303" s="14" t="s">
        <v>200</v>
      </c>
      <c r="D303" s="19" t="s">
        <v>10330</v>
      </c>
      <c r="E303" s="15" t="str">
        <f>HYPERLINK("https://stat100.ameba.jp/tnk47/ratio20/illustrations/card/ill_79783_entakunokishitakatsukasanobuko03.jpg?202002-i_prefecture_active_userxxxxx", "■")</f>
        <v>■</v>
      </c>
      <c r="F303" s="14" t="s">
        <v>9563</v>
      </c>
      <c r="G303" s="14">
        <v>125392</v>
      </c>
      <c r="H303" s="14">
        <v>70556</v>
      </c>
      <c r="I303" s="14">
        <v>26</v>
      </c>
      <c r="J303" s="14" t="s">
        <v>9532</v>
      </c>
      <c r="K303" s="14" t="s">
        <v>9562</v>
      </c>
      <c r="L303" s="14" t="s">
        <v>9544</v>
      </c>
      <c r="M303" s="14" t="s">
        <v>9158</v>
      </c>
      <c r="N303" s="14" t="s">
        <v>9158</v>
      </c>
      <c r="O303" s="14" t="s">
        <v>9158</v>
      </c>
      <c r="P303" s="14" t="s">
        <v>9158</v>
      </c>
      <c r="Q303" s="14" t="s">
        <v>9158</v>
      </c>
    </row>
    <row r="304" spans="1:18">
      <c r="A304" s="14">
        <v>68383</v>
      </c>
      <c r="B304" s="14" t="s">
        <v>334</v>
      </c>
      <c r="C304" s="14" t="s">
        <v>206</v>
      </c>
      <c r="D304" s="19" t="s">
        <v>10604</v>
      </c>
      <c r="E304" s="15" t="str">
        <f>HYPERLINK("https://stat100.ameba.jp/tnk47/ratio20/illustrations/card/ill_68383_amudosukiasu03.jpg?202002-i_prefecture_active_userxxxxx", "■")</f>
        <v>■</v>
      </c>
      <c r="F304" s="14" t="s">
        <v>9561</v>
      </c>
      <c r="G304" s="14">
        <v>190884</v>
      </c>
      <c r="H304" s="14">
        <v>107392</v>
      </c>
      <c r="I304" s="14">
        <v>26</v>
      </c>
      <c r="J304" s="14" t="s">
        <v>9556</v>
      </c>
      <c r="K304" s="14" t="s">
        <v>9560</v>
      </c>
      <c r="L304" s="14" t="s">
        <v>9559</v>
      </c>
      <c r="M304" s="14" t="s">
        <v>9158</v>
      </c>
      <c r="N304" s="14" t="s">
        <v>9158</v>
      </c>
      <c r="O304" s="14" t="s">
        <v>9158</v>
      </c>
      <c r="P304" s="14" t="s">
        <v>9158</v>
      </c>
      <c r="Q304" s="14" t="s">
        <v>9158</v>
      </c>
    </row>
    <row r="305" spans="1:18">
      <c r="A305" s="14">
        <v>78993</v>
      </c>
      <c r="B305" s="14" t="s">
        <v>0</v>
      </c>
      <c r="C305" s="14" t="s">
        <v>165</v>
      </c>
      <c r="D305" s="19" t="s">
        <v>3099</v>
      </c>
      <c r="E305" s="15" t="str">
        <f>HYPERLINK("https://stat100.ameba.jp/tnk47/ratio20/illustrations/card/ill_78993_uintasupotsutsukimizakechan03.jpg?202002-i_prefecture_active_userxxxxx", "■")</f>
        <v>■</v>
      </c>
      <c r="F305" s="14" t="s">
        <v>9558</v>
      </c>
      <c r="G305" s="14">
        <v>122786</v>
      </c>
      <c r="H305" s="14">
        <v>114176</v>
      </c>
      <c r="I305" s="14">
        <v>26</v>
      </c>
      <c r="J305" s="14" t="s">
        <v>9557</v>
      </c>
      <c r="K305" s="14" t="s">
        <v>9555</v>
      </c>
      <c r="L305" s="14" t="s">
        <v>9554</v>
      </c>
      <c r="M305" s="14" t="s">
        <v>9158</v>
      </c>
      <c r="N305" s="14" t="s">
        <v>9158</v>
      </c>
      <c r="O305" s="14" t="s">
        <v>9158</v>
      </c>
      <c r="P305" s="14" t="s">
        <v>9158</v>
      </c>
      <c r="Q305" s="14" t="s">
        <v>9158</v>
      </c>
    </row>
    <row r="306" spans="1:18">
      <c r="A306" s="14">
        <v>75663</v>
      </c>
      <c r="B306" s="14" t="s">
        <v>348</v>
      </c>
      <c r="C306" s="14" t="s">
        <v>101</v>
      </c>
      <c r="D306" s="19" t="s">
        <v>10387</v>
      </c>
      <c r="E306" s="15" t="str">
        <f>HYPERLINK("https://stat100.ameba.jp/tnk47/ratio20/illustrations/card/ill_75663_ikumatsu03.jpg?202002-i_prefecture_active_userxxxxx", "■")</f>
        <v>■</v>
      </c>
      <c r="F306" s="14" t="s">
        <v>5781</v>
      </c>
      <c r="G306" s="14">
        <v>77064</v>
      </c>
      <c r="H306" s="14">
        <v>69898</v>
      </c>
      <c r="I306" s="14">
        <v>26</v>
      </c>
      <c r="J306" s="14" t="s">
        <v>16</v>
      </c>
      <c r="K306" s="14" t="s">
        <v>5783</v>
      </c>
      <c r="L306" s="14" t="s">
        <v>21</v>
      </c>
      <c r="M306" s="14" t="s">
        <v>9158</v>
      </c>
      <c r="N306" s="14" t="s">
        <v>9158</v>
      </c>
      <c r="O306" s="14" t="s">
        <v>9158</v>
      </c>
      <c r="P306" s="14" t="s">
        <v>9158</v>
      </c>
      <c r="Q306" s="14" t="s">
        <v>9158</v>
      </c>
    </row>
    <row r="307" spans="1:18">
      <c r="A307" s="14">
        <v>74863</v>
      </c>
      <c r="B307" s="14" t="s">
        <v>15</v>
      </c>
      <c r="C307" s="14" t="s">
        <v>1</v>
      </c>
      <c r="D307" s="19" t="s">
        <v>10250</v>
      </c>
      <c r="E307" s="15" t="str">
        <f>HYPERLINK("https://stat100.ameba.jp/tnk47/ratio20/illustrations/card/ill_74863_yukatanekodanuki03.jpg?202002-i_prefecture_active_userxxxxx", "■")</f>
        <v>■</v>
      </c>
      <c r="F307" s="14" t="s">
        <v>5167</v>
      </c>
      <c r="G307" s="14">
        <v>77064</v>
      </c>
      <c r="H307" s="14">
        <v>69898</v>
      </c>
      <c r="I307" s="14">
        <v>26</v>
      </c>
      <c r="J307" s="14" t="s">
        <v>73</v>
      </c>
      <c r="K307" s="14" t="s">
        <v>5169</v>
      </c>
      <c r="L307" s="14" t="s">
        <v>3835</v>
      </c>
      <c r="M307" s="14" t="s">
        <v>9158</v>
      </c>
      <c r="N307" s="14" t="s">
        <v>9158</v>
      </c>
      <c r="O307" s="14" t="s">
        <v>9158</v>
      </c>
      <c r="P307" s="14" t="s">
        <v>9158</v>
      </c>
      <c r="Q307" s="14" t="s">
        <v>9158</v>
      </c>
    </row>
    <row r="308" spans="1:18">
      <c r="A308" s="14">
        <v>83753</v>
      </c>
      <c r="B308" s="14" t="s">
        <v>15</v>
      </c>
      <c r="C308" s="14" t="s">
        <v>185</v>
      </c>
      <c r="D308" s="19" t="s">
        <v>10596</v>
      </c>
      <c r="E308" s="15" t="str">
        <f>HYPERLINK("https://stat100.ameba.jp/tnk47/ratio20/illustrations/card/ill_83753_otsukisamaniittausagi03.jpg?202002-i_prefecture_active_userxxxxx", "■")</f>
        <v>■</v>
      </c>
      <c r="F308" s="14" t="s">
        <v>6787</v>
      </c>
      <c r="G308" s="14">
        <v>77064</v>
      </c>
      <c r="H308" s="14">
        <v>69898</v>
      </c>
      <c r="I308" s="14">
        <v>26</v>
      </c>
      <c r="J308" s="14" t="s">
        <v>38</v>
      </c>
      <c r="K308" s="14" t="s">
        <v>6786</v>
      </c>
      <c r="L308" s="14" t="s">
        <v>3267</v>
      </c>
      <c r="M308" s="14" t="s">
        <v>9158</v>
      </c>
      <c r="N308" s="14" t="s">
        <v>9158</v>
      </c>
      <c r="O308" s="14" t="s">
        <v>9158</v>
      </c>
      <c r="P308" s="14" t="s">
        <v>9158</v>
      </c>
      <c r="Q308" s="14" t="s">
        <v>9158</v>
      </c>
    </row>
    <row r="309" spans="1:18">
      <c r="E309" s="9"/>
    </row>
    <row r="310" spans="1:18">
      <c r="A310" s="9" t="s">
        <v>13378</v>
      </c>
      <c r="E310" s="9"/>
    </row>
    <row r="311" spans="1:18">
      <c r="A311" s="9" t="s">
        <v>9626</v>
      </c>
      <c r="E311" s="9"/>
    </row>
    <row r="312" spans="1:18">
      <c r="A312" s="9">
        <v>87005</v>
      </c>
      <c r="B312" s="9" t="s">
        <v>9627</v>
      </c>
      <c r="C312" s="9" t="s">
        <v>9629</v>
      </c>
      <c r="D312" s="19" t="s">
        <v>10981</v>
      </c>
      <c r="E312" s="15" t="str">
        <f>HYPERLINK("https://stat100.ameba.jp/tnk47/ratio20/illustrations/card/ill_87005_okashinokunigureteru05.jpg?202002-i_prefecture_active_userxxxxx", "■")</f>
        <v>■</v>
      </c>
      <c r="F312" s="9" t="s">
        <v>9634</v>
      </c>
      <c r="G312" s="9">
        <v>94442</v>
      </c>
      <c r="H312" s="9">
        <v>130412</v>
      </c>
      <c r="I312" s="9">
        <v>26</v>
      </c>
      <c r="J312" s="9" t="s">
        <v>9631</v>
      </c>
      <c r="K312" s="9" t="s">
        <v>9633</v>
      </c>
      <c r="L312" s="9" t="s">
        <v>9632</v>
      </c>
      <c r="M312" s="14" t="s">
        <v>9158</v>
      </c>
      <c r="N312" s="14" t="s">
        <v>9158</v>
      </c>
      <c r="O312" s="14" t="s">
        <v>9158</v>
      </c>
      <c r="P312" s="14" t="s">
        <v>9158</v>
      </c>
      <c r="Q312" s="14" t="s">
        <v>9158</v>
      </c>
      <c r="R312" s="9" t="s">
        <v>9635</v>
      </c>
    </row>
    <row r="313" spans="1:18">
      <c r="A313" s="9">
        <v>87003</v>
      </c>
      <c r="B313" s="9" t="s">
        <v>9628</v>
      </c>
      <c r="C313" s="9" t="s">
        <v>9630</v>
      </c>
      <c r="D313" s="19" t="s">
        <v>10981</v>
      </c>
      <c r="E313" s="15" t="str">
        <f>HYPERLINK("https://stat100.ameba.jp/tnk47/ratio20/illustrations/card/ill_87003_okashinokunigureteru03.jpg?202002-i_prefecture_active_userxxxxx", "■")</f>
        <v>■</v>
      </c>
      <c r="F313" s="9" t="s">
        <v>9634</v>
      </c>
      <c r="G313" s="9">
        <v>69572</v>
      </c>
      <c r="H313" s="9">
        <v>96102</v>
      </c>
      <c r="I313" s="9">
        <v>26</v>
      </c>
      <c r="J313" s="9" t="s">
        <v>9631</v>
      </c>
      <c r="K313" s="9" t="s">
        <v>9633</v>
      </c>
      <c r="L313" s="9" t="s">
        <v>9638</v>
      </c>
      <c r="M313" s="14" t="s">
        <v>9158</v>
      </c>
      <c r="N313" s="14" t="s">
        <v>9158</v>
      </c>
      <c r="O313" s="14" t="s">
        <v>9158</v>
      </c>
      <c r="P313" s="14" t="s">
        <v>9158</v>
      </c>
      <c r="Q313" s="14" t="s">
        <v>9158</v>
      </c>
      <c r="R313" s="9" t="s">
        <v>9636</v>
      </c>
    </row>
    <row r="314" spans="1:18">
      <c r="A314" s="9">
        <v>87001</v>
      </c>
      <c r="B314" s="9" t="s">
        <v>9628</v>
      </c>
      <c r="C314" s="9" t="s">
        <v>9630</v>
      </c>
      <c r="D314" s="19" t="s">
        <v>10981</v>
      </c>
      <c r="E314" s="15" t="str">
        <f>HYPERLINK("https://stat100.ameba.jp/tnk47/ratio20/illustrations/card/ill_87001_okashinokunigureteru01.jpg?202002-i_prefecture_active_userxxxxx", "■")</f>
        <v>■</v>
      </c>
      <c r="F314" s="9" t="s">
        <v>9634</v>
      </c>
      <c r="G314" s="9">
        <v>44252</v>
      </c>
      <c r="H314" s="9">
        <v>61126</v>
      </c>
      <c r="I314" s="9">
        <v>26</v>
      </c>
      <c r="J314" s="9" t="s">
        <v>9631</v>
      </c>
      <c r="K314" s="9" t="s">
        <v>9633</v>
      </c>
      <c r="L314" s="9" t="s">
        <v>9639</v>
      </c>
      <c r="M314" s="14" t="s">
        <v>9158</v>
      </c>
      <c r="N314" s="14" t="s">
        <v>9158</v>
      </c>
      <c r="O314" s="14" t="s">
        <v>9158</v>
      </c>
      <c r="P314" s="14" t="s">
        <v>9158</v>
      </c>
      <c r="Q314" s="14" t="s">
        <v>9158</v>
      </c>
      <c r="R314" s="9" t="s">
        <v>9637</v>
      </c>
    </row>
    <row r="315" spans="1:18">
      <c r="E315" s="9"/>
    </row>
    <row r="316" spans="1:18">
      <c r="A316" s="9" t="s">
        <v>9640</v>
      </c>
      <c r="E316" s="9"/>
    </row>
    <row r="317" spans="1:18">
      <c r="A317" s="9" t="s">
        <v>9958</v>
      </c>
      <c r="E317" s="9"/>
    </row>
    <row r="318" spans="1:18">
      <c r="A318" s="14" t="s">
        <v>5623</v>
      </c>
      <c r="B318" s="14" t="s">
        <v>330</v>
      </c>
      <c r="C318" s="14" t="s">
        <v>165</v>
      </c>
      <c r="D318" s="19" t="s">
        <v>3146</v>
      </c>
      <c r="E318" s="15" t="str">
        <f>HYPERLINK("https://stat100.ameba.jp/tnk47/ratio20/illustrations/card/ill_65713_0_undokaionikirimaru03.jpg?202002-i_prefecture_active_userxxxxx", "■")</f>
        <v>■</v>
      </c>
      <c r="F318" s="14" t="s">
        <v>535</v>
      </c>
      <c r="G318" s="14">
        <v>181640</v>
      </c>
      <c r="H318" s="14">
        <v>168874</v>
      </c>
      <c r="I318" s="14">
        <v>24</v>
      </c>
      <c r="J318" s="14" t="s">
        <v>320</v>
      </c>
      <c r="K318" s="14" t="s">
        <v>3147</v>
      </c>
      <c r="L318" s="14" t="s">
        <v>3148</v>
      </c>
      <c r="M318" s="14" t="s">
        <v>9158</v>
      </c>
      <c r="N318" s="14" t="s">
        <v>9158</v>
      </c>
      <c r="O318" s="19" t="s">
        <v>2869</v>
      </c>
      <c r="P318" s="14" t="s">
        <v>2870</v>
      </c>
      <c r="Q318" s="14">
        <v>1</v>
      </c>
    </row>
    <row r="319" spans="1:18">
      <c r="A319" s="14">
        <v>81743</v>
      </c>
      <c r="B319" s="14" t="s">
        <v>334</v>
      </c>
      <c r="C319" s="14" t="s">
        <v>107</v>
      </c>
      <c r="D319" s="19" t="s">
        <v>10171</v>
      </c>
      <c r="E319" s="15" t="str">
        <f>HYPERLINK("https://stat100.ameba.jp/tnk47/ratio20/illustrations/card/ill_81743_denshagarusakyogabashinohebi03.jpg?202002-i_prefecture_active_userxxxxx", "■")</f>
        <v>■</v>
      </c>
      <c r="F319" s="14" t="s">
        <v>4853</v>
      </c>
      <c r="G319" s="14">
        <v>109528</v>
      </c>
      <c r="H319" s="14">
        <v>101656</v>
      </c>
      <c r="I319" s="14">
        <v>24</v>
      </c>
      <c r="J319" s="14" t="s">
        <v>38</v>
      </c>
      <c r="K319" s="14" t="s">
        <v>4855</v>
      </c>
      <c r="L319" s="14" t="s">
        <v>4856</v>
      </c>
      <c r="M319" s="14" t="s">
        <v>9158</v>
      </c>
      <c r="N319" s="14" t="s">
        <v>9158</v>
      </c>
      <c r="O319" s="19" t="s">
        <v>10091</v>
      </c>
      <c r="P319" s="14" t="s">
        <v>3670</v>
      </c>
      <c r="Q319" s="14">
        <v>1</v>
      </c>
    </row>
    <row r="320" spans="1:18">
      <c r="A320" s="14">
        <v>62043</v>
      </c>
      <c r="B320" s="14" t="s">
        <v>0</v>
      </c>
      <c r="C320" s="14" t="s">
        <v>158</v>
      </c>
      <c r="D320" s="19" t="s">
        <v>10233</v>
      </c>
      <c r="E320" s="15" t="str">
        <f>HYPERLINK("https://stat100.ameba.jp/tnk47/ratio20/illustrations/card/ill_62043_niutsuhimenookami03.jpg?202002-i_prefecture_active_userxxxxx", "■")</f>
        <v>■</v>
      </c>
      <c r="F320" s="14" t="s">
        <v>2022</v>
      </c>
      <c r="G320" s="14">
        <v>79348</v>
      </c>
      <c r="H320" s="14">
        <v>109554</v>
      </c>
      <c r="I320" s="14">
        <v>24</v>
      </c>
      <c r="J320" s="14" t="s">
        <v>169</v>
      </c>
      <c r="K320" s="14" t="s">
        <v>2023</v>
      </c>
      <c r="L320" s="14" t="s">
        <v>13144</v>
      </c>
      <c r="M320" s="14" t="s">
        <v>9158</v>
      </c>
      <c r="N320" s="14" t="s">
        <v>9158</v>
      </c>
      <c r="O320" s="19" t="s">
        <v>10093</v>
      </c>
      <c r="P320" s="14" t="s">
        <v>13145</v>
      </c>
      <c r="Q320" s="14">
        <v>1</v>
      </c>
    </row>
    <row r="321" spans="1:17">
      <c r="A321" s="14">
        <v>59613</v>
      </c>
      <c r="B321" s="14" t="s">
        <v>0</v>
      </c>
      <c r="C321" s="14" t="s">
        <v>185</v>
      </c>
      <c r="D321" s="19" t="s">
        <v>10267</v>
      </c>
      <c r="E321" s="15" t="str">
        <f>HYPERLINK("https://stat100.ameba.jp/tnk47/ratio20/illustrations/card/ill_59613_oheyadaria03.jpg?202002-i_prefecture_active_userxxxxx", "■")</f>
        <v>■</v>
      </c>
      <c r="F321" s="14" t="s">
        <v>2293</v>
      </c>
      <c r="G321" s="14">
        <v>102016</v>
      </c>
      <c r="H321" s="14">
        <v>94838</v>
      </c>
      <c r="I321" s="14">
        <v>24</v>
      </c>
      <c r="J321" s="14" t="s">
        <v>26</v>
      </c>
      <c r="K321" s="14" t="s">
        <v>2294</v>
      </c>
      <c r="L321" s="14" t="s">
        <v>2295</v>
      </c>
      <c r="M321" s="14" t="s">
        <v>9158</v>
      </c>
      <c r="N321" s="14" t="s">
        <v>9158</v>
      </c>
      <c r="O321" s="19" t="s">
        <v>10111</v>
      </c>
      <c r="P321" s="14" t="s">
        <v>3610</v>
      </c>
      <c r="Q321" s="14">
        <v>1</v>
      </c>
    </row>
    <row r="322" spans="1:17">
      <c r="E322" s="9"/>
    </row>
    <row r="323" spans="1:17">
      <c r="A323" s="9" t="s">
        <v>9641</v>
      </c>
      <c r="E323" s="9"/>
    </row>
    <row r="324" spans="1:17">
      <c r="A324" s="9" t="s">
        <v>9642</v>
      </c>
      <c r="E324" s="9"/>
    </row>
    <row r="325" spans="1:17">
      <c r="A325" s="14" t="s">
        <v>5603</v>
      </c>
      <c r="B325" s="14" t="s">
        <v>330</v>
      </c>
      <c r="C325" s="14" t="s">
        <v>205</v>
      </c>
      <c r="D325" s="19" t="s">
        <v>611</v>
      </c>
      <c r="E325" s="15" t="str">
        <f>HYPERLINK("https://stat100.ameba.jp/tnk47/ratio20/illustrations/card/ill_61893_0_onikirishumiyamotomusashi03.jpg?202002-i_prefecture_active_userxxxxx", "■")</f>
        <v>■</v>
      </c>
      <c r="F325" s="14" t="s">
        <v>612</v>
      </c>
      <c r="G325" s="14">
        <v>224026</v>
      </c>
      <c r="H325" s="14">
        <v>208310</v>
      </c>
      <c r="I325" s="14">
        <v>24</v>
      </c>
      <c r="J325" s="14" t="s">
        <v>310</v>
      </c>
      <c r="K325" s="14" t="s">
        <v>613</v>
      </c>
      <c r="L325" s="14" t="s">
        <v>312</v>
      </c>
      <c r="M325" s="14" t="s">
        <v>9158</v>
      </c>
      <c r="N325" s="14" t="s">
        <v>9158</v>
      </c>
      <c r="O325" s="19" t="s">
        <v>10071</v>
      </c>
      <c r="P325" s="14" t="s">
        <v>3253</v>
      </c>
      <c r="Q325" s="14">
        <v>1</v>
      </c>
    </row>
    <row r="326" spans="1:17">
      <c r="A326" s="14" t="s">
        <v>5602</v>
      </c>
      <c r="B326" s="14" t="s">
        <v>52</v>
      </c>
      <c r="C326" s="14" t="s">
        <v>14</v>
      </c>
      <c r="D326" s="19" t="s">
        <v>813</v>
      </c>
      <c r="E326" s="15" t="str">
        <f>HYPERLINK("https://stat100.ameba.jp/tnk47/ratio20/illustrations/card/ill_55313_0_haroinononokomachi03.jpg?202002-i_prefecture_active_userxxxxx", "■")</f>
        <v>■</v>
      </c>
      <c r="F326" s="14" t="s">
        <v>2094</v>
      </c>
      <c r="G326" s="14">
        <v>150776</v>
      </c>
      <c r="H326" s="14">
        <v>133938</v>
      </c>
      <c r="I326" s="14">
        <v>24</v>
      </c>
      <c r="J326" s="14" t="s">
        <v>10</v>
      </c>
      <c r="K326" s="14" t="s">
        <v>2095</v>
      </c>
      <c r="L326" s="14" t="s">
        <v>2096</v>
      </c>
      <c r="M326" s="14" t="s">
        <v>9158</v>
      </c>
      <c r="N326" s="14" t="s">
        <v>9158</v>
      </c>
      <c r="O326" s="19" t="s">
        <v>2733</v>
      </c>
      <c r="P326" s="14" t="s">
        <v>2734</v>
      </c>
      <c r="Q326" s="14">
        <v>1</v>
      </c>
    </row>
    <row r="327" spans="1:17">
      <c r="A327" s="14" t="s">
        <v>5625</v>
      </c>
      <c r="B327" s="14" t="s">
        <v>330</v>
      </c>
      <c r="C327" s="14" t="s">
        <v>200</v>
      </c>
      <c r="D327" s="19" t="s">
        <v>630</v>
      </c>
      <c r="E327" s="15" t="str">
        <f>HYPERLINK("https://stat100.ameba.jp/tnk47/ratio20/illustrations/card/ill_48283_0_kyuubitamamonomae03.jpg?202002-i_prefecture_active_userxxxxx", "■")</f>
        <v>■</v>
      </c>
      <c r="F327" s="14" t="s">
        <v>631</v>
      </c>
      <c r="G327" s="14">
        <v>150776</v>
      </c>
      <c r="H327" s="14">
        <v>133938</v>
      </c>
      <c r="I327" s="14">
        <v>24</v>
      </c>
      <c r="J327" s="14" t="s">
        <v>320</v>
      </c>
      <c r="K327" s="14" t="s">
        <v>632</v>
      </c>
      <c r="L327" s="14" t="s">
        <v>633</v>
      </c>
      <c r="M327" s="14" t="s">
        <v>9158</v>
      </c>
      <c r="N327" s="14" t="s">
        <v>9158</v>
      </c>
      <c r="O327" s="14" t="s">
        <v>9158</v>
      </c>
      <c r="P327" s="14" t="s">
        <v>9158</v>
      </c>
      <c r="Q327" s="14" t="s">
        <v>9158</v>
      </c>
    </row>
    <row r="328" spans="1:17">
      <c r="A328" s="9">
        <v>87153</v>
      </c>
      <c r="B328" s="9" t="s">
        <v>0</v>
      </c>
      <c r="C328" s="9" t="s">
        <v>191</v>
      </c>
      <c r="D328" s="19" t="s">
        <v>10973</v>
      </c>
      <c r="E328" s="15" t="str">
        <f>HYPERLINK("https://stat100.ameba.jp/tnk47/ratio20/illustrations/card/ill_87153_doragonteimaryanda03.jpg?202002-i_prefecture_active_userxxxxx", "■")</f>
        <v>■</v>
      </c>
      <c r="F328" s="9" t="s">
        <v>9549</v>
      </c>
      <c r="G328" s="9">
        <v>148619</v>
      </c>
      <c r="H328" s="9">
        <v>138186</v>
      </c>
      <c r="I328" s="9">
        <v>25</v>
      </c>
      <c r="J328" s="9" t="s">
        <v>194</v>
      </c>
      <c r="K328" s="9" t="s">
        <v>9548</v>
      </c>
      <c r="L328" s="9" t="s">
        <v>3459</v>
      </c>
      <c r="M328" s="14" t="s">
        <v>9158</v>
      </c>
      <c r="N328" s="14" t="s">
        <v>9158</v>
      </c>
      <c r="O328" s="14" t="s">
        <v>9158</v>
      </c>
      <c r="P328" s="14" t="s">
        <v>9158</v>
      </c>
      <c r="Q328" s="14" t="s">
        <v>9158</v>
      </c>
    </row>
    <row r="329" spans="1:17">
      <c r="A329" s="9">
        <v>87173</v>
      </c>
      <c r="B329" s="9" t="s">
        <v>15</v>
      </c>
      <c r="C329" s="9" t="s">
        <v>200</v>
      </c>
      <c r="D329" s="19" t="s">
        <v>10975</v>
      </c>
      <c r="E329" s="15" t="str">
        <f>HYPERLINK("https://stat100.ameba.jp/tnk47/ratio20/illustrations/card/ill_87173_kuzuryu03.jpg?202002-i_prefecture_active_userxxxxx", "■")</f>
        <v>■</v>
      </c>
      <c r="F329" s="9" t="s">
        <v>9543</v>
      </c>
      <c r="G329" s="9">
        <v>67210</v>
      </c>
      <c r="H329" s="9">
        <v>74100</v>
      </c>
      <c r="I329" s="9">
        <v>25</v>
      </c>
      <c r="J329" s="9" t="s">
        <v>169</v>
      </c>
      <c r="K329" s="9" t="s">
        <v>9542</v>
      </c>
      <c r="L329" s="9" t="s">
        <v>3319</v>
      </c>
      <c r="M329" s="14" t="s">
        <v>9158</v>
      </c>
      <c r="N329" s="14" t="s">
        <v>9158</v>
      </c>
      <c r="O329" s="14" t="s">
        <v>9158</v>
      </c>
      <c r="P329" s="14" t="s">
        <v>9158</v>
      </c>
      <c r="Q329" s="14" t="s">
        <v>9158</v>
      </c>
    </row>
    <row r="330" spans="1:17">
      <c r="A330" s="9">
        <v>87183</v>
      </c>
      <c r="B330" s="9" t="s">
        <v>22</v>
      </c>
      <c r="C330" s="9" t="s">
        <v>165</v>
      </c>
      <c r="D330" s="19" t="s">
        <v>10976</v>
      </c>
      <c r="E330" s="15" t="str">
        <f>HYPERLINK("https://stat100.ameba.jp/tnk47/ratio20/illustrations/card/ill_87183_tobaryu03.jpg?202002-i_prefecture_active_userxxxxx", "■")</f>
        <v>■</v>
      </c>
      <c r="F330" s="9" t="s">
        <v>9540</v>
      </c>
      <c r="G330" s="9">
        <v>51980</v>
      </c>
      <c r="H330" s="9">
        <v>43220</v>
      </c>
      <c r="I330" s="9">
        <v>25</v>
      </c>
      <c r="J330" s="9" t="s">
        <v>229</v>
      </c>
      <c r="K330" s="9" t="s">
        <v>9539</v>
      </c>
      <c r="L330" s="9" t="s">
        <v>2321</v>
      </c>
      <c r="M330" s="14" t="s">
        <v>9158</v>
      </c>
      <c r="N330" s="14" t="s">
        <v>9158</v>
      </c>
      <c r="O330" s="14" t="s">
        <v>9158</v>
      </c>
      <c r="P330" s="14" t="s">
        <v>9158</v>
      </c>
      <c r="Q330" s="14" t="s">
        <v>9158</v>
      </c>
    </row>
    <row r="331" spans="1:17">
      <c r="A331" s="9">
        <v>87193</v>
      </c>
      <c r="B331" s="9" t="s">
        <v>30</v>
      </c>
      <c r="C331" s="9" t="s">
        <v>9526</v>
      </c>
      <c r="D331" s="19" t="s">
        <v>10977</v>
      </c>
      <c r="E331" s="15" t="str">
        <f>HYPERLINK("https://stat100.ameba.jp/tnk47/ratio20/illustrations/card/ill_87193_karatsukunchi03.jpg?202002-i_prefecture_active_userxxxxx", "■")</f>
        <v>■</v>
      </c>
      <c r="F331" s="9" t="s">
        <v>9537</v>
      </c>
      <c r="G331" s="9">
        <v>26430</v>
      </c>
      <c r="H331" s="9">
        <v>31470</v>
      </c>
      <c r="I331" s="9">
        <v>25</v>
      </c>
      <c r="J331" s="9" t="s">
        <v>229</v>
      </c>
      <c r="K331" s="9" t="s">
        <v>9536</v>
      </c>
      <c r="L331" s="9" t="s">
        <v>2221</v>
      </c>
      <c r="M331" s="14" t="s">
        <v>9158</v>
      </c>
      <c r="N331" s="14" t="s">
        <v>9158</v>
      </c>
      <c r="O331" s="14" t="s">
        <v>9158</v>
      </c>
      <c r="P331" s="14" t="s">
        <v>9158</v>
      </c>
      <c r="Q331" s="14" t="s">
        <v>9158</v>
      </c>
    </row>
    <row r="332" spans="1:17">
      <c r="E332" s="9"/>
    </row>
    <row r="333" spans="1:17">
      <c r="A333" s="9" t="s">
        <v>10554</v>
      </c>
      <c r="E333" s="9"/>
    </row>
    <row r="334" spans="1:17">
      <c r="A334" s="9" t="s">
        <v>9643</v>
      </c>
      <c r="E334" s="9"/>
    </row>
    <row r="335" spans="1:17">
      <c r="A335" s="9">
        <v>38883</v>
      </c>
      <c r="B335" s="9" t="s">
        <v>0</v>
      </c>
      <c r="C335" s="9" t="s">
        <v>9644</v>
      </c>
      <c r="D335" s="19" t="s">
        <v>10982</v>
      </c>
      <c r="E335" s="15" t="str">
        <f>HYPERLINK("https://stat100.ameba.jp/tnk47/ratio20/illustrations/card/ill_38883_uedeingutenshoinatsuhime03.jpg?202002-i_prefecture_active_userxxxxx", "■")</f>
        <v>■</v>
      </c>
      <c r="F335" s="9" t="s">
        <v>9672</v>
      </c>
      <c r="G335" s="9">
        <v>89590</v>
      </c>
      <c r="H335" s="9">
        <v>96360</v>
      </c>
      <c r="I335" s="9">
        <v>25</v>
      </c>
      <c r="J335" s="14" t="s">
        <v>10</v>
      </c>
      <c r="K335" s="9" t="s">
        <v>9671</v>
      </c>
      <c r="L335" s="9" t="s">
        <v>9670</v>
      </c>
      <c r="M335" s="14" t="s">
        <v>9158</v>
      </c>
      <c r="N335" s="14" t="s">
        <v>9158</v>
      </c>
      <c r="O335" s="14" t="s">
        <v>9158</v>
      </c>
      <c r="P335" s="14" t="s">
        <v>9158</v>
      </c>
      <c r="Q335" s="14" t="s">
        <v>9158</v>
      </c>
    </row>
    <row r="336" spans="1:17">
      <c r="A336" s="9">
        <v>25613</v>
      </c>
      <c r="B336" s="9" t="s">
        <v>0</v>
      </c>
      <c r="C336" s="9" t="s">
        <v>9645</v>
      </c>
      <c r="D336" s="19" t="s">
        <v>10983</v>
      </c>
      <c r="E336" s="15" t="str">
        <f>HYPERLINK("https://stat100.ameba.jp/tnk47/ratio20/illustrations/card/ill_25613_dobutsukarakuchinihonshuchan03.jpg?202002-i_prefecture_active_userxxxxx", "■")</f>
        <v>■</v>
      </c>
      <c r="F336" s="9" t="s">
        <v>9669</v>
      </c>
      <c r="G336" s="9">
        <v>96360</v>
      </c>
      <c r="H336" s="9">
        <v>89590</v>
      </c>
      <c r="I336" s="9">
        <v>25</v>
      </c>
      <c r="J336" s="9" t="s">
        <v>9650</v>
      </c>
      <c r="K336" s="9" t="s">
        <v>9668</v>
      </c>
      <c r="L336" s="9" t="s">
        <v>9667</v>
      </c>
      <c r="M336" s="14" t="s">
        <v>9158</v>
      </c>
      <c r="N336" s="14" t="s">
        <v>9158</v>
      </c>
      <c r="O336" s="14" t="s">
        <v>9158</v>
      </c>
      <c r="P336" s="14" t="s">
        <v>9158</v>
      </c>
      <c r="Q336" s="14" t="s">
        <v>9158</v>
      </c>
    </row>
    <row r="337" spans="1:18">
      <c r="A337" s="9">
        <v>51883</v>
      </c>
      <c r="B337" s="9" t="s">
        <v>0</v>
      </c>
      <c r="C337" s="9" t="s">
        <v>9646</v>
      </c>
      <c r="D337" s="19" t="s">
        <v>10984</v>
      </c>
      <c r="E337" s="15" t="str">
        <f>HYPERLINK("https://stat100.ameba.jp/tnk47/ratio20/illustrations/card/ill_51883_kemonomizugikotohiraguchan03.jpg?202002-i_prefecture_active_userxxxxx", "■")</f>
        <v>■</v>
      </c>
      <c r="F337" s="9" t="s">
        <v>9666</v>
      </c>
      <c r="G337" s="9">
        <v>89590</v>
      </c>
      <c r="H337" s="9">
        <v>96360</v>
      </c>
      <c r="I337" s="9">
        <v>25</v>
      </c>
      <c r="J337" s="9" t="s">
        <v>9651</v>
      </c>
      <c r="K337" s="9" t="s">
        <v>9665</v>
      </c>
      <c r="L337" s="9" t="s">
        <v>9664</v>
      </c>
      <c r="M337" s="14" t="s">
        <v>5707</v>
      </c>
      <c r="N337" s="14" t="s">
        <v>1310</v>
      </c>
      <c r="O337" s="14" t="s">
        <v>9158</v>
      </c>
      <c r="P337" s="14" t="s">
        <v>9158</v>
      </c>
      <c r="Q337" s="14" t="s">
        <v>9158</v>
      </c>
      <c r="R337" s="14" t="s">
        <v>13193</v>
      </c>
    </row>
    <row r="338" spans="1:18">
      <c r="A338" s="9">
        <v>48943</v>
      </c>
      <c r="B338" s="9" t="s">
        <v>15</v>
      </c>
      <c r="C338" s="9" t="s">
        <v>9647</v>
      </c>
      <c r="D338" s="19" t="s">
        <v>10985</v>
      </c>
      <c r="E338" s="15" t="str">
        <f>HYPERLINK("https://stat100.ameba.jp/tnk47/ratio20/illustrations/card/ill_48943_afurodexiteazenoiratsume03.jpg?202002-i_prefecture_active_userxxxxx", "■")</f>
        <v>■</v>
      </c>
      <c r="F338" s="9" t="s">
        <v>9663</v>
      </c>
      <c r="G338" s="9">
        <v>51078</v>
      </c>
      <c r="H338" s="9">
        <v>56316</v>
      </c>
      <c r="I338" s="9">
        <v>19</v>
      </c>
      <c r="J338" s="9" t="s">
        <v>9652</v>
      </c>
      <c r="K338" s="9" t="s">
        <v>9662</v>
      </c>
      <c r="L338" s="9" t="s">
        <v>9661</v>
      </c>
      <c r="M338" s="14" t="s">
        <v>9158</v>
      </c>
      <c r="N338" s="14" t="s">
        <v>9158</v>
      </c>
      <c r="O338" s="14" t="s">
        <v>9158</v>
      </c>
      <c r="P338" s="14" t="s">
        <v>9158</v>
      </c>
      <c r="Q338" s="14" t="s">
        <v>9158</v>
      </c>
    </row>
    <row r="339" spans="1:18">
      <c r="A339" s="9">
        <v>54693</v>
      </c>
      <c r="B339" s="9" t="s">
        <v>15</v>
      </c>
      <c r="C339" s="9" t="s">
        <v>9648</v>
      </c>
      <c r="D339" s="19" t="s">
        <v>10986</v>
      </c>
      <c r="E339" s="15" t="str">
        <f>HYPERLINK("https://stat100.ameba.jp/tnk47/ratio20/illustrations/card/ill_54693_okashinishigorinotsubone03.jpg?202002-i_prefecture_active_userxxxxx", "■")</f>
        <v>■</v>
      </c>
      <c r="F339" s="9" t="s">
        <v>9660</v>
      </c>
      <c r="G339" s="9">
        <v>61826</v>
      </c>
      <c r="H339" s="9">
        <v>45568</v>
      </c>
      <c r="I339" s="9">
        <v>19</v>
      </c>
      <c r="J339" s="9" t="s">
        <v>9653</v>
      </c>
      <c r="K339" s="9" t="s">
        <v>9659</v>
      </c>
      <c r="L339" s="9" t="s">
        <v>9658</v>
      </c>
      <c r="M339" s="14" t="s">
        <v>9158</v>
      </c>
      <c r="N339" s="14" t="s">
        <v>9158</v>
      </c>
      <c r="O339" s="14" t="s">
        <v>9158</v>
      </c>
      <c r="P339" s="14" t="s">
        <v>9158</v>
      </c>
      <c r="Q339" s="14" t="s">
        <v>9158</v>
      </c>
    </row>
    <row r="340" spans="1:18">
      <c r="A340" s="9">
        <v>47073</v>
      </c>
      <c r="B340" s="9" t="s">
        <v>15</v>
      </c>
      <c r="C340" s="9" t="s">
        <v>9649</v>
      </c>
      <c r="D340" s="19" t="s">
        <v>10987</v>
      </c>
      <c r="E340" s="15" t="str">
        <f>HYPERLINK("https://stat100.ameba.jp/tnk47/ratio20/illustrations/card/ill_47073_engekiyamamurokieko03.jpg?202002-i_prefecture_active_userxxxxx", "■")</f>
        <v>■</v>
      </c>
      <c r="F340" s="9" t="s">
        <v>9657</v>
      </c>
      <c r="G340" s="9">
        <v>56316</v>
      </c>
      <c r="H340" s="9">
        <v>51078</v>
      </c>
      <c r="I340" s="9">
        <v>19</v>
      </c>
      <c r="J340" s="9" t="s">
        <v>9654</v>
      </c>
      <c r="K340" s="9" t="s">
        <v>9656</v>
      </c>
      <c r="L340" s="9" t="s">
        <v>9655</v>
      </c>
      <c r="M340" s="14" t="s">
        <v>9158</v>
      </c>
      <c r="N340" s="14" t="s">
        <v>9158</v>
      </c>
      <c r="O340" s="14" t="s">
        <v>9158</v>
      </c>
      <c r="P340" s="14" t="s">
        <v>9158</v>
      </c>
      <c r="Q340" s="14" t="s">
        <v>9158</v>
      </c>
    </row>
    <row r="341" spans="1:18">
      <c r="E341" s="9"/>
    </row>
    <row r="342" spans="1:18">
      <c r="A342" s="9" t="s">
        <v>9673</v>
      </c>
      <c r="E342" s="9"/>
    </row>
    <row r="343" spans="1:18">
      <c r="A343" s="9" t="s">
        <v>9674</v>
      </c>
      <c r="E343" s="9"/>
    </row>
    <row r="344" spans="1:18">
      <c r="A344" s="14" t="s">
        <v>5607</v>
      </c>
      <c r="B344" s="14" t="s">
        <v>330</v>
      </c>
      <c r="C344" s="14" t="s">
        <v>271</v>
      </c>
      <c r="D344" s="19" t="s">
        <v>421</v>
      </c>
      <c r="E344" s="15" t="str">
        <f>HYPERLINK("https://stat100.ameba.jp/tnk47/ratio20/illustrations/card/ill_58853_0_setsubumpanikkuhiratsukaraicho03.jpg?202003-i_prefecture_active_user", "■")</f>
        <v>■</v>
      </c>
      <c r="F344" s="14" t="s">
        <v>422</v>
      </c>
      <c r="G344" s="14">
        <v>125648</v>
      </c>
      <c r="H344" s="14">
        <v>111616</v>
      </c>
      <c r="I344" s="14">
        <v>20</v>
      </c>
      <c r="J344" s="14" t="s">
        <v>414</v>
      </c>
      <c r="K344" s="14" t="s">
        <v>423</v>
      </c>
      <c r="L344" s="14" t="s">
        <v>424</v>
      </c>
      <c r="M344" s="14" t="s">
        <v>9158</v>
      </c>
      <c r="N344" s="14" t="s">
        <v>9158</v>
      </c>
      <c r="O344" s="19" t="s">
        <v>10075</v>
      </c>
      <c r="P344" s="14" t="s">
        <v>2870</v>
      </c>
      <c r="Q344" s="14">
        <v>1</v>
      </c>
    </row>
    <row r="345" spans="1:18">
      <c r="A345" s="14" t="s">
        <v>5804</v>
      </c>
      <c r="B345" s="14" t="s">
        <v>52</v>
      </c>
      <c r="C345" s="14" t="s">
        <v>14</v>
      </c>
      <c r="D345" s="19" t="s">
        <v>3195</v>
      </c>
      <c r="E345" s="15" t="str">
        <f>HYPERLINK("https://stat100.ameba.jp/tnk47/ratio20/illustrations/card/ill_75393_0_resukuinotsukisamaniittausagi03.jpg?202003-i_prefecture_active_user", "■")</f>
        <v>■</v>
      </c>
      <c r="F345" s="14" t="s">
        <v>3248</v>
      </c>
      <c r="G345" s="14">
        <v>227808</v>
      </c>
      <c r="H345" s="14">
        <v>211800</v>
      </c>
      <c r="I345" s="14">
        <v>20</v>
      </c>
      <c r="J345" s="14" t="s">
        <v>26</v>
      </c>
      <c r="K345" s="14" t="s">
        <v>3249</v>
      </c>
      <c r="L345" s="14" t="s">
        <v>3250</v>
      </c>
      <c r="M345" s="14" t="s">
        <v>9158</v>
      </c>
      <c r="N345" s="14" t="s">
        <v>9158</v>
      </c>
      <c r="O345" s="19" t="s">
        <v>10101</v>
      </c>
      <c r="P345" s="14" t="s">
        <v>3251</v>
      </c>
      <c r="Q345" s="14">
        <v>2</v>
      </c>
    </row>
    <row r="346" spans="1:18">
      <c r="A346" s="14" t="s">
        <v>6132</v>
      </c>
      <c r="B346" s="14" t="s">
        <v>52</v>
      </c>
      <c r="C346" s="14" t="s">
        <v>205</v>
      </c>
      <c r="D346" s="19" t="s">
        <v>702</v>
      </c>
      <c r="E346" s="15" t="str">
        <f>HYPERLINK("https://stat100.ameba.jp/tnk47/ratio20/illustrations/card/ill_50693_0_hanamizugimimuratsuru03.jpg?202003-i_prefecture_active_user", "■")</f>
        <v>■</v>
      </c>
      <c r="F346" s="14" t="s">
        <v>2282</v>
      </c>
      <c r="G346" s="14">
        <v>111616</v>
      </c>
      <c r="H346" s="14">
        <v>125648</v>
      </c>
      <c r="I346" s="14">
        <v>20</v>
      </c>
      <c r="J346" s="14" t="s">
        <v>143</v>
      </c>
      <c r="K346" s="14" t="s">
        <v>2283</v>
      </c>
      <c r="L346" s="14" t="s">
        <v>2284</v>
      </c>
      <c r="M346" s="14" t="s">
        <v>9158</v>
      </c>
      <c r="N346" s="14" t="s">
        <v>9158</v>
      </c>
      <c r="O346" s="14" t="s">
        <v>9158</v>
      </c>
      <c r="P346" s="14" t="s">
        <v>9158</v>
      </c>
      <c r="Q346" s="14" t="s">
        <v>9158</v>
      </c>
    </row>
    <row r="347" spans="1:18">
      <c r="A347" s="14">
        <v>70883</v>
      </c>
      <c r="B347" s="14" t="s">
        <v>334</v>
      </c>
      <c r="C347" s="14" t="s">
        <v>185</v>
      </c>
      <c r="D347" s="19" t="s">
        <v>10841</v>
      </c>
      <c r="E347" s="15" t="str">
        <f>HYPERLINK("https://stat100.ameba.jp/tnk47/ratio20/illustrations/card/ill_70883_sotsugyoshikikishi03.jpg?202003-i_prefecture_active_user", "■")</f>
        <v>■</v>
      </c>
      <c r="F347" s="14" t="s">
        <v>918</v>
      </c>
      <c r="G347" s="14">
        <v>101373</v>
      </c>
      <c r="H347" s="14">
        <v>94295</v>
      </c>
      <c r="I347" s="9">
        <v>25</v>
      </c>
      <c r="J347" s="14" t="s">
        <v>16</v>
      </c>
      <c r="K347" s="14" t="s">
        <v>919</v>
      </c>
      <c r="L347" s="14" t="s">
        <v>920</v>
      </c>
      <c r="M347" s="14" t="s">
        <v>9158</v>
      </c>
      <c r="N347" s="14" t="s">
        <v>9158</v>
      </c>
      <c r="O347" s="14" t="s">
        <v>9158</v>
      </c>
      <c r="P347" s="14" t="s">
        <v>9158</v>
      </c>
      <c r="Q347" s="14" t="s">
        <v>9158</v>
      </c>
    </row>
    <row r="348" spans="1:18">
      <c r="A348" s="14">
        <v>77533</v>
      </c>
      <c r="B348" s="14" t="s">
        <v>0</v>
      </c>
      <c r="C348" s="14" t="s">
        <v>191</v>
      </c>
      <c r="D348" s="19" t="s">
        <v>10674</v>
      </c>
      <c r="E348" s="15" t="str">
        <f>HYPERLINK("https://stat100.ameba.jp/tnk47/ratio20/illustrations/card/ill_77533_miyakonotawasuzuhikohime03.jpg?202003-i_prefecture_active_user", "■")</f>
        <v>■</v>
      </c>
      <c r="F348" s="14" t="s">
        <v>2005</v>
      </c>
      <c r="G348" s="14">
        <v>96871</v>
      </c>
      <c r="H348" s="14">
        <v>104162</v>
      </c>
      <c r="I348" s="14">
        <v>25</v>
      </c>
      <c r="J348" s="14" t="s">
        <v>73</v>
      </c>
      <c r="K348" s="14" t="s">
        <v>2006</v>
      </c>
      <c r="L348" s="14" t="s">
        <v>2007</v>
      </c>
      <c r="M348" s="14" t="s">
        <v>9158</v>
      </c>
      <c r="N348" s="14" t="s">
        <v>9158</v>
      </c>
      <c r="O348" s="14" t="s">
        <v>9158</v>
      </c>
      <c r="P348" s="14" t="s">
        <v>9158</v>
      </c>
      <c r="Q348" s="14" t="s">
        <v>9158</v>
      </c>
    </row>
    <row r="349" spans="1:18">
      <c r="A349" s="14">
        <v>66353</v>
      </c>
      <c r="B349" s="14" t="s">
        <v>0</v>
      </c>
      <c r="C349" s="14" t="s">
        <v>41</v>
      </c>
      <c r="D349" s="19" t="s">
        <v>440</v>
      </c>
      <c r="E349" s="15" t="str">
        <f>HYPERLINK("https://stat100.ameba.jp/tnk47/ratio20/illustrations/card/ill_66353_kajiwaranyudotoan03.jpg?202003-i_prefecture_active_user", "■")</f>
        <v>■</v>
      </c>
      <c r="F349" s="14" t="s">
        <v>142</v>
      </c>
      <c r="G349" s="14">
        <v>166328</v>
      </c>
      <c r="H349" s="14">
        <v>120475</v>
      </c>
      <c r="I349" s="14">
        <v>25</v>
      </c>
      <c r="J349" s="14" t="s">
        <v>143</v>
      </c>
      <c r="K349" s="14" t="s">
        <v>144</v>
      </c>
      <c r="L349" s="14" t="s">
        <v>145</v>
      </c>
      <c r="M349" s="14" t="s">
        <v>9158</v>
      </c>
      <c r="N349" s="14" t="s">
        <v>9158</v>
      </c>
      <c r="O349" s="19" t="s">
        <v>10102</v>
      </c>
      <c r="P349" s="14" t="s">
        <v>3672</v>
      </c>
      <c r="Q349" s="14">
        <v>1</v>
      </c>
    </row>
    <row r="350" spans="1:18">
      <c r="A350" s="9">
        <v>59283</v>
      </c>
      <c r="B350" s="9" t="s">
        <v>9675</v>
      </c>
      <c r="C350" s="9" t="s">
        <v>9644</v>
      </c>
      <c r="D350" s="19" t="s">
        <v>10988</v>
      </c>
      <c r="E350" s="15" t="str">
        <f>HYPERLINK("https://stat100.ameba.jp/tnk47/ratio20/illustrations/card/ill_59283_shirayukihimechokoretokeki03.jpg?202003-i_prefecture_active_user", "■")</f>
        <v>■</v>
      </c>
      <c r="F350" s="9" t="s">
        <v>9679</v>
      </c>
      <c r="G350" s="9">
        <v>59144</v>
      </c>
      <c r="H350" s="9">
        <v>65208</v>
      </c>
      <c r="I350" s="9">
        <v>22</v>
      </c>
      <c r="J350" s="9" t="s">
        <v>9650</v>
      </c>
      <c r="K350" s="9" t="s">
        <v>9678</v>
      </c>
      <c r="L350" s="9" t="s">
        <v>9677</v>
      </c>
      <c r="M350" s="14" t="s">
        <v>9158</v>
      </c>
      <c r="N350" s="14" t="s">
        <v>9158</v>
      </c>
      <c r="O350" s="14" t="s">
        <v>9158</v>
      </c>
      <c r="P350" s="14" t="s">
        <v>9158</v>
      </c>
      <c r="Q350" s="14" t="s">
        <v>9158</v>
      </c>
    </row>
    <row r="351" spans="1:18">
      <c r="A351" s="9">
        <v>59753</v>
      </c>
      <c r="B351" s="9" t="s">
        <v>9675</v>
      </c>
      <c r="C351" s="9" t="s">
        <v>9649</v>
      </c>
      <c r="D351" s="19" t="s">
        <v>10633</v>
      </c>
      <c r="E351" s="15" t="str">
        <f>HYPERLINK("https://stat100.ameba.jp/tnk47/ratio20/illustrations/card/ill_59753_kaitopoiyampe03.jpg?202003-i_prefecture_active_user", "■")</f>
        <v>■</v>
      </c>
      <c r="F351" s="9" t="s">
        <v>9682</v>
      </c>
      <c r="G351" s="9">
        <v>65208</v>
      </c>
      <c r="H351" s="9">
        <v>59144</v>
      </c>
      <c r="I351" s="9">
        <v>22</v>
      </c>
      <c r="J351" s="9" t="s">
        <v>9676</v>
      </c>
      <c r="K351" s="9" t="s">
        <v>9681</v>
      </c>
      <c r="L351" s="9" t="s">
        <v>9680</v>
      </c>
      <c r="M351" s="14" t="s">
        <v>9158</v>
      </c>
      <c r="N351" s="14" t="s">
        <v>9158</v>
      </c>
      <c r="O351" s="14" t="s">
        <v>9158</v>
      </c>
      <c r="P351" s="14" t="s">
        <v>9158</v>
      </c>
      <c r="Q351" s="14" t="s">
        <v>9158</v>
      </c>
    </row>
    <row r="352" spans="1:18">
      <c r="A352" s="9">
        <v>65863</v>
      </c>
      <c r="B352" s="9" t="s">
        <v>9675</v>
      </c>
      <c r="C352" s="9" t="s">
        <v>9648</v>
      </c>
      <c r="D352" s="19" t="s">
        <v>2905</v>
      </c>
      <c r="E352" s="15" t="str">
        <f>HYPERLINK("https://stat100.ameba.jp/tnk47/ratio20/illustrations/card/ill_65863_jokyurengeso03.jpg?202003-i_prefecture_active_user", "■")</f>
        <v>■</v>
      </c>
      <c r="F352" s="9" t="s">
        <v>9685</v>
      </c>
      <c r="G352" s="9">
        <v>65208</v>
      </c>
      <c r="H352" s="9">
        <v>59144</v>
      </c>
      <c r="I352" s="9">
        <v>22</v>
      </c>
      <c r="J352" s="9" t="s">
        <v>9651</v>
      </c>
      <c r="K352" s="9" t="s">
        <v>9684</v>
      </c>
      <c r="L352" s="9" t="s">
        <v>9683</v>
      </c>
      <c r="M352" s="14" t="s">
        <v>9158</v>
      </c>
      <c r="N352" s="14" t="s">
        <v>9158</v>
      </c>
      <c r="O352" s="14" t="s">
        <v>9158</v>
      </c>
      <c r="P352" s="14" t="s">
        <v>9158</v>
      </c>
      <c r="Q352" s="14" t="s">
        <v>9158</v>
      </c>
    </row>
    <row r="353" spans="1:17">
      <c r="E353" s="9"/>
    </row>
    <row r="354" spans="1:17">
      <c r="A354" s="9" t="s">
        <v>115</v>
      </c>
      <c r="E354" s="9"/>
    </row>
    <row r="355" spans="1:17">
      <c r="A355" s="9" t="s">
        <v>9689</v>
      </c>
      <c r="E355" s="9"/>
    </row>
    <row r="356" spans="1:17">
      <c r="A356" s="14" t="s">
        <v>5724</v>
      </c>
      <c r="B356" s="14" t="s">
        <v>330</v>
      </c>
      <c r="C356" s="14" t="s">
        <v>335</v>
      </c>
      <c r="D356" s="19" t="s">
        <v>698</v>
      </c>
      <c r="E356" s="15" t="str">
        <f>HYPERLINK("https://stat100.ameba.jp/tnk47/ratio20/illustrations/card/ill_66433_0_haroinfujishirogozen03.jpg?202003-i_prefecture_active_user", "■")</f>
        <v>■</v>
      </c>
      <c r="F356" s="14" t="s">
        <v>699</v>
      </c>
      <c r="G356" s="14">
        <v>134652</v>
      </c>
      <c r="H356" s="14">
        <v>144834</v>
      </c>
      <c r="I356" s="14">
        <v>22</v>
      </c>
      <c r="J356" s="14" t="s">
        <v>315</v>
      </c>
      <c r="K356" s="14" t="s">
        <v>700</v>
      </c>
      <c r="L356" s="14" t="s">
        <v>701</v>
      </c>
      <c r="M356" s="14" t="s">
        <v>9158</v>
      </c>
      <c r="N356" s="14" t="s">
        <v>9158</v>
      </c>
      <c r="O356" s="19" t="s">
        <v>10095</v>
      </c>
      <c r="P356" s="14" t="s">
        <v>3345</v>
      </c>
      <c r="Q356" s="14">
        <v>1</v>
      </c>
    </row>
    <row r="357" spans="1:17">
      <c r="A357" s="14" t="s">
        <v>5624</v>
      </c>
      <c r="B357" s="14" t="s">
        <v>52</v>
      </c>
      <c r="C357" s="14" t="s">
        <v>101</v>
      </c>
      <c r="D357" s="19" t="s">
        <v>1426</v>
      </c>
      <c r="E357" s="15" t="str">
        <f>HYPERLINK("https://stat100.ameba.jp/tnk47/ratio20/illustrations/card/ill_64953_0_yukatatokugawayoshinobu03.jpg?202003-i_prefecture_active_user", "■")</f>
        <v>■</v>
      </c>
      <c r="F357" s="14" t="s">
        <v>2090</v>
      </c>
      <c r="G357" s="14">
        <v>137060</v>
      </c>
      <c r="H357" s="14">
        <v>147404</v>
      </c>
      <c r="I357" s="14">
        <v>22</v>
      </c>
      <c r="J357" s="14" t="s">
        <v>10</v>
      </c>
      <c r="K357" s="14" t="s">
        <v>2091</v>
      </c>
      <c r="L357" s="14" t="s">
        <v>2092</v>
      </c>
      <c r="M357" s="14" t="s">
        <v>9158</v>
      </c>
      <c r="N357" s="14" t="s">
        <v>9158</v>
      </c>
      <c r="O357" s="19" t="s">
        <v>2889</v>
      </c>
      <c r="P357" s="14" t="s">
        <v>2890</v>
      </c>
      <c r="Q357" s="14">
        <v>1</v>
      </c>
    </row>
    <row r="358" spans="1:17">
      <c r="A358" s="14" t="s">
        <v>5897</v>
      </c>
      <c r="B358" s="14" t="s">
        <v>52</v>
      </c>
      <c r="C358" s="14" t="s">
        <v>23</v>
      </c>
      <c r="D358" s="19" t="s">
        <v>277</v>
      </c>
      <c r="E358" s="15" t="str">
        <f>HYPERLINK("https://stat100.ameba.jp/tnk47/ratio20/illustrations/card/ill_40913_0_reigyokudensetsufusehime03.jpg?202003-i_prefecture_active_user", "■")</f>
        <v>■</v>
      </c>
      <c r="F358" s="14" t="s">
        <v>955</v>
      </c>
      <c r="G358" s="14">
        <v>120576</v>
      </c>
      <c r="H358" s="14">
        <v>128744</v>
      </c>
      <c r="I358" s="14">
        <v>22</v>
      </c>
      <c r="J358" s="14" t="s">
        <v>38</v>
      </c>
      <c r="K358" s="14" t="s">
        <v>956</v>
      </c>
      <c r="L358" s="14" t="s">
        <v>957</v>
      </c>
      <c r="M358" s="14" t="s">
        <v>9158</v>
      </c>
      <c r="N358" s="14" t="s">
        <v>9158</v>
      </c>
      <c r="O358" s="14" t="s">
        <v>9158</v>
      </c>
      <c r="P358" s="14" t="s">
        <v>9158</v>
      </c>
      <c r="Q358" s="14" t="s">
        <v>9158</v>
      </c>
    </row>
    <row r="359" spans="1:17">
      <c r="A359" s="14">
        <v>80413</v>
      </c>
      <c r="B359" s="14" t="s">
        <v>0</v>
      </c>
      <c r="C359" s="14" t="s">
        <v>185</v>
      </c>
      <c r="D359" s="19" t="s">
        <v>10397</v>
      </c>
      <c r="E359" s="15" t="str">
        <f>HYPERLINK("https://stat100.ameba.jp/tnk47/ratio20/illustrations/card/ill_80413_shikyushikitadanomakuzu03.jpg?202003-i_prefecture_active_user", "■")</f>
        <v>■</v>
      </c>
      <c r="F359" s="14" t="s">
        <v>4079</v>
      </c>
      <c r="G359" s="14">
        <v>73678</v>
      </c>
      <c r="H359" s="14">
        <v>130968</v>
      </c>
      <c r="I359" s="14">
        <v>26</v>
      </c>
      <c r="J359" s="14" t="s">
        <v>10</v>
      </c>
      <c r="K359" s="14" t="s">
        <v>4080</v>
      </c>
      <c r="L359" s="14" t="s">
        <v>4081</v>
      </c>
      <c r="M359" s="14" t="s">
        <v>9158</v>
      </c>
      <c r="N359" s="14" t="s">
        <v>9158</v>
      </c>
      <c r="O359" s="14" t="s">
        <v>9158</v>
      </c>
      <c r="P359" s="14" t="s">
        <v>9158</v>
      </c>
      <c r="Q359" s="14" t="s">
        <v>9158</v>
      </c>
    </row>
    <row r="360" spans="1:17">
      <c r="A360" s="14">
        <v>74923</v>
      </c>
      <c r="B360" s="14" t="s">
        <v>0</v>
      </c>
      <c r="C360" s="14" t="s">
        <v>205</v>
      </c>
      <c r="D360" s="19" t="s">
        <v>10879</v>
      </c>
      <c r="E360" s="15" t="str">
        <f>HYPERLINK("https://stat100.ameba.jp/tnk47/ratio20/illustrations/card/ill_74923_amenoshihomimi03.jpg?202003-i_prefecture_active_user", "■")</f>
        <v>■</v>
      </c>
      <c r="F360" s="14" t="s">
        <v>4574</v>
      </c>
      <c r="G360" s="14">
        <v>73678</v>
      </c>
      <c r="H360" s="14">
        <v>130968</v>
      </c>
      <c r="I360" s="14">
        <v>26</v>
      </c>
      <c r="J360" s="14" t="s">
        <v>44</v>
      </c>
      <c r="K360" s="14" t="s">
        <v>4575</v>
      </c>
      <c r="L360" s="14" t="s">
        <v>1209</v>
      </c>
      <c r="M360" s="14" t="s">
        <v>9158</v>
      </c>
      <c r="N360" s="14" t="s">
        <v>9158</v>
      </c>
      <c r="O360" s="14" t="s">
        <v>9158</v>
      </c>
      <c r="P360" s="14" t="s">
        <v>9158</v>
      </c>
      <c r="Q360" s="14" t="s">
        <v>9158</v>
      </c>
    </row>
    <row r="361" spans="1:17">
      <c r="A361" s="14">
        <v>80823</v>
      </c>
      <c r="B361" s="14" t="s">
        <v>334</v>
      </c>
      <c r="C361" s="14" t="s">
        <v>96</v>
      </c>
      <c r="D361" s="19" t="s">
        <v>10541</v>
      </c>
      <c r="E361" s="15" t="str">
        <f>HYPERLINK("https://stat100.ameba.jp/tnk47/ratio20/illustrations/card/ill_80823_utatanekitanokata03.jpg?202003-i_prefecture_active_user", "■")</f>
        <v>■</v>
      </c>
      <c r="F361" s="14" t="s">
        <v>4268</v>
      </c>
      <c r="G361" s="14">
        <v>143714</v>
      </c>
      <c r="H361" s="14">
        <v>154562</v>
      </c>
      <c r="I361" s="14">
        <v>26</v>
      </c>
      <c r="J361" s="14" t="s">
        <v>143</v>
      </c>
      <c r="K361" s="14" t="s">
        <v>4269</v>
      </c>
      <c r="L361" s="14" t="s">
        <v>1148</v>
      </c>
      <c r="M361" s="14" t="s">
        <v>9158</v>
      </c>
      <c r="N361" s="14" t="s">
        <v>9158</v>
      </c>
      <c r="O361" s="14" t="s">
        <v>9158</v>
      </c>
      <c r="P361" s="14" t="s">
        <v>9158</v>
      </c>
      <c r="Q361" s="14" t="s">
        <v>9158</v>
      </c>
    </row>
    <row r="362" spans="1:17">
      <c r="A362" s="14">
        <v>60703</v>
      </c>
      <c r="B362" s="14" t="s">
        <v>348</v>
      </c>
      <c r="C362" s="14" t="s">
        <v>205</v>
      </c>
      <c r="D362" s="19" t="s">
        <v>10900</v>
      </c>
      <c r="E362" s="15" t="str">
        <f>HYPERLINK("https://stat100.ameba.jp/tnk47/ratio20/illustrations/card/ill_60863_hieinihonrisuchan03.jpg?202003-i_prefecture_active_user", "■")</f>
        <v>■</v>
      </c>
      <c r="F362" s="14" t="s">
        <v>9688</v>
      </c>
      <c r="G362" s="14">
        <v>69898</v>
      </c>
      <c r="H362" s="14">
        <v>77064</v>
      </c>
      <c r="I362" s="14">
        <v>26</v>
      </c>
      <c r="J362" s="14" t="s">
        <v>26</v>
      </c>
      <c r="K362" s="14" t="s">
        <v>9687</v>
      </c>
      <c r="L362" s="14" t="s">
        <v>9686</v>
      </c>
      <c r="M362" s="14" t="s">
        <v>9158</v>
      </c>
      <c r="N362" s="14" t="s">
        <v>9158</v>
      </c>
      <c r="O362" s="14" t="s">
        <v>9158</v>
      </c>
      <c r="P362" s="14" t="s">
        <v>9158</v>
      </c>
      <c r="Q362" s="14" t="s">
        <v>9158</v>
      </c>
    </row>
    <row r="363" spans="1:17">
      <c r="A363" s="14">
        <v>78043</v>
      </c>
      <c r="B363" s="14" t="s">
        <v>15</v>
      </c>
      <c r="C363" s="14" t="s">
        <v>165</v>
      </c>
      <c r="D363" s="19" t="s">
        <v>10398</v>
      </c>
      <c r="E363" s="15" t="str">
        <f>HYPERLINK("https://stat100.ameba.jp/tnk47/ratio20/illustrations/card/ill_78043_yushinaishinno03.jpg?202003-i_prefecture_active_user", "■")</f>
        <v>■</v>
      </c>
      <c r="F363" s="14" t="s">
        <v>2213</v>
      </c>
      <c r="G363" s="14">
        <v>69898</v>
      </c>
      <c r="H363" s="14">
        <v>77064</v>
      </c>
      <c r="I363" s="14">
        <v>26</v>
      </c>
      <c r="J363" s="14" t="s">
        <v>16</v>
      </c>
      <c r="K363" s="14" t="s">
        <v>2214</v>
      </c>
      <c r="L363" s="14" t="s">
        <v>981</v>
      </c>
      <c r="M363" s="14" t="s">
        <v>9158</v>
      </c>
      <c r="N363" s="14" t="s">
        <v>9158</v>
      </c>
      <c r="O363" s="14" t="s">
        <v>9158</v>
      </c>
      <c r="P363" s="14" t="s">
        <v>9158</v>
      </c>
      <c r="Q363" s="14" t="s">
        <v>9158</v>
      </c>
    </row>
    <row r="364" spans="1:17">
      <c r="A364" s="14">
        <v>69083</v>
      </c>
      <c r="B364" s="14" t="s">
        <v>348</v>
      </c>
      <c r="C364" s="14" t="s">
        <v>206</v>
      </c>
      <c r="D364" s="19" t="s">
        <v>3014</v>
      </c>
      <c r="E364" s="15" t="str">
        <f>HYPERLINK("https://stat100.ameba.jp/tnk47/ratio20/illustrations/card/ill_69083_uintasupotsukuwahime03.jpg?202003-i_prefecture_active_user", "■")</f>
        <v>■</v>
      </c>
      <c r="F364" s="14" t="s">
        <v>3015</v>
      </c>
      <c r="G364" s="14">
        <v>69898</v>
      </c>
      <c r="H364" s="14">
        <v>77064</v>
      </c>
      <c r="I364" s="14">
        <v>26</v>
      </c>
      <c r="J364" s="14" t="s">
        <v>315</v>
      </c>
      <c r="K364" s="14" t="s">
        <v>3016</v>
      </c>
      <c r="L364" s="14" t="s">
        <v>596</v>
      </c>
      <c r="M364" s="14" t="s">
        <v>9158</v>
      </c>
      <c r="N364" s="14" t="s">
        <v>9158</v>
      </c>
      <c r="O364" s="14" t="s">
        <v>9158</v>
      </c>
      <c r="P364" s="14" t="s">
        <v>9158</v>
      </c>
      <c r="Q364" s="14" t="s">
        <v>9158</v>
      </c>
    </row>
    <row r="365" spans="1:17">
      <c r="E365" s="9"/>
    </row>
    <row r="366" spans="1:17">
      <c r="A366" s="9" t="s">
        <v>9690</v>
      </c>
      <c r="E366" s="9"/>
    </row>
    <row r="367" spans="1:17">
      <c r="A367" s="9" t="s">
        <v>9691</v>
      </c>
      <c r="E367" s="9"/>
    </row>
    <row r="368" spans="1:17">
      <c r="A368" s="14" t="s">
        <v>5620</v>
      </c>
      <c r="B368" s="14" t="s">
        <v>52</v>
      </c>
      <c r="C368" s="14" t="s">
        <v>344</v>
      </c>
      <c r="D368" s="19" t="s">
        <v>669</v>
      </c>
      <c r="E368" s="15" t="str">
        <f>HYPERLINK("https://stat100.ameba.jp/tnk47/ratio20/illustrations/card/ill_67173_0_yukemuriawamorichan03.jpg?202003-i_prefecture_active_user", "■")</f>
        <v>■</v>
      </c>
      <c r="F368" s="14" t="s">
        <v>2043</v>
      </c>
      <c r="G368" s="14">
        <v>184400</v>
      </c>
      <c r="H368" s="14">
        <v>171436</v>
      </c>
      <c r="I368" s="14">
        <v>24</v>
      </c>
      <c r="J368" s="14" t="s">
        <v>104</v>
      </c>
      <c r="K368" s="14" t="s">
        <v>2044</v>
      </c>
      <c r="L368" s="14" t="s">
        <v>2045</v>
      </c>
      <c r="M368" s="14" t="s">
        <v>9158</v>
      </c>
      <c r="N368" s="14" t="s">
        <v>9158</v>
      </c>
      <c r="O368" s="19" t="s">
        <v>10087</v>
      </c>
      <c r="P368" s="14" t="s">
        <v>3455</v>
      </c>
      <c r="Q368" s="14">
        <v>1</v>
      </c>
    </row>
    <row r="369" spans="1:17">
      <c r="A369" s="14">
        <v>60763</v>
      </c>
      <c r="B369" s="14" t="s">
        <v>334</v>
      </c>
      <c r="C369" s="14" t="s">
        <v>203</v>
      </c>
      <c r="D369" s="19" t="s">
        <v>10420</v>
      </c>
      <c r="E369" s="15" t="str">
        <f>HYPERLINK("https://stat100.ameba.jp/tnk47/ratio20/illustrations/card/ill_60763_fujiwarakagekiyo03.jpg?202003-i_prefecture_active_user", "■")</f>
        <v>■</v>
      </c>
      <c r="F369" s="14" t="s">
        <v>1146</v>
      </c>
      <c r="G369" s="14">
        <v>115656</v>
      </c>
      <c r="H369" s="14">
        <v>159674</v>
      </c>
      <c r="I369" s="14">
        <v>24</v>
      </c>
      <c r="J369" s="14" t="s">
        <v>143</v>
      </c>
      <c r="K369" s="14" t="s">
        <v>1147</v>
      </c>
      <c r="L369" s="14" t="s">
        <v>1148</v>
      </c>
      <c r="M369" s="14" t="s">
        <v>9158</v>
      </c>
      <c r="N369" s="14" t="s">
        <v>9158</v>
      </c>
      <c r="O369" s="19" t="s">
        <v>10112</v>
      </c>
      <c r="P369" s="14" t="s">
        <v>13150</v>
      </c>
      <c r="Q369" s="14">
        <v>1</v>
      </c>
    </row>
    <row r="370" spans="1:17">
      <c r="A370" s="14">
        <v>70843</v>
      </c>
      <c r="B370" s="14" t="s">
        <v>334</v>
      </c>
      <c r="C370" s="14" t="s">
        <v>268</v>
      </c>
      <c r="D370" s="19" t="s">
        <v>10651</v>
      </c>
      <c r="E370" s="15" t="str">
        <f>HYPERLINK("https://stat100.ameba.jp/tnk47/ratio20/illustrations/card/ill_70843_indoshinwakurionechan03.jpg?202003-i_prefecture_active_user", "■")</f>
        <v>■</v>
      </c>
      <c r="F370" s="14" t="s">
        <v>856</v>
      </c>
      <c r="G370" s="14">
        <v>101656</v>
      </c>
      <c r="H370" s="14">
        <v>109334</v>
      </c>
      <c r="I370" s="14">
        <v>24</v>
      </c>
      <c r="J370" s="14" t="s">
        <v>369</v>
      </c>
      <c r="K370" s="14" t="s">
        <v>857</v>
      </c>
      <c r="L370" s="14" t="s">
        <v>496</v>
      </c>
      <c r="M370" s="14" t="s">
        <v>9158</v>
      </c>
      <c r="N370" s="14" t="s">
        <v>9158</v>
      </c>
      <c r="O370" s="19" t="s">
        <v>10074</v>
      </c>
      <c r="P370" s="14" t="s">
        <v>3592</v>
      </c>
      <c r="Q370" s="14">
        <v>1</v>
      </c>
    </row>
    <row r="371" spans="1:17">
      <c r="A371" s="14">
        <v>76243</v>
      </c>
      <c r="B371" s="14" t="s">
        <v>334</v>
      </c>
      <c r="C371" s="14" t="s">
        <v>335</v>
      </c>
      <c r="D371" s="19" t="s">
        <v>10263</v>
      </c>
      <c r="E371" s="15" t="str">
        <f>HYPERLINK("https://stat100.ameba.jp/tnk47/ratio20/illustrations/card/ill_76243_haroinkaraguchinihonshuchan03.jpg?202003-i_prefecture_active_user", "■")</f>
        <v>■</v>
      </c>
      <c r="F371" s="14" t="s">
        <v>336</v>
      </c>
      <c r="G371" s="14">
        <v>113340</v>
      </c>
      <c r="H371" s="14">
        <v>105394</v>
      </c>
      <c r="I371" s="14">
        <v>24</v>
      </c>
      <c r="J371" s="14" t="s">
        <v>283</v>
      </c>
      <c r="K371" s="14" t="s">
        <v>337</v>
      </c>
      <c r="L371" s="14" t="s">
        <v>338</v>
      </c>
      <c r="M371" s="14" t="s">
        <v>9158</v>
      </c>
      <c r="N371" s="14" t="s">
        <v>9158</v>
      </c>
      <c r="O371" s="19" t="s">
        <v>10090</v>
      </c>
      <c r="P371" s="14" t="s">
        <v>3561</v>
      </c>
      <c r="Q371" s="14">
        <v>1</v>
      </c>
    </row>
    <row r="372" spans="1:17">
      <c r="E372" s="9"/>
    </row>
    <row r="373" spans="1:17">
      <c r="A373" s="9" t="s">
        <v>9692</v>
      </c>
      <c r="E373" s="9"/>
    </row>
    <row r="374" spans="1:17">
      <c r="A374" s="9" t="s">
        <v>9693</v>
      </c>
      <c r="E374" s="9"/>
    </row>
    <row r="375" spans="1:17">
      <c r="A375" s="14" t="s">
        <v>5899</v>
      </c>
      <c r="B375" s="14" t="s">
        <v>330</v>
      </c>
      <c r="C375" s="14" t="s">
        <v>205</v>
      </c>
      <c r="D375" s="19" t="s">
        <v>1559</v>
      </c>
      <c r="E375" s="15" t="str">
        <f>HYPERLINK("https://stat100.ameba.jp/tnk47/ratio20/illustrations/card/ill_73773_0_umibirakiinugamigyobu03.jpg?202003-i_prefecture_active_user", "■")</f>
        <v>■</v>
      </c>
      <c r="F375" s="14" t="s">
        <v>935</v>
      </c>
      <c r="G375" s="14">
        <v>208256</v>
      </c>
      <c r="H375" s="14">
        <v>224000</v>
      </c>
      <c r="I375" s="14">
        <v>24</v>
      </c>
      <c r="J375" s="14" t="s">
        <v>182</v>
      </c>
      <c r="K375" s="14" t="s">
        <v>936</v>
      </c>
      <c r="L375" s="14" t="s">
        <v>13147</v>
      </c>
      <c r="M375" s="14" t="s">
        <v>9158</v>
      </c>
      <c r="N375" s="14" t="s">
        <v>9158</v>
      </c>
      <c r="O375" s="19" t="s">
        <v>2978</v>
      </c>
      <c r="P375" s="14" t="s">
        <v>2979</v>
      </c>
      <c r="Q375" s="14">
        <v>2</v>
      </c>
    </row>
    <row r="376" spans="1:17">
      <c r="A376" s="14">
        <v>77683</v>
      </c>
      <c r="B376" s="14" t="s">
        <v>0</v>
      </c>
      <c r="C376" s="14" t="s">
        <v>203</v>
      </c>
      <c r="D376" s="19" t="s">
        <v>10220</v>
      </c>
      <c r="E376" s="15" t="str">
        <f>HYPERLINK("https://stat100.ameba.jp/tnk47/ratio20/illustrations/card/ill_77683_shukusainoujohoride03.jpg?202003-i_prefecture_active_user", "■")</f>
        <v>■</v>
      </c>
      <c r="F376" s="14" t="s">
        <v>1430</v>
      </c>
      <c r="G376" s="14">
        <v>109259</v>
      </c>
      <c r="H376" s="14">
        <v>79151</v>
      </c>
      <c r="I376" s="14">
        <v>25</v>
      </c>
      <c r="J376" s="14" t="s">
        <v>315</v>
      </c>
      <c r="K376" s="14" t="s">
        <v>1431</v>
      </c>
      <c r="L376" s="14" t="s">
        <v>1432</v>
      </c>
      <c r="M376" s="14" t="s">
        <v>9158</v>
      </c>
      <c r="N376" s="14" t="s">
        <v>9158</v>
      </c>
      <c r="O376" s="19" t="s">
        <v>10090</v>
      </c>
      <c r="P376" s="14" t="s">
        <v>3460</v>
      </c>
      <c r="Q376" s="14">
        <v>1</v>
      </c>
    </row>
    <row r="377" spans="1:17">
      <c r="A377" s="14">
        <v>68693</v>
      </c>
      <c r="B377" s="14" t="s">
        <v>334</v>
      </c>
      <c r="C377" s="14" t="s">
        <v>154</v>
      </c>
      <c r="D377" s="19" t="s">
        <v>10232</v>
      </c>
      <c r="E377" s="15" t="str">
        <f>HYPERLINK("https://stat100.ameba.jp/tnk47/ratio20/illustrations/card/ill_68693_mayoiga03.jpg?202003-i_prefecture_active_user", "■")</f>
        <v>■</v>
      </c>
      <c r="F377" s="14" t="s">
        <v>3466</v>
      </c>
      <c r="G377" s="14">
        <v>132144</v>
      </c>
      <c r="H377" s="14">
        <v>95703</v>
      </c>
      <c r="I377" s="14">
        <v>25</v>
      </c>
      <c r="J377" s="14" t="s">
        <v>73</v>
      </c>
      <c r="K377" s="14" t="s">
        <v>3467</v>
      </c>
      <c r="L377" s="14" t="s">
        <v>3468</v>
      </c>
      <c r="M377" s="14" t="s">
        <v>9158</v>
      </c>
      <c r="N377" s="14" t="s">
        <v>9158</v>
      </c>
      <c r="O377" s="19" t="s">
        <v>3037</v>
      </c>
      <c r="P377" s="14" t="s">
        <v>13128</v>
      </c>
      <c r="Q377" s="14">
        <v>1</v>
      </c>
    </row>
    <row r="378" spans="1:17">
      <c r="A378" s="14">
        <v>67103</v>
      </c>
      <c r="B378" s="14" t="s">
        <v>0</v>
      </c>
      <c r="C378" s="14" t="s">
        <v>154</v>
      </c>
      <c r="D378" s="19" t="s">
        <v>10253</v>
      </c>
      <c r="E378" s="15" t="str">
        <f>HYPERLINK("https://stat100.ameba.jp/tnk47/ratio20/illustrations/card/ill_67103_ankonabe03.jpg?202003-i_prefecture_active_user", "■")</f>
        <v>■</v>
      </c>
      <c r="F378" s="14" t="s">
        <v>1283</v>
      </c>
      <c r="G378" s="14">
        <v>95703</v>
      </c>
      <c r="H378" s="14">
        <v>132144</v>
      </c>
      <c r="I378" s="14">
        <v>25</v>
      </c>
      <c r="J378" s="14" t="s">
        <v>216</v>
      </c>
      <c r="K378" s="14" t="s">
        <v>1284</v>
      </c>
      <c r="L378" s="14" t="s">
        <v>13153</v>
      </c>
      <c r="M378" s="14" t="s">
        <v>9158</v>
      </c>
      <c r="N378" s="14" t="s">
        <v>9158</v>
      </c>
      <c r="O378" s="19" t="s">
        <v>4074</v>
      </c>
      <c r="P378" s="14" t="s">
        <v>3462</v>
      </c>
      <c r="Q378" s="14">
        <v>1</v>
      </c>
    </row>
    <row r="379" spans="1:17">
      <c r="E379" s="9"/>
    </row>
    <row r="380" spans="1:17">
      <c r="A380" s="9" t="s">
        <v>9694</v>
      </c>
      <c r="E380" s="9"/>
    </row>
    <row r="381" spans="1:17">
      <c r="A381" s="9" t="s">
        <v>9695</v>
      </c>
      <c r="E381" s="9"/>
    </row>
    <row r="382" spans="1:17">
      <c r="A382" s="14" t="s">
        <v>5650</v>
      </c>
      <c r="B382" s="14" t="s">
        <v>52</v>
      </c>
      <c r="C382" s="14" t="s">
        <v>23</v>
      </c>
      <c r="D382" s="19" t="s">
        <v>809</v>
      </c>
      <c r="E382" s="15" t="str">
        <f>HYPERLINK("https://stat100.ameba.jp/tnk47/ratio20/illustrations/card/ill_68033_0_kurisumasupateikandamyojin03.jpg?202003-i_prefecture_active_user", "■")</f>
        <v>■</v>
      </c>
      <c r="F382" s="14" t="s">
        <v>1871</v>
      </c>
      <c r="G382" s="14">
        <v>152594</v>
      </c>
      <c r="H382" s="14">
        <v>164144</v>
      </c>
      <c r="I382" s="14">
        <v>24</v>
      </c>
      <c r="J382" s="14" t="s">
        <v>44</v>
      </c>
      <c r="K382" s="14" t="s">
        <v>1872</v>
      </c>
      <c r="L382" s="14" t="s">
        <v>1873</v>
      </c>
      <c r="M382" s="14" t="s">
        <v>9158</v>
      </c>
      <c r="N382" s="14" t="s">
        <v>9158</v>
      </c>
      <c r="O382" s="19" t="s">
        <v>2997</v>
      </c>
      <c r="P382" s="14" t="s">
        <v>3483</v>
      </c>
      <c r="Q382" s="14">
        <v>2</v>
      </c>
    </row>
    <row r="383" spans="1:17">
      <c r="A383" s="14" t="s">
        <v>5778</v>
      </c>
      <c r="B383" s="14" t="s">
        <v>330</v>
      </c>
      <c r="C383" s="14" t="s">
        <v>205</v>
      </c>
      <c r="D383" s="19" t="s">
        <v>272</v>
      </c>
      <c r="E383" s="15" t="str">
        <f>HYPERLINK("https://stat100.ameba.jp/tnk47/ratio20/illustrations/card/ill_68783_0_gantammomotaro03.jpg?202003-i_prefecture_active_user", "■")</f>
        <v>■</v>
      </c>
      <c r="F383" s="14" t="s">
        <v>273</v>
      </c>
      <c r="G383" s="14">
        <v>164144</v>
      </c>
      <c r="H383" s="14">
        <v>152594</v>
      </c>
      <c r="I383" s="14">
        <v>24</v>
      </c>
      <c r="J383" s="14" t="s">
        <v>274</v>
      </c>
      <c r="K383" s="14" t="s">
        <v>275</v>
      </c>
      <c r="L383" s="14" t="s">
        <v>276</v>
      </c>
      <c r="M383" s="14" t="s">
        <v>9158</v>
      </c>
      <c r="N383" s="14" t="s">
        <v>9158</v>
      </c>
      <c r="O383" s="19" t="s">
        <v>10099</v>
      </c>
      <c r="P383" s="14" t="s">
        <v>3085</v>
      </c>
      <c r="Q383" s="14">
        <v>1</v>
      </c>
    </row>
    <row r="384" spans="1:17">
      <c r="A384" s="14" t="s">
        <v>5616</v>
      </c>
      <c r="B384" s="14" t="s">
        <v>52</v>
      </c>
      <c r="C384" s="14" t="s">
        <v>14</v>
      </c>
      <c r="D384" s="19" t="s">
        <v>638</v>
      </c>
      <c r="E384" s="15" t="str">
        <f>HYPERLINK("https://stat100.ameba.jp/tnk47/ratio20/illustrations/card/ill_44253_0_dokuganryudatemasamune03.jpg?202003-i_prefecture_active_user", "■")</f>
        <v>■</v>
      </c>
      <c r="F384" s="14" t="s">
        <v>1181</v>
      </c>
      <c r="G384" s="14">
        <v>131538</v>
      </c>
      <c r="H384" s="14">
        <v>140448</v>
      </c>
      <c r="I384" s="14">
        <v>24</v>
      </c>
      <c r="J384" s="14" t="s">
        <v>143</v>
      </c>
      <c r="K384" s="14" t="s">
        <v>1182</v>
      </c>
      <c r="L384" s="14" t="s">
        <v>1183</v>
      </c>
      <c r="M384" s="14" t="s">
        <v>9158</v>
      </c>
      <c r="N384" s="14" t="s">
        <v>9158</v>
      </c>
      <c r="O384" s="14" t="s">
        <v>9158</v>
      </c>
      <c r="P384" s="14" t="s">
        <v>9158</v>
      </c>
      <c r="Q384" s="14" t="s">
        <v>9158</v>
      </c>
    </row>
    <row r="385" spans="1:18">
      <c r="A385" s="9">
        <v>87163</v>
      </c>
      <c r="B385" s="9" t="s">
        <v>0</v>
      </c>
      <c r="C385" s="9" t="s">
        <v>205</v>
      </c>
      <c r="D385" s="19" t="s">
        <v>10974</v>
      </c>
      <c r="E385" s="15" t="str">
        <f>HYPERLINK("https://stat100.ameba.jp/tnk47/ratio20/illustrations/card/ill_87163_minazukikongoryunotsubone03.jpg?202003-i_prefecture_active_user", "■")</f>
        <v>■</v>
      </c>
      <c r="F385" s="9" t="s">
        <v>9546</v>
      </c>
      <c r="G385" s="9">
        <v>97651</v>
      </c>
      <c r="H385" s="9">
        <v>90759</v>
      </c>
      <c r="I385" s="9">
        <v>25</v>
      </c>
      <c r="J385" s="9" t="s">
        <v>187</v>
      </c>
      <c r="K385" s="9" t="s">
        <v>9545</v>
      </c>
      <c r="L385" s="9" t="s">
        <v>76</v>
      </c>
      <c r="M385" s="14" t="s">
        <v>9158</v>
      </c>
      <c r="N385" s="14" t="s">
        <v>9158</v>
      </c>
      <c r="O385" s="14" t="s">
        <v>9158</v>
      </c>
      <c r="P385" s="14" t="s">
        <v>9158</v>
      </c>
      <c r="Q385" s="14" t="s">
        <v>9158</v>
      </c>
    </row>
    <row r="386" spans="1:18">
      <c r="A386" s="9">
        <v>87173</v>
      </c>
      <c r="B386" s="9" t="s">
        <v>15</v>
      </c>
      <c r="C386" s="9" t="s">
        <v>200</v>
      </c>
      <c r="D386" s="19" t="s">
        <v>10975</v>
      </c>
      <c r="E386" s="15" t="str">
        <f>HYPERLINK("https://stat100.ameba.jp/tnk47/ratio20/illustrations/card/ill_87173_kuzuryu03.jpg?202003-i_prefecture_active_user", "■")</f>
        <v>■</v>
      </c>
      <c r="F386" s="9" t="s">
        <v>9543</v>
      </c>
      <c r="G386" s="9">
        <v>67210</v>
      </c>
      <c r="H386" s="9">
        <v>74100</v>
      </c>
      <c r="I386" s="9">
        <v>25</v>
      </c>
      <c r="J386" s="9" t="s">
        <v>169</v>
      </c>
      <c r="K386" s="9" t="s">
        <v>9542</v>
      </c>
      <c r="L386" s="9" t="s">
        <v>3319</v>
      </c>
      <c r="M386" s="14" t="s">
        <v>9158</v>
      </c>
      <c r="N386" s="14" t="s">
        <v>9158</v>
      </c>
      <c r="O386" s="14" t="s">
        <v>9158</v>
      </c>
      <c r="P386" s="14" t="s">
        <v>9158</v>
      </c>
      <c r="Q386" s="14" t="s">
        <v>9158</v>
      </c>
    </row>
    <row r="387" spans="1:18">
      <c r="A387" s="9">
        <v>87183</v>
      </c>
      <c r="B387" s="9" t="s">
        <v>22</v>
      </c>
      <c r="C387" s="9" t="s">
        <v>165</v>
      </c>
      <c r="D387" s="19" t="s">
        <v>10976</v>
      </c>
      <c r="E387" s="15" t="str">
        <f>HYPERLINK("https://stat100.ameba.jp/tnk47/ratio20/illustrations/card/ill_87183_tobaryu03.jpg?202003-i_prefecture_active_user", "■")</f>
        <v>■</v>
      </c>
      <c r="F387" s="9" t="s">
        <v>9540</v>
      </c>
      <c r="G387" s="9">
        <v>51980</v>
      </c>
      <c r="H387" s="9">
        <v>43220</v>
      </c>
      <c r="I387" s="9">
        <v>25</v>
      </c>
      <c r="J387" s="9" t="s">
        <v>229</v>
      </c>
      <c r="K387" s="9" t="s">
        <v>9539</v>
      </c>
      <c r="L387" s="9" t="s">
        <v>2321</v>
      </c>
      <c r="M387" s="14" t="s">
        <v>9158</v>
      </c>
      <c r="N387" s="14" t="s">
        <v>9158</v>
      </c>
      <c r="O387" s="14" t="s">
        <v>9158</v>
      </c>
      <c r="P387" s="14" t="s">
        <v>9158</v>
      </c>
      <c r="Q387" s="14" t="s">
        <v>9158</v>
      </c>
    </row>
    <row r="388" spans="1:18">
      <c r="A388" s="9">
        <v>87193</v>
      </c>
      <c r="B388" s="9" t="s">
        <v>30</v>
      </c>
      <c r="C388" s="9" t="s">
        <v>9526</v>
      </c>
      <c r="D388" s="19" t="s">
        <v>10977</v>
      </c>
      <c r="E388" s="15" t="str">
        <f>HYPERLINK("https://stat100.ameba.jp/tnk47/ratio20/illustrations/card/ill_87193_karatsukunchi03.jpg?202003-i_prefecture_active_user", "■")</f>
        <v>■</v>
      </c>
      <c r="F388" s="9" t="s">
        <v>9537</v>
      </c>
      <c r="G388" s="9">
        <v>26430</v>
      </c>
      <c r="H388" s="9">
        <v>31470</v>
      </c>
      <c r="I388" s="9">
        <v>25</v>
      </c>
      <c r="J388" s="9" t="s">
        <v>229</v>
      </c>
      <c r="K388" s="9" t="s">
        <v>9536</v>
      </c>
      <c r="L388" s="9" t="s">
        <v>2221</v>
      </c>
      <c r="M388" s="14" t="s">
        <v>9158</v>
      </c>
      <c r="N388" s="14" t="s">
        <v>9158</v>
      </c>
      <c r="O388" s="14" t="s">
        <v>9158</v>
      </c>
      <c r="P388" s="14" t="s">
        <v>9158</v>
      </c>
      <c r="Q388" s="14" t="s">
        <v>9158</v>
      </c>
    </row>
    <row r="389" spans="1:18">
      <c r="E389" s="9"/>
    </row>
    <row r="390" spans="1:18">
      <c r="A390" s="14" t="s">
        <v>13327</v>
      </c>
      <c r="B390" s="14"/>
      <c r="C390" s="14"/>
      <c r="D390" s="14"/>
      <c r="F390" s="14"/>
      <c r="G390" s="14"/>
      <c r="H390" s="14"/>
      <c r="I390" s="14"/>
      <c r="J390" s="14"/>
      <c r="K390" s="14"/>
      <c r="L390" s="14"/>
      <c r="M390" s="14"/>
      <c r="N390" s="14"/>
      <c r="O390" s="14"/>
      <c r="P390" s="14"/>
      <c r="Q390" s="14"/>
      <c r="R390" s="14"/>
    </row>
    <row r="391" spans="1:18">
      <c r="A391" s="14" t="s">
        <v>9696</v>
      </c>
      <c r="B391" s="14"/>
      <c r="C391" s="14"/>
      <c r="D391" s="14"/>
      <c r="F391" s="14"/>
      <c r="G391" s="14"/>
      <c r="H391" s="14"/>
      <c r="I391" s="14"/>
      <c r="J391" s="14"/>
      <c r="K391" s="14"/>
      <c r="L391" s="14"/>
      <c r="M391" s="14"/>
      <c r="N391" s="14"/>
      <c r="O391" s="14"/>
      <c r="P391" s="14"/>
      <c r="Q391" s="14"/>
      <c r="R391" s="14"/>
    </row>
    <row r="392" spans="1:18">
      <c r="A392" s="14">
        <v>82213</v>
      </c>
      <c r="B392" s="14" t="s">
        <v>0</v>
      </c>
      <c r="C392" s="14" t="s">
        <v>185</v>
      </c>
      <c r="D392" s="19" t="s">
        <v>10185</v>
      </c>
      <c r="E392" s="15" t="str">
        <f>HYPERLINK("https://stat100.ameba.jp/tnk47/ratio20/illustrations/card/ill_82213_tatarimokke03.jpg?202003-i_prefecture_active_user", "■")</f>
        <v>■</v>
      </c>
      <c r="F392" s="14" t="s">
        <v>4935</v>
      </c>
      <c r="G392" s="14">
        <v>119006</v>
      </c>
      <c r="H392" s="14">
        <v>128000</v>
      </c>
      <c r="I392" s="7">
        <v>26</v>
      </c>
      <c r="J392" s="14" t="s">
        <v>182</v>
      </c>
      <c r="K392" s="14" t="s">
        <v>4937</v>
      </c>
      <c r="L392" s="14" t="s">
        <v>13191</v>
      </c>
      <c r="M392" s="14" t="s">
        <v>13130</v>
      </c>
      <c r="N392" s="14" t="s">
        <v>343</v>
      </c>
      <c r="O392" s="14" t="s">
        <v>9158</v>
      </c>
      <c r="P392" s="14" t="s">
        <v>9158</v>
      </c>
      <c r="Q392" s="14" t="s">
        <v>9158</v>
      </c>
      <c r="R392" s="14" t="s">
        <v>14748</v>
      </c>
    </row>
    <row r="393" spans="1:18">
      <c r="A393" s="14">
        <v>82212</v>
      </c>
      <c r="B393" s="14" t="s">
        <v>334</v>
      </c>
      <c r="C393" s="14" t="s">
        <v>185</v>
      </c>
      <c r="D393" s="19" t="s">
        <v>10185</v>
      </c>
      <c r="E393" s="15" t="str">
        <f>HYPERLINK("https://stat100.ameba.jp/tnk47/ratio20/illustrations/card/ill_82212_tatarimokke02.jpg?202003-i_prefecture_active_user", "■")</f>
        <v>■</v>
      </c>
      <c r="F393" s="14" t="s">
        <v>4935</v>
      </c>
      <c r="G393" s="14">
        <v>98566</v>
      </c>
      <c r="H393" s="14">
        <v>107000</v>
      </c>
      <c r="I393" s="7">
        <v>26</v>
      </c>
      <c r="J393" s="14" t="s">
        <v>182</v>
      </c>
      <c r="K393" s="14" t="s">
        <v>4937</v>
      </c>
      <c r="L393" s="14" t="s">
        <v>13191</v>
      </c>
      <c r="M393" s="14" t="s">
        <v>13131</v>
      </c>
      <c r="N393" s="14" t="s">
        <v>251</v>
      </c>
      <c r="O393" s="14" t="s">
        <v>9158</v>
      </c>
      <c r="P393" s="14" t="s">
        <v>9158</v>
      </c>
      <c r="Q393" s="14" t="s">
        <v>9158</v>
      </c>
      <c r="R393" s="14" t="s">
        <v>14748</v>
      </c>
    </row>
    <row r="394" spans="1:18">
      <c r="A394" s="14">
        <v>82211</v>
      </c>
      <c r="B394" s="14" t="s">
        <v>0</v>
      </c>
      <c r="C394" s="14" t="s">
        <v>185</v>
      </c>
      <c r="D394" s="19" t="s">
        <v>10185</v>
      </c>
      <c r="E394" s="15" t="str">
        <f>HYPERLINK("https://stat100.ameba.jp/tnk47/ratio20/illustrations/card/ill_82211_tatarimokke01.jpg?202003-i_prefecture_active_user", "■")</f>
        <v>■</v>
      </c>
      <c r="F394" s="14" t="s">
        <v>4935</v>
      </c>
      <c r="G394" s="14">
        <v>76050</v>
      </c>
      <c r="H394" s="14">
        <v>81692</v>
      </c>
      <c r="I394" s="7">
        <v>26</v>
      </c>
      <c r="J394" s="14" t="s">
        <v>182</v>
      </c>
      <c r="K394" s="14" t="s">
        <v>4937</v>
      </c>
      <c r="L394" s="14" t="s">
        <v>13191</v>
      </c>
      <c r="M394" s="14" t="s">
        <v>13131</v>
      </c>
      <c r="N394" s="14" t="s">
        <v>251</v>
      </c>
      <c r="O394" s="14" t="s">
        <v>9158</v>
      </c>
      <c r="P394" s="14" t="s">
        <v>9158</v>
      </c>
      <c r="Q394" s="14" t="s">
        <v>9158</v>
      </c>
      <c r="R394" s="14" t="s">
        <v>14748</v>
      </c>
    </row>
    <row r="395" spans="1:18">
      <c r="A395" s="14">
        <v>82223</v>
      </c>
      <c r="B395" s="14" t="s">
        <v>334</v>
      </c>
      <c r="C395" s="14" t="s">
        <v>200</v>
      </c>
      <c r="D395" s="19" t="s">
        <v>10186</v>
      </c>
      <c r="E395" s="15" t="str">
        <f>HYPERLINK("https://stat100.ameba.jp/tnk47/ratio20/illustrations/card/ill_82223_oyayubihime03.jpg?202003-i_prefecture_active_user", "■")</f>
        <v>■</v>
      </c>
      <c r="F395" s="14" t="s">
        <v>4931</v>
      </c>
      <c r="G395" s="14">
        <v>128000</v>
      </c>
      <c r="H395" s="14">
        <v>119006</v>
      </c>
      <c r="I395" s="7">
        <v>26</v>
      </c>
      <c r="J395" s="14" t="s">
        <v>155</v>
      </c>
      <c r="K395" s="14" t="s">
        <v>4933</v>
      </c>
      <c r="L395" s="14" t="s">
        <v>4934</v>
      </c>
      <c r="M395" s="14" t="s">
        <v>13130</v>
      </c>
      <c r="N395" s="14" t="s">
        <v>343</v>
      </c>
      <c r="O395" s="14" t="s">
        <v>9158</v>
      </c>
      <c r="P395" s="14" t="s">
        <v>9158</v>
      </c>
      <c r="Q395" s="14" t="s">
        <v>9158</v>
      </c>
      <c r="R395" s="14" t="s">
        <v>14748</v>
      </c>
    </row>
    <row r="396" spans="1:18">
      <c r="A396" s="14">
        <v>82233</v>
      </c>
      <c r="B396" s="14" t="s">
        <v>334</v>
      </c>
      <c r="C396" s="14" t="s">
        <v>191</v>
      </c>
      <c r="D396" s="19" t="s">
        <v>10187</v>
      </c>
      <c r="E396" s="15" t="str">
        <f>HYPERLINK("https://stat100.ameba.jp/tnk47/ratio20/illustrations/card/ill_82233_iseokiku03.jpg?202003-i_prefecture_active_user", "■")</f>
        <v>■</v>
      </c>
      <c r="F396" s="14" t="s">
        <v>4924</v>
      </c>
      <c r="G396" s="14">
        <v>128000</v>
      </c>
      <c r="H396" s="14">
        <v>119006</v>
      </c>
      <c r="I396" s="7">
        <v>26</v>
      </c>
      <c r="J396" s="14" t="s">
        <v>187</v>
      </c>
      <c r="K396" s="14" t="s">
        <v>4926</v>
      </c>
      <c r="L396" s="14" t="s">
        <v>4930</v>
      </c>
      <c r="M396" s="14" t="s">
        <v>13130</v>
      </c>
      <c r="N396" s="14" t="s">
        <v>343</v>
      </c>
      <c r="O396" s="14" t="s">
        <v>9158</v>
      </c>
      <c r="P396" s="14" t="s">
        <v>9158</v>
      </c>
      <c r="Q396" s="14" t="s">
        <v>9158</v>
      </c>
      <c r="R396" s="14" t="s">
        <v>14748</v>
      </c>
    </row>
    <row r="397" spans="1:18">
      <c r="A397" s="14">
        <v>82243</v>
      </c>
      <c r="B397" s="14" t="s">
        <v>0</v>
      </c>
      <c r="C397" s="14" t="s">
        <v>165</v>
      </c>
      <c r="D397" s="19" t="s">
        <v>10188</v>
      </c>
      <c r="E397" s="15" t="str">
        <f>HYPERLINK("https://stat100.ameba.jp/tnk47/ratio20/illustrations/card/ill_82243_nanohana03.jpg?202003-i_prefecture_active_user", "■")</f>
        <v>■</v>
      </c>
      <c r="F397" s="14" t="s">
        <v>4921</v>
      </c>
      <c r="G397" s="14">
        <v>128000</v>
      </c>
      <c r="H397" s="14">
        <v>119006</v>
      </c>
      <c r="I397" s="7">
        <v>26</v>
      </c>
      <c r="J397" s="14" t="s">
        <v>229</v>
      </c>
      <c r="K397" s="14" t="s">
        <v>4923</v>
      </c>
      <c r="L397" s="14" t="s">
        <v>4929</v>
      </c>
      <c r="M397" s="14" t="s">
        <v>13130</v>
      </c>
      <c r="N397" s="14" t="s">
        <v>343</v>
      </c>
      <c r="O397" s="14" t="s">
        <v>9158</v>
      </c>
      <c r="P397" s="14" t="s">
        <v>9158</v>
      </c>
      <c r="Q397" s="14" t="s">
        <v>9158</v>
      </c>
      <c r="R397" s="14" t="s">
        <v>14748</v>
      </c>
    </row>
    <row r="398" spans="1:18">
      <c r="A398" s="14">
        <v>82253</v>
      </c>
      <c r="B398" s="14" t="s">
        <v>334</v>
      </c>
      <c r="C398" s="14" t="s">
        <v>205</v>
      </c>
      <c r="D398" s="19" t="s">
        <v>10189</v>
      </c>
      <c r="E398" s="15" t="str">
        <f>HYPERLINK("https://stat100.ameba.jp/tnk47/ratio20/illustrations/card/ill_82253_ajisaikyogokuichiko03.jpg?202003-i_prefecture_active_user", "■")</f>
        <v>■</v>
      </c>
      <c r="F398" s="14" t="s">
        <v>4920</v>
      </c>
      <c r="G398" s="14">
        <v>119006</v>
      </c>
      <c r="H398" s="14">
        <v>128000</v>
      </c>
      <c r="I398" s="7">
        <v>26</v>
      </c>
      <c r="J398" s="14" t="s">
        <v>159</v>
      </c>
      <c r="K398" s="14" t="s">
        <v>4919</v>
      </c>
      <c r="L398" s="14" t="s">
        <v>4927</v>
      </c>
      <c r="M398" s="14" t="s">
        <v>13130</v>
      </c>
      <c r="N398" s="14" t="s">
        <v>343</v>
      </c>
      <c r="O398" s="14" t="s">
        <v>9158</v>
      </c>
      <c r="P398" s="14" t="s">
        <v>9158</v>
      </c>
      <c r="Q398" s="14" t="s">
        <v>9158</v>
      </c>
      <c r="R398" s="14" t="s">
        <v>14748</v>
      </c>
    </row>
    <row r="399" spans="1:18">
      <c r="A399" s="14">
        <v>82263</v>
      </c>
      <c r="B399" s="14" t="s">
        <v>334</v>
      </c>
      <c r="C399" s="14" t="s">
        <v>206</v>
      </c>
      <c r="D399" s="19" t="s">
        <v>10190</v>
      </c>
      <c r="E399" s="15" t="str">
        <f>HYPERLINK("https://stat100.ameba.jp/tnk47/ratio20/illustrations/card/ill_82263_euterupe03.jpg?202003-i_prefecture_active_user", "■")</f>
        <v>■</v>
      </c>
      <c r="F399" s="14" t="s">
        <v>4915</v>
      </c>
      <c r="G399" s="14">
        <v>119006</v>
      </c>
      <c r="H399" s="14">
        <v>128000</v>
      </c>
      <c r="I399" s="7">
        <v>26</v>
      </c>
      <c r="J399" s="14" t="s">
        <v>169</v>
      </c>
      <c r="K399" s="14" t="s">
        <v>4917</v>
      </c>
      <c r="L399" s="14" t="s">
        <v>4928</v>
      </c>
      <c r="M399" s="14" t="s">
        <v>13130</v>
      </c>
      <c r="N399" s="14" t="s">
        <v>343</v>
      </c>
      <c r="O399" s="14" t="s">
        <v>9158</v>
      </c>
      <c r="P399" s="14" t="s">
        <v>9158</v>
      </c>
      <c r="Q399" s="14" t="s">
        <v>9158</v>
      </c>
      <c r="R399" s="14" t="s">
        <v>14748</v>
      </c>
    </row>
    <row r="400" spans="1:18">
      <c r="E400" s="9"/>
    </row>
    <row r="401" spans="1:19">
      <c r="A401" s="9" t="s">
        <v>9697</v>
      </c>
      <c r="E401" s="9"/>
    </row>
    <row r="402" spans="1:19">
      <c r="A402" s="9" t="s">
        <v>9698</v>
      </c>
      <c r="E402" s="9"/>
    </row>
    <row r="403" spans="1:19">
      <c r="A403" s="9" t="s">
        <v>9699</v>
      </c>
      <c r="B403" s="14" t="s">
        <v>52</v>
      </c>
      <c r="C403" s="14" t="s">
        <v>200</v>
      </c>
      <c r="D403" s="19" t="s">
        <v>809</v>
      </c>
      <c r="E403" s="15" t="str">
        <f>HYPERLINK("https://stat100.ameba.jp/tnk47/ratio20/illustrations/card/ill_68033_0_kurisumasupateikandamyojin03.jpg?202003-i_prefecture_active_user", "■")</f>
        <v>■</v>
      </c>
      <c r="F403" s="14" t="s">
        <v>1871</v>
      </c>
      <c r="G403" s="14">
        <v>127162</v>
      </c>
      <c r="H403" s="14">
        <v>136788</v>
      </c>
      <c r="I403" s="14">
        <v>20</v>
      </c>
      <c r="J403" s="14" t="s">
        <v>44</v>
      </c>
      <c r="K403" s="14" t="s">
        <v>1872</v>
      </c>
      <c r="L403" s="14" t="s">
        <v>1873</v>
      </c>
      <c r="M403" s="14" t="s">
        <v>9158</v>
      </c>
      <c r="N403" s="14" t="s">
        <v>9158</v>
      </c>
      <c r="O403" s="19" t="s">
        <v>2997</v>
      </c>
      <c r="P403" s="14" t="s">
        <v>3483</v>
      </c>
      <c r="Q403" s="14">
        <v>2</v>
      </c>
    </row>
    <row r="404" spans="1:19">
      <c r="A404" s="14" t="s">
        <v>5610</v>
      </c>
      <c r="B404" s="14" t="s">
        <v>330</v>
      </c>
      <c r="C404" s="14" t="s">
        <v>185</v>
      </c>
      <c r="D404" s="19" t="s">
        <v>539</v>
      </c>
      <c r="E404" s="15" t="str">
        <f>HYPERLINK("https://stat100.ameba.jp/tnk47/ratio20/illustrations/card/ill_60633_0_harumaisentoin03.jpg?202003-i_prefecture_active_user", "■")</f>
        <v>■</v>
      </c>
      <c r="F404" s="14" t="s">
        <v>540</v>
      </c>
      <c r="G404" s="14">
        <v>127162</v>
      </c>
      <c r="H404" s="14">
        <v>136788</v>
      </c>
      <c r="I404" s="14">
        <v>20</v>
      </c>
      <c r="J404" s="14" t="s">
        <v>274</v>
      </c>
      <c r="K404" s="14" t="s">
        <v>541</v>
      </c>
      <c r="L404" s="14" t="s">
        <v>542</v>
      </c>
      <c r="M404" s="14" t="s">
        <v>9158</v>
      </c>
      <c r="N404" s="14" t="s">
        <v>9158</v>
      </c>
      <c r="O404" s="19" t="s">
        <v>2888</v>
      </c>
      <c r="P404" s="14" t="s">
        <v>3144</v>
      </c>
      <c r="Q404" s="14">
        <v>1</v>
      </c>
    </row>
    <row r="405" spans="1:19">
      <c r="A405" s="14" t="s">
        <v>5612</v>
      </c>
      <c r="B405" s="14" t="s">
        <v>52</v>
      </c>
      <c r="C405" s="14" t="s">
        <v>165</v>
      </c>
      <c r="D405" s="19" t="s">
        <v>789</v>
      </c>
      <c r="E405" s="15" t="str">
        <f>HYPERLINK("https://stat100.ameba.jp/tnk47/ratio20/illustrations/card/ill_49193_0_onmyoudouabenoseimei03.jpg?202003-i_prefecture_active_user", "■")</f>
        <v>■</v>
      </c>
      <c r="F405" s="14" t="s">
        <v>1896</v>
      </c>
      <c r="G405" s="14">
        <v>111616</v>
      </c>
      <c r="H405" s="14">
        <v>125648</v>
      </c>
      <c r="I405" s="14">
        <v>20</v>
      </c>
      <c r="J405" s="14" t="s">
        <v>10</v>
      </c>
      <c r="K405" s="14" t="s">
        <v>1897</v>
      </c>
      <c r="L405" s="14" t="s">
        <v>1898</v>
      </c>
      <c r="M405" s="14" t="s">
        <v>9158</v>
      </c>
      <c r="N405" s="14" t="s">
        <v>9158</v>
      </c>
      <c r="O405" s="14" t="s">
        <v>9158</v>
      </c>
      <c r="P405" s="14" t="s">
        <v>9158</v>
      </c>
      <c r="Q405" s="14" t="s">
        <v>9158</v>
      </c>
    </row>
    <row r="406" spans="1:19">
      <c r="A406" s="9">
        <v>84443</v>
      </c>
      <c r="B406" s="9" t="s">
        <v>9700</v>
      </c>
      <c r="C406" s="9" t="s">
        <v>9701</v>
      </c>
      <c r="D406" s="19" t="s">
        <v>11889</v>
      </c>
      <c r="E406" s="15" t="str">
        <f>HYPERLINK("https://stat100.ameba.jp/tnk47/ratio20/illustrations/card/ill_84443_jogingukininchan03.jpg?202003-i_prefecture_active_user", "■")</f>
        <v>■</v>
      </c>
      <c r="F406" s="9" t="s">
        <v>9714</v>
      </c>
      <c r="G406" s="9">
        <v>110126</v>
      </c>
      <c r="H406" s="9">
        <v>118446</v>
      </c>
      <c r="I406" s="9">
        <v>26</v>
      </c>
      <c r="J406" s="9" t="s">
        <v>9702</v>
      </c>
      <c r="K406" s="9" t="s">
        <v>9713</v>
      </c>
      <c r="L406" s="9" t="s">
        <v>9712</v>
      </c>
      <c r="M406" s="14" t="s">
        <v>9158</v>
      </c>
      <c r="N406" s="14" t="s">
        <v>9158</v>
      </c>
      <c r="O406" s="14" t="s">
        <v>9158</v>
      </c>
      <c r="P406" s="14" t="s">
        <v>9158</v>
      </c>
      <c r="Q406" s="14" t="s">
        <v>9158</v>
      </c>
      <c r="S406" s="14" t="s">
        <v>11890</v>
      </c>
    </row>
    <row r="407" spans="1:19">
      <c r="A407" s="9">
        <v>82743</v>
      </c>
      <c r="B407" s="9" t="s">
        <v>9700</v>
      </c>
      <c r="C407" s="9" t="s">
        <v>9701</v>
      </c>
      <c r="D407" s="19" t="s">
        <v>11891</v>
      </c>
      <c r="E407" s="15" t="str">
        <f>HYPERLINK("https://stat100.ameba.jp/tnk47/ratio20/illustrations/card/ill_82743_furesshumirukuyokubukanyobo03.jpg?202003-i_prefecture_active_user", "■")</f>
        <v>■</v>
      </c>
      <c r="F407" s="9" t="s">
        <v>9717</v>
      </c>
      <c r="G407" s="9">
        <v>110126</v>
      </c>
      <c r="H407" s="9">
        <v>118656</v>
      </c>
      <c r="I407" s="9">
        <v>26</v>
      </c>
      <c r="J407" s="9" t="s">
        <v>9705</v>
      </c>
      <c r="K407" s="9" t="s">
        <v>9716</v>
      </c>
      <c r="L407" s="9" t="s">
        <v>9715</v>
      </c>
      <c r="M407" s="14" t="s">
        <v>9158</v>
      </c>
      <c r="N407" s="14" t="s">
        <v>9158</v>
      </c>
      <c r="O407" s="14" t="s">
        <v>9158</v>
      </c>
      <c r="P407" s="14" t="s">
        <v>9158</v>
      </c>
      <c r="Q407" s="14" t="s">
        <v>9158</v>
      </c>
      <c r="S407" s="14" t="s">
        <v>11892</v>
      </c>
    </row>
    <row r="408" spans="1:19">
      <c r="A408" s="9">
        <v>81463</v>
      </c>
      <c r="B408" s="9" t="s">
        <v>9700</v>
      </c>
      <c r="C408" s="9" t="s">
        <v>9704</v>
      </c>
      <c r="D408" s="19" t="s">
        <v>11893</v>
      </c>
      <c r="E408" s="15" t="str">
        <f>HYPERLINK("https://stat100.ameba.jp/tnk47/ratio20/illustrations/card/ill_81463_puchidebiruhokkaidobatachan03.jpg?202003-i_prefecture_active_user", "■")</f>
        <v>■</v>
      </c>
      <c r="F408" s="9" t="s">
        <v>9720</v>
      </c>
      <c r="G408" s="9">
        <v>122786</v>
      </c>
      <c r="H408" s="9">
        <v>114176</v>
      </c>
      <c r="I408" s="9">
        <v>26</v>
      </c>
      <c r="J408" s="9" t="s">
        <v>9706</v>
      </c>
      <c r="K408" s="9" t="s">
        <v>9719</v>
      </c>
      <c r="L408" s="9" t="s">
        <v>9718</v>
      </c>
      <c r="M408" s="14" t="s">
        <v>9158</v>
      </c>
      <c r="N408" s="14" t="s">
        <v>9158</v>
      </c>
      <c r="O408" s="14" t="s">
        <v>9158</v>
      </c>
      <c r="P408" s="14" t="s">
        <v>9158</v>
      </c>
      <c r="Q408" s="14" t="s">
        <v>9158</v>
      </c>
      <c r="S408" s="14" t="s">
        <v>11894</v>
      </c>
    </row>
    <row r="409" spans="1:19">
      <c r="A409" s="9">
        <v>75743</v>
      </c>
      <c r="B409" s="9" t="s">
        <v>9703</v>
      </c>
      <c r="C409" s="9" t="s">
        <v>9709</v>
      </c>
      <c r="D409" s="19" t="s">
        <v>11886</v>
      </c>
      <c r="E409" s="15" t="str">
        <f>HYPERLINK("https://stat100.ameba.jp/tnk47/ratio20/illustrations/card/ill_75743_yagyumuneyoshi03.jpg?202003-i_prefecture_active_user", "■")</f>
        <v>■</v>
      </c>
      <c r="F409" s="9" t="s">
        <v>9723</v>
      </c>
      <c r="G409" s="9">
        <v>69898</v>
      </c>
      <c r="H409" s="9">
        <v>77064</v>
      </c>
      <c r="I409" s="9">
        <v>26</v>
      </c>
      <c r="J409" s="9" t="s">
        <v>9707</v>
      </c>
      <c r="K409" s="9" t="s">
        <v>9722</v>
      </c>
      <c r="L409" s="9" t="s">
        <v>9721</v>
      </c>
      <c r="M409" s="14" t="s">
        <v>9158</v>
      </c>
      <c r="N409" s="14" t="s">
        <v>9158</v>
      </c>
      <c r="O409" s="14" t="s">
        <v>9158</v>
      </c>
      <c r="P409" s="14" t="s">
        <v>9158</v>
      </c>
      <c r="Q409" s="14" t="s">
        <v>9158</v>
      </c>
      <c r="S409" s="14" t="s">
        <v>11887</v>
      </c>
    </row>
    <row r="410" spans="1:19">
      <c r="A410" s="9">
        <v>78173</v>
      </c>
      <c r="B410" s="9" t="s">
        <v>9703</v>
      </c>
      <c r="C410" s="9" t="s">
        <v>9710</v>
      </c>
      <c r="D410" s="19" t="s">
        <v>11888</v>
      </c>
      <c r="E410" s="15" t="str">
        <f>HYPERLINK("https://stat100.ameba.jp/tnk47/ratio20/illustrations/card/ill_78173_raguzatama03.jpg?202003-i_prefecture_active_user", "■")</f>
        <v>■</v>
      </c>
      <c r="F410" s="9" t="s">
        <v>9726</v>
      </c>
      <c r="G410" s="9">
        <v>77064</v>
      </c>
      <c r="H410" s="9">
        <v>69898</v>
      </c>
      <c r="I410" s="9">
        <v>26</v>
      </c>
      <c r="J410" s="9" t="s">
        <v>9708</v>
      </c>
      <c r="K410" s="9" t="s">
        <v>9725</v>
      </c>
      <c r="L410" s="9" t="s">
        <v>9724</v>
      </c>
      <c r="M410" s="14" t="s">
        <v>9158</v>
      </c>
      <c r="N410" s="14" t="s">
        <v>9158</v>
      </c>
      <c r="O410" s="14" t="s">
        <v>9158</v>
      </c>
      <c r="P410" s="14" t="s">
        <v>9158</v>
      </c>
      <c r="Q410" s="14" t="s">
        <v>9158</v>
      </c>
      <c r="S410" s="14" t="s">
        <v>11805</v>
      </c>
    </row>
    <row r="411" spans="1:19">
      <c r="A411" s="9">
        <v>75523</v>
      </c>
      <c r="B411" s="9" t="s">
        <v>9703</v>
      </c>
      <c r="C411" s="9" t="s">
        <v>9711</v>
      </c>
      <c r="D411" s="19" t="s">
        <v>11845</v>
      </c>
      <c r="E411" s="15" t="str">
        <f>HYPERLINK("https://stat100.ameba.jp/tnk47/ratio20/illustrations/card/ill_75523_shirakawago03.jpg?202003-i_prefecture_active_user", "■")</f>
        <v>■</v>
      </c>
      <c r="F411" s="9" t="s">
        <v>9729</v>
      </c>
      <c r="G411" s="9">
        <v>77064</v>
      </c>
      <c r="H411" s="9">
        <v>69898</v>
      </c>
      <c r="I411" s="9">
        <v>26</v>
      </c>
      <c r="J411" s="9" t="s">
        <v>9702</v>
      </c>
      <c r="K411" s="9" t="s">
        <v>9728</v>
      </c>
      <c r="L411" s="9" t="s">
        <v>9727</v>
      </c>
      <c r="M411" s="14" t="s">
        <v>9158</v>
      </c>
      <c r="N411" s="14" t="s">
        <v>9158</v>
      </c>
      <c r="O411" s="14" t="s">
        <v>9158</v>
      </c>
      <c r="P411" s="14" t="s">
        <v>9158</v>
      </c>
      <c r="Q411" s="14" t="s">
        <v>9158</v>
      </c>
      <c r="S411" s="14" t="s">
        <v>11846</v>
      </c>
    </row>
    <row r="412" spans="1:19">
      <c r="E412" s="9"/>
    </row>
    <row r="413" spans="1:19">
      <c r="A413" s="14" t="s">
        <v>4767</v>
      </c>
      <c r="B413" s="14"/>
      <c r="C413" s="14"/>
      <c r="D413" s="14"/>
      <c r="F413" s="14"/>
      <c r="G413" s="14"/>
      <c r="H413" s="14"/>
      <c r="I413" s="14"/>
      <c r="J413" s="14"/>
      <c r="K413" s="14"/>
      <c r="L413" s="14"/>
      <c r="M413" s="14"/>
      <c r="N413" s="14"/>
      <c r="O413" s="14"/>
      <c r="P413" s="14"/>
      <c r="Q413" s="14"/>
    </row>
    <row r="414" spans="1:19">
      <c r="A414" s="14" t="s">
        <v>9730</v>
      </c>
      <c r="B414" s="14"/>
      <c r="C414" s="14"/>
      <c r="D414" s="14"/>
      <c r="F414" s="14"/>
      <c r="G414" s="14"/>
      <c r="H414" s="14"/>
      <c r="I414" s="14"/>
      <c r="J414" s="14"/>
      <c r="K414" s="14"/>
      <c r="L414" s="14"/>
      <c r="M414" s="14"/>
      <c r="N414" s="14"/>
      <c r="O414" s="14"/>
      <c r="P414" s="14"/>
      <c r="Q414" s="14"/>
    </row>
    <row r="415" spans="1:19">
      <c r="A415" s="16">
        <v>76073</v>
      </c>
      <c r="B415" s="14" t="s">
        <v>334</v>
      </c>
      <c r="C415" s="14" t="s">
        <v>154</v>
      </c>
      <c r="D415" s="19" t="s">
        <v>1602</v>
      </c>
      <c r="E415" s="15" t="str">
        <f>HYPERLINK("https://stat100.ameba.jp/tnk47/ratio20/illustrations/card/ill_76073_kokidogatapatobatora03.jpg?202003-i_prefecture_active_user", "■")</f>
        <v>■</v>
      </c>
      <c r="F415" s="14" t="s">
        <v>1217</v>
      </c>
      <c r="G415" s="14">
        <v>158890</v>
      </c>
      <c r="H415" s="14">
        <v>147738</v>
      </c>
      <c r="I415" s="14">
        <v>26</v>
      </c>
      <c r="J415" s="14" t="s">
        <v>143</v>
      </c>
      <c r="K415" s="14" t="s">
        <v>1218</v>
      </c>
      <c r="L415" s="14" t="s">
        <v>1219</v>
      </c>
      <c r="M415" s="14" t="s">
        <v>9158</v>
      </c>
      <c r="N415" s="14" t="s">
        <v>9158</v>
      </c>
      <c r="O415" s="14" t="s">
        <v>9158</v>
      </c>
      <c r="P415" s="14" t="s">
        <v>9158</v>
      </c>
      <c r="Q415" s="14" t="s">
        <v>9158</v>
      </c>
    </row>
    <row r="416" spans="1:19">
      <c r="A416" s="16">
        <v>76083</v>
      </c>
      <c r="B416" s="14" t="s">
        <v>334</v>
      </c>
      <c r="C416" s="14" t="s">
        <v>158</v>
      </c>
      <c r="D416" s="19" t="s">
        <v>1606</v>
      </c>
      <c r="E416" s="15" t="str">
        <f>HYPERLINK("https://stat100.ameba.jp/tnk47/ratio20/illustrations/card/ill_76083_dokutamedeikku03.jpg?202003-i_prefecture_active_user", "■")</f>
        <v>■</v>
      </c>
      <c r="F416" s="14" t="s">
        <v>1221</v>
      </c>
      <c r="G416" s="14">
        <v>114176</v>
      </c>
      <c r="H416" s="14">
        <v>122778</v>
      </c>
      <c r="I416" s="14">
        <v>26</v>
      </c>
      <c r="J416" s="14" t="s">
        <v>16</v>
      </c>
      <c r="K416" s="14" t="s">
        <v>1222</v>
      </c>
      <c r="L416" s="14" t="s">
        <v>1223</v>
      </c>
      <c r="M416" s="14" t="s">
        <v>9158</v>
      </c>
      <c r="N416" s="14" t="s">
        <v>9158</v>
      </c>
      <c r="O416" s="14" t="s">
        <v>9158</v>
      </c>
      <c r="P416" s="14" t="s">
        <v>9158</v>
      </c>
      <c r="Q416" s="14" t="s">
        <v>9158</v>
      </c>
    </row>
    <row r="417" spans="1:17">
      <c r="A417" s="16">
        <v>76093</v>
      </c>
      <c r="B417" s="14" t="s">
        <v>334</v>
      </c>
      <c r="C417" s="14" t="s">
        <v>202</v>
      </c>
      <c r="D417" s="19" t="s">
        <v>1610</v>
      </c>
      <c r="E417" s="15" t="str">
        <f>HYPERLINK("https://stat100.ameba.jp/tnk47/ratio20/illustrations/card/ill_76093_fuaiafuaita03.jpg?202003-i_prefecture_active_user", "■")</f>
        <v>■</v>
      </c>
      <c r="F417" s="14" t="s">
        <v>1225</v>
      </c>
      <c r="G417" s="14">
        <v>114176</v>
      </c>
      <c r="H417" s="14">
        <v>122778</v>
      </c>
      <c r="I417" s="14">
        <v>26</v>
      </c>
      <c r="J417" s="14" t="s">
        <v>10</v>
      </c>
      <c r="K417" s="14" t="s">
        <v>1226</v>
      </c>
      <c r="L417" s="14" t="s">
        <v>1227</v>
      </c>
      <c r="M417" s="14" t="s">
        <v>9158</v>
      </c>
      <c r="N417" s="14" t="s">
        <v>9158</v>
      </c>
      <c r="O417" s="14" t="s">
        <v>9158</v>
      </c>
      <c r="P417" s="14" t="s">
        <v>9158</v>
      </c>
      <c r="Q417" s="14" t="s">
        <v>9158</v>
      </c>
    </row>
    <row r="418" spans="1:17">
      <c r="A418" s="16">
        <v>74413</v>
      </c>
      <c r="B418" s="14" t="s">
        <v>334</v>
      </c>
      <c r="C418" s="14" t="s">
        <v>202</v>
      </c>
      <c r="D418" s="19" t="s">
        <v>1614</v>
      </c>
      <c r="E418" s="15" t="str">
        <f>HYPERLINK("https://stat100.ameba.jp/tnk47/ratio20/illustrations/card/ill_74413_mutekisenkanyamato03.jpg?202003-i_prefecture_active_user", "■")</f>
        <v>■</v>
      </c>
      <c r="F418" s="14" t="s">
        <v>37</v>
      </c>
      <c r="G418" s="14">
        <v>153112</v>
      </c>
      <c r="H418" s="14">
        <v>142374</v>
      </c>
      <c r="I418" s="14">
        <v>26</v>
      </c>
      <c r="J418" s="14" t="s">
        <v>38</v>
      </c>
      <c r="K418" s="14" t="s">
        <v>39</v>
      </c>
      <c r="L418" s="14" t="s">
        <v>40</v>
      </c>
      <c r="M418" s="14" t="s">
        <v>9158</v>
      </c>
      <c r="N418" s="14" t="s">
        <v>9158</v>
      </c>
      <c r="O418" s="14" t="s">
        <v>9158</v>
      </c>
      <c r="P418" s="14" t="s">
        <v>9158</v>
      </c>
      <c r="Q418" s="14" t="s">
        <v>9158</v>
      </c>
    </row>
    <row r="419" spans="1:17">
      <c r="A419" s="16">
        <v>74373</v>
      </c>
      <c r="B419" s="14" t="s">
        <v>334</v>
      </c>
      <c r="C419" s="14" t="s">
        <v>203</v>
      </c>
      <c r="D419" s="19" t="s">
        <v>1618</v>
      </c>
      <c r="E419" s="15" t="str">
        <f>HYPERLINK("https://stat100.ameba.jp/tnk47/ratio20/illustrations/card/ill_74373_shirasaginomaihimejijou03.jpg?202003-i_prefecture_active_user", "■")</f>
        <v>■</v>
      </c>
      <c r="F419" s="14" t="s">
        <v>43</v>
      </c>
      <c r="G419" s="14">
        <v>102556</v>
      </c>
      <c r="H419" s="14">
        <v>95382</v>
      </c>
      <c r="I419" s="14">
        <v>26</v>
      </c>
      <c r="J419" s="14" t="s">
        <v>44</v>
      </c>
      <c r="K419" s="14" t="s">
        <v>45</v>
      </c>
      <c r="L419" s="14" t="s">
        <v>46</v>
      </c>
      <c r="M419" s="14" t="s">
        <v>9158</v>
      </c>
      <c r="N419" s="14" t="s">
        <v>9158</v>
      </c>
      <c r="O419" s="14" t="s">
        <v>9158</v>
      </c>
      <c r="P419" s="14" t="s">
        <v>9158</v>
      </c>
      <c r="Q419" s="14" t="s">
        <v>9158</v>
      </c>
    </row>
    <row r="420" spans="1:17">
      <c r="A420" s="16">
        <v>74363</v>
      </c>
      <c r="B420" s="14" t="s">
        <v>334</v>
      </c>
      <c r="C420" s="14" t="s">
        <v>209</v>
      </c>
      <c r="D420" s="19" t="s">
        <v>1622</v>
      </c>
      <c r="E420" s="15" t="str">
        <f>HYPERLINK("https://stat100.ameba.jp/tnk47/ratio20/illustrations/card/ill_74363_gantorikuren03.jpg?202003-i_prefecture_active_user", "■")</f>
        <v>■</v>
      </c>
      <c r="F420" s="14" t="s">
        <v>49</v>
      </c>
      <c r="G420" s="14">
        <v>98066</v>
      </c>
      <c r="H420" s="14">
        <v>105444</v>
      </c>
      <c r="I420" s="14">
        <v>26</v>
      </c>
      <c r="J420" s="14" t="s">
        <v>26</v>
      </c>
      <c r="K420" s="14" t="s">
        <v>50</v>
      </c>
      <c r="L420" s="14" t="s">
        <v>12</v>
      </c>
      <c r="M420" s="14" t="s">
        <v>9158</v>
      </c>
      <c r="N420" s="14" t="s">
        <v>9158</v>
      </c>
      <c r="O420" s="14" t="s">
        <v>9158</v>
      </c>
      <c r="P420" s="14" t="s">
        <v>9158</v>
      </c>
      <c r="Q420" s="14" t="s">
        <v>9158</v>
      </c>
    </row>
    <row r="421" spans="1:17">
      <c r="E421" s="9"/>
    </row>
    <row r="422" spans="1:17">
      <c r="A422" s="14" t="s">
        <v>195</v>
      </c>
      <c r="B422" s="14"/>
      <c r="C422" s="14"/>
      <c r="D422" s="14"/>
      <c r="F422" s="14"/>
      <c r="G422" s="14"/>
      <c r="H422" s="14"/>
      <c r="I422" s="14"/>
      <c r="J422" s="14"/>
      <c r="K422" s="14"/>
      <c r="L422" s="14"/>
      <c r="M422" s="14"/>
      <c r="N422" s="14"/>
      <c r="O422" s="14"/>
      <c r="P422" s="14"/>
      <c r="Q422" s="14"/>
    </row>
    <row r="423" spans="1:17">
      <c r="A423" s="14" t="s">
        <v>9731</v>
      </c>
      <c r="B423" s="14"/>
      <c r="C423" s="14"/>
      <c r="D423" s="14"/>
      <c r="F423" s="14"/>
      <c r="G423" s="14"/>
      <c r="H423" s="14"/>
      <c r="I423" s="14"/>
      <c r="J423" s="14"/>
      <c r="K423" s="14"/>
      <c r="L423" s="14"/>
      <c r="M423" s="14"/>
      <c r="N423" s="14"/>
      <c r="O423" s="14"/>
      <c r="P423" s="14"/>
      <c r="Q423" s="14"/>
    </row>
    <row r="424" spans="1:17">
      <c r="A424" s="14">
        <v>71013</v>
      </c>
      <c r="B424" s="14" t="s">
        <v>334</v>
      </c>
      <c r="C424" s="14" t="s">
        <v>154</v>
      </c>
      <c r="D424" s="19" t="s">
        <v>837</v>
      </c>
      <c r="E424" s="15" t="str">
        <f>HYPERLINK("https://stat100.ameba.jp/tnk47/ratio20/illustrations/card/ill_71013_fujutsushisarashina03.jpg?202003-i_prefecture_active_user", "■")</f>
        <v>■</v>
      </c>
      <c r="F424" s="14" t="s">
        <v>838</v>
      </c>
      <c r="G424" s="14">
        <v>100256</v>
      </c>
      <c r="H424" s="14">
        <v>107826</v>
      </c>
      <c r="I424" s="14">
        <v>25</v>
      </c>
      <c r="J424" s="14" t="s">
        <v>155</v>
      </c>
      <c r="K424" s="14" t="s">
        <v>1231</v>
      </c>
      <c r="L424" s="14" t="s">
        <v>13152</v>
      </c>
      <c r="M424" s="14" t="s">
        <v>9158</v>
      </c>
      <c r="N424" s="14" t="s">
        <v>9158</v>
      </c>
      <c r="O424" s="14" t="s">
        <v>9158</v>
      </c>
      <c r="P424" s="14" t="s">
        <v>9158</v>
      </c>
      <c r="Q424" s="14" t="s">
        <v>9158</v>
      </c>
    </row>
    <row r="425" spans="1:17">
      <c r="A425" s="14">
        <v>71023</v>
      </c>
      <c r="B425" s="14" t="s">
        <v>334</v>
      </c>
      <c r="C425" s="14" t="s">
        <v>158</v>
      </c>
      <c r="D425" s="19" t="s">
        <v>841</v>
      </c>
      <c r="E425" s="15" t="str">
        <f>HYPERLINK("https://stat100.ameba.jp/tnk47/ratio20/illustrations/card/ill_71023_ommyojiiroha03.jpg?202003-i_prefecture_active_user", "■")</f>
        <v>■</v>
      </c>
      <c r="F425" s="14" t="s">
        <v>842</v>
      </c>
      <c r="G425" s="14">
        <v>100256</v>
      </c>
      <c r="H425" s="14">
        <v>107826</v>
      </c>
      <c r="I425" s="14">
        <v>25</v>
      </c>
      <c r="J425" s="14" t="s">
        <v>159</v>
      </c>
      <c r="K425" s="14" t="s">
        <v>1232</v>
      </c>
      <c r="L425" s="14" t="s">
        <v>1233</v>
      </c>
      <c r="M425" s="14" t="s">
        <v>9158</v>
      </c>
      <c r="N425" s="14" t="s">
        <v>9158</v>
      </c>
      <c r="O425" s="14" t="s">
        <v>9158</v>
      </c>
      <c r="P425" s="14" t="s">
        <v>9158</v>
      </c>
      <c r="Q425" s="14" t="s">
        <v>9158</v>
      </c>
    </row>
    <row r="426" spans="1:17">
      <c r="A426" s="14">
        <v>66053</v>
      </c>
      <c r="B426" s="14" t="s">
        <v>334</v>
      </c>
      <c r="C426" s="14" t="s">
        <v>205</v>
      </c>
      <c r="D426" s="19" t="s">
        <v>3046</v>
      </c>
      <c r="E426" s="15" t="str">
        <f>HYPERLINK("https://stat100.ameba.jp/tnk47/ratio20/illustrations/card/ill_66053_serebukushiyatamanokami03.jpg?202003-i_prefecture_active_user", "■")</f>
        <v>■</v>
      </c>
      <c r="F426" s="14" t="s">
        <v>2265</v>
      </c>
      <c r="G426" s="14">
        <v>101971</v>
      </c>
      <c r="H426" s="14">
        <v>94802</v>
      </c>
      <c r="I426" s="14">
        <v>25</v>
      </c>
      <c r="J426" s="14" t="s">
        <v>44</v>
      </c>
      <c r="K426" s="14" t="s">
        <v>2266</v>
      </c>
      <c r="L426" s="14" t="s">
        <v>1860</v>
      </c>
      <c r="M426" s="14" t="s">
        <v>9158</v>
      </c>
      <c r="N426" s="14" t="s">
        <v>9158</v>
      </c>
      <c r="O426" s="14" t="s">
        <v>9158</v>
      </c>
      <c r="P426" s="14" t="s">
        <v>9158</v>
      </c>
      <c r="Q426" s="14" t="s">
        <v>9158</v>
      </c>
    </row>
    <row r="427" spans="1:17">
      <c r="A427" s="14">
        <v>65923</v>
      </c>
      <c r="B427" s="14" t="s">
        <v>334</v>
      </c>
      <c r="C427" s="14" t="s">
        <v>185</v>
      </c>
      <c r="D427" s="19" t="s">
        <v>10204</v>
      </c>
      <c r="E427" s="15" t="str">
        <f>HYPERLINK("https://stat100.ameba.jp/tnk47/ratio20/illustrations/card/ill_65923_arabianginko03.jpg?202003-i_prefecture_active_user", "■")</f>
        <v>■</v>
      </c>
      <c r="F427" s="14" t="s">
        <v>4978</v>
      </c>
      <c r="G427" s="14">
        <v>104162</v>
      </c>
      <c r="H427" s="14">
        <v>96871</v>
      </c>
      <c r="I427" s="14">
        <v>25</v>
      </c>
      <c r="J427" s="14" t="s">
        <v>182</v>
      </c>
      <c r="K427" s="14" t="s">
        <v>3679</v>
      </c>
      <c r="L427" s="14" t="s">
        <v>13188</v>
      </c>
      <c r="M427" s="14" t="s">
        <v>9158</v>
      </c>
      <c r="N427" s="14" t="s">
        <v>9158</v>
      </c>
      <c r="O427" s="14" t="s">
        <v>9158</v>
      </c>
      <c r="P427" s="14" t="s">
        <v>9158</v>
      </c>
      <c r="Q427" s="14" t="s">
        <v>9158</v>
      </c>
    </row>
    <row r="428" spans="1:17">
      <c r="A428" s="14">
        <v>52863</v>
      </c>
      <c r="B428" s="14" t="s">
        <v>15</v>
      </c>
      <c r="C428" s="14" t="s">
        <v>191</v>
      </c>
      <c r="D428" s="19" t="s">
        <v>10516</v>
      </c>
      <c r="E428" s="15" t="str">
        <f>HYPERLINK("https://stat100.ameba.jp/tnk47/ratio20/illustrations/card/ill_52863_andoroidokingyonota03.jpg?202003-i_prefecture_active_user", "■")</f>
        <v>■</v>
      </c>
      <c r="F428" s="14" t="s">
        <v>6409</v>
      </c>
      <c r="G428" s="14">
        <v>67210</v>
      </c>
      <c r="H428" s="14">
        <v>74100</v>
      </c>
      <c r="I428" s="14">
        <v>25</v>
      </c>
      <c r="J428" s="14" t="s">
        <v>38</v>
      </c>
      <c r="K428" s="14" t="s">
        <v>6407</v>
      </c>
      <c r="L428" s="14" t="s">
        <v>6406</v>
      </c>
      <c r="M428" s="14" t="s">
        <v>9158</v>
      </c>
      <c r="N428" s="14" t="s">
        <v>9158</v>
      </c>
      <c r="O428" s="14" t="s">
        <v>9158</v>
      </c>
      <c r="P428" s="14" t="s">
        <v>9158</v>
      </c>
      <c r="Q428" s="14" t="s">
        <v>9158</v>
      </c>
    </row>
    <row r="429" spans="1:17">
      <c r="A429" s="14">
        <v>51593</v>
      </c>
      <c r="B429" s="14" t="s">
        <v>15</v>
      </c>
      <c r="C429" s="14" t="s">
        <v>200</v>
      </c>
      <c r="D429" s="19" t="s">
        <v>10517</v>
      </c>
      <c r="E429" s="15" t="str">
        <f>HYPERLINK("https://stat100.ameba.jp/tnk47/ratio20/illustrations/card/ill_51593_kishuhondatadakatsu03.jpg?202003-i_prefecture_active_user", "■")</f>
        <v>■</v>
      </c>
      <c r="F429" s="14" t="s">
        <v>6413</v>
      </c>
      <c r="G429" s="14">
        <v>67210</v>
      </c>
      <c r="H429" s="14">
        <v>74100</v>
      </c>
      <c r="I429" s="14">
        <v>25</v>
      </c>
      <c r="J429" s="14" t="s">
        <v>143</v>
      </c>
      <c r="K429" s="14" t="s">
        <v>6411</v>
      </c>
      <c r="L429" s="14" t="s">
        <v>6410</v>
      </c>
      <c r="M429" s="14" t="s">
        <v>9158</v>
      </c>
      <c r="N429" s="14" t="s">
        <v>9158</v>
      </c>
      <c r="O429" s="14" t="s">
        <v>9158</v>
      </c>
      <c r="P429" s="14" t="s">
        <v>9158</v>
      </c>
      <c r="Q429" s="14" t="s">
        <v>9158</v>
      </c>
    </row>
    <row r="430" spans="1:17">
      <c r="A430" s="14">
        <v>55403</v>
      </c>
      <c r="B430" s="14" t="s">
        <v>15</v>
      </c>
      <c r="C430" s="14" t="s">
        <v>165</v>
      </c>
      <c r="D430" s="19" t="s">
        <v>10518</v>
      </c>
      <c r="E430" s="15" t="str">
        <f>HYPERLINK("https://stat100.ameba.jp/tnk47/ratio20/illustrations/card/ill_55403_undokaikyogokumaria03.jpg?202003-i_prefecture_active_user", "■")</f>
        <v>■</v>
      </c>
      <c r="F430" s="14" t="s">
        <v>6417</v>
      </c>
      <c r="G430" s="14">
        <v>74100</v>
      </c>
      <c r="H430" s="14">
        <v>67210</v>
      </c>
      <c r="I430" s="14">
        <v>25</v>
      </c>
      <c r="J430" s="14" t="s">
        <v>77</v>
      </c>
      <c r="K430" s="14" t="s">
        <v>6415</v>
      </c>
      <c r="L430" s="14" t="s">
        <v>6414</v>
      </c>
      <c r="M430" s="14" t="s">
        <v>9158</v>
      </c>
      <c r="N430" s="14" t="s">
        <v>9158</v>
      </c>
      <c r="O430" s="14" t="s">
        <v>9158</v>
      </c>
      <c r="P430" s="14" t="s">
        <v>9158</v>
      </c>
      <c r="Q430" s="14" t="s">
        <v>9158</v>
      </c>
    </row>
    <row r="431" spans="1:17">
      <c r="A431" s="14">
        <v>52973</v>
      </c>
      <c r="B431" s="14" t="s">
        <v>15</v>
      </c>
      <c r="C431" s="14" t="s">
        <v>206</v>
      </c>
      <c r="D431" s="19" t="s">
        <v>10519</v>
      </c>
      <c r="E431" s="15" t="str">
        <f>HYPERLINK("https://stat100.ameba.jp/tnk47/ratio20/illustrations/card/ill_52973_torampuamoronagu03.jpg?202003-i_prefecture_active_user", "■")</f>
        <v>■</v>
      </c>
      <c r="F431" s="14" t="s">
        <v>6421</v>
      </c>
      <c r="G431" s="14">
        <v>74100</v>
      </c>
      <c r="H431" s="14">
        <v>67210</v>
      </c>
      <c r="I431" s="14">
        <v>25</v>
      </c>
      <c r="J431" s="14" t="s">
        <v>44</v>
      </c>
      <c r="K431" s="14" t="s">
        <v>6419</v>
      </c>
      <c r="L431" s="14" t="s">
        <v>6418</v>
      </c>
      <c r="M431" s="14" t="s">
        <v>9158</v>
      </c>
      <c r="N431" s="14" t="s">
        <v>9158</v>
      </c>
      <c r="O431" s="14" t="s">
        <v>9158</v>
      </c>
      <c r="P431" s="14" t="s">
        <v>9158</v>
      </c>
      <c r="Q431" s="14" t="s">
        <v>9158</v>
      </c>
    </row>
    <row r="432" spans="1:17">
      <c r="E432" s="9"/>
    </row>
    <row r="433" spans="1:17">
      <c r="A433" s="9" t="s">
        <v>9734</v>
      </c>
      <c r="E433" s="9"/>
    </row>
    <row r="434" spans="1:17">
      <c r="A434" s="9" t="s">
        <v>9735</v>
      </c>
      <c r="E434" s="9"/>
    </row>
    <row r="435" spans="1:17">
      <c r="A435" s="14" t="s">
        <v>5734</v>
      </c>
      <c r="B435" s="14" t="s">
        <v>330</v>
      </c>
      <c r="C435" s="14" t="s">
        <v>202</v>
      </c>
      <c r="D435" s="19" t="s">
        <v>1497</v>
      </c>
      <c r="E435" s="15" t="str">
        <f>HYPERLINK("https://stat100.ameba.jp/tnk47/ratio20/illustrations/card/ill_74593_0_natsuyuenchikoshihikari03.jpg?202003-i_prefecture_active_user", "■")</f>
        <v>■</v>
      </c>
      <c r="F435" s="14" t="s">
        <v>1498</v>
      </c>
      <c r="G435" s="14">
        <v>216662</v>
      </c>
      <c r="H435" s="14">
        <v>201424</v>
      </c>
      <c r="I435" s="14">
        <v>20</v>
      </c>
      <c r="J435" s="14" t="s">
        <v>283</v>
      </c>
      <c r="K435" s="14" t="s">
        <v>1499</v>
      </c>
      <c r="L435" s="14" t="s">
        <v>1500</v>
      </c>
      <c r="M435" s="14" t="s">
        <v>9158</v>
      </c>
      <c r="N435" s="14" t="s">
        <v>9158</v>
      </c>
      <c r="O435" s="19" t="s">
        <v>2731</v>
      </c>
      <c r="P435" s="14" t="s">
        <v>2732</v>
      </c>
      <c r="Q435" s="14">
        <v>1</v>
      </c>
    </row>
    <row r="436" spans="1:17">
      <c r="A436" s="14" t="s">
        <v>5607</v>
      </c>
      <c r="B436" s="14" t="s">
        <v>330</v>
      </c>
      <c r="C436" s="14" t="s">
        <v>271</v>
      </c>
      <c r="D436" s="19" t="s">
        <v>421</v>
      </c>
      <c r="E436" s="15" t="str">
        <f>HYPERLINK("https://stat100.ameba.jp/tnk47/ratio20/illustrations/card/ill_58853_0_setsubumpanikkuhiratsukaraicho03.jpg?202003-i_prefecture_active_user", "■")</f>
        <v>■</v>
      </c>
      <c r="F436" s="14" t="s">
        <v>422</v>
      </c>
      <c r="G436" s="14">
        <v>125648</v>
      </c>
      <c r="H436" s="14">
        <v>111616</v>
      </c>
      <c r="I436" s="14">
        <v>20</v>
      </c>
      <c r="J436" s="14" t="s">
        <v>414</v>
      </c>
      <c r="K436" s="14" t="s">
        <v>423</v>
      </c>
      <c r="L436" s="14" t="s">
        <v>424</v>
      </c>
      <c r="M436" s="14" t="s">
        <v>9158</v>
      </c>
      <c r="N436" s="14" t="s">
        <v>9158</v>
      </c>
      <c r="O436" s="19" t="s">
        <v>10075</v>
      </c>
      <c r="P436" s="14" t="s">
        <v>2870</v>
      </c>
      <c r="Q436" s="14">
        <v>1</v>
      </c>
    </row>
    <row r="437" spans="1:17">
      <c r="A437" s="14" t="s">
        <v>5902</v>
      </c>
      <c r="B437" s="14" t="s">
        <v>330</v>
      </c>
      <c r="C437" s="14" t="s">
        <v>206</v>
      </c>
      <c r="D437" s="19" t="s">
        <v>483</v>
      </c>
      <c r="E437" s="15" t="str">
        <f>HYPERLINK("https://stat100.ameba.jp/tnk47/ratio20/illustrations/card/ill_40343_0_heshikirihasebekurodakambe03.jpg?202003-i_prefecture_active_user", "■")</f>
        <v>■</v>
      </c>
      <c r="F437" s="14" t="s">
        <v>906</v>
      </c>
      <c r="G437" s="14">
        <v>117040</v>
      </c>
      <c r="H437" s="14">
        <v>109616</v>
      </c>
      <c r="I437" s="14">
        <v>20</v>
      </c>
      <c r="J437" s="14" t="s">
        <v>16</v>
      </c>
      <c r="K437" s="14" t="s">
        <v>907</v>
      </c>
      <c r="L437" s="14" t="s">
        <v>908</v>
      </c>
      <c r="M437" s="14" t="s">
        <v>9158</v>
      </c>
      <c r="N437" s="14" t="s">
        <v>9158</v>
      </c>
      <c r="O437" s="14" t="s">
        <v>9158</v>
      </c>
      <c r="P437" s="14" t="s">
        <v>9158</v>
      </c>
      <c r="Q437" s="14" t="s">
        <v>9158</v>
      </c>
    </row>
    <row r="438" spans="1:17">
      <c r="A438" s="9">
        <v>86593</v>
      </c>
      <c r="B438" s="9" t="s">
        <v>9736</v>
      </c>
      <c r="C438" s="9" t="s">
        <v>9740</v>
      </c>
      <c r="D438" s="19" t="s">
        <v>10989</v>
      </c>
      <c r="E438" s="15" t="str">
        <f>HYPERLINK("https://stat100.ameba.jp/tnk47/ratio20/illustrations/card/ill_86593_uintasupotsumatsurasayohimedensetsu03.jpg?202003-i_prefecture_active_user", "■")</f>
        <v>■</v>
      </c>
      <c r="F438" s="9" t="s">
        <v>9751</v>
      </c>
      <c r="G438" s="9">
        <v>120570</v>
      </c>
      <c r="H438" s="9">
        <v>67842</v>
      </c>
      <c r="I438" s="9">
        <v>25</v>
      </c>
      <c r="J438" s="9" t="s">
        <v>9737</v>
      </c>
      <c r="K438" s="9" t="s">
        <v>9750</v>
      </c>
      <c r="L438" s="9" t="s">
        <v>9749</v>
      </c>
      <c r="M438" s="14" t="s">
        <v>9158</v>
      </c>
      <c r="N438" s="14" t="s">
        <v>9158</v>
      </c>
      <c r="O438" s="14" t="s">
        <v>9158</v>
      </c>
      <c r="P438" s="14" t="s">
        <v>9158</v>
      </c>
      <c r="Q438" s="14" t="s">
        <v>9158</v>
      </c>
    </row>
    <row r="439" spans="1:17">
      <c r="A439" s="9">
        <v>87233</v>
      </c>
      <c r="B439" s="9" t="s">
        <v>9736</v>
      </c>
      <c r="C439" s="9" t="s">
        <v>9741</v>
      </c>
      <c r="D439" s="19" t="s">
        <v>10990</v>
      </c>
      <c r="E439" s="15" t="str">
        <f>HYPERLINK("https://stat100.ameba.jp/tnk47/ratio20/illustrations/card/ill_87233_shubuarie03.jpg?202003-i_prefecture_active_user", "■")</f>
        <v>■</v>
      </c>
      <c r="F439" s="9" t="s">
        <v>9748</v>
      </c>
      <c r="G439" s="9">
        <v>120570</v>
      </c>
      <c r="H439" s="9">
        <v>67842</v>
      </c>
      <c r="I439" s="9">
        <v>25</v>
      </c>
      <c r="J439" s="9" t="s">
        <v>9738</v>
      </c>
      <c r="K439" s="9" t="s">
        <v>9747</v>
      </c>
      <c r="L439" s="9" t="s">
        <v>9746</v>
      </c>
      <c r="M439" s="14" t="s">
        <v>9158</v>
      </c>
      <c r="N439" s="14" t="s">
        <v>9158</v>
      </c>
      <c r="O439" s="14" t="s">
        <v>9158</v>
      </c>
      <c r="P439" s="14" t="s">
        <v>9158</v>
      </c>
      <c r="Q439" s="14" t="s">
        <v>9158</v>
      </c>
    </row>
    <row r="440" spans="1:17">
      <c r="A440" s="9">
        <v>83853</v>
      </c>
      <c r="B440" s="9" t="s">
        <v>9736</v>
      </c>
      <c r="C440" s="9" t="s">
        <v>9742</v>
      </c>
      <c r="D440" s="19" t="s">
        <v>10629</v>
      </c>
      <c r="E440" s="15" t="str">
        <f>HYPERLINK("https://stat100.ameba.jp/tnk47/ratio20/illustrations/card/ill_83853_shoboshiyubeshi03.jpg?202003-i_prefecture_active_user", "■")</f>
        <v>■</v>
      </c>
      <c r="F440" s="9" t="s">
        <v>9745</v>
      </c>
      <c r="G440" s="9">
        <v>191940</v>
      </c>
      <c r="H440" s="9">
        <v>107866</v>
      </c>
      <c r="I440" s="9">
        <v>25</v>
      </c>
      <c r="J440" s="9" t="s">
        <v>9739</v>
      </c>
      <c r="K440" s="9" t="s">
        <v>9744</v>
      </c>
      <c r="L440" s="9" t="s">
        <v>9743</v>
      </c>
      <c r="M440" s="14" t="s">
        <v>9158</v>
      </c>
      <c r="N440" s="14" t="s">
        <v>9158</v>
      </c>
      <c r="O440" s="14" t="s">
        <v>9158</v>
      </c>
      <c r="P440" s="14" t="s">
        <v>9158</v>
      </c>
      <c r="Q440" s="14" t="s">
        <v>9158</v>
      </c>
    </row>
    <row r="441" spans="1:17">
      <c r="A441" s="14">
        <v>81503</v>
      </c>
      <c r="B441" s="14" t="s">
        <v>15</v>
      </c>
      <c r="C441" s="14" t="s">
        <v>165</v>
      </c>
      <c r="D441" s="19" t="s">
        <v>10714</v>
      </c>
      <c r="E441" s="15" t="str">
        <f>HYPERLINK("https://stat100.ameba.jp/tnk47/ratio20/illustrations/card/ill_81503_kurotengu03.jpg?202003-i_prefecture_active_user", "■")</f>
        <v>■</v>
      </c>
      <c r="F441" s="14" t="s">
        <v>4777</v>
      </c>
      <c r="G441" s="14">
        <v>56316</v>
      </c>
      <c r="H441" s="14">
        <v>51078</v>
      </c>
      <c r="I441" s="14">
        <v>19</v>
      </c>
      <c r="J441" s="14" t="s">
        <v>73</v>
      </c>
      <c r="K441" s="14" t="s">
        <v>4778</v>
      </c>
      <c r="L441" s="14" t="s">
        <v>3835</v>
      </c>
      <c r="M441" s="14" t="s">
        <v>9158</v>
      </c>
      <c r="N441" s="14" t="s">
        <v>9158</v>
      </c>
      <c r="O441" s="14" t="s">
        <v>9158</v>
      </c>
      <c r="P441" s="14" t="s">
        <v>9158</v>
      </c>
      <c r="Q441" s="14" t="s">
        <v>9158</v>
      </c>
    </row>
    <row r="442" spans="1:17">
      <c r="A442" s="14">
        <v>71703</v>
      </c>
      <c r="B442" s="14" t="s">
        <v>15</v>
      </c>
      <c r="C442" s="14" t="s">
        <v>206</v>
      </c>
      <c r="D442" s="19" t="s">
        <v>10543</v>
      </c>
      <c r="E442" s="15" t="str">
        <f>HYPERLINK("https://stat100.ameba.jp/tnk47/ratio20/illustrations/card/ill_71703_shokugyotaikenkusumotoine03.jpg?202003-i_prefecture_active_user", "■")</f>
        <v>■</v>
      </c>
      <c r="F442" s="14" t="s">
        <v>4239</v>
      </c>
      <c r="G442" s="14">
        <v>56316</v>
      </c>
      <c r="H442" s="14">
        <v>51078</v>
      </c>
      <c r="I442" s="14">
        <v>19</v>
      </c>
      <c r="J442" s="14" t="s">
        <v>16</v>
      </c>
      <c r="K442" s="14" t="s">
        <v>4240</v>
      </c>
      <c r="L442" s="14" t="s">
        <v>21</v>
      </c>
      <c r="M442" s="14" t="s">
        <v>9158</v>
      </c>
      <c r="N442" s="14" t="s">
        <v>9158</v>
      </c>
      <c r="O442" s="14" t="s">
        <v>9158</v>
      </c>
      <c r="P442" s="14" t="s">
        <v>9158</v>
      </c>
      <c r="Q442" s="14" t="s">
        <v>9158</v>
      </c>
    </row>
    <row r="443" spans="1:17">
      <c r="A443" s="14">
        <v>80683</v>
      </c>
      <c r="B443" s="14" t="s">
        <v>15</v>
      </c>
      <c r="C443" s="14" t="s">
        <v>101</v>
      </c>
      <c r="D443" s="19" t="s">
        <v>10715</v>
      </c>
      <c r="E443" s="15" t="str">
        <f>HYPERLINK("https://stat100.ameba.jp/tnk47/ratio20/illustrations/card/ill_80683_nyugakushikimaedatoshiie03.jpg?202003-i_prefecture_active_user", "■")</f>
        <v>■</v>
      </c>
      <c r="F443" s="14" t="s">
        <v>4223</v>
      </c>
      <c r="G443" s="14">
        <v>56316</v>
      </c>
      <c r="H443" s="14">
        <v>51078</v>
      </c>
      <c r="I443" s="14">
        <v>19</v>
      </c>
      <c r="J443" s="14" t="s">
        <v>143</v>
      </c>
      <c r="K443" s="14" t="s">
        <v>4224</v>
      </c>
      <c r="L443" s="14" t="s">
        <v>3524</v>
      </c>
      <c r="M443" s="14" t="s">
        <v>9158</v>
      </c>
      <c r="N443" s="14" t="s">
        <v>9158</v>
      </c>
      <c r="O443" s="14" t="s">
        <v>9158</v>
      </c>
      <c r="P443" s="14" t="s">
        <v>9158</v>
      </c>
      <c r="Q443" s="14" t="s">
        <v>9158</v>
      </c>
    </row>
    <row r="444" spans="1:17">
      <c r="E444" s="9"/>
    </row>
    <row r="445" spans="1:17">
      <c r="A445" s="9" t="s">
        <v>9732</v>
      </c>
      <c r="E445" s="9"/>
    </row>
    <row r="446" spans="1:17">
      <c r="A446" s="9" t="s">
        <v>9733</v>
      </c>
      <c r="E446" s="9"/>
    </row>
    <row r="447" spans="1:17">
      <c r="A447" s="14" t="s">
        <v>5891</v>
      </c>
      <c r="B447" s="14" t="s">
        <v>330</v>
      </c>
      <c r="C447" s="14" t="s">
        <v>202</v>
      </c>
      <c r="D447" s="19" t="s">
        <v>1371</v>
      </c>
      <c r="E447" s="15" t="str">
        <f>HYPERLINK("https://stat100.ameba.jp/tnk47/ratio20/illustrations/card/ill_77173_0_yukemuritomoegozen03.jpg?202003-i_prefecture_active_user", "■")</f>
        <v>■</v>
      </c>
      <c r="F447" s="14" t="s">
        <v>1372</v>
      </c>
      <c r="G447" s="14">
        <v>240586</v>
      </c>
      <c r="H447" s="14">
        <v>266192</v>
      </c>
      <c r="I447" s="14">
        <v>24</v>
      </c>
      <c r="J447" s="14" t="s">
        <v>310</v>
      </c>
      <c r="K447" s="14" t="s">
        <v>1373</v>
      </c>
      <c r="L447" s="14" t="s">
        <v>1374</v>
      </c>
      <c r="M447" s="14" t="s">
        <v>9158</v>
      </c>
      <c r="N447" s="14" t="s">
        <v>9158</v>
      </c>
      <c r="O447" s="19" t="s">
        <v>4067</v>
      </c>
      <c r="P447" s="14" t="s">
        <v>3879</v>
      </c>
      <c r="Q447" s="14">
        <v>2</v>
      </c>
    </row>
    <row r="448" spans="1:17">
      <c r="A448" s="14">
        <v>80743</v>
      </c>
      <c r="B448" s="14" t="s">
        <v>0</v>
      </c>
      <c r="C448" s="14" t="s">
        <v>209</v>
      </c>
      <c r="D448" s="19" t="s">
        <v>10414</v>
      </c>
      <c r="E448" s="15" t="str">
        <f>HYPERLINK("https://stat100.ameba.jp/tnk47/ratio20/illustrations/card/ill_80743_senseijutsushi03.jpg?202003-i_prefecture_active_user", "■")</f>
        <v>■</v>
      </c>
      <c r="F448" s="14" t="s">
        <v>4249</v>
      </c>
      <c r="G448" s="14">
        <v>75984</v>
      </c>
      <c r="H448" s="14">
        <v>104890</v>
      </c>
      <c r="I448" s="14">
        <v>24</v>
      </c>
      <c r="J448" s="14" t="s">
        <v>16</v>
      </c>
      <c r="K448" s="14" t="s">
        <v>4250</v>
      </c>
      <c r="L448" s="14" t="s">
        <v>4251</v>
      </c>
      <c r="M448" s="14" t="s">
        <v>9158</v>
      </c>
      <c r="N448" s="14" t="s">
        <v>9158</v>
      </c>
      <c r="O448" s="19" t="s">
        <v>10109</v>
      </c>
      <c r="P448" s="14" t="s">
        <v>3625</v>
      </c>
      <c r="Q448" s="14">
        <v>1</v>
      </c>
    </row>
    <row r="449" spans="1:17">
      <c r="A449" s="14">
        <v>73893</v>
      </c>
      <c r="B449" s="14" t="s">
        <v>334</v>
      </c>
      <c r="C449" s="14" t="s">
        <v>203</v>
      </c>
      <c r="D449" s="19" t="s">
        <v>10388</v>
      </c>
      <c r="E449" s="15" t="str">
        <f>HYPERLINK("https://stat100.ameba.jp/tnk47/ratio20/illustrations/card/ill_73893_kurohachidaimyojintookami03.jpg?202003-i_prefecture_active_user", "■")</f>
        <v>■</v>
      </c>
      <c r="F449" s="14" t="s">
        <v>685</v>
      </c>
      <c r="G449" s="14">
        <v>122476</v>
      </c>
      <c r="H449" s="14">
        <v>88706</v>
      </c>
      <c r="I449" s="14">
        <v>24</v>
      </c>
      <c r="J449" s="14" t="s">
        <v>274</v>
      </c>
      <c r="K449" s="14" t="s">
        <v>686</v>
      </c>
      <c r="L449" s="14" t="s">
        <v>428</v>
      </c>
      <c r="M449" s="14" t="s">
        <v>9158</v>
      </c>
      <c r="N449" s="14" t="s">
        <v>9158</v>
      </c>
      <c r="O449" s="19" t="s">
        <v>10100</v>
      </c>
      <c r="P449" s="14" t="s">
        <v>3810</v>
      </c>
      <c r="Q449" s="14">
        <v>1</v>
      </c>
    </row>
    <row r="450" spans="1:17">
      <c r="A450" s="14">
        <v>77123</v>
      </c>
      <c r="B450" s="14" t="s">
        <v>334</v>
      </c>
      <c r="C450" s="14" t="s">
        <v>191</v>
      </c>
      <c r="D450" s="19" t="s">
        <v>10424</v>
      </c>
      <c r="E450" s="15" t="str">
        <f>HYPERLINK("https://stat100.ameba.jp/tnk47/ratio20/illustrations/card/ill_77123_yukemuriizuna03.jpg?202003-i_prefecture_active_user", "■")</f>
        <v>■</v>
      </c>
      <c r="F450" s="14" t="s">
        <v>1377</v>
      </c>
      <c r="G450" s="14">
        <v>99996</v>
      </c>
      <c r="H450" s="14">
        <v>92996</v>
      </c>
      <c r="I450" s="14">
        <v>24</v>
      </c>
      <c r="J450" s="14" t="s">
        <v>320</v>
      </c>
      <c r="K450" s="14" t="s">
        <v>1378</v>
      </c>
      <c r="L450" s="14" t="s">
        <v>1379</v>
      </c>
      <c r="M450" s="14" t="s">
        <v>9158</v>
      </c>
      <c r="N450" s="14" t="s">
        <v>9158</v>
      </c>
      <c r="O450" s="19" t="s">
        <v>2838</v>
      </c>
      <c r="P450" s="14" t="s">
        <v>3579</v>
      </c>
      <c r="Q450" s="14">
        <v>1</v>
      </c>
    </row>
    <row r="451" spans="1:17">
      <c r="E451" s="9"/>
    </row>
    <row r="452" spans="1:17">
      <c r="A452" s="7" t="s">
        <v>946</v>
      </c>
      <c r="B452" s="7"/>
      <c r="C452" s="7"/>
      <c r="D452" s="7"/>
      <c r="E452" s="7"/>
      <c r="F452" s="7"/>
      <c r="G452" s="7"/>
      <c r="H452" s="7"/>
      <c r="I452" s="7"/>
      <c r="J452" s="7"/>
      <c r="K452" s="7"/>
      <c r="L452" s="7"/>
      <c r="M452" s="7"/>
      <c r="N452" s="7"/>
      <c r="O452" s="7"/>
      <c r="P452" s="7"/>
      <c r="Q452" s="7"/>
    </row>
    <row r="453" spans="1:17">
      <c r="A453" s="7" t="s">
        <v>2590</v>
      </c>
      <c r="B453" s="7"/>
      <c r="C453" s="7"/>
      <c r="D453" s="7"/>
      <c r="E453" s="7"/>
      <c r="F453" s="7"/>
      <c r="G453" s="7"/>
      <c r="H453" s="7"/>
      <c r="I453" s="7"/>
      <c r="J453" s="7"/>
      <c r="K453" s="7"/>
      <c r="L453" s="7"/>
      <c r="M453" s="7"/>
      <c r="N453" s="7"/>
      <c r="O453" s="7"/>
      <c r="P453" s="7"/>
      <c r="Q453" s="7"/>
    </row>
    <row r="454" spans="1:17">
      <c r="A454" s="14" t="s">
        <v>5733</v>
      </c>
      <c r="B454" s="14" t="s">
        <v>330</v>
      </c>
      <c r="C454" s="14" t="s">
        <v>202</v>
      </c>
      <c r="D454" s="19" t="s">
        <v>2744</v>
      </c>
      <c r="E454" s="15" t="str">
        <f>HYPERLINK("https://stat100.ameba.jp/tnk47/ratio20/illustrations/card/ill_78693_0_kyupittokoinomikoto03.jpg?202003-i_prefecture_active_user", "■")</f>
        <v>■</v>
      </c>
      <c r="F454" s="14" t="s">
        <v>2745</v>
      </c>
      <c r="G454" s="14">
        <v>209596</v>
      </c>
      <c r="H454" s="14">
        <v>231912</v>
      </c>
      <c r="I454" s="14">
        <v>20</v>
      </c>
      <c r="J454" s="14" t="s">
        <v>274</v>
      </c>
      <c r="K454" s="14" t="s">
        <v>2746</v>
      </c>
      <c r="L454" s="14" t="s">
        <v>2747</v>
      </c>
      <c r="M454" s="14" t="s">
        <v>9158</v>
      </c>
      <c r="N454" s="14" t="s">
        <v>9158</v>
      </c>
      <c r="O454" s="19" t="s">
        <v>10097</v>
      </c>
      <c r="P454" s="14" t="s">
        <v>2748</v>
      </c>
      <c r="Q454" s="14">
        <v>1</v>
      </c>
    </row>
    <row r="455" spans="1:17">
      <c r="A455" s="14" t="s">
        <v>6030</v>
      </c>
      <c r="B455" s="14" t="s">
        <v>52</v>
      </c>
      <c r="C455" s="14" t="s">
        <v>202</v>
      </c>
      <c r="D455" s="19" t="s">
        <v>10453</v>
      </c>
      <c r="E455" s="15" t="str">
        <f>HYPERLINK("https://stat100.ameba.jp/tnk47/ratio20/illustrations/card/ill_80023_0_hinamatsurikyogokumaria03.jpg?202003-i_prefecture_active_user", "■")</f>
        <v>■</v>
      </c>
      <c r="F455" s="14" t="s">
        <v>3709</v>
      </c>
      <c r="G455" s="14">
        <v>269524</v>
      </c>
      <c r="H455" s="14">
        <v>298240</v>
      </c>
      <c r="I455" s="14">
        <v>20</v>
      </c>
      <c r="J455" s="14" t="s">
        <v>26</v>
      </c>
      <c r="K455" s="14" t="s">
        <v>3710</v>
      </c>
      <c r="L455" s="14" t="s">
        <v>3711</v>
      </c>
      <c r="M455" s="14" t="s">
        <v>9158</v>
      </c>
      <c r="N455" s="14" t="s">
        <v>9158</v>
      </c>
      <c r="O455" s="19" t="s">
        <v>10116</v>
      </c>
      <c r="P455" s="14" t="s">
        <v>3713</v>
      </c>
      <c r="Q455" s="14">
        <v>1</v>
      </c>
    </row>
    <row r="456" spans="1:17">
      <c r="A456" s="14" t="s">
        <v>5830</v>
      </c>
      <c r="B456" s="14" t="s">
        <v>330</v>
      </c>
      <c r="C456" s="14" t="s">
        <v>191</v>
      </c>
      <c r="D456" s="19" t="s">
        <v>793</v>
      </c>
      <c r="E456" s="15" t="str">
        <f>HYPERLINK("https://stat100.ameba.jp/tnk47/ratio20/illustrations/card/ill_39933_0_reihiiinaotora03.jpg?202003-i_prefecture_active_user", "■")</f>
        <v>■</v>
      </c>
      <c r="F456" s="14" t="s">
        <v>794</v>
      </c>
      <c r="G456" s="14">
        <v>109616</v>
      </c>
      <c r="H456" s="14">
        <v>117040</v>
      </c>
      <c r="I456" s="14">
        <v>20</v>
      </c>
      <c r="J456" s="14" t="s">
        <v>315</v>
      </c>
      <c r="K456" s="14" t="s">
        <v>795</v>
      </c>
      <c r="L456" s="14" t="s">
        <v>796</v>
      </c>
      <c r="M456" s="14" t="s">
        <v>9158</v>
      </c>
      <c r="N456" s="14" t="s">
        <v>9158</v>
      </c>
      <c r="O456" s="14" t="s">
        <v>9158</v>
      </c>
      <c r="P456" s="14" t="s">
        <v>9158</v>
      </c>
      <c r="Q456" s="14" t="s">
        <v>9158</v>
      </c>
    </row>
    <row r="457" spans="1:17">
      <c r="A457" s="14">
        <v>86613</v>
      </c>
      <c r="B457" s="14" t="s">
        <v>0</v>
      </c>
      <c r="C457" s="14" t="s">
        <v>9752</v>
      </c>
      <c r="D457" s="19" t="s">
        <v>10991</v>
      </c>
      <c r="E457" s="15" t="str">
        <f>HYPERLINK("https://stat100.ameba.jp/tnk47/ratio20/illustrations/card/ill_86613_uintasupotsukasutaniichiyo03.jpg?202003-i_prefecture_active_user", "■")</f>
        <v>■</v>
      </c>
      <c r="F457" s="14" t="s">
        <v>9766</v>
      </c>
      <c r="G457" s="14">
        <v>67842</v>
      </c>
      <c r="H457" s="14">
        <v>120570</v>
      </c>
      <c r="I457" s="14">
        <v>25</v>
      </c>
      <c r="J457" s="14" t="s">
        <v>9755</v>
      </c>
      <c r="K457" s="14" t="s">
        <v>9765</v>
      </c>
      <c r="L457" s="14" t="s">
        <v>9764</v>
      </c>
      <c r="M457" s="14" t="s">
        <v>9158</v>
      </c>
      <c r="N457" s="14" t="s">
        <v>9158</v>
      </c>
      <c r="O457" s="14" t="s">
        <v>9158</v>
      </c>
      <c r="P457" s="14" t="s">
        <v>9158</v>
      </c>
      <c r="Q457" s="14" t="s">
        <v>9158</v>
      </c>
    </row>
    <row r="458" spans="1:17">
      <c r="A458" s="14">
        <v>87253</v>
      </c>
      <c r="B458" s="14" t="s">
        <v>0</v>
      </c>
      <c r="C458" s="14" t="s">
        <v>9753</v>
      </c>
      <c r="D458" s="19" t="s">
        <v>10992</v>
      </c>
      <c r="E458" s="15" t="str">
        <f>HYPERLINK("https://stat100.ameba.jp/tnk47/ratio20/illustrations/card/ill_87253_rari03.jpg?202003-i_prefecture_active_user", "■")</f>
        <v>■</v>
      </c>
      <c r="F458" s="14" t="s">
        <v>9763</v>
      </c>
      <c r="G458" s="14">
        <v>70455</v>
      </c>
      <c r="H458" s="14">
        <v>125213</v>
      </c>
      <c r="I458" s="14">
        <v>25</v>
      </c>
      <c r="J458" s="14" t="s">
        <v>9756</v>
      </c>
      <c r="K458" s="14" t="s">
        <v>9762</v>
      </c>
      <c r="L458" s="14" t="s">
        <v>9761</v>
      </c>
      <c r="M458" s="14" t="s">
        <v>9158</v>
      </c>
      <c r="N458" s="14" t="s">
        <v>9158</v>
      </c>
      <c r="O458" s="14" t="s">
        <v>9158</v>
      </c>
      <c r="P458" s="14" t="s">
        <v>9158</v>
      </c>
      <c r="Q458" s="14" t="s">
        <v>9158</v>
      </c>
    </row>
    <row r="459" spans="1:17">
      <c r="A459" s="14">
        <v>68393</v>
      </c>
      <c r="B459" s="14" t="s">
        <v>0</v>
      </c>
      <c r="C459" s="14" t="s">
        <v>9754</v>
      </c>
      <c r="D459" s="19" t="s">
        <v>10197</v>
      </c>
      <c r="E459" s="15" t="str">
        <f>HYPERLINK("https://stat100.ameba.jp/tnk47/ratio20/illustrations/card/ill_68393_soseikinokain03.jpg?202003-i_prefecture_active_user", "■")</f>
        <v>■</v>
      </c>
      <c r="F459" s="14" t="s">
        <v>9760</v>
      </c>
      <c r="G459" s="14">
        <v>79221</v>
      </c>
      <c r="H459" s="14">
        <v>140761</v>
      </c>
      <c r="I459" s="14">
        <v>25</v>
      </c>
      <c r="J459" s="14" t="s">
        <v>9757</v>
      </c>
      <c r="K459" s="14" t="s">
        <v>9759</v>
      </c>
      <c r="L459" s="14" t="s">
        <v>9758</v>
      </c>
      <c r="M459" s="14" t="s">
        <v>9158</v>
      </c>
      <c r="N459" s="14" t="s">
        <v>9158</v>
      </c>
      <c r="O459" s="14" t="s">
        <v>9158</v>
      </c>
      <c r="P459" s="14" t="s">
        <v>9158</v>
      </c>
      <c r="Q459" s="14" t="s">
        <v>9158</v>
      </c>
    </row>
    <row r="460" spans="1:17">
      <c r="A460" s="14">
        <v>68473</v>
      </c>
      <c r="B460" s="14" t="s">
        <v>15</v>
      </c>
      <c r="C460" s="14" t="s">
        <v>185</v>
      </c>
      <c r="D460" s="19" t="s">
        <v>10510</v>
      </c>
      <c r="E460" s="15" t="str">
        <f>HYPERLINK("https://stat100.ameba.jp/tnk47/ratio20/illustrations/card/ill_68473_sunogurabianakanotakeko03.jpg?202003-i_prefecture_active_user", "■")</f>
        <v>■</v>
      </c>
      <c r="F460" s="14" t="s">
        <v>3324</v>
      </c>
      <c r="G460" s="14">
        <v>51078</v>
      </c>
      <c r="H460" s="14">
        <v>56316</v>
      </c>
      <c r="I460" s="14">
        <v>19</v>
      </c>
      <c r="J460" s="14" t="s">
        <v>143</v>
      </c>
      <c r="K460" s="14" t="s">
        <v>3325</v>
      </c>
      <c r="L460" s="14" t="s">
        <v>3326</v>
      </c>
      <c r="M460" s="14" t="s">
        <v>9158</v>
      </c>
      <c r="N460" s="14" t="s">
        <v>9158</v>
      </c>
      <c r="O460" s="14" t="s">
        <v>9158</v>
      </c>
      <c r="P460" s="14" t="s">
        <v>9158</v>
      </c>
      <c r="Q460" s="14" t="s">
        <v>9158</v>
      </c>
    </row>
    <row r="461" spans="1:17">
      <c r="A461" s="14">
        <v>77443</v>
      </c>
      <c r="B461" s="14" t="s">
        <v>15</v>
      </c>
      <c r="C461" s="14" t="s">
        <v>191</v>
      </c>
      <c r="D461" s="19" t="s">
        <v>1666</v>
      </c>
      <c r="E461" s="15" t="str">
        <f>HYPERLINK("https://stat100.ameba.jp/tnk47/ratio20/illustrations/card/ill_77443_kaiinu03.jpg?202003-i_prefecture_active_user", "■")</f>
        <v>■</v>
      </c>
      <c r="F461" s="14" t="s">
        <v>1727</v>
      </c>
      <c r="G461" s="14">
        <v>51078</v>
      </c>
      <c r="H461" s="14">
        <v>56316</v>
      </c>
      <c r="I461" s="14">
        <v>19</v>
      </c>
      <c r="J461" s="14" t="s">
        <v>26</v>
      </c>
      <c r="K461" s="14" t="s">
        <v>1728</v>
      </c>
      <c r="L461" s="14" t="s">
        <v>977</v>
      </c>
      <c r="M461" s="14" t="s">
        <v>9158</v>
      </c>
      <c r="N461" s="14" t="s">
        <v>9158</v>
      </c>
      <c r="O461" s="14" t="s">
        <v>9158</v>
      </c>
      <c r="P461" s="14" t="s">
        <v>9158</v>
      </c>
      <c r="Q461" s="14" t="s">
        <v>9158</v>
      </c>
    </row>
    <row r="462" spans="1:17">
      <c r="A462" s="14">
        <v>81993</v>
      </c>
      <c r="B462" s="14" t="s">
        <v>15</v>
      </c>
      <c r="C462" s="14" t="s">
        <v>206</v>
      </c>
      <c r="D462" s="19" t="s">
        <v>10207</v>
      </c>
      <c r="E462" s="15" t="str">
        <f>HYPERLINK("https://stat100.ameba.jp/tnk47/ratio20/illustrations/card/ill_81993_hinohikarichan03.jpg?202003-i_prefecture_active_user", "■")</f>
        <v>■</v>
      </c>
      <c r="F462" s="14" t="s">
        <v>5027</v>
      </c>
      <c r="G462" s="14">
        <v>51078</v>
      </c>
      <c r="H462" s="14">
        <v>56316</v>
      </c>
      <c r="I462" s="14">
        <v>19</v>
      </c>
      <c r="J462" s="14" t="s">
        <v>104</v>
      </c>
      <c r="K462" s="14" t="s">
        <v>5029</v>
      </c>
      <c r="L462" s="14" t="s">
        <v>1757</v>
      </c>
      <c r="M462" s="14" t="s">
        <v>9158</v>
      </c>
      <c r="N462" s="14" t="s">
        <v>9158</v>
      </c>
      <c r="O462" s="14" t="s">
        <v>9158</v>
      </c>
      <c r="P462" s="14" t="s">
        <v>9158</v>
      </c>
      <c r="Q462" s="14" t="s">
        <v>9158</v>
      </c>
    </row>
    <row r="463" spans="1:17">
      <c r="E463" s="9"/>
    </row>
    <row r="464" spans="1:17">
      <c r="A464" s="9" t="s">
        <v>9767</v>
      </c>
      <c r="E464" s="9"/>
    </row>
    <row r="465" spans="1:17">
      <c r="A465" s="9" t="s">
        <v>9768</v>
      </c>
      <c r="E465" s="9"/>
    </row>
    <row r="466" spans="1:17">
      <c r="A466" s="9" t="s">
        <v>9769</v>
      </c>
      <c r="B466" s="9" t="s">
        <v>9770</v>
      </c>
      <c r="C466" s="9" t="s">
        <v>9771</v>
      </c>
      <c r="D466" s="19" t="s">
        <v>10993</v>
      </c>
      <c r="E466" s="15" t="str">
        <f>HYPERLINK("https://stat100.ameba.jp/tnk47/ratio20/illustrations/card/ill_88093_0_tenkurorisshunka03.jpg?202003-i_prefecture_active_user", "■")</f>
        <v>■</v>
      </c>
      <c r="F466" s="9" t="s">
        <v>9775</v>
      </c>
      <c r="G466" s="9">
        <v>406728</v>
      </c>
      <c r="H466" s="9">
        <v>450016</v>
      </c>
      <c r="I466" s="9">
        <v>35</v>
      </c>
      <c r="J466" s="9" t="s">
        <v>9774</v>
      </c>
      <c r="K466" s="9" t="s">
        <v>9773</v>
      </c>
      <c r="L466" s="9" t="s">
        <v>9772</v>
      </c>
      <c r="M466" s="14" t="s">
        <v>9158</v>
      </c>
      <c r="N466" s="14" t="s">
        <v>9158</v>
      </c>
      <c r="O466" s="14" t="s">
        <v>9158</v>
      </c>
      <c r="P466" s="14" t="s">
        <v>9158</v>
      </c>
      <c r="Q466" s="14" t="s">
        <v>9158</v>
      </c>
    </row>
    <row r="467" spans="1:17">
      <c r="A467" s="7" t="s">
        <v>8241</v>
      </c>
      <c r="B467" s="7" t="s">
        <v>117</v>
      </c>
      <c r="C467" s="7" t="s">
        <v>202</v>
      </c>
      <c r="D467" s="19" t="s">
        <v>10794</v>
      </c>
      <c r="E467" s="15" t="str">
        <f>HYPERLINK("https://stat100.ameba.jp/tnk47/ratio20/illustrations/card/ill_86053_0_tenkuroesupizeroichi03.jpg?202003-i_prefecture_active_user", "■")</f>
        <v>■</v>
      </c>
      <c r="F467" s="7" t="s">
        <v>8244</v>
      </c>
      <c r="G467" s="7">
        <v>450016</v>
      </c>
      <c r="H467" s="7">
        <v>406728</v>
      </c>
      <c r="I467" s="7">
        <v>35</v>
      </c>
      <c r="J467" s="14" t="s">
        <v>44</v>
      </c>
      <c r="K467" s="7" t="s">
        <v>8243</v>
      </c>
      <c r="L467" s="7" t="s">
        <v>8242</v>
      </c>
      <c r="M467" s="14" t="s">
        <v>9158</v>
      </c>
      <c r="N467" s="14" t="s">
        <v>9158</v>
      </c>
      <c r="O467" s="14" t="s">
        <v>9158</v>
      </c>
      <c r="P467" s="14" t="s">
        <v>9158</v>
      </c>
      <c r="Q467" s="14" t="s">
        <v>9158</v>
      </c>
    </row>
    <row r="468" spans="1:17">
      <c r="A468" s="7" t="s">
        <v>8752</v>
      </c>
      <c r="B468" s="7" t="s">
        <v>117</v>
      </c>
      <c r="C468" s="7" t="s">
        <v>202</v>
      </c>
      <c r="D468" s="19" t="s">
        <v>10869</v>
      </c>
      <c r="E468" s="15" t="str">
        <f>HYPERLINK("https://stat100.ameba.jp/tnk47/ratio20/illustrations/card/ill_86713_0_tenkuroenjieruzu03.jpg?202003-i_prefecture_active_user", "■")</f>
        <v>■</v>
      </c>
      <c r="F468" s="7" t="s">
        <v>8755</v>
      </c>
      <c r="G468" s="7">
        <v>406728</v>
      </c>
      <c r="H468" s="7">
        <v>450016</v>
      </c>
      <c r="I468" s="7">
        <v>35</v>
      </c>
      <c r="J468" s="14" t="s">
        <v>274</v>
      </c>
      <c r="K468" s="7" t="s">
        <v>8754</v>
      </c>
      <c r="L468" s="7" t="s">
        <v>8753</v>
      </c>
      <c r="M468" s="14" t="s">
        <v>9158</v>
      </c>
      <c r="N468" s="14" t="s">
        <v>9158</v>
      </c>
      <c r="O468" s="14" t="s">
        <v>9158</v>
      </c>
      <c r="P468" s="14" t="s">
        <v>9158</v>
      </c>
      <c r="Q468" s="14" t="s">
        <v>9158</v>
      </c>
    </row>
    <row r="469" spans="1:17">
      <c r="A469" s="9" t="s">
        <v>11935</v>
      </c>
      <c r="B469" s="9" t="s">
        <v>117</v>
      </c>
      <c r="C469" s="9" t="s">
        <v>35</v>
      </c>
      <c r="D469" s="19" t="s">
        <v>10932</v>
      </c>
      <c r="E469" s="15" t="str">
        <f>HYPERLINK("https://stat100.ameba.jp/tnk47/ratio20/illustrations/card/ill_87453_0_tenkuroinoshikacho03.jpg?202003-i_prefecture_active_user", "■")</f>
        <v>■</v>
      </c>
      <c r="F469" s="9" t="s">
        <v>9175</v>
      </c>
      <c r="G469" s="9">
        <v>450016</v>
      </c>
      <c r="H469" s="9">
        <v>406728</v>
      </c>
      <c r="I469" s="9">
        <v>35</v>
      </c>
      <c r="J469" s="9" t="s">
        <v>16</v>
      </c>
      <c r="K469" s="9" t="s">
        <v>9177</v>
      </c>
      <c r="L469" s="9" t="s">
        <v>9178</v>
      </c>
      <c r="M469" s="14" t="s">
        <v>9158</v>
      </c>
      <c r="N469" s="14" t="s">
        <v>9158</v>
      </c>
      <c r="O469" s="14" t="s">
        <v>9158</v>
      </c>
      <c r="P469" s="14" t="s">
        <v>9158</v>
      </c>
      <c r="Q469" s="14" t="s">
        <v>9158</v>
      </c>
    </row>
    <row r="470" spans="1:17">
      <c r="A470" s="14" t="s">
        <v>7150</v>
      </c>
      <c r="B470" s="14" t="s">
        <v>52</v>
      </c>
      <c r="C470" s="14" t="s">
        <v>202</v>
      </c>
      <c r="D470" s="19" t="s">
        <v>10656</v>
      </c>
      <c r="E470" s="15" t="str">
        <f>HYPERLINK("https://stat100.ameba.jp/tnk47/ratio20/illustrations/card/ill_84203_0_tarottofujiwaranoshoshi03.jpg?202003-i_prefecture_active_user", "■")</f>
        <v>■</v>
      </c>
      <c r="F470" s="14" t="s">
        <v>7153</v>
      </c>
      <c r="G470" s="14">
        <v>323812</v>
      </c>
      <c r="H470" s="14">
        <v>292680</v>
      </c>
      <c r="I470" s="14">
        <v>22</v>
      </c>
      <c r="J470" s="14" t="s">
        <v>10</v>
      </c>
      <c r="K470" s="14" t="s">
        <v>7152</v>
      </c>
      <c r="L470" s="14" t="s">
        <v>7151</v>
      </c>
      <c r="M470" s="14" t="s">
        <v>9158</v>
      </c>
      <c r="N470" s="14" t="s">
        <v>9158</v>
      </c>
      <c r="O470" s="19" t="s">
        <v>10128</v>
      </c>
      <c r="P470" s="14" t="s">
        <v>7154</v>
      </c>
      <c r="Q470" s="14">
        <v>1</v>
      </c>
    </row>
    <row r="471" spans="1:17">
      <c r="A471" s="7">
        <v>78943</v>
      </c>
      <c r="B471" s="14" t="s">
        <v>334</v>
      </c>
      <c r="C471" s="14" t="s">
        <v>185</v>
      </c>
      <c r="D471" s="19" t="s">
        <v>2953</v>
      </c>
      <c r="E471" s="15" t="str">
        <f>HYPERLINK("https://stat100.ameba.jp/tnk47/ratio20/illustrations/card/ill_78943_idoshiiwaisepo03.jpg?202003-i_prefecture_active_user", "■")</f>
        <v>■</v>
      </c>
      <c r="F471" s="14" t="s">
        <v>2954</v>
      </c>
      <c r="G471" s="14">
        <v>104162</v>
      </c>
      <c r="H471" s="14">
        <v>96871</v>
      </c>
      <c r="I471" s="14">
        <v>25</v>
      </c>
      <c r="J471" s="14" t="s">
        <v>320</v>
      </c>
      <c r="K471" s="14" t="s">
        <v>2955</v>
      </c>
      <c r="L471" s="14" t="s">
        <v>2956</v>
      </c>
      <c r="M471" s="14" t="s">
        <v>9158</v>
      </c>
      <c r="N471" s="14" t="s">
        <v>9158</v>
      </c>
      <c r="O471" s="14" t="s">
        <v>9158</v>
      </c>
      <c r="P471" s="14" t="s">
        <v>9158</v>
      </c>
      <c r="Q471" s="14" t="s">
        <v>9158</v>
      </c>
    </row>
    <row r="472" spans="1:17">
      <c r="A472" s="7">
        <v>78033</v>
      </c>
      <c r="B472" s="7" t="s">
        <v>0</v>
      </c>
      <c r="C472" s="7" t="s">
        <v>200</v>
      </c>
      <c r="D472" s="19" t="s">
        <v>10310</v>
      </c>
      <c r="E472" s="15" t="str">
        <f>HYPERLINK("https://stat100.ameba.jp/tnk47/ratio20/illustrations/card/ill_78033_bonenkaimyoombenzaiten03.jpg?202003-i_prefecture_active_user", "■")</f>
        <v>■</v>
      </c>
      <c r="F472" s="7" t="s">
        <v>2209</v>
      </c>
      <c r="G472" s="7">
        <v>101971</v>
      </c>
      <c r="H472" s="7">
        <v>94802</v>
      </c>
      <c r="I472" s="7">
        <v>25</v>
      </c>
      <c r="J472" s="7" t="s">
        <v>169</v>
      </c>
      <c r="K472" s="7" t="s">
        <v>2210</v>
      </c>
      <c r="L472" s="7" t="s">
        <v>2211</v>
      </c>
      <c r="M472" s="14" t="s">
        <v>9158</v>
      </c>
      <c r="N472" s="14" t="s">
        <v>9158</v>
      </c>
      <c r="O472" s="14" t="s">
        <v>9158</v>
      </c>
      <c r="P472" s="14" t="s">
        <v>9158</v>
      </c>
      <c r="Q472" s="14" t="s">
        <v>9158</v>
      </c>
    </row>
    <row r="473" spans="1:17">
      <c r="A473" s="14">
        <v>75463</v>
      </c>
      <c r="B473" s="14" t="s">
        <v>334</v>
      </c>
      <c r="C473" s="14" t="s">
        <v>308</v>
      </c>
      <c r="D473" s="19" t="s">
        <v>10249</v>
      </c>
      <c r="E473" s="15" t="str">
        <f>HYPERLINK("https://stat100.ameba.jp/tnk47/ratio20/illustrations/card/ill_75463_kiiui03.jpg?202003-i_prefecture_active_user", "■")</f>
        <v>■</v>
      </c>
      <c r="F473" s="14" t="s">
        <v>4420</v>
      </c>
      <c r="G473" s="14">
        <v>113890</v>
      </c>
      <c r="H473" s="14">
        <v>105890</v>
      </c>
      <c r="I473" s="14">
        <v>25</v>
      </c>
      <c r="J473" s="14" t="s">
        <v>26</v>
      </c>
      <c r="K473" s="14" t="s">
        <v>4421</v>
      </c>
      <c r="L473" s="14" t="s">
        <v>1086</v>
      </c>
      <c r="M473" s="14" t="s">
        <v>9158</v>
      </c>
      <c r="N473" s="14" t="s">
        <v>9158</v>
      </c>
      <c r="O473" s="14" t="s">
        <v>9158</v>
      </c>
      <c r="P473" s="14" t="s">
        <v>9158</v>
      </c>
      <c r="Q473" s="14" t="s">
        <v>9158</v>
      </c>
    </row>
    <row r="474" spans="1:17">
      <c r="A474" s="7">
        <v>85783</v>
      </c>
      <c r="B474" s="7" t="s">
        <v>0</v>
      </c>
      <c r="C474" s="7" t="s">
        <v>205</v>
      </c>
      <c r="D474" s="19" t="s">
        <v>10850</v>
      </c>
      <c r="E474" s="15" t="str">
        <f>HYPERLINK("https://stat100.ameba.jp/tnk47/ratio20/illustrations/card/ill_85783_fuyukominarutokintoki03.jpg?202003-i_prefecture_active_user", "■")</f>
        <v>■</v>
      </c>
      <c r="F474" s="7" t="s">
        <v>8635</v>
      </c>
      <c r="G474" s="7">
        <v>118063</v>
      </c>
      <c r="H474" s="7">
        <v>109786</v>
      </c>
      <c r="I474" s="7">
        <v>25</v>
      </c>
      <c r="J474" s="14" t="s">
        <v>104</v>
      </c>
      <c r="K474" s="7" t="s">
        <v>8634</v>
      </c>
      <c r="L474" s="7" t="s">
        <v>3489</v>
      </c>
      <c r="M474" s="14" t="s">
        <v>9158</v>
      </c>
      <c r="N474" s="14" t="s">
        <v>9158</v>
      </c>
      <c r="O474" s="14" t="s">
        <v>9158</v>
      </c>
      <c r="P474" s="14" t="s">
        <v>9158</v>
      </c>
      <c r="Q474" s="14" t="s">
        <v>9158</v>
      </c>
    </row>
    <row r="475" spans="1:17">
      <c r="A475" s="14">
        <v>81423</v>
      </c>
      <c r="B475" s="14" t="s">
        <v>0</v>
      </c>
      <c r="C475" s="14" t="s">
        <v>206</v>
      </c>
      <c r="D475" s="19" t="s">
        <v>10688</v>
      </c>
      <c r="E475" s="15" t="str">
        <f>HYPERLINK("https://stat100.ameba.jp/tnk47/ratio20/illustrations/card/ill_81423_harunotaiikusaiamahime03.jpg?202003-i_prefecture_active_user", "■")</f>
        <v>■</v>
      </c>
      <c r="F475" s="14" t="s">
        <v>4676</v>
      </c>
      <c r="G475" s="14">
        <v>97651</v>
      </c>
      <c r="H475" s="14">
        <v>90759</v>
      </c>
      <c r="I475" s="14">
        <v>25</v>
      </c>
      <c r="J475" s="14" t="s">
        <v>187</v>
      </c>
      <c r="K475" s="14" t="s">
        <v>4677</v>
      </c>
      <c r="L475" s="14" t="s">
        <v>4678</v>
      </c>
      <c r="M475" s="14" t="s">
        <v>9158</v>
      </c>
      <c r="N475" s="14" t="s">
        <v>9158</v>
      </c>
      <c r="O475" s="14" t="s">
        <v>9158</v>
      </c>
      <c r="P475" s="14" t="s">
        <v>9158</v>
      </c>
      <c r="Q475" s="14" t="s">
        <v>9158</v>
      </c>
    </row>
    <row r="476" spans="1:17">
      <c r="A476" s="7">
        <v>80873</v>
      </c>
      <c r="B476" s="14" t="s">
        <v>0</v>
      </c>
      <c r="C476" s="14" t="s">
        <v>191</v>
      </c>
      <c r="D476" s="19" t="s">
        <v>10758</v>
      </c>
      <c r="E476" s="15" t="str">
        <f>HYPERLINK("https://stat100.ameba.jp/tnk47/ratio20/illustrations/card/ill_80873_fukkatsusaikawashimayoshiko03.jpg?202003-i_prefecture_active_user", "■")</f>
        <v>■</v>
      </c>
      <c r="F476" s="14" t="s">
        <v>4328</v>
      </c>
      <c r="G476" s="14">
        <v>97651</v>
      </c>
      <c r="H476" s="14">
        <v>90759</v>
      </c>
      <c r="I476" s="14">
        <v>25</v>
      </c>
      <c r="J476" s="14" t="s">
        <v>10</v>
      </c>
      <c r="K476" s="14" t="s">
        <v>4329</v>
      </c>
      <c r="L476" s="14" t="s">
        <v>3352</v>
      </c>
      <c r="M476" s="14" t="s">
        <v>9158</v>
      </c>
      <c r="N476" s="14" t="s">
        <v>9158</v>
      </c>
      <c r="O476" s="14" t="s">
        <v>9158</v>
      </c>
      <c r="P476" s="14" t="s">
        <v>9158</v>
      </c>
      <c r="Q476" s="14" t="s">
        <v>9158</v>
      </c>
    </row>
    <row r="477" spans="1:17">
      <c r="E477" s="9"/>
    </row>
    <row r="478" spans="1:17">
      <c r="A478" s="9" t="s">
        <v>9776</v>
      </c>
      <c r="E478" s="9"/>
    </row>
    <row r="479" spans="1:17">
      <c r="A479" s="9" t="s">
        <v>9777</v>
      </c>
      <c r="E479" s="9"/>
    </row>
    <row r="480" spans="1:17">
      <c r="A480" s="14" t="s">
        <v>5848</v>
      </c>
      <c r="B480" s="14" t="s">
        <v>52</v>
      </c>
      <c r="C480" s="14" t="s">
        <v>200</v>
      </c>
      <c r="D480" s="19" t="s">
        <v>3160</v>
      </c>
      <c r="E480" s="15" t="str">
        <f>HYPERLINK("https://stat100.ameba.jp/tnk47/ratio20/illustrations/card/ill_72963_0_amenohanayomehiguchiichiyo03.jpg?202003-i_prefecture_active_user", "■")</f>
        <v>■</v>
      </c>
      <c r="F480" s="14" t="s">
        <v>1139</v>
      </c>
      <c r="G480" s="14">
        <v>160804</v>
      </c>
      <c r="H480" s="14">
        <v>149520</v>
      </c>
      <c r="I480" s="14">
        <v>24</v>
      </c>
      <c r="J480" s="14" t="s">
        <v>10</v>
      </c>
      <c r="K480" s="14" t="s">
        <v>1140</v>
      </c>
      <c r="L480" s="14" t="s">
        <v>1141</v>
      </c>
      <c r="M480" s="14" t="s">
        <v>9158</v>
      </c>
      <c r="N480" s="14" t="s">
        <v>9158</v>
      </c>
      <c r="O480" s="19" t="s">
        <v>3162</v>
      </c>
      <c r="P480" s="14" t="s">
        <v>3410</v>
      </c>
      <c r="Q480" s="14">
        <v>1</v>
      </c>
    </row>
    <row r="481" spans="1:18">
      <c r="A481" s="14" t="s">
        <v>5614</v>
      </c>
      <c r="B481" s="14" t="s">
        <v>330</v>
      </c>
      <c r="C481" s="14" t="s">
        <v>267</v>
      </c>
      <c r="D481" s="19" t="s">
        <v>313</v>
      </c>
      <c r="E481" s="15" t="str">
        <f>HYPERLINK("https://stat100.ameba.jp/tnk47/ratio20/illustrations/card/ill_56223_0_onsempanikkugohime03.jpg?202003-i_prefecture_active_user", "■")</f>
        <v>■</v>
      </c>
      <c r="F481" s="14" t="s">
        <v>314</v>
      </c>
      <c r="G481" s="14">
        <v>133938</v>
      </c>
      <c r="H481" s="14">
        <v>150776</v>
      </c>
      <c r="I481" s="14">
        <v>24</v>
      </c>
      <c r="J481" s="14" t="s">
        <v>315</v>
      </c>
      <c r="K481" s="14" t="s">
        <v>316</v>
      </c>
      <c r="L481" s="14" t="s">
        <v>317</v>
      </c>
      <c r="M481" s="14" t="s">
        <v>9158</v>
      </c>
      <c r="N481" s="14" t="s">
        <v>9158</v>
      </c>
      <c r="O481" s="19" t="s">
        <v>3021</v>
      </c>
      <c r="P481" s="14" t="s">
        <v>2890</v>
      </c>
      <c r="Q481" s="14">
        <v>1</v>
      </c>
    </row>
    <row r="482" spans="1:18">
      <c r="A482" s="14" t="s">
        <v>5902</v>
      </c>
      <c r="B482" s="14" t="s">
        <v>330</v>
      </c>
      <c r="C482" s="14" t="s">
        <v>206</v>
      </c>
      <c r="D482" s="19" t="s">
        <v>483</v>
      </c>
      <c r="E482" s="15" t="str">
        <f>HYPERLINK("https://stat100.ameba.jp/tnk47/ratio20/illustrations/card/ill_40343_0_heshikirihasebekurodakambe03.jpg?202003-i_prefecture_active_user", "■")</f>
        <v>■</v>
      </c>
      <c r="F482" s="14" t="s">
        <v>906</v>
      </c>
      <c r="G482" s="14">
        <v>140448</v>
      </c>
      <c r="H482" s="14">
        <v>131538</v>
      </c>
      <c r="I482" s="14">
        <v>24</v>
      </c>
      <c r="J482" s="14" t="s">
        <v>16</v>
      </c>
      <c r="K482" s="14" t="s">
        <v>907</v>
      </c>
      <c r="L482" s="14" t="s">
        <v>908</v>
      </c>
      <c r="M482" s="14" t="s">
        <v>9158</v>
      </c>
      <c r="N482" s="14" t="s">
        <v>9158</v>
      </c>
      <c r="O482" s="14" t="s">
        <v>9158</v>
      </c>
      <c r="P482" s="14" t="s">
        <v>9158</v>
      </c>
      <c r="Q482" s="14" t="s">
        <v>9158</v>
      </c>
    </row>
    <row r="483" spans="1:18">
      <c r="A483" s="14">
        <v>58803</v>
      </c>
      <c r="B483" s="14" t="s">
        <v>0</v>
      </c>
      <c r="C483" s="14" t="s">
        <v>205</v>
      </c>
      <c r="D483" s="19" t="s">
        <v>10210</v>
      </c>
      <c r="E483" s="15" t="str">
        <f>HYPERLINK("https://stat100.ameba.jp/tnk47/ratio20/illustrations/card/ill_58803_setsubumpanikkumimuratsuru03.jpg?202003-i_prefecture_active_user", "■")</f>
        <v>■</v>
      </c>
      <c r="F483" s="14" t="s">
        <v>2028</v>
      </c>
      <c r="G483" s="14">
        <v>148199</v>
      </c>
      <c r="H483" s="14">
        <v>89590</v>
      </c>
      <c r="I483" s="14">
        <v>25</v>
      </c>
      <c r="J483" s="14" t="s">
        <v>194</v>
      </c>
      <c r="K483" s="14" t="s">
        <v>2029</v>
      </c>
      <c r="L483" s="14" t="s">
        <v>13171</v>
      </c>
      <c r="M483" s="14" t="s">
        <v>9158</v>
      </c>
      <c r="N483" s="14" t="s">
        <v>9158</v>
      </c>
      <c r="O483" s="19" t="s">
        <v>10092</v>
      </c>
      <c r="P483" s="14" t="s">
        <v>3704</v>
      </c>
      <c r="Q483" s="14">
        <v>1</v>
      </c>
    </row>
    <row r="484" spans="1:18">
      <c r="A484" s="14">
        <v>72533</v>
      </c>
      <c r="B484" s="14" t="s">
        <v>15</v>
      </c>
      <c r="C484" s="14" t="s">
        <v>185</v>
      </c>
      <c r="D484" s="19" t="s">
        <v>10737</v>
      </c>
      <c r="E484" s="15" t="str">
        <f>HYPERLINK("https://stat100.ameba.jp/tnk47/ratio20/illustrations/card/ill_72533_safuaripakunambutsuruhime03.jpg?202003-i_prefecture_active_user", "■")</f>
        <v>■</v>
      </c>
      <c r="F484" s="14" t="s">
        <v>3342</v>
      </c>
      <c r="G484" s="14">
        <v>74100</v>
      </c>
      <c r="H484" s="14">
        <v>67210</v>
      </c>
      <c r="I484" s="14">
        <v>25</v>
      </c>
      <c r="J484" s="14" t="s">
        <v>315</v>
      </c>
      <c r="K484" s="14" t="s">
        <v>3343</v>
      </c>
      <c r="L484" s="14" t="s">
        <v>932</v>
      </c>
      <c r="M484" s="14" t="s">
        <v>9158</v>
      </c>
      <c r="N484" s="14" t="s">
        <v>9158</v>
      </c>
      <c r="O484" s="14" t="s">
        <v>9158</v>
      </c>
      <c r="P484" s="14" t="s">
        <v>9158</v>
      </c>
      <c r="Q484" s="14" t="s">
        <v>9158</v>
      </c>
    </row>
    <row r="485" spans="1:18">
      <c r="A485" s="9">
        <v>71713</v>
      </c>
      <c r="B485" s="9" t="s">
        <v>9778</v>
      </c>
      <c r="C485" s="9" t="s">
        <v>9754</v>
      </c>
      <c r="D485" s="19" t="s">
        <v>10994</v>
      </c>
      <c r="E485" s="15" t="str">
        <f>HYPERLINK("https://stat100.ameba.jp/tnk47/ratio20/illustrations/card/ill_71713_kanazawahakuchan03.jpg?202003-i_prefecture_active_user", "■")</f>
        <v>■</v>
      </c>
      <c r="F485" s="9" t="s">
        <v>9784</v>
      </c>
      <c r="G485" s="9">
        <v>51980</v>
      </c>
      <c r="H485" s="9">
        <v>43220</v>
      </c>
      <c r="I485" s="9">
        <v>25</v>
      </c>
      <c r="J485" s="9" t="s">
        <v>9780</v>
      </c>
      <c r="K485" s="9" t="s">
        <v>9783</v>
      </c>
      <c r="L485" s="9" t="s">
        <v>9782</v>
      </c>
      <c r="M485" s="14" t="s">
        <v>9158</v>
      </c>
      <c r="N485" s="14" t="s">
        <v>9158</v>
      </c>
      <c r="O485" s="14" t="s">
        <v>9158</v>
      </c>
      <c r="P485" s="14" t="s">
        <v>9158</v>
      </c>
      <c r="Q485" s="14" t="s">
        <v>9158</v>
      </c>
    </row>
    <row r="486" spans="1:18">
      <c r="A486" s="9">
        <v>80383</v>
      </c>
      <c r="B486" s="9" t="s">
        <v>9779</v>
      </c>
      <c r="C486" s="9" t="s">
        <v>9753</v>
      </c>
      <c r="D486" s="19" t="s">
        <v>4134</v>
      </c>
      <c r="E486" s="15" t="str">
        <f>HYPERLINK("https://stat100.ameba.jp/tnk47/ratio20/illustrations/card/ill_80383_uisukisan03.jpg?202003-i_prefecture_active_user", "■")</f>
        <v>■</v>
      </c>
      <c r="F486" s="9" t="s">
        <v>9787</v>
      </c>
      <c r="G486" s="9">
        <v>26430</v>
      </c>
      <c r="H486" s="9">
        <v>31470</v>
      </c>
      <c r="I486" s="9">
        <v>25</v>
      </c>
      <c r="J486" s="9" t="s">
        <v>9781</v>
      </c>
      <c r="K486" s="9" t="s">
        <v>9786</v>
      </c>
      <c r="L486" s="9" t="s">
        <v>9785</v>
      </c>
      <c r="M486" s="14" t="s">
        <v>9158</v>
      </c>
      <c r="N486" s="14" t="s">
        <v>9158</v>
      </c>
      <c r="O486" s="14" t="s">
        <v>9158</v>
      </c>
      <c r="P486" s="14" t="s">
        <v>9158</v>
      </c>
      <c r="Q486" s="14" t="s">
        <v>9158</v>
      </c>
    </row>
    <row r="487" spans="1:18">
      <c r="E487" s="9"/>
    </row>
    <row r="488" spans="1:18">
      <c r="A488" s="14" t="s">
        <v>13327</v>
      </c>
      <c r="B488" s="14"/>
      <c r="C488" s="14"/>
      <c r="D488" s="14"/>
      <c r="F488" s="14"/>
      <c r="G488" s="14"/>
      <c r="H488" s="14"/>
      <c r="I488" s="14"/>
      <c r="J488" s="14"/>
      <c r="K488" s="14"/>
      <c r="L488" s="14"/>
      <c r="M488" s="14"/>
      <c r="N488" s="14"/>
      <c r="O488" s="14"/>
      <c r="P488" s="14"/>
      <c r="Q488" s="14"/>
      <c r="R488" s="14"/>
    </row>
    <row r="489" spans="1:18">
      <c r="A489" s="14" t="s">
        <v>9788</v>
      </c>
      <c r="B489" s="14"/>
      <c r="C489" s="14"/>
      <c r="D489" s="14"/>
      <c r="F489" s="14"/>
      <c r="G489" s="14"/>
      <c r="H489" s="14"/>
      <c r="I489" s="14"/>
      <c r="J489" s="14"/>
      <c r="K489" s="14"/>
      <c r="L489" s="14"/>
      <c r="M489" s="14"/>
      <c r="N489" s="14"/>
      <c r="O489" s="14"/>
      <c r="P489" s="14"/>
      <c r="Q489" s="14"/>
      <c r="R489" s="14"/>
    </row>
    <row r="490" spans="1:18">
      <c r="A490" s="14">
        <v>71873</v>
      </c>
      <c r="B490" s="14" t="s">
        <v>334</v>
      </c>
      <c r="C490" s="14" t="s">
        <v>185</v>
      </c>
      <c r="D490" s="19" t="s">
        <v>10234</v>
      </c>
      <c r="E490" s="15" t="str">
        <f>HYPERLINK("https://stat100.ameba.jp/tnk47/ratio20/illustrations/card/ill_71873_akashita03.jpg?202003-i_prefecture_active_user", "■")</f>
        <v>■</v>
      </c>
      <c r="F490" s="6" t="s">
        <v>5952</v>
      </c>
      <c r="G490" s="14">
        <v>130886</v>
      </c>
      <c r="H490" s="14">
        <v>121686</v>
      </c>
      <c r="I490" s="14">
        <v>26</v>
      </c>
      <c r="J490" s="14" t="s">
        <v>182</v>
      </c>
      <c r="K490" s="14" t="s">
        <v>217</v>
      </c>
      <c r="L490" s="14" t="s">
        <v>13140</v>
      </c>
      <c r="M490" s="14" t="s">
        <v>13131</v>
      </c>
      <c r="N490" s="14" t="s">
        <v>251</v>
      </c>
      <c r="O490" s="14" t="s">
        <v>9158</v>
      </c>
      <c r="P490" s="14" t="s">
        <v>9158</v>
      </c>
      <c r="Q490" s="14" t="s">
        <v>9158</v>
      </c>
      <c r="R490" s="14"/>
    </row>
    <row r="491" spans="1:18">
      <c r="A491" s="14">
        <v>71872</v>
      </c>
      <c r="B491" s="14" t="s">
        <v>334</v>
      </c>
      <c r="C491" s="14" t="s">
        <v>185</v>
      </c>
      <c r="D491" s="19" t="s">
        <v>10234</v>
      </c>
      <c r="E491" s="15" t="str">
        <f>HYPERLINK("https://stat100.ameba.jp/tnk47/ratio20/illustrations/card/ill_71872_akashita02.jpg?202003-i_prefecture_active_user", "■")</f>
        <v>■</v>
      </c>
      <c r="F491" s="14" t="s">
        <v>5952</v>
      </c>
      <c r="G491" s="14">
        <v>109344</v>
      </c>
      <c r="H491" s="14">
        <v>100780</v>
      </c>
      <c r="I491" s="7">
        <v>26</v>
      </c>
      <c r="J491" s="14" t="s">
        <v>182</v>
      </c>
      <c r="K491" s="14" t="s">
        <v>217</v>
      </c>
      <c r="L491" s="14" t="s">
        <v>13140</v>
      </c>
      <c r="M491" s="14" t="s">
        <v>13131</v>
      </c>
      <c r="N491" s="14" t="s">
        <v>251</v>
      </c>
      <c r="O491" s="14" t="s">
        <v>9158</v>
      </c>
      <c r="P491" s="14" t="s">
        <v>9158</v>
      </c>
      <c r="Q491" s="14" t="s">
        <v>9158</v>
      </c>
      <c r="R491" s="14"/>
    </row>
    <row r="492" spans="1:18">
      <c r="A492" s="14">
        <v>71871</v>
      </c>
      <c r="B492" s="14" t="s">
        <v>334</v>
      </c>
      <c r="C492" s="14" t="s">
        <v>185</v>
      </c>
      <c r="D492" s="19" t="s">
        <v>10234</v>
      </c>
      <c r="E492" s="15" t="str">
        <f>HYPERLINK("https://stat100.ameba.jp/tnk47/ratio20/illustrations/card/ill_71871_akashita01.jpg?202003-i_prefecture_active_user", "■")</f>
        <v>■</v>
      </c>
      <c r="F492" s="14" t="s">
        <v>691</v>
      </c>
      <c r="G492" s="14">
        <v>83538</v>
      </c>
      <c r="H492" s="14">
        <v>77766</v>
      </c>
      <c r="I492" s="14">
        <v>26</v>
      </c>
      <c r="J492" s="14" t="s">
        <v>182</v>
      </c>
      <c r="K492" s="14" t="s">
        <v>217</v>
      </c>
      <c r="L492" s="14" t="s">
        <v>13140</v>
      </c>
      <c r="M492" s="14" t="s">
        <v>13131</v>
      </c>
      <c r="N492" s="14" t="s">
        <v>251</v>
      </c>
      <c r="O492" s="14" t="s">
        <v>9158</v>
      </c>
      <c r="P492" s="14" t="s">
        <v>9158</v>
      </c>
      <c r="Q492" s="14" t="s">
        <v>9158</v>
      </c>
      <c r="R492" s="14"/>
    </row>
    <row r="493" spans="1:18">
      <c r="A493" s="14">
        <v>72693</v>
      </c>
      <c r="B493" s="14" t="s">
        <v>334</v>
      </c>
      <c r="C493" s="14" t="s">
        <v>200</v>
      </c>
      <c r="D493" s="19" t="s">
        <v>10235</v>
      </c>
      <c r="E493" s="15" t="str">
        <f>HYPERLINK("https://stat100.ameba.jp/tnk47/ratio20/illustrations/card/ill_72693_sagarasozo03.jpg?202003-i_prefecture_active_user", "■")</f>
        <v>■</v>
      </c>
      <c r="F493" s="14" t="s">
        <v>692</v>
      </c>
      <c r="G493" s="14">
        <v>121686</v>
      </c>
      <c r="H493" s="14">
        <v>130886</v>
      </c>
      <c r="I493" s="7">
        <v>26</v>
      </c>
      <c r="J493" s="14" t="s">
        <v>194</v>
      </c>
      <c r="K493" s="14" t="s">
        <v>218</v>
      </c>
      <c r="L493" s="14" t="s">
        <v>9892</v>
      </c>
      <c r="M493" s="14" t="s">
        <v>13131</v>
      </c>
      <c r="N493" s="14" t="s">
        <v>251</v>
      </c>
      <c r="O493" s="14" t="s">
        <v>9158</v>
      </c>
      <c r="P493" s="14" t="s">
        <v>9158</v>
      </c>
      <c r="Q493" s="14" t="s">
        <v>9158</v>
      </c>
      <c r="R493" s="14"/>
    </row>
    <row r="494" spans="1:18">
      <c r="A494" s="14">
        <v>72703</v>
      </c>
      <c r="B494" s="14" t="s">
        <v>334</v>
      </c>
      <c r="C494" s="14" t="s">
        <v>191</v>
      </c>
      <c r="D494" s="19" t="s">
        <v>10236</v>
      </c>
      <c r="E494" s="15" t="str">
        <f>HYPERLINK("https://stat100.ameba.jp/tnk47/ratio20/illustrations/card/ill_72703_hayakawanoritsugu03.jpg?202003-i_prefecture_active_user", "■")</f>
        <v>■</v>
      </c>
      <c r="F494" s="14" t="s">
        <v>693</v>
      </c>
      <c r="G494" s="14">
        <v>130886</v>
      </c>
      <c r="H494" s="14">
        <v>121686</v>
      </c>
      <c r="I494" s="14">
        <v>26</v>
      </c>
      <c r="J494" s="14" t="s">
        <v>173</v>
      </c>
      <c r="K494" s="14" t="s">
        <v>219</v>
      </c>
      <c r="L494" s="14" t="s">
        <v>9893</v>
      </c>
      <c r="M494" s="14" t="s">
        <v>13131</v>
      </c>
      <c r="N494" s="14" t="s">
        <v>251</v>
      </c>
      <c r="O494" s="14" t="s">
        <v>9158</v>
      </c>
      <c r="P494" s="14" t="s">
        <v>9158</v>
      </c>
      <c r="Q494" s="14" t="s">
        <v>9158</v>
      </c>
      <c r="R494" s="14"/>
    </row>
    <row r="495" spans="1:18">
      <c r="A495" s="14">
        <v>73523</v>
      </c>
      <c r="B495" s="14" t="s">
        <v>334</v>
      </c>
      <c r="C495" s="14" t="s">
        <v>165</v>
      </c>
      <c r="D495" s="19" t="s">
        <v>10237</v>
      </c>
      <c r="E495" s="15" t="str">
        <f>HYPERLINK("https://stat100.ameba.jp/tnk47/ratio20/illustrations/card/ill_73523_marunomarudono03.jpg?202003-i_prefecture_active_user", "■")</f>
        <v>■</v>
      </c>
      <c r="F495" s="14" t="s">
        <v>694</v>
      </c>
      <c r="G495" s="14">
        <v>121686</v>
      </c>
      <c r="H495" s="14">
        <v>130886</v>
      </c>
      <c r="I495" s="7">
        <v>26</v>
      </c>
      <c r="J495" s="14" t="s">
        <v>187</v>
      </c>
      <c r="K495" s="14" t="s">
        <v>220</v>
      </c>
      <c r="L495" s="14" t="s">
        <v>9894</v>
      </c>
      <c r="M495" s="14" t="s">
        <v>13131</v>
      </c>
      <c r="N495" s="14" t="s">
        <v>251</v>
      </c>
      <c r="O495" s="14" t="s">
        <v>9158</v>
      </c>
      <c r="P495" s="14" t="s">
        <v>9158</v>
      </c>
      <c r="Q495" s="14" t="s">
        <v>9158</v>
      </c>
      <c r="R495" s="14"/>
    </row>
    <row r="496" spans="1:18">
      <c r="A496" s="14">
        <v>72713</v>
      </c>
      <c r="B496" s="14" t="s">
        <v>334</v>
      </c>
      <c r="C496" s="14" t="s">
        <v>205</v>
      </c>
      <c r="D496" s="19" t="s">
        <v>10238</v>
      </c>
      <c r="E496" s="15" t="str">
        <f>HYPERLINK("https://stat100.ameba.jp/tnk47/ratio20/illustrations/card/ill_72713_okamuzuminomikoto03.jpg?202003-i_prefecture_active_user", "■")</f>
        <v>■</v>
      </c>
      <c r="F496" s="14" t="s">
        <v>695</v>
      </c>
      <c r="G496" s="14">
        <v>121686</v>
      </c>
      <c r="H496" s="14">
        <v>130886</v>
      </c>
      <c r="I496" s="14">
        <v>26</v>
      </c>
      <c r="J496" s="14" t="s">
        <v>169</v>
      </c>
      <c r="K496" s="14" t="s">
        <v>221</v>
      </c>
      <c r="L496" s="14" t="s">
        <v>9895</v>
      </c>
      <c r="M496" s="14" t="s">
        <v>13131</v>
      </c>
      <c r="N496" s="14" t="s">
        <v>251</v>
      </c>
      <c r="O496" s="14" t="s">
        <v>9158</v>
      </c>
      <c r="P496" s="14" t="s">
        <v>9158</v>
      </c>
      <c r="Q496" s="14" t="s">
        <v>9158</v>
      </c>
      <c r="R496" s="14"/>
    </row>
    <row r="497" spans="1:18">
      <c r="A497" s="14">
        <v>73533</v>
      </c>
      <c r="B497" s="14" t="s">
        <v>334</v>
      </c>
      <c r="C497" s="14" t="s">
        <v>206</v>
      </c>
      <c r="D497" s="19" t="s">
        <v>10239</v>
      </c>
      <c r="E497" s="15" t="str">
        <f>HYPERLINK("https://stat100.ameba.jp/tnk47/ratio20/illustrations/card/ill_73533_agubutachan03.jpg?202003-i_prefecture_active_user", "■")</f>
        <v>■</v>
      </c>
      <c r="F497" s="14" t="s">
        <v>696</v>
      </c>
      <c r="G497" s="14">
        <v>130886</v>
      </c>
      <c r="H497" s="14">
        <v>121686</v>
      </c>
      <c r="I497" s="7">
        <v>26</v>
      </c>
      <c r="J497" s="14" t="s">
        <v>216</v>
      </c>
      <c r="K497" s="14" t="s">
        <v>697</v>
      </c>
      <c r="L497" s="14" t="s">
        <v>9896</v>
      </c>
      <c r="M497" s="14" t="s">
        <v>13131</v>
      </c>
      <c r="N497" s="14" t="s">
        <v>251</v>
      </c>
      <c r="O497" s="14" t="s">
        <v>9158</v>
      </c>
      <c r="P497" s="14" t="s">
        <v>9158</v>
      </c>
      <c r="Q497" s="14" t="s">
        <v>9158</v>
      </c>
      <c r="R497" s="14"/>
    </row>
    <row r="498" spans="1:18">
      <c r="E498" s="9"/>
    </row>
    <row r="499" spans="1:18">
      <c r="A499" s="9" t="s">
        <v>9789</v>
      </c>
      <c r="E499" s="9"/>
    </row>
    <row r="500" spans="1:18">
      <c r="A500" s="9" t="s">
        <v>9790</v>
      </c>
      <c r="E500" s="9"/>
    </row>
    <row r="501" spans="1:18">
      <c r="A501" s="14" t="s">
        <v>5617</v>
      </c>
      <c r="B501" s="14" t="s">
        <v>330</v>
      </c>
      <c r="C501" s="14" t="s">
        <v>308</v>
      </c>
      <c r="D501" s="19" t="s">
        <v>385</v>
      </c>
      <c r="E501" s="15" t="str">
        <f>HYPERLINK("https://stat100.ameba.jp/tnk47/ratio20/illustrations/card/ill_59673_0_oheyashutendoji03.jpg?202003-i_prefecture_active_user", "■")</f>
        <v>■</v>
      </c>
      <c r="F501" s="14" t="s">
        <v>386</v>
      </c>
      <c r="G501" s="14">
        <v>168874</v>
      </c>
      <c r="H501" s="14">
        <v>181640</v>
      </c>
      <c r="I501" s="14">
        <v>24</v>
      </c>
      <c r="J501" s="14" t="s">
        <v>320</v>
      </c>
      <c r="K501" s="14" t="s">
        <v>387</v>
      </c>
      <c r="L501" s="14" t="s">
        <v>388</v>
      </c>
      <c r="M501" s="14" t="s">
        <v>9158</v>
      </c>
      <c r="N501" s="14" t="s">
        <v>9158</v>
      </c>
      <c r="O501" s="19" t="s">
        <v>10078</v>
      </c>
      <c r="P501" s="14" t="s">
        <v>3022</v>
      </c>
      <c r="Q501" s="14">
        <v>1</v>
      </c>
    </row>
    <row r="502" spans="1:18">
      <c r="A502" s="14">
        <v>74553</v>
      </c>
      <c r="B502" s="14" t="s">
        <v>0</v>
      </c>
      <c r="C502" s="14" t="s">
        <v>107</v>
      </c>
      <c r="D502" s="19" t="s">
        <v>10389</v>
      </c>
      <c r="E502" s="15" t="str">
        <f>HYPERLINK("https://stat100.ameba.jp/tnk47/ratio20/illustrations/card/ill_74553_natsuyuenchikusumotoine03.jpg?202003-i_prefecture_active_user", "■")</f>
        <v>■</v>
      </c>
      <c r="F502" s="14" t="s">
        <v>4109</v>
      </c>
      <c r="G502" s="14">
        <v>101373</v>
      </c>
      <c r="H502" s="14">
        <v>94295</v>
      </c>
      <c r="I502" s="14">
        <v>25</v>
      </c>
      <c r="J502" s="14" t="s">
        <v>16</v>
      </c>
      <c r="K502" s="14" t="s">
        <v>4110</v>
      </c>
      <c r="L502" s="14" t="s">
        <v>1149</v>
      </c>
      <c r="M502" s="14" t="s">
        <v>9158</v>
      </c>
      <c r="N502" s="14" t="s">
        <v>9158</v>
      </c>
      <c r="O502" s="19" t="s">
        <v>10090</v>
      </c>
      <c r="P502" s="14" t="s">
        <v>3460</v>
      </c>
      <c r="Q502" s="14">
        <v>1</v>
      </c>
    </row>
    <row r="503" spans="1:18">
      <c r="A503" s="14">
        <v>79313</v>
      </c>
      <c r="B503" s="14" t="s">
        <v>334</v>
      </c>
      <c r="C503" s="14" t="s">
        <v>185</v>
      </c>
      <c r="D503" s="19" t="s">
        <v>10334</v>
      </c>
      <c r="E503" s="15" t="str">
        <f>HYPERLINK("https://stat100.ameba.jp/tnk47/ratio20/illustrations/card/ill_79313_hommeichokodatemasamune03.jpg?202003-i_prefecture_active_user", "■")</f>
        <v>■</v>
      </c>
      <c r="F503" s="14" t="s">
        <v>3499</v>
      </c>
      <c r="G503" s="14">
        <v>138186</v>
      </c>
      <c r="H503" s="14">
        <v>148619</v>
      </c>
      <c r="I503" s="14">
        <v>25</v>
      </c>
      <c r="J503" s="14" t="s">
        <v>143</v>
      </c>
      <c r="K503" s="14" t="s">
        <v>3500</v>
      </c>
      <c r="L503" s="14" t="s">
        <v>1148</v>
      </c>
      <c r="M503" s="14" t="s">
        <v>9158</v>
      </c>
      <c r="N503" s="14" t="s">
        <v>9158</v>
      </c>
      <c r="O503" s="19" t="s">
        <v>2752</v>
      </c>
      <c r="P503" s="14" t="s">
        <v>13123</v>
      </c>
      <c r="Q503" s="14">
        <v>1</v>
      </c>
    </row>
    <row r="504" spans="1:18">
      <c r="A504" s="14">
        <v>67953</v>
      </c>
      <c r="B504" s="14" t="s">
        <v>334</v>
      </c>
      <c r="C504" s="14" t="s">
        <v>154</v>
      </c>
      <c r="D504" s="19" t="s">
        <v>10202</v>
      </c>
      <c r="E504" s="15" t="str">
        <f>HYPERLINK("https://stat100.ameba.jp/tnk47/ratio20/illustrations/card/ill_67953_kutaniyaki03.jpg?202003-i_prefecture_active_user", "■")</f>
        <v>■</v>
      </c>
      <c r="F504" s="14" t="s">
        <v>2487</v>
      </c>
      <c r="G504" s="14">
        <v>82205</v>
      </c>
      <c r="H504" s="14">
        <v>113463</v>
      </c>
      <c r="I504" s="7">
        <v>25</v>
      </c>
      <c r="J504" s="14" t="s">
        <v>26</v>
      </c>
      <c r="K504" s="14" t="s">
        <v>2488</v>
      </c>
      <c r="L504" s="14" t="s">
        <v>2489</v>
      </c>
      <c r="M504" s="14" t="s">
        <v>9158</v>
      </c>
      <c r="N504" s="14" t="s">
        <v>9158</v>
      </c>
      <c r="O504" s="19" t="s">
        <v>10074</v>
      </c>
      <c r="P504" s="14" t="s">
        <v>3592</v>
      </c>
      <c r="Q504" s="14">
        <v>1</v>
      </c>
    </row>
    <row r="505" spans="1:18">
      <c r="E505" s="9"/>
    </row>
    <row r="506" spans="1:18">
      <c r="A506" s="9" t="s">
        <v>204</v>
      </c>
      <c r="E506" s="9"/>
    </row>
    <row r="507" spans="1:18">
      <c r="A507" s="9" t="s">
        <v>3695</v>
      </c>
      <c r="E507" s="9"/>
    </row>
    <row r="508" spans="1:18">
      <c r="A508" s="14" t="s">
        <v>5787</v>
      </c>
      <c r="B508" s="14" t="s">
        <v>330</v>
      </c>
      <c r="C508" s="14" t="s">
        <v>270</v>
      </c>
      <c r="D508" s="19" t="s">
        <v>331</v>
      </c>
      <c r="E508" s="15" t="str">
        <f>HYPERLINK("https://stat100.ameba.jp/tnk47/ratio20/illustrations/card/ill_76303_0_haroinkaguya03.jpg?202003-i_prefecture_active_user", "■")</f>
        <v>■</v>
      </c>
      <c r="F508" s="14" t="s">
        <v>332</v>
      </c>
      <c r="G508" s="14">
        <v>261812</v>
      </c>
      <c r="H508" s="14">
        <v>243398</v>
      </c>
      <c r="I508" s="14">
        <v>22</v>
      </c>
      <c r="J508" s="14" t="s">
        <v>274</v>
      </c>
      <c r="K508" s="14" t="s">
        <v>333</v>
      </c>
      <c r="L508" s="14" t="s">
        <v>276</v>
      </c>
      <c r="M508" s="14" t="s">
        <v>9158</v>
      </c>
      <c r="N508" s="14" t="s">
        <v>9158</v>
      </c>
      <c r="O508" s="19" t="s">
        <v>2976</v>
      </c>
      <c r="P508" s="14" t="s">
        <v>2724</v>
      </c>
      <c r="Q508" s="14">
        <v>1</v>
      </c>
    </row>
    <row r="509" spans="1:18">
      <c r="A509" s="14" t="s">
        <v>7150</v>
      </c>
      <c r="B509" s="14" t="s">
        <v>52</v>
      </c>
      <c r="C509" s="14" t="s">
        <v>202</v>
      </c>
      <c r="D509" s="19" t="s">
        <v>10656</v>
      </c>
      <c r="E509" s="15" t="str">
        <f>HYPERLINK("https://stat100.ameba.jp/tnk47/ratio20/illustrations/card/ill_84203_0_tarottofujiwaranoshoshi03.jpg?202003-i_prefecture_active_user", "■")</f>
        <v>■</v>
      </c>
      <c r="F509" s="14" t="s">
        <v>7153</v>
      </c>
      <c r="G509" s="14">
        <v>323812</v>
      </c>
      <c r="H509" s="14">
        <v>292680</v>
      </c>
      <c r="I509" s="14">
        <v>22</v>
      </c>
      <c r="J509" s="14" t="s">
        <v>10</v>
      </c>
      <c r="K509" s="14" t="s">
        <v>7152</v>
      </c>
      <c r="L509" s="14" t="s">
        <v>7151</v>
      </c>
      <c r="M509" s="14" t="s">
        <v>9158</v>
      </c>
      <c r="N509" s="14" t="s">
        <v>9158</v>
      </c>
      <c r="O509" s="19" t="s">
        <v>10128</v>
      </c>
      <c r="P509" s="14" t="s">
        <v>7154</v>
      </c>
      <c r="Q509" s="14">
        <v>1</v>
      </c>
    </row>
    <row r="510" spans="1:18">
      <c r="A510" s="14" t="s">
        <v>5604</v>
      </c>
      <c r="B510" s="14" t="s">
        <v>330</v>
      </c>
      <c r="C510" s="14" t="s">
        <v>206</v>
      </c>
      <c r="D510" s="19" t="s">
        <v>614</v>
      </c>
      <c r="E510" s="15" t="str">
        <f>HYPERLINK("https://stat100.ameba.jp/tnk47/ratio20/illustrations/card/ill_47263_0_oukyuuatsuhime03.jpg?202003-i_prefecture_active_user", "■")</f>
        <v>■</v>
      </c>
      <c r="F510" s="14" t="s">
        <v>615</v>
      </c>
      <c r="G510" s="14">
        <v>138212</v>
      </c>
      <c r="H510" s="14">
        <v>122776</v>
      </c>
      <c r="I510" s="14">
        <v>22</v>
      </c>
      <c r="J510" s="14" t="s">
        <v>315</v>
      </c>
      <c r="K510" s="14" t="s">
        <v>616</v>
      </c>
      <c r="L510" s="14" t="s">
        <v>617</v>
      </c>
      <c r="M510" s="14" t="s">
        <v>9158</v>
      </c>
      <c r="N510" s="14" t="s">
        <v>9158</v>
      </c>
      <c r="O510" s="14" t="s">
        <v>9158</v>
      </c>
      <c r="P510" s="14" t="s">
        <v>9158</v>
      </c>
      <c r="Q510" s="14" t="s">
        <v>9158</v>
      </c>
    </row>
    <row r="511" spans="1:18">
      <c r="A511" s="14">
        <v>70793</v>
      </c>
      <c r="B511" s="14" t="s">
        <v>334</v>
      </c>
      <c r="C511" s="14" t="s">
        <v>9791</v>
      </c>
      <c r="D511" s="19" t="s">
        <v>10687</v>
      </c>
      <c r="E511" s="15" t="str">
        <f>HYPERLINK("https://stat100.ameba.jp/tnk47/ratio20/illustrations/card/ill_70793_tojimbo03.jpg?202003-i_prefecture_active_user", "■")</f>
        <v>■</v>
      </c>
      <c r="F511" s="14" t="s">
        <v>9805</v>
      </c>
      <c r="G511" s="14">
        <v>125392</v>
      </c>
      <c r="H511" s="14">
        <v>70556</v>
      </c>
      <c r="I511" s="14">
        <v>26</v>
      </c>
      <c r="J511" s="14" t="s">
        <v>9794</v>
      </c>
      <c r="K511" s="14" t="s">
        <v>9804</v>
      </c>
      <c r="L511" s="14" t="s">
        <v>9803</v>
      </c>
      <c r="M511" s="14" t="s">
        <v>9158</v>
      </c>
      <c r="N511" s="14" t="s">
        <v>9158</v>
      </c>
      <c r="O511" s="14" t="s">
        <v>9158</v>
      </c>
      <c r="P511" s="14" t="s">
        <v>9158</v>
      </c>
      <c r="Q511" s="14" t="s">
        <v>9158</v>
      </c>
    </row>
    <row r="512" spans="1:18">
      <c r="A512" s="14">
        <v>74323</v>
      </c>
      <c r="B512" s="14" t="s">
        <v>334</v>
      </c>
      <c r="C512" s="14" t="s">
        <v>9792</v>
      </c>
      <c r="D512" s="19" t="s">
        <v>10222</v>
      </c>
      <c r="E512" s="15" t="str">
        <f>HYPERLINK("https://stat100.ameba.jp/tnk47/ratio20/illustrations/card/ill_74323_nadanosake03.jpg?202003-i_prefecture_active_user", "■")</f>
        <v>■</v>
      </c>
      <c r="F512" s="14" t="s">
        <v>9802</v>
      </c>
      <c r="G512" s="14">
        <v>151650</v>
      </c>
      <c r="H512" s="14">
        <v>85312</v>
      </c>
      <c r="I512" s="14">
        <v>26</v>
      </c>
      <c r="J512" s="14" t="s">
        <v>9795</v>
      </c>
      <c r="K512" s="14" t="s">
        <v>9801</v>
      </c>
      <c r="L512" s="14" t="s">
        <v>9800</v>
      </c>
      <c r="M512" s="14" t="s">
        <v>9158</v>
      </c>
      <c r="N512" s="14" t="s">
        <v>9158</v>
      </c>
      <c r="O512" s="14" t="s">
        <v>9158</v>
      </c>
      <c r="P512" s="14" t="s">
        <v>9158</v>
      </c>
      <c r="Q512" s="14" t="s">
        <v>9158</v>
      </c>
    </row>
    <row r="513" spans="1:17">
      <c r="A513" s="14">
        <v>73333</v>
      </c>
      <c r="B513" s="14" t="s">
        <v>0</v>
      </c>
      <c r="C513" s="14" t="s">
        <v>9793</v>
      </c>
      <c r="D513" s="19" t="s">
        <v>10766</v>
      </c>
      <c r="E513" s="15" t="str">
        <f>HYPERLINK("https://stat100.ameba.jp/tnk47/ratio20/illustrations/card/ill_73333_akikunitora03.jpg?202003-i_prefecture_active_user", "■")</f>
        <v>■</v>
      </c>
      <c r="F513" s="14" t="s">
        <v>9799</v>
      </c>
      <c r="G513" s="14">
        <v>154562</v>
      </c>
      <c r="H513" s="14">
        <v>143714</v>
      </c>
      <c r="I513" s="14">
        <v>26</v>
      </c>
      <c r="J513" s="14" t="s">
        <v>9796</v>
      </c>
      <c r="K513" s="14" t="s">
        <v>9798</v>
      </c>
      <c r="L513" s="14" t="s">
        <v>9797</v>
      </c>
      <c r="M513" s="14" t="s">
        <v>9158</v>
      </c>
      <c r="N513" s="14" t="s">
        <v>9158</v>
      </c>
      <c r="O513" s="14" t="s">
        <v>9158</v>
      </c>
      <c r="P513" s="14" t="s">
        <v>9158</v>
      </c>
      <c r="Q513" s="14" t="s">
        <v>9158</v>
      </c>
    </row>
    <row r="514" spans="1:17">
      <c r="A514" s="14">
        <v>75663</v>
      </c>
      <c r="B514" s="14" t="s">
        <v>348</v>
      </c>
      <c r="C514" s="14" t="s">
        <v>101</v>
      </c>
      <c r="D514" s="19" t="s">
        <v>10387</v>
      </c>
      <c r="E514" s="15" t="str">
        <f>HYPERLINK("https://stat100.ameba.jp/tnk47/ratio20/illustrations/card/ill_75663_ikumatsu03.jpg?202003-i_prefecture_active_user", "■")</f>
        <v>■</v>
      </c>
      <c r="F514" s="14" t="s">
        <v>5781</v>
      </c>
      <c r="G514" s="14">
        <v>77064</v>
      </c>
      <c r="H514" s="14">
        <v>69898</v>
      </c>
      <c r="I514" s="14">
        <v>26</v>
      </c>
      <c r="J514" s="14" t="s">
        <v>16</v>
      </c>
      <c r="K514" s="14" t="s">
        <v>5783</v>
      </c>
      <c r="L514" s="14" t="s">
        <v>21</v>
      </c>
      <c r="M514" s="14" t="s">
        <v>9158</v>
      </c>
      <c r="N514" s="14" t="s">
        <v>9158</v>
      </c>
      <c r="O514" s="14" t="s">
        <v>9158</v>
      </c>
      <c r="P514" s="14" t="s">
        <v>9158</v>
      </c>
      <c r="Q514" s="14" t="s">
        <v>9158</v>
      </c>
    </row>
    <row r="515" spans="1:17">
      <c r="A515" s="14">
        <v>74863</v>
      </c>
      <c r="B515" s="14" t="s">
        <v>15</v>
      </c>
      <c r="C515" s="14" t="s">
        <v>1</v>
      </c>
      <c r="D515" s="19" t="s">
        <v>10250</v>
      </c>
      <c r="E515" s="15" t="str">
        <f>HYPERLINK("https://stat100.ameba.jp/tnk47/ratio20/illustrations/card/ill_74863_yukatanekodanuki03.jpg?202003-i_prefecture_active_user", "■")</f>
        <v>■</v>
      </c>
      <c r="F515" s="14" t="s">
        <v>5167</v>
      </c>
      <c r="G515" s="14">
        <v>77064</v>
      </c>
      <c r="H515" s="14">
        <v>69898</v>
      </c>
      <c r="I515" s="14">
        <v>26</v>
      </c>
      <c r="J515" s="14" t="s">
        <v>73</v>
      </c>
      <c r="K515" s="14" t="s">
        <v>5169</v>
      </c>
      <c r="L515" s="14" t="s">
        <v>3835</v>
      </c>
      <c r="M515" s="14" t="s">
        <v>9158</v>
      </c>
      <c r="N515" s="14" t="s">
        <v>9158</v>
      </c>
      <c r="O515" s="14" t="s">
        <v>9158</v>
      </c>
      <c r="P515" s="14" t="s">
        <v>9158</v>
      </c>
      <c r="Q515" s="14" t="s">
        <v>9158</v>
      </c>
    </row>
    <row r="516" spans="1:17">
      <c r="A516" s="14">
        <v>83753</v>
      </c>
      <c r="B516" s="14" t="s">
        <v>15</v>
      </c>
      <c r="C516" s="14" t="s">
        <v>185</v>
      </c>
      <c r="D516" s="19" t="s">
        <v>10596</v>
      </c>
      <c r="E516" s="15" t="str">
        <f>HYPERLINK("https://stat100.ameba.jp/tnk47/ratio20/illustrations/card/ill_83753_otsukisamaniittausagi03.jpg?202003-i_prefecture_active_user", "■")</f>
        <v>■</v>
      </c>
      <c r="F516" s="14" t="s">
        <v>6787</v>
      </c>
      <c r="G516" s="14">
        <v>77064</v>
      </c>
      <c r="H516" s="14">
        <v>69898</v>
      </c>
      <c r="I516" s="14">
        <v>26</v>
      </c>
      <c r="J516" s="14" t="s">
        <v>38</v>
      </c>
      <c r="K516" s="14" t="s">
        <v>6786</v>
      </c>
      <c r="L516" s="14" t="s">
        <v>3267</v>
      </c>
      <c r="M516" s="14" t="s">
        <v>9158</v>
      </c>
      <c r="N516" s="14" t="s">
        <v>9158</v>
      </c>
      <c r="O516" s="14" t="s">
        <v>9158</v>
      </c>
      <c r="P516" s="14" t="s">
        <v>9158</v>
      </c>
      <c r="Q516" s="14" t="s">
        <v>9158</v>
      </c>
    </row>
    <row r="517" spans="1:17">
      <c r="E517" s="9"/>
    </row>
    <row r="518" spans="1:17">
      <c r="A518" s="9" t="s">
        <v>9806</v>
      </c>
      <c r="E518" s="9"/>
    </row>
    <row r="519" spans="1:17">
      <c r="A519" s="9" t="s">
        <v>9808</v>
      </c>
      <c r="E519" s="9"/>
    </row>
    <row r="520" spans="1:17">
      <c r="A520" s="9" t="s">
        <v>9807</v>
      </c>
      <c r="E520" s="9"/>
    </row>
    <row r="521" spans="1:17">
      <c r="A521" s="9" t="s">
        <v>9325</v>
      </c>
      <c r="B521" s="7" t="s">
        <v>52</v>
      </c>
      <c r="C521" s="9" t="s">
        <v>202</v>
      </c>
      <c r="D521" s="19" t="s">
        <v>10947</v>
      </c>
      <c r="E521" s="15" t="str">
        <f>HYPERLINK("https://stat100.ameba.jp/tnk47/ratio20/illustrations/card/ill_86893_0_chokonohisukeban03.jpg?202003-i_prefecture_active_user", "■")</f>
        <v>■</v>
      </c>
      <c r="F521" s="14" t="s">
        <v>9332</v>
      </c>
      <c r="G521" s="9">
        <v>260538</v>
      </c>
      <c r="H521" s="9">
        <v>235462</v>
      </c>
      <c r="I521" s="7">
        <v>20</v>
      </c>
      <c r="J521" s="9" t="s">
        <v>187</v>
      </c>
      <c r="K521" s="14" t="s">
        <v>9330</v>
      </c>
      <c r="L521" s="14" t="s">
        <v>9331</v>
      </c>
      <c r="M521" s="14" t="s">
        <v>9158</v>
      </c>
      <c r="N521" s="14" t="s">
        <v>9158</v>
      </c>
      <c r="O521" s="19" t="s">
        <v>10136</v>
      </c>
      <c r="P521" s="7" t="s">
        <v>9324</v>
      </c>
      <c r="Q521" s="7">
        <v>1</v>
      </c>
    </row>
    <row r="522" spans="1:17">
      <c r="A522" s="9">
        <v>87323</v>
      </c>
      <c r="B522" s="9" t="s">
        <v>9809</v>
      </c>
      <c r="C522" s="9" t="s">
        <v>9792</v>
      </c>
      <c r="D522" s="19" t="s">
        <v>10995</v>
      </c>
      <c r="E522" s="15" t="str">
        <f>HYPERLINK("https://stat100.ameba.jp/tnk47/ratio20/illustrations/card/ill_87323_takopakuidaorechan03.jpg?202003-i_prefecture_active_user", "■")</f>
        <v>■</v>
      </c>
      <c r="F522" s="9" t="s">
        <v>9830</v>
      </c>
      <c r="G522" s="9">
        <v>110126</v>
      </c>
      <c r="H522" s="9">
        <v>118446</v>
      </c>
      <c r="I522" s="9">
        <v>26</v>
      </c>
      <c r="J522" s="9" t="s">
        <v>9794</v>
      </c>
      <c r="K522" s="9" t="s">
        <v>9829</v>
      </c>
      <c r="L522" s="9" t="s">
        <v>9828</v>
      </c>
      <c r="M522" s="14" t="s">
        <v>9158</v>
      </c>
      <c r="N522" s="14" t="s">
        <v>9158</v>
      </c>
      <c r="O522" s="14" t="s">
        <v>9158</v>
      </c>
      <c r="P522" s="14" t="s">
        <v>9158</v>
      </c>
      <c r="Q522" s="14" t="s">
        <v>9158</v>
      </c>
    </row>
    <row r="523" spans="1:17">
      <c r="A523" s="9">
        <v>87333</v>
      </c>
      <c r="B523" s="9" t="s">
        <v>9809</v>
      </c>
      <c r="C523" s="9" t="s">
        <v>9813</v>
      </c>
      <c r="D523" s="19" t="s">
        <v>10996</v>
      </c>
      <c r="E523" s="15" t="str">
        <f>HYPERLINK("https://stat100.ameba.jp/tnk47/ratio20/illustrations/card/ill_87333_sammadon03.jpg?202003-i_prefecture_active_user", "■")</f>
        <v>■</v>
      </c>
      <c r="F523" s="9" t="s">
        <v>9827</v>
      </c>
      <c r="G523" s="9">
        <v>143714</v>
      </c>
      <c r="H523" s="9">
        <v>154562</v>
      </c>
      <c r="I523" s="9">
        <v>26</v>
      </c>
      <c r="J523" s="9" t="s">
        <v>9795</v>
      </c>
      <c r="K523" s="9" t="s">
        <v>9826</v>
      </c>
      <c r="L523" s="9" t="s">
        <v>9825</v>
      </c>
      <c r="M523" s="14" t="s">
        <v>9158</v>
      </c>
      <c r="N523" s="14" t="s">
        <v>9158</v>
      </c>
      <c r="O523" s="14" t="s">
        <v>9158</v>
      </c>
      <c r="P523" s="14" t="s">
        <v>9158</v>
      </c>
      <c r="Q523" s="14" t="s">
        <v>9158</v>
      </c>
    </row>
    <row r="524" spans="1:17">
      <c r="A524" s="9">
        <v>87343</v>
      </c>
      <c r="B524" s="9" t="s">
        <v>9810</v>
      </c>
      <c r="C524" s="9" t="s">
        <v>9791</v>
      </c>
      <c r="D524" s="19" t="s">
        <v>10997</v>
      </c>
      <c r="E524" s="15" t="str">
        <f>HYPERLINK("https://stat100.ameba.jp/tnk47/ratio20/illustrations/card/ill_87343_jokyurengeso03.jpg?202003-i_prefecture_active_user", "■")</f>
        <v>■</v>
      </c>
      <c r="F524" s="9" t="s">
        <v>9824</v>
      </c>
      <c r="G524" s="9">
        <v>77064</v>
      </c>
      <c r="H524" s="9">
        <v>69898</v>
      </c>
      <c r="I524" s="9">
        <v>26</v>
      </c>
      <c r="J524" s="9" t="s">
        <v>9794</v>
      </c>
      <c r="K524" s="9" t="s">
        <v>9823</v>
      </c>
      <c r="L524" s="9" t="s">
        <v>9822</v>
      </c>
      <c r="M524" s="14" t="s">
        <v>9158</v>
      </c>
      <c r="N524" s="14" t="s">
        <v>9158</v>
      </c>
      <c r="O524" s="14" t="s">
        <v>9158</v>
      </c>
      <c r="P524" s="14" t="s">
        <v>9158</v>
      </c>
      <c r="Q524" s="14" t="s">
        <v>9158</v>
      </c>
    </row>
    <row r="525" spans="1:17">
      <c r="A525" s="9">
        <v>87353</v>
      </c>
      <c r="B525" s="9" t="s">
        <v>9811</v>
      </c>
      <c r="C525" s="9" t="s">
        <v>9793</v>
      </c>
      <c r="D525" s="19" t="s">
        <v>10998</v>
      </c>
      <c r="E525" s="15" t="str">
        <f>HYPERLINK("https://stat100.ameba.jp/tnk47/ratio20/illustrations/card/ill_87353_oukyuuehimenomikoto03.jpg?202003-i_prefecture_active_user", "■")</f>
        <v>■</v>
      </c>
      <c r="F525" s="9" t="s">
        <v>9821</v>
      </c>
      <c r="G525" s="9">
        <v>44948</v>
      </c>
      <c r="H525" s="9">
        <v>54058</v>
      </c>
      <c r="I525" s="9">
        <v>26</v>
      </c>
      <c r="J525" s="9" t="s">
        <v>9815</v>
      </c>
      <c r="K525" s="9" t="s">
        <v>9820</v>
      </c>
      <c r="L525" s="9" t="s">
        <v>9819</v>
      </c>
      <c r="M525" s="14" t="s">
        <v>9158</v>
      </c>
      <c r="N525" s="14" t="s">
        <v>9158</v>
      </c>
      <c r="O525" s="14" t="s">
        <v>9158</v>
      </c>
      <c r="P525" s="14" t="s">
        <v>9158</v>
      </c>
      <c r="Q525" s="14" t="s">
        <v>9158</v>
      </c>
    </row>
    <row r="526" spans="1:17">
      <c r="A526" s="9">
        <v>87363</v>
      </c>
      <c r="B526" s="9" t="s">
        <v>9812</v>
      </c>
      <c r="C526" s="9" t="s">
        <v>9814</v>
      </c>
      <c r="D526" s="19" t="s">
        <v>10999</v>
      </c>
      <c r="E526" s="15" t="str">
        <f>HYPERLINK("https://stat100.ameba.jp/tnk47/ratio20/illustrations/card/ill_87363_misopotetochan03.jpg?202003-i_prefecture_active_user", "■")</f>
        <v>■</v>
      </c>
      <c r="F526" s="9" t="s">
        <v>9818</v>
      </c>
      <c r="G526" s="9">
        <v>32728</v>
      </c>
      <c r="H526" s="9">
        <v>27486</v>
      </c>
      <c r="I526" s="9">
        <v>26</v>
      </c>
      <c r="J526" s="9" t="s">
        <v>9795</v>
      </c>
      <c r="K526" s="9" t="s">
        <v>9817</v>
      </c>
      <c r="L526" s="9" t="s">
        <v>9816</v>
      </c>
      <c r="M526" s="14" t="s">
        <v>9158</v>
      </c>
      <c r="N526" s="14" t="s">
        <v>9158</v>
      </c>
      <c r="O526" s="14" t="s">
        <v>9158</v>
      </c>
      <c r="P526" s="14" t="s">
        <v>9158</v>
      </c>
      <c r="Q526" s="14" t="s">
        <v>9158</v>
      </c>
    </row>
    <row r="527" spans="1:17">
      <c r="E527" s="9"/>
    </row>
    <row r="528" spans="1:17">
      <c r="A528" s="9" t="s">
        <v>9831</v>
      </c>
      <c r="E528" s="9"/>
    </row>
    <row r="529" spans="1:17">
      <c r="A529" s="9" t="s">
        <v>9832</v>
      </c>
      <c r="E529" s="9"/>
    </row>
    <row r="530" spans="1:17">
      <c r="A530" s="14" t="s">
        <v>6598</v>
      </c>
      <c r="B530" s="14" t="s">
        <v>330</v>
      </c>
      <c r="C530" s="14" t="s">
        <v>35</v>
      </c>
      <c r="D530" s="19" t="s">
        <v>10555</v>
      </c>
      <c r="E530" s="15" t="str">
        <f>HYPERLINK("https://stat100.ameba.jp/tnk47/ratio20/illustrations/card/ill_83553_0_kajuenamoronagu03.jpg?202003-i_prefecture_active_user", "■")</f>
        <v>■</v>
      </c>
      <c r="F530" s="14" t="s">
        <v>6597</v>
      </c>
      <c r="G530" s="14">
        <v>252640</v>
      </c>
      <c r="H530" s="14">
        <v>279536</v>
      </c>
      <c r="I530" s="14">
        <v>24</v>
      </c>
      <c r="J530" s="14" t="s">
        <v>44</v>
      </c>
      <c r="K530" s="14" t="s">
        <v>6595</v>
      </c>
      <c r="L530" s="14" t="s">
        <v>6594</v>
      </c>
      <c r="M530" s="14" t="s">
        <v>9158</v>
      </c>
      <c r="N530" s="14" t="s">
        <v>9158</v>
      </c>
      <c r="O530" s="19" t="s">
        <v>10125</v>
      </c>
      <c r="P530" s="14" t="s">
        <v>6599</v>
      </c>
      <c r="Q530" s="14">
        <v>1</v>
      </c>
    </row>
    <row r="531" spans="1:17">
      <c r="A531" s="14">
        <v>82543</v>
      </c>
      <c r="B531" s="14" t="s">
        <v>334</v>
      </c>
      <c r="C531" s="14" t="s">
        <v>41</v>
      </c>
      <c r="D531" s="19" t="s">
        <v>10342</v>
      </c>
      <c r="E531" s="15" t="str">
        <f>HYPERLINK("https://stat100.ameba.jp/tnk47/ratio20/illustrations/card/ill_82543_nabeshimanagako03.jpg?202003-i_prefecture_active_user", "■")</f>
        <v>■</v>
      </c>
      <c r="F531" s="14" t="s">
        <v>5491</v>
      </c>
      <c r="G531" s="14">
        <v>104890</v>
      </c>
      <c r="H531" s="14">
        <v>75984</v>
      </c>
      <c r="I531" s="14">
        <v>24</v>
      </c>
      <c r="J531" s="14" t="s">
        <v>10</v>
      </c>
      <c r="K531" s="14" t="s">
        <v>5493</v>
      </c>
      <c r="L531" s="14" t="s">
        <v>5494</v>
      </c>
      <c r="M531" s="14" t="s">
        <v>9158</v>
      </c>
      <c r="N531" s="14" t="s">
        <v>9158</v>
      </c>
      <c r="O531" s="19" t="s">
        <v>10080</v>
      </c>
      <c r="P531" s="14" t="s">
        <v>3705</v>
      </c>
      <c r="Q531" s="14">
        <v>1</v>
      </c>
    </row>
    <row r="532" spans="1:17">
      <c r="A532" s="14">
        <v>77663</v>
      </c>
      <c r="B532" s="14" t="s">
        <v>334</v>
      </c>
      <c r="C532" s="14" t="s">
        <v>202</v>
      </c>
      <c r="D532" s="19" t="s">
        <v>10614</v>
      </c>
      <c r="E532" s="15" t="str">
        <f>HYPERLINK("https://stat100.ameba.jp/tnk47/ratio20/illustrations/card/ill_77663_deipuburu03.jpg?202003-i_prefecture_active_user", "■")</f>
        <v>■</v>
      </c>
      <c r="F532" s="14" t="s">
        <v>1573</v>
      </c>
      <c r="G532" s="14">
        <v>78916</v>
      </c>
      <c r="H532" s="14">
        <v>108924</v>
      </c>
      <c r="I532" s="14">
        <v>24</v>
      </c>
      <c r="J532" s="14" t="s">
        <v>414</v>
      </c>
      <c r="K532" s="14" t="s">
        <v>1574</v>
      </c>
      <c r="L532" s="14" t="s">
        <v>1575</v>
      </c>
      <c r="M532" s="14" t="s">
        <v>9158</v>
      </c>
      <c r="N532" s="14" t="s">
        <v>9158</v>
      </c>
      <c r="O532" s="19" t="s">
        <v>10117</v>
      </c>
      <c r="P532" s="14" t="s">
        <v>3625</v>
      </c>
      <c r="Q532" s="14">
        <v>1</v>
      </c>
    </row>
    <row r="533" spans="1:17">
      <c r="A533" s="14">
        <v>69503</v>
      </c>
      <c r="B533" s="14" t="s">
        <v>0</v>
      </c>
      <c r="C533" s="14" t="s">
        <v>47</v>
      </c>
      <c r="D533" s="19" t="s">
        <v>2949</v>
      </c>
      <c r="E533" s="15" t="str">
        <f>HYPERLINK("https://stat100.ameba.jp/tnk47/ratio20/illustrations/card/ill_69503_azusayumi03.jpg?202003-i_prefecture_active_user", "■")</f>
        <v>■</v>
      </c>
      <c r="F533" s="14" t="s">
        <v>66</v>
      </c>
      <c r="G533" s="14">
        <v>108924</v>
      </c>
      <c r="H533" s="14">
        <v>78916</v>
      </c>
      <c r="I533" s="14">
        <v>24</v>
      </c>
      <c r="J533" s="14" t="s">
        <v>38</v>
      </c>
      <c r="K533" s="14" t="s">
        <v>67</v>
      </c>
      <c r="L533" s="14" t="s">
        <v>68</v>
      </c>
      <c r="M533" s="14" t="s">
        <v>9158</v>
      </c>
      <c r="N533" s="14" t="s">
        <v>9158</v>
      </c>
      <c r="O533" s="19" t="s">
        <v>2951</v>
      </c>
      <c r="P533" s="14" t="s">
        <v>13122</v>
      </c>
      <c r="Q533" s="14">
        <v>1</v>
      </c>
    </row>
    <row r="534" spans="1:17">
      <c r="E534" s="9"/>
    </row>
    <row r="535" spans="1:17">
      <c r="A535" s="9" t="s">
        <v>9849</v>
      </c>
      <c r="E535" s="9"/>
    </row>
    <row r="536" spans="1:17">
      <c r="A536" s="9" t="s">
        <v>9850</v>
      </c>
      <c r="E536" s="9"/>
    </row>
    <row r="537" spans="1:17">
      <c r="A537" s="14" t="s">
        <v>5610</v>
      </c>
      <c r="B537" s="14" t="s">
        <v>330</v>
      </c>
      <c r="C537" s="14" t="s">
        <v>185</v>
      </c>
      <c r="D537" s="19" t="s">
        <v>539</v>
      </c>
      <c r="E537" s="15" t="str">
        <f>HYPERLINK("https://stat100.ameba.jp/tnk47/ratio20/illustrations/card/ill_60633_0_harumaisentoin03.jpg?202003-5-RELEASE-marathon-461", "■")</f>
        <v>■</v>
      </c>
      <c r="F537" s="14" t="s">
        <v>540</v>
      </c>
      <c r="G537" s="14">
        <v>152594</v>
      </c>
      <c r="H537" s="14">
        <v>164144</v>
      </c>
      <c r="I537" s="14">
        <v>24</v>
      </c>
      <c r="J537" s="14" t="s">
        <v>274</v>
      </c>
      <c r="K537" s="14" t="s">
        <v>541</v>
      </c>
      <c r="L537" s="14" t="s">
        <v>542</v>
      </c>
      <c r="M537" s="14" t="s">
        <v>9158</v>
      </c>
      <c r="N537" s="14" t="s">
        <v>9158</v>
      </c>
      <c r="O537" s="19" t="s">
        <v>2888</v>
      </c>
      <c r="P537" s="14" t="s">
        <v>3144</v>
      </c>
      <c r="Q537" s="14">
        <v>1</v>
      </c>
    </row>
    <row r="538" spans="1:17">
      <c r="A538" s="14" t="s">
        <v>5606</v>
      </c>
      <c r="B538" s="14" t="s">
        <v>52</v>
      </c>
      <c r="C538" s="14" t="s">
        <v>206</v>
      </c>
      <c r="D538" s="19" t="s">
        <v>2936</v>
      </c>
      <c r="E538" s="15" t="str">
        <f>HYPERLINK("https://stat100.ameba.jp/tnk47/ratio20/illustrations/card/ill_72233_0_koinoboriryugujin03.jpg?202003-5-RELEASE-marathon-461", "■")</f>
        <v>■</v>
      </c>
      <c r="F538" s="14" t="s">
        <v>1012</v>
      </c>
      <c r="G538" s="14">
        <v>157432</v>
      </c>
      <c r="H538" s="14">
        <v>169334</v>
      </c>
      <c r="I538" s="14">
        <v>24</v>
      </c>
      <c r="J538" s="14" t="s">
        <v>44</v>
      </c>
      <c r="K538" s="14" t="s">
        <v>1013</v>
      </c>
      <c r="L538" s="14" t="s">
        <v>1014</v>
      </c>
      <c r="M538" s="14" t="s">
        <v>9158</v>
      </c>
      <c r="N538" s="14" t="s">
        <v>9158</v>
      </c>
      <c r="O538" s="19" t="s">
        <v>2940</v>
      </c>
      <c r="P538" s="14" t="s">
        <v>2941</v>
      </c>
      <c r="Q538" s="14">
        <v>2</v>
      </c>
    </row>
    <row r="539" spans="1:17">
      <c r="A539" s="14" t="s">
        <v>5625</v>
      </c>
      <c r="B539" s="14" t="s">
        <v>330</v>
      </c>
      <c r="C539" s="14" t="s">
        <v>200</v>
      </c>
      <c r="D539" s="19" t="s">
        <v>630</v>
      </c>
      <c r="E539" s="15" t="str">
        <f>HYPERLINK("https://stat100.ameba.jp/tnk47/ratio20/illustrations/card/ill_48283_0_kyuubitamamonomae03.jpg?202003-5-RELEASE-marathon-461", "■")</f>
        <v>■</v>
      </c>
      <c r="F539" s="14" t="s">
        <v>631</v>
      </c>
      <c r="G539" s="14">
        <v>150776</v>
      </c>
      <c r="H539" s="14">
        <v>133938</v>
      </c>
      <c r="I539" s="14">
        <v>24</v>
      </c>
      <c r="J539" s="14" t="s">
        <v>320</v>
      </c>
      <c r="K539" s="14" t="s">
        <v>632</v>
      </c>
      <c r="L539" s="14" t="s">
        <v>633</v>
      </c>
      <c r="M539" s="14" t="s">
        <v>9158</v>
      </c>
      <c r="N539" s="14" t="s">
        <v>9158</v>
      </c>
      <c r="O539" s="14" t="s">
        <v>9158</v>
      </c>
      <c r="P539" s="14" t="s">
        <v>9158</v>
      </c>
      <c r="Q539" s="14" t="s">
        <v>9158</v>
      </c>
    </row>
    <row r="540" spans="1:17">
      <c r="A540" s="9">
        <v>87323</v>
      </c>
      <c r="B540" s="9" t="s">
        <v>0</v>
      </c>
      <c r="C540" s="9" t="s">
        <v>165</v>
      </c>
      <c r="D540" s="19" t="s">
        <v>10995</v>
      </c>
      <c r="E540" s="15" t="str">
        <f>HYPERLINK("https://stat100.ameba.jp/tnk47/ratio20/illustrations/card/ill_87323_takopakuidaorechan03.jpg?202003-5-RELEASE-marathon-461", "■")</f>
        <v>■</v>
      </c>
      <c r="F540" s="9" t="s">
        <v>9830</v>
      </c>
      <c r="G540" s="9">
        <v>105890</v>
      </c>
      <c r="H540" s="9">
        <v>113890</v>
      </c>
      <c r="I540" s="9">
        <v>25</v>
      </c>
      <c r="J540" s="9" t="s">
        <v>229</v>
      </c>
      <c r="K540" s="9" t="s">
        <v>9829</v>
      </c>
      <c r="L540" s="9" t="s">
        <v>7427</v>
      </c>
      <c r="M540" s="14" t="s">
        <v>9158</v>
      </c>
      <c r="N540" s="14" t="s">
        <v>9158</v>
      </c>
      <c r="O540" s="14" t="s">
        <v>9158</v>
      </c>
      <c r="P540" s="14" t="s">
        <v>9158</v>
      </c>
      <c r="Q540" s="14" t="s">
        <v>9158</v>
      </c>
    </row>
    <row r="541" spans="1:17">
      <c r="A541" s="9">
        <v>87343</v>
      </c>
      <c r="B541" s="9" t="s">
        <v>15</v>
      </c>
      <c r="C541" s="9" t="s">
        <v>191</v>
      </c>
      <c r="D541" s="19" t="s">
        <v>10997</v>
      </c>
      <c r="E541" s="15" t="str">
        <f>HYPERLINK("https://stat100.ameba.jp/tnk47/ratio20/illustrations/card/ill_87343_jokyurengeso03.jpg?202003-5-RELEASE-marathon-461", "■")</f>
        <v>■</v>
      </c>
      <c r="F541" s="9" t="s">
        <v>9824</v>
      </c>
      <c r="G541" s="9">
        <v>74100</v>
      </c>
      <c r="H541" s="9">
        <v>67210</v>
      </c>
      <c r="I541" s="9">
        <v>25</v>
      </c>
      <c r="J541" s="9" t="s">
        <v>229</v>
      </c>
      <c r="K541" s="9" t="s">
        <v>9684</v>
      </c>
      <c r="L541" s="9" t="s">
        <v>2011</v>
      </c>
      <c r="M541" s="14" t="s">
        <v>9158</v>
      </c>
      <c r="N541" s="14" t="s">
        <v>9158</v>
      </c>
      <c r="O541" s="14" t="s">
        <v>9158</v>
      </c>
      <c r="P541" s="14" t="s">
        <v>9158</v>
      </c>
      <c r="Q541" s="14" t="s">
        <v>9158</v>
      </c>
    </row>
    <row r="542" spans="1:17">
      <c r="A542" s="9">
        <v>87353</v>
      </c>
      <c r="B542" s="9" t="s">
        <v>22</v>
      </c>
      <c r="C542" s="9" t="s">
        <v>205</v>
      </c>
      <c r="D542" s="19" t="s">
        <v>10998</v>
      </c>
      <c r="E542" s="15" t="str">
        <f>HYPERLINK("https://stat100.ameba.jp/tnk47/ratio20/illustrations/card/ill_87353_oukyuuehimenomikoto03.jpg?202003-5-RELEASE-marathon-461", "■")</f>
        <v>■</v>
      </c>
      <c r="F542" s="9" t="s">
        <v>9821</v>
      </c>
      <c r="G542" s="9">
        <v>43220</v>
      </c>
      <c r="H542" s="9">
        <v>51980</v>
      </c>
      <c r="I542" s="9">
        <v>25</v>
      </c>
      <c r="J542" s="9" t="s">
        <v>169</v>
      </c>
      <c r="K542" s="9" t="s">
        <v>9820</v>
      </c>
      <c r="L542" s="9" t="s">
        <v>3780</v>
      </c>
      <c r="M542" s="14" t="s">
        <v>9158</v>
      </c>
      <c r="N542" s="14" t="s">
        <v>9158</v>
      </c>
      <c r="O542" s="14" t="s">
        <v>9158</v>
      </c>
      <c r="P542" s="14" t="s">
        <v>9158</v>
      </c>
      <c r="Q542" s="14" t="s">
        <v>9158</v>
      </c>
    </row>
    <row r="543" spans="1:17">
      <c r="A543" s="9">
        <v>87363</v>
      </c>
      <c r="B543" s="9" t="s">
        <v>30</v>
      </c>
      <c r="C543" s="9" t="s">
        <v>2728</v>
      </c>
      <c r="D543" s="19" t="s">
        <v>10999</v>
      </c>
      <c r="E543" s="15" t="str">
        <f>HYPERLINK("https://stat100.ameba.jp/tnk47/ratio20/illustrations/card/ill_87363_misopotetochan03.jpg?202003-5-RELEASE-marathon-461", "■")</f>
        <v>■</v>
      </c>
      <c r="F543" s="9" t="s">
        <v>9818</v>
      </c>
      <c r="G543" s="9">
        <v>31470</v>
      </c>
      <c r="H543" s="9">
        <v>26430</v>
      </c>
      <c r="I543" s="9">
        <v>25</v>
      </c>
      <c r="J543" s="9" t="s">
        <v>216</v>
      </c>
      <c r="K543" s="9" t="s">
        <v>9817</v>
      </c>
      <c r="L543" s="9" t="s">
        <v>3406</v>
      </c>
      <c r="M543" s="14" t="s">
        <v>9158</v>
      </c>
      <c r="N543" s="14" t="s">
        <v>9158</v>
      </c>
      <c r="O543" s="14" t="s">
        <v>9158</v>
      </c>
      <c r="P543" s="14" t="s">
        <v>9158</v>
      </c>
      <c r="Q543" s="14" t="s">
        <v>9158</v>
      </c>
    </row>
    <row r="544" spans="1:17">
      <c r="E544" s="9"/>
    </row>
    <row r="545" spans="1:18">
      <c r="A545" s="9" t="s">
        <v>115</v>
      </c>
      <c r="E545" s="9"/>
    </row>
    <row r="546" spans="1:18">
      <c r="A546" s="9" t="s">
        <v>9833</v>
      </c>
      <c r="E546" s="9"/>
    </row>
    <row r="547" spans="1:18">
      <c r="A547" s="14" t="s">
        <v>5724</v>
      </c>
      <c r="B547" s="14" t="s">
        <v>330</v>
      </c>
      <c r="C547" s="14" t="s">
        <v>335</v>
      </c>
      <c r="D547" s="19" t="s">
        <v>698</v>
      </c>
      <c r="E547" s="15" t="str">
        <f>HYPERLINK("https://stat100.ameba.jp/tnk47/ratio20/illustrations/card/ill_66433_0_haroinfujishirogozen03.jpg?202003-5-RELEASE-marathon-461", "■")</f>
        <v>■</v>
      </c>
      <c r="F547" s="14" t="s">
        <v>699</v>
      </c>
      <c r="G547" s="14">
        <v>134652</v>
      </c>
      <c r="H547" s="14">
        <v>144834</v>
      </c>
      <c r="I547" s="14">
        <v>22</v>
      </c>
      <c r="J547" s="14" t="s">
        <v>315</v>
      </c>
      <c r="K547" s="14" t="s">
        <v>700</v>
      </c>
      <c r="L547" s="14" t="s">
        <v>701</v>
      </c>
      <c r="M547" s="14" t="s">
        <v>9158</v>
      </c>
      <c r="N547" s="14" t="s">
        <v>9158</v>
      </c>
      <c r="O547" s="19" t="s">
        <v>10095</v>
      </c>
      <c r="P547" s="14" t="s">
        <v>3345</v>
      </c>
      <c r="Q547" s="14">
        <v>1</v>
      </c>
    </row>
    <row r="548" spans="1:18">
      <c r="A548" s="14" t="s">
        <v>5624</v>
      </c>
      <c r="B548" s="14" t="s">
        <v>52</v>
      </c>
      <c r="C548" s="14" t="s">
        <v>101</v>
      </c>
      <c r="D548" s="19" t="s">
        <v>1426</v>
      </c>
      <c r="E548" s="15" t="str">
        <f>HYPERLINK("https://stat100.ameba.jp/tnk47/ratio20/illustrations/card/ill_64953_0_yukatatokugawayoshinobu03.jpg?202003-5-RELEASE-marathon-461", "■")</f>
        <v>■</v>
      </c>
      <c r="F548" s="14" t="s">
        <v>2090</v>
      </c>
      <c r="G548" s="14">
        <v>137060</v>
      </c>
      <c r="H548" s="14">
        <v>147404</v>
      </c>
      <c r="I548" s="14">
        <v>22</v>
      </c>
      <c r="J548" s="14" t="s">
        <v>10</v>
      </c>
      <c r="K548" s="14" t="s">
        <v>2091</v>
      </c>
      <c r="L548" s="14" t="s">
        <v>2092</v>
      </c>
      <c r="M548" s="14" t="s">
        <v>9158</v>
      </c>
      <c r="N548" s="14" t="s">
        <v>9158</v>
      </c>
      <c r="O548" s="19" t="s">
        <v>2889</v>
      </c>
      <c r="P548" s="14" t="s">
        <v>2890</v>
      </c>
      <c r="Q548" s="14">
        <v>1</v>
      </c>
    </row>
    <row r="549" spans="1:18">
      <c r="A549" s="14" t="s">
        <v>5897</v>
      </c>
      <c r="B549" s="14" t="s">
        <v>52</v>
      </c>
      <c r="C549" s="14" t="s">
        <v>23</v>
      </c>
      <c r="D549" s="19" t="s">
        <v>277</v>
      </c>
      <c r="E549" s="15" t="str">
        <f>HYPERLINK("https://stat100.ameba.jp/tnk47/ratio20/illustrations/card/ill_40913_0_reigyokudensetsufusehime03.jpg?202003-5-RELEASE-marathon-461", "■")</f>
        <v>■</v>
      </c>
      <c r="F549" s="14" t="s">
        <v>955</v>
      </c>
      <c r="G549" s="14">
        <v>120576</v>
      </c>
      <c r="H549" s="14">
        <v>128744</v>
      </c>
      <c r="I549" s="14">
        <v>22</v>
      </c>
      <c r="J549" s="14" t="s">
        <v>38</v>
      </c>
      <c r="K549" s="14" t="s">
        <v>956</v>
      </c>
      <c r="L549" s="14" t="s">
        <v>957</v>
      </c>
      <c r="M549" s="14" t="s">
        <v>9158</v>
      </c>
      <c r="N549" s="14" t="s">
        <v>9158</v>
      </c>
      <c r="O549" s="14" t="s">
        <v>9158</v>
      </c>
      <c r="P549" s="14" t="s">
        <v>9158</v>
      </c>
      <c r="Q549" s="14" t="s">
        <v>9158</v>
      </c>
    </row>
    <row r="550" spans="1:18">
      <c r="A550" s="14">
        <v>82203</v>
      </c>
      <c r="B550" s="14" t="s">
        <v>0</v>
      </c>
      <c r="C550" s="14" t="s">
        <v>165</v>
      </c>
      <c r="D550" s="19" t="s">
        <v>10280</v>
      </c>
      <c r="E550" s="15" t="str">
        <f>HYPERLINK("https://stat100.ameba.jp/tnk47/ratio20/illustrations/card/ill_82203_tsuyuromanteikyoin03.jpg?202003-5-RELEASE-marathon-461", "■")</f>
        <v>■</v>
      </c>
      <c r="F550" s="14" t="s">
        <v>9848</v>
      </c>
      <c r="G550" s="14">
        <v>70556</v>
      </c>
      <c r="H550" s="14">
        <v>125392</v>
      </c>
      <c r="I550" s="14">
        <v>26</v>
      </c>
      <c r="J550" s="14" t="s">
        <v>9839</v>
      </c>
      <c r="K550" s="14" t="s">
        <v>9847</v>
      </c>
      <c r="L550" s="14" t="s">
        <v>9846</v>
      </c>
      <c r="M550" s="14" t="s">
        <v>9158</v>
      </c>
      <c r="N550" s="14" t="s">
        <v>9158</v>
      </c>
      <c r="O550" s="14" t="s">
        <v>9158</v>
      </c>
      <c r="P550" s="14" t="s">
        <v>9158</v>
      </c>
      <c r="Q550" s="14" t="s">
        <v>9158</v>
      </c>
    </row>
    <row r="551" spans="1:18">
      <c r="A551" s="14">
        <v>76623</v>
      </c>
      <c r="B551" s="14" t="s">
        <v>334</v>
      </c>
      <c r="C551" s="14" t="s">
        <v>23</v>
      </c>
      <c r="D551" s="19" t="s">
        <v>11000</v>
      </c>
      <c r="E551" s="15" t="str">
        <f>HYPERLINK("https://stat100.ameba.jp/tnk47/ratio20/illustrations/card/ill_76623_futakuchionna03.jpg?202003-5-RELEASE-marathon-461", "■")</f>
        <v>■</v>
      </c>
      <c r="F551" s="14" t="s">
        <v>9845</v>
      </c>
      <c r="G551" s="14">
        <v>75294</v>
      </c>
      <c r="H551" s="14">
        <v>133780</v>
      </c>
      <c r="I551" s="14">
        <v>26</v>
      </c>
      <c r="J551" s="14" t="s">
        <v>9838</v>
      </c>
      <c r="K551" s="14" t="s">
        <v>9844</v>
      </c>
      <c r="L551" s="14" t="s">
        <v>9843</v>
      </c>
      <c r="M551" s="14" t="s">
        <v>9158</v>
      </c>
      <c r="N551" s="14" t="s">
        <v>9158</v>
      </c>
      <c r="O551" s="14" t="s">
        <v>9158</v>
      </c>
      <c r="P551" s="14" t="s">
        <v>9158</v>
      </c>
      <c r="Q551" s="14" t="s">
        <v>9158</v>
      </c>
    </row>
    <row r="552" spans="1:18">
      <c r="A552" s="14">
        <v>81493</v>
      </c>
      <c r="B552" s="14" t="s">
        <v>334</v>
      </c>
      <c r="C552" s="14" t="s">
        <v>206</v>
      </c>
      <c r="D552" s="19" t="s">
        <v>11001</v>
      </c>
      <c r="E552" s="15" t="str">
        <f>HYPERLINK("https://stat100.ameba.jp/tnk47/ratio20/illustrations/card/ill_81493_puchidebiruraikirimaru03.jpg?202003-5-RELEASE-marathon-461", "■")</f>
        <v>■</v>
      </c>
      <c r="F552" s="14" t="s">
        <v>9842</v>
      </c>
      <c r="G552" s="14">
        <v>143714</v>
      </c>
      <c r="H552" s="14">
        <v>154562</v>
      </c>
      <c r="I552" s="14">
        <v>26</v>
      </c>
      <c r="J552" s="14" t="s">
        <v>9837</v>
      </c>
      <c r="K552" s="14" t="s">
        <v>9841</v>
      </c>
      <c r="L552" s="14" t="s">
        <v>9840</v>
      </c>
      <c r="M552" s="14" t="s">
        <v>9158</v>
      </c>
      <c r="N552" s="14" t="s">
        <v>9158</v>
      </c>
      <c r="O552" s="14" t="s">
        <v>9158</v>
      </c>
      <c r="P552" s="14" t="s">
        <v>9158</v>
      </c>
      <c r="Q552" s="14" t="s">
        <v>9158</v>
      </c>
    </row>
    <row r="553" spans="1:18">
      <c r="A553" s="14">
        <v>60863</v>
      </c>
      <c r="B553" s="14" t="s">
        <v>348</v>
      </c>
      <c r="C553" s="14" t="s">
        <v>205</v>
      </c>
      <c r="D553" s="19" t="s">
        <v>10900</v>
      </c>
      <c r="E553" s="15" t="str">
        <f>HYPERLINK("https://stat100.ameba.jp/tnk47/ratio20/illustrations/card/ill_60863_hieinihonrisuchan03.jpg?202003-5-RELEASE-marathon-461", "■")</f>
        <v>■</v>
      </c>
      <c r="F553" s="14" t="s">
        <v>9836</v>
      </c>
      <c r="G553" s="14">
        <v>69898</v>
      </c>
      <c r="H553" s="14">
        <v>77064</v>
      </c>
      <c r="I553" s="14">
        <v>26</v>
      </c>
      <c r="J553" s="14" t="s">
        <v>369</v>
      </c>
      <c r="K553" s="14" t="s">
        <v>9835</v>
      </c>
      <c r="L553" s="14" t="s">
        <v>9834</v>
      </c>
      <c r="M553" s="14" t="s">
        <v>9158</v>
      </c>
      <c r="N553" s="14" t="s">
        <v>9158</v>
      </c>
      <c r="O553" s="14" t="s">
        <v>9158</v>
      </c>
      <c r="P553" s="14" t="s">
        <v>9158</v>
      </c>
      <c r="Q553" s="14" t="s">
        <v>9158</v>
      </c>
    </row>
    <row r="554" spans="1:18">
      <c r="A554" s="14">
        <v>78043</v>
      </c>
      <c r="B554" s="14" t="s">
        <v>15</v>
      </c>
      <c r="C554" s="14" t="s">
        <v>165</v>
      </c>
      <c r="D554" s="19" t="s">
        <v>10398</v>
      </c>
      <c r="E554" s="15" t="str">
        <f>HYPERLINK("https://stat100.ameba.jp/tnk47/ratio20/illustrations/card/ill_78043_yushinaishinno03.jpg?202003-5-RELEASE-marathon-461", "■")</f>
        <v>■</v>
      </c>
      <c r="F554" s="14" t="s">
        <v>2213</v>
      </c>
      <c r="G554" s="14">
        <v>69898</v>
      </c>
      <c r="H554" s="14">
        <v>77064</v>
      </c>
      <c r="I554" s="14">
        <v>26</v>
      </c>
      <c r="J554" s="14" t="s">
        <v>16</v>
      </c>
      <c r="K554" s="14" t="s">
        <v>2214</v>
      </c>
      <c r="L554" s="14" t="s">
        <v>981</v>
      </c>
      <c r="M554" s="14" t="s">
        <v>9158</v>
      </c>
      <c r="N554" s="14" t="s">
        <v>9158</v>
      </c>
      <c r="O554" s="14" t="s">
        <v>9158</v>
      </c>
      <c r="P554" s="14" t="s">
        <v>9158</v>
      </c>
      <c r="Q554" s="14" t="s">
        <v>9158</v>
      </c>
    </row>
    <row r="555" spans="1:18">
      <c r="A555" s="14">
        <v>69083</v>
      </c>
      <c r="B555" s="14" t="s">
        <v>348</v>
      </c>
      <c r="C555" s="14" t="s">
        <v>206</v>
      </c>
      <c r="D555" s="19" t="s">
        <v>3014</v>
      </c>
      <c r="E555" s="15" t="str">
        <f>HYPERLINK("https://stat100.ameba.jp/tnk47/ratio20/illustrations/card/ill_69083_uintasupotsukuwahime03.jpg?202003-5-RELEASE-marathon-461", "■")</f>
        <v>■</v>
      </c>
      <c r="F555" s="14" t="s">
        <v>3015</v>
      </c>
      <c r="G555" s="14">
        <v>69898</v>
      </c>
      <c r="H555" s="14">
        <v>77064</v>
      </c>
      <c r="I555" s="14">
        <v>26</v>
      </c>
      <c r="J555" s="14" t="s">
        <v>315</v>
      </c>
      <c r="K555" s="14" t="s">
        <v>3016</v>
      </c>
      <c r="L555" s="14" t="s">
        <v>596</v>
      </c>
      <c r="M555" s="14" t="s">
        <v>9158</v>
      </c>
      <c r="N555" s="14" t="s">
        <v>9158</v>
      </c>
      <c r="O555" s="14" t="s">
        <v>9158</v>
      </c>
      <c r="P555" s="14" t="s">
        <v>9158</v>
      </c>
      <c r="Q555" s="14" t="s">
        <v>9158</v>
      </c>
    </row>
    <row r="556" spans="1:18">
      <c r="E556" s="9"/>
    </row>
    <row r="557" spans="1:18">
      <c r="A557" s="14" t="s">
        <v>13326</v>
      </c>
      <c r="B557" s="14"/>
      <c r="C557" s="14"/>
      <c r="D557" s="14"/>
      <c r="F557" s="14"/>
      <c r="G557" s="14"/>
      <c r="H557" s="14"/>
      <c r="I557" s="14"/>
      <c r="J557" s="14"/>
      <c r="K557" s="14"/>
      <c r="L557" s="14"/>
      <c r="M557" s="14"/>
      <c r="N557" s="14"/>
      <c r="O557" s="14"/>
      <c r="P557" s="14"/>
      <c r="Q557" s="14"/>
      <c r="R557" s="14"/>
    </row>
    <row r="558" spans="1:18">
      <c r="A558" s="14" t="s">
        <v>3700</v>
      </c>
      <c r="B558" s="14"/>
      <c r="C558" s="14"/>
      <c r="D558" s="14"/>
      <c r="F558" s="14"/>
      <c r="G558" s="14"/>
      <c r="H558" s="14"/>
      <c r="I558" s="14"/>
      <c r="J558" s="14"/>
      <c r="K558" s="14"/>
      <c r="L558" s="14"/>
      <c r="M558" s="14"/>
      <c r="N558" s="14"/>
      <c r="O558" s="14"/>
      <c r="P558" s="14"/>
      <c r="Q558" s="14"/>
      <c r="R558" s="14"/>
    </row>
    <row r="559" spans="1:18">
      <c r="A559" s="14">
        <v>66113</v>
      </c>
      <c r="B559" s="14" t="s">
        <v>334</v>
      </c>
      <c r="C559" s="14" t="s">
        <v>185</v>
      </c>
      <c r="D559" s="19" t="s">
        <v>1292</v>
      </c>
      <c r="E559" s="15" t="str">
        <f>HYPERLINK("https://stat100.ameba.jp/tnk47/ratio20/illustrations/card/ill_66113_shirarikahime03.jpg?202003-5-RELEASE-marathon-461", "■")</f>
        <v>■</v>
      </c>
      <c r="F559" s="14" t="s">
        <v>1293</v>
      </c>
      <c r="G559" s="14">
        <v>128000</v>
      </c>
      <c r="H559" s="14">
        <v>119006</v>
      </c>
      <c r="I559" s="14">
        <v>26</v>
      </c>
      <c r="J559" s="14" t="s">
        <v>274</v>
      </c>
      <c r="K559" s="14" t="s">
        <v>1304</v>
      </c>
      <c r="L559" s="2" t="s">
        <v>9908</v>
      </c>
      <c r="M559" s="14" t="s">
        <v>13151</v>
      </c>
      <c r="N559" s="14" t="s">
        <v>251</v>
      </c>
      <c r="O559" s="14" t="s">
        <v>9158</v>
      </c>
      <c r="P559" s="14" t="s">
        <v>9158</v>
      </c>
      <c r="Q559" s="14" t="s">
        <v>9158</v>
      </c>
      <c r="R559" s="14" t="s">
        <v>14858</v>
      </c>
    </row>
    <row r="560" spans="1:18">
      <c r="A560" s="14">
        <v>66112</v>
      </c>
      <c r="B560" s="14" t="s">
        <v>334</v>
      </c>
      <c r="C560" s="14" t="s">
        <v>185</v>
      </c>
      <c r="D560" s="19" t="s">
        <v>1292</v>
      </c>
      <c r="E560" s="15" t="str">
        <f>HYPERLINK("https://stat100.ameba.jp/tnk47/ratio20/illustrations/card/ill_66112_shirarikahime02.jpg?202003-5-RELEASE-marathon-461", "■")</f>
        <v>■</v>
      </c>
      <c r="F560" s="14" t="s">
        <v>1293</v>
      </c>
      <c r="G560" s="14">
        <v>107000</v>
      </c>
      <c r="H560" s="14">
        <v>98566</v>
      </c>
      <c r="I560" s="14">
        <v>26</v>
      </c>
      <c r="J560" s="14" t="s">
        <v>274</v>
      </c>
      <c r="K560" s="14" t="s">
        <v>1304</v>
      </c>
      <c r="L560" s="2" t="s">
        <v>9908</v>
      </c>
      <c r="M560" s="14" t="s">
        <v>13156</v>
      </c>
      <c r="N560" s="14" t="s">
        <v>1310</v>
      </c>
      <c r="O560" s="14" t="s">
        <v>9158</v>
      </c>
      <c r="P560" s="14" t="s">
        <v>9158</v>
      </c>
      <c r="Q560" s="14" t="s">
        <v>9158</v>
      </c>
      <c r="R560" s="14" t="s">
        <v>14858</v>
      </c>
    </row>
    <row r="561" spans="1:18">
      <c r="A561" s="14">
        <v>66111</v>
      </c>
      <c r="B561" s="14" t="s">
        <v>334</v>
      </c>
      <c r="C561" s="14" t="s">
        <v>185</v>
      </c>
      <c r="D561" s="19" t="s">
        <v>1292</v>
      </c>
      <c r="E561" s="15" t="str">
        <f>HYPERLINK("https://stat100.ameba.jp/tnk47/ratio20/illustrations/card/ill_66111_shirarikahime01.jpg?202003-5-RELEASE-marathon-461", "■")</f>
        <v>■</v>
      </c>
      <c r="F561" s="14" t="s">
        <v>1293</v>
      </c>
      <c r="G561" s="14">
        <v>81692</v>
      </c>
      <c r="H561" s="14">
        <v>76050</v>
      </c>
      <c r="I561" s="14">
        <v>26</v>
      </c>
      <c r="J561" s="14" t="s">
        <v>274</v>
      </c>
      <c r="K561" s="14" t="s">
        <v>1304</v>
      </c>
      <c r="L561" s="2" t="s">
        <v>9908</v>
      </c>
      <c r="M561" s="14" t="s">
        <v>13156</v>
      </c>
      <c r="N561" s="14" t="s">
        <v>1310</v>
      </c>
      <c r="O561" s="14" t="s">
        <v>9158</v>
      </c>
      <c r="P561" s="14" t="s">
        <v>9158</v>
      </c>
      <c r="Q561" s="14" t="s">
        <v>9158</v>
      </c>
      <c r="R561" s="14" t="s">
        <v>14858</v>
      </c>
    </row>
    <row r="562" spans="1:18">
      <c r="A562" s="14">
        <v>65383</v>
      </c>
      <c r="B562" s="14" t="s">
        <v>334</v>
      </c>
      <c r="C562" s="14" t="s">
        <v>200</v>
      </c>
      <c r="D562" s="19" t="s">
        <v>1294</v>
      </c>
      <c r="E562" s="15" t="str">
        <f>HYPERLINK("https://stat100.ameba.jp/tnk47/ratio20/illustrations/card/ill_65383_aogashimachan03.jpg?202003-5-RELEASE-marathon-461", "■")</f>
        <v>■</v>
      </c>
      <c r="F562" s="14" t="s">
        <v>1295</v>
      </c>
      <c r="G562" s="14">
        <v>119006</v>
      </c>
      <c r="H562" s="14">
        <v>128000</v>
      </c>
      <c r="I562" s="14">
        <v>26</v>
      </c>
      <c r="J562" s="14" t="s">
        <v>369</v>
      </c>
      <c r="K562" s="14" t="s">
        <v>1305</v>
      </c>
      <c r="L562" s="2" t="s">
        <v>9909</v>
      </c>
      <c r="M562" s="14" t="s">
        <v>13151</v>
      </c>
      <c r="N562" s="14" t="s">
        <v>251</v>
      </c>
      <c r="O562" s="14" t="s">
        <v>9158</v>
      </c>
      <c r="P562" s="14" t="s">
        <v>9158</v>
      </c>
      <c r="Q562" s="14" t="s">
        <v>9158</v>
      </c>
      <c r="R562" s="14" t="s">
        <v>14858</v>
      </c>
    </row>
    <row r="563" spans="1:18">
      <c r="A563" s="14">
        <v>66123</v>
      </c>
      <c r="B563" s="14" t="s">
        <v>334</v>
      </c>
      <c r="C563" s="14" t="s">
        <v>191</v>
      </c>
      <c r="D563" s="19" t="s">
        <v>1296</v>
      </c>
      <c r="E563" s="15" t="str">
        <f>HYPERLINK("https://stat100.ameba.jp/tnk47/ratio20/illustrations/card/ill_66123_taikemmoninnohorikawa03.jpg?202003-5-RELEASE-marathon-461", "■")</f>
        <v>■</v>
      </c>
      <c r="F563" s="14" t="s">
        <v>1297</v>
      </c>
      <c r="G563" s="14">
        <v>128000</v>
      </c>
      <c r="H563" s="14">
        <v>119006</v>
      </c>
      <c r="I563" s="14">
        <v>26</v>
      </c>
      <c r="J563" s="14" t="s">
        <v>414</v>
      </c>
      <c r="K563" s="14" t="s">
        <v>1306</v>
      </c>
      <c r="L563" s="2" t="s">
        <v>9910</v>
      </c>
      <c r="M563" s="14" t="s">
        <v>13151</v>
      </c>
      <c r="N563" s="14" t="s">
        <v>251</v>
      </c>
      <c r="O563" s="14" t="s">
        <v>9158</v>
      </c>
      <c r="P563" s="14" t="s">
        <v>9158</v>
      </c>
      <c r="Q563" s="14" t="s">
        <v>9158</v>
      </c>
      <c r="R563" s="14" t="s">
        <v>14858</v>
      </c>
    </row>
    <row r="564" spans="1:18">
      <c r="A564" s="14">
        <v>66133</v>
      </c>
      <c r="B564" s="14" t="s">
        <v>334</v>
      </c>
      <c r="C564" s="14" t="s">
        <v>165</v>
      </c>
      <c r="D564" s="19" t="s">
        <v>1298</v>
      </c>
      <c r="E564" s="15" t="str">
        <f>HYPERLINK("https://stat100.ameba.jp/tnk47/ratio20/illustrations/card/ill_66133_iinaosuke03.jpg?202003-5-RELEASE-marathon-461", "■")</f>
        <v>■</v>
      </c>
      <c r="F564" s="14" t="s">
        <v>1299</v>
      </c>
      <c r="G564" s="14">
        <v>119006</v>
      </c>
      <c r="H564" s="14">
        <v>128000</v>
      </c>
      <c r="I564" s="14">
        <v>26</v>
      </c>
      <c r="J564" s="14" t="s">
        <v>351</v>
      </c>
      <c r="K564" s="14" t="s">
        <v>1307</v>
      </c>
      <c r="L564" s="2" t="s">
        <v>9911</v>
      </c>
      <c r="M564" s="14" t="s">
        <v>13151</v>
      </c>
      <c r="N564" s="14" t="s">
        <v>251</v>
      </c>
      <c r="O564" s="14" t="s">
        <v>9158</v>
      </c>
      <c r="P564" s="14" t="s">
        <v>9158</v>
      </c>
      <c r="Q564" s="14" t="s">
        <v>9158</v>
      </c>
      <c r="R564" s="14" t="s">
        <v>14858</v>
      </c>
    </row>
    <row r="565" spans="1:18">
      <c r="A565" s="14">
        <v>65393</v>
      </c>
      <c r="B565" s="14" t="s">
        <v>334</v>
      </c>
      <c r="C565" s="14" t="s">
        <v>205</v>
      </c>
      <c r="D565" s="19" t="s">
        <v>1300</v>
      </c>
      <c r="E565" s="15" t="str">
        <f>HYPERLINK("https://stat100.ameba.jp/tnk47/ratio20/illustrations/card/ill_65393_motochikafujin03.jpg?202003-5-RELEASE-marathon-461", "■")</f>
        <v>■</v>
      </c>
      <c r="F565" s="14" t="s">
        <v>1301</v>
      </c>
      <c r="G565" s="14">
        <v>119006</v>
      </c>
      <c r="H565" s="14">
        <v>128000</v>
      </c>
      <c r="I565" s="14">
        <v>26</v>
      </c>
      <c r="J565" s="14" t="s">
        <v>315</v>
      </c>
      <c r="K565" s="14" t="s">
        <v>1308</v>
      </c>
      <c r="L565" s="2" t="s">
        <v>9912</v>
      </c>
      <c r="M565" s="14" t="s">
        <v>13151</v>
      </c>
      <c r="N565" s="14" t="s">
        <v>251</v>
      </c>
      <c r="O565" s="14" t="s">
        <v>9158</v>
      </c>
      <c r="P565" s="14" t="s">
        <v>9158</v>
      </c>
      <c r="Q565" s="14" t="s">
        <v>9158</v>
      </c>
      <c r="R565" s="14" t="s">
        <v>14858</v>
      </c>
    </row>
    <row r="566" spans="1:18">
      <c r="A566" s="14">
        <v>65403</v>
      </c>
      <c r="B566" s="14" t="s">
        <v>334</v>
      </c>
      <c r="C566" s="14" t="s">
        <v>206</v>
      </c>
      <c r="D566" s="19" t="s">
        <v>1302</v>
      </c>
      <c r="E566" s="15" t="str">
        <f>HYPERLINK("https://stat100.ameba.jp/tnk47/ratio20/illustrations/card/ill_65403_amenokoyanenomikoto03.jpg?202003-5-RELEASE-marathon-461", "■")</f>
        <v>■</v>
      </c>
      <c r="F566" s="14" t="s">
        <v>1303</v>
      </c>
      <c r="G566" s="14">
        <v>128000</v>
      </c>
      <c r="H566" s="14">
        <v>119006</v>
      </c>
      <c r="I566" s="14">
        <v>26</v>
      </c>
      <c r="J566" s="14" t="s">
        <v>401</v>
      </c>
      <c r="K566" s="14" t="s">
        <v>1309</v>
      </c>
      <c r="L566" s="2" t="s">
        <v>9913</v>
      </c>
      <c r="M566" s="14" t="s">
        <v>13151</v>
      </c>
      <c r="N566" s="14" t="s">
        <v>251</v>
      </c>
      <c r="O566" s="14" t="s">
        <v>9158</v>
      </c>
      <c r="P566" s="14" t="s">
        <v>9158</v>
      </c>
      <c r="Q566" s="14" t="s">
        <v>9158</v>
      </c>
      <c r="R566" s="14" t="s">
        <v>14858</v>
      </c>
    </row>
    <row r="567" spans="1:18">
      <c r="E567" s="9"/>
    </row>
    <row r="568" spans="1:18">
      <c r="A568" s="9" t="s">
        <v>1176</v>
      </c>
      <c r="E568" s="9"/>
    </row>
    <row r="569" spans="1:18">
      <c r="A569" s="9" t="s">
        <v>9859</v>
      </c>
      <c r="E569" s="9"/>
    </row>
    <row r="570" spans="1:18">
      <c r="A570" s="14" t="s">
        <v>5618</v>
      </c>
      <c r="B570" s="14" t="s">
        <v>52</v>
      </c>
      <c r="C570" s="14" t="s">
        <v>23</v>
      </c>
      <c r="D570" s="19" t="s">
        <v>665</v>
      </c>
      <c r="E570" s="15" t="str">
        <f>HYPERLINK("https://stat100.ameba.jp/tnk47/ratio20/illustrations/card/ill_63173_0_minazukikonakaiteruko03.jpg?202003-5-RELEASE-marathon-461", "■")</f>
        <v>■</v>
      </c>
      <c r="F570" s="14" t="s">
        <v>1188</v>
      </c>
      <c r="G570" s="14">
        <v>208310</v>
      </c>
      <c r="H570" s="14">
        <v>224026</v>
      </c>
      <c r="I570" s="14">
        <v>24</v>
      </c>
      <c r="J570" s="14" t="s">
        <v>143</v>
      </c>
      <c r="K570" s="14" t="s">
        <v>1189</v>
      </c>
      <c r="L570" s="14" t="s">
        <v>1190</v>
      </c>
      <c r="M570" s="14" t="s">
        <v>9158</v>
      </c>
      <c r="N570" s="14" t="s">
        <v>9158</v>
      </c>
      <c r="O570" s="19" t="s">
        <v>10079</v>
      </c>
      <c r="P570" s="14" t="s">
        <v>3329</v>
      </c>
      <c r="Q570" s="14">
        <v>1</v>
      </c>
    </row>
    <row r="571" spans="1:18">
      <c r="A571" s="14" t="s">
        <v>5822</v>
      </c>
      <c r="B571" s="14" t="s">
        <v>330</v>
      </c>
      <c r="C571" s="14" t="s">
        <v>307</v>
      </c>
      <c r="D571" s="19" t="s">
        <v>306</v>
      </c>
      <c r="E571" s="15" t="str">
        <f>HYPERLINK("https://stat100.ameba.jp/tnk47/ratio20/illustrations/card/ill_71403_0_ohanamisanadayukimura03.jpg?202003-5-RELEASE-marathon-461", "■")</f>
        <v>■</v>
      </c>
      <c r="F571" s="14" t="s">
        <v>309</v>
      </c>
      <c r="G571" s="14">
        <v>224026</v>
      </c>
      <c r="H571" s="14">
        <v>208310</v>
      </c>
      <c r="I571" s="14">
        <v>24</v>
      </c>
      <c r="J571" s="14" t="s">
        <v>310</v>
      </c>
      <c r="K571" s="14" t="s">
        <v>311</v>
      </c>
      <c r="L571" s="14" t="s">
        <v>312</v>
      </c>
      <c r="M571" s="14" t="s">
        <v>9158</v>
      </c>
      <c r="N571" s="14" t="s">
        <v>9158</v>
      </c>
      <c r="O571" s="19" t="s">
        <v>10104</v>
      </c>
      <c r="P571" s="14" t="s">
        <v>3418</v>
      </c>
      <c r="Q571" s="14">
        <v>2</v>
      </c>
    </row>
    <row r="572" spans="1:18">
      <c r="A572" s="14" t="s">
        <v>5608</v>
      </c>
      <c r="B572" s="14" t="s">
        <v>52</v>
      </c>
      <c r="C572" s="14" t="s">
        <v>96</v>
      </c>
      <c r="D572" s="19" t="s">
        <v>634</v>
      </c>
      <c r="E572" s="15" t="str">
        <f>HYPERLINK("https://stat100.ameba.jp/tnk47/ratio20/illustrations/card/ill_40963_0_makami03.jpg?202003-5-RELEASE-marathon-461", "■")</f>
        <v>■</v>
      </c>
      <c r="F572" s="14" t="s">
        <v>2038</v>
      </c>
      <c r="G572" s="14">
        <v>140448</v>
      </c>
      <c r="H572" s="14">
        <v>131538</v>
      </c>
      <c r="I572" s="14">
        <v>24</v>
      </c>
      <c r="J572" s="14" t="s">
        <v>44</v>
      </c>
      <c r="K572" s="14" t="s">
        <v>2039</v>
      </c>
      <c r="L572" s="14" t="s">
        <v>2040</v>
      </c>
      <c r="M572" s="14" t="s">
        <v>9158</v>
      </c>
      <c r="N572" s="14" t="s">
        <v>9158</v>
      </c>
      <c r="O572" s="14" t="s">
        <v>9158</v>
      </c>
      <c r="P572" s="14" t="s">
        <v>9158</v>
      </c>
      <c r="Q572" s="14" t="s">
        <v>9158</v>
      </c>
    </row>
    <row r="573" spans="1:18">
      <c r="A573" s="9">
        <v>87333</v>
      </c>
      <c r="B573" s="9" t="s">
        <v>0</v>
      </c>
      <c r="C573" s="9" t="s">
        <v>185</v>
      </c>
      <c r="D573" s="19" t="s">
        <v>10996</v>
      </c>
      <c r="E573" s="15" t="str">
        <f>HYPERLINK("https://stat100.ameba.jp/tnk47/ratio20/illustrations/card/ill_87333_sammadon03.jpg?202003-5-RELEASE-marathon-461", "■")</f>
        <v>■</v>
      </c>
      <c r="F573" s="9" t="s">
        <v>9827</v>
      </c>
      <c r="G573" s="9">
        <v>138186</v>
      </c>
      <c r="H573" s="9">
        <v>148619</v>
      </c>
      <c r="I573" s="9">
        <v>25</v>
      </c>
      <c r="J573" s="9" t="s">
        <v>216</v>
      </c>
      <c r="K573" s="9" t="s">
        <v>9826</v>
      </c>
      <c r="L573" s="9" t="s">
        <v>2304</v>
      </c>
      <c r="M573" s="14" t="s">
        <v>9158</v>
      </c>
      <c r="N573" s="14" t="s">
        <v>9158</v>
      </c>
      <c r="O573" s="14" t="s">
        <v>9158</v>
      </c>
      <c r="P573" s="14" t="s">
        <v>9158</v>
      </c>
      <c r="Q573" s="14" t="s">
        <v>9158</v>
      </c>
    </row>
    <row r="574" spans="1:18">
      <c r="A574" s="9">
        <v>87343</v>
      </c>
      <c r="B574" s="9" t="s">
        <v>15</v>
      </c>
      <c r="C574" s="9" t="s">
        <v>191</v>
      </c>
      <c r="D574" s="19" t="s">
        <v>10997</v>
      </c>
      <c r="E574" s="15" t="str">
        <f>HYPERLINK("https://stat100.ameba.jp/tnk47/ratio20/illustrations/card/ill_87343_jokyurengeso03.jpg?202003-5-RELEASE-marathon-461", "■")</f>
        <v>■</v>
      </c>
      <c r="F574" s="9" t="s">
        <v>9824</v>
      </c>
      <c r="G574" s="9">
        <v>74100</v>
      </c>
      <c r="H574" s="9">
        <v>67210</v>
      </c>
      <c r="I574" s="9">
        <v>25</v>
      </c>
      <c r="J574" s="9" t="s">
        <v>229</v>
      </c>
      <c r="K574" s="9" t="s">
        <v>9684</v>
      </c>
      <c r="L574" s="9" t="s">
        <v>2011</v>
      </c>
      <c r="M574" s="14" t="s">
        <v>9158</v>
      </c>
      <c r="N574" s="14" t="s">
        <v>9158</v>
      </c>
      <c r="O574" s="14" t="s">
        <v>9158</v>
      </c>
      <c r="P574" s="14" t="s">
        <v>9158</v>
      </c>
      <c r="Q574" s="14" t="s">
        <v>9158</v>
      </c>
    </row>
    <row r="575" spans="1:18">
      <c r="A575" s="9">
        <v>87353</v>
      </c>
      <c r="B575" s="9" t="s">
        <v>22</v>
      </c>
      <c r="C575" s="9" t="s">
        <v>205</v>
      </c>
      <c r="D575" s="19" t="s">
        <v>10998</v>
      </c>
      <c r="E575" s="15" t="str">
        <f>HYPERLINK("https://stat100.ameba.jp/tnk47/ratio20/illustrations/card/ill_87353_oukyuuehimenomikoto03.jpg?202003-5-RELEASE-marathon-461", "■")</f>
        <v>■</v>
      </c>
      <c r="F575" s="9" t="s">
        <v>9821</v>
      </c>
      <c r="G575" s="9">
        <v>43220</v>
      </c>
      <c r="H575" s="9">
        <v>51980</v>
      </c>
      <c r="I575" s="9">
        <v>25</v>
      </c>
      <c r="J575" s="9" t="s">
        <v>169</v>
      </c>
      <c r="K575" s="9" t="s">
        <v>9820</v>
      </c>
      <c r="L575" s="9" t="s">
        <v>3780</v>
      </c>
      <c r="M575" s="14" t="s">
        <v>9158</v>
      </c>
      <c r="N575" s="14" t="s">
        <v>9158</v>
      </c>
      <c r="O575" s="14" t="s">
        <v>9158</v>
      </c>
      <c r="P575" s="14" t="s">
        <v>9158</v>
      </c>
      <c r="Q575" s="14" t="s">
        <v>9158</v>
      </c>
    </row>
    <row r="576" spans="1:18">
      <c r="A576" s="9">
        <v>87363</v>
      </c>
      <c r="B576" s="9" t="s">
        <v>30</v>
      </c>
      <c r="C576" s="9" t="s">
        <v>2728</v>
      </c>
      <c r="D576" s="19" t="s">
        <v>10999</v>
      </c>
      <c r="E576" s="15" t="str">
        <f>HYPERLINK("https://stat100.ameba.jp/tnk47/ratio20/illustrations/card/ill_87363_misopotetochan03.jpg?202003-5-RELEASE-marathon-461", "■")</f>
        <v>■</v>
      </c>
      <c r="F576" s="9" t="s">
        <v>9818</v>
      </c>
      <c r="G576" s="9">
        <v>31470</v>
      </c>
      <c r="H576" s="9">
        <v>26430</v>
      </c>
      <c r="I576" s="9">
        <v>25</v>
      </c>
      <c r="J576" s="9" t="s">
        <v>216</v>
      </c>
      <c r="K576" s="9" t="s">
        <v>9817</v>
      </c>
      <c r="L576" s="9" t="s">
        <v>3406</v>
      </c>
      <c r="M576" s="14" t="s">
        <v>9158</v>
      </c>
      <c r="N576" s="14" t="s">
        <v>9158</v>
      </c>
      <c r="O576" s="14" t="s">
        <v>9158</v>
      </c>
      <c r="P576" s="14" t="s">
        <v>9158</v>
      </c>
      <c r="Q576" s="14" t="s">
        <v>9158</v>
      </c>
    </row>
    <row r="577" spans="1:17">
      <c r="E577" s="9"/>
    </row>
    <row r="578" spans="1:17">
      <c r="A578" s="9" t="s">
        <v>9857</v>
      </c>
      <c r="E578" s="9"/>
    </row>
    <row r="579" spans="1:17">
      <c r="A579" s="9" t="s">
        <v>9858</v>
      </c>
      <c r="E579" s="9"/>
    </row>
    <row r="580" spans="1:17">
      <c r="A580" s="14" t="s">
        <v>5607</v>
      </c>
      <c r="B580" s="14" t="s">
        <v>330</v>
      </c>
      <c r="C580" s="14" t="s">
        <v>200</v>
      </c>
      <c r="D580" s="19" t="s">
        <v>421</v>
      </c>
      <c r="E580" s="15" t="str">
        <f>HYPERLINK("https://stat100.ameba.jp/tnk47/ratio20/illustrations/card/ill_58853_0_setsubumpanikkuhiratsukaraicho03.jpg?202003-5-RELEASE-marathon-461", "■")</f>
        <v>■</v>
      </c>
      <c r="F580" s="14" t="s">
        <v>1040</v>
      </c>
      <c r="G580" s="14">
        <v>150776</v>
      </c>
      <c r="H580" s="14">
        <v>133938</v>
      </c>
      <c r="I580" s="14">
        <v>24</v>
      </c>
      <c r="J580" s="14" t="s">
        <v>16</v>
      </c>
      <c r="K580" s="14" t="s">
        <v>1041</v>
      </c>
      <c r="L580" s="14" t="s">
        <v>1042</v>
      </c>
      <c r="M580" s="14" t="s">
        <v>9158</v>
      </c>
      <c r="N580" s="14" t="s">
        <v>9158</v>
      </c>
      <c r="O580" s="19" t="s">
        <v>10075</v>
      </c>
      <c r="P580" s="14" t="s">
        <v>2870</v>
      </c>
      <c r="Q580" s="14">
        <v>1</v>
      </c>
    </row>
    <row r="581" spans="1:17">
      <c r="A581" s="14">
        <v>75083</v>
      </c>
      <c r="B581" s="14" t="s">
        <v>334</v>
      </c>
      <c r="C581" s="14" t="s">
        <v>209</v>
      </c>
      <c r="D581" s="19" t="s">
        <v>10401</v>
      </c>
      <c r="E581" s="15" t="str">
        <f>HYPERLINK("https://stat100.ameba.jp/tnk47/ratio20/illustrations/card/ill_75083_sukumizuhanakosan03.jpg?202003-5-RELEASE-marathon-461", "■")</f>
        <v>■</v>
      </c>
      <c r="F581" s="14" t="s">
        <v>1020</v>
      </c>
      <c r="G581" s="14">
        <v>116577</v>
      </c>
      <c r="H581" s="14">
        <v>84456</v>
      </c>
      <c r="I581" s="14">
        <v>25</v>
      </c>
      <c r="J581" s="14" t="s">
        <v>73</v>
      </c>
      <c r="K581" s="14" t="s">
        <v>1021</v>
      </c>
      <c r="L581" s="14" t="s">
        <v>1022</v>
      </c>
      <c r="M581" s="14" t="s">
        <v>9158</v>
      </c>
      <c r="N581" s="14" t="s">
        <v>9158</v>
      </c>
      <c r="O581" s="19" t="s">
        <v>10105</v>
      </c>
      <c r="P581" s="14" t="s">
        <v>3416</v>
      </c>
      <c r="Q581" s="14">
        <v>1</v>
      </c>
    </row>
    <row r="582" spans="1:17">
      <c r="A582" s="14">
        <v>75893</v>
      </c>
      <c r="B582" s="14" t="s">
        <v>0</v>
      </c>
      <c r="C582" s="14" t="s">
        <v>158</v>
      </c>
      <c r="D582" s="19" t="s">
        <v>3095</v>
      </c>
      <c r="E582" s="15" t="str">
        <f>HYPERLINK("https://stat100.ameba.jp/tnk47/ratio20/illustrations/card/ill_75893_hamamatsutakuni03.jpg?202003-5-RELEASE-marathon-461", "■")</f>
        <v>■</v>
      </c>
      <c r="F582" s="14" t="s">
        <v>3594</v>
      </c>
      <c r="G582" s="14">
        <v>113463</v>
      </c>
      <c r="H582" s="14">
        <v>82205</v>
      </c>
      <c r="I582" s="14">
        <v>25</v>
      </c>
      <c r="J582" s="14" t="s">
        <v>16</v>
      </c>
      <c r="K582" s="14" t="s">
        <v>3595</v>
      </c>
      <c r="L582" s="14" t="s">
        <v>920</v>
      </c>
      <c r="M582" s="14" t="s">
        <v>9158</v>
      </c>
      <c r="N582" s="14" t="s">
        <v>9158</v>
      </c>
      <c r="O582" s="19" t="s">
        <v>3037</v>
      </c>
      <c r="P582" s="14" t="s">
        <v>13128</v>
      </c>
      <c r="Q582" s="14">
        <v>1</v>
      </c>
    </row>
    <row r="583" spans="1:17">
      <c r="A583" s="14">
        <v>78633</v>
      </c>
      <c r="B583" s="14" t="s">
        <v>334</v>
      </c>
      <c r="C583" s="14" t="s">
        <v>200</v>
      </c>
      <c r="D583" s="19" t="s">
        <v>2749</v>
      </c>
      <c r="E583" s="15" t="str">
        <f>HYPERLINK("https://stat100.ameba.jp/tnk47/ratio20/illustrations/card/ill_78633_geishunyuramyoinni03.jpg?202003-5-RELEASE-marathon-461", "■")</f>
        <v>■</v>
      </c>
      <c r="F583" s="14" t="s">
        <v>2750</v>
      </c>
      <c r="G583" s="14">
        <v>90759</v>
      </c>
      <c r="H583" s="14">
        <v>97651</v>
      </c>
      <c r="I583" s="14">
        <v>25</v>
      </c>
      <c r="J583" s="14" t="s">
        <v>315</v>
      </c>
      <c r="K583" s="14" t="s">
        <v>2751</v>
      </c>
      <c r="L583" s="14" t="s">
        <v>608</v>
      </c>
      <c r="M583" s="14" t="s">
        <v>9158</v>
      </c>
      <c r="N583" s="14" t="s">
        <v>9158</v>
      </c>
      <c r="O583" s="19" t="s">
        <v>2752</v>
      </c>
      <c r="P583" s="14" t="s">
        <v>13123</v>
      </c>
      <c r="Q583" s="14">
        <v>1</v>
      </c>
    </row>
    <row r="584" spans="1:17">
      <c r="E584" s="9"/>
    </row>
    <row r="585" spans="1:17">
      <c r="A585" s="9" t="s">
        <v>9860</v>
      </c>
      <c r="E585" s="9"/>
    </row>
    <row r="586" spans="1:17">
      <c r="A586" s="9" t="s">
        <v>9861</v>
      </c>
      <c r="E586" s="9"/>
    </row>
    <row r="587" spans="1:17">
      <c r="A587" s="14" t="s">
        <v>5804</v>
      </c>
      <c r="B587" s="14" t="s">
        <v>52</v>
      </c>
      <c r="C587" s="14" t="s">
        <v>14</v>
      </c>
      <c r="D587" s="19" t="s">
        <v>3195</v>
      </c>
      <c r="E587" s="15" t="str">
        <f>HYPERLINK("https://stat100.ameba.jp/tnk47/ratio20/illustrations/card/ill_75393_0_resukuinotsukisamaniittausagi03.jpg?202003-5-RELEASE-marathon-461x", "■")</f>
        <v>■</v>
      </c>
      <c r="F587" s="14" t="s">
        <v>3248</v>
      </c>
      <c r="G587" s="14">
        <v>296150</v>
      </c>
      <c r="H587" s="14">
        <v>275342</v>
      </c>
      <c r="I587" s="14">
        <v>26</v>
      </c>
      <c r="J587" s="14" t="s">
        <v>26</v>
      </c>
      <c r="K587" s="14" t="s">
        <v>3249</v>
      </c>
      <c r="L587" s="14" t="s">
        <v>3250</v>
      </c>
      <c r="M587" s="14" t="s">
        <v>9158</v>
      </c>
      <c r="N587" s="14" t="s">
        <v>9158</v>
      </c>
      <c r="O587" s="19" t="s">
        <v>10101</v>
      </c>
      <c r="P587" s="14" t="s">
        <v>3251</v>
      </c>
      <c r="Q587" s="14">
        <v>2</v>
      </c>
    </row>
    <row r="588" spans="1:17">
      <c r="A588" s="14" t="s">
        <v>5734</v>
      </c>
      <c r="B588" s="14" t="s">
        <v>330</v>
      </c>
      <c r="C588" s="14" t="s">
        <v>202</v>
      </c>
      <c r="D588" s="19" t="s">
        <v>1497</v>
      </c>
      <c r="E588" s="15" t="str">
        <f>HYPERLINK("https://stat100.ameba.jp/tnk47/ratio20/illustrations/card/ill_74593_0_natsuyuenchikoshihikari03.jpg?202003-5-RELEASE-marathon-461x", "■")</f>
        <v>■</v>
      </c>
      <c r="F588" s="14" t="s">
        <v>1498</v>
      </c>
      <c r="G588" s="14">
        <v>281662</v>
      </c>
      <c r="H588" s="14">
        <v>261852</v>
      </c>
      <c r="I588" s="14">
        <v>26</v>
      </c>
      <c r="J588" s="14" t="s">
        <v>283</v>
      </c>
      <c r="K588" s="14" t="s">
        <v>1499</v>
      </c>
      <c r="L588" s="14" t="s">
        <v>1500</v>
      </c>
      <c r="M588" s="14" t="s">
        <v>9158</v>
      </c>
      <c r="N588" s="14" t="s">
        <v>9158</v>
      </c>
      <c r="O588" s="19" t="s">
        <v>2731</v>
      </c>
      <c r="P588" s="14" t="s">
        <v>2732</v>
      </c>
      <c r="Q588" s="14">
        <v>1</v>
      </c>
    </row>
    <row r="589" spans="1:17">
      <c r="A589" s="9">
        <v>85363</v>
      </c>
      <c r="B589" s="9" t="s">
        <v>9862</v>
      </c>
      <c r="C589" s="9" t="s">
        <v>9863</v>
      </c>
      <c r="D589" s="19" t="s">
        <v>10708</v>
      </c>
      <c r="E589" s="15" t="str">
        <f>HYPERLINK("https://stat100.ameba.jp/tnk47/ratio20/illustrations/card/ill_85363_sukarunetaisa03.jpg?202003-5-RELEASE-marathon-461x", "■")</f>
        <v>■</v>
      </c>
      <c r="F589" s="9" t="s">
        <v>9868</v>
      </c>
      <c r="G589" s="9">
        <v>125296</v>
      </c>
      <c r="H589" s="9">
        <v>172982</v>
      </c>
      <c r="I589" s="9">
        <v>26</v>
      </c>
      <c r="J589" s="9" t="s">
        <v>9866</v>
      </c>
      <c r="K589" s="9" t="s">
        <v>9869</v>
      </c>
      <c r="L589" s="9" t="s">
        <v>9867</v>
      </c>
      <c r="M589" s="14" t="s">
        <v>9864</v>
      </c>
      <c r="N589" s="14" t="s">
        <v>9158</v>
      </c>
      <c r="O589" s="19" t="s">
        <v>10106</v>
      </c>
      <c r="P589" s="14" t="s">
        <v>9865</v>
      </c>
      <c r="Q589" s="14">
        <v>2</v>
      </c>
    </row>
    <row r="590" spans="1:17">
      <c r="A590" s="7">
        <v>59423</v>
      </c>
      <c r="B590" s="14" t="s">
        <v>334</v>
      </c>
      <c r="C590" s="14" t="s">
        <v>209</v>
      </c>
      <c r="D590" s="19" t="s">
        <v>10286</v>
      </c>
      <c r="E590" s="15" t="str">
        <f>HYPERLINK("https://stat100.ameba.jp/tnk47/ratio20/illustrations/card/ill_59423_yuishosetsu03.jpg?202003-5-RELEASE-marathon-461x", "■")</f>
        <v>■</v>
      </c>
      <c r="F590" s="14" t="s">
        <v>1143</v>
      </c>
      <c r="G590" s="14">
        <v>118000</v>
      </c>
      <c r="H590" s="14">
        <v>85492</v>
      </c>
      <c r="I590" s="14">
        <v>26</v>
      </c>
      <c r="J590" s="14" t="s">
        <v>16</v>
      </c>
      <c r="K590" s="14" t="s">
        <v>1144</v>
      </c>
      <c r="L590" s="14" t="s">
        <v>1149</v>
      </c>
      <c r="M590" s="14" t="s">
        <v>9158</v>
      </c>
      <c r="N590" s="14" t="s">
        <v>9158</v>
      </c>
      <c r="O590" s="19" t="s">
        <v>2951</v>
      </c>
      <c r="P590" s="14" t="s">
        <v>13122</v>
      </c>
      <c r="Q590" s="14">
        <v>1</v>
      </c>
    </row>
    <row r="591" spans="1:17">
      <c r="A591" s="14">
        <v>77673</v>
      </c>
      <c r="B591" s="14" t="s">
        <v>334</v>
      </c>
      <c r="C591" s="14" t="s">
        <v>158</v>
      </c>
      <c r="D591" s="19" t="s">
        <v>10270</v>
      </c>
      <c r="E591" s="15" t="str">
        <f>HYPERLINK("https://stat100.ameba.jp/tnk47/ratio20/illustrations/card/ill_77673_ryunochoji03.jpg?202003-5-RELEASE-marathon-461x", "■")</f>
        <v>■</v>
      </c>
      <c r="F591" s="14" t="s">
        <v>1777</v>
      </c>
      <c r="G591" s="14">
        <v>121240</v>
      </c>
      <c r="H591" s="14">
        <v>87834</v>
      </c>
      <c r="I591" s="14">
        <v>26</v>
      </c>
      <c r="J591" s="14" t="s">
        <v>73</v>
      </c>
      <c r="K591" s="14" t="s">
        <v>1778</v>
      </c>
      <c r="L591" s="14" t="s">
        <v>1779</v>
      </c>
      <c r="M591" s="14" t="s">
        <v>9158</v>
      </c>
      <c r="N591" s="14" t="s">
        <v>9158</v>
      </c>
      <c r="O591" s="19" t="s">
        <v>10090</v>
      </c>
      <c r="P591" s="14" t="s">
        <v>3460</v>
      </c>
      <c r="Q591" s="14">
        <v>1</v>
      </c>
    </row>
    <row r="592" spans="1:17">
      <c r="A592" s="9">
        <v>73083</v>
      </c>
      <c r="B592" s="14" t="s">
        <v>334</v>
      </c>
      <c r="C592" s="14" t="s">
        <v>154</v>
      </c>
      <c r="D592" s="19" t="s">
        <v>10308</v>
      </c>
      <c r="E592" s="15" t="str">
        <f>HYPERLINK("https://stat100.ameba.jp/tnk47/ratio20/illustrations/card/ill_73083_inochinoamekobayashiissa03.jpg?202003-5-RELEASE-marathon-461x", "■")</f>
        <v>■</v>
      </c>
      <c r="F592" s="14" t="s">
        <v>3350</v>
      </c>
      <c r="G592" s="14">
        <v>113630</v>
      </c>
      <c r="H592" s="14">
        <v>82318</v>
      </c>
      <c r="I592" s="14">
        <v>26</v>
      </c>
      <c r="J592" s="14" t="s">
        <v>10</v>
      </c>
      <c r="K592" s="14" t="s">
        <v>3351</v>
      </c>
      <c r="L592" s="14" t="s">
        <v>3352</v>
      </c>
      <c r="M592" s="14" t="s">
        <v>9158</v>
      </c>
      <c r="N592" s="14" t="s">
        <v>9158</v>
      </c>
      <c r="O592" s="14" t="s">
        <v>9158</v>
      </c>
      <c r="P592" s="14" t="s">
        <v>9158</v>
      </c>
      <c r="Q592" s="14" t="s">
        <v>9158</v>
      </c>
    </row>
    <row r="593" spans="1:18">
      <c r="A593" s="14">
        <v>58353</v>
      </c>
      <c r="B593" s="14" t="s">
        <v>334</v>
      </c>
      <c r="C593" s="14" t="s">
        <v>203</v>
      </c>
      <c r="D593" s="19" t="s">
        <v>10470</v>
      </c>
      <c r="E593" s="15" t="str">
        <f>HYPERLINK("https://stat100.ameba.jp/tnk47/ratio20/illustrations/card/ill_58353_tajihinoayako03.jpg?202003-5-RELEASE-marathon-461x", "■")</f>
        <v>■</v>
      </c>
      <c r="F593" s="14" t="s">
        <v>6097</v>
      </c>
      <c r="G593" s="14">
        <v>78678</v>
      </c>
      <c r="H593" s="14">
        <v>107304</v>
      </c>
      <c r="I593" s="14">
        <v>26</v>
      </c>
      <c r="J593" s="14" t="s">
        <v>16</v>
      </c>
      <c r="K593" s="14" t="s">
        <v>6099</v>
      </c>
      <c r="L593" s="14" t="s">
        <v>6098</v>
      </c>
      <c r="M593" s="14" t="s">
        <v>9158</v>
      </c>
      <c r="N593" s="14" t="s">
        <v>9158</v>
      </c>
      <c r="O593" s="14" t="s">
        <v>9158</v>
      </c>
      <c r="P593" s="14" t="s">
        <v>9158</v>
      </c>
      <c r="Q593" s="14" t="s">
        <v>9158</v>
      </c>
    </row>
    <row r="594" spans="1:18">
      <c r="E594" s="9"/>
    </row>
    <row r="595" spans="1:18">
      <c r="A595" s="9" t="s">
        <v>9870</v>
      </c>
      <c r="E595" s="9"/>
    </row>
    <row r="596" spans="1:18">
      <c r="A596" s="9" t="s">
        <v>9871</v>
      </c>
      <c r="E596" s="9"/>
    </row>
    <row r="597" spans="1:18">
      <c r="A597" s="14" t="s">
        <v>5963</v>
      </c>
      <c r="B597" s="14" t="s">
        <v>330</v>
      </c>
      <c r="C597" s="14" t="s">
        <v>35</v>
      </c>
      <c r="D597" s="19" t="s">
        <v>10438</v>
      </c>
      <c r="E597" s="15" t="str">
        <f>HYPERLINK("https://stat100.ameba.jp/tnk47/ratio20/illustrations/card/ill_82963_0_yukatamatsuritomokazuki03.jpg?202003-5-RELEASE-marathon-461x", "■")</f>
        <v>■</v>
      </c>
      <c r="F597" s="14" t="s">
        <v>5964</v>
      </c>
      <c r="G597" s="14">
        <v>285888</v>
      </c>
      <c r="H597" s="14">
        <v>316330</v>
      </c>
      <c r="I597" s="14">
        <v>24</v>
      </c>
      <c r="J597" s="14" t="s">
        <v>73</v>
      </c>
      <c r="K597" s="14" t="s">
        <v>5966</v>
      </c>
      <c r="L597" s="14" t="s">
        <v>5967</v>
      </c>
      <c r="M597" s="14" t="s">
        <v>9158</v>
      </c>
      <c r="N597" s="14" t="s">
        <v>9158</v>
      </c>
      <c r="O597" s="19" t="s">
        <v>10115</v>
      </c>
      <c r="P597" s="14" t="s">
        <v>5968</v>
      </c>
      <c r="Q597" s="14">
        <v>1</v>
      </c>
    </row>
    <row r="598" spans="1:18">
      <c r="A598" s="14">
        <v>84153</v>
      </c>
      <c r="B598" s="14" t="s">
        <v>0</v>
      </c>
      <c r="C598" s="14" t="s">
        <v>165</v>
      </c>
      <c r="D598" s="19" t="s">
        <v>10658</v>
      </c>
      <c r="E598" s="15" t="str">
        <f>HYPERLINK("https://stat100.ameba.jp/tnk47/ratio20/illustrations/card/ill_84153_tarottotoyotomihideyori03.jpg?202003-5-RELEASE-marathon-461x", "■")</f>
        <v>■</v>
      </c>
      <c r="F598" s="14" t="s">
        <v>7155</v>
      </c>
      <c r="G598" s="14">
        <v>142674</v>
      </c>
      <c r="H598" s="14">
        <v>132658</v>
      </c>
      <c r="I598" s="14">
        <v>24</v>
      </c>
      <c r="J598" s="14" t="s">
        <v>143</v>
      </c>
      <c r="K598" s="14" t="s">
        <v>7156</v>
      </c>
      <c r="L598" s="14" t="s">
        <v>145</v>
      </c>
      <c r="M598" s="14" t="s">
        <v>9158</v>
      </c>
      <c r="N598" s="14" t="s">
        <v>9158</v>
      </c>
      <c r="O598" s="19" t="s">
        <v>10090</v>
      </c>
      <c r="P598" s="14" t="s">
        <v>3460</v>
      </c>
      <c r="Q598" s="14">
        <v>1</v>
      </c>
      <c r="R598" s="14"/>
    </row>
    <row r="599" spans="1:18">
      <c r="A599" s="14">
        <v>81303</v>
      </c>
      <c r="B599" s="14" t="s">
        <v>334</v>
      </c>
      <c r="C599" s="14" t="s">
        <v>41</v>
      </c>
      <c r="D599" s="19" t="s">
        <v>10349</v>
      </c>
      <c r="E599" s="15" t="str">
        <f>HYPERLINK("https://stat100.ameba.jp/tnk47/ratio20/illustrations/card/ill_81303_suteirukuin03.jpg?202003-5-RELEASE-marathon-461x", "■")</f>
        <v>■</v>
      </c>
      <c r="F599" s="14" t="s">
        <v>4581</v>
      </c>
      <c r="G599" s="14">
        <v>115656</v>
      </c>
      <c r="H599" s="14">
        <v>159674</v>
      </c>
      <c r="I599" s="14">
        <v>24</v>
      </c>
      <c r="J599" s="14" t="s">
        <v>104</v>
      </c>
      <c r="K599" s="14" t="s">
        <v>4582</v>
      </c>
      <c r="L599" s="14" t="s">
        <v>2304</v>
      </c>
      <c r="M599" s="14" t="s">
        <v>9158</v>
      </c>
      <c r="N599" s="14" t="s">
        <v>9158</v>
      </c>
      <c r="O599" s="19" t="s">
        <v>10084</v>
      </c>
      <c r="P599" s="14" t="s">
        <v>4584</v>
      </c>
      <c r="Q599" s="14">
        <v>1</v>
      </c>
    </row>
    <row r="600" spans="1:18">
      <c r="A600" s="14">
        <v>64043</v>
      </c>
      <c r="B600" s="14" t="s">
        <v>334</v>
      </c>
      <c r="C600" s="14" t="s">
        <v>209</v>
      </c>
      <c r="D600" s="19" t="s">
        <v>10262</v>
      </c>
      <c r="E600" s="15" t="str">
        <f>HYPERLINK("https://stat100.ameba.jp/tnk47/ratio20/illustrations/card/ill_64043_kegonnotaki03.jpg?202003-5-RELEASE-marathon-461x", "■")</f>
        <v>■</v>
      </c>
      <c r="F600" s="14" t="s">
        <v>759</v>
      </c>
      <c r="G600" s="14">
        <v>114160</v>
      </c>
      <c r="H600" s="14">
        <v>82694</v>
      </c>
      <c r="I600" s="14">
        <v>24</v>
      </c>
      <c r="J600" s="14" t="s">
        <v>229</v>
      </c>
      <c r="K600" s="14" t="s">
        <v>230</v>
      </c>
      <c r="L600" s="14" t="s">
        <v>13143</v>
      </c>
      <c r="M600" s="14" t="s">
        <v>9158</v>
      </c>
      <c r="N600" s="14" t="s">
        <v>9158</v>
      </c>
      <c r="O600" s="19" t="s">
        <v>10070</v>
      </c>
      <c r="P600" s="14" t="s">
        <v>3579</v>
      </c>
      <c r="Q600" s="14">
        <v>1</v>
      </c>
    </row>
    <row r="601" spans="1:18">
      <c r="E601" s="9"/>
    </row>
    <row r="602" spans="1:18">
      <c r="A602" s="7" t="s">
        <v>3643</v>
      </c>
      <c r="B602" s="7"/>
      <c r="C602" s="7"/>
      <c r="D602" s="7"/>
      <c r="E602" s="7"/>
      <c r="F602" s="7"/>
      <c r="G602" s="7"/>
      <c r="H602" s="7"/>
      <c r="I602" s="7"/>
      <c r="J602" s="7"/>
      <c r="K602" s="7"/>
      <c r="L602" s="7"/>
      <c r="M602" s="7"/>
      <c r="N602" s="7"/>
      <c r="O602" s="7"/>
      <c r="P602" s="7"/>
      <c r="Q602" s="7"/>
      <c r="R602" s="7"/>
    </row>
    <row r="603" spans="1:18">
      <c r="A603" s="7" t="s">
        <v>9872</v>
      </c>
      <c r="B603" s="7"/>
      <c r="C603" s="7"/>
      <c r="D603" s="7"/>
      <c r="E603" s="7"/>
      <c r="F603" s="7"/>
      <c r="G603" s="7"/>
      <c r="H603" s="7"/>
      <c r="I603" s="7"/>
      <c r="J603" s="7"/>
      <c r="K603" s="7"/>
      <c r="L603" s="7"/>
      <c r="M603" s="7"/>
      <c r="N603" s="7"/>
      <c r="O603" s="7"/>
      <c r="P603" s="7"/>
      <c r="Q603" s="7"/>
      <c r="R603" s="7"/>
    </row>
    <row r="604" spans="1:18">
      <c r="A604" s="7">
        <v>85015</v>
      </c>
      <c r="B604" s="7" t="s">
        <v>0</v>
      </c>
      <c r="C604" s="7" t="s">
        <v>202</v>
      </c>
      <c r="D604" s="19" t="s">
        <v>10751</v>
      </c>
      <c r="E604" s="15" t="str">
        <f>HYPERLINK("https://stat100.ameba.jp/tnk47/ratio20/illustrations/card/ill_85015_yukimomijifujiwaranokiyohira05.jpg?202003-5-RELEASE-marathon-461x", "■")</f>
        <v>■</v>
      </c>
      <c r="F604" s="7" t="s">
        <v>9880</v>
      </c>
      <c r="G604" s="7">
        <v>187819</v>
      </c>
      <c r="H604" s="7">
        <v>136003</v>
      </c>
      <c r="I604" s="7">
        <v>25</v>
      </c>
      <c r="J604" s="14" t="s">
        <v>10</v>
      </c>
      <c r="K604" s="7" t="s">
        <v>9879</v>
      </c>
      <c r="L604" s="7" t="s">
        <v>9878</v>
      </c>
      <c r="M604" s="14" t="s">
        <v>9158</v>
      </c>
      <c r="N604" s="14" t="s">
        <v>9158</v>
      </c>
      <c r="O604" s="14" t="s">
        <v>9158</v>
      </c>
      <c r="P604" s="14" t="s">
        <v>9158</v>
      </c>
      <c r="Q604" s="14" t="s">
        <v>9158</v>
      </c>
      <c r="R604" s="7" t="s">
        <v>174</v>
      </c>
    </row>
    <row r="605" spans="1:18">
      <c r="A605" s="7">
        <v>85013</v>
      </c>
      <c r="B605" s="7" t="s">
        <v>15</v>
      </c>
      <c r="C605" s="7" t="s">
        <v>154</v>
      </c>
      <c r="D605" s="19" t="s">
        <v>10751</v>
      </c>
      <c r="E605" s="15" t="str">
        <f>HYPERLINK("https://stat100.ameba.jp/tnk47/ratio20/illustrations/card/ill_85013_yukimomijifujiwaranokiyohira03.jpg?202003-5-RELEASE-marathon-461x", "■")</f>
        <v>■</v>
      </c>
      <c r="F605" s="7" t="s">
        <v>9880</v>
      </c>
      <c r="G605" s="9">
        <v>138385</v>
      </c>
      <c r="H605" s="9">
        <v>100209</v>
      </c>
      <c r="I605" s="7">
        <v>25</v>
      </c>
      <c r="J605" s="14" t="s">
        <v>10</v>
      </c>
      <c r="K605" s="7" t="s">
        <v>9879</v>
      </c>
      <c r="L605" s="7" t="s">
        <v>9881</v>
      </c>
      <c r="M605" s="14" t="s">
        <v>9158</v>
      </c>
      <c r="N605" s="14" t="s">
        <v>9158</v>
      </c>
      <c r="O605" s="14" t="s">
        <v>9158</v>
      </c>
      <c r="P605" s="14" t="s">
        <v>9158</v>
      </c>
      <c r="Q605" s="14" t="s">
        <v>9158</v>
      </c>
      <c r="R605" s="7" t="s">
        <v>175</v>
      </c>
    </row>
    <row r="606" spans="1:18">
      <c r="A606" s="7">
        <v>85011</v>
      </c>
      <c r="B606" s="7" t="s">
        <v>15</v>
      </c>
      <c r="C606" s="7" t="s">
        <v>154</v>
      </c>
      <c r="D606" s="19" t="s">
        <v>10751</v>
      </c>
      <c r="E606" s="15" t="str">
        <f>HYPERLINK("https://stat100.ameba.jp/tnk47/ratio20/illustrations/card/ill_85011_yukimomijifujiwaranokiyohira01.jpg?202003-5-RELEASE-marathon-461x", "■")</f>
        <v>■</v>
      </c>
      <c r="F606" s="7" t="s">
        <v>9880</v>
      </c>
      <c r="G606" s="7">
        <v>88025</v>
      </c>
      <c r="H606" s="7">
        <v>63750</v>
      </c>
      <c r="I606" s="7">
        <v>25</v>
      </c>
      <c r="J606" s="14" t="s">
        <v>10</v>
      </c>
      <c r="K606" s="7" t="s">
        <v>9879</v>
      </c>
      <c r="L606" s="7" t="s">
        <v>9882</v>
      </c>
      <c r="M606" s="14" t="s">
        <v>9158</v>
      </c>
      <c r="N606" s="14" t="s">
        <v>9158</v>
      </c>
      <c r="O606" s="14" t="s">
        <v>9158</v>
      </c>
      <c r="P606" s="14" t="s">
        <v>9158</v>
      </c>
      <c r="Q606" s="14" t="s">
        <v>9158</v>
      </c>
      <c r="R606" s="7" t="s">
        <v>176</v>
      </c>
    </row>
    <row r="607" spans="1:18">
      <c r="A607" s="7">
        <v>83655</v>
      </c>
      <c r="B607" s="7" t="s">
        <v>0</v>
      </c>
      <c r="C607" s="7" t="s">
        <v>202</v>
      </c>
      <c r="D607" s="19" t="s">
        <v>10599</v>
      </c>
      <c r="E607" s="15" t="str">
        <f>HYPERLINK("https://stat100.ameba.jp/tnk47/ratio20/illustrations/card/ill_83655_madamubatafurai05.jpg?202003-5-RELEASE-marathon-461x", "■")</f>
        <v>■</v>
      </c>
      <c r="F607" s="7" t="s">
        <v>9885</v>
      </c>
      <c r="G607" s="7">
        <v>142144</v>
      </c>
      <c r="H607" s="7">
        <v>102933</v>
      </c>
      <c r="I607" s="7">
        <v>25</v>
      </c>
      <c r="J607" s="14" t="s">
        <v>315</v>
      </c>
      <c r="K607" s="7" t="s">
        <v>9884</v>
      </c>
      <c r="L607" s="7" t="s">
        <v>9883</v>
      </c>
      <c r="M607" s="14" t="s">
        <v>9158</v>
      </c>
      <c r="N607" s="14" t="s">
        <v>9158</v>
      </c>
      <c r="O607" s="14" t="s">
        <v>9158</v>
      </c>
      <c r="P607" s="14" t="s">
        <v>9158</v>
      </c>
      <c r="Q607" s="14" t="s">
        <v>9158</v>
      </c>
      <c r="R607" s="7" t="s">
        <v>174</v>
      </c>
    </row>
    <row r="608" spans="1:18">
      <c r="A608" s="7">
        <v>83653</v>
      </c>
      <c r="B608" s="7" t="s">
        <v>15</v>
      </c>
      <c r="C608" s="7" t="s">
        <v>154</v>
      </c>
      <c r="D608" s="19" t="s">
        <v>10599</v>
      </c>
      <c r="E608" s="15" t="str">
        <f>HYPERLINK("https://stat100.ameba.jp/tnk47/ratio20/illustrations/card/ill_83653_madamubatafurai03.jpg?202003-5-RELEASE-marathon-461x", "■")</f>
        <v>■</v>
      </c>
      <c r="F608" s="7" t="s">
        <v>9885</v>
      </c>
      <c r="G608" s="7">
        <v>104738</v>
      </c>
      <c r="H608" s="7">
        <v>75839</v>
      </c>
      <c r="I608" s="7">
        <v>25</v>
      </c>
      <c r="J608" s="14" t="s">
        <v>315</v>
      </c>
      <c r="K608" s="7" t="s">
        <v>9884</v>
      </c>
      <c r="L608" s="7" t="s">
        <v>9886</v>
      </c>
      <c r="M608" s="14" t="s">
        <v>9158</v>
      </c>
      <c r="N608" s="14" t="s">
        <v>9158</v>
      </c>
      <c r="O608" s="14" t="s">
        <v>9158</v>
      </c>
      <c r="P608" s="14" t="s">
        <v>9158</v>
      </c>
      <c r="Q608" s="14" t="s">
        <v>9158</v>
      </c>
      <c r="R608" s="7" t="s">
        <v>175</v>
      </c>
    </row>
    <row r="609" spans="1:18">
      <c r="A609" s="7">
        <v>83651</v>
      </c>
      <c r="B609" s="7" t="s">
        <v>15</v>
      </c>
      <c r="C609" s="7" t="s">
        <v>154</v>
      </c>
      <c r="D609" s="19" t="s">
        <v>10599</v>
      </c>
      <c r="E609" s="15" t="str">
        <f>HYPERLINK("https://stat100.ameba.jp/tnk47/ratio20/illustrations/card/ill_83651_madamubatafurai01.jpg?202003-5-RELEASE-marathon-461x", "■")</f>
        <v>■</v>
      </c>
      <c r="F609" s="7" t="s">
        <v>9885</v>
      </c>
      <c r="G609" s="7">
        <v>66625</v>
      </c>
      <c r="H609" s="7">
        <v>48250</v>
      </c>
      <c r="I609" s="7">
        <v>25</v>
      </c>
      <c r="J609" s="14" t="s">
        <v>315</v>
      </c>
      <c r="K609" s="7" t="s">
        <v>9884</v>
      </c>
      <c r="L609" s="7" t="s">
        <v>9887</v>
      </c>
      <c r="M609" s="14" t="s">
        <v>9158</v>
      </c>
      <c r="N609" s="14" t="s">
        <v>9158</v>
      </c>
      <c r="O609" s="14" t="s">
        <v>9158</v>
      </c>
      <c r="P609" s="14" t="s">
        <v>9158</v>
      </c>
      <c r="Q609" s="14" t="s">
        <v>9158</v>
      </c>
      <c r="R609" s="7" t="s">
        <v>176</v>
      </c>
    </row>
    <row r="610" spans="1:18">
      <c r="A610" s="7">
        <v>83665</v>
      </c>
      <c r="B610" s="7" t="s">
        <v>0</v>
      </c>
      <c r="C610" s="7" t="s">
        <v>202</v>
      </c>
      <c r="D610" s="19" t="s">
        <v>10615</v>
      </c>
      <c r="E610" s="15" t="str">
        <f>HYPERLINK("https://stat100.ameba.jp/tnk47/ratio20/illustrations/card/ill_83665_nijiironomajutsushitencha05.jpg?202003-5-RELEASE-marathon-461x", "■")</f>
        <v>■</v>
      </c>
      <c r="F610" s="7" t="s">
        <v>9875</v>
      </c>
      <c r="G610" s="7">
        <v>187819</v>
      </c>
      <c r="H610" s="7">
        <v>136003</v>
      </c>
      <c r="I610" s="7">
        <v>25</v>
      </c>
      <c r="J610" s="14" t="s">
        <v>16</v>
      </c>
      <c r="K610" s="7" t="s">
        <v>9874</v>
      </c>
      <c r="L610" s="7" t="s">
        <v>9873</v>
      </c>
      <c r="M610" s="14" t="s">
        <v>9158</v>
      </c>
      <c r="N610" s="14" t="s">
        <v>9158</v>
      </c>
      <c r="O610" s="14" t="s">
        <v>9158</v>
      </c>
      <c r="P610" s="14" t="s">
        <v>9158</v>
      </c>
      <c r="Q610" s="14" t="s">
        <v>9158</v>
      </c>
      <c r="R610" s="7" t="s">
        <v>174</v>
      </c>
    </row>
    <row r="611" spans="1:18">
      <c r="A611" s="7">
        <v>83663</v>
      </c>
      <c r="B611" s="7" t="s">
        <v>15</v>
      </c>
      <c r="C611" s="7" t="s">
        <v>158</v>
      </c>
      <c r="D611" s="19" t="s">
        <v>10615</v>
      </c>
      <c r="E611" s="15" t="str">
        <f>HYPERLINK("https://stat100.ameba.jp/tnk47/ratio20/illustrations/card/ill_83663_nijiironomajutsushitencha03.jpg?202003-5-RELEASE-marathon-461x", "■")</f>
        <v>■</v>
      </c>
      <c r="F611" s="7" t="s">
        <v>9875</v>
      </c>
      <c r="G611" s="7">
        <v>138385</v>
      </c>
      <c r="H611" s="7">
        <v>100209</v>
      </c>
      <c r="I611" s="7">
        <v>25</v>
      </c>
      <c r="J611" s="14" t="s">
        <v>16</v>
      </c>
      <c r="K611" s="7" t="s">
        <v>9874</v>
      </c>
      <c r="L611" s="7" t="s">
        <v>9876</v>
      </c>
      <c r="M611" s="14" t="s">
        <v>9158</v>
      </c>
      <c r="N611" s="14" t="s">
        <v>9158</v>
      </c>
      <c r="O611" s="14" t="s">
        <v>9158</v>
      </c>
      <c r="P611" s="14" t="s">
        <v>9158</v>
      </c>
      <c r="Q611" s="14" t="s">
        <v>9158</v>
      </c>
      <c r="R611" s="7" t="s">
        <v>175</v>
      </c>
    </row>
    <row r="612" spans="1:18">
      <c r="A612" s="7">
        <v>83661</v>
      </c>
      <c r="B612" s="7" t="s">
        <v>15</v>
      </c>
      <c r="C612" s="7" t="s">
        <v>158</v>
      </c>
      <c r="D612" s="19" t="s">
        <v>10615</v>
      </c>
      <c r="E612" s="15" t="str">
        <f>HYPERLINK("https://stat100.ameba.jp/tnk47/ratio20/illustrations/card/ill_83661_nijiironomajutsushitencha01.jpg?202003-5-RELEASE-marathon-461x", "■")</f>
        <v>■</v>
      </c>
      <c r="F612" s="7" t="s">
        <v>9875</v>
      </c>
      <c r="G612" s="7">
        <v>88025</v>
      </c>
      <c r="H612" s="9">
        <v>63750</v>
      </c>
      <c r="I612" s="7">
        <v>25</v>
      </c>
      <c r="J612" s="14" t="s">
        <v>16</v>
      </c>
      <c r="K612" s="7" t="s">
        <v>9874</v>
      </c>
      <c r="L612" s="9" t="s">
        <v>9877</v>
      </c>
      <c r="M612" s="14" t="s">
        <v>9158</v>
      </c>
      <c r="N612" s="14" t="s">
        <v>9158</v>
      </c>
      <c r="O612" s="14" t="s">
        <v>9158</v>
      </c>
      <c r="P612" s="14" t="s">
        <v>9158</v>
      </c>
      <c r="Q612" s="14" t="s">
        <v>9158</v>
      </c>
      <c r="R612" s="7" t="s">
        <v>176</v>
      </c>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CE3E-8BA5-4254-AA97-BBCCA7A845E5}">
  <dimension ref="A1:S638"/>
  <sheetViews>
    <sheetView zoomScale="55" zoomScaleNormal="55" workbookViewId="0">
      <pane ySplit="1" topLeftCell="A455" activePane="bottomLeft" state="frozen"/>
      <selection activeCell="Q158" sqref="A158:Q158"/>
      <selection pane="bottomLeft" activeCell="Q158" sqref="A158:Q158"/>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9945</v>
      </c>
    </row>
    <row r="4" spans="1:19">
      <c r="A4" s="9" t="s">
        <v>9889</v>
      </c>
    </row>
    <row r="5" spans="1:19">
      <c r="A5" s="9" t="s">
        <v>9890</v>
      </c>
    </row>
    <row r="6" spans="1:19">
      <c r="A6" s="9" t="s">
        <v>9891</v>
      </c>
      <c r="B6" s="7" t="s">
        <v>52</v>
      </c>
      <c r="C6" s="9" t="s">
        <v>202</v>
      </c>
      <c r="D6" s="6" t="s">
        <v>9978</v>
      </c>
      <c r="E6" s="15" t="str">
        <f>HYPERLINK("https://stat100.ameba.jp/tnk47/ratio20/illustrations/card/ill_87643_0_oendanotohime03.jpg?202003-5-RELEASE-marathon-461x", "■")</f>
        <v>■</v>
      </c>
      <c r="F6" s="14" t="s">
        <v>9928</v>
      </c>
      <c r="G6" s="9">
        <v>312396</v>
      </c>
      <c r="H6" s="9">
        <v>381788</v>
      </c>
      <c r="I6" s="7">
        <v>30</v>
      </c>
      <c r="J6" s="9" t="s">
        <v>155</v>
      </c>
      <c r="K6" s="14" t="s">
        <v>9932</v>
      </c>
      <c r="L6" s="14" t="s">
        <v>9933</v>
      </c>
      <c r="M6" s="14" t="s">
        <v>9158</v>
      </c>
      <c r="N6" s="14" t="s">
        <v>9158</v>
      </c>
      <c r="O6" s="6" t="s">
        <v>9989</v>
      </c>
      <c r="P6" s="7" t="s">
        <v>9944</v>
      </c>
      <c r="Q6" s="7">
        <v>1</v>
      </c>
      <c r="R6" s="14"/>
    </row>
    <row r="7" spans="1:19">
      <c r="A7" s="9">
        <v>87583</v>
      </c>
      <c r="B7" s="14" t="s">
        <v>0</v>
      </c>
      <c r="C7" s="9" t="s">
        <v>165</v>
      </c>
      <c r="D7" s="6" t="s">
        <v>9981</v>
      </c>
      <c r="E7" s="15" t="str">
        <f>HYPERLINK("https://stat100.ameba.jp/tnk47/ratio20/illustrations/card/ill_87583_oendanise03.jpg?202003-5-RELEASE-marathon-461x", "■")</f>
        <v>■</v>
      </c>
      <c r="F7" s="9" t="s">
        <v>9929</v>
      </c>
      <c r="G7" s="9">
        <v>105426</v>
      </c>
      <c r="H7" s="9">
        <v>98066</v>
      </c>
      <c r="I7" s="14">
        <v>26</v>
      </c>
      <c r="J7" s="9" t="s">
        <v>159</v>
      </c>
      <c r="K7" s="9" t="s">
        <v>9934</v>
      </c>
      <c r="L7" s="9" t="s">
        <v>9927</v>
      </c>
      <c r="M7" s="14" t="s">
        <v>9158</v>
      </c>
      <c r="N7" s="14" t="s">
        <v>9158</v>
      </c>
      <c r="O7" s="6" t="s">
        <v>9990</v>
      </c>
      <c r="P7" s="14" t="s">
        <v>4374</v>
      </c>
      <c r="Q7" s="14">
        <v>1</v>
      </c>
      <c r="R7" s="14"/>
    </row>
    <row r="8" spans="1:19">
      <c r="A8" s="9">
        <v>87593</v>
      </c>
      <c r="B8" s="14" t="s">
        <v>0</v>
      </c>
      <c r="C8" s="9" t="s">
        <v>200</v>
      </c>
      <c r="D8" s="6" t="s">
        <v>9982</v>
      </c>
      <c r="E8" s="15" t="str">
        <f>HYPERLINK("https://stat100.ameba.jp/tnk47/ratio20/illustrations/card/ill_87593_oendanammitsuchan03.jpg?202003-5-RELEASE-marathon-461x", "■")</f>
        <v>■</v>
      </c>
      <c r="F8" s="9" t="s">
        <v>9930</v>
      </c>
      <c r="G8" s="9">
        <v>94390</v>
      </c>
      <c r="H8" s="9">
        <v>101558</v>
      </c>
      <c r="I8" s="14">
        <v>26</v>
      </c>
      <c r="J8" s="9" t="s">
        <v>216</v>
      </c>
      <c r="K8" s="9" t="s">
        <v>9935</v>
      </c>
      <c r="L8" s="9" t="s">
        <v>9943</v>
      </c>
      <c r="M8" s="14" t="s">
        <v>2138</v>
      </c>
      <c r="N8" s="14" t="s">
        <v>2139</v>
      </c>
      <c r="O8" s="14" t="s">
        <v>9158</v>
      </c>
      <c r="P8" s="14" t="s">
        <v>9158</v>
      </c>
      <c r="Q8" s="14" t="s">
        <v>9158</v>
      </c>
      <c r="R8" s="14" t="s">
        <v>13120</v>
      </c>
    </row>
    <row r="9" spans="1:19">
      <c r="A9" s="9">
        <v>87603</v>
      </c>
      <c r="B9" s="14" t="s">
        <v>0</v>
      </c>
      <c r="C9" s="9" t="s">
        <v>206</v>
      </c>
      <c r="D9" s="6" t="s">
        <v>9983</v>
      </c>
      <c r="E9" s="15" t="str">
        <f>HYPERLINK("https://stat100.ameba.jp/tnk47/ratio20/illustrations/card/ill_87603_oendanruisufuroisu03.jpg?202003-5-RELEASE-marathon-461x", "■")</f>
        <v>■</v>
      </c>
      <c r="F9" s="9" t="s">
        <v>9931</v>
      </c>
      <c r="G9" s="9">
        <v>154562</v>
      </c>
      <c r="H9" s="9">
        <v>143714</v>
      </c>
      <c r="I9" s="14">
        <v>26</v>
      </c>
      <c r="J9" s="9" t="s">
        <v>173</v>
      </c>
      <c r="K9" s="9" t="s">
        <v>9936</v>
      </c>
      <c r="L9" s="9" t="s">
        <v>1479</v>
      </c>
      <c r="M9" s="14" t="s">
        <v>2138</v>
      </c>
      <c r="N9" s="14" t="s">
        <v>2139</v>
      </c>
      <c r="O9" s="14" t="s">
        <v>9158</v>
      </c>
      <c r="P9" s="14" t="s">
        <v>9158</v>
      </c>
      <c r="Q9" s="14" t="s">
        <v>9158</v>
      </c>
      <c r="R9" s="14" t="s">
        <v>13120</v>
      </c>
    </row>
    <row r="10" spans="1:19">
      <c r="A10" s="9">
        <v>87613</v>
      </c>
      <c r="B10" s="14" t="s">
        <v>15</v>
      </c>
      <c r="C10" s="9" t="s">
        <v>1</v>
      </c>
      <c r="D10" s="6" t="s">
        <v>9984</v>
      </c>
      <c r="E10" s="15" t="str">
        <f>HYPERLINK("https://stat100.ameba.jp/tnk47/ratio20/illustrations/card/ill_87613_chiamomijimanjuchan03.jpg?202003-5-RELEASE-marathon-461x", "■")</f>
        <v>■</v>
      </c>
      <c r="F10" s="9" t="s">
        <v>9938</v>
      </c>
      <c r="G10" s="9">
        <v>69898</v>
      </c>
      <c r="H10" s="9">
        <v>77064</v>
      </c>
      <c r="I10" s="14">
        <v>26</v>
      </c>
      <c r="J10" s="9" t="s">
        <v>216</v>
      </c>
      <c r="K10" s="9" t="s">
        <v>9937</v>
      </c>
      <c r="L10" s="9" t="s">
        <v>9921</v>
      </c>
      <c r="M10" s="14" t="s">
        <v>9158</v>
      </c>
      <c r="N10" s="14" t="s">
        <v>9158</v>
      </c>
      <c r="O10" s="14" t="s">
        <v>9158</v>
      </c>
      <c r="P10" s="14" t="s">
        <v>9158</v>
      </c>
      <c r="Q10" s="14" t="s">
        <v>9158</v>
      </c>
      <c r="R10" s="14"/>
    </row>
    <row r="11" spans="1:19">
      <c r="A11" s="9">
        <v>87623</v>
      </c>
      <c r="B11" s="14" t="s">
        <v>15</v>
      </c>
      <c r="C11" s="9" t="s">
        <v>14</v>
      </c>
      <c r="D11" s="6" t="s">
        <v>9985</v>
      </c>
      <c r="E11" s="15" t="str">
        <f>HYPERLINK("https://stat100.ameba.jp/tnk47/ratio20/illustrations/card/ill_87623_undokaiosennokata03.jpg?202003-5-RELEASE-marathon-461x", "■")</f>
        <v>■</v>
      </c>
      <c r="F11" s="9" t="s">
        <v>9940</v>
      </c>
      <c r="G11" s="9">
        <v>77064</v>
      </c>
      <c r="H11" s="9">
        <v>69898</v>
      </c>
      <c r="I11" s="14">
        <v>26</v>
      </c>
      <c r="J11" s="9" t="s">
        <v>77</v>
      </c>
      <c r="K11" s="9" t="s">
        <v>9939</v>
      </c>
      <c r="L11" s="9" t="s">
        <v>9924</v>
      </c>
      <c r="M11" s="14" t="s">
        <v>9158</v>
      </c>
      <c r="N11" s="14" t="s">
        <v>9158</v>
      </c>
      <c r="O11" s="14" t="s">
        <v>9158</v>
      </c>
      <c r="P11" s="14" t="s">
        <v>9158</v>
      </c>
      <c r="Q11" s="14" t="s">
        <v>9158</v>
      </c>
      <c r="R11" s="14"/>
    </row>
    <row r="12" spans="1:19">
      <c r="A12" s="9">
        <v>87633</v>
      </c>
      <c r="B12" s="14" t="s">
        <v>15</v>
      </c>
      <c r="C12" s="9" t="s">
        <v>101</v>
      </c>
      <c r="D12" s="6" t="s">
        <v>9986</v>
      </c>
      <c r="E12" s="15" t="str">
        <f>HYPERLINK("https://stat100.ameba.jp/tnk47/ratio20/illustrations/card/ill_87633_machingubandomadogusha03.jpg?202003-5-RELEASE-marathon-461x", "■")</f>
        <v>■</v>
      </c>
      <c r="F12" s="9" t="s">
        <v>9941</v>
      </c>
      <c r="G12" s="9">
        <v>69898</v>
      </c>
      <c r="H12" s="9">
        <v>77064</v>
      </c>
      <c r="I12" s="14">
        <v>26</v>
      </c>
      <c r="J12" s="9" t="s">
        <v>73</v>
      </c>
      <c r="K12" s="9" t="s">
        <v>9942</v>
      </c>
      <c r="L12" s="9" t="s">
        <v>521</v>
      </c>
      <c r="M12" s="14" t="s">
        <v>9158</v>
      </c>
      <c r="N12" s="14" t="s">
        <v>9158</v>
      </c>
      <c r="O12" s="14" t="s">
        <v>9158</v>
      </c>
      <c r="P12" s="14" t="s">
        <v>9158</v>
      </c>
      <c r="Q12" s="14" t="s">
        <v>9158</v>
      </c>
      <c r="R12" s="14"/>
    </row>
    <row r="13" spans="1:19">
      <c r="A13" s="9">
        <v>87653</v>
      </c>
      <c r="B13" s="14" t="s">
        <v>22</v>
      </c>
      <c r="C13" s="9" t="s">
        <v>1</v>
      </c>
      <c r="D13" s="6" t="s">
        <v>9987</v>
      </c>
      <c r="E13" s="15" t="str">
        <f>HYPERLINK("https://stat100.ameba.jp/tnk47/ratio20/illustrations/card/ill_87653_hiroshimagaru03.jpg?202003-5-RELEASE-marathon-461x", "■")</f>
        <v>■</v>
      </c>
      <c r="F13" s="9" t="s">
        <v>9947</v>
      </c>
      <c r="G13" s="9">
        <v>54058</v>
      </c>
      <c r="H13" s="9">
        <v>44948</v>
      </c>
      <c r="I13" s="14">
        <v>26</v>
      </c>
      <c r="J13" s="9" t="s">
        <v>229</v>
      </c>
      <c r="K13" s="9" t="s">
        <v>9946</v>
      </c>
      <c r="L13" s="9" t="s">
        <v>2162</v>
      </c>
      <c r="M13" s="14" t="s">
        <v>9158</v>
      </c>
      <c r="N13" s="14" t="s">
        <v>9158</v>
      </c>
      <c r="O13" s="14" t="s">
        <v>9158</v>
      </c>
      <c r="P13" s="14" t="s">
        <v>9158</v>
      </c>
      <c r="Q13" s="14" t="s">
        <v>9158</v>
      </c>
      <c r="R13" s="14"/>
    </row>
    <row r="14" spans="1:19">
      <c r="A14" s="9">
        <v>87663</v>
      </c>
      <c r="B14" s="14" t="s">
        <v>22</v>
      </c>
      <c r="C14" s="9" t="s">
        <v>165</v>
      </c>
      <c r="D14" s="6" t="s">
        <v>9988</v>
      </c>
      <c r="E14" s="15" t="str">
        <f>HYPERLINK("https://stat100.ameba.jp/tnk47/ratio20/illustrations/card/ill_87663_odorikoasaitsuruchiyo03.jpg?202003-5-RELEASE-marathon-461x", "■")</f>
        <v>■</v>
      </c>
      <c r="F14" s="9" t="s">
        <v>9949</v>
      </c>
      <c r="G14" s="9">
        <v>44948</v>
      </c>
      <c r="H14" s="9">
        <v>54058</v>
      </c>
      <c r="I14" s="14">
        <v>26</v>
      </c>
      <c r="J14" s="9" t="s">
        <v>77</v>
      </c>
      <c r="K14" s="9" t="s">
        <v>9948</v>
      </c>
      <c r="L14" s="9" t="s">
        <v>3506</v>
      </c>
      <c r="M14" s="14" t="s">
        <v>9158</v>
      </c>
      <c r="N14" s="14" t="s">
        <v>9158</v>
      </c>
      <c r="O14" s="14" t="s">
        <v>9158</v>
      </c>
      <c r="P14" s="14" t="s">
        <v>9158</v>
      </c>
      <c r="Q14" s="14" t="s">
        <v>9158</v>
      </c>
      <c r="R14" s="14"/>
    </row>
    <row r="15" spans="1:19">
      <c r="A15" s="9">
        <v>87673</v>
      </c>
      <c r="B15" s="14" t="s">
        <v>30</v>
      </c>
      <c r="C15" s="9" t="s">
        <v>9951</v>
      </c>
      <c r="D15" s="6" t="s">
        <v>9980</v>
      </c>
      <c r="E15" s="15" t="str">
        <f>HYPERLINK("https://stat100.ameba.jp/tnk47/ratio20/illustrations/card/ill_87673_chianarajikachan03.jpg?202003-5-RELEASE-marathon-461x", "■")</f>
        <v>■</v>
      </c>
      <c r="F15" s="9" t="s">
        <v>9952</v>
      </c>
      <c r="G15" s="7" t="s">
        <v>12934</v>
      </c>
      <c r="H15" s="7" t="s">
        <v>12934</v>
      </c>
      <c r="I15" s="14">
        <v>26</v>
      </c>
      <c r="J15" s="9" t="s">
        <v>229</v>
      </c>
      <c r="K15" s="7" t="s">
        <v>12934</v>
      </c>
      <c r="L15" s="7" t="s">
        <v>12934</v>
      </c>
      <c r="M15" s="14" t="s">
        <v>9158</v>
      </c>
      <c r="N15" s="14" t="s">
        <v>9158</v>
      </c>
      <c r="O15" s="14" t="s">
        <v>9158</v>
      </c>
      <c r="P15" s="14" t="s">
        <v>9158</v>
      </c>
      <c r="Q15" s="14" t="s">
        <v>9158</v>
      </c>
      <c r="R15" s="14"/>
    </row>
    <row r="16" spans="1:19">
      <c r="A16" s="9">
        <v>87683</v>
      </c>
      <c r="B16" s="14" t="s">
        <v>30</v>
      </c>
      <c r="C16" s="9" t="s">
        <v>2001</v>
      </c>
      <c r="D16" s="6" t="s">
        <v>9979</v>
      </c>
      <c r="E16" s="15" t="str">
        <f>HYPERLINK("https://stat100.ameba.jp/tnk47/ratio20/illustrations/card/ill_87683_odorikosenkikuhime03.jpg?202003-5-RELEASE-marathon-461x", "■")</f>
        <v>■</v>
      </c>
      <c r="F16" s="9" t="s">
        <v>9950</v>
      </c>
      <c r="G16" s="7" t="s">
        <v>12934</v>
      </c>
      <c r="H16" s="7" t="s">
        <v>12934</v>
      </c>
      <c r="I16" s="14">
        <v>26</v>
      </c>
      <c r="J16" s="9" t="s">
        <v>187</v>
      </c>
      <c r="K16" s="7" t="s">
        <v>12934</v>
      </c>
      <c r="L16" s="7" t="s">
        <v>12934</v>
      </c>
      <c r="M16" s="14" t="s">
        <v>9158</v>
      </c>
      <c r="N16" s="14" t="s">
        <v>9158</v>
      </c>
      <c r="O16" s="14" t="s">
        <v>9158</v>
      </c>
      <c r="P16" s="14" t="s">
        <v>9158</v>
      </c>
      <c r="Q16" s="14" t="s">
        <v>9158</v>
      </c>
      <c r="R16" s="14"/>
    </row>
    <row r="18" spans="1:18">
      <c r="A18" s="9" t="s">
        <v>13379</v>
      </c>
    </row>
    <row r="19" spans="1:18">
      <c r="A19" s="9" t="s">
        <v>3748</v>
      </c>
      <c r="M19" s="14"/>
      <c r="N19" s="14"/>
      <c r="O19" s="14"/>
      <c r="P19" s="14"/>
      <c r="Q19" s="14"/>
    </row>
    <row r="20" spans="1:18">
      <c r="A20" s="9">
        <v>87735</v>
      </c>
      <c r="B20" s="9" t="s">
        <v>0</v>
      </c>
      <c r="C20" s="9" t="s">
        <v>202</v>
      </c>
      <c r="D20" s="6" t="s">
        <v>9997</v>
      </c>
      <c r="E20" s="15" t="str">
        <f>HYPERLINK("https://stat100.ameba.jp/tnk47/ratio20/illustrations/card/ill_87735_seikasodatsusemmizutakisan05.jpg?202003-5-RELEASE-marathon-461x", "■")</f>
        <v>■</v>
      </c>
      <c r="F20" s="9" t="s">
        <v>9955</v>
      </c>
      <c r="G20" s="9">
        <v>150308</v>
      </c>
      <c r="H20" s="9">
        <v>108814</v>
      </c>
      <c r="I20" s="9">
        <v>26</v>
      </c>
      <c r="J20" s="9" t="s">
        <v>216</v>
      </c>
      <c r="K20" s="9" t="s">
        <v>9954</v>
      </c>
      <c r="L20" s="9" t="s">
        <v>9953</v>
      </c>
      <c r="M20" s="14" t="s">
        <v>9158</v>
      </c>
      <c r="N20" s="14" t="s">
        <v>9158</v>
      </c>
      <c r="O20" s="14" t="s">
        <v>9158</v>
      </c>
      <c r="P20" s="14" t="s">
        <v>9158</v>
      </c>
      <c r="Q20" s="14" t="s">
        <v>9158</v>
      </c>
      <c r="R20" s="9" t="s">
        <v>174</v>
      </c>
    </row>
    <row r="21" spans="1:18">
      <c r="A21" s="9">
        <v>87733</v>
      </c>
      <c r="B21" s="9" t="s">
        <v>15</v>
      </c>
      <c r="C21" s="9" t="s">
        <v>158</v>
      </c>
      <c r="D21" s="6" t="s">
        <v>9997</v>
      </c>
      <c r="E21" s="15" t="str">
        <f>HYPERLINK("https://stat100.ameba.jp/tnk47/ratio20/illustrations/card/ill_87733_seikasodatsusemmizutakisan03.jpg?202003-5-RELEASE-marathon-461x", "■")</f>
        <v>■</v>
      </c>
      <c r="F21" s="9" t="s">
        <v>9955</v>
      </c>
      <c r="G21" s="9">
        <v>108610</v>
      </c>
      <c r="H21" s="9">
        <v>78642</v>
      </c>
      <c r="I21" s="9">
        <v>26</v>
      </c>
      <c r="J21" s="9" t="s">
        <v>216</v>
      </c>
      <c r="K21" s="9" t="s">
        <v>9954</v>
      </c>
      <c r="L21" s="9" t="s">
        <v>9956</v>
      </c>
      <c r="M21" s="14" t="s">
        <v>9158</v>
      </c>
      <c r="N21" s="14" t="s">
        <v>9158</v>
      </c>
      <c r="O21" s="14" t="s">
        <v>9158</v>
      </c>
      <c r="P21" s="14" t="s">
        <v>9158</v>
      </c>
      <c r="Q21" s="14" t="s">
        <v>9158</v>
      </c>
      <c r="R21" s="9" t="s">
        <v>175</v>
      </c>
    </row>
    <row r="22" spans="1:18">
      <c r="A22" s="9">
        <v>87731</v>
      </c>
      <c r="B22" s="9" t="s">
        <v>15</v>
      </c>
      <c r="C22" s="9" t="s">
        <v>158</v>
      </c>
      <c r="D22" s="6" t="s">
        <v>9997</v>
      </c>
      <c r="E22" s="15" t="str">
        <f>HYPERLINK("https://stat100.ameba.jp/tnk47/ratio20/illustrations/card/ill_87731_seikasodatsusemmizutakisan01.jpg?202003-5-RELEASE-marathon-461x", "■")</f>
        <v>■</v>
      </c>
      <c r="F22" s="9" t="s">
        <v>9955</v>
      </c>
      <c r="G22" s="9">
        <v>62998</v>
      </c>
      <c r="H22" s="9">
        <v>45604</v>
      </c>
      <c r="I22" s="9">
        <v>26</v>
      </c>
      <c r="J22" s="9" t="s">
        <v>216</v>
      </c>
      <c r="K22" s="9" t="s">
        <v>9954</v>
      </c>
      <c r="L22" s="9" t="s">
        <v>9957</v>
      </c>
      <c r="M22" s="14" t="s">
        <v>9158</v>
      </c>
      <c r="N22" s="14" t="s">
        <v>9158</v>
      </c>
      <c r="O22" s="14" t="s">
        <v>9158</v>
      </c>
      <c r="P22" s="14" t="s">
        <v>9158</v>
      </c>
      <c r="Q22" s="14" t="s">
        <v>9158</v>
      </c>
      <c r="R22" s="9" t="s">
        <v>176</v>
      </c>
    </row>
    <row r="24" spans="1:18">
      <c r="A24" s="9" t="s">
        <v>204</v>
      </c>
    </row>
    <row r="25" spans="1:18">
      <c r="A25" s="9" t="s">
        <v>3756</v>
      </c>
    </row>
    <row r="26" spans="1:18">
      <c r="A26" s="14" t="s">
        <v>6195</v>
      </c>
      <c r="B26" s="14" t="s">
        <v>52</v>
      </c>
      <c r="C26" s="14" t="s">
        <v>191</v>
      </c>
      <c r="D26" s="6" t="s">
        <v>9998</v>
      </c>
      <c r="E26" s="15" t="str">
        <f>HYPERLINK("https://stat100.ameba.jp/tnk47/ratio20/illustrations/card/ill_56493_0_poppukurisumasuikomakitsuno03.jpg?202003-5-RELEASE-marathon-461x", "■")</f>
        <v>■</v>
      </c>
      <c r="F26" s="14" t="s">
        <v>1769</v>
      </c>
      <c r="G26" s="14">
        <v>138212</v>
      </c>
      <c r="H26" s="14">
        <v>122776</v>
      </c>
      <c r="I26" s="14">
        <v>22</v>
      </c>
      <c r="J26" s="14" t="s">
        <v>77</v>
      </c>
      <c r="K26" s="14" t="s">
        <v>1770</v>
      </c>
      <c r="L26" s="14" t="s">
        <v>1771</v>
      </c>
      <c r="M26" s="14" t="s">
        <v>9158</v>
      </c>
      <c r="N26" s="14" t="s">
        <v>9158</v>
      </c>
      <c r="O26" s="6" t="s">
        <v>9991</v>
      </c>
      <c r="P26" s="14" t="s">
        <v>2724</v>
      </c>
      <c r="Q26" s="14">
        <v>1</v>
      </c>
    </row>
    <row r="27" spans="1:18">
      <c r="A27" s="14" t="s">
        <v>5778</v>
      </c>
      <c r="B27" s="14" t="s">
        <v>330</v>
      </c>
      <c r="C27" s="14" t="s">
        <v>205</v>
      </c>
      <c r="D27" s="6" t="s">
        <v>9999</v>
      </c>
      <c r="E27" s="15" t="str">
        <f>HYPERLINK("https://stat100.ameba.jp/tnk47/ratio20/illustrations/card/ill_68783_0_gantammomotaro03.jpg?202003-5-RELEASE-marathon-461x", "■")</f>
        <v>■</v>
      </c>
      <c r="F27" s="14" t="s">
        <v>273</v>
      </c>
      <c r="G27" s="14">
        <v>150466</v>
      </c>
      <c r="H27" s="14">
        <v>139878</v>
      </c>
      <c r="I27" s="14">
        <v>22</v>
      </c>
      <c r="J27" s="14" t="s">
        <v>274</v>
      </c>
      <c r="K27" s="14" t="s">
        <v>275</v>
      </c>
      <c r="L27" s="14" t="s">
        <v>276</v>
      </c>
      <c r="M27" s="14" t="s">
        <v>9158</v>
      </c>
      <c r="N27" s="14" t="s">
        <v>9158</v>
      </c>
      <c r="O27" s="17" t="s">
        <v>9992</v>
      </c>
      <c r="P27" s="14" t="s">
        <v>3451</v>
      </c>
      <c r="Q27" s="14">
        <v>1</v>
      </c>
    </row>
    <row r="28" spans="1:18">
      <c r="A28" s="14" t="s">
        <v>5608</v>
      </c>
      <c r="B28" s="14" t="s">
        <v>52</v>
      </c>
      <c r="C28" s="14" t="s">
        <v>96</v>
      </c>
      <c r="D28" s="6" t="s">
        <v>10000</v>
      </c>
      <c r="E28" s="15" t="str">
        <f>HYPERLINK("https://stat100.ameba.jp/tnk47/ratio20/illustrations/card/ill_40963_0_makami03.jpg?202003-5-RELEASE-marathon-461x", "■")</f>
        <v>■</v>
      </c>
      <c r="F28" s="14" t="s">
        <v>2038</v>
      </c>
      <c r="G28" s="14">
        <v>128744</v>
      </c>
      <c r="H28" s="14">
        <v>120576</v>
      </c>
      <c r="I28" s="14">
        <v>22</v>
      </c>
      <c r="J28" s="14" t="s">
        <v>44</v>
      </c>
      <c r="K28" s="14" t="s">
        <v>2039</v>
      </c>
      <c r="L28" s="14" t="s">
        <v>2040</v>
      </c>
      <c r="M28" s="14" t="s">
        <v>9158</v>
      </c>
      <c r="N28" s="14" t="s">
        <v>9158</v>
      </c>
      <c r="O28" s="7" t="s">
        <v>9158</v>
      </c>
      <c r="P28" s="14" t="s">
        <v>9158</v>
      </c>
      <c r="Q28" s="14" t="s">
        <v>9158</v>
      </c>
    </row>
    <row r="29" spans="1:18">
      <c r="A29" s="14">
        <v>81563</v>
      </c>
      <c r="B29" s="14" t="s">
        <v>0</v>
      </c>
      <c r="C29" s="14" t="s">
        <v>185</v>
      </c>
      <c r="D29" s="6" t="s">
        <v>10001</v>
      </c>
      <c r="E29" s="15" t="str">
        <f>HYPERLINK("https://stat100.ameba.jp/tnk47/ratio20/illustrations/card/ill_81563_kyamerajoshisankichioni03.jpg?202003-5-RELEASE-marathon-461x", "■")</f>
        <v>■</v>
      </c>
      <c r="F29" s="14" t="s">
        <v>4749</v>
      </c>
      <c r="G29" s="14">
        <v>133780</v>
      </c>
      <c r="H29" s="14">
        <v>75294</v>
      </c>
      <c r="I29" s="14">
        <v>26</v>
      </c>
      <c r="J29" s="14" t="s">
        <v>73</v>
      </c>
      <c r="K29" s="14" t="s">
        <v>4750</v>
      </c>
      <c r="L29" s="14" t="s">
        <v>3518</v>
      </c>
      <c r="M29" s="14" t="s">
        <v>9158</v>
      </c>
      <c r="N29" s="14" t="s">
        <v>9158</v>
      </c>
      <c r="O29" s="7" t="s">
        <v>9158</v>
      </c>
      <c r="P29" s="14" t="s">
        <v>9158</v>
      </c>
      <c r="Q29" s="14" t="s">
        <v>9158</v>
      </c>
    </row>
    <row r="30" spans="1:18">
      <c r="A30" s="7">
        <v>63413</v>
      </c>
      <c r="B30" s="7" t="s">
        <v>0</v>
      </c>
      <c r="C30" s="7" t="s">
        <v>200</v>
      </c>
      <c r="D30" s="6" t="s">
        <v>10002</v>
      </c>
      <c r="E30" s="15" t="str">
        <f>HYPERLINK("https://stat100.ameba.jp/tnk47/ratio20/illustrations/card/ill_63413_nidaimeichikawadanjuro03.jpg?202003-5-RELEASE-marathon-461x", "■")</f>
        <v>■</v>
      </c>
      <c r="F30" s="7" t="s">
        <v>2098</v>
      </c>
      <c r="G30" s="7">
        <v>130220</v>
      </c>
      <c r="H30" s="7">
        <v>73272</v>
      </c>
      <c r="I30" s="7">
        <v>26</v>
      </c>
      <c r="J30" s="14" t="s">
        <v>159</v>
      </c>
      <c r="K30" s="7" t="s">
        <v>2099</v>
      </c>
      <c r="L30" s="7" t="s">
        <v>2100</v>
      </c>
      <c r="M30" s="14" t="s">
        <v>9158</v>
      </c>
      <c r="N30" s="14" t="s">
        <v>9158</v>
      </c>
      <c r="O30" s="7" t="s">
        <v>9158</v>
      </c>
      <c r="P30" s="14" t="s">
        <v>9158</v>
      </c>
      <c r="Q30" s="14" t="s">
        <v>9158</v>
      </c>
    </row>
    <row r="31" spans="1:18">
      <c r="A31" s="7">
        <v>52853</v>
      </c>
      <c r="B31" s="14" t="s">
        <v>334</v>
      </c>
      <c r="C31" s="14" t="s">
        <v>206</v>
      </c>
      <c r="D31" s="6" t="s">
        <v>10003</v>
      </c>
      <c r="E31" s="15" t="str">
        <f>HYPERLINK("https://stat100.ameba.jp/tnk47/ratio20/illustrations/card/ill_52853_andoroidootomosorin03.jpg?202003-5-RELEASE-marathon-461x", "■")</f>
        <v>■</v>
      </c>
      <c r="F31" s="14" t="s">
        <v>8294</v>
      </c>
      <c r="G31" s="14">
        <v>154128</v>
      </c>
      <c r="H31" s="14">
        <v>93172</v>
      </c>
      <c r="I31" s="14">
        <v>26</v>
      </c>
      <c r="J31" s="14" t="s">
        <v>194</v>
      </c>
      <c r="K31" s="14" t="s">
        <v>8293</v>
      </c>
      <c r="L31" s="14" t="s">
        <v>1690</v>
      </c>
      <c r="M31" s="14" t="s">
        <v>9158</v>
      </c>
      <c r="N31" s="14" t="s">
        <v>9158</v>
      </c>
      <c r="O31" s="7" t="s">
        <v>9158</v>
      </c>
      <c r="P31" s="14" t="s">
        <v>9158</v>
      </c>
      <c r="Q31" s="14" t="s">
        <v>9158</v>
      </c>
    </row>
    <row r="32" spans="1:18">
      <c r="A32" s="14">
        <v>83613</v>
      </c>
      <c r="B32" s="14" t="s">
        <v>15</v>
      </c>
      <c r="C32" s="14" t="s">
        <v>200</v>
      </c>
      <c r="D32" s="6" t="s">
        <v>10004</v>
      </c>
      <c r="E32" s="15" t="str">
        <f>HYPERLINK("https://stat100.ameba.jp/tnk47/ratio20/illustrations/card/ill_83613_detoyuramyoinni03.jpg?202003-5-RELEASE-marathon-461x", "■")</f>
        <v>■</v>
      </c>
      <c r="F32" s="14" t="s">
        <v>6672</v>
      </c>
      <c r="G32" s="14">
        <v>65208</v>
      </c>
      <c r="H32" s="14">
        <v>59144</v>
      </c>
      <c r="I32" s="14">
        <v>22</v>
      </c>
      <c r="J32" s="14" t="s">
        <v>77</v>
      </c>
      <c r="K32" s="14" t="s">
        <v>6670</v>
      </c>
      <c r="L32" s="14" t="s">
        <v>932</v>
      </c>
      <c r="M32" s="14" t="s">
        <v>9158</v>
      </c>
      <c r="N32" s="14" t="s">
        <v>9158</v>
      </c>
      <c r="O32" s="7" t="s">
        <v>9158</v>
      </c>
      <c r="P32" s="14" t="s">
        <v>9158</v>
      </c>
      <c r="Q32" s="14" t="s">
        <v>9158</v>
      </c>
    </row>
    <row r="33" spans="1:18">
      <c r="A33" s="14">
        <v>83223</v>
      </c>
      <c r="B33" s="14" t="s">
        <v>15</v>
      </c>
      <c r="C33" s="14" t="s">
        <v>206</v>
      </c>
      <c r="D33" s="6" t="s">
        <v>10005</v>
      </c>
      <c r="E33" s="15" t="str">
        <f>HYPERLINK("https://stat100.ameba.jp/tnk47/ratio20/illustrations/card/ill_83223_hanabikijimuna03.jpg?202003-5-RELEASE-marathon-461x", "■")</f>
        <v>■</v>
      </c>
      <c r="F33" s="14" t="s">
        <v>6290</v>
      </c>
      <c r="G33" s="14">
        <v>65208</v>
      </c>
      <c r="H33" s="14">
        <v>59144</v>
      </c>
      <c r="I33" s="14">
        <v>22</v>
      </c>
      <c r="J33" s="14" t="s">
        <v>73</v>
      </c>
      <c r="K33" s="14" t="s">
        <v>6293</v>
      </c>
      <c r="L33" s="14" t="s">
        <v>3835</v>
      </c>
      <c r="M33" s="14" t="s">
        <v>9158</v>
      </c>
      <c r="N33" s="14" t="s">
        <v>9158</v>
      </c>
      <c r="O33" s="7" t="s">
        <v>9158</v>
      </c>
      <c r="P33" s="14" t="s">
        <v>9158</v>
      </c>
      <c r="Q33" s="14" t="s">
        <v>9158</v>
      </c>
    </row>
    <row r="34" spans="1:18">
      <c r="A34" s="14">
        <v>65183</v>
      </c>
      <c r="B34" s="14" t="s">
        <v>15</v>
      </c>
      <c r="C34" s="14" t="s">
        <v>96</v>
      </c>
      <c r="D34" s="6" t="s">
        <v>10006</v>
      </c>
      <c r="E34" s="15" t="str">
        <f>HYPERLINK("https://stat100.ameba.jp/tnk47/ratio20/illustrations/card/ill_65183_kimodameshihorakagaminookimi03.jpg?202003-5-RELEASE-marathon-461x", "■")</f>
        <v>■</v>
      </c>
      <c r="F34" s="14" t="s">
        <v>4569</v>
      </c>
      <c r="G34" s="14">
        <v>65208</v>
      </c>
      <c r="H34" s="14">
        <v>59144</v>
      </c>
      <c r="I34" s="14">
        <v>22</v>
      </c>
      <c r="J34" s="14" t="s">
        <v>16</v>
      </c>
      <c r="K34" s="14" t="s">
        <v>4570</v>
      </c>
      <c r="L34" s="14" t="s">
        <v>21</v>
      </c>
      <c r="M34" s="14" t="s">
        <v>9158</v>
      </c>
      <c r="N34" s="14" t="s">
        <v>9158</v>
      </c>
      <c r="O34" s="7" t="s">
        <v>9158</v>
      </c>
      <c r="P34" s="14" t="s">
        <v>9158</v>
      </c>
      <c r="Q34" s="14" t="s">
        <v>9158</v>
      </c>
    </row>
    <row r="35" spans="1:18">
      <c r="O35" s="7"/>
    </row>
    <row r="36" spans="1:18">
      <c r="A36" s="9" t="s">
        <v>135</v>
      </c>
      <c r="O36" s="7"/>
    </row>
    <row r="37" spans="1:18">
      <c r="A37" s="9" t="s">
        <v>9959</v>
      </c>
      <c r="O37" s="7"/>
    </row>
    <row r="38" spans="1:18">
      <c r="A38" s="14" t="s">
        <v>6508</v>
      </c>
      <c r="B38" s="14" t="s">
        <v>330</v>
      </c>
      <c r="C38" s="14" t="s">
        <v>35</v>
      </c>
      <c r="D38" s="6" t="s">
        <v>10007</v>
      </c>
      <c r="E38" s="15" t="str">
        <f>HYPERLINK("https://stat100.ameba.jp/tnk47/ratio20/illustrations/card/ill_81783_0_denshagarukoteipenginchan03.jpg?202003-5-RELEASE-marathon-461xxx", "■")</f>
        <v>■</v>
      </c>
      <c r="F38" s="14" t="s">
        <v>4834</v>
      </c>
      <c r="G38" s="14">
        <v>279102</v>
      </c>
      <c r="H38" s="14">
        <v>252236</v>
      </c>
      <c r="I38" s="14">
        <v>24</v>
      </c>
      <c r="J38" s="14" t="s">
        <v>26</v>
      </c>
      <c r="K38" s="14" t="s">
        <v>4836</v>
      </c>
      <c r="L38" s="14" t="s">
        <v>1783</v>
      </c>
      <c r="M38" s="14" t="s">
        <v>9158</v>
      </c>
      <c r="N38" s="14" t="s">
        <v>9158</v>
      </c>
      <c r="O38" s="17" t="s">
        <v>9993</v>
      </c>
      <c r="P38" s="14" t="s">
        <v>4838</v>
      </c>
      <c r="Q38" s="14">
        <v>1</v>
      </c>
    </row>
    <row r="39" spans="1:18">
      <c r="A39" s="14">
        <v>78143</v>
      </c>
      <c r="B39" s="14" t="s">
        <v>334</v>
      </c>
      <c r="C39" s="14" t="s">
        <v>203</v>
      </c>
      <c r="D39" s="6" t="s">
        <v>10008</v>
      </c>
      <c r="E39" s="15" t="str">
        <f>HYPERLINK("https://stat100.ameba.jp/tnk47/ratio20/illustrations/card/ill_78143_kanibarukuin03.jpg?202003-5-RELEASE-marathon-461xxx", "■")</f>
        <v>■</v>
      </c>
      <c r="F39" s="14" t="s">
        <v>2687</v>
      </c>
      <c r="G39" s="14">
        <v>88624</v>
      </c>
      <c r="H39" s="14">
        <v>122366</v>
      </c>
      <c r="I39" s="14">
        <v>24</v>
      </c>
      <c r="J39" s="14" t="s">
        <v>26</v>
      </c>
      <c r="K39" s="14" t="s">
        <v>2688</v>
      </c>
      <c r="L39" s="14" t="s">
        <v>2137</v>
      </c>
      <c r="M39" s="14" t="s">
        <v>9158</v>
      </c>
      <c r="N39" s="14" t="s">
        <v>9158</v>
      </c>
      <c r="O39" s="17" t="s">
        <v>9994</v>
      </c>
      <c r="P39" s="14" t="s">
        <v>3897</v>
      </c>
      <c r="Q39" s="14">
        <v>1</v>
      </c>
    </row>
    <row r="40" spans="1:18">
      <c r="A40" s="14">
        <v>65643</v>
      </c>
      <c r="B40" s="14" t="s">
        <v>0</v>
      </c>
      <c r="C40" s="14" t="s">
        <v>209</v>
      </c>
      <c r="D40" s="6" t="s">
        <v>10009</v>
      </c>
      <c r="E40" s="15" t="str">
        <f>HYPERLINK("https://stat100.ameba.jp/tnk47/ratio20/illustrations/card/ill_65643_shitompekamui03.jpg?202003-5-RELEASE-marathon-461xxx", "■")</f>
        <v>■</v>
      </c>
      <c r="F40" s="14" t="s">
        <v>1250</v>
      </c>
      <c r="G40" s="14">
        <v>79348</v>
      </c>
      <c r="H40" s="14">
        <v>109554</v>
      </c>
      <c r="I40" s="14">
        <v>24</v>
      </c>
      <c r="J40" s="14" t="s">
        <v>44</v>
      </c>
      <c r="K40" s="14" t="s">
        <v>1251</v>
      </c>
      <c r="L40" s="14" t="s">
        <v>1252</v>
      </c>
      <c r="M40" s="14" t="s">
        <v>9158</v>
      </c>
      <c r="N40" s="14" t="s">
        <v>9158</v>
      </c>
      <c r="O40" s="17" t="s">
        <v>9995</v>
      </c>
      <c r="P40" s="14" t="s">
        <v>3245</v>
      </c>
      <c r="Q40" s="14">
        <v>1</v>
      </c>
    </row>
    <row r="41" spans="1:18">
      <c r="A41" s="14">
        <v>78123</v>
      </c>
      <c r="B41" s="14" t="s">
        <v>334</v>
      </c>
      <c r="C41" s="14" t="s">
        <v>209</v>
      </c>
      <c r="D41" s="6" t="s">
        <v>10010</v>
      </c>
      <c r="E41" s="15" t="str">
        <f>HYPERLINK("https://stat100.ameba.jp/tnk47/ratio20/illustrations/card/ill_78123_madannoteirusorushieru03.jpg?202003-5-RELEASE-marathon-461xxx", "■")</f>
        <v>■</v>
      </c>
      <c r="F41" s="14" t="s">
        <v>3024</v>
      </c>
      <c r="G41" s="14">
        <v>159674</v>
      </c>
      <c r="H41" s="14">
        <v>115656</v>
      </c>
      <c r="I41" s="14">
        <v>24</v>
      </c>
      <c r="J41" s="14" t="s">
        <v>310</v>
      </c>
      <c r="K41" s="14" t="s">
        <v>3025</v>
      </c>
      <c r="L41" s="14" t="s">
        <v>443</v>
      </c>
      <c r="M41" s="14" t="s">
        <v>9158</v>
      </c>
      <c r="N41" s="14" t="s">
        <v>9158</v>
      </c>
      <c r="O41" s="17" t="s">
        <v>9996</v>
      </c>
      <c r="P41" s="14" t="s">
        <v>13122</v>
      </c>
      <c r="Q41" s="14">
        <v>1</v>
      </c>
    </row>
    <row r="43" spans="1:18">
      <c r="A43" s="7" t="s">
        <v>13327</v>
      </c>
      <c r="B43" s="7"/>
      <c r="C43" s="7"/>
      <c r="D43" s="7"/>
      <c r="E43" s="7"/>
      <c r="F43" s="7"/>
      <c r="G43" s="7"/>
      <c r="I43" s="7"/>
      <c r="J43" s="7"/>
      <c r="K43" s="7"/>
      <c r="L43" s="7"/>
      <c r="M43" s="7"/>
      <c r="N43" s="7"/>
      <c r="O43" s="7"/>
      <c r="P43" s="7"/>
      <c r="Q43" s="7"/>
      <c r="R43" s="7"/>
    </row>
    <row r="44" spans="1:18">
      <c r="A44" s="7" t="s">
        <v>3747</v>
      </c>
      <c r="B44" s="7"/>
      <c r="C44" s="7"/>
      <c r="D44" s="7"/>
      <c r="E44" s="7"/>
      <c r="F44" s="7"/>
      <c r="G44" s="7"/>
      <c r="I44" s="7"/>
      <c r="J44" s="7"/>
      <c r="K44" s="7"/>
      <c r="L44" s="7"/>
      <c r="M44" s="7"/>
      <c r="N44" s="7"/>
      <c r="O44" s="7"/>
      <c r="P44" s="7"/>
      <c r="Q44" s="7"/>
      <c r="R44" s="7"/>
    </row>
    <row r="45" spans="1:18">
      <c r="A45" s="14">
        <v>88153</v>
      </c>
      <c r="B45" s="14" t="s">
        <v>334</v>
      </c>
      <c r="C45" s="14" t="s">
        <v>14</v>
      </c>
      <c r="D45" s="6" t="s">
        <v>10011</v>
      </c>
      <c r="E45" s="15" t="str">
        <f>HYPERLINK("https://stat100.ameba.jp/tnk47/ratio20/illustrations/card/ill_88153_sunofueari03.jpg?202003-5-RELEASE-marathon-461xxx", "■")</f>
        <v>■</v>
      </c>
      <c r="F45" s="14" t="s">
        <v>9960</v>
      </c>
      <c r="G45" s="14">
        <v>128000</v>
      </c>
      <c r="H45" s="14">
        <v>119006</v>
      </c>
      <c r="I45" s="14">
        <v>26</v>
      </c>
      <c r="J45" s="14" t="s">
        <v>169</v>
      </c>
      <c r="K45" s="14" t="s">
        <v>9961</v>
      </c>
      <c r="L45" s="14" t="s">
        <v>9962</v>
      </c>
      <c r="M45" s="14" t="s">
        <v>13130</v>
      </c>
      <c r="N45" s="14" t="s">
        <v>343</v>
      </c>
      <c r="O45" s="14" t="s">
        <v>9158</v>
      </c>
      <c r="P45" s="14" t="s">
        <v>9158</v>
      </c>
      <c r="Q45" s="14" t="s">
        <v>9158</v>
      </c>
      <c r="R45" s="14" t="s">
        <v>14748</v>
      </c>
    </row>
    <row r="46" spans="1:18">
      <c r="A46" s="14">
        <v>88152</v>
      </c>
      <c r="B46" s="14" t="s">
        <v>334</v>
      </c>
      <c r="C46" s="14" t="s">
        <v>14</v>
      </c>
      <c r="D46" s="6" t="s">
        <v>10011</v>
      </c>
      <c r="E46" s="15" t="str">
        <f>HYPERLINK("https://stat100.ameba.jp/tnk47/ratio20/illustrations/card/ill_88152_sunofueari02.jpg?202003-5-RELEASE-marathon-461xxx", "■")</f>
        <v>■</v>
      </c>
      <c r="F46" s="14" t="s">
        <v>9960</v>
      </c>
      <c r="G46" s="14">
        <v>107000</v>
      </c>
      <c r="H46" s="14">
        <v>98566</v>
      </c>
      <c r="I46" s="14">
        <v>26</v>
      </c>
      <c r="J46" s="14" t="s">
        <v>169</v>
      </c>
      <c r="K46" s="14" t="s">
        <v>9961</v>
      </c>
      <c r="L46" s="14" t="s">
        <v>9962</v>
      </c>
      <c r="M46" s="14" t="s">
        <v>13131</v>
      </c>
      <c r="N46" s="14" t="s">
        <v>251</v>
      </c>
      <c r="O46" s="14" t="s">
        <v>9158</v>
      </c>
      <c r="P46" s="14" t="s">
        <v>9158</v>
      </c>
      <c r="Q46" s="14" t="s">
        <v>9158</v>
      </c>
      <c r="R46" s="14" t="s">
        <v>14748</v>
      </c>
    </row>
    <row r="47" spans="1:18">
      <c r="A47" s="14">
        <v>88151</v>
      </c>
      <c r="B47" s="14" t="s">
        <v>0</v>
      </c>
      <c r="C47" s="14" t="s">
        <v>14</v>
      </c>
      <c r="D47" s="6" t="s">
        <v>10011</v>
      </c>
      <c r="E47" s="15" t="str">
        <f>HYPERLINK("https://stat100.ameba.jp/tnk47/ratio20/illustrations/card/ill_88151_sunofueari01.jpg?202003-5-RELEASE-marathon-461xxx", "■")</f>
        <v>■</v>
      </c>
      <c r="F47" s="14" t="s">
        <v>9960</v>
      </c>
      <c r="G47" s="14">
        <v>81692</v>
      </c>
      <c r="H47" s="14">
        <v>76050</v>
      </c>
      <c r="I47" s="14">
        <v>26</v>
      </c>
      <c r="J47" s="14" t="s">
        <v>169</v>
      </c>
      <c r="K47" s="14" t="s">
        <v>9961</v>
      </c>
      <c r="L47" s="14" t="s">
        <v>9962</v>
      </c>
      <c r="M47" s="14" t="s">
        <v>13131</v>
      </c>
      <c r="N47" s="14" t="s">
        <v>251</v>
      </c>
      <c r="O47" s="14" t="s">
        <v>9158</v>
      </c>
      <c r="P47" s="14" t="s">
        <v>9158</v>
      </c>
      <c r="Q47" s="14" t="s">
        <v>9158</v>
      </c>
      <c r="R47" s="14" t="s">
        <v>14748</v>
      </c>
    </row>
    <row r="48" spans="1:18">
      <c r="A48" s="14">
        <v>88163</v>
      </c>
      <c r="B48" s="14" t="s">
        <v>334</v>
      </c>
      <c r="C48" s="14" t="s">
        <v>23</v>
      </c>
      <c r="D48" s="6" t="s">
        <v>10012</v>
      </c>
      <c r="E48" s="15" t="str">
        <f>HYPERLINK("https://stat100.ameba.jp/tnk47/ratio20/illustrations/card/ill_88163_shitsujitanteimagi03.jpg?202003-5-RELEASE-marathon-461xxx", "■")</f>
        <v>■</v>
      </c>
      <c r="F48" s="14" t="s">
        <v>9963</v>
      </c>
      <c r="G48" s="14">
        <v>128000</v>
      </c>
      <c r="H48" s="14">
        <v>119006</v>
      </c>
      <c r="I48" s="14">
        <v>26</v>
      </c>
      <c r="J48" s="14" t="s">
        <v>159</v>
      </c>
      <c r="K48" s="14" t="s">
        <v>9964</v>
      </c>
      <c r="L48" s="14" t="s">
        <v>9965</v>
      </c>
      <c r="M48" s="14" t="s">
        <v>13130</v>
      </c>
      <c r="N48" s="14" t="s">
        <v>343</v>
      </c>
      <c r="O48" s="14" t="s">
        <v>9158</v>
      </c>
      <c r="P48" s="14" t="s">
        <v>9158</v>
      </c>
      <c r="Q48" s="14" t="s">
        <v>9158</v>
      </c>
      <c r="R48" s="14" t="s">
        <v>14748</v>
      </c>
    </row>
    <row r="49" spans="1:18">
      <c r="A49" s="14">
        <v>88173</v>
      </c>
      <c r="B49" s="14" t="s">
        <v>334</v>
      </c>
      <c r="C49" s="14" t="s">
        <v>101</v>
      </c>
      <c r="D49" s="6" t="s">
        <v>10013</v>
      </c>
      <c r="E49" s="15" t="str">
        <f>HYPERLINK("https://stat100.ameba.jp/tnk47/ratio20/illustrations/card/ill_88173_pichipurinsesu03.jpg?202003-5-RELEASE-marathon-461xxx", "■")</f>
        <v>■</v>
      </c>
      <c r="F49" s="14" t="s">
        <v>9966</v>
      </c>
      <c r="G49" s="14">
        <v>119006</v>
      </c>
      <c r="H49" s="14">
        <v>128000</v>
      </c>
      <c r="I49" s="14">
        <v>26</v>
      </c>
      <c r="J49" s="14" t="s">
        <v>187</v>
      </c>
      <c r="K49" s="14" t="s">
        <v>9967</v>
      </c>
      <c r="L49" s="14" t="s">
        <v>9968</v>
      </c>
      <c r="M49" s="14" t="s">
        <v>13130</v>
      </c>
      <c r="N49" s="14" t="s">
        <v>343</v>
      </c>
      <c r="O49" s="14" t="s">
        <v>9158</v>
      </c>
      <c r="P49" s="14" t="s">
        <v>9158</v>
      </c>
      <c r="Q49" s="14" t="s">
        <v>9158</v>
      </c>
      <c r="R49" s="14" t="s">
        <v>14748</v>
      </c>
    </row>
    <row r="50" spans="1:18">
      <c r="A50" s="14">
        <v>88183</v>
      </c>
      <c r="B50" s="14" t="s">
        <v>0</v>
      </c>
      <c r="C50" s="14" t="s">
        <v>96</v>
      </c>
      <c r="D50" s="6" t="s">
        <v>10014</v>
      </c>
      <c r="E50" s="15" t="str">
        <f>HYPERLINK("https://stat100.ameba.jp/tnk47/ratio20/illustrations/card/ill_88183_saikiringugaru03.jpg?202003-5-RELEASE-marathon-461xxx", "■")</f>
        <v>■</v>
      </c>
      <c r="F50" s="14" t="s">
        <v>9969</v>
      </c>
      <c r="G50" s="14">
        <v>119006</v>
      </c>
      <c r="H50" s="14">
        <v>128000</v>
      </c>
      <c r="I50" s="14">
        <v>26</v>
      </c>
      <c r="J50" s="14" t="s">
        <v>182</v>
      </c>
      <c r="K50" s="14" t="s">
        <v>9970</v>
      </c>
      <c r="L50" s="14" t="s">
        <v>9971</v>
      </c>
      <c r="M50" s="14" t="s">
        <v>13130</v>
      </c>
      <c r="N50" s="14" t="s">
        <v>343</v>
      </c>
      <c r="O50" s="14" t="s">
        <v>9158</v>
      </c>
      <c r="P50" s="14" t="s">
        <v>9158</v>
      </c>
      <c r="Q50" s="14" t="s">
        <v>9158</v>
      </c>
      <c r="R50" s="14" t="s">
        <v>14748</v>
      </c>
    </row>
    <row r="51" spans="1:18">
      <c r="A51" s="14">
        <v>88193</v>
      </c>
      <c r="B51" s="14" t="s">
        <v>334</v>
      </c>
      <c r="C51" s="14" t="s">
        <v>205</v>
      </c>
      <c r="D51" s="6" t="s">
        <v>10015</v>
      </c>
      <c r="E51" s="15" t="str">
        <f>HYPERLINK("https://stat100.ameba.jp/tnk47/ratio20/illustrations/card/ill_88193_sakasunomajo03.jpg?202003-5-RELEASE-marathon-461xxx", "■")</f>
        <v>■</v>
      </c>
      <c r="F51" s="14" t="s">
        <v>9972</v>
      </c>
      <c r="G51" s="14">
        <v>119006</v>
      </c>
      <c r="H51" s="14">
        <v>128000</v>
      </c>
      <c r="I51" s="14">
        <v>26</v>
      </c>
      <c r="J51" s="14" t="s">
        <v>155</v>
      </c>
      <c r="K51" s="14" t="s">
        <v>9977</v>
      </c>
      <c r="L51" s="14" t="s">
        <v>9973</v>
      </c>
      <c r="M51" s="14" t="s">
        <v>13130</v>
      </c>
      <c r="N51" s="14" t="s">
        <v>343</v>
      </c>
      <c r="O51" s="14" t="s">
        <v>9158</v>
      </c>
      <c r="P51" s="14" t="s">
        <v>9158</v>
      </c>
      <c r="Q51" s="14" t="s">
        <v>9158</v>
      </c>
      <c r="R51" s="14" t="s">
        <v>14748</v>
      </c>
    </row>
    <row r="52" spans="1:18">
      <c r="A52" s="14">
        <v>88203</v>
      </c>
      <c r="B52" s="14" t="s">
        <v>334</v>
      </c>
      <c r="C52" s="14" t="s">
        <v>107</v>
      </c>
      <c r="D52" s="6" t="s">
        <v>10016</v>
      </c>
      <c r="E52" s="15" t="str">
        <f>HYPERLINK("https://stat100.ameba.jp/tnk47/ratio20/illustrations/card/ill_88203_soingumasuta03.jpg?202003-5-RELEASE-marathon-461xxx", "■")</f>
        <v>■</v>
      </c>
      <c r="F52" s="14" t="s">
        <v>9976</v>
      </c>
      <c r="G52" s="14">
        <v>128000</v>
      </c>
      <c r="H52" s="14">
        <v>119006</v>
      </c>
      <c r="I52" s="14">
        <v>26</v>
      </c>
      <c r="J52" s="14" t="s">
        <v>173</v>
      </c>
      <c r="K52" s="14" t="s">
        <v>9974</v>
      </c>
      <c r="L52" s="14" t="s">
        <v>9975</v>
      </c>
      <c r="M52" s="14" t="s">
        <v>13130</v>
      </c>
      <c r="N52" s="14" t="s">
        <v>343</v>
      </c>
      <c r="O52" s="14" t="s">
        <v>9158</v>
      </c>
      <c r="P52" s="14" t="s">
        <v>9158</v>
      </c>
      <c r="Q52" s="14" t="s">
        <v>9158</v>
      </c>
      <c r="R52" s="14" t="s">
        <v>14748</v>
      </c>
    </row>
    <row r="54" spans="1:18">
      <c r="A54" s="9" t="s">
        <v>10027</v>
      </c>
    </row>
    <row r="55" spans="1:18">
      <c r="A55" s="9" t="s">
        <v>3770</v>
      </c>
    </row>
    <row r="56" spans="1:18">
      <c r="A56" s="9" t="s">
        <v>10028</v>
      </c>
    </row>
    <row r="57" spans="1:18">
      <c r="A57" s="9" t="s">
        <v>9891</v>
      </c>
      <c r="B57" s="7" t="s">
        <v>52</v>
      </c>
      <c r="C57" s="9" t="s">
        <v>202</v>
      </c>
      <c r="D57" s="6" t="s">
        <v>9978</v>
      </c>
      <c r="E57" s="15" t="str">
        <f>HYPERLINK("https://stat100.ameba.jp/tnk47/ratio20/illustrations/card/ill_87643_0_oendanotohime03.jpg?202003-5-RELEASE-marathon-461xxx", "■")</f>
        <v>■</v>
      </c>
      <c r="F57" s="14" t="s">
        <v>9928</v>
      </c>
      <c r="G57" s="9">
        <v>208264</v>
      </c>
      <c r="H57" s="9">
        <v>254524</v>
      </c>
      <c r="I57" s="7">
        <v>20</v>
      </c>
      <c r="J57" s="9" t="s">
        <v>155</v>
      </c>
      <c r="K57" s="14" t="s">
        <v>9932</v>
      </c>
      <c r="L57" s="14" t="s">
        <v>9933</v>
      </c>
      <c r="M57" s="14" t="s">
        <v>9158</v>
      </c>
      <c r="N57" s="14" t="s">
        <v>9158</v>
      </c>
      <c r="O57" s="6" t="s">
        <v>9989</v>
      </c>
      <c r="P57" s="7" t="s">
        <v>9944</v>
      </c>
      <c r="Q57" s="7">
        <v>1</v>
      </c>
      <c r="R57" s="14"/>
    </row>
    <row r="58" spans="1:18">
      <c r="A58" s="9">
        <v>87693</v>
      </c>
      <c r="B58" s="9" t="s">
        <v>10029</v>
      </c>
      <c r="C58" s="9" t="s">
        <v>10033</v>
      </c>
      <c r="D58" s="9" t="s">
        <v>10039</v>
      </c>
      <c r="E58" s="15" t="str">
        <f>HYPERLINK("https://stat100.ameba.jp/tnk47/ratio20/illustrations/card/ill_87693_seikasodatsusenizumotaisha03.jpg?202003-5-RELEASE-marathon-461xxx", "■")</f>
        <v>■</v>
      </c>
      <c r="F58" s="9" t="s">
        <v>10040</v>
      </c>
      <c r="G58" s="9">
        <v>110126</v>
      </c>
      <c r="H58" s="9">
        <v>118446</v>
      </c>
      <c r="I58" s="9">
        <v>26</v>
      </c>
      <c r="J58" s="9" t="s">
        <v>10036</v>
      </c>
      <c r="K58" s="9" t="s">
        <v>10041</v>
      </c>
      <c r="L58" s="9" t="s">
        <v>13215</v>
      </c>
      <c r="M58" s="14" t="s">
        <v>9158</v>
      </c>
      <c r="N58" s="14" t="s">
        <v>9158</v>
      </c>
      <c r="O58" s="7" t="s">
        <v>9158</v>
      </c>
      <c r="P58" s="14" t="s">
        <v>9158</v>
      </c>
      <c r="Q58" s="14" t="s">
        <v>9158</v>
      </c>
    </row>
    <row r="59" spans="1:18">
      <c r="A59" s="9">
        <v>87703</v>
      </c>
      <c r="B59" s="9" t="s">
        <v>10030</v>
      </c>
      <c r="C59" s="9" t="s">
        <v>10034</v>
      </c>
      <c r="D59" s="9" t="s">
        <v>10042</v>
      </c>
      <c r="E59" s="15" t="str">
        <f>HYPERLINK("https://stat100.ameba.jp/tnk47/ratio20/illustrations/card/ill_87703_abenoseimei03.jpg?202003-5-RELEASE-marathon-461xxx", "■")</f>
        <v>■</v>
      </c>
      <c r="F59" s="9" t="s">
        <v>10043</v>
      </c>
      <c r="G59" s="9">
        <v>77064</v>
      </c>
      <c r="H59" s="9">
        <v>69898</v>
      </c>
      <c r="I59" s="9">
        <v>26</v>
      </c>
      <c r="J59" s="9" t="s">
        <v>10037</v>
      </c>
      <c r="K59" s="9" t="s">
        <v>10044</v>
      </c>
      <c r="L59" s="9" t="s">
        <v>13216</v>
      </c>
      <c r="M59" s="14" t="s">
        <v>9158</v>
      </c>
      <c r="N59" s="14" t="s">
        <v>9158</v>
      </c>
      <c r="O59" s="7" t="s">
        <v>9158</v>
      </c>
      <c r="P59" s="14" t="s">
        <v>9158</v>
      </c>
      <c r="Q59" s="14" t="s">
        <v>9158</v>
      </c>
    </row>
    <row r="60" spans="1:18">
      <c r="A60" s="9">
        <v>87713</v>
      </c>
      <c r="B60" s="9" t="s">
        <v>10031</v>
      </c>
      <c r="C60" s="9" t="s">
        <v>10035</v>
      </c>
      <c r="D60" s="9" t="s">
        <v>10045</v>
      </c>
      <c r="E60" s="15" t="str">
        <f>HYPERLINK("https://stat100.ameba.jp/tnk47/ratio20/illustrations/card/ill_87713_sikigami03.jpg?202003-5-RELEASE-marathon-461xxx", "■")</f>
        <v>■</v>
      </c>
      <c r="F60" s="9" t="s">
        <v>10046</v>
      </c>
      <c r="G60" s="9">
        <v>44948</v>
      </c>
      <c r="H60" s="9">
        <v>54058</v>
      </c>
      <c r="I60" s="9">
        <v>26</v>
      </c>
      <c r="J60" s="9" t="s">
        <v>10038</v>
      </c>
      <c r="K60" s="9" t="s">
        <v>10047</v>
      </c>
      <c r="L60" s="9" t="s">
        <v>13217</v>
      </c>
      <c r="M60" s="14" t="s">
        <v>9158</v>
      </c>
      <c r="N60" s="14" t="s">
        <v>9158</v>
      </c>
      <c r="O60" s="7" t="s">
        <v>9158</v>
      </c>
      <c r="P60" s="14" t="s">
        <v>9158</v>
      </c>
      <c r="Q60" s="14" t="s">
        <v>9158</v>
      </c>
    </row>
    <row r="61" spans="1:18">
      <c r="A61" s="9">
        <v>87723</v>
      </c>
      <c r="B61" s="9" t="s">
        <v>10032</v>
      </c>
      <c r="C61" s="9" t="s">
        <v>10034</v>
      </c>
      <c r="D61" s="9" t="s">
        <v>10048</v>
      </c>
      <c r="E61" s="15" t="str">
        <f>HYPERLINK("https://stat100.ameba.jp/tnk47/ratio20/illustrations/card/ill_87723_kikyouchan03.jpg?202003-5-RELEASE-marathon-461xxx", "■")</f>
        <v>■</v>
      </c>
      <c r="F61" s="9" t="s">
        <v>10049</v>
      </c>
      <c r="G61" s="9">
        <v>32728</v>
      </c>
      <c r="H61" s="9">
        <v>27486</v>
      </c>
      <c r="I61" s="9">
        <v>26</v>
      </c>
      <c r="J61" s="9" t="s">
        <v>10036</v>
      </c>
      <c r="K61" s="9" t="s">
        <v>10050</v>
      </c>
      <c r="L61" s="9" t="s">
        <v>13218</v>
      </c>
      <c r="M61" s="14" t="s">
        <v>9158</v>
      </c>
      <c r="N61" s="14" t="s">
        <v>9158</v>
      </c>
      <c r="O61" s="7" t="s">
        <v>9158</v>
      </c>
      <c r="P61" s="14" t="s">
        <v>9158</v>
      </c>
      <c r="Q61" s="14" t="s">
        <v>9158</v>
      </c>
    </row>
    <row r="63" spans="1:18">
      <c r="A63" s="9" t="s">
        <v>10017</v>
      </c>
    </row>
    <row r="64" spans="1:18">
      <c r="A64" s="7" t="s">
        <v>10018</v>
      </c>
    </row>
    <row r="65" spans="1:17">
      <c r="A65" s="14" t="s">
        <v>5642</v>
      </c>
      <c r="B65" s="14" t="s">
        <v>330</v>
      </c>
      <c r="C65" s="14" t="s">
        <v>185</v>
      </c>
      <c r="D65" s="6" t="s">
        <v>10019</v>
      </c>
      <c r="E65" s="15" t="str">
        <f>HYPERLINK("https://stat100.ameba.jp/tnk47/ratio20/illustrations/card/ill_69593_0_setsubunyukionna03.jpg?202003-5-RELEASE-marathon-461xxx", "■")</f>
        <v>■</v>
      </c>
      <c r="F65" s="14" t="s">
        <v>3087</v>
      </c>
      <c r="G65" s="14">
        <v>171436</v>
      </c>
      <c r="H65" s="14">
        <v>184400</v>
      </c>
      <c r="I65" s="14">
        <v>24</v>
      </c>
      <c r="J65" s="14" t="s">
        <v>320</v>
      </c>
      <c r="K65" s="14" t="s">
        <v>3088</v>
      </c>
      <c r="L65" s="14" t="s">
        <v>3089</v>
      </c>
      <c r="M65" s="14" t="s">
        <v>9158</v>
      </c>
      <c r="N65" s="14" t="s">
        <v>9158</v>
      </c>
      <c r="O65" s="6" t="s">
        <v>10023</v>
      </c>
      <c r="P65" s="14" t="s">
        <v>3091</v>
      </c>
      <c r="Q65" s="14">
        <v>2</v>
      </c>
    </row>
    <row r="66" spans="1:17">
      <c r="A66" s="14">
        <v>82373</v>
      </c>
      <c r="B66" s="14" t="s">
        <v>334</v>
      </c>
      <c r="C66" s="14" t="s">
        <v>191</v>
      </c>
      <c r="D66" s="6" t="s">
        <v>10020</v>
      </c>
      <c r="E66" s="15" t="str">
        <f>HYPERLINK("https://stat100.ameba.jp/tnk47/ratio20/illustrations/card/ill_82373_bikinigaruyasharyujin03.jpg?202003-5-RELEASE-marathon-461xxx", "■")</f>
        <v>■</v>
      </c>
      <c r="F66" s="14" t="s">
        <v>5397</v>
      </c>
      <c r="G66" s="14">
        <v>101971</v>
      </c>
      <c r="H66" s="14">
        <v>94802</v>
      </c>
      <c r="I66" s="14">
        <v>25</v>
      </c>
      <c r="J66" s="14" t="s">
        <v>44</v>
      </c>
      <c r="K66" s="14" t="s">
        <v>5398</v>
      </c>
      <c r="L66" s="14" t="s">
        <v>3356</v>
      </c>
      <c r="M66" s="14" t="s">
        <v>9158</v>
      </c>
      <c r="N66" s="14" t="s">
        <v>9158</v>
      </c>
      <c r="O66" s="6" t="s">
        <v>10024</v>
      </c>
      <c r="P66" s="14" t="s">
        <v>3579</v>
      </c>
      <c r="Q66" s="14">
        <v>1</v>
      </c>
    </row>
    <row r="67" spans="1:17">
      <c r="A67" s="14">
        <v>67993</v>
      </c>
      <c r="B67" s="14" t="s">
        <v>334</v>
      </c>
      <c r="C67" s="14" t="s">
        <v>205</v>
      </c>
      <c r="D67" s="6" t="s">
        <v>10021</v>
      </c>
      <c r="E67" s="15" t="str">
        <f>HYPERLINK("https://stat100.ameba.jp/tnk47/ratio20/illustrations/card/ill_67993_kurisumasupateikanekomisuzu03.jpg?202003-5-RELEASE-marathon-461xxx", "■")</f>
        <v>■</v>
      </c>
      <c r="F67" s="14" t="s">
        <v>1286</v>
      </c>
      <c r="G67" s="14">
        <v>97651</v>
      </c>
      <c r="H67" s="14">
        <v>90759</v>
      </c>
      <c r="I67" s="14">
        <v>25</v>
      </c>
      <c r="J67" s="14" t="s">
        <v>10</v>
      </c>
      <c r="K67" s="14" t="s">
        <v>2547</v>
      </c>
      <c r="L67" s="14" t="s">
        <v>2548</v>
      </c>
      <c r="M67" s="14" t="s">
        <v>9158</v>
      </c>
      <c r="N67" s="14" t="s">
        <v>9158</v>
      </c>
      <c r="O67" s="6" t="s">
        <v>10025</v>
      </c>
      <c r="P67" s="14" t="s">
        <v>3701</v>
      </c>
      <c r="Q67" s="14">
        <v>1</v>
      </c>
    </row>
    <row r="68" spans="1:17">
      <c r="A68" s="14">
        <v>72923</v>
      </c>
      <c r="B68" s="14" t="s">
        <v>0</v>
      </c>
      <c r="C68" s="14" t="s">
        <v>206</v>
      </c>
      <c r="D68" s="6" t="s">
        <v>10022</v>
      </c>
      <c r="E68" s="15" t="str">
        <f>HYPERLINK("https://stat100.ameba.jp/tnk47/ratio20/illustrations/card/ill_72923_amenohanayomemyorinni03.jpg?202003-5-RELEASE-marathon-461xxx", "■")</f>
        <v>■</v>
      </c>
      <c r="F68" s="14" t="s">
        <v>1837</v>
      </c>
      <c r="G68" s="14">
        <v>138186</v>
      </c>
      <c r="H68" s="14">
        <v>148619</v>
      </c>
      <c r="I68" s="14">
        <v>25</v>
      </c>
      <c r="J68" s="14" t="s">
        <v>194</v>
      </c>
      <c r="K68" s="14" t="s">
        <v>1838</v>
      </c>
      <c r="L68" s="14" t="s">
        <v>13160</v>
      </c>
      <c r="M68" s="14" t="s">
        <v>9158</v>
      </c>
      <c r="N68" s="14" t="s">
        <v>9158</v>
      </c>
      <c r="O68" s="6" t="s">
        <v>10026</v>
      </c>
      <c r="P68" s="14" t="s">
        <v>13123</v>
      </c>
      <c r="Q68" s="14">
        <v>1</v>
      </c>
    </row>
    <row r="70" spans="1:17">
      <c r="A70" s="9" t="s">
        <v>11002</v>
      </c>
    </row>
    <row r="71" spans="1:17">
      <c r="A71" s="9" t="s">
        <v>11003</v>
      </c>
    </row>
    <row r="72" spans="1:17">
      <c r="A72" s="14" t="s">
        <v>5609</v>
      </c>
      <c r="B72" s="14" t="s">
        <v>52</v>
      </c>
      <c r="C72" s="14" t="s">
        <v>200</v>
      </c>
      <c r="D72" s="19" t="s">
        <v>389</v>
      </c>
      <c r="E72" s="15" t="str">
        <f>HYPERLINK("https://stat100.ameba.jp/tnk47/ratio20/illustrations/card/ill_53753_0_natsumatsuritokugawaieyasu03.jpg?202003-5-RELEASE-marathon-461xxxx", "■")</f>
        <v>■</v>
      </c>
      <c r="F72" s="14" t="s">
        <v>902</v>
      </c>
      <c r="G72" s="14">
        <v>150776</v>
      </c>
      <c r="H72" s="14">
        <v>133938</v>
      </c>
      <c r="I72" s="14">
        <v>24</v>
      </c>
      <c r="J72" s="14" t="s">
        <v>194</v>
      </c>
      <c r="K72" s="14" t="s">
        <v>1714</v>
      </c>
      <c r="L72" s="14" t="s">
        <v>904</v>
      </c>
      <c r="M72" s="14" t="s">
        <v>9158</v>
      </c>
      <c r="N72" s="14" t="s">
        <v>9158</v>
      </c>
      <c r="O72" s="19" t="s">
        <v>10076</v>
      </c>
      <c r="P72" s="14" t="s">
        <v>13121</v>
      </c>
      <c r="Q72" s="14">
        <v>1</v>
      </c>
    </row>
    <row r="73" spans="1:17">
      <c r="A73" s="14" t="s">
        <v>5719</v>
      </c>
      <c r="B73" s="14" t="s">
        <v>52</v>
      </c>
      <c r="C73" s="14" t="s">
        <v>165</v>
      </c>
      <c r="D73" s="20" t="s">
        <v>10379</v>
      </c>
      <c r="E73" s="15" t="str">
        <f>HYPERLINK("https://stat100.ameba.jp/tnk47/ratio20/illustrations/card/ill_54523_0_yonshunennionohime03.jpg?202003-5-RELEASE-marathon-461xxxx", "■")</f>
        <v>■</v>
      </c>
      <c r="F73" s="14" t="s">
        <v>1773</v>
      </c>
      <c r="G73" s="14">
        <v>133938</v>
      </c>
      <c r="H73" s="14">
        <v>150776</v>
      </c>
      <c r="I73" s="14">
        <v>24</v>
      </c>
      <c r="J73" s="14" t="s">
        <v>38</v>
      </c>
      <c r="K73" s="14" t="s">
        <v>1774</v>
      </c>
      <c r="L73" s="14" t="s">
        <v>1775</v>
      </c>
      <c r="M73" s="14" t="s">
        <v>9158</v>
      </c>
      <c r="N73" s="14" t="s">
        <v>9158</v>
      </c>
      <c r="O73" s="19" t="s">
        <v>10094</v>
      </c>
      <c r="P73" s="14" t="s">
        <v>13168</v>
      </c>
      <c r="Q73" s="14">
        <v>1</v>
      </c>
    </row>
    <row r="74" spans="1:17">
      <c r="A74" s="14" t="s">
        <v>5902</v>
      </c>
      <c r="B74" s="14" t="s">
        <v>330</v>
      </c>
      <c r="C74" s="14" t="s">
        <v>206</v>
      </c>
      <c r="D74" s="19" t="s">
        <v>483</v>
      </c>
      <c r="E74" s="15" t="str">
        <f>HYPERLINK("https://stat100.ameba.jp/tnk47/ratio20/illustrations/card/ill_40343_0_heshikirihasebekurodakambe03.jpg?202003-5-RELEASE-marathon-461xxxx", "■")</f>
        <v>■</v>
      </c>
      <c r="F74" s="14" t="s">
        <v>906</v>
      </c>
      <c r="G74" s="14">
        <v>140448</v>
      </c>
      <c r="H74" s="14">
        <v>131538</v>
      </c>
      <c r="I74" s="14">
        <v>24</v>
      </c>
      <c r="J74" s="14" t="s">
        <v>16</v>
      </c>
      <c r="K74" s="14" t="s">
        <v>907</v>
      </c>
      <c r="L74" s="14" t="s">
        <v>908</v>
      </c>
      <c r="M74" s="14" t="s">
        <v>9158</v>
      </c>
      <c r="N74" s="14" t="s">
        <v>9158</v>
      </c>
      <c r="O74" s="14" t="s">
        <v>9158</v>
      </c>
      <c r="P74" s="14" t="s">
        <v>9158</v>
      </c>
      <c r="Q74" s="14" t="s">
        <v>9158</v>
      </c>
    </row>
    <row r="75" spans="1:17">
      <c r="A75" s="9">
        <v>87693</v>
      </c>
      <c r="B75" s="9" t="s">
        <v>0</v>
      </c>
      <c r="C75" s="9" t="s">
        <v>205</v>
      </c>
      <c r="D75" s="9" t="s">
        <v>10039</v>
      </c>
      <c r="E75" s="15" t="str">
        <f>HYPERLINK("https://stat100.ameba.jp/tnk47/ratio20/illustrations/card/ill_87693_seikasodatsusenizumotaisha03.jpg?202003-5-RELEASE-marathon-461xxxx", "■")</f>
        <v>■</v>
      </c>
      <c r="F75" s="9" t="s">
        <v>10040</v>
      </c>
      <c r="G75" s="9">
        <v>105890</v>
      </c>
      <c r="H75" s="9">
        <v>113890</v>
      </c>
      <c r="I75" s="9">
        <v>25</v>
      </c>
      <c r="J75" s="9" t="s">
        <v>229</v>
      </c>
      <c r="K75" s="9" t="s">
        <v>10041</v>
      </c>
      <c r="L75" s="9" t="s">
        <v>13215</v>
      </c>
      <c r="M75" s="14" t="s">
        <v>9158</v>
      </c>
      <c r="N75" s="14" t="s">
        <v>9158</v>
      </c>
      <c r="O75" s="7" t="s">
        <v>9158</v>
      </c>
      <c r="P75" s="14" t="s">
        <v>9158</v>
      </c>
      <c r="Q75" s="14" t="s">
        <v>9158</v>
      </c>
    </row>
    <row r="76" spans="1:17">
      <c r="A76" s="9">
        <v>87703</v>
      </c>
      <c r="B76" s="9" t="s">
        <v>15</v>
      </c>
      <c r="C76" s="9" t="s">
        <v>2611</v>
      </c>
      <c r="D76" s="9" t="s">
        <v>10042</v>
      </c>
      <c r="E76" s="15" t="str">
        <f>HYPERLINK("https://stat100.ameba.jp/tnk47/ratio20/illustrations/card/ill_87703_abenoseimei03.jpg?202003-5-RELEASE-marathon-461xxxx", "■")</f>
        <v>■</v>
      </c>
      <c r="F76" s="9" t="s">
        <v>10043</v>
      </c>
      <c r="G76" s="9">
        <v>74100</v>
      </c>
      <c r="H76" s="9">
        <v>67210</v>
      </c>
      <c r="I76" s="9">
        <v>25</v>
      </c>
      <c r="J76" s="9" t="s">
        <v>173</v>
      </c>
      <c r="K76" s="9" t="s">
        <v>10044</v>
      </c>
      <c r="L76" s="9" t="s">
        <v>13216</v>
      </c>
      <c r="M76" s="14" t="s">
        <v>9158</v>
      </c>
      <c r="N76" s="14" t="s">
        <v>9158</v>
      </c>
      <c r="O76" s="7" t="s">
        <v>9158</v>
      </c>
      <c r="P76" s="14" t="s">
        <v>9158</v>
      </c>
      <c r="Q76" s="14" t="s">
        <v>9158</v>
      </c>
    </row>
    <row r="77" spans="1:17">
      <c r="A77" s="9">
        <v>87713</v>
      </c>
      <c r="B77" s="9" t="s">
        <v>22</v>
      </c>
      <c r="C77" s="9" t="s">
        <v>3507</v>
      </c>
      <c r="D77" s="9" t="s">
        <v>10045</v>
      </c>
      <c r="E77" s="15" t="str">
        <f>HYPERLINK("https://stat100.ameba.jp/tnk47/ratio20/illustrations/card/ill_87713_sikigami03.jpg?202003-5-RELEASE-marathon-461xxxx", "■")</f>
        <v>■</v>
      </c>
      <c r="F77" s="9" t="s">
        <v>10046</v>
      </c>
      <c r="G77" s="9">
        <v>43220</v>
      </c>
      <c r="H77" s="9">
        <v>51980</v>
      </c>
      <c r="I77" s="9">
        <v>25</v>
      </c>
      <c r="J77" s="9" t="s">
        <v>169</v>
      </c>
      <c r="K77" s="9" t="s">
        <v>10047</v>
      </c>
      <c r="L77" s="9" t="s">
        <v>13217</v>
      </c>
      <c r="M77" s="14" t="s">
        <v>9158</v>
      </c>
      <c r="N77" s="14" t="s">
        <v>9158</v>
      </c>
      <c r="O77" s="7" t="s">
        <v>9158</v>
      </c>
      <c r="P77" s="14" t="s">
        <v>9158</v>
      </c>
      <c r="Q77" s="14" t="s">
        <v>9158</v>
      </c>
    </row>
    <row r="78" spans="1:17">
      <c r="A78" s="9">
        <v>87723</v>
      </c>
      <c r="B78" s="9" t="s">
        <v>30</v>
      </c>
      <c r="C78" s="9" t="s">
        <v>2611</v>
      </c>
      <c r="D78" s="9" t="s">
        <v>10048</v>
      </c>
      <c r="E78" s="15" t="str">
        <f>HYPERLINK("https://stat100.ameba.jp/tnk47/ratio20/illustrations/card/ill_87723_kikyouchan03.jpg?202003-5-RELEASE-marathon-461xxxx", "■")</f>
        <v>■</v>
      </c>
      <c r="F78" s="9" t="s">
        <v>10049</v>
      </c>
      <c r="G78" s="9">
        <v>31470</v>
      </c>
      <c r="H78" s="9">
        <v>26430</v>
      </c>
      <c r="I78" s="9">
        <v>25</v>
      </c>
      <c r="J78" s="9" t="s">
        <v>229</v>
      </c>
      <c r="K78" s="9" t="s">
        <v>10050</v>
      </c>
      <c r="L78" s="9" t="s">
        <v>13218</v>
      </c>
      <c r="M78" s="14" t="s">
        <v>9158</v>
      </c>
      <c r="N78" s="14" t="s">
        <v>9158</v>
      </c>
      <c r="O78" s="7" t="s">
        <v>9158</v>
      </c>
      <c r="P78" s="14" t="s">
        <v>9158</v>
      </c>
      <c r="Q78" s="14" t="s">
        <v>9158</v>
      </c>
    </row>
    <row r="80" spans="1:17">
      <c r="A80" s="7" t="s">
        <v>8672</v>
      </c>
      <c r="B80" s="7"/>
      <c r="C80" s="7"/>
      <c r="D80" s="7"/>
      <c r="E80" s="7"/>
      <c r="F80" s="7"/>
      <c r="G80" s="7"/>
      <c r="H80" s="7"/>
      <c r="I80" s="7"/>
      <c r="J80" s="7"/>
      <c r="K80" s="7"/>
      <c r="L80" s="7"/>
      <c r="M80" s="7"/>
      <c r="N80" s="7"/>
      <c r="O80" s="7"/>
      <c r="P80" s="7"/>
      <c r="Q80" s="7"/>
    </row>
    <row r="81" spans="1:18">
      <c r="A81" s="7" t="s">
        <v>11029</v>
      </c>
      <c r="B81" s="7"/>
      <c r="C81" s="7"/>
      <c r="D81" s="7"/>
      <c r="E81" s="7"/>
      <c r="F81" s="7"/>
      <c r="G81" s="7"/>
      <c r="H81" s="7"/>
      <c r="I81" s="7"/>
      <c r="J81" s="7"/>
      <c r="K81" s="7"/>
      <c r="L81" s="7"/>
      <c r="M81" s="7"/>
      <c r="N81" s="7"/>
      <c r="O81" s="7"/>
      <c r="P81" s="7"/>
      <c r="Q81" s="7"/>
    </row>
    <row r="82" spans="1:18">
      <c r="A82" s="7" t="s">
        <v>11030</v>
      </c>
      <c r="B82" s="7"/>
      <c r="C82" s="7"/>
      <c r="D82" s="7"/>
      <c r="E82" s="7"/>
      <c r="F82" s="7"/>
      <c r="G82" s="7"/>
      <c r="H82" s="7"/>
      <c r="I82" s="7"/>
      <c r="J82" s="7"/>
      <c r="K82" s="7"/>
      <c r="L82" s="7"/>
      <c r="M82" s="7"/>
      <c r="N82" s="7"/>
      <c r="O82" s="7"/>
      <c r="P82" s="7"/>
      <c r="Q82" s="7"/>
    </row>
    <row r="83" spans="1:18">
      <c r="A83" s="9" t="s">
        <v>11909</v>
      </c>
    </row>
    <row r="84" spans="1:18">
      <c r="A84" s="7">
        <v>86003</v>
      </c>
      <c r="B84" s="7" t="s">
        <v>117</v>
      </c>
      <c r="C84" s="7" t="s">
        <v>202</v>
      </c>
      <c r="D84" s="20" t="s">
        <v>10857</v>
      </c>
      <c r="E84" s="15" t="str">
        <f>HYPERLINK("https://stat100.ameba.jp/tnk47/ratio20/illustrations/card/ill_86003_ninkishuitochiotomechan03.jpg?202003-5-RELEASE-marathon-461xxxx", "■")</f>
        <v>■</v>
      </c>
      <c r="F84" s="7" t="s">
        <v>8676</v>
      </c>
      <c r="G84" s="7">
        <v>380144</v>
      </c>
      <c r="H84" s="7">
        <v>343556</v>
      </c>
      <c r="I84" s="7">
        <v>30</v>
      </c>
      <c r="J84" s="7" t="s">
        <v>216</v>
      </c>
      <c r="K84" s="7" t="s">
        <v>8675</v>
      </c>
      <c r="L84" s="7" t="s">
        <v>8674</v>
      </c>
      <c r="M84" s="14" t="s">
        <v>9158</v>
      </c>
      <c r="N84" s="14" t="s">
        <v>9158</v>
      </c>
      <c r="O84" s="14" t="s">
        <v>9158</v>
      </c>
      <c r="P84" s="14" t="s">
        <v>9158</v>
      </c>
      <c r="Q84" s="14" t="s">
        <v>9158</v>
      </c>
    </row>
    <row r="85" spans="1:18">
      <c r="A85" s="7">
        <v>60563</v>
      </c>
      <c r="B85" s="14" t="s">
        <v>334</v>
      </c>
      <c r="C85" s="14" t="s">
        <v>185</v>
      </c>
      <c r="D85" s="20" t="s">
        <v>11004</v>
      </c>
      <c r="E85" s="15" t="str">
        <f>HYPERLINK("https://stat100.ameba.jp/tnk47/ratio20/illustrations/card/ill_60563_harumaionamihime03.jpg?202003-5-RELEASE-marathon-461xxxx", "■")</f>
        <v>■</v>
      </c>
      <c r="F85" s="14" t="s">
        <v>11027</v>
      </c>
      <c r="G85" s="14">
        <v>143714</v>
      </c>
      <c r="H85" s="14">
        <v>154562</v>
      </c>
      <c r="I85" s="14">
        <v>26</v>
      </c>
      <c r="J85" s="14" t="s">
        <v>194</v>
      </c>
      <c r="K85" s="14" t="s">
        <v>11026</v>
      </c>
      <c r="L85" s="14" t="s">
        <v>11025</v>
      </c>
      <c r="M85" s="14" t="s">
        <v>5707</v>
      </c>
      <c r="N85" s="14" t="s">
        <v>1310</v>
      </c>
      <c r="O85" s="14" t="s">
        <v>9158</v>
      </c>
      <c r="P85" s="14" t="s">
        <v>9158</v>
      </c>
      <c r="Q85" s="14" t="s">
        <v>9158</v>
      </c>
      <c r="R85" s="14" t="s">
        <v>13192</v>
      </c>
    </row>
    <row r="86" spans="1:18">
      <c r="A86" s="14">
        <v>61833</v>
      </c>
      <c r="B86" s="14" t="s">
        <v>334</v>
      </c>
      <c r="C86" s="14" t="s">
        <v>23</v>
      </c>
      <c r="D86" s="20" t="s">
        <v>11005</v>
      </c>
      <c r="E86" s="15" t="str">
        <f>HYPERLINK("https://stat100.ameba.jp/tnk47/ratio20/illustrations/card/ill_61833_onikirishugorudo03.jpg?202003-5-RELEASE-marathon-461xxxx", "■")</f>
        <v>■</v>
      </c>
      <c r="F86" s="14" t="s">
        <v>11024</v>
      </c>
      <c r="G86" s="14">
        <v>102740</v>
      </c>
      <c r="H86" s="14">
        <v>110518</v>
      </c>
      <c r="I86" s="14">
        <v>26</v>
      </c>
      <c r="J86" s="9" t="s">
        <v>229</v>
      </c>
      <c r="K86" s="14" t="s">
        <v>11023</v>
      </c>
      <c r="L86" s="14" t="s">
        <v>11022</v>
      </c>
      <c r="M86" s="14" t="s">
        <v>5707</v>
      </c>
      <c r="N86" s="14" t="s">
        <v>1310</v>
      </c>
      <c r="O86" s="14" t="s">
        <v>9158</v>
      </c>
      <c r="P86" s="14" t="s">
        <v>9158</v>
      </c>
      <c r="Q86" s="14" t="s">
        <v>9158</v>
      </c>
      <c r="R86" s="14" t="s">
        <v>13192</v>
      </c>
    </row>
    <row r="87" spans="1:18">
      <c r="A87" s="14">
        <v>63863</v>
      </c>
      <c r="B87" s="14" t="s">
        <v>334</v>
      </c>
      <c r="C87" s="14" t="s">
        <v>191</v>
      </c>
      <c r="D87" s="20" t="s">
        <v>11006</v>
      </c>
      <c r="E87" s="15" t="str">
        <f>HYPERLINK("https://stat100.ameba.jp/tnk47/ratio20/illustrations/card/ill_63863_daikokaijidaimochizukichiyome03.jpg?202003-5-RELEASE-marathon-461xxxx", "■")</f>
        <v>■</v>
      </c>
      <c r="F87" s="14" t="s">
        <v>11021</v>
      </c>
      <c r="G87" s="14">
        <v>98066</v>
      </c>
      <c r="H87" s="14">
        <v>105426</v>
      </c>
      <c r="I87" s="14">
        <v>26</v>
      </c>
      <c r="J87" s="14" t="s">
        <v>16</v>
      </c>
      <c r="K87" s="14" t="s">
        <v>11020</v>
      </c>
      <c r="L87" s="14" t="s">
        <v>11019</v>
      </c>
      <c r="M87" s="14" t="s">
        <v>5707</v>
      </c>
      <c r="N87" s="14" t="s">
        <v>1310</v>
      </c>
      <c r="O87" s="14" t="s">
        <v>9158</v>
      </c>
      <c r="P87" s="14" t="s">
        <v>9158</v>
      </c>
      <c r="Q87" s="14" t="s">
        <v>9158</v>
      </c>
      <c r="R87" s="14" t="s">
        <v>13192</v>
      </c>
    </row>
    <row r="88" spans="1:18">
      <c r="A88" s="7">
        <v>60583</v>
      </c>
      <c r="B88" s="14" t="s">
        <v>334</v>
      </c>
      <c r="C88" s="14" t="s">
        <v>205</v>
      </c>
      <c r="D88" s="20" t="s">
        <v>11007</v>
      </c>
      <c r="E88" s="15" t="str">
        <f>HYPERLINK("https://stat100.ameba.jp/tnk47/ratio20/illustrations/card/ill_60583_harumaigio03.jpg?202003-5-RELEASE-marathon-461xxxx", "■")</f>
        <v>■</v>
      </c>
      <c r="F88" s="14" t="s">
        <v>11018</v>
      </c>
      <c r="G88" s="14">
        <v>94390</v>
      </c>
      <c r="H88" s="14">
        <v>101558</v>
      </c>
      <c r="I88" s="14">
        <v>26</v>
      </c>
      <c r="J88" s="9" t="s">
        <v>173</v>
      </c>
      <c r="K88" s="14" t="s">
        <v>11017</v>
      </c>
      <c r="L88" s="14" t="s">
        <v>11016</v>
      </c>
      <c r="M88" s="14" t="s">
        <v>5707</v>
      </c>
      <c r="N88" s="14" t="s">
        <v>1310</v>
      </c>
      <c r="O88" s="14" t="s">
        <v>9158</v>
      </c>
      <c r="P88" s="14" t="s">
        <v>9158</v>
      </c>
      <c r="Q88" s="14" t="s">
        <v>9158</v>
      </c>
      <c r="R88" s="14" t="s">
        <v>13192</v>
      </c>
    </row>
    <row r="89" spans="1:18">
      <c r="A89" s="7">
        <v>64903</v>
      </c>
      <c r="B89" s="14" t="s">
        <v>0</v>
      </c>
      <c r="C89" s="14" t="s">
        <v>165</v>
      </c>
      <c r="D89" s="20" t="s">
        <v>11008</v>
      </c>
      <c r="E89" s="15" t="str">
        <f>HYPERLINK("https://stat100.ameba.jp/tnk47/ratio20/illustrations/card/ill_64903_yukatasuseribime03.jpg?202003-5-RELEASE-marathon-461xxxx", "■")</f>
        <v>■</v>
      </c>
      <c r="F89" s="14" t="s">
        <v>11015</v>
      </c>
      <c r="G89" s="14">
        <v>98594</v>
      </c>
      <c r="H89" s="14">
        <v>106050</v>
      </c>
      <c r="I89" s="14">
        <v>26</v>
      </c>
      <c r="J89" s="9" t="s">
        <v>169</v>
      </c>
      <c r="K89" s="14" t="s">
        <v>11014</v>
      </c>
      <c r="L89" s="14" t="s">
        <v>11013</v>
      </c>
      <c r="M89" s="14" t="s">
        <v>5707</v>
      </c>
      <c r="N89" s="14" t="s">
        <v>1310</v>
      </c>
      <c r="O89" s="14" t="s">
        <v>9158</v>
      </c>
      <c r="P89" s="14" t="s">
        <v>9158</v>
      </c>
      <c r="Q89" s="14" t="s">
        <v>9158</v>
      </c>
      <c r="R89" s="14" t="s">
        <v>13192</v>
      </c>
    </row>
    <row r="90" spans="1:18">
      <c r="A90" s="7">
        <v>59633</v>
      </c>
      <c r="B90" s="14" t="s">
        <v>334</v>
      </c>
      <c r="C90" s="14" t="s">
        <v>206</v>
      </c>
      <c r="D90" s="20" t="s">
        <v>11009</v>
      </c>
      <c r="E90" s="15" t="str">
        <f>HYPERLINK("https://stat100.ameba.jp/tnk47/ratio20/illustrations/card/ill_59633_oheyaryuzojitamatsuru03.jpg?202003-5-RELEASE-marathon-461xxxx", "■")</f>
        <v>■</v>
      </c>
      <c r="F90" s="14" t="s">
        <v>11012</v>
      </c>
      <c r="G90" s="14">
        <v>94390</v>
      </c>
      <c r="H90" s="14">
        <v>101558</v>
      </c>
      <c r="I90" s="14">
        <v>26</v>
      </c>
      <c r="J90" s="14" t="s">
        <v>187</v>
      </c>
      <c r="K90" s="14" t="s">
        <v>11011</v>
      </c>
      <c r="L90" s="14" t="s">
        <v>11010</v>
      </c>
      <c r="M90" s="14" t="s">
        <v>5707</v>
      </c>
      <c r="N90" s="14" t="s">
        <v>1310</v>
      </c>
      <c r="O90" s="14" t="s">
        <v>9158</v>
      </c>
      <c r="P90" s="14" t="s">
        <v>9158</v>
      </c>
      <c r="Q90" s="14" t="s">
        <v>9158</v>
      </c>
      <c r="R90" s="14" t="s">
        <v>13192</v>
      </c>
    </row>
    <row r="92" spans="1:18">
      <c r="A92" s="9" t="s">
        <v>115</v>
      </c>
    </row>
    <row r="93" spans="1:18">
      <c r="A93" s="9" t="s">
        <v>11032</v>
      </c>
    </row>
    <row r="94" spans="1:18">
      <c r="A94" s="14" t="s">
        <v>5615</v>
      </c>
      <c r="B94" s="14" t="s">
        <v>330</v>
      </c>
      <c r="C94" s="14" t="s">
        <v>206</v>
      </c>
      <c r="D94" s="19" t="s">
        <v>2814</v>
      </c>
      <c r="E94" s="15" t="str">
        <f>HYPERLINK("https://stat100.ameba.jp/tnk47/ratio20/illustrations/card/ill_57733_0_shogatsunisenjunanaamakusashiro03.jpg?202003-5-RELEASE-marathon-461xxxx", "■")</f>
        <v>■</v>
      </c>
      <c r="F94" s="14" t="s">
        <v>1016</v>
      </c>
      <c r="G94" s="14">
        <v>122776</v>
      </c>
      <c r="H94" s="14">
        <v>138212</v>
      </c>
      <c r="I94" s="14">
        <v>22</v>
      </c>
      <c r="J94" s="14" t="s">
        <v>10</v>
      </c>
      <c r="K94" s="14" t="s">
        <v>1017</v>
      </c>
      <c r="L94" s="14" t="s">
        <v>1018</v>
      </c>
      <c r="M94" s="14" t="s">
        <v>9158</v>
      </c>
      <c r="N94" s="14" t="s">
        <v>9158</v>
      </c>
      <c r="O94" s="19" t="s">
        <v>10077</v>
      </c>
      <c r="P94" s="14" t="s">
        <v>3062</v>
      </c>
      <c r="Q94" s="14">
        <v>1</v>
      </c>
    </row>
    <row r="95" spans="1:18">
      <c r="A95" s="14" t="s">
        <v>5650</v>
      </c>
      <c r="B95" s="14" t="s">
        <v>52</v>
      </c>
      <c r="C95" s="14" t="s">
        <v>23</v>
      </c>
      <c r="D95" s="19" t="s">
        <v>809</v>
      </c>
      <c r="E95" s="15" t="str">
        <f>HYPERLINK("https://stat100.ameba.jp/tnk47/ratio20/illustrations/card/ill_68033_0_kurisumasupateikandamyojin03.jpg?202003-5-RELEASE-marathon-461xxxx", "■")</f>
        <v>■</v>
      </c>
      <c r="F95" s="14" t="s">
        <v>1871</v>
      </c>
      <c r="G95" s="14">
        <v>139878</v>
      </c>
      <c r="H95" s="14">
        <v>150466</v>
      </c>
      <c r="I95" s="14">
        <v>22</v>
      </c>
      <c r="J95" s="14" t="s">
        <v>44</v>
      </c>
      <c r="K95" s="14" t="s">
        <v>1872</v>
      </c>
      <c r="L95" s="14" t="s">
        <v>1873</v>
      </c>
      <c r="M95" s="14" t="s">
        <v>9158</v>
      </c>
      <c r="N95" s="14" t="s">
        <v>9158</v>
      </c>
      <c r="O95" s="19" t="s">
        <v>2997</v>
      </c>
      <c r="P95" s="14" t="s">
        <v>3483</v>
      </c>
      <c r="Q95" s="14">
        <v>2</v>
      </c>
    </row>
    <row r="96" spans="1:18">
      <c r="A96" s="9" t="s">
        <v>11033</v>
      </c>
      <c r="B96" s="14" t="s">
        <v>330</v>
      </c>
      <c r="C96" s="14" t="s">
        <v>185</v>
      </c>
      <c r="D96" s="14" t="s">
        <v>638</v>
      </c>
      <c r="E96" s="15" t="str">
        <f>HYPERLINK("https://stat100.ameba.jp/tnk47/ratio20/illustrations/card/ill_44253_0_dokuganryudatemasamune03.jpg?202003-5-RELEASE-marathon-461xxxx", "■")</f>
        <v>■</v>
      </c>
      <c r="F96" s="14" t="s">
        <v>639</v>
      </c>
      <c r="G96" s="14">
        <v>120576</v>
      </c>
      <c r="H96" s="14">
        <v>128744</v>
      </c>
      <c r="I96" s="14">
        <v>22</v>
      </c>
      <c r="J96" s="14" t="s">
        <v>310</v>
      </c>
      <c r="K96" s="14" t="s">
        <v>640</v>
      </c>
      <c r="L96" s="14" t="s">
        <v>641</v>
      </c>
      <c r="M96" s="14" t="s">
        <v>9158</v>
      </c>
      <c r="N96" s="14" t="s">
        <v>9158</v>
      </c>
      <c r="O96" s="14" t="s">
        <v>9158</v>
      </c>
      <c r="P96" s="14" t="s">
        <v>9158</v>
      </c>
      <c r="Q96" s="14" t="s">
        <v>9158</v>
      </c>
    </row>
    <row r="97" spans="1:17">
      <c r="A97" s="7">
        <v>69143</v>
      </c>
      <c r="B97" s="14" t="s">
        <v>334</v>
      </c>
      <c r="C97" s="14" t="s">
        <v>205</v>
      </c>
      <c r="D97" s="19" t="s">
        <v>1451</v>
      </c>
      <c r="E97" s="15" t="str">
        <f>HYPERLINK("https://stat100.ameba.jp/tnk47/ratio20/illustrations/card/ill_69143_marukamejo03.jpg?202003-5-RELEASE-marathon-461xxxx", "■")</f>
        <v>■</v>
      </c>
      <c r="F97" s="14" t="s">
        <v>7957</v>
      </c>
      <c r="G97" s="14">
        <v>85312</v>
      </c>
      <c r="H97" s="14">
        <v>151650</v>
      </c>
      <c r="I97" s="14">
        <v>26</v>
      </c>
      <c r="J97" s="14" t="s">
        <v>229</v>
      </c>
      <c r="K97" s="14" t="s">
        <v>7956</v>
      </c>
      <c r="L97" s="14" t="s">
        <v>7955</v>
      </c>
      <c r="M97" s="14" t="s">
        <v>9158</v>
      </c>
      <c r="N97" s="14" t="s">
        <v>9158</v>
      </c>
      <c r="O97" s="14" t="s">
        <v>9158</v>
      </c>
      <c r="P97" s="14" t="s">
        <v>9158</v>
      </c>
      <c r="Q97" s="14" t="s">
        <v>9158</v>
      </c>
    </row>
    <row r="98" spans="1:17">
      <c r="A98" s="14">
        <v>70803</v>
      </c>
      <c r="B98" s="14" t="s">
        <v>334</v>
      </c>
      <c r="C98" s="14" t="s">
        <v>96</v>
      </c>
      <c r="D98" s="19" t="s">
        <v>10341</v>
      </c>
      <c r="E98" s="15" t="str">
        <f>HYPERLINK("https://stat100.ameba.jp/tnk47/ratio20/illustrations/card/ill_70803_awabichan03.jpg?202003-5-RELEASE-marathon-461xxxx", "■")</f>
        <v>■</v>
      </c>
      <c r="F98" s="14" t="s">
        <v>2465</v>
      </c>
      <c r="G98" s="14">
        <v>73272</v>
      </c>
      <c r="H98" s="14">
        <v>130220</v>
      </c>
      <c r="I98" s="14">
        <v>26</v>
      </c>
      <c r="J98" s="14" t="s">
        <v>104</v>
      </c>
      <c r="K98" s="14" t="s">
        <v>2466</v>
      </c>
      <c r="L98" s="14" t="s">
        <v>1924</v>
      </c>
      <c r="M98" s="14" t="s">
        <v>9158</v>
      </c>
      <c r="N98" s="14" t="s">
        <v>9158</v>
      </c>
      <c r="O98" s="14" t="s">
        <v>9158</v>
      </c>
      <c r="P98" s="14" t="s">
        <v>9158</v>
      </c>
      <c r="Q98" s="14" t="s">
        <v>9158</v>
      </c>
    </row>
    <row r="99" spans="1:17">
      <c r="A99" s="9">
        <v>48463</v>
      </c>
      <c r="B99" s="14" t="s">
        <v>334</v>
      </c>
      <c r="C99" s="14" t="s">
        <v>191</v>
      </c>
      <c r="D99" s="9" t="s">
        <v>11034</v>
      </c>
      <c r="E99" s="15" t="str">
        <f>HYPERLINK("https://stat100.ameba.jp/tnk47/ratio20/illustrations/card/ill_48463_sakaitadatsugu03.jpg?202003-5-RELEASE-marathon-461xxxx", "■")</f>
        <v>■</v>
      </c>
      <c r="F99" s="9" t="s">
        <v>11037</v>
      </c>
      <c r="G99" s="9">
        <v>67600</v>
      </c>
      <c r="H99" s="9">
        <v>94120</v>
      </c>
      <c r="I99" s="14">
        <v>26</v>
      </c>
      <c r="J99" s="14" t="s">
        <v>143</v>
      </c>
      <c r="K99" s="9" t="s">
        <v>11036</v>
      </c>
      <c r="L99" s="9" t="s">
        <v>11035</v>
      </c>
      <c r="M99" s="14" t="s">
        <v>9158</v>
      </c>
      <c r="N99" s="14" t="s">
        <v>9158</v>
      </c>
      <c r="O99" s="14" t="s">
        <v>9158</v>
      </c>
      <c r="P99" s="14" t="s">
        <v>9158</v>
      </c>
      <c r="Q99" s="14" t="s">
        <v>9158</v>
      </c>
    </row>
    <row r="100" spans="1:17">
      <c r="A100" s="14">
        <v>84263</v>
      </c>
      <c r="B100" s="14" t="s">
        <v>15</v>
      </c>
      <c r="C100" s="14" t="s">
        <v>191</v>
      </c>
      <c r="D100" s="19" t="s">
        <v>10671</v>
      </c>
      <c r="E100" s="15" t="str">
        <f>HYPERLINK("https://stat100.ameba.jp/tnk47/ratio20/illustrations/card/ill_84263_isotengu03.jpg?202003-5-RELEASE-marathon-461xxxx", "■")</f>
        <v>■</v>
      </c>
      <c r="F100" s="14" t="s">
        <v>7247</v>
      </c>
      <c r="G100" s="14">
        <v>59144</v>
      </c>
      <c r="H100" s="14">
        <v>65208</v>
      </c>
      <c r="I100" s="14">
        <v>22</v>
      </c>
      <c r="J100" s="14" t="s">
        <v>73</v>
      </c>
      <c r="K100" s="14" t="s">
        <v>7245</v>
      </c>
      <c r="L100" s="14" t="s">
        <v>1706</v>
      </c>
      <c r="M100" s="14" t="s">
        <v>9158</v>
      </c>
      <c r="N100" s="14" t="s">
        <v>9158</v>
      </c>
      <c r="O100" s="14" t="s">
        <v>9158</v>
      </c>
      <c r="P100" s="14" t="s">
        <v>9158</v>
      </c>
      <c r="Q100" s="14" t="s">
        <v>9158</v>
      </c>
    </row>
    <row r="101" spans="1:17">
      <c r="A101" s="14">
        <v>84043</v>
      </c>
      <c r="B101" s="14" t="s">
        <v>15</v>
      </c>
      <c r="C101" s="14" t="s">
        <v>185</v>
      </c>
      <c r="D101" s="19" t="s">
        <v>10534</v>
      </c>
      <c r="E101" s="15" t="str">
        <f>HYPERLINK("https://stat100.ameba.jp/tnk47/ratio20/illustrations/card/ill_84043_intonnambutsuruhime03.jpg?202003-5-RELEASE-marathon-461xxxx", "■")</f>
        <v>■</v>
      </c>
      <c r="F101" s="14" t="s">
        <v>6483</v>
      </c>
      <c r="G101" s="14">
        <v>59144</v>
      </c>
      <c r="H101" s="14">
        <v>65208</v>
      </c>
      <c r="I101" s="14">
        <v>22</v>
      </c>
      <c r="J101" s="14" t="s">
        <v>77</v>
      </c>
      <c r="K101" s="14" t="s">
        <v>5215</v>
      </c>
      <c r="L101" s="14" t="s">
        <v>973</v>
      </c>
      <c r="M101" s="14" t="s">
        <v>9158</v>
      </c>
      <c r="N101" s="14" t="s">
        <v>9158</v>
      </c>
      <c r="O101" s="14" t="s">
        <v>9158</v>
      </c>
      <c r="P101" s="14" t="s">
        <v>9158</v>
      </c>
      <c r="Q101" s="14" t="s">
        <v>9158</v>
      </c>
    </row>
    <row r="102" spans="1:17">
      <c r="A102" s="14">
        <v>44403</v>
      </c>
      <c r="B102" s="14" t="s">
        <v>15</v>
      </c>
      <c r="C102" s="14" t="s">
        <v>185</v>
      </c>
      <c r="D102" s="19" t="s">
        <v>11038</v>
      </c>
      <c r="E102" s="15" t="str">
        <f>HYPERLINK("https://stat100.ameba.jp/tnk47/ratio20/illustrations/card/ill_44403_sansho03.jpg?202003-5-RELEASE-marathon-461xxxx", "■")</f>
        <v>■</v>
      </c>
      <c r="F102" s="14" t="s">
        <v>11041</v>
      </c>
      <c r="G102" s="14">
        <v>59144</v>
      </c>
      <c r="H102" s="14">
        <v>65208</v>
      </c>
      <c r="I102" s="14">
        <v>22</v>
      </c>
      <c r="J102" s="14" t="s">
        <v>104</v>
      </c>
      <c r="K102" s="14" t="s">
        <v>11040</v>
      </c>
      <c r="L102" s="14" t="s">
        <v>11039</v>
      </c>
      <c r="M102" s="14" t="s">
        <v>9158</v>
      </c>
      <c r="N102" s="14" t="s">
        <v>9158</v>
      </c>
      <c r="O102" s="14" t="s">
        <v>9158</v>
      </c>
      <c r="P102" s="14" t="s">
        <v>9158</v>
      </c>
      <c r="Q102" s="14" t="s">
        <v>9158</v>
      </c>
    </row>
    <row r="104" spans="1:17">
      <c r="A104" s="9" t="s">
        <v>11042</v>
      </c>
    </row>
    <row r="105" spans="1:17">
      <c r="A105" s="9" t="s">
        <v>11043</v>
      </c>
    </row>
    <row r="106" spans="1:17">
      <c r="A106" s="14" t="s">
        <v>6030</v>
      </c>
      <c r="B106" s="14" t="s">
        <v>52</v>
      </c>
      <c r="C106" s="14" t="s">
        <v>202</v>
      </c>
      <c r="D106" s="19" t="s">
        <v>10453</v>
      </c>
      <c r="E106" s="15" t="str">
        <f>HYPERLINK("https://stat100.ameba.jp/tnk47/ratio20/illustrations/card/ill_80023_0_hinamatsurikyogokumaria03.jpg?202003-5-RELEASE-marathon-461xxxx", "■")</f>
        <v>■</v>
      </c>
      <c r="F106" s="14" t="s">
        <v>3709</v>
      </c>
      <c r="G106" s="14">
        <v>323430</v>
      </c>
      <c r="H106" s="14">
        <v>357888</v>
      </c>
      <c r="I106" s="14">
        <v>24</v>
      </c>
      <c r="J106" s="14" t="s">
        <v>26</v>
      </c>
      <c r="K106" s="14" t="s">
        <v>3710</v>
      </c>
      <c r="L106" s="14" t="s">
        <v>3711</v>
      </c>
      <c r="M106" s="14" t="s">
        <v>9158</v>
      </c>
      <c r="N106" s="14" t="s">
        <v>9158</v>
      </c>
      <c r="O106" s="19" t="s">
        <v>10116</v>
      </c>
      <c r="P106" s="14" t="s">
        <v>3713</v>
      </c>
      <c r="Q106" s="14">
        <v>1</v>
      </c>
    </row>
    <row r="107" spans="1:17">
      <c r="A107" s="14">
        <v>83083</v>
      </c>
      <c r="B107" s="14" t="s">
        <v>0</v>
      </c>
      <c r="C107" s="14" t="s">
        <v>209</v>
      </c>
      <c r="D107" s="19" t="s">
        <v>10469</v>
      </c>
      <c r="E107" s="15" t="str">
        <f>HYPERLINK("https://stat100.ameba.jp/tnk47/ratio20/illustrations/card/ill_83083_burakkukingu03.jpg?202003-5-RELEASE-marathon-461xxxx", "■")</f>
        <v>■</v>
      </c>
      <c r="F107" s="14" t="s">
        <v>6093</v>
      </c>
      <c r="G107" s="14">
        <v>115656</v>
      </c>
      <c r="H107" s="14">
        <v>159674</v>
      </c>
      <c r="I107" s="14">
        <v>24</v>
      </c>
      <c r="J107" s="14" t="s">
        <v>194</v>
      </c>
      <c r="K107" s="14" t="s">
        <v>6095</v>
      </c>
      <c r="L107" s="14" t="s">
        <v>1148</v>
      </c>
      <c r="M107" s="14" t="s">
        <v>9158</v>
      </c>
      <c r="N107" s="14" t="s">
        <v>9158</v>
      </c>
      <c r="O107" s="19" t="s">
        <v>10117</v>
      </c>
      <c r="P107" s="14" t="s">
        <v>3625</v>
      </c>
      <c r="Q107" s="14">
        <v>1</v>
      </c>
    </row>
    <row r="108" spans="1:17">
      <c r="A108" s="14">
        <v>67643</v>
      </c>
      <c r="B108" s="14" t="s">
        <v>334</v>
      </c>
      <c r="C108" s="14" t="s">
        <v>209</v>
      </c>
      <c r="D108" s="19" t="s">
        <v>3033</v>
      </c>
      <c r="E108" s="15" t="str">
        <f>HYPERLINK("https://stat100.ameba.jp/tnk47/ratio20/illustrations/card/ill_67643_edokarakamichan03.jpg?202003-5-RELEASE-marathon-461xxxx", "■")</f>
        <v>■</v>
      </c>
      <c r="F108" s="6" t="s">
        <v>1196</v>
      </c>
      <c r="G108" s="14">
        <v>113338</v>
      </c>
      <c r="H108" s="14">
        <v>105394</v>
      </c>
      <c r="I108" s="14">
        <v>24</v>
      </c>
      <c r="J108" s="14" t="s">
        <v>26</v>
      </c>
      <c r="K108" s="14" t="s">
        <v>1197</v>
      </c>
      <c r="L108" s="14" t="s">
        <v>1198</v>
      </c>
      <c r="M108" s="14" t="s">
        <v>9158</v>
      </c>
      <c r="N108" s="14" t="s">
        <v>9158</v>
      </c>
      <c r="O108" s="19" t="s">
        <v>3037</v>
      </c>
      <c r="P108" s="14" t="s">
        <v>13128</v>
      </c>
      <c r="Q108" s="14">
        <v>1</v>
      </c>
    </row>
    <row r="109" spans="1:17">
      <c r="A109" s="14">
        <v>62473</v>
      </c>
      <c r="B109" s="14" t="s">
        <v>334</v>
      </c>
      <c r="C109" s="14" t="s">
        <v>203</v>
      </c>
      <c r="D109" s="19" t="s">
        <v>2834</v>
      </c>
      <c r="E109" s="15" t="str">
        <f>HYPERLINK("https://stat100.ameba.jp/tnk47/ratio20/illustrations/card/ill_62473_kokuriko03.jpg?202003-5-RELEASE-marathon-461xxxx", "■")</f>
        <v>■</v>
      </c>
      <c r="F109" s="14" t="s">
        <v>2835</v>
      </c>
      <c r="G109" s="14">
        <v>109554</v>
      </c>
      <c r="H109" s="14">
        <v>79348</v>
      </c>
      <c r="I109" s="14">
        <v>24</v>
      </c>
      <c r="J109" s="14" t="s">
        <v>401</v>
      </c>
      <c r="K109" s="14" t="s">
        <v>2836</v>
      </c>
      <c r="L109" s="14" t="s">
        <v>2837</v>
      </c>
      <c r="M109" s="14" t="s">
        <v>9158</v>
      </c>
      <c r="N109" s="14" t="s">
        <v>9158</v>
      </c>
      <c r="O109" s="19" t="s">
        <v>2838</v>
      </c>
      <c r="P109" s="14" t="s">
        <v>2839</v>
      </c>
      <c r="Q109" s="14">
        <v>1</v>
      </c>
    </row>
    <row r="111" spans="1:17">
      <c r="A111" s="9" t="s">
        <v>195</v>
      </c>
    </row>
    <row r="112" spans="1:17">
      <c r="A112" s="9" t="s">
        <v>3812</v>
      </c>
    </row>
    <row r="113" spans="1:18">
      <c r="A113" s="14">
        <v>84733</v>
      </c>
      <c r="B113" s="14" t="s">
        <v>0</v>
      </c>
      <c r="C113" s="14" t="s">
        <v>154</v>
      </c>
      <c r="D113" s="19" t="s">
        <v>10677</v>
      </c>
      <c r="E113" s="15" t="str">
        <f>HYPERLINK("https://stat100.ameba.jp/tnk47/ratio20/illustrations/card/ill_84733_madadoru03.jpg?202003-5-RELEASE-marathon-461xxxx", "■")</f>
        <v>■</v>
      </c>
      <c r="F113" s="14" t="s">
        <v>7293</v>
      </c>
      <c r="G113" s="14">
        <v>112140</v>
      </c>
      <c r="H113" s="14">
        <v>104266</v>
      </c>
      <c r="I113" s="14">
        <v>26</v>
      </c>
      <c r="J113" s="14" t="s">
        <v>182</v>
      </c>
      <c r="K113" s="14" t="s">
        <v>7296</v>
      </c>
      <c r="L113" s="14" t="s">
        <v>7295</v>
      </c>
      <c r="M113" s="14" t="s">
        <v>9158</v>
      </c>
      <c r="N113" s="14" t="s">
        <v>9158</v>
      </c>
      <c r="O113" s="14" t="s">
        <v>9158</v>
      </c>
      <c r="P113" s="14" t="s">
        <v>9158</v>
      </c>
      <c r="Q113" s="14" t="s">
        <v>9158</v>
      </c>
    </row>
    <row r="114" spans="1:18">
      <c r="A114" s="14">
        <v>84743</v>
      </c>
      <c r="B114" s="14" t="s">
        <v>0</v>
      </c>
      <c r="C114" s="14" t="s">
        <v>158</v>
      </c>
      <c r="D114" s="19" t="s">
        <v>10678</v>
      </c>
      <c r="E114" s="15" t="str">
        <f>HYPERLINK("https://stat100.ameba.jp/tnk47/ratio20/illustrations/card/ill_84743_rinnenonyumpe03.jpg?202003-5-RELEASE-marathon-461xxxx", "■")</f>
        <v>■</v>
      </c>
      <c r="F114" s="14" t="s">
        <v>7294</v>
      </c>
      <c r="G114" s="14">
        <v>112140</v>
      </c>
      <c r="H114" s="14">
        <v>104266</v>
      </c>
      <c r="I114" s="14">
        <v>26</v>
      </c>
      <c r="J114" s="14" t="s">
        <v>169</v>
      </c>
      <c r="K114" s="14" t="s">
        <v>7297</v>
      </c>
      <c r="L114" s="14" t="s">
        <v>7298</v>
      </c>
      <c r="M114" s="14" t="s">
        <v>9158</v>
      </c>
      <c r="N114" s="14" t="s">
        <v>9158</v>
      </c>
      <c r="O114" s="14" t="s">
        <v>9158</v>
      </c>
      <c r="P114" s="14" t="s">
        <v>9158</v>
      </c>
      <c r="Q114" s="14" t="s">
        <v>9158</v>
      </c>
    </row>
    <row r="115" spans="1:18">
      <c r="A115" s="14">
        <v>69883</v>
      </c>
      <c r="B115" s="14" t="s">
        <v>334</v>
      </c>
      <c r="C115" s="14" t="s">
        <v>185</v>
      </c>
      <c r="D115" s="19" t="s">
        <v>10293</v>
      </c>
      <c r="E115" s="15" t="str">
        <f>HYPERLINK("https://stat100.ameba.jp/tnk47/ratio20/illustrations/card/ill_69883_kyupiddotominushihime03.jpg?202003-5-RELEASE-marathon-461xxxx", "■")</f>
        <v>■</v>
      </c>
      <c r="F115" s="14" t="s">
        <v>4142</v>
      </c>
      <c r="G115" s="14">
        <v>98594</v>
      </c>
      <c r="H115" s="14">
        <v>106050</v>
      </c>
      <c r="I115" s="14">
        <v>26</v>
      </c>
      <c r="J115" s="14" t="s">
        <v>169</v>
      </c>
      <c r="K115" s="14" t="s">
        <v>4143</v>
      </c>
      <c r="L115" s="14" t="s">
        <v>13190</v>
      </c>
      <c r="M115" s="14" t="s">
        <v>9158</v>
      </c>
      <c r="N115" s="14" t="s">
        <v>9158</v>
      </c>
      <c r="O115" s="14" t="s">
        <v>9158</v>
      </c>
      <c r="P115" s="14" t="s">
        <v>9158</v>
      </c>
      <c r="Q115" s="14" t="s">
        <v>9158</v>
      </c>
    </row>
    <row r="116" spans="1:18">
      <c r="A116" s="14">
        <v>71833</v>
      </c>
      <c r="B116" s="14" t="s">
        <v>334</v>
      </c>
      <c r="C116" s="14" t="s">
        <v>165</v>
      </c>
      <c r="D116" s="19" t="s">
        <v>10294</v>
      </c>
      <c r="E116" s="15" t="str">
        <f>HYPERLINK("https://stat100.ameba.jp/tnk47/ratio20/illustrations/card/ill_71833_autodoanuregamidoji03.jpg?202003-5-RELEASE-marathon-461xxxx", "■")</f>
        <v>■</v>
      </c>
      <c r="F116" s="14" t="s">
        <v>5291</v>
      </c>
      <c r="G116" s="14">
        <v>100744</v>
      </c>
      <c r="H116" s="14">
        <v>108330</v>
      </c>
      <c r="I116" s="14">
        <v>26</v>
      </c>
      <c r="J116" s="14" t="s">
        <v>320</v>
      </c>
      <c r="K116" s="14" t="s">
        <v>4244</v>
      </c>
      <c r="L116" s="14" t="s">
        <v>4245</v>
      </c>
      <c r="M116" s="14" t="s">
        <v>9158</v>
      </c>
      <c r="N116" s="14" t="s">
        <v>9158</v>
      </c>
      <c r="O116" s="14" t="s">
        <v>9158</v>
      </c>
      <c r="P116" s="14" t="s">
        <v>9158</v>
      </c>
      <c r="Q116" s="14" t="s">
        <v>9158</v>
      </c>
    </row>
    <row r="117" spans="1:18">
      <c r="A117" s="14">
        <v>52973</v>
      </c>
      <c r="B117" s="14" t="s">
        <v>15</v>
      </c>
      <c r="C117" s="14" t="s">
        <v>206</v>
      </c>
      <c r="D117" s="19" t="s">
        <v>10519</v>
      </c>
      <c r="E117" s="15" t="str">
        <f>HYPERLINK("https://stat100.ameba.jp/tnk47/ratio20/illustrations/card/ill_52973_torampuamoronagu03.jpg?202003-5-RELEASE-marathon-461xxxx", "■")</f>
        <v>■</v>
      </c>
      <c r="F117" s="14" t="s">
        <v>6421</v>
      </c>
      <c r="G117" s="14">
        <v>77064</v>
      </c>
      <c r="H117" s="14">
        <v>69898</v>
      </c>
      <c r="I117" s="14">
        <v>26</v>
      </c>
      <c r="J117" s="14" t="s">
        <v>44</v>
      </c>
      <c r="K117" s="14" t="s">
        <v>6419</v>
      </c>
      <c r="L117" s="14" t="s">
        <v>6418</v>
      </c>
      <c r="M117" s="14" t="s">
        <v>9158</v>
      </c>
      <c r="N117" s="14" t="s">
        <v>9158</v>
      </c>
      <c r="O117" s="14" t="s">
        <v>9158</v>
      </c>
      <c r="P117" s="14" t="s">
        <v>9158</v>
      </c>
      <c r="Q117" s="14" t="s">
        <v>9158</v>
      </c>
    </row>
    <row r="118" spans="1:18">
      <c r="A118" s="14">
        <v>52333</v>
      </c>
      <c r="B118" s="14" t="s">
        <v>15</v>
      </c>
      <c r="C118" s="14" t="s">
        <v>200</v>
      </c>
      <c r="D118" s="19" t="s">
        <v>10537</v>
      </c>
      <c r="E118" s="15" t="str">
        <f>HYPERLINK("https://stat100.ameba.jp/tnk47/ratio20/illustrations/card/ill_52333_chichibuyomatsuri03.jpg?202003-5-RELEASE-marathon-461xxxx", "■")</f>
        <v>■</v>
      </c>
      <c r="F118" s="14" t="s">
        <v>3614</v>
      </c>
      <c r="G118" s="14">
        <v>77064</v>
      </c>
      <c r="H118" s="14">
        <v>69898</v>
      </c>
      <c r="I118" s="14">
        <v>26</v>
      </c>
      <c r="J118" s="14" t="s">
        <v>38</v>
      </c>
      <c r="K118" s="14" t="s">
        <v>3615</v>
      </c>
      <c r="L118" s="14" t="s">
        <v>3616</v>
      </c>
      <c r="M118" s="14" t="s">
        <v>9158</v>
      </c>
      <c r="N118" s="14" t="s">
        <v>9158</v>
      </c>
      <c r="O118" s="14" t="s">
        <v>9158</v>
      </c>
      <c r="P118" s="14" t="s">
        <v>9158</v>
      </c>
      <c r="Q118" s="14" t="s">
        <v>9158</v>
      </c>
    </row>
    <row r="119" spans="1:18">
      <c r="A119" s="14">
        <v>51913</v>
      </c>
      <c r="B119" s="14" t="s">
        <v>15</v>
      </c>
      <c r="C119" s="14" t="s">
        <v>191</v>
      </c>
      <c r="D119" s="19" t="s">
        <v>10538</v>
      </c>
      <c r="E119" s="15" t="str">
        <f>HYPERLINK("https://stat100.ameba.jp/tnk47/ratio20/illustrations/card/ill_51913_kemonomizugihamahime03.jpg?202003-5-RELEASE-marathon-461xxxx", "■")</f>
        <v>■</v>
      </c>
      <c r="F119" s="14" t="s">
        <v>6501</v>
      </c>
      <c r="G119" s="14">
        <v>69898</v>
      </c>
      <c r="H119" s="14">
        <v>77064</v>
      </c>
      <c r="I119" s="14">
        <v>26</v>
      </c>
      <c r="J119" s="14" t="s">
        <v>182</v>
      </c>
      <c r="K119" s="14" t="s">
        <v>6500</v>
      </c>
      <c r="L119" s="14" t="s">
        <v>6499</v>
      </c>
      <c r="M119" s="14" t="s">
        <v>9158</v>
      </c>
      <c r="N119" s="14" t="s">
        <v>9158</v>
      </c>
      <c r="O119" s="14" t="s">
        <v>9158</v>
      </c>
      <c r="P119" s="14" t="s">
        <v>9158</v>
      </c>
      <c r="Q119" s="14" t="s">
        <v>9158</v>
      </c>
    </row>
    <row r="120" spans="1:18">
      <c r="A120" s="14">
        <v>51833</v>
      </c>
      <c r="B120" s="14" t="s">
        <v>15</v>
      </c>
      <c r="C120" s="14" t="s">
        <v>205</v>
      </c>
      <c r="D120" s="19" t="s">
        <v>10493</v>
      </c>
      <c r="E120" s="15" t="str">
        <f>HYPERLINK("https://stat100.ameba.jp/tnk47/ratio20/illustrations/card/ill_51833_jukimakitsuhikonomikoto03.jpg?202003-5-RELEASE-marathon-461xxxx", "■")</f>
        <v>■</v>
      </c>
      <c r="F120" s="14" t="s">
        <v>6254</v>
      </c>
      <c r="G120" s="14">
        <v>77064</v>
      </c>
      <c r="H120" s="14">
        <v>69898</v>
      </c>
      <c r="I120" s="14">
        <v>26</v>
      </c>
      <c r="J120" s="14" t="s">
        <v>44</v>
      </c>
      <c r="K120" s="14" t="s">
        <v>6257</v>
      </c>
      <c r="L120" s="14" t="s">
        <v>6256</v>
      </c>
      <c r="M120" s="14" t="s">
        <v>9158</v>
      </c>
      <c r="N120" s="14" t="s">
        <v>9158</v>
      </c>
      <c r="O120" s="14" t="s">
        <v>9158</v>
      </c>
      <c r="P120" s="14" t="s">
        <v>9158</v>
      </c>
      <c r="Q120" s="14" t="s">
        <v>9158</v>
      </c>
    </row>
    <row r="122" spans="1:18">
      <c r="A122" s="7" t="s">
        <v>13327</v>
      </c>
      <c r="B122" s="7"/>
      <c r="C122" s="7"/>
      <c r="D122" s="7"/>
      <c r="E122" s="7"/>
      <c r="F122" s="7"/>
      <c r="G122" s="7"/>
      <c r="H122" s="7"/>
      <c r="I122" s="7"/>
      <c r="J122" s="7"/>
      <c r="K122" s="7"/>
      <c r="L122" s="7"/>
      <c r="M122" s="7"/>
      <c r="N122" s="7"/>
      <c r="O122" s="7"/>
      <c r="P122" s="7"/>
      <c r="Q122" s="7"/>
      <c r="R122" s="7"/>
    </row>
    <row r="123" spans="1:18">
      <c r="A123" s="7" t="s">
        <v>11494</v>
      </c>
      <c r="B123" s="7"/>
      <c r="C123" s="7"/>
      <c r="D123" s="7"/>
      <c r="E123" s="7"/>
      <c r="F123" s="7"/>
      <c r="G123" s="7"/>
      <c r="H123" s="7"/>
      <c r="I123" s="7"/>
      <c r="J123" s="7"/>
      <c r="K123" s="7"/>
      <c r="L123" s="7"/>
      <c r="M123" s="7"/>
      <c r="N123" s="7"/>
      <c r="O123" s="7"/>
      <c r="P123" s="7"/>
      <c r="Q123" s="7"/>
      <c r="R123" s="7"/>
    </row>
    <row r="124" spans="1:18">
      <c r="A124" s="14">
        <v>86063</v>
      </c>
      <c r="B124" s="14" t="s">
        <v>334</v>
      </c>
      <c r="C124" s="14" t="s">
        <v>14</v>
      </c>
      <c r="D124" s="19" t="s">
        <v>10818</v>
      </c>
      <c r="E124" s="15" t="str">
        <f>HYPERLINK("https://stat100.ameba.jp/tnk47/ratio20/illustrations/card/ill_86063_uotchimeika03.jpg?202003-5-RELEASE-marathon-461xxxx", "■")</f>
        <v>■</v>
      </c>
      <c r="F124" s="14" t="s">
        <v>8368</v>
      </c>
      <c r="G124" s="14">
        <v>119006</v>
      </c>
      <c r="H124" s="14">
        <v>128000</v>
      </c>
      <c r="I124" s="14">
        <v>26</v>
      </c>
      <c r="J124" s="14" t="s">
        <v>173</v>
      </c>
      <c r="K124" s="14" t="s">
        <v>8367</v>
      </c>
      <c r="L124" s="14" t="s">
        <v>8366</v>
      </c>
      <c r="M124" s="14" t="s">
        <v>13130</v>
      </c>
      <c r="N124" s="14" t="s">
        <v>343</v>
      </c>
      <c r="O124" s="14" t="s">
        <v>9158</v>
      </c>
      <c r="P124" s="14" t="s">
        <v>9158</v>
      </c>
      <c r="Q124" s="14" t="s">
        <v>9158</v>
      </c>
      <c r="R124" s="14" t="s">
        <v>14748</v>
      </c>
    </row>
    <row r="125" spans="1:18">
      <c r="A125" s="14">
        <v>86062</v>
      </c>
      <c r="B125" s="14" t="s">
        <v>334</v>
      </c>
      <c r="C125" s="14" t="s">
        <v>14</v>
      </c>
      <c r="D125" s="19" t="s">
        <v>10818</v>
      </c>
      <c r="E125" s="15" t="str">
        <f>HYPERLINK("https://stat100.ameba.jp/tnk47/ratio20/illustrations/card/ill_86062_uotchimeika02.jpg?202003-5-RELEASE-marathon-461xxxx", "■")</f>
        <v>■</v>
      </c>
      <c r="F125" s="14" t="s">
        <v>8368</v>
      </c>
      <c r="G125" s="14">
        <v>98566</v>
      </c>
      <c r="H125" s="14">
        <v>107000</v>
      </c>
      <c r="I125" s="14">
        <v>26</v>
      </c>
      <c r="J125" s="14" t="s">
        <v>173</v>
      </c>
      <c r="K125" s="14" t="s">
        <v>8367</v>
      </c>
      <c r="L125" s="14" t="s">
        <v>8366</v>
      </c>
      <c r="M125" s="14" t="s">
        <v>13131</v>
      </c>
      <c r="N125" s="14" t="s">
        <v>251</v>
      </c>
      <c r="O125" s="14" t="s">
        <v>9158</v>
      </c>
      <c r="P125" s="14" t="s">
        <v>9158</v>
      </c>
      <c r="Q125" s="14" t="s">
        <v>9158</v>
      </c>
      <c r="R125" s="14" t="s">
        <v>14748</v>
      </c>
    </row>
    <row r="126" spans="1:18">
      <c r="A126" s="14">
        <v>86061</v>
      </c>
      <c r="B126" s="14" t="s">
        <v>0</v>
      </c>
      <c r="C126" s="14" t="s">
        <v>14</v>
      </c>
      <c r="D126" s="19" t="s">
        <v>10818</v>
      </c>
      <c r="E126" s="15" t="str">
        <f>HYPERLINK("https://stat100.ameba.jp/tnk47/ratio20/illustrations/card/ill_86061_uotchimeika01.jpg?202003-5-RELEASE-marathon-461xxxx", "■")</f>
        <v>■</v>
      </c>
      <c r="F126" s="14" t="s">
        <v>8368</v>
      </c>
      <c r="G126" s="14">
        <v>76050</v>
      </c>
      <c r="H126" s="14">
        <v>81692</v>
      </c>
      <c r="I126" s="14">
        <v>26</v>
      </c>
      <c r="J126" s="14" t="s">
        <v>173</v>
      </c>
      <c r="K126" s="14" t="s">
        <v>8367</v>
      </c>
      <c r="L126" s="14" t="s">
        <v>8366</v>
      </c>
      <c r="M126" s="14" t="s">
        <v>13131</v>
      </c>
      <c r="N126" s="14" t="s">
        <v>251</v>
      </c>
      <c r="O126" s="14" t="s">
        <v>9158</v>
      </c>
      <c r="P126" s="14" t="s">
        <v>9158</v>
      </c>
      <c r="Q126" s="14" t="s">
        <v>9158</v>
      </c>
      <c r="R126" s="14" t="s">
        <v>14748</v>
      </c>
    </row>
    <row r="127" spans="1:18">
      <c r="A127" s="14">
        <v>86073</v>
      </c>
      <c r="B127" s="14" t="s">
        <v>334</v>
      </c>
      <c r="C127" s="14" t="s">
        <v>23</v>
      </c>
      <c r="D127" s="19" t="s">
        <v>10819</v>
      </c>
      <c r="E127" s="15" t="str">
        <f>HYPERLINK("https://stat100.ameba.jp/tnk47/ratio20/illustrations/card/ill_86073_maddohatta03.jpg?202003-5-RELEASE-marathon-461xxxx", "■")</f>
        <v>■</v>
      </c>
      <c r="F127" s="14" t="s">
        <v>8371</v>
      </c>
      <c r="G127" s="14">
        <v>119006</v>
      </c>
      <c r="H127" s="14">
        <v>128000</v>
      </c>
      <c r="I127" s="14">
        <v>26</v>
      </c>
      <c r="J127" s="14" t="s">
        <v>155</v>
      </c>
      <c r="K127" s="14" t="s">
        <v>8370</v>
      </c>
      <c r="L127" s="14" t="s">
        <v>8369</v>
      </c>
      <c r="M127" s="14" t="s">
        <v>13130</v>
      </c>
      <c r="N127" s="14" t="s">
        <v>343</v>
      </c>
      <c r="O127" s="14" t="s">
        <v>9158</v>
      </c>
      <c r="P127" s="14" t="s">
        <v>9158</v>
      </c>
      <c r="Q127" s="14" t="s">
        <v>9158</v>
      </c>
      <c r="R127" s="14" t="s">
        <v>14748</v>
      </c>
    </row>
    <row r="128" spans="1:18">
      <c r="A128" s="14">
        <v>86083</v>
      </c>
      <c r="B128" s="14" t="s">
        <v>334</v>
      </c>
      <c r="C128" s="14" t="s">
        <v>101</v>
      </c>
      <c r="D128" s="19" t="s">
        <v>10820</v>
      </c>
      <c r="E128" s="15" t="str">
        <f>HYPERLINK("https://stat100.ameba.jp/tnk47/ratio20/illustrations/card/ill_86083_keieinochojomeruro03.jpg?202003-5-RELEASE-marathon-461xxxx", "■")</f>
        <v>■</v>
      </c>
      <c r="F128" s="14" t="s">
        <v>8375</v>
      </c>
      <c r="G128" s="14">
        <v>128000</v>
      </c>
      <c r="H128" s="14">
        <v>119006</v>
      </c>
      <c r="I128" s="14">
        <v>26</v>
      </c>
      <c r="J128" s="14" t="s">
        <v>229</v>
      </c>
      <c r="K128" s="14" t="s">
        <v>8374</v>
      </c>
      <c r="L128" s="14" t="s">
        <v>8373</v>
      </c>
      <c r="M128" s="14" t="s">
        <v>13130</v>
      </c>
      <c r="N128" s="14" t="s">
        <v>343</v>
      </c>
      <c r="O128" s="14" t="s">
        <v>9158</v>
      </c>
      <c r="P128" s="14" t="s">
        <v>9158</v>
      </c>
      <c r="Q128" s="14" t="s">
        <v>9158</v>
      </c>
      <c r="R128" s="14" t="s">
        <v>14748</v>
      </c>
    </row>
    <row r="129" spans="1:18">
      <c r="A129" s="14">
        <v>86093</v>
      </c>
      <c r="B129" s="14" t="s">
        <v>0</v>
      </c>
      <c r="C129" s="14" t="s">
        <v>96</v>
      </c>
      <c r="D129" s="19" t="s">
        <v>10821</v>
      </c>
      <c r="E129" s="15" t="str">
        <f>HYPERLINK("https://stat100.ameba.jp/tnk47/ratio20/illustrations/card/ill_86093_minamotonoyoshimitsu03.jpg?202003-5-RELEASE-marathon-461xxxx", "■")</f>
        <v>■</v>
      </c>
      <c r="F129" s="14" t="s">
        <v>8379</v>
      </c>
      <c r="G129" s="14">
        <v>128000</v>
      </c>
      <c r="H129" s="14">
        <v>119006</v>
      </c>
      <c r="I129" s="14">
        <v>26</v>
      </c>
      <c r="J129" s="14" t="s">
        <v>194</v>
      </c>
      <c r="K129" s="14" t="s">
        <v>8377</v>
      </c>
      <c r="L129" s="14" t="s">
        <v>8376</v>
      </c>
      <c r="M129" s="14" t="s">
        <v>13130</v>
      </c>
      <c r="N129" s="14" t="s">
        <v>343</v>
      </c>
      <c r="O129" s="14" t="s">
        <v>9158</v>
      </c>
      <c r="P129" s="14" t="s">
        <v>9158</v>
      </c>
      <c r="Q129" s="14" t="s">
        <v>9158</v>
      </c>
      <c r="R129" s="14" t="s">
        <v>14748</v>
      </c>
    </row>
    <row r="130" spans="1:18">
      <c r="A130" s="14">
        <v>86103</v>
      </c>
      <c r="B130" s="14" t="s">
        <v>334</v>
      </c>
      <c r="C130" s="14" t="s">
        <v>205</v>
      </c>
      <c r="D130" s="19" t="s">
        <v>10822</v>
      </c>
      <c r="E130" s="15" t="str">
        <f>HYPERLINK("https://stat100.ameba.jp/tnk47/ratio20/illustrations/card/ill_86103_omatsudaimyojin03.jpg?202003-5-RELEASE-marathon-461xxxx", "■")</f>
        <v>■</v>
      </c>
      <c r="F130" s="14" t="s">
        <v>8383</v>
      </c>
      <c r="G130" s="14">
        <v>128000</v>
      </c>
      <c r="H130" s="14">
        <v>119006</v>
      </c>
      <c r="I130" s="14">
        <v>26</v>
      </c>
      <c r="J130" s="14" t="s">
        <v>169</v>
      </c>
      <c r="K130" s="14" t="s">
        <v>8381</v>
      </c>
      <c r="L130" s="14" t="s">
        <v>8380</v>
      </c>
      <c r="M130" s="14" t="s">
        <v>13130</v>
      </c>
      <c r="N130" s="14" t="s">
        <v>343</v>
      </c>
      <c r="O130" s="14" t="s">
        <v>9158</v>
      </c>
      <c r="P130" s="14" t="s">
        <v>9158</v>
      </c>
      <c r="Q130" s="14" t="s">
        <v>9158</v>
      </c>
      <c r="R130" s="14" t="s">
        <v>14748</v>
      </c>
    </row>
    <row r="131" spans="1:18">
      <c r="A131" s="14">
        <v>86113</v>
      </c>
      <c r="B131" s="14" t="s">
        <v>334</v>
      </c>
      <c r="C131" s="14" t="s">
        <v>107</v>
      </c>
      <c r="D131" s="19" t="s">
        <v>10823</v>
      </c>
      <c r="E131" s="15" t="str">
        <f>HYPERLINK("https://stat100.ameba.jp/tnk47/ratio20/illustrations/card/ill_86113_yuno03.jpg?202003-5-RELEASE-marathon-461xxxx", "■")</f>
        <v>■</v>
      </c>
      <c r="F131" s="14" t="s">
        <v>8387</v>
      </c>
      <c r="G131" s="14">
        <v>119006</v>
      </c>
      <c r="H131" s="14">
        <v>128000</v>
      </c>
      <c r="I131" s="14">
        <v>26</v>
      </c>
      <c r="J131" s="14" t="s">
        <v>159</v>
      </c>
      <c r="K131" s="14" t="s">
        <v>8385</v>
      </c>
      <c r="L131" s="14" t="s">
        <v>8384</v>
      </c>
      <c r="M131" s="14" t="s">
        <v>13130</v>
      </c>
      <c r="N131" s="14" t="s">
        <v>343</v>
      </c>
      <c r="O131" s="14" t="s">
        <v>9158</v>
      </c>
      <c r="P131" s="14" t="s">
        <v>9158</v>
      </c>
      <c r="Q131" s="14" t="s">
        <v>9158</v>
      </c>
      <c r="R131" s="14" t="s">
        <v>14748</v>
      </c>
    </row>
    <row r="133" spans="1:18">
      <c r="A133" s="9" t="s">
        <v>12987</v>
      </c>
    </row>
    <row r="134" spans="1:18">
      <c r="A134" s="9" t="s">
        <v>11495</v>
      </c>
    </row>
    <row r="135" spans="1:18">
      <c r="A135" s="9" t="s">
        <v>11496</v>
      </c>
    </row>
    <row r="136" spans="1:18">
      <c r="A136" s="9" t="s">
        <v>11908</v>
      </c>
    </row>
    <row r="137" spans="1:18">
      <c r="A137" s="14" t="s">
        <v>5601</v>
      </c>
      <c r="B137" s="14" t="s">
        <v>330</v>
      </c>
      <c r="C137" s="14" t="s">
        <v>35</v>
      </c>
      <c r="D137" s="19" t="s">
        <v>10318</v>
      </c>
      <c r="E137" s="15" t="str">
        <f>HYPERLINK("https://stat100.ameba.jp/tnk47/ratio20/illustrations/card/ill_82423_0_bikinigarukishi03.jpg?202003-5-RELEASE-marathon-461xxxx", "■")</f>
        <v>■</v>
      </c>
      <c r="F137" s="14" t="s">
        <v>5391</v>
      </c>
      <c r="G137" s="14">
        <v>302708</v>
      </c>
      <c r="H137" s="14">
        <v>273591</v>
      </c>
      <c r="I137" s="14">
        <v>25</v>
      </c>
      <c r="J137" s="14" t="s">
        <v>77</v>
      </c>
      <c r="K137" s="14" t="s">
        <v>5392</v>
      </c>
      <c r="L137" s="14" t="s">
        <v>5393</v>
      </c>
      <c r="M137" s="14" t="s">
        <v>9158</v>
      </c>
      <c r="N137" s="14" t="s">
        <v>9158</v>
      </c>
      <c r="O137" s="19" t="s">
        <v>10069</v>
      </c>
      <c r="P137" s="14" t="s">
        <v>5394</v>
      </c>
      <c r="Q137" s="14">
        <v>1</v>
      </c>
    </row>
    <row r="138" spans="1:18">
      <c r="A138" s="14" t="s">
        <v>5963</v>
      </c>
      <c r="B138" s="14" t="s">
        <v>330</v>
      </c>
      <c r="C138" s="14" t="s">
        <v>35</v>
      </c>
      <c r="D138" s="19" t="s">
        <v>10438</v>
      </c>
      <c r="E138" s="15" t="str">
        <f>HYPERLINK("https://stat100.ameba.jp/tnk47/ratio20/illustrations/card/ill_82963_0_yukatamatsuritomokazuki03.jpg?202003-5-RELEASE-marathon-461xxxx", "■")</f>
        <v>■</v>
      </c>
      <c r="F138" s="14" t="s">
        <v>5964</v>
      </c>
      <c r="G138" s="14">
        <v>297801</v>
      </c>
      <c r="H138" s="14">
        <v>329511</v>
      </c>
      <c r="I138" s="14">
        <v>25</v>
      </c>
      <c r="J138" s="14" t="s">
        <v>73</v>
      </c>
      <c r="K138" s="14" t="s">
        <v>5966</v>
      </c>
      <c r="L138" s="14" t="s">
        <v>5967</v>
      </c>
      <c r="M138" s="14" t="s">
        <v>9158</v>
      </c>
      <c r="N138" s="14" t="s">
        <v>9158</v>
      </c>
      <c r="O138" s="19" t="s">
        <v>10115</v>
      </c>
      <c r="P138" s="14" t="s">
        <v>5968</v>
      </c>
      <c r="Q138" s="14">
        <v>1</v>
      </c>
    </row>
    <row r="139" spans="1:18">
      <c r="A139" s="14" t="s">
        <v>6598</v>
      </c>
      <c r="B139" s="14" t="s">
        <v>330</v>
      </c>
      <c r="C139" s="14" t="s">
        <v>35</v>
      </c>
      <c r="D139" s="19" t="s">
        <v>10555</v>
      </c>
      <c r="E139" s="15" t="str">
        <f>HYPERLINK("https://stat100.ameba.jp/tnk47/ratio20/illustrations/card/ill_83553_0_kajuenamoronagu03.jpg?202003-5-RELEASE-marathon-461xxxx", "■")</f>
        <v>■</v>
      </c>
      <c r="F139" s="14" t="s">
        <v>6597</v>
      </c>
      <c r="G139" s="14">
        <v>263165</v>
      </c>
      <c r="H139" s="14">
        <v>291184</v>
      </c>
      <c r="I139" s="14">
        <v>25</v>
      </c>
      <c r="J139" s="14" t="s">
        <v>44</v>
      </c>
      <c r="K139" s="14" t="s">
        <v>6595</v>
      </c>
      <c r="L139" s="14" t="s">
        <v>6594</v>
      </c>
      <c r="M139" s="14" t="s">
        <v>9158</v>
      </c>
      <c r="N139" s="14" t="s">
        <v>9158</v>
      </c>
      <c r="O139" s="19" t="s">
        <v>10125</v>
      </c>
      <c r="P139" s="14" t="s">
        <v>6599</v>
      </c>
      <c r="Q139" s="14">
        <v>1</v>
      </c>
    </row>
    <row r="140" spans="1:18">
      <c r="A140" s="14" t="s">
        <v>6508</v>
      </c>
      <c r="B140" s="14" t="s">
        <v>330</v>
      </c>
      <c r="C140" s="14" t="s">
        <v>35</v>
      </c>
      <c r="D140" s="19" t="s">
        <v>10168</v>
      </c>
      <c r="E140" s="15" t="str">
        <f>HYPERLINK("https://stat100.ameba.jp/tnk47/ratio20/illustrations/card/ill_81783_0_denshagarukoteipenginchan03.jpg?202003-5-RELEASE-marathon-461xxxx", "■")</f>
        <v>■</v>
      </c>
      <c r="F140" s="14" t="s">
        <v>4834</v>
      </c>
      <c r="G140" s="14">
        <v>290731</v>
      </c>
      <c r="H140" s="14">
        <v>262745</v>
      </c>
      <c r="I140" s="14">
        <v>25</v>
      </c>
      <c r="J140" s="14" t="s">
        <v>26</v>
      </c>
      <c r="K140" s="14" t="s">
        <v>4836</v>
      </c>
      <c r="L140" s="14" t="s">
        <v>1783</v>
      </c>
      <c r="M140" s="14" t="s">
        <v>9158</v>
      </c>
      <c r="N140" s="14" t="s">
        <v>9158</v>
      </c>
      <c r="O140" s="19" t="s">
        <v>10124</v>
      </c>
      <c r="P140" s="14" t="s">
        <v>4838</v>
      </c>
      <c r="Q140" s="14">
        <v>1</v>
      </c>
    </row>
    <row r="141" spans="1:18">
      <c r="A141" s="14" t="s">
        <v>7150</v>
      </c>
      <c r="B141" s="14" t="s">
        <v>52</v>
      </c>
      <c r="C141" s="14" t="s">
        <v>202</v>
      </c>
      <c r="D141" s="19" t="s">
        <v>10656</v>
      </c>
      <c r="E141" s="15" t="str">
        <f>HYPERLINK("https://stat100.ameba.jp/tnk47/ratio20/illustrations/card/ill_84203_0_tarottofujiwaranoshoshi03.jpg?202003-5-RELEASE-marathon-461xxxx", "■")</f>
        <v>■</v>
      </c>
      <c r="F141" s="14" t="s">
        <v>7153</v>
      </c>
      <c r="G141" s="14">
        <v>367968</v>
      </c>
      <c r="H141" s="14">
        <v>332590</v>
      </c>
      <c r="I141" s="14">
        <v>25</v>
      </c>
      <c r="J141" s="14" t="s">
        <v>10</v>
      </c>
      <c r="K141" s="14" t="s">
        <v>7152</v>
      </c>
      <c r="L141" s="14" t="s">
        <v>7151</v>
      </c>
      <c r="M141" s="14" t="s">
        <v>9158</v>
      </c>
      <c r="N141" s="14" t="s">
        <v>9158</v>
      </c>
      <c r="O141" s="19" t="s">
        <v>10128</v>
      </c>
      <c r="P141" s="14" t="s">
        <v>7154</v>
      </c>
      <c r="Q141" s="14">
        <v>1</v>
      </c>
    </row>
    <row r="142" spans="1:18">
      <c r="A142" s="14" t="s">
        <v>7789</v>
      </c>
      <c r="B142" s="14" t="s">
        <v>52</v>
      </c>
      <c r="C142" s="14" t="s">
        <v>202</v>
      </c>
      <c r="D142" s="19" t="s">
        <v>10741</v>
      </c>
      <c r="E142" s="15" t="str">
        <f>HYPERLINK("https://stat100.ameba.jp/tnk47/ratio20/illustrations/card/ill_84923_0_onsengainansosatomihakkenden03.jpg?202003-5-RELEASE-marathon-461xxxx", "■")</f>
        <v>■</v>
      </c>
      <c r="F142" s="14" t="s">
        <v>7792</v>
      </c>
      <c r="G142" s="14">
        <v>288811</v>
      </c>
      <c r="H142" s="14">
        <v>319547</v>
      </c>
      <c r="I142" s="14">
        <v>25</v>
      </c>
      <c r="J142" s="14" t="s">
        <v>155</v>
      </c>
      <c r="K142" s="14" t="s">
        <v>7791</v>
      </c>
      <c r="L142" s="14" t="s">
        <v>7790</v>
      </c>
      <c r="M142" s="14" t="s">
        <v>9158</v>
      </c>
      <c r="N142" s="14" t="s">
        <v>9158</v>
      </c>
      <c r="O142" s="19" t="s">
        <v>10131</v>
      </c>
      <c r="P142" s="14" t="s">
        <v>7793</v>
      </c>
      <c r="Q142" s="14">
        <v>0</v>
      </c>
    </row>
    <row r="143" spans="1:18">
      <c r="A143" s="14">
        <v>83791</v>
      </c>
      <c r="B143" s="14" t="s">
        <v>0</v>
      </c>
      <c r="C143" s="14" t="s">
        <v>185</v>
      </c>
      <c r="D143" s="19" t="s">
        <v>10606</v>
      </c>
      <c r="E143" s="15" t="str">
        <f>HYPERLINK("https://stat100.ameba.jp/tnk47/ratio20/illustrations/card/ill_83791_danjirisakurambochan01.jpg?202003-5-RELEASE-marathon-461xxxx", "■")</f>
        <v>■</v>
      </c>
      <c r="F143" s="14" t="s">
        <v>6872</v>
      </c>
      <c r="G143" s="14">
        <v>72956</v>
      </c>
      <c r="H143" s="14">
        <v>78364</v>
      </c>
      <c r="I143" s="14">
        <v>26</v>
      </c>
      <c r="J143" s="14" t="s">
        <v>104</v>
      </c>
      <c r="K143" s="14" t="s">
        <v>6870</v>
      </c>
      <c r="L143" s="14" t="s">
        <v>11504</v>
      </c>
      <c r="M143" s="14" t="s">
        <v>9158</v>
      </c>
      <c r="N143" s="14" t="s">
        <v>9158</v>
      </c>
      <c r="O143" s="14" t="s">
        <v>9158</v>
      </c>
      <c r="P143" s="14" t="s">
        <v>9158</v>
      </c>
      <c r="Q143" s="14" t="s">
        <v>9158</v>
      </c>
      <c r="R143" s="9" t="s">
        <v>11498</v>
      </c>
    </row>
    <row r="144" spans="1:18">
      <c r="A144" s="7">
        <v>78391</v>
      </c>
      <c r="B144" s="14" t="s">
        <v>0</v>
      </c>
      <c r="C144" s="14" t="s">
        <v>200</v>
      </c>
      <c r="D144" s="19" t="s">
        <v>10277</v>
      </c>
      <c r="E144" s="15" t="str">
        <f>HYPERLINK("https://stat100.ameba.jp/tnk47/ratio20/illustrations/card/ill_78391_nemmatsuosojichibaeijiro01.jpg?202003-5-RELEASE-marathon-461xxxx", "■")</f>
        <v>■</v>
      </c>
      <c r="F144" s="14" t="s">
        <v>2666</v>
      </c>
      <c r="G144" s="14">
        <v>98644</v>
      </c>
      <c r="H144" s="14">
        <v>91832</v>
      </c>
      <c r="I144" s="14">
        <v>26</v>
      </c>
      <c r="J144" s="14" t="s">
        <v>143</v>
      </c>
      <c r="K144" s="14" t="s">
        <v>2667</v>
      </c>
      <c r="L144" s="14" t="s">
        <v>11503</v>
      </c>
      <c r="M144" s="14" t="s">
        <v>9158</v>
      </c>
      <c r="N144" s="14" t="s">
        <v>9158</v>
      </c>
      <c r="O144" s="14" t="s">
        <v>9158</v>
      </c>
      <c r="P144" s="14" t="s">
        <v>9158</v>
      </c>
      <c r="Q144" s="14" t="s">
        <v>9158</v>
      </c>
      <c r="R144" s="9" t="s">
        <v>11498</v>
      </c>
    </row>
    <row r="145" spans="1:18">
      <c r="A145" s="14">
        <v>84681</v>
      </c>
      <c r="B145" s="14" t="s">
        <v>0</v>
      </c>
      <c r="C145" s="14" t="s">
        <v>191</v>
      </c>
      <c r="D145" s="19" t="s">
        <v>10644</v>
      </c>
      <c r="E145" s="15" t="str">
        <f>HYPERLINK("https://stat100.ameba.jp/tnk47/ratio20/illustrations/card/ill_84681_kyupiddodainokata01.jpg?202003-5-RELEASE-marathon-461xxxx", "■")</f>
        <v>■</v>
      </c>
      <c r="F145" s="14" t="s">
        <v>7081</v>
      </c>
      <c r="G145" s="14">
        <v>60320</v>
      </c>
      <c r="H145" s="14">
        <v>64818</v>
      </c>
      <c r="I145" s="14">
        <v>26</v>
      </c>
      <c r="J145" s="14" t="s">
        <v>10</v>
      </c>
      <c r="K145" s="14" t="s">
        <v>5100</v>
      </c>
      <c r="L145" s="14" t="s">
        <v>11502</v>
      </c>
      <c r="M145" s="14" t="s">
        <v>9158</v>
      </c>
      <c r="N145" s="14" t="s">
        <v>9158</v>
      </c>
      <c r="O145" s="14" t="s">
        <v>9158</v>
      </c>
      <c r="P145" s="14" t="s">
        <v>9158</v>
      </c>
      <c r="Q145" s="14" t="s">
        <v>9158</v>
      </c>
      <c r="R145" s="9" t="s">
        <v>11498</v>
      </c>
    </row>
    <row r="146" spans="1:18">
      <c r="A146" s="14">
        <v>81231</v>
      </c>
      <c r="B146" s="14" t="s">
        <v>334</v>
      </c>
      <c r="C146" s="14" t="s">
        <v>165</v>
      </c>
      <c r="D146" s="20" t="s">
        <v>10734</v>
      </c>
      <c r="E146" s="15" t="str">
        <f>HYPERLINK("https://stat100.ameba.jp/tnk47/ratio20/illustrations/card/ill_81231_sakasutengaihata01.jpg?202003-5-RELEASE-marathon-461xxxx", "■")</f>
        <v>■</v>
      </c>
      <c r="F146" s="14" t="s">
        <v>4547</v>
      </c>
      <c r="G146" s="14">
        <v>67678</v>
      </c>
      <c r="H146" s="14">
        <v>62998</v>
      </c>
      <c r="I146" s="14">
        <v>26</v>
      </c>
      <c r="J146" s="14" t="s">
        <v>44</v>
      </c>
      <c r="K146" s="14" t="s">
        <v>4548</v>
      </c>
      <c r="L146" s="14" t="s">
        <v>11501</v>
      </c>
      <c r="M146" s="14" t="s">
        <v>9158</v>
      </c>
      <c r="N146" s="14" t="s">
        <v>9158</v>
      </c>
      <c r="O146" s="14" t="s">
        <v>9158</v>
      </c>
      <c r="P146" s="14" t="s">
        <v>9158</v>
      </c>
      <c r="Q146" s="14" t="s">
        <v>9158</v>
      </c>
      <c r="R146" s="9" t="s">
        <v>11498</v>
      </c>
    </row>
    <row r="147" spans="1:18">
      <c r="A147" s="14">
        <v>78761</v>
      </c>
      <c r="B147" s="14" t="s">
        <v>334</v>
      </c>
      <c r="C147" s="14" t="s">
        <v>205</v>
      </c>
      <c r="D147" s="19" t="s">
        <v>2853</v>
      </c>
      <c r="E147" s="15" t="str">
        <f>HYPERLINK("https://stat100.ameba.jp/tnk47/ratio20/illustrations/card/ill_78761_shichifukujinorochinomusha01.jpg?202003-5-RELEASE-marathon-461xxxx", "■")</f>
        <v>■</v>
      </c>
      <c r="F147" s="14" t="s">
        <v>2854</v>
      </c>
      <c r="G147" s="14">
        <v>91832</v>
      </c>
      <c r="H147" s="14">
        <v>98644</v>
      </c>
      <c r="I147" s="14">
        <v>26</v>
      </c>
      <c r="J147" s="14" t="s">
        <v>310</v>
      </c>
      <c r="K147" s="14" t="s">
        <v>2855</v>
      </c>
      <c r="L147" s="14" t="s">
        <v>11500</v>
      </c>
      <c r="M147" s="14" t="s">
        <v>9158</v>
      </c>
      <c r="N147" s="14" t="s">
        <v>9158</v>
      </c>
      <c r="O147" s="14" t="s">
        <v>9158</v>
      </c>
      <c r="P147" s="14" t="s">
        <v>9158</v>
      </c>
      <c r="Q147" s="14" t="s">
        <v>9158</v>
      </c>
      <c r="R147" s="9" t="s">
        <v>11498</v>
      </c>
    </row>
    <row r="148" spans="1:18">
      <c r="A148" s="14">
        <v>84031</v>
      </c>
      <c r="B148" s="14" t="s">
        <v>0</v>
      </c>
      <c r="C148" s="14" t="s">
        <v>344</v>
      </c>
      <c r="D148" s="20" t="s">
        <v>10533</v>
      </c>
      <c r="E148" s="15" t="str">
        <f>HYPERLINK("https://stat100.ameba.jp/tnk47/ratio20/illustrations/card/ill_84031_ogiyaka01.jpg?202003-5-RELEASE-marathon-461xxxx", "■")</f>
        <v>■</v>
      </c>
      <c r="F148" s="14" t="s">
        <v>6479</v>
      </c>
      <c r="G148" s="14">
        <v>60320</v>
      </c>
      <c r="H148" s="14">
        <v>64818</v>
      </c>
      <c r="I148" s="14">
        <v>26</v>
      </c>
      <c r="J148" s="14" t="s">
        <v>77</v>
      </c>
      <c r="K148" s="14" t="s">
        <v>6477</v>
      </c>
      <c r="L148" s="14" t="s">
        <v>11499</v>
      </c>
      <c r="M148" s="14" t="s">
        <v>9158</v>
      </c>
      <c r="N148" s="14" t="s">
        <v>9158</v>
      </c>
      <c r="O148" s="14" t="s">
        <v>9158</v>
      </c>
      <c r="P148" s="14" t="s">
        <v>9158</v>
      </c>
      <c r="Q148" s="14" t="s">
        <v>9158</v>
      </c>
      <c r="R148" s="9" t="s">
        <v>11498</v>
      </c>
    </row>
    <row r="150" spans="1:18">
      <c r="A150" s="9" t="s">
        <v>11510</v>
      </c>
    </row>
    <row r="151" spans="1:18">
      <c r="A151" s="9" t="s">
        <v>3828</v>
      </c>
    </row>
    <row r="152" spans="1:18">
      <c r="A152" s="9" t="s">
        <v>11480</v>
      </c>
    </row>
    <row r="153" spans="1:18">
      <c r="A153" s="9" t="s">
        <v>9891</v>
      </c>
      <c r="B153" s="7" t="s">
        <v>52</v>
      </c>
      <c r="C153" s="9" t="s">
        <v>202</v>
      </c>
      <c r="D153" s="6" t="s">
        <v>9978</v>
      </c>
      <c r="E153" s="15" t="str">
        <f>HYPERLINK("https://stat100.ameba.jp/tnk47/ratio20/illustrations/card/ill_87643_0_oendanotohime03.jpg?202003-5-RELEASE-marathon-461xxxx", "■")</f>
        <v>■</v>
      </c>
      <c r="F153" s="14" t="s">
        <v>9928</v>
      </c>
      <c r="G153" s="9">
        <v>208264</v>
      </c>
      <c r="H153" s="9">
        <v>254524</v>
      </c>
      <c r="I153" s="7">
        <v>20</v>
      </c>
      <c r="J153" s="9" t="s">
        <v>155</v>
      </c>
      <c r="K153" s="14" t="s">
        <v>9932</v>
      </c>
      <c r="L153" s="14" t="s">
        <v>9933</v>
      </c>
      <c r="M153" s="14" t="s">
        <v>9158</v>
      </c>
      <c r="N153" s="14" t="s">
        <v>9158</v>
      </c>
      <c r="O153" s="6" t="s">
        <v>9989</v>
      </c>
      <c r="P153" s="7" t="s">
        <v>9944</v>
      </c>
      <c r="Q153" s="7">
        <v>1</v>
      </c>
    </row>
    <row r="154" spans="1:18">
      <c r="A154" s="9">
        <v>87893</v>
      </c>
      <c r="B154" s="9" t="s">
        <v>11521</v>
      </c>
      <c r="C154" s="9" t="s">
        <v>11511</v>
      </c>
      <c r="D154" s="9" t="s">
        <v>11525</v>
      </c>
      <c r="E154" s="15" t="str">
        <f>HYPERLINK("https://stat100.ameba.jp/tnk47/ratio20/illustrations/card/ill_87893_ginyushijinoreiria03.jpg?202003-5-RELEASE-marathon-461xxxx", "■")</f>
        <v>■</v>
      </c>
      <c r="F154" s="9" t="s">
        <v>11526</v>
      </c>
      <c r="G154" s="9">
        <v>106050</v>
      </c>
      <c r="H154" s="9">
        <v>98594</v>
      </c>
      <c r="I154" s="9">
        <v>26</v>
      </c>
      <c r="J154" s="9" t="s">
        <v>11516</v>
      </c>
      <c r="K154" s="9" t="s">
        <v>11527</v>
      </c>
      <c r="L154" s="9" t="s">
        <v>13219</v>
      </c>
      <c r="M154" s="14" t="s">
        <v>9158</v>
      </c>
      <c r="N154" s="14" t="s">
        <v>9158</v>
      </c>
      <c r="O154" s="14" t="s">
        <v>9158</v>
      </c>
      <c r="P154" s="14" t="s">
        <v>9158</v>
      </c>
      <c r="Q154" s="14" t="s">
        <v>9158</v>
      </c>
    </row>
    <row r="155" spans="1:18">
      <c r="A155" s="9">
        <v>87843</v>
      </c>
      <c r="B155" s="9" t="s">
        <v>11521</v>
      </c>
      <c r="C155" s="9" t="s">
        <v>11512</v>
      </c>
      <c r="D155" s="9" t="s">
        <v>14686</v>
      </c>
      <c r="E155" s="15" t="str">
        <f>HYPERLINK("https://stat100.ameba.jp/tnk47/ratio20/illustrations/card/ill_87843_odorikobidorozaikuchan03.jpg?202003-5-RELEASE-marathon-461xxxx", "■")</f>
        <v>■</v>
      </c>
      <c r="F155" s="9" t="s">
        <v>11528</v>
      </c>
      <c r="G155" s="9">
        <v>101558</v>
      </c>
      <c r="H155" s="9">
        <v>94390</v>
      </c>
      <c r="I155" s="9">
        <v>26</v>
      </c>
      <c r="J155" s="9" t="s">
        <v>11517</v>
      </c>
      <c r="K155" s="9" t="s">
        <v>11529</v>
      </c>
      <c r="L155" s="9" t="s">
        <v>13220</v>
      </c>
      <c r="M155" s="14" t="s">
        <v>9158</v>
      </c>
      <c r="N155" s="14" t="s">
        <v>9158</v>
      </c>
      <c r="O155" s="14" t="s">
        <v>9158</v>
      </c>
      <c r="P155" s="14" t="s">
        <v>9158</v>
      </c>
      <c r="Q155" s="14" t="s">
        <v>9158</v>
      </c>
    </row>
    <row r="156" spans="1:18">
      <c r="A156" s="9">
        <v>87853</v>
      </c>
      <c r="B156" s="9" t="s">
        <v>11522</v>
      </c>
      <c r="C156" s="9" t="s">
        <v>11513</v>
      </c>
      <c r="D156" s="9" t="s">
        <v>11530</v>
      </c>
      <c r="E156" s="15" t="str">
        <f>HYPERLINK("https://stat100.ameba.jp/tnk47/ratio20/illustrations/card/ill_87853_ginyushijinumizato03.jpg?202003-5-RELEASE-marathon-461xxxx", "■")</f>
        <v>■</v>
      </c>
      <c r="F156" s="9" t="s">
        <v>11531</v>
      </c>
      <c r="G156" s="9">
        <v>69898</v>
      </c>
      <c r="H156" s="9">
        <v>77064</v>
      </c>
      <c r="I156" s="9">
        <v>26</v>
      </c>
      <c r="J156" s="9" t="s">
        <v>11518</v>
      </c>
      <c r="K156" s="9" t="s">
        <v>11532</v>
      </c>
      <c r="L156" s="9" t="s">
        <v>13221</v>
      </c>
      <c r="M156" s="14" t="s">
        <v>9158</v>
      </c>
      <c r="N156" s="14" t="s">
        <v>9158</v>
      </c>
      <c r="O156" s="14" t="s">
        <v>9158</v>
      </c>
      <c r="P156" s="14" t="s">
        <v>9158</v>
      </c>
      <c r="Q156" s="14" t="s">
        <v>9158</v>
      </c>
    </row>
    <row r="157" spans="1:18">
      <c r="A157" s="9">
        <v>87863</v>
      </c>
      <c r="B157" s="9" t="s">
        <v>11523</v>
      </c>
      <c r="C157" s="9" t="s">
        <v>11514</v>
      </c>
      <c r="D157" s="9" t="s">
        <v>11533</v>
      </c>
      <c r="E157" s="15" t="str">
        <f>HYPERLINK("https://stat100.ameba.jp/tnk47/ratio20/illustrations/card/ill_87863_kasuganotsubone03.jpg?202003-5-RELEASE-marathon-461xxxx", "■")</f>
        <v>■</v>
      </c>
      <c r="F157" s="9" t="s">
        <v>11534</v>
      </c>
      <c r="G157" s="9">
        <v>54058</v>
      </c>
      <c r="H157" s="9">
        <v>44948</v>
      </c>
      <c r="I157" s="9">
        <v>26</v>
      </c>
      <c r="J157" s="9" t="s">
        <v>11519</v>
      </c>
      <c r="K157" s="9" t="s">
        <v>11535</v>
      </c>
      <c r="L157" s="9" t="s">
        <v>13222</v>
      </c>
      <c r="M157" s="14" t="s">
        <v>9158</v>
      </c>
      <c r="N157" s="14" t="s">
        <v>9158</v>
      </c>
      <c r="O157" s="14" t="s">
        <v>9158</v>
      </c>
      <c r="P157" s="14" t="s">
        <v>9158</v>
      </c>
      <c r="Q157" s="14" t="s">
        <v>9158</v>
      </c>
    </row>
    <row r="158" spans="1:18">
      <c r="A158" s="9">
        <v>87873</v>
      </c>
      <c r="B158" s="9" t="s">
        <v>11524</v>
      </c>
      <c r="C158" s="9" t="s">
        <v>11515</v>
      </c>
      <c r="D158" s="9" t="s">
        <v>11536</v>
      </c>
      <c r="E158" s="15" t="str">
        <f>HYPERLINK("https://stat100.ameba.jp/tnk47/ratio20/illustrations/card/ill_87873_sagatennou03.jpg?202003-5-RELEASE-marathon-461xxxx", "■")</f>
        <v>■</v>
      </c>
      <c r="F158" s="9" t="s">
        <v>11537</v>
      </c>
      <c r="G158" s="9">
        <v>27486</v>
      </c>
      <c r="H158" s="9">
        <v>32728</v>
      </c>
      <c r="I158" s="9">
        <v>26</v>
      </c>
      <c r="J158" s="9" t="s">
        <v>11520</v>
      </c>
      <c r="K158" s="9" t="s">
        <v>11538</v>
      </c>
      <c r="L158" s="9" t="s">
        <v>13223</v>
      </c>
      <c r="M158" s="14" t="s">
        <v>9158</v>
      </c>
      <c r="N158" s="14" t="s">
        <v>9158</v>
      </c>
      <c r="O158" s="14" t="s">
        <v>9158</v>
      </c>
      <c r="P158" s="14" t="s">
        <v>9158</v>
      </c>
      <c r="Q158" s="14" t="s">
        <v>9158</v>
      </c>
    </row>
    <row r="160" spans="1:18">
      <c r="A160" s="9" t="s">
        <v>11540</v>
      </c>
    </row>
    <row r="161" spans="1:18">
      <c r="A161" s="9" t="s">
        <v>11541</v>
      </c>
    </row>
    <row r="162" spans="1:18">
      <c r="A162" s="14" t="s">
        <v>6195</v>
      </c>
      <c r="B162" s="14" t="s">
        <v>52</v>
      </c>
      <c r="C162" s="14" t="s">
        <v>191</v>
      </c>
      <c r="D162" s="20" t="s">
        <v>10217</v>
      </c>
      <c r="E162" s="15" t="str">
        <f>HYPERLINK("https://stat100.ameba.jp/tnk47/ratio20/illustrations/card/ill_56493_0_poppukurisumasuikomakitsuno03.jpg?202003-5-RELEASE-marathon-461xxxx", "■")</f>
        <v>■</v>
      </c>
      <c r="F162" s="14" t="s">
        <v>1769</v>
      </c>
      <c r="G162" s="14">
        <v>138212</v>
      </c>
      <c r="H162" s="14">
        <v>122776</v>
      </c>
      <c r="I162" s="14">
        <v>22</v>
      </c>
      <c r="J162" s="14" t="s">
        <v>77</v>
      </c>
      <c r="K162" s="14" t="s">
        <v>1770</v>
      </c>
      <c r="L162" s="14" t="s">
        <v>1771</v>
      </c>
      <c r="M162" s="14" t="s">
        <v>9158</v>
      </c>
      <c r="N162" s="14" t="s">
        <v>9158</v>
      </c>
      <c r="O162" s="19" t="s">
        <v>10120</v>
      </c>
      <c r="P162" s="14" t="s">
        <v>2724</v>
      </c>
      <c r="Q162" s="14">
        <v>1</v>
      </c>
    </row>
    <row r="163" spans="1:18">
      <c r="A163" s="14" t="s">
        <v>5778</v>
      </c>
      <c r="B163" s="14" t="s">
        <v>330</v>
      </c>
      <c r="C163" s="14" t="s">
        <v>205</v>
      </c>
      <c r="D163" s="19" t="s">
        <v>272</v>
      </c>
      <c r="E163" s="15" t="str">
        <f>HYPERLINK("https://stat100.ameba.jp/tnk47/ratio20/illustrations/card/ill_68783_0_gantammomotaro03.jpg?202003-5-RELEASE-marathon-461xxxx", "■")</f>
        <v>■</v>
      </c>
      <c r="F163" s="14" t="s">
        <v>273</v>
      </c>
      <c r="G163" s="14">
        <v>150466</v>
      </c>
      <c r="H163" s="14">
        <v>139878</v>
      </c>
      <c r="I163" s="14">
        <v>22</v>
      </c>
      <c r="J163" s="14" t="s">
        <v>274</v>
      </c>
      <c r="K163" s="14" t="s">
        <v>275</v>
      </c>
      <c r="L163" s="14" t="s">
        <v>276</v>
      </c>
      <c r="M163" s="14" t="s">
        <v>9158</v>
      </c>
      <c r="N163" s="14" t="s">
        <v>9158</v>
      </c>
      <c r="O163" s="19" t="s">
        <v>10099</v>
      </c>
      <c r="P163" s="14" t="s">
        <v>3451</v>
      </c>
      <c r="Q163" s="14">
        <v>1</v>
      </c>
    </row>
    <row r="164" spans="1:18">
      <c r="A164" s="14" t="s">
        <v>5608</v>
      </c>
      <c r="B164" s="14" t="s">
        <v>52</v>
      </c>
      <c r="C164" s="14" t="s">
        <v>96</v>
      </c>
      <c r="D164" s="20" t="s">
        <v>634</v>
      </c>
      <c r="E164" s="15" t="str">
        <f>HYPERLINK("https://stat100.ameba.jp/tnk47/ratio20/illustrations/card/ill_40963_0_makami03.jpg?202003-5-RELEASE-marathon-461xxxx", "■")</f>
        <v>■</v>
      </c>
      <c r="F164" s="14" t="s">
        <v>2038</v>
      </c>
      <c r="G164" s="14">
        <v>128744</v>
      </c>
      <c r="H164" s="14">
        <v>120576</v>
      </c>
      <c r="I164" s="14">
        <v>22</v>
      </c>
      <c r="J164" s="14" t="s">
        <v>44</v>
      </c>
      <c r="K164" s="14" t="s">
        <v>2039</v>
      </c>
      <c r="L164" s="14" t="s">
        <v>2040</v>
      </c>
      <c r="M164" s="14" t="s">
        <v>9158</v>
      </c>
      <c r="N164" s="14" t="s">
        <v>9158</v>
      </c>
      <c r="O164" s="14" t="s">
        <v>9158</v>
      </c>
      <c r="P164" s="14" t="s">
        <v>9158</v>
      </c>
      <c r="Q164" s="14" t="s">
        <v>9158</v>
      </c>
    </row>
    <row r="165" spans="1:18">
      <c r="A165" s="14">
        <v>85253</v>
      </c>
      <c r="B165" s="14" t="s">
        <v>334</v>
      </c>
      <c r="C165" s="14" t="s">
        <v>165</v>
      </c>
      <c r="D165" s="19" t="s">
        <v>10791</v>
      </c>
      <c r="E165" s="15" t="str">
        <f>HYPERLINK("https://stat100.ameba.jp/tnk47/ratio20/illustrations/card/ill_85253_makushirion03.jpg?202003-5-RELEASE-marathon-461xxxx", "■")</f>
        <v>■</v>
      </c>
      <c r="F165" s="14" t="s">
        <v>8162</v>
      </c>
      <c r="G165" s="14">
        <v>125392</v>
      </c>
      <c r="H165" s="14">
        <v>70556</v>
      </c>
      <c r="I165" s="14">
        <v>26</v>
      </c>
      <c r="J165" s="14" t="s">
        <v>173</v>
      </c>
      <c r="K165" s="14" t="s">
        <v>8161</v>
      </c>
      <c r="L165" s="14" t="s">
        <v>5494</v>
      </c>
      <c r="M165" s="14" t="s">
        <v>9158</v>
      </c>
      <c r="N165" s="14" t="s">
        <v>9158</v>
      </c>
      <c r="O165" s="14" t="s">
        <v>9158</v>
      </c>
      <c r="P165" s="14" t="s">
        <v>9158</v>
      </c>
      <c r="Q165" s="14" t="s">
        <v>9158</v>
      </c>
    </row>
    <row r="166" spans="1:18">
      <c r="A166" s="14">
        <v>71753</v>
      </c>
      <c r="B166" s="14" t="s">
        <v>0</v>
      </c>
      <c r="C166" s="14" t="s">
        <v>205</v>
      </c>
      <c r="D166" s="19" t="s">
        <v>11542</v>
      </c>
      <c r="E166" s="15" t="str">
        <f>HYPERLINK("https://stat100.ameba.jp/tnk47/ratio20/illustrations/card/ill_71753_kozaiyoshikiyo03.jpg?202003-5-RELEASE-marathon-461xxxx", "■")</f>
        <v>■</v>
      </c>
      <c r="F166" s="14" t="s">
        <v>3617</v>
      </c>
      <c r="G166" s="14">
        <v>125392</v>
      </c>
      <c r="H166" s="14">
        <v>70556</v>
      </c>
      <c r="I166" s="14">
        <v>26</v>
      </c>
      <c r="J166" s="14" t="s">
        <v>194</v>
      </c>
      <c r="K166" s="14" t="s">
        <v>3618</v>
      </c>
      <c r="L166" s="14" t="s">
        <v>912</v>
      </c>
      <c r="M166" s="14" t="s">
        <v>9158</v>
      </c>
      <c r="N166" s="14" t="s">
        <v>9158</v>
      </c>
      <c r="O166" s="14" t="s">
        <v>9158</v>
      </c>
      <c r="P166" s="14" t="s">
        <v>9158</v>
      </c>
      <c r="Q166" s="14" t="s">
        <v>9158</v>
      </c>
    </row>
    <row r="167" spans="1:18">
      <c r="A167" s="14">
        <v>71613</v>
      </c>
      <c r="B167" s="14" t="s">
        <v>334</v>
      </c>
      <c r="C167" s="14" t="s">
        <v>101</v>
      </c>
      <c r="D167" s="20" t="s">
        <v>10877</v>
      </c>
      <c r="E167" s="15" t="str">
        <f>HYPERLINK("https://stat100.ameba.jp/tnk47/ratio20/illustrations/card/ill_71613_ikegamishuho03.jpg?202003-5-RELEASE-marathon-461xxxx", "■")</f>
        <v>■</v>
      </c>
      <c r="F167" s="14" t="s">
        <v>4447</v>
      </c>
      <c r="G167" s="14">
        <v>105426</v>
      </c>
      <c r="H167" s="14">
        <v>98066</v>
      </c>
      <c r="I167" s="14">
        <v>26</v>
      </c>
      <c r="J167" s="14" t="s">
        <v>16</v>
      </c>
      <c r="K167" s="14" t="s">
        <v>4448</v>
      </c>
      <c r="L167" s="14" t="s">
        <v>920</v>
      </c>
      <c r="M167" s="14" t="s">
        <v>9158</v>
      </c>
      <c r="N167" s="14" t="s">
        <v>9158</v>
      </c>
      <c r="O167" s="14" t="s">
        <v>9158</v>
      </c>
      <c r="P167" s="14" t="s">
        <v>9158</v>
      </c>
      <c r="Q167" s="14" t="s">
        <v>9158</v>
      </c>
    </row>
    <row r="168" spans="1:18">
      <c r="A168" s="14">
        <v>83613</v>
      </c>
      <c r="B168" s="14" t="s">
        <v>15</v>
      </c>
      <c r="C168" s="14" t="s">
        <v>200</v>
      </c>
      <c r="D168" s="6" t="s">
        <v>10004</v>
      </c>
      <c r="E168" s="15" t="str">
        <f>HYPERLINK("https://stat100.ameba.jp/tnk47/ratio20/illustrations/card/ill_83613_detoyuramyoinni03.jpg?202003-5-RELEASE-marathon-461xxxx", "■")</f>
        <v>■</v>
      </c>
      <c r="F168" s="14" t="s">
        <v>6672</v>
      </c>
      <c r="G168" s="14">
        <v>65208</v>
      </c>
      <c r="H168" s="14">
        <v>59144</v>
      </c>
      <c r="I168" s="14">
        <v>22</v>
      </c>
      <c r="J168" s="14" t="s">
        <v>77</v>
      </c>
      <c r="K168" s="14" t="s">
        <v>6670</v>
      </c>
      <c r="L168" s="14" t="s">
        <v>932</v>
      </c>
      <c r="M168" s="14" t="s">
        <v>9158</v>
      </c>
      <c r="N168" s="14" t="s">
        <v>9158</v>
      </c>
      <c r="O168" s="7" t="s">
        <v>9158</v>
      </c>
      <c r="P168" s="14" t="s">
        <v>9158</v>
      </c>
      <c r="Q168" s="14" t="s">
        <v>9158</v>
      </c>
    </row>
    <row r="169" spans="1:18">
      <c r="A169" s="14">
        <v>83223</v>
      </c>
      <c r="B169" s="14" t="s">
        <v>15</v>
      </c>
      <c r="C169" s="14" t="s">
        <v>206</v>
      </c>
      <c r="D169" s="6" t="s">
        <v>10005</v>
      </c>
      <c r="E169" s="15" t="str">
        <f>HYPERLINK("https://stat100.ameba.jp/tnk47/ratio20/illustrations/card/ill_83223_hanabikijimuna03.jpg?202003-5-RELEASE-marathon-461xxxx", "■")</f>
        <v>■</v>
      </c>
      <c r="F169" s="14" t="s">
        <v>6290</v>
      </c>
      <c r="G169" s="14">
        <v>65208</v>
      </c>
      <c r="H169" s="14">
        <v>59144</v>
      </c>
      <c r="I169" s="14">
        <v>22</v>
      </c>
      <c r="J169" s="14" t="s">
        <v>73</v>
      </c>
      <c r="K169" s="14" t="s">
        <v>6293</v>
      </c>
      <c r="L169" s="14" t="s">
        <v>3835</v>
      </c>
      <c r="M169" s="14" t="s">
        <v>9158</v>
      </c>
      <c r="N169" s="14" t="s">
        <v>9158</v>
      </c>
      <c r="O169" s="7" t="s">
        <v>9158</v>
      </c>
      <c r="P169" s="14" t="s">
        <v>9158</v>
      </c>
      <c r="Q169" s="14" t="s">
        <v>9158</v>
      </c>
    </row>
    <row r="170" spans="1:18">
      <c r="A170" s="14">
        <v>65183</v>
      </c>
      <c r="B170" s="14" t="s">
        <v>15</v>
      </c>
      <c r="C170" s="14" t="s">
        <v>96</v>
      </c>
      <c r="D170" s="6" t="s">
        <v>4568</v>
      </c>
      <c r="E170" s="15" t="str">
        <f>HYPERLINK("https://stat100.ameba.jp/tnk47/ratio20/illustrations/card/ill_65183_kimodameshihorakagaminookimi03.jpg?202003-5-RELEASE-marathon-461xxxx", "■")</f>
        <v>■</v>
      </c>
      <c r="F170" s="14" t="s">
        <v>4569</v>
      </c>
      <c r="G170" s="14">
        <v>65208</v>
      </c>
      <c r="H170" s="14">
        <v>59144</v>
      </c>
      <c r="I170" s="14">
        <v>22</v>
      </c>
      <c r="J170" s="14" t="s">
        <v>16</v>
      </c>
      <c r="K170" s="14" t="s">
        <v>4570</v>
      </c>
      <c r="L170" s="14" t="s">
        <v>21</v>
      </c>
      <c r="M170" s="14" t="s">
        <v>9158</v>
      </c>
      <c r="N170" s="14" t="s">
        <v>9158</v>
      </c>
      <c r="O170" s="7" t="s">
        <v>9158</v>
      </c>
      <c r="P170" s="14" t="s">
        <v>9158</v>
      </c>
      <c r="Q170" s="14" t="s">
        <v>9158</v>
      </c>
    </row>
    <row r="172" spans="1:18">
      <c r="A172" s="9" t="s">
        <v>13380</v>
      </c>
    </row>
    <row r="173" spans="1:18">
      <c r="A173" s="9" t="s">
        <v>3898</v>
      </c>
    </row>
    <row r="174" spans="1:18">
      <c r="A174" s="9">
        <v>87755</v>
      </c>
      <c r="B174" s="9" t="s">
        <v>11549</v>
      </c>
      <c r="C174" s="9" t="s">
        <v>11543</v>
      </c>
      <c r="D174" s="9" t="s">
        <v>11548</v>
      </c>
      <c r="E174" s="15" t="str">
        <f>HYPERLINK("https://stat100.ameba.jp/tnk47/ratio20/illustrations/card/ill_87755_ginyushijinrei05.jpg?202003-5-RELEASE-marathon-461xxxxx", "■")</f>
        <v>■</v>
      </c>
      <c r="F174" s="9" t="s">
        <v>11547</v>
      </c>
      <c r="G174" s="9">
        <v>88500</v>
      </c>
      <c r="H174" s="9">
        <v>122234</v>
      </c>
      <c r="I174" s="9">
        <v>26</v>
      </c>
      <c r="J174" s="9" t="s">
        <v>11545</v>
      </c>
      <c r="K174" s="9" t="s">
        <v>11546</v>
      </c>
      <c r="L174" s="9" t="s">
        <v>13224</v>
      </c>
      <c r="M174" s="14" t="s">
        <v>9158</v>
      </c>
      <c r="N174" s="14" t="s">
        <v>9158</v>
      </c>
      <c r="O174" s="7" t="s">
        <v>9158</v>
      </c>
      <c r="P174" s="14" t="s">
        <v>9158</v>
      </c>
      <c r="Q174" s="14" t="s">
        <v>9158</v>
      </c>
      <c r="R174" s="9" t="s">
        <v>11551</v>
      </c>
    </row>
    <row r="175" spans="1:18">
      <c r="A175" s="9">
        <v>87753</v>
      </c>
      <c r="B175" s="9" t="s">
        <v>11550</v>
      </c>
      <c r="C175" s="9" t="s">
        <v>11544</v>
      </c>
      <c r="D175" s="9" t="s">
        <v>11548</v>
      </c>
      <c r="E175" s="15" t="str">
        <f>HYPERLINK("https://stat100.ameba.jp/tnk47/ratio20/illustrations/card/ill_87753_ginyushijinrei03.jpg?202003-5-RELEASE-marathon-461xxxxx", "■")</f>
        <v>■</v>
      </c>
      <c r="F175" s="9" t="s">
        <v>11547</v>
      </c>
      <c r="G175" s="9">
        <v>65202</v>
      </c>
      <c r="H175" s="9">
        <v>90050</v>
      </c>
      <c r="I175" s="9">
        <v>26</v>
      </c>
      <c r="J175" s="9" t="s">
        <v>11545</v>
      </c>
      <c r="K175" s="9" t="s">
        <v>11546</v>
      </c>
      <c r="L175" s="9" t="s">
        <v>13225</v>
      </c>
      <c r="M175" s="14" t="s">
        <v>9158</v>
      </c>
      <c r="N175" s="14" t="s">
        <v>9158</v>
      </c>
      <c r="O175" s="7" t="s">
        <v>9158</v>
      </c>
      <c r="P175" s="14" t="s">
        <v>9158</v>
      </c>
      <c r="Q175" s="14" t="s">
        <v>9158</v>
      </c>
      <c r="R175" s="9" t="s">
        <v>11552</v>
      </c>
    </row>
    <row r="176" spans="1:18">
      <c r="A176" s="9">
        <v>87751</v>
      </c>
      <c r="B176" s="9" t="s">
        <v>11550</v>
      </c>
      <c r="C176" s="9" t="s">
        <v>11544</v>
      </c>
      <c r="D176" s="9" t="s">
        <v>11548</v>
      </c>
      <c r="E176" s="15" t="str">
        <f>HYPERLINK("https://stat100.ameba.jp/tnk47/ratio20/illustrations/card/ill_87751_ginyushijinrei01.jpg?202003-5-RELEASE-marathon-461xxxxx", "■")</f>
        <v>■</v>
      </c>
      <c r="F176" s="9" t="s">
        <v>11547</v>
      </c>
      <c r="G176" s="9">
        <v>41470</v>
      </c>
      <c r="H176" s="9">
        <v>57278</v>
      </c>
      <c r="I176" s="9">
        <v>26</v>
      </c>
      <c r="J176" s="9" t="s">
        <v>11545</v>
      </c>
      <c r="K176" s="9" t="s">
        <v>11546</v>
      </c>
      <c r="L176" s="9" t="s">
        <v>13226</v>
      </c>
      <c r="M176" s="14" t="s">
        <v>9158</v>
      </c>
      <c r="N176" s="14" t="s">
        <v>9158</v>
      </c>
      <c r="O176" s="7" t="s">
        <v>9158</v>
      </c>
      <c r="P176" s="14" t="s">
        <v>9158</v>
      </c>
      <c r="Q176" s="14" t="s">
        <v>9158</v>
      </c>
      <c r="R176" s="9" t="s">
        <v>11553</v>
      </c>
    </row>
    <row r="178" spans="1:17">
      <c r="A178" s="9" t="s">
        <v>11554</v>
      </c>
    </row>
    <row r="179" spans="1:17">
      <c r="A179" s="9" t="s">
        <v>11555</v>
      </c>
    </row>
    <row r="180" spans="1:17">
      <c r="A180" s="14" t="s">
        <v>5623</v>
      </c>
      <c r="B180" s="14" t="s">
        <v>330</v>
      </c>
      <c r="C180" s="14" t="s">
        <v>165</v>
      </c>
      <c r="D180" s="19" t="s">
        <v>3146</v>
      </c>
      <c r="E180" s="15" t="str">
        <f>HYPERLINK("https://stat100.ameba.jp/tnk47/ratio20/illustrations/card/ill_65713_0_undokaionikirimaru03.jpg?202003-5-RELEASE-marathon-461xxxxx", "■")</f>
        <v>■</v>
      </c>
      <c r="F180" s="14" t="s">
        <v>535</v>
      </c>
      <c r="G180" s="14">
        <v>181640</v>
      </c>
      <c r="H180" s="14">
        <v>168874</v>
      </c>
      <c r="I180" s="14">
        <v>24</v>
      </c>
      <c r="J180" s="14" t="s">
        <v>320</v>
      </c>
      <c r="K180" s="14" t="s">
        <v>3147</v>
      </c>
      <c r="L180" s="14" t="s">
        <v>3148</v>
      </c>
      <c r="M180" s="14" t="s">
        <v>9158</v>
      </c>
      <c r="N180" s="14" t="s">
        <v>9158</v>
      </c>
      <c r="O180" s="19" t="s">
        <v>2869</v>
      </c>
      <c r="P180" s="14" t="s">
        <v>2870</v>
      </c>
      <c r="Q180" s="14">
        <v>1</v>
      </c>
    </row>
    <row r="181" spans="1:17">
      <c r="A181" s="14">
        <v>63853</v>
      </c>
      <c r="B181" s="14" t="s">
        <v>334</v>
      </c>
      <c r="C181" s="14" t="s">
        <v>200</v>
      </c>
      <c r="D181" s="20" t="s">
        <v>10284</v>
      </c>
      <c r="E181" s="15" t="str">
        <f>HYPERLINK("https://stat100.ameba.jp/tnk47/ratio20/illustrations/card/ill_63853_daikokaijidainansosatomihakkenden03.jpg?202003-5-RELEASE-marathon-461xxxxx", "■")</f>
        <v>■</v>
      </c>
      <c r="F181" s="14" t="s">
        <v>941</v>
      </c>
      <c r="G181" s="14">
        <v>105890</v>
      </c>
      <c r="H181" s="14">
        <v>105890</v>
      </c>
      <c r="I181" s="14">
        <v>25</v>
      </c>
      <c r="J181" s="14" t="s">
        <v>155</v>
      </c>
      <c r="K181" s="14" t="s">
        <v>942</v>
      </c>
      <c r="L181" s="14" t="s">
        <v>13149</v>
      </c>
      <c r="M181" s="14" t="s">
        <v>9158</v>
      </c>
      <c r="N181" s="14" t="s">
        <v>9158</v>
      </c>
      <c r="O181" s="19" t="s">
        <v>10121</v>
      </c>
      <c r="P181" s="14" t="s">
        <v>3330</v>
      </c>
      <c r="Q181" s="14">
        <v>1</v>
      </c>
    </row>
    <row r="182" spans="1:17">
      <c r="A182" s="14">
        <v>80163</v>
      </c>
      <c r="B182" s="14" t="s">
        <v>334</v>
      </c>
      <c r="C182" s="14" t="s">
        <v>158</v>
      </c>
      <c r="D182" s="19" t="s">
        <v>10391</v>
      </c>
      <c r="E182" s="15" t="str">
        <f>HYPERLINK("https://stat100.ameba.jp/tnk47/ratio20/illustrations/card/ill_80163_kuronosu03.jpg?202003-5-RELEASE-marathon-461xxxxx", "■")</f>
        <v>■</v>
      </c>
      <c r="F182" s="14" t="s">
        <v>3766</v>
      </c>
      <c r="G182" s="14">
        <v>82654</v>
      </c>
      <c r="H182" s="14">
        <v>114119</v>
      </c>
      <c r="I182" s="14">
        <v>25</v>
      </c>
      <c r="J182" s="14" t="s">
        <v>44</v>
      </c>
      <c r="K182" s="14" t="s">
        <v>3767</v>
      </c>
      <c r="L182" s="14" t="s">
        <v>1209</v>
      </c>
      <c r="M182" s="14" t="s">
        <v>9158</v>
      </c>
      <c r="N182" s="14" t="s">
        <v>9158</v>
      </c>
      <c r="O182" s="19" t="s">
        <v>2752</v>
      </c>
      <c r="P182" s="14" t="s">
        <v>13123</v>
      </c>
      <c r="Q182" s="14">
        <v>1</v>
      </c>
    </row>
    <row r="183" spans="1:17">
      <c r="A183" s="14">
        <v>84633</v>
      </c>
      <c r="B183" s="14" t="s">
        <v>334</v>
      </c>
      <c r="C183" s="14" t="s">
        <v>154</v>
      </c>
      <c r="D183" s="20" t="s">
        <v>10586</v>
      </c>
      <c r="E183" s="15" t="str">
        <f>HYPERLINK("https://stat100.ameba.jp/tnk47/ratio20/illustrations/card/ill_84633_akubishoppu03.jpg?202003-5-RELEASE-marathon-461xxxxx", "■")</f>
        <v>■</v>
      </c>
      <c r="F183" s="14" t="s">
        <v>6762</v>
      </c>
      <c r="G183" s="14">
        <v>109259</v>
      </c>
      <c r="H183" s="14">
        <v>79151</v>
      </c>
      <c r="I183" s="14">
        <v>25</v>
      </c>
      <c r="J183" s="14" t="s">
        <v>10</v>
      </c>
      <c r="K183" s="14" t="s">
        <v>6764</v>
      </c>
      <c r="L183" s="14" t="s">
        <v>6763</v>
      </c>
      <c r="M183" s="14" t="s">
        <v>9158</v>
      </c>
      <c r="N183" s="14" t="s">
        <v>9158</v>
      </c>
      <c r="O183" s="19" t="s">
        <v>10090</v>
      </c>
      <c r="P183" s="14" t="s">
        <v>3460</v>
      </c>
      <c r="Q183" s="14">
        <v>1</v>
      </c>
    </row>
    <row r="185" spans="1:17">
      <c r="A185" s="9" t="s">
        <v>11556</v>
      </c>
    </row>
    <row r="186" spans="1:17">
      <c r="A186" s="9" t="s">
        <v>3904</v>
      </c>
    </row>
    <row r="187" spans="1:17">
      <c r="A187" s="14" t="s">
        <v>5602</v>
      </c>
      <c r="B187" s="14" t="s">
        <v>52</v>
      </c>
      <c r="C187" s="14" t="s">
        <v>14</v>
      </c>
      <c r="D187" s="19" t="s">
        <v>813</v>
      </c>
      <c r="E187" s="15" t="str">
        <f>HYPERLINK("https://stat100.ameba.jp/tnk47/ratio20/illustrations/card/ill_55313_0_haroinononokomachi03.jpg?202003-5-RELEASE-marathon-461xxxxx", "■")</f>
        <v>■</v>
      </c>
      <c r="F187" s="14" t="s">
        <v>2094</v>
      </c>
      <c r="G187" s="14">
        <v>150776</v>
      </c>
      <c r="H187" s="14">
        <v>133938</v>
      </c>
      <c r="I187" s="14">
        <v>24</v>
      </c>
      <c r="J187" s="14" t="s">
        <v>10</v>
      </c>
      <c r="K187" s="14" t="s">
        <v>2095</v>
      </c>
      <c r="L187" s="14" t="s">
        <v>2096</v>
      </c>
      <c r="M187" s="14" t="s">
        <v>9158</v>
      </c>
      <c r="N187" s="14" t="s">
        <v>9158</v>
      </c>
      <c r="O187" s="19" t="s">
        <v>2733</v>
      </c>
      <c r="P187" s="14" t="s">
        <v>2734</v>
      </c>
      <c r="Q187" s="14">
        <v>1</v>
      </c>
    </row>
    <row r="188" spans="1:17">
      <c r="A188" s="14" t="s">
        <v>5614</v>
      </c>
      <c r="B188" s="14" t="s">
        <v>330</v>
      </c>
      <c r="C188" s="14" t="s">
        <v>267</v>
      </c>
      <c r="D188" s="19" t="s">
        <v>313</v>
      </c>
      <c r="E188" s="15" t="str">
        <f>HYPERLINK("https://stat100.ameba.jp/tnk47/ratio20/illustrations/card/ill_56223_0_onsempanikkugohime03.jpg?202003-5-RELEASE-marathon-461xxxxx", "■")</f>
        <v>■</v>
      </c>
      <c r="F188" s="14" t="s">
        <v>314</v>
      </c>
      <c r="G188" s="14">
        <v>133938</v>
      </c>
      <c r="H188" s="14">
        <v>150776</v>
      </c>
      <c r="I188" s="14">
        <v>24</v>
      </c>
      <c r="J188" s="14" t="s">
        <v>315</v>
      </c>
      <c r="K188" s="14" t="s">
        <v>316</v>
      </c>
      <c r="L188" s="14" t="s">
        <v>317</v>
      </c>
      <c r="M188" s="14" t="s">
        <v>9158</v>
      </c>
      <c r="N188" s="14" t="s">
        <v>9158</v>
      </c>
      <c r="O188" s="19" t="s">
        <v>3021</v>
      </c>
      <c r="P188" s="14" t="s">
        <v>2890</v>
      </c>
      <c r="Q188" s="14">
        <v>1</v>
      </c>
    </row>
    <row r="189" spans="1:17">
      <c r="A189" s="14" t="s">
        <v>5612</v>
      </c>
      <c r="B189" s="14" t="s">
        <v>52</v>
      </c>
      <c r="C189" s="14" t="s">
        <v>165</v>
      </c>
      <c r="D189" s="19" t="s">
        <v>789</v>
      </c>
      <c r="E189" s="15" t="str">
        <f>HYPERLINK("https://stat100.ameba.jp/tnk47/ratio20/illustrations/card/ill_49193_0_onmyoudouabenoseimei03.jpg?202003-5-RELEASE-marathon-461xxxxx", "■")</f>
        <v>■</v>
      </c>
      <c r="F189" s="14" t="s">
        <v>1896</v>
      </c>
      <c r="G189" s="14">
        <v>133938</v>
      </c>
      <c r="H189" s="14">
        <v>150776</v>
      </c>
      <c r="I189" s="14">
        <v>24</v>
      </c>
      <c r="J189" s="14" t="s">
        <v>10</v>
      </c>
      <c r="K189" s="14" t="s">
        <v>1897</v>
      </c>
      <c r="L189" s="14" t="s">
        <v>1898</v>
      </c>
      <c r="M189" s="14" t="s">
        <v>9158</v>
      </c>
      <c r="N189" s="14" t="s">
        <v>9158</v>
      </c>
      <c r="O189" s="14" t="s">
        <v>9158</v>
      </c>
      <c r="P189" s="14" t="s">
        <v>9158</v>
      </c>
      <c r="Q189" s="14" t="s">
        <v>9158</v>
      </c>
    </row>
    <row r="190" spans="1:17">
      <c r="A190" s="9">
        <v>87893</v>
      </c>
      <c r="B190" s="9" t="s">
        <v>0</v>
      </c>
      <c r="C190" s="9" t="s">
        <v>191</v>
      </c>
      <c r="D190" s="9" t="s">
        <v>11525</v>
      </c>
      <c r="E190" s="15" t="str">
        <f>HYPERLINK("https://stat100.ameba.jp/tnk47/ratio20/illustrations/card/ill_87893_ginyushijinoreiria03.jpg?202003-5-RELEASE-marathon-461xxxxx", "■")</f>
        <v>■</v>
      </c>
      <c r="F190" s="9" t="s">
        <v>11526</v>
      </c>
      <c r="G190" s="9">
        <v>101971</v>
      </c>
      <c r="H190" s="9">
        <v>94802</v>
      </c>
      <c r="I190" s="9">
        <v>25</v>
      </c>
      <c r="J190" s="9" t="s">
        <v>169</v>
      </c>
      <c r="K190" s="9" t="s">
        <v>11527</v>
      </c>
      <c r="L190" s="9" t="s">
        <v>13219</v>
      </c>
      <c r="M190" s="14" t="s">
        <v>9158</v>
      </c>
      <c r="N190" s="14" t="s">
        <v>9158</v>
      </c>
      <c r="O190" s="14" t="s">
        <v>9158</v>
      </c>
      <c r="P190" s="14" t="s">
        <v>9158</v>
      </c>
      <c r="Q190" s="14" t="s">
        <v>9158</v>
      </c>
    </row>
    <row r="191" spans="1:17">
      <c r="A191" s="9">
        <v>87853</v>
      </c>
      <c r="B191" s="9" t="s">
        <v>15</v>
      </c>
      <c r="C191" s="9" t="s">
        <v>185</v>
      </c>
      <c r="D191" s="9" t="s">
        <v>11530</v>
      </c>
      <c r="E191" s="15" t="str">
        <f>HYPERLINK("https://stat100.ameba.jp/tnk47/ratio20/illustrations/card/ill_87853_ginyushijinumizato03.jpg?202003-5-RELEASE-marathon-461xxxxx", "■")</f>
        <v>■</v>
      </c>
      <c r="F191" s="9" t="s">
        <v>11531</v>
      </c>
      <c r="G191" s="9">
        <v>67210</v>
      </c>
      <c r="H191" s="9">
        <v>74100</v>
      </c>
      <c r="I191" s="9">
        <v>25</v>
      </c>
      <c r="J191" s="9" t="s">
        <v>182</v>
      </c>
      <c r="K191" s="9" t="s">
        <v>11532</v>
      </c>
      <c r="L191" s="9" t="s">
        <v>13221</v>
      </c>
      <c r="M191" s="14" t="s">
        <v>9158</v>
      </c>
      <c r="N191" s="14" t="s">
        <v>9158</v>
      </c>
      <c r="O191" s="14" t="s">
        <v>9158</v>
      </c>
      <c r="P191" s="14" t="s">
        <v>9158</v>
      </c>
      <c r="Q191" s="14" t="s">
        <v>9158</v>
      </c>
    </row>
    <row r="192" spans="1:17">
      <c r="A192" s="9">
        <v>87863</v>
      </c>
      <c r="B192" s="9" t="s">
        <v>22</v>
      </c>
      <c r="C192" s="9" t="s">
        <v>200</v>
      </c>
      <c r="D192" s="9" t="s">
        <v>11533</v>
      </c>
      <c r="E192" s="15" t="str">
        <f>HYPERLINK("https://stat100.ameba.jp/tnk47/ratio20/illustrations/card/ill_87863_kasuganotsubone03.jpg?202003-5-RELEASE-marathon-461xxxxx", "■")</f>
        <v>■</v>
      </c>
      <c r="F192" s="9" t="s">
        <v>11534</v>
      </c>
      <c r="G192" s="9">
        <v>51980</v>
      </c>
      <c r="H192" s="9">
        <v>43220</v>
      </c>
      <c r="I192" s="9">
        <v>25</v>
      </c>
      <c r="J192" s="9" t="s">
        <v>159</v>
      </c>
      <c r="K192" s="9" t="s">
        <v>11535</v>
      </c>
      <c r="L192" s="9" t="s">
        <v>13222</v>
      </c>
      <c r="M192" s="14" t="s">
        <v>9158</v>
      </c>
      <c r="N192" s="14" t="s">
        <v>9158</v>
      </c>
      <c r="O192" s="14" t="s">
        <v>9158</v>
      </c>
      <c r="P192" s="14" t="s">
        <v>9158</v>
      </c>
      <c r="Q192" s="14" t="s">
        <v>9158</v>
      </c>
    </row>
    <row r="193" spans="1:17">
      <c r="A193" s="9">
        <v>87873</v>
      </c>
      <c r="B193" s="9" t="s">
        <v>30</v>
      </c>
      <c r="C193" s="9" t="s">
        <v>165</v>
      </c>
      <c r="D193" s="9" t="s">
        <v>11536</v>
      </c>
      <c r="E193" s="15" t="str">
        <f>HYPERLINK("https://stat100.ameba.jp/tnk47/ratio20/illustrations/card/ill_87873_sagatennou03.jpg?202003-5-RELEASE-marathon-461xxxxx", "■")</f>
        <v>■</v>
      </c>
      <c r="F193" s="9" t="s">
        <v>11537</v>
      </c>
      <c r="G193" s="9">
        <v>26430</v>
      </c>
      <c r="H193" s="9">
        <v>31470</v>
      </c>
      <c r="I193" s="9">
        <v>25</v>
      </c>
      <c r="J193" s="9" t="s">
        <v>155</v>
      </c>
      <c r="K193" s="9" t="s">
        <v>11538</v>
      </c>
      <c r="L193" s="9" t="s">
        <v>13223</v>
      </c>
      <c r="M193" s="14" t="s">
        <v>9158</v>
      </c>
      <c r="N193" s="14" t="s">
        <v>9158</v>
      </c>
      <c r="O193" s="14" t="s">
        <v>9158</v>
      </c>
      <c r="P193" s="14" t="s">
        <v>9158</v>
      </c>
      <c r="Q193" s="14" t="s">
        <v>9158</v>
      </c>
    </row>
    <row r="195" spans="1:17">
      <c r="A195" s="9" t="s">
        <v>11557</v>
      </c>
    </row>
    <row r="196" spans="1:17">
      <c r="A196" s="9" t="s">
        <v>11558</v>
      </c>
    </row>
    <row r="197" spans="1:17">
      <c r="A197" s="14" t="s">
        <v>5601</v>
      </c>
      <c r="B197" s="14" t="s">
        <v>330</v>
      </c>
      <c r="C197" s="14" t="s">
        <v>35</v>
      </c>
      <c r="D197" s="19" t="s">
        <v>10318</v>
      </c>
      <c r="E197" s="15" t="str">
        <f>HYPERLINK("https://stat100.ameba.jp/tnk47/ratio20/illustrations/card/ill_82423_0_bikinigarukishi03.jpg?202003-5-RELEASE-marathon-461xxxxx", "■")</f>
        <v>■</v>
      </c>
      <c r="F197" s="14" t="s">
        <v>5391</v>
      </c>
      <c r="G197" s="14">
        <v>290598</v>
      </c>
      <c r="H197" s="14">
        <v>262648</v>
      </c>
      <c r="I197" s="14">
        <v>24</v>
      </c>
      <c r="J197" s="14" t="s">
        <v>77</v>
      </c>
      <c r="K197" s="14" t="s">
        <v>5392</v>
      </c>
      <c r="L197" s="14" t="s">
        <v>5393</v>
      </c>
      <c r="M197" s="14" t="s">
        <v>9158</v>
      </c>
      <c r="N197" s="14" t="s">
        <v>9158</v>
      </c>
      <c r="O197" s="19" t="s">
        <v>10069</v>
      </c>
      <c r="P197" s="14" t="s">
        <v>5394</v>
      </c>
      <c r="Q197" s="14">
        <v>1</v>
      </c>
    </row>
    <row r="198" spans="1:17">
      <c r="A198" s="14">
        <v>84323</v>
      </c>
      <c r="B198" s="14" t="s">
        <v>0</v>
      </c>
      <c r="C198" s="14" t="s">
        <v>158</v>
      </c>
      <c r="D198" s="19" t="s">
        <v>10669</v>
      </c>
      <c r="E198" s="15" t="str">
        <f>HYPERLINK("https://stat100.ameba.jp/tnk47/ratio20/illustrations/card/ill_84323_kagizumebyakko03.jpg?202003-5-RELEASE-marathon-461xxxxx", "■")</f>
        <v>■</v>
      </c>
      <c r="F198" s="14" t="s">
        <v>7284</v>
      </c>
      <c r="G198" s="14">
        <v>122366</v>
      </c>
      <c r="H198" s="14">
        <v>88624</v>
      </c>
      <c r="I198" s="14">
        <v>24</v>
      </c>
      <c r="J198" s="14" t="s">
        <v>155</v>
      </c>
      <c r="K198" s="14" t="s">
        <v>7283</v>
      </c>
      <c r="L198" s="14" t="s">
        <v>7282</v>
      </c>
      <c r="M198" s="14" t="s">
        <v>9158</v>
      </c>
      <c r="N198" s="14" t="s">
        <v>9158</v>
      </c>
      <c r="O198" s="19" t="s">
        <v>10109</v>
      </c>
      <c r="P198" s="14" t="s">
        <v>3625</v>
      </c>
      <c r="Q198" s="14">
        <v>1</v>
      </c>
    </row>
    <row r="199" spans="1:17">
      <c r="A199" s="14">
        <v>67103</v>
      </c>
      <c r="B199" s="14" t="s">
        <v>334</v>
      </c>
      <c r="C199" s="14" t="s">
        <v>154</v>
      </c>
      <c r="D199" s="19" t="s">
        <v>10253</v>
      </c>
      <c r="E199" s="15" t="str">
        <f>HYPERLINK("https://stat100.ameba.jp/tnk47/ratio20/illustrations/card/ill_67103_ankonabe03.jpg?202003-5-RELEASE-marathon-461xxxxx", "■")</f>
        <v>■</v>
      </c>
      <c r="F199" s="14" t="s">
        <v>1283</v>
      </c>
      <c r="G199" s="14">
        <v>91876</v>
      </c>
      <c r="H199" s="14">
        <v>126858</v>
      </c>
      <c r="I199" s="14">
        <v>24</v>
      </c>
      <c r="J199" s="14" t="s">
        <v>216</v>
      </c>
      <c r="K199" s="14" t="s">
        <v>1284</v>
      </c>
      <c r="L199" s="14" t="s">
        <v>13153</v>
      </c>
      <c r="M199" s="14" t="s">
        <v>9158</v>
      </c>
      <c r="N199" s="14" t="s">
        <v>9158</v>
      </c>
      <c r="O199" s="19" t="s">
        <v>4074</v>
      </c>
      <c r="P199" s="14" t="s">
        <v>3462</v>
      </c>
      <c r="Q199" s="14">
        <v>1</v>
      </c>
    </row>
    <row r="200" spans="1:17">
      <c r="A200" s="14">
        <v>75873</v>
      </c>
      <c r="B200" s="14" t="s">
        <v>334</v>
      </c>
      <c r="C200" s="14" t="s">
        <v>209</v>
      </c>
      <c r="D200" s="19" t="s">
        <v>10221</v>
      </c>
      <c r="E200" s="15" t="str">
        <f>HYPERLINK("https://stat100.ameba.jp/tnk47/ratio20/illustrations/card/ill_75873_harajukuroriitachan03.jpg?202003-5-RELEASE-marathon-461xxxxx", "■")</f>
        <v>■</v>
      </c>
      <c r="F200" s="14" t="s">
        <v>1945</v>
      </c>
      <c r="G200" s="14">
        <v>105394</v>
      </c>
      <c r="H200" s="14">
        <v>113340</v>
      </c>
      <c r="I200" s="14">
        <v>24</v>
      </c>
      <c r="J200" s="14" t="s">
        <v>26</v>
      </c>
      <c r="K200" s="14" t="s">
        <v>1946</v>
      </c>
      <c r="L200" s="14" t="s">
        <v>1947</v>
      </c>
      <c r="M200" s="14" t="s">
        <v>9158</v>
      </c>
      <c r="N200" s="14" t="s">
        <v>9158</v>
      </c>
      <c r="O200" s="19" t="s">
        <v>2752</v>
      </c>
      <c r="P200" s="14" t="s">
        <v>13123</v>
      </c>
      <c r="Q200" s="14">
        <v>1</v>
      </c>
    </row>
    <row r="202" spans="1:17">
      <c r="A202" s="9" t="s">
        <v>115</v>
      </c>
    </row>
    <row r="203" spans="1:17">
      <c r="A203" s="9" t="s">
        <v>11559</v>
      </c>
    </row>
    <row r="204" spans="1:17">
      <c r="A204" s="14" t="s">
        <v>5615</v>
      </c>
      <c r="B204" s="14" t="s">
        <v>330</v>
      </c>
      <c r="C204" s="14" t="s">
        <v>206</v>
      </c>
      <c r="D204" s="19" t="s">
        <v>2814</v>
      </c>
      <c r="E204" s="15" t="str">
        <f>HYPERLINK("https://stat100.ameba.jp/tnk47/ratio20/illustrations/card/ill_57733_0_shogatsunisenjunanaamakusashiro03.jpg?202003-5-RELEASE-marathon-461xxxxx", "■")</f>
        <v>■</v>
      </c>
      <c r="F204" s="14" t="s">
        <v>1016</v>
      </c>
      <c r="G204" s="14">
        <v>122776</v>
      </c>
      <c r="H204" s="14">
        <v>138212</v>
      </c>
      <c r="I204" s="14">
        <v>22</v>
      </c>
      <c r="J204" s="14" t="s">
        <v>10</v>
      </c>
      <c r="K204" s="14" t="s">
        <v>1017</v>
      </c>
      <c r="L204" s="14" t="s">
        <v>1018</v>
      </c>
      <c r="M204" s="14" t="s">
        <v>9158</v>
      </c>
      <c r="N204" s="14" t="s">
        <v>9158</v>
      </c>
      <c r="O204" s="19" t="s">
        <v>10077</v>
      </c>
      <c r="P204" s="14" t="s">
        <v>3062</v>
      </c>
      <c r="Q204" s="14">
        <v>1</v>
      </c>
    </row>
    <row r="205" spans="1:17">
      <c r="A205" s="14" t="s">
        <v>5650</v>
      </c>
      <c r="B205" s="14" t="s">
        <v>52</v>
      </c>
      <c r="C205" s="14" t="s">
        <v>23</v>
      </c>
      <c r="D205" s="19" t="s">
        <v>809</v>
      </c>
      <c r="E205" s="15" t="str">
        <f>HYPERLINK("https://stat100.ameba.jp/tnk47/ratio20/illustrations/card/ill_68033_0_kurisumasupateikandamyojin03.jpg?202003-5-RELEASE-marathon-461xxxxx", "■")</f>
        <v>■</v>
      </c>
      <c r="F205" s="14" t="s">
        <v>1871</v>
      </c>
      <c r="G205" s="14">
        <v>139878</v>
      </c>
      <c r="H205" s="14">
        <v>150466</v>
      </c>
      <c r="I205" s="14">
        <v>22</v>
      </c>
      <c r="J205" s="14" t="s">
        <v>44</v>
      </c>
      <c r="K205" s="14" t="s">
        <v>1872</v>
      </c>
      <c r="L205" s="14" t="s">
        <v>1873</v>
      </c>
      <c r="M205" s="14" t="s">
        <v>9158</v>
      </c>
      <c r="N205" s="14" t="s">
        <v>9158</v>
      </c>
      <c r="O205" s="19" t="s">
        <v>2997</v>
      </c>
      <c r="P205" s="14" t="s">
        <v>3483</v>
      </c>
      <c r="Q205" s="14">
        <v>2</v>
      </c>
    </row>
    <row r="206" spans="1:17">
      <c r="A206" s="9" t="s">
        <v>5616</v>
      </c>
      <c r="B206" s="14" t="s">
        <v>330</v>
      </c>
      <c r="C206" s="14" t="s">
        <v>185</v>
      </c>
      <c r="D206" s="14" t="s">
        <v>638</v>
      </c>
      <c r="E206" s="15" t="str">
        <f>HYPERLINK("https://stat100.ameba.jp/tnk47/ratio20/illustrations/card/ill_44253_0_dokuganryudatemasamune03.jpg?202003-5-RELEASE-marathon-461xxxxx", "■")</f>
        <v>■</v>
      </c>
      <c r="F206" s="14" t="s">
        <v>639</v>
      </c>
      <c r="G206" s="14">
        <v>120576</v>
      </c>
      <c r="H206" s="14">
        <v>128744</v>
      </c>
      <c r="I206" s="14">
        <v>22</v>
      </c>
      <c r="J206" s="14" t="s">
        <v>310</v>
      </c>
      <c r="K206" s="14" t="s">
        <v>640</v>
      </c>
      <c r="L206" s="14" t="s">
        <v>641</v>
      </c>
      <c r="M206" s="14" t="s">
        <v>9158</v>
      </c>
      <c r="N206" s="14" t="s">
        <v>9158</v>
      </c>
      <c r="O206" s="14" t="s">
        <v>9158</v>
      </c>
      <c r="P206" s="14" t="s">
        <v>9158</v>
      </c>
      <c r="Q206" s="14" t="s">
        <v>9158</v>
      </c>
    </row>
    <row r="207" spans="1:17">
      <c r="A207" s="14">
        <v>67533</v>
      </c>
      <c r="B207" s="14" t="s">
        <v>334</v>
      </c>
      <c r="C207" s="14" t="s">
        <v>206</v>
      </c>
      <c r="D207" s="19" t="s">
        <v>890</v>
      </c>
      <c r="E207" s="15" t="str">
        <f>HYPERLINK("https://stat100.ameba.jp/tnk47/ratio20/illustrations/card/ill_67533_makkurazore03.jpg?202003-5-RELEASE-marathon-461xxxxx", "■")</f>
        <v>■</v>
      </c>
      <c r="F207" s="14" t="s">
        <v>891</v>
      </c>
      <c r="G207" s="14">
        <v>73272</v>
      </c>
      <c r="H207" s="14">
        <v>130220</v>
      </c>
      <c r="I207" s="14">
        <v>26</v>
      </c>
      <c r="J207" s="14" t="s">
        <v>320</v>
      </c>
      <c r="K207" s="14" t="s">
        <v>892</v>
      </c>
      <c r="L207" s="14" t="s">
        <v>893</v>
      </c>
      <c r="M207" s="14" t="s">
        <v>9158</v>
      </c>
      <c r="N207" s="14" t="s">
        <v>9158</v>
      </c>
      <c r="O207" s="14" t="s">
        <v>9158</v>
      </c>
      <c r="P207" s="14" t="s">
        <v>9158</v>
      </c>
      <c r="Q207" s="14" t="s">
        <v>9158</v>
      </c>
    </row>
    <row r="208" spans="1:17">
      <c r="A208" s="14">
        <v>75713</v>
      </c>
      <c r="B208" s="14" t="s">
        <v>0</v>
      </c>
      <c r="C208" s="14" t="s">
        <v>185</v>
      </c>
      <c r="D208" s="19" t="s">
        <v>10372</v>
      </c>
      <c r="E208" s="15" t="str">
        <f>HYPERLINK("https://stat100.ameba.jp/tnk47/ratio20/illustrations/card/ill_75713_chanchanyaki03.jpg?202003-5-RELEASE-marathon-461xxxxx", "■")</f>
        <v>■</v>
      </c>
      <c r="F208" s="14" t="s">
        <v>5679</v>
      </c>
      <c r="G208" s="14">
        <v>73272</v>
      </c>
      <c r="H208" s="14">
        <v>130220</v>
      </c>
      <c r="I208" s="14">
        <v>26</v>
      </c>
      <c r="J208" s="14" t="s">
        <v>104</v>
      </c>
      <c r="K208" s="14" t="s">
        <v>5680</v>
      </c>
      <c r="L208" s="14" t="s">
        <v>1924</v>
      </c>
      <c r="M208" s="14" t="s">
        <v>9158</v>
      </c>
      <c r="N208" s="14" t="s">
        <v>9158</v>
      </c>
      <c r="O208" s="14" t="s">
        <v>9158</v>
      </c>
      <c r="P208" s="14" t="s">
        <v>9158</v>
      </c>
      <c r="Q208" s="14" t="s">
        <v>9158</v>
      </c>
    </row>
    <row r="209" spans="1:17">
      <c r="A209">
        <v>71693</v>
      </c>
      <c r="B209" s="7" t="s">
        <v>0</v>
      </c>
      <c r="C209" t="s">
        <v>23</v>
      </c>
      <c r="D209" s="19" t="s">
        <v>10804</v>
      </c>
      <c r="E209" s="8" t="str">
        <f>HYPERLINK("https://stat100.ameba.jp/tnk47/ratio20/illustrations/card/ill_71693_shokugyotaikenakaiteruko03.jpg?202003-5-RELEASE-marathon-461xxxxx", "■")</f>
        <v>■</v>
      </c>
      <c r="F209" t="s">
        <v>2599</v>
      </c>
      <c r="G209" s="14">
        <v>143714</v>
      </c>
      <c r="H209" s="14">
        <v>154562</v>
      </c>
      <c r="I209" s="14">
        <v>26</v>
      </c>
      <c r="J209" t="s">
        <v>143</v>
      </c>
      <c r="K209" t="s">
        <v>2600</v>
      </c>
      <c r="L209" t="s">
        <v>1148</v>
      </c>
      <c r="M209" s="14" t="s">
        <v>9158</v>
      </c>
      <c r="N209" s="14" t="s">
        <v>9158</v>
      </c>
      <c r="O209" s="14" t="s">
        <v>9158</v>
      </c>
      <c r="P209" s="14" t="s">
        <v>9158</v>
      </c>
      <c r="Q209" s="14" t="s">
        <v>9158</v>
      </c>
    </row>
    <row r="210" spans="1:17">
      <c r="A210" s="14">
        <v>84263</v>
      </c>
      <c r="B210" s="14" t="s">
        <v>15</v>
      </c>
      <c r="C210" s="14" t="s">
        <v>191</v>
      </c>
      <c r="D210" s="19" t="s">
        <v>10671</v>
      </c>
      <c r="E210" s="15" t="str">
        <f>HYPERLINK("https://stat100.ameba.jp/tnk47/ratio20/illustrations/card/ill_84263_isotengu03.jpg?202003-5-RELEASE-marathon-461xxxxx", "■")</f>
        <v>■</v>
      </c>
      <c r="F210" s="14" t="s">
        <v>7247</v>
      </c>
      <c r="G210" s="14">
        <v>59144</v>
      </c>
      <c r="H210" s="14">
        <v>65208</v>
      </c>
      <c r="I210" s="14">
        <v>22</v>
      </c>
      <c r="J210" s="14" t="s">
        <v>73</v>
      </c>
      <c r="K210" s="14" t="s">
        <v>7245</v>
      </c>
      <c r="L210" s="14" t="s">
        <v>1706</v>
      </c>
      <c r="M210" s="14" t="s">
        <v>9158</v>
      </c>
      <c r="N210" s="14" t="s">
        <v>9158</v>
      </c>
      <c r="O210" s="14" t="s">
        <v>9158</v>
      </c>
      <c r="P210" s="14" t="s">
        <v>9158</v>
      </c>
      <c r="Q210" s="14" t="s">
        <v>9158</v>
      </c>
    </row>
    <row r="211" spans="1:17">
      <c r="A211" s="14">
        <v>84043</v>
      </c>
      <c r="B211" s="14" t="s">
        <v>15</v>
      </c>
      <c r="C211" s="14" t="s">
        <v>185</v>
      </c>
      <c r="D211" s="19" t="s">
        <v>10534</v>
      </c>
      <c r="E211" s="15" t="str">
        <f>HYPERLINK("https://stat100.ameba.jp/tnk47/ratio20/illustrations/card/ill_84043_intonnambutsuruhime03.jpg?202003-5-RELEASE-marathon-461xxxxx", "■")</f>
        <v>■</v>
      </c>
      <c r="F211" s="14" t="s">
        <v>6483</v>
      </c>
      <c r="G211" s="14">
        <v>59144</v>
      </c>
      <c r="H211" s="14">
        <v>65208</v>
      </c>
      <c r="I211" s="14">
        <v>22</v>
      </c>
      <c r="J211" s="14" t="s">
        <v>77</v>
      </c>
      <c r="K211" s="14" t="s">
        <v>5215</v>
      </c>
      <c r="L211" s="14" t="s">
        <v>973</v>
      </c>
      <c r="M211" s="14" t="s">
        <v>9158</v>
      </c>
      <c r="N211" s="14" t="s">
        <v>9158</v>
      </c>
      <c r="O211" s="14" t="s">
        <v>9158</v>
      </c>
      <c r="P211" s="14" t="s">
        <v>9158</v>
      </c>
      <c r="Q211" s="14" t="s">
        <v>9158</v>
      </c>
    </row>
    <row r="212" spans="1:17">
      <c r="A212" s="14">
        <v>44403</v>
      </c>
      <c r="B212" s="14" t="s">
        <v>15</v>
      </c>
      <c r="C212" s="14" t="s">
        <v>185</v>
      </c>
      <c r="D212" s="19" t="s">
        <v>11038</v>
      </c>
      <c r="E212" s="15" t="str">
        <f>HYPERLINK("https://stat100.ameba.jp/tnk47/ratio20/illustrations/card/ill_44403_sansho03.jpg?202003-5-RELEASE-marathon-461xxxxx", "■")</f>
        <v>■</v>
      </c>
      <c r="F212" s="14" t="s">
        <v>11041</v>
      </c>
      <c r="G212" s="14">
        <v>59144</v>
      </c>
      <c r="H212" s="14">
        <v>65208</v>
      </c>
      <c r="I212" s="14">
        <v>22</v>
      </c>
      <c r="J212" s="14" t="s">
        <v>104</v>
      </c>
      <c r="K212" s="14" t="s">
        <v>11040</v>
      </c>
      <c r="L212" s="14" t="s">
        <v>11039</v>
      </c>
      <c r="M212" s="14" t="s">
        <v>9158</v>
      </c>
      <c r="N212" s="14" t="s">
        <v>9158</v>
      </c>
      <c r="O212" s="14" t="s">
        <v>9158</v>
      </c>
      <c r="P212" s="14" t="s">
        <v>9158</v>
      </c>
      <c r="Q212" s="14" t="s">
        <v>9158</v>
      </c>
    </row>
    <row r="214" spans="1:17">
      <c r="A214" s="14" t="s">
        <v>195</v>
      </c>
      <c r="B214" s="14"/>
      <c r="C214" s="14"/>
      <c r="D214" s="14"/>
      <c r="E214" s="14"/>
      <c r="F214" s="14"/>
      <c r="G214" s="14"/>
      <c r="H214" s="14"/>
      <c r="I214" s="14"/>
      <c r="J214" s="14"/>
      <c r="K214" s="14"/>
      <c r="L214" s="14"/>
      <c r="M214" s="14"/>
      <c r="N214" s="14"/>
      <c r="O214" s="14"/>
      <c r="P214" s="14"/>
      <c r="Q214" s="14"/>
    </row>
    <row r="215" spans="1:17">
      <c r="A215" s="14" t="s">
        <v>3917</v>
      </c>
      <c r="B215" s="14"/>
      <c r="C215" s="14"/>
      <c r="D215" s="14"/>
      <c r="E215" s="14"/>
      <c r="F215" s="14"/>
      <c r="G215" s="14"/>
      <c r="H215" s="14"/>
      <c r="I215" s="14"/>
      <c r="J215" s="14"/>
      <c r="K215" s="14"/>
      <c r="L215" s="14"/>
      <c r="M215" s="14"/>
      <c r="N215" s="14"/>
      <c r="O215" s="14"/>
      <c r="P215" s="14"/>
      <c r="Q215" s="14"/>
    </row>
    <row r="216" spans="1:17">
      <c r="A216" s="14">
        <v>76103</v>
      </c>
      <c r="B216" s="14" t="s">
        <v>334</v>
      </c>
      <c r="C216" s="14" t="s">
        <v>154</v>
      </c>
      <c r="D216" s="19" t="s">
        <v>570</v>
      </c>
      <c r="E216" s="15" t="str">
        <f>HYPERLINK("https://stat100.ameba.jp/tnk47/ratio20/illustrations/card/ill_76103_shibuaji03.jpg?202003-5-RELEASE-marathon-461xxxxx", "■")</f>
        <v>■</v>
      </c>
      <c r="F216" s="14" t="s">
        <v>1122</v>
      </c>
      <c r="G216" s="14">
        <v>112140</v>
      </c>
      <c r="H216" s="14">
        <v>104266</v>
      </c>
      <c r="I216" s="14">
        <v>26</v>
      </c>
      <c r="J216" s="14" t="s">
        <v>143</v>
      </c>
      <c r="K216" s="14" t="s">
        <v>1123</v>
      </c>
      <c r="L216" s="14" t="s">
        <v>1124</v>
      </c>
      <c r="M216" s="14" t="s">
        <v>9158</v>
      </c>
      <c r="N216" s="14" t="s">
        <v>9158</v>
      </c>
      <c r="O216" s="14" t="s">
        <v>9158</v>
      </c>
      <c r="P216" s="14" t="s">
        <v>9158</v>
      </c>
      <c r="Q216" s="14" t="s">
        <v>9158</v>
      </c>
    </row>
    <row r="217" spans="1:17">
      <c r="A217" s="14">
        <v>76113</v>
      </c>
      <c r="B217" s="14" t="s">
        <v>334</v>
      </c>
      <c r="C217" s="14" t="s">
        <v>158</v>
      </c>
      <c r="D217" s="19" t="s">
        <v>10268</v>
      </c>
      <c r="E217" s="15" t="str">
        <f>HYPERLINK("https://stat100.ameba.jp/tnk47/ratio20/illustrations/card/ill_76113_jannudaruku03.jpg?202003-5-RELEASE-marathon-461xxxxx", "■")</f>
        <v>■</v>
      </c>
      <c r="F217" s="14" t="s">
        <v>1126</v>
      </c>
      <c r="G217" s="14">
        <v>112140</v>
      </c>
      <c r="H217" s="14">
        <v>104266</v>
      </c>
      <c r="I217" s="14">
        <v>26</v>
      </c>
      <c r="J217" s="14" t="s">
        <v>10</v>
      </c>
      <c r="K217" s="14" t="s">
        <v>1127</v>
      </c>
      <c r="L217" s="14" t="s">
        <v>1128</v>
      </c>
      <c r="M217" s="14" t="s">
        <v>9158</v>
      </c>
      <c r="N217" s="14" t="s">
        <v>9158</v>
      </c>
      <c r="O217" s="14" t="s">
        <v>9158</v>
      </c>
      <c r="P217" s="14" t="s">
        <v>9158</v>
      </c>
      <c r="Q217" s="14" t="s">
        <v>9158</v>
      </c>
    </row>
    <row r="218" spans="1:17">
      <c r="A218" s="14">
        <v>63323</v>
      </c>
      <c r="B218" s="14" t="s">
        <v>0</v>
      </c>
      <c r="C218" s="14" t="s">
        <v>200</v>
      </c>
      <c r="D218" s="19" t="s">
        <v>10269</v>
      </c>
      <c r="E218" s="15" t="str">
        <f>HYPERLINK("https://stat100.ameba.jp/tnk47/ratio20/illustrations/card/ill_63323_ajisaikushinadahime03.jpg?202003-5-RELEASE-marathon-461xxxxx", "■")</f>
        <v>■</v>
      </c>
      <c r="F218" s="14" t="s">
        <v>3583</v>
      </c>
      <c r="G218" s="14">
        <v>98594</v>
      </c>
      <c r="H218" s="14">
        <v>106050</v>
      </c>
      <c r="I218" s="14">
        <v>26</v>
      </c>
      <c r="J218" s="14" t="s">
        <v>44</v>
      </c>
      <c r="K218" s="14" t="s">
        <v>3584</v>
      </c>
      <c r="L218" s="14" t="s">
        <v>2400</v>
      </c>
      <c r="M218" s="14" t="s">
        <v>9158</v>
      </c>
      <c r="N218" s="14" t="s">
        <v>9158</v>
      </c>
      <c r="O218" s="14" t="s">
        <v>9158</v>
      </c>
      <c r="P218" s="14" t="s">
        <v>9158</v>
      </c>
      <c r="Q218" s="14" t="s">
        <v>9158</v>
      </c>
    </row>
    <row r="219" spans="1:17">
      <c r="A219" s="14">
        <v>59863</v>
      </c>
      <c r="B219" s="14" t="s">
        <v>334</v>
      </c>
      <c r="C219" s="14" t="s">
        <v>165</v>
      </c>
      <c r="D219" s="19" t="s">
        <v>318</v>
      </c>
      <c r="E219" s="15" t="str">
        <f>HYPERLINK("https://stat100.ameba.jp/tnk47/ratio20/illustrations/card/ill_59863_yoseiichimokuren03.jpg?202003-5-RELEASE-marathon-461xxxxx", "■")</f>
        <v>■</v>
      </c>
      <c r="F219" s="14" t="s">
        <v>319</v>
      </c>
      <c r="G219" s="14">
        <v>108330</v>
      </c>
      <c r="H219" s="14">
        <v>100744</v>
      </c>
      <c r="I219" s="14">
        <v>26</v>
      </c>
      <c r="J219" s="14" t="s">
        <v>320</v>
      </c>
      <c r="K219" s="14" t="s">
        <v>321</v>
      </c>
      <c r="L219" s="14" t="s">
        <v>322</v>
      </c>
      <c r="M219" s="14" t="s">
        <v>9158</v>
      </c>
      <c r="N219" s="14" t="s">
        <v>9158</v>
      </c>
      <c r="O219" s="14" t="s">
        <v>9158</v>
      </c>
      <c r="P219" s="14" t="s">
        <v>9158</v>
      </c>
      <c r="Q219" s="14" t="s">
        <v>9158</v>
      </c>
    </row>
    <row r="220" spans="1:17">
      <c r="A220" s="14">
        <v>51823</v>
      </c>
      <c r="B220" s="14" t="s">
        <v>15</v>
      </c>
      <c r="C220" s="14" t="s">
        <v>101</v>
      </c>
      <c r="D220" s="19" t="s">
        <v>10587</v>
      </c>
      <c r="E220" s="15" t="str">
        <f>HYPERLINK("https://stat100.ameba.jp/tnk47/ratio20/illustrations/card/ill_51823_jukimatsu03.jpg?202003-5-RELEASE-marathon-461xxxxx", "■")</f>
        <v>■</v>
      </c>
      <c r="F220" s="14" t="s">
        <v>6742</v>
      </c>
      <c r="G220" s="14">
        <v>69898</v>
      </c>
      <c r="H220" s="14">
        <v>77064</v>
      </c>
      <c r="I220" s="14">
        <v>26</v>
      </c>
      <c r="J220" s="14" t="s">
        <v>77</v>
      </c>
      <c r="K220" s="14" t="s">
        <v>6743</v>
      </c>
      <c r="L220" s="14" t="s">
        <v>6744</v>
      </c>
      <c r="M220" s="14" t="s">
        <v>9158</v>
      </c>
      <c r="N220" s="14" t="s">
        <v>9158</v>
      </c>
      <c r="O220" s="14" t="s">
        <v>9158</v>
      </c>
      <c r="P220" s="14" t="s">
        <v>9158</v>
      </c>
      <c r="Q220" s="14" t="s">
        <v>9158</v>
      </c>
    </row>
    <row r="221" spans="1:17">
      <c r="A221" s="14">
        <v>51773</v>
      </c>
      <c r="B221" s="14" t="s">
        <v>15</v>
      </c>
      <c r="C221" s="14" t="s">
        <v>205</v>
      </c>
      <c r="D221" s="19" t="s">
        <v>10588</v>
      </c>
      <c r="E221" s="15" t="str">
        <f>HYPERLINK("https://stat100.ameba.jp/tnk47/ratio20/illustrations/card/ill_51773_kawaasobikanekomisuzu03.jpg?202003-5-RELEASE-marathon-461xxxxx", "■")</f>
        <v>■</v>
      </c>
      <c r="F221" s="14" t="s">
        <v>6747</v>
      </c>
      <c r="G221" s="14">
        <v>77064</v>
      </c>
      <c r="H221" s="14">
        <v>69898</v>
      </c>
      <c r="I221" s="14">
        <v>26</v>
      </c>
      <c r="J221" s="14" t="s">
        <v>10</v>
      </c>
      <c r="K221" s="14" t="s">
        <v>6746</v>
      </c>
      <c r="L221" s="14" t="s">
        <v>6745</v>
      </c>
      <c r="M221" s="14" t="s">
        <v>9158</v>
      </c>
      <c r="N221" s="14" t="s">
        <v>9158</v>
      </c>
      <c r="O221" s="14" t="s">
        <v>9158</v>
      </c>
      <c r="P221" s="14" t="s">
        <v>9158</v>
      </c>
      <c r="Q221" s="14" t="s">
        <v>9158</v>
      </c>
    </row>
    <row r="222" spans="1:17">
      <c r="A222" s="14">
        <v>51733</v>
      </c>
      <c r="B222" s="14" t="s">
        <v>15</v>
      </c>
      <c r="C222" s="14" t="s">
        <v>185</v>
      </c>
      <c r="D222" s="19" t="s">
        <v>10589</v>
      </c>
      <c r="E222" s="15" t="str">
        <f>HYPERLINK("https://stat100.ameba.jp/tnk47/ratio20/illustrations/card/ill_51733_ekusoshisutopoiyampe03.jpg?202003-5-RELEASE-marathon-461xxxxx", "■")</f>
        <v>■</v>
      </c>
      <c r="F222" s="14" t="s">
        <v>6750</v>
      </c>
      <c r="G222" s="14">
        <v>69898</v>
      </c>
      <c r="H222" s="14">
        <v>77064</v>
      </c>
      <c r="I222" s="14">
        <v>26</v>
      </c>
      <c r="J222" s="14" t="s">
        <v>274</v>
      </c>
      <c r="K222" s="14" t="s">
        <v>6749</v>
      </c>
      <c r="L222" s="14" t="s">
        <v>6748</v>
      </c>
      <c r="M222" s="14" t="s">
        <v>9158</v>
      </c>
      <c r="N222" s="14" t="s">
        <v>9158</v>
      </c>
      <c r="O222" s="14" t="s">
        <v>9158</v>
      </c>
      <c r="P222" s="14" t="s">
        <v>9158</v>
      </c>
      <c r="Q222" s="14" t="s">
        <v>9158</v>
      </c>
    </row>
    <row r="223" spans="1:17">
      <c r="A223" s="14">
        <v>55743</v>
      </c>
      <c r="B223" s="14" t="s">
        <v>15</v>
      </c>
      <c r="C223" s="14" t="s">
        <v>96</v>
      </c>
      <c r="D223" s="19" t="s">
        <v>10590</v>
      </c>
      <c r="E223" s="15" t="str">
        <f>HYPERLINK("https://stat100.ameba.jp/tnk47/ratio20/illustrations/card/ill_55743_nankoume03.jpg?202003-5-RELEASE-marathon-461xxxxx", "■")</f>
        <v>■</v>
      </c>
      <c r="F223" s="14" t="s">
        <v>4308</v>
      </c>
      <c r="G223" s="14">
        <v>69898</v>
      </c>
      <c r="H223" s="14">
        <v>77064</v>
      </c>
      <c r="I223" s="14">
        <v>26</v>
      </c>
      <c r="J223" s="14" t="s">
        <v>216</v>
      </c>
      <c r="K223" s="14" t="s">
        <v>4310</v>
      </c>
      <c r="L223" s="14" t="s">
        <v>4311</v>
      </c>
      <c r="M223" s="14" t="s">
        <v>9158</v>
      </c>
      <c r="N223" s="14" t="s">
        <v>9158</v>
      </c>
      <c r="O223" s="14" t="s">
        <v>9158</v>
      </c>
      <c r="P223" s="14" t="s">
        <v>9158</v>
      </c>
      <c r="Q223" s="14" t="s">
        <v>9158</v>
      </c>
    </row>
    <row r="225" spans="1:17">
      <c r="A225" s="9" t="s">
        <v>207</v>
      </c>
    </row>
    <row r="226" spans="1:17">
      <c r="A226" s="9" t="s">
        <v>11560</v>
      </c>
    </row>
    <row r="227" spans="1:17">
      <c r="A227" s="14" t="s">
        <v>5602</v>
      </c>
      <c r="B227" s="14" t="s">
        <v>52</v>
      </c>
      <c r="C227" s="14" t="s">
        <v>14</v>
      </c>
      <c r="D227" s="19" t="s">
        <v>813</v>
      </c>
      <c r="E227" s="15" t="str">
        <f>HYPERLINK("https://stat100.ameba.jp/tnk47/ratio20/illustrations/card/ill_55313_0_haroinononokomachi03.jpg?202003-5-RELEASE-marathon-461xxxxxx", "■")</f>
        <v>■</v>
      </c>
      <c r="F227" s="14" t="s">
        <v>2094</v>
      </c>
      <c r="G227" s="14">
        <v>150776</v>
      </c>
      <c r="H227" s="14">
        <v>133938</v>
      </c>
      <c r="I227" s="14">
        <v>24</v>
      </c>
      <c r="J227" s="14" t="s">
        <v>10</v>
      </c>
      <c r="K227" s="14" t="s">
        <v>2095</v>
      </c>
      <c r="L227" s="14" t="s">
        <v>2096</v>
      </c>
      <c r="M227" s="14" t="s">
        <v>9158</v>
      </c>
      <c r="N227" s="14" t="s">
        <v>9158</v>
      </c>
      <c r="O227" s="19" t="s">
        <v>2733</v>
      </c>
      <c r="P227" s="14" t="s">
        <v>2734</v>
      </c>
      <c r="Q227" s="14">
        <v>1</v>
      </c>
    </row>
    <row r="228" spans="1:17">
      <c r="A228" s="14" t="s">
        <v>5614</v>
      </c>
      <c r="B228" s="14" t="s">
        <v>330</v>
      </c>
      <c r="C228" s="14" t="s">
        <v>267</v>
      </c>
      <c r="D228" s="19" t="s">
        <v>313</v>
      </c>
      <c r="E228" s="15" t="str">
        <f>HYPERLINK("https://stat100.ameba.jp/tnk47/ratio20/illustrations/card/ill_56223_0_onsempanikkugohime03.jpg?202003-5-RELEASE-marathon-461xxxxxx", "■")</f>
        <v>■</v>
      </c>
      <c r="F228" s="14" t="s">
        <v>314</v>
      </c>
      <c r="G228" s="14">
        <v>133938</v>
      </c>
      <c r="H228" s="14">
        <v>150776</v>
      </c>
      <c r="I228" s="14">
        <v>24</v>
      </c>
      <c r="J228" s="14" t="s">
        <v>315</v>
      </c>
      <c r="K228" s="14" t="s">
        <v>316</v>
      </c>
      <c r="L228" s="14" t="s">
        <v>317</v>
      </c>
      <c r="M228" s="14" t="s">
        <v>9158</v>
      </c>
      <c r="N228" s="14" t="s">
        <v>9158</v>
      </c>
      <c r="O228" s="19" t="s">
        <v>3021</v>
      </c>
      <c r="P228" s="14" t="s">
        <v>2890</v>
      </c>
      <c r="Q228" s="14">
        <v>1</v>
      </c>
    </row>
    <row r="229" spans="1:17">
      <c r="A229" s="14" t="s">
        <v>5612</v>
      </c>
      <c r="B229" s="14" t="s">
        <v>52</v>
      </c>
      <c r="C229" s="14" t="s">
        <v>165</v>
      </c>
      <c r="D229" s="19" t="s">
        <v>789</v>
      </c>
      <c r="E229" s="15" t="str">
        <f>HYPERLINK("https://stat100.ameba.jp/tnk47/ratio20/illustrations/card/ill_49193_0_onmyoudouabenoseimei03.jpg?202003-5-RELEASE-marathon-461xxxxxx", "■")</f>
        <v>■</v>
      </c>
      <c r="F229" s="14" t="s">
        <v>1896</v>
      </c>
      <c r="G229" s="14">
        <v>133938</v>
      </c>
      <c r="H229" s="14">
        <v>150776</v>
      </c>
      <c r="I229" s="14">
        <v>24</v>
      </c>
      <c r="J229" s="14" t="s">
        <v>10</v>
      </c>
      <c r="K229" s="14" t="s">
        <v>1897</v>
      </c>
      <c r="L229" s="14" t="s">
        <v>1898</v>
      </c>
      <c r="M229" s="14" t="s">
        <v>9158</v>
      </c>
      <c r="N229" s="14" t="s">
        <v>9158</v>
      </c>
      <c r="O229" s="14" t="s">
        <v>9158</v>
      </c>
      <c r="P229" s="14" t="s">
        <v>9158</v>
      </c>
      <c r="Q229" s="14" t="s">
        <v>9158</v>
      </c>
    </row>
    <row r="230" spans="1:17">
      <c r="A230" s="9">
        <v>87843</v>
      </c>
      <c r="B230" s="9" t="s">
        <v>0</v>
      </c>
      <c r="C230" s="9" t="s">
        <v>206</v>
      </c>
      <c r="D230" s="9" t="s">
        <v>14686</v>
      </c>
      <c r="E230" s="15" t="str">
        <f>HYPERLINK("https://stat100.ameba.jp/tnk47/ratio20/illustrations/card/ill_87843_odorikobidorozaikuchan03.jpg?202003-5-RELEASE-marathon-461xxxxxx", "■")</f>
        <v>■</v>
      </c>
      <c r="F230" s="9" t="s">
        <v>11528</v>
      </c>
      <c r="G230" s="9">
        <v>97651</v>
      </c>
      <c r="H230" s="9">
        <v>90759</v>
      </c>
      <c r="I230" s="9">
        <v>25</v>
      </c>
      <c r="J230" s="9" t="s">
        <v>229</v>
      </c>
      <c r="K230" s="9" t="s">
        <v>11529</v>
      </c>
      <c r="L230" s="9" t="s">
        <v>13220</v>
      </c>
      <c r="M230" s="14" t="s">
        <v>9158</v>
      </c>
      <c r="N230" s="14" t="s">
        <v>9158</v>
      </c>
      <c r="O230" s="14" t="s">
        <v>9158</v>
      </c>
      <c r="P230" s="14" t="s">
        <v>9158</v>
      </c>
      <c r="Q230" s="14" t="s">
        <v>9158</v>
      </c>
    </row>
    <row r="231" spans="1:17">
      <c r="A231" s="9">
        <v>87853</v>
      </c>
      <c r="B231" s="9" t="s">
        <v>15</v>
      </c>
      <c r="C231" s="9" t="s">
        <v>185</v>
      </c>
      <c r="D231" s="9" t="s">
        <v>11530</v>
      </c>
      <c r="E231" s="15" t="str">
        <f>HYPERLINK("https://stat100.ameba.jp/tnk47/ratio20/illustrations/card/ill_87853_ginyushijinumizato03.jpg?202003-5-RELEASE-marathon-461xxxxxx", "■")</f>
        <v>■</v>
      </c>
      <c r="F231" s="9" t="s">
        <v>11531</v>
      </c>
      <c r="G231" s="9">
        <v>67210</v>
      </c>
      <c r="H231" s="9">
        <v>74100</v>
      </c>
      <c r="I231" s="9">
        <v>25</v>
      </c>
      <c r="J231" s="9" t="s">
        <v>182</v>
      </c>
      <c r="K231" s="9" t="s">
        <v>11532</v>
      </c>
      <c r="L231" s="9" t="s">
        <v>13221</v>
      </c>
      <c r="M231" s="14" t="s">
        <v>9158</v>
      </c>
      <c r="N231" s="14" t="s">
        <v>9158</v>
      </c>
      <c r="O231" s="14" t="s">
        <v>9158</v>
      </c>
      <c r="P231" s="14" t="s">
        <v>9158</v>
      </c>
      <c r="Q231" s="14" t="s">
        <v>9158</v>
      </c>
    </row>
    <row r="232" spans="1:17">
      <c r="A232" s="9">
        <v>87863</v>
      </c>
      <c r="B232" s="9" t="s">
        <v>22</v>
      </c>
      <c r="C232" s="9" t="s">
        <v>200</v>
      </c>
      <c r="D232" s="9" t="s">
        <v>11533</v>
      </c>
      <c r="E232" s="15" t="str">
        <f>HYPERLINK("https://stat100.ameba.jp/tnk47/ratio20/illustrations/card/ill_87863_kasuganotsubone03.jpg?202003-5-RELEASE-marathon-461xxxxxx", "■")</f>
        <v>■</v>
      </c>
      <c r="F232" s="9" t="s">
        <v>11534</v>
      </c>
      <c r="G232" s="9">
        <v>51980</v>
      </c>
      <c r="H232" s="9">
        <v>43220</v>
      </c>
      <c r="I232" s="9">
        <v>25</v>
      </c>
      <c r="J232" s="9" t="s">
        <v>159</v>
      </c>
      <c r="K232" s="9" t="s">
        <v>11535</v>
      </c>
      <c r="L232" s="9" t="s">
        <v>13222</v>
      </c>
      <c r="M232" s="14" t="s">
        <v>9158</v>
      </c>
      <c r="N232" s="14" t="s">
        <v>9158</v>
      </c>
      <c r="O232" s="14" t="s">
        <v>9158</v>
      </c>
      <c r="P232" s="14" t="s">
        <v>9158</v>
      </c>
      <c r="Q232" s="14" t="s">
        <v>9158</v>
      </c>
    </row>
    <row r="233" spans="1:17">
      <c r="A233" s="9">
        <v>87873</v>
      </c>
      <c r="B233" s="9" t="s">
        <v>30</v>
      </c>
      <c r="C233" s="9" t="s">
        <v>165</v>
      </c>
      <c r="D233" s="9" t="s">
        <v>11536</v>
      </c>
      <c r="E233" s="15" t="str">
        <f>HYPERLINK("https://stat100.ameba.jp/tnk47/ratio20/illustrations/card/ill_87873_sagatennou03.jpg?202003-5-RELEASE-marathon-461xxxxxx", "■")</f>
        <v>■</v>
      </c>
      <c r="F233" s="9" t="s">
        <v>11537</v>
      </c>
      <c r="G233" s="9">
        <v>26430</v>
      </c>
      <c r="H233" s="9">
        <v>31470</v>
      </c>
      <c r="I233" s="9">
        <v>25</v>
      </c>
      <c r="J233" s="9" t="s">
        <v>155</v>
      </c>
      <c r="K233" s="9" t="s">
        <v>11538</v>
      </c>
      <c r="L233" s="9" t="s">
        <v>13223</v>
      </c>
      <c r="M233" s="14" t="s">
        <v>9158</v>
      </c>
      <c r="N233" s="14" t="s">
        <v>9158</v>
      </c>
      <c r="O233" s="14" t="s">
        <v>9158</v>
      </c>
      <c r="P233" s="14" t="s">
        <v>9158</v>
      </c>
      <c r="Q233" s="14" t="s">
        <v>9158</v>
      </c>
    </row>
    <row r="235" spans="1:17">
      <c r="A235" s="9" t="s">
        <v>11561</v>
      </c>
    </row>
    <row r="236" spans="1:17">
      <c r="A236" s="9" t="s">
        <v>11562</v>
      </c>
    </row>
    <row r="237" spans="1:17">
      <c r="A237" s="14" t="s">
        <v>5724</v>
      </c>
      <c r="B237" s="14" t="s">
        <v>330</v>
      </c>
      <c r="C237" s="14" t="s">
        <v>335</v>
      </c>
      <c r="D237" s="19" t="s">
        <v>698</v>
      </c>
      <c r="E237" s="15" t="str">
        <f>HYPERLINK("https://stat100.ameba.jp/tnk47/ratio20/illustrations/card/ill_66433_0_haroinfujishirogozen03.jpg?202003-5-RELEASE-marathon-461xxxxxx", "■")</f>
        <v>■</v>
      </c>
      <c r="F237" s="14" t="s">
        <v>699</v>
      </c>
      <c r="G237" s="14">
        <v>146892</v>
      </c>
      <c r="H237" s="14">
        <v>158000</v>
      </c>
      <c r="I237" s="14">
        <v>24</v>
      </c>
      <c r="J237" s="14" t="s">
        <v>315</v>
      </c>
      <c r="K237" s="14" t="s">
        <v>700</v>
      </c>
      <c r="L237" s="14" t="s">
        <v>701</v>
      </c>
      <c r="M237" s="14" t="s">
        <v>9158</v>
      </c>
      <c r="N237" s="14" t="s">
        <v>9158</v>
      </c>
      <c r="O237" s="19" t="s">
        <v>10095</v>
      </c>
      <c r="P237" s="14" t="s">
        <v>3345</v>
      </c>
      <c r="Q237" s="14">
        <v>1</v>
      </c>
    </row>
    <row r="238" spans="1:17">
      <c r="A238" s="14">
        <v>78133</v>
      </c>
      <c r="B238" s="14" t="s">
        <v>334</v>
      </c>
      <c r="C238" s="14" t="s">
        <v>154</v>
      </c>
      <c r="D238" s="19" t="s">
        <v>10313</v>
      </c>
      <c r="E238" s="15" t="str">
        <f>HYPERLINK("https://stat100.ameba.jp/tnk47/ratio20/illustrations/card/ill_78133_akazukin03.jpg?202003-5-RELEASE-marathon-461xxxxxx", "■")</f>
        <v>■</v>
      </c>
      <c r="F238" s="14" t="s">
        <v>2202</v>
      </c>
      <c r="G238" s="14">
        <v>92402</v>
      </c>
      <c r="H238" s="14">
        <v>127580</v>
      </c>
      <c r="I238" s="14">
        <v>25</v>
      </c>
      <c r="J238" s="14" t="s">
        <v>38</v>
      </c>
      <c r="K238" s="14" t="s">
        <v>2203</v>
      </c>
      <c r="L238" s="14" t="s">
        <v>2204</v>
      </c>
      <c r="M238" s="14" t="s">
        <v>9158</v>
      </c>
      <c r="N238" s="14" t="s">
        <v>9158</v>
      </c>
      <c r="O238" s="19" t="s">
        <v>2917</v>
      </c>
      <c r="P238" s="14" t="s">
        <v>3531</v>
      </c>
      <c r="Q238" s="14">
        <v>1</v>
      </c>
    </row>
    <row r="239" spans="1:17">
      <c r="A239" s="14">
        <v>72193</v>
      </c>
      <c r="B239" s="14" t="s">
        <v>334</v>
      </c>
      <c r="C239" s="14" t="s">
        <v>165</v>
      </c>
      <c r="D239" s="19" t="s">
        <v>3112</v>
      </c>
      <c r="E239" s="15" t="str">
        <f>HYPERLINK("https://stat100.ameba.jp/tnk47/ratio20/illustrations/card/ill_72193_koinoborikomyokogo03.jpg?202003-5-RELEASE-marathon-461xxxxxx", "■")</f>
        <v>■</v>
      </c>
      <c r="F239" s="14" t="s">
        <v>2539</v>
      </c>
      <c r="G239" s="14">
        <v>97651</v>
      </c>
      <c r="H239" s="14">
        <v>90759</v>
      </c>
      <c r="I239" s="14">
        <v>25</v>
      </c>
      <c r="J239" s="14" t="s">
        <v>10</v>
      </c>
      <c r="K239" s="14" t="s">
        <v>2540</v>
      </c>
      <c r="L239" s="14" t="s">
        <v>60</v>
      </c>
      <c r="M239" s="14" t="s">
        <v>9158</v>
      </c>
      <c r="N239" s="14" t="s">
        <v>9158</v>
      </c>
      <c r="O239" s="19" t="s">
        <v>10090</v>
      </c>
      <c r="P239" s="14" t="s">
        <v>3460</v>
      </c>
      <c r="Q239" s="14">
        <v>1</v>
      </c>
    </row>
    <row r="240" spans="1:17">
      <c r="A240" s="14">
        <v>81143</v>
      </c>
      <c r="B240" s="14" t="s">
        <v>334</v>
      </c>
      <c r="C240" s="14" t="s">
        <v>205</v>
      </c>
      <c r="D240" s="19" t="s">
        <v>10419</v>
      </c>
      <c r="E240" s="15" t="str">
        <f>HYPERLINK("https://stat100.ameba.jp/tnk47/ratio20/illustrations/card/ill_81143_shinryokunokisetsumerompan03.jpg?202003-5-RELEASE-marathon-461xxxxxx", "■")</f>
        <v>■</v>
      </c>
      <c r="F240" s="14" t="s">
        <v>4517</v>
      </c>
      <c r="G240" s="14">
        <v>118063</v>
      </c>
      <c r="H240" s="14">
        <v>109786</v>
      </c>
      <c r="I240" s="14">
        <v>25</v>
      </c>
      <c r="J240" s="14" t="s">
        <v>104</v>
      </c>
      <c r="K240" s="14" t="s">
        <v>4518</v>
      </c>
      <c r="L240" s="14" t="s">
        <v>3489</v>
      </c>
      <c r="M240" s="14" t="s">
        <v>9158</v>
      </c>
      <c r="N240" s="14" t="s">
        <v>9158</v>
      </c>
      <c r="O240" s="19" t="s">
        <v>10111</v>
      </c>
      <c r="P240" s="14" t="s">
        <v>3610</v>
      </c>
      <c r="Q240" s="14">
        <v>1</v>
      </c>
    </row>
    <row r="242" spans="1:18">
      <c r="A242" s="9" t="s">
        <v>11563</v>
      </c>
    </row>
    <row r="243" spans="1:18">
      <c r="A243" s="9" t="s">
        <v>11564</v>
      </c>
    </row>
    <row r="244" spans="1:18">
      <c r="A244" s="9" t="s">
        <v>11565</v>
      </c>
    </row>
    <row r="245" spans="1:18">
      <c r="A245" s="9" t="s">
        <v>11909</v>
      </c>
    </row>
    <row r="246" spans="1:18">
      <c r="A246" s="9" t="s">
        <v>11574</v>
      </c>
      <c r="B246" s="9" t="s">
        <v>11566</v>
      </c>
      <c r="C246" s="9" t="s">
        <v>11567</v>
      </c>
      <c r="D246" s="9" t="s">
        <v>11568</v>
      </c>
      <c r="E246" s="15" t="str">
        <f>HYPERLINK("https://stat100.ameba.jp/tnk47/ratio20/illustrations/card/ill_88133_0_henreisankammi03.jpg?202003-5-RELEASE-marathon-461xxxxxx", "■")</f>
        <v>■</v>
      </c>
      <c r="F246" s="9" t="s">
        <v>11573</v>
      </c>
      <c r="G246" s="9">
        <v>357990</v>
      </c>
      <c r="H246" s="9">
        <v>323564</v>
      </c>
      <c r="I246" s="9">
        <v>30</v>
      </c>
      <c r="J246" s="9" t="s">
        <v>11569</v>
      </c>
      <c r="K246" s="9" t="s">
        <v>11570</v>
      </c>
      <c r="L246" s="9" t="s">
        <v>13227</v>
      </c>
      <c r="M246" s="14" t="s">
        <v>9158</v>
      </c>
      <c r="N246" s="14" t="s">
        <v>9158</v>
      </c>
      <c r="O246" s="9" t="s">
        <v>11571</v>
      </c>
      <c r="P246" s="9" t="s">
        <v>11572</v>
      </c>
      <c r="Q246" s="9">
        <v>1</v>
      </c>
    </row>
    <row r="247" spans="1:18">
      <c r="A247" s="9" t="s">
        <v>11576</v>
      </c>
      <c r="B247" s="9" t="s">
        <v>11566</v>
      </c>
      <c r="C247" s="9" t="s">
        <v>11567</v>
      </c>
      <c r="D247" s="9" t="s">
        <v>11568</v>
      </c>
      <c r="E247" s="15" t="str">
        <f>HYPERLINK("https://stat100.ameba.jp/tnk47/ratio20/illustrations/card/ill_88132_0_henreisankammi02.jpg?202003-5-RELEASE-marathon-461xxxxxx", "■")</f>
        <v>■</v>
      </c>
      <c r="F247" s="9" t="s">
        <v>11573</v>
      </c>
      <c r="G247" s="9">
        <v>299256</v>
      </c>
      <c r="H247" s="9">
        <v>267972</v>
      </c>
      <c r="I247" s="9">
        <v>30</v>
      </c>
      <c r="J247" s="9" t="s">
        <v>11569</v>
      </c>
      <c r="K247" s="9" t="s">
        <v>11570</v>
      </c>
      <c r="L247" s="9" t="s">
        <v>13228</v>
      </c>
      <c r="M247" s="14" t="s">
        <v>9158</v>
      </c>
      <c r="N247" s="14" t="s">
        <v>9158</v>
      </c>
      <c r="O247" s="9" t="s">
        <v>11571</v>
      </c>
      <c r="P247" s="9" t="s">
        <v>11572</v>
      </c>
      <c r="Q247" s="9">
        <v>1</v>
      </c>
    </row>
    <row r="248" spans="1:18">
      <c r="A248" s="9" t="s">
        <v>11575</v>
      </c>
      <c r="B248" s="9" t="s">
        <v>11566</v>
      </c>
      <c r="C248" s="9" t="s">
        <v>11567</v>
      </c>
      <c r="D248" s="9" t="s">
        <v>11568</v>
      </c>
      <c r="E248" s="15" t="str">
        <f>HYPERLINK("https://stat100.ameba.jp/tnk47/ratio20/illustrations/card/ill_88131_0_henreisankammi01.jpg?202003-5-RELEASE-marathon-461xxxxxx", "■")</f>
        <v>■</v>
      </c>
      <c r="F248" s="9" t="s">
        <v>11573</v>
      </c>
      <c r="G248" s="9">
        <v>228480</v>
      </c>
      <c r="H248" s="9">
        <v>206760</v>
      </c>
      <c r="I248" s="9">
        <v>30</v>
      </c>
      <c r="J248" s="9" t="s">
        <v>11569</v>
      </c>
      <c r="K248" s="9" t="s">
        <v>11570</v>
      </c>
      <c r="L248" s="9" t="s">
        <v>13229</v>
      </c>
      <c r="M248" s="14" t="s">
        <v>9158</v>
      </c>
      <c r="N248" s="14" t="s">
        <v>9158</v>
      </c>
      <c r="O248" s="9" t="s">
        <v>11571</v>
      </c>
      <c r="P248" s="9" t="s">
        <v>11572</v>
      </c>
      <c r="Q248" s="9">
        <v>1</v>
      </c>
    </row>
    <row r="249" spans="1:18">
      <c r="A249" s="7">
        <v>85733</v>
      </c>
      <c r="B249" s="7" t="s">
        <v>0</v>
      </c>
      <c r="C249" s="14" t="s">
        <v>185</v>
      </c>
      <c r="D249" s="20" t="s">
        <v>10836</v>
      </c>
      <c r="E249" s="15" t="str">
        <f>HYPERLINK("https://stat100.ameba.jp/tnk47/ratio20/illustrations/card/ill_85733_hakkachan03.jpg?202003-5-RELEASE-marathon-461xxxxxx", "■")</f>
        <v>■</v>
      </c>
      <c r="F249" s="7" t="s">
        <v>8504</v>
      </c>
      <c r="G249" s="7">
        <v>118446</v>
      </c>
      <c r="H249" s="7">
        <v>110126</v>
      </c>
      <c r="I249" s="7">
        <v>26</v>
      </c>
      <c r="J249" s="7" t="s">
        <v>229</v>
      </c>
      <c r="K249" s="7" t="s">
        <v>3792</v>
      </c>
      <c r="L249" s="7" t="s">
        <v>1086</v>
      </c>
      <c r="M249" s="14" t="s">
        <v>9158</v>
      </c>
      <c r="N249" s="14" t="s">
        <v>9158</v>
      </c>
      <c r="O249" s="14" t="s">
        <v>9158</v>
      </c>
      <c r="P249" s="14" t="s">
        <v>9158</v>
      </c>
      <c r="Q249" s="14" t="s">
        <v>9158</v>
      </c>
    </row>
    <row r="250" spans="1:18">
      <c r="A250" s="14">
        <v>81833</v>
      </c>
      <c r="B250" s="14" t="s">
        <v>0</v>
      </c>
      <c r="C250" s="14" t="s">
        <v>200</v>
      </c>
      <c r="D250" s="19" t="s">
        <v>10191</v>
      </c>
      <c r="E250" s="15" t="str">
        <f>HYPERLINK("https://stat100.ameba.jp/tnk47/ratio20/illustrations/card/ill_81833_amehimenogyakushuhojotsunataka03.jpg?202003-5-RELEASE-marathon-461xxxxxx", "■")</f>
        <v>■</v>
      </c>
      <c r="F250" s="14" t="s">
        <v>4941</v>
      </c>
      <c r="G250" s="14">
        <v>154562</v>
      </c>
      <c r="H250" s="14">
        <v>143714</v>
      </c>
      <c r="I250" s="14">
        <v>26</v>
      </c>
      <c r="J250" s="14" t="s">
        <v>143</v>
      </c>
      <c r="K250" s="14" t="s">
        <v>4943</v>
      </c>
      <c r="L250" s="14" t="s">
        <v>3459</v>
      </c>
      <c r="M250" s="14" t="s">
        <v>9158</v>
      </c>
      <c r="N250" s="14" t="s">
        <v>9158</v>
      </c>
      <c r="O250" s="14" t="s">
        <v>9158</v>
      </c>
      <c r="P250" s="14" t="s">
        <v>9158</v>
      </c>
      <c r="Q250" s="14" t="s">
        <v>9158</v>
      </c>
    </row>
    <row r="251" spans="1:18">
      <c r="A251" s="14">
        <v>71783</v>
      </c>
      <c r="B251" s="14" t="s">
        <v>0</v>
      </c>
      <c r="C251" s="14" t="s">
        <v>165</v>
      </c>
      <c r="D251" s="19" t="s">
        <v>10616</v>
      </c>
      <c r="E251" s="15" t="str">
        <f>HYPERLINK("https://stat100.ameba.jp/tnk47/ratio20/illustrations/card/ill_71783_omikikannon03.jpg?202003-5-RELEASE-marathon-461xxxxxx", "■")</f>
        <v>■</v>
      </c>
      <c r="F251" s="14" t="s">
        <v>6936</v>
      </c>
      <c r="G251" s="14">
        <v>118656</v>
      </c>
      <c r="H251" s="14">
        <v>110126</v>
      </c>
      <c r="I251" s="14">
        <v>26</v>
      </c>
      <c r="J251" s="14" t="s">
        <v>38</v>
      </c>
      <c r="K251" s="14" t="s">
        <v>6922</v>
      </c>
      <c r="L251" s="14" t="s">
        <v>2557</v>
      </c>
      <c r="M251" s="14" t="s">
        <v>9158</v>
      </c>
      <c r="N251" s="14" t="s">
        <v>9158</v>
      </c>
      <c r="O251" s="14" t="s">
        <v>9158</v>
      </c>
      <c r="P251" s="14" t="s">
        <v>9158</v>
      </c>
      <c r="Q251" s="14" t="s">
        <v>9158</v>
      </c>
    </row>
    <row r="252" spans="1:18">
      <c r="A252" s="9">
        <v>73113</v>
      </c>
      <c r="B252" s="14" t="s">
        <v>334</v>
      </c>
      <c r="C252" s="14" t="s">
        <v>191</v>
      </c>
      <c r="D252" s="14" t="s">
        <v>3156</v>
      </c>
      <c r="E252" s="15" t="str">
        <f>HYPERLINK("https://stat100.ameba.jp/tnk47/ratio20/illustrations/card/ill_73113_kinasanosatokijomomiji03.jpg?202003-5-RELEASE-marathon-461xxxxxx", "■")</f>
        <v>■</v>
      </c>
      <c r="F252" s="14" t="s">
        <v>3157</v>
      </c>
      <c r="G252" s="14">
        <v>108330</v>
      </c>
      <c r="H252" s="14">
        <v>100744</v>
      </c>
      <c r="I252" s="14">
        <v>26</v>
      </c>
      <c r="J252" s="14" t="s">
        <v>320</v>
      </c>
      <c r="K252" s="14" t="s">
        <v>3158</v>
      </c>
      <c r="L252" s="14" t="s">
        <v>2956</v>
      </c>
      <c r="M252" s="14" t="s">
        <v>9158</v>
      </c>
      <c r="N252" s="14" t="s">
        <v>9158</v>
      </c>
      <c r="O252" s="14" t="s">
        <v>9158</v>
      </c>
      <c r="P252" s="14" t="s">
        <v>9158</v>
      </c>
      <c r="Q252" s="14" t="s">
        <v>9158</v>
      </c>
    </row>
    <row r="253" spans="1:18">
      <c r="A253" s="7">
        <v>68463</v>
      </c>
      <c r="B253" s="7" t="s">
        <v>0</v>
      </c>
      <c r="C253" s="7" t="s">
        <v>205</v>
      </c>
      <c r="D253" s="19" t="s">
        <v>10252</v>
      </c>
      <c r="E253" s="15" t="str">
        <f>HYPERLINK("https://stat100.ameba.jp/tnk47/ratio20/illustrations/card/ill_68463_sunogurabiashirubaakusechan03.jpg?202003-5-RELEASE-marathon-461xxxxxx", "■")</f>
        <v>■</v>
      </c>
      <c r="F253" s="7" t="s">
        <v>2403</v>
      </c>
      <c r="G253" s="7">
        <v>110518</v>
      </c>
      <c r="H253" s="7">
        <v>102740</v>
      </c>
      <c r="I253" s="7">
        <v>26</v>
      </c>
      <c r="J253" s="7" t="s">
        <v>229</v>
      </c>
      <c r="K253" s="7" t="s">
        <v>2404</v>
      </c>
      <c r="L253" s="7" t="s">
        <v>2405</v>
      </c>
      <c r="M253" s="14" t="s">
        <v>9158</v>
      </c>
      <c r="N253" s="14" t="s">
        <v>9158</v>
      </c>
      <c r="O253" s="14" t="s">
        <v>9158</v>
      </c>
      <c r="P253" s="14" t="s">
        <v>9158</v>
      </c>
      <c r="Q253" s="14" t="s">
        <v>9158</v>
      </c>
    </row>
    <row r="254" spans="1:18">
      <c r="A254" s="7">
        <v>85313</v>
      </c>
      <c r="B254" s="7" t="s">
        <v>0</v>
      </c>
      <c r="C254" s="7" t="s">
        <v>206</v>
      </c>
      <c r="D254" s="19" t="s">
        <v>10797</v>
      </c>
      <c r="E254" s="15" t="str">
        <f>HYPERLINK("https://stat100.ameba.jp/tnk47/ratio20/illustrations/card/ill_85313_chukahantentachibanaginchiyo03.jpg?202003-5-RELEASE-marathon-461xxxxxx", "■")</f>
        <v>■</v>
      </c>
      <c r="F254" s="7" t="s">
        <v>8270</v>
      </c>
      <c r="G254" s="7">
        <v>101558</v>
      </c>
      <c r="H254" s="7">
        <v>94390</v>
      </c>
      <c r="I254" s="7">
        <v>26</v>
      </c>
      <c r="J254" s="7" t="s">
        <v>187</v>
      </c>
      <c r="K254" s="7" t="s">
        <v>14015</v>
      </c>
      <c r="L254" s="7" t="s">
        <v>8269</v>
      </c>
      <c r="M254" s="14" t="s">
        <v>9158</v>
      </c>
      <c r="N254" s="14" t="s">
        <v>9158</v>
      </c>
      <c r="O254" s="14" t="s">
        <v>9158</v>
      </c>
      <c r="P254" s="14" t="s">
        <v>9158</v>
      </c>
      <c r="Q254" s="14" t="s">
        <v>9158</v>
      </c>
    </row>
    <row r="256" spans="1:18">
      <c r="A256" s="14" t="s">
        <v>13327</v>
      </c>
      <c r="B256" s="14"/>
      <c r="C256" s="14"/>
      <c r="D256" s="14"/>
      <c r="E256" s="14"/>
      <c r="F256" s="14"/>
      <c r="G256" s="14"/>
      <c r="H256" s="14"/>
      <c r="I256" s="14"/>
      <c r="J256" s="14"/>
      <c r="K256" s="14"/>
      <c r="L256" s="14"/>
      <c r="M256" s="14"/>
      <c r="N256" s="14"/>
      <c r="O256" s="14"/>
      <c r="P256" s="14"/>
      <c r="Q256" s="14"/>
      <c r="R256" s="14"/>
    </row>
    <row r="257" spans="1:18">
      <c r="A257" s="14" t="s">
        <v>11577</v>
      </c>
      <c r="B257" s="14"/>
      <c r="C257" s="14"/>
      <c r="D257" s="14"/>
      <c r="E257" s="14"/>
      <c r="F257" s="14"/>
      <c r="G257" s="14"/>
      <c r="H257" s="14"/>
      <c r="I257" s="14"/>
      <c r="J257" s="14"/>
      <c r="K257" s="14"/>
      <c r="L257" s="14"/>
      <c r="M257" s="14"/>
      <c r="N257" s="14"/>
      <c r="O257" s="14"/>
      <c r="P257" s="14"/>
      <c r="Q257" s="14"/>
      <c r="R257" s="14"/>
    </row>
    <row r="258" spans="1:18">
      <c r="A258" s="14">
        <v>83973</v>
      </c>
      <c r="B258" s="14" t="s">
        <v>334</v>
      </c>
      <c r="C258" s="14" t="s">
        <v>14</v>
      </c>
      <c r="D258" s="19" t="s">
        <v>10570</v>
      </c>
      <c r="E258" s="15" t="str">
        <f>HYPERLINK("https://stat100.ameba.jp/tnk47/ratio20/illustrations/card/ill_83973_nekokishiirurosu03.jpg?202003-5-RELEASE-marathon-461xxxxxx", "■")</f>
        <v>■</v>
      </c>
      <c r="F258" s="14" t="s">
        <v>6706</v>
      </c>
      <c r="G258" s="14">
        <v>128000</v>
      </c>
      <c r="H258" s="14">
        <v>119006</v>
      </c>
      <c r="I258" s="14">
        <v>26</v>
      </c>
      <c r="J258" s="14" t="s">
        <v>229</v>
      </c>
      <c r="K258" s="14" t="s">
        <v>6707</v>
      </c>
      <c r="L258" s="14" t="s">
        <v>13202</v>
      </c>
      <c r="M258" s="14" t="s">
        <v>13130</v>
      </c>
      <c r="N258" s="14" t="s">
        <v>343</v>
      </c>
      <c r="O258" s="14" t="s">
        <v>9158</v>
      </c>
      <c r="P258" s="14" t="s">
        <v>9158</v>
      </c>
      <c r="Q258" s="14" t="s">
        <v>9158</v>
      </c>
      <c r="R258" s="14" t="s">
        <v>14748</v>
      </c>
    </row>
    <row r="259" spans="1:18">
      <c r="A259" s="14">
        <v>83972</v>
      </c>
      <c r="B259" s="14" t="s">
        <v>334</v>
      </c>
      <c r="C259" s="14" t="s">
        <v>14</v>
      </c>
      <c r="D259" s="19" t="s">
        <v>10570</v>
      </c>
      <c r="E259" s="15" t="str">
        <f>HYPERLINK("https://stat100.ameba.jp/tnk47/ratio20/illustrations/card/ill_83972_nekokishiirurosu02.jpg?202003-5-RELEASE-marathon-461xxxxxx", "■")</f>
        <v>■</v>
      </c>
      <c r="F259" s="14" t="s">
        <v>6706</v>
      </c>
      <c r="G259" s="14">
        <v>107000</v>
      </c>
      <c r="H259" s="14">
        <v>98566</v>
      </c>
      <c r="I259" s="14">
        <v>26</v>
      </c>
      <c r="J259" s="14" t="s">
        <v>229</v>
      </c>
      <c r="K259" s="14" t="s">
        <v>6707</v>
      </c>
      <c r="L259" s="14" t="s">
        <v>13201</v>
      </c>
      <c r="M259" s="14" t="s">
        <v>13131</v>
      </c>
      <c r="N259" s="14" t="s">
        <v>251</v>
      </c>
      <c r="O259" s="14" t="s">
        <v>9158</v>
      </c>
      <c r="P259" s="14" t="s">
        <v>9158</v>
      </c>
      <c r="Q259" s="14" t="s">
        <v>9158</v>
      </c>
      <c r="R259" s="14" t="s">
        <v>14748</v>
      </c>
    </row>
    <row r="260" spans="1:18">
      <c r="A260" s="14">
        <v>83971</v>
      </c>
      <c r="B260" s="14" t="s">
        <v>0</v>
      </c>
      <c r="C260" s="14" t="s">
        <v>14</v>
      </c>
      <c r="D260" s="19" t="s">
        <v>10570</v>
      </c>
      <c r="E260" s="15" t="str">
        <f>HYPERLINK("https://stat100.ameba.jp/tnk47/ratio20/illustrations/card/ill_83971_nekokishiirurosu01.jpg?202003-5-RELEASE-marathon-461xxxxxx", "■")</f>
        <v>■</v>
      </c>
      <c r="F260" s="14" t="s">
        <v>6706</v>
      </c>
      <c r="G260" s="14">
        <v>81692</v>
      </c>
      <c r="H260" s="14">
        <v>76050</v>
      </c>
      <c r="I260" s="14">
        <v>26</v>
      </c>
      <c r="J260" s="14" t="s">
        <v>229</v>
      </c>
      <c r="K260" s="14" t="s">
        <v>6707</v>
      </c>
      <c r="L260" s="14" t="s">
        <v>13201</v>
      </c>
      <c r="M260" s="14" t="s">
        <v>13131</v>
      </c>
      <c r="N260" s="14" t="s">
        <v>251</v>
      </c>
      <c r="O260" s="14" t="s">
        <v>9158</v>
      </c>
      <c r="P260" s="14" t="s">
        <v>9158</v>
      </c>
      <c r="Q260" s="14" t="s">
        <v>9158</v>
      </c>
      <c r="R260" s="14" t="s">
        <v>14748</v>
      </c>
    </row>
    <row r="261" spans="1:18">
      <c r="A261" s="14">
        <v>83983</v>
      </c>
      <c r="B261" s="14" t="s">
        <v>334</v>
      </c>
      <c r="C261" s="14" t="s">
        <v>23</v>
      </c>
      <c r="D261" s="19" t="s">
        <v>10571</v>
      </c>
      <c r="E261" s="15" t="str">
        <f>HYPERLINK("https://stat100.ameba.jp/tnk47/ratio20/illustrations/card/ill_83983_ryujinsui03.jpg?202003-5-RELEASE-marathon-461xxxxxx", "■")</f>
        <v>■</v>
      </c>
      <c r="F261" s="14" t="s">
        <v>6708</v>
      </c>
      <c r="G261" s="14">
        <v>119006</v>
      </c>
      <c r="H261" s="14">
        <v>128000</v>
      </c>
      <c r="I261" s="14">
        <v>26</v>
      </c>
      <c r="J261" s="14" t="s">
        <v>169</v>
      </c>
      <c r="K261" s="14" t="s">
        <v>6710</v>
      </c>
      <c r="L261" s="14" t="s">
        <v>6721</v>
      </c>
      <c r="M261" s="14" t="s">
        <v>13130</v>
      </c>
      <c r="N261" s="14" t="s">
        <v>343</v>
      </c>
      <c r="O261" s="14" t="s">
        <v>9158</v>
      </c>
      <c r="P261" s="14" t="s">
        <v>9158</v>
      </c>
      <c r="Q261" s="14" t="s">
        <v>9158</v>
      </c>
      <c r="R261" s="14" t="s">
        <v>14748</v>
      </c>
    </row>
    <row r="262" spans="1:18">
      <c r="A262" s="14">
        <v>83993</v>
      </c>
      <c r="B262" s="14" t="s">
        <v>334</v>
      </c>
      <c r="C262" s="14" t="s">
        <v>101</v>
      </c>
      <c r="D262" s="19" t="s">
        <v>10572</v>
      </c>
      <c r="E262" s="15" t="str">
        <f>HYPERLINK("https://stat100.ameba.jp/tnk47/ratio20/illustrations/card/ill_83993_enjieruzuranotamagochan03.jpg?202003-5-RELEASE-marathon-461xxxxxx", "■")</f>
        <v>■</v>
      </c>
      <c r="F262" s="14" t="s">
        <v>6722</v>
      </c>
      <c r="G262" s="14">
        <v>119006</v>
      </c>
      <c r="H262" s="14">
        <v>128000</v>
      </c>
      <c r="I262" s="14">
        <v>26</v>
      </c>
      <c r="J262" s="14" t="s">
        <v>216</v>
      </c>
      <c r="K262" s="14" t="s">
        <v>6723</v>
      </c>
      <c r="L262" s="14" t="s">
        <v>6724</v>
      </c>
      <c r="M262" s="14" t="s">
        <v>13130</v>
      </c>
      <c r="N262" s="14" t="s">
        <v>343</v>
      </c>
      <c r="O262" s="14" t="s">
        <v>9158</v>
      </c>
      <c r="P262" s="14" t="s">
        <v>9158</v>
      </c>
      <c r="Q262" s="14" t="s">
        <v>9158</v>
      </c>
      <c r="R262" s="14" t="s">
        <v>14748</v>
      </c>
    </row>
    <row r="263" spans="1:18">
      <c r="A263" s="14">
        <v>84003</v>
      </c>
      <c r="B263" s="14" t="s">
        <v>0</v>
      </c>
      <c r="C263" s="14" t="s">
        <v>96</v>
      </c>
      <c r="D263" s="19" t="s">
        <v>10573</v>
      </c>
      <c r="E263" s="15" t="str">
        <f>HYPERLINK("https://stat100.ameba.jp/tnk47/ratio20/illustrations/card/ill_84003_sukoropendora03.jpg?202003-5-RELEASE-marathon-461xxxxxx", "■")</f>
        <v>■</v>
      </c>
      <c r="F263" s="14" t="s">
        <v>6725</v>
      </c>
      <c r="G263" s="14">
        <v>128000</v>
      </c>
      <c r="H263" s="14">
        <v>119006</v>
      </c>
      <c r="I263" s="14">
        <v>26</v>
      </c>
      <c r="J263" s="14" t="s">
        <v>182</v>
      </c>
      <c r="K263" s="14" t="s">
        <v>6727</v>
      </c>
      <c r="L263" s="14" t="s">
        <v>6728</v>
      </c>
      <c r="M263" s="14" t="s">
        <v>13130</v>
      </c>
      <c r="N263" s="14" t="s">
        <v>343</v>
      </c>
      <c r="O263" s="14" t="s">
        <v>9158</v>
      </c>
      <c r="P263" s="14" t="s">
        <v>9158</v>
      </c>
      <c r="Q263" s="14" t="s">
        <v>9158</v>
      </c>
      <c r="R263" s="14" t="s">
        <v>14748</v>
      </c>
    </row>
    <row r="264" spans="1:18">
      <c r="A264" s="14">
        <v>84013</v>
      </c>
      <c r="B264" s="14" t="s">
        <v>334</v>
      </c>
      <c r="C264" s="14" t="s">
        <v>205</v>
      </c>
      <c r="D264" s="19" t="s">
        <v>10574</v>
      </c>
      <c r="E264" s="15" t="str">
        <f>HYPERLINK("https://stat100.ameba.jp/tnk47/ratio20/illustrations/card/ill_84013_neikiddo03.jpg?202003-5-RELEASE-marathon-461xxxxxx", "■")</f>
        <v>■</v>
      </c>
      <c r="F264" s="14" t="s">
        <v>6729</v>
      </c>
      <c r="G264" s="14">
        <v>119006</v>
      </c>
      <c r="H264" s="14">
        <v>128000</v>
      </c>
      <c r="I264" s="14">
        <v>26</v>
      </c>
      <c r="J264" s="14" t="s">
        <v>194</v>
      </c>
      <c r="K264" s="14" t="s">
        <v>6731</v>
      </c>
      <c r="L264" s="14" t="s">
        <v>6732</v>
      </c>
      <c r="M264" s="14" t="s">
        <v>13130</v>
      </c>
      <c r="N264" s="14" t="s">
        <v>343</v>
      </c>
      <c r="O264" s="14" t="s">
        <v>9158</v>
      </c>
      <c r="P264" s="14" t="s">
        <v>9158</v>
      </c>
      <c r="Q264" s="14" t="s">
        <v>9158</v>
      </c>
      <c r="R264" s="14" t="s">
        <v>14748</v>
      </c>
    </row>
    <row r="265" spans="1:18">
      <c r="A265" s="14">
        <v>76763</v>
      </c>
      <c r="B265" s="14" t="s">
        <v>334</v>
      </c>
      <c r="C265" s="14" t="s">
        <v>107</v>
      </c>
      <c r="D265" s="19" t="s">
        <v>10575</v>
      </c>
      <c r="E265" s="15" t="str">
        <f>HYPERLINK("https://stat100.ameba.jp/tnk47/ratio20/illustrations/card/ill_76763_monsutanabeshimakeiginni03.jpg?202003-5-RELEASE-marathon-461xxxxxx", "■")</f>
        <v>■</v>
      </c>
      <c r="F265" s="14" t="s">
        <v>6733</v>
      </c>
      <c r="G265" s="14">
        <v>128000</v>
      </c>
      <c r="H265" s="14">
        <v>119006</v>
      </c>
      <c r="I265" s="14">
        <v>26</v>
      </c>
      <c r="J265" s="14" t="s">
        <v>187</v>
      </c>
      <c r="K265" s="14" t="s">
        <v>6735</v>
      </c>
      <c r="L265" s="14" t="s">
        <v>6736</v>
      </c>
      <c r="M265" s="14" t="s">
        <v>13130</v>
      </c>
      <c r="N265" s="14" t="s">
        <v>343</v>
      </c>
      <c r="O265" s="14" t="s">
        <v>9158</v>
      </c>
      <c r="P265" s="14" t="s">
        <v>9158</v>
      </c>
      <c r="Q265" s="14" t="s">
        <v>9158</v>
      </c>
      <c r="R265" s="14" t="s">
        <v>14748</v>
      </c>
    </row>
    <row r="267" spans="1:18">
      <c r="A267" s="9" t="s">
        <v>11583</v>
      </c>
    </row>
    <row r="268" spans="1:18">
      <c r="A268" s="9" t="s">
        <v>3933</v>
      </c>
    </row>
    <row r="269" spans="1:18">
      <c r="A269" s="9" t="s">
        <v>11481</v>
      </c>
    </row>
    <row r="270" spans="1:18">
      <c r="A270" s="9" t="s">
        <v>9891</v>
      </c>
      <c r="B270" s="7" t="s">
        <v>52</v>
      </c>
      <c r="C270" s="9" t="s">
        <v>202</v>
      </c>
      <c r="D270" s="6" t="s">
        <v>9978</v>
      </c>
      <c r="E270" s="15" t="str">
        <f>HYPERLINK("https://stat100.ameba.jp/tnk47/ratio20/illustrations/card/ill_87643_0_oendanotohime03.jpg?202003-5-RELEASE-marathon-461xxxxxx", "■")</f>
        <v>■</v>
      </c>
      <c r="F270" s="14" t="s">
        <v>9928</v>
      </c>
      <c r="G270" s="9">
        <v>208264</v>
      </c>
      <c r="H270" s="9">
        <v>254524</v>
      </c>
      <c r="I270" s="7">
        <v>20</v>
      </c>
      <c r="J270" s="9" t="s">
        <v>155</v>
      </c>
      <c r="K270" s="14" t="s">
        <v>9932</v>
      </c>
      <c r="L270" s="14" t="s">
        <v>9933</v>
      </c>
      <c r="M270" s="14" t="s">
        <v>9158</v>
      </c>
      <c r="N270" s="14" t="s">
        <v>9158</v>
      </c>
      <c r="O270" s="6" t="s">
        <v>9989</v>
      </c>
      <c r="P270" s="7" t="s">
        <v>9944</v>
      </c>
      <c r="Q270" s="7">
        <v>1</v>
      </c>
    </row>
    <row r="271" spans="1:18">
      <c r="A271" s="9">
        <v>87833</v>
      </c>
      <c r="B271" s="9" t="s">
        <v>0</v>
      </c>
      <c r="C271" s="9" t="s">
        <v>11584</v>
      </c>
      <c r="D271" s="9" t="s">
        <v>11592</v>
      </c>
      <c r="E271" s="15" t="str">
        <f>HYPERLINK("https://stat100.ameba.jp/tnk47/ratio20/illustrations/card/ill_87833_howaitodepateishieru03.jpg?202003-5-RELEASE-marathon-461xxxxxx", "■")</f>
        <v>■</v>
      </c>
      <c r="F271" s="9" t="s">
        <v>11593</v>
      </c>
      <c r="G271" s="9">
        <v>154562</v>
      </c>
      <c r="H271" s="9">
        <v>143714</v>
      </c>
      <c r="I271" s="9">
        <v>26</v>
      </c>
      <c r="J271" s="9" t="s">
        <v>11589</v>
      </c>
      <c r="K271" s="9" t="s">
        <v>11594</v>
      </c>
      <c r="L271" s="9" t="s">
        <v>13230</v>
      </c>
      <c r="M271" s="14" t="s">
        <v>9158</v>
      </c>
      <c r="N271" s="14" t="s">
        <v>9158</v>
      </c>
      <c r="O271" s="14" t="s">
        <v>9158</v>
      </c>
      <c r="P271" s="14" t="s">
        <v>9158</v>
      </c>
      <c r="Q271" s="14" t="s">
        <v>9158</v>
      </c>
    </row>
    <row r="272" spans="1:18">
      <c r="A272" s="9">
        <v>87903</v>
      </c>
      <c r="B272" s="9" t="s">
        <v>0</v>
      </c>
      <c r="C272" s="9" t="s">
        <v>11585</v>
      </c>
      <c r="D272" s="9" t="s">
        <v>11595</v>
      </c>
      <c r="E272" s="15" t="str">
        <f>HYPERLINK("https://stat100.ameba.jp/tnk47/ratio20/illustrations/card/ill_87903_kyupiddotominushihime03.jpg?202003-5-RELEASE-marathon-461xxxxxx", "■")</f>
        <v>■</v>
      </c>
      <c r="F272" s="9" t="s">
        <v>11596</v>
      </c>
      <c r="G272" s="9">
        <v>106050</v>
      </c>
      <c r="H272" s="9">
        <v>98594</v>
      </c>
      <c r="I272" s="9">
        <v>26</v>
      </c>
      <c r="J272" s="9" t="s">
        <v>11590</v>
      </c>
      <c r="K272" s="9" t="s">
        <v>11597</v>
      </c>
      <c r="L272" s="9" t="s">
        <v>13231</v>
      </c>
      <c r="M272" s="14" t="s">
        <v>9158</v>
      </c>
      <c r="N272" s="14" t="s">
        <v>9158</v>
      </c>
      <c r="O272" s="14" t="s">
        <v>9158</v>
      </c>
      <c r="P272" s="14" t="s">
        <v>9158</v>
      </c>
      <c r="Q272" s="14" t="s">
        <v>9158</v>
      </c>
    </row>
    <row r="273" spans="1:18">
      <c r="A273" s="9">
        <v>87913</v>
      </c>
      <c r="B273" s="9" t="s">
        <v>15</v>
      </c>
      <c r="C273" s="9" t="s">
        <v>11586</v>
      </c>
      <c r="D273" s="9" t="s">
        <v>11598</v>
      </c>
      <c r="E273" s="15" t="str">
        <f>HYPERLINK("https://stat100.ameba.jp/tnk47/ratio20/illustrations/card/ill_87913_winechan03.jpg?202003-5-RELEASE-marathon-461xxxxxx", "■")</f>
        <v>■</v>
      </c>
      <c r="F273" s="9" t="s">
        <v>11601</v>
      </c>
      <c r="G273" s="9">
        <v>69898</v>
      </c>
      <c r="H273" s="9">
        <v>77064</v>
      </c>
      <c r="I273" s="9">
        <v>26</v>
      </c>
      <c r="J273" s="9" t="s">
        <v>11589</v>
      </c>
      <c r="K273" s="9" t="s">
        <v>11602</v>
      </c>
      <c r="L273" s="9" t="s">
        <v>13232</v>
      </c>
      <c r="M273" s="14" t="s">
        <v>9158</v>
      </c>
      <c r="N273" s="14" t="s">
        <v>9158</v>
      </c>
      <c r="O273" s="14" t="s">
        <v>9158</v>
      </c>
      <c r="P273" s="14" t="s">
        <v>9158</v>
      </c>
      <c r="Q273" s="14" t="s">
        <v>9158</v>
      </c>
    </row>
    <row r="274" spans="1:18">
      <c r="A274" s="9">
        <v>87923</v>
      </c>
      <c r="B274" s="9" t="s">
        <v>22</v>
      </c>
      <c r="C274" s="9" t="s">
        <v>11587</v>
      </c>
      <c r="D274" s="9" t="s">
        <v>11599</v>
      </c>
      <c r="E274" s="15" t="str">
        <f>HYPERLINK("https://stat100.ameba.jp/tnk47/ratio20/illustrations/card/ill_87923_howaitodekukki03.jpg?202003-5-RELEASE-marathon-461xxxxxx", "■")</f>
        <v>■</v>
      </c>
      <c r="F274" s="9" t="s">
        <v>11603</v>
      </c>
      <c r="G274" s="9">
        <v>54058</v>
      </c>
      <c r="H274" s="9">
        <v>44948</v>
      </c>
      <c r="I274" s="9">
        <v>26</v>
      </c>
      <c r="J274" s="9" t="s">
        <v>11589</v>
      </c>
      <c r="K274" s="9" t="s">
        <v>11604</v>
      </c>
      <c r="L274" s="9" t="s">
        <v>13233</v>
      </c>
      <c r="M274" s="14" t="s">
        <v>9158</v>
      </c>
      <c r="N274" s="14" t="s">
        <v>9158</v>
      </c>
      <c r="O274" s="14" t="s">
        <v>9158</v>
      </c>
      <c r="P274" s="14" t="s">
        <v>9158</v>
      </c>
      <c r="Q274" s="14" t="s">
        <v>9158</v>
      </c>
    </row>
    <row r="275" spans="1:18">
      <c r="A275" s="9">
        <v>87933</v>
      </c>
      <c r="B275" s="9" t="s">
        <v>30</v>
      </c>
      <c r="C275" s="9" t="s">
        <v>11588</v>
      </c>
      <c r="D275" s="9" t="s">
        <v>11600</v>
      </c>
      <c r="E275" s="15" t="str">
        <f>HYPERLINK("https://stat100.ameba.jp/tnk47/ratio20/illustrations/card/ill_87933_akashaguma03.jpg?202003-5-RELEASE-marathon-461xxxxxx", "■")</f>
        <v>■</v>
      </c>
      <c r="F275" s="9" t="s">
        <v>11605</v>
      </c>
      <c r="G275" s="9">
        <v>27486</v>
      </c>
      <c r="H275" s="9">
        <v>32728</v>
      </c>
      <c r="I275" s="9">
        <v>26</v>
      </c>
      <c r="J275" s="9" t="s">
        <v>11591</v>
      </c>
      <c r="K275" s="9" t="s">
        <v>11606</v>
      </c>
      <c r="L275" s="9" t="s">
        <v>13234</v>
      </c>
      <c r="M275" s="14" t="s">
        <v>9158</v>
      </c>
      <c r="N275" s="14" t="s">
        <v>9158</v>
      </c>
      <c r="O275" s="14" t="s">
        <v>9158</v>
      </c>
      <c r="P275" s="14" t="s">
        <v>9158</v>
      </c>
      <c r="Q275" s="14" t="s">
        <v>9158</v>
      </c>
    </row>
    <row r="277" spans="1:18">
      <c r="A277" s="9" t="s">
        <v>11580</v>
      </c>
    </row>
    <row r="278" spans="1:18">
      <c r="A278" s="14" t="s">
        <v>11581</v>
      </c>
    </row>
    <row r="279" spans="1:18">
      <c r="A279" s="14" t="s">
        <v>5891</v>
      </c>
      <c r="B279" s="14" t="s">
        <v>330</v>
      </c>
      <c r="C279" s="14" t="s">
        <v>202</v>
      </c>
      <c r="D279" s="19" t="s">
        <v>1371</v>
      </c>
      <c r="E279" s="15" t="str">
        <f>HYPERLINK("https://stat100.ameba.jp/tnk47/ratio20/illustrations/card/ill_77173_0_yukemuritomoegozen03.jpg?202003-5-RELEASE-marathon-461xxxxxx", "■")</f>
        <v>■</v>
      </c>
      <c r="F279" s="14" t="s">
        <v>1372</v>
      </c>
      <c r="G279" s="14">
        <v>240586</v>
      </c>
      <c r="H279" s="14">
        <v>266192</v>
      </c>
      <c r="I279" s="14">
        <v>24</v>
      </c>
      <c r="J279" s="14" t="s">
        <v>310</v>
      </c>
      <c r="K279" s="14" t="s">
        <v>1373</v>
      </c>
      <c r="L279" s="14" t="s">
        <v>1374</v>
      </c>
      <c r="M279" s="14" t="s">
        <v>9158</v>
      </c>
      <c r="N279" s="14" t="s">
        <v>9158</v>
      </c>
      <c r="O279" s="19" t="s">
        <v>4067</v>
      </c>
      <c r="P279" s="14" t="s">
        <v>3879</v>
      </c>
      <c r="Q279" s="14">
        <v>2</v>
      </c>
    </row>
    <row r="280" spans="1:18">
      <c r="A280" s="14">
        <v>84653</v>
      </c>
      <c r="B280" s="14" t="s">
        <v>334</v>
      </c>
      <c r="C280" s="14" t="s">
        <v>209</v>
      </c>
      <c r="D280" s="19" t="s">
        <v>10626</v>
      </c>
      <c r="E280" s="15" t="str">
        <f>HYPERLINK("https://stat100.ameba.jp/tnk47/ratio20/illustrations/card/ill_84653_soru03.jpg?202003-5-RELEASE-marathon-461xxxxxx", "■")</f>
        <v>■</v>
      </c>
      <c r="F280" s="14" t="s">
        <v>6954</v>
      </c>
      <c r="G280" s="14">
        <v>75984</v>
      </c>
      <c r="H280" s="14">
        <v>104890</v>
      </c>
      <c r="I280" s="14">
        <v>24</v>
      </c>
      <c r="J280" s="14" t="s">
        <v>44</v>
      </c>
      <c r="K280" s="14" t="s">
        <v>6956</v>
      </c>
      <c r="L280" s="14" t="s">
        <v>3652</v>
      </c>
      <c r="M280" s="14" t="s">
        <v>9158</v>
      </c>
      <c r="N280" s="14" t="s">
        <v>9158</v>
      </c>
      <c r="O280" s="19" t="s">
        <v>10103</v>
      </c>
      <c r="P280" s="14" t="s">
        <v>3897</v>
      </c>
      <c r="Q280" s="14">
        <v>1</v>
      </c>
    </row>
    <row r="281" spans="1:18">
      <c r="A281" s="14">
        <v>66353</v>
      </c>
      <c r="B281" s="14" t="s">
        <v>0</v>
      </c>
      <c r="C281" s="14" t="s">
        <v>41</v>
      </c>
      <c r="D281" s="19" t="s">
        <v>440</v>
      </c>
      <c r="E281" s="15" t="str">
        <f>HYPERLINK("https://stat100.ameba.jp/tnk47/ratio20/illustrations/card/ill_66353_kajiwaranyudotoan03.jpg?202003-5-RELEASE-marathon-461xxxxxx", "■")</f>
        <v>■</v>
      </c>
      <c r="F281" s="14" t="s">
        <v>142</v>
      </c>
      <c r="G281" s="14">
        <v>159674</v>
      </c>
      <c r="H281" s="14">
        <v>106018</v>
      </c>
      <c r="I281" s="14">
        <v>24</v>
      </c>
      <c r="J281" s="14" t="s">
        <v>143</v>
      </c>
      <c r="K281" s="14" t="s">
        <v>144</v>
      </c>
      <c r="L281" s="14" t="s">
        <v>145</v>
      </c>
      <c r="M281" s="14" t="s">
        <v>9158</v>
      </c>
      <c r="N281" s="14" t="s">
        <v>9158</v>
      </c>
      <c r="O281" s="19" t="s">
        <v>10102</v>
      </c>
      <c r="P281" s="14" t="s">
        <v>3672</v>
      </c>
      <c r="Q281" s="14">
        <v>1</v>
      </c>
      <c r="R281" s="14"/>
    </row>
    <row r="282" spans="1:18">
      <c r="A282" s="14">
        <v>77673</v>
      </c>
      <c r="B282" s="14" t="s">
        <v>334</v>
      </c>
      <c r="C282" s="14" t="s">
        <v>158</v>
      </c>
      <c r="D282" s="19" t="s">
        <v>10270</v>
      </c>
      <c r="E282" s="15" t="str">
        <f>HYPERLINK("https://stat100.ameba.jp/tnk47/ratio20/illustrations/card/ill_77673_ryunochoji03.jpg?202003-5-RELEASE-marathon-461xxxxxx", "■")</f>
        <v>■</v>
      </c>
      <c r="F282" s="14" t="s">
        <v>1777</v>
      </c>
      <c r="G282" s="14">
        <v>111914</v>
      </c>
      <c r="H282" s="14">
        <v>81078</v>
      </c>
      <c r="I282" s="14">
        <v>24</v>
      </c>
      <c r="J282" s="14" t="s">
        <v>73</v>
      </c>
      <c r="K282" s="14" t="s">
        <v>1778</v>
      </c>
      <c r="L282" s="14" t="s">
        <v>1779</v>
      </c>
      <c r="M282" s="14" t="s">
        <v>9158</v>
      </c>
      <c r="N282" s="14" t="s">
        <v>9158</v>
      </c>
      <c r="O282" s="19" t="s">
        <v>10090</v>
      </c>
      <c r="P282" s="14" t="s">
        <v>3460</v>
      </c>
      <c r="Q282" s="14">
        <v>1</v>
      </c>
    </row>
    <row r="284" spans="1:18">
      <c r="A284" s="9" t="s">
        <v>13381</v>
      </c>
    </row>
    <row r="285" spans="1:18">
      <c r="A285" s="14" t="s">
        <v>3949</v>
      </c>
    </row>
    <row r="286" spans="1:18">
      <c r="A286" s="9">
        <v>87745</v>
      </c>
      <c r="B286" s="9" t="s">
        <v>11613</v>
      </c>
      <c r="C286" s="9" t="s">
        <v>11611</v>
      </c>
      <c r="D286" s="9" t="s">
        <v>11615</v>
      </c>
      <c r="E286" s="15" t="str">
        <f>HYPERLINK("https://stat100.ameba.jp/tnk47/ratio20/illustrations/card/ill_87745_purinsesushokora05.jpg?202003-5-RELEASE-marathon-461xxxxxx", "■")</f>
        <v>■</v>
      </c>
      <c r="F286" s="9" t="s">
        <v>11616</v>
      </c>
      <c r="G286" s="9">
        <v>94442</v>
      </c>
      <c r="H286" s="9">
        <v>130412</v>
      </c>
      <c r="I286" s="9">
        <v>26</v>
      </c>
      <c r="J286" s="9" t="s">
        <v>11617</v>
      </c>
      <c r="K286" s="9" t="s">
        <v>11618</v>
      </c>
      <c r="L286" s="9" t="s">
        <v>13235</v>
      </c>
      <c r="M286" s="14" t="s">
        <v>9158</v>
      </c>
      <c r="N286" s="14" t="s">
        <v>9158</v>
      </c>
      <c r="O286" s="14" t="s">
        <v>9158</v>
      </c>
      <c r="P286" s="14" t="s">
        <v>9158</v>
      </c>
      <c r="Q286" s="14" t="s">
        <v>9158</v>
      </c>
      <c r="R286" s="9" t="s">
        <v>11619</v>
      </c>
    </row>
    <row r="287" spans="1:18">
      <c r="A287" s="9">
        <v>87743</v>
      </c>
      <c r="B287" s="9" t="s">
        <v>11614</v>
      </c>
      <c r="C287" s="9" t="s">
        <v>11612</v>
      </c>
      <c r="D287" s="9" t="s">
        <v>11615</v>
      </c>
      <c r="E287" s="15" t="str">
        <f>HYPERLINK("https://stat100.ameba.jp/tnk47/ratio20/illustrations/card/ill_87743_purinsesushokora03.jpg?202003-5-RELEASE-marathon-461xxxxxx", "■")</f>
        <v>■</v>
      </c>
      <c r="F287" s="9" t="s">
        <v>11616</v>
      </c>
      <c r="G287" s="9">
        <v>69572</v>
      </c>
      <c r="H287" s="9">
        <v>96102</v>
      </c>
      <c r="I287" s="9">
        <v>26</v>
      </c>
      <c r="J287" s="9" t="s">
        <v>11617</v>
      </c>
      <c r="K287" s="9" t="s">
        <v>11618</v>
      </c>
      <c r="L287" s="9" t="s">
        <v>13236</v>
      </c>
      <c r="M287" s="14" t="s">
        <v>9158</v>
      </c>
      <c r="N287" s="14" t="s">
        <v>9158</v>
      </c>
      <c r="O287" s="14" t="s">
        <v>9158</v>
      </c>
      <c r="P287" s="14" t="s">
        <v>9158</v>
      </c>
      <c r="Q287" s="14" t="s">
        <v>9158</v>
      </c>
      <c r="R287" s="9" t="s">
        <v>11620</v>
      </c>
    </row>
    <row r="288" spans="1:18">
      <c r="A288" s="9">
        <v>87741</v>
      </c>
      <c r="B288" s="9" t="s">
        <v>11614</v>
      </c>
      <c r="C288" s="9" t="s">
        <v>11612</v>
      </c>
      <c r="D288" s="9" t="s">
        <v>11615</v>
      </c>
      <c r="E288" s="15" t="str">
        <f>HYPERLINK("https://stat100.ameba.jp/tnk47/ratio20/illustrations/card/ill_87741_purinsesushokora01.jpg?202003-5-RELEASE-marathon-461xxxxxx", "■")</f>
        <v>■</v>
      </c>
      <c r="F288" s="9" t="s">
        <v>11616</v>
      </c>
      <c r="G288" s="9">
        <v>44252</v>
      </c>
      <c r="H288" s="9">
        <v>61126</v>
      </c>
      <c r="I288" s="9">
        <v>26</v>
      </c>
      <c r="J288" s="9" t="s">
        <v>11617</v>
      </c>
      <c r="K288" s="9" t="s">
        <v>11618</v>
      </c>
      <c r="L288" s="9" t="s">
        <v>13237</v>
      </c>
      <c r="M288" s="14" t="s">
        <v>9158</v>
      </c>
      <c r="N288" s="14" t="s">
        <v>9158</v>
      </c>
      <c r="O288" s="14" t="s">
        <v>9158</v>
      </c>
      <c r="P288" s="14" t="s">
        <v>9158</v>
      </c>
      <c r="Q288" s="14" t="s">
        <v>9158</v>
      </c>
      <c r="R288" s="9" t="s">
        <v>11621</v>
      </c>
    </row>
    <row r="290" spans="1:17">
      <c r="A290" s="9" t="s">
        <v>11622</v>
      </c>
    </row>
    <row r="291" spans="1:17">
      <c r="A291" s="14" t="s">
        <v>3953</v>
      </c>
    </row>
    <row r="292" spans="1:17">
      <c r="A292" s="14">
        <v>72303</v>
      </c>
      <c r="B292" s="14" t="s">
        <v>0</v>
      </c>
      <c r="C292" s="14" t="s">
        <v>14</v>
      </c>
      <c r="D292" s="19" t="s">
        <v>10716</v>
      </c>
      <c r="E292" s="15" t="str">
        <f>HYPERLINK("https://stat100.ameba.jp/tnk47/ratio20/illustrations/card/ill_72303_yamakawafutaba03.jpg?202003-5-RELEASE-marathon-461xxxxxx", "■")</f>
        <v>■</v>
      </c>
      <c r="F292" s="14" t="s">
        <v>3472</v>
      </c>
      <c r="G292" s="14">
        <v>101373</v>
      </c>
      <c r="H292" s="14">
        <v>94295</v>
      </c>
      <c r="I292" s="14">
        <v>25</v>
      </c>
      <c r="J292" s="14" t="s">
        <v>16</v>
      </c>
      <c r="K292" s="14" t="s">
        <v>3473</v>
      </c>
      <c r="L292" s="14" t="s">
        <v>2100</v>
      </c>
      <c r="M292" s="14" t="s">
        <v>9158</v>
      </c>
      <c r="N292" s="14" t="s">
        <v>9158</v>
      </c>
      <c r="O292" s="14" t="s">
        <v>9158</v>
      </c>
      <c r="P292" s="14" t="s">
        <v>9158</v>
      </c>
      <c r="Q292" s="14" t="s">
        <v>9158</v>
      </c>
    </row>
    <row r="293" spans="1:17">
      <c r="A293" s="9">
        <v>25333</v>
      </c>
      <c r="B293" s="9" t="s">
        <v>11613</v>
      </c>
      <c r="C293" s="9" t="s">
        <v>11623</v>
      </c>
      <c r="D293" s="9" t="s">
        <v>11627</v>
      </c>
      <c r="E293" s="15" t="str">
        <f>HYPERLINK("https://stat100.ameba.jp/tnk47/ratio20/illustrations/card/ill_25333_shodaihattorihanzo03.jpg?202003-5-RELEASE-marathon-461xxxxxx", "■")</f>
        <v>■</v>
      </c>
      <c r="F293" s="9" t="s">
        <v>11628</v>
      </c>
      <c r="G293" s="9">
        <v>89590</v>
      </c>
      <c r="H293" s="9">
        <v>96360</v>
      </c>
      <c r="I293" s="9">
        <v>25</v>
      </c>
      <c r="J293" s="9" t="s">
        <v>11629</v>
      </c>
      <c r="K293" s="9" t="s">
        <v>11630</v>
      </c>
      <c r="L293" s="9" t="s">
        <v>13238</v>
      </c>
      <c r="M293" s="14" t="s">
        <v>9158</v>
      </c>
      <c r="N293" s="14" t="s">
        <v>9158</v>
      </c>
      <c r="O293" s="14" t="s">
        <v>9158</v>
      </c>
      <c r="P293" s="14" t="s">
        <v>9158</v>
      </c>
      <c r="Q293" s="14" t="s">
        <v>9158</v>
      </c>
    </row>
    <row r="294" spans="1:17">
      <c r="A294" s="9">
        <v>65313</v>
      </c>
      <c r="B294" s="14" t="s">
        <v>334</v>
      </c>
      <c r="C294" s="14" t="s">
        <v>200</v>
      </c>
      <c r="D294" s="20" t="s">
        <v>3131</v>
      </c>
      <c r="E294" s="15" t="str">
        <f>HYPERLINK("https://stat100.ameba.jp/tnk47/ratio20/illustrations/card/ill_65313_viranzukasuganotsubone03.jpg?202003-5-RELEASE-marathon-461xxxxxx", "■")</f>
        <v>■</v>
      </c>
      <c r="F294" s="14" t="s">
        <v>3132</v>
      </c>
      <c r="G294" s="14">
        <v>94295</v>
      </c>
      <c r="H294" s="14">
        <v>101373</v>
      </c>
      <c r="I294" s="14">
        <v>25</v>
      </c>
      <c r="J294" s="14" t="s">
        <v>414</v>
      </c>
      <c r="K294" s="14" t="s">
        <v>3133</v>
      </c>
      <c r="L294" s="14" t="s">
        <v>3134</v>
      </c>
      <c r="M294" s="14" t="s">
        <v>9158</v>
      </c>
      <c r="N294" s="14" t="s">
        <v>9158</v>
      </c>
      <c r="O294" s="14" t="s">
        <v>9158</v>
      </c>
      <c r="P294" s="14" t="s">
        <v>9158</v>
      </c>
      <c r="Q294" s="14" t="s">
        <v>9158</v>
      </c>
    </row>
    <row r="295" spans="1:17">
      <c r="A295" s="9">
        <v>46773</v>
      </c>
      <c r="B295" s="9" t="s">
        <v>11614</v>
      </c>
      <c r="C295" s="9" t="s">
        <v>11624</v>
      </c>
      <c r="D295" s="9" t="s">
        <v>11631</v>
      </c>
      <c r="E295" s="15" t="str">
        <f>HYPERLINK("https://stat100.ameba.jp/tnk47/ratio20/illustrations/card/ill_46773_toribujingotoutamabee03.jpg?202003-5-RELEASE-marathon-461xxxxxx", "■")</f>
        <v>■</v>
      </c>
      <c r="F295" s="9" t="s">
        <v>11632</v>
      </c>
      <c r="G295" s="9">
        <v>56316</v>
      </c>
      <c r="H295" s="9">
        <v>51078</v>
      </c>
      <c r="I295" s="9">
        <v>19</v>
      </c>
      <c r="J295" s="9" t="s">
        <v>11633</v>
      </c>
      <c r="K295" s="9" t="s">
        <v>11634</v>
      </c>
      <c r="L295" s="9" t="s">
        <v>13239</v>
      </c>
      <c r="M295" s="14" t="s">
        <v>9158</v>
      </c>
      <c r="N295" s="14" t="s">
        <v>9158</v>
      </c>
      <c r="O295" s="14" t="s">
        <v>9158</v>
      </c>
      <c r="P295" s="14" t="s">
        <v>9158</v>
      </c>
      <c r="Q295" s="14" t="s">
        <v>9158</v>
      </c>
    </row>
    <row r="296" spans="1:17">
      <c r="A296" s="9">
        <v>32443</v>
      </c>
      <c r="B296" s="9" t="s">
        <v>11614</v>
      </c>
      <c r="C296" s="9" t="s">
        <v>11625</v>
      </c>
      <c r="D296" s="9" t="s">
        <v>11635</v>
      </c>
      <c r="E296" s="15" t="str">
        <f>HYPERLINK("https://stat100.ameba.jp/tnk47/ratio20/illustrations/card/ill_32443_imbeda03.jpg?202003-5-RELEASE-marathon-461xxxxxx", "■")</f>
        <v>■</v>
      </c>
      <c r="F296" s="9" t="s">
        <v>11636</v>
      </c>
      <c r="G296" s="9">
        <v>56316</v>
      </c>
      <c r="H296" s="9">
        <v>51078</v>
      </c>
      <c r="I296" s="9">
        <v>19</v>
      </c>
      <c r="J296" s="9" t="s">
        <v>11637</v>
      </c>
      <c r="K296" s="9" t="s">
        <v>11638</v>
      </c>
      <c r="L296" s="9" t="s">
        <v>13240</v>
      </c>
      <c r="M296" s="14" t="s">
        <v>9158</v>
      </c>
      <c r="N296" s="14" t="s">
        <v>9158</v>
      </c>
      <c r="O296" s="14" t="s">
        <v>9158</v>
      </c>
      <c r="P296" s="14" t="s">
        <v>9158</v>
      </c>
      <c r="Q296" s="14" t="s">
        <v>9158</v>
      </c>
    </row>
    <row r="297" spans="1:17">
      <c r="A297" s="9">
        <v>56533</v>
      </c>
      <c r="B297" s="9" t="s">
        <v>348</v>
      </c>
      <c r="C297" s="9" t="s">
        <v>205</v>
      </c>
      <c r="D297" s="9" t="s">
        <v>11314</v>
      </c>
      <c r="E297" s="15" t="str">
        <f>HYPERLINK("https://stat100.ameba.jp/tnk47/ratio20/illustrations/card/ill_56533_rappingususeribime03.jpg?202003-5-RELEASE-marathon-461xxxxxx", "■")</f>
        <v>■</v>
      </c>
      <c r="F297" s="9" t="s">
        <v>11315</v>
      </c>
      <c r="G297" s="9">
        <v>51078</v>
      </c>
      <c r="H297" s="9">
        <v>56316</v>
      </c>
      <c r="I297" s="9">
        <v>19</v>
      </c>
      <c r="J297" s="9" t="s">
        <v>401</v>
      </c>
      <c r="K297" s="9" t="s">
        <v>11316</v>
      </c>
      <c r="L297" s="9" t="s">
        <v>11317</v>
      </c>
      <c r="M297" s="14" t="s">
        <v>9158</v>
      </c>
      <c r="N297" s="14" t="s">
        <v>9158</v>
      </c>
      <c r="O297" s="14" t="s">
        <v>9158</v>
      </c>
      <c r="P297" s="14" t="s">
        <v>9158</v>
      </c>
      <c r="Q297" s="14" t="s">
        <v>9158</v>
      </c>
    </row>
    <row r="299" spans="1:17">
      <c r="A299" s="9" t="s">
        <v>11639</v>
      </c>
    </row>
    <row r="300" spans="1:17">
      <c r="A300" s="14" t="s">
        <v>3983</v>
      </c>
    </row>
    <row r="301" spans="1:17">
      <c r="A301" s="14" t="s">
        <v>5606</v>
      </c>
      <c r="B301" s="14" t="s">
        <v>52</v>
      </c>
      <c r="C301" s="14" t="s">
        <v>206</v>
      </c>
      <c r="D301" s="20" t="s">
        <v>2936</v>
      </c>
      <c r="E301" s="15" t="str">
        <f>HYPERLINK("https://stat100.ameba.jp/tnk47/ratio20/illustrations/card/ill_72233_0_koinoboriryugujin03.jpg?202003-5-RELEASE-marathon-461xxxxxx", "■")</f>
        <v>■</v>
      </c>
      <c r="F301" s="14" t="s">
        <v>1012</v>
      </c>
      <c r="G301" s="14">
        <v>157432</v>
      </c>
      <c r="H301" s="14">
        <v>169334</v>
      </c>
      <c r="I301" s="14">
        <v>24</v>
      </c>
      <c r="J301" s="14" t="s">
        <v>44</v>
      </c>
      <c r="K301" s="14" t="s">
        <v>1013</v>
      </c>
      <c r="L301" s="14" t="s">
        <v>1014</v>
      </c>
      <c r="M301" s="14" t="s">
        <v>9158</v>
      </c>
      <c r="N301" s="14" t="s">
        <v>9158</v>
      </c>
      <c r="O301" s="19" t="s">
        <v>2940</v>
      </c>
      <c r="P301" s="14" t="s">
        <v>2941</v>
      </c>
      <c r="Q301" s="14">
        <v>2</v>
      </c>
    </row>
    <row r="302" spans="1:17">
      <c r="A302" s="14" t="s">
        <v>5610</v>
      </c>
      <c r="B302" s="14" t="s">
        <v>330</v>
      </c>
      <c r="C302" s="14" t="s">
        <v>185</v>
      </c>
      <c r="D302" s="20" t="s">
        <v>539</v>
      </c>
      <c r="E302" s="15" t="str">
        <f>HYPERLINK("https://stat100.ameba.jp/tnk47/ratio20/illustrations/card/ill_60633_0_harumaisentoin03.jpg?202003-5-RELEASE-marathon-461xxxxxx", "■")</f>
        <v>■</v>
      </c>
      <c r="F302" s="14" t="s">
        <v>540</v>
      </c>
      <c r="G302" s="14">
        <v>152594</v>
      </c>
      <c r="H302" s="14">
        <v>164144</v>
      </c>
      <c r="I302" s="14">
        <v>24</v>
      </c>
      <c r="J302" s="14" t="s">
        <v>274</v>
      </c>
      <c r="K302" s="14" t="s">
        <v>541</v>
      </c>
      <c r="L302" s="14" t="s">
        <v>542</v>
      </c>
      <c r="M302" s="14" t="s">
        <v>9158</v>
      </c>
      <c r="N302" s="14" t="s">
        <v>9158</v>
      </c>
      <c r="O302" s="19" t="s">
        <v>2888</v>
      </c>
      <c r="P302" s="14" t="s">
        <v>3144</v>
      </c>
      <c r="Q302" s="14">
        <v>1</v>
      </c>
    </row>
    <row r="303" spans="1:17">
      <c r="A303" s="14" t="s">
        <v>5625</v>
      </c>
      <c r="B303" s="14" t="s">
        <v>330</v>
      </c>
      <c r="C303" s="14" t="s">
        <v>200</v>
      </c>
      <c r="D303" s="20" t="s">
        <v>630</v>
      </c>
      <c r="E303" s="15" t="str">
        <f>HYPERLINK("https://stat100.ameba.jp/tnk47/ratio20/illustrations/card/ill_48283_0_kyuubitamamonomae03.jpg?202003-5-RELEASE-marathon-461xxxxxx", "■")</f>
        <v>■</v>
      </c>
      <c r="F303" s="14" t="s">
        <v>631</v>
      </c>
      <c r="G303" s="14">
        <v>150776</v>
      </c>
      <c r="H303" s="14">
        <v>133938</v>
      </c>
      <c r="I303" s="14">
        <v>24</v>
      </c>
      <c r="J303" s="14" t="s">
        <v>320</v>
      </c>
      <c r="K303" s="14" t="s">
        <v>632</v>
      </c>
      <c r="L303" s="14" t="s">
        <v>633</v>
      </c>
      <c r="M303" s="14" t="s">
        <v>9158</v>
      </c>
      <c r="N303" s="14" t="s">
        <v>9158</v>
      </c>
      <c r="O303" s="14" t="s">
        <v>9158</v>
      </c>
      <c r="P303" s="14" t="s">
        <v>9158</v>
      </c>
      <c r="Q303" s="14" t="s">
        <v>9158</v>
      </c>
    </row>
    <row r="304" spans="1:17">
      <c r="A304" s="9">
        <v>87833</v>
      </c>
      <c r="B304" s="9" t="s">
        <v>0</v>
      </c>
      <c r="C304" s="9" t="s">
        <v>165</v>
      </c>
      <c r="D304" s="9" t="s">
        <v>11592</v>
      </c>
      <c r="E304" s="15" t="str">
        <f>HYPERLINK("https://stat100.ameba.jp/tnk47/ratio20/illustrations/card/ill_87833_howaitodepateishieru03.jpg?202003-5-RELEASE-marathon-461xxxxxx", "■")</f>
        <v>■</v>
      </c>
      <c r="F304" s="9" t="s">
        <v>11593</v>
      </c>
      <c r="G304" s="9">
        <v>148619</v>
      </c>
      <c r="H304" s="9">
        <v>138186</v>
      </c>
      <c r="I304" s="9">
        <v>25</v>
      </c>
      <c r="J304" s="9" t="s">
        <v>216</v>
      </c>
      <c r="K304" s="9" t="s">
        <v>11594</v>
      </c>
      <c r="L304" s="9" t="s">
        <v>13230</v>
      </c>
      <c r="M304" s="14" t="s">
        <v>9158</v>
      </c>
      <c r="N304" s="14" t="s">
        <v>9158</v>
      </c>
      <c r="O304" s="14" t="s">
        <v>9158</v>
      </c>
      <c r="P304" s="14" t="s">
        <v>9158</v>
      </c>
      <c r="Q304" s="14" t="s">
        <v>9158</v>
      </c>
    </row>
    <row r="305" spans="1:17">
      <c r="A305" s="9">
        <v>87913</v>
      </c>
      <c r="B305" s="9" t="s">
        <v>15</v>
      </c>
      <c r="C305" s="9" t="s">
        <v>191</v>
      </c>
      <c r="D305" s="9" t="s">
        <v>11598</v>
      </c>
      <c r="E305" s="15" t="str">
        <f>HYPERLINK("https://stat100.ameba.jp/tnk47/ratio20/illustrations/card/ill_87913_winechan03.jpg?202003-5-RELEASE-marathon-461xxxxxx", "■")</f>
        <v>■</v>
      </c>
      <c r="F305" s="9" t="s">
        <v>11601</v>
      </c>
      <c r="G305" s="9">
        <v>67210</v>
      </c>
      <c r="H305" s="9">
        <v>74100</v>
      </c>
      <c r="I305" s="9">
        <v>25</v>
      </c>
      <c r="J305" s="9" t="s">
        <v>216</v>
      </c>
      <c r="K305" s="9" t="s">
        <v>11602</v>
      </c>
      <c r="L305" s="9" t="s">
        <v>13232</v>
      </c>
      <c r="M305" s="14" t="s">
        <v>9158</v>
      </c>
      <c r="N305" s="14" t="s">
        <v>9158</v>
      </c>
      <c r="O305" s="14" t="s">
        <v>9158</v>
      </c>
      <c r="P305" s="14" t="s">
        <v>9158</v>
      </c>
      <c r="Q305" s="14" t="s">
        <v>9158</v>
      </c>
    </row>
    <row r="306" spans="1:17">
      <c r="A306" s="9">
        <v>87923</v>
      </c>
      <c r="B306" s="9" t="s">
        <v>22</v>
      </c>
      <c r="C306" s="9" t="s">
        <v>206</v>
      </c>
      <c r="D306" s="9" t="s">
        <v>11599</v>
      </c>
      <c r="E306" s="15" t="str">
        <f>HYPERLINK("https://stat100.ameba.jp/tnk47/ratio20/illustrations/card/ill_87923_howaitodekukki03.jpg?202003-5-RELEASE-marathon-461xxxxxx", "■")</f>
        <v>■</v>
      </c>
      <c r="F306" s="9" t="s">
        <v>11603</v>
      </c>
      <c r="G306" s="9">
        <v>51980</v>
      </c>
      <c r="H306" s="9">
        <v>43220</v>
      </c>
      <c r="I306" s="9">
        <v>25</v>
      </c>
      <c r="J306" s="9" t="s">
        <v>216</v>
      </c>
      <c r="K306" s="9" t="s">
        <v>11604</v>
      </c>
      <c r="L306" s="9" t="s">
        <v>13233</v>
      </c>
      <c r="M306" s="14" t="s">
        <v>9158</v>
      </c>
      <c r="N306" s="14" t="s">
        <v>9158</v>
      </c>
      <c r="O306" s="14" t="s">
        <v>9158</v>
      </c>
      <c r="P306" s="14" t="s">
        <v>9158</v>
      </c>
      <c r="Q306" s="14" t="s">
        <v>9158</v>
      </c>
    </row>
    <row r="307" spans="1:17">
      <c r="A307" s="9">
        <v>87933</v>
      </c>
      <c r="B307" s="9" t="s">
        <v>30</v>
      </c>
      <c r="C307" s="9" t="s">
        <v>205</v>
      </c>
      <c r="D307" s="9" t="s">
        <v>11600</v>
      </c>
      <c r="E307" s="15" t="str">
        <f>HYPERLINK("https://stat100.ameba.jp/tnk47/ratio20/illustrations/card/ill_87933_akashaguma03.jpg?202003-5-RELEASE-marathon-461xxxxxx", "■")</f>
        <v>■</v>
      </c>
      <c r="F307" s="9" t="s">
        <v>11605</v>
      </c>
      <c r="G307" s="9">
        <v>26430</v>
      </c>
      <c r="H307" s="9">
        <v>31470</v>
      </c>
      <c r="I307" s="9">
        <v>25</v>
      </c>
      <c r="J307" s="9" t="s">
        <v>182</v>
      </c>
      <c r="K307" s="9" t="s">
        <v>11606</v>
      </c>
      <c r="L307" s="9" t="s">
        <v>13234</v>
      </c>
      <c r="M307" s="14" t="s">
        <v>9158</v>
      </c>
      <c r="N307" s="14" t="s">
        <v>9158</v>
      </c>
      <c r="O307" s="14" t="s">
        <v>9158</v>
      </c>
      <c r="P307" s="14" t="s">
        <v>9158</v>
      </c>
      <c r="Q307" s="14" t="s">
        <v>9158</v>
      </c>
    </row>
    <row r="309" spans="1:17">
      <c r="A309" s="9" t="s">
        <v>204</v>
      </c>
    </row>
    <row r="310" spans="1:17">
      <c r="A310" s="9" t="s">
        <v>3988</v>
      </c>
    </row>
    <row r="311" spans="1:17">
      <c r="A311" s="14" t="s">
        <v>6195</v>
      </c>
      <c r="B311" s="14" t="s">
        <v>52</v>
      </c>
      <c r="C311" s="14" t="s">
        <v>191</v>
      </c>
      <c r="D311" s="6" t="s">
        <v>1768</v>
      </c>
      <c r="E311" s="15" t="str">
        <f>HYPERLINK("https://stat100.ameba.jp/tnk47/ratio20/illustrations/card/ill_56493_0_poppukurisumasuikomakitsuno03.jpg?202003-5-RELEASE-marathon-461xxxxxx", "■")</f>
        <v>■</v>
      </c>
      <c r="F311" s="14" t="s">
        <v>1769</v>
      </c>
      <c r="G311" s="14">
        <v>138212</v>
      </c>
      <c r="H311" s="14">
        <v>122776</v>
      </c>
      <c r="I311" s="14">
        <v>22</v>
      </c>
      <c r="J311" s="14" t="s">
        <v>77</v>
      </c>
      <c r="K311" s="14" t="s">
        <v>1770</v>
      </c>
      <c r="L311" s="14" t="s">
        <v>1771</v>
      </c>
      <c r="M311" s="14" t="s">
        <v>9158</v>
      </c>
      <c r="N311" s="14" t="s">
        <v>9158</v>
      </c>
      <c r="O311" s="6" t="s">
        <v>3893</v>
      </c>
      <c r="P311" s="14" t="s">
        <v>2724</v>
      </c>
      <c r="Q311" s="14">
        <v>1</v>
      </c>
    </row>
    <row r="312" spans="1:17">
      <c r="A312" s="14" t="s">
        <v>5778</v>
      </c>
      <c r="B312" s="14" t="s">
        <v>330</v>
      </c>
      <c r="C312" s="14" t="s">
        <v>205</v>
      </c>
      <c r="D312" s="6" t="s">
        <v>3449</v>
      </c>
      <c r="E312" s="15" t="str">
        <f>HYPERLINK("https://stat100.ameba.jp/tnk47/ratio20/illustrations/card/ill_68783_0_gantammomotaro03.jpg?202003-5-RELEASE-marathon-461xxxxxx", "■")</f>
        <v>■</v>
      </c>
      <c r="F312" s="14" t="s">
        <v>273</v>
      </c>
      <c r="G312" s="14">
        <v>150466</v>
      </c>
      <c r="H312" s="14">
        <v>139878</v>
      </c>
      <c r="I312" s="14">
        <v>22</v>
      </c>
      <c r="J312" s="14" t="s">
        <v>274</v>
      </c>
      <c r="K312" s="14" t="s">
        <v>275</v>
      </c>
      <c r="L312" s="14" t="s">
        <v>276</v>
      </c>
      <c r="M312" s="14" t="s">
        <v>9158</v>
      </c>
      <c r="N312" s="14" t="s">
        <v>9158</v>
      </c>
      <c r="O312" s="17" t="s">
        <v>9992</v>
      </c>
      <c r="P312" s="14" t="s">
        <v>3451</v>
      </c>
      <c r="Q312" s="14">
        <v>1</v>
      </c>
    </row>
    <row r="313" spans="1:17">
      <c r="A313" s="14" t="s">
        <v>5608</v>
      </c>
      <c r="B313" s="14" t="s">
        <v>52</v>
      </c>
      <c r="C313" s="14" t="s">
        <v>96</v>
      </c>
      <c r="D313" s="6" t="s">
        <v>2037</v>
      </c>
      <c r="E313" s="15" t="str">
        <f>HYPERLINK("https://stat100.ameba.jp/tnk47/ratio20/illustrations/card/ill_40963_0_makami03.jpg?202003-5-RELEASE-marathon-461xxxxxx", "■")</f>
        <v>■</v>
      </c>
      <c r="F313" s="14" t="s">
        <v>2038</v>
      </c>
      <c r="G313" s="14">
        <v>128744</v>
      </c>
      <c r="H313" s="14">
        <v>120576</v>
      </c>
      <c r="I313" s="14">
        <v>22</v>
      </c>
      <c r="J313" s="14" t="s">
        <v>44</v>
      </c>
      <c r="K313" s="14" t="s">
        <v>2039</v>
      </c>
      <c r="L313" s="14" t="s">
        <v>2040</v>
      </c>
      <c r="M313" s="14" t="s">
        <v>9158</v>
      </c>
      <c r="N313" s="14" t="s">
        <v>9158</v>
      </c>
      <c r="O313" s="7" t="s">
        <v>9158</v>
      </c>
      <c r="P313" s="14" t="s">
        <v>9158</v>
      </c>
      <c r="Q313" s="14" t="s">
        <v>9158</v>
      </c>
    </row>
    <row r="314" spans="1:17">
      <c r="A314" s="14">
        <v>83283</v>
      </c>
      <c r="B314" s="14" t="s">
        <v>334</v>
      </c>
      <c r="C314" s="14" t="s">
        <v>271</v>
      </c>
      <c r="D314" s="20" t="s">
        <v>10521</v>
      </c>
      <c r="E314" s="15" t="str">
        <f>HYPERLINK("https://stat100.ameba.jp/tnk47/ratio20/illustrations/card/ill_83283_suikawarihondatadakatsu03.jpg?202003-5-RELEASE-marathon-461xxxxxx", "■")</f>
        <v>■</v>
      </c>
      <c r="F314" s="14" t="s">
        <v>6431</v>
      </c>
      <c r="G314" s="14">
        <v>190884</v>
      </c>
      <c r="H314" s="14">
        <v>107392</v>
      </c>
      <c r="I314" s="14">
        <v>26</v>
      </c>
      <c r="J314" s="14" t="s">
        <v>310</v>
      </c>
      <c r="K314" s="14" t="s">
        <v>6430</v>
      </c>
      <c r="L314" s="14" t="s">
        <v>145</v>
      </c>
      <c r="M314" s="14" t="s">
        <v>9158</v>
      </c>
      <c r="N314" s="14" t="s">
        <v>9158</v>
      </c>
      <c r="O314" s="14" t="s">
        <v>9158</v>
      </c>
      <c r="P314" s="14" t="s">
        <v>9158</v>
      </c>
      <c r="Q314" s="14" t="s">
        <v>9158</v>
      </c>
    </row>
    <row r="315" spans="1:17">
      <c r="A315" s="14">
        <v>61413</v>
      </c>
      <c r="B315" s="14" t="s">
        <v>0</v>
      </c>
      <c r="C315" s="14" t="s">
        <v>185</v>
      </c>
      <c r="D315" s="20" t="s">
        <v>1417</v>
      </c>
      <c r="E315" s="15" t="str">
        <f>HYPERLINK("https://stat100.ameba.jp/tnk47/ratio20/illustrations/card/ill_61413_toyako03.jpg?202003-5-RELEASE-marathon-461xxxxxx", "■")</f>
        <v>■</v>
      </c>
      <c r="F315" s="14" t="s">
        <v>8605</v>
      </c>
      <c r="G315" s="14">
        <v>123674</v>
      </c>
      <c r="H315" s="14">
        <v>89584</v>
      </c>
      <c r="I315" s="14">
        <v>26</v>
      </c>
      <c r="J315" s="14" t="s">
        <v>26</v>
      </c>
      <c r="K315" s="14" t="s">
        <v>8604</v>
      </c>
      <c r="L315" s="14" t="s">
        <v>8603</v>
      </c>
      <c r="M315" s="14" t="s">
        <v>9158</v>
      </c>
      <c r="N315" s="14" t="s">
        <v>9158</v>
      </c>
      <c r="O315" s="14" t="s">
        <v>9158</v>
      </c>
      <c r="P315" s="14" t="s">
        <v>9158</v>
      </c>
      <c r="Q315" s="14" t="s">
        <v>9158</v>
      </c>
    </row>
    <row r="316" spans="1:17">
      <c r="A316" s="14">
        <v>80943</v>
      </c>
      <c r="B316" s="14" t="s">
        <v>334</v>
      </c>
      <c r="C316" s="14" t="s">
        <v>107</v>
      </c>
      <c r="D316" s="20" t="s">
        <v>10707</v>
      </c>
      <c r="E316" s="15" t="str">
        <f>HYPERLINK("https://stat100.ameba.jp/tnk47/ratio20/illustrations/card/ill_80943_shinshakaijimburakkuparu03.jpg?202003-5-RELEASE-marathon-461xxxxxx", "■")</f>
        <v>■</v>
      </c>
      <c r="F316" s="14" t="s">
        <v>4453</v>
      </c>
      <c r="G316" s="14">
        <v>101558</v>
      </c>
      <c r="H316" s="14">
        <v>94390</v>
      </c>
      <c r="I316" s="14">
        <v>26</v>
      </c>
      <c r="J316" s="14" t="s">
        <v>16</v>
      </c>
      <c r="K316" s="14" t="s">
        <v>4454</v>
      </c>
      <c r="L316" s="14" t="s">
        <v>4455</v>
      </c>
      <c r="M316" s="14" t="s">
        <v>9158</v>
      </c>
      <c r="N316" s="14" t="s">
        <v>9158</v>
      </c>
      <c r="O316" s="14" t="s">
        <v>9158</v>
      </c>
      <c r="P316" s="14" t="s">
        <v>9158</v>
      </c>
      <c r="Q316" s="14" t="s">
        <v>9158</v>
      </c>
    </row>
    <row r="317" spans="1:17">
      <c r="A317" s="14">
        <v>83613</v>
      </c>
      <c r="B317" s="14" t="s">
        <v>15</v>
      </c>
      <c r="C317" s="14" t="s">
        <v>200</v>
      </c>
      <c r="D317" s="6" t="s">
        <v>10004</v>
      </c>
      <c r="E317" s="15" t="str">
        <f>HYPERLINK("https://stat100.ameba.jp/tnk47/ratio20/illustrations/card/ill_83613_detoyuramyoinni03.jpg?202003-5-RELEASE-marathon-461xxxxxx", "■")</f>
        <v>■</v>
      </c>
      <c r="F317" s="14" t="s">
        <v>6672</v>
      </c>
      <c r="G317" s="14">
        <v>65208</v>
      </c>
      <c r="H317" s="14">
        <v>59144</v>
      </c>
      <c r="I317" s="14">
        <v>22</v>
      </c>
      <c r="J317" s="14" t="s">
        <v>77</v>
      </c>
      <c r="K317" s="14" t="s">
        <v>6670</v>
      </c>
      <c r="L317" s="14" t="s">
        <v>932</v>
      </c>
      <c r="M317" s="14" t="s">
        <v>9158</v>
      </c>
      <c r="N317" s="14" t="s">
        <v>9158</v>
      </c>
      <c r="O317" s="7" t="s">
        <v>9158</v>
      </c>
      <c r="P317" s="14" t="s">
        <v>9158</v>
      </c>
      <c r="Q317" s="14" t="s">
        <v>9158</v>
      </c>
    </row>
    <row r="318" spans="1:17">
      <c r="A318" s="14">
        <v>83223</v>
      </c>
      <c r="B318" s="14" t="s">
        <v>15</v>
      </c>
      <c r="C318" s="14" t="s">
        <v>206</v>
      </c>
      <c r="D318" s="6" t="s">
        <v>10005</v>
      </c>
      <c r="E318" s="15" t="str">
        <f>HYPERLINK("https://stat100.ameba.jp/tnk47/ratio20/illustrations/card/ill_83223_hanabikijimuna03.jpg?202003-5-RELEASE-marathon-461xxxxxx", "■")</f>
        <v>■</v>
      </c>
      <c r="F318" s="14" t="s">
        <v>6290</v>
      </c>
      <c r="G318" s="14">
        <v>65208</v>
      </c>
      <c r="H318" s="14">
        <v>59144</v>
      </c>
      <c r="I318" s="14">
        <v>22</v>
      </c>
      <c r="J318" s="14" t="s">
        <v>73</v>
      </c>
      <c r="K318" s="14" t="s">
        <v>6293</v>
      </c>
      <c r="L318" s="14" t="s">
        <v>3835</v>
      </c>
      <c r="M318" s="14" t="s">
        <v>9158</v>
      </c>
      <c r="N318" s="14" t="s">
        <v>9158</v>
      </c>
      <c r="O318" s="7" t="s">
        <v>9158</v>
      </c>
      <c r="P318" s="14" t="s">
        <v>9158</v>
      </c>
      <c r="Q318" s="14" t="s">
        <v>9158</v>
      </c>
    </row>
    <row r="319" spans="1:17">
      <c r="A319" s="14">
        <v>65183</v>
      </c>
      <c r="B319" s="14" t="s">
        <v>15</v>
      </c>
      <c r="C319" s="14" t="s">
        <v>96</v>
      </c>
      <c r="D319" s="6" t="s">
        <v>4568</v>
      </c>
      <c r="E319" s="15" t="str">
        <f>HYPERLINK("https://stat100.ameba.jp/tnk47/ratio20/illustrations/card/ill_65183_kimodameshihorakagaminookimi03.jpg?202003-5-RELEASE-marathon-461xxxxxx", "■")</f>
        <v>■</v>
      </c>
      <c r="F319" s="14" t="s">
        <v>4569</v>
      </c>
      <c r="G319" s="14">
        <v>65208</v>
      </c>
      <c r="H319" s="14">
        <v>59144</v>
      </c>
      <c r="I319" s="14">
        <v>22</v>
      </c>
      <c r="J319" s="14" t="s">
        <v>16</v>
      </c>
      <c r="K319" s="14" t="s">
        <v>4570</v>
      </c>
      <c r="L319" s="14" t="s">
        <v>21</v>
      </c>
      <c r="M319" s="14" t="s">
        <v>9158</v>
      </c>
      <c r="N319" s="14" t="s">
        <v>9158</v>
      </c>
      <c r="O319" s="7" t="s">
        <v>9158</v>
      </c>
      <c r="P319" s="14" t="s">
        <v>9158</v>
      </c>
      <c r="Q319" s="14" t="s">
        <v>9158</v>
      </c>
    </row>
    <row r="321" spans="1:18">
      <c r="A321" s="9" t="s">
        <v>11640</v>
      </c>
    </row>
    <row r="322" spans="1:18">
      <c r="A322" s="9" t="s">
        <v>11641</v>
      </c>
    </row>
    <row r="323" spans="1:18">
      <c r="A323" s="14" t="s">
        <v>5620</v>
      </c>
      <c r="B323" s="14" t="s">
        <v>330</v>
      </c>
      <c r="C323" s="14" t="s">
        <v>206</v>
      </c>
      <c r="D323" s="19" t="s">
        <v>669</v>
      </c>
      <c r="E323" s="15" t="str">
        <f>HYPERLINK("https://stat100.ameba.jp/tnk47/ratio20/illustrations/card/ill_67173_0_yukemuriawamorichan03.jpg?202003-5-RELEASE-marathon-461xxxxxx", "■")</f>
        <v>■</v>
      </c>
      <c r="F323" s="14" t="s">
        <v>670</v>
      </c>
      <c r="G323" s="14">
        <v>153666</v>
      </c>
      <c r="H323" s="14">
        <v>142864</v>
      </c>
      <c r="I323" s="14">
        <v>20</v>
      </c>
      <c r="J323" s="14" t="s">
        <v>283</v>
      </c>
      <c r="K323" s="14" t="s">
        <v>671</v>
      </c>
      <c r="L323" s="14" t="s">
        <v>672</v>
      </c>
      <c r="M323" s="14" t="s">
        <v>9158</v>
      </c>
      <c r="N323" s="14" t="s">
        <v>9158</v>
      </c>
      <c r="O323" s="6" t="s">
        <v>10061</v>
      </c>
      <c r="P323" s="14" t="s">
        <v>3455</v>
      </c>
      <c r="Q323" s="14">
        <v>1</v>
      </c>
    </row>
    <row r="324" spans="1:18">
      <c r="A324" s="9" t="s">
        <v>5901</v>
      </c>
      <c r="B324" s="14" t="s">
        <v>52</v>
      </c>
      <c r="C324" s="14" t="s">
        <v>101</v>
      </c>
      <c r="D324" s="14" t="s">
        <v>119</v>
      </c>
      <c r="E324" s="15" t="str">
        <f>HYPERLINK("https://stat100.ameba.jp/tnk47/ratio20/illustrations/card/ill_64953_0_yukatatokugawayoshinobu03.jpg?202003-5-RELEASE-marathon-461xxxxxx", "■")</f>
        <v>■</v>
      </c>
      <c r="F324" s="14" t="s">
        <v>2090</v>
      </c>
      <c r="G324" s="14">
        <v>124600</v>
      </c>
      <c r="H324" s="14">
        <v>134004</v>
      </c>
      <c r="I324" s="14">
        <v>20</v>
      </c>
      <c r="J324" s="14" t="s">
        <v>10</v>
      </c>
      <c r="K324" s="14" t="s">
        <v>2091</v>
      </c>
      <c r="L324" s="14" t="s">
        <v>2092</v>
      </c>
      <c r="M324" s="14" t="s">
        <v>9158</v>
      </c>
      <c r="N324" s="14" t="s">
        <v>9158</v>
      </c>
      <c r="O324" s="9" t="s">
        <v>2889</v>
      </c>
      <c r="P324" s="14" t="s">
        <v>2890</v>
      </c>
      <c r="Q324" s="14">
        <v>1</v>
      </c>
    </row>
    <row r="325" spans="1:18">
      <c r="A325" s="14" t="s">
        <v>5612</v>
      </c>
      <c r="B325" s="14" t="s">
        <v>52</v>
      </c>
      <c r="C325" s="14" t="s">
        <v>165</v>
      </c>
      <c r="D325" s="19" t="s">
        <v>789</v>
      </c>
      <c r="E325" s="15" t="str">
        <f>HYPERLINK("https://stat100.ameba.jp/tnk47/ratio20/illustrations/card/ill_49193_0_onmyoudouabenoseimei03.jpg?202003-5-RELEASE-marathon-461xxxxxx", "■")</f>
        <v>■</v>
      </c>
      <c r="F325" s="14" t="s">
        <v>1896</v>
      </c>
      <c r="G325" s="14">
        <v>111616</v>
      </c>
      <c r="H325" s="14">
        <v>125648</v>
      </c>
      <c r="I325" s="14">
        <v>20</v>
      </c>
      <c r="J325" s="14" t="s">
        <v>10</v>
      </c>
      <c r="K325" s="14" t="s">
        <v>1897</v>
      </c>
      <c r="L325" s="14" t="s">
        <v>1898</v>
      </c>
      <c r="M325" s="14" t="s">
        <v>9158</v>
      </c>
      <c r="N325" s="14" t="s">
        <v>9158</v>
      </c>
      <c r="O325" s="14" t="s">
        <v>9158</v>
      </c>
      <c r="P325" s="14" t="s">
        <v>9158</v>
      </c>
      <c r="Q325" s="14" t="s">
        <v>9158</v>
      </c>
    </row>
    <row r="326" spans="1:18">
      <c r="A326" s="14">
        <v>53993</v>
      </c>
      <c r="B326" s="14" t="s">
        <v>0</v>
      </c>
      <c r="C326" s="14" t="s">
        <v>205</v>
      </c>
      <c r="D326" s="19" t="s">
        <v>10704</v>
      </c>
      <c r="E326" s="15" t="str">
        <f>HYPERLINK("https://stat100.ameba.jp/tnk47/ratio20/illustrations/card/ill_53993_seiryumeguriakashirejina03.jpg?202003-5-RELEASE-marathon-461xxxxxx", "■")</f>
        <v>■</v>
      </c>
      <c r="F326" s="14" t="s">
        <v>7481</v>
      </c>
      <c r="G326" s="14">
        <v>100214</v>
      </c>
      <c r="H326" s="14">
        <v>93172</v>
      </c>
      <c r="I326" s="14">
        <v>26</v>
      </c>
      <c r="J326" s="14" t="s">
        <v>173</v>
      </c>
      <c r="K326" s="14" t="s">
        <v>7480</v>
      </c>
      <c r="L326" s="14" t="s">
        <v>7479</v>
      </c>
      <c r="M326" s="14" t="s">
        <v>9158</v>
      </c>
      <c r="N326" s="14" t="s">
        <v>9158</v>
      </c>
      <c r="O326" s="14" t="s">
        <v>9158</v>
      </c>
      <c r="P326" s="14" t="s">
        <v>9158</v>
      </c>
      <c r="Q326" s="14" t="s">
        <v>9158</v>
      </c>
    </row>
    <row r="327" spans="1:18">
      <c r="A327" s="9">
        <v>68103</v>
      </c>
      <c r="B327" s="14" t="s">
        <v>0</v>
      </c>
      <c r="C327" s="14" t="s">
        <v>185</v>
      </c>
      <c r="D327" s="14" t="s">
        <v>1928</v>
      </c>
      <c r="E327" s="15" t="str">
        <f>HYPERLINK("https://stat100.ameba.jp/tnk47/ratio20/illustrations/card/ill_68103_roritairohahime03.jpg?202003-5-RELEASE-marathon-461xxxxxx", "■")</f>
        <v>■</v>
      </c>
      <c r="F327" s="14" t="s">
        <v>1929</v>
      </c>
      <c r="G327" s="14">
        <v>94390</v>
      </c>
      <c r="H327" s="14">
        <v>101558</v>
      </c>
      <c r="I327" s="14">
        <v>26</v>
      </c>
      <c r="J327" s="14" t="s">
        <v>77</v>
      </c>
      <c r="K327" s="14" t="s">
        <v>1930</v>
      </c>
      <c r="L327" s="14" t="s">
        <v>969</v>
      </c>
      <c r="M327" s="14" t="s">
        <v>9158</v>
      </c>
      <c r="N327" s="14" t="s">
        <v>9158</v>
      </c>
      <c r="O327" s="14" t="s">
        <v>9158</v>
      </c>
      <c r="P327" s="14" t="s">
        <v>9158</v>
      </c>
      <c r="Q327" s="14" t="s">
        <v>9158</v>
      </c>
    </row>
    <row r="328" spans="1:18">
      <c r="A328" s="14">
        <v>84333</v>
      </c>
      <c r="B328" s="14" t="s">
        <v>0</v>
      </c>
      <c r="C328" s="14" t="s">
        <v>209</v>
      </c>
      <c r="D328" s="19" t="s">
        <v>10692</v>
      </c>
      <c r="E328" s="15" t="str">
        <f>HYPERLINK("https://stat100.ameba.jp/tnk47/ratio20/illustrations/card/ill_84333_otometeia03.jpg?202003-5-RELEASE-marathon-461xxxxxx", "■")</f>
        <v>■</v>
      </c>
      <c r="F328" s="14" t="s">
        <v>7401</v>
      </c>
      <c r="G328" s="14">
        <v>113630</v>
      </c>
      <c r="H328" s="14">
        <v>82318</v>
      </c>
      <c r="I328" s="14">
        <v>26</v>
      </c>
      <c r="J328" s="14" t="s">
        <v>16</v>
      </c>
      <c r="K328" s="14" t="s">
        <v>7399</v>
      </c>
      <c r="L328" s="14" t="s">
        <v>4046</v>
      </c>
      <c r="M328" s="14" t="s">
        <v>9158</v>
      </c>
      <c r="N328" s="14" t="s">
        <v>9158</v>
      </c>
      <c r="O328" s="19" t="s">
        <v>10129</v>
      </c>
      <c r="P328" s="14" t="s">
        <v>3581</v>
      </c>
      <c r="Q328" s="14">
        <v>1</v>
      </c>
    </row>
    <row r="329" spans="1:18">
      <c r="A329" s="9">
        <v>56593</v>
      </c>
      <c r="B329" s="14" t="s">
        <v>15</v>
      </c>
      <c r="C329" s="14" t="s">
        <v>185</v>
      </c>
      <c r="D329" s="14" t="s">
        <v>2479</v>
      </c>
      <c r="E329" s="15" t="str">
        <f>HYPERLINK("https://stat100.ameba.jp/tnk47/ratio20/illustrations/card/ill_56593_genjusodehagi03.jpg?202003-5-RELEASE-marathon-461xxxxxx", "■")</f>
        <v>■</v>
      </c>
      <c r="F329" s="14" t="s">
        <v>2480</v>
      </c>
      <c r="G329" s="14">
        <v>59144</v>
      </c>
      <c r="H329" s="14">
        <v>65208</v>
      </c>
      <c r="I329" s="14">
        <v>22</v>
      </c>
      <c r="J329" s="14" t="s">
        <v>38</v>
      </c>
      <c r="K329" s="14" t="s">
        <v>2481</v>
      </c>
      <c r="L329" s="14" t="s">
        <v>2482</v>
      </c>
      <c r="M329" s="14" t="s">
        <v>9158</v>
      </c>
      <c r="N329" s="14" t="s">
        <v>9158</v>
      </c>
      <c r="O329" s="14" t="s">
        <v>9158</v>
      </c>
      <c r="P329" s="14" t="s">
        <v>9158</v>
      </c>
      <c r="Q329" s="14" t="s">
        <v>9158</v>
      </c>
    </row>
    <row r="330" spans="1:18">
      <c r="A330" s="9">
        <v>57913</v>
      </c>
      <c r="B330" s="14" t="s">
        <v>15</v>
      </c>
      <c r="C330" s="14" t="s">
        <v>165</v>
      </c>
      <c r="D330" s="14" t="s">
        <v>1001</v>
      </c>
      <c r="E330" s="15" t="str">
        <f>HYPERLINK("https://stat100.ameba.jp/tnk47/ratio20/illustrations/card/ill_57913_otokuchurusahohime03.jpg?202003-5-RELEASE-marathon-461xxxxxx", "■")</f>
        <v>■</v>
      </c>
      <c r="F330" s="14" t="s">
        <v>1002</v>
      </c>
      <c r="G330" s="14">
        <v>59144</v>
      </c>
      <c r="H330" s="14">
        <v>65208</v>
      </c>
      <c r="I330" s="14">
        <v>22</v>
      </c>
      <c r="J330" s="14" t="s">
        <v>44</v>
      </c>
      <c r="K330" s="14" t="s">
        <v>1003</v>
      </c>
      <c r="L330" s="14" t="s">
        <v>1004</v>
      </c>
      <c r="M330" s="14" t="s">
        <v>9158</v>
      </c>
      <c r="N330" s="14" t="s">
        <v>9158</v>
      </c>
      <c r="O330" s="14" t="s">
        <v>9158</v>
      </c>
      <c r="P330" s="14" t="s">
        <v>9158</v>
      </c>
      <c r="Q330" s="14" t="s">
        <v>9158</v>
      </c>
    </row>
    <row r="331" spans="1:18">
      <c r="A331" s="14">
        <v>53673</v>
      </c>
      <c r="B331" s="14" t="s">
        <v>15</v>
      </c>
      <c r="C331" s="14" t="s">
        <v>205</v>
      </c>
      <c r="D331" s="19" t="s">
        <v>10395</v>
      </c>
      <c r="E331" s="15" t="str">
        <f>HYPERLINK("https://stat100.ameba.jp/tnk47/ratio20/illustrations/card/ill_53673_kanibaruizumonokuni03.jpg?202003-5-RELEASE-marathon-461xxxxxx", "■")</f>
        <v>■</v>
      </c>
      <c r="F331" s="14" t="s">
        <v>5813</v>
      </c>
      <c r="G331" s="14">
        <v>65208</v>
      </c>
      <c r="H331" s="14">
        <v>59144</v>
      </c>
      <c r="I331" s="14">
        <v>22</v>
      </c>
      <c r="J331" s="14" t="s">
        <v>10</v>
      </c>
      <c r="K331" s="14" t="s">
        <v>5814</v>
      </c>
      <c r="L331" s="14" t="s">
        <v>5815</v>
      </c>
      <c r="M331" s="14" t="s">
        <v>9158</v>
      </c>
      <c r="N331" s="14" t="s">
        <v>9158</v>
      </c>
      <c r="O331" s="14" t="s">
        <v>9158</v>
      </c>
      <c r="P331" s="14" t="s">
        <v>9158</v>
      </c>
      <c r="Q331" s="14" t="s">
        <v>9158</v>
      </c>
    </row>
    <row r="333" spans="1:18">
      <c r="A333" s="9" t="s">
        <v>11642</v>
      </c>
    </row>
    <row r="334" spans="1:18">
      <c r="A334" s="9" t="s">
        <v>11643</v>
      </c>
    </row>
    <row r="335" spans="1:18">
      <c r="A335" s="7" t="s">
        <v>8100</v>
      </c>
      <c r="B335" s="7" t="s">
        <v>117</v>
      </c>
      <c r="C335" s="7" t="s">
        <v>202</v>
      </c>
      <c r="D335" s="19" t="s">
        <v>10784</v>
      </c>
      <c r="E335" s="15" t="str">
        <f>HYPERLINK("https://stat100.ameba.jp/tnk47/ratio20/illustrations/card/ill_86013_0_somemonosansaishiki03.jpg?202003-5-RELEASE-marathon-461xxxxxx", "■")</f>
        <v>■</v>
      </c>
      <c r="F335" s="7" t="s">
        <v>8103</v>
      </c>
      <c r="G335" s="7">
        <v>349420</v>
      </c>
      <c r="H335" s="7">
        <v>315800</v>
      </c>
      <c r="I335" s="7">
        <v>30</v>
      </c>
      <c r="J335" s="7" t="s">
        <v>187</v>
      </c>
      <c r="K335" s="7" t="s">
        <v>8102</v>
      </c>
      <c r="L335" s="7" t="s">
        <v>8101</v>
      </c>
      <c r="M335" s="14" t="s">
        <v>9158</v>
      </c>
      <c r="N335" s="14" t="s">
        <v>9158</v>
      </c>
      <c r="O335" s="19" t="s">
        <v>10132</v>
      </c>
      <c r="P335" s="14" t="s">
        <v>3277</v>
      </c>
      <c r="Q335" s="14">
        <v>1</v>
      </c>
      <c r="R335" s="9" t="s">
        <v>11646</v>
      </c>
    </row>
    <row r="336" spans="1:18">
      <c r="A336" s="7" t="s">
        <v>11644</v>
      </c>
      <c r="B336" s="7" t="s">
        <v>117</v>
      </c>
      <c r="C336" s="7" t="s">
        <v>202</v>
      </c>
      <c r="D336" s="19" t="s">
        <v>10784</v>
      </c>
      <c r="E336" s="15" t="str">
        <f>HYPERLINK("https://stat100.ameba.jp/tnk47/ratio20/illustrations/card/ill_86012_0_somemonosansaishiki02.jpg?202003-5-RELEASE-marathon-461xxxxxx", "■")</f>
        <v>■</v>
      </c>
      <c r="F336" s="7" t="s">
        <v>8103</v>
      </c>
      <c r="G336" s="7">
        <v>292104</v>
      </c>
      <c r="H336" s="7">
        <v>261552</v>
      </c>
      <c r="I336" s="7">
        <v>30</v>
      </c>
      <c r="J336" s="7" t="s">
        <v>187</v>
      </c>
      <c r="K336" s="7" t="s">
        <v>8102</v>
      </c>
      <c r="L336" s="7" t="s">
        <v>4096</v>
      </c>
      <c r="M336" s="14" t="s">
        <v>9158</v>
      </c>
      <c r="N336" s="14" t="s">
        <v>9158</v>
      </c>
      <c r="O336" s="19" t="s">
        <v>10132</v>
      </c>
      <c r="P336" s="14" t="s">
        <v>3277</v>
      </c>
      <c r="Q336" s="14">
        <v>1</v>
      </c>
      <c r="R336" s="9" t="s">
        <v>11647</v>
      </c>
    </row>
    <row r="337" spans="1:18">
      <c r="A337" s="7" t="s">
        <v>11645</v>
      </c>
      <c r="B337" s="7" t="s">
        <v>117</v>
      </c>
      <c r="C337" s="7" t="s">
        <v>202</v>
      </c>
      <c r="D337" s="19" t="s">
        <v>10784</v>
      </c>
      <c r="E337" s="15" t="str">
        <f>HYPERLINK("https://stat100.ameba.jp/tnk47/ratio20/illustrations/card/ill_86011_0_somemonosansaishiki01.jpg?202003-5-RELEASE-marathon-461xxxxxx", "■")</f>
        <v>■</v>
      </c>
      <c r="F337" s="7" t="s">
        <v>8103</v>
      </c>
      <c r="G337" s="7">
        <v>223020</v>
      </c>
      <c r="H337" s="7">
        <v>201810</v>
      </c>
      <c r="I337" s="7">
        <v>30</v>
      </c>
      <c r="J337" s="7" t="s">
        <v>187</v>
      </c>
      <c r="K337" s="7" t="s">
        <v>8102</v>
      </c>
      <c r="L337" s="7" t="s">
        <v>1315</v>
      </c>
      <c r="M337" s="14" t="s">
        <v>9158</v>
      </c>
      <c r="N337" s="14" t="s">
        <v>9158</v>
      </c>
      <c r="O337" s="19" t="s">
        <v>10132</v>
      </c>
      <c r="P337" s="14" t="s">
        <v>3277</v>
      </c>
      <c r="Q337" s="14">
        <v>1</v>
      </c>
      <c r="R337" s="9" t="s">
        <v>11648</v>
      </c>
    </row>
    <row r="338" spans="1:18">
      <c r="A338" s="14">
        <v>81903</v>
      </c>
      <c r="B338" s="14" t="s">
        <v>334</v>
      </c>
      <c r="C338" s="14" t="s">
        <v>47</v>
      </c>
      <c r="D338" s="20" t="s">
        <v>10200</v>
      </c>
      <c r="E338" s="15" t="str">
        <f>HYPERLINK("https://stat100.ameba.jp/tnk47/ratio20/illustrations/card/ill_81903_kiryuhimeiren03.jpg?202003-5-RELEASE-marathon-461xxxxxx", "■")</f>
        <v>■</v>
      </c>
      <c r="F338" s="14" t="s">
        <v>4983</v>
      </c>
      <c r="G338" s="14">
        <v>85962</v>
      </c>
      <c r="H338" s="14">
        <v>118684</v>
      </c>
      <c r="I338" s="14">
        <v>26</v>
      </c>
      <c r="J338" s="14" t="s">
        <v>77</v>
      </c>
      <c r="K338" s="14" t="s">
        <v>4985</v>
      </c>
      <c r="L338" s="14" t="s">
        <v>4986</v>
      </c>
      <c r="M338" s="14" t="s">
        <v>9158</v>
      </c>
      <c r="N338" s="14" t="s">
        <v>9158</v>
      </c>
      <c r="O338" s="19" t="s">
        <v>10112</v>
      </c>
      <c r="P338" s="14" t="s">
        <v>13150</v>
      </c>
      <c r="Q338" s="14">
        <v>1</v>
      </c>
    </row>
    <row r="339" spans="1:18">
      <c r="A339" s="14">
        <v>81313</v>
      </c>
      <c r="B339" s="14" t="s">
        <v>0</v>
      </c>
      <c r="C339" s="14" t="s">
        <v>154</v>
      </c>
      <c r="D339" s="20" t="s">
        <v>10511</v>
      </c>
      <c r="E339" s="15" t="str">
        <f>HYPERLINK("https://stat100.ameba.jp/tnk47/ratio20/illustrations/card/ill_81313_harihara03.jpg?202003-5-RELEASE-marathon-461xxxxxx", "■")</f>
        <v>■</v>
      </c>
      <c r="F339" s="14" t="s">
        <v>4667</v>
      </c>
      <c r="G339" s="14">
        <v>172982</v>
      </c>
      <c r="H339" s="14">
        <v>125296</v>
      </c>
      <c r="I339" s="14">
        <v>26</v>
      </c>
      <c r="J339" s="14" t="s">
        <v>44</v>
      </c>
      <c r="K339" s="14" t="s">
        <v>4668</v>
      </c>
      <c r="L339" s="14" t="s">
        <v>4669</v>
      </c>
      <c r="M339" s="14" t="s">
        <v>9158</v>
      </c>
      <c r="N339" s="14" t="s">
        <v>9158</v>
      </c>
      <c r="O339" s="19" t="s">
        <v>10114</v>
      </c>
      <c r="P339" s="14" t="s">
        <v>3658</v>
      </c>
      <c r="Q339" s="14">
        <v>1</v>
      </c>
    </row>
    <row r="340" spans="1:18">
      <c r="A340" s="14">
        <v>84663</v>
      </c>
      <c r="B340" s="14" t="s">
        <v>334</v>
      </c>
      <c r="C340" s="14" t="s">
        <v>158</v>
      </c>
      <c r="D340" s="20" t="s">
        <v>10648</v>
      </c>
      <c r="E340" s="15" t="str">
        <f>HYPERLINK("https://stat100.ameba.jp/tnk47/ratio20/illustrations/card/ill_84663_juwannonefuerufuito03.jpg?202003-5-RELEASE-marathon-461xxxxxx", "■")</f>
        <v>■</v>
      </c>
      <c r="F340" s="14" t="s">
        <v>7095</v>
      </c>
      <c r="G340" s="14">
        <v>87834</v>
      </c>
      <c r="H340" s="14">
        <v>121240</v>
      </c>
      <c r="I340" s="14">
        <v>26</v>
      </c>
      <c r="J340" s="14" t="s">
        <v>182</v>
      </c>
      <c r="K340" s="14" t="s">
        <v>7094</v>
      </c>
      <c r="L340" s="14" t="s">
        <v>7093</v>
      </c>
      <c r="M340" s="14" t="s">
        <v>9158</v>
      </c>
      <c r="N340" s="14" t="s">
        <v>9158</v>
      </c>
      <c r="O340" s="19" t="s">
        <v>10091</v>
      </c>
      <c r="P340" s="14" t="s">
        <v>3670</v>
      </c>
      <c r="Q340" s="14">
        <v>1</v>
      </c>
    </row>
    <row r="341" spans="1:18">
      <c r="A341" s="14">
        <v>79513</v>
      </c>
      <c r="B341" s="14" t="s">
        <v>334</v>
      </c>
      <c r="C341" s="14" t="s">
        <v>209</v>
      </c>
      <c r="D341" s="19" t="s">
        <v>10404</v>
      </c>
      <c r="E341" s="15" t="str">
        <f>HYPERLINK("https://stat100.ameba.jp/tnk47/ratio20/illustrations/card/ill_79513_suzafuonia03.jpg?202003-5-RELEASE-marathon-461xxxxxx", "■")</f>
        <v>■</v>
      </c>
      <c r="F341" s="14" t="s">
        <v>3529</v>
      </c>
      <c r="G341" s="14">
        <v>82318</v>
      </c>
      <c r="H341" s="14">
        <v>113630</v>
      </c>
      <c r="I341" s="14">
        <v>26</v>
      </c>
      <c r="J341" s="14" t="s">
        <v>10</v>
      </c>
      <c r="K341" s="14" t="s">
        <v>3532</v>
      </c>
      <c r="L341" s="14" t="s">
        <v>12</v>
      </c>
      <c r="M341" s="14" t="s">
        <v>9158</v>
      </c>
      <c r="N341" s="14" t="s">
        <v>9158</v>
      </c>
      <c r="O341" s="19" t="s">
        <v>2917</v>
      </c>
      <c r="P341" s="14" t="s">
        <v>3531</v>
      </c>
      <c r="Q341" s="14">
        <v>1</v>
      </c>
    </row>
    <row r="342" spans="1:18">
      <c r="A342" s="14">
        <v>75893</v>
      </c>
      <c r="B342" s="14" t="s">
        <v>0</v>
      </c>
      <c r="C342" s="14" t="s">
        <v>158</v>
      </c>
      <c r="D342" s="19" t="s">
        <v>3095</v>
      </c>
      <c r="E342" s="15" t="str">
        <f>HYPERLINK("https://stat100.ameba.jp/tnk47/ratio20/illustrations/card/ill_75893_hamamatsutakuni03.jpg?202003-5-RELEASE-marathon-461xxxxxx", "■")</f>
        <v>■</v>
      </c>
      <c r="F342" s="14" t="s">
        <v>3594</v>
      </c>
      <c r="G342" s="14">
        <v>118000</v>
      </c>
      <c r="H342" s="14">
        <v>85492</v>
      </c>
      <c r="I342" s="14">
        <v>26</v>
      </c>
      <c r="J342" s="14" t="s">
        <v>16</v>
      </c>
      <c r="K342" s="14" t="s">
        <v>3595</v>
      </c>
      <c r="L342" s="14" t="s">
        <v>920</v>
      </c>
      <c r="M342" s="14" t="s">
        <v>9158</v>
      </c>
      <c r="N342" s="14" t="s">
        <v>9158</v>
      </c>
      <c r="O342" s="19" t="s">
        <v>3037</v>
      </c>
      <c r="P342" s="14" t="s">
        <v>13128</v>
      </c>
      <c r="Q342" s="14">
        <v>1</v>
      </c>
    </row>
    <row r="343" spans="1:18">
      <c r="A343" s="14">
        <v>63273</v>
      </c>
      <c r="B343" s="14" t="s">
        <v>334</v>
      </c>
      <c r="C343" s="14" t="s">
        <v>158</v>
      </c>
      <c r="D343" s="19" t="s">
        <v>828</v>
      </c>
      <c r="E343" s="15" t="str">
        <f>HYPERLINK("https://stat100.ameba.jp/tnk47/ratio20/illustrations/card/ill_63273_tsukushimai03.jpg?202003-5-RELEASE-marathon-461xxxxxx", "■")</f>
        <v>■</v>
      </c>
      <c r="F343" s="14" t="s">
        <v>1211</v>
      </c>
      <c r="G343" s="14">
        <v>132684</v>
      </c>
      <c r="H343" s="14">
        <v>96100</v>
      </c>
      <c r="I343" s="14">
        <v>26</v>
      </c>
      <c r="J343" s="14" t="s">
        <v>38</v>
      </c>
      <c r="K343" s="14" t="s">
        <v>1212</v>
      </c>
      <c r="L343" s="14" t="s">
        <v>1213</v>
      </c>
      <c r="M343" s="14" t="s">
        <v>9158</v>
      </c>
      <c r="N343" s="14" t="s">
        <v>9158</v>
      </c>
      <c r="O343" s="19" t="s">
        <v>10110</v>
      </c>
      <c r="P343" s="14" t="s">
        <v>13128</v>
      </c>
      <c r="Q343" s="14">
        <v>1</v>
      </c>
    </row>
    <row r="345" spans="1:18">
      <c r="A345" s="9" t="s">
        <v>115</v>
      </c>
    </row>
    <row r="346" spans="1:18">
      <c r="A346" s="9" t="s">
        <v>11649</v>
      </c>
    </row>
    <row r="347" spans="1:18">
      <c r="A347" s="14" t="s">
        <v>5615</v>
      </c>
      <c r="B347" s="14" t="s">
        <v>330</v>
      </c>
      <c r="C347" s="14" t="s">
        <v>206</v>
      </c>
      <c r="D347" s="19" t="s">
        <v>2814</v>
      </c>
      <c r="E347" s="15" t="str">
        <f>HYPERLINK("https://stat100.ameba.jp/tnk47/ratio20/illustrations/card/ill_57733_0_shogatsunisenjunanaamakusashiro03.jpg?202003-5-RELEASE-marathon-461xxxxxx", "■")</f>
        <v>■</v>
      </c>
      <c r="F347" s="14" t="s">
        <v>1016</v>
      </c>
      <c r="G347" s="14">
        <v>122776</v>
      </c>
      <c r="H347" s="14">
        <v>138212</v>
      </c>
      <c r="I347" s="14">
        <v>22</v>
      </c>
      <c r="J347" s="14" t="s">
        <v>10</v>
      </c>
      <c r="K347" s="14" t="s">
        <v>1017</v>
      </c>
      <c r="L347" s="14" t="s">
        <v>1018</v>
      </c>
      <c r="M347" s="14" t="s">
        <v>9158</v>
      </c>
      <c r="N347" s="14" t="s">
        <v>9158</v>
      </c>
      <c r="O347" s="19" t="s">
        <v>10077</v>
      </c>
      <c r="P347" s="14" t="s">
        <v>3062</v>
      </c>
      <c r="Q347" s="14">
        <v>1</v>
      </c>
    </row>
    <row r="348" spans="1:18">
      <c r="A348" s="14" t="s">
        <v>5650</v>
      </c>
      <c r="B348" s="14" t="s">
        <v>52</v>
      </c>
      <c r="C348" s="14" t="s">
        <v>23</v>
      </c>
      <c r="D348" s="19" t="s">
        <v>809</v>
      </c>
      <c r="E348" s="15" t="str">
        <f>HYPERLINK("https://stat100.ameba.jp/tnk47/ratio20/illustrations/card/ill_68033_0_kurisumasupateikandamyojin03.jpg?202003-5-RELEASE-marathon-461xxxxxx", "■")</f>
        <v>■</v>
      </c>
      <c r="F348" s="14" t="s">
        <v>1871</v>
      </c>
      <c r="G348" s="14">
        <v>139878</v>
      </c>
      <c r="H348" s="14">
        <v>150466</v>
      </c>
      <c r="I348" s="14">
        <v>22</v>
      </c>
      <c r="J348" s="14" t="s">
        <v>44</v>
      </c>
      <c r="K348" s="14" t="s">
        <v>1872</v>
      </c>
      <c r="L348" s="14" t="s">
        <v>1873</v>
      </c>
      <c r="M348" s="14" t="s">
        <v>9158</v>
      </c>
      <c r="N348" s="14" t="s">
        <v>9158</v>
      </c>
      <c r="O348" s="19" t="s">
        <v>2997</v>
      </c>
      <c r="P348" s="14" t="s">
        <v>3483</v>
      </c>
      <c r="Q348" s="14">
        <v>2</v>
      </c>
    </row>
    <row r="349" spans="1:18">
      <c r="A349" s="9" t="s">
        <v>5616</v>
      </c>
      <c r="B349" s="14" t="s">
        <v>330</v>
      </c>
      <c r="C349" s="14" t="s">
        <v>185</v>
      </c>
      <c r="D349" s="14" t="s">
        <v>638</v>
      </c>
      <c r="E349" s="15" t="str">
        <f>HYPERLINK("https://stat100.ameba.jp/tnk47/ratio20/illustrations/card/ill_44253_0_dokuganryudatemasamune03.jpg?202003-5-RELEASE-marathon-461xxxxxx", "■")</f>
        <v>■</v>
      </c>
      <c r="F349" s="14" t="s">
        <v>639</v>
      </c>
      <c r="G349" s="14">
        <v>120576</v>
      </c>
      <c r="H349" s="14">
        <v>128744</v>
      </c>
      <c r="I349" s="14">
        <v>22</v>
      </c>
      <c r="J349" s="14" t="s">
        <v>310</v>
      </c>
      <c r="K349" s="14" t="s">
        <v>640</v>
      </c>
      <c r="L349" s="14" t="s">
        <v>641</v>
      </c>
      <c r="M349" s="14" t="s">
        <v>9158</v>
      </c>
      <c r="N349" s="14" t="s">
        <v>9158</v>
      </c>
      <c r="O349" s="14" t="s">
        <v>9158</v>
      </c>
      <c r="P349" s="14" t="s">
        <v>9158</v>
      </c>
      <c r="Q349" s="14" t="s">
        <v>9158</v>
      </c>
    </row>
    <row r="350" spans="1:18">
      <c r="A350" s="16">
        <v>55993</v>
      </c>
      <c r="B350" s="14" t="s">
        <v>334</v>
      </c>
      <c r="C350" s="14" t="s">
        <v>307</v>
      </c>
      <c r="D350" s="19" t="s">
        <v>732</v>
      </c>
      <c r="E350" s="15" t="str">
        <f>HYPERLINK("https://stat100.ameba.jp/tnk47/ratio20/illustrations/card/ill_55993_taiyakichan03.jpg?202003-5-RELEASE-marathon-461xxxxxx", "■")</f>
        <v>■</v>
      </c>
      <c r="F350" s="14" t="s">
        <v>733</v>
      </c>
      <c r="G350" s="14">
        <v>85312</v>
      </c>
      <c r="H350" s="14">
        <v>151650</v>
      </c>
      <c r="I350" s="14">
        <v>26</v>
      </c>
      <c r="J350" s="14" t="s">
        <v>283</v>
      </c>
      <c r="K350" s="14" t="s">
        <v>734</v>
      </c>
      <c r="L350" s="14" t="s">
        <v>735</v>
      </c>
      <c r="M350" s="14" t="s">
        <v>9158</v>
      </c>
      <c r="N350" s="14" t="s">
        <v>9158</v>
      </c>
      <c r="O350" s="9" t="s">
        <v>9158</v>
      </c>
      <c r="P350" s="14" t="s">
        <v>9158</v>
      </c>
      <c r="Q350" s="14" t="s">
        <v>9158</v>
      </c>
    </row>
    <row r="351" spans="1:18">
      <c r="A351" s="9">
        <v>58283</v>
      </c>
      <c r="B351" s="14" t="s">
        <v>334</v>
      </c>
      <c r="C351" s="14" t="s">
        <v>308</v>
      </c>
      <c r="D351" s="14" t="s">
        <v>11650</v>
      </c>
      <c r="E351" s="15" t="str">
        <f>HYPERLINK("https://stat100.ameba.jp/tnk47/ratio20/illustrations/card/ill_58283_kyomai03.jpg?202003-5-RELEASE-marathon-461xxxxxx", "■")</f>
        <v>■</v>
      </c>
      <c r="F351" s="14" t="s">
        <v>551</v>
      </c>
      <c r="G351" s="14">
        <v>81098</v>
      </c>
      <c r="H351" s="14">
        <v>112808</v>
      </c>
      <c r="I351" s="14">
        <v>26</v>
      </c>
      <c r="J351" s="14" t="s">
        <v>369</v>
      </c>
      <c r="K351" s="14" t="s">
        <v>552</v>
      </c>
      <c r="L351" s="14" t="s">
        <v>553</v>
      </c>
      <c r="M351" s="14" t="s">
        <v>9158</v>
      </c>
      <c r="N351" s="14" t="s">
        <v>9158</v>
      </c>
      <c r="O351" s="14" t="s">
        <v>9158</v>
      </c>
      <c r="P351" s="14" t="s">
        <v>9158</v>
      </c>
      <c r="Q351" s="14" t="s">
        <v>9158</v>
      </c>
    </row>
    <row r="352" spans="1:18">
      <c r="A352" s="7">
        <v>72443</v>
      </c>
      <c r="B352" s="14" t="s">
        <v>334</v>
      </c>
      <c r="C352" s="14" t="s">
        <v>205</v>
      </c>
      <c r="D352" s="20" t="s">
        <v>3006</v>
      </c>
      <c r="E352" s="15" t="str">
        <f>HYPERLINK("https://stat100.ameba.jp/tnk47/ratio20/illustrations/card/ill_72443_uragamimasamune03.jpg?202003-5-RELEASE-marathon-461xxxxxx", "■")</f>
        <v>■</v>
      </c>
      <c r="F352" s="14" t="s">
        <v>8574</v>
      </c>
      <c r="G352" s="14">
        <v>110126</v>
      </c>
      <c r="H352" s="14">
        <v>118446</v>
      </c>
      <c r="I352" s="14">
        <v>26</v>
      </c>
      <c r="J352" s="14" t="s">
        <v>194</v>
      </c>
      <c r="K352" s="14" t="s">
        <v>8573</v>
      </c>
      <c r="L352" s="14" t="s">
        <v>8572</v>
      </c>
      <c r="M352" s="14" t="s">
        <v>9158</v>
      </c>
      <c r="N352" s="14" t="s">
        <v>9158</v>
      </c>
      <c r="O352" s="14" t="s">
        <v>9158</v>
      </c>
      <c r="P352" s="14" t="s">
        <v>9158</v>
      </c>
      <c r="Q352" s="14" t="s">
        <v>9158</v>
      </c>
    </row>
    <row r="353" spans="1:17">
      <c r="A353" s="14">
        <v>84263</v>
      </c>
      <c r="B353" s="14" t="s">
        <v>15</v>
      </c>
      <c r="C353" s="14" t="s">
        <v>191</v>
      </c>
      <c r="D353" s="19" t="s">
        <v>10671</v>
      </c>
      <c r="E353" s="15" t="str">
        <f>HYPERLINK("https://stat100.ameba.jp/tnk47/ratio20/illustrations/card/ill_84263_isotengu03.jpg?202003-5-RELEASE-marathon-461xxxxxx", "■")</f>
        <v>■</v>
      </c>
      <c r="F353" s="14" t="s">
        <v>7247</v>
      </c>
      <c r="G353" s="14">
        <v>59144</v>
      </c>
      <c r="H353" s="14">
        <v>65208</v>
      </c>
      <c r="I353" s="14">
        <v>22</v>
      </c>
      <c r="J353" s="14" t="s">
        <v>73</v>
      </c>
      <c r="K353" s="14" t="s">
        <v>7245</v>
      </c>
      <c r="L353" s="14" t="s">
        <v>1706</v>
      </c>
      <c r="M353" s="14" t="s">
        <v>9158</v>
      </c>
      <c r="N353" s="14" t="s">
        <v>9158</v>
      </c>
      <c r="O353" s="14" t="s">
        <v>9158</v>
      </c>
      <c r="P353" s="14" t="s">
        <v>9158</v>
      </c>
      <c r="Q353" s="14" t="s">
        <v>9158</v>
      </c>
    </row>
    <row r="354" spans="1:17">
      <c r="A354" s="14">
        <v>84043</v>
      </c>
      <c r="B354" s="14" t="s">
        <v>15</v>
      </c>
      <c r="C354" s="14" t="s">
        <v>185</v>
      </c>
      <c r="D354" s="19" t="s">
        <v>10534</v>
      </c>
      <c r="E354" s="15" t="str">
        <f>HYPERLINK("https://stat100.ameba.jp/tnk47/ratio20/illustrations/card/ill_84043_intonnambutsuruhime03.jpg?202003-5-RELEASE-marathon-461xxxxxx", "■")</f>
        <v>■</v>
      </c>
      <c r="F354" s="14" t="s">
        <v>6483</v>
      </c>
      <c r="G354" s="14">
        <v>59144</v>
      </c>
      <c r="H354" s="14">
        <v>65208</v>
      </c>
      <c r="I354" s="14">
        <v>22</v>
      </c>
      <c r="J354" s="14" t="s">
        <v>77</v>
      </c>
      <c r="K354" s="14" t="s">
        <v>5215</v>
      </c>
      <c r="L354" s="14" t="s">
        <v>973</v>
      </c>
      <c r="M354" s="14" t="s">
        <v>9158</v>
      </c>
      <c r="N354" s="14" t="s">
        <v>9158</v>
      </c>
      <c r="O354" s="14" t="s">
        <v>9158</v>
      </c>
      <c r="P354" s="14" t="s">
        <v>9158</v>
      </c>
      <c r="Q354" s="14" t="s">
        <v>9158</v>
      </c>
    </row>
    <row r="355" spans="1:17">
      <c r="A355" s="14">
        <v>44403</v>
      </c>
      <c r="B355" s="14" t="s">
        <v>15</v>
      </c>
      <c r="C355" s="14" t="s">
        <v>185</v>
      </c>
      <c r="D355" s="19" t="s">
        <v>11038</v>
      </c>
      <c r="E355" s="15" t="str">
        <f>HYPERLINK("https://stat100.ameba.jp/tnk47/ratio20/illustrations/card/ill_44403_sansho03.jpg?202003-5-RELEASE-marathon-461xxxxxx", "■")</f>
        <v>■</v>
      </c>
      <c r="F355" s="14" t="s">
        <v>11041</v>
      </c>
      <c r="G355" s="14">
        <v>59144</v>
      </c>
      <c r="H355" s="14">
        <v>65208</v>
      </c>
      <c r="I355" s="14">
        <v>22</v>
      </c>
      <c r="J355" s="14" t="s">
        <v>104</v>
      </c>
      <c r="K355" s="14" t="s">
        <v>11040</v>
      </c>
      <c r="L355" s="14" t="s">
        <v>11039</v>
      </c>
      <c r="M355" s="14" t="s">
        <v>9158</v>
      </c>
      <c r="N355" s="14" t="s">
        <v>9158</v>
      </c>
      <c r="O355" s="14" t="s">
        <v>9158</v>
      </c>
      <c r="P355" s="14" t="s">
        <v>9158</v>
      </c>
      <c r="Q355" s="14" t="s">
        <v>9158</v>
      </c>
    </row>
    <row r="357" spans="1:17">
      <c r="A357" s="9" t="s">
        <v>11653</v>
      </c>
    </row>
    <row r="358" spans="1:17">
      <c r="A358" s="9" t="s">
        <v>11654</v>
      </c>
    </row>
    <row r="359" spans="1:17">
      <c r="A359" s="14" t="s">
        <v>5733</v>
      </c>
      <c r="B359" s="14" t="s">
        <v>330</v>
      </c>
      <c r="C359" s="14" t="s">
        <v>202</v>
      </c>
      <c r="D359" s="19" t="s">
        <v>2744</v>
      </c>
      <c r="E359" s="15" t="str">
        <f>HYPERLINK("https://stat100.ameba.jp/tnk47/ratio20/illustrations/card/ill_78693_0_kyupittokoinomikoto03.jpg?202004-i_prefecture_active_user", "■")</f>
        <v>■</v>
      </c>
      <c r="F359" s="14" t="s">
        <v>2745</v>
      </c>
      <c r="G359" s="14">
        <v>251516</v>
      </c>
      <c r="H359" s="14">
        <v>278294</v>
      </c>
      <c r="I359" s="14">
        <v>24</v>
      </c>
      <c r="J359" s="14" t="s">
        <v>274</v>
      </c>
      <c r="K359" s="14" t="s">
        <v>2746</v>
      </c>
      <c r="L359" s="14" t="s">
        <v>2747</v>
      </c>
      <c r="M359" s="14" t="s">
        <v>9158</v>
      </c>
      <c r="N359" s="14" t="s">
        <v>9158</v>
      </c>
      <c r="O359" s="19" t="s">
        <v>10097</v>
      </c>
      <c r="P359" s="14" t="s">
        <v>2748</v>
      </c>
      <c r="Q359" s="14">
        <v>1</v>
      </c>
    </row>
    <row r="360" spans="1:17">
      <c r="A360" s="14">
        <v>81023</v>
      </c>
      <c r="B360" s="14" t="s">
        <v>334</v>
      </c>
      <c r="C360" s="14" t="s">
        <v>41</v>
      </c>
      <c r="D360" s="19" t="s">
        <v>10274</v>
      </c>
      <c r="E360" s="15" t="str">
        <f>HYPERLINK("https://stat100.ameba.jp/tnk47/ratio20/illustrations/card/ill_81023_momonokenki03.jpg?202004-i_prefecture_active_user", "■")</f>
        <v>■</v>
      </c>
      <c r="F360" s="14" t="s">
        <v>4088</v>
      </c>
      <c r="G360" s="14">
        <v>126858</v>
      </c>
      <c r="H360" s="14">
        <v>91876</v>
      </c>
      <c r="I360" s="14">
        <v>24</v>
      </c>
      <c r="J360" s="14" t="s">
        <v>143</v>
      </c>
      <c r="K360" s="14" t="s">
        <v>4089</v>
      </c>
      <c r="L360" s="14" t="s">
        <v>2049</v>
      </c>
      <c r="M360" s="14" t="s">
        <v>9158</v>
      </c>
      <c r="N360" s="14" t="s">
        <v>9158</v>
      </c>
      <c r="O360" s="19" t="s">
        <v>10096</v>
      </c>
      <c r="P360" s="14" t="s">
        <v>3245</v>
      </c>
      <c r="Q360" s="14">
        <v>1</v>
      </c>
    </row>
    <row r="361" spans="1:17">
      <c r="A361" s="14">
        <v>80743</v>
      </c>
      <c r="B361" s="14" t="s">
        <v>0</v>
      </c>
      <c r="C361" s="14" t="s">
        <v>209</v>
      </c>
      <c r="D361" s="19" t="s">
        <v>10414</v>
      </c>
      <c r="E361" s="15" t="str">
        <f>HYPERLINK("https://stat100.ameba.jp/tnk47/ratio20/illustrations/card/ill_80743_senseijutsushi03.jpg?202004-i_prefecture_active_user", "■")</f>
        <v>■</v>
      </c>
      <c r="F361" s="14" t="s">
        <v>4249</v>
      </c>
      <c r="G361" s="14">
        <v>75984</v>
      </c>
      <c r="H361" s="14">
        <v>104890</v>
      </c>
      <c r="I361" s="14">
        <v>24</v>
      </c>
      <c r="J361" s="14" t="s">
        <v>16</v>
      </c>
      <c r="K361" s="14" t="s">
        <v>4250</v>
      </c>
      <c r="L361" s="14" t="s">
        <v>4251</v>
      </c>
      <c r="M361" s="14" t="s">
        <v>9158</v>
      </c>
      <c r="N361" s="14" t="s">
        <v>9158</v>
      </c>
      <c r="O361" s="19" t="s">
        <v>10109</v>
      </c>
      <c r="P361" s="14" t="s">
        <v>3625</v>
      </c>
      <c r="Q361" s="14">
        <v>1</v>
      </c>
    </row>
    <row r="362" spans="1:17">
      <c r="A362" s="14">
        <v>68693</v>
      </c>
      <c r="B362" s="14" t="s">
        <v>334</v>
      </c>
      <c r="C362" s="14" t="s">
        <v>154</v>
      </c>
      <c r="D362" s="20" t="s">
        <v>10232</v>
      </c>
      <c r="E362" s="15" t="str">
        <f>HYPERLINK("https://stat100.ameba.jp/tnk47/ratio20/illustrations/card/ill_68693_mayoiga03.jpg?202004-i_prefecture_active_user", "■")</f>
        <v>■</v>
      </c>
      <c r="F362" s="14" t="s">
        <v>3466</v>
      </c>
      <c r="G362" s="14">
        <v>126858</v>
      </c>
      <c r="H362" s="14">
        <v>91876</v>
      </c>
      <c r="I362" s="14">
        <v>24</v>
      </c>
      <c r="J362" s="14" t="s">
        <v>73</v>
      </c>
      <c r="K362" s="14" t="s">
        <v>3467</v>
      </c>
      <c r="L362" s="14" t="s">
        <v>3468</v>
      </c>
      <c r="M362" s="14" t="s">
        <v>9158</v>
      </c>
      <c r="N362" s="14" t="s">
        <v>9158</v>
      </c>
      <c r="O362" s="19" t="s">
        <v>3037</v>
      </c>
      <c r="P362" s="14" t="s">
        <v>13128</v>
      </c>
      <c r="Q362" s="14">
        <v>1</v>
      </c>
    </row>
    <row r="364" spans="1:17">
      <c r="A364" s="9" t="s">
        <v>11651</v>
      </c>
    </row>
    <row r="365" spans="1:17">
      <c r="A365" s="9" t="s">
        <v>11652</v>
      </c>
    </row>
    <row r="366" spans="1:17">
      <c r="A366" s="14" t="s">
        <v>5618</v>
      </c>
      <c r="B366" s="14" t="s">
        <v>52</v>
      </c>
      <c r="C366" s="14" t="s">
        <v>23</v>
      </c>
      <c r="D366" s="19" t="s">
        <v>665</v>
      </c>
      <c r="E366" s="15" t="str">
        <f>HYPERLINK("https://stat100.ameba.jp/tnk47/ratio20/illustrations/card/ill_63173_0_minazukikonakaiteruko03.jpg?202004-i_prefecture_active_user", "■")</f>
        <v>■</v>
      </c>
      <c r="F366" s="14" t="s">
        <v>1188</v>
      </c>
      <c r="G366" s="14">
        <v>208310</v>
      </c>
      <c r="H366" s="14">
        <v>224026</v>
      </c>
      <c r="I366" s="14">
        <v>24</v>
      </c>
      <c r="J366" s="14" t="s">
        <v>143</v>
      </c>
      <c r="K366" s="14" t="s">
        <v>1189</v>
      </c>
      <c r="L366" s="14" t="s">
        <v>1190</v>
      </c>
      <c r="M366" s="14" t="s">
        <v>9158</v>
      </c>
      <c r="N366" s="14" t="s">
        <v>9158</v>
      </c>
      <c r="O366" s="19" t="s">
        <v>10079</v>
      </c>
      <c r="P366" s="14" t="s">
        <v>3329</v>
      </c>
      <c r="Q366" s="14">
        <v>1</v>
      </c>
    </row>
    <row r="367" spans="1:17">
      <c r="A367" s="14">
        <v>58743</v>
      </c>
      <c r="B367" s="14" t="s">
        <v>334</v>
      </c>
      <c r="C367" s="14" t="s">
        <v>209</v>
      </c>
      <c r="D367" s="20" t="s">
        <v>10273</v>
      </c>
      <c r="E367" s="15" t="str">
        <f>HYPERLINK("https://stat100.ameba.jp/tnk47/ratio20/illustrations/card/ill_58743_enkirienoki03.jpg?202004-i_prefecture_active_user", "■")</f>
        <v>■</v>
      </c>
      <c r="F367" s="14" t="s">
        <v>2550</v>
      </c>
      <c r="G367" s="14">
        <v>75651</v>
      </c>
      <c r="H367" s="14">
        <v>103176</v>
      </c>
      <c r="I367" s="14">
        <v>25</v>
      </c>
      <c r="J367" s="14" t="s">
        <v>44</v>
      </c>
      <c r="K367" s="14" t="s">
        <v>2551</v>
      </c>
      <c r="L367" s="14" t="s">
        <v>95</v>
      </c>
      <c r="M367" s="14" t="s">
        <v>9158</v>
      </c>
      <c r="N367" s="14" t="s">
        <v>9158</v>
      </c>
      <c r="O367" s="19" t="s">
        <v>10091</v>
      </c>
      <c r="P367" s="14" t="s">
        <v>3670</v>
      </c>
      <c r="Q367" s="14">
        <v>1</v>
      </c>
    </row>
    <row r="368" spans="1:17">
      <c r="A368" s="14">
        <v>77683</v>
      </c>
      <c r="B368" s="14" t="s">
        <v>0</v>
      </c>
      <c r="C368" s="14" t="s">
        <v>203</v>
      </c>
      <c r="D368" s="20" t="s">
        <v>10220</v>
      </c>
      <c r="E368" s="15" t="str">
        <f>HYPERLINK("https://stat100.ameba.jp/tnk47/ratio20/illustrations/card/ill_77683_shukusainoujohoride03.jpg?202004-i_prefecture_active_user", "■")</f>
        <v>■</v>
      </c>
      <c r="F368" s="14" t="s">
        <v>1430</v>
      </c>
      <c r="G368" s="14">
        <v>109259</v>
      </c>
      <c r="H368" s="14">
        <v>79151</v>
      </c>
      <c r="I368" s="14">
        <v>25</v>
      </c>
      <c r="J368" s="14" t="s">
        <v>315</v>
      </c>
      <c r="K368" s="14" t="s">
        <v>1431</v>
      </c>
      <c r="L368" s="14" t="s">
        <v>1432</v>
      </c>
      <c r="M368" s="14" t="s">
        <v>9158</v>
      </c>
      <c r="N368" s="14" t="s">
        <v>9158</v>
      </c>
      <c r="O368" s="19" t="s">
        <v>10090</v>
      </c>
      <c r="P368" s="14" t="s">
        <v>3460</v>
      </c>
      <c r="Q368" s="14">
        <v>1</v>
      </c>
    </row>
    <row r="369" spans="1:17">
      <c r="A369" s="14">
        <v>69533</v>
      </c>
      <c r="B369" s="14" t="s">
        <v>0</v>
      </c>
      <c r="C369" s="14" t="s">
        <v>101</v>
      </c>
      <c r="D369" s="20" t="s">
        <v>10418</v>
      </c>
      <c r="E369" s="15" t="str">
        <f>HYPERLINK("https://stat100.ameba.jp/tnk47/ratio20/illustrations/card/ill_69533_setsubunodainokata03.jpg?202004-i_prefecture_active_user", "■")</f>
        <v>■</v>
      </c>
      <c r="F369" s="14" t="s">
        <v>138</v>
      </c>
      <c r="G369" s="14">
        <v>97651</v>
      </c>
      <c r="H369" s="14">
        <v>90759</v>
      </c>
      <c r="I369" s="14">
        <v>25</v>
      </c>
      <c r="J369" s="14" t="s">
        <v>10</v>
      </c>
      <c r="K369" s="14" t="s">
        <v>139</v>
      </c>
      <c r="L369" s="14" t="s">
        <v>140</v>
      </c>
      <c r="M369" s="14" t="s">
        <v>9158</v>
      </c>
      <c r="N369" s="14" t="s">
        <v>9158</v>
      </c>
      <c r="O369" s="19" t="s">
        <v>10082</v>
      </c>
      <c r="P369" s="14" t="s">
        <v>13124</v>
      </c>
      <c r="Q369" s="14">
        <v>1</v>
      </c>
    </row>
    <row r="371" spans="1:17">
      <c r="A371" s="9" t="s">
        <v>1711</v>
      </c>
    </row>
    <row r="372" spans="1:17">
      <c r="A372" s="14" t="s">
        <v>3993</v>
      </c>
    </row>
    <row r="373" spans="1:17">
      <c r="A373" s="14" t="s">
        <v>5787</v>
      </c>
      <c r="B373" s="14" t="s">
        <v>330</v>
      </c>
      <c r="C373" s="14" t="s">
        <v>270</v>
      </c>
      <c r="D373" s="19" t="s">
        <v>331</v>
      </c>
      <c r="E373" s="15" t="str">
        <f>HYPERLINK("https://stat100.ameba.jp/tnk47/ratio20/illustrations/card/ill_76303_0_haroinkaguya03.jpg?202004-i_prefecture_active_user", "■")</f>
        <v>■</v>
      </c>
      <c r="F373" s="14" t="s">
        <v>332</v>
      </c>
      <c r="G373" s="14">
        <v>285614</v>
      </c>
      <c r="H373" s="14">
        <v>265526</v>
      </c>
      <c r="I373" s="14">
        <v>24</v>
      </c>
      <c r="J373" s="14" t="s">
        <v>274</v>
      </c>
      <c r="K373" s="14" t="s">
        <v>333</v>
      </c>
      <c r="L373" s="14" t="s">
        <v>276</v>
      </c>
      <c r="M373" s="14" t="s">
        <v>9158</v>
      </c>
      <c r="N373" s="14" t="s">
        <v>9158</v>
      </c>
      <c r="O373" s="19" t="s">
        <v>2976</v>
      </c>
      <c r="P373" s="14" t="s">
        <v>2724</v>
      </c>
      <c r="Q373" s="14">
        <v>1</v>
      </c>
    </row>
    <row r="374" spans="1:17">
      <c r="A374" s="14" t="s">
        <v>5822</v>
      </c>
      <c r="B374" s="14" t="s">
        <v>330</v>
      </c>
      <c r="C374" s="14" t="s">
        <v>307</v>
      </c>
      <c r="D374" s="20" t="s">
        <v>306</v>
      </c>
      <c r="E374" s="15" t="str">
        <f>HYPERLINK("https://stat100.ameba.jp/tnk47/ratio20/illustrations/card/ill_71403_0_ohanamisanadayukimura03.jpg?202004-i_prefecture_active_user", "■")</f>
        <v>■</v>
      </c>
      <c r="F374" s="14" t="s">
        <v>309</v>
      </c>
      <c r="G374" s="14">
        <v>224026</v>
      </c>
      <c r="H374" s="14">
        <v>208310</v>
      </c>
      <c r="I374" s="14">
        <v>24</v>
      </c>
      <c r="J374" s="14" t="s">
        <v>310</v>
      </c>
      <c r="K374" s="14" t="s">
        <v>311</v>
      </c>
      <c r="L374" s="14" t="s">
        <v>312</v>
      </c>
      <c r="M374" s="14" t="s">
        <v>9158</v>
      </c>
      <c r="N374" s="14" t="s">
        <v>9158</v>
      </c>
      <c r="O374" s="19" t="s">
        <v>10104</v>
      </c>
      <c r="P374" s="14" t="s">
        <v>3418</v>
      </c>
      <c r="Q374" s="14">
        <v>2</v>
      </c>
    </row>
    <row r="375" spans="1:17">
      <c r="A375" s="14" t="s">
        <v>5897</v>
      </c>
      <c r="B375" s="14" t="s">
        <v>52</v>
      </c>
      <c r="C375" s="14" t="s">
        <v>23</v>
      </c>
      <c r="D375" s="20" t="s">
        <v>277</v>
      </c>
      <c r="E375" s="15" t="str">
        <f>HYPERLINK("https://stat100.ameba.jp/tnk47/ratio20/illustrations/card/ill_40913_0_reigyokudensetsufusehime03.jpg?202004-i_prefecture_active_user", "■")</f>
        <v>■</v>
      </c>
      <c r="F375" s="14" t="s">
        <v>955</v>
      </c>
      <c r="G375" s="14">
        <v>131538</v>
      </c>
      <c r="H375" s="14">
        <v>140448</v>
      </c>
      <c r="I375" s="14">
        <v>24</v>
      </c>
      <c r="J375" s="14" t="s">
        <v>38</v>
      </c>
      <c r="K375" s="14" t="s">
        <v>956</v>
      </c>
      <c r="L375" s="14" t="s">
        <v>957</v>
      </c>
      <c r="M375" s="14" t="s">
        <v>9158</v>
      </c>
      <c r="N375" s="14" t="s">
        <v>9158</v>
      </c>
      <c r="O375" s="14" t="s">
        <v>9158</v>
      </c>
      <c r="P375" s="14" t="s">
        <v>9158</v>
      </c>
      <c r="Q375" s="14" t="s">
        <v>9158</v>
      </c>
    </row>
    <row r="376" spans="1:17">
      <c r="A376" s="9">
        <v>87903</v>
      </c>
      <c r="B376" s="9" t="s">
        <v>0</v>
      </c>
      <c r="C376" s="9" t="s">
        <v>185</v>
      </c>
      <c r="D376" s="9" t="s">
        <v>11595</v>
      </c>
      <c r="E376" s="15" t="str">
        <f>HYPERLINK("https://stat100.ameba.jp/tnk47/ratio20/illustrations/card/ill_87903_kyupiddotominushihime03.jpg?202004-i_prefecture_active_user", "■")</f>
        <v>■</v>
      </c>
      <c r="F376" s="9" t="s">
        <v>11596</v>
      </c>
      <c r="G376" s="9">
        <v>101971</v>
      </c>
      <c r="H376" s="9">
        <v>94802</v>
      </c>
      <c r="I376" s="9">
        <v>25</v>
      </c>
      <c r="J376" s="9" t="s">
        <v>169</v>
      </c>
      <c r="K376" s="9" t="s">
        <v>4143</v>
      </c>
      <c r="L376" s="9" t="s">
        <v>13231</v>
      </c>
      <c r="M376" s="14" t="s">
        <v>9158</v>
      </c>
      <c r="N376" s="14" t="s">
        <v>9158</v>
      </c>
      <c r="O376" s="14" t="s">
        <v>9158</v>
      </c>
      <c r="P376" s="14" t="s">
        <v>9158</v>
      </c>
      <c r="Q376" s="14" t="s">
        <v>9158</v>
      </c>
    </row>
    <row r="377" spans="1:17">
      <c r="A377" s="9">
        <v>87913</v>
      </c>
      <c r="B377" s="9" t="s">
        <v>15</v>
      </c>
      <c r="C377" s="9" t="s">
        <v>191</v>
      </c>
      <c r="D377" s="9" t="s">
        <v>11598</v>
      </c>
      <c r="E377" s="15" t="str">
        <f>HYPERLINK("https://stat100.ameba.jp/tnk47/ratio20/illustrations/card/ill_87913_winechan03.jpg?202004-i_prefecture_active_user", "■")</f>
        <v>■</v>
      </c>
      <c r="F377" s="9" t="s">
        <v>11601</v>
      </c>
      <c r="G377" s="9">
        <v>67210</v>
      </c>
      <c r="H377" s="9">
        <v>74100</v>
      </c>
      <c r="I377" s="9">
        <v>25</v>
      </c>
      <c r="J377" s="9" t="s">
        <v>216</v>
      </c>
      <c r="K377" s="9" t="s">
        <v>11602</v>
      </c>
      <c r="L377" s="9" t="s">
        <v>13232</v>
      </c>
      <c r="M377" s="14" t="s">
        <v>9158</v>
      </c>
      <c r="N377" s="14" t="s">
        <v>9158</v>
      </c>
      <c r="O377" s="14" t="s">
        <v>9158</v>
      </c>
      <c r="P377" s="14" t="s">
        <v>9158</v>
      </c>
      <c r="Q377" s="14" t="s">
        <v>9158</v>
      </c>
    </row>
    <row r="378" spans="1:17">
      <c r="A378" s="9">
        <v>87923</v>
      </c>
      <c r="B378" s="9" t="s">
        <v>22</v>
      </c>
      <c r="C378" s="9" t="s">
        <v>206</v>
      </c>
      <c r="D378" s="9" t="s">
        <v>11599</v>
      </c>
      <c r="E378" s="15" t="str">
        <f>HYPERLINK("https://stat100.ameba.jp/tnk47/ratio20/illustrations/card/ill_87923_howaitodekukki03.jpg?202004-i_prefecture_active_user", "■")</f>
        <v>■</v>
      </c>
      <c r="F378" s="9" t="s">
        <v>11603</v>
      </c>
      <c r="G378" s="9">
        <v>51980</v>
      </c>
      <c r="H378" s="9">
        <v>43220</v>
      </c>
      <c r="I378" s="9">
        <v>25</v>
      </c>
      <c r="J378" s="9" t="s">
        <v>216</v>
      </c>
      <c r="K378" s="9" t="s">
        <v>11604</v>
      </c>
      <c r="L378" s="9" t="s">
        <v>13233</v>
      </c>
      <c r="M378" s="14" t="s">
        <v>9158</v>
      </c>
      <c r="N378" s="14" t="s">
        <v>9158</v>
      </c>
      <c r="O378" s="14" t="s">
        <v>9158</v>
      </c>
      <c r="P378" s="14" t="s">
        <v>9158</v>
      </c>
      <c r="Q378" s="14" t="s">
        <v>9158</v>
      </c>
    </row>
    <row r="379" spans="1:17">
      <c r="A379" s="9">
        <v>87933</v>
      </c>
      <c r="B379" s="9" t="s">
        <v>30</v>
      </c>
      <c r="C379" s="9" t="s">
        <v>205</v>
      </c>
      <c r="D379" s="9" t="s">
        <v>11600</v>
      </c>
      <c r="E379" s="15" t="str">
        <f>HYPERLINK("https://stat100.ameba.jp/tnk47/ratio20/illustrations/card/ill_87933_akashaguma03.jpg?202004-i_prefecture_active_user", "■")</f>
        <v>■</v>
      </c>
      <c r="F379" s="9" t="s">
        <v>11605</v>
      </c>
      <c r="G379" s="9">
        <v>26430</v>
      </c>
      <c r="H379" s="9">
        <v>31470</v>
      </c>
      <c r="I379" s="9">
        <v>25</v>
      </c>
      <c r="J379" s="9" t="s">
        <v>182</v>
      </c>
      <c r="K379" s="9" t="s">
        <v>11606</v>
      </c>
      <c r="L379" s="9" t="s">
        <v>13234</v>
      </c>
      <c r="M379" s="14" t="s">
        <v>9158</v>
      </c>
      <c r="N379" s="14" t="s">
        <v>9158</v>
      </c>
      <c r="O379" s="14" t="s">
        <v>9158</v>
      </c>
      <c r="P379" s="14" t="s">
        <v>9158</v>
      </c>
      <c r="Q379" s="14" t="s">
        <v>9158</v>
      </c>
    </row>
    <row r="381" spans="1:17">
      <c r="A381" s="14" t="s">
        <v>3916</v>
      </c>
      <c r="B381" s="14"/>
      <c r="C381" s="14"/>
      <c r="D381" s="14"/>
      <c r="E381" s="14"/>
      <c r="F381" s="14"/>
      <c r="G381" s="14"/>
      <c r="H381" s="14"/>
      <c r="I381" s="14"/>
      <c r="J381" s="14"/>
      <c r="K381" s="14"/>
      <c r="L381" s="14"/>
      <c r="M381" s="14"/>
      <c r="N381" s="14"/>
      <c r="O381" s="14"/>
      <c r="P381" s="14"/>
      <c r="Q381" s="14"/>
    </row>
    <row r="382" spans="1:17">
      <c r="A382" s="14" t="s">
        <v>11698</v>
      </c>
      <c r="B382" s="14"/>
      <c r="C382" s="14"/>
      <c r="D382" s="14"/>
      <c r="E382" s="14"/>
      <c r="F382" s="14"/>
      <c r="G382" s="14"/>
      <c r="H382" s="14"/>
      <c r="I382" s="14"/>
      <c r="J382" s="14"/>
      <c r="K382" s="14"/>
      <c r="L382" s="14"/>
      <c r="M382" s="14"/>
      <c r="N382" s="14"/>
      <c r="O382" s="14"/>
      <c r="P382" s="14"/>
      <c r="Q382" s="14"/>
    </row>
    <row r="383" spans="1:17">
      <c r="A383" s="14">
        <v>62203</v>
      </c>
      <c r="B383" s="14" t="s">
        <v>334</v>
      </c>
      <c r="C383" s="14" t="s">
        <v>154</v>
      </c>
      <c r="D383" s="20" t="s">
        <v>3039</v>
      </c>
      <c r="E383" s="15" t="str">
        <f>HYPERLINK("https://stat100.ameba.jp/tnk47/ratio20/illustrations/card/ill_62203_keishoimmasahime03.jpg?202004-i_prefecture_active_user", "■")</f>
        <v>■</v>
      </c>
      <c r="F383" s="14" t="s">
        <v>2261</v>
      </c>
      <c r="G383" s="14">
        <v>104266</v>
      </c>
      <c r="H383" s="14">
        <v>112140</v>
      </c>
      <c r="I383" s="14">
        <v>26</v>
      </c>
      <c r="J383" s="14" t="s">
        <v>77</v>
      </c>
      <c r="K383" s="14" t="s">
        <v>2262</v>
      </c>
      <c r="L383" s="14" t="s">
        <v>2263</v>
      </c>
      <c r="M383" s="14" t="s">
        <v>9158</v>
      </c>
      <c r="N383" s="14" t="s">
        <v>9158</v>
      </c>
      <c r="O383" s="14" t="s">
        <v>9158</v>
      </c>
      <c r="P383" s="14" t="s">
        <v>9158</v>
      </c>
      <c r="Q383" s="14" t="s">
        <v>9158</v>
      </c>
    </row>
    <row r="384" spans="1:17">
      <c r="A384" s="14">
        <v>69723</v>
      </c>
      <c r="B384" s="14" t="s">
        <v>334</v>
      </c>
      <c r="C384" s="14" t="s">
        <v>158</v>
      </c>
      <c r="D384" s="20" t="s">
        <v>3042</v>
      </c>
      <c r="E384" s="15" t="str">
        <f>HYPERLINK("https://stat100.ameba.jp/tnk47/ratio20/illustrations/card/ill_69723_nakaurajurian03.jpg?202004-i_prefecture_active_user", "■")</f>
        <v>■</v>
      </c>
      <c r="F384" s="14" t="s">
        <v>2257</v>
      </c>
      <c r="G384" s="14">
        <v>104266</v>
      </c>
      <c r="H384" s="14">
        <v>112140</v>
      </c>
      <c r="I384" s="14">
        <v>26</v>
      </c>
      <c r="J384" s="14" t="s">
        <v>173</v>
      </c>
      <c r="K384" s="14" t="s">
        <v>2258</v>
      </c>
      <c r="L384" s="14" t="s">
        <v>2259</v>
      </c>
      <c r="M384" s="14" t="s">
        <v>9158</v>
      </c>
      <c r="N384" s="14" t="s">
        <v>9158</v>
      </c>
      <c r="O384" s="14" t="s">
        <v>9158</v>
      </c>
      <c r="P384" s="14" t="s">
        <v>9158</v>
      </c>
      <c r="Q384" s="14" t="s">
        <v>9158</v>
      </c>
    </row>
    <row r="385" spans="1:19">
      <c r="A385" s="14">
        <v>76483</v>
      </c>
      <c r="B385" s="14" t="s">
        <v>334</v>
      </c>
      <c r="C385" s="14" t="s">
        <v>307</v>
      </c>
      <c r="D385" s="20" t="s">
        <v>589</v>
      </c>
      <c r="E385" s="15" t="str">
        <f>HYPERLINK("https://stat100.ameba.jp/tnk47/ratio20/illustrations/card/ill_76483_yukemurimizuhanome03.jpg?202004-i_prefecture_active_user", "■")</f>
        <v>■</v>
      </c>
      <c r="F385" s="14" t="s">
        <v>590</v>
      </c>
      <c r="G385" s="14">
        <v>106050</v>
      </c>
      <c r="H385" s="14">
        <v>98594</v>
      </c>
      <c r="I385" s="14">
        <v>26</v>
      </c>
      <c r="J385" s="14" t="s">
        <v>401</v>
      </c>
      <c r="K385" s="14" t="s">
        <v>591</v>
      </c>
      <c r="L385" s="14" t="s">
        <v>592</v>
      </c>
      <c r="M385" s="14" t="s">
        <v>9158</v>
      </c>
      <c r="N385" s="14" t="s">
        <v>9158</v>
      </c>
      <c r="O385" s="14" t="s">
        <v>9158</v>
      </c>
      <c r="P385" s="14" t="s">
        <v>9158</v>
      </c>
      <c r="Q385" s="14" t="s">
        <v>9158</v>
      </c>
    </row>
    <row r="386" spans="1:19">
      <c r="A386" s="14">
        <v>70023</v>
      </c>
      <c r="B386" s="14" t="s">
        <v>334</v>
      </c>
      <c r="C386" s="14" t="s">
        <v>344</v>
      </c>
      <c r="D386" s="20" t="s">
        <v>10230</v>
      </c>
      <c r="E386" s="15" t="str">
        <f>HYPERLINK("https://stat100.ameba.jp/tnk47/ratio20/illustrations/card/ill_70023_yukinoukokunabeshimanobakeneko03.jpg?202004-i_prefecture_active_user", "■")</f>
        <v>■</v>
      </c>
      <c r="F386" s="14" t="s">
        <v>769</v>
      </c>
      <c r="G386" s="14">
        <v>100744</v>
      </c>
      <c r="H386" s="14">
        <v>108330</v>
      </c>
      <c r="I386" s="14">
        <v>26</v>
      </c>
      <c r="J386" s="14" t="s">
        <v>320</v>
      </c>
      <c r="K386" s="14" t="s">
        <v>770</v>
      </c>
      <c r="L386" s="14" t="s">
        <v>771</v>
      </c>
      <c r="M386" s="14" t="s">
        <v>9158</v>
      </c>
      <c r="N386" s="14" t="s">
        <v>9158</v>
      </c>
      <c r="O386" s="14" t="s">
        <v>9158</v>
      </c>
      <c r="P386" s="14" t="s">
        <v>9158</v>
      </c>
      <c r="Q386" s="14" t="s">
        <v>9158</v>
      </c>
    </row>
    <row r="387" spans="1:19">
      <c r="A387" s="14">
        <v>52733</v>
      </c>
      <c r="B387" s="14" t="s">
        <v>15</v>
      </c>
      <c r="C387" s="14" t="s">
        <v>185</v>
      </c>
      <c r="D387" s="20" t="s">
        <v>10491</v>
      </c>
      <c r="E387" s="15" t="str">
        <f>HYPERLINK("https://stat100.ameba.jp/tnk47/ratio20/illustrations/card/ill_52733_sekkinambutsuruhime03.jpg?202004-i_prefecture_active_user", "■")</f>
        <v>■</v>
      </c>
      <c r="F387" s="14" t="s">
        <v>6246</v>
      </c>
      <c r="G387" s="14">
        <v>69898</v>
      </c>
      <c r="H387" s="14">
        <v>77064</v>
      </c>
      <c r="I387" s="14">
        <v>26</v>
      </c>
      <c r="J387" s="14" t="s">
        <v>77</v>
      </c>
      <c r="K387" s="14" t="s">
        <v>6248</v>
      </c>
      <c r="L387" s="14" t="s">
        <v>6249</v>
      </c>
      <c r="M387" s="14" t="s">
        <v>9158</v>
      </c>
      <c r="N387" s="14" t="s">
        <v>9158</v>
      </c>
      <c r="O387" s="14" t="s">
        <v>9158</v>
      </c>
      <c r="P387" s="14" t="s">
        <v>9158</v>
      </c>
      <c r="Q387" s="14" t="s">
        <v>9158</v>
      </c>
    </row>
    <row r="388" spans="1:19">
      <c r="A388" s="14">
        <v>54003</v>
      </c>
      <c r="B388" s="14" t="s">
        <v>15</v>
      </c>
      <c r="C388" s="14" t="s">
        <v>200</v>
      </c>
      <c r="D388" s="20" t="s">
        <v>10492</v>
      </c>
      <c r="E388" s="15" t="str">
        <f>HYPERLINK("https://stat100.ameba.jp/tnk47/ratio20/illustrations/card/ill_54003_seiryumegurihiguchiichiyo03.jpg?202004-i_prefecture_active_user", "■")</f>
        <v>■</v>
      </c>
      <c r="F388" s="14" t="s">
        <v>6250</v>
      </c>
      <c r="G388" s="14">
        <v>77064</v>
      </c>
      <c r="H388" s="14">
        <v>69898</v>
      </c>
      <c r="I388" s="14">
        <v>26</v>
      </c>
      <c r="J388" s="14" t="s">
        <v>10</v>
      </c>
      <c r="K388" s="14" t="s">
        <v>6252</v>
      </c>
      <c r="L388" s="14" t="s">
        <v>6253</v>
      </c>
      <c r="M388" s="14" t="s">
        <v>9158</v>
      </c>
      <c r="N388" s="14" t="s">
        <v>9158</v>
      </c>
      <c r="O388" s="14" t="s">
        <v>9158</v>
      </c>
      <c r="P388" s="14" t="s">
        <v>9158</v>
      </c>
      <c r="Q388" s="14" t="s">
        <v>9158</v>
      </c>
    </row>
    <row r="389" spans="1:19">
      <c r="A389" s="14">
        <v>51833</v>
      </c>
      <c r="B389" s="14" t="s">
        <v>15</v>
      </c>
      <c r="C389" s="14" t="s">
        <v>205</v>
      </c>
      <c r="D389" s="20" t="s">
        <v>10493</v>
      </c>
      <c r="E389" s="15" t="str">
        <f>HYPERLINK("https://stat100.ameba.jp/tnk47/ratio20/illustrations/card/ill_51833_jukimakitsuhikonomikoto03.jpg?202004-i_prefecture_active_user", "■")</f>
        <v>■</v>
      </c>
      <c r="F389" s="14" t="s">
        <v>6254</v>
      </c>
      <c r="G389" s="14">
        <v>77064</v>
      </c>
      <c r="H389" s="14">
        <v>69898</v>
      </c>
      <c r="I389" s="14">
        <v>26</v>
      </c>
      <c r="J389" s="14" t="s">
        <v>44</v>
      </c>
      <c r="K389" s="14" t="s">
        <v>6257</v>
      </c>
      <c r="L389" s="14" t="s">
        <v>6256</v>
      </c>
      <c r="M389" s="14" t="s">
        <v>9158</v>
      </c>
      <c r="N389" s="14" t="s">
        <v>9158</v>
      </c>
      <c r="O389" s="14" t="s">
        <v>9158</v>
      </c>
      <c r="P389" s="14" t="s">
        <v>9158</v>
      </c>
      <c r="Q389" s="14" t="s">
        <v>9158</v>
      </c>
    </row>
    <row r="390" spans="1:19">
      <c r="A390" s="14">
        <v>53203</v>
      </c>
      <c r="B390" s="14" t="s">
        <v>15</v>
      </c>
      <c r="C390" s="14" t="s">
        <v>165</v>
      </c>
      <c r="D390" s="20" t="s">
        <v>10494</v>
      </c>
      <c r="E390" s="15" t="str">
        <f>HYPERLINK("https://stat100.ameba.jp/tnk47/ratio20/illustrations/card/ill_53203_buruhawaichan03.jpg?202004-i_prefecture_active_user", "■")</f>
        <v>■</v>
      </c>
      <c r="F390" s="14" t="s">
        <v>6258</v>
      </c>
      <c r="G390" s="14">
        <v>69898</v>
      </c>
      <c r="H390" s="14">
        <v>77064</v>
      </c>
      <c r="I390" s="14">
        <v>26</v>
      </c>
      <c r="J390" s="14" t="s">
        <v>104</v>
      </c>
      <c r="K390" s="14" t="s">
        <v>6261</v>
      </c>
      <c r="L390" s="14" t="s">
        <v>6260</v>
      </c>
      <c r="M390" s="14" t="s">
        <v>9158</v>
      </c>
      <c r="N390" s="14" t="s">
        <v>9158</v>
      </c>
      <c r="O390" s="14" t="s">
        <v>9158</v>
      </c>
      <c r="P390" s="14" t="s">
        <v>9158</v>
      </c>
      <c r="Q390" s="14" t="s">
        <v>9158</v>
      </c>
    </row>
    <row r="392" spans="1:19">
      <c r="A392" s="9" t="s">
        <v>208</v>
      </c>
    </row>
    <row r="393" spans="1:19">
      <c r="A393" s="14" t="s">
        <v>4015</v>
      </c>
    </row>
    <row r="394" spans="1:19">
      <c r="A394" s="14" t="s">
        <v>5614</v>
      </c>
      <c r="B394" s="14" t="s">
        <v>330</v>
      </c>
      <c r="C394" s="14" t="s">
        <v>267</v>
      </c>
      <c r="D394" s="19" t="s">
        <v>313</v>
      </c>
      <c r="E394" s="15" t="str">
        <f>HYPERLINK("https://stat100.ameba.jp/tnk47/ratio20/illustrations/card/ill_56223_0_onsempanikkugohime03.jpg?202004-i_prefecture_active_user", "■")</f>
        <v>■</v>
      </c>
      <c r="F394" s="14" t="s">
        <v>314</v>
      </c>
      <c r="G394" s="14">
        <v>111616</v>
      </c>
      <c r="H394" s="14">
        <v>125648</v>
      </c>
      <c r="I394" s="14">
        <v>20</v>
      </c>
      <c r="J394" s="14" t="s">
        <v>315</v>
      </c>
      <c r="K394" s="14" t="s">
        <v>316</v>
      </c>
      <c r="L394" s="14" t="s">
        <v>317</v>
      </c>
      <c r="M394" s="14" t="s">
        <v>9158</v>
      </c>
      <c r="N394" s="14" t="s">
        <v>9158</v>
      </c>
      <c r="O394" s="19" t="s">
        <v>3021</v>
      </c>
      <c r="P394" s="14" t="s">
        <v>2890</v>
      </c>
      <c r="Q394" s="14">
        <v>1</v>
      </c>
    </row>
    <row r="395" spans="1:19">
      <c r="A395" s="9">
        <v>69593</v>
      </c>
      <c r="B395" s="14" t="s">
        <v>52</v>
      </c>
      <c r="C395" s="14" t="s">
        <v>185</v>
      </c>
      <c r="D395" s="14" t="s">
        <v>2430</v>
      </c>
      <c r="E395" s="15" t="str">
        <f>HYPERLINK("https://stat100.ameba.jp/tnk47/ratio20/illustrations/card/ill_69593_0_setsubunyukionna03.jpg?202004-i_prefecture_active_user", "■")</f>
        <v>■</v>
      </c>
      <c r="F395" s="14" t="s">
        <v>2431</v>
      </c>
      <c r="G395" s="14">
        <v>142864</v>
      </c>
      <c r="H395" s="14">
        <v>153666</v>
      </c>
      <c r="I395" s="14">
        <v>20</v>
      </c>
      <c r="J395" s="14" t="s">
        <v>73</v>
      </c>
      <c r="K395" s="14" t="s">
        <v>2432</v>
      </c>
      <c r="L395" s="14" t="s">
        <v>2433</v>
      </c>
      <c r="M395" s="14" t="s">
        <v>9158</v>
      </c>
      <c r="N395" s="14" t="s">
        <v>9158</v>
      </c>
      <c r="O395" s="9" t="s">
        <v>3599</v>
      </c>
      <c r="P395" s="14" t="s">
        <v>3600</v>
      </c>
      <c r="Q395" s="14">
        <v>2</v>
      </c>
    </row>
    <row r="396" spans="1:19">
      <c r="A396" s="14" t="s">
        <v>5604</v>
      </c>
      <c r="B396" s="14" t="s">
        <v>330</v>
      </c>
      <c r="C396" s="14" t="s">
        <v>206</v>
      </c>
      <c r="D396" s="19" t="s">
        <v>614</v>
      </c>
      <c r="E396" s="15" t="str">
        <f>HYPERLINK("https://stat100.ameba.jp/tnk47/ratio20/illustrations/card/ill_47263_0_oukyuuatsuhime03.jpg?202004-i_prefecture_active_user", "■")</f>
        <v>■</v>
      </c>
      <c r="F396" s="14" t="s">
        <v>615</v>
      </c>
      <c r="G396" s="14">
        <v>125648</v>
      </c>
      <c r="H396" s="14">
        <v>111616</v>
      </c>
      <c r="I396" s="14">
        <v>20</v>
      </c>
      <c r="J396" s="14" t="s">
        <v>315</v>
      </c>
      <c r="K396" s="14" t="s">
        <v>616</v>
      </c>
      <c r="L396" s="14" t="s">
        <v>617</v>
      </c>
      <c r="M396" s="14" t="s">
        <v>9158</v>
      </c>
      <c r="N396" s="14" t="s">
        <v>9158</v>
      </c>
      <c r="O396" s="14" t="s">
        <v>9158</v>
      </c>
      <c r="P396" s="14" t="s">
        <v>9158</v>
      </c>
      <c r="Q396" s="14" t="s">
        <v>9158</v>
      </c>
    </row>
    <row r="397" spans="1:19">
      <c r="A397">
        <v>81923</v>
      </c>
      <c r="B397" s="9" t="s">
        <v>11670</v>
      </c>
      <c r="C397" s="9" t="s">
        <v>11662</v>
      </c>
      <c r="D397" s="9" t="s">
        <v>11671</v>
      </c>
      <c r="E397" s="8" t="str">
        <f>HYPERLINK("https://stat100.ameba.jp/tnk47/ratio20/illustrations/card/ill_81923_otenkinonesannekodanuki03.jpg?202004-i_prefecture_active_user", "■")</f>
        <v>■</v>
      </c>
      <c r="F397" t="s">
        <v>11678</v>
      </c>
      <c r="G397" s="9">
        <v>108330</v>
      </c>
      <c r="H397" s="9">
        <v>100744</v>
      </c>
      <c r="I397" s="9">
        <v>26</v>
      </c>
      <c r="J397" s="9" t="s">
        <v>11665</v>
      </c>
      <c r="K397" t="s">
        <v>11679</v>
      </c>
      <c r="L397" t="s">
        <v>11680</v>
      </c>
      <c r="M397" s="14" t="s">
        <v>9158</v>
      </c>
      <c r="N397" s="14" t="s">
        <v>9158</v>
      </c>
      <c r="O397" s="14" t="s">
        <v>9158</v>
      </c>
      <c r="P397" s="14" t="s">
        <v>9158</v>
      </c>
      <c r="Q397" s="14" t="s">
        <v>9158</v>
      </c>
      <c r="S397" s="9" t="s">
        <v>11672</v>
      </c>
    </row>
    <row r="398" spans="1:19">
      <c r="A398">
        <v>83103</v>
      </c>
      <c r="B398" s="9" t="s">
        <v>11670</v>
      </c>
      <c r="C398" s="9" t="s">
        <v>11663</v>
      </c>
      <c r="D398" s="9" t="s">
        <v>11673</v>
      </c>
      <c r="E398" s="8" t="str">
        <f>HYPERLINK("https://stat100.ameba.jp/tnk47/ratio20/illustrations/card/ill_83103_mangamatsuriryomensukuna03.jpg?202004-i_prefecture_active_user", "■")</f>
        <v>■</v>
      </c>
      <c r="F398" t="s">
        <v>11677</v>
      </c>
      <c r="G398" s="9">
        <v>106050</v>
      </c>
      <c r="H398" s="9">
        <v>98594</v>
      </c>
      <c r="I398" s="9">
        <v>26</v>
      </c>
      <c r="J398" s="9" t="s">
        <v>11666</v>
      </c>
      <c r="K398" t="s">
        <v>11675</v>
      </c>
      <c r="L398" t="s">
        <v>11676</v>
      </c>
      <c r="M398" s="14" t="s">
        <v>9158</v>
      </c>
      <c r="N398" s="14" t="s">
        <v>9158</v>
      </c>
      <c r="O398" s="14" t="s">
        <v>9158</v>
      </c>
      <c r="P398" s="14" t="s">
        <v>9158</v>
      </c>
      <c r="Q398" s="14" t="s">
        <v>9158</v>
      </c>
      <c r="S398" s="9" t="s">
        <v>11674</v>
      </c>
    </row>
    <row r="399" spans="1:19">
      <c r="A399" s="14">
        <v>81633</v>
      </c>
      <c r="B399" s="9" t="s">
        <v>11670</v>
      </c>
      <c r="C399" s="9" t="s">
        <v>11664</v>
      </c>
      <c r="D399" s="9" t="s">
        <v>11681</v>
      </c>
      <c r="E399" s="15" t="str">
        <f>HYPERLINK("https://stat100.ameba.jp/tnk47/ratio20/illustrations/card/ill_81633_amehimenogyakushunohime03.jpg?202004-i_prefecture_active_user", "■")</f>
        <v>■</v>
      </c>
      <c r="F399" s="14" t="s">
        <v>11684</v>
      </c>
      <c r="G399" s="9">
        <v>98786</v>
      </c>
      <c r="H399" s="9">
        <v>106276</v>
      </c>
      <c r="I399" s="9">
        <v>26</v>
      </c>
      <c r="J399" s="9" t="s">
        <v>11667</v>
      </c>
      <c r="K399" s="14" t="s">
        <v>11683</v>
      </c>
      <c r="L399" s="14" t="s">
        <v>608</v>
      </c>
      <c r="M399" s="14" t="s">
        <v>9158</v>
      </c>
      <c r="N399" s="14" t="s">
        <v>9158</v>
      </c>
      <c r="O399" s="14" t="s">
        <v>9158</v>
      </c>
      <c r="P399" s="14" t="s">
        <v>9158</v>
      </c>
      <c r="Q399" s="14" t="s">
        <v>9158</v>
      </c>
      <c r="S399" s="9" t="s">
        <v>11682</v>
      </c>
    </row>
    <row r="400" spans="1:19">
      <c r="A400" s="14">
        <v>70713</v>
      </c>
      <c r="B400" s="14" t="s">
        <v>15</v>
      </c>
      <c r="C400" s="9" t="s">
        <v>11659</v>
      </c>
      <c r="D400" s="9" t="s">
        <v>11656</v>
      </c>
      <c r="E400" s="15" t="str">
        <f>HYPERLINK("https://stat100.ameba.jp/tnk47/ratio20/illustrations/card/ill_70713_howaitodekuroyuridensetsu03.jpg?202004-i_prefecture_active_user", "■")</f>
        <v>■</v>
      </c>
      <c r="F400" s="14" t="s">
        <v>11696</v>
      </c>
      <c r="G400" s="9">
        <v>68172</v>
      </c>
      <c r="H400" s="9">
        <v>61832</v>
      </c>
      <c r="I400" s="9">
        <v>23</v>
      </c>
      <c r="J400" s="9" t="s">
        <v>11668</v>
      </c>
      <c r="K400" s="14" t="s">
        <v>11694</v>
      </c>
      <c r="L400" s="14" t="s">
        <v>11695</v>
      </c>
      <c r="M400" s="14" t="s">
        <v>9158</v>
      </c>
      <c r="N400" s="14" t="s">
        <v>9158</v>
      </c>
      <c r="O400" s="14" t="s">
        <v>9158</v>
      </c>
      <c r="P400" s="14" t="s">
        <v>9158</v>
      </c>
      <c r="Q400" s="14" t="s">
        <v>9158</v>
      </c>
      <c r="S400" s="9" t="s">
        <v>11693</v>
      </c>
    </row>
    <row r="401" spans="1:19">
      <c r="A401">
        <v>82573</v>
      </c>
      <c r="B401" s="14" t="s">
        <v>15</v>
      </c>
      <c r="C401" s="9" t="s">
        <v>11660</v>
      </c>
      <c r="D401" s="9" t="s">
        <v>11657</v>
      </c>
      <c r="E401" s="8" t="str">
        <f>HYPERLINK("https://stat100.ameba.jp/tnk47/ratio20/illustrations/card/ill_82573_harajukutakeshitadorichan03.jpg?202004-i_prefecture_active_user", "■")</f>
        <v>■</v>
      </c>
      <c r="F401" t="s">
        <v>11688</v>
      </c>
      <c r="G401" s="9">
        <v>61832</v>
      </c>
      <c r="H401" s="9">
        <v>68172</v>
      </c>
      <c r="I401" s="9">
        <v>23</v>
      </c>
      <c r="J401" s="9" t="s">
        <v>11669</v>
      </c>
      <c r="K401" t="s">
        <v>11686</v>
      </c>
      <c r="L401" t="s">
        <v>11687</v>
      </c>
      <c r="M401" s="14" t="s">
        <v>9158</v>
      </c>
      <c r="N401" s="14" t="s">
        <v>9158</v>
      </c>
      <c r="O401" s="14" t="s">
        <v>9158</v>
      </c>
      <c r="P401" s="14" t="s">
        <v>9158</v>
      </c>
      <c r="Q401" s="14" t="s">
        <v>9158</v>
      </c>
      <c r="S401" s="9" t="s">
        <v>11685</v>
      </c>
    </row>
    <row r="402" spans="1:19">
      <c r="A402">
        <v>80193</v>
      </c>
      <c r="B402" s="14" t="s">
        <v>15</v>
      </c>
      <c r="C402" s="9" t="s">
        <v>11661</v>
      </c>
      <c r="D402" s="9" t="s">
        <v>11658</v>
      </c>
      <c r="E402" s="8" t="str">
        <f>HYPERLINK("https://stat100.ameba.jp/tnk47/ratio20/illustrations/card/ill_80193_tenshisahohime03.jpg?202004-i_prefecture_active_user", "■")</f>
        <v>■</v>
      </c>
      <c r="F402" t="s">
        <v>11692</v>
      </c>
      <c r="G402" s="9">
        <v>68172</v>
      </c>
      <c r="H402" s="9">
        <v>61832</v>
      </c>
      <c r="I402" s="9">
        <v>23</v>
      </c>
      <c r="J402" s="9" t="s">
        <v>11666</v>
      </c>
      <c r="K402" t="s">
        <v>11690</v>
      </c>
      <c r="L402" t="s">
        <v>11691</v>
      </c>
      <c r="M402" s="14" t="s">
        <v>9158</v>
      </c>
      <c r="N402" s="14" t="s">
        <v>9158</v>
      </c>
      <c r="O402" s="14" t="s">
        <v>9158</v>
      </c>
      <c r="P402" s="14" t="s">
        <v>9158</v>
      </c>
      <c r="Q402" s="14" t="s">
        <v>9158</v>
      </c>
      <c r="S402" s="9" t="s">
        <v>11689</v>
      </c>
    </row>
    <row r="404" spans="1:19">
      <c r="A404" s="9" t="s">
        <v>11697</v>
      </c>
    </row>
    <row r="405" spans="1:19">
      <c r="A405" s="9" t="s">
        <v>11699</v>
      </c>
    </row>
    <row r="406" spans="1:19">
      <c r="A406" s="9" t="s">
        <v>11700</v>
      </c>
    </row>
    <row r="407" spans="1:19">
      <c r="A407" s="9" t="s">
        <v>11909</v>
      </c>
    </row>
    <row r="408" spans="1:19">
      <c r="A408" s="9">
        <v>88853</v>
      </c>
      <c r="B408" s="9" t="s">
        <v>11670</v>
      </c>
      <c r="C408" s="9" t="s">
        <v>11701</v>
      </c>
      <c r="D408" s="9" t="s">
        <v>11706</v>
      </c>
      <c r="E408" s="15" t="str">
        <f>HYPERLINK("https://stat100.ameba.jp/tnk47/ratio20/illustrations/card/ill_88853_shumbunasutorea03.jpg?202004-i_prefecture_active_user", "■")</f>
        <v>■</v>
      </c>
      <c r="F408" s="9" t="s">
        <v>11712</v>
      </c>
      <c r="G408" s="9">
        <v>87564</v>
      </c>
      <c r="H408" s="9">
        <v>155784</v>
      </c>
      <c r="I408" s="9">
        <v>26</v>
      </c>
      <c r="J408" s="9" t="s">
        <v>11667</v>
      </c>
      <c r="K408" s="9" t="s">
        <v>11718</v>
      </c>
      <c r="L408" s="9" t="s">
        <v>13241</v>
      </c>
      <c r="M408" s="14" t="s">
        <v>9158</v>
      </c>
      <c r="N408" s="14" t="s">
        <v>9158</v>
      </c>
      <c r="O408" s="14" t="s">
        <v>9158</v>
      </c>
      <c r="P408" s="14" t="s">
        <v>9158</v>
      </c>
      <c r="Q408" s="14" t="s">
        <v>9158</v>
      </c>
    </row>
    <row r="409" spans="1:19">
      <c r="A409" s="9">
        <v>88863</v>
      </c>
      <c r="B409" s="9" t="s">
        <v>11670</v>
      </c>
      <c r="C409" s="9" t="s">
        <v>11660</v>
      </c>
      <c r="D409" s="9" t="s">
        <v>11707</v>
      </c>
      <c r="E409" s="15" t="str">
        <f>HYPERLINK("https://stat100.ameba.jp/tnk47/ratio20/illustrations/card/ill_88863_shumbunaguraia03.jpg?202004-i_prefecture_active_user", "■")</f>
        <v>■</v>
      </c>
      <c r="F409" s="9" t="s">
        <v>11713</v>
      </c>
      <c r="G409" s="9">
        <v>87564</v>
      </c>
      <c r="H409" s="9">
        <v>155784</v>
      </c>
      <c r="I409" s="9">
        <v>26</v>
      </c>
      <c r="J409" s="9" t="s">
        <v>11666</v>
      </c>
      <c r="K409" s="9" t="s">
        <v>11719</v>
      </c>
      <c r="L409" s="9" t="s">
        <v>13242</v>
      </c>
      <c r="M409" s="14" t="s">
        <v>9158</v>
      </c>
      <c r="N409" s="14" t="s">
        <v>9158</v>
      </c>
      <c r="O409" s="14" t="s">
        <v>9158</v>
      </c>
      <c r="P409" s="14" t="s">
        <v>9158</v>
      </c>
      <c r="Q409" s="14" t="s">
        <v>9158</v>
      </c>
    </row>
    <row r="410" spans="1:19">
      <c r="A410" s="9">
        <v>88873</v>
      </c>
      <c r="B410" s="9" t="s">
        <v>11670</v>
      </c>
      <c r="C410" s="9" t="s">
        <v>11659</v>
      </c>
      <c r="D410" s="9" t="s">
        <v>11708</v>
      </c>
      <c r="E410" s="15" t="str">
        <f>HYPERLINK("https://stat100.ameba.jp/tnk47/ratio20/illustrations/card/ill_88873_shumbunjatayu03.jpg?202004-i_prefecture_active_user", "■")</f>
        <v>■</v>
      </c>
      <c r="F410" s="9" t="s">
        <v>11714</v>
      </c>
      <c r="G410" s="9">
        <v>87564</v>
      </c>
      <c r="H410" s="9">
        <v>155784</v>
      </c>
      <c r="I410" s="9">
        <v>26</v>
      </c>
      <c r="J410" s="9" t="s">
        <v>11665</v>
      </c>
      <c r="K410" s="9" t="s">
        <v>11720</v>
      </c>
      <c r="L410" s="9" t="s">
        <v>13243</v>
      </c>
      <c r="M410" s="14" t="s">
        <v>9158</v>
      </c>
      <c r="N410" s="14" t="s">
        <v>9158</v>
      </c>
      <c r="O410" s="14" t="s">
        <v>9158</v>
      </c>
      <c r="P410" s="14" t="s">
        <v>9158</v>
      </c>
      <c r="Q410" s="14" t="s">
        <v>9158</v>
      </c>
    </row>
    <row r="411" spans="1:19">
      <c r="A411" s="9">
        <v>88883</v>
      </c>
      <c r="B411" s="9" t="s">
        <v>11670</v>
      </c>
      <c r="C411" s="9" t="s">
        <v>11661</v>
      </c>
      <c r="D411" s="9" t="s">
        <v>11709</v>
      </c>
      <c r="E411" s="15" t="str">
        <f>HYPERLINK("https://stat100.ameba.jp/tnk47/ratio20/illustrations/card/ill_88883_shumbunkuroriannu03.jpg?202004-i_prefecture_active_user", "■")</f>
        <v>■</v>
      </c>
      <c r="F411" s="9" t="s">
        <v>11715</v>
      </c>
      <c r="G411" s="9">
        <v>87564</v>
      </c>
      <c r="H411" s="9">
        <v>155784</v>
      </c>
      <c r="I411" s="9">
        <v>26</v>
      </c>
      <c r="J411" s="9" t="s">
        <v>11704</v>
      </c>
      <c r="K411" s="9" t="s">
        <v>11721</v>
      </c>
      <c r="L411" s="9" t="s">
        <v>13244</v>
      </c>
      <c r="M411" s="14" t="s">
        <v>9158</v>
      </c>
      <c r="N411" s="14" t="s">
        <v>9158</v>
      </c>
      <c r="O411" s="14" t="s">
        <v>9158</v>
      </c>
      <c r="P411" s="14" t="s">
        <v>9158</v>
      </c>
      <c r="Q411" s="14" t="s">
        <v>9158</v>
      </c>
    </row>
    <row r="412" spans="1:19">
      <c r="A412" s="9">
        <v>88893</v>
      </c>
      <c r="B412" s="9" t="s">
        <v>11670</v>
      </c>
      <c r="C412" s="9" t="s">
        <v>11702</v>
      </c>
      <c r="D412" s="9" t="s">
        <v>11710</v>
      </c>
      <c r="E412" s="15" t="str">
        <f>HYPERLINK("https://stat100.ameba.jp/tnk47/ratio20/illustrations/card/ill_88893_shumbumbisuna03.jpg?202004-i_prefecture_active_user", "■")</f>
        <v>■</v>
      </c>
      <c r="F412" s="9" t="s">
        <v>11716</v>
      </c>
      <c r="G412" s="9">
        <v>87564</v>
      </c>
      <c r="H412" s="9">
        <v>155784</v>
      </c>
      <c r="I412" s="9">
        <v>26</v>
      </c>
      <c r="J412" s="9" t="s">
        <v>11705</v>
      </c>
      <c r="K412" s="9" t="s">
        <v>11722</v>
      </c>
      <c r="L412" s="9" t="s">
        <v>13245</v>
      </c>
      <c r="M412" s="14" t="s">
        <v>9158</v>
      </c>
      <c r="N412" s="14" t="s">
        <v>9158</v>
      </c>
      <c r="O412" s="14" t="s">
        <v>9158</v>
      </c>
      <c r="P412" s="14" t="s">
        <v>9158</v>
      </c>
      <c r="Q412" s="14" t="s">
        <v>9158</v>
      </c>
    </row>
    <row r="413" spans="1:19">
      <c r="A413" s="9">
        <v>88903</v>
      </c>
      <c r="B413" s="9" t="s">
        <v>11670</v>
      </c>
      <c r="C413" s="9" t="s">
        <v>11703</v>
      </c>
      <c r="D413" s="9" t="s">
        <v>11711</v>
      </c>
      <c r="E413" s="15" t="str">
        <f>HYPERLINK("https://stat100.ameba.jp/tnk47/ratio20/illustrations/card/ill_88903_shumbunradomma03.jpg?202004-i_prefecture_active_user", "■")</f>
        <v>■</v>
      </c>
      <c r="F413" s="9" t="s">
        <v>11717</v>
      </c>
      <c r="G413" s="9">
        <v>87564</v>
      </c>
      <c r="H413" s="9">
        <v>155784</v>
      </c>
      <c r="I413" s="9">
        <v>26</v>
      </c>
      <c r="J413" s="9" t="s">
        <v>11668</v>
      </c>
      <c r="K413" s="9" t="s">
        <v>11723</v>
      </c>
      <c r="L413" s="9" t="s">
        <v>13246</v>
      </c>
      <c r="M413" s="14" t="s">
        <v>9158</v>
      </c>
      <c r="N413" s="14" t="s">
        <v>9158</v>
      </c>
      <c r="O413" s="14" t="s">
        <v>9158</v>
      </c>
      <c r="P413" s="14" t="s">
        <v>9158</v>
      </c>
      <c r="Q413" s="14" t="s">
        <v>9158</v>
      </c>
    </row>
    <row r="414" spans="1:19">
      <c r="A414" s="9">
        <v>75973</v>
      </c>
      <c r="B414" s="14" t="s">
        <v>334</v>
      </c>
      <c r="C414" s="14" t="s">
        <v>268</v>
      </c>
      <c r="D414" s="14" t="s">
        <v>1511</v>
      </c>
      <c r="E414" s="15" t="str">
        <f>HYPERLINK("https://stat100.ameba.jp/tnk47/ratio20/illustrations/card/ill_75973_hojonomegamifuriggu03.jpg?202004-i_prefecture_active_user", "■")</f>
        <v>■</v>
      </c>
      <c r="F414" s="14" t="s">
        <v>1512</v>
      </c>
      <c r="G414" s="14">
        <v>107392</v>
      </c>
      <c r="H414" s="14">
        <v>190884</v>
      </c>
      <c r="I414" s="14">
        <v>26</v>
      </c>
      <c r="J414" s="14" t="s">
        <v>283</v>
      </c>
      <c r="K414" s="14" t="s">
        <v>1513</v>
      </c>
      <c r="L414" s="14" t="s">
        <v>1514</v>
      </c>
      <c r="M414" s="14" t="s">
        <v>9158</v>
      </c>
      <c r="N414" s="14" t="s">
        <v>9158</v>
      </c>
      <c r="O414" s="14" t="s">
        <v>9158</v>
      </c>
      <c r="P414" s="14" t="s">
        <v>9158</v>
      </c>
      <c r="Q414" s="14" t="s">
        <v>9158</v>
      </c>
      <c r="R414" s="14"/>
    </row>
    <row r="415" spans="1:19">
      <c r="A415" s="9">
        <v>76873</v>
      </c>
      <c r="B415" s="14" t="s">
        <v>0</v>
      </c>
      <c r="C415" s="14" t="s">
        <v>154</v>
      </c>
      <c r="D415" s="14" t="s">
        <v>1939</v>
      </c>
      <c r="E415" s="15" t="str">
        <f>HYPERLINK("https://stat100.ameba.jp/tnk47/ratio20/illustrations/card/ill_76873_torerokamomiro03.jpg?202004-i_prefecture_active_user", "■")</f>
        <v>■</v>
      </c>
      <c r="F415" s="14" t="s">
        <v>1940</v>
      </c>
      <c r="G415" s="14">
        <v>190884</v>
      </c>
      <c r="H415" s="14">
        <v>107392</v>
      </c>
      <c r="I415" s="14">
        <v>26</v>
      </c>
      <c r="J415" s="14" t="s">
        <v>10</v>
      </c>
      <c r="K415" s="14" t="s">
        <v>1941</v>
      </c>
      <c r="L415" s="14" t="s">
        <v>1942</v>
      </c>
      <c r="M415" s="14" t="s">
        <v>9158</v>
      </c>
      <c r="N415" s="14" t="s">
        <v>9158</v>
      </c>
      <c r="O415" s="14" t="s">
        <v>9158</v>
      </c>
      <c r="P415" s="14" t="s">
        <v>9158</v>
      </c>
      <c r="Q415" s="14" t="s">
        <v>9158</v>
      </c>
      <c r="R415" s="14"/>
    </row>
    <row r="416" spans="1:19">
      <c r="A416" s="14">
        <v>83673</v>
      </c>
      <c r="B416" s="14" t="s">
        <v>0</v>
      </c>
      <c r="C416" s="14" t="s">
        <v>47</v>
      </c>
      <c r="D416" s="19" t="s">
        <v>10580</v>
      </c>
      <c r="E416" s="15" t="str">
        <f>HYPERLINK("https://stat100.ameba.jp/tnk47/ratio20/illustrations/card/ill_83673_erementara03.jpg?202004-i_prefecture_active_user", "■")</f>
        <v>■</v>
      </c>
      <c r="F416" s="14" t="s">
        <v>6690</v>
      </c>
      <c r="G416" s="14">
        <v>73272</v>
      </c>
      <c r="H416" s="14">
        <v>130220</v>
      </c>
      <c r="I416" s="14">
        <v>26</v>
      </c>
      <c r="J416" s="14" t="s">
        <v>16</v>
      </c>
      <c r="K416" s="14" t="s">
        <v>6689</v>
      </c>
      <c r="L416" s="14" t="s">
        <v>124</v>
      </c>
      <c r="M416" s="14" t="s">
        <v>9158</v>
      </c>
      <c r="N416" s="14" t="s">
        <v>9158</v>
      </c>
      <c r="O416" s="14" t="s">
        <v>9158</v>
      </c>
      <c r="P416" s="14" t="s">
        <v>9158</v>
      </c>
      <c r="Q416" s="14" t="s">
        <v>9158</v>
      </c>
    </row>
    <row r="417" spans="1:18">
      <c r="A417" s="9">
        <v>76123</v>
      </c>
      <c r="B417" s="14" t="s">
        <v>334</v>
      </c>
      <c r="C417" s="14" t="s">
        <v>203</v>
      </c>
      <c r="D417" s="14" t="s">
        <v>986</v>
      </c>
      <c r="E417" s="15" t="str">
        <f>HYPERLINK("https://stat100.ameba.jp/tnk47/ratio20/illustrations/card/ill_76123_hoshiyominotemmongakusha03.jpg?202004-i_prefecture_active_user", "■")</f>
        <v>■</v>
      </c>
      <c r="F417" s="14" t="s">
        <v>987</v>
      </c>
      <c r="G417" s="14">
        <v>190884</v>
      </c>
      <c r="H417" s="14">
        <v>107392</v>
      </c>
      <c r="I417" s="14">
        <v>26</v>
      </c>
      <c r="J417" s="14" t="s">
        <v>16</v>
      </c>
      <c r="K417" s="14" t="s">
        <v>988</v>
      </c>
      <c r="L417" s="14" t="s">
        <v>989</v>
      </c>
      <c r="M417" s="14" t="s">
        <v>9158</v>
      </c>
      <c r="N417" s="14" t="s">
        <v>9158</v>
      </c>
      <c r="O417" s="14" t="s">
        <v>9158</v>
      </c>
      <c r="P417" s="14" t="s">
        <v>9158</v>
      </c>
      <c r="Q417" s="14" t="s">
        <v>9158</v>
      </c>
    </row>
    <row r="418" spans="1:18">
      <c r="A418" s="9">
        <v>77753</v>
      </c>
      <c r="B418" s="14" t="s">
        <v>334</v>
      </c>
      <c r="C418" s="14" t="s">
        <v>203</v>
      </c>
      <c r="D418" s="14" t="s">
        <v>994</v>
      </c>
      <c r="E418" s="15" t="str">
        <f>HYPERLINK("https://stat100.ameba.jp/tnk47/ratio20/illustrations/card/ill_77753_sekiennotorisu03.jpg?202004-i_prefecture_active_user", "■")</f>
        <v>■</v>
      </c>
      <c r="F418" s="14" t="s">
        <v>995</v>
      </c>
      <c r="G418" s="14">
        <v>190884</v>
      </c>
      <c r="H418" s="14">
        <v>107392</v>
      </c>
      <c r="I418" s="14">
        <v>26</v>
      </c>
      <c r="J418" s="14" t="s">
        <v>143</v>
      </c>
      <c r="K418" s="14" t="s">
        <v>996</v>
      </c>
      <c r="L418" s="14" t="s">
        <v>145</v>
      </c>
      <c r="M418" s="14" t="s">
        <v>9158</v>
      </c>
      <c r="N418" s="14" t="s">
        <v>9158</v>
      </c>
      <c r="O418" s="14" t="s">
        <v>9158</v>
      </c>
      <c r="P418" s="14" t="s">
        <v>9158</v>
      </c>
      <c r="Q418" s="14" t="s">
        <v>9158</v>
      </c>
      <c r="R418" s="14"/>
    </row>
    <row r="419" spans="1:18">
      <c r="A419" s="9">
        <v>79823</v>
      </c>
      <c r="B419" s="14" t="s">
        <v>334</v>
      </c>
      <c r="C419" s="14" t="s">
        <v>158</v>
      </c>
      <c r="D419" s="14" t="s">
        <v>2894</v>
      </c>
      <c r="E419" s="15" t="str">
        <f>HYPERLINK("https://stat100.ameba.jp/tnk47/ratio20/illustrations/card/ill_79823_agehamishieru03.jpg?202004-i_prefecture_active_user", "■")</f>
        <v>■</v>
      </c>
      <c r="F419" s="14" t="s">
        <v>2895</v>
      </c>
      <c r="G419" s="14">
        <v>107392</v>
      </c>
      <c r="H419" s="14">
        <v>190884</v>
      </c>
      <c r="I419" s="14">
        <v>26</v>
      </c>
      <c r="J419" s="14" t="s">
        <v>414</v>
      </c>
      <c r="K419" s="14" t="s">
        <v>2896</v>
      </c>
      <c r="L419" s="14" t="s">
        <v>2897</v>
      </c>
      <c r="M419" s="14" t="s">
        <v>9158</v>
      </c>
      <c r="N419" s="14" t="s">
        <v>9158</v>
      </c>
      <c r="O419" s="14" t="s">
        <v>9158</v>
      </c>
      <c r="P419" s="14" t="s">
        <v>9158</v>
      </c>
      <c r="Q419" s="14" t="s">
        <v>9158</v>
      </c>
    </row>
    <row r="421" spans="1:18">
      <c r="A421" s="14" t="s">
        <v>13327</v>
      </c>
      <c r="B421" s="14"/>
      <c r="C421" s="14"/>
      <c r="D421" s="14"/>
      <c r="E421" s="14"/>
      <c r="F421" s="14"/>
      <c r="G421" s="14"/>
      <c r="H421" s="14"/>
      <c r="I421" s="14"/>
      <c r="J421" s="14"/>
      <c r="K421" s="14"/>
      <c r="L421" s="14"/>
      <c r="M421" s="14"/>
      <c r="N421" s="14"/>
      <c r="O421" s="14"/>
      <c r="P421" s="14"/>
      <c r="Q421" s="14"/>
      <c r="R421" s="14"/>
    </row>
    <row r="422" spans="1:18">
      <c r="A422" s="14" t="s">
        <v>11724</v>
      </c>
      <c r="B422" s="14"/>
      <c r="C422" s="14"/>
      <c r="D422" s="14"/>
      <c r="E422" s="14"/>
      <c r="F422" s="14"/>
      <c r="G422" s="14"/>
      <c r="H422" s="14"/>
      <c r="I422" s="14"/>
      <c r="J422" s="14"/>
      <c r="K422" s="14"/>
      <c r="L422" s="14"/>
      <c r="M422" s="14"/>
      <c r="N422" s="14"/>
      <c r="O422" s="14"/>
      <c r="P422" s="14"/>
      <c r="Q422" s="14"/>
      <c r="R422" s="14"/>
    </row>
    <row r="423" spans="1:18">
      <c r="A423" s="14">
        <v>82213</v>
      </c>
      <c r="B423" s="14" t="s">
        <v>0</v>
      </c>
      <c r="C423" s="14" t="s">
        <v>185</v>
      </c>
      <c r="D423" s="19" t="s">
        <v>10185</v>
      </c>
      <c r="E423" s="15" t="str">
        <f>HYPERLINK("https://stat100.ameba.jp/tnk47/ratio20/illustrations/card/ill_82213_tatarimokke03.jpg?202004-i_prefecture_active_user", "■")</f>
        <v>■</v>
      </c>
      <c r="F423" s="14" t="s">
        <v>4935</v>
      </c>
      <c r="G423" s="14">
        <v>119006</v>
      </c>
      <c r="H423" s="14">
        <v>128000</v>
      </c>
      <c r="I423" s="7">
        <v>26</v>
      </c>
      <c r="J423" s="14" t="s">
        <v>182</v>
      </c>
      <c r="K423" s="14" t="s">
        <v>4937</v>
      </c>
      <c r="L423" s="14" t="s">
        <v>13191</v>
      </c>
      <c r="M423" s="14" t="s">
        <v>13130</v>
      </c>
      <c r="N423" s="14" t="s">
        <v>343</v>
      </c>
      <c r="O423" s="14" t="s">
        <v>9158</v>
      </c>
      <c r="P423" s="14" t="s">
        <v>9158</v>
      </c>
      <c r="Q423" s="14" t="s">
        <v>9158</v>
      </c>
      <c r="R423" s="14" t="s">
        <v>14748</v>
      </c>
    </row>
    <row r="424" spans="1:18">
      <c r="A424" s="14">
        <v>82212</v>
      </c>
      <c r="B424" s="14" t="s">
        <v>334</v>
      </c>
      <c r="C424" s="14" t="s">
        <v>185</v>
      </c>
      <c r="D424" s="19" t="s">
        <v>10185</v>
      </c>
      <c r="E424" s="15" t="str">
        <f>HYPERLINK("https://stat100.ameba.jp/tnk47/ratio20/illustrations/card/ill_82212_tatarimokke02.jpg?202004-i_prefecture_active_user", "■")</f>
        <v>■</v>
      </c>
      <c r="F424" s="14" t="s">
        <v>4935</v>
      </c>
      <c r="G424" s="14">
        <v>98566</v>
      </c>
      <c r="H424" s="14">
        <v>107000</v>
      </c>
      <c r="I424" s="7">
        <v>26</v>
      </c>
      <c r="J424" s="14" t="s">
        <v>182</v>
      </c>
      <c r="K424" s="14" t="s">
        <v>4937</v>
      </c>
      <c r="L424" s="14" t="s">
        <v>13191</v>
      </c>
      <c r="M424" s="14" t="s">
        <v>13131</v>
      </c>
      <c r="N424" s="14" t="s">
        <v>251</v>
      </c>
      <c r="O424" s="14" t="s">
        <v>9158</v>
      </c>
      <c r="P424" s="14" t="s">
        <v>9158</v>
      </c>
      <c r="Q424" s="14" t="s">
        <v>9158</v>
      </c>
      <c r="R424" s="14" t="s">
        <v>14748</v>
      </c>
    </row>
    <row r="425" spans="1:18">
      <c r="A425" s="14">
        <v>82211</v>
      </c>
      <c r="B425" s="14" t="s">
        <v>0</v>
      </c>
      <c r="C425" s="14" t="s">
        <v>185</v>
      </c>
      <c r="D425" s="19" t="s">
        <v>10185</v>
      </c>
      <c r="E425" s="15" t="str">
        <f>HYPERLINK("https://stat100.ameba.jp/tnk47/ratio20/illustrations/card/ill_82211_tatarimokke01.jpg?202004-i_prefecture_active_user", "■")</f>
        <v>■</v>
      </c>
      <c r="F425" s="14" t="s">
        <v>4935</v>
      </c>
      <c r="G425" s="14">
        <v>76050</v>
      </c>
      <c r="H425" s="14">
        <v>81692</v>
      </c>
      <c r="I425" s="7">
        <v>26</v>
      </c>
      <c r="J425" s="14" t="s">
        <v>182</v>
      </c>
      <c r="K425" s="14" t="s">
        <v>4937</v>
      </c>
      <c r="L425" s="14" t="s">
        <v>13191</v>
      </c>
      <c r="M425" s="14" t="s">
        <v>13131</v>
      </c>
      <c r="N425" s="14" t="s">
        <v>251</v>
      </c>
      <c r="O425" s="14" t="s">
        <v>9158</v>
      </c>
      <c r="P425" s="14" t="s">
        <v>9158</v>
      </c>
      <c r="Q425" s="14" t="s">
        <v>9158</v>
      </c>
      <c r="R425" s="14" t="s">
        <v>14748</v>
      </c>
    </row>
    <row r="426" spans="1:18">
      <c r="A426" s="14">
        <v>82223</v>
      </c>
      <c r="B426" s="14" t="s">
        <v>334</v>
      </c>
      <c r="C426" s="14" t="s">
        <v>200</v>
      </c>
      <c r="D426" s="19" t="s">
        <v>10186</v>
      </c>
      <c r="E426" s="15" t="str">
        <f>HYPERLINK("https://stat100.ameba.jp/tnk47/ratio20/illustrations/card/ill_82223_oyayubihime03.jpg?202004-i_prefecture_active_user", "■")</f>
        <v>■</v>
      </c>
      <c r="F426" s="14" t="s">
        <v>4931</v>
      </c>
      <c r="G426" s="14">
        <v>128000</v>
      </c>
      <c r="H426" s="14">
        <v>119006</v>
      </c>
      <c r="I426" s="7">
        <v>26</v>
      </c>
      <c r="J426" s="14" t="s">
        <v>155</v>
      </c>
      <c r="K426" s="14" t="s">
        <v>4933</v>
      </c>
      <c r="L426" s="14" t="s">
        <v>4934</v>
      </c>
      <c r="M426" s="14" t="s">
        <v>13130</v>
      </c>
      <c r="N426" s="14" t="s">
        <v>343</v>
      </c>
      <c r="O426" s="14" t="s">
        <v>9158</v>
      </c>
      <c r="P426" s="14" t="s">
        <v>9158</v>
      </c>
      <c r="Q426" s="14" t="s">
        <v>9158</v>
      </c>
      <c r="R426" s="14" t="s">
        <v>14748</v>
      </c>
    </row>
    <row r="427" spans="1:18">
      <c r="A427" s="14">
        <v>82233</v>
      </c>
      <c r="B427" s="14" t="s">
        <v>334</v>
      </c>
      <c r="C427" s="14" t="s">
        <v>191</v>
      </c>
      <c r="D427" s="19" t="s">
        <v>10187</v>
      </c>
      <c r="E427" s="15" t="str">
        <f>HYPERLINK("https://stat100.ameba.jp/tnk47/ratio20/illustrations/card/ill_82233_iseokiku03.jpg?202004-i_prefecture_active_user", "■")</f>
        <v>■</v>
      </c>
      <c r="F427" s="14" t="s">
        <v>4924</v>
      </c>
      <c r="G427" s="14">
        <v>128000</v>
      </c>
      <c r="H427" s="14">
        <v>119006</v>
      </c>
      <c r="I427" s="7">
        <v>26</v>
      </c>
      <c r="J427" s="14" t="s">
        <v>187</v>
      </c>
      <c r="K427" s="14" t="s">
        <v>4926</v>
      </c>
      <c r="L427" s="14" t="s">
        <v>4930</v>
      </c>
      <c r="M427" s="14" t="s">
        <v>13130</v>
      </c>
      <c r="N427" s="14" t="s">
        <v>343</v>
      </c>
      <c r="O427" s="14" t="s">
        <v>9158</v>
      </c>
      <c r="P427" s="14" t="s">
        <v>9158</v>
      </c>
      <c r="Q427" s="14" t="s">
        <v>9158</v>
      </c>
      <c r="R427" s="14" t="s">
        <v>14748</v>
      </c>
    </row>
    <row r="428" spans="1:18">
      <c r="A428" s="14">
        <v>82243</v>
      </c>
      <c r="B428" s="14" t="s">
        <v>0</v>
      </c>
      <c r="C428" s="14" t="s">
        <v>165</v>
      </c>
      <c r="D428" s="19" t="s">
        <v>10188</v>
      </c>
      <c r="E428" s="15" t="str">
        <f>HYPERLINK("https://stat100.ameba.jp/tnk47/ratio20/illustrations/card/ill_82243_nanohana03.jpg?202004-i_prefecture_active_user", "■")</f>
        <v>■</v>
      </c>
      <c r="F428" s="14" t="s">
        <v>4921</v>
      </c>
      <c r="G428" s="14">
        <v>128000</v>
      </c>
      <c r="H428" s="14">
        <v>119006</v>
      </c>
      <c r="I428" s="7">
        <v>26</v>
      </c>
      <c r="J428" s="14" t="s">
        <v>229</v>
      </c>
      <c r="K428" s="14" t="s">
        <v>4923</v>
      </c>
      <c r="L428" s="14" t="s">
        <v>4929</v>
      </c>
      <c r="M428" s="14" t="s">
        <v>13130</v>
      </c>
      <c r="N428" s="14" t="s">
        <v>343</v>
      </c>
      <c r="O428" s="14" t="s">
        <v>9158</v>
      </c>
      <c r="P428" s="14" t="s">
        <v>9158</v>
      </c>
      <c r="Q428" s="14" t="s">
        <v>9158</v>
      </c>
      <c r="R428" s="14" t="s">
        <v>14748</v>
      </c>
    </row>
    <row r="429" spans="1:18">
      <c r="A429" s="14">
        <v>82253</v>
      </c>
      <c r="B429" s="14" t="s">
        <v>334</v>
      </c>
      <c r="C429" s="14" t="s">
        <v>205</v>
      </c>
      <c r="D429" s="19" t="s">
        <v>10189</v>
      </c>
      <c r="E429" s="15" t="str">
        <f>HYPERLINK("https://stat100.ameba.jp/tnk47/ratio20/illustrations/card/ill_82253_ajisaikyogokuichiko03.jpg?202004-i_prefecture_active_user", "■")</f>
        <v>■</v>
      </c>
      <c r="F429" s="14" t="s">
        <v>4920</v>
      </c>
      <c r="G429" s="14">
        <v>119006</v>
      </c>
      <c r="H429" s="14">
        <v>128000</v>
      </c>
      <c r="I429" s="7">
        <v>26</v>
      </c>
      <c r="J429" s="14" t="s">
        <v>159</v>
      </c>
      <c r="K429" s="14" t="s">
        <v>4919</v>
      </c>
      <c r="L429" s="14" t="s">
        <v>4927</v>
      </c>
      <c r="M429" s="14" t="s">
        <v>13130</v>
      </c>
      <c r="N429" s="14" t="s">
        <v>343</v>
      </c>
      <c r="O429" s="14" t="s">
        <v>9158</v>
      </c>
      <c r="P429" s="14" t="s">
        <v>9158</v>
      </c>
      <c r="Q429" s="14" t="s">
        <v>9158</v>
      </c>
      <c r="R429" s="14" t="s">
        <v>14748</v>
      </c>
    </row>
    <row r="430" spans="1:18">
      <c r="A430" s="14">
        <v>82263</v>
      </c>
      <c r="B430" s="14" t="s">
        <v>334</v>
      </c>
      <c r="C430" s="14" t="s">
        <v>206</v>
      </c>
      <c r="D430" s="19" t="s">
        <v>10190</v>
      </c>
      <c r="E430" s="15" t="str">
        <f>HYPERLINK("https://stat100.ameba.jp/tnk47/ratio20/illustrations/card/ill_82263_euterupe03.jpg?202004-i_prefecture_active_user", "■")</f>
        <v>■</v>
      </c>
      <c r="F430" s="14" t="s">
        <v>4915</v>
      </c>
      <c r="G430" s="14">
        <v>119006</v>
      </c>
      <c r="H430" s="14">
        <v>128000</v>
      </c>
      <c r="I430" s="7">
        <v>26</v>
      </c>
      <c r="J430" s="14" t="s">
        <v>169</v>
      </c>
      <c r="K430" s="14" t="s">
        <v>4917</v>
      </c>
      <c r="L430" s="14" t="s">
        <v>4928</v>
      </c>
      <c r="M430" s="14" t="s">
        <v>13130</v>
      </c>
      <c r="N430" s="14" t="s">
        <v>343</v>
      </c>
      <c r="O430" s="14" t="s">
        <v>9158</v>
      </c>
      <c r="P430" s="14" t="s">
        <v>9158</v>
      </c>
      <c r="Q430" s="14" t="s">
        <v>9158</v>
      </c>
      <c r="R430" s="14" t="s">
        <v>14748</v>
      </c>
    </row>
    <row r="432" spans="1:18">
      <c r="A432" s="9" t="s">
        <v>11897</v>
      </c>
    </row>
    <row r="433" spans="1:17">
      <c r="A433" s="14" t="s">
        <v>4042</v>
      </c>
    </row>
    <row r="434" spans="1:17">
      <c r="A434" s="14" t="s">
        <v>5623</v>
      </c>
      <c r="B434" s="14" t="s">
        <v>330</v>
      </c>
      <c r="C434" s="14" t="s">
        <v>165</v>
      </c>
      <c r="D434" s="19" t="s">
        <v>3146</v>
      </c>
      <c r="E434" s="15" t="str">
        <f>HYPERLINK("https://stat100.ameba.jp/tnk47/ratio20/illustrations/card/ill_65713_0_undokaionikirimaru03.jpg?202004-i_prefecture_active_user", "■")</f>
        <v>■</v>
      </c>
      <c r="F434" s="14" t="s">
        <v>535</v>
      </c>
      <c r="G434" s="14">
        <v>151368</v>
      </c>
      <c r="H434" s="14">
        <v>140728</v>
      </c>
      <c r="I434" s="14">
        <v>20</v>
      </c>
      <c r="J434" s="14" t="s">
        <v>320</v>
      </c>
      <c r="K434" s="14" t="s">
        <v>3147</v>
      </c>
      <c r="L434" s="14" t="s">
        <v>3148</v>
      </c>
      <c r="M434" s="14" t="s">
        <v>9158</v>
      </c>
      <c r="N434" s="14" t="s">
        <v>9158</v>
      </c>
      <c r="O434" s="19" t="s">
        <v>2869</v>
      </c>
      <c r="P434" s="14" t="s">
        <v>2870</v>
      </c>
      <c r="Q434" s="14">
        <v>1</v>
      </c>
    </row>
    <row r="435" spans="1:17">
      <c r="A435" s="14" t="s">
        <v>6508</v>
      </c>
      <c r="B435" s="14" t="s">
        <v>330</v>
      </c>
      <c r="C435" s="14" t="s">
        <v>35</v>
      </c>
      <c r="D435" s="19" t="s">
        <v>10168</v>
      </c>
      <c r="E435" s="15" t="str">
        <f>HYPERLINK("https://stat100.ameba.jp/tnk47/ratio20/illustrations/card/ill_81783_0_denshagarukoteipenginchan03.jpg?202004-i_prefecture_active_user", "■")</f>
        <v>■</v>
      </c>
      <c r="F435" s="14" t="s">
        <v>4834</v>
      </c>
      <c r="G435" s="14">
        <v>232584</v>
      </c>
      <c r="H435" s="14">
        <v>210196</v>
      </c>
      <c r="I435" s="14">
        <v>20</v>
      </c>
      <c r="J435" s="14" t="s">
        <v>26</v>
      </c>
      <c r="K435" s="14" t="s">
        <v>4836</v>
      </c>
      <c r="L435" s="14" t="s">
        <v>1783</v>
      </c>
      <c r="M435" s="14" t="s">
        <v>9158</v>
      </c>
      <c r="N435" s="14" t="s">
        <v>9158</v>
      </c>
      <c r="O435" s="19" t="s">
        <v>10124</v>
      </c>
      <c r="P435" s="14" t="s">
        <v>4838</v>
      </c>
      <c r="Q435" s="14">
        <v>1</v>
      </c>
    </row>
    <row r="436" spans="1:17">
      <c r="A436" s="14" t="s">
        <v>5622</v>
      </c>
      <c r="B436" s="14" t="s">
        <v>330</v>
      </c>
      <c r="C436" s="14" t="s">
        <v>335</v>
      </c>
      <c r="D436" s="19" t="s">
        <v>509</v>
      </c>
      <c r="E436" s="15" t="str">
        <f>HYPERLINK("https://stat100.ameba.jp/tnk47/ratio20/illustrations/card/ill_49953_0_yushamarihime03.jpg?202004-i_prefecture_active_user", "■")</f>
        <v>■</v>
      </c>
      <c r="F436" s="14" t="s">
        <v>510</v>
      </c>
      <c r="G436" s="14">
        <v>125648</v>
      </c>
      <c r="H436" s="14">
        <v>111616</v>
      </c>
      <c r="I436" s="14">
        <v>20</v>
      </c>
      <c r="J436" s="14" t="s">
        <v>315</v>
      </c>
      <c r="K436" s="14" t="s">
        <v>511</v>
      </c>
      <c r="L436" s="14" t="s">
        <v>512</v>
      </c>
      <c r="M436" s="14" t="s">
        <v>9158</v>
      </c>
      <c r="N436" s="14" t="s">
        <v>9158</v>
      </c>
      <c r="O436" s="14" t="s">
        <v>9158</v>
      </c>
      <c r="P436" s="14" t="s">
        <v>9158</v>
      </c>
      <c r="Q436" s="14" t="s">
        <v>9158</v>
      </c>
    </row>
    <row r="437" spans="1:17">
      <c r="A437" s="9">
        <v>87963</v>
      </c>
      <c r="B437" s="14" t="s">
        <v>334</v>
      </c>
      <c r="C437" s="9" t="s">
        <v>11898</v>
      </c>
      <c r="D437" s="9" t="s">
        <v>11904</v>
      </c>
      <c r="E437" s="15" t="str">
        <f>HYPERLINK("https://stat100.ameba.jp/tnk47/ratio20/illustrations/card/ill_87963_mafuiaakkaekka03.jpg?202004-i_prefecture_active_user", "■")</f>
        <v>■</v>
      </c>
      <c r="F437" s="9" t="s">
        <v>11902</v>
      </c>
      <c r="G437" s="9">
        <v>130968</v>
      </c>
      <c r="H437" s="9">
        <v>73678</v>
      </c>
      <c r="I437" s="14">
        <v>26</v>
      </c>
      <c r="J437" s="9" t="s">
        <v>11900</v>
      </c>
      <c r="K437" s="9" t="s">
        <v>11903</v>
      </c>
      <c r="L437" s="9" t="s">
        <v>13148</v>
      </c>
      <c r="M437" s="14" t="s">
        <v>9158</v>
      </c>
      <c r="N437" s="14" t="s">
        <v>9158</v>
      </c>
      <c r="O437" s="14" t="s">
        <v>9158</v>
      </c>
      <c r="P437" s="14" t="s">
        <v>9158</v>
      </c>
      <c r="Q437" s="14" t="s">
        <v>9158</v>
      </c>
    </row>
    <row r="438" spans="1:17">
      <c r="A438" s="9">
        <v>87973</v>
      </c>
      <c r="B438" s="14" t="s">
        <v>334</v>
      </c>
      <c r="C438" s="9" t="s">
        <v>11899</v>
      </c>
      <c r="D438" s="9" t="s">
        <v>11905</v>
      </c>
      <c r="E438" s="15" t="str">
        <f>HYPERLINK("https://stat100.ameba.jp/tnk47/ratio20/illustrations/card/ill_87973_mafuiaerisu03.jpg?202004-i_prefecture_active_user", "■")</f>
        <v>■</v>
      </c>
      <c r="F438" s="9" t="s">
        <v>11906</v>
      </c>
      <c r="G438" s="9">
        <v>130220</v>
      </c>
      <c r="H438" s="9">
        <v>73272</v>
      </c>
      <c r="I438" s="14">
        <v>26</v>
      </c>
      <c r="J438" s="9" t="s">
        <v>11901</v>
      </c>
      <c r="K438" s="9" t="s">
        <v>11907</v>
      </c>
      <c r="L438" s="9" t="s">
        <v>13247</v>
      </c>
      <c r="M438" s="14" t="s">
        <v>9158</v>
      </c>
      <c r="N438" s="14" t="s">
        <v>9158</v>
      </c>
      <c r="O438" s="14" t="s">
        <v>9158</v>
      </c>
      <c r="P438" s="14" t="s">
        <v>9158</v>
      </c>
      <c r="Q438" s="14" t="s">
        <v>9158</v>
      </c>
    </row>
    <row r="439" spans="1:17">
      <c r="A439" s="9">
        <v>75723</v>
      </c>
      <c r="B439" s="14" t="s">
        <v>334</v>
      </c>
      <c r="C439" s="14" t="s">
        <v>206</v>
      </c>
      <c r="D439" s="14" t="s">
        <v>5636</v>
      </c>
      <c r="E439" s="15" t="str">
        <f>HYPERLINK("https://stat100.ameba.jp/tnk47/ratio20/illustrations/card/ill_75723_shirokitsunenooshibai03.jpg?202004-i_prefecture_active_user", "■")</f>
        <v>■</v>
      </c>
      <c r="F439" s="14" t="s">
        <v>3149</v>
      </c>
      <c r="G439" s="14">
        <v>146392</v>
      </c>
      <c r="H439" s="14">
        <v>82390</v>
      </c>
      <c r="I439" s="14">
        <v>26</v>
      </c>
      <c r="J439" s="14" t="s">
        <v>274</v>
      </c>
      <c r="K439" s="14" t="s">
        <v>3150</v>
      </c>
      <c r="L439" s="14" t="s">
        <v>3151</v>
      </c>
      <c r="M439" s="14" t="s">
        <v>9158</v>
      </c>
      <c r="N439" s="14" t="s">
        <v>9158</v>
      </c>
      <c r="O439" s="14" t="s">
        <v>9158</v>
      </c>
      <c r="P439" s="14" t="s">
        <v>9158</v>
      </c>
      <c r="Q439" s="14" t="s">
        <v>9158</v>
      </c>
    </row>
    <row r="440" spans="1:17">
      <c r="A440" s="9">
        <v>80243</v>
      </c>
      <c r="B440" s="14" t="s">
        <v>15</v>
      </c>
      <c r="C440" s="14" t="s">
        <v>191</v>
      </c>
      <c r="D440" s="14" t="s">
        <v>3832</v>
      </c>
      <c r="E440" s="15" t="str">
        <f>HYPERLINK("https://stat100.ameba.jp/tnk47/ratio20/illustrations/card/ill_80243_akuzenjinokaze03.jpg?202004-i_prefecture_active_user", "■")</f>
        <v>■</v>
      </c>
      <c r="F440" s="14" t="s">
        <v>3833</v>
      </c>
      <c r="G440" s="14">
        <v>56316</v>
      </c>
      <c r="H440" s="14">
        <v>51078</v>
      </c>
      <c r="I440" s="14">
        <v>19</v>
      </c>
      <c r="J440" s="14" t="s">
        <v>73</v>
      </c>
      <c r="K440" s="14" t="s">
        <v>3834</v>
      </c>
      <c r="L440" s="14" t="s">
        <v>3835</v>
      </c>
      <c r="M440" s="14" t="s">
        <v>9158</v>
      </c>
      <c r="N440" s="14" t="s">
        <v>9158</v>
      </c>
      <c r="O440" s="14" t="s">
        <v>9158</v>
      </c>
      <c r="P440" s="14" t="s">
        <v>9158</v>
      </c>
      <c r="Q440" s="14" t="s">
        <v>9158</v>
      </c>
    </row>
    <row r="441" spans="1:17">
      <c r="A441" s="9">
        <v>77363</v>
      </c>
      <c r="B441" s="14" t="s">
        <v>348</v>
      </c>
      <c r="C441" s="14" t="s">
        <v>185</v>
      </c>
      <c r="D441" s="14" t="s">
        <v>1533</v>
      </c>
      <c r="E441" s="15" t="str">
        <f>HYPERLINK("https://stat100.ameba.jp/tnk47/ratio20/illustrations/card/ill_77363_samonchan03.jpg?202004-i_prefecture_active_user", "■")</f>
        <v>■</v>
      </c>
      <c r="F441" s="14" t="s">
        <v>1534</v>
      </c>
      <c r="G441" s="14">
        <v>56316</v>
      </c>
      <c r="H441" s="14">
        <v>51078</v>
      </c>
      <c r="I441" s="14">
        <v>19</v>
      </c>
      <c r="J441" s="14" t="s">
        <v>283</v>
      </c>
      <c r="K441" s="14" t="s">
        <v>1535</v>
      </c>
      <c r="L441" s="14" t="s">
        <v>1536</v>
      </c>
      <c r="M441" s="14" t="s">
        <v>9158</v>
      </c>
      <c r="N441" s="14" t="s">
        <v>9158</v>
      </c>
      <c r="O441" s="14" t="s">
        <v>9158</v>
      </c>
      <c r="P441" s="14" t="s">
        <v>9158</v>
      </c>
      <c r="Q441" s="14" t="s">
        <v>9158</v>
      </c>
    </row>
    <row r="442" spans="1:17">
      <c r="A442" s="9">
        <v>48953</v>
      </c>
      <c r="B442" s="9" t="s">
        <v>348</v>
      </c>
      <c r="C442" s="9" t="s">
        <v>165</v>
      </c>
      <c r="D442" s="9" t="s">
        <v>11142</v>
      </c>
      <c r="E442" s="15" t="str">
        <f>HYPERLINK("https://stat100.ameba.jp/tnk47/ratio20/illustrations/card/ill_48953_heraizumishikibu03.jpg?202004-i_prefecture_active_user", "■")</f>
        <v>■</v>
      </c>
      <c r="F442" s="9" t="s">
        <v>11143</v>
      </c>
      <c r="G442" s="14">
        <v>56316</v>
      </c>
      <c r="H442" s="14">
        <v>51078</v>
      </c>
      <c r="I442" s="9">
        <v>19</v>
      </c>
      <c r="J442" s="9" t="s">
        <v>414</v>
      </c>
      <c r="K442" s="9" t="s">
        <v>11144</v>
      </c>
      <c r="L442" s="9" t="s">
        <v>11145</v>
      </c>
      <c r="M442" s="14" t="s">
        <v>9158</v>
      </c>
      <c r="N442" s="14" t="s">
        <v>9158</v>
      </c>
      <c r="O442" s="14" t="s">
        <v>9158</v>
      </c>
      <c r="P442" s="14" t="s">
        <v>9158</v>
      </c>
      <c r="Q442" s="14" t="s">
        <v>9158</v>
      </c>
    </row>
    <row r="444" spans="1:17">
      <c r="A444" s="9" t="s">
        <v>11895</v>
      </c>
    </row>
    <row r="445" spans="1:17">
      <c r="A445" s="14" t="s">
        <v>11896</v>
      </c>
    </row>
    <row r="446" spans="1:17">
      <c r="A446" s="14" t="s">
        <v>5605</v>
      </c>
      <c r="B446" s="14" t="s">
        <v>52</v>
      </c>
      <c r="C446" s="14" t="s">
        <v>202</v>
      </c>
      <c r="D446" s="19" t="s">
        <v>10332</v>
      </c>
      <c r="E446" s="15" t="str">
        <f>HYPERLINK("https://stat100.ameba.jp/tnk47/ratio20/illustrations/card/ill_79373_0_hommeichokotennyohime03.jpg?202004-i_prefecture_active_user", "■")</f>
        <v>■</v>
      </c>
      <c r="F446" s="14" t="s">
        <v>3495</v>
      </c>
      <c r="G446" s="14">
        <v>296766</v>
      </c>
      <c r="H446" s="14">
        <v>268230</v>
      </c>
      <c r="I446" s="14">
        <v>24</v>
      </c>
      <c r="J446" s="14" t="s">
        <v>104</v>
      </c>
      <c r="K446" s="14" t="s">
        <v>3496</v>
      </c>
      <c r="L446" s="14" t="s">
        <v>3497</v>
      </c>
      <c r="M446" s="14" t="s">
        <v>9158</v>
      </c>
      <c r="N446" s="14" t="s">
        <v>9158</v>
      </c>
      <c r="O446" s="19" t="s">
        <v>10072</v>
      </c>
      <c r="P446" s="14" t="s">
        <v>3498</v>
      </c>
      <c r="Q446" s="14">
        <v>1</v>
      </c>
    </row>
    <row r="447" spans="1:17">
      <c r="A447" s="14">
        <v>83393</v>
      </c>
      <c r="B447" s="14" t="s">
        <v>334</v>
      </c>
      <c r="C447" s="14" t="s">
        <v>209</v>
      </c>
      <c r="D447" s="19" t="s">
        <v>10381</v>
      </c>
      <c r="E447" s="15" t="str">
        <f>HYPERLINK("https://stat100.ameba.jp/tnk47/ratio20/illustrations/card/ill_83393_rito03.jpg?202004-i_prefecture_active_user", "■")</f>
        <v>■</v>
      </c>
      <c r="F447" s="14" t="s">
        <v>5735</v>
      </c>
      <c r="G447" s="14">
        <v>122476</v>
      </c>
      <c r="H447" s="14">
        <v>88706</v>
      </c>
      <c r="I447" s="14">
        <v>24</v>
      </c>
      <c r="J447" s="14" t="s">
        <v>38</v>
      </c>
      <c r="K447" s="14" t="s">
        <v>5738</v>
      </c>
      <c r="L447" s="14" t="s">
        <v>5400</v>
      </c>
      <c r="M447" s="14" t="s">
        <v>9158</v>
      </c>
      <c r="N447" s="14" t="s">
        <v>9158</v>
      </c>
      <c r="O447" s="19" t="s">
        <v>10098</v>
      </c>
      <c r="P447" s="14" t="s">
        <v>3491</v>
      </c>
      <c r="Q447" s="14">
        <v>1</v>
      </c>
    </row>
    <row r="448" spans="1:17">
      <c r="A448" s="14">
        <v>66363</v>
      </c>
      <c r="B448" s="14" t="s">
        <v>334</v>
      </c>
      <c r="C448" s="14" t="s">
        <v>158</v>
      </c>
      <c r="D448" s="20" t="s">
        <v>2910</v>
      </c>
      <c r="E448" s="15" t="str">
        <f>HYPERLINK("https://stat100.ameba.jp/tnk47/ratio20/illustrations/card/ill_66363_iharasaikaku03.jpg?202004-i_prefecture_active_user", "■")</f>
        <v>■</v>
      </c>
      <c r="F448" s="14" t="s">
        <v>122</v>
      </c>
      <c r="G448" s="14">
        <v>78916</v>
      </c>
      <c r="H448" s="14">
        <v>108924</v>
      </c>
      <c r="I448" s="14">
        <v>24</v>
      </c>
      <c r="J448" s="14" t="s">
        <v>414</v>
      </c>
      <c r="K448" s="14" t="s">
        <v>2911</v>
      </c>
      <c r="L448" s="14" t="s">
        <v>1575</v>
      </c>
      <c r="M448" s="14" t="s">
        <v>9158</v>
      </c>
      <c r="N448" s="14" t="s">
        <v>9158</v>
      </c>
      <c r="O448" s="19" t="s">
        <v>10074</v>
      </c>
      <c r="P448" s="14" t="s">
        <v>2822</v>
      </c>
      <c r="Q448" s="14">
        <v>1</v>
      </c>
    </row>
    <row r="449" spans="1:17">
      <c r="A449" s="14">
        <v>64043</v>
      </c>
      <c r="B449" s="14" t="s">
        <v>334</v>
      </c>
      <c r="C449" s="14" t="s">
        <v>209</v>
      </c>
      <c r="D449" s="19" t="s">
        <v>10262</v>
      </c>
      <c r="E449" s="15" t="str">
        <f>HYPERLINK("https://stat100.ameba.jp/tnk47/ratio20/illustrations/card/ill_64043_kegonnotaki03.jpg?202004-i_prefecture_active_user", "■")</f>
        <v>■</v>
      </c>
      <c r="F449" s="14" t="s">
        <v>759</v>
      </c>
      <c r="G449" s="14">
        <v>114160</v>
      </c>
      <c r="H449" s="14">
        <v>82694</v>
      </c>
      <c r="I449" s="14">
        <v>24</v>
      </c>
      <c r="J449" s="14" t="s">
        <v>229</v>
      </c>
      <c r="K449" s="14" t="s">
        <v>230</v>
      </c>
      <c r="L449" s="14" t="s">
        <v>13143</v>
      </c>
      <c r="M449" s="14" t="s">
        <v>9158</v>
      </c>
      <c r="N449" s="14" t="s">
        <v>9158</v>
      </c>
      <c r="O449" s="19" t="s">
        <v>10070</v>
      </c>
      <c r="P449" s="14" t="s">
        <v>3579</v>
      </c>
      <c r="Q449" s="14">
        <v>1</v>
      </c>
    </row>
    <row r="451" spans="1:17">
      <c r="A451" s="9" t="s">
        <v>11924</v>
      </c>
    </row>
    <row r="452" spans="1:17">
      <c r="A452" s="14" t="s">
        <v>4077</v>
      </c>
    </row>
    <row r="453" spans="1:17">
      <c r="A453" s="14" t="s">
        <v>5891</v>
      </c>
      <c r="B453" s="14" t="s">
        <v>330</v>
      </c>
      <c r="C453" s="14" t="s">
        <v>202</v>
      </c>
      <c r="D453" s="19" t="s">
        <v>1371</v>
      </c>
      <c r="E453" s="15" t="str">
        <f>HYPERLINK("https://stat100.ameba.jp/tnk47/ratio20/illustrations/card/ill_77173_0_yukemuritomoegozen03.jpg?202004-i_prefecture_active_user", "■")</f>
        <v>■</v>
      </c>
      <c r="F453" s="14" t="s">
        <v>1372</v>
      </c>
      <c r="G453" s="14">
        <v>200488</v>
      </c>
      <c r="H453" s="14">
        <v>221826</v>
      </c>
      <c r="I453" s="14">
        <v>20</v>
      </c>
      <c r="J453" s="14" t="s">
        <v>310</v>
      </c>
      <c r="K453" s="14" t="s">
        <v>1373</v>
      </c>
      <c r="L453" s="14" t="s">
        <v>1374</v>
      </c>
      <c r="M453" s="14" t="s">
        <v>9158</v>
      </c>
      <c r="N453" s="14" t="s">
        <v>9158</v>
      </c>
      <c r="O453" s="19" t="s">
        <v>4067</v>
      </c>
      <c r="P453" s="14" t="s">
        <v>3879</v>
      </c>
      <c r="Q453" s="14">
        <v>2</v>
      </c>
    </row>
    <row r="454" spans="1:17">
      <c r="A454" s="14" t="s">
        <v>5606</v>
      </c>
      <c r="B454" s="14" t="s">
        <v>52</v>
      </c>
      <c r="C454" s="14" t="s">
        <v>206</v>
      </c>
      <c r="D454" s="19" t="s">
        <v>2936</v>
      </c>
      <c r="E454" s="15" t="str">
        <f>HYPERLINK("https://stat100.ameba.jp/tnk47/ratio20/illustrations/card/ill_72233_0_koinoboriryugujin03.jpg?202004-i_prefecture_active_user", "■")</f>
        <v>■</v>
      </c>
      <c r="F454" s="14" t="s">
        <v>1012</v>
      </c>
      <c r="G454" s="14">
        <v>131192</v>
      </c>
      <c r="H454" s="14">
        <v>141112</v>
      </c>
      <c r="I454" s="14">
        <v>20</v>
      </c>
      <c r="J454" s="14" t="s">
        <v>44</v>
      </c>
      <c r="K454" s="14" t="s">
        <v>1013</v>
      </c>
      <c r="L454" s="14" t="s">
        <v>1014</v>
      </c>
      <c r="M454" s="14" t="s">
        <v>9158</v>
      </c>
      <c r="N454" s="14" t="s">
        <v>9158</v>
      </c>
      <c r="O454" s="19" t="s">
        <v>2940</v>
      </c>
      <c r="P454" s="14" t="s">
        <v>2941</v>
      </c>
      <c r="Q454" s="14">
        <v>2</v>
      </c>
    </row>
    <row r="455" spans="1:17">
      <c r="A455" s="14" t="s">
        <v>5830</v>
      </c>
      <c r="B455" s="14" t="s">
        <v>330</v>
      </c>
      <c r="C455" s="14" t="s">
        <v>191</v>
      </c>
      <c r="D455" s="19" t="s">
        <v>793</v>
      </c>
      <c r="E455" s="15" t="str">
        <f>HYPERLINK("https://stat100.ameba.jp/tnk47/ratio20/illustrations/card/ill_39933_0_reihiiinaotora03.jpg?202004-i_prefecture_active_user", "■")</f>
        <v>■</v>
      </c>
      <c r="F455" s="14" t="s">
        <v>794</v>
      </c>
      <c r="G455" s="14">
        <v>109616</v>
      </c>
      <c r="H455" s="14">
        <v>117040</v>
      </c>
      <c r="I455" s="14">
        <v>20</v>
      </c>
      <c r="J455" s="14" t="s">
        <v>315</v>
      </c>
      <c r="K455" s="14" t="s">
        <v>795</v>
      </c>
      <c r="L455" s="14" t="s">
        <v>796</v>
      </c>
      <c r="M455" s="14" t="s">
        <v>9158</v>
      </c>
      <c r="N455" s="14" t="s">
        <v>9158</v>
      </c>
      <c r="O455" s="14" t="s">
        <v>9158</v>
      </c>
      <c r="P455" s="14" t="s">
        <v>9158</v>
      </c>
      <c r="Q455" s="14" t="s">
        <v>9158</v>
      </c>
    </row>
    <row r="456" spans="1:17">
      <c r="A456" s="9">
        <v>87983</v>
      </c>
      <c r="B456" s="14" t="s">
        <v>334</v>
      </c>
      <c r="C456" s="9" t="s">
        <v>11916</v>
      </c>
      <c r="D456" s="9" t="s">
        <v>11920</v>
      </c>
      <c r="E456" s="15" t="str">
        <f>HYPERLINK("https://stat100.ameba.jp/tnk47/ratio20/illustrations/card/ill_87983_mafuiadonarorentsua03.jpg?202004-i_prefecture_active_user", "■")</f>
        <v>■</v>
      </c>
      <c r="F456" s="9" t="s">
        <v>11918</v>
      </c>
      <c r="G456" s="9">
        <v>107392</v>
      </c>
      <c r="H456" s="9">
        <v>190884</v>
      </c>
      <c r="I456" s="14">
        <v>26</v>
      </c>
      <c r="J456" s="9" t="s">
        <v>11915</v>
      </c>
      <c r="K456" s="9" t="s">
        <v>11922</v>
      </c>
      <c r="L456" s="9" t="s">
        <v>13248</v>
      </c>
      <c r="M456" s="14" t="s">
        <v>9158</v>
      </c>
      <c r="N456" s="14" t="s">
        <v>9158</v>
      </c>
      <c r="O456" s="14" t="s">
        <v>9158</v>
      </c>
      <c r="P456" s="14" t="s">
        <v>9158</v>
      </c>
      <c r="Q456" s="14" t="s">
        <v>9158</v>
      </c>
    </row>
    <row r="457" spans="1:17">
      <c r="A457" s="9">
        <v>87993</v>
      </c>
      <c r="B457" s="14" t="s">
        <v>334</v>
      </c>
      <c r="C457" s="9" t="s">
        <v>11917</v>
      </c>
      <c r="D457" s="9" t="s">
        <v>11921</v>
      </c>
      <c r="E457" s="15" t="str">
        <f>HYPERLINK("https://stat100.ameba.jp/tnk47/ratio20/illustrations/card/ill_87993_mafuiabirika03.jpg?202004-i_prefecture_active_user", "■")</f>
        <v>■</v>
      </c>
      <c r="F457" s="9" t="s">
        <v>11919</v>
      </c>
      <c r="G457" s="9">
        <v>85312</v>
      </c>
      <c r="H457" s="9">
        <v>151650</v>
      </c>
      <c r="I457" s="14">
        <v>26</v>
      </c>
      <c r="J457" s="14" t="s">
        <v>38</v>
      </c>
      <c r="K457" s="9" t="s">
        <v>11923</v>
      </c>
      <c r="L457" s="9" t="s">
        <v>13249</v>
      </c>
      <c r="M457" s="14" t="s">
        <v>9158</v>
      </c>
      <c r="N457" s="14" t="s">
        <v>9158</v>
      </c>
      <c r="O457" s="14" t="s">
        <v>9158</v>
      </c>
      <c r="P457" s="14" t="s">
        <v>9158</v>
      </c>
      <c r="Q457" s="14" t="s">
        <v>9158</v>
      </c>
    </row>
    <row r="458" spans="1:17">
      <c r="A458" s="9">
        <v>79153</v>
      </c>
      <c r="B458" s="14" t="s">
        <v>334</v>
      </c>
      <c r="C458" s="14" t="s">
        <v>205</v>
      </c>
      <c r="D458" s="14" t="s">
        <v>3305</v>
      </c>
      <c r="E458" s="15" t="str">
        <f>HYPERLINK("https://stat100.ameba.jp/tnk47/ratio20/illustrations/card/ill_79153_karutafutaoijimanoyamanokami03.jpg?202004-i_prefecture_active_user", "■")</f>
        <v>■</v>
      </c>
      <c r="F458" s="14" t="s">
        <v>3306</v>
      </c>
      <c r="G458" s="14">
        <v>73678</v>
      </c>
      <c r="H458" s="14">
        <v>130968</v>
      </c>
      <c r="I458" s="14">
        <v>26</v>
      </c>
      <c r="J458" s="14" t="s">
        <v>44</v>
      </c>
      <c r="K458" s="14" t="s">
        <v>3307</v>
      </c>
      <c r="L458" s="14" t="s">
        <v>1209</v>
      </c>
      <c r="M458" s="14" t="s">
        <v>9158</v>
      </c>
      <c r="N458" s="14" t="s">
        <v>9158</v>
      </c>
      <c r="O458" s="14" t="s">
        <v>9158</v>
      </c>
      <c r="P458" s="14" t="s">
        <v>9158</v>
      </c>
      <c r="Q458" s="14" t="s">
        <v>9158</v>
      </c>
    </row>
    <row r="459" spans="1:17">
      <c r="A459" s="14">
        <v>60103</v>
      </c>
      <c r="B459" s="14" t="s">
        <v>15</v>
      </c>
      <c r="C459" s="14" t="s">
        <v>206</v>
      </c>
      <c r="D459" s="19" t="s">
        <v>10399</v>
      </c>
      <c r="E459" s="15" t="str">
        <f>HYPERLINK("https://stat100.ameba.jp/tnk47/ratio20/illustrations/card/ill_60103_bukibidorozaikuchan03.jpg?202004-i_prefecture_active_user", "■")</f>
        <v>■</v>
      </c>
      <c r="F459" s="14" t="s">
        <v>5831</v>
      </c>
      <c r="G459" s="14">
        <v>51078</v>
      </c>
      <c r="H459" s="14">
        <v>56316</v>
      </c>
      <c r="I459" s="14">
        <v>19</v>
      </c>
      <c r="J459" s="14" t="s">
        <v>26</v>
      </c>
      <c r="K459" s="14" t="s">
        <v>5832</v>
      </c>
      <c r="L459" s="14" t="s">
        <v>5833</v>
      </c>
      <c r="M459" s="14" t="s">
        <v>9158</v>
      </c>
      <c r="N459" s="14" t="s">
        <v>9158</v>
      </c>
      <c r="O459" s="14" t="s">
        <v>9158</v>
      </c>
      <c r="P459" s="14" t="s">
        <v>9158</v>
      </c>
      <c r="Q459" s="14" t="s">
        <v>9158</v>
      </c>
    </row>
    <row r="460" spans="1:17">
      <c r="A460" s="9">
        <v>57853</v>
      </c>
      <c r="B460" s="14" t="s">
        <v>15</v>
      </c>
      <c r="C460" s="14" t="s">
        <v>200</v>
      </c>
      <c r="D460" s="14" t="s">
        <v>997</v>
      </c>
      <c r="E460" s="15" t="str">
        <f>HYPERLINK("https://stat100.ameba.jp/tnk47/ratio20/illustrations/card/ill_57853_otokuchuruakaiteruko03.jpg?202004-i_prefecture_active_user", "■")</f>
        <v>■</v>
      </c>
      <c r="F460" s="14" t="s">
        <v>998</v>
      </c>
      <c r="G460" s="14">
        <v>51078</v>
      </c>
      <c r="H460" s="14">
        <v>56316</v>
      </c>
      <c r="I460" s="14">
        <v>19</v>
      </c>
      <c r="J460" s="14" t="s">
        <v>143</v>
      </c>
      <c r="K460" s="14" t="s">
        <v>999</v>
      </c>
      <c r="L460" s="14" t="s">
        <v>1000</v>
      </c>
      <c r="M460" s="14" t="s">
        <v>9158</v>
      </c>
      <c r="N460" s="14" t="s">
        <v>9158</v>
      </c>
      <c r="O460" s="14" t="s">
        <v>9158</v>
      </c>
      <c r="P460" s="14" t="s">
        <v>9158</v>
      </c>
      <c r="Q460" s="14" t="s">
        <v>9158</v>
      </c>
    </row>
    <row r="461" spans="1:17">
      <c r="A461" s="9">
        <v>77253</v>
      </c>
      <c r="B461" s="14" t="s">
        <v>348</v>
      </c>
      <c r="C461" s="14" t="s">
        <v>205</v>
      </c>
      <c r="D461" s="14" t="s">
        <v>1439</v>
      </c>
      <c r="E461" s="15" t="str">
        <f>HYPERLINK("https://stat100.ameba.jp/tnk47/ratio20/illustrations/card/ill_77253_korakuoribuchan03.jpg?202004-i_prefecture_active_user", "■")</f>
        <v>■</v>
      </c>
      <c r="F461" s="14" t="s">
        <v>1440</v>
      </c>
      <c r="G461" s="14">
        <v>51078</v>
      </c>
      <c r="H461" s="14">
        <v>56316</v>
      </c>
      <c r="I461" s="14">
        <v>19</v>
      </c>
      <c r="J461" s="14" t="s">
        <v>283</v>
      </c>
      <c r="K461" s="14" t="s">
        <v>1441</v>
      </c>
      <c r="L461" s="14" t="s">
        <v>1442</v>
      </c>
      <c r="M461" s="14" t="s">
        <v>9158</v>
      </c>
      <c r="N461" s="14" t="s">
        <v>9158</v>
      </c>
      <c r="O461" s="14" t="s">
        <v>9158</v>
      </c>
      <c r="P461" s="14" t="s">
        <v>9158</v>
      </c>
      <c r="Q461" s="14" t="s">
        <v>9158</v>
      </c>
    </row>
    <row r="463" spans="1:17">
      <c r="A463" s="9" t="s">
        <v>11925</v>
      </c>
    </row>
    <row r="464" spans="1:17">
      <c r="A464" s="14" t="s">
        <v>11932</v>
      </c>
    </row>
    <row r="465" spans="1:17">
      <c r="A465" s="14" t="s">
        <v>11933</v>
      </c>
    </row>
    <row r="466" spans="1:17">
      <c r="A466" s="9" t="s">
        <v>11934</v>
      </c>
      <c r="B466" s="9" t="s">
        <v>11926</v>
      </c>
      <c r="C466" s="9" t="s">
        <v>11927</v>
      </c>
      <c r="D466" s="21" t="s">
        <v>11928</v>
      </c>
      <c r="E466" s="15" t="str">
        <f>HYPERLINK("https://stat100.ameba.jp/tnk47/ratio20/illustrations/card/ill_88143_0_tenkurodentokogei03.jpg?202004-i_prefecture_active_user", "■")</f>
        <v>■</v>
      </c>
      <c r="F466" s="9" t="s">
        <v>11929</v>
      </c>
      <c r="G466" s="9">
        <v>460942</v>
      </c>
      <c r="H466" s="9">
        <v>416548</v>
      </c>
      <c r="I466" s="9">
        <v>35</v>
      </c>
      <c r="J466" s="9" t="s">
        <v>11930</v>
      </c>
      <c r="K466" s="14" t="s">
        <v>11931</v>
      </c>
      <c r="L466" s="14" t="s">
        <v>13250</v>
      </c>
      <c r="M466" s="14" t="s">
        <v>9158</v>
      </c>
      <c r="N466" s="14" t="s">
        <v>9158</v>
      </c>
      <c r="O466" s="14" t="s">
        <v>9158</v>
      </c>
      <c r="P466" s="14" t="s">
        <v>9158</v>
      </c>
      <c r="Q466" s="14" t="s">
        <v>9158</v>
      </c>
    </row>
    <row r="467" spans="1:17">
      <c r="A467" s="7" t="s">
        <v>8752</v>
      </c>
      <c r="B467" s="7" t="s">
        <v>117</v>
      </c>
      <c r="C467" s="7" t="s">
        <v>202</v>
      </c>
      <c r="D467" s="20" t="s">
        <v>10869</v>
      </c>
      <c r="E467" s="15" t="str">
        <f>HYPERLINK("https://stat100.ameba.jp/tnk47/ratio20/illustrations/card/ill_86713_0_tenkuroenjieruzu03.jpg?202004-i_prefecture_active_user", "■")</f>
        <v>■</v>
      </c>
      <c r="F467" s="7" t="s">
        <v>8755</v>
      </c>
      <c r="G467" s="7">
        <v>406728</v>
      </c>
      <c r="H467" s="7">
        <v>450016</v>
      </c>
      <c r="I467" s="7">
        <v>35</v>
      </c>
      <c r="J467" s="14" t="s">
        <v>274</v>
      </c>
      <c r="K467" s="7" t="s">
        <v>8754</v>
      </c>
      <c r="L467" s="7" t="s">
        <v>8753</v>
      </c>
      <c r="M467" s="14" t="s">
        <v>9158</v>
      </c>
      <c r="N467" s="14" t="s">
        <v>9158</v>
      </c>
      <c r="O467" s="14" t="s">
        <v>9158</v>
      </c>
      <c r="P467" s="14" t="s">
        <v>9158</v>
      </c>
      <c r="Q467" s="14" t="s">
        <v>9158</v>
      </c>
    </row>
    <row r="468" spans="1:17">
      <c r="A468" s="9" t="s">
        <v>11935</v>
      </c>
      <c r="B468" s="9" t="s">
        <v>117</v>
      </c>
      <c r="C468" s="9" t="s">
        <v>35</v>
      </c>
      <c r="D468" s="20" t="s">
        <v>10932</v>
      </c>
      <c r="E468" s="15" t="str">
        <f>HYPERLINK("https://stat100.ameba.jp/tnk47/ratio20/illustrations/card/ill_87453_0_tenkuroinoshikacho03.jpg?202004-i_prefecture_active_user", "■")</f>
        <v>■</v>
      </c>
      <c r="F468" s="9" t="s">
        <v>9175</v>
      </c>
      <c r="G468" s="9">
        <v>450016</v>
      </c>
      <c r="H468" s="9">
        <v>406728</v>
      </c>
      <c r="I468" s="9">
        <v>35</v>
      </c>
      <c r="J468" s="9" t="s">
        <v>16</v>
      </c>
      <c r="K468" s="9" t="s">
        <v>9177</v>
      </c>
      <c r="L468" s="9" t="s">
        <v>9178</v>
      </c>
      <c r="M468" s="14" t="s">
        <v>9158</v>
      </c>
      <c r="N468" s="14" t="s">
        <v>9158</v>
      </c>
      <c r="O468" s="14" t="s">
        <v>9158</v>
      </c>
      <c r="P468" s="14" t="s">
        <v>9158</v>
      </c>
      <c r="Q468" s="14" t="s">
        <v>9158</v>
      </c>
    </row>
    <row r="469" spans="1:17">
      <c r="A469" s="9" t="s">
        <v>9769</v>
      </c>
      <c r="B469" s="9" t="s">
        <v>117</v>
      </c>
      <c r="C469" s="9" t="s">
        <v>202</v>
      </c>
      <c r="D469" s="19" t="s">
        <v>10993</v>
      </c>
      <c r="E469" s="15" t="str">
        <f>HYPERLINK("https://stat100.ameba.jp/tnk47/ratio20/illustrations/card/ill_88093_0_tenkurorisshunka03.jpg?202004-i_prefecture_active_user", "■")</f>
        <v>■</v>
      </c>
      <c r="F469" s="9" t="s">
        <v>9775</v>
      </c>
      <c r="G469" s="9">
        <v>406728</v>
      </c>
      <c r="H469" s="9">
        <v>450016</v>
      </c>
      <c r="I469" s="9">
        <v>35</v>
      </c>
      <c r="J469" s="9" t="s">
        <v>169</v>
      </c>
      <c r="K469" s="9" t="s">
        <v>9773</v>
      </c>
      <c r="L469" s="9" t="s">
        <v>9772</v>
      </c>
      <c r="M469" s="14" t="s">
        <v>9158</v>
      </c>
      <c r="N469" s="14" t="s">
        <v>9158</v>
      </c>
      <c r="O469" s="14" t="s">
        <v>9158</v>
      </c>
      <c r="P469" s="14" t="s">
        <v>9158</v>
      </c>
      <c r="Q469" s="14" t="s">
        <v>9158</v>
      </c>
    </row>
    <row r="470" spans="1:17">
      <c r="A470" s="14" t="s">
        <v>5848</v>
      </c>
      <c r="B470" s="14" t="s">
        <v>330</v>
      </c>
      <c r="C470" s="14" t="s">
        <v>200</v>
      </c>
      <c r="D470" s="19" t="s">
        <v>3160</v>
      </c>
      <c r="E470" s="15" t="str">
        <f>HYPERLINK("https://stat100.ameba.jp/tnk47/ratio20/illustrations/card/ill_72963_0_amenohanayomehiguchiichiyo03.jpg?202004-i_prefecture_active_user", "■")</f>
        <v>■</v>
      </c>
      <c r="F470" s="14" t="s">
        <v>1139</v>
      </c>
      <c r="G470" s="14">
        <v>147404</v>
      </c>
      <c r="H470" s="14">
        <v>137060</v>
      </c>
      <c r="I470" s="14">
        <v>22</v>
      </c>
      <c r="J470" s="14" t="s">
        <v>10</v>
      </c>
      <c r="K470" s="14" t="s">
        <v>1140</v>
      </c>
      <c r="L470" s="14" t="s">
        <v>1141</v>
      </c>
      <c r="M470" s="14" t="s">
        <v>9158</v>
      </c>
      <c r="N470" s="14" t="s">
        <v>9158</v>
      </c>
      <c r="O470" s="19" t="s">
        <v>3162</v>
      </c>
      <c r="P470" s="14" t="s">
        <v>3163</v>
      </c>
      <c r="Q470" s="14">
        <v>1</v>
      </c>
    </row>
    <row r="471" spans="1:17">
      <c r="A471" s="7">
        <v>85323</v>
      </c>
      <c r="B471" s="7" t="s">
        <v>0</v>
      </c>
      <c r="C471" s="7" t="s">
        <v>185</v>
      </c>
      <c r="D471" s="19" t="s">
        <v>10798</v>
      </c>
      <c r="E471" s="15" t="str">
        <f>HYPERLINK("https://stat100.ameba.jp/tnk47/ratio20/illustrations/card/ill_85323_sangokushikaryoubinga03.jpg?202004-i_prefecture_active_user", "■")</f>
        <v>■</v>
      </c>
      <c r="F471" s="7" t="s">
        <v>8273</v>
      </c>
      <c r="G471" s="7">
        <v>98594</v>
      </c>
      <c r="H471" s="7">
        <v>106050</v>
      </c>
      <c r="I471" s="7">
        <v>26</v>
      </c>
      <c r="J471" s="7" t="s">
        <v>169</v>
      </c>
      <c r="K471" s="7" t="s">
        <v>8272</v>
      </c>
      <c r="L471" s="7" t="s">
        <v>6782</v>
      </c>
      <c r="M471" s="14" t="s">
        <v>9158</v>
      </c>
      <c r="N471" s="14" t="s">
        <v>9158</v>
      </c>
      <c r="O471" s="14" t="s">
        <v>9158</v>
      </c>
      <c r="P471" s="14" t="s">
        <v>9158</v>
      </c>
      <c r="Q471" s="14" t="s">
        <v>9158</v>
      </c>
    </row>
    <row r="472" spans="1:17">
      <c r="A472" s="14">
        <v>82773</v>
      </c>
      <c r="B472" s="14" t="s">
        <v>0</v>
      </c>
      <c r="C472" s="14" t="s">
        <v>200</v>
      </c>
      <c r="D472" s="19" t="s">
        <v>10410</v>
      </c>
      <c r="E472" s="15" t="str">
        <f>HYPERLINK("https://stat100.ameba.jp/tnk47/ratio20/illustrations/card/ill_82773_furesshumirukuraguzatama03.jpg?202004-i_prefecture_active_user", "■")</f>
        <v>■</v>
      </c>
      <c r="F472" s="14" t="s">
        <v>5871</v>
      </c>
      <c r="G472" s="14">
        <v>98066</v>
      </c>
      <c r="H472" s="14">
        <v>105426</v>
      </c>
      <c r="I472" s="14">
        <v>26</v>
      </c>
      <c r="J472" s="14" t="s">
        <v>16</v>
      </c>
      <c r="K472" s="14" t="s">
        <v>5873</v>
      </c>
      <c r="L472" s="14" t="s">
        <v>124</v>
      </c>
      <c r="M472" s="14" t="s">
        <v>9158</v>
      </c>
      <c r="N472" s="14" t="s">
        <v>9158</v>
      </c>
      <c r="O472" s="14" t="s">
        <v>9158</v>
      </c>
      <c r="P472" s="14" t="s">
        <v>9158</v>
      </c>
      <c r="Q472" s="14" t="s">
        <v>9158</v>
      </c>
    </row>
    <row r="473" spans="1:17">
      <c r="A473" s="14">
        <v>83213</v>
      </c>
      <c r="B473" s="14" t="s">
        <v>0</v>
      </c>
      <c r="C473" s="14" t="s">
        <v>191</v>
      </c>
      <c r="D473" s="19" t="s">
        <v>10495</v>
      </c>
      <c r="E473" s="15" t="str">
        <f>HYPERLINK("https://stat100.ameba.jp/tnk47/ratio20/illustrations/card/ill_83213_hanabishiechizenganinabechan03.jpg?202004-i_prefecture_active_user", "■")</f>
        <v>■</v>
      </c>
      <c r="F473" s="14" t="s">
        <v>6282</v>
      </c>
      <c r="G473" s="14">
        <v>114176</v>
      </c>
      <c r="H473" s="14">
        <v>122786</v>
      </c>
      <c r="I473" s="14">
        <v>26</v>
      </c>
      <c r="J473" s="14" t="s">
        <v>104</v>
      </c>
      <c r="K473" s="14" t="s">
        <v>6285</v>
      </c>
      <c r="L473" s="14" t="s">
        <v>131</v>
      </c>
      <c r="M473" s="14" t="s">
        <v>9158</v>
      </c>
      <c r="N473" s="14" t="s">
        <v>9158</v>
      </c>
      <c r="O473" s="14" t="s">
        <v>9158</v>
      </c>
      <c r="P473" s="14" t="s">
        <v>9158</v>
      </c>
      <c r="Q473" s="14" t="s">
        <v>9158</v>
      </c>
    </row>
    <row r="474" spans="1:17">
      <c r="A474" s="14">
        <v>83743</v>
      </c>
      <c r="B474" s="14" t="s">
        <v>0</v>
      </c>
      <c r="C474" s="14" t="s">
        <v>165</v>
      </c>
      <c r="D474" s="19" t="s">
        <v>10595</v>
      </c>
      <c r="E474" s="15" t="str">
        <f>HYPERLINK("https://stat100.ameba.jp/tnk47/ratio20/illustrations/card/ill_83743_usaginosatosahohime03.jpg?202004-i_prefecture_active_user", "■")</f>
        <v>■</v>
      </c>
      <c r="F474" s="14" t="s">
        <v>6784</v>
      </c>
      <c r="G474" s="14">
        <v>98594</v>
      </c>
      <c r="H474" s="14">
        <v>106050</v>
      </c>
      <c r="I474" s="14">
        <v>26</v>
      </c>
      <c r="J474" s="14" t="s">
        <v>44</v>
      </c>
      <c r="K474" s="14" t="s">
        <v>6783</v>
      </c>
      <c r="L474" s="14" t="s">
        <v>6782</v>
      </c>
      <c r="M474" s="14" t="s">
        <v>9158</v>
      </c>
      <c r="N474" s="14" t="s">
        <v>9158</v>
      </c>
      <c r="O474" s="14" t="s">
        <v>9158</v>
      </c>
      <c r="P474" s="14" t="s">
        <v>9158</v>
      </c>
      <c r="Q474" s="14" t="s">
        <v>9158</v>
      </c>
    </row>
    <row r="475" spans="1:17">
      <c r="A475" s="7">
        <v>75793</v>
      </c>
      <c r="B475" s="14" t="s">
        <v>0</v>
      </c>
      <c r="C475" s="14" t="s">
        <v>1</v>
      </c>
      <c r="D475" s="19" t="s">
        <v>2738</v>
      </c>
      <c r="E475" s="15" t="str">
        <f>HYPERLINK("https://stat100.ameba.jp/tnk47/ratio20/illustrations/card/ill_75793_izumonokuni03.jpg?202004-i_prefecture_active_user", "■")</f>
        <v>■</v>
      </c>
      <c r="F475" s="14" t="s">
        <v>2074</v>
      </c>
      <c r="G475" s="14">
        <v>94390</v>
      </c>
      <c r="H475" s="14">
        <v>101558</v>
      </c>
      <c r="I475" s="14">
        <v>26</v>
      </c>
      <c r="J475" s="14" t="s">
        <v>10</v>
      </c>
      <c r="K475" s="14" t="s">
        <v>11</v>
      </c>
      <c r="L475" s="14" t="s">
        <v>12</v>
      </c>
      <c r="M475" s="14" t="s">
        <v>9158</v>
      </c>
      <c r="N475" s="14" t="s">
        <v>9158</v>
      </c>
      <c r="O475" s="14" t="s">
        <v>9158</v>
      </c>
      <c r="P475" s="14" t="s">
        <v>9158</v>
      </c>
      <c r="Q475" s="14" t="s">
        <v>9158</v>
      </c>
    </row>
    <row r="476" spans="1:17">
      <c r="A476" s="14">
        <v>82613</v>
      </c>
      <c r="B476" s="14" t="s">
        <v>0</v>
      </c>
      <c r="C476" s="14" t="s">
        <v>107</v>
      </c>
      <c r="D476" s="19" t="s">
        <v>10354</v>
      </c>
      <c r="E476" s="15" t="str">
        <f>HYPERLINK("https://stat100.ameba.jp/tnk47/ratio20/illustrations/card/ill_82613_hyokanokisetsumyorinni03.jpg?202004-i_prefecture_active_user", "■")</f>
        <v>■</v>
      </c>
      <c r="F476" s="14" t="s">
        <v>5538</v>
      </c>
      <c r="G476" s="14">
        <v>143714</v>
      </c>
      <c r="H476" s="14">
        <v>154562</v>
      </c>
      <c r="I476" s="14">
        <v>26</v>
      </c>
      <c r="J476" s="14" t="s">
        <v>143</v>
      </c>
      <c r="K476" s="14" t="s">
        <v>5540</v>
      </c>
      <c r="L476" s="14" t="s">
        <v>5541</v>
      </c>
      <c r="M476" s="14" t="s">
        <v>9158</v>
      </c>
      <c r="N476" s="14" t="s">
        <v>9158</v>
      </c>
      <c r="O476" s="14" t="s">
        <v>9158</v>
      </c>
      <c r="P476" s="14" t="s">
        <v>9158</v>
      </c>
      <c r="Q476" s="14" t="s">
        <v>9158</v>
      </c>
    </row>
    <row r="478" spans="1:17">
      <c r="A478" s="9" t="s">
        <v>11936</v>
      </c>
    </row>
    <row r="479" spans="1:17">
      <c r="A479" s="9" t="s">
        <v>11943</v>
      </c>
    </row>
    <row r="480" spans="1:17">
      <c r="A480" s="14" t="s">
        <v>5804</v>
      </c>
      <c r="B480" s="14" t="s">
        <v>52</v>
      </c>
      <c r="C480" s="14" t="s">
        <v>14</v>
      </c>
      <c r="D480" s="19" t="s">
        <v>3195</v>
      </c>
      <c r="E480" s="15" t="str">
        <f>HYPERLINK("https://stat100.ameba.jp/tnk47/ratio20/illustrations/card/ill_75393_0_resukuinotsukisamaniittausagi03.jpg?202004-i_prefecture_active_user", "■")</f>
        <v>■</v>
      </c>
      <c r="F480" s="14" t="s">
        <v>3248</v>
      </c>
      <c r="G480" s="14">
        <v>273368</v>
      </c>
      <c r="H480" s="14">
        <v>254160</v>
      </c>
      <c r="I480" s="14">
        <v>24</v>
      </c>
      <c r="J480" s="14" t="s">
        <v>26</v>
      </c>
      <c r="K480" s="14" t="s">
        <v>3249</v>
      </c>
      <c r="L480" s="14" t="s">
        <v>3250</v>
      </c>
      <c r="M480" s="14" t="s">
        <v>11944</v>
      </c>
      <c r="N480" s="14" t="s">
        <v>9158</v>
      </c>
      <c r="O480" s="19" t="s">
        <v>10101</v>
      </c>
      <c r="P480" s="14" t="s">
        <v>3251</v>
      </c>
      <c r="Q480" s="14">
        <v>2</v>
      </c>
    </row>
    <row r="481" spans="1:17">
      <c r="A481" s="14" t="s">
        <v>5901</v>
      </c>
      <c r="B481" s="14" t="s">
        <v>52</v>
      </c>
      <c r="C481" s="14" t="s">
        <v>101</v>
      </c>
      <c r="D481" s="19" t="s">
        <v>1426</v>
      </c>
      <c r="E481" s="15" t="str">
        <f>HYPERLINK("https://stat100.ameba.jp/tnk47/ratio20/illustrations/card/ill_64953_0_yukatatokugawayoshinobu03.jpg?202004-i_prefecture_active_user", "■")</f>
        <v>■</v>
      </c>
      <c r="F481" s="14" t="s">
        <v>2090</v>
      </c>
      <c r="G481" s="14">
        <v>149520</v>
      </c>
      <c r="H481" s="14">
        <v>160804</v>
      </c>
      <c r="I481" s="14">
        <v>24</v>
      </c>
      <c r="J481" s="14" t="s">
        <v>10</v>
      </c>
      <c r="K481" s="14" t="s">
        <v>2091</v>
      </c>
      <c r="L481" s="14" t="s">
        <v>2092</v>
      </c>
      <c r="M481" s="14" t="s">
        <v>9158</v>
      </c>
      <c r="N481" s="14" t="s">
        <v>9158</v>
      </c>
      <c r="O481" s="19" t="s">
        <v>2889</v>
      </c>
      <c r="P481" s="14" t="s">
        <v>2890</v>
      </c>
      <c r="Q481" s="14">
        <v>1</v>
      </c>
    </row>
    <row r="482" spans="1:17">
      <c r="A482" s="14" t="s">
        <v>6132</v>
      </c>
      <c r="B482" s="14" t="s">
        <v>52</v>
      </c>
      <c r="C482" s="14" t="s">
        <v>205</v>
      </c>
      <c r="D482" s="19" t="s">
        <v>702</v>
      </c>
      <c r="E482" s="15" t="str">
        <f>HYPERLINK("https://stat100.ameba.jp/tnk47/ratio20/illustrations/card/ill_50693_0_hanamizugimimuratsuru03.jpg?202004-i_prefecture_active_user", "■")</f>
        <v>■</v>
      </c>
      <c r="F482" s="14" t="s">
        <v>2282</v>
      </c>
      <c r="G482" s="14">
        <v>133938</v>
      </c>
      <c r="H482" s="14">
        <v>150776</v>
      </c>
      <c r="I482" s="14">
        <v>24</v>
      </c>
      <c r="J482" s="14" t="s">
        <v>143</v>
      </c>
      <c r="K482" s="14" t="s">
        <v>2283</v>
      </c>
      <c r="L482" s="14" t="s">
        <v>2284</v>
      </c>
      <c r="M482" s="14" t="s">
        <v>9158</v>
      </c>
      <c r="N482" s="14" t="s">
        <v>9158</v>
      </c>
      <c r="O482" s="14" t="s">
        <v>9158</v>
      </c>
      <c r="P482" s="14" t="s">
        <v>9158</v>
      </c>
      <c r="Q482" s="14" t="s">
        <v>9158</v>
      </c>
    </row>
    <row r="483" spans="1:17">
      <c r="A483" s="14">
        <v>55273</v>
      </c>
      <c r="B483" s="14" t="s">
        <v>0</v>
      </c>
      <c r="C483" s="14" t="s">
        <v>206</v>
      </c>
      <c r="D483" s="19" t="s">
        <v>10724</v>
      </c>
      <c r="E483" s="15" t="str">
        <f>HYPERLINK("https://stat100.ameba.jp/tnk47/ratio20/illustrations/card/ill_55273_harointachibanamuneshige03.jpg?202004-i_prefecture_active_user", "■")</f>
        <v>■</v>
      </c>
      <c r="F483" s="14" t="s">
        <v>4742</v>
      </c>
      <c r="G483" s="14">
        <v>89590</v>
      </c>
      <c r="H483" s="14">
        <v>148199</v>
      </c>
      <c r="I483" s="9">
        <v>25</v>
      </c>
      <c r="J483" s="14" t="s">
        <v>143</v>
      </c>
      <c r="K483" s="14" t="s">
        <v>4743</v>
      </c>
      <c r="L483" s="14" t="s">
        <v>4744</v>
      </c>
      <c r="M483" s="14" t="s">
        <v>9158</v>
      </c>
      <c r="N483" s="14" t="s">
        <v>9158</v>
      </c>
      <c r="O483" s="19" t="s">
        <v>10130</v>
      </c>
      <c r="P483" s="14" t="s">
        <v>13145</v>
      </c>
      <c r="Q483" s="14">
        <v>1</v>
      </c>
    </row>
    <row r="484" spans="1:17">
      <c r="A484" s="16">
        <v>74263</v>
      </c>
      <c r="B484" s="14" t="s">
        <v>15</v>
      </c>
      <c r="C484" s="14" t="s">
        <v>23</v>
      </c>
      <c r="D484" s="19" t="s">
        <v>10304</v>
      </c>
      <c r="E484" s="15" t="str">
        <f>HYPERLINK("https://stat100.ameba.jp/tnk47/ratio20/illustrations/card/ill_74263_kaiguniinaomasa03.jpg?202004-i_prefecture_active_user", "■")</f>
        <v>■</v>
      </c>
      <c r="F484" s="14" t="s">
        <v>5322</v>
      </c>
      <c r="G484" s="14">
        <v>74100</v>
      </c>
      <c r="H484" s="14">
        <v>67210</v>
      </c>
      <c r="I484" s="9">
        <v>25</v>
      </c>
      <c r="J484" s="14" t="s">
        <v>143</v>
      </c>
      <c r="K484" s="14" t="s">
        <v>5323</v>
      </c>
      <c r="L484" s="14" t="s">
        <v>3524</v>
      </c>
      <c r="M484" s="14" t="s">
        <v>9158</v>
      </c>
      <c r="N484" s="14" t="s">
        <v>9158</v>
      </c>
      <c r="O484" s="9" t="s">
        <v>9158</v>
      </c>
      <c r="P484" s="14" t="s">
        <v>9158</v>
      </c>
      <c r="Q484" s="14" t="s">
        <v>9158</v>
      </c>
    </row>
    <row r="485" spans="1:17">
      <c r="A485" s="14">
        <v>83623</v>
      </c>
      <c r="B485" s="14" t="s">
        <v>22</v>
      </c>
      <c r="C485" s="14" t="s">
        <v>165</v>
      </c>
      <c r="D485" s="19" t="s">
        <v>10578</v>
      </c>
      <c r="E485" s="15" t="str">
        <f>HYPERLINK("https://stat100.ameba.jp/tnk47/ratio20/illustrations/card/ill_83623_yoasobikujotakeko03.jpg?202004-i_prefecture_active_user", "■")</f>
        <v>■</v>
      </c>
      <c r="F485" s="14" t="s">
        <v>6678</v>
      </c>
      <c r="G485" s="14">
        <v>43220</v>
      </c>
      <c r="H485" s="14">
        <v>51980</v>
      </c>
      <c r="I485" s="9">
        <v>25</v>
      </c>
      <c r="J485" s="14" t="s">
        <v>159</v>
      </c>
      <c r="K485" s="14" t="s">
        <v>6676</v>
      </c>
      <c r="L485" s="14" t="s">
        <v>6675</v>
      </c>
      <c r="M485" s="14" t="s">
        <v>9158</v>
      </c>
      <c r="N485" s="14" t="s">
        <v>9158</v>
      </c>
      <c r="O485" s="14" t="s">
        <v>9158</v>
      </c>
      <c r="P485" s="14" t="s">
        <v>9158</v>
      </c>
      <c r="Q485" s="14" t="s">
        <v>9158</v>
      </c>
    </row>
    <row r="486" spans="1:17">
      <c r="A486" s="9">
        <v>74283</v>
      </c>
      <c r="B486" s="9" t="s">
        <v>11941</v>
      </c>
      <c r="C486" s="9" t="s">
        <v>11942</v>
      </c>
      <c r="D486" s="9" t="s">
        <v>11940</v>
      </c>
      <c r="E486" s="15" t="str">
        <f>HYPERLINK("https://stat100.ameba.jp/tnk47/ratio20/illustrations/card/ill_74283_nariwaatagoohanabichan03.jpg?202004-i_prefecture_active_user", "■")</f>
        <v>■</v>
      </c>
      <c r="F486" s="9" t="s">
        <v>11937</v>
      </c>
      <c r="G486" s="9">
        <v>31470</v>
      </c>
      <c r="H486" s="9">
        <v>26430</v>
      </c>
      <c r="I486" s="9">
        <v>25</v>
      </c>
      <c r="J486" s="9" t="s">
        <v>11938</v>
      </c>
      <c r="K486" s="9" t="s">
        <v>11939</v>
      </c>
      <c r="L486" s="9" t="s">
        <v>13218</v>
      </c>
      <c r="M486" s="14" t="s">
        <v>9158</v>
      </c>
      <c r="N486" s="14" t="s">
        <v>9158</v>
      </c>
      <c r="O486" s="14" t="s">
        <v>9158</v>
      </c>
      <c r="P486" s="14" t="s">
        <v>9158</v>
      </c>
      <c r="Q486" s="14" t="s">
        <v>9158</v>
      </c>
    </row>
    <row r="488" spans="1:17">
      <c r="A488" s="9" t="s">
        <v>11945</v>
      </c>
    </row>
    <row r="489" spans="1:17">
      <c r="A489" s="9" t="s">
        <v>11946</v>
      </c>
    </row>
    <row r="490" spans="1:17">
      <c r="A490" s="14" t="s">
        <v>5843</v>
      </c>
      <c r="B490" s="14" t="s">
        <v>52</v>
      </c>
      <c r="C490" s="14" t="s">
        <v>202</v>
      </c>
      <c r="D490" s="19" t="s">
        <v>10291</v>
      </c>
      <c r="E490" s="15" t="str">
        <f>HYPERLINK("https://stat100.ameba.jp/tnk47/ratio20/illustrations/card/ill_77963_0_kurisumasudaisakusentakiyashahime03.jpg?202004-i_prefecture_active_user", "■")</f>
        <v>■</v>
      </c>
      <c r="F490" s="14" t="s">
        <v>2127</v>
      </c>
      <c r="G490" s="14">
        <v>294746</v>
      </c>
      <c r="H490" s="14">
        <v>266388</v>
      </c>
      <c r="I490" s="14">
        <v>24</v>
      </c>
      <c r="J490" s="14" t="s">
        <v>77</v>
      </c>
      <c r="K490" s="14" t="s">
        <v>2128</v>
      </c>
      <c r="L490" s="14" t="s">
        <v>2129</v>
      </c>
      <c r="M490" s="14" t="s">
        <v>9158</v>
      </c>
      <c r="N490" s="14" t="s">
        <v>9158</v>
      </c>
      <c r="O490" s="19" t="s">
        <v>10107</v>
      </c>
      <c r="P490" s="14" t="s">
        <v>3589</v>
      </c>
      <c r="Q490" s="14">
        <v>2</v>
      </c>
    </row>
    <row r="491" spans="1:17">
      <c r="A491" s="14">
        <v>75053</v>
      </c>
      <c r="B491" s="14" t="s">
        <v>334</v>
      </c>
      <c r="C491" s="14" t="s">
        <v>47</v>
      </c>
      <c r="D491" s="19" t="s">
        <v>10366</v>
      </c>
      <c r="E491" s="15" t="str">
        <f>HYPERLINK("https://stat100.ameba.jp/tnk47/ratio20/illustrations/card/ill_75053_goshikinuma03.jpg?202004-i_prefecture_active_user", "■")</f>
        <v>■</v>
      </c>
      <c r="F491" s="14" t="s">
        <v>5644</v>
      </c>
      <c r="G491" s="14">
        <v>92318</v>
      </c>
      <c r="H491" s="14">
        <v>127464</v>
      </c>
      <c r="I491" s="14">
        <v>25</v>
      </c>
      <c r="J491" s="14" t="s">
        <v>26</v>
      </c>
      <c r="K491" s="14" t="s">
        <v>5646</v>
      </c>
      <c r="L491" s="14" t="s">
        <v>2137</v>
      </c>
      <c r="M491" s="14" t="s">
        <v>9158</v>
      </c>
      <c r="N491" s="14" t="s">
        <v>9158</v>
      </c>
      <c r="O491" s="19" t="s">
        <v>10093</v>
      </c>
      <c r="P491" s="14" t="s">
        <v>13145</v>
      </c>
      <c r="Q491" s="14">
        <v>1</v>
      </c>
    </row>
    <row r="492" spans="1:17">
      <c r="A492" s="14">
        <v>80573</v>
      </c>
      <c r="B492" s="14" t="s">
        <v>334</v>
      </c>
      <c r="C492" s="14" t="s">
        <v>165</v>
      </c>
      <c r="D492" s="19" t="s">
        <v>10301</v>
      </c>
      <c r="E492" s="15" t="str">
        <f>HYPERLINK("https://stat100.ameba.jp/tnk47/ratio20/illustrations/card/ill_80573_ohanamigurampingusotorihime03.jpg?202004-i_prefecture_active_user", "■")</f>
        <v>■</v>
      </c>
      <c r="F492" s="14" t="s">
        <v>4176</v>
      </c>
      <c r="G492" s="14">
        <v>114092</v>
      </c>
      <c r="H492" s="14">
        <v>105890</v>
      </c>
      <c r="I492" s="14">
        <v>25</v>
      </c>
      <c r="J492" s="14" t="s">
        <v>38</v>
      </c>
      <c r="K492" s="14" t="s">
        <v>4177</v>
      </c>
      <c r="L492" s="14" t="s">
        <v>4178</v>
      </c>
      <c r="M492" s="14" t="s">
        <v>9158</v>
      </c>
      <c r="N492" s="14" t="s">
        <v>9158</v>
      </c>
      <c r="O492" s="19" t="s">
        <v>10119</v>
      </c>
      <c r="P492" s="14" t="s">
        <v>3662</v>
      </c>
      <c r="Q492" s="14">
        <v>1</v>
      </c>
    </row>
    <row r="493" spans="1:17">
      <c r="A493" s="14">
        <v>78873</v>
      </c>
      <c r="B493" s="14" t="s">
        <v>334</v>
      </c>
      <c r="C493" s="14" t="s">
        <v>209</v>
      </c>
      <c r="D493" s="19" t="s">
        <v>2818</v>
      </c>
      <c r="E493" s="15" t="str">
        <f>HYPERLINK("https://stat100.ameba.jp/tnk47/ratio20/illustrations/card/ill_78873_furutsutomato03.jpg?202004-i_prefecture_active_user", "■")</f>
        <v>■</v>
      </c>
      <c r="F493" s="14" t="s">
        <v>2819</v>
      </c>
      <c r="G493" s="14">
        <v>95703</v>
      </c>
      <c r="H493" s="14">
        <v>132144</v>
      </c>
      <c r="I493" s="14">
        <v>25</v>
      </c>
      <c r="J493" s="14" t="s">
        <v>283</v>
      </c>
      <c r="K493" s="14" t="s">
        <v>2820</v>
      </c>
      <c r="L493" s="14" t="s">
        <v>2821</v>
      </c>
      <c r="M493" s="14" t="s">
        <v>9158</v>
      </c>
      <c r="N493" s="14" t="s">
        <v>9158</v>
      </c>
      <c r="O493" s="19" t="s">
        <v>10074</v>
      </c>
      <c r="P493" s="14" t="s">
        <v>2822</v>
      </c>
      <c r="Q493" s="14">
        <v>1</v>
      </c>
    </row>
    <row r="495" spans="1:17">
      <c r="A495" s="9" t="s">
        <v>6512</v>
      </c>
    </row>
    <row r="496" spans="1:17">
      <c r="A496" s="9" t="s">
        <v>11947</v>
      </c>
    </row>
    <row r="497" spans="1:17">
      <c r="A497" s="14" t="s">
        <v>5650</v>
      </c>
      <c r="B497" s="14" t="s">
        <v>52</v>
      </c>
      <c r="C497" s="14" t="s">
        <v>23</v>
      </c>
      <c r="D497" s="20" t="s">
        <v>809</v>
      </c>
      <c r="E497" s="15" t="str">
        <f>HYPERLINK("https://stat100.ameba.jp/tnk47/ratio20/illustrations/card/ill_68033_0_kurisumasupateikandamyojin03.jpg?202004-i_prefecture_active_user", "■")</f>
        <v>■</v>
      </c>
      <c r="F497" s="14" t="s">
        <v>1871</v>
      </c>
      <c r="G497" s="14">
        <v>152594</v>
      </c>
      <c r="H497" s="14">
        <v>164144</v>
      </c>
      <c r="I497" s="14">
        <v>24</v>
      </c>
      <c r="J497" s="14" t="s">
        <v>44</v>
      </c>
      <c r="K497" s="14" t="s">
        <v>1872</v>
      </c>
      <c r="L497" s="14" t="s">
        <v>1873</v>
      </c>
      <c r="M497" s="14" t="s">
        <v>9158</v>
      </c>
      <c r="N497" s="14" t="s">
        <v>9158</v>
      </c>
      <c r="O497" s="19" t="s">
        <v>2997</v>
      </c>
      <c r="P497" s="14" t="s">
        <v>3483</v>
      </c>
      <c r="Q497" s="14">
        <v>2</v>
      </c>
    </row>
    <row r="498" spans="1:17">
      <c r="A498" s="14" t="s">
        <v>5603</v>
      </c>
      <c r="B498" s="14" t="s">
        <v>330</v>
      </c>
      <c r="C498" s="14" t="s">
        <v>205</v>
      </c>
      <c r="D498" s="20" t="s">
        <v>611</v>
      </c>
      <c r="E498" s="15" t="str">
        <f>HYPERLINK("https://stat100.ameba.jp/tnk47/ratio20/illustrations/card/ill_61893_0_onikirishumiyamotomusashi03.jpg?202004-i_prefecture_active_user", "■")</f>
        <v>■</v>
      </c>
      <c r="F498" s="14" t="s">
        <v>612</v>
      </c>
      <c r="G498" s="14">
        <v>224026</v>
      </c>
      <c r="H498" s="14">
        <v>208310</v>
      </c>
      <c r="I498" s="14">
        <v>24</v>
      </c>
      <c r="J498" s="14" t="s">
        <v>310</v>
      </c>
      <c r="K498" s="14" t="s">
        <v>613</v>
      </c>
      <c r="L498" s="14" t="s">
        <v>312</v>
      </c>
      <c r="M498" s="14" t="s">
        <v>9158</v>
      </c>
      <c r="N498" s="14" t="s">
        <v>9158</v>
      </c>
      <c r="O498" s="19" t="s">
        <v>10071</v>
      </c>
      <c r="P498" s="14" t="s">
        <v>3253</v>
      </c>
      <c r="Q498" s="14">
        <v>1</v>
      </c>
    </row>
    <row r="499" spans="1:17">
      <c r="A499" s="14" t="s">
        <v>5627</v>
      </c>
      <c r="B499" s="14" t="s">
        <v>330</v>
      </c>
      <c r="C499" s="14" t="s">
        <v>191</v>
      </c>
      <c r="D499" s="19" t="s">
        <v>393</v>
      </c>
      <c r="E499" s="15" t="str">
        <f>HYPERLINK("https://stat100.ameba.jp/tnk47/ratio20/illustrations/card/ill_46283_0_odanobunaga03.jpg?202004-i_prefecture_active_user", "■")</f>
        <v>■</v>
      </c>
      <c r="F499" s="14" t="s">
        <v>1073</v>
      </c>
      <c r="G499" s="14">
        <v>131538</v>
      </c>
      <c r="H499" s="14">
        <v>140448</v>
      </c>
      <c r="I499" s="14">
        <v>24</v>
      </c>
      <c r="J499" s="14" t="s">
        <v>143</v>
      </c>
      <c r="K499" s="14" t="s">
        <v>1074</v>
      </c>
      <c r="L499" s="14" t="s">
        <v>1075</v>
      </c>
      <c r="M499" s="14" t="s">
        <v>9158</v>
      </c>
      <c r="N499" s="14" t="s">
        <v>9158</v>
      </c>
      <c r="O499" s="14" t="s">
        <v>9158</v>
      </c>
      <c r="P499" s="14" t="s">
        <v>9158</v>
      </c>
      <c r="Q499" s="14" t="s">
        <v>9158</v>
      </c>
    </row>
    <row r="500" spans="1:17">
      <c r="A500" s="9">
        <v>52593</v>
      </c>
      <c r="B500" s="9" t="s">
        <v>334</v>
      </c>
      <c r="C500" s="9" t="s">
        <v>185</v>
      </c>
      <c r="D500" s="9" t="s">
        <v>10287</v>
      </c>
      <c r="E500" s="15" t="str">
        <f>HYPERLINK("https://stat100.ameba.jp/tnk47/ratio20/illustrations/card/ill_52593_sengokumibirakikitsunenohoju03.jpg?202004-i_prefecture_active_user", "■")</f>
        <v>■</v>
      </c>
      <c r="F500" s="9" t="s">
        <v>11192</v>
      </c>
      <c r="G500" s="9">
        <v>96360</v>
      </c>
      <c r="H500" s="9">
        <v>89590</v>
      </c>
      <c r="I500" s="9">
        <v>25</v>
      </c>
      <c r="J500" s="9" t="s">
        <v>274</v>
      </c>
      <c r="K500" s="9" t="s">
        <v>11193</v>
      </c>
      <c r="L500" s="9" t="s">
        <v>11194</v>
      </c>
      <c r="M500" s="14" t="s">
        <v>9158</v>
      </c>
      <c r="N500" s="14" t="s">
        <v>9158</v>
      </c>
      <c r="O500" s="9" t="s">
        <v>11195</v>
      </c>
      <c r="P500" s="9" t="s">
        <v>13124</v>
      </c>
      <c r="Q500" s="9">
        <v>1</v>
      </c>
    </row>
    <row r="501" spans="1:17">
      <c r="A501" s="9">
        <v>78953</v>
      </c>
      <c r="B501" s="14" t="s">
        <v>348</v>
      </c>
      <c r="C501" s="14" t="s">
        <v>165</v>
      </c>
      <c r="D501" s="14" t="s">
        <v>2957</v>
      </c>
      <c r="E501" s="15" t="str">
        <f>HYPERLINK("https://stat100.ameba.jp/tnk47/ratio20/illustrations/card/ill_78953_baikukitanokata03.jpg?202004-i_prefecture_active_user", "■")</f>
        <v>■</v>
      </c>
      <c r="F501" s="14" t="s">
        <v>2958</v>
      </c>
      <c r="G501" s="14">
        <v>67210</v>
      </c>
      <c r="H501" s="14">
        <v>74100</v>
      </c>
      <c r="I501" s="14">
        <v>25</v>
      </c>
      <c r="J501" s="14" t="s">
        <v>310</v>
      </c>
      <c r="K501" s="14" t="s">
        <v>2959</v>
      </c>
      <c r="L501" s="14" t="s">
        <v>2960</v>
      </c>
      <c r="M501" s="14" t="s">
        <v>9158</v>
      </c>
      <c r="N501" s="14" t="s">
        <v>9158</v>
      </c>
      <c r="O501" s="14" t="s">
        <v>9158</v>
      </c>
      <c r="P501" s="14" t="s">
        <v>9158</v>
      </c>
      <c r="Q501" s="14" t="s">
        <v>9158</v>
      </c>
    </row>
    <row r="502" spans="1:17">
      <c r="A502" s="9">
        <v>65793</v>
      </c>
      <c r="B502" s="9" t="s">
        <v>11948</v>
      </c>
      <c r="C502" s="9" t="s">
        <v>11949</v>
      </c>
      <c r="D502" s="9" t="s">
        <v>11950</v>
      </c>
      <c r="E502" s="15" t="str">
        <f>HYPERLINK("https://stat100.ameba.jp/tnk47/ratio20/illustrations/card/ill_65793_naginataikushima03.jpg?202004-i_prefecture_active_user", "■")</f>
        <v>■</v>
      </c>
      <c r="F502" s="9" t="s">
        <v>11951</v>
      </c>
      <c r="G502" s="9">
        <v>51980</v>
      </c>
      <c r="H502" s="9">
        <v>43220</v>
      </c>
      <c r="I502" s="9">
        <v>25</v>
      </c>
      <c r="J502" s="9" t="s">
        <v>11952</v>
      </c>
      <c r="K502" s="9" t="s">
        <v>11953</v>
      </c>
      <c r="L502" s="9" t="s">
        <v>13251</v>
      </c>
      <c r="M502" s="14" t="s">
        <v>9158</v>
      </c>
      <c r="N502" s="14" t="s">
        <v>9158</v>
      </c>
      <c r="O502" s="14" t="s">
        <v>9158</v>
      </c>
      <c r="P502" s="14" t="s">
        <v>9158</v>
      </c>
      <c r="Q502" s="14" t="s">
        <v>9158</v>
      </c>
    </row>
    <row r="503" spans="1:17">
      <c r="A503" s="14">
        <v>65123</v>
      </c>
      <c r="B503" s="14" t="s">
        <v>30</v>
      </c>
      <c r="C503" s="14" t="s">
        <v>5869</v>
      </c>
      <c r="D503" s="19" t="s">
        <v>10531</v>
      </c>
      <c r="E503" s="15" t="str">
        <f>HYPERLINK("https://stat100.ameba.jp/tnk47/ratio20/illustrations/card/ill_65123_shinobikoganinja03.jpg?202004-i_prefecture_active_user", "■")</f>
        <v>■</v>
      </c>
      <c r="F503" s="14" t="s">
        <v>6465</v>
      </c>
      <c r="G503" s="14">
        <v>26430</v>
      </c>
      <c r="H503" s="14">
        <v>31470</v>
      </c>
      <c r="I503" s="14">
        <v>25</v>
      </c>
      <c r="J503" s="14" t="s">
        <v>159</v>
      </c>
      <c r="K503" s="14" t="s">
        <v>6464</v>
      </c>
      <c r="L503" s="14" t="s">
        <v>4560</v>
      </c>
      <c r="M503" s="14" t="s">
        <v>9158</v>
      </c>
      <c r="N503" s="14" t="s">
        <v>9158</v>
      </c>
      <c r="O503" s="14" t="s">
        <v>9158</v>
      </c>
      <c r="P503" s="14" t="s">
        <v>9158</v>
      </c>
      <c r="Q503" s="14" t="s">
        <v>9158</v>
      </c>
    </row>
    <row r="505" spans="1:17">
      <c r="A505" s="14" t="s">
        <v>195</v>
      </c>
      <c r="B505" s="14"/>
      <c r="C505" s="14"/>
      <c r="D505" s="14"/>
      <c r="E505" s="14"/>
      <c r="F505" s="14"/>
      <c r="G505" s="14"/>
      <c r="H505" s="14"/>
      <c r="I505" s="14"/>
      <c r="J505" s="14"/>
      <c r="K505" s="14"/>
      <c r="L505" s="14"/>
      <c r="M505" s="14"/>
      <c r="N505" s="14"/>
      <c r="O505" s="14"/>
      <c r="P505" s="14"/>
      <c r="Q505" s="14"/>
    </row>
    <row r="506" spans="1:17">
      <c r="A506" s="14" t="s">
        <v>11955</v>
      </c>
      <c r="B506" s="14"/>
      <c r="C506" s="14"/>
      <c r="D506" s="14"/>
      <c r="E506" s="14"/>
      <c r="F506" s="14"/>
      <c r="G506" s="14"/>
      <c r="H506" s="14"/>
      <c r="I506" s="14"/>
      <c r="J506" s="14"/>
      <c r="K506" s="14"/>
      <c r="L506" s="14"/>
      <c r="M506" s="14"/>
      <c r="N506" s="14"/>
      <c r="O506" s="14"/>
      <c r="P506" s="14"/>
      <c r="Q506" s="14"/>
    </row>
    <row r="507" spans="1:17">
      <c r="A507" s="14">
        <v>71013</v>
      </c>
      <c r="B507" s="14" t="s">
        <v>334</v>
      </c>
      <c r="C507" s="14" t="s">
        <v>154</v>
      </c>
      <c r="D507" s="19" t="s">
        <v>837</v>
      </c>
      <c r="E507" s="15" t="str">
        <f>HYPERLINK("https://stat100.ameba.jp/tnk47/ratio20/illustrations/card/ill_71013_fujutsushisarashina03.jpg?202004-i_prefecture_active_user", "■")</f>
        <v>■</v>
      </c>
      <c r="F507" s="14" t="s">
        <v>838</v>
      </c>
      <c r="G507" s="14">
        <v>104266</v>
      </c>
      <c r="H507" s="14">
        <v>112140</v>
      </c>
      <c r="I507" s="14">
        <v>26</v>
      </c>
      <c r="J507" s="14" t="s">
        <v>155</v>
      </c>
      <c r="K507" s="14" t="s">
        <v>1231</v>
      </c>
      <c r="L507" s="14" t="s">
        <v>13152</v>
      </c>
      <c r="M507" s="14" t="s">
        <v>11956</v>
      </c>
      <c r="N507" s="14" t="s">
        <v>9158</v>
      </c>
      <c r="O507" s="14" t="s">
        <v>9158</v>
      </c>
      <c r="P507" s="14" t="s">
        <v>9158</v>
      </c>
      <c r="Q507" s="14" t="s">
        <v>9158</v>
      </c>
    </row>
    <row r="508" spans="1:17">
      <c r="A508" s="14">
        <v>71023</v>
      </c>
      <c r="B508" s="14" t="s">
        <v>334</v>
      </c>
      <c r="C508" s="14" t="s">
        <v>158</v>
      </c>
      <c r="D508" s="19" t="s">
        <v>841</v>
      </c>
      <c r="E508" s="15" t="str">
        <f>HYPERLINK("https://stat100.ameba.jp/tnk47/ratio20/illustrations/card/ill_71023_ommyojiiroha03.jpg?202004-i_prefecture_active_user", "■")</f>
        <v>■</v>
      </c>
      <c r="F508" s="14" t="s">
        <v>842</v>
      </c>
      <c r="G508" s="14">
        <v>104266</v>
      </c>
      <c r="H508" s="14">
        <v>112140</v>
      </c>
      <c r="I508" s="14">
        <v>26</v>
      </c>
      <c r="J508" s="14" t="s">
        <v>159</v>
      </c>
      <c r="K508" s="14" t="s">
        <v>1232</v>
      </c>
      <c r="L508" s="14" t="s">
        <v>1233</v>
      </c>
      <c r="M508" s="14" t="s">
        <v>9158</v>
      </c>
      <c r="N508" s="14" t="s">
        <v>9158</v>
      </c>
      <c r="O508" s="14" t="s">
        <v>9158</v>
      </c>
      <c r="P508" s="14" t="s">
        <v>9158</v>
      </c>
      <c r="Q508" s="14" t="s">
        <v>9158</v>
      </c>
    </row>
    <row r="509" spans="1:17">
      <c r="A509" s="14">
        <v>66053</v>
      </c>
      <c r="B509" s="14" t="s">
        <v>334</v>
      </c>
      <c r="C509" s="14" t="s">
        <v>205</v>
      </c>
      <c r="D509" s="19" t="s">
        <v>3046</v>
      </c>
      <c r="E509" s="15" t="str">
        <f>HYPERLINK("https://stat100.ameba.jp/tnk47/ratio20/illustrations/card/ill_66053_serebukushiyatamanokami03.jpg?202004-i_prefecture_active_user", "■")</f>
        <v>■</v>
      </c>
      <c r="F509" s="14" t="s">
        <v>2265</v>
      </c>
      <c r="G509" s="14">
        <v>106050</v>
      </c>
      <c r="H509" s="14">
        <v>98594</v>
      </c>
      <c r="I509" s="14">
        <v>26</v>
      </c>
      <c r="J509" s="14" t="s">
        <v>44</v>
      </c>
      <c r="K509" s="14" t="s">
        <v>2266</v>
      </c>
      <c r="L509" s="14" t="s">
        <v>1860</v>
      </c>
      <c r="M509" s="14" t="s">
        <v>9158</v>
      </c>
      <c r="N509" s="14" t="s">
        <v>9158</v>
      </c>
      <c r="O509" s="14" t="s">
        <v>9158</v>
      </c>
      <c r="P509" s="14" t="s">
        <v>9158</v>
      </c>
      <c r="Q509" s="14" t="s">
        <v>9158</v>
      </c>
    </row>
    <row r="510" spans="1:17">
      <c r="A510" s="14">
        <v>65923</v>
      </c>
      <c r="B510" s="14" t="s">
        <v>334</v>
      </c>
      <c r="C510" s="14" t="s">
        <v>185</v>
      </c>
      <c r="D510" s="19" t="s">
        <v>10204</v>
      </c>
      <c r="E510" s="15" t="str">
        <f>HYPERLINK("https://stat100.ameba.jp/tnk47/ratio20/illustrations/card/ill_65923_arabianginko03.jpg?202004-i_prefecture_active_user", "■")</f>
        <v>■</v>
      </c>
      <c r="F510" s="14" t="s">
        <v>4978</v>
      </c>
      <c r="G510" s="14">
        <v>108330</v>
      </c>
      <c r="H510" s="14">
        <v>100744</v>
      </c>
      <c r="I510" s="14">
        <v>26</v>
      </c>
      <c r="J510" s="14" t="s">
        <v>182</v>
      </c>
      <c r="K510" s="14" t="s">
        <v>3679</v>
      </c>
      <c r="L510" s="14" t="s">
        <v>13188</v>
      </c>
      <c r="M510" s="14" t="s">
        <v>9158</v>
      </c>
      <c r="N510" s="14" t="s">
        <v>9158</v>
      </c>
      <c r="O510" s="14" t="s">
        <v>9158</v>
      </c>
      <c r="P510" s="14" t="s">
        <v>9158</v>
      </c>
      <c r="Q510" s="14" t="s">
        <v>9158</v>
      </c>
    </row>
    <row r="511" spans="1:17">
      <c r="A511" s="14">
        <v>52863</v>
      </c>
      <c r="B511" s="14" t="s">
        <v>15</v>
      </c>
      <c r="C511" s="14" t="s">
        <v>191</v>
      </c>
      <c r="D511" s="19" t="s">
        <v>10516</v>
      </c>
      <c r="E511" s="15" t="str">
        <f>HYPERLINK("https://stat100.ameba.jp/tnk47/ratio20/illustrations/card/ill_52863_andoroidokingyonota03.jpg?202004-i_prefecture_active_user", "■")</f>
        <v>■</v>
      </c>
      <c r="F511" s="14" t="s">
        <v>6409</v>
      </c>
      <c r="G511" s="14">
        <v>69898</v>
      </c>
      <c r="H511" s="14">
        <v>77064</v>
      </c>
      <c r="I511" s="14">
        <v>26</v>
      </c>
      <c r="J511" s="14" t="s">
        <v>38</v>
      </c>
      <c r="K511" s="14" t="s">
        <v>6407</v>
      </c>
      <c r="L511" s="14" t="s">
        <v>6406</v>
      </c>
      <c r="M511" s="14" t="s">
        <v>9158</v>
      </c>
      <c r="N511" s="14" t="s">
        <v>9158</v>
      </c>
      <c r="O511" s="14" t="s">
        <v>9158</v>
      </c>
      <c r="P511" s="14" t="s">
        <v>9158</v>
      </c>
      <c r="Q511" s="14" t="s">
        <v>9158</v>
      </c>
    </row>
    <row r="512" spans="1:17">
      <c r="A512" s="14">
        <v>51593</v>
      </c>
      <c r="B512" s="14" t="s">
        <v>15</v>
      </c>
      <c r="C512" s="14" t="s">
        <v>200</v>
      </c>
      <c r="D512" s="19" t="s">
        <v>10517</v>
      </c>
      <c r="E512" s="15" t="str">
        <f>HYPERLINK("https://stat100.ameba.jp/tnk47/ratio20/illustrations/card/ill_51593_kishuhondatadakatsu03.jpg?202004-i_prefecture_active_user", "■")</f>
        <v>■</v>
      </c>
      <c r="F512" s="14" t="s">
        <v>6413</v>
      </c>
      <c r="G512" s="14">
        <v>69898</v>
      </c>
      <c r="H512" s="14">
        <v>77064</v>
      </c>
      <c r="I512" s="14">
        <v>26</v>
      </c>
      <c r="J512" s="14" t="s">
        <v>143</v>
      </c>
      <c r="K512" s="14" t="s">
        <v>6411</v>
      </c>
      <c r="L512" s="14" t="s">
        <v>6410</v>
      </c>
      <c r="M512" s="14" t="s">
        <v>9158</v>
      </c>
      <c r="N512" s="14" t="s">
        <v>9158</v>
      </c>
      <c r="O512" s="14" t="s">
        <v>9158</v>
      </c>
      <c r="P512" s="14" t="s">
        <v>9158</v>
      </c>
      <c r="Q512" s="14" t="s">
        <v>9158</v>
      </c>
    </row>
    <row r="513" spans="1:17">
      <c r="A513" s="14">
        <v>55403</v>
      </c>
      <c r="B513" s="14" t="s">
        <v>15</v>
      </c>
      <c r="C513" s="14" t="s">
        <v>165</v>
      </c>
      <c r="D513" s="19" t="s">
        <v>10518</v>
      </c>
      <c r="E513" s="15" t="str">
        <f>HYPERLINK("https://stat100.ameba.jp/tnk47/ratio20/illustrations/card/ill_55403_undokaikyogokumaria03.jpg?202004-i_prefecture_active_user", "■")</f>
        <v>■</v>
      </c>
      <c r="F513" s="14" t="s">
        <v>6417</v>
      </c>
      <c r="G513" s="14">
        <v>77064</v>
      </c>
      <c r="H513" s="14">
        <v>69898</v>
      </c>
      <c r="I513" s="14">
        <v>26</v>
      </c>
      <c r="J513" s="14" t="s">
        <v>77</v>
      </c>
      <c r="K513" s="14" t="s">
        <v>6415</v>
      </c>
      <c r="L513" s="14" t="s">
        <v>6414</v>
      </c>
      <c r="M513" s="14" t="s">
        <v>9158</v>
      </c>
      <c r="N513" s="14" t="s">
        <v>9158</v>
      </c>
      <c r="O513" s="14" t="s">
        <v>9158</v>
      </c>
      <c r="P513" s="14" t="s">
        <v>9158</v>
      </c>
      <c r="Q513" s="14" t="s">
        <v>9158</v>
      </c>
    </row>
    <row r="514" spans="1:17">
      <c r="A514" s="14">
        <v>52973</v>
      </c>
      <c r="B514" s="14" t="s">
        <v>15</v>
      </c>
      <c r="C514" s="14" t="s">
        <v>206</v>
      </c>
      <c r="D514" s="19" t="s">
        <v>10519</v>
      </c>
      <c r="E514" s="15" t="str">
        <f>HYPERLINK("https://stat100.ameba.jp/tnk47/ratio20/illustrations/card/ill_52973_torampuamoronagu03.jpg?202004-i_prefecture_active_user", "■")</f>
        <v>■</v>
      </c>
      <c r="F514" s="14" t="s">
        <v>6421</v>
      </c>
      <c r="G514" s="14">
        <v>77064</v>
      </c>
      <c r="H514" s="14">
        <v>69898</v>
      </c>
      <c r="I514" s="14">
        <v>26</v>
      </c>
      <c r="J514" s="14" t="s">
        <v>44</v>
      </c>
      <c r="K514" s="14" t="s">
        <v>6419</v>
      </c>
      <c r="L514" s="14" t="s">
        <v>6418</v>
      </c>
      <c r="M514" s="14" t="s">
        <v>9158</v>
      </c>
      <c r="N514" s="14" t="s">
        <v>9158</v>
      </c>
      <c r="O514" s="14" t="s">
        <v>9158</v>
      </c>
      <c r="P514" s="14" t="s">
        <v>9158</v>
      </c>
      <c r="Q514" s="14" t="s">
        <v>9158</v>
      </c>
    </row>
    <row r="516" spans="1:17">
      <c r="A516" s="9" t="s">
        <v>11964</v>
      </c>
    </row>
    <row r="517" spans="1:17">
      <c r="A517" s="9" t="s">
        <v>11965</v>
      </c>
    </row>
    <row r="518" spans="1:17">
      <c r="A518" s="9" t="s">
        <v>11966</v>
      </c>
    </row>
    <row r="519" spans="1:17">
      <c r="A519" s="9" t="s">
        <v>9891</v>
      </c>
      <c r="B519" s="7" t="s">
        <v>52</v>
      </c>
      <c r="C519" s="9" t="s">
        <v>202</v>
      </c>
      <c r="D519" s="6" t="s">
        <v>9978</v>
      </c>
      <c r="E519" s="15" t="str">
        <f>HYPERLINK("https://stat100.ameba.jp/tnk47/ratio20/illustrations/card/ill_87643_0_oendanotohime03.jpg?202004-i_prefecture_active_userx", "■")</f>
        <v>■</v>
      </c>
      <c r="F519" s="14" t="s">
        <v>9928</v>
      </c>
      <c r="G519" s="9">
        <v>208264</v>
      </c>
      <c r="H519" s="9">
        <v>254524</v>
      </c>
      <c r="I519" s="7">
        <v>20</v>
      </c>
      <c r="J519" s="9" t="s">
        <v>155</v>
      </c>
      <c r="K519" s="14" t="s">
        <v>9932</v>
      </c>
      <c r="L519" s="14" t="s">
        <v>9933</v>
      </c>
      <c r="M519" s="14" t="s">
        <v>9158</v>
      </c>
      <c r="N519" s="14" t="s">
        <v>9158</v>
      </c>
      <c r="O519" s="6" t="s">
        <v>9989</v>
      </c>
      <c r="P519" s="7" t="s">
        <v>9944</v>
      </c>
      <c r="Q519" s="7">
        <v>1</v>
      </c>
    </row>
    <row r="520" spans="1:17">
      <c r="A520" s="9">
        <v>88033</v>
      </c>
      <c r="B520" s="9" t="s">
        <v>11967</v>
      </c>
      <c r="C520" s="9" t="s">
        <v>11971</v>
      </c>
      <c r="D520" s="9" t="s">
        <v>11979</v>
      </c>
      <c r="E520" s="15" t="str">
        <f>HYPERLINK("https://stat100.ameba.jp/tnk47/ratio20/illustrations/card/ill_88033_meishuandorudeisu03.jpg?202004-i_prefecture_active_userx", "■")</f>
        <v>■</v>
      </c>
      <c r="F520" s="9" t="s">
        <v>11980</v>
      </c>
      <c r="G520" s="9">
        <v>94390</v>
      </c>
      <c r="H520" s="9">
        <v>101558</v>
      </c>
      <c r="I520" s="9">
        <v>26</v>
      </c>
      <c r="J520" s="9" t="s">
        <v>11975</v>
      </c>
      <c r="K520" s="9" t="s">
        <v>11981</v>
      </c>
      <c r="L520" s="9" t="s">
        <v>13252</v>
      </c>
      <c r="M520" s="14" t="s">
        <v>9158</v>
      </c>
      <c r="N520" s="14" t="s">
        <v>9158</v>
      </c>
      <c r="O520" s="7" t="s">
        <v>9158</v>
      </c>
      <c r="P520" s="14" t="s">
        <v>9158</v>
      </c>
      <c r="Q520" s="14" t="s">
        <v>9158</v>
      </c>
    </row>
    <row r="521" spans="1:17">
      <c r="A521" s="9">
        <v>88043</v>
      </c>
      <c r="B521" s="9" t="s">
        <v>11967</v>
      </c>
      <c r="C521" s="9" t="s">
        <v>11972</v>
      </c>
      <c r="D521" s="9" t="s">
        <v>11982</v>
      </c>
      <c r="E521" s="15" t="str">
        <f>HYPERLINK("https://stat100.ameba.jp/tnk47/ratio20/illustrations/card/ill_88043_kaidoichinoyumitoriimagawayoshimoto03.jpg?202004-i_prefecture_active_userx", "■")</f>
        <v>■</v>
      </c>
      <c r="F521" s="9" t="s">
        <v>11983</v>
      </c>
      <c r="G521" s="9">
        <v>143714</v>
      </c>
      <c r="H521" s="9">
        <v>154562</v>
      </c>
      <c r="I521" s="9">
        <v>26</v>
      </c>
      <c r="J521" s="9" t="s">
        <v>11976</v>
      </c>
      <c r="K521" s="9" t="s">
        <v>11984</v>
      </c>
      <c r="L521" s="9" t="s">
        <v>13253</v>
      </c>
      <c r="M521" s="14" t="s">
        <v>9158</v>
      </c>
      <c r="N521" s="14" t="s">
        <v>9158</v>
      </c>
      <c r="O521" s="7" t="s">
        <v>9158</v>
      </c>
      <c r="P521" s="14" t="s">
        <v>9158</v>
      </c>
      <c r="Q521" s="14" t="s">
        <v>9158</v>
      </c>
    </row>
    <row r="522" spans="1:17">
      <c r="A522" s="9">
        <v>88053</v>
      </c>
      <c r="B522" s="9" t="s">
        <v>11968</v>
      </c>
      <c r="C522" s="9" t="s">
        <v>11973</v>
      </c>
      <c r="D522" s="9" t="s">
        <v>11985</v>
      </c>
      <c r="E522" s="15" t="str">
        <f>HYPERLINK("https://stat100.ameba.jp/tnk47/ratio20/illustrations/card/ill_88053_seizatokachinoraijin03.jpg?202004-i_prefecture_active_userx", "■")</f>
        <v>■</v>
      </c>
      <c r="F522" s="9" t="s">
        <v>11986</v>
      </c>
      <c r="G522" s="9">
        <v>77064</v>
      </c>
      <c r="H522" s="9">
        <v>69898</v>
      </c>
      <c r="I522" s="9">
        <v>26</v>
      </c>
      <c r="J522" s="9" t="s">
        <v>11977</v>
      </c>
      <c r="K522" s="9" t="s">
        <v>11987</v>
      </c>
      <c r="L522" s="9" t="s">
        <v>13195</v>
      </c>
      <c r="M522" s="14" t="s">
        <v>9158</v>
      </c>
      <c r="N522" s="14" t="s">
        <v>9158</v>
      </c>
      <c r="O522" s="7" t="s">
        <v>9158</v>
      </c>
      <c r="P522" s="14" t="s">
        <v>9158</v>
      </c>
      <c r="Q522" s="14" t="s">
        <v>9158</v>
      </c>
    </row>
    <row r="523" spans="1:17">
      <c r="A523" s="9">
        <v>88063</v>
      </c>
      <c r="B523" s="9" t="s">
        <v>11969</v>
      </c>
      <c r="C523" s="9" t="s">
        <v>11971</v>
      </c>
      <c r="D523" s="9" t="s">
        <v>11988</v>
      </c>
      <c r="E523" s="15" t="str">
        <f>HYPERLINK("https://stat100.ameba.jp/tnk47/ratio20/illustrations/card/ill_88063_kyupiddoinugamitsukai03.jpg?202004-i_prefecture_active_userx", "■")</f>
        <v>■</v>
      </c>
      <c r="F523" s="9" t="s">
        <v>11989</v>
      </c>
      <c r="G523" s="9">
        <v>44948</v>
      </c>
      <c r="H523" s="9">
        <v>54058</v>
      </c>
      <c r="I523" s="9">
        <v>26</v>
      </c>
      <c r="J523" s="9" t="s">
        <v>11978</v>
      </c>
      <c r="K523" s="9" t="s">
        <v>11990</v>
      </c>
      <c r="L523" s="9" t="s">
        <v>13217</v>
      </c>
      <c r="M523" s="14" t="s">
        <v>9158</v>
      </c>
      <c r="N523" s="14" t="s">
        <v>9158</v>
      </c>
      <c r="O523" s="7" t="s">
        <v>9158</v>
      </c>
      <c r="P523" s="14" t="s">
        <v>9158</v>
      </c>
      <c r="Q523" s="14" t="s">
        <v>9158</v>
      </c>
    </row>
    <row r="524" spans="1:17">
      <c r="A524" s="9">
        <v>88073</v>
      </c>
      <c r="B524" s="9" t="s">
        <v>11970</v>
      </c>
      <c r="C524" s="9" t="s">
        <v>11974</v>
      </c>
      <c r="D524" s="9" t="s">
        <v>11991</v>
      </c>
      <c r="E524" s="15" t="str">
        <f>HYPERLINK("https://stat100.ameba.jp/tnk47/ratio20/illustrations/card/ill_88073_cupid03.jpg?202004-i_prefecture_active_userx", "■")</f>
        <v>■</v>
      </c>
      <c r="F524" s="9" t="s">
        <v>11992</v>
      </c>
      <c r="G524" s="9">
        <v>32728</v>
      </c>
      <c r="H524" s="9">
        <v>27486</v>
      </c>
      <c r="I524" s="9">
        <v>26</v>
      </c>
      <c r="J524" s="9" t="s">
        <v>11978</v>
      </c>
      <c r="K524" s="9" t="s">
        <v>11993</v>
      </c>
      <c r="L524" s="9" t="s">
        <v>13254</v>
      </c>
      <c r="M524" s="14" t="s">
        <v>9158</v>
      </c>
      <c r="N524" s="14" t="s">
        <v>9158</v>
      </c>
      <c r="O524" s="7" t="s">
        <v>9158</v>
      </c>
      <c r="P524" s="14" t="s">
        <v>9158</v>
      </c>
      <c r="Q524" s="14" t="s">
        <v>9158</v>
      </c>
    </row>
    <row r="526" spans="1:17">
      <c r="A526" s="9" t="s">
        <v>204</v>
      </c>
    </row>
    <row r="527" spans="1:17">
      <c r="A527" s="9" t="s">
        <v>11963</v>
      </c>
    </row>
    <row r="528" spans="1:17">
      <c r="A528" s="14" t="s">
        <v>6195</v>
      </c>
      <c r="B528" s="14" t="s">
        <v>52</v>
      </c>
      <c r="C528" s="14" t="s">
        <v>191</v>
      </c>
      <c r="D528" s="6" t="s">
        <v>1768</v>
      </c>
      <c r="E528" s="15" t="str">
        <f>HYPERLINK("https://stat100.ameba.jp/tnk47/ratio20/illustrations/card/ill_56493_0_poppukurisumasuikomakitsuno03.jpg?202004-i_prefecture_active_userx", "■")</f>
        <v>■</v>
      </c>
      <c r="F528" s="14" t="s">
        <v>1769</v>
      </c>
      <c r="G528" s="14">
        <v>138212</v>
      </c>
      <c r="H528" s="14">
        <v>122776</v>
      </c>
      <c r="I528" s="14">
        <v>22</v>
      </c>
      <c r="J528" s="14" t="s">
        <v>77</v>
      </c>
      <c r="K528" s="14" t="s">
        <v>1770</v>
      </c>
      <c r="L528" s="14" t="s">
        <v>1771</v>
      </c>
      <c r="M528" s="14" t="s">
        <v>9158</v>
      </c>
      <c r="N528" s="14" t="s">
        <v>9158</v>
      </c>
      <c r="O528" s="6" t="s">
        <v>3893</v>
      </c>
      <c r="P528" s="14" t="s">
        <v>2724</v>
      </c>
      <c r="Q528" s="14">
        <v>1</v>
      </c>
    </row>
    <row r="529" spans="1:17">
      <c r="A529" s="14" t="s">
        <v>5778</v>
      </c>
      <c r="B529" s="14" t="s">
        <v>330</v>
      </c>
      <c r="C529" s="14" t="s">
        <v>205</v>
      </c>
      <c r="D529" s="6" t="s">
        <v>3449</v>
      </c>
      <c r="E529" s="15" t="str">
        <f>HYPERLINK("https://stat100.ameba.jp/tnk47/ratio20/illustrations/card/ill_68783_0_gantammomotaro03.jpg?202004-i_prefecture_active_userx", "■")</f>
        <v>■</v>
      </c>
      <c r="F529" s="14" t="s">
        <v>273</v>
      </c>
      <c r="G529" s="14">
        <v>150466</v>
      </c>
      <c r="H529" s="14">
        <v>139878</v>
      </c>
      <c r="I529" s="14">
        <v>22</v>
      </c>
      <c r="J529" s="14" t="s">
        <v>274</v>
      </c>
      <c r="K529" s="14" t="s">
        <v>275</v>
      </c>
      <c r="L529" s="14" t="s">
        <v>276</v>
      </c>
      <c r="M529" s="14" t="s">
        <v>9158</v>
      </c>
      <c r="N529" s="14" t="s">
        <v>9158</v>
      </c>
      <c r="O529" s="17" t="s">
        <v>9992</v>
      </c>
      <c r="P529" s="14" t="s">
        <v>3451</v>
      </c>
      <c r="Q529" s="14">
        <v>1</v>
      </c>
    </row>
    <row r="530" spans="1:17">
      <c r="A530" s="14" t="s">
        <v>5608</v>
      </c>
      <c r="B530" s="14" t="s">
        <v>52</v>
      </c>
      <c r="C530" s="14" t="s">
        <v>96</v>
      </c>
      <c r="D530" s="6" t="s">
        <v>2037</v>
      </c>
      <c r="E530" s="15" t="str">
        <f>HYPERLINK("https://stat100.ameba.jp/tnk47/ratio20/illustrations/card/ill_40963_0_makami03.jpg?202004-i_prefecture_active_userx", "■")</f>
        <v>■</v>
      </c>
      <c r="F530" s="14" t="s">
        <v>2038</v>
      </c>
      <c r="G530" s="14">
        <v>128744</v>
      </c>
      <c r="H530" s="14">
        <v>120576</v>
      </c>
      <c r="I530" s="14">
        <v>22</v>
      </c>
      <c r="J530" s="14" t="s">
        <v>44</v>
      </c>
      <c r="K530" s="14" t="s">
        <v>2039</v>
      </c>
      <c r="L530" s="14" t="s">
        <v>2040</v>
      </c>
      <c r="M530" s="14" t="s">
        <v>9158</v>
      </c>
      <c r="N530" s="14" t="s">
        <v>9158</v>
      </c>
      <c r="O530" s="7" t="s">
        <v>9158</v>
      </c>
      <c r="P530" s="14" t="s">
        <v>9158</v>
      </c>
      <c r="Q530" s="14" t="s">
        <v>9158</v>
      </c>
    </row>
    <row r="531" spans="1:17">
      <c r="A531" s="14">
        <v>84753</v>
      </c>
      <c r="B531" s="14" t="s">
        <v>334</v>
      </c>
      <c r="C531" s="14" t="s">
        <v>205</v>
      </c>
      <c r="D531" s="19" t="s">
        <v>10712</v>
      </c>
      <c r="E531" s="15" t="str">
        <f>HYPERLINK("https://stat100.ameba.jp/tnk47/ratio20/illustrations/card/ill_84753_haroimpampukinkuin03.jpg?202004-i_prefecture_active_userx", "■")</f>
        <v>■</v>
      </c>
      <c r="F531" s="14" t="s">
        <v>7536</v>
      </c>
      <c r="G531" s="14">
        <v>151650</v>
      </c>
      <c r="H531" s="14">
        <v>85312</v>
      </c>
      <c r="I531" s="14">
        <v>26</v>
      </c>
      <c r="J531" s="14" t="s">
        <v>216</v>
      </c>
      <c r="K531" s="14" t="s">
        <v>7535</v>
      </c>
      <c r="L531" s="14" t="s">
        <v>2409</v>
      </c>
      <c r="M531" s="14" t="s">
        <v>9158</v>
      </c>
      <c r="N531" s="14" t="s">
        <v>9158</v>
      </c>
      <c r="O531" s="14" t="s">
        <v>9158</v>
      </c>
      <c r="P531" s="14" t="s">
        <v>9158</v>
      </c>
      <c r="Q531" s="14" t="s">
        <v>9158</v>
      </c>
    </row>
    <row r="532" spans="1:17">
      <c r="A532" s="9">
        <v>74913</v>
      </c>
      <c r="B532" s="14" t="s">
        <v>334</v>
      </c>
      <c r="C532" s="14" t="s">
        <v>191</v>
      </c>
      <c r="D532" s="14" t="s">
        <v>3984</v>
      </c>
      <c r="E532" s="15" t="str">
        <f>HYPERLINK("https://stat100.ameba.jp/tnk47/ratio20/illustrations/card/ill_74913_nekomatainari03.jpg?202004-i_prefecture_active_userx", "■")</f>
        <v>■</v>
      </c>
      <c r="F532" s="14" t="s">
        <v>3985</v>
      </c>
      <c r="G532" s="14">
        <v>146392</v>
      </c>
      <c r="H532" s="14">
        <v>82390</v>
      </c>
      <c r="I532" s="14">
        <v>26</v>
      </c>
      <c r="J532" s="14" t="s">
        <v>38</v>
      </c>
      <c r="K532" s="14" t="s">
        <v>3986</v>
      </c>
      <c r="L532" s="14" t="s">
        <v>3987</v>
      </c>
      <c r="M532" s="14" t="s">
        <v>9158</v>
      </c>
      <c r="N532" s="14" t="s">
        <v>9158</v>
      </c>
      <c r="O532" s="14" t="s">
        <v>9158</v>
      </c>
      <c r="P532" s="14" t="s">
        <v>9158</v>
      </c>
      <c r="Q532" s="14" t="s">
        <v>9158</v>
      </c>
    </row>
    <row r="533" spans="1:17">
      <c r="A533" s="7">
        <v>85963</v>
      </c>
      <c r="B533" s="7" t="s">
        <v>0</v>
      </c>
      <c r="C533" s="7" t="s">
        <v>165</v>
      </c>
      <c r="D533" s="20" t="s">
        <v>10873</v>
      </c>
      <c r="E533" s="15" t="str">
        <f>HYPERLINK("https://stat100.ameba.jp/tnk47/ratio20/illustrations/card/ill_85963_birikenchan03.jpg?202004-i_prefecture_active_userx", "■")</f>
        <v>■</v>
      </c>
      <c r="F533" s="7" t="s">
        <v>8784</v>
      </c>
      <c r="G533" s="7">
        <v>118446</v>
      </c>
      <c r="H533" s="7">
        <v>110126</v>
      </c>
      <c r="I533" s="7">
        <v>26</v>
      </c>
      <c r="J533" s="7" t="s">
        <v>229</v>
      </c>
      <c r="K533" s="7" t="s">
        <v>8783</v>
      </c>
      <c r="L533" s="7" t="s">
        <v>6473</v>
      </c>
      <c r="M533" s="14" t="s">
        <v>9158</v>
      </c>
      <c r="N533" s="14" t="s">
        <v>9158</v>
      </c>
      <c r="O533" s="14" t="s">
        <v>9158</v>
      </c>
      <c r="P533" s="14" t="s">
        <v>9158</v>
      </c>
      <c r="Q533" s="14" t="s">
        <v>9158</v>
      </c>
    </row>
    <row r="534" spans="1:17">
      <c r="A534" s="14">
        <v>83613</v>
      </c>
      <c r="B534" s="14" t="s">
        <v>15</v>
      </c>
      <c r="C534" s="14" t="s">
        <v>200</v>
      </c>
      <c r="D534" s="6" t="s">
        <v>10004</v>
      </c>
      <c r="E534" s="15" t="str">
        <f>HYPERLINK("https://stat100.ameba.jp/tnk47/ratio20/illustrations/card/ill_83613_detoyuramyoinni03.jpg?202004-i_prefecture_active_userx", "■")</f>
        <v>■</v>
      </c>
      <c r="F534" s="14" t="s">
        <v>6672</v>
      </c>
      <c r="G534" s="14">
        <v>65208</v>
      </c>
      <c r="H534" s="14">
        <v>59144</v>
      </c>
      <c r="I534" s="14">
        <v>22</v>
      </c>
      <c r="J534" s="14" t="s">
        <v>77</v>
      </c>
      <c r="K534" s="14" t="s">
        <v>6670</v>
      </c>
      <c r="L534" s="14" t="s">
        <v>932</v>
      </c>
      <c r="M534" s="14" t="s">
        <v>9158</v>
      </c>
      <c r="N534" s="14" t="s">
        <v>9158</v>
      </c>
      <c r="O534" s="7" t="s">
        <v>9158</v>
      </c>
      <c r="P534" s="14" t="s">
        <v>9158</v>
      </c>
      <c r="Q534" s="14" t="s">
        <v>9158</v>
      </c>
    </row>
    <row r="535" spans="1:17">
      <c r="A535" s="14">
        <v>83223</v>
      </c>
      <c r="B535" s="14" t="s">
        <v>15</v>
      </c>
      <c r="C535" s="14" t="s">
        <v>206</v>
      </c>
      <c r="D535" s="6" t="s">
        <v>10005</v>
      </c>
      <c r="E535" s="15" t="str">
        <f>HYPERLINK("https://stat100.ameba.jp/tnk47/ratio20/illustrations/card/ill_83223_hanabikijimuna03.jpg?202004-i_prefecture_active_userx", "■")</f>
        <v>■</v>
      </c>
      <c r="F535" s="14" t="s">
        <v>6290</v>
      </c>
      <c r="G535" s="14">
        <v>65208</v>
      </c>
      <c r="H535" s="14">
        <v>59144</v>
      </c>
      <c r="I535" s="14">
        <v>22</v>
      </c>
      <c r="J535" s="14" t="s">
        <v>73</v>
      </c>
      <c r="K535" s="14" t="s">
        <v>6293</v>
      </c>
      <c r="L535" s="14" t="s">
        <v>3835</v>
      </c>
      <c r="M535" s="14" t="s">
        <v>9158</v>
      </c>
      <c r="N535" s="14" t="s">
        <v>9158</v>
      </c>
      <c r="O535" s="7" t="s">
        <v>9158</v>
      </c>
      <c r="P535" s="14" t="s">
        <v>9158</v>
      </c>
      <c r="Q535" s="14" t="s">
        <v>9158</v>
      </c>
    </row>
    <row r="536" spans="1:17">
      <c r="A536" s="14">
        <v>65183</v>
      </c>
      <c r="B536" s="14" t="s">
        <v>15</v>
      </c>
      <c r="C536" s="14" t="s">
        <v>96</v>
      </c>
      <c r="D536" s="6" t="s">
        <v>4568</v>
      </c>
      <c r="E536" s="15" t="str">
        <f>HYPERLINK("https://stat100.ameba.jp/tnk47/ratio20/illustrations/card/ill_65183_kimodameshihorakagaminookimi03.jpg?202004-i_prefecture_active_userx", "■")</f>
        <v>■</v>
      </c>
      <c r="F536" s="14" t="s">
        <v>4569</v>
      </c>
      <c r="G536" s="14">
        <v>65208</v>
      </c>
      <c r="H536" s="14">
        <v>59144</v>
      </c>
      <c r="I536" s="14">
        <v>22</v>
      </c>
      <c r="J536" s="14" t="s">
        <v>16</v>
      </c>
      <c r="K536" s="14" t="s">
        <v>4570</v>
      </c>
      <c r="L536" s="14" t="s">
        <v>21</v>
      </c>
      <c r="M536" s="14" t="s">
        <v>9158</v>
      </c>
      <c r="N536" s="14" t="s">
        <v>9158</v>
      </c>
      <c r="O536" s="7" t="s">
        <v>9158</v>
      </c>
      <c r="P536" s="14" t="s">
        <v>9158</v>
      </c>
      <c r="Q536" s="14" t="s">
        <v>9158</v>
      </c>
    </row>
    <row r="538" spans="1:17">
      <c r="A538" s="9" t="s">
        <v>11994</v>
      </c>
    </row>
    <row r="539" spans="1:17">
      <c r="A539" s="9" t="s">
        <v>11995</v>
      </c>
    </row>
    <row r="540" spans="1:17">
      <c r="A540" s="14" t="s">
        <v>5963</v>
      </c>
      <c r="B540" s="14" t="s">
        <v>330</v>
      </c>
      <c r="C540" s="14" t="s">
        <v>35</v>
      </c>
      <c r="D540" s="20" t="s">
        <v>10438</v>
      </c>
      <c r="E540" s="15" t="str">
        <f>HYPERLINK("https://stat100.ameba.jp/tnk47/ratio20/illustrations/card/ill_82963_0_yukatamatsuritomokazuki03.jpg?202004-5-RELEASE-marathon-466", "■")</f>
        <v>■</v>
      </c>
      <c r="F540" s="14" t="s">
        <v>5964</v>
      </c>
      <c r="G540" s="14">
        <v>285888</v>
      </c>
      <c r="H540" s="14">
        <v>316330</v>
      </c>
      <c r="I540" s="14">
        <v>24</v>
      </c>
      <c r="J540" s="14" t="s">
        <v>73</v>
      </c>
      <c r="K540" s="14" t="s">
        <v>5966</v>
      </c>
      <c r="L540" s="14" t="s">
        <v>5967</v>
      </c>
      <c r="M540" s="14" t="s">
        <v>9158</v>
      </c>
      <c r="N540" s="14" t="s">
        <v>9158</v>
      </c>
      <c r="O540" s="19" t="s">
        <v>10115</v>
      </c>
      <c r="P540" s="14" t="s">
        <v>5968</v>
      </c>
      <c r="Q540" s="14">
        <v>1</v>
      </c>
    </row>
    <row r="541" spans="1:17">
      <c r="A541" s="9">
        <v>76803</v>
      </c>
      <c r="B541" s="14" t="s">
        <v>334</v>
      </c>
      <c r="C541" s="14" t="s">
        <v>202</v>
      </c>
      <c r="D541" s="14" t="s">
        <v>2436</v>
      </c>
      <c r="E541" s="15" t="str">
        <f>HYPERLINK("https://stat100.ameba.jp/tnk47/ratio20/illustrations/card/ill_76803_monsutakujirachan03.jpg?202004-5-RELEASE-marathon-466", "■")</f>
        <v>■</v>
      </c>
      <c r="F541" s="14" t="s">
        <v>674</v>
      </c>
      <c r="G541" s="14">
        <v>159674</v>
      </c>
      <c r="H541" s="14">
        <v>115656</v>
      </c>
      <c r="I541" s="14">
        <v>24</v>
      </c>
      <c r="J541" s="14" t="s">
        <v>283</v>
      </c>
      <c r="K541" s="14" t="s">
        <v>675</v>
      </c>
      <c r="L541" s="14" t="s">
        <v>435</v>
      </c>
      <c r="M541" s="14" t="s">
        <v>9158</v>
      </c>
      <c r="N541" s="14" t="s">
        <v>9158</v>
      </c>
      <c r="O541" s="9" t="s">
        <v>3165</v>
      </c>
      <c r="P541" s="14" t="s">
        <v>13139</v>
      </c>
      <c r="Q541" s="14">
        <v>1</v>
      </c>
    </row>
    <row r="542" spans="1:17">
      <c r="A542" s="9">
        <v>80173</v>
      </c>
      <c r="B542" s="14" t="s">
        <v>334</v>
      </c>
      <c r="C542" s="14" t="s">
        <v>47</v>
      </c>
      <c r="D542" s="14" t="s">
        <v>3913</v>
      </c>
      <c r="E542" s="15" t="str">
        <f>HYPERLINK("https://stat100.ameba.jp/tnk47/ratio20/illustrations/card/ill_80173_jusomedeia03.jpg?202004-5-RELEASE-marathon-466", "■")</f>
        <v>■</v>
      </c>
      <c r="F542" s="14" t="s">
        <v>3914</v>
      </c>
      <c r="G542" s="14">
        <v>91876</v>
      </c>
      <c r="H542" s="14">
        <v>126858</v>
      </c>
      <c r="I542" s="14">
        <v>24</v>
      </c>
      <c r="J542" s="14" t="s">
        <v>73</v>
      </c>
      <c r="K542" s="14" t="s">
        <v>3915</v>
      </c>
      <c r="L542" s="14" t="s">
        <v>1033</v>
      </c>
      <c r="M542" s="14" t="s">
        <v>9158</v>
      </c>
      <c r="N542" s="14" t="s">
        <v>9158</v>
      </c>
      <c r="O542" s="17" t="s">
        <v>10053</v>
      </c>
      <c r="P542" s="14" t="s">
        <v>3592</v>
      </c>
      <c r="Q542" s="14">
        <v>1</v>
      </c>
    </row>
    <row r="543" spans="1:17">
      <c r="A543" s="14">
        <v>60763</v>
      </c>
      <c r="B543" s="14" t="s">
        <v>334</v>
      </c>
      <c r="C543" s="14" t="s">
        <v>203</v>
      </c>
      <c r="D543" s="19" t="s">
        <v>10420</v>
      </c>
      <c r="E543" s="15" t="str">
        <f>HYPERLINK("https://stat100.ameba.jp/tnk47/ratio20/illustrations/card/ill_60763_fujiwarakagekiyo03.jpg?202004-5-RELEASE-marathon-466", "■")</f>
        <v>■</v>
      </c>
      <c r="F543" s="14" t="s">
        <v>1146</v>
      </c>
      <c r="G543" s="14">
        <v>115656</v>
      </c>
      <c r="H543" s="14">
        <v>159674</v>
      </c>
      <c r="I543" s="14">
        <v>24</v>
      </c>
      <c r="J543" s="14" t="s">
        <v>143</v>
      </c>
      <c r="K543" s="14" t="s">
        <v>1147</v>
      </c>
      <c r="L543" s="14" t="s">
        <v>1148</v>
      </c>
      <c r="M543" s="14" t="s">
        <v>9158</v>
      </c>
      <c r="N543" s="14" t="s">
        <v>9158</v>
      </c>
      <c r="O543" s="19" t="s">
        <v>10112</v>
      </c>
      <c r="P543" s="14" t="s">
        <v>13150</v>
      </c>
      <c r="Q543" s="14">
        <v>1</v>
      </c>
    </row>
    <row r="545" spans="1:17">
      <c r="A545" s="9" t="s">
        <v>11996</v>
      </c>
    </row>
    <row r="546" spans="1:17">
      <c r="A546" s="9" t="s">
        <v>11997</v>
      </c>
    </row>
    <row r="547" spans="1:17">
      <c r="A547" s="14" t="s">
        <v>5617</v>
      </c>
      <c r="B547" s="14" t="s">
        <v>330</v>
      </c>
      <c r="C547" s="14" t="s">
        <v>308</v>
      </c>
      <c r="D547" s="19" t="s">
        <v>385</v>
      </c>
      <c r="E547" s="15" t="str">
        <f>HYPERLINK("https://stat100.ameba.jp/tnk47/ratio20/illustrations/card/ill_59673_0_oheyashutendoji03.jpg?202004-5-RELEASE-marathon-466", "■")</f>
        <v>■</v>
      </c>
      <c r="F547" s="14" t="s">
        <v>386</v>
      </c>
      <c r="G547" s="14">
        <v>168874</v>
      </c>
      <c r="H547" s="14">
        <v>181640</v>
      </c>
      <c r="I547" s="14">
        <v>24</v>
      </c>
      <c r="J547" s="14" t="s">
        <v>320</v>
      </c>
      <c r="K547" s="14" t="s">
        <v>387</v>
      </c>
      <c r="L547" s="14" t="s">
        <v>388</v>
      </c>
      <c r="M547" s="14" t="s">
        <v>9158</v>
      </c>
      <c r="N547" s="14" t="s">
        <v>9158</v>
      </c>
      <c r="O547" s="19" t="s">
        <v>10078</v>
      </c>
      <c r="P547" s="14" t="s">
        <v>3022</v>
      </c>
      <c r="Q547" s="14">
        <v>1</v>
      </c>
    </row>
    <row r="548" spans="1:17">
      <c r="A548" s="14">
        <v>81743</v>
      </c>
      <c r="B548" s="14" t="s">
        <v>334</v>
      </c>
      <c r="C548" s="14" t="s">
        <v>107</v>
      </c>
      <c r="D548" s="19" t="s">
        <v>10171</v>
      </c>
      <c r="E548" s="15" t="str">
        <f>HYPERLINK("https://stat100.ameba.jp/tnk47/ratio20/illustrations/card/ill_81743_denshagarusakyogabashinohebi03.jpg?202004-5-RELEASE-marathon-466", "■")</f>
        <v>■</v>
      </c>
      <c r="F548" s="14" t="s">
        <v>4853</v>
      </c>
      <c r="G548" s="14">
        <v>114092</v>
      </c>
      <c r="H548" s="14">
        <v>105890</v>
      </c>
      <c r="I548" s="14">
        <v>25</v>
      </c>
      <c r="J548" s="14" t="s">
        <v>38</v>
      </c>
      <c r="K548" s="14" t="s">
        <v>4855</v>
      </c>
      <c r="L548" s="14" t="s">
        <v>4856</v>
      </c>
      <c r="M548" s="14" t="s">
        <v>9158</v>
      </c>
      <c r="N548" s="14" t="s">
        <v>9158</v>
      </c>
      <c r="O548" s="19" t="s">
        <v>10091</v>
      </c>
      <c r="P548" s="14" t="s">
        <v>3670</v>
      </c>
      <c r="Q548" s="14">
        <v>1</v>
      </c>
    </row>
    <row r="549" spans="1:17">
      <c r="A549" s="14">
        <v>76783</v>
      </c>
      <c r="B549" s="14" t="s">
        <v>334</v>
      </c>
      <c r="C549" s="14" t="s">
        <v>203</v>
      </c>
      <c r="D549" s="19" t="s">
        <v>10367</v>
      </c>
      <c r="E549" s="15" t="str">
        <f>HYPERLINK("https://stat100.ameba.jp/tnk47/ratio20/illustrations/card/ill_76783_monsutaakashirejina03.jpg?202004-5-RELEASE-marathon-466", "■")</f>
        <v>■</v>
      </c>
      <c r="F549" s="14" t="s">
        <v>1192</v>
      </c>
      <c r="G549" s="14">
        <v>79151</v>
      </c>
      <c r="H549" s="14">
        <v>109259</v>
      </c>
      <c r="I549" s="14">
        <v>25</v>
      </c>
      <c r="J549" s="14" t="s">
        <v>10</v>
      </c>
      <c r="K549" s="14" t="s">
        <v>1193</v>
      </c>
      <c r="L549" s="14" t="s">
        <v>1194</v>
      </c>
      <c r="M549" s="14" t="s">
        <v>9158</v>
      </c>
      <c r="N549" s="14" t="s">
        <v>9158</v>
      </c>
      <c r="O549" s="19" t="s">
        <v>2752</v>
      </c>
      <c r="P549" s="14" t="s">
        <v>13123</v>
      </c>
      <c r="Q549" s="14">
        <v>1</v>
      </c>
    </row>
    <row r="550" spans="1:17">
      <c r="A550" s="14">
        <v>73093</v>
      </c>
      <c r="B550" s="14" t="s">
        <v>334</v>
      </c>
      <c r="C550" s="14" t="s">
        <v>209</v>
      </c>
      <c r="D550" s="20" t="s">
        <v>433</v>
      </c>
      <c r="E550" s="15" t="str">
        <f>HYPERLINK("https://stat100.ameba.jp/tnk47/ratio20/illustrations/card/ill_73093_aisukurinchan03.jpg?202004-5-RELEASE-marathon-466", "■")</f>
        <v>■</v>
      </c>
      <c r="F550" s="14" t="s">
        <v>1027</v>
      </c>
      <c r="G550" s="14">
        <v>166328</v>
      </c>
      <c r="H550" s="14">
        <v>120475</v>
      </c>
      <c r="I550" s="14">
        <v>25</v>
      </c>
      <c r="J550" s="14" t="s">
        <v>104</v>
      </c>
      <c r="K550" s="14" t="s">
        <v>1028</v>
      </c>
      <c r="L550" s="14" t="s">
        <v>1029</v>
      </c>
      <c r="M550" s="14" t="s">
        <v>9158</v>
      </c>
      <c r="N550" s="14" t="s">
        <v>9158</v>
      </c>
      <c r="O550" s="19" t="s">
        <v>2741</v>
      </c>
      <c r="P550" s="14" t="s">
        <v>2742</v>
      </c>
      <c r="Q550" s="14">
        <v>1</v>
      </c>
    </row>
    <row r="552" spans="1:17">
      <c r="A552" s="9" t="s">
        <v>11999</v>
      </c>
    </row>
    <row r="553" spans="1:17">
      <c r="A553" s="14" t="s">
        <v>4138</v>
      </c>
    </row>
    <row r="554" spans="1:17">
      <c r="A554" s="14" t="s">
        <v>5725</v>
      </c>
      <c r="B554" s="14" t="s">
        <v>52</v>
      </c>
      <c r="C554" s="14" t="s">
        <v>107</v>
      </c>
      <c r="D554" s="19" t="s">
        <v>543</v>
      </c>
      <c r="E554" s="15" t="str">
        <f>HYPERLINK("https://stat100.ameba.jp/tnk47/ratio20/illustrations/card/ill_52693_0_sengokumibirakiyanagiharabyakuren03.jpg?202004-5-RELEASE-marathon-466", "■")</f>
        <v>■</v>
      </c>
      <c r="F554" s="14" t="s">
        <v>1246</v>
      </c>
      <c r="G554" s="14">
        <v>133938</v>
      </c>
      <c r="H554" s="14">
        <v>150776</v>
      </c>
      <c r="I554" s="14">
        <v>24</v>
      </c>
      <c r="J554" s="14" t="s">
        <v>16</v>
      </c>
      <c r="K554" s="14" t="s">
        <v>1247</v>
      </c>
      <c r="L554" s="14" t="s">
        <v>1248</v>
      </c>
      <c r="M554" s="14" t="s">
        <v>9158</v>
      </c>
      <c r="N554" s="14" t="s">
        <v>9158</v>
      </c>
      <c r="O554" s="19" t="s">
        <v>2886</v>
      </c>
      <c r="P554" s="14" t="s">
        <v>3304</v>
      </c>
      <c r="Q554" s="14">
        <v>1</v>
      </c>
    </row>
    <row r="555" spans="1:17">
      <c r="A555" s="14" t="s">
        <v>5621</v>
      </c>
      <c r="B555" s="14" t="s">
        <v>330</v>
      </c>
      <c r="C555" s="14" t="s">
        <v>191</v>
      </c>
      <c r="D555" s="19" t="s">
        <v>2871</v>
      </c>
      <c r="E555" s="15" t="str">
        <f>HYPERLINK("https://stat100.ameba.jp/tnk47/ratio20/illustrations/card/ill_51973_0_kemonomizugikuroyuridensetsu03.jpg?202004-5-RELEASE-marathon-466", "■")</f>
        <v>■</v>
      </c>
      <c r="F555" s="14" t="s">
        <v>2034</v>
      </c>
      <c r="G555" s="14">
        <v>150776</v>
      </c>
      <c r="H555" s="14">
        <v>133938</v>
      </c>
      <c r="I555" s="14">
        <v>24</v>
      </c>
      <c r="J555" s="14" t="s">
        <v>38</v>
      </c>
      <c r="K555" s="14" t="s">
        <v>2035</v>
      </c>
      <c r="L555" s="14" t="s">
        <v>2036</v>
      </c>
      <c r="M555" s="14" t="s">
        <v>9158</v>
      </c>
      <c r="N555" s="14" t="s">
        <v>9158</v>
      </c>
      <c r="O555" s="19" t="s">
        <v>10088</v>
      </c>
      <c r="P555" s="14" t="s">
        <v>13172</v>
      </c>
      <c r="Q555" s="14">
        <v>1</v>
      </c>
    </row>
    <row r="556" spans="1:17">
      <c r="A556" s="14" t="s">
        <v>5616</v>
      </c>
      <c r="B556" s="14" t="s">
        <v>52</v>
      </c>
      <c r="C556" s="14" t="s">
        <v>14</v>
      </c>
      <c r="D556" s="19" t="s">
        <v>638</v>
      </c>
      <c r="E556" s="15" t="str">
        <f>HYPERLINK("https://stat100.ameba.jp/tnk47/ratio20/illustrations/card/ill_44253_0_dokuganryudatemasamune03.jpg?202004-5-RELEASE-marathon-466", "■")</f>
        <v>■</v>
      </c>
      <c r="F556" s="14" t="s">
        <v>1181</v>
      </c>
      <c r="G556" s="14">
        <v>131538</v>
      </c>
      <c r="H556" s="14">
        <v>140448</v>
      </c>
      <c r="I556" s="14">
        <v>24</v>
      </c>
      <c r="J556" s="14" t="s">
        <v>143</v>
      </c>
      <c r="K556" s="14" t="s">
        <v>1182</v>
      </c>
      <c r="L556" s="14" t="s">
        <v>1183</v>
      </c>
      <c r="M556" s="14" t="s">
        <v>9158</v>
      </c>
      <c r="N556" s="14" t="s">
        <v>9158</v>
      </c>
      <c r="O556" s="14" t="s">
        <v>9158</v>
      </c>
      <c r="P556" s="14" t="s">
        <v>9158</v>
      </c>
      <c r="Q556" s="14" t="s">
        <v>9158</v>
      </c>
    </row>
    <row r="557" spans="1:17">
      <c r="A557" s="9">
        <v>88033</v>
      </c>
      <c r="B557" s="9" t="s">
        <v>0</v>
      </c>
      <c r="C557" s="9" t="s">
        <v>205</v>
      </c>
      <c r="D557" s="9" t="s">
        <v>11979</v>
      </c>
      <c r="E557" s="15" t="str">
        <f>HYPERLINK("https://stat100.ameba.jp/tnk47/ratio20/illustrations/card/ill_88033_meishuandorudeisu03.jpg?202004-5-RELEASE-marathon-466", "■")</f>
        <v>■</v>
      </c>
      <c r="F557" s="9" t="s">
        <v>11980</v>
      </c>
      <c r="G557" s="9">
        <v>90759</v>
      </c>
      <c r="H557" s="9">
        <v>97651</v>
      </c>
      <c r="I557" s="9">
        <v>25</v>
      </c>
      <c r="J557" s="9" t="s">
        <v>187</v>
      </c>
      <c r="K557" s="9" t="s">
        <v>11981</v>
      </c>
      <c r="L557" s="9" t="s">
        <v>13252</v>
      </c>
      <c r="M557" s="14" t="s">
        <v>9158</v>
      </c>
      <c r="N557" s="14" t="s">
        <v>9158</v>
      </c>
      <c r="O557" s="7" t="s">
        <v>9158</v>
      </c>
      <c r="P557" s="14" t="s">
        <v>9158</v>
      </c>
      <c r="Q557" s="14" t="s">
        <v>9158</v>
      </c>
    </row>
    <row r="558" spans="1:17">
      <c r="A558" s="9">
        <v>88053</v>
      </c>
      <c r="B558" s="9" t="s">
        <v>15</v>
      </c>
      <c r="C558" s="9" t="s">
        <v>185</v>
      </c>
      <c r="D558" s="9" t="s">
        <v>11985</v>
      </c>
      <c r="E558" s="15" t="str">
        <f>HYPERLINK("https://stat100.ameba.jp/tnk47/ratio20/illustrations/card/ill_88053_seizatokachinoraijin03.jpg?202004-5-RELEASE-marathon-466", "■")</f>
        <v>■</v>
      </c>
      <c r="F558" s="9" t="s">
        <v>11986</v>
      </c>
      <c r="G558" s="9">
        <v>74100</v>
      </c>
      <c r="H558" s="9">
        <v>67210</v>
      </c>
      <c r="I558" s="9">
        <v>25</v>
      </c>
      <c r="J558" s="9" t="s">
        <v>155</v>
      </c>
      <c r="K558" s="9" t="s">
        <v>11987</v>
      </c>
      <c r="L558" s="9" t="s">
        <v>13195</v>
      </c>
      <c r="M558" s="14" t="s">
        <v>9158</v>
      </c>
      <c r="N558" s="14" t="s">
        <v>9158</v>
      </c>
      <c r="O558" s="7" t="s">
        <v>9158</v>
      </c>
      <c r="P558" s="14" t="s">
        <v>9158</v>
      </c>
      <c r="Q558" s="14" t="s">
        <v>9158</v>
      </c>
    </row>
    <row r="559" spans="1:17">
      <c r="A559" s="9">
        <v>88063</v>
      </c>
      <c r="B559" s="9" t="s">
        <v>22</v>
      </c>
      <c r="C559" s="9" t="s">
        <v>205</v>
      </c>
      <c r="D559" s="9" t="s">
        <v>11988</v>
      </c>
      <c r="E559" s="15" t="str">
        <f>HYPERLINK("https://stat100.ameba.jp/tnk47/ratio20/illustrations/card/ill_88063_kyupiddoinugamitsukai03.jpg?202004-5-RELEASE-marathon-466", "■")</f>
        <v>■</v>
      </c>
      <c r="F559" s="9" t="s">
        <v>11989</v>
      </c>
      <c r="G559" s="9">
        <v>43220</v>
      </c>
      <c r="H559" s="9">
        <v>51980</v>
      </c>
      <c r="I559" s="9">
        <v>25</v>
      </c>
      <c r="J559" s="9" t="s">
        <v>169</v>
      </c>
      <c r="K559" s="9" t="s">
        <v>11990</v>
      </c>
      <c r="L559" s="9" t="s">
        <v>13217</v>
      </c>
      <c r="M559" s="14" t="s">
        <v>9158</v>
      </c>
      <c r="N559" s="14" t="s">
        <v>9158</v>
      </c>
      <c r="O559" s="7" t="s">
        <v>9158</v>
      </c>
      <c r="P559" s="14" t="s">
        <v>9158</v>
      </c>
      <c r="Q559" s="14" t="s">
        <v>9158</v>
      </c>
    </row>
    <row r="560" spans="1:17">
      <c r="A560" s="9">
        <v>88073</v>
      </c>
      <c r="B560" s="9" t="s">
        <v>30</v>
      </c>
      <c r="C560" s="9" t="s">
        <v>2611</v>
      </c>
      <c r="D560" s="9" t="s">
        <v>11991</v>
      </c>
      <c r="E560" s="15" t="str">
        <f>HYPERLINK("https://stat100.ameba.jp/tnk47/ratio20/illustrations/card/ill_88073_cupid03.jpg?202004-5-RELEASE-marathon-466", "■")</f>
        <v>■</v>
      </c>
      <c r="F560" s="9" t="s">
        <v>11992</v>
      </c>
      <c r="G560" s="9">
        <v>31470</v>
      </c>
      <c r="H560" s="9">
        <v>26430</v>
      </c>
      <c r="I560" s="9">
        <v>25</v>
      </c>
      <c r="J560" s="9" t="s">
        <v>169</v>
      </c>
      <c r="K560" s="9" t="s">
        <v>11993</v>
      </c>
      <c r="L560" s="9" t="s">
        <v>13254</v>
      </c>
      <c r="M560" s="14" t="s">
        <v>9158</v>
      </c>
      <c r="N560" s="14" t="s">
        <v>9158</v>
      </c>
      <c r="O560" s="7" t="s">
        <v>9158</v>
      </c>
      <c r="P560" s="14" t="s">
        <v>9158</v>
      </c>
      <c r="Q560" s="14" t="s">
        <v>9158</v>
      </c>
    </row>
    <row r="562" spans="1:18">
      <c r="A562" s="14" t="s">
        <v>13326</v>
      </c>
      <c r="B562" s="14"/>
      <c r="C562" s="14"/>
      <c r="D562" s="14"/>
      <c r="E562" s="14"/>
      <c r="F562" s="14"/>
      <c r="G562" s="14"/>
      <c r="H562" s="14"/>
      <c r="I562" s="14"/>
      <c r="J562" s="14"/>
      <c r="K562" s="14"/>
      <c r="L562" s="14"/>
      <c r="M562" s="14"/>
      <c r="N562" s="14"/>
      <c r="O562" s="14"/>
      <c r="P562" s="14"/>
      <c r="Q562" s="14"/>
      <c r="R562" s="14"/>
    </row>
    <row r="563" spans="1:18">
      <c r="A563" s="14" t="s">
        <v>11998</v>
      </c>
      <c r="B563" s="14"/>
      <c r="C563" s="14"/>
      <c r="D563" s="14"/>
      <c r="E563" s="14"/>
      <c r="F563" s="14"/>
      <c r="G563" s="14"/>
      <c r="H563" s="14"/>
      <c r="I563" s="14"/>
      <c r="J563" s="14"/>
      <c r="K563" s="14"/>
      <c r="L563" s="14"/>
      <c r="M563" s="14"/>
      <c r="N563" s="14"/>
      <c r="O563" s="14"/>
      <c r="P563" s="14"/>
      <c r="Q563" s="14"/>
      <c r="R563" s="14"/>
    </row>
    <row r="564" spans="1:18">
      <c r="A564" s="14">
        <v>69293</v>
      </c>
      <c r="B564" s="14" t="s">
        <v>334</v>
      </c>
      <c r="C564" s="14" t="s">
        <v>185</v>
      </c>
      <c r="D564" s="19" t="s">
        <v>1155</v>
      </c>
      <c r="E564" s="15" t="str">
        <f>HYPERLINK("https://stat100.ameba.jp/tnk47/ratio20/illustrations/card/ill_69293_merukishiru03.jpg?202004-5-RELEASE-marathon-466", "■")</f>
        <v>■</v>
      </c>
      <c r="F564" s="14" t="s">
        <v>1156</v>
      </c>
      <c r="G564" s="14">
        <v>128000</v>
      </c>
      <c r="H564" s="14">
        <v>119006</v>
      </c>
      <c r="I564" s="14">
        <v>26</v>
      </c>
      <c r="J564" s="14" t="s">
        <v>414</v>
      </c>
      <c r="K564" s="14" t="s">
        <v>1170</v>
      </c>
      <c r="L564" s="14" t="s">
        <v>9902</v>
      </c>
      <c r="M564" s="14" t="s">
        <v>13151</v>
      </c>
      <c r="N564" s="14" t="s">
        <v>251</v>
      </c>
      <c r="O564" s="14" t="s">
        <v>9158</v>
      </c>
      <c r="P564" s="14" t="s">
        <v>9158</v>
      </c>
      <c r="Q564" s="14" t="s">
        <v>9158</v>
      </c>
      <c r="R564" s="14"/>
    </row>
    <row r="565" spans="1:18">
      <c r="A565" s="14">
        <v>69292</v>
      </c>
      <c r="B565" s="14" t="s">
        <v>334</v>
      </c>
      <c r="C565" s="14" t="s">
        <v>185</v>
      </c>
      <c r="D565" s="19" t="s">
        <v>1155</v>
      </c>
      <c r="E565" s="15" t="str">
        <f>HYPERLINK("https://stat100.ameba.jp/tnk47/ratio20/illustrations/card/ill_69292_merukishiru02.jpg?202004-5-RELEASE-marathon-466", "■")</f>
        <v>■</v>
      </c>
      <c r="F565" s="14" t="s">
        <v>1156</v>
      </c>
      <c r="G565" s="14">
        <v>107000</v>
      </c>
      <c r="H565" s="14">
        <v>98566</v>
      </c>
      <c r="I565" s="14">
        <v>26</v>
      </c>
      <c r="J565" s="14" t="s">
        <v>414</v>
      </c>
      <c r="K565" s="14" t="s">
        <v>1170</v>
      </c>
      <c r="L565" s="14" t="s">
        <v>9902</v>
      </c>
      <c r="M565" s="14" t="s">
        <v>13151</v>
      </c>
      <c r="N565" s="14" t="s">
        <v>251</v>
      </c>
      <c r="O565" s="14" t="s">
        <v>9158</v>
      </c>
      <c r="P565" s="14" t="s">
        <v>9158</v>
      </c>
      <c r="Q565" s="14" t="s">
        <v>9158</v>
      </c>
      <c r="R565" s="14"/>
    </row>
    <row r="566" spans="1:18">
      <c r="A566" s="14">
        <v>69291</v>
      </c>
      <c r="B566" s="14" t="s">
        <v>334</v>
      </c>
      <c r="C566" s="14" t="s">
        <v>185</v>
      </c>
      <c r="D566" s="19" t="s">
        <v>1155</v>
      </c>
      <c r="E566" s="15" t="str">
        <f>HYPERLINK("https://stat100.ameba.jp/tnk47/ratio20/illustrations/card/ill_69291_merukishiru01.jpg?202004-5-RELEASE-marathon-466", "■")</f>
        <v>■</v>
      </c>
      <c r="F566" s="14" t="s">
        <v>1156</v>
      </c>
      <c r="G566" s="14">
        <v>81692</v>
      </c>
      <c r="H566" s="14">
        <v>76050</v>
      </c>
      <c r="I566" s="14">
        <v>26</v>
      </c>
      <c r="J566" s="14" t="s">
        <v>414</v>
      </c>
      <c r="K566" s="14" t="s">
        <v>1170</v>
      </c>
      <c r="L566" s="14" t="s">
        <v>9902</v>
      </c>
      <c r="M566" s="14" t="s">
        <v>13151</v>
      </c>
      <c r="N566" s="14" t="s">
        <v>251</v>
      </c>
      <c r="O566" s="14" t="s">
        <v>9158</v>
      </c>
      <c r="P566" s="14" t="s">
        <v>9158</v>
      </c>
      <c r="Q566" s="14" t="s">
        <v>9158</v>
      </c>
      <c r="R566" s="14"/>
    </row>
    <row r="567" spans="1:18">
      <c r="A567" s="14">
        <v>69303</v>
      </c>
      <c r="B567" s="14" t="s">
        <v>334</v>
      </c>
      <c r="C567" s="14" t="s">
        <v>200</v>
      </c>
      <c r="D567" s="19" t="s">
        <v>1157</v>
      </c>
      <c r="E567" s="15" t="str">
        <f>HYPERLINK("https://stat100.ameba.jp/tnk47/ratio20/illustrations/card/ill_69303_torumushaito03.jpg?202004-5-RELEASE-marathon-466", "■")</f>
        <v>■</v>
      </c>
      <c r="F567" s="14" t="s">
        <v>1162</v>
      </c>
      <c r="G567" s="14">
        <v>128000</v>
      </c>
      <c r="H567" s="14">
        <v>119006</v>
      </c>
      <c r="I567" s="14">
        <v>26</v>
      </c>
      <c r="J567" s="14" t="s">
        <v>369</v>
      </c>
      <c r="K567" s="14" t="s">
        <v>1171</v>
      </c>
      <c r="L567" s="14" t="s">
        <v>9903</v>
      </c>
      <c r="M567" s="14" t="s">
        <v>13151</v>
      </c>
      <c r="N567" s="14" t="s">
        <v>251</v>
      </c>
      <c r="O567" s="14" t="s">
        <v>9158</v>
      </c>
      <c r="P567" s="14" t="s">
        <v>9158</v>
      </c>
      <c r="Q567" s="14" t="s">
        <v>9158</v>
      </c>
      <c r="R567" s="14"/>
    </row>
    <row r="568" spans="1:18">
      <c r="A568" s="14">
        <v>69313</v>
      </c>
      <c r="B568" s="14" t="s">
        <v>334</v>
      </c>
      <c r="C568" s="14" t="s">
        <v>191</v>
      </c>
      <c r="D568" s="19" t="s">
        <v>1158</v>
      </c>
      <c r="E568" s="15" t="str">
        <f>HYPERLINK("https://stat100.ameba.jp/tnk47/ratio20/illustrations/card/ill_69313_teishutoriya03.jpg?202004-5-RELEASE-marathon-466", "■")</f>
        <v>■</v>
      </c>
      <c r="F568" s="14" t="s">
        <v>1163</v>
      </c>
      <c r="G568" s="14">
        <v>119006</v>
      </c>
      <c r="H568" s="14">
        <v>128000</v>
      </c>
      <c r="I568" s="14">
        <v>26</v>
      </c>
      <c r="J568" s="14" t="s">
        <v>401</v>
      </c>
      <c r="K568" s="14" t="s">
        <v>1172</v>
      </c>
      <c r="L568" s="14" t="s">
        <v>9904</v>
      </c>
      <c r="M568" s="14" t="s">
        <v>13151</v>
      </c>
      <c r="N568" s="14" t="s">
        <v>251</v>
      </c>
      <c r="O568" s="14" t="s">
        <v>9158</v>
      </c>
      <c r="P568" s="14" t="s">
        <v>9158</v>
      </c>
      <c r="Q568" s="14" t="s">
        <v>9158</v>
      </c>
      <c r="R568" s="14"/>
    </row>
    <row r="569" spans="1:18">
      <c r="A569" s="14">
        <v>69323</v>
      </c>
      <c r="B569" s="14" t="s">
        <v>334</v>
      </c>
      <c r="C569" s="14" t="s">
        <v>165</v>
      </c>
      <c r="D569" s="19" t="s">
        <v>10257</v>
      </c>
      <c r="E569" s="15" t="str">
        <f>HYPERLINK("https://stat100.ameba.jp/tnk47/ratio20/illustrations/card/ill_69323_fujitsubonomiya03.jpg?202004-5-RELEASE-marathon-466", "■")</f>
        <v>■</v>
      </c>
      <c r="F569" s="14" t="s">
        <v>1164</v>
      </c>
      <c r="G569" s="14">
        <v>119006</v>
      </c>
      <c r="H569" s="14">
        <v>128000</v>
      </c>
      <c r="I569" s="14">
        <v>26</v>
      </c>
      <c r="J569" s="14" t="s">
        <v>1167</v>
      </c>
      <c r="K569" s="14" t="s">
        <v>1173</v>
      </c>
      <c r="L569" s="14" t="s">
        <v>9905</v>
      </c>
      <c r="M569" s="14" t="s">
        <v>13151</v>
      </c>
      <c r="N569" s="14" t="s">
        <v>251</v>
      </c>
      <c r="O569" s="14" t="s">
        <v>9158</v>
      </c>
      <c r="P569" s="14" t="s">
        <v>9158</v>
      </c>
      <c r="Q569" s="14" t="s">
        <v>9158</v>
      </c>
      <c r="R569" s="14"/>
    </row>
    <row r="570" spans="1:18">
      <c r="A570" s="14">
        <v>69333</v>
      </c>
      <c r="B570" s="14" t="s">
        <v>334</v>
      </c>
      <c r="C570" s="14" t="s">
        <v>205</v>
      </c>
      <c r="D570" s="19" t="s">
        <v>1160</v>
      </c>
      <c r="E570" s="15" t="str">
        <f>HYPERLINK("https://stat100.ameba.jp/tnk47/ratio20/illustrations/card/ill_69333_mefuisutofueresu03.jpg?202004-5-RELEASE-marathon-466", "■")</f>
        <v>■</v>
      </c>
      <c r="F570" s="14" t="s">
        <v>1165</v>
      </c>
      <c r="G570" s="14">
        <v>128000</v>
      </c>
      <c r="H570" s="14">
        <v>119006</v>
      </c>
      <c r="I570" s="14">
        <v>26</v>
      </c>
      <c r="J570" s="14" t="s">
        <v>1168</v>
      </c>
      <c r="K570" s="14" t="s">
        <v>1174</v>
      </c>
      <c r="L570" s="14" t="s">
        <v>9906</v>
      </c>
      <c r="M570" s="14" t="s">
        <v>13151</v>
      </c>
      <c r="N570" s="14" t="s">
        <v>251</v>
      </c>
      <c r="O570" s="14" t="s">
        <v>9158</v>
      </c>
      <c r="P570" s="14" t="s">
        <v>9158</v>
      </c>
      <c r="Q570" s="14" t="s">
        <v>9158</v>
      </c>
      <c r="R570" s="14"/>
    </row>
    <row r="571" spans="1:18">
      <c r="A571" s="14">
        <v>69343</v>
      </c>
      <c r="B571" s="14" t="s">
        <v>334</v>
      </c>
      <c r="C571" s="14" t="s">
        <v>206</v>
      </c>
      <c r="D571" s="19" t="s">
        <v>10258</v>
      </c>
      <c r="E571" s="15" t="str">
        <f>HYPERLINK("https://stat100.ameba.jp/tnk47/ratio20/illustrations/card/ill_69343_teikinnofuire03.jpg?202004-5-RELEASE-marathon-466", "■")</f>
        <v>■</v>
      </c>
      <c r="F571" s="14" t="s">
        <v>1166</v>
      </c>
      <c r="G571" s="14">
        <v>119006</v>
      </c>
      <c r="H571" s="14">
        <v>128000</v>
      </c>
      <c r="I571" s="14">
        <v>26</v>
      </c>
      <c r="J571" s="14" t="s">
        <v>1169</v>
      </c>
      <c r="K571" s="14" t="s">
        <v>1175</v>
      </c>
      <c r="L571" s="14" t="s">
        <v>9907</v>
      </c>
      <c r="M571" s="14" t="s">
        <v>13151</v>
      </c>
      <c r="N571" s="14" t="s">
        <v>251</v>
      </c>
      <c r="O571" s="14" t="s">
        <v>9158</v>
      </c>
      <c r="P571" s="14" t="s">
        <v>9158</v>
      </c>
      <c r="Q571" s="14" t="s">
        <v>9158</v>
      </c>
      <c r="R571" s="14"/>
    </row>
    <row r="573" spans="1:18">
      <c r="A573" s="9" t="s">
        <v>12001</v>
      </c>
    </row>
    <row r="574" spans="1:18">
      <c r="A574" s="14" t="s">
        <v>12003</v>
      </c>
    </row>
    <row r="575" spans="1:18">
      <c r="A575" s="14" t="s">
        <v>5724</v>
      </c>
      <c r="B575" s="14" t="s">
        <v>330</v>
      </c>
      <c r="C575" s="14" t="s">
        <v>335</v>
      </c>
      <c r="D575" s="19" t="s">
        <v>698</v>
      </c>
      <c r="E575" s="15" t="str">
        <f>HYPERLINK("https://stat100.ameba.jp/tnk47/ratio20/illustrations/card/ill_66433_0_haroinfujishirogozen03.jpg?202004-5-RELEASE-marathon-466", "■")</f>
        <v>■</v>
      </c>
      <c r="F575" s="14" t="s">
        <v>699</v>
      </c>
      <c r="G575" s="14">
        <v>146892</v>
      </c>
      <c r="H575" s="14">
        <v>158000</v>
      </c>
      <c r="I575" s="14">
        <v>24</v>
      </c>
      <c r="J575" s="14" t="s">
        <v>315</v>
      </c>
      <c r="K575" s="14" t="s">
        <v>700</v>
      </c>
      <c r="L575" s="14" t="s">
        <v>701</v>
      </c>
      <c r="M575" s="14" t="s">
        <v>9158</v>
      </c>
      <c r="N575" s="14" t="s">
        <v>9158</v>
      </c>
      <c r="O575" s="19" t="s">
        <v>10095</v>
      </c>
      <c r="P575" s="14" t="s">
        <v>3345</v>
      </c>
      <c r="Q575" s="14">
        <v>1</v>
      </c>
    </row>
    <row r="576" spans="1:18">
      <c r="A576" s="14" t="s">
        <v>5618</v>
      </c>
      <c r="B576" s="14" t="s">
        <v>52</v>
      </c>
      <c r="C576" s="14" t="s">
        <v>23</v>
      </c>
      <c r="D576" s="19" t="s">
        <v>665</v>
      </c>
      <c r="E576" s="15" t="str">
        <f>HYPERLINK("https://stat100.ameba.jp/tnk47/ratio20/illustrations/card/ill_63173_0_minazukikonakaiteruko03.jpg?202004-5-RELEASE-marathon-466", "■")</f>
        <v>■</v>
      </c>
      <c r="F576" s="14" t="s">
        <v>1188</v>
      </c>
      <c r="G576" s="14">
        <v>208310</v>
      </c>
      <c r="H576" s="14">
        <v>224026</v>
      </c>
      <c r="I576" s="14">
        <v>24</v>
      </c>
      <c r="J576" s="14" t="s">
        <v>143</v>
      </c>
      <c r="K576" s="14" t="s">
        <v>1189</v>
      </c>
      <c r="L576" s="14" t="s">
        <v>1190</v>
      </c>
      <c r="M576" s="14" t="s">
        <v>9158</v>
      </c>
      <c r="N576" s="14" t="s">
        <v>9158</v>
      </c>
      <c r="O576" s="19" t="s">
        <v>10079</v>
      </c>
      <c r="P576" s="14" t="s">
        <v>3329</v>
      </c>
      <c r="Q576" s="14">
        <v>1</v>
      </c>
    </row>
    <row r="577" spans="1:17">
      <c r="A577" s="14" t="s">
        <v>5604</v>
      </c>
      <c r="B577" s="14" t="s">
        <v>330</v>
      </c>
      <c r="C577" s="14" t="s">
        <v>206</v>
      </c>
      <c r="D577" s="19" t="s">
        <v>614</v>
      </c>
      <c r="E577" s="15" t="str">
        <f>HYPERLINK("https://stat100.ameba.jp/tnk47/ratio20/illustrations/card/ill_47263_0_oukyuuatsuhime03.jpg?202004-5-RELEASE-marathon-466", "■")</f>
        <v>■</v>
      </c>
      <c r="F577" s="14" t="s">
        <v>615</v>
      </c>
      <c r="G577" s="14">
        <v>150776</v>
      </c>
      <c r="H577" s="14">
        <v>133938</v>
      </c>
      <c r="I577" s="14">
        <v>24</v>
      </c>
      <c r="J577" s="14" t="s">
        <v>315</v>
      </c>
      <c r="K577" s="14" t="s">
        <v>616</v>
      </c>
      <c r="L577" s="14" t="s">
        <v>617</v>
      </c>
      <c r="M577" s="14" t="s">
        <v>9158</v>
      </c>
      <c r="N577" s="14" t="s">
        <v>9158</v>
      </c>
      <c r="O577" s="14" t="s">
        <v>9158</v>
      </c>
      <c r="P577" s="14" t="s">
        <v>9158</v>
      </c>
      <c r="Q577" s="14" t="s">
        <v>9158</v>
      </c>
    </row>
    <row r="578" spans="1:17">
      <c r="A578" s="9">
        <v>88043</v>
      </c>
      <c r="B578" s="9" t="s">
        <v>0</v>
      </c>
      <c r="C578" s="9" t="s">
        <v>191</v>
      </c>
      <c r="D578" s="9" t="s">
        <v>11982</v>
      </c>
      <c r="E578" s="15" t="str">
        <f>HYPERLINK("https://stat100.ameba.jp/tnk47/ratio20/illustrations/card/ill_88043_kaidoichinoyumitoriimagawayoshimoto03.jpg?202004-5-RELEASE-marathon-466", "■")</f>
        <v>■</v>
      </c>
      <c r="F578" s="9" t="s">
        <v>11983</v>
      </c>
      <c r="G578" s="9">
        <v>138186</v>
      </c>
      <c r="H578" s="9">
        <v>148619</v>
      </c>
      <c r="I578" s="9">
        <v>25</v>
      </c>
      <c r="J578" s="9" t="s">
        <v>194</v>
      </c>
      <c r="K578" s="9" t="s">
        <v>11984</v>
      </c>
      <c r="L578" s="9" t="s">
        <v>13253</v>
      </c>
      <c r="M578" s="14" t="s">
        <v>9158</v>
      </c>
      <c r="N578" s="14" t="s">
        <v>9158</v>
      </c>
      <c r="O578" s="7" t="s">
        <v>9158</v>
      </c>
      <c r="P578" s="14" t="s">
        <v>9158</v>
      </c>
      <c r="Q578" s="14" t="s">
        <v>9158</v>
      </c>
    </row>
    <row r="579" spans="1:17">
      <c r="A579" s="9">
        <v>88053</v>
      </c>
      <c r="B579" s="9" t="s">
        <v>15</v>
      </c>
      <c r="C579" s="9" t="s">
        <v>185</v>
      </c>
      <c r="D579" s="9" t="s">
        <v>11985</v>
      </c>
      <c r="E579" s="15" t="str">
        <f>HYPERLINK("https://stat100.ameba.jp/tnk47/ratio20/illustrations/card/ill_88053_seizatokachinoraijin03.jpg?202004-5-RELEASE-marathon-466", "■")</f>
        <v>■</v>
      </c>
      <c r="F579" s="9" t="s">
        <v>11986</v>
      </c>
      <c r="G579" s="9">
        <v>74100</v>
      </c>
      <c r="H579" s="9">
        <v>67210</v>
      </c>
      <c r="I579" s="9">
        <v>25</v>
      </c>
      <c r="J579" s="9" t="s">
        <v>155</v>
      </c>
      <c r="K579" s="9" t="s">
        <v>11987</v>
      </c>
      <c r="L579" s="9" t="s">
        <v>13195</v>
      </c>
      <c r="M579" s="14" t="s">
        <v>9158</v>
      </c>
      <c r="N579" s="14" t="s">
        <v>9158</v>
      </c>
      <c r="O579" s="7" t="s">
        <v>9158</v>
      </c>
      <c r="P579" s="14" t="s">
        <v>9158</v>
      </c>
      <c r="Q579" s="14" t="s">
        <v>9158</v>
      </c>
    </row>
    <row r="580" spans="1:17">
      <c r="A580" s="9">
        <v>88063</v>
      </c>
      <c r="B580" s="9" t="s">
        <v>22</v>
      </c>
      <c r="C580" s="9" t="s">
        <v>205</v>
      </c>
      <c r="D580" s="9" t="s">
        <v>11988</v>
      </c>
      <c r="E580" s="15" t="str">
        <f>HYPERLINK("https://stat100.ameba.jp/tnk47/ratio20/illustrations/card/ill_88063_kyupiddoinugamitsukai03.jpg?202004-5-RELEASE-marathon-466", "■")</f>
        <v>■</v>
      </c>
      <c r="F580" s="9" t="s">
        <v>11989</v>
      </c>
      <c r="G580" s="9">
        <v>43220</v>
      </c>
      <c r="H580" s="9">
        <v>51980</v>
      </c>
      <c r="I580" s="9">
        <v>25</v>
      </c>
      <c r="J580" s="9" t="s">
        <v>169</v>
      </c>
      <c r="K580" s="9" t="s">
        <v>11990</v>
      </c>
      <c r="L580" s="9" t="s">
        <v>13217</v>
      </c>
      <c r="M580" s="14" t="s">
        <v>9158</v>
      </c>
      <c r="N580" s="14" t="s">
        <v>9158</v>
      </c>
      <c r="O580" s="7" t="s">
        <v>9158</v>
      </c>
      <c r="P580" s="14" t="s">
        <v>9158</v>
      </c>
      <c r="Q580" s="14" t="s">
        <v>9158</v>
      </c>
    </row>
    <row r="581" spans="1:17">
      <c r="A581" s="9">
        <v>88073</v>
      </c>
      <c r="B581" s="9" t="s">
        <v>30</v>
      </c>
      <c r="C581" s="9" t="s">
        <v>2611</v>
      </c>
      <c r="D581" s="9" t="s">
        <v>11991</v>
      </c>
      <c r="E581" s="15" t="str">
        <f>HYPERLINK("https://stat100.ameba.jp/tnk47/ratio20/illustrations/card/ill_88073_cupid03.jpg?202004-5-RELEASE-marathon-466", "■")</f>
        <v>■</v>
      </c>
      <c r="F581" s="9" t="s">
        <v>11992</v>
      </c>
      <c r="G581" s="9">
        <v>31470</v>
      </c>
      <c r="H581" s="9">
        <v>26430</v>
      </c>
      <c r="I581" s="9">
        <v>25</v>
      </c>
      <c r="J581" s="9" t="s">
        <v>169</v>
      </c>
      <c r="K581" s="9" t="s">
        <v>11993</v>
      </c>
      <c r="L581" s="9" t="s">
        <v>13254</v>
      </c>
      <c r="M581" s="14" t="s">
        <v>9158</v>
      </c>
      <c r="N581" s="14" t="s">
        <v>9158</v>
      </c>
      <c r="O581" s="7" t="s">
        <v>9158</v>
      </c>
      <c r="P581" s="14" t="s">
        <v>9158</v>
      </c>
      <c r="Q581" s="14" t="s">
        <v>9158</v>
      </c>
    </row>
    <row r="583" spans="1:17">
      <c r="A583" s="9" t="s">
        <v>12002</v>
      </c>
    </row>
    <row r="584" spans="1:17">
      <c r="A584" s="14" t="s">
        <v>12004</v>
      </c>
    </row>
    <row r="585" spans="1:17">
      <c r="A585" s="14" t="s">
        <v>5619</v>
      </c>
      <c r="B585" s="14" t="s">
        <v>330</v>
      </c>
      <c r="C585" s="14" t="s">
        <v>202</v>
      </c>
      <c r="D585" s="19" t="s">
        <v>10348</v>
      </c>
      <c r="E585" s="15" t="str">
        <f>HYPERLINK("https://stat100.ameba.jp/tnk47/ratio20/illustrations/card/ill_81183_0_shinryokunokisetsuamaterasu03.jpg?202004-5-RELEASE-marathon-466", "■")</f>
        <v>■</v>
      </c>
      <c r="F585" s="14" t="s">
        <v>4505</v>
      </c>
      <c r="G585" s="14">
        <v>252122</v>
      </c>
      <c r="H585" s="14">
        <v>278984</v>
      </c>
      <c r="I585" s="14">
        <v>24</v>
      </c>
      <c r="J585" s="14" t="s">
        <v>44</v>
      </c>
      <c r="K585" s="14" t="s">
        <v>4506</v>
      </c>
      <c r="L585" s="14" t="s">
        <v>4507</v>
      </c>
      <c r="M585" s="14" t="s">
        <v>9158</v>
      </c>
      <c r="N585" s="14" t="s">
        <v>9158</v>
      </c>
      <c r="O585" s="19" t="s">
        <v>10083</v>
      </c>
      <c r="P585" s="14" t="s">
        <v>4509</v>
      </c>
      <c r="Q585" s="14">
        <v>0</v>
      </c>
    </row>
    <row r="586" spans="1:17">
      <c r="A586" s="14">
        <v>85363</v>
      </c>
      <c r="B586" s="14" t="s">
        <v>0</v>
      </c>
      <c r="C586" s="14" t="s">
        <v>158</v>
      </c>
      <c r="D586" s="19" t="s">
        <v>10708</v>
      </c>
      <c r="E586" s="15" t="str">
        <f>HYPERLINK("https://stat100.ameba.jp/tnk47/ratio20/illustrations/card/ill_85363_sukarunetaisa03.jpg?202004-5-RELEASE-marathon-466", "■")</f>
        <v>■</v>
      </c>
      <c r="F586" s="14" t="s">
        <v>7506</v>
      </c>
      <c r="G586" s="14">
        <v>115656</v>
      </c>
      <c r="H586" s="14">
        <v>159674</v>
      </c>
      <c r="I586" s="14">
        <v>24</v>
      </c>
      <c r="J586" s="14" t="s">
        <v>143</v>
      </c>
      <c r="K586" s="14" t="s">
        <v>7504</v>
      </c>
      <c r="L586" s="14" t="s">
        <v>1148</v>
      </c>
      <c r="M586" s="14" t="s">
        <v>9158</v>
      </c>
      <c r="N586" s="14" t="s">
        <v>9158</v>
      </c>
      <c r="O586" s="19" t="s">
        <v>10106</v>
      </c>
      <c r="P586" s="14" t="s">
        <v>3330</v>
      </c>
      <c r="Q586" s="14">
        <v>2</v>
      </c>
    </row>
    <row r="587" spans="1:17">
      <c r="A587" s="14">
        <v>52083</v>
      </c>
      <c r="B587" s="14" t="s">
        <v>0</v>
      </c>
      <c r="C587" s="14" t="s">
        <v>158</v>
      </c>
      <c r="D587" s="19" t="s">
        <v>2913</v>
      </c>
      <c r="E587" s="15" t="str">
        <f>HYPERLINK("https://stat100.ameba.jp/tnk47/ratio20/illustrations/card/ill_52083_berubetto03.jpg?202004-5-RELEASE-marathon-466", "■")</f>
        <v>■</v>
      </c>
      <c r="F587" s="14" t="s">
        <v>944</v>
      </c>
      <c r="G587" s="14">
        <v>82694</v>
      </c>
      <c r="H587" s="14">
        <v>114160</v>
      </c>
      <c r="I587" s="14">
        <v>24</v>
      </c>
      <c r="J587" s="14" t="s">
        <v>26</v>
      </c>
      <c r="K587" s="14" t="s">
        <v>1864</v>
      </c>
      <c r="L587" s="14" t="s">
        <v>1865</v>
      </c>
      <c r="M587" s="14" t="s">
        <v>9158</v>
      </c>
      <c r="N587" s="14" t="s">
        <v>9158</v>
      </c>
      <c r="O587" s="19" t="s">
        <v>2917</v>
      </c>
      <c r="P587" s="14" t="s">
        <v>2918</v>
      </c>
      <c r="Q587" s="14">
        <v>1</v>
      </c>
    </row>
    <row r="588" spans="1:17">
      <c r="A588" s="7">
        <v>85043</v>
      </c>
      <c r="B588" s="7" t="s">
        <v>0</v>
      </c>
      <c r="C588" s="14" t="s">
        <v>209</v>
      </c>
      <c r="D588" s="19" t="s">
        <v>10752</v>
      </c>
      <c r="E588" s="15" t="str">
        <f>HYPERLINK("https://stat100.ameba.jp/tnk47/ratio20/illustrations/card/ill_85043_sutoroberireddo03.jpg?202004-5-RELEASE-marathon-466", "■")</f>
        <v>■</v>
      </c>
      <c r="F588" s="7" t="s">
        <v>7843</v>
      </c>
      <c r="G588" s="7">
        <v>126858</v>
      </c>
      <c r="H588" s="7">
        <v>91876</v>
      </c>
      <c r="I588" s="7">
        <v>24</v>
      </c>
      <c r="J588" s="7" t="s">
        <v>104</v>
      </c>
      <c r="K588" s="7" t="s">
        <v>7841</v>
      </c>
      <c r="L588" s="7" t="s">
        <v>2409</v>
      </c>
      <c r="M588" s="14" t="s">
        <v>9158</v>
      </c>
      <c r="N588" s="14" t="s">
        <v>9158</v>
      </c>
      <c r="O588" s="19" t="s">
        <v>10102</v>
      </c>
      <c r="P588" s="14" t="s">
        <v>3672</v>
      </c>
      <c r="Q588" s="14">
        <v>1</v>
      </c>
    </row>
    <row r="590" spans="1:17">
      <c r="A590" s="9" t="s">
        <v>115</v>
      </c>
    </row>
    <row r="591" spans="1:17">
      <c r="A591" s="9" t="s">
        <v>12000</v>
      </c>
    </row>
    <row r="592" spans="1:17">
      <c r="A592" s="14" t="s">
        <v>5615</v>
      </c>
      <c r="B592" s="14" t="s">
        <v>330</v>
      </c>
      <c r="C592" s="14" t="s">
        <v>206</v>
      </c>
      <c r="D592" s="19" t="s">
        <v>2814</v>
      </c>
      <c r="E592" s="15" t="str">
        <f>HYPERLINK("https://stat100.ameba.jp/tnk47/ratio20/illustrations/card/ill_57733_0_shogatsunisenjunanaamakusashiro03.jpg?202004-5-RELEASE-marathon-466", "■")</f>
        <v>■</v>
      </c>
      <c r="F592" s="14" t="s">
        <v>1016</v>
      </c>
      <c r="G592" s="14">
        <v>122776</v>
      </c>
      <c r="H592" s="14">
        <v>138212</v>
      </c>
      <c r="I592" s="14">
        <v>22</v>
      </c>
      <c r="J592" s="14" t="s">
        <v>10</v>
      </c>
      <c r="K592" s="14" t="s">
        <v>1017</v>
      </c>
      <c r="L592" s="14" t="s">
        <v>1018</v>
      </c>
      <c r="M592" s="14" t="s">
        <v>9158</v>
      </c>
      <c r="N592" s="14" t="s">
        <v>9158</v>
      </c>
      <c r="O592" s="19" t="s">
        <v>10077</v>
      </c>
      <c r="P592" s="14" t="s">
        <v>3062</v>
      </c>
      <c r="Q592" s="14">
        <v>1</v>
      </c>
    </row>
    <row r="593" spans="1:17">
      <c r="A593" s="14" t="s">
        <v>5650</v>
      </c>
      <c r="B593" s="14" t="s">
        <v>52</v>
      </c>
      <c r="C593" s="14" t="s">
        <v>23</v>
      </c>
      <c r="D593" s="19" t="s">
        <v>809</v>
      </c>
      <c r="E593" s="15" t="str">
        <f>HYPERLINK("https://stat100.ameba.jp/tnk47/ratio20/illustrations/card/ill_68033_0_kurisumasupateikandamyojin03.jpg?202004-5-RELEASE-marathon-466", "■")</f>
        <v>■</v>
      </c>
      <c r="F593" s="14" t="s">
        <v>1871</v>
      </c>
      <c r="G593" s="14">
        <v>139878</v>
      </c>
      <c r="H593" s="14">
        <v>150466</v>
      </c>
      <c r="I593" s="14">
        <v>22</v>
      </c>
      <c r="J593" s="14" t="s">
        <v>44</v>
      </c>
      <c r="K593" s="14" t="s">
        <v>1872</v>
      </c>
      <c r="L593" s="14" t="s">
        <v>1873</v>
      </c>
      <c r="M593" s="14" t="s">
        <v>9158</v>
      </c>
      <c r="N593" s="14" t="s">
        <v>9158</v>
      </c>
      <c r="O593" s="19" t="s">
        <v>2997</v>
      </c>
      <c r="P593" s="14" t="s">
        <v>3483</v>
      </c>
      <c r="Q593" s="14">
        <v>2</v>
      </c>
    </row>
    <row r="594" spans="1:17">
      <c r="A594" s="9" t="s">
        <v>5616</v>
      </c>
      <c r="B594" s="14" t="s">
        <v>330</v>
      </c>
      <c r="C594" s="14" t="s">
        <v>185</v>
      </c>
      <c r="D594" s="14" t="s">
        <v>638</v>
      </c>
      <c r="E594" s="15" t="str">
        <f>HYPERLINK("https://stat100.ameba.jp/tnk47/ratio20/illustrations/card/ill_44253_0_dokuganryudatemasamune03.jpg?202004-5-RELEASE-marathon-466", "■")</f>
        <v>■</v>
      </c>
      <c r="F594" s="14" t="s">
        <v>639</v>
      </c>
      <c r="G594" s="14">
        <v>120576</v>
      </c>
      <c r="H594" s="14">
        <v>128744</v>
      </c>
      <c r="I594" s="14">
        <v>22</v>
      </c>
      <c r="J594" s="14" t="s">
        <v>310</v>
      </c>
      <c r="K594" s="14" t="s">
        <v>640</v>
      </c>
      <c r="L594" s="14" t="s">
        <v>641</v>
      </c>
      <c r="M594" s="14" t="s">
        <v>9158</v>
      </c>
      <c r="N594" s="14" t="s">
        <v>9158</v>
      </c>
      <c r="O594" s="14" t="s">
        <v>9158</v>
      </c>
      <c r="P594" s="14" t="s">
        <v>9158</v>
      </c>
      <c r="Q594" s="14" t="s">
        <v>9158</v>
      </c>
    </row>
    <row r="595" spans="1:17">
      <c r="A595" s="14">
        <v>84763</v>
      </c>
      <c r="B595" s="14" t="s">
        <v>0</v>
      </c>
      <c r="C595" s="14" t="s">
        <v>200</v>
      </c>
      <c r="D595" s="19" t="s">
        <v>12102</v>
      </c>
      <c r="E595" s="15" t="str">
        <f>HYPERLINK("https://stat100.ameba.jp/tnk47/ratio20/illustrations/card/ill_84763_haroimmajodeyone03.jpg?202004-5-RELEASE-marathon-466", "■")</f>
        <v>■</v>
      </c>
      <c r="F595" s="14" t="s">
        <v>7583</v>
      </c>
      <c r="G595" s="14">
        <v>73272</v>
      </c>
      <c r="H595" s="14">
        <v>130220</v>
      </c>
      <c r="I595" s="14">
        <v>26</v>
      </c>
      <c r="J595" s="14" t="s">
        <v>16</v>
      </c>
      <c r="K595" s="14" t="s">
        <v>7582</v>
      </c>
      <c r="L595" s="14" t="s">
        <v>7581</v>
      </c>
      <c r="M595" s="14" t="s">
        <v>9158</v>
      </c>
      <c r="N595" s="14" t="s">
        <v>9158</v>
      </c>
      <c r="O595" s="14" t="s">
        <v>9158</v>
      </c>
      <c r="P595" s="14" t="s">
        <v>9158</v>
      </c>
      <c r="Q595" s="14" t="s">
        <v>9158</v>
      </c>
    </row>
    <row r="596" spans="1:17">
      <c r="A596" s="9">
        <v>79773</v>
      </c>
      <c r="B596" s="9" t="s">
        <v>334</v>
      </c>
      <c r="C596" s="9" t="s">
        <v>344</v>
      </c>
      <c r="D596" s="9" t="s">
        <v>10244</v>
      </c>
      <c r="E596" s="15" t="str">
        <f>HYPERLINK("https://stat100.ameba.jp/tnk47/ratio20/illustrations/card/ill_79773_entakunokishimyorinni03.jpg?202004-5-RELEASE-marathon-466", "■")</f>
        <v>■</v>
      </c>
      <c r="F596" s="9" t="s">
        <v>11400</v>
      </c>
      <c r="G596" s="9">
        <v>107392</v>
      </c>
      <c r="H596" s="9">
        <v>190884</v>
      </c>
      <c r="I596" s="9">
        <v>26</v>
      </c>
      <c r="J596" s="9" t="s">
        <v>310</v>
      </c>
      <c r="K596" s="9" t="s">
        <v>11401</v>
      </c>
      <c r="L596" s="9" t="s">
        <v>407</v>
      </c>
      <c r="M596" s="14" t="s">
        <v>9158</v>
      </c>
      <c r="N596" s="14" t="s">
        <v>9158</v>
      </c>
      <c r="O596" s="14" t="s">
        <v>9158</v>
      </c>
      <c r="P596" s="14" t="s">
        <v>9158</v>
      </c>
      <c r="Q596" s="14" t="s">
        <v>9158</v>
      </c>
    </row>
    <row r="597" spans="1:17">
      <c r="A597" s="9">
        <v>80093</v>
      </c>
      <c r="B597" s="14" t="s">
        <v>0</v>
      </c>
      <c r="C597" s="14" t="s">
        <v>14</v>
      </c>
      <c r="D597" s="14" t="s">
        <v>3771</v>
      </c>
      <c r="E597" s="15" t="str">
        <f>HYPERLINK("https://stat100.ameba.jp/tnk47/ratio20/illustrations/card/ill_80093_kafunshuraijakotsumusume03.jpg?202004-5-RELEASE-marathon-466", "■")</f>
        <v>■</v>
      </c>
      <c r="F597" s="14" t="s">
        <v>3772</v>
      </c>
      <c r="G597" s="14">
        <v>100744</v>
      </c>
      <c r="H597" s="14">
        <v>108330</v>
      </c>
      <c r="I597" s="14">
        <v>26</v>
      </c>
      <c r="J597" s="14" t="s">
        <v>73</v>
      </c>
      <c r="K597" s="14" t="s">
        <v>3773</v>
      </c>
      <c r="L597" s="14" t="s">
        <v>2007</v>
      </c>
      <c r="M597" s="14" t="s">
        <v>9158</v>
      </c>
      <c r="N597" s="14" t="s">
        <v>9158</v>
      </c>
      <c r="O597" s="14" t="s">
        <v>9158</v>
      </c>
      <c r="P597" s="14" t="s">
        <v>9158</v>
      </c>
      <c r="Q597" s="14" t="s">
        <v>9158</v>
      </c>
    </row>
    <row r="598" spans="1:17">
      <c r="A598" s="14">
        <v>84263</v>
      </c>
      <c r="B598" s="14" t="s">
        <v>15</v>
      </c>
      <c r="C598" s="14" t="s">
        <v>191</v>
      </c>
      <c r="D598" s="19" t="s">
        <v>10671</v>
      </c>
      <c r="E598" s="15" t="str">
        <f>HYPERLINK("https://stat100.ameba.jp/tnk47/ratio20/illustrations/card/ill_84263_isotengu03.jpg?202004-5-RELEASE-marathon-466", "■")</f>
        <v>■</v>
      </c>
      <c r="F598" s="14" t="s">
        <v>7247</v>
      </c>
      <c r="G598" s="14">
        <v>59144</v>
      </c>
      <c r="H598" s="14">
        <v>65208</v>
      </c>
      <c r="I598" s="14">
        <v>22</v>
      </c>
      <c r="J598" s="14" t="s">
        <v>73</v>
      </c>
      <c r="K598" s="14" t="s">
        <v>7245</v>
      </c>
      <c r="L598" s="14" t="s">
        <v>1706</v>
      </c>
      <c r="M598" s="14" t="s">
        <v>9158</v>
      </c>
      <c r="N598" s="14" t="s">
        <v>9158</v>
      </c>
      <c r="O598" s="14" t="s">
        <v>9158</v>
      </c>
      <c r="P598" s="14" t="s">
        <v>9158</v>
      </c>
      <c r="Q598" s="14" t="s">
        <v>9158</v>
      </c>
    </row>
    <row r="599" spans="1:17">
      <c r="A599" s="14">
        <v>84043</v>
      </c>
      <c r="B599" s="14" t="s">
        <v>15</v>
      </c>
      <c r="C599" s="14" t="s">
        <v>185</v>
      </c>
      <c r="D599" s="19" t="s">
        <v>10534</v>
      </c>
      <c r="E599" s="15" t="str">
        <f>HYPERLINK("https://stat100.ameba.jp/tnk47/ratio20/illustrations/card/ill_84043_intonnambutsuruhime03.jpg?202004-5-RELEASE-marathon-466", "■")</f>
        <v>■</v>
      </c>
      <c r="F599" s="14" t="s">
        <v>6483</v>
      </c>
      <c r="G599" s="14">
        <v>59144</v>
      </c>
      <c r="H599" s="14">
        <v>65208</v>
      </c>
      <c r="I599" s="14">
        <v>22</v>
      </c>
      <c r="J599" s="14" t="s">
        <v>77</v>
      </c>
      <c r="K599" s="14" t="s">
        <v>5215</v>
      </c>
      <c r="L599" s="14" t="s">
        <v>973</v>
      </c>
      <c r="M599" s="14" t="s">
        <v>9158</v>
      </c>
      <c r="N599" s="14" t="s">
        <v>9158</v>
      </c>
      <c r="O599" s="14" t="s">
        <v>9158</v>
      </c>
      <c r="P599" s="14" t="s">
        <v>9158</v>
      </c>
      <c r="Q599" s="14" t="s">
        <v>9158</v>
      </c>
    </row>
    <row r="600" spans="1:17">
      <c r="A600" s="14">
        <v>44403</v>
      </c>
      <c r="B600" s="14" t="s">
        <v>15</v>
      </c>
      <c r="C600" s="14" t="s">
        <v>185</v>
      </c>
      <c r="D600" s="19" t="s">
        <v>11038</v>
      </c>
      <c r="E600" s="15" t="str">
        <f>HYPERLINK("https://stat100.ameba.jp/tnk47/ratio20/illustrations/card/ill_44403_sansho03.jpg?202004-5-RELEASE-marathon-466", "■")</f>
        <v>■</v>
      </c>
      <c r="F600" s="14" t="s">
        <v>11041</v>
      </c>
      <c r="G600" s="14">
        <v>59144</v>
      </c>
      <c r="H600" s="14">
        <v>65208</v>
      </c>
      <c r="I600" s="14">
        <v>22</v>
      </c>
      <c r="J600" s="14" t="s">
        <v>104</v>
      </c>
      <c r="K600" s="14" t="s">
        <v>11040</v>
      </c>
      <c r="L600" s="14" t="s">
        <v>11039</v>
      </c>
      <c r="M600" s="14" t="s">
        <v>9158</v>
      </c>
      <c r="N600" s="14" t="s">
        <v>9158</v>
      </c>
      <c r="O600" s="14" t="s">
        <v>9158</v>
      </c>
      <c r="P600" s="14" t="s">
        <v>9158</v>
      </c>
      <c r="Q600" s="14" t="s">
        <v>9158</v>
      </c>
    </row>
    <row r="602" spans="1:17">
      <c r="A602" s="7" t="s">
        <v>135</v>
      </c>
    </row>
    <row r="603" spans="1:17">
      <c r="A603" s="7" t="s">
        <v>4144</v>
      </c>
    </row>
    <row r="604" spans="1:17">
      <c r="A604" s="14" t="s">
        <v>6598</v>
      </c>
      <c r="B604" s="14" t="s">
        <v>330</v>
      </c>
      <c r="C604" s="14" t="s">
        <v>35</v>
      </c>
      <c r="D604" s="19" t="s">
        <v>10555</v>
      </c>
      <c r="E604" s="15" t="str">
        <f>HYPERLINK("https://stat100.ameba.jp/tnk47/ratio20/illustrations/card/ill_83553_0_kajuenamoronagu03.jpg?202004-5-RELEASE-marathon-466", "■")</f>
        <v>■</v>
      </c>
      <c r="F604" s="14" t="s">
        <v>6597</v>
      </c>
      <c r="G604" s="14">
        <v>252640</v>
      </c>
      <c r="H604" s="14">
        <v>279536</v>
      </c>
      <c r="I604" s="14">
        <v>24</v>
      </c>
      <c r="J604" s="14" t="s">
        <v>44</v>
      </c>
      <c r="K604" s="14" t="s">
        <v>6595</v>
      </c>
      <c r="L604" s="14" t="s">
        <v>6594</v>
      </c>
      <c r="M604" s="14" t="s">
        <v>9158</v>
      </c>
      <c r="N604" s="14" t="s">
        <v>9158</v>
      </c>
      <c r="O604" s="19" t="s">
        <v>10125</v>
      </c>
      <c r="P604" s="14" t="s">
        <v>6599</v>
      </c>
      <c r="Q604" s="14">
        <v>1</v>
      </c>
    </row>
    <row r="605" spans="1:17">
      <c r="A605" s="14">
        <v>83093</v>
      </c>
      <c r="B605" s="14" t="s">
        <v>0</v>
      </c>
      <c r="C605" s="14" t="s">
        <v>158</v>
      </c>
      <c r="D605" s="19" t="s">
        <v>10490</v>
      </c>
      <c r="E605" s="15" t="str">
        <f>HYPERLINK("https://stat100.ameba.jp/tnk47/ratio20/illustrations/card/ill_83093_yusuraume03.jpg?202004-5-RELEASE-marathon-466", "■")</f>
        <v>■</v>
      </c>
      <c r="F605" s="14" t="s">
        <v>6267</v>
      </c>
      <c r="G605" s="14">
        <v>126858</v>
      </c>
      <c r="H605" s="14">
        <v>91876</v>
      </c>
      <c r="I605" s="14">
        <v>24</v>
      </c>
      <c r="J605" s="14" t="s">
        <v>104</v>
      </c>
      <c r="K605" s="14" t="s">
        <v>6266</v>
      </c>
      <c r="L605" s="14" t="s">
        <v>2409</v>
      </c>
      <c r="M605" s="14" t="s">
        <v>9158</v>
      </c>
      <c r="N605" s="14" t="s">
        <v>9158</v>
      </c>
      <c r="O605" s="19" t="s">
        <v>10090</v>
      </c>
      <c r="P605" s="14" t="s">
        <v>3460</v>
      </c>
      <c r="Q605" s="14">
        <v>1</v>
      </c>
    </row>
    <row r="606" spans="1:17">
      <c r="A606" s="14">
        <v>75883</v>
      </c>
      <c r="B606" s="14" t="s">
        <v>334</v>
      </c>
      <c r="C606" s="14" t="s">
        <v>154</v>
      </c>
      <c r="D606" s="19" t="s">
        <v>10402</v>
      </c>
      <c r="E606" s="15" t="str">
        <f>HYPERLINK("https://stat100.ameba.jp/tnk47/ratio20/illustrations/card/ill_75883_kitajokagehiro03.jpg?202004-5-RELEASE-marathon-466", "■")</f>
        <v>■</v>
      </c>
      <c r="F606" s="14" t="s">
        <v>2411</v>
      </c>
      <c r="G606" s="14">
        <v>115656</v>
      </c>
      <c r="H606" s="14">
        <v>159674</v>
      </c>
      <c r="I606" s="14">
        <v>24</v>
      </c>
      <c r="J606" s="14" t="s">
        <v>143</v>
      </c>
      <c r="K606" s="14" t="s">
        <v>2412</v>
      </c>
      <c r="L606" s="14" t="s">
        <v>1148</v>
      </c>
      <c r="M606" s="14" t="s">
        <v>9158</v>
      </c>
      <c r="N606" s="14" t="s">
        <v>9158</v>
      </c>
      <c r="O606" s="19" t="s">
        <v>10106</v>
      </c>
      <c r="P606" s="14" t="s">
        <v>3330</v>
      </c>
      <c r="Q606" s="14">
        <v>2</v>
      </c>
    </row>
    <row r="607" spans="1:17">
      <c r="A607" s="14">
        <v>82543</v>
      </c>
      <c r="B607" s="14" t="s">
        <v>334</v>
      </c>
      <c r="C607" s="14" t="s">
        <v>41</v>
      </c>
      <c r="D607" s="19" t="s">
        <v>10342</v>
      </c>
      <c r="E607" s="15" t="str">
        <f>HYPERLINK("https://stat100.ameba.jp/tnk47/ratio20/illustrations/card/ill_82543_nabeshimanagako03.jpg?202004-5-RELEASE-marathon-466", "■")</f>
        <v>■</v>
      </c>
      <c r="F607" s="14" t="s">
        <v>5491</v>
      </c>
      <c r="G607" s="14">
        <v>104890</v>
      </c>
      <c r="H607" s="14">
        <v>75984</v>
      </c>
      <c r="I607" s="14">
        <v>24</v>
      </c>
      <c r="J607" s="14" t="s">
        <v>10</v>
      </c>
      <c r="K607" s="14" t="s">
        <v>5493</v>
      </c>
      <c r="L607" s="14" t="s">
        <v>5494</v>
      </c>
      <c r="M607" s="14" t="s">
        <v>9158</v>
      </c>
      <c r="N607" s="14" t="s">
        <v>9158</v>
      </c>
      <c r="O607" s="19" t="s">
        <v>10080</v>
      </c>
      <c r="P607" s="14" t="s">
        <v>3705</v>
      </c>
      <c r="Q607" s="14">
        <v>1</v>
      </c>
    </row>
    <row r="609" spans="1:17">
      <c r="A609" s="9" t="s">
        <v>12005</v>
      </c>
    </row>
    <row r="610" spans="1:17">
      <c r="A610" s="7" t="s">
        <v>12006</v>
      </c>
    </row>
    <row r="611" spans="1:17">
      <c r="A611" s="14" t="s">
        <v>7150</v>
      </c>
      <c r="B611" s="14" t="s">
        <v>52</v>
      </c>
      <c r="C611" s="14" t="s">
        <v>202</v>
      </c>
      <c r="D611" s="20" t="s">
        <v>10656</v>
      </c>
      <c r="E611" s="15" t="str">
        <f>HYPERLINK("https://stat100.ameba.jp/tnk47/ratio20/illustrations/card/ill_84203_0_tarottofujiwaranoshoshi03.jpg?202004-5-RELEASE-marathon-466", "■")</f>
        <v>■</v>
      </c>
      <c r="F611" s="14" t="s">
        <v>7153</v>
      </c>
      <c r="G611" s="14">
        <v>397406</v>
      </c>
      <c r="H611" s="14">
        <v>359198</v>
      </c>
      <c r="I611" s="14">
        <v>27</v>
      </c>
      <c r="J611" s="14" t="s">
        <v>10</v>
      </c>
      <c r="K611" s="14" t="s">
        <v>7152</v>
      </c>
      <c r="L611" s="14" t="s">
        <v>7151</v>
      </c>
      <c r="M611" s="14" t="s">
        <v>9158</v>
      </c>
      <c r="N611" s="14" t="s">
        <v>9158</v>
      </c>
      <c r="O611" s="19" t="s">
        <v>10128</v>
      </c>
      <c r="P611" s="14" t="s">
        <v>7154</v>
      </c>
      <c r="Q611" s="14">
        <v>1</v>
      </c>
    </row>
    <row r="612" spans="1:17">
      <c r="A612" s="14" t="s">
        <v>5601</v>
      </c>
      <c r="B612" s="14" t="s">
        <v>330</v>
      </c>
      <c r="C612" s="14" t="s">
        <v>35</v>
      </c>
      <c r="D612" s="19" t="s">
        <v>10318</v>
      </c>
      <c r="E612" s="15" t="str">
        <f>HYPERLINK("https://stat100.ameba.jp/tnk47/ratio20/illustrations/card/ill_82423_0_bikinigarukishi03.jpg?202004-5-RELEASE-marathon-466", "■")</f>
        <v>■</v>
      </c>
      <c r="F612" s="14" t="s">
        <v>5391</v>
      </c>
      <c r="G612" s="14">
        <v>326924</v>
      </c>
      <c r="H612" s="14">
        <v>295479</v>
      </c>
      <c r="I612" s="14">
        <v>27</v>
      </c>
      <c r="J612" s="14" t="s">
        <v>77</v>
      </c>
      <c r="K612" s="14" t="s">
        <v>5392</v>
      </c>
      <c r="L612" s="14" t="s">
        <v>5393</v>
      </c>
      <c r="M612" s="14" t="s">
        <v>9158</v>
      </c>
      <c r="N612" s="14" t="s">
        <v>9158</v>
      </c>
      <c r="O612" s="19" t="s">
        <v>10069</v>
      </c>
      <c r="P612" s="14" t="s">
        <v>5394</v>
      </c>
      <c r="Q612" s="14">
        <v>1</v>
      </c>
    </row>
    <row r="613" spans="1:17">
      <c r="A613" s="14" t="s">
        <v>5625</v>
      </c>
      <c r="B613" s="14" t="s">
        <v>330</v>
      </c>
      <c r="C613" s="14" t="s">
        <v>200</v>
      </c>
      <c r="D613" s="19" t="s">
        <v>630</v>
      </c>
      <c r="E613" s="15" t="str">
        <f>HYPERLINK("https://stat100.ameba.jp/tnk47/ratio20/illustrations/card/ill_48283_0_kyuubitamamonomae03.jpg?202004-5-RELEASE-marathon-466", "■")</f>
        <v>■</v>
      </c>
      <c r="F613" s="14" t="s">
        <v>631</v>
      </c>
      <c r="G613" s="14">
        <v>163342</v>
      </c>
      <c r="H613" s="14">
        <v>145100</v>
      </c>
      <c r="I613" s="14">
        <v>26</v>
      </c>
      <c r="J613" s="14" t="s">
        <v>320</v>
      </c>
      <c r="K613" s="14" t="s">
        <v>632</v>
      </c>
      <c r="L613" s="14" t="s">
        <v>633</v>
      </c>
      <c r="M613" s="14" t="s">
        <v>9158</v>
      </c>
      <c r="N613" s="14" t="s">
        <v>9158</v>
      </c>
      <c r="O613" s="14" t="s">
        <v>9158</v>
      </c>
      <c r="P613" s="14" t="s">
        <v>9158</v>
      </c>
      <c r="Q613" s="14" t="s">
        <v>9158</v>
      </c>
    </row>
    <row r="614" spans="1:17">
      <c r="A614" s="14">
        <v>77663</v>
      </c>
      <c r="B614" s="14" t="s">
        <v>334</v>
      </c>
      <c r="C614" s="14" t="s">
        <v>202</v>
      </c>
      <c r="D614" s="20" t="s">
        <v>10614</v>
      </c>
      <c r="E614" s="15" t="str">
        <f>HYPERLINK("https://stat100.ameba.jp/tnk47/ratio20/illustrations/card/ill_77663_deipuburu03.jpg?202004-5-RELEASE-marathon-466", "■")</f>
        <v>■</v>
      </c>
      <c r="F614" s="14" t="s">
        <v>1573</v>
      </c>
      <c r="G614" s="14">
        <v>85492</v>
      </c>
      <c r="H614" s="14">
        <v>118000</v>
      </c>
      <c r="I614" s="14">
        <v>26</v>
      </c>
      <c r="J614" s="14" t="s">
        <v>414</v>
      </c>
      <c r="K614" s="14" t="s">
        <v>1574</v>
      </c>
      <c r="L614" s="14" t="s">
        <v>1575</v>
      </c>
      <c r="M614" s="14" t="s">
        <v>9158</v>
      </c>
      <c r="N614" s="14" t="s">
        <v>9158</v>
      </c>
      <c r="O614" s="19" t="s">
        <v>10117</v>
      </c>
      <c r="P614" s="14" t="s">
        <v>3625</v>
      </c>
      <c r="Q614" s="14">
        <v>1</v>
      </c>
    </row>
    <row r="615" spans="1:17">
      <c r="A615" s="14">
        <v>81303</v>
      </c>
      <c r="B615" s="14" t="s">
        <v>334</v>
      </c>
      <c r="C615" s="14" t="s">
        <v>41</v>
      </c>
      <c r="D615" s="20" t="s">
        <v>10349</v>
      </c>
      <c r="E615" s="15" t="str">
        <f>HYPERLINK("https://stat100.ameba.jp/tnk47/ratio20/illustrations/card/ill_81303_suteirukuin03.jpg?202004-5-RELEASE-marathon-466", "■")</f>
        <v>■</v>
      </c>
      <c r="F615" s="14" t="s">
        <v>4581</v>
      </c>
      <c r="G615" s="14">
        <v>125296</v>
      </c>
      <c r="H615" s="14">
        <v>172982</v>
      </c>
      <c r="I615" s="14">
        <v>26</v>
      </c>
      <c r="J615" s="14" t="s">
        <v>104</v>
      </c>
      <c r="K615" s="14" t="s">
        <v>4582</v>
      </c>
      <c r="L615" s="14" t="s">
        <v>2304</v>
      </c>
      <c r="M615" s="14" t="s">
        <v>9158</v>
      </c>
      <c r="N615" s="14" t="s">
        <v>9158</v>
      </c>
      <c r="O615" s="19" t="s">
        <v>10084</v>
      </c>
      <c r="P615" s="14" t="s">
        <v>4584</v>
      </c>
      <c r="Q615" s="14">
        <v>1</v>
      </c>
    </row>
    <row r="616" spans="1:17">
      <c r="A616" s="14">
        <v>70373</v>
      </c>
      <c r="B616" s="14" t="s">
        <v>334</v>
      </c>
      <c r="C616" s="14" t="s">
        <v>209</v>
      </c>
      <c r="D616" s="20" t="s">
        <v>10226</v>
      </c>
      <c r="E616" s="15" t="str">
        <f>HYPERLINK("https://stat100.ameba.jp/tnk47/ratio20/illustrations/card/ill_70373_amanoyasukage03.jpg?202004-5-RELEASE-marathon-466", "■")</f>
        <v>■</v>
      </c>
      <c r="F616" s="14" t="s">
        <v>2617</v>
      </c>
      <c r="G616" s="14">
        <v>134306</v>
      </c>
      <c r="H616" s="14">
        <v>144446</v>
      </c>
      <c r="I616" s="14">
        <v>26</v>
      </c>
      <c r="J616" s="14" t="s">
        <v>143</v>
      </c>
      <c r="K616" s="14" t="s">
        <v>2618</v>
      </c>
      <c r="L616" s="14" t="s">
        <v>2619</v>
      </c>
      <c r="M616" s="14" t="s">
        <v>9158</v>
      </c>
      <c r="N616" s="14" t="s">
        <v>9158</v>
      </c>
      <c r="O616" s="19" t="s">
        <v>10081</v>
      </c>
      <c r="P616" s="14" t="s">
        <v>4146</v>
      </c>
      <c r="Q616" s="14">
        <v>1</v>
      </c>
    </row>
    <row r="617" spans="1:17">
      <c r="A617" s="14">
        <v>84323</v>
      </c>
      <c r="B617" s="14" t="s">
        <v>0</v>
      </c>
      <c r="C617" s="14" t="s">
        <v>158</v>
      </c>
      <c r="D617" s="19" t="s">
        <v>10669</v>
      </c>
      <c r="E617" s="15" t="str">
        <f>HYPERLINK("https://stat100.ameba.jp/tnk47/ratio20/illustrations/card/ill_84323_kagizumebyakko03.jpg?202004-5-RELEASE-marathon-466", "■")</f>
        <v>■</v>
      </c>
      <c r="F617" s="14" t="s">
        <v>7284</v>
      </c>
      <c r="G617" s="14">
        <v>132562</v>
      </c>
      <c r="H617" s="14">
        <v>96010</v>
      </c>
      <c r="I617" s="14">
        <v>26</v>
      </c>
      <c r="J617" s="14" t="s">
        <v>155</v>
      </c>
      <c r="K617" s="14" t="s">
        <v>7283</v>
      </c>
      <c r="L617" s="14" t="s">
        <v>7282</v>
      </c>
      <c r="M617" s="14" t="s">
        <v>9158</v>
      </c>
      <c r="N617" s="14" t="s">
        <v>9158</v>
      </c>
      <c r="O617" s="19" t="s">
        <v>10109</v>
      </c>
      <c r="P617" s="14" t="s">
        <v>3625</v>
      </c>
      <c r="Q617" s="14">
        <v>1</v>
      </c>
    </row>
    <row r="618" spans="1:17">
      <c r="A618" s="7">
        <v>85643</v>
      </c>
      <c r="B618" s="7" t="s">
        <v>0</v>
      </c>
      <c r="C618" s="7" t="s">
        <v>154</v>
      </c>
      <c r="D618" s="20" t="s">
        <v>10828</v>
      </c>
      <c r="E618" s="15" t="str">
        <f>HYPERLINK("https://stat100.ameba.jp/tnk47/ratio20/illustrations/card/ill_85643_hosekisho03.jpg?202004-5-RELEASE-marathon-466", "■")</f>
        <v>■</v>
      </c>
      <c r="F618" s="7" t="s">
        <v>8420</v>
      </c>
      <c r="G618" s="7">
        <v>113630</v>
      </c>
      <c r="H618" s="7">
        <v>82318</v>
      </c>
      <c r="I618" s="14">
        <v>26</v>
      </c>
      <c r="J618" s="7" t="s">
        <v>26</v>
      </c>
      <c r="K618" s="7" t="s">
        <v>8418</v>
      </c>
      <c r="L618" s="7" t="s">
        <v>3260</v>
      </c>
      <c r="M618" s="14" t="s">
        <v>9158</v>
      </c>
      <c r="N618" s="14" t="s">
        <v>9158</v>
      </c>
      <c r="O618" s="19" t="s">
        <v>10091</v>
      </c>
      <c r="P618" s="7" t="s">
        <v>3670</v>
      </c>
      <c r="Q618" s="7">
        <v>1</v>
      </c>
    </row>
    <row r="619" spans="1:17">
      <c r="A619" s="14">
        <v>71333</v>
      </c>
      <c r="B619" s="14" t="s">
        <v>0</v>
      </c>
      <c r="C619" s="14" t="s">
        <v>41</v>
      </c>
      <c r="D619" s="19" t="s">
        <v>10256</v>
      </c>
      <c r="E619" s="15" t="str">
        <f>HYPERLINK("https://stat100.ameba.jp/tnk47/ratio20/illustrations/card/ill_71333_fujiwaranokamatari03.jpg?202004-5-RELEASE-marathon-466", "■")</f>
        <v>■</v>
      </c>
      <c r="F619" s="14" t="s">
        <v>58</v>
      </c>
      <c r="G619" s="14">
        <v>113630</v>
      </c>
      <c r="H619" s="14">
        <v>82318</v>
      </c>
      <c r="I619" s="14">
        <v>26</v>
      </c>
      <c r="J619" s="14" t="s">
        <v>10</v>
      </c>
      <c r="K619" s="14" t="s">
        <v>59</v>
      </c>
      <c r="L619" s="14" t="s">
        <v>60</v>
      </c>
      <c r="M619" s="14" t="s">
        <v>9158</v>
      </c>
      <c r="N619" s="14" t="s">
        <v>9158</v>
      </c>
      <c r="O619" s="19" t="s">
        <v>10098</v>
      </c>
      <c r="P619" s="14" t="s">
        <v>3491</v>
      </c>
      <c r="Q619" s="14">
        <v>1</v>
      </c>
    </row>
    <row r="621" spans="1:17">
      <c r="A621" s="9" t="s">
        <v>12007</v>
      </c>
    </row>
    <row r="622" spans="1:17">
      <c r="A622" s="7" t="s">
        <v>12008</v>
      </c>
    </row>
    <row r="623" spans="1:17">
      <c r="A623" s="14" t="s">
        <v>5787</v>
      </c>
      <c r="B623" s="14" t="s">
        <v>330</v>
      </c>
      <c r="C623" s="14" t="s">
        <v>270</v>
      </c>
      <c r="D623" s="19" t="s">
        <v>331</v>
      </c>
      <c r="E623" s="15" t="str">
        <f>HYPERLINK("https://stat100.ameba.jp/tnk47/ratio20/illustrations/card/ill_76303_0_haroinkaguya03.jpg?202004-5-RELEASE-marathon-466", "■")</f>
        <v>■</v>
      </c>
      <c r="F623" s="14" t="s">
        <v>332</v>
      </c>
      <c r="G623" s="14">
        <v>285614</v>
      </c>
      <c r="H623" s="14">
        <v>265526</v>
      </c>
      <c r="I623" s="14">
        <v>24</v>
      </c>
      <c r="J623" s="14" t="s">
        <v>274</v>
      </c>
      <c r="K623" s="14" t="s">
        <v>333</v>
      </c>
      <c r="L623" s="14" t="s">
        <v>276</v>
      </c>
      <c r="M623" s="14" t="s">
        <v>9158</v>
      </c>
      <c r="N623" s="14" t="s">
        <v>9158</v>
      </c>
      <c r="O623" s="19" t="s">
        <v>2976</v>
      </c>
      <c r="P623" s="14" t="s">
        <v>2724</v>
      </c>
      <c r="Q623" s="14">
        <v>1</v>
      </c>
    </row>
    <row r="624" spans="1:17">
      <c r="A624" s="14">
        <v>77123</v>
      </c>
      <c r="B624" s="14" t="s">
        <v>334</v>
      </c>
      <c r="C624" s="14" t="s">
        <v>191</v>
      </c>
      <c r="D624" s="19" t="s">
        <v>10424</v>
      </c>
      <c r="E624" s="15" t="str">
        <f>HYPERLINK("https://stat100.ameba.jp/tnk47/ratio20/illustrations/card/ill_77123_yukemuriizuna03.jpg?202004-5-RELEASE-marathon-466", "■")</f>
        <v>■</v>
      </c>
      <c r="F624" s="14" t="s">
        <v>1377</v>
      </c>
      <c r="G624" s="14">
        <v>104162</v>
      </c>
      <c r="H624" s="14">
        <v>96871</v>
      </c>
      <c r="I624" s="14">
        <v>25</v>
      </c>
      <c r="J624" s="14" t="s">
        <v>320</v>
      </c>
      <c r="K624" s="14" t="s">
        <v>1378</v>
      </c>
      <c r="L624" s="14" t="s">
        <v>1379</v>
      </c>
      <c r="M624" s="14" t="s">
        <v>9158</v>
      </c>
      <c r="N624" s="14" t="s">
        <v>9158</v>
      </c>
      <c r="O624" s="19" t="s">
        <v>2838</v>
      </c>
      <c r="P624" s="14" t="s">
        <v>3579</v>
      </c>
      <c r="Q624" s="14">
        <v>1</v>
      </c>
    </row>
    <row r="625" spans="1:18">
      <c r="A625" s="14">
        <v>71343</v>
      </c>
      <c r="B625" s="14" t="s">
        <v>334</v>
      </c>
      <c r="C625" s="14" t="s">
        <v>185</v>
      </c>
      <c r="D625" s="20" t="s">
        <v>10544</v>
      </c>
      <c r="E625" s="15" t="str">
        <f>HYPERLINK("https://stat100.ameba.jp/tnk47/ratio20/illustrations/card/ill_71343_ohanamimatehime03.jpg?202004-5-RELEASE-marathon-466", "■")</f>
        <v>■</v>
      </c>
      <c r="F625" s="14" t="s">
        <v>536</v>
      </c>
      <c r="G625" s="14">
        <v>90759</v>
      </c>
      <c r="H625" s="14">
        <v>97651</v>
      </c>
      <c r="I625" s="14">
        <v>25</v>
      </c>
      <c r="J625" s="14" t="s">
        <v>187</v>
      </c>
      <c r="K625" s="14" t="s">
        <v>188</v>
      </c>
      <c r="L625" s="14" t="s">
        <v>13132</v>
      </c>
      <c r="M625" s="14" t="s">
        <v>9158</v>
      </c>
      <c r="N625" s="14" t="s">
        <v>9158</v>
      </c>
      <c r="O625" s="19" t="s">
        <v>2752</v>
      </c>
      <c r="P625" s="14" t="s">
        <v>13123</v>
      </c>
      <c r="Q625" s="14">
        <v>1</v>
      </c>
    </row>
    <row r="626" spans="1:18">
      <c r="A626" s="14">
        <v>75853</v>
      </c>
      <c r="B626" s="14" t="s">
        <v>334</v>
      </c>
      <c r="C626" s="14" t="s">
        <v>41</v>
      </c>
      <c r="D626" s="20" t="s">
        <v>10224</v>
      </c>
      <c r="E626" s="15" t="str">
        <f>HYPERLINK("https://stat100.ameba.jp/tnk47/ratio20/illustrations/card/ill_75853_moruganoyuki03.jpg?202004-5-RELEASE-marathon-466", "■")</f>
        <v>■</v>
      </c>
      <c r="F626" s="14" t="s">
        <v>5106</v>
      </c>
      <c r="G626" s="14">
        <v>125000</v>
      </c>
      <c r="H626" s="14">
        <v>116225</v>
      </c>
      <c r="I626" s="7">
        <v>25</v>
      </c>
      <c r="J626" s="14" t="s">
        <v>16</v>
      </c>
      <c r="K626" s="14" t="s">
        <v>5108</v>
      </c>
      <c r="L626" s="14" t="s">
        <v>1881</v>
      </c>
      <c r="M626" s="14" t="s">
        <v>9158</v>
      </c>
      <c r="N626" s="14" t="s">
        <v>9158</v>
      </c>
      <c r="O626" s="19" t="s">
        <v>10070</v>
      </c>
      <c r="P626" s="14" t="s">
        <v>3579</v>
      </c>
      <c r="Q626" s="14">
        <v>1</v>
      </c>
    </row>
    <row r="628" spans="1:18">
      <c r="A628" s="7" t="s">
        <v>3643</v>
      </c>
      <c r="B628" s="7"/>
      <c r="C628" s="7"/>
      <c r="D628" s="7"/>
      <c r="E628" s="7"/>
      <c r="F628" s="7"/>
      <c r="G628" s="7"/>
      <c r="H628" s="7"/>
      <c r="I628" s="7"/>
      <c r="J628" s="7"/>
      <c r="K628" s="7"/>
      <c r="L628" s="7"/>
      <c r="M628" s="7"/>
      <c r="N628" s="7"/>
      <c r="O628" s="7"/>
      <c r="P628" s="7"/>
      <c r="Q628" s="7"/>
      <c r="R628" s="7"/>
    </row>
    <row r="629" spans="1:18">
      <c r="A629" s="7" t="s">
        <v>12051</v>
      </c>
      <c r="B629" s="7"/>
      <c r="C629" s="7"/>
      <c r="D629" s="7"/>
      <c r="E629" s="7"/>
      <c r="F629" s="7"/>
      <c r="G629" s="7"/>
      <c r="H629" s="7"/>
      <c r="I629" s="7"/>
      <c r="J629" s="7"/>
      <c r="K629" s="7"/>
      <c r="L629" s="7"/>
      <c r="M629" s="7"/>
      <c r="N629" s="7"/>
      <c r="O629" s="7"/>
      <c r="P629" s="7"/>
      <c r="Q629" s="7"/>
      <c r="R629" s="7"/>
    </row>
    <row r="630" spans="1:18">
      <c r="A630" s="7">
        <v>84295</v>
      </c>
      <c r="B630" s="7" t="s">
        <v>0</v>
      </c>
      <c r="C630" s="7" t="s">
        <v>202</v>
      </c>
      <c r="D630" s="19" t="s">
        <v>12052</v>
      </c>
      <c r="E630" s="15" t="str">
        <f>HYPERLINK("https://stat100.ameba.jp/tnk47/ratio20/illustrations/card/ill_84295_yokaitaisemmakaron05.jpg?202004-5-RELEASE-marathon-466xxx", "■")</f>
        <v>■</v>
      </c>
      <c r="F630" s="7" t="s">
        <v>7190</v>
      </c>
      <c r="G630" s="7">
        <v>149247</v>
      </c>
      <c r="H630" s="7">
        <v>108069</v>
      </c>
      <c r="I630" s="7">
        <v>25</v>
      </c>
      <c r="J630" s="14" t="s">
        <v>104</v>
      </c>
      <c r="K630" s="7" t="s">
        <v>7189</v>
      </c>
      <c r="L630" s="7" t="s">
        <v>2409</v>
      </c>
      <c r="M630" s="14" t="s">
        <v>9158</v>
      </c>
      <c r="N630" s="14" t="s">
        <v>9158</v>
      </c>
      <c r="O630" s="14" t="s">
        <v>9158</v>
      </c>
      <c r="P630" s="14" t="s">
        <v>9158</v>
      </c>
      <c r="Q630" s="14" t="s">
        <v>9158</v>
      </c>
      <c r="R630" s="7" t="s">
        <v>174</v>
      </c>
    </row>
    <row r="631" spans="1:18">
      <c r="A631" s="7">
        <v>84293</v>
      </c>
      <c r="B631" s="7" t="s">
        <v>15</v>
      </c>
      <c r="C631" s="7" t="s">
        <v>154</v>
      </c>
      <c r="D631" s="19" t="s">
        <v>12052</v>
      </c>
      <c r="E631" s="15" t="str">
        <f>HYPERLINK("https://stat100.ameba.jp/tnk47/ratio20/illustrations/card/ill_84293_yokaitaisemmakaron03.jpg?202004-5-RELEASE-marathon-466xxx", "■")</f>
        <v>■</v>
      </c>
      <c r="F631" s="7" t="s">
        <v>7190</v>
      </c>
      <c r="G631" s="14">
        <v>109962</v>
      </c>
      <c r="H631" s="14">
        <v>79621</v>
      </c>
      <c r="I631" s="7">
        <v>25</v>
      </c>
      <c r="J631" s="14" t="s">
        <v>104</v>
      </c>
      <c r="K631" s="7" t="s">
        <v>7189</v>
      </c>
      <c r="L631" s="7" t="s">
        <v>7194</v>
      </c>
      <c r="M631" s="14" t="s">
        <v>9158</v>
      </c>
      <c r="N631" s="14" t="s">
        <v>9158</v>
      </c>
      <c r="O631" s="14" t="s">
        <v>9158</v>
      </c>
      <c r="P631" s="14" t="s">
        <v>9158</v>
      </c>
      <c r="Q631" s="14" t="s">
        <v>9158</v>
      </c>
      <c r="R631" s="7" t="s">
        <v>175</v>
      </c>
    </row>
    <row r="632" spans="1:18">
      <c r="A632" s="7">
        <v>84291</v>
      </c>
      <c r="B632" s="7" t="s">
        <v>15</v>
      </c>
      <c r="C632" s="7" t="s">
        <v>154</v>
      </c>
      <c r="D632" s="19" t="s">
        <v>12052</v>
      </c>
      <c r="E632" s="15" t="str">
        <f>HYPERLINK("https://stat100.ameba.jp/tnk47/ratio20/illustrations/card/ill_84291_yokaitaisemmakaron01.jpg?202004-5-RELEASE-marathon-466xxx", "■")</f>
        <v>■</v>
      </c>
      <c r="F632" s="7" t="s">
        <v>7190</v>
      </c>
      <c r="G632" s="7">
        <v>69950</v>
      </c>
      <c r="H632" s="7">
        <v>50650</v>
      </c>
      <c r="I632" s="7">
        <v>25</v>
      </c>
      <c r="J632" s="14" t="s">
        <v>104</v>
      </c>
      <c r="K632" s="7" t="s">
        <v>7189</v>
      </c>
      <c r="L632" s="7" t="s">
        <v>7195</v>
      </c>
      <c r="M632" s="14" t="s">
        <v>9158</v>
      </c>
      <c r="N632" s="14" t="s">
        <v>9158</v>
      </c>
      <c r="O632" s="14" t="s">
        <v>9158</v>
      </c>
      <c r="P632" s="14" t="s">
        <v>9158</v>
      </c>
      <c r="Q632" s="14" t="s">
        <v>9158</v>
      </c>
      <c r="R632" s="7" t="s">
        <v>176</v>
      </c>
    </row>
    <row r="633" spans="1:18">
      <c r="A633" s="7">
        <v>84305</v>
      </c>
      <c r="B633" s="7" t="s">
        <v>0</v>
      </c>
      <c r="C633" s="7" t="s">
        <v>202</v>
      </c>
      <c r="D633" s="19" t="s">
        <v>12053</v>
      </c>
      <c r="E633" s="15" t="str">
        <f>HYPERLINK("https://stat100.ameba.jp/tnk47/ratio20/illustrations/card/ill_84305_ryukenshisukura05.jpg?202004-5-RELEASE-marathon-466xxx", "■")</f>
        <v>■</v>
      </c>
      <c r="F633" s="7" t="s">
        <v>7371</v>
      </c>
      <c r="G633" s="7">
        <v>123396</v>
      </c>
      <c r="H633" s="7">
        <v>89331</v>
      </c>
      <c r="I633" s="7">
        <v>25</v>
      </c>
      <c r="J633" s="14" t="s">
        <v>143</v>
      </c>
      <c r="K633" s="7" t="s">
        <v>7370</v>
      </c>
      <c r="L633" s="7" t="s">
        <v>5566</v>
      </c>
      <c r="M633" s="14" t="s">
        <v>9158</v>
      </c>
      <c r="N633" s="14" t="s">
        <v>9158</v>
      </c>
      <c r="O633" s="14" t="s">
        <v>9158</v>
      </c>
      <c r="P633" s="14" t="s">
        <v>9158</v>
      </c>
      <c r="Q633" s="14" t="s">
        <v>9158</v>
      </c>
      <c r="R633" s="7" t="s">
        <v>174</v>
      </c>
    </row>
    <row r="634" spans="1:18">
      <c r="A634" s="7">
        <v>84303</v>
      </c>
      <c r="B634" s="7" t="s">
        <v>15</v>
      </c>
      <c r="C634" s="7" t="s">
        <v>158</v>
      </c>
      <c r="D634" s="19" t="s">
        <v>12053</v>
      </c>
      <c r="E634" s="15" t="str">
        <f>HYPERLINK("https://stat100.ameba.jp/tnk47/ratio20/illustrations/card/ill_84303_ryukenshisukura03.jpg?202004-5-RELEASE-marathon-466xxx", "■")</f>
        <v>■</v>
      </c>
      <c r="F634" s="7" t="s">
        <v>7371</v>
      </c>
      <c r="G634" s="7">
        <v>90907</v>
      </c>
      <c r="H634" s="7">
        <v>65813</v>
      </c>
      <c r="I634" s="7">
        <v>25</v>
      </c>
      <c r="J634" s="14" t="s">
        <v>143</v>
      </c>
      <c r="K634" s="7" t="s">
        <v>7370</v>
      </c>
      <c r="L634" s="7" t="s">
        <v>5567</v>
      </c>
      <c r="M634" s="14" t="s">
        <v>9158</v>
      </c>
      <c r="N634" s="14" t="s">
        <v>9158</v>
      </c>
      <c r="O634" s="14" t="s">
        <v>9158</v>
      </c>
      <c r="P634" s="14" t="s">
        <v>9158</v>
      </c>
      <c r="Q634" s="14" t="s">
        <v>9158</v>
      </c>
      <c r="R634" s="7" t="s">
        <v>175</v>
      </c>
    </row>
    <row r="635" spans="1:18">
      <c r="A635" s="7">
        <v>84301</v>
      </c>
      <c r="B635" s="7" t="s">
        <v>15</v>
      </c>
      <c r="C635" s="7" t="s">
        <v>158</v>
      </c>
      <c r="D635" s="19" t="s">
        <v>12053</v>
      </c>
      <c r="E635" s="15" t="str">
        <f>HYPERLINK("https://stat100.ameba.jp/tnk47/ratio20/illustrations/card/ill_84301_ryukenshisukura01.jpg?202004-5-RELEASE-marathon-466xxx", "■")</f>
        <v>■</v>
      </c>
      <c r="F635" s="7" t="s">
        <v>7371</v>
      </c>
      <c r="G635" s="7">
        <v>57825</v>
      </c>
      <c r="H635" s="7">
        <v>41850</v>
      </c>
      <c r="I635" s="7">
        <v>25</v>
      </c>
      <c r="J635" s="14" t="s">
        <v>143</v>
      </c>
      <c r="K635" s="7" t="s">
        <v>7370</v>
      </c>
      <c r="L635" s="7" t="s">
        <v>145</v>
      </c>
      <c r="M635" s="14" t="s">
        <v>9158</v>
      </c>
      <c r="N635" s="14" t="s">
        <v>9158</v>
      </c>
      <c r="O635" s="14" t="s">
        <v>9158</v>
      </c>
      <c r="P635" s="14" t="s">
        <v>9158</v>
      </c>
      <c r="Q635" s="14" t="s">
        <v>9158</v>
      </c>
      <c r="R635" s="7" t="s">
        <v>176</v>
      </c>
    </row>
    <row r="636" spans="1:18">
      <c r="A636" s="7">
        <v>83075</v>
      </c>
      <c r="B636" s="7" t="s">
        <v>0</v>
      </c>
      <c r="C636" s="7" t="s">
        <v>202</v>
      </c>
      <c r="D636" s="19" t="s">
        <v>12054</v>
      </c>
      <c r="E636" s="15" t="str">
        <f>HYPERLINK("https://stat100.ameba.jp/tnk47/ratio20/illustrations/card/ill_83075_parakerusutera05.jpg?202004-5-RELEASE-marathon-466xxx", "■")</f>
        <v>■</v>
      </c>
      <c r="F636" s="7" t="s">
        <v>6305</v>
      </c>
      <c r="G636" s="7">
        <v>85097</v>
      </c>
      <c r="H636" s="7">
        <v>117532</v>
      </c>
      <c r="I636" s="7">
        <v>25</v>
      </c>
      <c r="J636" s="14" t="s">
        <v>10</v>
      </c>
      <c r="K636" s="7" t="s">
        <v>6314</v>
      </c>
      <c r="L636" s="7" t="s">
        <v>3851</v>
      </c>
      <c r="M636" s="14" t="s">
        <v>9158</v>
      </c>
      <c r="N636" s="14" t="s">
        <v>9158</v>
      </c>
      <c r="O636" s="14" t="s">
        <v>9158</v>
      </c>
      <c r="P636" s="14" t="s">
        <v>9158</v>
      </c>
      <c r="Q636" s="14" t="s">
        <v>9158</v>
      </c>
      <c r="R636" s="7" t="s">
        <v>174</v>
      </c>
    </row>
    <row r="637" spans="1:18">
      <c r="A637" s="7">
        <v>83073</v>
      </c>
      <c r="B637" s="7" t="s">
        <v>15</v>
      </c>
      <c r="C637" s="7" t="s">
        <v>154</v>
      </c>
      <c r="D637" s="19" t="s">
        <v>12054</v>
      </c>
      <c r="E637" s="15" t="str">
        <f>HYPERLINK("https://stat100.ameba.jp/tnk47/ratio20/illustrations/card/ill_83073_parakerusutera03.jpg?202004-5-RELEASE-marathon-466xxx", "■")</f>
        <v>■</v>
      </c>
      <c r="F637" s="7" t="s">
        <v>6305</v>
      </c>
      <c r="G637" s="7">
        <v>62693</v>
      </c>
      <c r="H637" s="7">
        <v>86587</v>
      </c>
      <c r="I637" s="7">
        <v>25</v>
      </c>
      <c r="J637" s="14" t="s">
        <v>10</v>
      </c>
      <c r="K637" s="7" t="s">
        <v>6314</v>
      </c>
      <c r="L637" s="7" t="s">
        <v>3852</v>
      </c>
      <c r="M637" s="14" t="s">
        <v>9158</v>
      </c>
      <c r="N637" s="14" t="s">
        <v>9158</v>
      </c>
      <c r="O637" s="14" t="s">
        <v>9158</v>
      </c>
      <c r="P637" s="14" t="s">
        <v>9158</v>
      </c>
      <c r="Q637" s="14" t="s">
        <v>9158</v>
      </c>
      <c r="R637" s="7" t="s">
        <v>175</v>
      </c>
    </row>
    <row r="638" spans="1:18">
      <c r="A638" s="7">
        <v>83071</v>
      </c>
      <c r="B638" s="7" t="s">
        <v>15</v>
      </c>
      <c r="C638" s="7" t="s">
        <v>154</v>
      </c>
      <c r="D638" s="19" t="s">
        <v>12054</v>
      </c>
      <c r="E638" s="15" t="str">
        <f>HYPERLINK("https://stat100.ameba.jp/tnk47/ratio20/illustrations/card/ill_83071_parakerusutera01.jpg?202004-5-RELEASE-marathon-466xxx", "■")</f>
        <v>■</v>
      </c>
      <c r="F638" s="7" t="s">
        <v>6305</v>
      </c>
      <c r="G638" s="7">
        <v>39875</v>
      </c>
      <c r="H638" s="14">
        <v>55075</v>
      </c>
      <c r="I638" s="7">
        <v>25</v>
      </c>
      <c r="J638" s="14" t="s">
        <v>10</v>
      </c>
      <c r="K638" s="7" t="s">
        <v>6314</v>
      </c>
      <c r="L638" s="14" t="s">
        <v>3683</v>
      </c>
      <c r="M638" s="14" t="s">
        <v>9158</v>
      </c>
      <c r="N638" s="14" t="s">
        <v>9158</v>
      </c>
      <c r="O638" s="14" t="s">
        <v>9158</v>
      </c>
      <c r="P638" s="14" t="s">
        <v>9158</v>
      </c>
      <c r="Q638" s="14" t="s">
        <v>9158</v>
      </c>
      <c r="R638" s="7" t="s">
        <v>176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84AAC-CC94-45D7-A45C-782D6233426E}">
  <dimension ref="A1:S556"/>
  <sheetViews>
    <sheetView zoomScale="55" zoomScaleNormal="55" workbookViewId="0">
      <pane ySplit="1" topLeftCell="A389" activePane="bottomLeft" state="frozen"/>
      <selection activeCell="A279" sqref="A279:Q279"/>
      <selection pane="bottomLeft" activeCell="D403" sqref="D403"/>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10152</v>
      </c>
    </row>
    <row r="4" spans="1:19">
      <c r="A4" s="9" t="s">
        <v>7149</v>
      </c>
    </row>
    <row r="5" spans="1:19">
      <c r="A5" s="9" t="s">
        <v>7649</v>
      </c>
      <c r="B5" s="14"/>
      <c r="C5" s="14"/>
      <c r="D5" s="14"/>
      <c r="F5" s="14"/>
      <c r="G5" s="14"/>
      <c r="H5" s="14"/>
      <c r="I5" s="14"/>
      <c r="J5" s="14"/>
      <c r="K5" s="14"/>
      <c r="L5" s="14"/>
      <c r="M5" s="14"/>
      <c r="N5" s="14"/>
      <c r="O5" s="14"/>
      <c r="P5" s="14"/>
      <c r="Q5" s="14"/>
      <c r="R5" s="14"/>
    </row>
    <row r="6" spans="1:19">
      <c r="A6" s="9" t="s">
        <v>5787</v>
      </c>
      <c r="B6" s="14" t="s">
        <v>330</v>
      </c>
      <c r="C6" s="14" t="s">
        <v>270</v>
      </c>
      <c r="D6" s="14" t="s">
        <v>1101</v>
      </c>
      <c r="E6" s="15" t="str">
        <f>HYPERLINK("https://stat100.ameba.jp/tnk47/ratio20/illustrations/card/ill_76303_0_haroinkaguya03.jpg?201810-1-RELEASE-raid-372xx", "■")</f>
        <v>■</v>
      </c>
      <c r="F6" s="14" t="s">
        <v>332</v>
      </c>
      <c r="G6" s="14">
        <v>309414</v>
      </c>
      <c r="H6" s="14">
        <v>287652</v>
      </c>
      <c r="I6" s="14">
        <v>26</v>
      </c>
      <c r="J6" s="14" t="s">
        <v>274</v>
      </c>
      <c r="K6" s="14" t="s">
        <v>333</v>
      </c>
      <c r="L6" s="14" t="s">
        <v>276</v>
      </c>
      <c r="M6" s="14" t="s">
        <v>9158</v>
      </c>
      <c r="N6" s="14" t="s">
        <v>9158</v>
      </c>
      <c r="O6" s="9" t="s">
        <v>2723</v>
      </c>
      <c r="P6" s="14" t="s">
        <v>2724</v>
      </c>
      <c r="Q6" s="14">
        <v>1</v>
      </c>
      <c r="R6" s="14"/>
    </row>
    <row r="7" spans="1:19">
      <c r="A7" s="9">
        <v>76243</v>
      </c>
      <c r="B7" s="14" t="s">
        <v>334</v>
      </c>
      <c r="C7" s="14" t="s">
        <v>335</v>
      </c>
      <c r="D7" s="14" t="s">
        <v>3676</v>
      </c>
      <c r="E7" s="15" t="str">
        <f>HYPERLINK("https://stat100.ameba.jp/tnk47/ratio20/illustrations/card/ill_76243_haroinkaraguchinihonshuchan03.jpg?201810-1-RELEASE-raid-372xx", "■")</f>
        <v>■</v>
      </c>
      <c r="F7" s="14" t="s">
        <v>336</v>
      </c>
      <c r="G7" s="14">
        <v>103896</v>
      </c>
      <c r="H7" s="14">
        <v>96610</v>
      </c>
      <c r="I7" s="14">
        <v>22</v>
      </c>
      <c r="J7" s="14" t="s">
        <v>283</v>
      </c>
      <c r="K7" s="14" t="s">
        <v>337</v>
      </c>
      <c r="L7" s="14" t="s">
        <v>338</v>
      </c>
      <c r="M7" s="14" t="s">
        <v>9158</v>
      </c>
      <c r="N7" s="14" t="s">
        <v>9158</v>
      </c>
      <c r="O7" s="17" t="s">
        <v>10057</v>
      </c>
      <c r="P7" s="14" t="s">
        <v>3561</v>
      </c>
      <c r="Q7" s="14">
        <v>1</v>
      </c>
      <c r="R7" s="14"/>
    </row>
    <row r="8" spans="1:19">
      <c r="A8" s="9">
        <v>76253</v>
      </c>
      <c r="B8" s="14" t="s">
        <v>334</v>
      </c>
      <c r="C8" s="14" t="s">
        <v>308</v>
      </c>
      <c r="D8" s="14" t="s">
        <v>9851</v>
      </c>
      <c r="E8" s="15" t="str">
        <f>HYPERLINK("https://stat100.ameba.jp/tnk47/ratio20/illustrations/card/ill_76253_haroinkitanokata03.jpg?201810-1-RELEASE-raid-372xx", "■")</f>
        <v>■</v>
      </c>
      <c r="F8" s="14" t="s">
        <v>339</v>
      </c>
      <c r="G8" s="14">
        <v>79868</v>
      </c>
      <c r="H8" s="14">
        <v>85934</v>
      </c>
      <c r="I8" s="14">
        <v>22</v>
      </c>
      <c r="J8" s="14" t="s">
        <v>310</v>
      </c>
      <c r="K8" s="14" t="s">
        <v>340</v>
      </c>
      <c r="L8" s="14" t="s">
        <v>341</v>
      </c>
      <c r="M8" s="14" t="s">
        <v>342</v>
      </c>
      <c r="N8" s="14" t="s">
        <v>343</v>
      </c>
      <c r="O8" s="14" t="s">
        <v>9158</v>
      </c>
      <c r="P8" s="14" t="s">
        <v>9158</v>
      </c>
      <c r="Q8" s="14" t="s">
        <v>9158</v>
      </c>
      <c r="R8" s="14" t="s">
        <v>13120</v>
      </c>
    </row>
    <row r="9" spans="1:19">
      <c r="A9" s="9">
        <v>76263</v>
      </c>
      <c r="B9" s="14" t="s">
        <v>334</v>
      </c>
      <c r="C9" s="14" t="s">
        <v>344</v>
      </c>
      <c r="D9" s="14" t="s">
        <v>9852</v>
      </c>
      <c r="E9" s="15" t="str">
        <f>HYPERLINK("https://stat100.ameba.jp/tnk47/ratio20/illustrations/card/ill_76263_harointatsukuchinawa03.jpg?201810-1-RELEASE-raid-372xx", "■")</f>
        <v>■</v>
      </c>
      <c r="F9" s="14" t="s">
        <v>345</v>
      </c>
      <c r="G9" s="14">
        <v>85246</v>
      </c>
      <c r="H9" s="14">
        <v>91664</v>
      </c>
      <c r="I9" s="14">
        <v>22</v>
      </c>
      <c r="J9" s="14" t="s">
        <v>320</v>
      </c>
      <c r="K9" s="14" t="s">
        <v>346</v>
      </c>
      <c r="L9" s="14" t="s">
        <v>347</v>
      </c>
      <c r="M9" s="14" t="s">
        <v>342</v>
      </c>
      <c r="N9" s="14" t="s">
        <v>343</v>
      </c>
      <c r="O9" s="14" t="s">
        <v>9158</v>
      </c>
      <c r="P9" s="14" t="s">
        <v>9158</v>
      </c>
      <c r="Q9" s="14" t="s">
        <v>9158</v>
      </c>
      <c r="R9" s="14" t="s">
        <v>13120</v>
      </c>
    </row>
    <row r="10" spans="1:19">
      <c r="A10" s="9">
        <v>76273</v>
      </c>
      <c r="B10" s="14" t="s">
        <v>348</v>
      </c>
      <c r="C10" s="14" t="s">
        <v>271</v>
      </c>
      <c r="D10" s="14" t="s">
        <v>349</v>
      </c>
      <c r="E10" s="15" t="str">
        <f>HYPERLINK("https://stat100.ameba.jp/tnk47/ratio20/illustrations/card/ill_76273_haroinshimaryu03.jpg?201810-1-RELEASE-raid-372xx", "■")</f>
        <v>■</v>
      </c>
      <c r="F10" s="14" t="s">
        <v>350</v>
      </c>
      <c r="G10" s="14">
        <v>62244</v>
      </c>
      <c r="H10" s="14">
        <v>56456</v>
      </c>
      <c r="I10" s="14">
        <v>21</v>
      </c>
      <c r="J10" s="14" t="s">
        <v>351</v>
      </c>
      <c r="K10" s="14" t="s">
        <v>352</v>
      </c>
      <c r="L10" s="14" t="s">
        <v>353</v>
      </c>
      <c r="M10" s="14" t="s">
        <v>9158</v>
      </c>
      <c r="N10" s="14" t="s">
        <v>9158</v>
      </c>
      <c r="O10" s="14" t="s">
        <v>9158</v>
      </c>
      <c r="P10" s="14" t="s">
        <v>9158</v>
      </c>
      <c r="Q10" s="14" t="s">
        <v>9158</v>
      </c>
      <c r="R10" s="14"/>
    </row>
    <row r="11" spans="1:19">
      <c r="A11" s="9">
        <v>76283</v>
      </c>
      <c r="B11" s="14" t="s">
        <v>348</v>
      </c>
      <c r="C11" s="14" t="s">
        <v>307</v>
      </c>
      <c r="D11" s="14" t="s">
        <v>354</v>
      </c>
      <c r="E11" s="15" t="str">
        <f>HYPERLINK("https://stat100.ameba.jp/tnk47/ratio20/illustrations/card/ill_76283_haroimmatsuotaseko03.jpg?201810-1-RELEASE-raid-372xx", "■")</f>
        <v>■</v>
      </c>
      <c r="F11" s="14" t="s">
        <v>355</v>
      </c>
      <c r="G11" s="14">
        <v>62244</v>
      </c>
      <c r="H11" s="14">
        <v>56456</v>
      </c>
      <c r="I11" s="14">
        <v>21</v>
      </c>
      <c r="J11" s="14" t="s">
        <v>310</v>
      </c>
      <c r="K11" s="14" t="s">
        <v>356</v>
      </c>
      <c r="L11" s="14" t="s">
        <v>357</v>
      </c>
      <c r="M11" s="14" t="s">
        <v>9158</v>
      </c>
      <c r="N11" s="14" t="s">
        <v>9158</v>
      </c>
      <c r="O11" s="14" t="s">
        <v>9158</v>
      </c>
      <c r="P11" s="14" t="s">
        <v>9158</v>
      </c>
      <c r="Q11" s="14" t="s">
        <v>9158</v>
      </c>
      <c r="R11" s="14"/>
    </row>
    <row r="12" spans="1:19">
      <c r="A12" s="9">
        <v>76293</v>
      </c>
      <c r="B12" s="14" t="s">
        <v>348</v>
      </c>
      <c r="C12" s="14" t="s">
        <v>267</v>
      </c>
      <c r="D12" s="14" t="s">
        <v>358</v>
      </c>
      <c r="E12" s="15" t="str">
        <f>HYPERLINK("https://stat100.ameba.jp/tnk47/ratio20/illustrations/card/ill_76293_haroinyureigasa03.jpg?201810-1-RELEASE-raid-372xx", "■")</f>
        <v>■</v>
      </c>
      <c r="F12" s="14" t="s">
        <v>359</v>
      </c>
      <c r="G12" s="14">
        <v>56456</v>
      </c>
      <c r="H12" s="14">
        <v>62244</v>
      </c>
      <c r="I12" s="14">
        <v>21</v>
      </c>
      <c r="J12" s="14" t="s">
        <v>320</v>
      </c>
      <c r="K12" s="14" t="s">
        <v>360</v>
      </c>
      <c r="L12" s="14" t="s">
        <v>361</v>
      </c>
      <c r="M12" s="14" t="s">
        <v>9158</v>
      </c>
      <c r="N12" s="14" t="s">
        <v>9158</v>
      </c>
      <c r="O12" s="14" t="s">
        <v>9158</v>
      </c>
      <c r="P12" s="14" t="s">
        <v>9158</v>
      </c>
      <c r="Q12" s="14" t="s">
        <v>9158</v>
      </c>
      <c r="R12" s="14"/>
    </row>
    <row r="13" spans="1:19">
      <c r="A13" s="9">
        <v>76333</v>
      </c>
      <c r="B13" s="14" t="s">
        <v>362</v>
      </c>
      <c r="C13" s="14" t="s">
        <v>271</v>
      </c>
      <c r="D13" s="14" t="s">
        <v>363</v>
      </c>
      <c r="E13" s="15" t="str">
        <f>HYPERLINK("https://stat100.ameba.jp/tnk47/ratio20/illustrations/card/ill_76333_haroinshitakirisuzume03.jpg?201810-1-RELEASE-raid-372xx", "■")</f>
        <v>■</v>
      </c>
      <c r="F13" s="14" t="s">
        <v>364</v>
      </c>
      <c r="G13" s="14">
        <v>34576</v>
      </c>
      <c r="H13" s="14">
        <v>41584</v>
      </c>
      <c r="I13" s="14">
        <v>20</v>
      </c>
      <c r="J13" s="14" t="s">
        <v>274</v>
      </c>
      <c r="K13" s="14" t="s">
        <v>365</v>
      </c>
      <c r="L13" s="14" t="s">
        <v>366</v>
      </c>
      <c r="M13" s="14" t="s">
        <v>9158</v>
      </c>
      <c r="N13" s="14" t="s">
        <v>9158</v>
      </c>
      <c r="O13" s="14" t="s">
        <v>9158</v>
      </c>
      <c r="P13" s="14" t="s">
        <v>9158</v>
      </c>
      <c r="Q13" s="14" t="s">
        <v>9158</v>
      </c>
      <c r="R13" s="14"/>
    </row>
    <row r="14" spans="1:19">
      <c r="A14" s="9">
        <v>76343</v>
      </c>
      <c r="B14" s="14" t="s">
        <v>362</v>
      </c>
      <c r="C14" s="14" t="s">
        <v>307</v>
      </c>
      <c r="D14" s="14" t="s">
        <v>367</v>
      </c>
      <c r="E14" s="15" t="str">
        <f>HYPERLINK("https://stat100.ameba.jp/tnk47/ratio20/illustrations/card/ill_76343_makaikouteipenginchan03.jpg?201810-1-RELEASE-raid-372xx", "■")</f>
        <v>■</v>
      </c>
      <c r="F14" s="14" t="s">
        <v>368</v>
      </c>
      <c r="G14" s="14">
        <v>41584</v>
      </c>
      <c r="H14" s="14">
        <v>34576</v>
      </c>
      <c r="I14" s="14">
        <v>20</v>
      </c>
      <c r="J14" s="14" t="s">
        <v>369</v>
      </c>
      <c r="K14" s="14" t="s">
        <v>370</v>
      </c>
      <c r="L14" s="14" t="s">
        <v>371</v>
      </c>
      <c r="M14" s="14" t="s">
        <v>9158</v>
      </c>
      <c r="N14" s="14" t="s">
        <v>9158</v>
      </c>
      <c r="O14" s="14" t="s">
        <v>9158</v>
      </c>
      <c r="P14" s="14" t="s">
        <v>9158</v>
      </c>
      <c r="Q14" s="14" t="s">
        <v>9158</v>
      </c>
      <c r="R14" s="14"/>
    </row>
    <row r="15" spans="1:19">
      <c r="A15" s="9">
        <v>76353</v>
      </c>
      <c r="B15" s="14" t="s">
        <v>372</v>
      </c>
      <c r="C15" s="14" t="s">
        <v>335</v>
      </c>
      <c r="D15" s="14" t="s">
        <v>373</v>
      </c>
      <c r="E15" s="15" t="str">
        <f>HYPERLINK("https://stat100.ameba.jp/tnk47/ratio20/illustrations/card/ill_76353_pampukinzeri03.jpg?201810-1-RELEASE-raid-372xx", "■")</f>
        <v>■</v>
      </c>
      <c r="F15" s="14" t="s">
        <v>374</v>
      </c>
      <c r="G15" s="14">
        <v>21144</v>
      </c>
      <c r="H15" s="14">
        <v>25176</v>
      </c>
      <c r="I15" s="14">
        <v>20</v>
      </c>
      <c r="J15" s="14" t="s">
        <v>283</v>
      </c>
      <c r="K15" s="14" t="s">
        <v>375</v>
      </c>
      <c r="L15" s="10" t="s">
        <v>9160</v>
      </c>
      <c r="M15" s="14" t="s">
        <v>9158</v>
      </c>
      <c r="N15" s="14" t="s">
        <v>9158</v>
      </c>
      <c r="O15" s="14" t="s">
        <v>9158</v>
      </c>
      <c r="P15" s="14" t="s">
        <v>9158</v>
      </c>
      <c r="Q15" s="14" t="s">
        <v>9158</v>
      </c>
      <c r="R15" s="14"/>
    </row>
    <row r="16" spans="1:19">
      <c r="A16" s="9">
        <v>76363</v>
      </c>
      <c r="B16" s="14" t="s">
        <v>372</v>
      </c>
      <c r="C16" s="14" t="s">
        <v>153</v>
      </c>
      <c r="D16" s="14" t="s">
        <v>376</v>
      </c>
      <c r="E16" s="15" t="str">
        <f>HYPERLINK("https://stat100.ameba.jp/tnk47/ratio20/illustrations/card/ill_76363_tombogami03.jpg?201810-1-RELEASE-raid-372xx", "■")</f>
        <v>■</v>
      </c>
      <c r="F16" s="14" t="s">
        <v>377</v>
      </c>
      <c r="G16" s="14">
        <v>25176</v>
      </c>
      <c r="H16" s="14">
        <v>21144</v>
      </c>
      <c r="I16" s="14">
        <v>20</v>
      </c>
      <c r="J16" s="14" t="s">
        <v>320</v>
      </c>
      <c r="K16" s="14" t="s">
        <v>378</v>
      </c>
      <c r="L16" s="10" t="s">
        <v>9162</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9" t="s">
        <v>13329</v>
      </c>
      <c r="B18" s="14"/>
      <c r="C18" s="14"/>
      <c r="D18" s="14"/>
      <c r="F18" s="14"/>
      <c r="G18" s="14"/>
      <c r="H18" s="14"/>
      <c r="I18" s="14"/>
      <c r="J18" s="14"/>
      <c r="K18" s="14"/>
      <c r="L18" s="14"/>
      <c r="M18" s="14"/>
      <c r="N18" s="14"/>
      <c r="P18" s="14"/>
      <c r="Q18" s="14"/>
      <c r="R18" s="14"/>
    </row>
    <row r="19" spans="1:18">
      <c r="A19" s="9" t="s">
        <v>10153</v>
      </c>
      <c r="B19" s="14"/>
      <c r="C19" s="14"/>
      <c r="D19" s="14"/>
      <c r="F19" s="14"/>
      <c r="G19" s="14"/>
      <c r="H19" s="14"/>
      <c r="I19" s="14"/>
      <c r="J19" s="14"/>
      <c r="K19" s="14"/>
      <c r="L19" s="14"/>
      <c r="M19" s="14"/>
      <c r="N19" s="14"/>
      <c r="P19" s="14"/>
      <c r="Q19" s="14"/>
      <c r="R19" s="14"/>
    </row>
    <row r="20" spans="1:18">
      <c r="A20" s="9">
        <v>76745</v>
      </c>
      <c r="B20" s="14" t="s">
        <v>334</v>
      </c>
      <c r="C20" s="14" t="s">
        <v>270</v>
      </c>
      <c r="D20" s="14" t="s">
        <v>379</v>
      </c>
      <c r="E20" s="15" t="str">
        <f>HYPERLINK("https://stat100.ameba.jp/tnk47/ratio20/illustrations/card/ill_76745_yawatauma05.jpg?201810-2-RELEASE-unionbattle-373xx", "■")</f>
        <v>■</v>
      </c>
      <c r="F20" s="14" t="s">
        <v>380</v>
      </c>
      <c r="G20" s="14">
        <v>92074</v>
      </c>
      <c r="H20" s="14">
        <v>127184</v>
      </c>
      <c r="I20" s="14">
        <v>22</v>
      </c>
      <c r="J20" s="14" t="s">
        <v>369</v>
      </c>
      <c r="K20" s="14" t="s">
        <v>381</v>
      </c>
      <c r="L20" s="14" t="s">
        <v>382</v>
      </c>
      <c r="M20" s="14" t="s">
        <v>9158</v>
      </c>
      <c r="N20" s="14" t="s">
        <v>9158</v>
      </c>
      <c r="O20" s="14" t="s">
        <v>9158</v>
      </c>
      <c r="P20" s="14" t="s">
        <v>9158</v>
      </c>
      <c r="Q20" s="14" t="s">
        <v>9158</v>
      </c>
      <c r="R20" s="14" t="s">
        <v>174</v>
      </c>
    </row>
    <row r="21" spans="1:18">
      <c r="A21" s="9">
        <v>76743</v>
      </c>
      <c r="B21" s="14" t="s">
        <v>348</v>
      </c>
      <c r="C21" s="14" t="s">
        <v>268</v>
      </c>
      <c r="D21" s="14" t="s">
        <v>379</v>
      </c>
      <c r="E21" s="15" t="str">
        <f>HYPERLINK("https://stat100.ameba.jp/tnk47/ratio20/illustrations/card/ill_76743_yawatauma03.jpg?201810-2-RELEASE-unionbattle-373xx", "■")</f>
        <v>■</v>
      </c>
      <c r="F21" s="14" t="s">
        <v>380</v>
      </c>
      <c r="G21" s="14">
        <v>66544</v>
      </c>
      <c r="H21" s="14">
        <v>91900</v>
      </c>
      <c r="I21" s="14">
        <v>22</v>
      </c>
      <c r="J21" s="14" t="s">
        <v>369</v>
      </c>
      <c r="K21" s="14" t="s">
        <v>381</v>
      </c>
      <c r="L21" s="14" t="s">
        <v>383</v>
      </c>
      <c r="M21" s="14" t="s">
        <v>9158</v>
      </c>
      <c r="N21" s="14" t="s">
        <v>9158</v>
      </c>
      <c r="O21" s="14" t="s">
        <v>9158</v>
      </c>
      <c r="P21" s="14" t="s">
        <v>9158</v>
      </c>
      <c r="Q21" s="14" t="s">
        <v>9158</v>
      </c>
      <c r="R21" s="14" t="s">
        <v>175</v>
      </c>
    </row>
    <row r="22" spans="1:18">
      <c r="A22" s="9">
        <v>76741</v>
      </c>
      <c r="B22" s="14" t="s">
        <v>348</v>
      </c>
      <c r="C22" s="14" t="s">
        <v>268</v>
      </c>
      <c r="D22" s="14" t="s">
        <v>379</v>
      </c>
      <c r="E22" s="15" t="str">
        <f>HYPERLINK("https://stat100.ameba.jp/tnk47/ratio20/illustrations/card/ill_76741_yawatauma01.jpg?201810-2-RELEASE-unionbattle-373xx", "■")</f>
        <v>■</v>
      </c>
      <c r="F22" s="14" t="s">
        <v>380</v>
      </c>
      <c r="G22" s="14">
        <v>38588</v>
      </c>
      <c r="H22" s="14">
        <v>53306</v>
      </c>
      <c r="I22" s="14">
        <v>22</v>
      </c>
      <c r="J22" s="14" t="s">
        <v>369</v>
      </c>
      <c r="K22" s="14" t="s">
        <v>381</v>
      </c>
      <c r="L22" s="14" t="s">
        <v>384</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177</v>
      </c>
      <c r="C24" s="14"/>
      <c r="D24" s="14"/>
      <c r="F24" s="14"/>
      <c r="G24" s="14"/>
      <c r="H24" s="14"/>
      <c r="I24" s="14"/>
      <c r="J24" s="14"/>
      <c r="K24" s="14"/>
      <c r="L24" s="14"/>
      <c r="M24" s="14"/>
      <c r="N24" s="14"/>
      <c r="P24" s="14"/>
      <c r="Q24" s="14"/>
      <c r="R24" s="14"/>
    </row>
    <row r="25" spans="1:18">
      <c r="A25" s="9" t="s">
        <v>7197</v>
      </c>
      <c r="B25" s="14"/>
      <c r="C25" s="14"/>
      <c r="D25" s="14"/>
      <c r="F25" s="14"/>
      <c r="G25" s="14"/>
      <c r="H25" s="14"/>
      <c r="I25" s="14"/>
      <c r="J25" s="14"/>
      <c r="K25" s="14"/>
      <c r="L25" s="14"/>
      <c r="M25" s="14"/>
      <c r="N25" s="14"/>
      <c r="P25" s="14"/>
      <c r="Q25" s="14"/>
      <c r="R25" s="14"/>
    </row>
    <row r="26" spans="1:18">
      <c r="A26" s="9" t="s">
        <v>5617</v>
      </c>
      <c r="B26" s="14" t="s">
        <v>330</v>
      </c>
      <c r="C26" s="14" t="s">
        <v>308</v>
      </c>
      <c r="D26" s="14" t="s">
        <v>982</v>
      </c>
      <c r="E26" s="15" t="str">
        <f>HYPERLINK("https://stat100.ameba.jp/tnk47/ratio20/illustrations/card/ill_59673_0_oheyashutendoji03.jpg?201810-2-RELEASE-unionbattle-373xx", "■")</f>
        <v>■</v>
      </c>
      <c r="F26" s="14" t="s">
        <v>386</v>
      </c>
      <c r="G26" s="14">
        <v>105545</v>
      </c>
      <c r="H26" s="14">
        <v>113525</v>
      </c>
      <c r="I26" s="14">
        <v>15</v>
      </c>
      <c r="J26" s="14" t="s">
        <v>320</v>
      </c>
      <c r="K26" s="14" t="s">
        <v>387</v>
      </c>
      <c r="L26" s="14" t="s">
        <v>388</v>
      </c>
      <c r="M26" s="14" t="s">
        <v>9158</v>
      </c>
      <c r="N26" s="14" t="s">
        <v>9158</v>
      </c>
      <c r="O26" s="17" t="s">
        <v>10058</v>
      </c>
      <c r="P26" s="14" t="s">
        <v>3022</v>
      </c>
      <c r="Q26" s="14">
        <v>1</v>
      </c>
      <c r="R26" s="14"/>
    </row>
    <row r="27" spans="1:18">
      <c r="A27" s="9" t="s">
        <v>5609</v>
      </c>
      <c r="B27" s="14" t="s">
        <v>330</v>
      </c>
      <c r="C27" s="14" t="s">
        <v>271</v>
      </c>
      <c r="D27" s="14" t="s">
        <v>389</v>
      </c>
      <c r="E27" s="15" t="str">
        <f>HYPERLINK("https://stat100.ameba.jp/tnk47/ratio20/illustrations/card/ill_53753_0_natsumatsuritokugawaieyasu03.jpg?201810-2-RELEASE-unionbattle-373xx", "■")</f>
        <v>■</v>
      </c>
      <c r="F27" s="14" t="s">
        <v>390</v>
      </c>
      <c r="G27" s="14">
        <v>94236</v>
      </c>
      <c r="H27" s="14">
        <v>83712</v>
      </c>
      <c r="I27" s="14">
        <v>15</v>
      </c>
      <c r="J27" s="14" t="s">
        <v>310</v>
      </c>
      <c r="K27" s="14" t="s">
        <v>391</v>
      </c>
      <c r="L27" s="14" t="s">
        <v>392</v>
      </c>
      <c r="M27" s="14" t="s">
        <v>9158</v>
      </c>
      <c r="N27" s="14" t="s">
        <v>9158</v>
      </c>
      <c r="O27" s="17" t="s">
        <v>10052</v>
      </c>
      <c r="P27" s="14" t="s">
        <v>13121</v>
      </c>
      <c r="Q27" s="14">
        <v>1</v>
      </c>
      <c r="R27" s="14"/>
    </row>
    <row r="28" spans="1:18">
      <c r="A28" s="14" t="s">
        <v>9473</v>
      </c>
      <c r="B28" s="14" t="s">
        <v>330</v>
      </c>
      <c r="C28" s="14" t="s">
        <v>307</v>
      </c>
      <c r="D28" s="14" t="s">
        <v>393</v>
      </c>
      <c r="E28" s="15" t="str">
        <f>HYPERLINK("https://stat100.ameba.jp/tnk47/ratio20/illustrations/card/ill_46283_0_odanobunaga03.jpg?201810-2-RELEASE-unionbattle-373xx", "■")</f>
        <v>■</v>
      </c>
      <c r="F28" s="14" t="s">
        <v>394</v>
      </c>
      <c r="G28" s="14">
        <v>82212</v>
      </c>
      <c r="H28" s="14">
        <v>87780</v>
      </c>
      <c r="I28" s="14">
        <v>15</v>
      </c>
      <c r="J28" s="14" t="s">
        <v>310</v>
      </c>
      <c r="K28" s="14" t="s">
        <v>395</v>
      </c>
      <c r="L28" s="14" t="s">
        <v>396</v>
      </c>
      <c r="M28" s="14" t="s">
        <v>9158</v>
      </c>
      <c r="N28" s="14" t="s">
        <v>9158</v>
      </c>
      <c r="O28" s="14" t="s">
        <v>9158</v>
      </c>
      <c r="P28" s="14" t="s">
        <v>9158</v>
      </c>
      <c r="Q28" s="14" t="s">
        <v>9158</v>
      </c>
      <c r="R28" s="14"/>
    </row>
    <row r="29" spans="1:18">
      <c r="A29" s="14">
        <v>77713</v>
      </c>
      <c r="B29" s="14" t="s">
        <v>334</v>
      </c>
      <c r="C29" s="14" t="s">
        <v>308</v>
      </c>
      <c r="D29" s="14" t="s">
        <v>2643</v>
      </c>
      <c r="E29" s="15" t="str">
        <f>HYPERLINK("https://stat100.ameba.jp/tnk47/ratio20/illustrations/card/ill_77713_himeragiyukikaze03.jpg?201810-2-RELEASE-unionbattle-373xx", "■")</f>
        <v>■</v>
      </c>
      <c r="F29" s="14" t="s">
        <v>2643</v>
      </c>
      <c r="G29" s="14">
        <v>81888</v>
      </c>
      <c r="H29" s="14">
        <v>76152</v>
      </c>
      <c r="I29" s="14">
        <v>22</v>
      </c>
      <c r="J29" s="14" t="s">
        <v>351</v>
      </c>
      <c r="K29" s="14" t="s">
        <v>12928</v>
      </c>
      <c r="L29" s="14" t="s">
        <v>399</v>
      </c>
      <c r="M29" s="14" t="s">
        <v>9158</v>
      </c>
      <c r="N29" s="14" t="s">
        <v>9158</v>
      </c>
      <c r="O29" s="9" t="s">
        <v>3414</v>
      </c>
      <c r="P29" s="14" t="s">
        <v>13122</v>
      </c>
      <c r="Q29" s="14">
        <v>1</v>
      </c>
      <c r="R29" s="14"/>
    </row>
    <row r="30" spans="1:18">
      <c r="A30" s="14">
        <v>77723</v>
      </c>
      <c r="B30" s="14" t="s">
        <v>334</v>
      </c>
      <c r="C30" s="14" t="s">
        <v>271</v>
      </c>
      <c r="D30" s="14" t="s">
        <v>2341</v>
      </c>
      <c r="E30" s="15" t="str">
        <f>HYPERLINK("https://stat100.ameba.jp/tnk47/ratio20/illustrations/card/ill_77723_yami03.jpg?201810-2-RELEASE-unionbattle-373xx", "■")</f>
        <v>■</v>
      </c>
      <c r="F30" s="14" t="s">
        <v>400</v>
      </c>
      <c r="G30" s="14">
        <v>84560</v>
      </c>
      <c r="H30" s="14">
        <v>90932</v>
      </c>
      <c r="I30" s="14">
        <v>22</v>
      </c>
      <c r="J30" s="14" t="s">
        <v>401</v>
      </c>
      <c r="K30" s="14" t="s">
        <v>402</v>
      </c>
      <c r="L30" s="14" t="s">
        <v>403</v>
      </c>
      <c r="M30" s="14" t="s">
        <v>9158</v>
      </c>
      <c r="N30" s="14" t="s">
        <v>9158</v>
      </c>
      <c r="O30" s="14" t="s">
        <v>9158</v>
      </c>
      <c r="P30" s="14" t="s">
        <v>9158</v>
      </c>
      <c r="Q30" s="14" t="s">
        <v>9158</v>
      </c>
      <c r="R30" s="14"/>
    </row>
    <row r="31" spans="1:18">
      <c r="A31" s="14">
        <v>77733</v>
      </c>
      <c r="B31" s="14" t="s">
        <v>334</v>
      </c>
      <c r="C31" s="14" t="s">
        <v>267</v>
      </c>
      <c r="D31" s="14" t="s">
        <v>3671</v>
      </c>
      <c r="E31" s="15" t="str">
        <f>HYPERLINK("https://stat100.ameba.jp/tnk47/ratio20/illustrations/card/ill_77733_azegamiarika03.jpg?201810-2-RELEASE-unionbattle-373xx", "■")</f>
        <v>■</v>
      </c>
      <c r="F31" s="14" t="s">
        <v>405</v>
      </c>
      <c r="G31" s="14">
        <v>126142</v>
      </c>
      <c r="H31" s="14">
        <v>135666</v>
      </c>
      <c r="I31" s="14">
        <v>22</v>
      </c>
      <c r="J31" s="14" t="s">
        <v>310</v>
      </c>
      <c r="K31" s="14" t="s">
        <v>406</v>
      </c>
      <c r="L31" s="14" t="s">
        <v>407</v>
      </c>
      <c r="M31" s="14" t="s">
        <v>9158</v>
      </c>
      <c r="N31" s="14" t="s">
        <v>9158</v>
      </c>
      <c r="O31" s="14" t="s">
        <v>9158</v>
      </c>
      <c r="P31" s="14" t="s">
        <v>9158</v>
      </c>
      <c r="Q31" s="14" t="s">
        <v>9158</v>
      </c>
      <c r="R31" s="14"/>
    </row>
    <row r="32" spans="1:18">
      <c r="A32" s="7">
        <v>54563</v>
      </c>
      <c r="B32" s="14" t="s">
        <v>348</v>
      </c>
      <c r="C32" s="14" t="s">
        <v>308</v>
      </c>
      <c r="D32" s="14" t="s">
        <v>1087</v>
      </c>
      <c r="E32" s="15" t="str">
        <f>HYPERLINK("https://stat100.ameba.jp/tnk47/ratio20/illustrations/card/ill_54563_ryokankiyohime03.jpg?201810-2-RELEASE-unionbattle-373xx", "■")</f>
        <v>■</v>
      </c>
      <c r="F32" s="14" t="s">
        <v>409</v>
      </c>
      <c r="G32" s="14">
        <v>68334</v>
      </c>
      <c r="H32" s="14">
        <v>50366</v>
      </c>
      <c r="I32" s="14">
        <v>21</v>
      </c>
      <c r="J32" s="14" t="s">
        <v>320</v>
      </c>
      <c r="K32" s="14" t="s">
        <v>410</v>
      </c>
      <c r="L32" s="14" t="s">
        <v>411</v>
      </c>
      <c r="M32" s="14" t="s">
        <v>9158</v>
      </c>
      <c r="N32" s="14" t="s">
        <v>9158</v>
      </c>
      <c r="O32" s="14" t="s">
        <v>9158</v>
      </c>
      <c r="P32" s="14" t="s">
        <v>9158</v>
      </c>
      <c r="Q32" s="14" t="s">
        <v>9158</v>
      </c>
      <c r="R32" s="14"/>
    </row>
    <row r="33" spans="1:18">
      <c r="A33" s="7">
        <v>59063</v>
      </c>
      <c r="B33" s="14" t="s">
        <v>348</v>
      </c>
      <c r="C33" s="14" t="s">
        <v>344</v>
      </c>
      <c r="D33" s="14" t="s">
        <v>412</v>
      </c>
      <c r="E33" s="15" t="str">
        <f>HYPERLINK("https://stat100.ameba.jp/tnk47/ratio20/illustrations/card/ill_59063_umeoiransugitahisajo03.jpg?201810-2-RELEASE-unionbattle-373xx", "■")</f>
        <v>■</v>
      </c>
      <c r="F33" s="14" t="s">
        <v>413</v>
      </c>
      <c r="G33" s="14">
        <v>62244</v>
      </c>
      <c r="H33" s="14">
        <v>56456</v>
      </c>
      <c r="I33" s="14">
        <v>21</v>
      </c>
      <c r="J33" s="14" t="s">
        <v>414</v>
      </c>
      <c r="K33" s="14" t="s">
        <v>415</v>
      </c>
      <c r="L33" s="14" t="s">
        <v>416</v>
      </c>
      <c r="M33" s="14" t="s">
        <v>9158</v>
      </c>
      <c r="N33" s="14" t="s">
        <v>9158</v>
      </c>
      <c r="O33" s="14" t="s">
        <v>9158</v>
      </c>
      <c r="P33" s="14" t="s">
        <v>9158</v>
      </c>
      <c r="Q33" s="14" t="s">
        <v>9158</v>
      </c>
      <c r="R33" s="14"/>
    </row>
    <row r="34" spans="1:18">
      <c r="A34" s="14">
        <v>53663</v>
      </c>
      <c r="B34" s="14" t="s">
        <v>348</v>
      </c>
      <c r="C34" s="14" t="s">
        <v>335</v>
      </c>
      <c r="D34" s="14" t="s">
        <v>417</v>
      </c>
      <c r="E34" s="15" t="str">
        <f>HYPERLINK("https://stat100.ameba.jp/tnk47/ratio20/illustrations/card/ill_53663_kanibaruotsukisamaniittausagi03.jpg?201810-2-RELEASE-unionbattle-373xx", "■")</f>
        <v>■</v>
      </c>
      <c r="F34" s="14" t="s">
        <v>418</v>
      </c>
      <c r="G34" s="14">
        <v>56456</v>
      </c>
      <c r="H34" s="14">
        <v>62244</v>
      </c>
      <c r="I34" s="14">
        <v>21</v>
      </c>
      <c r="J34" s="14" t="s">
        <v>274</v>
      </c>
      <c r="K34" s="14" t="s">
        <v>419</v>
      </c>
      <c r="L34" s="14" t="s">
        <v>420</v>
      </c>
      <c r="M34" s="14" t="s">
        <v>9158</v>
      </c>
      <c r="N34" s="14" t="s">
        <v>9158</v>
      </c>
      <c r="O34" s="14" t="s">
        <v>9158</v>
      </c>
      <c r="P34" s="14" t="s">
        <v>9158</v>
      </c>
      <c r="Q34" s="14" t="s">
        <v>9158</v>
      </c>
      <c r="R34" s="14"/>
    </row>
    <row r="35" spans="1:18">
      <c r="A35" s="14"/>
      <c r="B35" s="14"/>
      <c r="C35" s="14"/>
      <c r="D35" s="14"/>
      <c r="F35" s="14"/>
      <c r="G35" s="14"/>
      <c r="H35" s="14"/>
      <c r="I35" s="14"/>
      <c r="J35" s="14"/>
      <c r="K35" s="14"/>
      <c r="L35" s="14"/>
      <c r="M35" s="14"/>
      <c r="N35" s="14"/>
      <c r="P35" s="14"/>
      <c r="Q35" s="14"/>
      <c r="R35" s="14"/>
    </row>
    <row r="36" spans="1:18">
      <c r="A36" s="14" t="s">
        <v>114</v>
      </c>
      <c r="C36" s="14"/>
      <c r="D36" s="14"/>
      <c r="F36" s="14"/>
      <c r="G36" s="14"/>
      <c r="H36" s="14"/>
      <c r="I36" s="14"/>
      <c r="J36" s="14"/>
      <c r="K36" s="14"/>
      <c r="L36" s="14"/>
      <c r="M36" s="14"/>
      <c r="N36" s="14"/>
      <c r="P36" s="14"/>
      <c r="Q36" s="14"/>
      <c r="R36" s="14"/>
    </row>
    <row r="37" spans="1:18">
      <c r="A37" s="14" t="s">
        <v>10154</v>
      </c>
      <c r="C37" s="14"/>
      <c r="D37" s="14"/>
      <c r="F37" s="14"/>
      <c r="G37" s="14"/>
      <c r="H37" s="14"/>
      <c r="I37" s="14"/>
      <c r="J37" s="14"/>
      <c r="K37" s="14"/>
      <c r="L37" s="14"/>
      <c r="M37" s="14"/>
      <c r="N37" s="14"/>
      <c r="P37" s="14"/>
      <c r="Q37" s="14"/>
      <c r="R37" s="14"/>
    </row>
    <row r="38" spans="1:18">
      <c r="A38" s="9" t="s">
        <v>5617</v>
      </c>
      <c r="B38" s="14" t="s">
        <v>330</v>
      </c>
      <c r="C38" s="14" t="s">
        <v>308</v>
      </c>
      <c r="D38" s="14" t="s">
        <v>385</v>
      </c>
      <c r="E38" s="15" t="str">
        <f>HYPERLINK("https://stat100.ameba.jp/tnk47/ratio20/illustrations/card/ill_59673_0_oheyashutendoji03.jpg?201810-2-RELEASE-unionbattle-373xxx", "■")</f>
        <v>■</v>
      </c>
      <c r="F38" s="14" t="s">
        <v>386</v>
      </c>
      <c r="G38" s="14">
        <v>119619</v>
      </c>
      <c r="H38" s="14">
        <v>128661</v>
      </c>
      <c r="I38" s="14">
        <v>17</v>
      </c>
      <c r="J38" s="14" t="s">
        <v>320</v>
      </c>
      <c r="K38" s="14" t="s">
        <v>387</v>
      </c>
      <c r="L38" s="14" t="s">
        <v>388</v>
      </c>
      <c r="M38" s="14" t="s">
        <v>9158</v>
      </c>
      <c r="N38" s="14" t="s">
        <v>9158</v>
      </c>
      <c r="O38" s="17" t="s">
        <v>10058</v>
      </c>
      <c r="P38" s="14" t="s">
        <v>3022</v>
      </c>
      <c r="Q38" s="14">
        <v>1</v>
      </c>
      <c r="R38" s="14"/>
    </row>
    <row r="39" spans="1:18">
      <c r="A39" s="9" t="s">
        <v>5607</v>
      </c>
      <c r="B39" s="14" t="s">
        <v>330</v>
      </c>
      <c r="C39" s="14" t="s">
        <v>271</v>
      </c>
      <c r="D39" s="14" t="s">
        <v>1039</v>
      </c>
      <c r="E39" s="15" t="str">
        <f>HYPERLINK("https://stat100.ameba.jp/tnk47/ratio20/illustrations/card/ill_58853_0_setsubumpanikkuhiratsukaraicho03.jpg?201810-2-RELEASE-unionbattle-373xxx", "■")</f>
        <v>■</v>
      </c>
      <c r="F39" s="14" t="s">
        <v>422</v>
      </c>
      <c r="G39" s="14">
        <v>106800</v>
      </c>
      <c r="H39" s="14">
        <v>94872</v>
      </c>
      <c r="I39" s="14">
        <v>17</v>
      </c>
      <c r="J39" s="14" t="s">
        <v>414</v>
      </c>
      <c r="K39" s="14" t="s">
        <v>423</v>
      </c>
      <c r="L39" s="14" t="s">
        <v>424</v>
      </c>
      <c r="M39" s="14" t="s">
        <v>9158</v>
      </c>
      <c r="N39" s="14" t="s">
        <v>9158</v>
      </c>
      <c r="O39" s="17" t="s">
        <v>10059</v>
      </c>
      <c r="P39" s="14" t="s">
        <v>2870</v>
      </c>
      <c r="Q39" s="14">
        <v>1</v>
      </c>
      <c r="R39" s="14"/>
    </row>
    <row r="40" spans="1:18">
      <c r="A40" s="9">
        <v>76793</v>
      </c>
      <c r="B40" s="14" t="s">
        <v>334</v>
      </c>
      <c r="C40" s="14" t="s">
        <v>268</v>
      </c>
      <c r="D40" s="14" t="s">
        <v>3855</v>
      </c>
      <c r="E40" s="15" t="str">
        <f>HYPERLINK("https://stat100.ameba.jp/tnk47/ratio20/illustrations/card/ill_76793_monsutatamatebako03.jpg?201810-2-RELEASE-unionbattle-373xxx", "■")</f>
        <v>■</v>
      </c>
      <c r="F40" s="14" t="s">
        <v>426</v>
      </c>
      <c r="G40" s="14">
        <v>108924</v>
      </c>
      <c r="H40" s="14">
        <v>78916</v>
      </c>
      <c r="I40" s="14">
        <v>24</v>
      </c>
      <c r="J40" s="14" t="s">
        <v>274</v>
      </c>
      <c r="K40" s="14" t="s">
        <v>427</v>
      </c>
      <c r="L40" s="14" t="s">
        <v>428</v>
      </c>
      <c r="M40" s="14" t="s">
        <v>9158</v>
      </c>
      <c r="N40" s="14" t="s">
        <v>9158</v>
      </c>
      <c r="O40" s="9" t="s">
        <v>3037</v>
      </c>
      <c r="P40" s="14" t="s">
        <v>13128</v>
      </c>
      <c r="Q40" s="14">
        <v>1</v>
      </c>
      <c r="R40" s="14"/>
    </row>
    <row r="41" spans="1:18">
      <c r="A41" s="9">
        <v>54833</v>
      </c>
      <c r="B41" s="14" t="s">
        <v>334</v>
      </c>
      <c r="C41" s="14" t="s">
        <v>3860</v>
      </c>
      <c r="D41" s="14" t="s">
        <v>1023</v>
      </c>
      <c r="E41" s="15" t="str">
        <f>HYPERLINK("https://stat100.ameba.jp/tnk47/ratio20/illustrations/card/ill_54833_keramaburu03.jpg?201810-2-RELEASE-unionbattle-373xxx", "■")</f>
        <v>■</v>
      </c>
      <c r="F41" s="14" t="s">
        <v>430</v>
      </c>
      <c r="G41" s="14">
        <v>63547</v>
      </c>
      <c r="H41" s="14">
        <v>86668</v>
      </c>
      <c r="I41" s="14">
        <v>21</v>
      </c>
      <c r="J41" s="14" t="s">
        <v>369</v>
      </c>
      <c r="K41" s="14" t="s">
        <v>431</v>
      </c>
      <c r="L41" s="14" t="s">
        <v>432</v>
      </c>
      <c r="M41" s="14" t="s">
        <v>9158</v>
      </c>
      <c r="N41" s="14" t="s">
        <v>9158</v>
      </c>
      <c r="O41" s="14" t="s">
        <v>9158</v>
      </c>
      <c r="P41" s="14" t="s">
        <v>9158</v>
      </c>
      <c r="Q41" s="14" t="s">
        <v>9158</v>
      </c>
      <c r="R41" s="14"/>
    </row>
    <row r="42" spans="1:18">
      <c r="A42" s="9">
        <v>73093</v>
      </c>
      <c r="B42" s="14" t="s">
        <v>334</v>
      </c>
      <c r="C42" s="14" t="s">
        <v>268</v>
      </c>
      <c r="D42" s="14" t="s">
        <v>1027</v>
      </c>
      <c r="E42" s="15" t="str">
        <f>HYPERLINK("https://stat100.ameba.jp/tnk47/ratio20/illustrations/card/ill_73093_aisukurinchan03.jpg?201810-2-RELEASE-unionbattle-373xxx", "■")</f>
        <v>■</v>
      </c>
      <c r="F42" s="14" t="s">
        <v>433</v>
      </c>
      <c r="G42" s="14">
        <v>139716</v>
      </c>
      <c r="H42" s="14">
        <v>101199</v>
      </c>
      <c r="I42" s="14">
        <v>21</v>
      </c>
      <c r="J42" s="14" t="s">
        <v>283</v>
      </c>
      <c r="K42" s="14" t="s">
        <v>434</v>
      </c>
      <c r="L42" s="14" t="s">
        <v>435</v>
      </c>
      <c r="M42" s="14" t="s">
        <v>9158</v>
      </c>
      <c r="N42" s="14" t="s">
        <v>9158</v>
      </c>
      <c r="O42" s="9" t="s">
        <v>2741</v>
      </c>
      <c r="P42" s="14" t="s">
        <v>2742</v>
      </c>
      <c r="Q42" s="14">
        <v>1</v>
      </c>
      <c r="R42" s="14"/>
    </row>
    <row r="43" spans="1:18">
      <c r="A43" s="9">
        <v>72153</v>
      </c>
      <c r="B43" s="14" t="s">
        <v>334</v>
      </c>
      <c r="C43" s="14" t="s">
        <v>269</v>
      </c>
      <c r="D43" s="14" t="s">
        <v>1030</v>
      </c>
      <c r="E43" s="15" t="str">
        <f>HYPERLINK("https://stat100.ameba.jp/tnk47/ratio20/illustrations/card/ill_72153_bakki03.jpg?201810-2-RELEASE-unionbattle-373xxx", "■")</f>
        <v>■</v>
      </c>
      <c r="F43" s="14" t="s">
        <v>437</v>
      </c>
      <c r="G43" s="14">
        <v>80391</v>
      </c>
      <c r="H43" s="14">
        <v>111000</v>
      </c>
      <c r="I43" s="14">
        <v>21</v>
      </c>
      <c r="J43" s="14" t="s">
        <v>320</v>
      </c>
      <c r="K43" s="14" t="s">
        <v>438</v>
      </c>
      <c r="L43" s="14" t="s">
        <v>439</v>
      </c>
      <c r="M43" s="14" t="s">
        <v>9158</v>
      </c>
      <c r="N43" s="14" t="s">
        <v>9158</v>
      </c>
      <c r="O43" s="14" t="s">
        <v>9158</v>
      </c>
      <c r="P43" s="14" t="s">
        <v>9158</v>
      </c>
      <c r="Q43" s="14" t="s">
        <v>9158</v>
      </c>
      <c r="R43" s="14"/>
    </row>
    <row r="44" spans="1:18">
      <c r="A44" s="9">
        <v>66353</v>
      </c>
      <c r="B44" s="14" t="s">
        <v>334</v>
      </c>
      <c r="C44" s="14" t="s">
        <v>269</v>
      </c>
      <c r="D44" s="14" t="s">
        <v>440</v>
      </c>
      <c r="E44" s="15" t="str">
        <f>HYPERLINK("https://stat100.ameba.jp/tnk47/ratio20/illustrations/card/ill_66353_kajiwaranyudotoan03.jpg?201810-2-RELEASE-unionbattle-373xxx", "■")</f>
        <v>■</v>
      </c>
      <c r="F44" s="14" t="s">
        <v>441</v>
      </c>
      <c r="G44" s="14">
        <v>139716</v>
      </c>
      <c r="H44" s="14">
        <v>101199</v>
      </c>
      <c r="I44" s="14">
        <v>21</v>
      </c>
      <c r="J44" s="14" t="s">
        <v>310</v>
      </c>
      <c r="K44" s="14" t="s">
        <v>442</v>
      </c>
      <c r="L44" s="14" t="s">
        <v>443</v>
      </c>
      <c r="M44" s="14" t="s">
        <v>9158</v>
      </c>
      <c r="N44" s="14" t="s">
        <v>9158</v>
      </c>
      <c r="O44" s="17" t="s">
        <v>10054</v>
      </c>
      <c r="P44" s="14" t="s">
        <v>3672</v>
      </c>
      <c r="Q44" s="14">
        <v>1</v>
      </c>
      <c r="R44" s="14"/>
    </row>
    <row r="45" spans="1:18">
      <c r="A45" s="9">
        <v>60183</v>
      </c>
      <c r="B45" s="14" t="s">
        <v>334</v>
      </c>
      <c r="C45" s="14" t="s">
        <v>47</v>
      </c>
      <c r="D45" s="14" t="s">
        <v>1034</v>
      </c>
      <c r="E45" s="15" t="str">
        <f>HYPERLINK("https://stat100.ameba.jp/tnk47/ratio20/illustrations/card/ill_60183_aizuyaichi03.jpg?201810-2-RELEASE-unionbattle-373xxx", "■")</f>
        <v>■</v>
      </c>
      <c r="F45" s="14" t="s">
        <v>445</v>
      </c>
      <c r="G45" s="14">
        <v>69051</v>
      </c>
      <c r="H45" s="14">
        <v>69051</v>
      </c>
      <c r="I45" s="14">
        <v>21</v>
      </c>
      <c r="J45" s="14" t="s">
        <v>414</v>
      </c>
      <c r="K45" s="14" t="s">
        <v>446</v>
      </c>
      <c r="L45" s="14" t="s">
        <v>447</v>
      </c>
      <c r="M45" s="14" t="s">
        <v>9158</v>
      </c>
      <c r="N45" s="14" t="s">
        <v>9158</v>
      </c>
      <c r="O45" s="14" t="s">
        <v>9158</v>
      </c>
      <c r="P45" s="14" t="s">
        <v>9158</v>
      </c>
      <c r="Q45" s="14" t="s">
        <v>9158</v>
      </c>
      <c r="R45" s="14"/>
    </row>
    <row r="46" spans="1:18">
      <c r="B46" s="14"/>
      <c r="C46" s="14"/>
      <c r="D46" s="14"/>
      <c r="F46" s="14"/>
      <c r="G46" s="14"/>
      <c r="H46" s="14"/>
      <c r="I46" s="14"/>
      <c r="J46" s="14"/>
      <c r="K46" s="14"/>
      <c r="L46" s="14"/>
      <c r="M46" s="14"/>
      <c r="N46" s="14"/>
      <c r="P46" s="14"/>
      <c r="Q46" s="14"/>
      <c r="R46" s="14"/>
    </row>
    <row r="47" spans="1:18">
      <c r="A47" s="9" t="s">
        <v>13326</v>
      </c>
      <c r="B47" s="14"/>
      <c r="C47" s="14"/>
      <c r="D47" s="14"/>
      <c r="F47" s="14"/>
      <c r="G47" s="14"/>
      <c r="H47" s="14"/>
      <c r="I47" s="14"/>
      <c r="J47" s="14"/>
      <c r="K47" s="14"/>
      <c r="L47" s="14"/>
      <c r="M47" s="14"/>
      <c r="N47" s="14"/>
      <c r="P47" s="14"/>
      <c r="Q47" s="14"/>
      <c r="R47" s="14"/>
    </row>
    <row r="48" spans="1:18">
      <c r="A48" s="9" t="s">
        <v>10155</v>
      </c>
      <c r="B48" s="14"/>
      <c r="C48" s="14"/>
      <c r="D48" s="14"/>
      <c r="F48" s="14"/>
      <c r="G48" s="14"/>
      <c r="H48" s="14"/>
      <c r="I48" s="14"/>
      <c r="J48" s="14"/>
      <c r="K48" s="14"/>
      <c r="L48" s="14"/>
      <c r="M48" s="14"/>
      <c r="N48" s="14"/>
      <c r="P48" s="14"/>
      <c r="Q48" s="14"/>
      <c r="R48" s="14"/>
    </row>
    <row r="49" spans="1:18">
      <c r="A49" s="9">
        <v>75113</v>
      </c>
      <c r="B49" s="14" t="s">
        <v>334</v>
      </c>
      <c r="C49" s="14" t="s">
        <v>335</v>
      </c>
      <c r="D49" s="14" t="s">
        <v>448</v>
      </c>
      <c r="E49" s="15" t="str">
        <f>HYPERLINK("https://stat100.ameba.jp/tnk47/ratio20/illustrations/card/ill_75111_hatahata01.jpg?201810-2-RELEASE-unionbattle-373xx", "■")</f>
        <v>■</v>
      </c>
      <c r="F49" s="14" t="s">
        <v>449</v>
      </c>
      <c r="G49" s="14">
        <v>103384</v>
      </c>
      <c r="H49" s="14">
        <v>96121</v>
      </c>
      <c r="I49" s="14">
        <v>21</v>
      </c>
      <c r="J49" s="14" t="s">
        <v>283</v>
      </c>
      <c r="K49" s="14" t="s">
        <v>450</v>
      </c>
      <c r="L49" s="14" t="s">
        <v>13129</v>
      </c>
      <c r="M49" s="14" t="s">
        <v>13130</v>
      </c>
      <c r="N49" s="14" t="s">
        <v>343</v>
      </c>
      <c r="O49" s="14" t="s">
        <v>9158</v>
      </c>
      <c r="P49" s="14" t="s">
        <v>9158</v>
      </c>
      <c r="Q49" s="14" t="s">
        <v>9158</v>
      </c>
      <c r="R49" s="14" t="s">
        <v>14748</v>
      </c>
    </row>
    <row r="50" spans="1:18">
      <c r="A50" s="9">
        <v>75112</v>
      </c>
      <c r="B50" s="14" t="s">
        <v>334</v>
      </c>
      <c r="C50" s="14" t="s">
        <v>335</v>
      </c>
      <c r="D50" s="14" t="s">
        <v>448</v>
      </c>
      <c r="E50" s="15" t="str">
        <f>HYPERLINK("https://stat100.ameba.jp/tnk47/ratio20/illustrations/card/ill_75112_hatahata02.jpg?201810-2-RELEASE-unionbattle-373xx", "■")</f>
        <v>■</v>
      </c>
      <c r="F50" s="14" t="s">
        <v>449</v>
      </c>
      <c r="G50" s="14">
        <v>86423</v>
      </c>
      <c r="H50" s="14">
        <v>79610</v>
      </c>
      <c r="I50" s="14">
        <v>21</v>
      </c>
      <c r="J50" s="14" t="s">
        <v>283</v>
      </c>
      <c r="K50" s="14" t="s">
        <v>450</v>
      </c>
      <c r="L50" s="14" t="s">
        <v>13129</v>
      </c>
      <c r="M50" s="14" t="s">
        <v>13131</v>
      </c>
      <c r="N50" s="14" t="s">
        <v>251</v>
      </c>
      <c r="O50" s="14" t="s">
        <v>9158</v>
      </c>
      <c r="P50" s="14" t="s">
        <v>9158</v>
      </c>
      <c r="Q50" s="14" t="s">
        <v>9158</v>
      </c>
      <c r="R50" s="14" t="s">
        <v>14748</v>
      </c>
    </row>
    <row r="51" spans="1:18">
      <c r="A51" s="9">
        <v>75111</v>
      </c>
      <c r="B51" s="14" t="s">
        <v>334</v>
      </c>
      <c r="C51" s="14" t="s">
        <v>335</v>
      </c>
      <c r="D51" s="14" t="s">
        <v>448</v>
      </c>
      <c r="E51" s="15" t="str">
        <f>HYPERLINK("https://stat100.ameba.jp/tnk47/ratio20/illustrations/card/ill_75111_hatahata03.jpg?201810-2-RELEASE-unionbattle-373xx", "■")</f>
        <v>■</v>
      </c>
      <c r="F51" s="14" t="s">
        <v>449</v>
      </c>
      <c r="G51" s="14">
        <v>65982</v>
      </c>
      <c r="H51" s="14">
        <v>61425</v>
      </c>
      <c r="I51" s="14">
        <v>21</v>
      </c>
      <c r="J51" s="14" t="s">
        <v>283</v>
      </c>
      <c r="K51" s="14" t="s">
        <v>450</v>
      </c>
      <c r="L51" s="14" t="s">
        <v>13129</v>
      </c>
      <c r="M51" s="14" t="s">
        <v>13131</v>
      </c>
      <c r="N51" s="14" t="s">
        <v>251</v>
      </c>
      <c r="O51" s="14" t="s">
        <v>9158</v>
      </c>
      <c r="P51" s="14" t="s">
        <v>9158</v>
      </c>
      <c r="Q51" s="14" t="s">
        <v>9158</v>
      </c>
      <c r="R51" s="14" t="s">
        <v>14748</v>
      </c>
    </row>
    <row r="52" spans="1:18">
      <c r="A52" s="9">
        <v>75123</v>
      </c>
      <c r="B52" s="14" t="s">
        <v>334</v>
      </c>
      <c r="C52" s="14" t="s">
        <v>307</v>
      </c>
      <c r="D52" s="14" t="s">
        <v>12927</v>
      </c>
      <c r="E52" s="15" t="str">
        <f>HYPERLINK("https://stat100.ameba.jp/tnk47/ratio20/illustrations/card/ill_75123_nankintamasudare03.jpg?201810-2-RELEASE-unionbattle-373xx", "■")</f>
        <v>■</v>
      </c>
      <c r="F52" s="14" t="s">
        <v>452</v>
      </c>
      <c r="G52" s="14">
        <v>96121</v>
      </c>
      <c r="H52" s="14">
        <v>103384</v>
      </c>
      <c r="I52" s="14">
        <v>21</v>
      </c>
      <c r="J52" s="14" t="s">
        <v>274</v>
      </c>
      <c r="K52" s="14" t="s">
        <v>453</v>
      </c>
      <c r="L52" s="14" t="s">
        <v>6711</v>
      </c>
      <c r="M52" s="14" t="s">
        <v>13130</v>
      </c>
      <c r="N52" s="14" t="s">
        <v>343</v>
      </c>
      <c r="O52" s="14" t="s">
        <v>9158</v>
      </c>
      <c r="P52" s="14" t="s">
        <v>9158</v>
      </c>
      <c r="Q52" s="14" t="s">
        <v>9158</v>
      </c>
      <c r="R52" s="14" t="s">
        <v>14748</v>
      </c>
    </row>
    <row r="53" spans="1:18">
      <c r="A53" s="9">
        <v>76013</v>
      </c>
      <c r="B53" s="14" t="s">
        <v>334</v>
      </c>
      <c r="C53" s="14" t="s">
        <v>344</v>
      </c>
      <c r="D53" s="14" t="s">
        <v>454</v>
      </c>
      <c r="E53" s="15" t="str">
        <f>HYPERLINK("https://stat100.ameba.jp/tnk47/ratio20/illustrations/card/ill_76013_miyakojima03.jpg?201810-2-RELEASE-unionbattle-373xx", "■")</f>
        <v>■</v>
      </c>
      <c r="F53" s="14" t="s">
        <v>455</v>
      </c>
      <c r="G53" s="14">
        <v>103384</v>
      </c>
      <c r="H53" s="14">
        <v>96121</v>
      </c>
      <c r="I53" s="14">
        <v>21</v>
      </c>
      <c r="J53" s="14" t="s">
        <v>369</v>
      </c>
      <c r="K53" s="14" t="s">
        <v>456</v>
      </c>
      <c r="L53" s="14" t="s">
        <v>6712</v>
      </c>
      <c r="M53" s="14" t="s">
        <v>13130</v>
      </c>
      <c r="N53" s="14" t="s">
        <v>343</v>
      </c>
      <c r="O53" s="14" t="s">
        <v>9158</v>
      </c>
      <c r="P53" s="14" t="s">
        <v>9158</v>
      </c>
      <c r="Q53" s="14" t="s">
        <v>9158</v>
      </c>
      <c r="R53" s="14" t="s">
        <v>14748</v>
      </c>
    </row>
    <row r="54" spans="1:18">
      <c r="A54" s="9">
        <v>74333</v>
      </c>
      <c r="B54" s="14" t="s">
        <v>334</v>
      </c>
      <c r="C54" s="14" t="s">
        <v>271</v>
      </c>
      <c r="D54" s="14" t="s">
        <v>457</v>
      </c>
      <c r="E54" s="15" t="str">
        <f>HYPERLINK("https://stat100.ameba.jp/tnk47/ratio20/illustrations/card/ill_74333_iizukaigashichi03.jpg?201810-2-RELEASE-unionbattle-373xx", "■")</f>
        <v>■</v>
      </c>
      <c r="F54" s="14" t="s">
        <v>458</v>
      </c>
      <c r="G54" s="14">
        <v>96121</v>
      </c>
      <c r="H54" s="14">
        <v>103384</v>
      </c>
      <c r="I54" s="14">
        <v>21</v>
      </c>
      <c r="J54" s="14" t="s">
        <v>414</v>
      </c>
      <c r="K54" s="14" t="s">
        <v>459</v>
      </c>
      <c r="L54" s="14" t="s">
        <v>6713</v>
      </c>
      <c r="M54" s="14" t="s">
        <v>13130</v>
      </c>
      <c r="N54" s="14" t="s">
        <v>343</v>
      </c>
      <c r="O54" s="14" t="s">
        <v>9158</v>
      </c>
      <c r="P54" s="14" t="s">
        <v>9158</v>
      </c>
      <c r="Q54" s="14" t="s">
        <v>9158</v>
      </c>
      <c r="R54" s="14" t="s">
        <v>14748</v>
      </c>
    </row>
    <row r="55" spans="1:18">
      <c r="A55" s="9">
        <v>74343</v>
      </c>
      <c r="B55" s="14" t="s">
        <v>334</v>
      </c>
      <c r="C55" s="14" t="s">
        <v>308</v>
      </c>
      <c r="D55" s="14" t="s">
        <v>460</v>
      </c>
      <c r="E55" s="15" t="str">
        <f>HYPERLINK("https://stat100.ameba.jp/tnk47/ratio20/illustrations/card/ill_74343_wadakoremasa03.jpg?201810-2-RELEASE-unionbattle-373xx", "■")</f>
        <v>■</v>
      </c>
      <c r="F55" s="14" t="s">
        <v>461</v>
      </c>
      <c r="G55" s="14">
        <v>96121</v>
      </c>
      <c r="H55" s="14">
        <v>103384</v>
      </c>
      <c r="I55" s="14">
        <v>21</v>
      </c>
      <c r="J55" s="14" t="s">
        <v>310</v>
      </c>
      <c r="K55" s="14" t="s">
        <v>462</v>
      </c>
      <c r="L55" s="14" t="s">
        <v>6714</v>
      </c>
      <c r="M55" s="14" t="s">
        <v>13130</v>
      </c>
      <c r="N55" s="14" t="s">
        <v>343</v>
      </c>
      <c r="O55" s="14" t="s">
        <v>9158</v>
      </c>
      <c r="P55" s="14" t="s">
        <v>9158</v>
      </c>
      <c r="Q55" s="14" t="s">
        <v>9158</v>
      </c>
      <c r="R55" s="14" t="s">
        <v>14748</v>
      </c>
    </row>
    <row r="56" spans="1:18">
      <c r="A56" s="9">
        <v>74353</v>
      </c>
      <c r="B56" s="14" t="s">
        <v>334</v>
      </c>
      <c r="C56" s="14" t="s">
        <v>267</v>
      </c>
      <c r="D56" s="14" t="s">
        <v>463</v>
      </c>
      <c r="E56" s="15" t="str">
        <f>HYPERLINK("https://stat100.ameba.jp/tnk47/ratio20/illustrations/card/ill_74353_takechizuizan03.jpg?201810-2-RELEASE-unionbattle-373xx", "■")</f>
        <v>■</v>
      </c>
      <c r="F56" s="14" t="s">
        <v>464</v>
      </c>
      <c r="G56" s="14">
        <v>103384</v>
      </c>
      <c r="H56" s="14">
        <v>96121</v>
      </c>
      <c r="I56" s="14">
        <v>21</v>
      </c>
      <c r="J56" s="14" t="s">
        <v>351</v>
      </c>
      <c r="K56" s="14" t="s">
        <v>465</v>
      </c>
      <c r="L56" s="14" t="s">
        <v>6715</v>
      </c>
      <c r="M56" s="14" t="s">
        <v>13130</v>
      </c>
      <c r="N56" s="14" t="s">
        <v>343</v>
      </c>
      <c r="O56" s="14" t="s">
        <v>9158</v>
      </c>
      <c r="P56" s="14" t="s">
        <v>9158</v>
      </c>
      <c r="Q56" s="14" t="s">
        <v>9158</v>
      </c>
      <c r="R56" s="14" t="s">
        <v>14748</v>
      </c>
    </row>
    <row r="57" spans="1:18">
      <c r="B57" s="14"/>
      <c r="C57" s="14"/>
      <c r="D57" s="14"/>
      <c r="F57" s="14"/>
      <c r="G57" s="14"/>
      <c r="H57" s="14"/>
      <c r="I57" s="14"/>
      <c r="J57" s="14"/>
      <c r="K57" s="14"/>
      <c r="L57" s="14"/>
      <c r="M57" s="14"/>
      <c r="N57" s="14"/>
      <c r="P57" s="14"/>
      <c r="Q57" s="14"/>
      <c r="R57" s="14"/>
    </row>
    <row r="58" spans="1:18">
      <c r="A58" s="14" t="s">
        <v>178</v>
      </c>
      <c r="D58" s="14"/>
      <c r="F58" s="14"/>
      <c r="G58" s="14"/>
      <c r="H58" s="14"/>
      <c r="I58" s="14"/>
      <c r="J58" s="14"/>
      <c r="K58" s="14"/>
      <c r="L58" s="14"/>
      <c r="M58" s="14"/>
      <c r="N58" s="14"/>
      <c r="P58" s="14"/>
      <c r="Q58" s="14"/>
      <c r="R58" s="14"/>
    </row>
    <row r="59" spans="1:18">
      <c r="A59" s="14" t="s">
        <v>7230</v>
      </c>
      <c r="B59" s="14"/>
      <c r="C59" s="14"/>
      <c r="D59" s="14"/>
      <c r="E59" s="14"/>
      <c r="F59" s="14"/>
      <c r="G59" s="14"/>
      <c r="H59" s="14"/>
      <c r="I59" s="14"/>
      <c r="J59" s="14"/>
      <c r="K59" s="14"/>
      <c r="L59" s="14"/>
      <c r="M59" s="14"/>
      <c r="N59" s="14"/>
      <c r="O59" s="14"/>
      <c r="P59" s="14"/>
      <c r="Q59" s="14"/>
      <c r="R59" s="14"/>
    </row>
    <row r="60" spans="1:18">
      <c r="A60" s="14" t="s">
        <v>7648</v>
      </c>
      <c r="B60" s="14"/>
      <c r="C60" s="14"/>
      <c r="D60" s="14"/>
      <c r="E60" s="14"/>
      <c r="F60" s="14"/>
      <c r="G60" s="14"/>
      <c r="H60" s="14"/>
      <c r="I60" s="14"/>
      <c r="J60" s="14"/>
      <c r="K60" s="14"/>
      <c r="L60" s="14"/>
      <c r="M60" s="14"/>
      <c r="N60" s="14"/>
      <c r="O60" s="14"/>
      <c r="P60" s="14"/>
      <c r="Q60" s="14"/>
      <c r="R60" s="14"/>
    </row>
    <row r="61" spans="1:18">
      <c r="A61" s="9" t="s">
        <v>5787</v>
      </c>
      <c r="B61" s="14" t="s">
        <v>330</v>
      </c>
      <c r="C61" s="14" t="s">
        <v>270</v>
      </c>
      <c r="D61" s="14" t="s">
        <v>331</v>
      </c>
      <c r="E61" s="15" t="str">
        <f>HYPERLINK("https://stat100.ameba.jp/tnk47/ratio20/illustrations/card/ill_76303_0_haroinkaguya03.jpg?201810-2-RELEASE-unionbattle-373xxx", "■")</f>
        <v>■</v>
      </c>
      <c r="F61" s="14" t="s">
        <v>332</v>
      </c>
      <c r="G61" s="14">
        <v>178507</v>
      </c>
      <c r="H61" s="14">
        <v>165953</v>
      </c>
      <c r="I61" s="14">
        <v>15</v>
      </c>
      <c r="J61" s="14" t="s">
        <v>274</v>
      </c>
      <c r="K61" s="14" t="s">
        <v>333</v>
      </c>
      <c r="L61" s="14" t="s">
        <v>276</v>
      </c>
      <c r="M61" s="14" t="s">
        <v>9158</v>
      </c>
      <c r="N61" s="14" t="s">
        <v>9158</v>
      </c>
      <c r="O61" s="9" t="s">
        <v>2723</v>
      </c>
      <c r="P61" s="14" t="s">
        <v>2724</v>
      </c>
      <c r="Q61" s="14">
        <v>1</v>
      </c>
      <c r="R61" s="14"/>
    </row>
    <row r="62" spans="1:18">
      <c r="A62" s="9">
        <v>76373</v>
      </c>
      <c r="B62" s="14" t="s">
        <v>334</v>
      </c>
      <c r="C62" s="14" t="s">
        <v>271</v>
      </c>
      <c r="D62" s="14" t="s">
        <v>3856</v>
      </c>
      <c r="E62" s="15" t="str">
        <f>HYPERLINK("https://stat100.ameba.jp/tnk47/ratio20/illustrations/card/ill_76373_marishitenho03.jpg?201810-2-RELEASE-unionbattle-373xxx", "■")</f>
        <v>■</v>
      </c>
      <c r="F62" s="14" t="s">
        <v>467</v>
      </c>
      <c r="G62" s="14">
        <v>88948</v>
      </c>
      <c r="H62" s="14">
        <v>95836</v>
      </c>
      <c r="I62" s="14">
        <v>21</v>
      </c>
      <c r="J62" s="14" t="s">
        <v>274</v>
      </c>
      <c r="K62" s="14" t="s">
        <v>468</v>
      </c>
      <c r="L62" s="14" t="s">
        <v>469</v>
      </c>
      <c r="M62" s="14" t="s">
        <v>9158</v>
      </c>
      <c r="N62" s="14" t="s">
        <v>9158</v>
      </c>
      <c r="O62" s="14" t="s">
        <v>9158</v>
      </c>
      <c r="P62" s="14" t="s">
        <v>9158</v>
      </c>
      <c r="Q62" s="14" t="s">
        <v>9158</v>
      </c>
      <c r="R62" s="14"/>
    </row>
    <row r="63" spans="1:18">
      <c r="A63" s="9">
        <v>76383</v>
      </c>
      <c r="B63" s="14" t="s">
        <v>348</v>
      </c>
      <c r="C63" s="14" t="s">
        <v>307</v>
      </c>
      <c r="D63" s="14" t="s">
        <v>470</v>
      </c>
      <c r="E63" s="15" t="str">
        <f>HYPERLINK("https://stat100.ameba.jp/tnk47/ratio20/illustrations/card/ill_76383_tokugawayoshikatsu03.jpg?201810-2-RELEASE-unionbattle-373xxx", "■")</f>
        <v>■</v>
      </c>
      <c r="F63" s="14" t="s">
        <v>13842</v>
      </c>
      <c r="G63" s="14">
        <v>62244</v>
      </c>
      <c r="H63" s="14">
        <v>56456</v>
      </c>
      <c r="I63" s="14">
        <v>21</v>
      </c>
      <c r="J63" s="14" t="s">
        <v>351</v>
      </c>
      <c r="K63" s="14" t="s">
        <v>472</v>
      </c>
      <c r="L63" s="14" t="s">
        <v>473</v>
      </c>
      <c r="M63" s="14" t="s">
        <v>9158</v>
      </c>
      <c r="N63" s="14" t="s">
        <v>9158</v>
      </c>
      <c r="O63" s="14" t="s">
        <v>9158</v>
      </c>
      <c r="P63" s="14" t="s">
        <v>9158</v>
      </c>
      <c r="Q63" s="14" t="s">
        <v>9158</v>
      </c>
      <c r="R63" s="14"/>
    </row>
    <row r="64" spans="1:18">
      <c r="A64" s="9">
        <v>76393</v>
      </c>
      <c r="B64" s="14" t="s">
        <v>362</v>
      </c>
      <c r="C64" s="14" t="s">
        <v>308</v>
      </c>
      <c r="D64" s="14" t="s">
        <v>474</v>
      </c>
      <c r="E64" s="15" t="str">
        <f>HYPERLINK("https://stat100.ameba.jp/tnk47/ratio20/illustrations/card/ill_76393_omiwajinjaemmusubinofufuiwa03.jpg?201810-2-RELEASE-unionbattle-373xxx", "■")</f>
        <v>■</v>
      </c>
      <c r="F64" s="14" t="s">
        <v>475</v>
      </c>
      <c r="G64" s="14">
        <v>36304</v>
      </c>
      <c r="H64" s="14">
        <v>43662</v>
      </c>
      <c r="I64" s="14">
        <v>21</v>
      </c>
      <c r="J64" s="14" t="s">
        <v>401</v>
      </c>
      <c r="K64" s="14" t="s">
        <v>476</v>
      </c>
      <c r="L64" s="14" t="s">
        <v>477</v>
      </c>
      <c r="M64" s="14" t="s">
        <v>9158</v>
      </c>
      <c r="N64" s="14" t="s">
        <v>9158</v>
      </c>
      <c r="O64" s="14" t="s">
        <v>9158</v>
      </c>
      <c r="P64" s="14" t="s">
        <v>9158</v>
      </c>
      <c r="Q64" s="14" t="s">
        <v>9158</v>
      </c>
      <c r="R64" s="14"/>
    </row>
    <row r="65" spans="1:18">
      <c r="A65" s="9">
        <v>76403</v>
      </c>
      <c r="B65" s="14" t="s">
        <v>372</v>
      </c>
      <c r="C65" s="14" t="s">
        <v>478</v>
      </c>
      <c r="D65" s="14" t="s">
        <v>479</v>
      </c>
      <c r="E65" s="15" t="str">
        <f>HYPERLINK("https://stat100.ameba.jp/tnk47/ratio20/illustrations/card/ill_76403_takahashijouun03.jpg?201810-2-RELEASE-unionbattle-373xxx", "■")</f>
        <v>■</v>
      </c>
      <c r="F65" s="14" t="s">
        <v>480</v>
      </c>
      <c r="G65" s="14">
        <v>26434</v>
      </c>
      <c r="H65" s="14">
        <v>22200</v>
      </c>
      <c r="I65" s="14">
        <v>21</v>
      </c>
      <c r="J65" s="14" t="s">
        <v>310</v>
      </c>
      <c r="K65" s="14" t="s">
        <v>481</v>
      </c>
      <c r="L65" s="14" t="s">
        <v>482</v>
      </c>
      <c r="M65" s="14" t="s">
        <v>9158</v>
      </c>
      <c r="N65" s="14" t="s">
        <v>9158</v>
      </c>
      <c r="O65" s="14" t="s">
        <v>9158</v>
      </c>
      <c r="P65" s="14" t="s">
        <v>9158</v>
      </c>
      <c r="Q65" s="14" t="s">
        <v>9158</v>
      </c>
      <c r="R65" s="14"/>
    </row>
    <row r="66" spans="1:18">
      <c r="B66" s="14"/>
      <c r="C66" s="14"/>
      <c r="D66" s="14"/>
      <c r="F66" s="14"/>
      <c r="G66" s="14"/>
      <c r="H66" s="14"/>
      <c r="I66" s="14"/>
      <c r="J66" s="14"/>
      <c r="K66" s="14"/>
      <c r="L66" s="14"/>
      <c r="M66" s="14"/>
      <c r="N66" s="14"/>
      <c r="P66" s="14"/>
      <c r="Q66" s="14"/>
      <c r="R66" s="14"/>
    </row>
    <row r="67" spans="1:18">
      <c r="A67" s="14" t="s">
        <v>179</v>
      </c>
      <c r="D67" s="14"/>
      <c r="F67" s="14"/>
      <c r="G67" s="14"/>
      <c r="H67" s="14"/>
      <c r="I67" s="14"/>
      <c r="J67" s="14"/>
      <c r="K67" s="14"/>
      <c r="L67" s="14"/>
      <c r="M67" s="14"/>
      <c r="N67" s="14"/>
      <c r="P67" s="14"/>
      <c r="Q67" s="14"/>
      <c r="R67" s="14"/>
    </row>
    <row r="68" spans="1:18">
      <c r="A68" s="14" t="s">
        <v>233</v>
      </c>
      <c r="C68" s="14"/>
      <c r="D68" s="14"/>
      <c r="F68" s="14"/>
      <c r="G68" s="14"/>
      <c r="H68" s="14"/>
      <c r="I68" s="14"/>
      <c r="J68" s="14"/>
      <c r="K68" s="14"/>
      <c r="L68" s="14"/>
      <c r="M68" s="14"/>
      <c r="N68" s="14"/>
      <c r="P68" s="14"/>
      <c r="Q68" s="14"/>
      <c r="R68" s="14"/>
    </row>
    <row r="69" spans="1:18">
      <c r="A69" s="9" t="s">
        <v>5617</v>
      </c>
      <c r="B69" s="14" t="s">
        <v>330</v>
      </c>
      <c r="C69" s="14" t="s">
        <v>308</v>
      </c>
      <c r="D69" s="14" t="s">
        <v>385</v>
      </c>
      <c r="E69" s="15" t="str">
        <f>HYPERLINK("https://stat100.ameba.jp/tnk47/ratio20/illustrations/card/ill_59673_0_oheyashutendoji03.jpg?201810-2-RELEASE-unionbattle-373xxx", "■")</f>
        <v>■</v>
      </c>
      <c r="F69" s="14" t="s">
        <v>386</v>
      </c>
      <c r="G69" s="14">
        <v>105545</v>
      </c>
      <c r="H69" s="14">
        <v>113525</v>
      </c>
      <c r="I69" s="14">
        <v>15</v>
      </c>
      <c r="J69" s="14" t="s">
        <v>320</v>
      </c>
      <c r="K69" s="14" t="s">
        <v>387</v>
      </c>
      <c r="L69" s="14" t="s">
        <v>388</v>
      </c>
      <c r="M69" s="14" t="s">
        <v>9158</v>
      </c>
      <c r="N69" s="14" t="s">
        <v>9158</v>
      </c>
      <c r="O69" s="17" t="s">
        <v>10058</v>
      </c>
      <c r="P69" s="14" t="s">
        <v>3022</v>
      </c>
      <c r="Q69" s="14">
        <v>1</v>
      </c>
      <c r="R69" s="14"/>
    </row>
    <row r="70" spans="1:18">
      <c r="A70" s="9" t="s">
        <v>5609</v>
      </c>
      <c r="B70" s="14" t="s">
        <v>330</v>
      </c>
      <c r="C70" s="14" t="s">
        <v>271</v>
      </c>
      <c r="D70" s="14" t="s">
        <v>389</v>
      </c>
      <c r="E70" s="15" t="str">
        <f>HYPERLINK("https://stat100.ameba.jp/tnk47/ratio20/illustrations/card/ill_53753_0_natsumatsuritokugawaieyasu03.jpg?201810-2-RELEASE-unionbattle-373xxx", "■")</f>
        <v>■</v>
      </c>
      <c r="F70" s="14" t="s">
        <v>390</v>
      </c>
      <c r="G70" s="14">
        <v>94236</v>
      </c>
      <c r="H70" s="14">
        <v>83712</v>
      </c>
      <c r="I70" s="14">
        <v>15</v>
      </c>
      <c r="J70" s="14" t="s">
        <v>310</v>
      </c>
      <c r="K70" s="14" t="s">
        <v>391</v>
      </c>
      <c r="L70" s="14" t="s">
        <v>392</v>
      </c>
      <c r="M70" s="14" t="s">
        <v>9158</v>
      </c>
      <c r="N70" s="14" t="s">
        <v>9158</v>
      </c>
      <c r="O70" s="17" t="s">
        <v>10052</v>
      </c>
      <c r="P70" s="14" t="s">
        <v>13121</v>
      </c>
      <c r="Q70" s="14">
        <v>1</v>
      </c>
      <c r="R70" s="14"/>
    </row>
    <row r="71" spans="1:18">
      <c r="A71" s="9" t="s">
        <v>5902</v>
      </c>
      <c r="B71" s="14" t="s">
        <v>330</v>
      </c>
      <c r="C71" s="14" t="s">
        <v>344</v>
      </c>
      <c r="D71" s="14" t="s">
        <v>905</v>
      </c>
      <c r="E71" s="15" t="str">
        <f>HYPERLINK("https://stat100.ameba.jp/tnk47/ratio20/illustrations/card/ill_40343_0_heshikirihasebekurodakambe03.jpg?201810-2-RELEASE-unionbattle-373xxx", "■")</f>
        <v>■</v>
      </c>
      <c r="F71" s="14" t="s">
        <v>484</v>
      </c>
      <c r="G71" s="14">
        <v>87780</v>
      </c>
      <c r="H71" s="14">
        <v>82212</v>
      </c>
      <c r="I71" s="14">
        <v>15</v>
      </c>
      <c r="J71" s="14" t="s">
        <v>414</v>
      </c>
      <c r="K71" s="14" t="s">
        <v>485</v>
      </c>
      <c r="L71" s="14" t="s">
        <v>486</v>
      </c>
      <c r="M71" s="14" t="s">
        <v>9158</v>
      </c>
      <c r="N71" s="14" t="s">
        <v>9158</v>
      </c>
      <c r="O71" s="14" t="s">
        <v>9158</v>
      </c>
      <c r="P71" s="14" t="s">
        <v>9158</v>
      </c>
      <c r="Q71" s="14" t="s">
        <v>9158</v>
      </c>
      <c r="R71" s="14"/>
    </row>
    <row r="72" spans="1:18">
      <c r="A72" s="9">
        <v>75203</v>
      </c>
      <c r="B72" s="14" t="s">
        <v>334</v>
      </c>
      <c r="C72" s="14" t="s">
        <v>268</v>
      </c>
      <c r="D72" s="14" t="s">
        <v>990</v>
      </c>
      <c r="E72" s="15" t="str">
        <f>HYPERLINK("https://stat100.ameba.jp/tnk47/ratio20/illustrations/card/ill_75203_hisuitsuraratsukainoyama03.jpg?201810-2-RELEASE-unionbattle-373xxx", "■")</f>
        <v>■</v>
      </c>
      <c r="F72" s="14" t="s">
        <v>487</v>
      </c>
      <c r="G72" s="14">
        <v>97778</v>
      </c>
      <c r="H72" s="14">
        <v>90918</v>
      </c>
      <c r="I72" s="14">
        <v>22</v>
      </c>
      <c r="J72" s="14" t="s">
        <v>274</v>
      </c>
      <c r="K72" s="14" t="s">
        <v>488</v>
      </c>
      <c r="L72" s="14" t="s">
        <v>489</v>
      </c>
      <c r="M72" s="14" t="s">
        <v>9158</v>
      </c>
      <c r="N72" s="14" t="s">
        <v>9158</v>
      </c>
      <c r="O72" s="14" t="s">
        <v>9158</v>
      </c>
      <c r="P72" s="14" t="s">
        <v>9158</v>
      </c>
      <c r="Q72" s="14" t="s">
        <v>9158</v>
      </c>
      <c r="R72" s="14"/>
    </row>
    <row r="73" spans="1:18">
      <c r="A73" s="9">
        <v>75193</v>
      </c>
      <c r="B73" s="14" t="s">
        <v>334</v>
      </c>
      <c r="C73" s="14" t="s">
        <v>269</v>
      </c>
      <c r="D73" s="14" t="s">
        <v>1935</v>
      </c>
      <c r="E73" s="15" t="str">
        <f>HYPERLINK("https://stat100.ameba.jp/tnk47/ratio20/illustrations/card/ill_75193_rabanommyonojiomansa03.jpg?201810-2-RELEASE-unionbattle-373xxx", "■")</f>
        <v>■</v>
      </c>
      <c r="F73" s="14" t="s">
        <v>490</v>
      </c>
      <c r="G73" s="14">
        <v>84560</v>
      </c>
      <c r="H73" s="14">
        <v>90934</v>
      </c>
      <c r="I73" s="14">
        <v>22</v>
      </c>
      <c r="J73" s="14" t="s">
        <v>401</v>
      </c>
      <c r="K73" s="14" t="s">
        <v>491</v>
      </c>
      <c r="L73" s="14" t="s">
        <v>492</v>
      </c>
      <c r="M73" s="14" t="s">
        <v>9158</v>
      </c>
      <c r="N73" s="14" t="s">
        <v>9158</v>
      </c>
      <c r="O73" s="14" t="s">
        <v>9158</v>
      </c>
      <c r="P73" s="14" t="s">
        <v>9158</v>
      </c>
      <c r="Q73" s="14" t="s">
        <v>9158</v>
      </c>
      <c r="R73" s="14"/>
    </row>
    <row r="74" spans="1:18">
      <c r="A74" s="9">
        <v>77743</v>
      </c>
      <c r="B74" s="14" t="s">
        <v>334</v>
      </c>
      <c r="C74" s="14" t="s">
        <v>269</v>
      </c>
      <c r="D74" s="14" t="s">
        <v>3857</v>
      </c>
      <c r="E74" s="15" t="str">
        <f>HYPERLINK("https://stat100.ameba.jp/tnk47/ratio20/illustrations/card/ill_77743_kaerude03.jpg?201810-2-RELEASE-unionbattle-373xxx", "■")</f>
        <v>■</v>
      </c>
      <c r="F74" s="14" t="s">
        <v>494</v>
      </c>
      <c r="G74" s="14">
        <v>69648</v>
      </c>
      <c r="H74" s="14">
        <v>123760</v>
      </c>
      <c r="I74" s="14">
        <v>22</v>
      </c>
      <c r="J74" s="14" t="s">
        <v>369</v>
      </c>
      <c r="K74" s="14" t="s">
        <v>495</v>
      </c>
      <c r="L74" s="14" t="s">
        <v>496</v>
      </c>
      <c r="M74" s="14" t="s">
        <v>9158</v>
      </c>
      <c r="N74" s="14" t="s">
        <v>9158</v>
      </c>
      <c r="O74" s="14" t="s">
        <v>9158</v>
      </c>
      <c r="P74" s="14" t="s">
        <v>9158</v>
      </c>
      <c r="Q74" s="14" t="s">
        <v>9158</v>
      </c>
      <c r="R74" s="14"/>
    </row>
    <row r="75" spans="1:18">
      <c r="A75" s="9">
        <v>57853</v>
      </c>
      <c r="B75" s="14" t="s">
        <v>348</v>
      </c>
      <c r="C75" s="14" t="s">
        <v>271</v>
      </c>
      <c r="D75" s="14" t="s">
        <v>497</v>
      </c>
      <c r="E75" s="15" t="str">
        <f>HYPERLINK("https://stat100.ameba.jp/tnk47/ratio20/illustrations/card/ill_57853_otokuchuruakaiteruko03.jpg?201810-2-RELEASE-unionbattle-373xxx", "■")</f>
        <v>■</v>
      </c>
      <c r="F75" s="14" t="s">
        <v>498</v>
      </c>
      <c r="G75" s="14">
        <v>56456</v>
      </c>
      <c r="H75" s="14">
        <v>62244</v>
      </c>
      <c r="I75" s="14">
        <v>21</v>
      </c>
      <c r="J75" s="14" t="s">
        <v>310</v>
      </c>
      <c r="K75" s="14" t="s">
        <v>499</v>
      </c>
      <c r="L75" s="14" t="s">
        <v>500</v>
      </c>
      <c r="M75" s="14" t="s">
        <v>9158</v>
      </c>
      <c r="N75" s="14" t="s">
        <v>9158</v>
      </c>
      <c r="O75" s="14" t="s">
        <v>9158</v>
      </c>
      <c r="P75" s="14" t="s">
        <v>9158</v>
      </c>
      <c r="Q75" s="14" t="s">
        <v>9158</v>
      </c>
      <c r="R75" s="14"/>
    </row>
    <row r="76" spans="1:18">
      <c r="A76" s="9">
        <v>57913</v>
      </c>
      <c r="B76" s="14" t="s">
        <v>348</v>
      </c>
      <c r="C76" s="14" t="s">
        <v>308</v>
      </c>
      <c r="D76" s="14" t="s">
        <v>501</v>
      </c>
      <c r="E76" s="15" t="str">
        <f>HYPERLINK("https://stat100.ameba.jp/tnk47/ratio20/illustrations/card/ill_57913_otokuchurusahohime03.jpg?201810-2-RELEASE-unionbattle-373xxx", "■")</f>
        <v>■</v>
      </c>
      <c r="F76" s="14" t="s">
        <v>502</v>
      </c>
      <c r="G76" s="14">
        <v>62244</v>
      </c>
      <c r="H76" s="14">
        <v>56456</v>
      </c>
      <c r="I76" s="14">
        <v>21</v>
      </c>
      <c r="J76" s="14" t="s">
        <v>401</v>
      </c>
      <c r="K76" s="14" t="s">
        <v>503</v>
      </c>
      <c r="L76" s="14" t="s">
        <v>504</v>
      </c>
      <c r="M76" s="14" t="s">
        <v>9158</v>
      </c>
      <c r="N76" s="14" t="s">
        <v>9158</v>
      </c>
      <c r="O76" s="14" t="s">
        <v>9158</v>
      </c>
      <c r="P76" s="14" t="s">
        <v>9158</v>
      </c>
      <c r="Q76" s="14" t="s">
        <v>9158</v>
      </c>
      <c r="R76" s="14"/>
    </row>
    <row r="77" spans="1:18">
      <c r="A77" s="9">
        <v>55433</v>
      </c>
      <c r="B77" s="14" t="s">
        <v>348</v>
      </c>
      <c r="C77" s="14" t="s">
        <v>307</v>
      </c>
      <c r="D77" s="14" t="s">
        <v>505</v>
      </c>
      <c r="E77" s="15" t="str">
        <f>HYPERLINK("https://stat100.ameba.jp/tnk47/ratio20/illustrations/card/ill_55433_bunkasaiodainokata03.jpg?201810-2-RELEASE-unionbattle-373xxx", "■")</f>
        <v>■</v>
      </c>
      <c r="F77" s="14" t="s">
        <v>506</v>
      </c>
      <c r="G77" s="14">
        <v>62244</v>
      </c>
      <c r="H77" s="14">
        <v>56456</v>
      </c>
      <c r="I77" s="14">
        <v>21</v>
      </c>
      <c r="J77" s="14" t="s">
        <v>351</v>
      </c>
      <c r="K77" s="14" t="s">
        <v>507</v>
      </c>
      <c r="L77" s="14" t="s">
        <v>508</v>
      </c>
      <c r="M77" s="14" t="s">
        <v>9158</v>
      </c>
      <c r="N77" s="14" t="s">
        <v>9158</v>
      </c>
      <c r="O77" s="14" t="s">
        <v>9158</v>
      </c>
      <c r="P77" s="14" t="s">
        <v>9158</v>
      </c>
      <c r="Q77" s="14" t="s">
        <v>9158</v>
      </c>
      <c r="R77" s="14"/>
    </row>
    <row r="78" spans="1:18">
      <c r="B78" s="14"/>
      <c r="C78" s="14"/>
      <c r="D78" s="14"/>
      <c r="F78" s="14"/>
      <c r="G78" s="14"/>
      <c r="H78" s="14"/>
      <c r="I78" s="14"/>
      <c r="J78" s="14"/>
      <c r="K78" s="14"/>
      <c r="L78" s="14"/>
      <c r="M78" s="14"/>
      <c r="N78" s="14"/>
      <c r="P78" s="14"/>
      <c r="Q78" s="14"/>
      <c r="R78" s="14"/>
    </row>
    <row r="79" spans="1:18">
      <c r="A79" s="14" t="s">
        <v>180</v>
      </c>
      <c r="D79" s="14"/>
      <c r="F79" s="14"/>
      <c r="G79" s="14"/>
      <c r="H79" s="14"/>
      <c r="I79" s="14"/>
      <c r="J79" s="14"/>
      <c r="K79" s="14"/>
      <c r="L79" s="14"/>
      <c r="M79" s="14"/>
      <c r="N79" s="14"/>
      <c r="P79" s="14"/>
      <c r="Q79" s="14"/>
      <c r="R79" s="14"/>
    </row>
    <row r="80" spans="1:18">
      <c r="A80" s="14" t="s">
        <v>234</v>
      </c>
      <c r="C80" s="14"/>
      <c r="D80" s="14"/>
      <c r="F80" s="14"/>
      <c r="G80" s="14"/>
      <c r="H80" s="14"/>
      <c r="I80" s="14"/>
      <c r="J80" s="14"/>
      <c r="K80" s="14"/>
      <c r="L80" s="14"/>
      <c r="M80" s="14"/>
      <c r="N80" s="14"/>
      <c r="P80" s="14"/>
      <c r="Q80" s="14"/>
      <c r="R80" s="14"/>
    </row>
    <row r="81" spans="1:18">
      <c r="A81" s="9" t="s">
        <v>5622</v>
      </c>
      <c r="B81" s="14" t="s">
        <v>330</v>
      </c>
      <c r="C81" s="14" t="s">
        <v>335</v>
      </c>
      <c r="D81" s="14" t="s">
        <v>1043</v>
      </c>
      <c r="E81" s="15" t="str">
        <f>HYPERLINK("https://stat100.ameba.jp/tnk47/ratio20/illustrations/card/ill_49953_0_yushamarihime03.jpg?201810-2-RELEASE-unionbattle-373xxx", "■")</f>
        <v>■</v>
      </c>
      <c r="F81" s="14" t="s">
        <v>510</v>
      </c>
      <c r="G81" s="14">
        <v>131930</v>
      </c>
      <c r="H81" s="14">
        <v>117196</v>
      </c>
      <c r="I81" s="14">
        <v>21</v>
      </c>
      <c r="J81" s="14" t="s">
        <v>315</v>
      </c>
      <c r="K81" s="14" t="s">
        <v>511</v>
      </c>
      <c r="L81" s="14" t="s">
        <v>512</v>
      </c>
      <c r="M81" s="14" t="s">
        <v>9158</v>
      </c>
      <c r="N81" s="14" t="s">
        <v>9158</v>
      </c>
      <c r="O81" s="14" t="s">
        <v>9158</v>
      </c>
      <c r="P81" s="14" t="s">
        <v>9158</v>
      </c>
      <c r="Q81" s="14" t="s">
        <v>9158</v>
      </c>
      <c r="R81" s="14"/>
    </row>
    <row r="82" spans="1:18">
      <c r="A82" s="9" t="s">
        <v>5897</v>
      </c>
      <c r="B82" s="14" t="s">
        <v>330</v>
      </c>
      <c r="C82" s="14" t="s">
        <v>271</v>
      </c>
      <c r="D82" s="14" t="s">
        <v>53</v>
      </c>
      <c r="E82" s="15" t="str">
        <f>HYPERLINK("https://stat100.ameba.jp/tnk47/ratio20/illustrations/card/ill_40913_0_reigyokudensetsufusehime03.jpg?201810-2-RELEASE-unionbattle-373xxx", "■")</f>
        <v>■</v>
      </c>
      <c r="F82" s="14" t="s">
        <v>278</v>
      </c>
      <c r="G82" s="14">
        <v>115096</v>
      </c>
      <c r="H82" s="14">
        <v>122892</v>
      </c>
      <c r="I82" s="14">
        <v>21</v>
      </c>
      <c r="J82" s="14" t="s">
        <v>274</v>
      </c>
      <c r="K82" s="14" t="s">
        <v>279</v>
      </c>
      <c r="L82" s="14" t="s">
        <v>280</v>
      </c>
      <c r="M82" s="14" t="s">
        <v>9158</v>
      </c>
      <c r="N82" s="14" t="s">
        <v>9158</v>
      </c>
      <c r="O82" s="14" t="s">
        <v>9158</v>
      </c>
      <c r="P82" s="14" t="s">
        <v>9158</v>
      </c>
      <c r="Q82" s="14" t="s">
        <v>9158</v>
      </c>
      <c r="R82" s="14"/>
    </row>
    <row r="83" spans="1:18">
      <c r="A83" s="9" t="s">
        <v>5721</v>
      </c>
      <c r="B83" s="14" t="s">
        <v>330</v>
      </c>
      <c r="C83" s="14" t="s">
        <v>267</v>
      </c>
      <c r="D83" s="14" t="s">
        <v>2253</v>
      </c>
      <c r="E83" s="15" t="str">
        <f>HYPERLINK("https://stat100.ameba.jp/tnk47/ratio20/illustrations/card/ill_44283_0_izumonokuni03.jpg?201810-2-RELEASE-unionbattle-373xxx", "■")</f>
        <v>■</v>
      </c>
      <c r="F83" s="14" t="s">
        <v>514</v>
      </c>
      <c r="G83" s="14">
        <v>122892</v>
      </c>
      <c r="H83" s="14">
        <v>115096</v>
      </c>
      <c r="I83" s="14">
        <v>21</v>
      </c>
      <c r="J83" s="14" t="s">
        <v>414</v>
      </c>
      <c r="K83" s="14" t="s">
        <v>515</v>
      </c>
      <c r="L83" s="14" t="s">
        <v>516</v>
      </c>
      <c r="M83" s="14" t="s">
        <v>9158</v>
      </c>
      <c r="N83" s="14" t="s">
        <v>9158</v>
      </c>
      <c r="O83" s="14" t="s">
        <v>9158</v>
      </c>
      <c r="P83" s="14" t="s">
        <v>9158</v>
      </c>
      <c r="Q83" s="14" t="s">
        <v>9158</v>
      </c>
      <c r="R83" s="14"/>
    </row>
    <row r="84" spans="1:18">
      <c r="A84" s="9">
        <v>76373</v>
      </c>
      <c r="B84" s="14" t="s">
        <v>334</v>
      </c>
      <c r="C84" s="14" t="s">
        <v>271</v>
      </c>
      <c r="D84" s="14" t="s">
        <v>466</v>
      </c>
      <c r="E84" s="15" t="str">
        <f>HYPERLINK("https://stat100.ameba.jp/tnk47/ratio20/illustrations/card/ill_76373_marishitenho03.jpg?201810-2-RELEASE-unionbattle-373xxx", "■")</f>
        <v>■</v>
      </c>
      <c r="F84" s="14" t="s">
        <v>467</v>
      </c>
      <c r="G84" s="14">
        <v>88948</v>
      </c>
      <c r="H84" s="14">
        <v>95836</v>
      </c>
      <c r="I84" s="14">
        <v>21</v>
      </c>
      <c r="J84" s="14" t="s">
        <v>274</v>
      </c>
      <c r="K84" s="14" t="s">
        <v>468</v>
      </c>
      <c r="L84" s="14" t="s">
        <v>469</v>
      </c>
      <c r="M84" s="14" t="s">
        <v>9158</v>
      </c>
      <c r="N84" s="14" t="s">
        <v>9158</v>
      </c>
      <c r="O84" s="14" t="s">
        <v>9158</v>
      </c>
      <c r="P84" s="14" t="s">
        <v>9158</v>
      </c>
      <c r="Q84" s="14" t="s">
        <v>9158</v>
      </c>
      <c r="R84" s="14"/>
    </row>
    <row r="85" spans="1:18">
      <c r="A85" s="9">
        <v>76383</v>
      </c>
      <c r="B85" s="14" t="s">
        <v>348</v>
      </c>
      <c r="C85" s="14" t="s">
        <v>307</v>
      </c>
      <c r="D85" s="14" t="s">
        <v>470</v>
      </c>
      <c r="E85" s="15" t="str">
        <f>HYPERLINK("https://stat100.ameba.jp/tnk47/ratio20/illustrations/card/ill_76383_tokugawayoshikatsu03.jpg?201810-2-RELEASE-unionbattle-373xxx", "■")</f>
        <v>■</v>
      </c>
      <c r="F85" s="14" t="s">
        <v>471</v>
      </c>
      <c r="G85" s="14">
        <v>53352</v>
      </c>
      <c r="H85" s="14">
        <v>48390</v>
      </c>
      <c r="I85" s="14">
        <v>18</v>
      </c>
      <c r="J85" s="14" t="s">
        <v>351</v>
      </c>
      <c r="K85" s="14" t="s">
        <v>472</v>
      </c>
      <c r="L85" s="14" t="s">
        <v>473</v>
      </c>
      <c r="M85" s="14" t="s">
        <v>9158</v>
      </c>
      <c r="N85" s="14" t="s">
        <v>9158</v>
      </c>
      <c r="O85" s="14" t="s">
        <v>9158</v>
      </c>
      <c r="P85" s="14" t="s">
        <v>9158</v>
      </c>
      <c r="Q85" s="14" t="s">
        <v>9158</v>
      </c>
      <c r="R85" s="14"/>
    </row>
    <row r="86" spans="1:18">
      <c r="A86" s="9">
        <v>76393</v>
      </c>
      <c r="B86" s="14" t="s">
        <v>362</v>
      </c>
      <c r="C86" s="14" t="s">
        <v>165</v>
      </c>
      <c r="D86" s="14" t="s">
        <v>474</v>
      </c>
      <c r="E86" s="15" t="str">
        <f>HYPERLINK("https://stat100.ameba.jp/tnk47/ratio20/illustrations/card/ill_76393_omiwajinjaemmusubinofufuiwa03.jpg?201810-2-RELEASE-unionbattle-373xxx", "■")</f>
        <v>■</v>
      </c>
      <c r="F86" s="14" t="s">
        <v>471</v>
      </c>
      <c r="G86" s="14">
        <v>27660</v>
      </c>
      <c r="H86" s="14">
        <v>33266</v>
      </c>
      <c r="I86" s="14">
        <v>16</v>
      </c>
      <c r="J86" s="14" t="s">
        <v>401</v>
      </c>
      <c r="K86" s="14" t="s">
        <v>476</v>
      </c>
      <c r="L86" s="14" t="s">
        <v>477</v>
      </c>
      <c r="M86" s="14" t="s">
        <v>9158</v>
      </c>
      <c r="N86" s="14" t="s">
        <v>9158</v>
      </c>
      <c r="O86" s="14" t="s">
        <v>9158</v>
      </c>
      <c r="P86" s="14" t="s">
        <v>9158</v>
      </c>
      <c r="Q86" s="14" t="s">
        <v>9158</v>
      </c>
      <c r="R86" s="14"/>
    </row>
    <row r="87" spans="1:18">
      <c r="A87" s="9">
        <v>76403</v>
      </c>
      <c r="B87" s="14" t="s">
        <v>372</v>
      </c>
      <c r="C87" s="14" t="s">
        <v>478</v>
      </c>
      <c r="D87" s="14" t="s">
        <v>479</v>
      </c>
      <c r="E87" s="15" t="str">
        <f>HYPERLINK("https://stat100.ameba.jp/tnk47/ratio20/illustrations/card/ill_76403_takahashijouun03.jpg?201810-2-RELEASE-unionbattle-373xxx", "■")</f>
        <v>■</v>
      </c>
      <c r="F87" s="14" t="s">
        <v>480</v>
      </c>
      <c r="G87" s="14">
        <v>20140</v>
      </c>
      <c r="H87" s="14">
        <v>16914</v>
      </c>
      <c r="I87" s="14">
        <v>16</v>
      </c>
      <c r="J87" s="14" t="s">
        <v>310</v>
      </c>
      <c r="K87" s="14" t="s">
        <v>481</v>
      </c>
      <c r="L87" s="14" t="s">
        <v>482</v>
      </c>
      <c r="M87" s="14" t="s">
        <v>9158</v>
      </c>
      <c r="N87" s="14" t="s">
        <v>9158</v>
      </c>
      <c r="O87" s="14" t="s">
        <v>9158</v>
      </c>
      <c r="P87" s="14" t="s">
        <v>9158</v>
      </c>
      <c r="Q87" s="14" t="s">
        <v>9158</v>
      </c>
      <c r="R87" s="14"/>
    </row>
    <row r="88" spans="1:18">
      <c r="B88" s="14"/>
      <c r="C88" s="14"/>
      <c r="D88" s="14"/>
      <c r="F88" s="14"/>
      <c r="G88" s="14"/>
      <c r="H88" s="14"/>
      <c r="I88" s="14"/>
      <c r="J88" s="14"/>
      <c r="K88" s="14"/>
      <c r="L88" s="14"/>
      <c r="M88" s="14"/>
      <c r="N88" s="14"/>
      <c r="P88" s="14"/>
      <c r="Q88" s="14"/>
      <c r="R88" s="14"/>
    </row>
    <row r="89" spans="1:18">
      <c r="A89" s="14" t="s">
        <v>132</v>
      </c>
      <c r="D89" s="14"/>
      <c r="F89" s="14"/>
      <c r="G89" s="14"/>
      <c r="H89" s="14"/>
      <c r="I89" s="14"/>
      <c r="J89" s="14"/>
      <c r="K89" s="14"/>
      <c r="L89" s="14"/>
      <c r="M89" s="14"/>
      <c r="N89" s="14"/>
      <c r="P89" s="14"/>
      <c r="Q89" s="14"/>
      <c r="R89" s="14"/>
    </row>
    <row r="90" spans="1:18">
      <c r="A90" s="14" t="s">
        <v>235</v>
      </c>
      <c r="B90" s="14"/>
      <c r="C90" s="14"/>
      <c r="D90" s="14"/>
      <c r="F90" s="14"/>
      <c r="G90" s="14"/>
      <c r="H90" s="14"/>
      <c r="I90" s="14"/>
      <c r="J90" s="14"/>
      <c r="K90" s="14"/>
      <c r="L90" s="14"/>
      <c r="M90" s="14"/>
      <c r="N90" s="14"/>
      <c r="P90" s="14"/>
      <c r="Q90" s="14"/>
      <c r="R90" s="14"/>
    </row>
    <row r="91" spans="1:18">
      <c r="A91" s="9">
        <v>73055</v>
      </c>
      <c r="B91" s="14" t="s">
        <v>334</v>
      </c>
      <c r="C91" s="14" t="s">
        <v>35</v>
      </c>
      <c r="D91" s="14" t="s">
        <v>2109</v>
      </c>
      <c r="E91" s="15" t="str">
        <f>HYPERLINK("https://stat100.ameba.jp/tnk47/ratio20/illustrations/card/ill_73055_tengubi05.jpg?201810-2-RELEASE-unionbattle-373xxx", "■")</f>
        <v>■</v>
      </c>
      <c r="F91" s="14" t="s">
        <v>518</v>
      </c>
      <c r="G91" s="14">
        <v>47305</v>
      </c>
      <c r="H91" s="14">
        <v>65335</v>
      </c>
      <c r="I91" s="14">
        <v>21</v>
      </c>
      <c r="J91" s="14" t="s">
        <v>320</v>
      </c>
      <c r="K91" s="14" t="s">
        <v>519</v>
      </c>
      <c r="L91" s="14" t="s">
        <v>520</v>
      </c>
      <c r="M91" s="14" t="s">
        <v>9158</v>
      </c>
      <c r="N91" s="14" t="s">
        <v>9158</v>
      </c>
      <c r="O91" s="14" t="s">
        <v>9158</v>
      </c>
      <c r="P91" s="14" t="s">
        <v>9158</v>
      </c>
      <c r="Q91" s="14" t="s">
        <v>9158</v>
      </c>
      <c r="R91" s="14" t="s">
        <v>174</v>
      </c>
    </row>
    <row r="92" spans="1:18">
      <c r="A92" s="9">
        <v>73053</v>
      </c>
      <c r="B92" s="14" t="s">
        <v>348</v>
      </c>
      <c r="C92" s="14" t="s">
        <v>268</v>
      </c>
      <c r="D92" s="14" t="s">
        <v>517</v>
      </c>
      <c r="E92" s="15" t="str">
        <f>HYPERLINK("https://stat100.ameba.jp/tnk47/ratio20/illustrations/card/ill_73053_tengubi03.jpg?201810-2-RELEASE-unionbattle-373xxx", "■")</f>
        <v>■</v>
      </c>
      <c r="F92" s="14" t="s">
        <v>518</v>
      </c>
      <c r="G92" s="14">
        <v>34186</v>
      </c>
      <c r="H92" s="14">
        <v>47256</v>
      </c>
      <c r="I92" s="14">
        <v>21</v>
      </c>
      <c r="J92" s="14" t="s">
        <v>320</v>
      </c>
      <c r="K92" s="14" t="s">
        <v>519</v>
      </c>
      <c r="L92" s="14" t="s">
        <v>521</v>
      </c>
      <c r="M92" s="14" t="s">
        <v>9158</v>
      </c>
      <c r="N92" s="14" t="s">
        <v>9158</v>
      </c>
      <c r="O92" s="14" t="s">
        <v>9158</v>
      </c>
      <c r="P92" s="14" t="s">
        <v>9158</v>
      </c>
      <c r="Q92" s="14" t="s">
        <v>9158</v>
      </c>
      <c r="R92" s="14" t="s">
        <v>175</v>
      </c>
    </row>
    <row r="93" spans="1:18">
      <c r="A93" s="9">
        <v>73051</v>
      </c>
      <c r="B93" s="14" t="s">
        <v>348</v>
      </c>
      <c r="C93" s="14" t="s">
        <v>268</v>
      </c>
      <c r="D93" s="14" t="s">
        <v>517</v>
      </c>
      <c r="E93" s="15" t="str">
        <f>HYPERLINK("https://stat100.ameba.jp/tnk47/ratio20/illustrations/card/ill_73051_tengubi01.jpg?201810-2-RELEASE-unionbattle-373xxx", "■")</f>
        <v>■</v>
      </c>
      <c r="F93" s="14" t="s">
        <v>518</v>
      </c>
      <c r="G93" s="14">
        <v>19824</v>
      </c>
      <c r="H93" s="14">
        <v>27384</v>
      </c>
      <c r="I93" s="14">
        <v>21</v>
      </c>
      <c r="J93" s="14" t="s">
        <v>320</v>
      </c>
      <c r="K93" s="14" t="s">
        <v>519</v>
      </c>
      <c r="L93" s="14" t="s">
        <v>522</v>
      </c>
      <c r="M93" s="14" t="s">
        <v>9158</v>
      </c>
      <c r="N93" s="14" t="s">
        <v>9158</v>
      </c>
      <c r="O93" s="14" t="s">
        <v>9158</v>
      </c>
      <c r="P93" s="14" t="s">
        <v>9158</v>
      </c>
      <c r="Q93" s="14" t="s">
        <v>9158</v>
      </c>
      <c r="R93" s="14" t="s">
        <v>176</v>
      </c>
    </row>
    <row r="94" spans="1:18">
      <c r="A94" s="9">
        <v>70335</v>
      </c>
      <c r="B94" s="14" t="s">
        <v>334</v>
      </c>
      <c r="C94" s="14" t="s">
        <v>35</v>
      </c>
      <c r="D94" s="14" t="s">
        <v>523</v>
      </c>
      <c r="E94" s="15" t="str">
        <f>HYPERLINK("https://stat100.ameba.jp/tnk47/ratio20/illustrations/card/ill_70335_kusakagenzui05.jpg?201810-2-RELEASE-unionbattle-373xxx", "■")</f>
        <v>■</v>
      </c>
      <c r="F94" s="14" t="s">
        <v>524</v>
      </c>
      <c r="G94" s="14">
        <v>80088</v>
      </c>
      <c r="H94" s="14">
        <v>110589</v>
      </c>
      <c r="I94" s="14">
        <v>21</v>
      </c>
      <c r="J94" s="14" t="s">
        <v>310</v>
      </c>
      <c r="K94" s="14" t="s">
        <v>525</v>
      </c>
      <c r="L94" s="14" t="s">
        <v>526</v>
      </c>
      <c r="M94" s="14" t="s">
        <v>9158</v>
      </c>
      <c r="N94" s="14" t="s">
        <v>9158</v>
      </c>
      <c r="O94" s="14" t="s">
        <v>9158</v>
      </c>
      <c r="P94" s="14" t="s">
        <v>9158</v>
      </c>
      <c r="Q94" s="14" t="s">
        <v>9158</v>
      </c>
      <c r="R94" s="14" t="s">
        <v>174</v>
      </c>
    </row>
    <row r="95" spans="1:18">
      <c r="A95" s="9">
        <v>70333</v>
      </c>
      <c r="B95" s="14" t="s">
        <v>348</v>
      </c>
      <c r="C95" s="14" t="s">
        <v>269</v>
      </c>
      <c r="D95" s="14" t="s">
        <v>523</v>
      </c>
      <c r="E95" s="15" t="str">
        <f>HYPERLINK("https://stat100.ameba.jp/tnk47/ratio20/illustrations/card/ill_70333_kusakagenzui03.jpg?201810-2-RELEASE-unionbattle-373xxx", "■")</f>
        <v>■</v>
      </c>
      <c r="F95" s="14" t="s">
        <v>524</v>
      </c>
      <c r="G95" s="14">
        <v>58990</v>
      </c>
      <c r="H95" s="14">
        <v>81478</v>
      </c>
      <c r="I95" s="14">
        <v>21</v>
      </c>
      <c r="J95" s="14" t="s">
        <v>310</v>
      </c>
      <c r="K95" s="14" t="s">
        <v>525</v>
      </c>
      <c r="L95" s="14" t="s">
        <v>527</v>
      </c>
      <c r="M95" s="14" t="s">
        <v>9158</v>
      </c>
      <c r="N95" s="14" t="s">
        <v>9158</v>
      </c>
      <c r="O95" s="14" t="s">
        <v>9158</v>
      </c>
      <c r="P95" s="14" t="s">
        <v>9158</v>
      </c>
      <c r="Q95" s="14" t="s">
        <v>9158</v>
      </c>
      <c r="R95" s="14" t="s">
        <v>175</v>
      </c>
    </row>
    <row r="96" spans="1:18">
      <c r="A96" s="9">
        <v>70331</v>
      </c>
      <c r="B96" s="14" t="s">
        <v>348</v>
      </c>
      <c r="C96" s="14" t="s">
        <v>269</v>
      </c>
      <c r="D96" s="14" t="s">
        <v>523</v>
      </c>
      <c r="E96" s="15" t="str">
        <f>HYPERLINK("https://stat100.ameba.jp/tnk47/ratio20/illustrations/card/ill_70331_kusakagenzui01.jpg?201810-2-RELEASE-unionbattle-373xxx", "■")</f>
        <v>■</v>
      </c>
      <c r="F96" s="14" t="s">
        <v>524</v>
      </c>
      <c r="G96" s="14">
        <v>37527</v>
      </c>
      <c r="H96" s="14">
        <v>51828</v>
      </c>
      <c r="I96" s="14">
        <v>21</v>
      </c>
      <c r="J96" s="14" t="s">
        <v>310</v>
      </c>
      <c r="K96" s="14" t="s">
        <v>525</v>
      </c>
      <c r="L96" s="14" t="s">
        <v>528</v>
      </c>
      <c r="M96" s="14" t="s">
        <v>9158</v>
      </c>
      <c r="N96" s="14" t="s">
        <v>9158</v>
      </c>
      <c r="O96" s="14" t="s">
        <v>9158</v>
      </c>
      <c r="P96" s="14" t="s">
        <v>9158</v>
      </c>
      <c r="Q96" s="14" t="s">
        <v>9158</v>
      </c>
      <c r="R96" s="14" t="s">
        <v>176</v>
      </c>
    </row>
    <row r="97" spans="1:18">
      <c r="A97" s="9">
        <v>68655</v>
      </c>
      <c r="B97" s="14" t="s">
        <v>334</v>
      </c>
      <c r="C97" s="14" t="s">
        <v>41</v>
      </c>
      <c r="D97" s="14" t="s">
        <v>529</v>
      </c>
      <c r="E97" s="15" t="str">
        <f>HYPERLINK("https://stat100.ameba.jp/tnk47/ratio20/illustrations/card/ill_68655_hariharinabe05.jpg?201810-2-RELEASE-unionbattle-373xxx", "■")</f>
        <v>■</v>
      </c>
      <c r="F97" s="14" t="s">
        <v>530</v>
      </c>
      <c r="G97" s="14">
        <v>105332</v>
      </c>
      <c r="H97" s="14">
        <v>76280</v>
      </c>
      <c r="I97" s="14">
        <v>21</v>
      </c>
      <c r="J97" s="14" t="s">
        <v>283</v>
      </c>
      <c r="K97" s="14" t="s">
        <v>531</v>
      </c>
      <c r="L97" s="14" t="s">
        <v>532</v>
      </c>
      <c r="M97" s="14" t="s">
        <v>9158</v>
      </c>
      <c r="N97" s="14" t="s">
        <v>9158</v>
      </c>
      <c r="O97" s="14" t="s">
        <v>9158</v>
      </c>
      <c r="P97" s="14" t="s">
        <v>9158</v>
      </c>
      <c r="Q97" s="14" t="s">
        <v>9158</v>
      </c>
      <c r="R97" s="14" t="s">
        <v>174</v>
      </c>
    </row>
    <row r="98" spans="1:18">
      <c r="A98" s="9">
        <v>68653</v>
      </c>
      <c r="B98" s="14" t="s">
        <v>348</v>
      </c>
      <c r="C98" s="14" t="s">
        <v>165</v>
      </c>
      <c r="D98" s="14" t="s">
        <v>529</v>
      </c>
      <c r="E98" s="15" t="str">
        <f>HYPERLINK("https://stat100.ameba.jp/tnk47/ratio20/illustrations/card/ill_68653_hariharinabe03.jpg?201810-2-RELEASE-unionbattle-373xxx", "■")</f>
        <v>■</v>
      </c>
      <c r="F98" s="14" t="s">
        <v>530</v>
      </c>
      <c r="G98" s="14">
        <v>77621</v>
      </c>
      <c r="H98" s="14">
        <v>56193</v>
      </c>
      <c r="I98" s="14">
        <v>21</v>
      </c>
      <c r="J98" s="14" t="s">
        <v>283</v>
      </c>
      <c r="K98" s="14" t="s">
        <v>531</v>
      </c>
      <c r="L98" s="14" t="s">
        <v>533</v>
      </c>
      <c r="M98" s="14" t="s">
        <v>9158</v>
      </c>
      <c r="N98" s="14" t="s">
        <v>9158</v>
      </c>
      <c r="O98" s="14" t="s">
        <v>9158</v>
      </c>
      <c r="P98" s="14" t="s">
        <v>9158</v>
      </c>
      <c r="Q98" s="14" t="s">
        <v>9158</v>
      </c>
      <c r="R98" s="14" t="s">
        <v>175</v>
      </c>
    </row>
    <row r="99" spans="1:18">
      <c r="A99" s="9">
        <v>68651</v>
      </c>
      <c r="B99" s="14" t="s">
        <v>348</v>
      </c>
      <c r="C99" s="14" t="s">
        <v>165</v>
      </c>
      <c r="D99" s="14" t="s">
        <v>529</v>
      </c>
      <c r="E99" s="15" t="str">
        <f>HYPERLINK("https://stat100.ameba.jp/tnk47/ratio20/illustrations/card/ill_68651_hariharinabe01.jpg?201810-2-RELEASE-unionbattle-373xxx", "■")</f>
        <v>■</v>
      </c>
      <c r="F99" s="14" t="s">
        <v>530</v>
      </c>
      <c r="G99" s="14">
        <v>49371</v>
      </c>
      <c r="H99" s="14">
        <v>35742</v>
      </c>
      <c r="I99" s="14">
        <v>21</v>
      </c>
      <c r="J99" s="14" t="s">
        <v>283</v>
      </c>
      <c r="K99" s="14" t="s">
        <v>531</v>
      </c>
      <c r="L99" s="14" t="s">
        <v>534</v>
      </c>
      <c r="M99" s="14" t="s">
        <v>9158</v>
      </c>
      <c r="N99" s="14" t="s">
        <v>9158</v>
      </c>
      <c r="O99" s="14" t="s">
        <v>9158</v>
      </c>
      <c r="P99" s="14" t="s">
        <v>9158</v>
      </c>
      <c r="Q99" s="14" t="s">
        <v>9158</v>
      </c>
      <c r="R99" s="14" t="s">
        <v>176</v>
      </c>
    </row>
    <row r="100" spans="1:18">
      <c r="B100" s="14"/>
      <c r="C100" s="14"/>
      <c r="D100" s="14"/>
      <c r="F100" s="14"/>
      <c r="G100" s="14"/>
      <c r="H100" s="14"/>
      <c r="I100" s="14"/>
      <c r="J100" s="14"/>
      <c r="K100" s="14"/>
      <c r="L100" s="14"/>
      <c r="M100" s="14"/>
      <c r="N100" s="14"/>
      <c r="P100" s="14"/>
      <c r="Q100" s="14"/>
      <c r="R100" s="14"/>
    </row>
    <row r="101" spans="1:18">
      <c r="A101" s="14" t="s">
        <v>135</v>
      </c>
      <c r="D101" s="14"/>
      <c r="F101" s="14"/>
      <c r="G101" s="14"/>
      <c r="H101" s="14"/>
      <c r="I101" s="14"/>
      <c r="J101" s="14"/>
      <c r="K101" s="14"/>
      <c r="L101" s="14"/>
      <c r="M101" s="14"/>
      <c r="N101" s="14"/>
      <c r="P101" s="14"/>
      <c r="Q101" s="14"/>
      <c r="R101" s="14"/>
    </row>
    <row r="102" spans="1:18">
      <c r="A102" s="14" t="s">
        <v>236</v>
      </c>
      <c r="B102" s="14"/>
      <c r="C102" s="14"/>
      <c r="D102" s="14"/>
      <c r="F102" s="14"/>
      <c r="G102" s="14"/>
      <c r="H102" s="14"/>
      <c r="I102" s="14"/>
      <c r="J102" s="14"/>
      <c r="K102" s="14"/>
      <c r="L102" s="14"/>
      <c r="M102" s="14"/>
      <c r="N102" s="14"/>
      <c r="P102" s="14"/>
      <c r="Q102" s="14"/>
      <c r="R102" s="14"/>
    </row>
    <row r="103" spans="1:18">
      <c r="A103" s="9" t="s">
        <v>5623</v>
      </c>
      <c r="B103" s="14" t="s">
        <v>330</v>
      </c>
      <c r="C103" s="14" t="s">
        <v>165</v>
      </c>
      <c r="D103" s="14" t="s">
        <v>181</v>
      </c>
      <c r="E103" s="15" t="str">
        <f>HYPERLINK("https://stat100.ameba.jp/tnk47/ratio20/illustrations/card/ill_65713_0_undokaionikirimaru03.jpg?201810-2-RELEASE-unionbattle-373xxx", "■")</f>
        <v>■</v>
      </c>
      <c r="F103" s="14" t="s">
        <v>535</v>
      </c>
      <c r="G103" s="14">
        <v>166504</v>
      </c>
      <c r="H103" s="14">
        <v>154800</v>
      </c>
      <c r="I103" s="14">
        <v>22</v>
      </c>
      <c r="J103" s="14" t="s">
        <v>182</v>
      </c>
      <c r="K103" s="14" t="s">
        <v>183</v>
      </c>
      <c r="L103" s="14" t="s">
        <v>184</v>
      </c>
      <c r="M103" s="14" t="s">
        <v>9158</v>
      </c>
      <c r="N103" s="14" t="s">
        <v>9158</v>
      </c>
      <c r="O103" s="9" t="s">
        <v>2869</v>
      </c>
      <c r="P103" s="14" t="s">
        <v>2870</v>
      </c>
      <c r="Q103" s="14">
        <v>1</v>
      </c>
      <c r="R103" s="14"/>
    </row>
    <row r="104" spans="1:18">
      <c r="A104" s="9">
        <v>71343</v>
      </c>
      <c r="B104" s="14" t="s">
        <v>334</v>
      </c>
      <c r="C104" s="14" t="s">
        <v>185</v>
      </c>
      <c r="D104" s="14" t="s">
        <v>186</v>
      </c>
      <c r="E104" s="15" t="str">
        <f>HYPERLINK("https://stat100.ameba.jp/tnk47/ratio20/illustrations/card/ill_71343_ohanamimatehime03.jpg?201810-2-RELEASE-unionbattle-373xxx", "■")</f>
        <v>■</v>
      </c>
      <c r="F104" s="14" t="s">
        <v>536</v>
      </c>
      <c r="G104" s="14">
        <v>72608</v>
      </c>
      <c r="H104" s="14">
        <v>78122</v>
      </c>
      <c r="I104" s="14">
        <v>20</v>
      </c>
      <c r="J104" s="14" t="s">
        <v>187</v>
      </c>
      <c r="K104" s="14" t="s">
        <v>188</v>
      </c>
      <c r="L104" s="14" t="s">
        <v>13132</v>
      </c>
      <c r="M104" s="14" t="s">
        <v>9158</v>
      </c>
      <c r="N104" s="14" t="s">
        <v>9158</v>
      </c>
      <c r="O104" s="9" t="s">
        <v>2717</v>
      </c>
      <c r="P104" s="14" t="s">
        <v>13123</v>
      </c>
      <c r="Q104" s="14">
        <v>1</v>
      </c>
      <c r="R104" s="14"/>
    </row>
    <row r="105" spans="1:18">
      <c r="A105" s="9">
        <v>66363</v>
      </c>
      <c r="B105" s="14" t="s">
        <v>334</v>
      </c>
      <c r="C105" s="14" t="s">
        <v>158</v>
      </c>
      <c r="D105" s="14" t="s">
        <v>189</v>
      </c>
      <c r="E105" s="15" t="str">
        <f>HYPERLINK("https://stat100.ameba.jp/tnk47/ratio20/illustrations/card/ill_66363_iharasaikaku03.jpg?201810-2-RELEASE-unionbattle-373xxx", "■")</f>
        <v>■</v>
      </c>
      <c r="F105" s="14" t="s">
        <v>537</v>
      </c>
      <c r="G105" s="14">
        <v>65764</v>
      </c>
      <c r="H105" s="14">
        <v>90770</v>
      </c>
      <c r="I105" s="14">
        <v>20</v>
      </c>
      <c r="J105" s="14" t="s">
        <v>159</v>
      </c>
      <c r="K105" s="14" t="s">
        <v>190</v>
      </c>
      <c r="L105" s="14" t="s">
        <v>13133</v>
      </c>
      <c r="M105" s="14" t="s">
        <v>9158</v>
      </c>
      <c r="N105" s="14" t="s">
        <v>9158</v>
      </c>
      <c r="O105" s="17" t="s">
        <v>10053</v>
      </c>
      <c r="P105" s="14" t="s">
        <v>2822</v>
      </c>
      <c r="Q105" s="14">
        <v>1</v>
      </c>
      <c r="R105" s="14"/>
    </row>
    <row r="106" spans="1:18">
      <c r="A106" s="9">
        <v>69533</v>
      </c>
      <c r="B106" s="14" t="s">
        <v>334</v>
      </c>
      <c r="C106" s="14" t="s">
        <v>191</v>
      </c>
      <c r="D106" s="14" t="s">
        <v>192</v>
      </c>
      <c r="E106" s="15" t="str">
        <f>HYPERLINK("https://stat100.ameba.jp/tnk47/ratio20/illustrations/card/ill_69533_setsubunodainokata03.jpg?201810-2-RELEASE-unionbattle-373xxx", "■")</f>
        <v>■</v>
      </c>
      <c r="F106" s="14" t="s">
        <v>538</v>
      </c>
      <c r="G106" s="14">
        <v>78122</v>
      </c>
      <c r="H106" s="14">
        <v>72608</v>
      </c>
      <c r="I106" s="14">
        <v>20</v>
      </c>
      <c r="J106" s="14" t="s">
        <v>173</v>
      </c>
      <c r="K106" s="14" t="s">
        <v>193</v>
      </c>
      <c r="L106" s="14" t="s">
        <v>13134</v>
      </c>
      <c r="M106" s="14" t="s">
        <v>9158</v>
      </c>
      <c r="N106" s="14" t="s">
        <v>9158</v>
      </c>
      <c r="O106" s="17" t="s">
        <v>10055</v>
      </c>
      <c r="P106" s="14" t="s">
        <v>13124</v>
      </c>
      <c r="Q106" s="14">
        <v>1</v>
      </c>
      <c r="R106" s="14"/>
    </row>
    <row r="107" spans="1:18">
      <c r="B107" s="14"/>
      <c r="C107" s="14"/>
      <c r="D107" s="14"/>
      <c r="F107" s="14"/>
      <c r="G107" s="14"/>
      <c r="H107" s="14"/>
      <c r="I107" s="14"/>
      <c r="J107" s="14"/>
      <c r="K107" s="14"/>
      <c r="L107" s="14"/>
      <c r="M107" s="14"/>
      <c r="N107" s="14"/>
      <c r="P107" s="14"/>
      <c r="Q107" s="14"/>
      <c r="R107" s="14"/>
    </row>
    <row r="108" spans="1:18">
      <c r="A108" s="14" t="s">
        <v>115</v>
      </c>
      <c r="D108" s="14"/>
      <c r="F108" s="14"/>
      <c r="G108" s="14"/>
      <c r="H108" s="14"/>
      <c r="I108" s="14"/>
      <c r="J108" s="14"/>
      <c r="K108" s="14"/>
      <c r="L108" s="14"/>
      <c r="M108" s="14"/>
      <c r="N108" s="14"/>
      <c r="P108" s="14"/>
      <c r="Q108" s="14"/>
      <c r="R108" s="14"/>
    </row>
    <row r="109" spans="1:18">
      <c r="A109" s="14" t="s">
        <v>237</v>
      </c>
      <c r="B109" s="14"/>
      <c r="C109" s="14"/>
      <c r="D109" s="14"/>
      <c r="F109" s="14"/>
      <c r="G109" s="14"/>
      <c r="H109" s="14"/>
      <c r="I109" s="14"/>
      <c r="J109" s="14"/>
      <c r="K109" s="14"/>
      <c r="L109" s="14"/>
      <c r="M109" s="14"/>
      <c r="N109" s="14"/>
      <c r="P109" s="14"/>
      <c r="Q109" s="14"/>
      <c r="R109" s="14"/>
    </row>
    <row r="110" spans="1:18">
      <c r="A110" s="9" t="s">
        <v>5611</v>
      </c>
      <c r="B110" s="14" t="s">
        <v>330</v>
      </c>
      <c r="C110" s="14" t="s">
        <v>335</v>
      </c>
      <c r="D110" s="14" t="s">
        <v>539</v>
      </c>
      <c r="E110" s="15" t="str">
        <f>HYPERLINK("https://stat100.ameba.jp/tnk47/ratio20/illustrations/card/ill_60633_0_harumaisentoin03.jpg?201810-2-RELEASE-unionbattle-373xxx", "■")</f>
        <v>■</v>
      </c>
      <c r="F110" s="14" t="s">
        <v>540</v>
      </c>
      <c r="G110" s="14">
        <v>95371</v>
      </c>
      <c r="H110" s="14">
        <v>102590</v>
      </c>
      <c r="I110" s="14">
        <v>15</v>
      </c>
      <c r="J110" s="14" t="s">
        <v>155</v>
      </c>
      <c r="K110" s="14" t="s">
        <v>541</v>
      </c>
      <c r="L110" s="14" t="s">
        <v>542</v>
      </c>
      <c r="M110" s="14" t="s">
        <v>9158</v>
      </c>
      <c r="N110" s="14" t="s">
        <v>9158</v>
      </c>
      <c r="O110" s="9" t="s">
        <v>2888</v>
      </c>
      <c r="P110" s="14" t="s">
        <v>3144</v>
      </c>
      <c r="Q110" s="14">
        <v>1</v>
      </c>
      <c r="R110" s="14"/>
    </row>
    <row r="111" spans="1:18">
      <c r="A111" s="9" t="s">
        <v>5725</v>
      </c>
      <c r="B111" s="14" t="s">
        <v>330</v>
      </c>
      <c r="C111" s="14" t="s">
        <v>344</v>
      </c>
      <c r="D111" s="14" t="s">
        <v>543</v>
      </c>
      <c r="E111" s="15" t="str">
        <f>HYPERLINK("https://stat100.ameba.jp/tnk47/ratio20/illustrations/card/ill_52693_0_sengokumibirakiyanagiharabyakuren03.jpg?201810-2-RELEASE-unionbattle-373xxx", "■")</f>
        <v>■</v>
      </c>
      <c r="F111" s="14" t="s">
        <v>544</v>
      </c>
      <c r="G111" s="14">
        <v>83712</v>
      </c>
      <c r="H111" s="14">
        <v>94236</v>
      </c>
      <c r="I111" s="14">
        <v>15</v>
      </c>
      <c r="J111" s="14" t="s">
        <v>159</v>
      </c>
      <c r="K111" s="14" t="s">
        <v>545</v>
      </c>
      <c r="L111" s="14" t="s">
        <v>546</v>
      </c>
      <c r="M111" s="14" t="s">
        <v>9158</v>
      </c>
      <c r="N111" s="14" t="s">
        <v>9158</v>
      </c>
      <c r="O111" s="9" t="s">
        <v>3303</v>
      </c>
      <c r="P111" s="14" t="s">
        <v>3304</v>
      </c>
      <c r="Q111" s="14">
        <v>1</v>
      </c>
      <c r="R111" s="14"/>
    </row>
    <row r="112" spans="1:18">
      <c r="A112" s="9" t="s">
        <v>5897</v>
      </c>
      <c r="B112" s="14" t="s">
        <v>330</v>
      </c>
      <c r="C112" s="14" t="s">
        <v>271</v>
      </c>
      <c r="D112" s="14" t="s">
        <v>53</v>
      </c>
      <c r="E112" s="15" t="str">
        <f>HYPERLINK("https://stat100.ameba.jp/tnk47/ratio20/illustrations/card/ill_40913_0_reigyokudensetsufusehime03.jpg?201810-2-RELEASE-unionbattle-373xxx", "■")</f>
        <v>■</v>
      </c>
      <c r="F112" s="14" t="s">
        <v>278</v>
      </c>
      <c r="G112" s="14">
        <v>82212</v>
      </c>
      <c r="H112" s="14">
        <v>87780</v>
      </c>
      <c r="I112" s="14">
        <v>15</v>
      </c>
      <c r="J112" s="14" t="s">
        <v>155</v>
      </c>
      <c r="K112" s="14" t="s">
        <v>279</v>
      </c>
      <c r="L112" s="14" t="s">
        <v>280</v>
      </c>
      <c r="M112" s="14" t="s">
        <v>9158</v>
      </c>
      <c r="N112" s="14" t="s">
        <v>9158</v>
      </c>
      <c r="O112" s="14" t="s">
        <v>9158</v>
      </c>
      <c r="P112" s="14" t="s">
        <v>9158</v>
      </c>
      <c r="Q112" s="14" t="s">
        <v>9158</v>
      </c>
      <c r="R112" s="14"/>
    </row>
    <row r="113" spans="1:18">
      <c r="A113" s="9">
        <v>57243</v>
      </c>
      <c r="B113" s="14" t="s">
        <v>334</v>
      </c>
      <c r="C113" s="14" t="s">
        <v>271</v>
      </c>
      <c r="D113" s="14" t="s">
        <v>547</v>
      </c>
      <c r="E113" s="15" t="str">
        <f>HYPERLINK("https://stat100.ameba.jp/tnk47/ratio20/illustrations/card/ill_57243_mizunoyahanryusai03.jpg?201810-2-RELEASE-unionbattle-373xxx", "■")</f>
        <v>■</v>
      </c>
      <c r="F113" s="14" t="s">
        <v>548</v>
      </c>
      <c r="G113" s="14">
        <v>78838</v>
      </c>
      <c r="H113" s="14">
        <v>130416</v>
      </c>
      <c r="I113" s="14">
        <v>22</v>
      </c>
      <c r="J113" s="14" t="s">
        <v>194</v>
      </c>
      <c r="K113" s="14" t="s">
        <v>549</v>
      </c>
      <c r="L113" s="14" t="s">
        <v>550</v>
      </c>
      <c r="M113" s="14" t="s">
        <v>9158</v>
      </c>
      <c r="N113" s="14" t="s">
        <v>9158</v>
      </c>
      <c r="O113" s="14" t="s">
        <v>9158</v>
      </c>
      <c r="P113" s="14" t="s">
        <v>9158</v>
      </c>
      <c r="Q113" s="14" t="s">
        <v>9158</v>
      </c>
      <c r="R113" s="14"/>
    </row>
    <row r="114" spans="1:18">
      <c r="A114" s="9">
        <v>58283</v>
      </c>
      <c r="B114" s="14" t="s">
        <v>334</v>
      </c>
      <c r="C114" s="14" t="s">
        <v>308</v>
      </c>
      <c r="D114" s="14" t="s">
        <v>11650</v>
      </c>
      <c r="E114" s="15" t="str">
        <f>HYPERLINK("https://stat100.ameba.jp/tnk47/ratio20/illustrations/card/ill_58283_kyomai03.jpg?201810-2-RELEASE-unionbattle-373xxx", "■")</f>
        <v>■</v>
      </c>
      <c r="F114" s="14" t="s">
        <v>551</v>
      </c>
      <c r="G114" s="14">
        <v>68622</v>
      </c>
      <c r="H114" s="14">
        <v>95452</v>
      </c>
      <c r="I114" s="14">
        <v>22</v>
      </c>
      <c r="J114" s="14" t="s">
        <v>369</v>
      </c>
      <c r="K114" s="14" t="s">
        <v>552</v>
      </c>
      <c r="L114" s="14" t="s">
        <v>553</v>
      </c>
      <c r="M114" s="14" t="s">
        <v>9158</v>
      </c>
      <c r="N114" s="14" t="s">
        <v>9158</v>
      </c>
      <c r="O114" s="14" t="s">
        <v>9158</v>
      </c>
      <c r="P114" s="14" t="s">
        <v>9158</v>
      </c>
      <c r="Q114" s="14" t="s">
        <v>9158</v>
      </c>
      <c r="R114" s="14"/>
    </row>
    <row r="115" spans="1:18">
      <c r="A115" s="9">
        <v>51763</v>
      </c>
      <c r="B115" s="14" t="s">
        <v>334</v>
      </c>
      <c r="C115" s="14" t="s">
        <v>307</v>
      </c>
      <c r="D115" s="14" t="s">
        <v>554</v>
      </c>
      <c r="E115" s="15" t="str">
        <f>HYPERLINK("https://stat100.ameba.jp/tnk47/ratio20/illustrations/card/ill_51763_kawaasobimizuhanome03.jpg?201810-2-RELEASE-unionbattle-373xxx", "■")</f>
        <v>■</v>
      </c>
      <c r="F115" s="14" t="s">
        <v>555</v>
      </c>
      <c r="G115" s="14">
        <v>78838</v>
      </c>
      <c r="H115" s="14">
        <v>84796</v>
      </c>
      <c r="I115" s="14">
        <v>22</v>
      </c>
      <c r="J115" s="14" t="s">
        <v>401</v>
      </c>
      <c r="K115" s="14" t="s">
        <v>556</v>
      </c>
      <c r="L115" s="14" t="s">
        <v>557</v>
      </c>
      <c r="M115" s="14" t="s">
        <v>9158</v>
      </c>
      <c r="N115" s="14" t="s">
        <v>9158</v>
      </c>
      <c r="O115" s="14" t="s">
        <v>9158</v>
      </c>
      <c r="P115" s="14" t="s">
        <v>9158</v>
      </c>
      <c r="Q115" s="14" t="s">
        <v>9158</v>
      </c>
      <c r="R115" s="14"/>
    </row>
    <row r="116" spans="1:18">
      <c r="A116" s="9">
        <v>48673</v>
      </c>
      <c r="B116" s="14" t="s">
        <v>348</v>
      </c>
      <c r="C116" s="14" t="s">
        <v>344</v>
      </c>
      <c r="D116" s="14" t="s">
        <v>558</v>
      </c>
      <c r="E116" s="15" t="str">
        <f>HYPERLINK("https://stat100.ameba.jp/tnk47/ratio20/illustrations/card/ill_48673_senyaichiyamonogatari03.jpg?201810-2-RELEASE-unionbattle-373xxx", "■")</f>
        <v>■</v>
      </c>
      <c r="F116" s="14" t="s">
        <v>559</v>
      </c>
      <c r="G116" s="14">
        <v>59144</v>
      </c>
      <c r="H116" s="14">
        <v>65208</v>
      </c>
      <c r="I116" s="14">
        <v>22</v>
      </c>
      <c r="J116" s="14" t="s">
        <v>274</v>
      </c>
      <c r="K116" s="14" t="s">
        <v>560</v>
      </c>
      <c r="L116" s="14" t="s">
        <v>561</v>
      </c>
      <c r="M116" s="14" t="s">
        <v>9158</v>
      </c>
      <c r="N116" s="14" t="s">
        <v>9158</v>
      </c>
      <c r="O116" s="14" t="s">
        <v>9158</v>
      </c>
      <c r="P116" s="14" t="s">
        <v>9158</v>
      </c>
      <c r="Q116" s="14" t="s">
        <v>9158</v>
      </c>
      <c r="R116" s="14"/>
    </row>
    <row r="117" spans="1:18">
      <c r="A117" s="9">
        <v>47793</v>
      </c>
      <c r="B117" s="14" t="s">
        <v>348</v>
      </c>
      <c r="C117" s="14" t="s">
        <v>335</v>
      </c>
      <c r="D117" s="14" t="s">
        <v>562</v>
      </c>
      <c r="E117" s="15" t="str">
        <f>HYPERLINK("https://stat100.ameba.jp/tnk47/ratio20/illustrations/card/ill_47793_arabiannaitotadanomakuzu03.jpg?201810-2-RELEASE-unionbattle-373xxx", "■")</f>
        <v>■</v>
      </c>
      <c r="F117" s="14" t="s">
        <v>563</v>
      </c>
      <c r="G117" s="14">
        <v>59144</v>
      </c>
      <c r="H117" s="14">
        <v>65208</v>
      </c>
      <c r="I117" s="14">
        <v>22</v>
      </c>
      <c r="J117" s="14" t="s">
        <v>351</v>
      </c>
      <c r="K117" s="14" t="s">
        <v>564</v>
      </c>
      <c r="L117" s="14" t="s">
        <v>565</v>
      </c>
      <c r="M117" s="14" t="s">
        <v>9158</v>
      </c>
      <c r="N117" s="14" t="s">
        <v>9158</v>
      </c>
      <c r="O117" s="14" t="s">
        <v>9158</v>
      </c>
      <c r="P117" s="14" t="s">
        <v>9158</v>
      </c>
      <c r="Q117" s="14" t="s">
        <v>9158</v>
      </c>
      <c r="R117" s="14"/>
    </row>
    <row r="118" spans="1:18">
      <c r="A118" s="9">
        <v>54903</v>
      </c>
      <c r="B118" s="14" t="s">
        <v>348</v>
      </c>
      <c r="C118" s="14" t="s">
        <v>267</v>
      </c>
      <c r="D118" s="14" t="s">
        <v>566</v>
      </c>
      <c r="E118" s="15" t="str">
        <f>HYPERLINK("https://stat100.ameba.jp/tnk47/ratio20/illustrations/card/ill_54903_baniyamanetoshiko03.jpg?201810-2-RELEASE-unionbattle-373xxx", "■")</f>
        <v>■</v>
      </c>
      <c r="F118" s="14" t="s">
        <v>567</v>
      </c>
      <c r="G118" s="14">
        <v>52764</v>
      </c>
      <c r="H118" s="14">
        <v>71588</v>
      </c>
      <c r="I118" s="14">
        <v>22</v>
      </c>
      <c r="J118" s="14" t="s">
        <v>414</v>
      </c>
      <c r="K118" s="14" t="s">
        <v>568</v>
      </c>
      <c r="L118" s="14" t="s">
        <v>569</v>
      </c>
      <c r="M118" s="14" t="s">
        <v>9158</v>
      </c>
      <c r="N118" s="14" t="s">
        <v>9158</v>
      </c>
      <c r="O118" s="14" t="s">
        <v>9158</v>
      </c>
      <c r="P118" s="14" t="s">
        <v>9158</v>
      </c>
      <c r="Q118" s="14" t="s">
        <v>9158</v>
      </c>
      <c r="R118" s="14"/>
    </row>
    <row r="119" spans="1:18">
      <c r="B119" s="14"/>
      <c r="C119" s="14"/>
      <c r="D119" s="14"/>
      <c r="F119" s="14"/>
      <c r="G119" s="14"/>
      <c r="H119" s="14"/>
      <c r="I119" s="14"/>
      <c r="J119" s="14"/>
      <c r="K119" s="14"/>
      <c r="L119" s="14"/>
      <c r="M119" s="14"/>
      <c r="N119" s="14"/>
      <c r="P119" s="14"/>
      <c r="Q119" s="14"/>
      <c r="R119" s="14"/>
    </row>
    <row r="120" spans="1:18">
      <c r="A120" s="14" t="s">
        <v>195</v>
      </c>
      <c r="D120" s="14"/>
      <c r="F120" s="14"/>
      <c r="G120" s="14"/>
      <c r="H120" s="14"/>
      <c r="I120" s="14"/>
      <c r="J120" s="14"/>
      <c r="K120" s="14"/>
      <c r="L120" s="14"/>
      <c r="M120" s="14"/>
      <c r="N120" s="14"/>
      <c r="P120" s="14"/>
      <c r="Q120" s="14"/>
      <c r="R120" s="14"/>
    </row>
    <row r="121" spans="1:18">
      <c r="A121" s="14" t="s">
        <v>238</v>
      </c>
      <c r="C121" s="14"/>
      <c r="D121" s="14"/>
      <c r="F121" s="14"/>
      <c r="G121" s="14"/>
      <c r="H121" s="14"/>
      <c r="I121" s="14"/>
      <c r="J121" s="14"/>
      <c r="K121" s="14"/>
      <c r="L121" s="14"/>
      <c r="M121" s="14"/>
      <c r="N121" s="14"/>
      <c r="P121" s="14"/>
      <c r="Q121" s="14"/>
      <c r="R121" s="14"/>
    </row>
    <row r="122" spans="1:18">
      <c r="A122" s="9">
        <v>76103</v>
      </c>
      <c r="B122" s="14" t="s">
        <v>334</v>
      </c>
      <c r="C122" s="14" t="s">
        <v>154</v>
      </c>
      <c r="D122" s="14" t="s">
        <v>570</v>
      </c>
      <c r="E122" s="15" t="str">
        <f>HYPERLINK("https://stat100.ameba.jp/tnk47/ratio20/illustrations/card/ill_76103_shibuaji03.jpg?201810-2-RELEASE-unionbattle-373xxx", "■")</f>
        <v>■</v>
      </c>
      <c r="F122" s="14" t="s">
        <v>571</v>
      </c>
      <c r="G122" s="14">
        <v>90574</v>
      </c>
      <c r="H122" s="14">
        <v>84214</v>
      </c>
      <c r="I122" s="14">
        <v>21</v>
      </c>
      <c r="J122" s="14" t="s">
        <v>194</v>
      </c>
      <c r="K122" s="14" t="s">
        <v>196</v>
      </c>
      <c r="L122" s="14" t="s">
        <v>13135</v>
      </c>
      <c r="M122" s="14" t="s">
        <v>9158</v>
      </c>
      <c r="N122" s="14" t="s">
        <v>9158</v>
      </c>
      <c r="O122" s="14" t="s">
        <v>9158</v>
      </c>
      <c r="P122" s="14" t="s">
        <v>9158</v>
      </c>
      <c r="Q122" s="14" t="s">
        <v>9158</v>
      </c>
      <c r="R122" s="14"/>
    </row>
    <row r="123" spans="1:18">
      <c r="A123" s="9">
        <v>76113</v>
      </c>
      <c r="B123" s="14" t="s">
        <v>334</v>
      </c>
      <c r="C123" s="14" t="s">
        <v>158</v>
      </c>
      <c r="D123" s="14" t="s">
        <v>197</v>
      </c>
      <c r="E123" s="15" t="str">
        <f>HYPERLINK("https://stat100.ameba.jp/tnk47/ratio20/illustrations/card/ill_76113_jannudaruku03.jpg?201810-2-RELEASE-unionbattle-373xxx", "■")</f>
        <v>■</v>
      </c>
      <c r="F123" s="14" t="s">
        <v>572</v>
      </c>
      <c r="G123" s="14">
        <v>90574</v>
      </c>
      <c r="H123" s="14">
        <v>84214</v>
      </c>
      <c r="I123" s="14">
        <v>21</v>
      </c>
      <c r="J123" s="14" t="s">
        <v>173</v>
      </c>
      <c r="K123" s="14" t="s">
        <v>198</v>
      </c>
      <c r="L123" s="14" t="s">
        <v>13136</v>
      </c>
      <c r="M123" s="14" t="s">
        <v>9158</v>
      </c>
      <c r="N123" s="14" t="s">
        <v>9158</v>
      </c>
      <c r="O123" s="14" t="s">
        <v>9158</v>
      </c>
      <c r="P123" s="14" t="s">
        <v>9158</v>
      </c>
      <c r="Q123" s="14" t="s">
        <v>9158</v>
      </c>
      <c r="R123" s="14"/>
    </row>
    <row r="124" spans="1:18">
      <c r="A124" s="9">
        <v>34823</v>
      </c>
      <c r="B124" s="14" t="s">
        <v>334</v>
      </c>
      <c r="C124" s="14" t="s">
        <v>158</v>
      </c>
      <c r="D124" s="14" t="s">
        <v>573</v>
      </c>
      <c r="E124" s="15" t="str">
        <f>HYPERLINK("https://stat100.ameba.jp/tnk47/ratio20/illustrations/card/ill_34823_kentokatsurakogoro03.jpg?201810-2-RELEASE-unionbattle-373xxx", "■")</f>
        <v>■</v>
      </c>
      <c r="F124" s="14" t="s">
        <v>574</v>
      </c>
      <c r="G124" s="14">
        <v>75254</v>
      </c>
      <c r="H124" s="14">
        <v>80942</v>
      </c>
      <c r="I124" s="14">
        <v>21</v>
      </c>
      <c r="J124" s="14" t="s">
        <v>351</v>
      </c>
      <c r="K124" s="14" t="s">
        <v>575</v>
      </c>
      <c r="L124" s="14" t="s">
        <v>13137</v>
      </c>
      <c r="M124" s="14" t="s">
        <v>9158</v>
      </c>
      <c r="N124" s="14" t="s">
        <v>9158</v>
      </c>
      <c r="O124" s="14" t="s">
        <v>9158</v>
      </c>
      <c r="P124" s="14" t="s">
        <v>9158</v>
      </c>
      <c r="Q124" s="14" t="s">
        <v>9158</v>
      </c>
      <c r="R124" s="14"/>
    </row>
    <row r="125" spans="1:18">
      <c r="A125" s="9">
        <v>67383</v>
      </c>
      <c r="B125" s="14" t="s">
        <v>334</v>
      </c>
      <c r="C125" s="14" t="s">
        <v>307</v>
      </c>
      <c r="D125" s="14" t="s">
        <v>576</v>
      </c>
      <c r="E125" s="15" t="str">
        <f>HYPERLINK("https://stat100.ameba.jp/tnk47/ratio20/illustrations/card/ill_67383_jobayamakawatomiko03.jpg?201810-2-RELEASE-unionbattle-373xxx", "■")</f>
        <v>■</v>
      </c>
      <c r="F125" s="14" t="s">
        <v>577</v>
      </c>
      <c r="G125" s="14">
        <v>82027</v>
      </c>
      <c r="H125" s="14">
        <v>76237</v>
      </c>
      <c r="I125" s="14">
        <v>21</v>
      </c>
      <c r="J125" s="14" t="s">
        <v>351</v>
      </c>
      <c r="K125" s="14" t="s">
        <v>578</v>
      </c>
      <c r="L125" s="14" t="s">
        <v>13138</v>
      </c>
      <c r="M125" s="14" t="s">
        <v>9158</v>
      </c>
      <c r="N125" s="14" t="s">
        <v>9158</v>
      </c>
      <c r="O125" s="14" t="s">
        <v>9158</v>
      </c>
      <c r="P125" s="14" t="s">
        <v>9158</v>
      </c>
      <c r="Q125" s="14" t="s">
        <v>9158</v>
      </c>
      <c r="R125" s="14"/>
    </row>
    <row r="126" spans="1:18">
      <c r="B126" s="14"/>
      <c r="C126" s="14"/>
      <c r="D126" s="14"/>
      <c r="F126" s="14"/>
      <c r="G126" s="14"/>
      <c r="H126" s="14"/>
      <c r="I126" s="14"/>
      <c r="J126" s="14"/>
      <c r="K126" s="14"/>
      <c r="L126" s="14"/>
      <c r="M126" s="14"/>
      <c r="N126" s="14"/>
      <c r="P126" s="14"/>
      <c r="Q126" s="14"/>
      <c r="R126" s="14"/>
    </row>
    <row r="127" spans="1:18">
      <c r="A127" s="14" t="s">
        <v>199</v>
      </c>
      <c r="D127" s="14"/>
      <c r="F127" s="14"/>
      <c r="G127" s="14"/>
      <c r="H127" s="14"/>
      <c r="I127" s="14"/>
      <c r="J127" s="14"/>
      <c r="K127" s="14"/>
      <c r="L127" s="14"/>
      <c r="M127" s="14"/>
      <c r="N127" s="14"/>
      <c r="P127" s="14"/>
      <c r="Q127" s="14"/>
      <c r="R127" s="14"/>
    </row>
    <row r="128" spans="1:18">
      <c r="A128" s="14" t="s">
        <v>239</v>
      </c>
      <c r="C128" s="14"/>
      <c r="D128" s="14"/>
      <c r="F128" s="14"/>
      <c r="G128" s="14"/>
      <c r="H128" s="14"/>
      <c r="I128" s="14"/>
      <c r="J128" s="14"/>
      <c r="K128" s="14"/>
      <c r="L128" s="14"/>
      <c r="M128" s="14"/>
      <c r="N128" s="14"/>
      <c r="P128" s="14"/>
      <c r="Q128" s="14"/>
      <c r="R128" s="14"/>
    </row>
    <row r="129" spans="1:18">
      <c r="A129" s="9" t="s">
        <v>5822</v>
      </c>
      <c r="B129" s="14" t="s">
        <v>330</v>
      </c>
      <c r="C129" s="14" t="s">
        <v>307</v>
      </c>
      <c r="D129" s="14" t="s">
        <v>306</v>
      </c>
      <c r="E129" s="15" t="str">
        <f>HYPERLINK("https://stat100.ameba.jp/tnk47/ratio20/illustrations/card/ill_71403_0_ohanamisanadayukimura03.jpg?201810-2-RELEASE-unionbattle-373xxx", "■")</f>
        <v>■</v>
      </c>
      <c r="F129" s="14" t="s">
        <v>309</v>
      </c>
      <c r="G129" s="14">
        <v>140016</v>
      </c>
      <c r="H129" s="14">
        <v>130194</v>
      </c>
      <c r="I129" s="14">
        <v>15</v>
      </c>
      <c r="J129" s="14" t="s">
        <v>310</v>
      </c>
      <c r="K129" s="14" t="s">
        <v>311</v>
      </c>
      <c r="L129" s="14" t="s">
        <v>312</v>
      </c>
      <c r="M129" s="14" t="s">
        <v>9158</v>
      </c>
      <c r="N129" s="14" t="s">
        <v>9158</v>
      </c>
      <c r="O129" s="17" t="s">
        <v>10060</v>
      </c>
      <c r="P129" s="14" t="s">
        <v>3418</v>
      </c>
      <c r="Q129" s="14">
        <v>2</v>
      </c>
      <c r="R129" s="14"/>
    </row>
    <row r="130" spans="1:18">
      <c r="A130" s="9" t="s">
        <v>5614</v>
      </c>
      <c r="B130" s="14" t="s">
        <v>330</v>
      </c>
      <c r="C130" s="14" t="s">
        <v>267</v>
      </c>
      <c r="D130" s="14" t="s">
        <v>947</v>
      </c>
      <c r="E130" s="15" t="str">
        <f>HYPERLINK("https://stat100.ameba.jp/tnk47/ratio20/illustrations/card/ill_56223_0_onsempanikkugohime03.jpg?201810-2-RELEASE-unionbattle-373xxx", "■")</f>
        <v>■</v>
      </c>
      <c r="F130" s="14" t="s">
        <v>314</v>
      </c>
      <c r="G130" s="14">
        <v>83712</v>
      </c>
      <c r="H130" s="14">
        <v>94236</v>
      </c>
      <c r="I130" s="14">
        <v>15</v>
      </c>
      <c r="J130" s="14" t="s">
        <v>315</v>
      </c>
      <c r="K130" s="14" t="s">
        <v>316</v>
      </c>
      <c r="L130" s="14" t="s">
        <v>317</v>
      </c>
      <c r="M130" s="14" t="s">
        <v>9158</v>
      </c>
      <c r="N130" s="14" t="s">
        <v>9158</v>
      </c>
      <c r="O130" s="9" t="s">
        <v>3021</v>
      </c>
      <c r="P130" s="14" t="s">
        <v>2890</v>
      </c>
      <c r="Q130" s="14">
        <v>1</v>
      </c>
      <c r="R130" s="14"/>
    </row>
    <row r="131" spans="1:18">
      <c r="A131" s="9" t="s">
        <v>5897</v>
      </c>
      <c r="B131" s="14" t="s">
        <v>330</v>
      </c>
      <c r="C131" s="14" t="s">
        <v>271</v>
      </c>
      <c r="D131" s="14" t="s">
        <v>53</v>
      </c>
      <c r="E131" s="15" t="str">
        <f>HYPERLINK("https://stat100.ameba.jp/tnk47/ratio20/illustrations/card/ill_40913_0_reigyokudensetsufusehime03.jpg?201810-2-RELEASE-unionbattle-373xxx", "■")</f>
        <v>■</v>
      </c>
      <c r="F131" s="14" t="s">
        <v>278</v>
      </c>
      <c r="G131" s="14">
        <v>82212</v>
      </c>
      <c r="H131" s="14">
        <v>87780</v>
      </c>
      <c r="I131" s="14">
        <v>15</v>
      </c>
      <c r="J131" s="14" t="s">
        <v>274</v>
      </c>
      <c r="K131" s="14" t="s">
        <v>279</v>
      </c>
      <c r="L131" s="14" t="s">
        <v>280</v>
      </c>
      <c r="M131" s="14" t="s">
        <v>9158</v>
      </c>
      <c r="N131" s="14" t="s">
        <v>9158</v>
      </c>
      <c r="O131" s="14" t="s">
        <v>9158</v>
      </c>
      <c r="P131" s="14" t="s">
        <v>9158</v>
      </c>
      <c r="Q131" s="14" t="s">
        <v>9158</v>
      </c>
      <c r="R131" s="14"/>
    </row>
    <row r="132" spans="1:18">
      <c r="A132" s="9">
        <v>48473</v>
      </c>
      <c r="B132" s="14" t="s">
        <v>334</v>
      </c>
      <c r="C132" s="14" t="s">
        <v>267</v>
      </c>
      <c r="D132" s="14" t="s">
        <v>3858</v>
      </c>
      <c r="E132" s="15" t="str">
        <f>HYPERLINK("https://stat100.ameba.jp/tnk47/ratio20/illustrations/card/ill_48473_aizome03.jpg?201810-2-RELEASE-unionbattle-373xxx", "■")</f>
        <v>■</v>
      </c>
      <c r="F132" s="14" t="s">
        <v>579</v>
      </c>
      <c r="G132" s="14">
        <v>95452</v>
      </c>
      <c r="H132" s="14">
        <v>68622</v>
      </c>
      <c r="I132" s="14">
        <v>22</v>
      </c>
      <c r="J132" s="14" t="s">
        <v>369</v>
      </c>
      <c r="K132" s="14" t="s">
        <v>580</v>
      </c>
      <c r="L132" s="14" t="s">
        <v>581</v>
      </c>
      <c r="M132" s="14" t="s">
        <v>9158</v>
      </c>
      <c r="N132" s="14" t="s">
        <v>9158</v>
      </c>
      <c r="O132" s="14" t="s">
        <v>9158</v>
      </c>
      <c r="P132" s="14" t="s">
        <v>9158</v>
      </c>
      <c r="Q132" s="14" t="s">
        <v>9158</v>
      </c>
      <c r="R132" s="14"/>
    </row>
    <row r="133" spans="1:18">
      <c r="A133" s="9">
        <v>49223</v>
      </c>
      <c r="B133" s="14" t="s">
        <v>334</v>
      </c>
      <c r="C133" s="14" t="s">
        <v>3860</v>
      </c>
      <c r="D133" s="14" t="s">
        <v>3859</v>
      </c>
      <c r="E133" s="15" t="str">
        <f>HYPERLINK("https://stat100.ameba.jp/tnk47/ratio20/illustrations/card/ill_49223_kanfuhattorihanzou03.jpg?201810-2-RELEASE-unionbattle-373xxx", "■")</f>
        <v>■</v>
      </c>
      <c r="F133" s="14" t="s">
        <v>582</v>
      </c>
      <c r="G133" s="14">
        <v>78838</v>
      </c>
      <c r="H133" s="14">
        <v>84796</v>
      </c>
      <c r="I133" s="14">
        <v>22</v>
      </c>
      <c r="J133" s="14" t="s">
        <v>414</v>
      </c>
      <c r="K133" s="14" t="s">
        <v>583</v>
      </c>
      <c r="L133" s="14" t="s">
        <v>584</v>
      </c>
      <c r="M133" s="14" t="s">
        <v>9158</v>
      </c>
      <c r="N133" s="14" t="s">
        <v>9158</v>
      </c>
      <c r="O133" s="14" t="s">
        <v>9158</v>
      </c>
      <c r="P133" s="14" t="s">
        <v>9158</v>
      </c>
      <c r="Q133" s="14" t="s">
        <v>9158</v>
      </c>
      <c r="R133" s="14"/>
    </row>
    <row r="134" spans="1:18">
      <c r="A134" s="9">
        <v>58343</v>
      </c>
      <c r="B134" s="14" t="s">
        <v>334</v>
      </c>
      <c r="C134" s="14" t="s">
        <v>268</v>
      </c>
      <c r="D134" s="14" t="s">
        <v>1792</v>
      </c>
      <c r="E134" s="15" t="str">
        <f>HYPERLINK("https://stat100.ameba.jp/tnk47/ratio20/illustrations/card/ill_58343_agemakidayu03.jpg?201810-2-RELEASE-unionbattle-373xxx", "■")</f>
        <v>■</v>
      </c>
      <c r="F134" s="14" t="s">
        <v>586</v>
      </c>
      <c r="G134" s="14">
        <v>90796</v>
      </c>
      <c r="H134" s="14">
        <v>66574</v>
      </c>
      <c r="I134" s="14">
        <v>22</v>
      </c>
      <c r="J134" s="14" t="s">
        <v>274</v>
      </c>
      <c r="K134" s="14" t="s">
        <v>587</v>
      </c>
      <c r="L134" s="14" t="s">
        <v>588</v>
      </c>
      <c r="M134" s="14" t="s">
        <v>9158</v>
      </c>
      <c r="N134" s="14" t="s">
        <v>9158</v>
      </c>
      <c r="O134" s="9" t="s">
        <v>2912</v>
      </c>
      <c r="P134" s="14" t="s">
        <v>13122</v>
      </c>
      <c r="Q134" s="14">
        <v>1</v>
      </c>
      <c r="R134" s="14"/>
    </row>
    <row r="135" spans="1:18">
      <c r="B135" s="14"/>
      <c r="C135" s="14"/>
      <c r="D135" s="14"/>
      <c r="F135" s="14"/>
      <c r="G135" s="14"/>
      <c r="H135" s="14"/>
      <c r="I135" s="14"/>
      <c r="J135" s="14"/>
      <c r="K135" s="14"/>
      <c r="L135" s="14"/>
      <c r="M135" s="14"/>
      <c r="N135" s="14"/>
      <c r="P135" s="14"/>
      <c r="Q135" s="14"/>
      <c r="R135" s="14"/>
    </row>
    <row r="136" spans="1:18">
      <c r="A136" s="14" t="s">
        <v>3864</v>
      </c>
      <c r="D136" s="14"/>
      <c r="F136" s="14"/>
      <c r="G136" s="14"/>
      <c r="H136" s="14"/>
      <c r="I136" s="14"/>
      <c r="J136" s="14"/>
      <c r="K136" s="14"/>
      <c r="L136" s="14"/>
      <c r="M136" s="14"/>
      <c r="N136" s="14"/>
      <c r="P136" s="14"/>
      <c r="Q136" s="14"/>
      <c r="R136" s="14"/>
    </row>
    <row r="137" spans="1:18">
      <c r="A137" s="14" t="s">
        <v>7325</v>
      </c>
      <c r="B137" s="14"/>
      <c r="C137" s="14"/>
      <c r="D137" s="14"/>
      <c r="E137" s="14"/>
      <c r="F137" s="14"/>
      <c r="G137" s="14"/>
      <c r="H137" s="14"/>
      <c r="I137" s="14"/>
      <c r="J137" s="14"/>
      <c r="K137" s="14"/>
      <c r="L137" s="14"/>
      <c r="M137" s="14"/>
      <c r="N137" s="14"/>
      <c r="O137" s="14"/>
      <c r="P137" s="14"/>
      <c r="Q137" s="14"/>
      <c r="R137" s="14"/>
    </row>
    <row r="138" spans="1:18">
      <c r="A138" s="14" t="s">
        <v>7647</v>
      </c>
      <c r="B138" s="14"/>
      <c r="C138" s="14"/>
      <c r="D138" s="14"/>
      <c r="E138" s="14"/>
      <c r="F138" s="14"/>
      <c r="G138" s="14"/>
      <c r="H138" s="14"/>
      <c r="I138" s="14"/>
      <c r="J138" s="14"/>
      <c r="K138" s="14"/>
      <c r="L138" s="14"/>
      <c r="M138" s="14"/>
      <c r="N138" s="14"/>
      <c r="O138" s="14"/>
      <c r="P138" s="14"/>
      <c r="Q138" s="14"/>
      <c r="R138" s="14"/>
    </row>
    <row r="139" spans="1:18">
      <c r="A139" s="9" t="s">
        <v>5787</v>
      </c>
      <c r="B139" s="14" t="s">
        <v>330</v>
      </c>
      <c r="C139" s="14" t="s">
        <v>270</v>
      </c>
      <c r="D139" s="14" t="s">
        <v>331</v>
      </c>
      <c r="E139" s="15" t="str">
        <f>HYPERLINK("https://stat100.ameba.jp/tnk47/ratio20/illustrations/card/ill_76303_0_haroinkaguya03.jpg?201810-2-RELEASE-unionbattle-373xxx", "■")</f>
        <v>■</v>
      </c>
      <c r="F139" s="14" t="s">
        <v>332</v>
      </c>
      <c r="G139" s="14">
        <v>178507</v>
      </c>
      <c r="H139" s="14">
        <v>165953</v>
      </c>
      <c r="I139" s="14">
        <v>15</v>
      </c>
      <c r="J139" s="14" t="s">
        <v>274</v>
      </c>
      <c r="K139" s="14" t="s">
        <v>333</v>
      </c>
      <c r="L139" s="14" t="s">
        <v>276</v>
      </c>
      <c r="M139" s="14" t="s">
        <v>9158</v>
      </c>
      <c r="N139" s="14" t="s">
        <v>9158</v>
      </c>
      <c r="O139" s="9" t="s">
        <v>2723</v>
      </c>
      <c r="P139" s="14" t="s">
        <v>2724</v>
      </c>
      <c r="Q139" s="14">
        <v>1</v>
      </c>
      <c r="R139" s="14"/>
    </row>
    <row r="140" spans="1:18">
      <c r="A140" s="9">
        <v>76483</v>
      </c>
      <c r="B140" s="14" t="s">
        <v>334</v>
      </c>
      <c r="C140" s="14" t="s">
        <v>307</v>
      </c>
      <c r="D140" s="14" t="s">
        <v>3863</v>
      </c>
      <c r="E140" s="15" t="str">
        <f>HYPERLINK("https://stat100.ameba.jp/tnk47/ratio20/illustrations/card/ill_76483_yukemurimizuhanome03.jpg?201810-2-RELEASE-unionbattle-373xxx", "■")</f>
        <v>■</v>
      </c>
      <c r="F140" s="14" t="s">
        <v>590</v>
      </c>
      <c r="G140" s="14">
        <v>85657</v>
      </c>
      <c r="H140" s="14">
        <v>79634</v>
      </c>
      <c r="I140" s="14">
        <v>21</v>
      </c>
      <c r="J140" s="14" t="s">
        <v>401</v>
      </c>
      <c r="K140" s="14" t="s">
        <v>591</v>
      </c>
      <c r="L140" s="14" t="s">
        <v>592</v>
      </c>
      <c r="M140" s="14" t="s">
        <v>9158</v>
      </c>
      <c r="N140" s="14" t="s">
        <v>9158</v>
      </c>
      <c r="O140" s="14" t="s">
        <v>9158</v>
      </c>
      <c r="P140" s="14" t="s">
        <v>9158</v>
      </c>
      <c r="Q140" s="14" t="s">
        <v>9158</v>
      </c>
      <c r="R140" s="14"/>
    </row>
    <row r="141" spans="1:18">
      <c r="A141" s="9">
        <v>76493</v>
      </c>
      <c r="B141" s="14" t="s">
        <v>348</v>
      </c>
      <c r="C141" s="14" t="s">
        <v>165</v>
      </c>
      <c r="D141" s="14" t="s">
        <v>593</v>
      </c>
      <c r="E141" s="15" t="str">
        <f>HYPERLINK("https://stat100.ameba.jp/tnk47/ratio20/illustrations/card/ill_76493_yukemurikyogokumaria03.jpg?201810-2-RELEASE-unionbattle-373xxx", "■")</f>
        <v>■</v>
      </c>
      <c r="F141" s="14" t="s">
        <v>13841</v>
      </c>
      <c r="G141" s="14">
        <v>56456</v>
      </c>
      <c r="H141" s="14">
        <v>62244</v>
      </c>
      <c r="I141" s="14">
        <v>21</v>
      </c>
      <c r="J141" s="14" t="s">
        <v>315</v>
      </c>
      <c r="K141" s="14" t="s">
        <v>595</v>
      </c>
      <c r="L141" s="14" t="s">
        <v>596</v>
      </c>
      <c r="M141" s="14" t="s">
        <v>9158</v>
      </c>
      <c r="N141" s="14" t="s">
        <v>9158</v>
      </c>
      <c r="O141" s="14" t="s">
        <v>9158</v>
      </c>
      <c r="P141" s="14" t="s">
        <v>9158</v>
      </c>
      <c r="Q141" s="14" t="s">
        <v>9158</v>
      </c>
      <c r="R141" s="14"/>
    </row>
    <row r="142" spans="1:18">
      <c r="A142" s="9">
        <v>76503</v>
      </c>
      <c r="B142" s="14" t="s">
        <v>362</v>
      </c>
      <c r="C142" s="14" t="s">
        <v>200</v>
      </c>
      <c r="D142" s="14" t="s">
        <v>597</v>
      </c>
      <c r="E142" s="15" t="str">
        <f>HYPERLINK("https://stat100.ameba.jp/tnk47/ratio20/illustrations/card/ill_76503_yoshootohime03.jpg?201810-2-RELEASE-unionbattle-373xxx", "■")</f>
        <v>■</v>
      </c>
      <c r="F142" s="14" t="s">
        <v>598</v>
      </c>
      <c r="G142" s="14">
        <v>43662</v>
      </c>
      <c r="H142" s="14">
        <v>36304</v>
      </c>
      <c r="I142" s="14">
        <v>21</v>
      </c>
      <c r="J142" s="14" t="s">
        <v>274</v>
      </c>
      <c r="K142" s="14" t="s">
        <v>599</v>
      </c>
      <c r="L142" s="14" t="s">
        <v>600</v>
      </c>
      <c r="M142" s="14" t="s">
        <v>9158</v>
      </c>
      <c r="N142" s="14" t="s">
        <v>9158</v>
      </c>
      <c r="O142" s="14" t="s">
        <v>9158</v>
      </c>
      <c r="P142" s="14" t="s">
        <v>9158</v>
      </c>
      <c r="Q142" s="14" t="s">
        <v>9158</v>
      </c>
      <c r="R142" s="14"/>
    </row>
    <row r="143" spans="1:18">
      <c r="A143" s="9">
        <v>76513</v>
      </c>
      <c r="B143" s="14" t="s">
        <v>372</v>
      </c>
      <c r="C143" s="14" t="s">
        <v>201</v>
      </c>
      <c r="D143" s="14" t="s">
        <v>601</v>
      </c>
      <c r="E143" s="15" t="str">
        <f>HYPERLINK("https://stat100.ameba.jp/tnk47/ratio20/illustrations/card/ill_76513_umibozu03.jpg?201810-2-RELEASE-unionbattle-373xxx", "■")</f>
        <v>■</v>
      </c>
      <c r="F143" s="14" t="s">
        <v>602</v>
      </c>
      <c r="G143" s="14">
        <v>22200</v>
      </c>
      <c r="H143" s="14">
        <v>26434</v>
      </c>
      <c r="I143" s="14">
        <v>21</v>
      </c>
      <c r="J143" s="14" t="s">
        <v>320</v>
      </c>
      <c r="K143" s="14" t="s">
        <v>603</v>
      </c>
      <c r="L143" s="14" t="s">
        <v>604</v>
      </c>
      <c r="M143" s="14" t="s">
        <v>9158</v>
      </c>
      <c r="N143" s="14" t="s">
        <v>9158</v>
      </c>
      <c r="O143" s="14" t="s">
        <v>9158</v>
      </c>
      <c r="P143" s="14" t="s">
        <v>9158</v>
      </c>
      <c r="Q143" s="14" t="s">
        <v>9158</v>
      </c>
      <c r="R143" s="14"/>
    </row>
    <row r="144" spans="1:18">
      <c r="B144" s="14"/>
      <c r="C144" s="14"/>
      <c r="D144" s="14"/>
      <c r="F144" s="14"/>
      <c r="G144" s="14"/>
      <c r="H144" s="14"/>
      <c r="I144" s="14"/>
      <c r="J144" s="14"/>
      <c r="K144" s="14"/>
      <c r="L144" s="14"/>
      <c r="M144" s="14"/>
      <c r="N144" s="14"/>
      <c r="P144" s="14"/>
      <c r="Q144" s="14"/>
      <c r="R144" s="14"/>
    </row>
    <row r="145" spans="1:18">
      <c r="A145" s="14" t="s">
        <v>13330</v>
      </c>
      <c r="C145" s="14"/>
      <c r="F145" s="14"/>
      <c r="G145" s="14"/>
      <c r="H145" s="14"/>
      <c r="I145" s="14"/>
      <c r="J145" s="14"/>
      <c r="K145" s="14"/>
      <c r="L145" s="14"/>
      <c r="M145" s="14"/>
      <c r="N145" s="14"/>
      <c r="P145" s="14"/>
      <c r="Q145" s="14"/>
      <c r="R145" s="14"/>
    </row>
    <row r="146" spans="1:18">
      <c r="A146" s="14" t="s">
        <v>240</v>
      </c>
      <c r="B146" s="14"/>
      <c r="C146" s="14"/>
      <c r="D146" s="14"/>
      <c r="F146" s="14"/>
      <c r="G146" s="14"/>
      <c r="H146" s="14"/>
      <c r="I146" s="14"/>
      <c r="J146" s="14"/>
      <c r="K146" s="14"/>
      <c r="L146" s="14"/>
      <c r="M146" s="14"/>
      <c r="N146" s="14"/>
      <c r="P146" s="14"/>
      <c r="Q146" s="14"/>
      <c r="R146" s="14"/>
    </row>
    <row r="147" spans="1:18">
      <c r="A147" s="9">
        <v>76815</v>
      </c>
      <c r="B147" s="14" t="s">
        <v>334</v>
      </c>
      <c r="C147" s="14" t="s">
        <v>202</v>
      </c>
      <c r="D147" s="14" t="s">
        <v>605</v>
      </c>
      <c r="E147" s="15" t="str">
        <f>HYPERLINK("https://stat100.ameba.jp/tnk47/ratio20/illustrations/card/ill_76815_yukemurigoryunotsubone05.jpg?201810-3-RELEASE-dice-e-374", "■")</f>
        <v>■</v>
      </c>
      <c r="F147" s="14" t="s">
        <v>606</v>
      </c>
      <c r="G147" s="14">
        <v>74886</v>
      </c>
      <c r="H147" s="14">
        <v>103428</v>
      </c>
      <c r="I147" s="14">
        <v>22</v>
      </c>
      <c r="J147" s="14" t="s">
        <v>187</v>
      </c>
      <c r="K147" s="14" t="s">
        <v>607</v>
      </c>
      <c r="L147" s="14" t="s">
        <v>608</v>
      </c>
      <c r="M147" s="14" t="s">
        <v>9158</v>
      </c>
      <c r="N147" s="14" t="s">
        <v>9158</v>
      </c>
      <c r="O147" s="14" t="s">
        <v>9158</v>
      </c>
      <c r="P147" s="14" t="s">
        <v>9158</v>
      </c>
      <c r="Q147" s="14" t="s">
        <v>9158</v>
      </c>
      <c r="R147" s="14" t="s">
        <v>174</v>
      </c>
    </row>
    <row r="148" spans="1:18">
      <c r="A148" s="9">
        <v>76813</v>
      </c>
      <c r="B148" s="14" t="s">
        <v>348</v>
      </c>
      <c r="C148" s="14" t="s">
        <v>158</v>
      </c>
      <c r="D148" s="14" t="s">
        <v>605</v>
      </c>
      <c r="E148" s="15" t="str">
        <f>HYPERLINK("https://stat100.ameba.jp/tnk47/ratio20/illustrations/card/ill_76813_yukemurigoryunotsubone03.jpg?201810-3-RELEASE-dice-e-374", "■")</f>
        <v>■</v>
      </c>
      <c r="F148" s="14" t="s">
        <v>606</v>
      </c>
      <c r="G148" s="14">
        <v>55170</v>
      </c>
      <c r="H148" s="14">
        <v>76196</v>
      </c>
      <c r="I148" s="14">
        <v>22</v>
      </c>
      <c r="J148" s="14" t="s">
        <v>187</v>
      </c>
      <c r="K148" s="14" t="s">
        <v>607</v>
      </c>
      <c r="L148" s="14" t="s">
        <v>609</v>
      </c>
      <c r="M148" s="14" t="s">
        <v>9158</v>
      </c>
      <c r="N148" s="14" t="s">
        <v>9158</v>
      </c>
      <c r="O148" s="14" t="s">
        <v>9158</v>
      </c>
      <c r="P148" s="14" t="s">
        <v>9158</v>
      </c>
      <c r="Q148" s="14" t="s">
        <v>9158</v>
      </c>
      <c r="R148" s="14" t="s">
        <v>175</v>
      </c>
    </row>
    <row r="149" spans="1:18">
      <c r="A149" s="9">
        <v>76811</v>
      </c>
      <c r="B149" s="14" t="s">
        <v>348</v>
      </c>
      <c r="C149" s="14" t="s">
        <v>203</v>
      </c>
      <c r="D149" s="14" t="s">
        <v>605</v>
      </c>
      <c r="E149" s="15" t="str">
        <f>HYPERLINK("https://stat100.ameba.jp/tnk47/ratio20/illustrations/card/ill_76811_yukemurigoryunotsubone01.jpg?201810-3-RELEASE-dice-e-374", "■")</f>
        <v>■</v>
      </c>
      <c r="F149" s="14" t="s">
        <v>606</v>
      </c>
      <c r="G149" s="14">
        <v>35090</v>
      </c>
      <c r="H149" s="14">
        <v>48466</v>
      </c>
      <c r="I149" s="14">
        <v>22</v>
      </c>
      <c r="J149" s="14" t="s">
        <v>187</v>
      </c>
      <c r="K149" s="14" t="s">
        <v>607</v>
      </c>
      <c r="L149" s="14" t="s">
        <v>610</v>
      </c>
      <c r="M149" s="14" t="s">
        <v>9158</v>
      </c>
      <c r="N149" s="14" t="s">
        <v>9158</v>
      </c>
      <c r="O149" s="14" t="s">
        <v>9158</v>
      </c>
      <c r="P149" s="14" t="s">
        <v>9158</v>
      </c>
      <c r="Q149" s="14" t="s">
        <v>9158</v>
      </c>
      <c r="R149" s="14" t="s">
        <v>176</v>
      </c>
    </row>
    <row r="150" spans="1:18">
      <c r="B150" s="14"/>
      <c r="C150" s="14"/>
      <c r="D150" s="14"/>
      <c r="F150" s="14"/>
      <c r="G150" s="14"/>
      <c r="H150" s="14"/>
      <c r="I150" s="14"/>
      <c r="J150" s="14"/>
      <c r="K150" s="14"/>
      <c r="L150" s="14"/>
      <c r="M150" s="14"/>
      <c r="N150" s="14"/>
      <c r="P150" s="14"/>
      <c r="Q150" s="14"/>
      <c r="R150" s="14"/>
    </row>
    <row r="151" spans="1:18">
      <c r="A151" s="14" t="s">
        <v>204</v>
      </c>
      <c r="D151" s="14"/>
      <c r="F151" s="14"/>
      <c r="G151" s="14"/>
      <c r="H151" s="14"/>
      <c r="I151" s="14"/>
      <c r="J151" s="14"/>
      <c r="K151" s="14"/>
      <c r="L151" s="14"/>
      <c r="M151" s="14"/>
      <c r="N151" s="14"/>
      <c r="P151" s="14"/>
      <c r="Q151" s="14"/>
      <c r="R151" s="14"/>
    </row>
    <row r="152" spans="1:18">
      <c r="A152" s="14" t="s">
        <v>241</v>
      </c>
      <c r="C152" s="14"/>
      <c r="D152" s="14"/>
      <c r="F152" s="14"/>
      <c r="G152" s="14"/>
      <c r="H152" s="14"/>
      <c r="I152" s="14"/>
      <c r="J152" s="14"/>
      <c r="K152" s="14"/>
      <c r="L152" s="14"/>
      <c r="M152" s="14"/>
      <c r="N152" s="14"/>
      <c r="P152" s="14"/>
      <c r="Q152" s="14"/>
      <c r="R152" s="14"/>
    </row>
    <row r="153" spans="1:18">
      <c r="A153" s="9" t="s">
        <v>5603</v>
      </c>
      <c r="B153" s="14" t="s">
        <v>330</v>
      </c>
      <c r="C153" s="14" t="s">
        <v>205</v>
      </c>
      <c r="D153" s="14" t="s">
        <v>1868</v>
      </c>
      <c r="E153" s="15" t="str">
        <f>HYPERLINK("https://stat100.ameba.jp/tnk47/ratio20/illustrations/card/ill_61893_0_onikirishumiyamotomusashi03.jpg?201810-3-RELEASE-dice-e-374", "■")</f>
        <v>■</v>
      </c>
      <c r="F153" s="14" t="s">
        <v>612</v>
      </c>
      <c r="G153" s="14">
        <v>140016</v>
      </c>
      <c r="H153" s="14">
        <v>130194</v>
      </c>
      <c r="I153" s="14">
        <v>15</v>
      </c>
      <c r="J153" s="14" t="s">
        <v>310</v>
      </c>
      <c r="K153" s="14" t="s">
        <v>613</v>
      </c>
      <c r="L153" s="14" t="s">
        <v>312</v>
      </c>
      <c r="M153" s="14" t="s">
        <v>9158</v>
      </c>
      <c r="N153" s="14" t="s">
        <v>9158</v>
      </c>
      <c r="O153" s="9" t="s">
        <v>3252</v>
      </c>
      <c r="P153" s="14" t="s">
        <v>3253</v>
      </c>
      <c r="Q153" s="14">
        <v>1</v>
      </c>
      <c r="R153" s="14"/>
    </row>
    <row r="154" spans="1:18">
      <c r="A154" s="9" t="s">
        <v>5609</v>
      </c>
      <c r="B154" s="14" t="s">
        <v>330</v>
      </c>
      <c r="C154" s="14" t="s">
        <v>200</v>
      </c>
      <c r="D154" s="14" t="s">
        <v>389</v>
      </c>
      <c r="E154" s="15" t="str">
        <f>HYPERLINK("https://stat100.ameba.jp/tnk47/ratio20/illustrations/card/ill_53753_0_natsumatsuritokugawaieyasu03.jpg?201810-3-RELEASE-dice-e-374", "■")</f>
        <v>■</v>
      </c>
      <c r="F154" s="14" t="s">
        <v>390</v>
      </c>
      <c r="G154" s="14">
        <v>94236</v>
      </c>
      <c r="H154" s="14">
        <v>83712</v>
      </c>
      <c r="I154" s="14">
        <v>15</v>
      </c>
      <c r="J154" s="14" t="s">
        <v>310</v>
      </c>
      <c r="K154" s="14" t="s">
        <v>391</v>
      </c>
      <c r="L154" s="14" t="s">
        <v>392</v>
      </c>
      <c r="M154" s="14" t="s">
        <v>9158</v>
      </c>
      <c r="N154" s="14" t="s">
        <v>9158</v>
      </c>
      <c r="O154" s="17" t="s">
        <v>10052</v>
      </c>
      <c r="P154" s="14" t="s">
        <v>13121</v>
      </c>
      <c r="Q154" s="14">
        <v>1</v>
      </c>
      <c r="R154" s="14"/>
    </row>
    <row r="155" spans="1:18">
      <c r="A155" s="9" t="s">
        <v>5604</v>
      </c>
      <c r="B155" s="14" t="s">
        <v>330</v>
      </c>
      <c r="C155" s="14" t="s">
        <v>206</v>
      </c>
      <c r="D155" s="14" t="s">
        <v>614</v>
      </c>
      <c r="E155" s="15" t="str">
        <f>HYPERLINK("https://stat100.ameba.jp/tnk47/ratio20/illustrations/card/ill_47263_0_oukyuuatsuhime03.jpg?201810-3-RELEASE-dice-e-374", "■")</f>
        <v>■</v>
      </c>
      <c r="F155" s="14" t="s">
        <v>615</v>
      </c>
      <c r="G155" s="14">
        <v>94236</v>
      </c>
      <c r="H155" s="14">
        <v>83712</v>
      </c>
      <c r="I155" s="14">
        <v>15</v>
      </c>
      <c r="J155" s="14" t="s">
        <v>315</v>
      </c>
      <c r="K155" s="14" t="s">
        <v>616</v>
      </c>
      <c r="L155" s="14" t="s">
        <v>617</v>
      </c>
      <c r="M155" s="14" t="s">
        <v>9158</v>
      </c>
      <c r="N155" s="14" t="s">
        <v>9158</v>
      </c>
      <c r="O155" s="14" t="s">
        <v>9158</v>
      </c>
      <c r="P155" s="14" t="s">
        <v>9158</v>
      </c>
      <c r="Q155" s="14" t="s">
        <v>9158</v>
      </c>
      <c r="R155" s="14"/>
    </row>
    <row r="156" spans="1:18">
      <c r="A156" s="9">
        <v>54093</v>
      </c>
      <c r="B156" s="14" t="s">
        <v>334</v>
      </c>
      <c r="C156" s="14" t="s">
        <v>191</v>
      </c>
      <c r="D156" s="14" t="s">
        <v>618</v>
      </c>
      <c r="E156" s="15" t="str">
        <f>HYPERLINK("https://stat100.ameba.jp/tnk47/ratio20/illustrations/card/ill_54093_fuyugaki03.jpg?201810-3-RELEASE-dice-e-374", "■")</f>
        <v>■</v>
      </c>
      <c r="F156" s="14" t="s">
        <v>619</v>
      </c>
      <c r="G156" s="14">
        <v>95452</v>
      </c>
      <c r="H156" s="14">
        <v>68622</v>
      </c>
      <c r="I156" s="14">
        <v>22</v>
      </c>
      <c r="J156" s="14" t="s">
        <v>283</v>
      </c>
      <c r="K156" s="14" t="s">
        <v>620</v>
      </c>
      <c r="L156" s="14" t="s">
        <v>621</v>
      </c>
      <c r="M156" s="14" t="s">
        <v>9158</v>
      </c>
      <c r="N156" s="14" t="s">
        <v>9158</v>
      </c>
      <c r="O156" s="14" t="s">
        <v>9158</v>
      </c>
      <c r="P156" s="14" t="s">
        <v>9158</v>
      </c>
      <c r="Q156" s="14" t="s">
        <v>9158</v>
      </c>
      <c r="R156" s="14"/>
    </row>
    <row r="157" spans="1:18">
      <c r="A157" s="9">
        <v>57233</v>
      </c>
      <c r="B157" s="14" t="s">
        <v>334</v>
      </c>
      <c r="C157" s="14" t="s">
        <v>158</v>
      </c>
      <c r="D157" s="14" t="s">
        <v>622</v>
      </c>
      <c r="E157" s="15" t="str">
        <f>HYPERLINK("https://stat100.ameba.jp/tnk47/ratio20/illustrations/card/ill_57233_zendoki03.jpg?201810-3-RELEASE-dice-e-374", "■")</f>
        <v>■</v>
      </c>
      <c r="F157" s="14" t="s">
        <v>623</v>
      </c>
      <c r="G157" s="14">
        <v>95452</v>
      </c>
      <c r="H157" s="14">
        <v>68622</v>
      </c>
      <c r="I157" s="14">
        <v>22</v>
      </c>
      <c r="J157" s="14" t="s">
        <v>320</v>
      </c>
      <c r="K157" s="14" t="s">
        <v>624</v>
      </c>
      <c r="L157" s="14" t="s">
        <v>625</v>
      </c>
      <c r="M157" s="14" t="s">
        <v>9158</v>
      </c>
      <c r="N157" s="14" t="s">
        <v>9158</v>
      </c>
      <c r="O157" s="14" t="s">
        <v>9158</v>
      </c>
      <c r="P157" s="14" t="s">
        <v>9158</v>
      </c>
      <c r="Q157" s="14" t="s">
        <v>9158</v>
      </c>
      <c r="R157" s="14"/>
    </row>
    <row r="158" spans="1:18">
      <c r="A158" s="9">
        <v>4713</v>
      </c>
      <c r="B158" s="14" t="s">
        <v>334</v>
      </c>
      <c r="C158" s="14" t="s">
        <v>3861</v>
      </c>
      <c r="D158" s="14" t="s">
        <v>626</v>
      </c>
      <c r="E158" s="15" t="str">
        <f>HYPERLINK("https://stat100.ameba.jp/tnk47/ratio20/illustrations/card/ill_4713_reishotachibanamuneshige03.jpg?201810-3-RELEASE-dice-e-374", "■")</f>
        <v>■</v>
      </c>
      <c r="F158" s="14" t="s">
        <v>627</v>
      </c>
      <c r="G158" s="14">
        <v>84796</v>
      </c>
      <c r="H158" s="14">
        <v>78838</v>
      </c>
      <c r="I158" s="14">
        <v>22</v>
      </c>
      <c r="J158" s="14" t="s">
        <v>310</v>
      </c>
      <c r="K158" s="14" t="s">
        <v>628</v>
      </c>
      <c r="L158" s="14" t="s">
        <v>629</v>
      </c>
      <c r="M158" s="14" t="s">
        <v>9158</v>
      </c>
      <c r="N158" s="14" t="s">
        <v>9158</v>
      </c>
      <c r="O158" s="14" t="s">
        <v>9158</v>
      </c>
      <c r="P158" s="14" t="s">
        <v>9158</v>
      </c>
      <c r="Q158" s="14" t="s">
        <v>9158</v>
      </c>
      <c r="R158" s="14"/>
    </row>
    <row r="159" spans="1:18">
      <c r="B159" s="14"/>
      <c r="C159" s="14"/>
      <c r="D159" s="14"/>
      <c r="F159" s="14"/>
      <c r="G159" s="14"/>
      <c r="H159" s="14"/>
      <c r="I159" s="14"/>
      <c r="J159" s="14"/>
      <c r="K159" s="14"/>
      <c r="L159" s="14"/>
      <c r="M159" s="14"/>
      <c r="N159" s="14"/>
      <c r="P159" s="14"/>
      <c r="Q159" s="14"/>
      <c r="R159" s="14"/>
    </row>
    <row r="160" spans="1:18">
      <c r="A160" s="14" t="s">
        <v>207</v>
      </c>
      <c r="D160" s="14"/>
      <c r="F160" s="14"/>
      <c r="G160" s="14"/>
      <c r="H160" s="14"/>
      <c r="I160" s="14"/>
      <c r="J160" s="14"/>
      <c r="K160" s="14"/>
      <c r="L160" s="14"/>
      <c r="M160" s="14"/>
      <c r="N160" s="14"/>
      <c r="P160" s="14"/>
      <c r="Q160" s="14"/>
      <c r="R160" s="14"/>
    </row>
    <row r="161" spans="1:19">
      <c r="A161" s="14" t="s">
        <v>242</v>
      </c>
      <c r="C161" s="14"/>
      <c r="D161" s="14"/>
      <c r="F161" s="14"/>
      <c r="G161" s="14"/>
      <c r="H161" s="14"/>
      <c r="I161" s="14"/>
      <c r="J161" s="14"/>
      <c r="K161" s="14"/>
      <c r="L161" s="14"/>
      <c r="M161" s="14"/>
      <c r="N161" s="14"/>
      <c r="P161" s="14"/>
      <c r="Q161" s="14"/>
      <c r="R161" s="14"/>
    </row>
    <row r="162" spans="1:19">
      <c r="A162" s="9" t="s">
        <v>5820</v>
      </c>
      <c r="B162" s="14" t="s">
        <v>330</v>
      </c>
      <c r="C162" s="14" t="s">
        <v>271</v>
      </c>
      <c r="D162" s="14" t="s">
        <v>2346</v>
      </c>
      <c r="E162" s="15" t="str">
        <f>HYPERLINK("https://stat100.ameba.jp/tnk47/ratio20/illustrations/card/ill_48283_0_kyuubitamamonomae03.jpg?201810-3-RELEASE-dice-e-374", "■")</f>
        <v>■</v>
      </c>
      <c r="F162" s="14" t="s">
        <v>631</v>
      </c>
      <c r="G162" s="14">
        <v>131930</v>
      </c>
      <c r="H162" s="14">
        <v>117196</v>
      </c>
      <c r="I162" s="14">
        <v>21</v>
      </c>
      <c r="J162" s="14" t="s">
        <v>320</v>
      </c>
      <c r="K162" s="14" t="s">
        <v>632</v>
      </c>
      <c r="L162" s="14" t="s">
        <v>633</v>
      </c>
      <c r="M162" s="14" t="s">
        <v>9158</v>
      </c>
      <c r="N162" s="14" t="s">
        <v>9158</v>
      </c>
      <c r="O162" s="14" t="s">
        <v>9158</v>
      </c>
      <c r="P162" s="14" t="s">
        <v>9158</v>
      </c>
      <c r="Q162" s="14" t="s">
        <v>9158</v>
      </c>
      <c r="R162" s="14"/>
    </row>
    <row r="163" spans="1:19">
      <c r="A163" s="9" t="s">
        <v>5608</v>
      </c>
      <c r="B163" s="14" t="s">
        <v>330</v>
      </c>
      <c r="C163" s="14" t="s">
        <v>308</v>
      </c>
      <c r="D163" s="14" t="s">
        <v>2037</v>
      </c>
      <c r="E163" s="15" t="str">
        <f>HYPERLINK("https://stat100.ameba.jp/tnk47/ratio20/illustrations/card/ill_40963_0_makami03.jpg?201810-3-RELEASE-dice-e-374", "■")</f>
        <v>■</v>
      </c>
      <c r="F163" s="14" t="s">
        <v>635</v>
      </c>
      <c r="G163" s="14">
        <v>122892</v>
      </c>
      <c r="H163" s="14">
        <v>115096</v>
      </c>
      <c r="I163" s="14">
        <v>21</v>
      </c>
      <c r="J163" s="14" t="s">
        <v>401</v>
      </c>
      <c r="K163" s="14" t="s">
        <v>636</v>
      </c>
      <c r="L163" s="14" t="s">
        <v>637</v>
      </c>
      <c r="M163" s="14" t="s">
        <v>9158</v>
      </c>
      <c r="N163" s="14" t="s">
        <v>9158</v>
      </c>
      <c r="O163" s="14" t="s">
        <v>9158</v>
      </c>
      <c r="P163" s="14" t="s">
        <v>9158</v>
      </c>
      <c r="Q163" s="14" t="s">
        <v>9158</v>
      </c>
      <c r="R163" s="14"/>
    </row>
    <row r="164" spans="1:19">
      <c r="A164" s="9" t="s">
        <v>5616</v>
      </c>
      <c r="B164" s="14" t="s">
        <v>330</v>
      </c>
      <c r="C164" s="14" t="s">
        <v>335</v>
      </c>
      <c r="D164" s="14" t="s">
        <v>638</v>
      </c>
      <c r="E164" s="15" t="str">
        <f>HYPERLINK("https://stat100.ameba.jp/tnk47/ratio20/illustrations/card/ill_44253_0_dokuganryudatemasamune03.jpg?201810-3-RELEASE-dice-e-374", "■")</f>
        <v>■</v>
      </c>
      <c r="F164" s="14" t="s">
        <v>639</v>
      </c>
      <c r="G164" s="14">
        <v>115096</v>
      </c>
      <c r="H164" s="14">
        <v>122892</v>
      </c>
      <c r="I164" s="14">
        <v>21</v>
      </c>
      <c r="J164" s="14" t="s">
        <v>310</v>
      </c>
      <c r="K164" s="14" t="s">
        <v>640</v>
      </c>
      <c r="L164" s="14" t="s">
        <v>641</v>
      </c>
      <c r="M164" s="14" t="s">
        <v>9158</v>
      </c>
      <c r="N164" s="14" t="s">
        <v>9158</v>
      </c>
      <c r="O164" s="14" t="s">
        <v>9158</v>
      </c>
      <c r="P164" s="14" t="s">
        <v>9158</v>
      </c>
      <c r="Q164" s="14" t="s">
        <v>9158</v>
      </c>
      <c r="R164" s="14"/>
    </row>
    <row r="165" spans="1:19">
      <c r="A165" s="9">
        <v>76483</v>
      </c>
      <c r="B165" s="14" t="s">
        <v>334</v>
      </c>
      <c r="C165" s="14" t="s">
        <v>307</v>
      </c>
      <c r="D165" s="14" t="s">
        <v>589</v>
      </c>
      <c r="E165" s="15" t="str">
        <f>HYPERLINK("https://stat100.ameba.jp/tnk47/ratio20/illustrations/card/ill_76483_yukemurimizuhanome03.jpg?201810-3-RELEASE-dice-e-374", "■")</f>
        <v>■</v>
      </c>
      <c r="F165" s="14" t="s">
        <v>590</v>
      </c>
      <c r="G165" s="14">
        <v>85657</v>
      </c>
      <c r="H165" s="14">
        <v>79634</v>
      </c>
      <c r="I165" s="14">
        <v>21</v>
      </c>
      <c r="J165" s="14" t="s">
        <v>401</v>
      </c>
      <c r="K165" s="14" t="s">
        <v>591</v>
      </c>
      <c r="L165" s="14" t="s">
        <v>592</v>
      </c>
      <c r="M165" s="14" t="s">
        <v>9158</v>
      </c>
      <c r="N165" s="14" t="s">
        <v>9158</v>
      </c>
      <c r="O165" s="14" t="s">
        <v>9158</v>
      </c>
      <c r="P165" s="14" t="s">
        <v>9158</v>
      </c>
      <c r="Q165" s="14" t="s">
        <v>9158</v>
      </c>
      <c r="R165" s="14"/>
    </row>
    <row r="166" spans="1:19">
      <c r="A166" s="9">
        <v>76493</v>
      </c>
      <c r="B166" s="14" t="s">
        <v>348</v>
      </c>
      <c r="C166" s="14" t="s">
        <v>165</v>
      </c>
      <c r="D166" s="14" t="s">
        <v>593</v>
      </c>
      <c r="E166" s="15" t="str">
        <f>HYPERLINK("https://stat100.ameba.jp/tnk47/ratio20/illustrations/card/ill_76493_yukemurikyogokumaria03.jpg?201810-3-RELEASE-dice-e-374", "■")</f>
        <v>■</v>
      </c>
      <c r="F166" s="14" t="s">
        <v>594</v>
      </c>
      <c r="G166" s="14">
        <v>48390</v>
      </c>
      <c r="H166" s="14">
        <v>53352</v>
      </c>
      <c r="I166" s="14">
        <v>18</v>
      </c>
      <c r="J166" s="14" t="s">
        <v>315</v>
      </c>
      <c r="K166" s="14" t="s">
        <v>595</v>
      </c>
      <c r="L166" s="14" t="s">
        <v>596</v>
      </c>
      <c r="M166" s="14" t="s">
        <v>9158</v>
      </c>
      <c r="N166" s="14" t="s">
        <v>9158</v>
      </c>
      <c r="O166" s="14" t="s">
        <v>9158</v>
      </c>
      <c r="P166" s="14" t="s">
        <v>9158</v>
      </c>
      <c r="Q166" s="14" t="s">
        <v>9158</v>
      </c>
      <c r="R166" s="14"/>
    </row>
    <row r="167" spans="1:19">
      <c r="A167" s="9">
        <v>76503</v>
      </c>
      <c r="B167" s="14" t="s">
        <v>362</v>
      </c>
      <c r="C167" s="14" t="s">
        <v>200</v>
      </c>
      <c r="D167" s="14" t="s">
        <v>597</v>
      </c>
      <c r="E167" s="15" t="str">
        <f>HYPERLINK("https://stat100.ameba.jp/tnk47/ratio20/illustrations/card/ill_76503_yoshootohime03.jpg?201810-3-RELEASE-dice-e-374", "■")</f>
        <v>■</v>
      </c>
      <c r="F167" s="14" t="s">
        <v>598</v>
      </c>
      <c r="G167" s="14">
        <v>33266</v>
      </c>
      <c r="H167" s="14">
        <v>27660</v>
      </c>
      <c r="I167" s="14">
        <v>16</v>
      </c>
      <c r="J167" s="14" t="s">
        <v>274</v>
      </c>
      <c r="K167" s="14" t="s">
        <v>599</v>
      </c>
      <c r="L167" s="14" t="s">
        <v>600</v>
      </c>
      <c r="M167" s="14" t="s">
        <v>9158</v>
      </c>
      <c r="N167" s="14" t="s">
        <v>9158</v>
      </c>
      <c r="O167" s="14" t="s">
        <v>9158</v>
      </c>
      <c r="P167" s="14" t="s">
        <v>9158</v>
      </c>
      <c r="Q167" s="14" t="s">
        <v>9158</v>
      </c>
      <c r="R167" s="14"/>
    </row>
    <row r="168" spans="1:19">
      <c r="A168" s="9">
        <v>76513</v>
      </c>
      <c r="B168" s="14" t="s">
        <v>372</v>
      </c>
      <c r="C168" s="14" t="s">
        <v>201</v>
      </c>
      <c r="D168" s="14" t="s">
        <v>601</v>
      </c>
      <c r="E168" s="15" t="str">
        <f>HYPERLINK("https://stat100.ameba.jp/tnk47/ratio20/illustrations/card/ill_76513_umibozu03.jpg?201810-3-RELEASE-dice-e-374", "■")</f>
        <v>■</v>
      </c>
      <c r="F168" s="14" t="s">
        <v>602</v>
      </c>
      <c r="G168" s="14">
        <v>16914</v>
      </c>
      <c r="H168" s="14">
        <v>20140</v>
      </c>
      <c r="I168" s="14">
        <v>16</v>
      </c>
      <c r="J168" s="14" t="s">
        <v>320</v>
      </c>
      <c r="K168" s="14" t="s">
        <v>603</v>
      </c>
      <c r="L168" s="14" t="s">
        <v>604</v>
      </c>
      <c r="M168" s="14" t="s">
        <v>9158</v>
      </c>
      <c r="N168" s="14" t="s">
        <v>9158</v>
      </c>
      <c r="O168" s="14" t="s">
        <v>9158</v>
      </c>
      <c r="P168" s="14" t="s">
        <v>9158</v>
      </c>
      <c r="Q168" s="14" t="s">
        <v>9158</v>
      </c>
      <c r="R168" s="14"/>
    </row>
    <row r="169" spans="1:19">
      <c r="B169" s="14"/>
      <c r="C169" s="14"/>
      <c r="D169" s="14"/>
      <c r="F169" s="14"/>
      <c r="G169" s="14"/>
      <c r="H169" s="14"/>
      <c r="I169" s="14"/>
      <c r="J169" s="14"/>
      <c r="K169" s="14"/>
      <c r="L169" s="14"/>
      <c r="M169" s="14"/>
      <c r="N169" s="14"/>
      <c r="P169" s="14"/>
      <c r="Q169" s="14"/>
      <c r="R169" s="14"/>
    </row>
    <row r="170" spans="1:19">
      <c r="A170" s="14" t="s">
        <v>208</v>
      </c>
      <c r="D170" s="14"/>
      <c r="F170" s="14"/>
      <c r="G170" s="14"/>
      <c r="H170" s="14"/>
      <c r="I170" s="14"/>
      <c r="J170" s="14"/>
      <c r="K170" s="14"/>
      <c r="L170" s="14"/>
      <c r="M170" s="14"/>
      <c r="N170" s="14"/>
      <c r="P170" s="14"/>
      <c r="Q170" s="14"/>
      <c r="R170" s="14"/>
    </row>
    <row r="171" spans="1:19">
      <c r="A171" s="14" t="s">
        <v>243</v>
      </c>
      <c r="B171" s="14"/>
      <c r="C171" s="14"/>
      <c r="D171" s="14"/>
      <c r="F171" s="14"/>
      <c r="G171" s="14"/>
      <c r="H171" s="14"/>
      <c r="I171" s="14"/>
      <c r="J171" s="14"/>
      <c r="K171" s="14"/>
      <c r="L171" s="14"/>
      <c r="M171" s="14"/>
      <c r="N171" s="14"/>
      <c r="P171" s="14"/>
      <c r="Q171" s="14"/>
      <c r="R171" s="14"/>
    </row>
    <row r="172" spans="1:19">
      <c r="A172" s="9" t="s">
        <v>5617</v>
      </c>
      <c r="B172" s="14" t="s">
        <v>330</v>
      </c>
      <c r="C172" s="14" t="s">
        <v>308</v>
      </c>
      <c r="D172" s="14" t="s">
        <v>385</v>
      </c>
      <c r="E172" s="15" t="str">
        <f>HYPERLINK("https://stat100.ameba.jp/tnk47/ratio20/illustrations/card/ill_59673_0_oheyashutendoji03.jpg?201810-3-RELEASE-dice-e-374", "■")</f>
        <v>■</v>
      </c>
      <c r="F172" s="14" t="s">
        <v>386</v>
      </c>
      <c r="G172" s="14">
        <v>105545</v>
      </c>
      <c r="H172" s="14">
        <v>113525</v>
      </c>
      <c r="I172" s="14">
        <v>15</v>
      </c>
      <c r="J172" s="14" t="s">
        <v>320</v>
      </c>
      <c r="K172" s="14" t="s">
        <v>387</v>
      </c>
      <c r="L172" s="14" t="s">
        <v>388</v>
      </c>
      <c r="M172" s="14" t="s">
        <v>9158</v>
      </c>
      <c r="N172" s="14" t="s">
        <v>9158</v>
      </c>
      <c r="O172" s="17" t="s">
        <v>10058</v>
      </c>
      <c r="P172" s="14" t="s">
        <v>3022</v>
      </c>
      <c r="Q172" s="14">
        <v>1</v>
      </c>
      <c r="R172" s="14"/>
    </row>
    <row r="173" spans="1:19">
      <c r="A173" s="9" t="s">
        <v>5607</v>
      </c>
      <c r="B173" s="14" t="s">
        <v>330</v>
      </c>
      <c r="C173" s="14" t="s">
        <v>271</v>
      </c>
      <c r="D173" s="14" t="s">
        <v>421</v>
      </c>
      <c r="E173" s="15" t="str">
        <f>HYPERLINK("https://stat100.ameba.jp/tnk47/ratio20/illustrations/card/ill_58853_0_setsubumpanikkuhiratsukaraicho03.jpg?201810-3-RELEASE-dice-e-374", "■")</f>
        <v>■</v>
      </c>
      <c r="F173" s="14" t="s">
        <v>422</v>
      </c>
      <c r="G173" s="14">
        <v>94236</v>
      </c>
      <c r="H173" s="14">
        <v>83712</v>
      </c>
      <c r="I173" s="14">
        <v>15</v>
      </c>
      <c r="J173" s="14" t="s">
        <v>414</v>
      </c>
      <c r="K173" s="14" t="s">
        <v>423</v>
      </c>
      <c r="L173" s="14" t="s">
        <v>424</v>
      </c>
      <c r="M173" s="14" t="s">
        <v>9158</v>
      </c>
      <c r="N173" s="14" t="s">
        <v>9158</v>
      </c>
      <c r="O173" s="17" t="s">
        <v>10059</v>
      </c>
      <c r="P173" s="14" t="s">
        <v>2870</v>
      </c>
      <c r="Q173" s="14">
        <v>1</v>
      </c>
      <c r="R173" s="14"/>
    </row>
    <row r="174" spans="1:19">
      <c r="A174" s="9" t="s">
        <v>5622</v>
      </c>
      <c r="B174" s="14" t="s">
        <v>330</v>
      </c>
      <c r="C174" s="14" t="s">
        <v>335</v>
      </c>
      <c r="D174" s="14" t="s">
        <v>509</v>
      </c>
      <c r="E174" s="15" t="str">
        <f>HYPERLINK("https://stat100.ameba.jp/tnk47/ratio20/illustrations/card/ill_49953_0_yushamarihime03.jpg?201810-3-RELEASE-dice-e-374", "■")</f>
        <v>■</v>
      </c>
      <c r="F174" s="14" t="s">
        <v>510</v>
      </c>
      <c r="G174" s="14">
        <v>94236</v>
      </c>
      <c r="H174" s="14">
        <v>83712</v>
      </c>
      <c r="I174" s="14">
        <v>15</v>
      </c>
      <c r="J174" s="14" t="s">
        <v>315</v>
      </c>
      <c r="K174" s="14" t="s">
        <v>511</v>
      </c>
      <c r="L174" s="14" t="s">
        <v>512</v>
      </c>
      <c r="M174" s="14" t="s">
        <v>9158</v>
      </c>
      <c r="N174" s="14" t="s">
        <v>9158</v>
      </c>
      <c r="O174" s="14" t="s">
        <v>9158</v>
      </c>
      <c r="P174" s="14" t="s">
        <v>9158</v>
      </c>
      <c r="Q174" s="14" t="s">
        <v>9158</v>
      </c>
      <c r="R174" s="14"/>
    </row>
    <row r="175" spans="1:19">
      <c r="A175" s="9">
        <v>52243</v>
      </c>
      <c r="B175" s="14" t="s">
        <v>334</v>
      </c>
      <c r="C175" s="14" t="s">
        <v>3860</v>
      </c>
      <c r="D175" s="14" t="s">
        <v>642</v>
      </c>
      <c r="E175" s="15" t="str">
        <f>HYPERLINK("https://stat100.ameba.jp/tnk47/ratio20/illustrations/card/ill_52243_ameutajakurenhoshi03.jpg?201810-3-RELEASE-dice-e-374", "■")</f>
        <v>■</v>
      </c>
      <c r="F175" s="14" t="s">
        <v>643</v>
      </c>
      <c r="G175" s="14">
        <v>78838</v>
      </c>
      <c r="H175" s="14">
        <v>84796</v>
      </c>
      <c r="I175" s="14">
        <v>22</v>
      </c>
      <c r="J175" s="14" t="s">
        <v>414</v>
      </c>
      <c r="K175" s="14" t="s">
        <v>644</v>
      </c>
      <c r="L175" s="14" t="s">
        <v>645</v>
      </c>
      <c r="M175" s="14" t="s">
        <v>9158</v>
      </c>
      <c r="N175" s="14" t="s">
        <v>9158</v>
      </c>
      <c r="O175" s="14" t="s">
        <v>9158</v>
      </c>
      <c r="P175" s="14" t="s">
        <v>9158</v>
      </c>
      <c r="Q175" s="14" t="s">
        <v>9158</v>
      </c>
      <c r="S175" s="14" t="s">
        <v>11730</v>
      </c>
    </row>
    <row r="176" spans="1:19">
      <c r="A176" s="9">
        <v>51623</v>
      </c>
      <c r="B176" s="14" t="s">
        <v>334</v>
      </c>
      <c r="C176" s="14" t="s">
        <v>3862</v>
      </c>
      <c r="D176" s="14" t="s">
        <v>11727</v>
      </c>
      <c r="E176" s="15" t="str">
        <f>HYPERLINK("https://stat100.ameba.jp/tnk47/ratio20/illustrations/card/ill_51623_yamagaruatsuhime03.jpg?201810-3-RELEASE-dice-e-374", "■")</f>
        <v>■</v>
      </c>
      <c r="F176" s="14" t="s">
        <v>646</v>
      </c>
      <c r="G176" s="14">
        <v>84796</v>
      </c>
      <c r="H176" s="14">
        <v>78838</v>
      </c>
      <c r="I176" s="14">
        <v>22</v>
      </c>
      <c r="J176" s="14" t="s">
        <v>315</v>
      </c>
      <c r="K176" s="14" t="s">
        <v>647</v>
      </c>
      <c r="L176" s="14" t="s">
        <v>648</v>
      </c>
      <c r="M176" s="14" t="s">
        <v>9158</v>
      </c>
      <c r="N176" s="14" t="s">
        <v>9158</v>
      </c>
      <c r="O176" s="14" t="s">
        <v>9158</v>
      </c>
      <c r="P176" s="14" t="s">
        <v>9158</v>
      </c>
      <c r="Q176" s="14" t="s">
        <v>9158</v>
      </c>
      <c r="S176" s="14" t="s">
        <v>11728</v>
      </c>
    </row>
    <row r="177" spans="1:19">
      <c r="A177" s="9">
        <v>45413</v>
      </c>
      <c r="B177" s="14" t="s">
        <v>334</v>
      </c>
      <c r="C177" s="14" t="s">
        <v>1356</v>
      </c>
      <c r="D177" s="14" t="s">
        <v>649</v>
      </c>
      <c r="E177" s="15" t="str">
        <f>HYPERLINK("https://stat100.ameba.jp/tnk47/ratio20/illustrations/card/ill_45413_yukihyo03.jpg?201810-3-RELEASE-dice-e-374", "■")</f>
        <v>■</v>
      </c>
      <c r="F177" s="14" t="s">
        <v>650</v>
      </c>
      <c r="G177" s="14">
        <v>84796</v>
      </c>
      <c r="H177" s="14">
        <v>78838</v>
      </c>
      <c r="I177" s="14">
        <v>22</v>
      </c>
      <c r="J177" s="14" t="s">
        <v>369</v>
      </c>
      <c r="K177" s="14" t="s">
        <v>651</v>
      </c>
      <c r="L177" s="14" t="s">
        <v>652</v>
      </c>
      <c r="M177" s="14" t="s">
        <v>9158</v>
      </c>
      <c r="N177" s="14" t="s">
        <v>9158</v>
      </c>
      <c r="O177" s="14" t="s">
        <v>9158</v>
      </c>
      <c r="P177" s="14" t="s">
        <v>9158</v>
      </c>
      <c r="Q177" s="14" t="s">
        <v>9158</v>
      </c>
      <c r="S177" s="14" t="s">
        <v>11729</v>
      </c>
    </row>
    <row r="178" spans="1:19">
      <c r="A178" s="9">
        <v>60063</v>
      </c>
      <c r="B178" s="14" t="s">
        <v>348</v>
      </c>
      <c r="C178" s="14" t="s">
        <v>308</v>
      </c>
      <c r="D178" s="14" t="s">
        <v>653</v>
      </c>
      <c r="E178" s="15" t="str">
        <f>HYPERLINK("https://stat100.ameba.jp/tnk47/ratio20/illustrations/card/ill_60063_aressandorobuarinyano03.jpg?201810-3-RELEASE-dice-e-374", "■")</f>
        <v>■</v>
      </c>
      <c r="F178" s="14" t="s">
        <v>654</v>
      </c>
      <c r="G178" s="14">
        <v>65208</v>
      </c>
      <c r="H178" s="14">
        <v>59144</v>
      </c>
      <c r="I178" s="14">
        <v>22</v>
      </c>
      <c r="J178" s="14" t="s">
        <v>351</v>
      </c>
      <c r="K178" s="14" t="s">
        <v>655</v>
      </c>
      <c r="L178" s="14" t="s">
        <v>656</v>
      </c>
      <c r="M178" s="14" t="s">
        <v>9158</v>
      </c>
      <c r="N178" s="14" t="s">
        <v>9158</v>
      </c>
      <c r="O178" s="14" t="s">
        <v>9158</v>
      </c>
      <c r="P178" s="14" t="s">
        <v>9158</v>
      </c>
      <c r="Q178" s="14" t="s">
        <v>9158</v>
      </c>
      <c r="S178" s="14" t="s">
        <v>11726</v>
      </c>
    </row>
    <row r="179" spans="1:19">
      <c r="A179" s="9">
        <v>60743</v>
      </c>
      <c r="B179" s="14" t="s">
        <v>348</v>
      </c>
      <c r="C179" s="14" t="s">
        <v>335</v>
      </c>
      <c r="D179" s="14" t="s">
        <v>657</v>
      </c>
      <c r="E179" s="15" t="str">
        <f>HYPERLINK("https://stat100.ameba.jp/tnk47/ratio20/illustrations/card/ill_60743_satotsugunobu03.jpg?201810-3-RELEASE-dice-e-374", "■")</f>
        <v>■</v>
      </c>
      <c r="F179" s="14" t="s">
        <v>658</v>
      </c>
      <c r="G179" s="14">
        <v>65208</v>
      </c>
      <c r="H179" s="14">
        <v>59144</v>
      </c>
      <c r="I179" s="14">
        <v>22</v>
      </c>
      <c r="J179" s="14" t="s">
        <v>310</v>
      </c>
      <c r="K179" s="14" t="s">
        <v>659</v>
      </c>
      <c r="L179" s="14" t="s">
        <v>660</v>
      </c>
      <c r="M179" s="14" t="s">
        <v>9158</v>
      </c>
      <c r="N179" s="14" t="s">
        <v>9158</v>
      </c>
      <c r="O179" s="14" t="s">
        <v>9158</v>
      </c>
      <c r="P179" s="14" t="s">
        <v>9158</v>
      </c>
      <c r="Q179" s="14" t="s">
        <v>9158</v>
      </c>
      <c r="S179" s="14" t="s">
        <v>12930</v>
      </c>
    </row>
    <row r="180" spans="1:19">
      <c r="A180" s="9">
        <v>64113</v>
      </c>
      <c r="B180" s="14" t="s">
        <v>348</v>
      </c>
      <c r="C180" s="14" t="s">
        <v>267</v>
      </c>
      <c r="D180" s="14" t="s">
        <v>661</v>
      </c>
      <c r="E180" s="15" t="str">
        <f>HYPERLINK("https://stat100.ameba.jp/tnk47/ratio20/illustrations/card/ill_64113_onikiriyasutsuna03.jpg?201810-3-RELEASE-dice-e-374", "■")</f>
        <v>■</v>
      </c>
      <c r="F180" s="14" t="s">
        <v>662</v>
      </c>
      <c r="G180" s="14">
        <v>59144</v>
      </c>
      <c r="H180" s="14">
        <v>65208</v>
      </c>
      <c r="I180" s="14">
        <v>22</v>
      </c>
      <c r="J180" s="14" t="s">
        <v>274</v>
      </c>
      <c r="K180" s="14" t="s">
        <v>663</v>
      </c>
      <c r="L180" s="14" t="s">
        <v>664</v>
      </c>
      <c r="M180" s="14" t="s">
        <v>9158</v>
      </c>
      <c r="N180" s="14" t="s">
        <v>9158</v>
      </c>
      <c r="O180" s="14" t="s">
        <v>9158</v>
      </c>
      <c r="P180" s="14" t="s">
        <v>9158</v>
      </c>
      <c r="Q180" s="14" t="s">
        <v>9158</v>
      </c>
      <c r="S180" s="14" t="s">
        <v>12930</v>
      </c>
    </row>
    <row r="181" spans="1:19">
      <c r="B181" s="14"/>
      <c r="C181" s="14"/>
      <c r="D181" s="14"/>
      <c r="F181" s="14"/>
      <c r="G181" s="14"/>
      <c r="H181" s="14"/>
      <c r="I181" s="14"/>
      <c r="J181" s="14"/>
      <c r="K181" s="14"/>
      <c r="L181" s="14"/>
      <c r="M181" s="14"/>
      <c r="N181" s="14"/>
      <c r="P181" s="14"/>
      <c r="Q181" s="14"/>
      <c r="R181" s="14"/>
    </row>
    <row r="182" spans="1:19">
      <c r="A182" s="14" t="s">
        <v>114</v>
      </c>
      <c r="D182" s="14"/>
      <c r="F182" s="14"/>
      <c r="G182" s="14"/>
      <c r="H182" s="14"/>
      <c r="I182" s="14"/>
      <c r="J182" s="14"/>
      <c r="K182" s="14"/>
      <c r="L182" s="14"/>
      <c r="M182" s="14"/>
      <c r="N182" s="14"/>
      <c r="P182" s="14"/>
      <c r="Q182" s="14"/>
      <c r="R182" s="14"/>
    </row>
    <row r="183" spans="1:19">
      <c r="A183" s="14" t="s">
        <v>244</v>
      </c>
      <c r="B183" s="14"/>
      <c r="C183" s="14"/>
      <c r="D183" s="14"/>
      <c r="F183" s="14"/>
      <c r="G183" s="14"/>
      <c r="H183" s="14"/>
      <c r="I183" s="14"/>
      <c r="J183" s="14"/>
      <c r="K183" s="14"/>
      <c r="L183" s="14"/>
      <c r="M183" s="14"/>
      <c r="N183" s="14"/>
      <c r="P183" s="14"/>
      <c r="Q183" s="14"/>
      <c r="R183" s="14"/>
    </row>
    <row r="184" spans="1:19">
      <c r="A184" s="9" t="s">
        <v>5618</v>
      </c>
      <c r="B184" s="14" t="s">
        <v>330</v>
      </c>
      <c r="C184" s="14" t="s">
        <v>200</v>
      </c>
      <c r="D184" s="14" t="s">
        <v>665</v>
      </c>
      <c r="E184" s="15" t="str">
        <f>HYPERLINK("https://stat100.ameba.jp/tnk47/ratio20/illustrations/card/ill_63173_0_minazukikonakaiteruko03.jpg?201810-3-RELEASE-dice-e-374", "■")</f>
        <v>■</v>
      </c>
      <c r="F184" s="14" t="s">
        <v>666</v>
      </c>
      <c r="G184" s="14">
        <v>147552</v>
      </c>
      <c r="H184" s="14">
        <v>158684</v>
      </c>
      <c r="I184" s="14">
        <v>17</v>
      </c>
      <c r="J184" s="14" t="s">
        <v>310</v>
      </c>
      <c r="K184" s="14" t="s">
        <v>667</v>
      </c>
      <c r="L184" s="14" t="s">
        <v>668</v>
      </c>
      <c r="M184" s="14" t="s">
        <v>9158</v>
      </c>
      <c r="N184" s="14" t="s">
        <v>9158</v>
      </c>
      <c r="O184" s="9" t="s">
        <v>3328</v>
      </c>
      <c r="P184" s="14" t="s">
        <v>3329</v>
      </c>
      <c r="Q184" s="14">
        <v>1</v>
      </c>
      <c r="R184" s="14"/>
    </row>
    <row r="185" spans="1:19">
      <c r="A185" s="9" t="s">
        <v>5620</v>
      </c>
      <c r="B185" s="14" t="s">
        <v>330</v>
      </c>
      <c r="C185" s="14" t="s">
        <v>206</v>
      </c>
      <c r="D185" s="14" t="s">
        <v>669</v>
      </c>
      <c r="E185" s="15" t="str">
        <f>HYPERLINK("https://stat100.ameba.jp/tnk47/ratio20/illustrations/card/ill_67173_0_yukemuriawamorichan03.jpg?201810-3-RELEASE-dice-e-374", "■")</f>
        <v>■</v>
      </c>
      <c r="F185" s="14" t="s">
        <v>670</v>
      </c>
      <c r="G185" s="14">
        <v>130615</v>
      </c>
      <c r="H185" s="14">
        <v>121434</v>
      </c>
      <c r="I185" s="14">
        <v>17</v>
      </c>
      <c r="J185" s="14" t="s">
        <v>283</v>
      </c>
      <c r="K185" s="14" t="s">
        <v>671</v>
      </c>
      <c r="L185" s="14" t="s">
        <v>672</v>
      </c>
      <c r="M185" s="14" t="s">
        <v>9158</v>
      </c>
      <c r="N185" s="14" t="s">
        <v>9158</v>
      </c>
      <c r="O185" s="17" t="s">
        <v>10061</v>
      </c>
      <c r="P185" s="14" t="s">
        <v>3455</v>
      </c>
      <c r="Q185" s="14">
        <v>1</v>
      </c>
      <c r="R185" s="14"/>
    </row>
    <row r="186" spans="1:19">
      <c r="A186" s="9">
        <v>76803</v>
      </c>
      <c r="B186" s="14" t="s">
        <v>334</v>
      </c>
      <c r="C186" s="14" t="s">
        <v>202</v>
      </c>
      <c r="D186" s="14" t="s">
        <v>2436</v>
      </c>
      <c r="E186" s="15" t="str">
        <f>HYPERLINK("https://stat100.ameba.jp/tnk47/ratio20/illustrations/card/ill_76803_monsutakujirachan03.jpg?201810-3-RELEASE-dice-e-374", "■")</f>
        <v>■</v>
      </c>
      <c r="F186" s="14" t="s">
        <v>674</v>
      </c>
      <c r="G186" s="14">
        <v>159674</v>
      </c>
      <c r="H186" s="14">
        <v>115656</v>
      </c>
      <c r="I186" s="14">
        <v>24</v>
      </c>
      <c r="J186" s="14" t="s">
        <v>283</v>
      </c>
      <c r="K186" s="14" t="s">
        <v>675</v>
      </c>
      <c r="L186" s="14" t="s">
        <v>435</v>
      </c>
      <c r="M186" s="14" t="s">
        <v>9158</v>
      </c>
      <c r="N186" s="14" t="s">
        <v>9158</v>
      </c>
      <c r="O186" s="9" t="s">
        <v>3165</v>
      </c>
      <c r="P186" s="14" t="s">
        <v>13139</v>
      </c>
      <c r="Q186" s="14">
        <v>1</v>
      </c>
      <c r="R186" s="14"/>
    </row>
    <row r="187" spans="1:19">
      <c r="A187" s="9">
        <v>56043</v>
      </c>
      <c r="B187" s="14" t="s">
        <v>334</v>
      </c>
      <c r="C187" s="14" t="s">
        <v>262</v>
      </c>
      <c r="D187" s="14" t="s">
        <v>2050</v>
      </c>
      <c r="E187" s="15" t="str">
        <f>HYPERLINK("https://stat100.ameba.jp/tnk47/ratio20/illustrations/card/ill_56043_mujina03.jpg?201810-3-RELEASE-dice-e-374", "■")</f>
        <v>■</v>
      </c>
      <c r="F187" s="14" t="s">
        <v>676</v>
      </c>
      <c r="G187" s="14">
        <v>86668</v>
      </c>
      <c r="H187" s="14">
        <v>63547</v>
      </c>
      <c r="I187" s="14">
        <v>21</v>
      </c>
      <c r="J187" s="14" t="s">
        <v>320</v>
      </c>
      <c r="K187" s="14" t="s">
        <v>677</v>
      </c>
      <c r="L187" s="14" t="s">
        <v>678</v>
      </c>
      <c r="M187" s="14" t="s">
        <v>9158</v>
      </c>
      <c r="N187" s="14" t="s">
        <v>9158</v>
      </c>
      <c r="O187" s="14" t="s">
        <v>9158</v>
      </c>
      <c r="P187" s="14" t="s">
        <v>9158</v>
      </c>
      <c r="Q187" s="14" t="s">
        <v>9158</v>
      </c>
      <c r="R187" s="14"/>
    </row>
    <row r="188" spans="1:19">
      <c r="A188" s="9">
        <v>58263</v>
      </c>
      <c r="B188" s="14" t="s">
        <v>334</v>
      </c>
      <c r="C188" s="14" t="s">
        <v>203</v>
      </c>
      <c r="D188" s="14" t="s">
        <v>2054</v>
      </c>
      <c r="E188" s="15" t="str">
        <f>HYPERLINK("https://stat100.ameba.jp/tnk47/ratio20/illustrations/card/ill_58263_tamayorigozen03.jpg?201810-3-RELEASE-dice-e-374", "■")</f>
        <v>■</v>
      </c>
      <c r="F188" s="14" t="s">
        <v>680</v>
      </c>
      <c r="G188" s="14">
        <v>66487</v>
      </c>
      <c r="H188" s="14">
        <v>91779</v>
      </c>
      <c r="I188" s="14">
        <v>21</v>
      </c>
      <c r="J188" s="14" t="s">
        <v>351</v>
      </c>
      <c r="K188" s="14" t="s">
        <v>681</v>
      </c>
      <c r="L188" s="14" t="s">
        <v>682</v>
      </c>
      <c r="M188" s="14" t="s">
        <v>9158</v>
      </c>
      <c r="N188" s="14" t="s">
        <v>9158</v>
      </c>
      <c r="O188" s="14" t="s">
        <v>9158</v>
      </c>
      <c r="P188" s="14" t="s">
        <v>9158</v>
      </c>
      <c r="Q188" s="14" t="s">
        <v>9158</v>
      </c>
      <c r="R188" s="14"/>
    </row>
    <row r="189" spans="1:19">
      <c r="A189" s="9">
        <v>61343</v>
      </c>
      <c r="B189" s="14" t="s">
        <v>334</v>
      </c>
      <c r="C189" s="14" t="s">
        <v>154</v>
      </c>
      <c r="D189" s="14" t="s">
        <v>2058</v>
      </c>
      <c r="E189" s="15" t="str">
        <f>HYPERLINK("https://stat100.ameba.jp/tnk47/ratio20/illustrations/card/ill_61343_amaiyumechacha03.jpg?201810-3-RELEASE-dice-e-374", "■")</f>
        <v>■</v>
      </c>
      <c r="F189" s="14" t="s">
        <v>683</v>
      </c>
      <c r="G189" s="14">
        <v>66487</v>
      </c>
      <c r="H189" s="14">
        <v>91779</v>
      </c>
      <c r="I189" s="14">
        <v>21</v>
      </c>
      <c r="J189" s="14" t="s">
        <v>315</v>
      </c>
      <c r="K189" s="14" t="s">
        <v>684</v>
      </c>
      <c r="L189" s="14" t="s">
        <v>608</v>
      </c>
      <c r="M189" s="14" t="s">
        <v>9158</v>
      </c>
      <c r="N189" s="14" t="s">
        <v>9158</v>
      </c>
      <c r="O189" s="14" t="s">
        <v>9158</v>
      </c>
      <c r="P189" s="14" t="s">
        <v>9158</v>
      </c>
      <c r="Q189" s="14" t="s">
        <v>9158</v>
      </c>
      <c r="R189" s="14"/>
    </row>
    <row r="190" spans="1:19">
      <c r="A190" s="9">
        <v>73893</v>
      </c>
      <c r="B190" s="14" t="s">
        <v>334</v>
      </c>
      <c r="C190" s="14" t="s">
        <v>203</v>
      </c>
      <c r="D190" s="14" t="s">
        <v>2061</v>
      </c>
      <c r="E190" s="15" t="str">
        <f>HYPERLINK("https://stat100.ameba.jp/tnk47/ratio20/illustrations/card/ill_73893_kurohachidaimyojintookami03.jpg?201810-3-RELEASE-dice-e-374", "■")</f>
        <v>■</v>
      </c>
      <c r="F190" s="14" t="s">
        <v>685</v>
      </c>
      <c r="G190" s="14">
        <v>107166</v>
      </c>
      <c r="H190" s="14">
        <v>77618</v>
      </c>
      <c r="I190" s="14">
        <v>21</v>
      </c>
      <c r="J190" s="14" t="s">
        <v>274</v>
      </c>
      <c r="K190" s="14" t="s">
        <v>686</v>
      </c>
      <c r="L190" s="14" t="s">
        <v>428</v>
      </c>
      <c r="M190" s="14" t="s">
        <v>9158</v>
      </c>
      <c r="N190" s="14" t="s">
        <v>9158</v>
      </c>
      <c r="O190" s="9" t="s">
        <v>10118</v>
      </c>
      <c r="P190" s="14" t="s">
        <v>3810</v>
      </c>
      <c r="Q190" s="14">
        <v>1</v>
      </c>
      <c r="R190" s="14"/>
    </row>
    <row r="191" spans="1:19">
      <c r="A191" s="9">
        <v>68703</v>
      </c>
      <c r="B191" s="14" t="s">
        <v>334</v>
      </c>
      <c r="C191" s="14" t="s">
        <v>209</v>
      </c>
      <c r="D191" s="14" t="s">
        <v>79</v>
      </c>
      <c r="E191" s="15" t="str">
        <f>HYPERLINK("https://stat100.ameba.jp/tnk47/ratio20/illustrations/card/ill_68703_manryu03.jpg?201810-3-RELEASE-dice-e-374", "■")</f>
        <v>■</v>
      </c>
      <c r="F191" s="14" t="s">
        <v>688</v>
      </c>
      <c r="G191" s="14">
        <v>66487</v>
      </c>
      <c r="H191" s="14">
        <v>91779</v>
      </c>
      <c r="I191" s="14">
        <v>21</v>
      </c>
      <c r="J191" s="14" t="s">
        <v>414</v>
      </c>
      <c r="K191" s="14" t="s">
        <v>689</v>
      </c>
      <c r="L191" s="14" t="s">
        <v>690</v>
      </c>
      <c r="M191" s="14" t="s">
        <v>9158</v>
      </c>
      <c r="N191" s="14" t="s">
        <v>9158</v>
      </c>
      <c r="O191" s="14" t="s">
        <v>9158</v>
      </c>
      <c r="P191" s="14" t="s">
        <v>9158</v>
      </c>
      <c r="Q191" s="14" t="s">
        <v>9158</v>
      </c>
      <c r="R191" s="14"/>
    </row>
    <row r="192" spans="1:19">
      <c r="B192" s="14"/>
      <c r="C192" s="14"/>
      <c r="D192" s="14"/>
      <c r="F192" s="14"/>
      <c r="G192" s="14"/>
      <c r="H192" s="14"/>
      <c r="I192" s="14"/>
      <c r="J192" s="14"/>
      <c r="K192" s="14"/>
      <c r="L192" s="14"/>
      <c r="M192" s="14"/>
      <c r="N192" s="14"/>
      <c r="P192" s="14"/>
      <c r="Q192" s="14"/>
      <c r="R192" s="14"/>
    </row>
    <row r="193" spans="1:18">
      <c r="A193" s="14" t="s">
        <v>13326</v>
      </c>
      <c r="D193" s="14"/>
      <c r="F193" s="14"/>
      <c r="G193" s="14"/>
      <c r="H193" s="14"/>
      <c r="I193" s="14"/>
      <c r="J193" s="14"/>
      <c r="K193" s="14"/>
      <c r="L193" s="14"/>
      <c r="M193" s="14"/>
      <c r="N193" s="14"/>
      <c r="P193" s="14"/>
      <c r="Q193" s="14"/>
      <c r="R193" s="14"/>
    </row>
    <row r="194" spans="1:18">
      <c r="A194" s="14" t="s">
        <v>245</v>
      </c>
      <c r="C194" s="14"/>
      <c r="D194" s="14"/>
      <c r="F194" s="14"/>
      <c r="G194" s="14"/>
      <c r="H194" s="14"/>
      <c r="I194" s="14"/>
      <c r="J194" s="14"/>
      <c r="K194" s="14"/>
      <c r="L194" s="14"/>
      <c r="M194" s="14"/>
      <c r="N194" s="14"/>
      <c r="P194" s="14"/>
      <c r="Q194" s="14"/>
      <c r="R194" s="14"/>
    </row>
    <row r="195" spans="1:18">
      <c r="A195" s="9">
        <v>71873</v>
      </c>
      <c r="B195" s="14" t="s">
        <v>334</v>
      </c>
      <c r="C195" s="14" t="s">
        <v>185</v>
      </c>
      <c r="D195" s="14" t="s">
        <v>210</v>
      </c>
      <c r="E195" s="15" t="str">
        <f>HYPERLINK("https://stat100.ameba.jp/tnk47/ratio20/illustrations/card/ill_71873_akashita03.jpg?201810-3-RELEASE-dice-e-374xx", "■")</f>
        <v>■</v>
      </c>
      <c r="F195" s="14" t="s">
        <v>691</v>
      </c>
      <c r="G195" s="14">
        <v>105715</v>
      </c>
      <c r="H195" s="14">
        <v>98285</v>
      </c>
      <c r="I195" s="14">
        <v>21</v>
      </c>
      <c r="J195" s="14" t="s">
        <v>182</v>
      </c>
      <c r="K195" s="14" t="s">
        <v>217</v>
      </c>
      <c r="L195" s="14" t="s">
        <v>13140</v>
      </c>
      <c r="M195" s="14" t="s">
        <v>13131</v>
      </c>
      <c r="N195" s="14" t="s">
        <v>251</v>
      </c>
      <c r="O195" s="14" t="s">
        <v>9158</v>
      </c>
      <c r="P195" s="14" t="s">
        <v>9158</v>
      </c>
      <c r="Q195" s="14" t="s">
        <v>9158</v>
      </c>
      <c r="R195" s="14"/>
    </row>
    <row r="196" spans="1:18">
      <c r="A196" s="9">
        <v>71872</v>
      </c>
      <c r="B196" s="14" t="s">
        <v>334</v>
      </c>
      <c r="C196" s="14" t="s">
        <v>185</v>
      </c>
      <c r="D196" s="14" t="s">
        <v>210</v>
      </c>
      <c r="E196" s="15" t="str">
        <f>HYPERLINK("https://stat100.ameba.jp/tnk47/ratio20/illustrations/card/ill_71872_akashita02.jpg?201810-3-RELEASE-dice-e-374xx", "■")</f>
        <v>■</v>
      </c>
      <c r="F196" s="14" t="s">
        <v>691</v>
      </c>
      <c r="G196" s="14">
        <v>88317</v>
      </c>
      <c r="H196" s="14">
        <v>81400</v>
      </c>
      <c r="I196" s="14">
        <v>21</v>
      </c>
      <c r="J196" s="14" t="s">
        <v>182</v>
      </c>
      <c r="K196" s="14" t="s">
        <v>217</v>
      </c>
      <c r="L196" s="14" t="s">
        <v>13140</v>
      </c>
      <c r="M196" s="14" t="s">
        <v>13131</v>
      </c>
      <c r="N196" s="14" t="s">
        <v>251</v>
      </c>
      <c r="O196" s="14" t="s">
        <v>9158</v>
      </c>
      <c r="P196" s="14" t="s">
        <v>9158</v>
      </c>
      <c r="Q196" s="14" t="s">
        <v>9158</v>
      </c>
      <c r="R196" s="14"/>
    </row>
    <row r="197" spans="1:18">
      <c r="A197" s="9">
        <v>71871</v>
      </c>
      <c r="B197" s="14" t="s">
        <v>334</v>
      </c>
      <c r="C197" s="14" t="s">
        <v>185</v>
      </c>
      <c r="D197" s="14" t="s">
        <v>210</v>
      </c>
      <c r="E197" s="15" t="str">
        <f>HYPERLINK("https://stat100.ameba.jp/tnk47/ratio20/illustrations/card/ill_71871_akashita01.jpg?201810-3-RELEASE-dice-e-374xx", "■")</f>
        <v>■</v>
      </c>
      <c r="F197" s="14" t="s">
        <v>691</v>
      </c>
      <c r="G197" s="14">
        <v>67473</v>
      </c>
      <c r="H197" s="14">
        <v>62811</v>
      </c>
      <c r="I197" s="14">
        <v>21</v>
      </c>
      <c r="J197" s="14" t="s">
        <v>182</v>
      </c>
      <c r="K197" s="14" t="s">
        <v>217</v>
      </c>
      <c r="L197" s="14" t="s">
        <v>13140</v>
      </c>
      <c r="M197" s="14" t="s">
        <v>13131</v>
      </c>
      <c r="N197" s="14" t="s">
        <v>251</v>
      </c>
      <c r="O197" s="14" t="s">
        <v>9158</v>
      </c>
      <c r="P197" s="14" t="s">
        <v>9158</v>
      </c>
      <c r="Q197" s="14" t="s">
        <v>9158</v>
      </c>
      <c r="R197" s="14"/>
    </row>
    <row r="198" spans="1:18">
      <c r="A198" s="9">
        <v>72693</v>
      </c>
      <c r="B198" s="14" t="s">
        <v>334</v>
      </c>
      <c r="C198" s="14" t="s">
        <v>200</v>
      </c>
      <c r="D198" s="14" t="s">
        <v>211</v>
      </c>
      <c r="E198" s="15" t="str">
        <f>HYPERLINK("https://stat100.ameba.jp/tnk47/ratio20/illustrations/card/ill_72693_sagarasozo03.jpg?201810-3-RELEASE-dice-e-374xx", "■")</f>
        <v>■</v>
      </c>
      <c r="F198" s="14" t="s">
        <v>692</v>
      </c>
      <c r="G198" s="14">
        <v>98285</v>
      </c>
      <c r="H198" s="14">
        <v>105715</v>
      </c>
      <c r="I198" s="14">
        <v>21</v>
      </c>
      <c r="J198" s="14" t="s">
        <v>194</v>
      </c>
      <c r="K198" s="14" t="s">
        <v>218</v>
      </c>
      <c r="L198" s="14" t="s">
        <v>9892</v>
      </c>
      <c r="M198" s="14" t="s">
        <v>13131</v>
      </c>
      <c r="N198" s="14" t="s">
        <v>251</v>
      </c>
      <c r="O198" s="14" t="s">
        <v>9158</v>
      </c>
      <c r="P198" s="14" t="s">
        <v>9158</v>
      </c>
      <c r="Q198" s="14" t="s">
        <v>9158</v>
      </c>
      <c r="R198" s="14"/>
    </row>
    <row r="199" spans="1:18">
      <c r="A199" s="9">
        <v>72703</v>
      </c>
      <c r="B199" s="14" t="s">
        <v>334</v>
      </c>
      <c r="C199" s="14" t="s">
        <v>191</v>
      </c>
      <c r="D199" s="14" t="s">
        <v>212</v>
      </c>
      <c r="E199" s="15" t="str">
        <f>HYPERLINK("https://stat100.ameba.jp/tnk47/ratio20/illustrations/card/ill_72703_hayakawanoritsugu03.jpg?201810-3-RELEASE-dice-e-374xx", "■")</f>
        <v>■</v>
      </c>
      <c r="F199" s="14" t="s">
        <v>693</v>
      </c>
      <c r="G199" s="14">
        <v>105715</v>
      </c>
      <c r="H199" s="14">
        <v>98285</v>
      </c>
      <c r="I199" s="14">
        <v>21</v>
      </c>
      <c r="J199" s="14" t="s">
        <v>173</v>
      </c>
      <c r="K199" s="14" t="s">
        <v>219</v>
      </c>
      <c r="L199" s="14" t="s">
        <v>9893</v>
      </c>
      <c r="M199" s="14" t="s">
        <v>13131</v>
      </c>
      <c r="N199" s="14" t="s">
        <v>251</v>
      </c>
      <c r="O199" s="14" t="s">
        <v>9158</v>
      </c>
      <c r="P199" s="14" t="s">
        <v>9158</v>
      </c>
      <c r="Q199" s="14" t="s">
        <v>9158</v>
      </c>
      <c r="R199" s="14"/>
    </row>
    <row r="200" spans="1:18">
      <c r="A200" s="9">
        <v>73523</v>
      </c>
      <c r="B200" s="14" t="s">
        <v>334</v>
      </c>
      <c r="C200" s="14" t="s">
        <v>165</v>
      </c>
      <c r="D200" s="14" t="s">
        <v>213</v>
      </c>
      <c r="E200" s="15" t="str">
        <f>HYPERLINK("https://stat100.ameba.jp/tnk47/ratio20/illustrations/card/ill_73523_marunomarudono03.jpg?201810-3-RELEASE-dice-e-374xx", "■")</f>
        <v>■</v>
      </c>
      <c r="F200" s="14" t="s">
        <v>694</v>
      </c>
      <c r="G200" s="14">
        <v>98285</v>
      </c>
      <c r="H200" s="14">
        <v>105715</v>
      </c>
      <c r="I200" s="14">
        <v>21</v>
      </c>
      <c r="J200" s="14" t="s">
        <v>187</v>
      </c>
      <c r="K200" s="14" t="s">
        <v>220</v>
      </c>
      <c r="L200" s="14" t="s">
        <v>9894</v>
      </c>
      <c r="M200" s="14" t="s">
        <v>13131</v>
      </c>
      <c r="N200" s="14" t="s">
        <v>251</v>
      </c>
      <c r="O200" s="14" t="s">
        <v>9158</v>
      </c>
      <c r="P200" s="14" t="s">
        <v>9158</v>
      </c>
      <c r="Q200" s="14" t="s">
        <v>9158</v>
      </c>
      <c r="R200" s="14"/>
    </row>
    <row r="201" spans="1:18">
      <c r="A201" s="9">
        <v>72713</v>
      </c>
      <c r="B201" s="14" t="s">
        <v>334</v>
      </c>
      <c r="C201" s="14" t="s">
        <v>267</v>
      </c>
      <c r="D201" s="14" t="s">
        <v>214</v>
      </c>
      <c r="E201" s="15" t="str">
        <f>HYPERLINK("https://stat100.ameba.jp/tnk47/ratio20/illustrations/card/ill_72713_okamuzuminomikoto03.jpg?201810-3-RELEASE-dice-e-374xx", "■")</f>
        <v>■</v>
      </c>
      <c r="F201" s="14" t="s">
        <v>695</v>
      </c>
      <c r="G201" s="14">
        <v>98285</v>
      </c>
      <c r="H201" s="14">
        <v>105715</v>
      </c>
      <c r="I201" s="14">
        <v>21</v>
      </c>
      <c r="J201" s="14" t="s">
        <v>169</v>
      </c>
      <c r="K201" s="14" t="s">
        <v>221</v>
      </c>
      <c r="L201" s="14" t="s">
        <v>9895</v>
      </c>
      <c r="M201" s="14" t="s">
        <v>13131</v>
      </c>
      <c r="N201" s="14" t="s">
        <v>251</v>
      </c>
      <c r="O201" s="14" t="s">
        <v>9158</v>
      </c>
      <c r="P201" s="14" t="s">
        <v>9158</v>
      </c>
      <c r="Q201" s="14" t="s">
        <v>9158</v>
      </c>
      <c r="R201" s="14"/>
    </row>
    <row r="202" spans="1:18">
      <c r="A202" s="9">
        <v>73533</v>
      </c>
      <c r="B202" s="14" t="s">
        <v>334</v>
      </c>
      <c r="C202" s="14" t="s">
        <v>206</v>
      </c>
      <c r="D202" s="14" t="s">
        <v>215</v>
      </c>
      <c r="E202" s="15" t="str">
        <f>HYPERLINK("https://stat100.ameba.jp/tnk47/ratio20/illustrations/card/ill_73533_agubutachan03.jpg?201810-3-RELEASE-dice-e-374xx", "■")</f>
        <v>■</v>
      </c>
      <c r="F202" s="14" t="s">
        <v>696</v>
      </c>
      <c r="G202" s="14">
        <v>105715</v>
      </c>
      <c r="H202" s="14">
        <v>98285</v>
      </c>
      <c r="I202" s="14">
        <v>21</v>
      </c>
      <c r="J202" s="14" t="s">
        <v>216</v>
      </c>
      <c r="K202" s="14" t="s">
        <v>697</v>
      </c>
      <c r="L202" s="14" t="s">
        <v>9896</v>
      </c>
      <c r="M202" s="14" t="s">
        <v>13131</v>
      </c>
      <c r="N202" s="14" t="s">
        <v>251</v>
      </c>
      <c r="O202" s="14" t="s">
        <v>9158</v>
      </c>
      <c r="P202" s="14" t="s">
        <v>9158</v>
      </c>
      <c r="Q202" s="14" t="s">
        <v>9158</v>
      </c>
      <c r="R202" s="14"/>
    </row>
    <row r="203" spans="1:18">
      <c r="B203" s="14"/>
      <c r="C203" s="14"/>
      <c r="D203" s="14"/>
      <c r="F203" s="14"/>
      <c r="G203" s="14"/>
      <c r="H203" s="14"/>
      <c r="I203" s="14"/>
      <c r="J203" s="14"/>
      <c r="K203" s="14"/>
      <c r="L203" s="14"/>
      <c r="M203" s="14"/>
      <c r="N203" s="14"/>
      <c r="P203" s="14"/>
      <c r="Q203" s="14"/>
      <c r="R203" s="14"/>
    </row>
    <row r="204" spans="1:18">
      <c r="A204" s="14" t="s">
        <v>222</v>
      </c>
      <c r="D204" s="14"/>
      <c r="F204" s="14"/>
      <c r="G204" s="14"/>
      <c r="H204" s="14"/>
      <c r="I204" s="14"/>
      <c r="J204" s="14"/>
      <c r="K204" s="14"/>
      <c r="L204" s="14"/>
      <c r="M204" s="14"/>
      <c r="N204" s="14"/>
      <c r="P204" s="14"/>
      <c r="Q204" s="14"/>
      <c r="R204" s="14"/>
    </row>
    <row r="205" spans="1:18">
      <c r="A205" s="14" t="s">
        <v>246</v>
      </c>
      <c r="C205" s="14"/>
      <c r="D205" s="14"/>
      <c r="F205" s="14"/>
      <c r="G205" s="14"/>
      <c r="H205" s="14"/>
      <c r="I205" s="14"/>
      <c r="J205" s="14"/>
      <c r="K205" s="14"/>
      <c r="L205" s="14"/>
      <c r="M205" s="14"/>
      <c r="N205" s="14"/>
      <c r="P205" s="14"/>
      <c r="Q205" s="14"/>
      <c r="R205" s="14"/>
    </row>
    <row r="206" spans="1:18">
      <c r="A206" s="9" t="s">
        <v>5724</v>
      </c>
      <c r="B206" s="14" t="s">
        <v>330</v>
      </c>
      <c r="C206" s="14" t="s">
        <v>185</v>
      </c>
      <c r="D206" s="14" t="s">
        <v>698</v>
      </c>
      <c r="E206" s="15" t="str">
        <f>HYPERLINK("https://stat100.ameba.jp/tnk47/ratio20/illustrations/card/ill_66433_0_haroinfujishirogozen03.jpg?201810-3-RELEASE-dice-e-374xx", "■")</f>
        <v>■</v>
      </c>
      <c r="F206" s="14" t="s">
        <v>699</v>
      </c>
      <c r="G206" s="14">
        <v>110170</v>
      </c>
      <c r="H206" s="14">
        <v>118500</v>
      </c>
      <c r="I206" s="14">
        <v>18</v>
      </c>
      <c r="J206" s="14" t="s">
        <v>315</v>
      </c>
      <c r="K206" s="14" t="s">
        <v>700</v>
      </c>
      <c r="L206" s="14" t="s">
        <v>701</v>
      </c>
      <c r="M206" s="14" t="s">
        <v>9158</v>
      </c>
      <c r="N206" s="14" t="s">
        <v>9158</v>
      </c>
      <c r="O206" s="17" t="s">
        <v>10062</v>
      </c>
      <c r="P206" s="14" t="s">
        <v>3345</v>
      </c>
      <c r="Q206" s="14">
        <v>1</v>
      </c>
      <c r="R206" s="14"/>
    </row>
    <row r="207" spans="1:18">
      <c r="A207" s="9" t="s">
        <v>6132</v>
      </c>
      <c r="B207" s="14" t="s">
        <v>330</v>
      </c>
      <c r="C207" s="14" t="s">
        <v>205</v>
      </c>
      <c r="D207" s="14" t="s">
        <v>2281</v>
      </c>
      <c r="E207" s="15" t="str">
        <f>HYPERLINK("https://stat100.ameba.jp/tnk47/ratio20/illustrations/card/ill_50693_0_hanamizugimimuratsuru03.jpg?201810-3-RELEASE-dice-e-374xx", "■")</f>
        <v>■</v>
      </c>
      <c r="F207" s="14" t="s">
        <v>703</v>
      </c>
      <c r="G207" s="14">
        <v>100454</v>
      </c>
      <c r="H207" s="14">
        <v>113082</v>
      </c>
      <c r="I207" s="14">
        <v>18</v>
      </c>
      <c r="J207" s="14" t="s">
        <v>310</v>
      </c>
      <c r="K207" s="14" t="s">
        <v>704</v>
      </c>
      <c r="L207" s="14" t="s">
        <v>705</v>
      </c>
      <c r="M207" s="14" t="s">
        <v>9158</v>
      </c>
      <c r="N207" s="14" t="s">
        <v>9158</v>
      </c>
      <c r="O207" s="14" t="s">
        <v>9158</v>
      </c>
      <c r="P207" s="14" t="s">
        <v>9158</v>
      </c>
      <c r="Q207" s="14" t="s">
        <v>9158</v>
      </c>
      <c r="R207" s="14"/>
    </row>
    <row r="208" spans="1:18">
      <c r="A208" s="9">
        <v>76971</v>
      </c>
      <c r="B208" s="14" t="s">
        <v>334</v>
      </c>
      <c r="C208" s="14" t="s">
        <v>209</v>
      </c>
      <c r="D208" s="14" t="s">
        <v>706</v>
      </c>
      <c r="E208" s="15" t="str">
        <f>HYPERLINK("https://stat100.ameba.jp/tnk47/ratio20/illustrations/card/ill_76971_higashinokaidanengi01.jpg?201810-3-RELEASE-dice-e-374xx", "■")</f>
        <v>■</v>
      </c>
      <c r="F208" s="14" t="s">
        <v>707</v>
      </c>
      <c r="G208" s="14">
        <v>48510</v>
      </c>
      <c r="H208" s="14">
        <v>52558</v>
      </c>
      <c r="I208" s="14">
        <v>22</v>
      </c>
      <c r="J208" s="14" t="s">
        <v>320</v>
      </c>
      <c r="K208" s="14" t="s">
        <v>708</v>
      </c>
      <c r="L208" s="14" t="s">
        <v>709</v>
      </c>
      <c r="M208" s="14" t="s">
        <v>9158</v>
      </c>
      <c r="N208" s="14" t="s">
        <v>9158</v>
      </c>
      <c r="O208" s="14" t="s">
        <v>9158</v>
      </c>
      <c r="P208" s="14" t="s">
        <v>9158</v>
      </c>
      <c r="Q208" s="14" t="s">
        <v>9158</v>
      </c>
      <c r="R208" s="14"/>
    </row>
    <row r="209" spans="1:18">
      <c r="A209" s="9">
        <v>76981</v>
      </c>
      <c r="B209" s="14" t="s">
        <v>334</v>
      </c>
      <c r="C209" s="14" t="s">
        <v>203</v>
      </c>
      <c r="D209" s="14" t="s">
        <v>710</v>
      </c>
      <c r="E209" s="15" t="str">
        <f>HYPERLINK("https://stat100.ameba.jp/tnk47/ratio20/illustrations/card/ill_76981_nishinokaidanengi01.jpg?201810-3-RELEASE-dice-e-374xx", "■")</f>
        <v>■</v>
      </c>
      <c r="F209" s="14" t="s">
        <v>711</v>
      </c>
      <c r="G209" s="14">
        <v>48510</v>
      </c>
      <c r="H209" s="14">
        <v>52558</v>
      </c>
      <c r="I209" s="14">
        <v>22</v>
      </c>
      <c r="J209" s="14" t="s">
        <v>320</v>
      </c>
      <c r="K209" s="14" t="s">
        <v>712</v>
      </c>
      <c r="L209" s="14" t="s">
        <v>709</v>
      </c>
      <c r="M209" s="14" t="s">
        <v>9158</v>
      </c>
      <c r="N209" s="14" t="s">
        <v>9158</v>
      </c>
      <c r="O209" s="14" t="s">
        <v>9158</v>
      </c>
      <c r="P209" s="14" t="s">
        <v>9158</v>
      </c>
      <c r="Q209" s="14" t="s">
        <v>9158</v>
      </c>
      <c r="R209" s="14"/>
    </row>
    <row r="210" spans="1:18">
      <c r="A210" s="9">
        <v>76993</v>
      </c>
      <c r="B210" s="14" t="s">
        <v>334</v>
      </c>
      <c r="C210" s="14" t="s">
        <v>202</v>
      </c>
      <c r="D210" s="14" t="s">
        <v>713</v>
      </c>
      <c r="E210" s="15" t="str">
        <f>HYPERLINK("https://stat100.ameba.jp/tnk47/ratio20/illustrations/card/ill_76993_kaikokaidanengi03.jpg?201810-3-RELEASE-dice-e-374xx", "■")</f>
        <v>■</v>
      </c>
      <c r="F210" s="14" t="s">
        <v>714</v>
      </c>
      <c r="G210" s="14">
        <v>113480</v>
      </c>
      <c r="H210" s="14">
        <v>122066</v>
      </c>
      <c r="I210" s="14">
        <v>22</v>
      </c>
      <c r="J210" s="14" t="s">
        <v>320</v>
      </c>
      <c r="K210" s="14" t="s">
        <v>715</v>
      </c>
      <c r="L210" s="14" t="s">
        <v>716</v>
      </c>
      <c r="M210" s="14" t="s">
        <v>9158</v>
      </c>
      <c r="N210" s="14" t="s">
        <v>9158</v>
      </c>
      <c r="O210" s="14" t="s">
        <v>9158</v>
      </c>
      <c r="P210" s="14" t="s">
        <v>9158</v>
      </c>
      <c r="Q210" s="14" t="s">
        <v>9158</v>
      </c>
      <c r="R210" s="14"/>
    </row>
    <row r="211" spans="1:18">
      <c r="A211" s="9">
        <v>70981</v>
      </c>
      <c r="B211" s="14" t="s">
        <v>334</v>
      </c>
      <c r="C211" s="14" t="s">
        <v>209</v>
      </c>
      <c r="D211" s="14" t="s">
        <v>717</v>
      </c>
      <c r="E211" s="15" t="str">
        <f>HYPERLINK("https://stat100.ameba.jp/tnk47/ratio20/illustrations/card/ill_70981_higashinogokuhimengi01.jpg?201810-3-RELEASE-dice-e-374xx", "■")</f>
        <v>■</v>
      </c>
      <c r="F211" s="14" t="s">
        <v>718</v>
      </c>
      <c r="G211" s="14">
        <v>51040</v>
      </c>
      <c r="H211" s="14">
        <v>56100</v>
      </c>
      <c r="I211" s="14">
        <v>22</v>
      </c>
      <c r="J211" s="14" t="s">
        <v>315</v>
      </c>
      <c r="K211" s="14" t="s">
        <v>719</v>
      </c>
      <c r="L211" s="14" t="s">
        <v>720</v>
      </c>
      <c r="M211" s="14" t="s">
        <v>9158</v>
      </c>
      <c r="N211" s="14" t="s">
        <v>9158</v>
      </c>
      <c r="O211" s="14" t="s">
        <v>9158</v>
      </c>
      <c r="P211" s="14" t="s">
        <v>9158</v>
      </c>
      <c r="Q211" s="14" t="s">
        <v>9158</v>
      </c>
      <c r="R211" s="14"/>
    </row>
    <row r="212" spans="1:18">
      <c r="A212" s="9">
        <v>70991</v>
      </c>
      <c r="B212" s="14" t="s">
        <v>334</v>
      </c>
      <c r="C212" s="14" t="s">
        <v>203</v>
      </c>
      <c r="D212" s="14" t="s">
        <v>721</v>
      </c>
      <c r="E212" s="15" t="str">
        <f>HYPERLINK("https://stat100.ameba.jp/tnk47/ratio20/illustrations/card/ill_70991_nishinogokuhimengi01.jpg?201810-3-RELEASE-dice-e-374xx", "■")</f>
        <v>■</v>
      </c>
      <c r="F212" s="14" t="s">
        <v>722</v>
      </c>
      <c r="G212" s="14">
        <v>51040</v>
      </c>
      <c r="H212" s="14">
        <v>56100</v>
      </c>
      <c r="I212" s="14">
        <v>22</v>
      </c>
      <c r="J212" s="14" t="s">
        <v>315</v>
      </c>
      <c r="K212" s="14" t="s">
        <v>723</v>
      </c>
      <c r="L212" s="14" t="s">
        <v>720</v>
      </c>
      <c r="M212" s="14" t="s">
        <v>9158</v>
      </c>
      <c r="N212" s="14" t="s">
        <v>9158</v>
      </c>
      <c r="O212" s="14" t="s">
        <v>9158</v>
      </c>
      <c r="P212" s="14" t="s">
        <v>9158</v>
      </c>
      <c r="Q212" s="14" t="s">
        <v>9158</v>
      </c>
      <c r="R212" s="14"/>
    </row>
    <row r="213" spans="1:18">
      <c r="A213" s="9">
        <v>71003</v>
      </c>
      <c r="B213" s="14" t="s">
        <v>334</v>
      </c>
      <c r="C213" s="14" t="s">
        <v>202</v>
      </c>
      <c r="D213" s="14" t="s">
        <v>724</v>
      </c>
      <c r="E213" s="15" t="str">
        <f>HYPERLINK("https://stat100.ameba.jp/tnk47/ratio20/illustrations/card/ill_71003_retsujitsugokuhimengi03.jpg?201810-3-RELEASE-dice-e-374xx", "■")</f>
        <v>■</v>
      </c>
      <c r="F213" s="14" t="s">
        <v>725</v>
      </c>
      <c r="G213" s="14">
        <v>90940</v>
      </c>
      <c r="H213" s="14">
        <v>97418</v>
      </c>
      <c r="I213" s="14">
        <v>22</v>
      </c>
      <c r="J213" s="14" t="s">
        <v>315</v>
      </c>
      <c r="K213" s="14" t="s">
        <v>726</v>
      </c>
      <c r="L213" s="14" t="s">
        <v>727</v>
      </c>
      <c r="M213" s="14" t="s">
        <v>9158</v>
      </c>
      <c r="N213" s="14" t="s">
        <v>9158</v>
      </c>
      <c r="O213" s="14" t="s">
        <v>9158</v>
      </c>
      <c r="P213" s="14" t="s">
        <v>9158</v>
      </c>
      <c r="Q213" s="14" t="s">
        <v>9158</v>
      </c>
      <c r="R213" s="14"/>
    </row>
    <row r="214" spans="1:18">
      <c r="B214" s="14"/>
      <c r="C214" s="14"/>
      <c r="D214" s="14"/>
      <c r="F214" s="14"/>
      <c r="G214" s="14"/>
      <c r="H214" s="14"/>
      <c r="I214" s="14"/>
      <c r="J214" s="14"/>
      <c r="K214" s="14"/>
      <c r="L214" s="14"/>
      <c r="M214" s="14"/>
      <c r="N214" s="14"/>
      <c r="P214" s="14"/>
      <c r="Q214" s="14"/>
      <c r="R214" s="14"/>
    </row>
    <row r="215" spans="1:18">
      <c r="A215" s="14" t="s">
        <v>115</v>
      </c>
      <c r="D215" s="14"/>
      <c r="F215" s="14"/>
      <c r="G215" s="14"/>
      <c r="H215" s="14"/>
      <c r="I215" s="14"/>
      <c r="J215" s="14"/>
      <c r="K215" s="14"/>
      <c r="L215" s="14"/>
      <c r="M215" s="14"/>
      <c r="N215" s="14"/>
      <c r="P215" s="14"/>
      <c r="Q215" s="14"/>
      <c r="R215" s="14"/>
    </row>
    <row r="216" spans="1:18">
      <c r="A216" s="14" t="s">
        <v>247</v>
      </c>
      <c r="C216" s="14"/>
      <c r="D216" s="14"/>
      <c r="F216" s="14"/>
      <c r="G216" s="14"/>
      <c r="H216" s="14"/>
      <c r="I216" s="14"/>
      <c r="J216" s="14"/>
      <c r="K216" s="14"/>
      <c r="L216" s="14"/>
      <c r="M216" s="14"/>
      <c r="N216" s="14"/>
      <c r="P216" s="14"/>
      <c r="Q216" s="14"/>
      <c r="R216" s="14"/>
    </row>
    <row r="217" spans="1:18">
      <c r="A217" s="9" t="s">
        <v>5611</v>
      </c>
      <c r="B217" s="14" t="s">
        <v>330</v>
      </c>
      <c r="C217" s="14" t="s">
        <v>185</v>
      </c>
      <c r="D217" s="14" t="s">
        <v>539</v>
      </c>
      <c r="E217" s="15" t="str">
        <f>HYPERLINK("https://stat100.ameba.jp/tnk47/ratio20/illustrations/card/ill_60633_0_harumaisentoin03.jpg?201810-3-RELEASE-dice-e-374xx", "■")</f>
        <v>■</v>
      </c>
      <c r="F217" s="14" t="s">
        <v>540</v>
      </c>
      <c r="G217" s="14">
        <v>95371</v>
      </c>
      <c r="H217" s="14">
        <v>102590</v>
      </c>
      <c r="I217" s="14">
        <v>15</v>
      </c>
      <c r="J217" s="14" t="s">
        <v>274</v>
      </c>
      <c r="K217" s="14" t="s">
        <v>541</v>
      </c>
      <c r="L217" s="14" t="s">
        <v>542</v>
      </c>
      <c r="M217" s="14" t="s">
        <v>9158</v>
      </c>
      <c r="N217" s="14" t="s">
        <v>9158</v>
      </c>
      <c r="O217" s="9" t="s">
        <v>2888</v>
      </c>
      <c r="P217" s="14" t="s">
        <v>3144</v>
      </c>
      <c r="Q217" s="14">
        <v>1</v>
      </c>
      <c r="R217" s="14"/>
    </row>
    <row r="218" spans="1:18">
      <c r="A218" s="9" t="s">
        <v>5725</v>
      </c>
      <c r="B218" s="14" t="s">
        <v>330</v>
      </c>
      <c r="C218" s="14" t="s">
        <v>344</v>
      </c>
      <c r="D218" s="14" t="s">
        <v>543</v>
      </c>
      <c r="E218" s="15" t="str">
        <f>HYPERLINK("https://stat100.ameba.jp/tnk47/ratio20/illustrations/card/ill_52693_0_sengokumibirakiyanagiharabyakuren03.jpg?201810-3-RELEASE-dice-e-374xx", "■")</f>
        <v>■</v>
      </c>
      <c r="F218" s="14" t="s">
        <v>544</v>
      </c>
      <c r="G218" s="14">
        <v>83712</v>
      </c>
      <c r="H218" s="14">
        <v>94236</v>
      </c>
      <c r="I218" s="14">
        <v>15</v>
      </c>
      <c r="J218" s="14" t="s">
        <v>414</v>
      </c>
      <c r="K218" s="14" t="s">
        <v>545</v>
      </c>
      <c r="L218" s="14" t="s">
        <v>546</v>
      </c>
      <c r="M218" s="14" t="s">
        <v>9158</v>
      </c>
      <c r="N218" s="14" t="s">
        <v>9158</v>
      </c>
      <c r="O218" s="9" t="s">
        <v>3303</v>
      </c>
      <c r="P218" s="14" t="s">
        <v>3304</v>
      </c>
      <c r="Q218" s="14">
        <v>1</v>
      </c>
      <c r="R218" s="14"/>
    </row>
    <row r="219" spans="1:18">
      <c r="A219" s="9" t="s">
        <v>5897</v>
      </c>
      <c r="B219" s="14" t="s">
        <v>330</v>
      </c>
      <c r="C219" s="14" t="s">
        <v>271</v>
      </c>
      <c r="D219" s="14" t="s">
        <v>277</v>
      </c>
      <c r="E219" s="15" t="str">
        <f>HYPERLINK("https://stat100.ameba.jp/tnk47/ratio20/illustrations/card/ill_40913_0_reigyokudensetsufusehime03.jpg?201810-3-RELEASE-dice-e-374xx", "■")</f>
        <v>■</v>
      </c>
      <c r="F219" s="14" t="s">
        <v>278</v>
      </c>
      <c r="G219" s="14">
        <v>82212</v>
      </c>
      <c r="H219" s="14">
        <v>87780</v>
      </c>
      <c r="I219" s="14">
        <v>15</v>
      </c>
      <c r="J219" s="14" t="s">
        <v>274</v>
      </c>
      <c r="K219" s="14" t="s">
        <v>279</v>
      </c>
      <c r="L219" s="14" t="s">
        <v>280</v>
      </c>
      <c r="M219" s="14" t="s">
        <v>9158</v>
      </c>
      <c r="N219" s="14" t="s">
        <v>9158</v>
      </c>
      <c r="O219" s="14" t="s">
        <v>9158</v>
      </c>
      <c r="P219" s="14" t="s">
        <v>9158</v>
      </c>
      <c r="Q219" s="14" t="s">
        <v>9158</v>
      </c>
      <c r="R219" s="14"/>
    </row>
    <row r="220" spans="1:18">
      <c r="A220" s="9">
        <v>60223</v>
      </c>
      <c r="B220" s="14" t="s">
        <v>334</v>
      </c>
      <c r="C220" s="14" t="s">
        <v>344</v>
      </c>
      <c r="D220" s="14" t="s">
        <v>728</v>
      </c>
      <c r="E220" s="15" t="str">
        <f>HYPERLINK("https://stat100.ameba.jp/tnk47/ratio20/illustrations/card/ill_60223_soyoshitoshi03.jpg?201810-3-RELEASE-dice-e-374xx", "■")</f>
        <v>■</v>
      </c>
      <c r="F220" s="14" t="s">
        <v>729</v>
      </c>
      <c r="G220" s="14">
        <v>113330</v>
      </c>
      <c r="H220" s="14">
        <v>156482</v>
      </c>
      <c r="I220" s="14">
        <v>22</v>
      </c>
      <c r="J220" s="14" t="s">
        <v>310</v>
      </c>
      <c r="K220" s="14" t="s">
        <v>730</v>
      </c>
      <c r="L220" s="14" t="s">
        <v>731</v>
      </c>
      <c r="M220" s="14" t="s">
        <v>9158</v>
      </c>
      <c r="N220" s="14" t="s">
        <v>9158</v>
      </c>
      <c r="O220" s="14" t="s">
        <v>9158</v>
      </c>
      <c r="P220" s="14" t="s">
        <v>9158</v>
      </c>
      <c r="Q220" s="14" t="s">
        <v>9158</v>
      </c>
      <c r="R220" s="14"/>
    </row>
    <row r="221" spans="1:18">
      <c r="A221" s="9">
        <v>55993</v>
      </c>
      <c r="B221" s="14" t="s">
        <v>334</v>
      </c>
      <c r="C221" s="14" t="s">
        <v>307</v>
      </c>
      <c r="D221" s="14" t="s">
        <v>732</v>
      </c>
      <c r="E221" s="15" t="str">
        <f>HYPERLINK("https://stat100.ameba.jp/tnk47/ratio20/illustrations/card/ill_55993_taiyakichan03.jpg?201810-3-RELEASE-dice-e-374xx", "■")</f>
        <v>■</v>
      </c>
      <c r="F221" s="14" t="s">
        <v>733</v>
      </c>
      <c r="G221" s="14">
        <v>72186</v>
      </c>
      <c r="H221" s="14">
        <v>128320</v>
      </c>
      <c r="I221" s="14">
        <v>22</v>
      </c>
      <c r="J221" s="14" t="s">
        <v>283</v>
      </c>
      <c r="K221" s="14" t="s">
        <v>734</v>
      </c>
      <c r="L221" s="14" t="s">
        <v>735</v>
      </c>
      <c r="M221" s="14" t="s">
        <v>9158</v>
      </c>
      <c r="N221" s="14" t="s">
        <v>9158</v>
      </c>
      <c r="O221" s="14" t="s">
        <v>9158</v>
      </c>
      <c r="P221" s="14" t="s">
        <v>9158</v>
      </c>
      <c r="Q221" s="14" t="s">
        <v>9158</v>
      </c>
      <c r="R221" s="14"/>
    </row>
    <row r="222" spans="1:18">
      <c r="A222" s="9">
        <v>58923</v>
      </c>
      <c r="B222" s="14" t="s">
        <v>334</v>
      </c>
      <c r="C222" s="14" t="s">
        <v>268</v>
      </c>
      <c r="D222" s="14" t="s">
        <v>736</v>
      </c>
      <c r="E222" s="15" t="str">
        <f>HYPERLINK("https://stat100.ameba.jp/tnk47/ratio20/illustrations/card/ill_58923_chokotamamonomae03.jpg?201810-3-RELEASE-dice-e-374xx", "■")</f>
        <v>■</v>
      </c>
      <c r="F222" s="14" t="s">
        <v>737</v>
      </c>
      <c r="G222" s="14">
        <v>78838</v>
      </c>
      <c r="H222" s="14">
        <v>84796</v>
      </c>
      <c r="I222" s="14">
        <v>22</v>
      </c>
      <c r="J222" s="14" t="s">
        <v>320</v>
      </c>
      <c r="K222" s="14" t="s">
        <v>738</v>
      </c>
      <c r="L222" s="14" t="s">
        <v>739</v>
      </c>
      <c r="M222" s="14" t="s">
        <v>9158</v>
      </c>
      <c r="N222" s="14" t="s">
        <v>9158</v>
      </c>
      <c r="O222" s="14" t="s">
        <v>9158</v>
      </c>
      <c r="P222" s="14" t="s">
        <v>9158</v>
      </c>
      <c r="Q222" s="14" t="s">
        <v>9158</v>
      </c>
      <c r="R222" s="14"/>
    </row>
    <row r="223" spans="1:18">
      <c r="A223" s="9">
        <v>48673</v>
      </c>
      <c r="B223" s="14" t="s">
        <v>348</v>
      </c>
      <c r="C223" s="14" t="s">
        <v>344</v>
      </c>
      <c r="D223" s="14" t="s">
        <v>558</v>
      </c>
      <c r="E223" s="15" t="str">
        <f>HYPERLINK("https://stat100.ameba.jp/tnk47/ratio20/illustrations/card/ill_48673_senyaichiyamonogatari03.jpg?201810-3-RELEASE-dice-e-374xx", "■")</f>
        <v>■</v>
      </c>
      <c r="F223" s="14" t="s">
        <v>559</v>
      </c>
      <c r="G223" s="14">
        <v>59144</v>
      </c>
      <c r="H223" s="14">
        <v>65208</v>
      </c>
      <c r="I223" s="14">
        <v>22</v>
      </c>
      <c r="J223" s="14" t="s">
        <v>274</v>
      </c>
      <c r="K223" s="14" t="s">
        <v>560</v>
      </c>
      <c r="L223" s="14" t="s">
        <v>561</v>
      </c>
      <c r="M223" s="14" t="s">
        <v>9158</v>
      </c>
      <c r="N223" s="14" t="s">
        <v>9158</v>
      </c>
      <c r="O223" s="14" t="s">
        <v>9158</v>
      </c>
      <c r="P223" s="14" t="s">
        <v>9158</v>
      </c>
      <c r="Q223" s="14" t="s">
        <v>9158</v>
      </c>
      <c r="R223" s="14"/>
    </row>
    <row r="224" spans="1:18">
      <c r="A224" s="9">
        <v>47793</v>
      </c>
      <c r="B224" s="14" t="s">
        <v>348</v>
      </c>
      <c r="C224" s="14" t="s">
        <v>335</v>
      </c>
      <c r="D224" s="14" t="s">
        <v>562</v>
      </c>
      <c r="E224" s="15" t="str">
        <f>HYPERLINK("https://stat100.ameba.jp/tnk47/ratio20/illustrations/card/ill_47793_arabiannaitotadanomakuzu03.jpg?201810-3-RELEASE-dice-e-374xx", "■")</f>
        <v>■</v>
      </c>
      <c r="F224" s="14" t="s">
        <v>563</v>
      </c>
      <c r="G224" s="14">
        <v>59144</v>
      </c>
      <c r="H224" s="14">
        <v>65208</v>
      </c>
      <c r="I224" s="14">
        <v>22</v>
      </c>
      <c r="J224" s="14" t="s">
        <v>351</v>
      </c>
      <c r="K224" s="14" t="s">
        <v>564</v>
      </c>
      <c r="L224" s="14" t="s">
        <v>565</v>
      </c>
      <c r="M224" s="14" t="s">
        <v>9158</v>
      </c>
      <c r="N224" s="14" t="s">
        <v>9158</v>
      </c>
      <c r="O224" s="14" t="s">
        <v>9158</v>
      </c>
      <c r="P224" s="14" t="s">
        <v>9158</v>
      </c>
      <c r="Q224" s="14" t="s">
        <v>9158</v>
      </c>
      <c r="R224" s="14"/>
    </row>
    <row r="225" spans="1:18">
      <c r="A225" s="9">
        <v>54903</v>
      </c>
      <c r="B225" s="14" t="s">
        <v>348</v>
      </c>
      <c r="C225" s="14" t="s">
        <v>267</v>
      </c>
      <c r="D225" s="14" t="s">
        <v>566</v>
      </c>
      <c r="E225" s="15" t="str">
        <f>HYPERLINK("https://stat100.ameba.jp/tnk47/ratio20/illustrations/card/ill_54903_baniyamanetoshiko03.jpg?201810-3-RELEASE-dice-e-374xx", "■")</f>
        <v>■</v>
      </c>
      <c r="F225" s="14" t="s">
        <v>567</v>
      </c>
      <c r="G225" s="14">
        <v>52764</v>
      </c>
      <c r="H225" s="14">
        <v>71588</v>
      </c>
      <c r="I225" s="14">
        <v>22</v>
      </c>
      <c r="J225" s="14" t="s">
        <v>414</v>
      </c>
      <c r="K225" s="14" t="s">
        <v>568</v>
      </c>
      <c r="L225" s="14" t="s">
        <v>569</v>
      </c>
      <c r="M225" s="14" t="s">
        <v>9158</v>
      </c>
      <c r="N225" s="14" t="s">
        <v>9158</v>
      </c>
      <c r="O225" s="14" t="s">
        <v>9158</v>
      </c>
      <c r="P225" s="14" t="s">
        <v>9158</v>
      </c>
      <c r="Q225" s="14" t="s">
        <v>9158</v>
      </c>
      <c r="R225" s="14"/>
    </row>
    <row r="226" spans="1:18">
      <c r="B226" s="14"/>
      <c r="C226" s="14"/>
      <c r="D226" s="14"/>
      <c r="F226" s="14"/>
      <c r="G226" s="14"/>
      <c r="H226" s="14"/>
      <c r="I226" s="14"/>
      <c r="J226" s="14"/>
      <c r="K226" s="14"/>
      <c r="L226" s="14"/>
      <c r="M226" s="14"/>
      <c r="N226" s="14"/>
      <c r="P226" s="14"/>
      <c r="Q226" s="14"/>
      <c r="R226" s="14"/>
    </row>
    <row r="227" spans="1:18">
      <c r="A227" s="14" t="s">
        <v>740</v>
      </c>
      <c r="D227" s="14"/>
      <c r="F227" s="14"/>
      <c r="G227" s="14"/>
      <c r="H227" s="14"/>
      <c r="I227" s="14"/>
      <c r="J227" s="14"/>
      <c r="K227" s="14"/>
      <c r="L227" s="14"/>
      <c r="M227" s="14"/>
      <c r="N227" s="14"/>
      <c r="P227" s="14"/>
      <c r="Q227" s="14"/>
      <c r="R227" s="14"/>
    </row>
    <row r="228" spans="1:18">
      <c r="A228" s="14" t="s">
        <v>7416</v>
      </c>
      <c r="B228" s="14"/>
      <c r="C228" s="14"/>
      <c r="D228" s="14"/>
      <c r="E228" s="14"/>
      <c r="F228" s="14"/>
      <c r="G228" s="14"/>
      <c r="H228" s="14"/>
      <c r="I228" s="14"/>
      <c r="J228" s="14"/>
      <c r="K228" s="14"/>
      <c r="L228" s="14"/>
      <c r="M228" s="14"/>
      <c r="N228" s="14"/>
      <c r="O228" s="14"/>
      <c r="P228" s="14"/>
      <c r="Q228" s="14"/>
      <c r="R228" s="14"/>
    </row>
    <row r="229" spans="1:18">
      <c r="A229" s="14" t="s">
        <v>7646</v>
      </c>
      <c r="B229" s="14"/>
      <c r="C229" s="14"/>
      <c r="D229" s="14"/>
      <c r="E229" s="14"/>
      <c r="F229" s="14"/>
      <c r="G229" s="14"/>
      <c r="H229" s="14"/>
      <c r="I229" s="14"/>
      <c r="J229" s="14"/>
      <c r="K229" s="14"/>
      <c r="L229" s="14"/>
      <c r="M229" s="14"/>
      <c r="N229" s="14"/>
      <c r="O229" s="14"/>
      <c r="P229" s="14"/>
      <c r="Q229" s="14"/>
      <c r="R229" s="14"/>
    </row>
    <row r="230" spans="1:18">
      <c r="A230" s="9" t="s">
        <v>5787</v>
      </c>
      <c r="B230" s="14" t="s">
        <v>330</v>
      </c>
      <c r="C230" s="14" t="s">
        <v>270</v>
      </c>
      <c r="D230" s="14" t="s">
        <v>331</v>
      </c>
      <c r="E230" s="15" t="str">
        <f>HYPERLINK("https://stat100.ameba.jp/tnk47/ratio20/illustrations/card/ill_76303_0_haroinkaguya03.jpg?201810-3-RELEASE-dice-e-374xx", "■")</f>
        <v>■</v>
      </c>
      <c r="F230" s="14" t="s">
        <v>332</v>
      </c>
      <c r="G230" s="14">
        <v>178507</v>
      </c>
      <c r="H230" s="14">
        <v>165953</v>
      </c>
      <c r="I230" s="14">
        <v>15</v>
      </c>
      <c r="J230" s="14" t="s">
        <v>274</v>
      </c>
      <c r="K230" s="14" t="s">
        <v>333</v>
      </c>
      <c r="L230" s="14" t="s">
        <v>276</v>
      </c>
      <c r="M230" s="14" t="s">
        <v>9158</v>
      </c>
      <c r="N230" s="14" t="s">
        <v>9158</v>
      </c>
      <c r="O230" s="9" t="s">
        <v>2723</v>
      </c>
      <c r="P230" s="14" t="s">
        <v>2724</v>
      </c>
      <c r="Q230" s="14">
        <v>1</v>
      </c>
      <c r="R230" s="14"/>
    </row>
    <row r="231" spans="1:18">
      <c r="A231" s="9">
        <v>76563</v>
      </c>
      <c r="B231" s="14" t="s">
        <v>334</v>
      </c>
      <c r="C231" s="14" t="s">
        <v>344</v>
      </c>
      <c r="D231" s="14" t="s">
        <v>3872</v>
      </c>
      <c r="E231" s="15" t="str">
        <f>HYPERLINK("https://stat100.ameba.jp/tnk47/ratio20/illustrations/card/ill_76563_hannarideru03.jpg?201810-3-RELEASE-dice-e-374xx", "■")</f>
        <v>■</v>
      </c>
      <c r="F231" s="14" t="s">
        <v>741</v>
      </c>
      <c r="G231" s="14">
        <v>82027</v>
      </c>
      <c r="H231" s="14">
        <v>76237</v>
      </c>
      <c r="I231" s="14">
        <v>21</v>
      </c>
      <c r="J231" s="14" t="s">
        <v>351</v>
      </c>
      <c r="K231" s="14" t="s">
        <v>742</v>
      </c>
      <c r="L231" s="14" t="s">
        <v>743</v>
      </c>
      <c r="M231" s="14" t="s">
        <v>9158</v>
      </c>
      <c r="N231" s="14" t="s">
        <v>9158</v>
      </c>
      <c r="O231" s="14" t="s">
        <v>9158</v>
      </c>
      <c r="P231" s="14" t="s">
        <v>9158</v>
      </c>
      <c r="Q231" s="14" t="s">
        <v>9158</v>
      </c>
      <c r="R231" s="14"/>
    </row>
    <row r="232" spans="1:18">
      <c r="A232" s="9">
        <v>76573</v>
      </c>
      <c r="B232" s="14" t="s">
        <v>348</v>
      </c>
      <c r="C232" s="14" t="s">
        <v>335</v>
      </c>
      <c r="D232" s="14" t="s">
        <v>744</v>
      </c>
      <c r="E232" s="15" t="str">
        <f>HYPERLINK("https://stat100.ameba.jp/tnk47/ratio20/illustrations/card/ill_76573_daria03.jpg?201810-3-RELEASE-dice-e-374xx", "■")</f>
        <v>■</v>
      </c>
      <c r="F232" s="14" t="s">
        <v>14733</v>
      </c>
      <c r="G232" s="14">
        <v>56456</v>
      </c>
      <c r="H232" s="14">
        <v>62244</v>
      </c>
      <c r="I232" s="14">
        <v>21</v>
      </c>
      <c r="J232" s="14" t="s">
        <v>369</v>
      </c>
      <c r="K232" s="14" t="s">
        <v>746</v>
      </c>
      <c r="L232" s="14" t="s">
        <v>747</v>
      </c>
      <c r="M232" s="14" t="s">
        <v>9158</v>
      </c>
      <c r="N232" s="14" t="s">
        <v>9158</v>
      </c>
      <c r="O232" s="14" t="s">
        <v>9158</v>
      </c>
      <c r="P232" s="14" t="s">
        <v>9158</v>
      </c>
      <c r="Q232" s="14" t="s">
        <v>9158</v>
      </c>
      <c r="R232" s="14"/>
    </row>
    <row r="233" spans="1:18">
      <c r="A233" s="9">
        <v>76583</v>
      </c>
      <c r="B233" s="14" t="s">
        <v>362</v>
      </c>
      <c r="C233" s="14" t="s">
        <v>308</v>
      </c>
      <c r="D233" s="14" t="s">
        <v>748</v>
      </c>
      <c r="E233" s="15" t="str">
        <f>HYPERLINK("https://stat100.ameba.jp/tnk47/ratio20/illustrations/card/ill_76583_banshu_okiku03.jpg?201810-3-RELEASE-dice-e-374xx", "■")</f>
        <v>■</v>
      </c>
      <c r="F233" s="14" t="s">
        <v>749</v>
      </c>
      <c r="G233" s="14">
        <v>43662</v>
      </c>
      <c r="H233" s="14">
        <v>36304</v>
      </c>
      <c r="I233" s="14">
        <v>21</v>
      </c>
      <c r="J233" s="14" t="s">
        <v>274</v>
      </c>
      <c r="K233" s="14" t="s">
        <v>750</v>
      </c>
      <c r="L233" s="14" t="s">
        <v>600</v>
      </c>
      <c r="M233" s="14" t="s">
        <v>9158</v>
      </c>
      <c r="N233" s="14" t="s">
        <v>9158</v>
      </c>
      <c r="O233" s="14" t="s">
        <v>9158</v>
      </c>
      <c r="P233" s="14" t="s">
        <v>9158</v>
      </c>
      <c r="Q233" s="14" t="s">
        <v>9158</v>
      </c>
      <c r="R233" s="14"/>
    </row>
    <row r="234" spans="1:18">
      <c r="A234" s="9">
        <v>76593</v>
      </c>
      <c r="B234" s="14" t="s">
        <v>372</v>
      </c>
      <c r="C234" s="14" t="s">
        <v>751</v>
      </c>
      <c r="D234" s="14" t="s">
        <v>752</v>
      </c>
      <c r="E234" s="15" t="str">
        <f>HYPERLINK("https://stat100.ameba.jp/tnk47/ratio20/illustrations/card/ill_76593_momijimanjuuchan03.jpg?201810-3-RELEASE-dice-e-374xx", "■")</f>
        <v>■</v>
      </c>
      <c r="F234" s="14" t="s">
        <v>753</v>
      </c>
      <c r="G234" s="14">
        <v>22200</v>
      </c>
      <c r="H234" s="14">
        <v>26434</v>
      </c>
      <c r="I234" s="14">
        <v>21</v>
      </c>
      <c r="J234" s="14" t="s">
        <v>283</v>
      </c>
      <c r="K234" s="14" t="s">
        <v>754</v>
      </c>
      <c r="L234" s="14" t="s">
        <v>755</v>
      </c>
      <c r="M234" s="14" t="s">
        <v>9158</v>
      </c>
      <c r="N234" s="14" t="s">
        <v>9158</v>
      </c>
      <c r="O234" s="14" t="s">
        <v>9158</v>
      </c>
      <c r="P234" s="14" t="s">
        <v>9158</v>
      </c>
      <c r="Q234" s="14" t="s">
        <v>9158</v>
      </c>
      <c r="R234" s="14"/>
    </row>
    <row r="235" spans="1:18">
      <c r="B235" s="14"/>
      <c r="C235" s="14"/>
      <c r="D235" s="14"/>
      <c r="F235" s="14"/>
      <c r="G235" s="14"/>
      <c r="H235" s="14"/>
      <c r="I235" s="14"/>
      <c r="J235" s="14"/>
      <c r="K235" s="14"/>
      <c r="L235" s="14"/>
      <c r="M235" s="14"/>
      <c r="N235" s="14"/>
      <c r="P235" s="14"/>
      <c r="Q235" s="14"/>
      <c r="R235" s="14"/>
    </row>
    <row r="236" spans="1:18">
      <c r="A236" s="14" t="s">
        <v>223</v>
      </c>
      <c r="D236" s="14"/>
      <c r="F236" s="14"/>
      <c r="G236" s="14"/>
      <c r="H236" s="14"/>
      <c r="I236" s="14"/>
      <c r="J236" s="14"/>
      <c r="K236" s="14"/>
      <c r="L236" s="14"/>
      <c r="M236" s="14"/>
      <c r="N236" s="14"/>
      <c r="P236" s="14"/>
      <c r="Q236" s="14"/>
      <c r="R236" s="14"/>
    </row>
    <row r="237" spans="1:18">
      <c r="A237" s="14" t="s">
        <v>756</v>
      </c>
      <c r="C237" s="14"/>
      <c r="D237" s="14"/>
      <c r="F237" s="14"/>
      <c r="G237" s="14"/>
      <c r="H237" s="14"/>
      <c r="I237" s="14"/>
      <c r="J237" s="14"/>
      <c r="K237" s="14"/>
      <c r="L237" s="14"/>
      <c r="M237" s="14"/>
      <c r="N237" s="14"/>
      <c r="P237" s="14"/>
      <c r="Q237" s="14"/>
      <c r="R237" s="14"/>
    </row>
    <row r="238" spans="1:18">
      <c r="A238" s="9" t="s">
        <v>5848</v>
      </c>
      <c r="B238" s="14" t="s">
        <v>330</v>
      </c>
      <c r="C238" s="14" t="s">
        <v>200</v>
      </c>
      <c r="D238" s="14" t="s">
        <v>224</v>
      </c>
      <c r="E238" s="15" t="str">
        <f>HYPERLINK("https://stat100.ameba.jp/tnk47/ratio20/illustrations/card/ill_72963_0_amenohanayomehiguchiichiyo03.jpg?201810-3-RELEASE-dice-e-374xx", "■")</f>
        <v>■</v>
      </c>
      <c r="F238" s="14" t="s">
        <v>757</v>
      </c>
      <c r="G238" s="14">
        <v>113904</v>
      </c>
      <c r="H238" s="14">
        <v>105910</v>
      </c>
      <c r="I238" s="14">
        <v>17</v>
      </c>
      <c r="J238" s="14" t="s">
        <v>173</v>
      </c>
      <c r="K238" s="14" t="s">
        <v>225</v>
      </c>
      <c r="L238" s="14" t="s">
        <v>13141</v>
      </c>
      <c r="M238" s="14" t="s">
        <v>9158</v>
      </c>
      <c r="N238" s="14" t="s">
        <v>9158</v>
      </c>
      <c r="O238" s="9" t="s">
        <v>3162</v>
      </c>
      <c r="P238" s="14" t="s">
        <v>3163</v>
      </c>
      <c r="Q238" s="14">
        <v>1</v>
      </c>
      <c r="R238" s="14"/>
    </row>
    <row r="239" spans="1:18">
      <c r="A239" s="9">
        <v>68723</v>
      </c>
      <c r="B239" s="14" t="s">
        <v>334</v>
      </c>
      <c r="C239" s="14" t="s">
        <v>185</v>
      </c>
      <c r="D239" s="14" t="s">
        <v>226</v>
      </c>
      <c r="E239" s="15" t="str">
        <f>HYPERLINK("https://stat100.ameba.jp/tnk47/ratio20/illustrations/card/ill_68723_gantanfukuhime03.jpg?201810-3-RELEASE-dice-e-374xx", "■")</f>
        <v>■</v>
      </c>
      <c r="F239" s="14" t="s">
        <v>758</v>
      </c>
      <c r="G239" s="14">
        <v>68977</v>
      </c>
      <c r="H239" s="14">
        <v>74215</v>
      </c>
      <c r="I239" s="14">
        <v>19</v>
      </c>
      <c r="J239" s="14" t="s">
        <v>187</v>
      </c>
      <c r="K239" s="14" t="s">
        <v>227</v>
      </c>
      <c r="L239" s="14" t="s">
        <v>13142</v>
      </c>
      <c r="M239" s="14" t="s">
        <v>9158</v>
      </c>
      <c r="N239" s="14" t="s">
        <v>9158</v>
      </c>
      <c r="O239" s="17" t="s">
        <v>10053</v>
      </c>
      <c r="P239" s="14" t="s">
        <v>3592</v>
      </c>
      <c r="Q239" s="14">
        <v>1</v>
      </c>
      <c r="R239" s="14"/>
    </row>
    <row r="240" spans="1:18">
      <c r="A240" s="9">
        <v>64043</v>
      </c>
      <c r="B240" s="14" t="s">
        <v>334</v>
      </c>
      <c r="C240" s="14" t="s">
        <v>209</v>
      </c>
      <c r="D240" s="14" t="s">
        <v>228</v>
      </c>
      <c r="E240" s="15" t="str">
        <f>HYPERLINK("https://stat100.ameba.jp/tnk47/ratio20/illustrations/card/ill_64043_kegonnotaki03.jpg?201810-3-RELEASE-dice-e-374xx", "■")</f>
        <v>■</v>
      </c>
      <c r="F240" s="14" t="s">
        <v>759</v>
      </c>
      <c r="G240" s="14">
        <v>90377</v>
      </c>
      <c r="H240" s="14">
        <v>65466</v>
      </c>
      <c r="I240" s="14">
        <v>19</v>
      </c>
      <c r="J240" s="14" t="s">
        <v>229</v>
      </c>
      <c r="K240" s="14" t="s">
        <v>230</v>
      </c>
      <c r="L240" s="14" t="s">
        <v>13143</v>
      </c>
      <c r="M240" s="14" t="s">
        <v>9158</v>
      </c>
      <c r="N240" s="14" t="s">
        <v>9158</v>
      </c>
      <c r="O240" s="9" t="s">
        <v>3578</v>
      </c>
      <c r="P240" s="14" t="s">
        <v>3579</v>
      </c>
      <c r="Q240" s="14">
        <v>1</v>
      </c>
      <c r="R240" s="14"/>
    </row>
    <row r="241" spans="1:18">
      <c r="A241" s="9">
        <v>51893</v>
      </c>
      <c r="B241" s="14" t="s">
        <v>334</v>
      </c>
      <c r="C241" s="14" t="s">
        <v>206</v>
      </c>
      <c r="D241" s="14" t="s">
        <v>231</v>
      </c>
      <c r="E241" s="15" t="str">
        <f>HYPERLINK("https://stat100.ameba.jp/tnk47/ratio20/illustrations/card/ill_51893_kemonomizugitakachihonomine03.jpg?201810-3-RELEASE-dice-e-374xx", "■")</f>
        <v>■</v>
      </c>
      <c r="F241" s="14" t="s">
        <v>760</v>
      </c>
      <c r="G241" s="14">
        <v>68088</v>
      </c>
      <c r="H241" s="14">
        <v>73232</v>
      </c>
      <c r="I241" s="14">
        <v>19</v>
      </c>
      <c r="J241" s="14" t="s">
        <v>169</v>
      </c>
      <c r="K241" s="14" t="s">
        <v>232</v>
      </c>
      <c r="L241" s="14" t="s">
        <v>13144</v>
      </c>
      <c r="M241" s="14" t="s">
        <v>9158</v>
      </c>
      <c r="N241" s="14" t="s">
        <v>9158</v>
      </c>
      <c r="O241" s="9" t="s">
        <v>3601</v>
      </c>
      <c r="P241" s="14" t="s">
        <v>13145</v>
      </c>
      <c r="Q241" s="14">
        <v>1</v>
      </c>
      <c r="R241" s="14"/>
    </row>
    <row r="242" spans="1:18">
      <c r="B242" s="14"/>
      <c r="C242" s="14"/>
      <c r="D242" s="14"/>
      <c r="F242" s="14"/>
      <c r="G242" s="14"/>
      <c r="H242" s="14"/>
      <c r="I242" s="14"/>
      <c r="J242" s="14"/>
      <c r="K242" s="14"/>
      <c r="L242" s="14"/>
      <c r="M242" s="14"/>
      <c r="N242" s="14"/>
      <c r="P242" s="14"/>
      <c r="Q242" s="14"/>
      <c r="R242" s="14"/>
    </row>
    <row r="243" spans="1:18">
      <c r="A243" s="14" t="s">
        <v>13331</v>
      </c>
      <c r="D243" s="14"/>
      <c r="F243" s="14"/>
      <c r="G243" s="14"/>
      <c r="H243" s="14"/>
      <c r="I243" s="14"/>
      <c r="J243" s="14"/>
      <c r="K243" s="14"/>
      <c r="L243" s="14"/>
      <c r="M243" s="14"/>
      <c r="N243" s="14"/>
      <c r="P243" s="14"/>
      <c r="Q243" s="14"/>
      <c r="R243" s="14"/>
    </row>
    <row r="244" spans="1:18">
      <c r="A244" s="14" t="s">
        <v>761</v>
      </c>
      <c r="B244" s="14"/>
      <c r="C244" s="14"/>
      <c r="D244" s="14"/>
      <c r="F244" s="14"/>
      <c r="G244" s="14"/>
      <c r="H244" s="14"/>
      <c r="I244" s="14"/>
      <c r="J244" s="14"/>
      <c r="K244" s="14"/>
      <c r="L244" s="14"/>
      <c r="M244" s="14"/>
      <c r="N244" s="14"/>
      <c r="P244" s="14"/>
      <c r="Q244" s="14"/>
      <c r="R244" s="14"/>
    </row>
    <row r="245" spans="1:18">
      <c r="A245" s="9">
        <v>76755</v>
      </c>
      <c r="B245" s="14" t="s">
        <v>334</v>
      </c>
      <c r="C245" s="14" t="s">
        <v>35</v>
      </c>
      <c r="D245" s="14" t="s">
        <v>762</v>
      </c>
      <c r="E245" s="15" t="str">
        <f>HYPERLINK("https://stat100.ameba.jp/tnk47/ratio20/illustrations/card/ill_76755_igamenchi05.jpg?201810-4-RELEASE-guildbattle-375x", "■")</f>
        <v>■</v>
      </c>
      <c r="F245" s="14" t="s">
        <v>762</v>
      </c>
      <c r="G245" s="14">
        <v>125086</v>
      </c>
      <c r="H245" s="14">
        <v>90580</v>
      </c>
      <c r="I245" s="14">
        <v>22</v>
      </c>
      <c r="J245" s="14" t="s">
        <v>283</v>
      </c>
      <c r="K245" s="14" t="s">
        <v>763</v>
      </c>
      <c r="L245" s="14" t="s">
        <v>532</v>
      </c>
      <c r="M245" s="14" t="s">
        <v>9158</v>
      </c>
      <c r="N245" s="14" t="s">
        <v>9158</v>
      </c>
      <c r="O245" s="14" t="s">
        <v>9158</v>
      </c>
      <c r="P245" s="14" t="s">
        <v>9158</v>
      </c>
      <c r="Q245" s="14" t="s">
        <v>9158</v>
      </c>
      <c r="R245" s="14" t="s">
        <v>174</v>
      </c>
    </row>
    <row r="246" spans="1:18">
      <c r="A246" s="9">
        <v>76753</v>
      </c>
      <c r="B246" s="14" t="s">
        <v>348</v>
      </c>
      <c r="C246" s="14" t="s">
        <v>209</v>
      </c>
      <c r="D246" s="14" t="s">
        <v>762</v>
      </c>
      <c r="E246" s="15" t="str">
        <f>HYPERLINK("https://stat100.ameba.jp/tnk47/ratio20/illustrations/card/ill_76753_igamenchi03.jpg?201810-4-RELEASE-guildbattle-375x", "■")</f>
        <v>■</v>
      </c>
      <c r="F246" s="14" t="s">
        <v>762</v>
      </c>
      <c r="G246" s="14">
        <v>92170</v>
      </c>
      <c r="H246" s="14">
        <v>66738</v>
      </c>
      <c r="I246" s="14">
        <v>22</v>
      </c>
      <c r="J246" s="14" t="s">
        <v>283</v>
      </c>
      <c r="K246" s="14" t="s">
        <v>763</v>
      </c>
      <c r="L246" s="14" t="s">
        <v>533</v>
      </c>
      <c r="M246" s="14" t="s">
        <v>9158</v>
      </c>
      <c r="N246" s="14" t="s">
        <v>9158</v>
      </c>
      <c r="O246" s="14" t="s">
        <v>9158</v>
      </c>
      <c r="P246" s="14" t="s">
        <v>9158</v>
      </c>
      <c r="Q246" s="14" t="s">
        <v>9158</v>
      </c>
      <c r="R246" s="14" t="s">
        <v>175</v>
      </c>
    </row>
    <row r="247" spans="1:18">
      <c r="A247" s="9">
        <v>76751</v>
      </c>
      <c r="B247" s="14" t="s">
        <v>348</v>
      </c>
      <c r="C247" s="14" t="s">
        <v>209</v>
      </c>
      <c r="D247" s="14" t="s">
        <v>762</v>
      </c>
      <c r="E247" s="15" t="str">
        <f>HYPERLINK("https://stat100.ameba.jp/tnk47/ratio20/illustrations/card/ill_76751_igamenchi01.jpg?201810-4-RELEASE-guildbattle-375x", "■")</f>
        <v>■</v>
      </c>
      <c r="F247" s="14" t="s">
        <v>762</v>
      </c>
      <c r="G247" s="14">
        <v>58630</v>
      </c>
      <c r="H247" s="14">
        <v>42460</v>
      </c>
      <c r="I247" s="14">
        <v>22</v>
      </c>
      <c r="J247" s="14" t="s">
        <v>283</v>
      </c>
      <c r="K247" s="14" t="s">
        <v>763</v>
      </c>
      <c r="L247" s="14" t="s">
        <v>534</v>
      </c>
      <c r="M247" s="14" t="s">
        <v>9158</v>
      </c>
      <c r="N247" s="14" t="s">
        <v>9158</v>
      </c>
      <c r="O247" s="14" t="s">
        <v>9158</v>
      </c>
      <c r="P247" s="14" t="s">
        <v>9158</v>
      </c>
      <c r="Q247" s="14" t="s">
        <v>9158</v>
      </c>
      <c r="R247" s="14" t="s">
        <v>176</v>
      </c>
    </row>
    <row r="248" spans="1:18">
      <c r="B248" s="14"/>
      <c r="C248" s="14"/>
      <c r="D248" s="14"/>
      <c r="F248" s="14"/>
      <c r="G248" s="14"/>
      <c r="H248" s="14"/>
      <c r="I248" s="14"/>
      <c r="J248" s="14"/>
      <c r="K248" s="14"/>
      <c r="L248" s="14"/>
      <c r="M248" s="14"/>
      <c r="N248" s="14"/>
      <c r="P248" s="14"/>
      <c r="Q248" s="14"/>
      <c r="R248" s="14"/>
    </row>
    <row r="249" spans="1:18">
      <c r="A249" s="14" t="s">
        <v>10159</v>
      </c>
      <c r="D249" s="14"/>
      <c r="F249" s="14"/>
      <c r="G249" s="14"/>
      <c r="H249" s="14"/>
      <c r="I249" s="14"/>
      <c r="J249" s="14"/>
      <c r="K249" s="14"/>
      <c r="L249" s="14"/>
      <c r="M249" s="14"/>
      <c r="N249" s="14"/>
      <c r="P249" s="14"/>
      <c r="Q249" s="14"/>
      <c r="R249" s="14"/>
    </row>
    <row r="250" spans="1:18">
      <c r="A250" s="14" t="s">
        <v>764</v>
      </c>
      <c r="B250" s="14"/>
      <c r="C250" s="14"/>
      <c r="D250" s="14"/>
      <c r="F250" s="14"/>
      <c r="G250" s="14"/>
      <c r="H250" s="14"/>
      <c r="I250" s="14"/>
      <c r="J250" s="14"/>
      <c r="K250" s="14"/>
      <c r="L250" s="14"/>
      <c r="M250" s="14"/>
      <c r="N250" s="14"/>
      <c r="P250" s="14"/>
      <c r="Q250" s="14"/>
      <c r="R250" s="14"/>
    </row>
    <row r="251" spans="1:18">
      <c r="A251" s="9">
        <v>59043</v>
      </c>
      <c r="B251" s="14" t="s">
        <v>334</v>
      </c>
      <c r="C251" s="14" t="s">
        <v>268</v>
      </c>
      <c r="D251" s="14" t="s">
        <v>765</v>
      </c>
      <c r="E251" s="15" t="str">
        <f>HYPERLINK("https://stat100.ameba.jp/tnk47/ratio20/illustrations/card/ill_59043_umeoiransodehagi03.jpg?201810-4-RELEASE-guildbattle-375x", "■")</f>
        <v>■</v>
      </c>
      <c r="F251" s="14" t="s">
        <v>766</v>
      </c>
      <c r="G251" s="14">
        <v>77088</v>
      </c>
      <c r="H251" s="14">
        <v>71672</v>
      </c>
      <c r="I251" s="14">
        <v>20</v>
      </c>
      <c r="J251" s="14" t="s">
        <v>274</v>
      </c>
      <c r="K251" s="14" t="s">
        <v>767</v>
      </c>
      <c r="L251" s="14" t="s">
        <v>768</v>
      </c>
      <c r="M251" s="14" t="s">
        <v>9158</v>
      </c>
      <c r="N251" s="14" t="s">
        <v>9158</v>
      </c>
      <c r="O251" s="14" t="s">
        <v>9158</v>
      </c>
      <c r="P251" s="14" t="s">
        <v>9158</v>
      </c>
      <c r="Q251" s="14" t="s">
        <v>9158</v>
      </c>
      <c r="R251" s="14"/>
    </row>
    <row r="252" spans="1:18">
      <c r="A252" s="9">
        <v>70023</v>
      </c>
      <c r="B252" s="14" t="s">
        <v>334</v>
      </c>
      <c r="C252" s="14" t="s">
        <v>344</v>
      </c>
      <c r="D252" s="14" t="s">
        <v>3871</v>
      </c>
      <c r="E252" s="15" t="str">
        <f>HYPERLINK("https://stat100.ameba.jp/tnk47/ratio20/illustrations/card/ill_70023_yukinoukokunabeshimanobakeneko03.jpg?201810-4-RELEASE-guildbattle-375x", "■")</f>
        <v>■</v>
      </c>
      <c r="F252" s="14" t="s">
        <v>769</v>
      </c>
      <c r="G252" s="14">
        <v>77496</v>
      </c>
      <c r="H252" s="14">
        <v>83330</v>
      </c>
      <c r="I252" s="14">
        <v>20</v>
      </c>
      <c r="J252" s="14" t="s">
        <v>320</v>
      </c>
      <c r="K252" s="14" t="s">
        <v>770</v>
      </c>
      <c r="L252" s="14" t="s">
        <v>771</v>
      </c>
      <c r="M252" s="14" t="s">
        <v>9158</v>
      </c>
      <c r="N252" s="14" t="s">
        <v>9158</v>
      </c>
      <c r="O252" s="14" t="s">
        <v>9158</v>
      </c>
      <c r="P252" s="14" t="s">
        <v>9158</v>
      </c>
      <c r="Q252" s="14" t="s">
        <v>9158</v>
      </c>
      <c r="R252" s="14"/>
    </row>
    <row r="253" spans="1:18">
      <c r="A253" s="9">
        <v>57803</v>
      </c>
      <c r="B253" s="14" t="s">
        <v>334</v>
      </c>
      <c r="C253" s="14" t="s">
        <v>268</v>
      </c>
      <c r="D253" s="14" t="s">
        <v>772</v>
      </c>
      <c r="E253" s="15" t="str">
        <f>HYPERLINK("https://stat100.ameba.jp/tnk47/ratio20/illustrations/card/ill_57803_piyopiyobaku03.jpg?201810-4-RELEASE-guildbattle-375x", "■")</f>
        <v>■</v>
      </c>
      <c r="F253" s="14" t="s">
        <v>773</v>
      </c>
      <c r="G253" s="14">
        <v>71672</v>
      </c>
      <c r="H253" s="14">
        <v>77088</v>
      </c>
      <c r="I253" s="14">
        <v>20</v>
      </c>
      <c r="J253" s="14" t="s">
        <v>401</v>
      </c>
      <c r="K253" s="14" t="s">
        <v>774</v>
      </c>
      <c r="L253" s="14" t="s">
        <v>775</v>
      </c>
      <c r="M253" s="14" t="s">
        <v>9158</v>
      </c>
      <c r="N253" s="14" t="s">
        <v>9158</v>
      </c>
      <c r="O253" s="14" t="s">
        <v>9158</v>
      </c>
      <c r="P253" s="14" t="s">
        <v>9158</v>
      </c>
      <c r="Q253" s="14" t="s">
        <v>9158</v>
      </c>
      <c r="R253" s="14"/>
    </row>
    <row r="254" spans="1:18">
      <c r="A254" s="9">
        <v>47783</v>
      </c>
      <c r="B254" s="14" t="s">
        <v>348</v>
      </c>
      <c r="C254" s="14" t="s">
        <v>307</v>
      </c>
      <c r="D254" s="14" t="s">
        <v>776</v>
      </c>
      <c r="E254" s="15" t="str">
        <f>HYPERLINK("https://stat100.ameba.jp/tnk47/ratio20/illustrations/card/ill_47783_arabiannaitoyamatedono03.jpg?201810-4-RELEASE-guildbattle-375x", "■")</f>
        <v>■</v>
      </c>
      <c r="F254" s="14" t="s">
        <v>777</v>
      </c>
      <c r="G254" s="14">
        <v>48390</v>
      </c>
      <c r="H254" s="14">
        <v>53352</v>
      </c>
      <c r="I254" s="14">
        <v>18</v>
      </c>
      <c r="J254" s="14" t="s">
        <v>315</v>
      </c>
      <c r="K254" s="14" t="s">
        <v>778</v>
      </c>
      <c r="L254" s="14" t="s">
        <v>779</v>
      </c>
      <c r="M254" s="14" t="s">
        <v>9158</v>
      </c>
      <c r="N254" s="14" t="s">
        <v>9158</v>
      </c>
      <c r="O254" s="14" t="s">
        <v>9158</v>
      </c>
      <c r="P254" s="14" t="s">
        <v>9158</v>
      </c>
      <c r="Q254" s="14" t="s">
        <v>9158</v>
      </c>
      <c r="R254" s="14"/>
    </row>
    <row r="255" spans="1:18">
      <c r="A255" s="9">
        <v>69223</v>
      </c>
      <c r="B255" s="14" t="s">
        <v>348</v>
      </c>
      <c r="C255" s="14" t="s">
        <v>344</v>
      </c>
      <c r="D255" s="14" t="s">
        <v>780</v>
      </c>
      <c r="E255" s="15" t="str">
        <f>HYPERLINK("https://stat100.ameba.jp/tnk47/ratio20/illustrations/card/ill_69223_burodoeiruisufuroisu03.jpg?201810-4-RELEASE-guildbattle-375x", "■")</f>
        <v>■</v>
      </c>
      <c r="F255" s="14" t="s">
        <v>781</v>
      </c>
      <c r="G255" s="14">
        <v>53352</v>
      </c>
      <c r="H255" s="14">
        <v>48390</v>
      </c>
      <c r="I255" s="14">
        <v>18</v>
      </c>
      <c r="J255" s="14" t="s">
        <v>351</v>
      </c>
      <c r="K255" s="14" t="s">
        <v>782</v>
      </c>
      <c r="L255" s="14" t="s">
        <v>473</v>
      </c>
      <c r="M255" s="14" t="s">
        <v>9158</v>
      </c>
      <c r="N255" s="14" t="s">
        <v>9158</v>
      </c>
      <c r="O255" s="14" t="s">
        <v>9158</v>
      </c>
      <c r="P255" s="14" t="s">
        <v>9158</v>
      </c>
      <c r="Q255" s="14" t="s">
        <v>9158</v>
      </c>
      <c r="R255" s="14"/>
    </row>
    <row r="256" spans="1:18">
      <c r="A256" s="9">
        <v>47423</v>
      </c>
      <c r="B256" s="14" t="s">
        <v>348</v>
      </c>
      <c r="C256" s="14" t="s">
        <v>271</v>
      </c>
      <c r="D256" s="14" t="s">
        <v>783</v>
      </c>
      <c r="E256" s="15" t="str">
        <f>HYPERLINK("https://stat100.ameba.jp/tnk47/ratio20/illustrations/card/ill_47423_naporitan03.jpg?201810-4-RELEASE-guildbattle-375x", "■")</f>
        <v>■</v>
      </c>
      <c r="F256" s="14" t="s">
        <v>784</v>
      </c>
      <c r="G256" s="14">
        <v>53352</v>
      </c>
      <c r="H256" s="14">
        <v>48390</v>
      </c>
      <c r="I256" s="14">
        <v>18</v>
      </c>
      <c r="J256" s="14" t="s">
        <v>283</v>
      </c>
      <c r="K256" s="14" t="s">
        <v>785</v>
      </c>
      <c r="L256" s="14" t="s">
        <v>786</v>
      </c>
      <c r="M256" s="14" t="s">
        <v>9158</v>
      </c>
      <c r="N256" s="14" t="s">
        <v>9158</v>
      </c>
      <c r="O256" s="14" t="s">
        <v>9158</v>
      </c>
      <c r="P256" s="14" t="s">
        <v>9158</v>
      </c>
      <c r="Q256" s="14" t="s">
        <v>9158</v>
      </c>
      <c r="R256" s="14"/>
    </row>
    <row r="257" spans="1:18">
      <c r="B257" s="14"/>
      <c r="C257" s="14"/>
      <c r="D257" s="14"/>
      <c r="F257" s="14"/>
      <c r="G257" s="14"/>
      <c r="H257" s="14"/>
      <c r="I257" s="14"/>
      <c r="J257" s="14"/>
      <c r="K257" s="14"/>
      <c r="L257" s="14"/>
      <c r="M257" s="14"/>
      <c r="N257" s="14"/>
      <c r="P257" s="14"/>
      <c r="Q257" s="14"/>
      <c r="R257" s="14"/>
    </row>
    <row r="258" spans="1:18">
      <c r="A258" s="14" t="s">
        <v>787</v>
      </c>
      <c r="D258" s="14"/>
      <c r="F258" s="14"/>
      <c r="G258" s="14"/>
      <c r="H258" s="14"/>
      <c r="I258" s="14"/>
      <c r="J258" s="14"/>
      <c r="K258" s="14"/>
      <c r="L258" s="14"/>
      <c r="M258" s="14"/>
      <c r="N258" s="14"/>
      <c r="P258" s="14"/>
      <c r="Q258" s="14"/>
      <c r="R258" s="14"/>
    </row>
    <row r="259" spans="1:18">
      <c r="A259" s="14" t="s">
        <v>788</v>
      </c>
      <c r="B259" s="14"/>
      <c r="C259" s="14"/>
      <c r="D259" s="14"/>
      <c r="F259" s="14"/>
      <c r="G259" s="14"/>
      <c r="H259" s="14"/>
      <c r="I259" s="14"/>
      <c r="J259" s="14"/>
      <c r="K259" s="14"/>
      <c r="L259" s="14"/>
      <c r="M259" s="14"/>
      <c r="N259" s="14"/>
      <c r="P259" s="14"/>
      <c r="Q259" s="14"/>
      <c r="R259" s="14"/>
    </row>
    <row r="260" spans="1:18">
      <c r="A260" s="9" t="s">
        <v>5612</v>
      </c>
      <c r="B260" s="14" t="s">
        <v>330</v>
      </c>
      <c r="C260" s="14" t="s">
        <v>165</v>
      </c>
      <c r="D260" s="14" t="s">
        <v>1895</v>
      </c>
      <c r="E260" s="15" t="str">
        <f>HYPERLINK("https://stat100.ameba.jp/tnk47/ratio20/illustrations/card/ill_49193_0_onmyoudouabenoseimei03.jpg?201810-4-RELEASE-guildbattle-375x", "■")</f>
        <v>■</v>
      </c>
      <c r="F260" s="14" t="s">
        <v>790</v>
      </c>
      <c r="G260" s="14">
        <v>117196</v>
      </c>
      <c r="H260" s="14">
        <v>131930</v>
      </c>
      <c r="I260" s="14">
        <v>21</v>
      </c>
      <c r="J260" s="14" t="s">
        <v>351</v>
      </c>
      <c r="K260" s="14" t="s">
        <v>791</v>
      </c>
      <c r="L260" s="14" t="s">
        <v>792</v>
      </c>
      <c r="M260" s="14" t="s">
        <v>9158</v>
      </c>
      <c r="N260" s="14" t="s">
        <v>9158</v>
      </c>
      <c r="O260" s="14" t="s">
        <v>9158</v>
      </c>
      <c r="P260" s="14" t="s">
        <v>9158</v>
      </c>
      <c r="Q260" s="14" t="s">
        <v>9158</v>
      </c>
      <c r="R260" s="14"/>
    </row>
    <row r="261" spans="1:18">
      <c r="A261" s="9" t="s">
        <v>5721</v>
      </c>
      <c r="B261" s="14" t="s">
        <v>330</v>
      </c>
      <c r="C261" s="14" t="s">
        <v>205</v>
      </c>
      <c r="D261" s="14" t="s">
        <v>2253</v>
      </c>
      <c r="E261" s="15" t="str">
        <f>HYPERLINK("https://stat100.ameba.jp/tnk47/ratio20/illustrations/card/ill_44283_0_izumonokuni03.jpg?201810-4-RELEASE-guildbattle-375x", "■")</f>
        <v>■</v>
      </c>
      <c r="F261" s="14" t="s">
        <v>514</v>
      </c>
      <c r="G261" s="14">
        <v>122892</v>
      </c>
      <c r="H261" s="14">
        <v>115096</v>
      </c>
      <c r="I261" s="14">
        <v>21</v>
      </c>
      <c r="J261" s="14" t="s">
        <v>414</v>
      </c>
      <c r="K261" s="14" t="s">
        <v>515</v>
      </c>
      <c r="L261" s="14" t="s">
        <v>516</v>
      </c>
      <c r="M261" s="14" t="s">
        <v>9158</v>
      </c>
      <c r="N261" s="14" t="s">
        <v>9158</v>
      </c>
      <c r="O261" s="14" t="s">
        <v>9158</v>
      </c>
      <c r="P261" s="14" t="s">
        <v>9158</v>
      </c>
      <c r="Q261" s="14" t="s">
        <v>9158</v>
      </c>
      <c r="R261" s="14"/>
    </row>
    <row r="262" spans="1:18">
      <c r="A262" s="9" t="s">
        <v>5830</v>
      </c>
      <c r="B262" s="14" t="s">
        <v>330</v>
      </c>
      <c r="C262" s="14" t="s">
        <v>191</v>
      </c>
      <c r="D262" s="14" t="s">
        <v>1719</v>
      </c>
      <c r="E262" s="15" t="str">
        <f>HYPERLINK("https://stat100.ameba.jp/tnk47/ratio20/illustrations/card/ill_39933_0_reihiiinaotora03.jpg?201810-4-RELEASE-guildbattle-375x", "■")</f>
        <v>■</v>
      </c>
      <c r="F262" s="14" t="s">
        <v>794</v>
      </c>
      <c r="G262" s="14">
        <v>115096</v>
      </c>
      <c r="H262" s="14">
        <v>122892</v>
      </c>
      <c r="I262" s="14">
        <v>21</v>
      </c>
      <c r="J262" s="14" t="s">
        <v>315</v>
      </c>
      <c r="K262" s="14" t="s">
        <v>795</v>
      </c>
      <c r="L262" s="14" t="s">
        <v>796</v>
      </c>
      <c r="M262" s="14" t="s">
        <v>9158</v>
      </c>
      <c r="N262" s="14" t="s">
        <v>9158</v>
      </c>
      <c r="O262" s="14" t="s">
        <v>9158</v>
      </c>
      <c r="P262" s="14" t="s">
        <v>9158</v>
      </c>
      <c r="Q262" s="14" t="s">
        <v>9158</v>
      </c>
      <c r="R262" s="14"/>
    </row>
    <row r="263" spans="1:18">
      <c r="A263" s="9">
        <v>76563</v>
      </c>
      <c r="B263" s="14" t="s">
        <v>334</v>
      </c>
      <c r="C263" s="14" t="s">
        <v>206</v>
      </c>
      <c r="D263" s="14" t="s">
        <v>3872</v>
      </c>
      <c r="E263" s="15" t="str">
        <f>HYPERLINK("https://stat100.ameba.jp/tnk47/ratio20/illustrations/card/ill_76563_hannarideru03.jpg?201810-4-RELEASE-guildbattle-375x", "■")</f>
        <v>■</v>
      </c>
      <c r="F263" s="14" t="s">
        <v>741</v>
      </c>
      <c r="G263" s="14">
        <v>82027</v>
      </c>
      <c r="H263" s="14">
        <v>76237</v>
      </c>
      <c r="I263" s="14">
        <v>21</v>
      </c>
      <c r="J263" s="14" t="s">
        <v>351</v>
      </c>
      <c r="K263" s="14" t="s">
        <v>742</v>
      </c>
      <c r="L263" s="14" t="s">
        <v>743</v>
      </c>
      <c r="M263" s="14" t="s">
        <v>9158</v>
      </c>
      <c r="N263" s="14" t="s">
        <v>9158</v>
      </c>
      <c r="O263" s="14" t="s">
        <v>9158</v>
      </c>
      <c r="P263" s="14" t="s">
        <v>9158</v>
      </c>
      <c r="Q263" s="14" t="s">
        <v>9158</v>
      </c>
      <c r="R263" s="14"/>
    </row>
    <row r="264" spans="1:18">
      <c r="A264" s="9">
        <v>76573</v>
      </c>
      <c r="B264" s="14" t="s">
        <v>348</v>
      </c>
      <c r="C264" s="14" t="s">
        <v>185</v>
      </c>
      <c r="D264" s="14" t="s">
        <v>744</v>
      </c>
      <c r="E264" s="15" t="str">
        <f>HYPERLINK("https://stat100.ameba.jp/tnk47/ratio20/illustrations/card/ill_76573_daria03.jpg?201810-4-RELEASE-guildbattle-375x", "■")</f>
        <v>■</v>
      </c>
      <c r="F264" s="14" t="s">
        <v>745</v>
      </c>
      <c r="G264" s="14">
        <v>48390</v>
      </c>
      <c r="H264" s="14">
        <v>53352</v>
      </c>
      <c r="I264" s="14">
        <v>18</v>
      </c>
      <c r="J264" s="14" t="s">
        <v>369</v>
      </c>
      <c r="K264" s="14" t="s">
        <v>746</v>
      </c>
      <c r="L264" s="14" t="s">
        <v>747</v>
      </c>
      <c r="M264" s="14" t="s">
        <v>9158</v>
      </c>
      <c r="N264" s="14" t="s">
        <v>9158</v>
      </c>
      <c r="O264" s="14" t="s">
        <v>9158</v>
      </c>
      <c r="P264" s="14" t="s">
        <v>9158</v>
      </c>
      <c r="Q264" s="14" t="s">
        <v>9158</v>
      </c>
      <c r="R264" s="14"/>
    </row>
    <row r="265" spans="1:18">
      <c r="A265" s="9">
        <v>76583</v>
      </c>
      <c r="B265" s="14" t="s">
        <v>362</v>
      </c>
      <c r="C265" s="14" t="s">
        <v>165</v>
      </c>
      <c r="D265" s="14" t="s">
        <v>748</v>
      </c>
      <c r="E265" s="15" t="str">
        <f>HYPERLINK("https://stat100.ameba.jp/tnk47/ratio20/illustrations/card/ill_76583_banshu_okiku03.jpg?201810-4-RELEASE-guildbattle-375x", "■")</f>
        <v>■</v>
      </c>
      <c r="F265" s="14" t="s">
        <v>749</v>
      </c>
      <c r="G265" s="14">
        <v>33266</v>
      </c>
      <c r="H265" s="14">
        <v>27660</v>
      </c>
      <c r="I265" s="14">
        <v>16</v>
      </c>
      <c r="J265" s="14" t="s">
        <v>274</v>
      </c>
      <c r="K265" s="14" t="s">
        <v>750</v>
      </c>
      <c r="L265" s="14" t="s">
        <v>600</v>
      </c>
      <c r="M265" s="14" t="s">
        <v>9158</v>
      </c>
      <c r="N265" s="14" t="s">
        <v>9158</v>
      </c>
      <c r="O265" s="14" t="s">
        <v>9158</v>
      </c>
      <c r="P265" s="14" t="s">
        <v>9158</v>
      </c>
      <c r="Q265" s="14" t="s">
        <v>9158</v>
      </c>
      <c r="R265" s="14"/>
    </row>
    <row r="266" spans="1:18">
      <c r="A266" s="9">
        <v>76593</v>
      </c>
      <c r="B266" s="14" t="s">
        <v>372</v>
      </c>
      <c r="C266" s="14" t="s">
        <v>248</v>
      </c>
      <c r="D266" s="14" t="s">
        <v>752</v>
      </c>
      <c r="E266" s="15" t="str">
        <f>HYPERLINK("https://stat100.ameba.jp/tnk47/ratio20/illustrations/card/ill_76593_momijimanjuuchan03.jpg?201810-4-RELEASE-guildbattle-375x", "■")</f>
        <v>■</v>
      </c>
      <c r="F266" s="14" t="s">
        <v>753</v>
      </c>
      <c r="G266" s="14">
        <v>16914</v>
      </c>
      <c r="H266" s="14">
        <v>20140</v>
      </c>
      <c r="I266" s="14">
        <v>16</v>
      </c>
      <c r="J266" s="14" t="s">
        <v>283</v>
      </c>
      <c r="K266" s="14" t="s">
        <v>754</v>
      </c>
      <c r="L266" s="14" t="s">
        <v>755</v>
      </c>
      <c r="M266" s="14" t="s">
        <v>9158</v>
      </c>
      <c r="N266" s="14" t="s">
        <v>9158</v>
      </c>
      <c r="O266" s="14" t="s">
        <v>9158</v>
      </c>
      <c r="P266" s="14" t="s">
        <v>9158</v>
      </c>
      <c r="Q266" s="14" t="s">
        <v>9158</v>
      </c>
      <c r="R266" s="14"/>
    </row>
    <row r="267" spans="1:18">
      <c r="B267" s="14"/>
      <c r="C267" s="14"/>
      <c r="D267" s="14"/>
      <c r="F267" s="14"/>
      <c r="G267" s="14"/>
      <c r="H267" s="14"/>
      <c r="I267" s="14"/>
      <c r="J267" s="14"/>
      <c r="K267" s="14"/>
      <c r="L267" s="14"/>
      <c r="M267" s="14"/>
      <c r="N267" s="14"/>
      <c r="P267" s="14"/>
      <c r="Q267" s="14"/>
      <c r="R267" s="14"/>
    </row>
    <row r="268" spans="1:18">
      <c r="A268" s="14" t="s">
        <v>204</v>
      </c>
      <c r="D268" s="14"/>
      <c r="F268" s="14"/>
      <c r="G268" s="14"/>
      <c r="H268" s="14"/>
      <c r="I268" s="14"/>
      <c r="J268" s="14"/>
      <c r="K268" s="14"/>
      <c r="L268" s="14"/>
      <c r="M268" s="14"/>
      <c r="N268" s="14"/>
      <c r="P268" s="14"/>
      <c r="Q268" s="14"/>
      <c r="R268" s="14"/>
    </row>
    <row r="269" spans="1:18">
      <c r="A269" s="14" t="s">
        <v>797</v>
      </c>
      <c r="C269" s="14"/>
      <c r="D269" s="14"/>
      <c r="F269" s="14"/>
      <c r="G269" s="14"/>
      <c r="H269" s="14"/>
      <c r="I269" s="14"/>
      <c r="J269" s="14"/>
      <c r="K269" s="14"/>
      <c r="L269" s="14"/>
      <c r="M269" s="14"/>
      <c r="N269" s="14"/>
      <c r="P269" s="14"/>
      <c r="Q269" s="14"/>
      <c r="R269" s="14"/>
    </row>
    <row r="270" spans="1:18">
      <c r="A270" s="9" t="s">
        <v>5603</v>
      </c>
      <c r="B270" s="14" t="s">
        <v>330</v>
      </c>
      <c r="C270" s="14" t="s">
        <v>267</v>
      </c>
      <c r="D270" s="14" t="s">
        <v>611</v>
      </c>
      <c r="E270" s="15" t="str">
        <f>HYPERLINK("https://stat100.ameba.jp/tnk47/ratio20/illustrations/card/ill_61893_0_onikirishumiyamotomusashi03.jpg?201810-4-RELEASE-guildbattle-375x", "■")</f>
        <v>■</v>
      </c>
      <c r="F270" s="14" t="s">
        <v>612</v>
      </c>
      <c r="G270" s="14">
        <v>140016</v>
      </c>
      <c r="H270" s="14">
        <v>130194</v>
      </c>
      <c r="I270" s="14">
        <v>15</v>
      </c>
      <c r="J270" s="14" t="s">
        <v>310</v>
      </c>
      <c r="K270" s="14" t="s">
        <v>613</v>
      </c>
      <c r="L270" s="14" t="s">
        <v>312</v>
      </c>
      <c r="M270" s="14" t="s">
        <v>9158</v>
      </c>
      <c r="N270" s="14" t="s">
        <v>9158</v>
      </c>
      <c r="O270" s="9" t="s">
        <v>3252</v>
      </c>
      <c r="P270" s="14" t="s">
        <v>3253</v>
      </c>
      <c r="Q270" s="14">
        <v>1</v>
      </c>
      <c r="R270" s="14"/>
    </row>
    <row r="271" spans="1:18">
      <c r="A271" s="9" t="s">
        <v>5609</v>
      </c>
      <c r="B271" s="14" t="s">
        <v>330</v>
      </c>
      <c r="C271" s="14" t="s">
        <v>271</v>
      </c>
      <c r="D271" s="14" t="s">
        <v>389</v>
      </c>
      <c r="E271" s="15" t="str">
        <f>HYPERLINK("https://stat100.ameba.jp/tnk47/ratio20/illustrations/card/ill_53753_0_natsumatsuritokugawaieyasu03.jpg?201810-4-RELEASE-guildbattle-375x", "■")</f>
        <v>■</v>
      </c>
      <c r="F271" s="14" t="s">
        <v>390</v>
      </c>
      <c r="G271" s="14">
        <v>94236</v>
      </c>
      <c r="H271" s="14">
        <v>83712</v>
      </c>
      <c r="I271" s="14">
        <v>15</v>
      </c>
      <c r="J271" s="14" t="s">
        <v>310</v>
      </c>
      <c r="K271" s="14" t="s">
        <v>391</v>
      </c>
      <c r="L271" s="14" t="s">
        <v>392</v>
      </c>
      <c r="M271" s="14" t="s">
        <v>9158</v>
      </c>
      <c r="N271" s="14" t="s">
        <v>9158</v>
      </c>
      <c r="O271" s="17" t="s">
        <v>10052</v>
      </c>
      <c r="P271" s="14" t="s">
        <v>13121</v>
      </c>
      <c r="Q271" s="14">
        <v>1</v>
      </c>
      <c r="R271" s="14"/>
    </row>
    <row r="272" spans="1:18">
      <c r="A272" s="9" t="s">
        <v>5604</v>
      </c>
      <c r="B272" s="14" t="s">
        <v>330</v>
      </c>
      <c r="C272" s="14" t="s">
        <v>344</v>
      </c>
      <c r="D272" s="14" t="s">
        <v>51</v>
      </c>
      <c r="E272" s="15" t="str">
        <f>HYPERLINK("https://stat100.ameba.jp/tnk47/ratio20/illustrations/card/ill_47263_0_oukyuuatsuhime03.jpg?201810-4-RELEASE-guildbattle-375x", "■")</f>
        <v>■</v>
      </c>
      <c r="F272" s="14" t="s">
        <v>615</v>
      </c>
      <c r="G272" s="14">
        <v>94236</v>
      </c>
      <c r="H272" s="14">
        <v>83712</v>
      </c>
      <c r="I272" s="14">
        <v>15</v>
      </c>
      <c r="J272" s="14" t="s">
        <v>315</v>
      </c>
      <c r="K272" s="14" t="s">
        <v>616</v>
      </c>
      <c r="L272" s="14" t="s">
        <v>617</v>
      </c>
      <c r="M272" s="14" t="s">
        <v>9158</v>
      </c>
      <c r="N272" s="14" t="s">
        <v>9158</v>
      </c>
      <c r="O272" s="14" t="s">
        <v>9158</v>
      </c>
      <c r="P272" s="14" t="s">
        <v>9158</v>
      </c>
      <c r="Q272" s="14" t="s">
        <v>9158</v>
      </c>
      <c r="R272" s="14"/>
    </row>
    <row r="273" spans="1:18">
      <c r="A273" s="9">
        <v>58273</v>
      </c>
      <c r="B273" s="14" t="s">
        <v>334</v>
      </c>
      <c r="C273" s="14" t="s">
        <v>335</v>
      </c>
      <c r="D273" s="14" t="s">
        <v>3873</v>
      </c>
      <c r="E273" s="15" t="str">
        <f>HYPERLINK("https://stat100.ameba.jp/tnk47/ratio20/illustrations/card/ill_58273_oniniwasagetsusai03.jpg?201810-4-RELEASE-guildbattle-375x", "■")</f>
        <v>■</v>
      </c>
      <c r="F273" s="14" t="s">
        <v>798</v>
      </c>
      <c r="G273" s="14">
        <v>130416</v>
      </c>
      <c r="H273" s="14">
        <v>78838</v>
      </c>
      <c r="I273" s="14">
        <v>22</v>
      </c>
      <c r="J273" s="14" t="s">
        <v>310</v>
      </c>
      <c r="K273" s="14" t="s">
        <v>799</v>
      </c>
      <c r="L273" s="14" t="s">
        <v>800</v>
      </c>
      <c r="M273" s="14" t="s">
        <v>9158</v>
      </c>
      <c r="N273" s="14" t="s">
        <v>9158</v>
      </c>
      <c r="O273" s="14" t="s">
        <v>9158</v>
      </c>
      <c r="P273" s="14" t="s">
        <v>9158</v>
      </c>
      <c r="Q273" s="14" t="s">
        <v>9158</v>
      </c>
      <c r="R273" s="14"/>
    </row>
    <row r="274" spans="1:18">
      <c r="A274" s="9">
        <v>59443</v>
      </c>
      <c r="B274" s="14" t="s">
        <v>334</v>
      </c>
      <c r="C274" s="14" t="s">
        <v>267</v>
      </c>
      <c r="D274" s="14" t="s">
        <v>3875</v>
      </c>
      <c r="E274" s="15" t="str">
        <f>HYPERLINK("https://stat100.ameba.jp/tnk47/ratio20/illustrations/card/ill_59443_kumanokusubinomikoto03.jpg?201810-4-RELEASE-guildbattle-375x", "■")</f>
        <v>■</v>
      </c>
      <c r="F274" s="14" t="s">
        <v>801</v>
      </c>
      <c r="G274" s="14">
        <v>95452</v>
      </c>
      <c r="H274" s="14">
        <v>68622</v>
      </c>
      <c r="I274" s="14">
        <v>22</v>
      </c>
      <c r="J274" s="14" t="s">
        <v>401</v>
      </c>
      <c r="K274" s="14" t="s">
        <v>802</v>
      </c>
      <c r="L274" s="14" t="s">
        <v>803</v>
      </c>
      <c r="M274" s="14" t="s">
        <v>9158</v>
      </c>
      <c r="N274" s="14" t="s">
        <v>9158</v>
      </c>
      <c r="O274" s="14" t="s">
        <v>9158</v>
      </c>
      <c r="P274" s="14" t="s">
        <v>9158</v>
      </c>
      <c r="Q274" s="14" t="s">
        <v>9158</v>
      </c>
      <c r="R274" s="14"/>
    </row>
    <row r="275" spans="1:18">
      <c r="A275" s="9">
        <v>44833</v>
      </c>
      <c r="B275" s="14" t="s">
        <v>334</v>
      </c>
      <c r="C275" s="14" t="s">
        <v>249</v>
      </c>
      <c r="D275" s="14" t="s">
        <v>3874</v>
      </c>
      <c r="E275" s="15" t="str">
        <f>HYPERLINK("https://stat100.ameba.jp/tnk47/ratio20/illustrations/card/ill_44833_okurichochin03.jpg?201810-4-RELEASE-guildbattle-375x", "■")</f>
        <v>■</v>
      </c>
      <c r="F275" s="14" t="s">
        <v>804</v>
      </c>
      <c r="G275" s="14">
        <v>84796</v>
      </c>
      <c r="H275" s="14">
        <v>78838</v>
      </c>
      <c r="I275" s="14">
        <v>22</v>
      </c>
      <c r="J275" s="14" t="s">
        <v>320</v>
      </c>
      <c r="K275" s="14" t="s">
        <v>805</v>
      </c>
      <c r="L275" s="14" t="s">
        <v>806</v>
      </c>
      <c r="M275" s="14" t="s">
        <v>9158</v>
      </c>
      <c r="N275" s="14" t="s">
        <v>9158</v>
      </c>
      <c r="O275" s="14" t="s">
        <v>9158</v>
      </c>
      <c r="P275" s="14" t="s">
        <v>9158</v>
      </c>
      <c r="Q275" s="14" t="s">
        <v>9158</v>
      </c>
      <c r="R275" s="14"/>
    </row>
    <row r="276" spans="1:18">
      <c r="B276" s="14"/>
      <c r="C276" s="14"/>
      <c r="D276" s="14"/>
      <c r="F276" s="14"/>
      <c r="G276" s="14"/>
      <c r="H276" s="14"/>
      <c r="I276" s="14"/>
      <c r="J276" s="14"/>
      <c r="K276" s="14"/>
      <c r="L276" s="14"/>
      <c r="M276" s="14"/>
      <c r="N276" s="14"/>
      <c r="P276" s="14"/>
      <c r="Q276" s="14"/>
      <c r="R276" s="14"/>
    </row>
    <row r="277" spans="1:18">
      <c r="A277" s="14" t="s">
        <v>807</v>
      </c>
      <c r="D277" s="14"/>
      <c r="F277" s="14"/>
      <c r="G277" s="14"/>
      <c r="H277" s="14"/>
      <c r="I277" s="14"/>
      <c r="J277" s="14"/>
      <c r="K277" s="14"/>
      <c r="L277" s="14"/>
      <c r="M277" s="14"/>
      <c r="N277" s="14"/>
      <c r="P277" s="14"/>
      <c r="Q277" s="14"/>
      <c r="R277" s="14"/>
    </row>
    <row r="278" spans="1:18">
      <c r="A278" s="14" t="s">
        <v>808</v>
      </c>
      <c r="C278" s="14"/>
      <c r="D278" s="14"/>
      <c r="F278" s="14"/>
      <c r="G278" s="14"/>
      <c r="H278" s="14"/>
      <c r="I278" s="14"/>
      <c r="J278" s="14"/>
      <c r="K278" s="14"/>
      <c r="L278" s="14"/>
      <c r="M278" s="14"/>
      <c r="N278" s="14"/>
      <c r="P278" s="14"/>
      <c r="Q278" s="14"/>
      <c r="R278" s="14"/>
    </row>
    <row r="279" spans="1:18">
      <c r="A279" s="9" t="s">
        <v>5650</v>
      </c>
      <c r="B279" s="14" t="s">
        <v>330</v>
      </c>
      <c r="C279" s="14" t="s">
        <v>200</v>
      </c>
      <c r="D279" s="14" t="s">
        <v>809</v>
      </c>
      <c r="E279" s="15" t="str">
        <f>HYPERLINK("https://stat100.ameba.jp/tnk47/ratio20/illustrations/card/ill_68033_0_kurisumasupateikandamyojin03.jpg?201810-4-RELEASE-guildbattle-375x", "■")</f>
        <v>■</v>
      </c>
      <c r="F279" s="14" t="s">
        <v>810</v>
      </c>
      <c r="G279" s="14">
        <v>108087</v>
      </c>
      <c r="H279" s="14">
        <v>116268</v>
      </c>
      <c r="I279" s="14">
        <v>17</v>
      </c>
      <c r="J279" s="14" t="s">
        <v>401</v>
      </c>
      <c r="K279" s="14" t="s">
        <v>811</v>
      </c>
      <c r="L279" s="14" t="s">
        <v>812</v>
      </c>
      <c r="M279" s="14" t="s">
        <v>9158</v>
      </c>
      <c r="N279" s="14" t="s">
        <v>9158</v>
      </c>
      <c r="O279" s="9" t="s">
        <v>3482</v>
      </c>
      <c r="P279" s="14" t="s">
        <v>3483</v>
      </c>
      <c r="Q279" s="14">
        <v>2</v>
      </c>
      <c r="R279" s="14"/>
    </row>
    <row r="280" spans="1:18">
      <c r="A280" s="9" t="s">
        <v>5602</v>
      </c>
      <c r="B280" s="14" t="s">
        <v>330</v>
      </c>
      <c r="C280" s="14" t="s">
        <v>185</v>
      </c>
      <c r="D280" s="14" t="s">
        <v>2093</v>
      </c>
      <c r="E280" s="15" t="str">
        <f>HYPERLINK("https://stat100.ameba.jp/tnk47/ratio20/illustrations/card/ill_55313_0_haroinononokomachi03.jpg?201810-4-RELEASE-guildbattle-375x", "■")</f>
        <v>■</v>
      </c>
      <c r="F280" s="14" t="s">
        <v>814</v>
      </c>
      <c r="G280" s="14">
        <v>106800</v>
      </c>
      <c r="H280" s="14">
        <v>94872</v>
      </c>
      <c r="I280" s="14">
        <v>17</v>
      </c>
      <c r="J280" s="14" t="s">
        <v>351</v>
      </c>
      <c r="K280" s="14" t="s">
        <v>815</v>
      </c>
      <c r="L280" s="14" t="s">
        <v>816</v>
      </c>
      <c r="M280" s="14" t="s">
        <v>9158</v>
      </c>
      <c r="N280" s="14" t="s">
        <v>9158</v>
      </c>
      <c r="O280" s="9" t="s">
        <v>2733</v>
      </c>
      <c r="P280" s="14" t="s">
        <v>2734</v>
      </c>
      <c r="Q280" s="14">
        <v>1</v>
      </c>
      <c r="R280" s="14"/>
    </row>
    <row r="281" spans="1:18">
      <c r="A281" s="9">
        <v>76773</v>
      </c>
      <c r="B281" s="14" t="s">
        <v>334</v>
      </c>
      <c r="C281" s="14" t="s">
        <v>209</v>
      </c>
      <c r="D281" s="14" t="s">
        <v>3353</v>
      </c>
      <c r="E281" s="15" t="str">
        <f>HYPERLINK("https://stat100.ameba.jp/tnk47/ratio20/illustrations/card/ill_76773_monsutatominushihime03.jpg?201810-4-RELEASE-guildbattle-375x", "■")</f>
        <v>■</v>
      </c>
      <c r="F281" s="14" t="s">
        <v>817</v>
      </c>
      <c r="G281" s="14">
        <v>109554</v>
      </c>
      <c r="H281" s="14">
        <v>79348</v>
      </c>
      <c r="I281" s="14">
        <v>24</v>
      </c>
      <c r="J281" s="14" t="s">
        <v>401</v>
      </c>
      <c r="K281" s="14" t="s">
        <v>818</v>
      </c>
      <c r="L281" s="14" t="s">
        <v>819</v>
      </c>
      <c r="M281" s="14" t="s">
        <v>9158</v>
      </c>
      <c r="N281" s="14" t="s">
        <v>9158</v>
      </c>
      <c r="O281" s="14" t="s">
        <v>9158</v>
      </c>
      <c r="P281" s="14" t="s">
        <v>9158</v>
      </c>
      <c r="Q281" s="14" t="s">
        <v>9158</v>
      </c>
      <c r="R281" s="14"/>
    </row>
    <row r="282" spans="1:18">
      <c r="A282" s="9">
        <v>59403</v>
      </c>
      <c r="B282" s="14" t="s">
        <v>334</v>
      </c>
      <c r="C282" s="14" t="s">
        <v>203</v>
      </c>
      <c r="D282" s="14" t="s">
        <v>3865</v>
      </c>
      <c r="E282" s="15" t="str">
        <f>HYPERLINK("https://stat100.ameba.jp/tnk47/ratio20/illustrations/card/ill_59403_hakuzosu03.jpg?201810-4-RELEASE-guildbattle-375x", "■")</f>
        <v>■</v>
      </c>
      <c r="F282" s="14" t="s">
        <v>820</v>
      </c>
      <c r="G282" s="14">
        <v>63547</v>
      </c>
      <c r="H282" s="14">
        <v>86668</v>
      </c>
      <c r="I282" s="14">
        <v>21</v>
      </c>
      <c r="J282" s="14" t="s">
        <v>320</v>
      </c>
      <c r="K282" s="14" t="s">
        <v>821</v>
      </c>
      <c r="L282" s="14" t="s">
        <v>822</v>
      </c>
      <c r="M282" s="14" t="s">
        <v>9158</v>
      </c>
      <c r="N282" s="14" t="s">
        <v>9158</v>
      </c>
      <c r="O282" s="14" t="s">
        <v>9158</v>
      </c>
      <c r="P282" s="14" t="s">
        <v>9158</v>
      </c>
      <c r="Q282" s="14" t="s">
        <v>9158</v>
      </c>
      <c r="R282" s="14"/>
    </row>
    <row r="283" spans="1:18">
      <c r="A283" s="9">
        <v>65623</v>
      </c>
      <c r="B283" s="14" t="s">
        <v>334</v>
      </c>
      <c r="C283" s="14" t="s">
        <v>209</v>
      </c>
      <c r="D283" s="14" t="s">
        <v>2490</v>
      </c>
      <c r="E283" s="15" t="str">
        <f>HYPERLINK("https://stat100.ameba.jp/tnk47/ratio20/illustrations/card/ill_65623_hosoyajudayu03.jpg?201810-4-RELEASE-guildbattle-375x", "■")</f>
        <v>■</v>
      </c>
      <c r="F283" s="14" t="s">
        <v>823</v>
      </c>
      <c r="G283" s="14">
        <v>139716</v>
      </c>
      <c r="H283" s="14">
        <v>101199</v>
      </c>
      <c r="I283" s="14">
        <v>21</v>
      </c>
      <c r="J283" s="14" t="s">
        <v>310</v>
      </c>
      <c r="K283" s="14" t="s">
        <v>824</v>
      </c>
      <c r="L283" s="14" t="s">
        <v>443</v>
      </c>
      <c r="M283" s="14" t="s">
        <v>9158</v>
      </c>
      <c r="N283" s="14" t="s">
        <v>9158</v>
      </c>
      <c r="O283" s="14" t="s">
        <v>9158</v>
      </c>
      <c r="P283" s="14" t="s">
        <v>9158</v>
      </c>
      <c r="Q283" s="14" t="s">
        <v>9158</v>
      </c>
      <c r="R283" s="14"/>
    </row>
    <row r="284" spans="1:18">
      <c r="A284" s="9">
        <v>67963</v>
      </c>
      <c r="B284" s="14" t="s">
        <v>334</v>
      </c>
      <c r="C284" s="14" t="s">
        <v>203</v>
      </c>
      <c r="D284" s="14" t="s">
        <v>3866</v>
      </c>
      <c r="E284" s="15" t="str">
        <f>HYPERLINK("https://stat100.ameba.jp/tnk47/ratio20/illustrations/card/ill_67963_kinokuniyabunzaemon03.jpg?201810-4-RELEASE-guildbattle-375x", "■")</f>
        <v>■</v>
      </c>
      <c r="F284" s="14" t="s">
        <v>825</v>
      </c>
      <c r="G284" s="14">
        <v>95307</v>
      </c>
      <c r="H284" s="14">
        <v>69051</v>
      </c>
      <c r="I284" s="14">
        <v>21</v>
      </c>
      <c r="J284" s="14" t="s">
        <v>414</v>
      </c>
      <c r="K284" s="14" t="s">
        <v>826</v>
      </c>
      <c r="L284" s="14" t="s">
        <v>827</v>
      </c>
      <c r="M284" s="14" t="s">
        <v>9158</v>
      </c>
      <c r="N284" s="14" t="s">
        <v>9158</v>
      </c>
      <c r="O284" s="14" t="s">
        <v>9158</v>
      </c>
      <c r="P284" s="14" t="s">
        <v>9158</v>
      </c>
      <c r="Q284" s="14" t="s">
        <v>9158</v>
      </c>
      <c r="R284" s="14"/>
    </row>
    <row r="285" spans="1:18">
      <c r="A285" s="9">
        <v>63273</v>
      </c>
      <c r="B285" s="14" t="s">
        <v>334</v>
      </c>
      <c r="C285" s="14" t="s">
        <v>203</v>
      </c>
      <c r="D285" s="14" t="s">
        <v>1210</v>
      </c>
      <c r="E285" s="15" t="str">
        <f>HYPERLINK("https://stat100.ameba.jp/tnk47/ratio20/illustrations/card/ill_63273_tsukushimai03.jpg?201810-4-RELEASE-guildbattle-375x", "■")</f>
        <v>■</v>
      </c>
      <c r="F285" s="14" t="s">
        <v>829</v>
      </c>
      <c r="G285" s="14">
        <v>107166</v>
      </c>
      <c r="H285" s="14">
        <v>77618</v>
      </c>
      <c r="I285" s="14">
        <v>21</v>
      </c>
      <c r="J285" s="14" t="s">
        <v>274</v>
      </c>
      <c r="K285" s="14" t="s">
        <v>830</v>
      </c>
      <c r="L285" s="14" t="s">
        <v>831</v>
      </c>
      <c r="M285" s="14" t="s">
        <v>9158</v>
      </c>
      <c r="N285" s="14" t="s">
        <v>9158</v>
      </c>
      <c r="O285" s="9" t="s">
        <v>3642</v>
      </c>
      <c r="P285" s="14" t="s">
        <v>13128</v>
      </c>
      <c r="Q285" s="14">
        <v>1</v>
      </c>
      <c r="R285" s="14"/>
    </row>
    <row r="286" spans="1:18">
      <c r="A286" s="9">
        <v>66343</v>
      </c>
      <c r="B286" s="14" t="s">
        <v>334</v>
      </c>
      <c r="C286" s="14" t="s">
        <v>209</v>
      </c>
      <c r="D286" s="14" t="s">
        <v>1253</v>
      </c>
      <c r="E286" s="15" t="str">
        <f>HYPERLINK("https://stat100.ameba.jp/tnk47/ratio20/illustrations/card/ill_66343_shunobon03.jpg?201810-4-RELEASE-guildbattle-375x", "■")</f>
        <v>■</v>
      </c>
      <c r="F286" s="14" t="s">
        <v>833</v>
      </c>
      <c r="G286" s="14">
        <v>70942</v>
      </c>
      <c r="H286" s="14">
        <v>97925</v>
      </c>
      <c r="I286" s="14">
        <v>21</v>
      </c>
      <c r="J286" s="14" t="s">
        <v>320</v>
      </c>
      <c r="K286" s="14" t="s">
        <v>834</v>
      </c>
      <c r="L286" s="14" t="s">
        <v>347</v>
      </c>
      <c r="M286" s="14" t="s">
        <v>9158</v>
      </c>
      <c r="N286" s="14" t="s">
        <v>9158</v>
      </c>
      <c r="O286" s="14" t="s">
        <v>9158</v>
      </c>
      <c r="P286" s="14" t="s">
        <v>9158</v>
      </c>
      <c r="Q286" s="14" t="s">
        <v>9158</v>
      </c>
      <c r="R286" s="14"/>
    </row>
    <row r="287" spans="1:18">
      <c r="B287" s="14"/>
      <c r="C287" s="14"/>
      <c r="D287" s="14"/>
      <c r="F287" s="14"/>
      <c r="G287" s="14"/>
      <c r="H287" s="14"/>
      <c r="I287" s="14"/>
      <c r="J287" s="14"/>
      <c r="K287" s="14"/>
      <c r="L287" s="14"/>
      <c r="M287" s="14"/>
      <c r="N287" s="14"/>
      <c r="P287" s="14"/>
      <c r="Q287" s="14"/>
      <c r="R287" s="14"/>
    </row>
    <row r="288" spans="1:18">
      <c r="A288" s="14" t="s">
        <v>835</v>
      </c>
      <c r="D288" s="14"/>
      <c r="F288" s="14"/>
      <c r="G288" s="14"/>
      <c r="H288" s="14"/>
      <c r="I288" s="14"/>
      <c r="J288" s="14"/>
      <c r="K288" s="14"/>
      <c r="L288" s="14"/>
      <c r="M288" s="14"/>
      <c r="N288" s="14"/>
      <c r="P288" s="14"/>
      <c r="Q288" s="14"/>
      <c r="R288" s="14"/>
    </row>
    <row r="289" spans="1:18">
      <c r="A289" s="14" t="s">
        <v>836</v>
      </c>
      <c r="B289" s="14"/>
      <c r="C289" s="14"/>
      <c r="D289" s="14"/>
      <c r="F289" s="14"/>
      <c r="G289" s="14"/>
      <c r="H289" s="14"/>
      <c r="I289" s="14"/>
      <c r="J289" s="14"/>
      <c r="K289" s="14"/>
      <c r="L289" s="14"/>
      <c r="M289" s="14"/>
      <c r="N289" s="14"/>
      <c r="P289" s="14"/>
      <c r="Q289" s="14"/>
      <c r="R289" s="14"/>
    </row>
    <row r="290" spans="1:18">
      <c r="A290" s="9">
        <v>71013</v>
      </c>
      <c r="B290" s="14" t="s">
        <v>334</v>
      </c>
      <c r="C290" s="14" t="s">
        <v>268</v>
      </c>
      <c r="D290" s="14" t="s">
        <v>837</v>
      </c>
      <c r="E290" s="15" t="str">
        <f>HYPERLINK("https://stat100.ameba.jp/tnk47/ratio20/illustrations/card/ill_71013_fujutsushisarashina03.jpg?201810-4-RELEASE-guildbattle-375x", "■")</f>
        <v>■</v>
      </c>
      <c r="F290" s="14" t="s">
        <v>838</v>
      </c>
      <c r="G290" s="14">
        <v>84214</v>
      </c>
      <c r="H290" s="14">
        <v>90574</v>
      </c>
      <c r="I290" s="14">
        <v>21</v>
      </c>
      <c r="J290" s="14" t="s">
        <v>274</v>
      </c>
      <c r="K290" s="14" t="s">
        <v>839</v>
      </c>
      <c r="L290" s="14" t="s">
        <v>840</v>
      </c>
      <c r="M290" s="14" t="s">
        <v>9158</v>
      </c>
      <c r="N290" s="14" t="s">
        <v>9158</v>
      </c>
      <c r="O290" s="14" t="s">
        <v>9158</v>
      </c>
      <c r="P290" s="14" t="s">
        <v>9158</v>
      </c>
      <c r="Q290" s="14" t="s">
        <v>9158</v>
      </c>
      <c r="R290" s="14"/>
    </row>
    <row r="291" spans="1:18">
      <c r="A291" s="9">
        <v>71023</v>
      </c>
      <c r="B291" s="14" t="s">
        <v>334</v>
      </c>
      <c r="C291" s="14" t="s">
        <v>269</v>
      </c>
      <c r="D291" s="14" t="s">
        <v>841</v>
      </c>
      <c r="E291" s="15" t="str">
        <f>HYPERLINK("https://stat100.ameba.jp/tnk47/ratio20/illustrations/card/ill_71023_ommyojiiroha03.jpg?201810-4-RELEASE-guildbattle-375x", "■")</f>
        <v>■</v>
      </c>
      <c r="F291" s="14" t="s">
        <v>842</v>
      </c>
      <c r="G291" s="14">
        <v>84214</v>
      </c>
      <c r="H291" s="14">
        <v>90574</v>
      </c>
      <c r="I291" s="14">
        <v>21</v>
      </c>
      <c r="J291" s="14" t="s">
        <v>414</v>
      </c>
      <c r="K291" s="14" t="s">
        <v>843</v>
      </c>
      <c r="L291" s="14" t="s">
        <v>844</v>
      </c>
      <c r="M291" s="14" t="s">
        <v>9158</v>
      </c>
      <c r="N291" s="14" t="s">
        <v>9158</v>
      </c>
      <c r="O291" s="14" t="s">
        <v>9158</v>
      </c>
      <c r="P291" s="14" t="s">
        <v>9158</v>
      </c>
      <c r="Q291" s="14" t="s">
        <v>9158</v>
      </c>
      <c r="R291" s="14"/>
    </row>
    <row r="292" spans="1:18">
      <c r="A292" s="9">
        <v>46063</v>
      </c>
      <c r="B292" s="14" t="s">
        <v>334</v>
      </c>
      <c r="C292" s="14" t="s">
        <v>308</v>
      </c>
      <c r="D292" s="14" t="s">
        <v>845</v>
      </c>
      <c r="E292" s="15" t="str">
        <f>HYPERLINK("https://stat100.ameba.jp/tnk47/ratio20/illustrations/card/ill_46063_kongorikishizo03.jpg?201810-4-RELEASE-guildbattle-375x", "■")</f>
        <v>■</v>
      </c>
      <c r="F292" s="14" t="s">
        <v>846</v>
      </c>
      <c r="G292" s="14">
        <v>91114</v>
      </c>
      <c r="H292" s="14">
        <v>65502</v>
      </c>
      <c r="I292" s="14">
        <v>21</v>
      </c>
      <c r="J292" s="14" t="s">
        <v>401</v>
      </c>
      <c r="K292" s="14" t="s">
        <v>847</v>
      </c>
      <c r="L292" s="14" t="s">
        <v>848</v>
      </c>
      <c r="M292" s="14" t="s">
        <v>9158</v>
      </c>
      <c r="N292" s="14" t="s">
        <v>9158</v>
      </c>
      <c r="O292" s="14" t="s">
        <v>9158</v>
      </c>
      <c r="P292" s="14" t="s">
        <v>9158</v>
      </c>
      <c r="Q292" s="14" t="s">
        <v>9158</v>
      </c>
      <c r="R292" s="14"/>
    </row>
    <row r="293" spans="1:18">
      <c r="A293" s="9">
        <v>30303</v>
      </c>
      <c r="B293" s="14" t="s">
        <v>334</v>
      </c>
      <c r="C293" s="14" t="s">
        <v>269</v>
      </c>
      <c r="D293" s="14" t="s">
        <v>4389</v>
      </c>
      <c r="E293" s="15" t="str">
        <f>HYPERLINK("https://stat100.ameba.jp/tnk47/ratio20/illustrations/card/ill_30303_makaihimiko03.jpg?201810-4-RELEASE-guildbattle-375x", "■")</f>
        <v>■</v>
      </c>
      <c r="F293" s="14" t="s">
        <v>849</v>
      </c>
      <c r="G293" s="14">
        <v>80942</v>
      </c>
      <c r="H293" s="14">
        <v>75254</v>
      </c>
      <c r="I293" s="14">
        <v>21</v>
      </c>
      <c r="J293" s="14" t="s">
        <v>351</v>
      </c>
      <c r="K293" s="14" t="s">
        <v>850</v>
      </c>
      <c r="L293" s="14" t="s">
        <v>851</v>
      </c>
      <c r="M293" s="14" t="s">
        <v>9158</v>
      </c>
      <c r="N293" s="14" t="s">
        <v>9158</v>
      </c>
      <c r="O293" s="14" t="s">
        <v>9158</v>
      </c>
      <c r="P293" s="14" t="s">
        <v>9158</v>
      </c>
      <c r="Q293" s="14" t="s">
        <v>9158</v>
      </c>
      <c r="R293" s="14"/>
    </row>
    <row r="294" spans="1:18">
      <c r="B294" s="14"/>
      <c r="C294" s="14"/>
      <c r="D294" s="14"/>
      <c r="F294" s="14"/>
      <c r="G294" s="14"/>
      <c r="H294" s="14"/>
      <c r="I294" s="14"/>
      <c r="J294" s="14"/>
      <c r="K294" s="14"/>
      <c r="L294" s="14"/>
      <c r="M294" s="14"/>
      <c r="N294" s="14"/>
      <c r="P294" s="14"/>
      <c r="Q294" s="14"/>
      <c r="R294" s="14"/>
    </row>
    <row r="295" spans="1:18">
      <c r="A295" s="14" t="s">
        <v>223</v>
      </c>
      <c r="D295" s="14"/>
      <c r="F295" s="14"/>
      <c r="G295" s="14"/>
      <c r="H295" s="14"/>
      <c r="I295" s="14"/>
      <c r="J295" s="14"/>
      <c r="K295" s="14"/>
      <c r="L295" s="14"/>
      <c r="M295" s="14"/>
      <c r="N295" s="14"/>
      <c r="P295" s="14"/>
      <c r="Q295" s="14"/>
      <c r="R295" s="14"/>
    </row>
    <row r="296" spans="1:18">
      <c r="A296" s="14" t="s">
        <v>852</v>
      </c>
      <c r="B296" s="14"/>
      <c r="C296" s="14"/>
      <c r="D296" s="14"/>
      <c r="F296" s="14"/>
      <c r="G296" s="14"/>
      <c r="H296" s="14"/>
      <c r="I296" s="14"/>
      <c r="J296" s="14"/>
      <c r="K296" s="14"/>
      <c r="L296" s="14"/>
      <c r="M296" s="14"/>
      <c r="N296" s="14"/>
      <c r="P296" s="14"/>
      <c r="Q296" s="14"/>
      <c r="R296" s="14"/>
    </row>
    <row r="297" spans="1:18">
      <c r="A297" s="9" t="s">
        <v>5787</v>
      </c>
      <c r="B297" s="14" t="s">
        <v>330</v>
      </c>
      <c r="C297" s="14" t="s">
        <v>270</v>
      </c>
      <c r="D297" s="14" t="s">
        <v>331</v>
      </c>
      <c r="E297" s="15" t="str">
        <f>HYPERLINK("https://stat100.ameba.jp/tnk47/ratio20/illustrations/card/ill_76303_0_haroinkaguya03.jpg?201810-4-RELEASE-guildbattle-375xxx", "■")</f>
        <v>■</v>
      </c>
      <c r="F297" s="14" t="s">
        <v>332</v>
      </c>
      <c r="G297" s="14">
        <v>202309</v>
      </c>
      <c r="H297" s="14">
        <v>188081</v>
      </c>
      <c r="I297" s="14">
        <v>17</v>
      </c>
      <c r="J297" s="14" t="s">
        <v>274</v>
      </c>
      <c r="K297" s="14" t="s">
        <v>333</v>
      </c>
      <c r="L297" s="14" t="s">
        <v>276</v>
      </c>
      <c r="M297" s="14" t="s">
        <v>9158</v>
      </c>
      <c r="N297" s="14" t="s">
        <v>9158</v>
      </c>
      <c r="O297" s="9" t="s">
        <v>2723</v>
      </c>
      <c r="P297" s="14" t="s">
        <v>2724</v>
      </c>
      <c r="Q297" s="14">
        <v>1</v>
      </c>
      <c r="R297" s="14"/>
    </row>
    <row r="298" spans="1:18">
      <c r="A298" s="9">
        <v>63273</v>
      </c>
      <c r="B298" s="14" t="s">
        <v>334</v>
      </c>
      <c r="C298" s="14" t="s">
        <v>269</v>
      </c>
      <c r="D298" s="14" t="s">
        <v>828</v>
      </c>
      <c r="E298" s="15" t="str">
        <f>HYPERLINK("https://stat100.ameba.jp/tnk47/ratio20/illustrations/card/ill_63273_tsukushimai03.jpg?201810-4-RELEASE-guildbattle-375xxx", "■")</f>
        <v>■</v>
      </c>
      <c r="F298" s="14" t="s">
        <v>829</v>
      </c>
      <c r="G298" s="14">
        <v>96960</v>
      </c>
      <c r="H298" s="14">
        <v>70226</v>
      </c>
      <c r="I298" s="14">
        <v>19</v>
      </c>
      <c r="J298" s="14" t="s">
        <v>274</v>
      </c>
      <c r="K298" s="14" t="s">
        <v>830</v>
      </c>
      <c r="L298" s="14" t="s">
        <v>831</v>
      </c>
      <c r="M298" s="14" t="s">
        <v>9158</v>
      </c>
      <c r="N298" s="14" t="s">
        <v>9158</v>
      </c>
      <c r="O298" s="9" t="s">
        <v>3642</v>
      </c>
      <c r="P298" s="14" t="s">
        <v>13128</v>
      </c>
      <c r="Q298" s="14">
        <v>1</v>
      </c>
      <c r="R298" s="14"/>
    </row>
    <row r="299" spans="1:18">
      <c r="A299" s="9">
        <v>65653</v>
      </c>
      <c r="B299" s="14" t="s">
        <v>334</v>
      </c>
      <c r="C299" s="14" t="s">
        <v>335</v>
      </c>
      <c r="D299" s="14" t="s">
        <v>3411</v>
      </c>
      <c r="E299" s="15" t="str">
        <f>HYPERLINK("https://stat100.ameba.jp/tnk47/ratio20/illustrations/card/ill_65653_undokaitakamurachieko03.jpg?201810-4-RELEASE-guildbattle-375xxx", "■")</f>
        <v>■</v>
      </c>
      <c r="F299" s="14" t="s">
        <v>853</v>
      </c>
      <c r="G299" s="14">
        <v>77043</v>
      </c>
      <c r="H299" s="14">
        <v>71663</v>
      </c>
      <c r="I299" s="14">
        <v>19</v>
      </c>
      <c r="J299" s="14" t="s">
        <v>414</v>
      </c>
      <c r="K299" s="14" t="s">
        <v>854</v>
      </c>
      <c r="L299" s="14" t="s">
        <v>855</v>
      </c>
      <c r="M299" s="14" t="s">
        <v>9158</v>
      </c>
      <c r="N299" s="14" t="s">
        <v>9158</v>
      </c>
      <c r="O299" s="9" t="s">
        <v>3414</v>
      </c>
      <c r="P299" s="14" t="s">
        <v>13122</v>
      </c>
      <c r="Q299" s="14">
        <v>1</v>
      </c>
      <c r="R299" s="14"/>
    </row>
    <row r="300" spans="1:18">
      <c r="A300" s="9">
        <v>70843</v>
      </c>
      <c r="B300" s="14" t="s">
        <v>334</v>
      </c>
      <c r="C300" s="14" t="s">
        <v>268</v>
      </c>
      <c r="D300" s="14" t="s">
        <v>3596</v>
      </c>
      <c r="E300" s="15" t="str">
        <f>HYPERLINK("https://stat100.ameba.jp/tnk47/ratio20/illustrations/card/ill_70843_indoshinwakurionechan03.jpg?201810-4-RELEASE-guildbattle-375xxx", "■")</f>
        <v>■</v>
      </c>
      <c r="F300" s="14" t="s">
        <v>856</v>
      </c>
      <c r="G300" s="14">
        <v>80476</v>
      </c>
      <c r="H300" s="14">
        <v>86556</v>
      </c>
      <c r="I300" s="14">
        <v>19</v>
      </c>
      <c r="J300" s="14" t="s">
        <v>369</v>
      </c>
      <c r="K300" s="14" t="s">
        <v>857</v>
      </c>
      <c r="L300" s="14" t="s">
        <v>496</v>
      </c>
      <c r="M300" s="14" t="s">
        <v>9158</v>
      </c>
      <c r="N300" s="14" t="s">
        <v>9158</v>
      </c>
      <c r="O300" s="17" t="s">
        <v>10053</v>
      </c>
      <c r="P300" s="14" t="s">
        <v>3592</v>
      </c>
      <c r="Q300" s="14">
        <v>1</v>
      </c>
      <c r="R300" s="14"/>
    </row>
    <row r="301" spans="1:18">
      <c r="B301" s="14"/>
      <c r="C301" s="14"/>
      <c r="D301" s="14"/>
      <c r="F301" s="14"/>
      <c r="G301" s="14"/>
      <c r="H301" s="14"/>
      <c r="I301" s="14"/>
      <c r="J301" s="14"/>
      <c r="K301" s="14"/>
      <c r="L301" s="14"/>
      <c r="M301" s="14"/>
      <c r="N301" s="14"/>
      <c r="P301" s="14"/>
      <c r="Q301" s="14"/>
      <c r="R301" s="14"/>
    </row>
    <row r="302" spans="1:18">
      <c r="A302" s="14" t="s">
        <v>13326</v>
      </c>
      <c r="D302" s="14"/>
      <c r="F302" s="14"/>
      <c r="G302" s="14"/>
      <c r="H302" s="14"/>
      <c r="I302" s="14"/>
      <c r="J302" s="14"/>
      <c r="K302" s="14"/>
      <c r="L302" s="14"/>
      <c r="M302" s="14"/>
      <c r="N302" s="14"/>
      <c r="P302" s="14"/>
      <c r="Q302" s="14"/>
      <c r="R302" s="14"/>
    </row>
    <row r="303" spans="1:18">
      <c r="A303" s="14" t="s">
        <v>858</v>
      </c>
      <c r="B303" s="14"/>
      <c r="C303" s="14"/>
      <c r="D303" s="14"/>
      <c r="F303" s="14"/>
      <c r="G303" s="14"/>
      <c r="H303" s="14"/>
      <c r="I303" s="14"/>
      <c r="J303" s="14"/>
      <c r="K303" s="14"/>
      <c r="L303" s="14"/>
      <c r="M303" s="14"/>
      <c r="N303" s="14"/>
      <c r="P303" s="14"/>
      <c r="Q303" s="14"/>
      <c r="R303" s="14"/>
    </row>
    <row r="304" spans="1:18">
      <c r="A304" s="9">
        <v>70073</v>
      </c>
      <c r="B304" s="14" t="s">
        <v>334</v>
      </c>
      <c r="C304" s="14" t="s">
        <v>185</v>
      </c>
      <c r="D304" s="14" t="s">
        <v>859</v>
      </c>
      <c r="E304" s="15" t="str">
        <f>HYPERLINK("https://stat100.ameba.jp/tnk47/ratio20/illustrations/card/ill_70073_muhime03.jpg?201810-4-RELEASE-guildbattle-375xxx", "■")</f>
        <v>■</v>
      </c>
      <c r="F304" s="14" t="s">
        <v>860</v>
      </c>
      <c r="G304" s="14">
        <v>96121</v>
      </c>
      <c r="H304" s="14">
        <v>103384</v>
      </c>
      <c r="I304" s="14">
        <v>21</v>
      </c>
      <c r="J304" s="14" t="s">
        <v>315</v>
      </c>
      <c r="K304" s="14" t="s">
        <v>861</v>
      </c>
      <c r="L304" s="14" t="s">
        <v>862</v>
      </c>
      <c r="M304" s="14" t="s">
        <v>250</v>
      </c>
      <c r="N304" s="14" t="s">
        <v>251</v>
      </c>
      <c r="O304" s="14" t="s">
        <v>9158</v>
      </c>
      <c r="P304" s="14" t="s">
        <v>9158</v>
      </c>
      <c r="Q304" s="14" t="s">
        <v>9158</v>
      </c>
      <c r="R304" s="14"/>
    </row>
    <row r="305" spans="1:18">
      <c r="A305" s="9">
        <v>70072</v>
      </c>
      <c r="B305" s="14" t="s">
        <v>334</v>
      </c>
      <c r="C305" s="14" t="s">
        <v>185</v>
      </c>
      <c r="D305" s="14" t="s">
        <v>859</v>
      </c>
      <c r="E305" s="15" t="str">
        <f>HYPERLINK("https://stat100.ameba.jp/tnk47/ratio20/illustrations/card/ill_70072_muhime02.jpg?201810-5-RELEASE-marathon-376", "■")</f>
        <v>■</v>
      </c>
      <c r="F305" s="14" t="s">
        <v>860</v>
      </c>
      <c r="G305" s="14">
        <v>79610</v>
      </c>
      <c r="H305" s="14">
        <v>86423</v>
      </c>
      <c r="I305" s="14">
        <v>21</v>
      </c>
      <c r="J305" s="14" t="s">
        <v>315</v>
      </c>
      <c r="K305" s="14" t="s">
        <v>861</v>
      </c>
      <c r="L305" s="14" t="s">
        <v>862</v>
      </c>
      <c r="M305" s="14" t="s">
        <v>250</v>
      </c>
      <c r="N305" s="14" t="s">
        <v>251</v>
      </c>
      <c r="O305" s="14" t="s">
        <v>9158</v>
      </c>
      <c r="P305" s="14" t="s">
        <v>9158</v>
      </c>
      <c r="Q305" s="14" t="s">
        <v>9158</v>
      </c>
      <c r="R305" s="14"/>
    </row>
    <row r="306" spans="1:18">
      <c r="A306" s="9">
        <v>70071</v>
      </c>
      <c r="B306" s="14" t="s">
        <v>334</v>
      </c>
      <c r="C306" s="14" t="s">
        <v>185</v>
      </c>
      <c r="D306" s="14" t="s">
        <v>859</v>
      </c>
      <c r="E306" s="15" t="str">
        <f>HYPERLINK("https://stat100.ameba.jp/tnk47/ratio20/illustrations/card/ill_70071_muhime01.jpg?201810-5-RELEASE-marathon-376", "■")</f>
        <v>■</v>
      </c>
      <c r="F306" s="14" t="s">
        <v>860</v>
      </c>
      <c r="G306" s="14">
        <v>61425</v>
      </c>
      <c r="H306" s="14">
        <v>65982</v>
      </c>
      <c r="I306" s="14">
        <v>21</v>
      </c>
      <c r="J306" s="14" t="s">
        <v>315</v>
      </c>
      <c r="K306" s="14" t="s">
        <v>861</v>
      </c>
      <c r="L306" s="14" t="s">
        <v>862</v>
      </c>
      <c r="M306" s="14" t="s">
        <v>250</v>
      </c>
      <c r="N306" s="14" t="s">
        <v>251</v>
      </c>
      <c r="O306" s="14" t="s">
        <v>9158</v>
      </c>
      <c r="P306" s="14" t="s">
        <v>9158</v>
      </c>
      <c r="Q306" s="14" t="s">
        <v>9158</v>
      </c>
      <c r="R306" s="14"/>
    </row>
    <row r="307" spans="1:18">
      <c r="A307" s="9">
        <v>70083</v>
      </c>
      <c r="B307" s="14" t="s">
        <v>334</v>
      </c>
      <c r="C307" s="14" t="s">
        <v>200</v>
      </c>
      <c r="D307" s="14" t="s">
        <v>252</v>
      </c>
      <c r="E307" s="15" t="str">
        <f>HYPERLINK("https://stat100.ameba.jp/tnk47/ratio20/illustrations/card/ill_70083_kimurakaishu03.jpg?201810-5-RELEASE-marathon-376", "■")</f>
        <v>■</v>
      </c>
      <c r="F307" s="14" t="s">
        <v>863</v>
      </c>
      <c r="G307" s="14">
        <v>103384</v>
      </c>
      <c r="H307" s="14">
        <v>96121</v>
      </c>
      <c r="I307" s="14">
        <v>21</v>
      </c>
      <c r="J307" s="14" t="s">
        <v>173</v>
      </c>
      <c r="K307" s="14" t="s">
        <v>257</v>
      </c>
      <c r="L307" s="14" t="s">
        <v>9897</v>
      </c>
      <c r="M307" s="14" t="s">
        <v>250</v>
      </c>
      <c r="N307" s="14" t="s">
        <v>251</v>
      </c>
      <c r="O307" s="14" t="s">
        <v>9158</v>
      </c>
      <c r="P307" s="14" t="s">
        <v>9158</v>
      </c>
      <c r="Q307" s="14" t="s">
        <v>9158</v>
      </c>
      <c r="R307" s="14"/>
    </row>
    <row r="308" spans="1:18">
      <c r="A308" s="9">
        <v>70923</v>
      </c>
      <c r="B308" s="14" t="s">
        <v>334</v>
      </c>
      <c r="C308" s="14" t="s">
        <v>191</v>
      </c>
      <c r="D308" s="14" t="s">
        <v>253</v>
      </c>
      <c r="E308" s="15" t="str">
        <f>HYPERLINK("https://stat100.ameba.jp/tnk47/ratio20/illustrations/card/ill_70923_hidawagyu03.jpg?201810-5-RELEASE-marathon-376", "■")</f>
        <v>■</v>
      </c>
      <c r="F308" s="14" t="s">
        <v>864</v>
      </c>
      <c r="G308" s="14">
        <v>103384</v>
      </c>
      <c r="H308" s="14">
        <v>96121</v>
      </c>
      <c r="I308" s="14">
        <v>21</v>
      </c>
      <c r="J308" s="14" t="s">
        <v>216</v>
      </c>
      <c r="K308" s="14" t="s">
        <v>258</v>
      </c>
      <c r="L308" s="14" t="s">
        <v>9898</v>
      </c>
      <c r="M308" s="14" t="s">
        <v>250</v>
      </c>
      <c r="N308" s="14" t="s">
        <v>251</v>
      </c>
      <c r="O308" s="14" t="s">
        <v>9158</v>
      </c>
      <c r="P308" s="14" t="s">
        <v>9158</v>
      </c>
      <c r="Q308" s="14" t="s">
        <v>9158</v>
      </c>
      <c r="R308" s="14"/>
    </row>
    <row r="309" spans="1:18">
      <c r="A309" s="9">
        <v>70093</v>
      </c>
      <c r="B309" s="14" t="s">
        <v>334</v>
      </c>
      <c r="C309" s="14" t="s">
        <v>308</v>
      </c>
      <c r="D309" s="14" t="s">
        <v>254</v>
      </c>
      <c r="E309" s="15" t="str">
        <f>HYPERLINK("https://stat100.ameba.jp/tnk47/ratio20/illustrations/card/ill_70093_sarutahikonookami03.jpg?201810-5-RELEASE-marathon-376", "■")</f>
        <v>■</v>
      </c>
      <c r="F309" s="14" t="s">
        <v>865</v>
      </c>
      <c r="G309" s="14">
        <v>96121</v>
      </c>
      <c r="H309" s="14">
        <v>103384</v>
      </c>
      <c r="I309" s="14">
        <v>21</v>
      </c>
      <c r="J309" s="14" t="s">
        <v>169</v>
      </c>
      <c r="K309" s="14" t="s">
        <v>259</v>
      </c>
      <c r="L309" s="14" t="s">
        <v>9899</v>
      </c>
      <c r="M309" s="14" t="s">
        <v>250</v>
      </c>
      <c r="N309" s="14" t="s">
        <v>251</v>
      </c>
      <c r="O309" s="14" t="s">
        <v>9158</v>
      </c>
      <c r="P309" s="14" t="s">
        <v>9158</v>
      </c>
      <c r="Q309" s="14" t="s">
        <v>9158</v>
      </c>
      <c r="R309" s="14"/>
    </row>
    <row r="310" spans="1:18">
      <c r="A310" s="9">
        <v>70933</v>
      </c>
      <c r="B310" s="14" t="s">
        <v>334</v>
      </c>
      <c r="C310" s="14" t="s">
        <v>267</v>
      </c>
      <c r="D310" s="14" t="s">
        <v>255</v>
      </c>
      <c r="E310" s="15" t="str">
        <f>HYPERLINK("https://stat100.ameba.jp/tnk47/ratio20/illustrations/card/ill_70933_zenigatasunae03.jpg?201810-5-RELEASE-marathon-376", "■")</f>
        <v>■</v>
      </c>
      <c r="F310" s="14" t="s">
        <v>866</v>
      </c>
      <c r="G310" s="14">
        <v>96121</v>
      </c>
      <c r="H310" s="14">
        <v>103384</v>
      </c>
      <c r="I310" s="14">
        <v>21</v>
      </c>
      <c r="J310" s="14" t="s">
        <v>229</v>
      </c>
      <c r="K310" s="14" t="s">
        <v>260</v>
      </c>
      <c r="L310" s="14" t="s">
        <v>9900</v>
      </c>
      <c r="M310" s="14" t="s">
        <v>250</v>
      </c>
      <c r="N310" s="14" t="s">
        <v>251</v>
      </c>
      <c r="O310" s="14" t="s">
        <v>9158</v>
      </c>
      <c r="P310" s="14" t="s">
        <v>9158</v>
      </c>
      <c r="Q310" s="14" t="s">
        <v>9158</v>
      </c>
      <c r="R310" s="14"/>
    </row>
    <row r="311" spans="1:18">
      <c r="A311" s="9">
        <v>70943</v>
      </c>
      <c r="B311" s="14" t="s">
        <v>334</v>
      </c>
      <c r="C311" s="14" t="s">
        <v>344</v>
      </c>
      <c r="D311" s="14" t="s">
        <v>256</v>
      </c>
      <c r="E311" s="15" t="str">
        <f>HYPERLINK("https://stat100.ameba.jp/tnk47/ratio20/illustrations/card/ill_70943_tengunokakuremino03.jpg?201810-5-RELEASE-marathon-376", "■")</f>
        <v>■</v>
      </c>
      <c r="F311" s="14" t="s">
        <v>867</v>
      </c>
      <c r="G311" s="14">
        <v>103384</v>
      </c>
      <c r="H311" s="14">
        <v>96121</v>
      </c>
      <c r="I311" s="14">
        <v>21</v>
      </c>
      <c r="J311" s="14" t="s">
        <v>155</v>
      </c>
      <c r="K311" s="14" t="s">
        <v>261</v>
      </c>
      <c r="L311" s="14" t="s">
        <v>9901</v>
      </c>
      <c r="M311" s="14" t="s">
        <v>250</v>
      </c>
      <c r="N311" s="14" t="s">
        <v>251</v>
      </c>
      <c r="O311" s="14" t="s">
        <v>9158</v>
      </c>
      <c r="P311" s="14" t="s">
        <v>9158</v>
      </c>
      <c r="Q311" s="14" t="s">
        <v>9158</v>
      </c>
      <c r="R311" s="14"/>
    </row>
    <row r="312" spans="1:18">
      <c r="B312" s="14"/>
      <c r="C312" s="14"/>
      <c r="D312" s="14"/>
      <c r="F312" s="14"/>
      <c r="G312" s="14"/>
      <c r="H312" s="14"/>
      <c r="I312" s="14"/>
      <c r="J312" s="14"/>
      <c r="K312" s="14"/>
      <c r="L312" s="14"/>
      <c r="M312" s="14"/>
      <c r="N312" s="14"/>
      <c r="P312" s="14"/>
      <c r="Q312" s="14"/>
      <c r="R312" s="14"/>
    </row>
    <row r="313" spans="1:18">
      <c r="A313" s="14" t="s">
        <v>132</v>
      </c>
      <c r="D313" s="14"/>
      <c r="F313" s="14"/>
      <c r="G313" s="14"/>
      <c r="H313" s="14"/>
      <c r="I313" s="14"/>
      <c r="J313" s="14"/>
      <c r="K313" s="14"/>
      <c r="L313" s="14"/>
      <c r="M313" s="14"/>
      <c r="N313" s="14"/>
      <c r="P313" s="14"/>
      <c r="Q313" s="14"/>
      <c r="R313" s="14"/>
    </row>
    <row r="314" spans="1:18">
      <c r="A314" s="14" t="s">
        <v>868</v>
      </c>
      <c r="B314" s="14"/>
      <c r="C314" s="14"/>
      <c r="D314" s="14"/>
      <c r="F314" s="14"/>
      <c r="G314" s="14"/>
      <c r="H314" s="14"/>
      <c r="I314" s="14"/>
      <c r="J314" s="14"/>
      <c r="K314" s="14"/>
      <c r="L314" s="14"/>
      <c r="M314" s="14"/>
      <c r="N314" s="14"/>
      <c r="P314" s="14"/>
      <c r="Q314" s="14"/>
      <c r="R314" s="14"/>
    </row>
    <row r="315" spans="1:18">
      <c r="A315" s="9">
        <v>71285</v>
      </c>
      <c r="B315" s="14" t="s">
        <v>334</v>
      </c>
      <c r="C315" s="14" t="s">
        <v>202</v>
      </c>
      <c r="D315" s="14" t="s">
        <v>869</v>
      </c>
      <c r="E315" s="15" t="str">
        <f>HYPERLINK("https://stat100.ameba.jp/tnk47/ratio20/illustrations/card/ill_71285_amenowakahiko05.jpg?201810-5-RELEASE-marathon-376", "■")</f>
        <v>■</v>
      </c>
      <c r="F315" s="14" t="s">
        <v>870</v>
      </c>
      <c r="G315" s="14">
        <v>59468</v>
      </c>
      <c r="H315" s="14">
        <v>82133</v>
      </c>
      <c r="I315" s="14">
        <v>21</v>
      </c>
      <c r="J315" s="14" t="s">
        <v>401</v>
      </c>
      <c r="K315" s="14" t="s">
        <v>871</v>
      </c>
      <c r="L315" s="14" t="s">
        <v>872</v>
      </c>
      <c r="M315" s="14" t="s">
        <v>9158</v>
      </c>
      <c r="N315" s="14" t="s">
        <v>9158</v>
      </c>
      <c r="O315" s="14" t="s">
        <v>9158</v>
      </c>
      <c r="P315" s="14" t="s">
        <v>9158</v>
      </c>
      <c r="Q315" s="14" t="s">
        <v>9158</v>
      </c>
      <c r="R315" s="14" t="s">
        <v>174</v>
      </c>
    </row>
    <row r="316" spans="1:18">
      <c r="A316" s="9">
        <v>71283</v>
      </c>
      <c r="B316" s="14" t="s">
        <v>348</v>
      </c>
      <c r="C316" s="14" t="s">
        <v>203</v>
      </c>
      <c r="D316" s="14" t="s">
        <v>869</v>
      </c>
      <c r="E316" s="15" t="str">
        <f>HYPERLINK("https://stat100.ameba.jp/tnk47/ratio20/illustrations/card/ill_71283_amenowakahiko03.jpg?201810-5-RELEASE-marathon-376", "■")</f>
        <v>■</v>
      </c>
      <c r="F316" s="14" t="s">
        <v>870</v>
      </c>
      <c r="G316" s="14">
        <v>42979</v>
      </c>
      <c r="H316" s="14">
        <v>59289</v>
      </c>
      <c r="I316" s="14">
        <v>21</v>
      </c>
      <c r="J316" s="14" t="s">
        <v>401</v>
      </c>
      <c r="K316" s="14" t="s">
        <v>871</v>
      </c>
      <c r="L316" s="14" t="s">
        <v>873</v>
      </c>
      <c r="M316" s="14" t="s">
        <v>9158</v>
      </c>
      <c r="N316" s="14" t="s">
        <v>9158</v>
      </c>
      <c r="O316" s="14" t="s">
        <v>9158</v>
      </c>
      <c r="P316" s="14" t="s">
        <v>9158</v>
      </c>
      <c r="Q316" s="14" t="s">
        <v>9158</v>
      </c>
      <c r="R316" s="14" t="s">
        <v>175</v>
      </c>
    </row>
    <row r="317" spans="1:18">
      <c r="A317" s="9">
        <v>71281</v>
      </c>
      <c r="B317" s="14" t="s">
        <v>348</v>
      </c>
      <c r="C317" s="14" t="s">
        <v>203</v>
      </c>
      <c r="D317" s="14" t="s">
        <v>869</v>
      </c>
      <c r="E317" s="15" t="str">
        <f>HYPERLINK("https://stat100.ameba.jp/tnk47/ratio20/illustrations/card/ill_71281_amenowakahiko01.jpg?201810-5-RELEASE-marathon-376", "■")</f>
        <v>■</v>
      </c>
      <c r="F317" s="14" t="s">
        <v>870</v>
      </c>
      <c r="G317" s="14">
        <v>24927</v>
      </c>
      <c r="H317" s="14">
        <v>34419</v>
      </c>
      <c r="I317" s="14">
        <v>21</v>
      </c>
      <c r="J317" s="14" t="s">
        <v>401</v>
      </c>
      <c r="K317" s="14" t="s">
        <v>871</v>
      </c>
      <c r="L317" s="14" t="s">
        <v>874</v>
      </c>
      <c r="M317" s="14" t="s">
        <v>9158</v>
      </c>
      <c r="N317" s="14" t="s">
        <v>9158</v>
      </c>
      <c r="O317" s="14" t="s">
        <v>9158</v>
      </c>
      <c r="P317" s="14" t="s">
        <v>9158</v>
      </c>
      <c r="Q317" s="14" t="s">
        <v>9158</v>
      </c>
      <c r="R317" s="14" t="s">
        <v>176</v>
      </c>
    </row>
    <row r="318" spans="1:18">
      <c r="A318" s="9">
        <v>71275</v>
      </c>
      <c r="B318" s="14" t="s">
        <v>334</v>
      </c>
      <c r="C318" s="14" t="s">
        <v>202</v>
      </c>
      <c r="D318" s="14" t="s">
        <v>875</v>
      </c>
      <c r="E318" s="15" t="str">
        <f>HYPERLINK("https://stat100.ameba.jp/tnk47/ratio20/illustrations/card/ill_71275_usagitokame05.jpg?201810-5-RELEASE-marathon-376", "■")</f>
        <v>■</v>
      </c>
      <c r="F318" s="14" t="s">
        <v>875</v>
      </c>
      <c r="G318" s="14">
        <v>83467</v>
      </c>
      <c r="H318" s="14">
        <v>115284</v>
      </c>
      <c r="I318" s="14">
        <v>21</v>
      </c>
      <c r="J318" s="14" t="s">
        <v>274</v>
      </c>
      <c r="K318" s="14" t="s">
        <v>876</v>
      </c>
      <c r="L318" s="14" t="s">
        <v>877</v>
      </c>
      <c r="M318" s="14" t="s">
        <v>9158</v>
      </c>
      <c r="N318" s="14" t="s">
        <v>9158</v>
      </c>
      <c r="O318" s="14" t="s">
        <v>9158</v>
      </c>
      <c r="P318" s="14" t="s">
        <v>9158</v>
      </c>
      <c r="Q318" s="14" t="s">
        <v>9158</v>
      </c>
      <c r="R318" s="14" t="s">
        <v>174</v>
      </c>
    </row>
    <row r="319" spans="1:18">
      <c r="A319" s="9">
        <v>71273</v>
      </c>
      <c r="B319" s="14" t="s">
        <v>348</v>
      </c>
      <c r="C319" s="14" t="s">
        <v>209</v>
      </c>
      <c r="D319" s="14" t="s">
        <v>875</v>
      </c>
      <c r="E319" s="15" t="str">
        <f>HYPERLINK("https://stat100.ameba.jp/tnk47/ratio20/illustrations/card/ill_71273_usagitokame03.jpg?201810-5-RELEASE-marathon-376", "■")</f>
        <v>■</v>
      </c>
      <c r="F319" s="14" t="s">
        <v>875</v>
      </c>
      <c r="G319" s="14">
        <v>61489</v>
      </c>
      <c r="H319" s="14">
        <v>84933</v>
      </c>
      <c r="I319" s="14">
        <v>21</v>
      </c>
      <c r="J319" s="14" t="s">
        <v>274</v>
      </c>
      <c r="K319" s="14" t="s">
        <v>876</v>
      </c>
      <c r="L319" s="14" t="s">
        <v>878</v>
      </c>
      <c r="M319" s="14" t="s">
        <v>9158</v>
      </c>
      <c r="N319" s="14" t="s">
        <v>9158</v>
      </c>
      <c r="O319" s="14" t="s">
        <v>9158</v>
      </c>
      <c r="P319" s="14" t="s">
        <v>9158</v>
      </c>
      <c r="Q319" s="14" t="s">
        <v>9158</v>
      </c>
      <c r="R319" s="14" t="s">
        <v>175</v>
      </c>
    </row>
    <row r="320" spans="1:18">
      <c r="A320" s="9">
        <v>71271</v>
      </c>
      <c r="B320" s="14" t="s">
        <v>348</v>
      </c>
      <c r="C320" s="14" t="s">
        <v>209</v>
      </c>
      <c r="D320" s="14" t="s">
        <v>875</v>
      </c>
      <c r="E320" s="15" t="str">
        <f>HYPERLINK("https://stat100.ameba.jp/tnk47/ratio20/illustrations/card/ill_71271_usagitokame01.jpg?201810-5-RELEASE-marathon-376", "■")</f>
        <v>■</v>
      </c>
      <c r="F320" s="14" t="s">
        <v>875</v>
      </c>
      <c r="G320" s="14">
        <v>39123</v>
      </c>
      <c r="H320" s="14">
        <v>54033</v>
      </c>
      <c r="I320" s="14">
        <v>21</v>
      </c>
      <c r="J320" s="14" t="s">
        <v>274</v>
      </c>
      <c r="K320" s="14" t="s">
        <v>876</v>
      </c>
      <c r="L320" s="14" t="s">
        <v>879</v>
      </c>
      <c r="M320" s="14" t="s">
        <v>9158</v>
      </c>
      <c r="N320" s="14" t="s">
        <v>9158</v>
      </c>
      <c r="O320" s="14" t="s">
        <v>9158</v>
      </c>
      <c r="P320" s="14" t="s">
        <v>9158</v>
      </c>
      <c r="Q320" s="14" t="s">
        <v>9158</v>
      </c>
      <c r="R320" s="14" t="s">
        <v>176</v>
      </c>
    </row>
    <row r="321" spans="1:18">
      <c r="A321" s="9">
        <v>69465</v>
      </c>
      <c r="B321" s="14" t="s">
        <v>334</v>
      </c>
      <c r="C321" s="14" t="s">
        <v>202</v>
      </c>
      <c r="D321" s="14" t="s">
        <v>880</v>
      </c>
      <c r="E321" s="15" t="str">
        <f>HYPERLINK("https://stat100.ameba.jp/tnk47/ratio20/illustrations/card/ill_69465_kinnokaminohi05.jpg?201810-5-RELEASE-marathon-376", "■")</f>
        <v>■</v>
      </c>
      <c r="F321" s="14" t="s">
        <v>881</v>
      </c>
      <c r="G321" s="14">
        <v>65333</v>
      </c>
      <c r="H321" s="14">
        <v>47990</v>
      </c>
      <c r="I321" s="14">
        <v>21</v>
      </c>
      <c r="J321" s="14" t="s">
        <v>320</v>
      </c>
      <c r="K321" s="14" t="s">
        <v>882</v>
      </c>
      <c r="L321" s="14" t="s">
        <v>883</v>
      </c>
      <c r="M321" s="14" t="s">
        <v>9158</v>
      </c>
      <c r="N321" s="14" t="s">
        <v>9158</v>
      </c>
      <c r="O321" s="14" t="s">
        <v>9158</v>
      </c>
      <c r="P321" s="14" t="s">
        <v>9158</v>
      </c>
      <c r="Q321" s="14" t="s">
        <v>9158</v>
      </c>
      <c r="R321" s="14" t="s">
        <v>174</v>
      </c>
    </row>
    <row r="322" spans="1:18">
      <c r="A322" s="9">
        <v>69463</v>
      </c>
      <c r="B322" s="14" t="s">
        <v>348</v>
      </c>
      <c r="C322" s="14" t="s">
        <v>203</v>
      </c>
      <c r="D322" s="14" t="s">
        <v>880</v>
      </c>
      <c r="E322" s="15" t="str">
        <f>HYPERLINK("https://stat100.ameba.jp/tnk47/ratio20/illustrations/card/ill_69463_kinnokaminohi03.jpg?201810-5-RELEASE-marathon-376", "■")</f>
        <v>■</v>
      </c>
      <c r="F322" s="14" t="s">
        <v>881</v>
      </c>
      <c r="G322" s="14">
        <v>51513</v>
      </c>
      <c r="H322" s="14">
        <v>37422</v>
      </c>
      <c r="I322" s="14">
        <v>21</v>
      </c>
      <c r="J322" s="14" t="s">
        <v>320</v>
      </c>
      <c r="K322" s="14" t="s">
        <v>882</v>
      </c>
      <c r="L322" s="14" t="s">
        <v>884</v>
      </c>
      <c r="M322" s="14" t="s">
        <v>9158</v>
      </c>
      <c r="N322" s="14" t="s">
        <v>9158</v>
      </c>
      <c r="O322" s="14" t="s">
        <v>9158</v>
      </c>
      <c r="P322" s="14" t="s">
        <v>9158</v>
      </c>
      <c r="Q322" s="14" t="s">
        <v>9158</v>
      </c>
      <c r="R322" s="14" t="s">
        <v>175</v>
      </c>
    </row>
    <row r="323" spans="1:18">
      <c r="A323" s="9">
        <v>69461</v>
      </c>
      <c r="B323" s="14" t="s">
        <v>348</v>
      </c>
      <c r="C323" s="14" t="s">
        <v>203</v>
      </c>
      <c r="D323" s="14" t="s">
        <v>880</v>
      </c>
      <c r="E323" s="15" t="str">
        <f>HYPERLINK("https://stat100.ameba.jp/tnk47/ratio20/illustrations/card/ill_69461_kinnokaminohi01.jpg?201810-5-RELEASE-marathon-376", "■")</f>
        <v>■</v>
      </c>
      <c r="F323" s="14" t="s">
        <v>881</v>
      </c>
      <c r="G323" s="14">
        <v>37800</v>
      </c>
      <c r="H323" s="14">
        <v>27300</v>
      </c>
      <c r="I323" s="14">
        <v>21</v>
      </c>
      <c r="J323" s="14" t="s">
        <v>320</v>
      </c>
      <c r="K323" s="14" t="s">
        <v>882</v>
      </c>
      <c r="L323" s="14" t="s">
        <v>885</v>
      </c>
      <c r="M323" s="14" t="s">
        <v>9158</v>
      </c>
      <c r="N323" s="14" t="s">
        <v>9158</v>
      </c>
      <c r="O323" s="14" t="s">
        <v>9158</v>
      </c>
      <c r="P323" s="14" t="s">
        <v>9158</v>
      </c>
      <c r="Q323" s="14" t="s">
        <v>9158</v>
      </c>
      <c r="R323" s="14" t="s">
        <v>176</v>
      </c>
    </row>
    <row r="324" spans="1:18">
      <c r="B324" s="14"/>
      <c r="C324" s="14"/>
      <c r="D324" s="14"/>
      <c r="F324" s="14"/>
      <c r="G324" s="14"/>
      <c r="H324" s="14"/>
      <c r="I324" s="14"/>
      <c r="J324" s="14"/>
      <c r="K324" s="14"/>
      <c r="L324" s="14"/>
      <c r="M324" s="14"/>
      <c r="N324" s="14"/>
      <c r="P324" s="14"/>
      <c r="Q324" s="14"/>
      <c r="R324" s="14"/>
    </row>
    <row r="325" spans="1:18">
      <c r="A325" s="14" t="s">
        <v>115</v>
      </c>
      <c r="D325" s="14"/>
      <c r="F325" s="14"/>
      <c r="G325" s="14"/>
      <c r="H325" s="14"/>
      <c r="I325" s="14"/>
      <c r="J325" s="14"/>
      <c r="K325" s="14"/>
      <c r="L325" s="14"/>
      <c r="M325" s="14"/>
      <c r="N325" s="14"/>
      <c r="P325" s="14"/>
      <c r="Q325" s="14"/>
      <c r="R325" s="14"/>
    </row>
    <row r="326" spans="1:18">
      <c r="A326" s="14" t="s">
        <v>886</v>
      </c>
      <c r="C326" s="14"/>
      <c r="D326" s="14"/>
      <c r="F326" s="14"/>
      <c r="G326" s="14"/>
      <c r="H326" s="14"/>
      <c r="I326" s="14"/>
      <c r="J326" s="14"/>
      <c r="K326" s="14"/>
      <c r="L326" s="14"/>
      <c r="M326" s="14"/>
      <c r="N326" s="14"/>
      <c r="P326" s="14"/>
      <c r="Q326" s="14"/>
      <c r="R326" s="14"/>
    </row>
    <row r="327" spans="1:18">
      <c r="A327" s="9" t="s">
        <v>5611</v>
      </c>
      <c r="B327" s="14" t="s">
        <v>330</v>
      </c>
      <c r="C327" s="14" t="s">
        <v>185</v>
      </c>
      <c r="D327" s="14" t="s">
        <v>539</v>
      </c>
      <c r="E327" s="15" t="str">
        <f>HYPERLINK("https://stat100.ameba.jp/tnk47/ratio20/illustrations/card/ill_60633_0_harumaisentoin03.jpg?201810-5-RELEASE-marathon-376", "■")</f>
        <v>■</v>
      </c>
      <c r="F327" s="14" t="s">
        <v>540</v>
      </c>
      <c r="G327" s="14">
        <v>95371</v>
      </c>
      <c r="H327" s="14">
        <v>102590</v>
      </c>
      <c r="I327" s="14">
        <v>15</v>
      </c>
      <c r="J327" s="14" t="s">
        <v>274</v>
      </c>
      <c r="K327" s="14" t="s">
        <v>541</v>
      </c>
      <c r="L327" s="14" t="s">
        <v>542</v>
      </c>
      <c r="M327" s="14" t="s">
        <v>9158</v>
      </c>
      <c r="N327" s="14" t="s">
        <v>9158</v>
      </c>
      <c r="O327" s="9" t="s">
        <v>2888</v>
      </c>
      <c r="P327" s="14" t="s">
        <v>3144</v>
      </c>
      <c r="Q327" s="14">
        <v>1</v>
      </c>
      <c r="R327" s="14"/>
    </row>
    <row r="328" spans="1:18">
      <c r="A328" s="9" t="s">
        <v>5725</v>
      </c>
      <c r="B328" s="14" t="s">
        <v>330</v>
      </c>
      <c r="C328" s="14" t="s">
        <v>206</v>
      </c>
      <c r="D328" s="14" t="s">
        <v>543</v>
      </c>
      <c r="E328" s="15" t="str">
        <f>HYPERLINK("https://stat100.ameba.jp/tnk47/ratio20/illustrations/card/ill_52693_0_sengokumibirakiyanagiharabyakuren03.jpg?201810-5-RELEASE-marathon-376", "■")</f>
        <v>■</v>
      </c>
      <c r="F328" s="14" t="s">
        <v>544</v>
      </c>
      <c r="G328" s="14">
        <v>83712</v>
      </c>
      <c r="H328" s="14">
        <v>94236</v>
      </c>
      <c r="I328" s="14">
        <v>15</v>
      </c>
      <c r="J328" s="14" t="s">
        <v>414</v>
      </c>
      <c r="K328" s="14" t="s">
        <v>545</v>
      </c>
      <c r="L328" s="14" t="s">
        <v>546</v>
      </c>
      <c r="M328" s="14" t="s">
        <v>9158</v>
      </c>
      <c r="N328" s="14" t="s">
        <v>9158</v>
      </c>
      <c r="O328" s="9" t="s">
        <v>3303</v>
      </c>
      <c r="P328" s="14" t="s">
        <v>3304</v>
      </c>
      <c r="Q328" s="14">
        <v>1</v>
      </c>
      <c r="R328" s="14"/>
    </row>
    <row r="329" spans="1:18">
      <c r="A329" s="9" t="s">
        <v>5897</v>
      </c>
      <c r="B329" s="14" t="s">
        <v>330</v>
      </c>
      <c r="C329" s="14" t="s">
        <v>200</v>
      </c>
      <c r="D329" s="14" t="s">
        <v>53</v>
      </c>
      <c r="E329" s="15" t="str">
        <f>HYPERLINK("https://stat100.ameba.jp/tnk47/ratio20/illustrations/card/ill_40913_0_reigyokudensetsufusehime03.jpg?201810-5-RELEASE-marathon-376", "■")</f>
        <v>■</v>
      </c>
      <c r="F329" s="14" t="s">
        <v>278</v>
      </c>
      <c r="G329" s="14">
        <v>82212</v>
      </c>
      <c r="H329" s="14">
        <v>87780</v>
      </c>
      <c r="I329" s="14">
        <v>15</v>
      </c>
      <c r="J329" s="14" t="s">
        <v>274</v>
      </c>
      <c r="K329" s="14" t="s">
        <v>279</v>
      </c>
      <c r="L329" s="14" t="s">
        <v>280</v>
      </c>
      <c r="M329" s="14" t="s">
        <v>9158</v>
      </c>
      <c r="N329" s="14" t="s">
        <v>9158</v>
      </c>
      <c r="O329" s="14" t="s">
        <v>9158</v>
      </c>
      <c r="P329" s="14" t="s">
        <v>9158</v>
      </c>
      <c r="Q329" s="14" t="s">
        <v>9158</v>
      </c>
      <c r="R329" s="14"/>
    </row>
    <row r="330" spans="1:18">
      <c r="A330" s="9">
        <v>64403</v>
      </c>
      <c r="B330" s="14" t="s">
        <v>334</v>
      </c>
      <c r="C330" s="14" t="s">
        <v>191</v>
      </c>
      <c r="D330" s="14" t="s">
        <v>887</v>
      </c>
      <c r="E330" s="15" t="str">
        <f>HYPERLINK("https://stat100.ameba.jp/tnk47/ratio20/illustrations/card/ill_64403_imagawaminehime03.jpg?201810-5-RELEASE-marathon-376", "■")</f>
        <v>■</v>
      </c>
      <c r="F330" s="14" t="s">
        <v>888</v>
      </c>
      <c r="G330" s="14">
        <v>59700</v>
      </c>
      <c r="H330" s="14">
        <v>106100</v>
      </c>
      <c r="I330" s="14">
        <v>22</v>
      </c>
      <c r="J330" s="14" t="s">
        <v>315</v>
      </c>
      <c r="K330" s="14" t="s">
        <v>889</v>
      </c>
      <c r="L330" s="14" t="s">
        <v>608</v>
      </c>
      <c r="M330" s="14" t="s">
        <v>9158</v>
      </c>
      <c r="N330" s="14" t="s">
        <v>9158</v>
      </c>
      <c r="O330" s="14" t="s">
        <v>9158</v>
      </c>
      <c r="P330" s="14" t="s">
        <v>9158</v>
      </c>
      <c r="Q330" s="14" t="s">
        <v>9158</v>
      </c>
      <c r="R330" s="14"/>
    </row>
    <row r="331" spans="1:18">
      <c r="A331" s="9">
        <v>67533</v>
      </c>
      <c r="B331" s="14" t="s">
        <v>334</v>
      </c>
      <c r="C331" s="14" t="s">
        <v>206</v>
      </c>
      <c r="D331" s="14" t="s">
        <v>890</v>
      </c>
      <c r="E331" s="15" t="str">
        <f>HYPERLINK("https://stat100.ameba.jp/tnk47/ratio20/illustrations/card/ill_67533_makkurazore03.jpg?201810-5-RELEASE-marathon-376", "■")</f>
        <v>■</v>
      </c>
      <c r="F331" s="14" t="s">
        <v>891</v>
      </c>
      <c r="G331" s="14">
        <v>62000</v>
      </c>
      <c r="H331" s="14">
        <v>110186</v>
      </c>
      <c r="I331" s="14">
        <v>22</v>
      </c>
      <c r="J331" s="14" t="s">
        <v>320</v>
      </c>
      <c r="K331" s="14" t="s">
        <v>892</v>
      </c>
      <c r="L331" s="14" t="s">
        <v>893</v>
      </c>
      <c r="M331" s="14" t="s">
        <v>9158</v>
      </c>
      <c r="N331" s="14" t="s">
        <v>9158</v>
      </c>
      <c r="O331" s="14" t="s">
        <v>9158</v>
      </c>
      <c r="P331" s="14" t="s">
        <v>9158</v>
      </c>
      <c r="Q331" s="14" t="s">
        <v>9158</v>
      </c>
      <c r="R331" s="14"/>
    </row>
    <row r="332" spans="1:18">
      <c r="A332" s="9">
        <v>45773</v>
      </c>
      <c r="B332" s="14" t="s">
        <v>334</v>
      </c>
      <c r="C332" s="14" t="s">
        <v>262</v>
      </c>
      <c r="D332" s="14" t="s">
        <v>3867</v>
      </c>
      <c r="E332" s="15" t="str">
        <f>HYPERLINK("https://stat100.ameba.jp/tnk47/ratio20/illustrations/card/ill_45773_tenshimurasamemaru03.jpg?201810-5-RELEASE-marathon-376", "■")</f>
        <v>■</v>
      </c>
      <c r="F332" s="14" t="s">
        <v>894</v>
      </c>
      <c r="G332" s="14">
        <v>78838</v>
      </c>
      <c r="H332" s="14">
        <v>84796</v>
      </c>
      <c r="I332" s="14">
        <v>22</v>
      </c>
      <c r="J332" s="14" t="s">
        <v>401</v>
      </c>
      <c r="K332" s="14" t="s">
        <v>895</v>
      </c>
      <c r="L332" s="14" t="s">
        <v>896</v>
      </c>
      <c r="M332" s="14" t="s">
        <v>9158</v>
      </c>
      <c r="N332" s="14" t="s">
        <v>9158</v>
      </c>
      <c r="O332" s="14" t="s">
        <v>9158</v>
      </c>
      <c r="P332" s="14" t="s">
        <v>9158</v>
      </c>
      <c r="Q332" s="14" t="s">
        <v>9158</v>
      </c>
      <c r="R332" s="14"/>
    </row>
    <row r="333" spans="1:18">
      <c r="A333" s="9">
        <v>48673</v>
      </c>
      <c r="B333" s="14" t="s">
        <v>348</v>
      </c>
      <c r="C333" s="14" t="s">
        <v>206</v>
      </c>
      <c r="D333" s="14" t="s">
        <v>558</v>
      </c>
      <c r="E333" s="15" t="str">
        <f>HYPERLINK("https://stat100.ameba.jp/tnk47/ratio20/illustrations/card/ill_48673_senyaichiyamonogatari03.jpg?201810-5-RELEASE-marathon-376", "■")</f>
        <v>■</v>
      </c>
      <c r="F333" s="14" t="s">
        <v>559</v>
      </c>
      <c r="G333" s="14">
        <v>59144</v>
      </c>
      <c r="H333" s="14">
        <v>65208</v>
      </c>
      <c r="I333" s="14">
        <v>22</v>
      </c>
      <c r="J333" s="14" t="s">
        <v>274</v>
      </c>
      <c r="K333" s="14" t="s">
        <v>560</v>
      </c>
      <c r="L333" s="14" t="s">
        <v>561</v>
      </c>
      <c r="M333" s="14" t="s">
        <v>9158</v>
      </c>
      <c r="N333" s="14" t="s">
        <v>9158</v>
      </c>
      <c r="O333" s="14" t="s">
        <v>9158</v>
      </c>
      <c r="P333" s="14" t="s">
        <v>9158</v>
      </c>
      <c r="Q333" s="14" t="s">
        <v>9158</v>
      </c>
      <c r="R333" s="14"/>
    </row>
    <row r="334" spans="1:18">
      <c r="A334" s="9">
        <v>47793</v>
      </c>
      <c r="B334" s="14" t="s">
        <v>348</v>
      </c>
      <c r="C334" s="14" t="s">
        <v>185</v>
      </c>
      <c r="D334" s="14" t="s">
        <v>562</v>
      </c>
      <c r="E334" s="15" t="str">
        <f>HYPERLINK("https://stat100.ameba.jp/tnk47/ratio20/illustrations/card/ill_47793_arabiannaitotadanomakuzu03.jpg?201810-5-RELEASE-marathon-376", "■")</f>
        <v>■</v>
      </c>
      <c r="F334" s="14" t="s">
        <v>563</v>
      </c>
      <c r="G334" s="14">
        <v>59144</v>
      </c>
      <c r="H334" s="14">
        <v>65208</v>
      </c>
      <c r="I334" s="14">
        <v>22</v>
      </c>
      <c r="J334" s="14" t="s">
        <v>351</v>
      </c>
      <c r="K334" s="14" t="s">
        <v>564</v>
      </c>
      <c r="L334" s="14" t="s">
        <v>565</v>
      </c>
      <c r="M334" s="14" t="s">
        <v>9158</v>
      </c>
      <c r="N334" s="14" t="s">
        <v>9158</v>
      </c>
      <c r="O334" s="14" t="s">
        <v>9158</v>
      </c>
      <c r="P334" s="14" t="s">
        <v>9158</v>
      </c>
      <c r="Q334" s="14" t="s">
        <v>9158</v>
      </c>
      <c r="R334" s="14"/>
    </row>
    <row r="335" spans="1:18">
      <c r="A335" s="9">
        <v>54903</v>
      </c>
      <c r="B335" s="14" t="s">
        <v>348</v>
      </c>
      <c r="C335" s="14" t="s">
        <v>205</v>
      </c>
      <c r="D335" s="14" t="s">
        <v>566</v>
      </c>
      <c r="E335" s="15" t="str">
        <f>HYPERLINK("https://stat100.ameba.jp/tnk47/ratio20/illustrations/card/ill_54903_baniyamanetoshiko03.jpg?201810-5-RELEASE-marathon-376", "■")</f>
        <v>■</v>
      </c>
      <c r="F335" s="14" t="s">
        <v>567</v>
      </c>
      <c r="G335" s="14">
        <v>52764</v>
      </c>
      <c r="H335" s="14">
        <v>71588</v>
      </c>
      <c r="I335" s="14">
        <v>22</v>
      </c>
      <c r="J335" s="14" t="s">
        <v>414</v>
      </c>
      <c r="K335" s="14" t="s">
        <v>568</v>
      </c>
      <c r="L335" s="14" t="s">
        <v>569</v>
      </c>
      <c r="M335" s="14" t="s">
        <v>9158</v>
      </c>
      <c r="N335" s="14" t="s">
        <v>9158</v>
      </c>
      <c r="O335" s="14" t="s">
        <v>9158</v>
      </c>
      <c r="P335" s="14" t="s">
        <v>9158</v>
      </c>
      <c r="Q335" s="14" t="s">
        <v>9158</v>
      </c>
      <c r="R335" s="14"/>
    </row>
    <row r="336" spans="1:18">
      <c r="B336" s="14"/>
      <c r="C336" s="14"/>
      <c r="D336" s="14"/>
      <c r="F336" s="14"/>
      <c r="G336" s="14"/>
      <c r="H336" s="14"/>
      <c r="I336" s="14"/>
      <c r="J336" s="14"/>
      <c r="K336" s="14"/>
      <c r="L336" s="14"/>
      <c r="M336" s="14"/>
      <c r="N336" s="14"/>
      <c r="P336" s="14"/>
      <c r="Q336" s="14"/>
      <c r="R336" s="14"/>
    </row>
    <row r="337" spans="1:18">
      <c r="A337" s="14" t="s">
        <v>222</v>
      </c>
      <c r="D337" s="14"/>
      <c r="F337" s="14"/>
      <c r="G337" s="14"/>
      <c r="H337" s="14"/>
      <c r="I337" s="14"/>
      <c r="J337" s="14"/>
      <c r="K337" s="14"/>
      <c r="L337" s="14"/>
      <c r="M337" s="14"/>
      <c r="N337" s="14"/>
      <c r="P337" s="14"/>
      <c r="Q337" s="14"/>
      <c r="R337" s="14"/>
    </row>
    <row r="338" spans="1:18">
      <c r="A338" s="14" t="s">
        <v>266</v>
      </c>
      <c r="B338" s="14"/>
      <c r="C338" s="14"/>
      <c r="D338" s="14"/>
      <c r="F338" s="14"/>
      <c r="G338" s="14"/>
      <c r="H338" s="14"/>
      <c r="I338" s="14"/>
      <c r="J338" s="14"/>
      <c r="K338" s="14"/>
      <c r="L338" s="14"/>
      <c r="M338" s="14"/>
      <c r="N338" s="14"/>
      <c r="P338" s="14"/>
      <c r="Q338" s="14"/>
      <c r="R338" s="14"/>
    </row>
    <row r="339" spans="1:18">
      <c r="A339" s="9" t="s">
        <v>5778</v>
      </c>
      <c r="B339" s="14" t="s">
        <v>330</v>
      </c>
      <c r="C339" s="14" t="s">
        <v>205</v>
      </c>
      <c r="D339" s="14" t="s">
        <v>3449</v>
      </c>
      <c r="E339" s="15" t="str">
        <f>HYPERLINK("https://stat100.ameba.jp/tnk47/ratio20/illustrations/card/ill_68783_0_gantammomotaro03.jpg?201810-5-RELEASE-marathon-376", "■")</f>
        <v>■</v>
      </c>
      <c r="F339" s="14" t="s">
        <v>273</v>
      </c>
      <c r="G339" s="14">
        <v>123108</v>
      </c>
      <c r="H339" s="14">
        <v>114446</v>
      </c>
      <c r="I339" s="14">
        <v>18</v>
      </c>
      <c r="J339" s="14" t="s">
        <v>274</v>
      </c>
      <c r="K339" s="14" t="s">
        <v>275</v>
      </c>
      <c r="L339" s="14" t="s">
        <v>276</v>
      </c>
      <c r="M339" s="14" t="s">
        <v>9158</v>
      </c>
      <c r="N339" s="14" t="s">
        <v>9158</v>
      </c>
      <c r="O339" s="17" t="s">
        <v>9992</v>
      </c>
      <c r="P339" s="14" t="s">
        <v>3451</v>
      </c>
      <c r="Q339" s="14">
        <v>1</v>
      </c>
      <c r="R339" s="14"/>
    </row>
    <row r="340" spans="1:18">
      <c r="A340" s="9" t="s">
        <v>5897</v>
      </c>
      <c r="B340" s="14" t="s">
        <v>330</v>
      </c>
      <c r="C340" s="14" t="s">
        <v>200</v>
      </c>
      <c r="D340" s="14" t="s">
        <v>53</v>
      </c>
      <c r="E340" s="15" t="str">
        <f>HYPERLINK("https://stat100.ameba.jp/tnk47/ratio20/illustrations/card/ill_40913_0_reigyokudensetsufusehime03.jpg?201810-5-RELEASE-marathon-376", "■")</f>
        <v>■</v>
      </c>
      <c r="F340" s="14" t="s">
        <v>278</v>
      </c>
      <c r="G340" s="14">
        <v>98654</v>
      </c>
      <c r="H340" s="14">
        <v>105336</v>
      </c>
      <c r="I340" s="14">
        <v>18</v>
      </c>
      <c r="J340" s="14" t="s">
        <v>274</v>
      </c>
      <c r="K340" s="14" t="s">
        <v>279</v>
      </c>
      <c r="L340" s="14" t="s">
        <v>280</v>
      </c>
      <c r="M340" s="14" t="s">
        <v>9158</v>
      </c>
      <c r="N340" s="14" t="s">
        <v>9158</v>
      </c>
      <c r="O340" s="14" t="s">
        <v>9158</v>
      </c>
      <c r="P340" s="14" t="s">
        <v>9158</v>
      </c>
      <c r="Q340" s="14" t="s">
        <v>9158</v>
      </c>
      <c r="R340" s="14"/>
    </row>
    <row r="341" spans="1:18">
      <c r="A341" s="9">
        <v>76041</v>
      </c>
      <c r="B341" s="14" t="s">
        <v>334</v>
      </c>
      <c r="C341" s="14" t="s">
        <v>209</v>
      </c>
      <c r="D341" s="14" t="s">
        <v>281</v>
      </c>
      <c r="E341" s="15" t="str">
        <f>HYPERLINK("https://stat100.ameba.jp/tnk47/ratio20/illustrations/card/ill_76041_higashinoshishimuraengi01.jpg?201810-5-RELEASE-marathon-376", "■")</f>
        <v>■</v>
      </c>
      <c r="F341" s="14" t="s">
        <v>282</v>
      </c>
      <c r="G341" s="14">
        <v>61600</v>
      </c>
      <c r="H341" s="14">
        <v>57200</v>
      </c>
      <c r="I341" s="14">
        <v>22</v>
      </c>
      <c r="J341" s="14" t="s">
        <v>283</v>
      </c>
      <c r="K341" s="14" t="s">
        <v>284</v>
      </c>
      <c r="L341" s="14" t="s">
        <v>285</v>
      </c>
      <c r="M341" s="14" t="s">
        <v>9158</v>
      </c>
      <c r="N341" s="14" t="s">
        <v>9158</v>
      </c>
      <c r="O341" s="14" t="s">
        <v>9158</v>
      </c>
      <c r="P341" s="14" t="s">
        <v>9158</v>
      </c>
      <c r="Q341" s="14" t="s">
        <v>9158</v>
      </c>
      <c r="R341" s="14"/>
    </row>
    <row r="342" spans="1:18">
      <c r="A342" s="9">
        <v>76051</v>
      </c>
      <c r="B342" s="14" t="s">
        <v>334</v>
      </c>
      <c r="C342" s="14" t="s">
        <v>203</v>
      </c>
      <c r="D342" s="14" t="s">
        <v>286</v>
      </c>
      <c r="E342" s="15" t="str">
        <f>HYPERLINK("https://stat100.ameba.jp/tnk47/ratio20/illustrations/card/ill_76051_nishinoshishimuraengi01.jpg?201810-5-RELEASE-marathon-376", "■")</f>
        <v>■</v>
      </c>
      <c r="F342" s="14" t="s">
        <v>287</v>
      </c>
      <c r="G342" s="14">
        <v>61600</v>
      </c>
      <c r="H342" s="14">
        <v>57200</v>
      </c>
      <c r="I342" s="14">
        <v>22</v>
      </c>
      <c r="J342" s="14" t="s">
        <v>283</v>
      </c>
      <c r="K342" s="14" t="s">
        <v>288</v>
      </c>
      <c r="L342" s="14" t="s">
        <v>285</v>
      </c>
      <c r="M342" s="14" t="s">
        <v>9158</v>
      </c>
      <c r="N342" s="14" t="s">
        <v>9158</v>
      </c>
      <c r="O342" s="14" t="s">
        <v>9158</v>
      </c>
      <c r="P342" s="14" t="s">
        <v>9158</v>
      </c>
      <c r="Q342" s="14" t="s">
        <v>9158</v>
      </c>
      <c r="R342" s="14"/>
    </row>
    <row r="343" spans="1:18">
      <c r="A343" s="9">
        <v>76063</v>
      </c>
      <c r="B343" s="14" t="s">
        <v>334</v>
      </c>
      <c r="C343" s="14" t="s">
        <v>202</v>
      </c>
      <c r="D343" s="14" t="s">
        <v>289</v>
      </c>
      <c r="E343" s="15" t="str">
        <f>HYPERLINK("https://stat100.ameba.jp/tnk47/ratio20/illustrations/card/ill_76063_hoenshishimuraengi03.jpg?201810-5-RELEASE-marathon-376", "■")</f>
        <v>■</v>
      </c>
      <c r="F343" s="14" t="s">
        <v>290</v>
      </c>
      <c r="G343" s="14">
        <v>110104</v>
      </c>
      <c r="H343" s="14">
        <v>102736</v>
      </c>
      <c r="I343" s="14">
        <v>22</v>
      </c>
      <c r="J343" s="14" t="s">
        <v>283</v>
      </c>
      <c r="K343" s="14" t="s">
        <v>291</v>
      </c>
      <c r="L343" s="14" t="s">
        <v>292</v>
      </c>
      <c r="M343" s="14" t="s">
        <v>9158</v>
      </c>
      <c r="N343" s="14" t="s">
        <v>9158</v>
      </c>
      <c r="O343" s="14" t="s">
        <v>9158</v>
      </c>
      <c r="P343" s="14" t="s">
        <v>9158</v>
      </c>
      <c r="Q343" s="14" t="s">
        <v>9158</v>
      </c>
      <c r="R343" s="14"/>
    </row>
    <row r="344" spans="1:18">
      <c r="A344" s="9">
        <v>61491</v>
      </c>
      <c r="B344" s="14" t="s">
        <v>334</v>
      </c>
      <c r="C344" s="14" t="s">
        <v>209</v>
      </c>
      <c r="D344" s="14" t="s">
        <v>293</v>
      </c>
      <c r="E344" s="15" t="str">
        <f>HYPERLINK("https://stat100.ameba.jp/tnk47/ratio20/illustrations/card/ill_61491_higashinobungeiengi01.jpg?201810-5-RELEASE-marathon-376", "■")</f>
        <v>■</v>
      </c>
      <c r="F344" s="14" t="s">
        <v>294</v>
      </c>
      <c r="G344" s="14">
        <v>59554</v>
      </c>
      <c r="H344" s="14">
        <v>63976</v>
      </c>
      <c r="I344" s="14">
        <v>22</v>
      </c>
      <c r="J344" s="14" t="s">
        <v>274</v>
      </c>
      <c r="K344" s="14" t="s">
        <v>295</v>
      </c>
      <c r="L344" s="14" t="s">
        <v>296</v>
      </c>
      <c r="M344" s="14" t="s">
        <v>9158</v>
      </c>
      <c r="N344" s="14" t="s">
        <v>9158</v>
      </c>
      <c r="O344" s="14" t="s">
        <v>9158</v>
      </c>
      <c r="P344" s="14" t="s">
        <v>9158</v>
      </c>
      <c r="Q344" s="14" t="s">
        <v>9158</v>
      </c>
      <c r="R344" s="14"/>
    </row>
    <row r="345" spans="1:18">
      <c r="A345" s="9">
        <v>61501</v>
      </c>
      <c r="B345" s="14" t="s">
        <v>334</v>
      </c>
      <c r="C345" s="14" t="s">
        <v>203</v>
      </c>
      <c r="D345" s="14" t="s">
        <v>297</v>
      </c>
      <c r="E345" s="15" t="str">
        <f>HYPERLINK("https://stat100.ameba.jp/tnk47/ratio20/illustrations/card/ill_61501_nishinobungeiengi01.jpg?201810-5-RELEASE-marathon-376", "■")</f>
        <v>■</v>
      </c>
      <c r="F345" s="14" t="s">
        <v>298</v>
      </c>
      <c r="G345" s="14">
        <v>59554</v>
      </c>
      <c r="H345" s="14">
        <v>63976</v>
      </c>
      <c r="I345" s="14">
        <v>22</v>
      </c>
      <c r="J345" s="14" t="s">
        <v>274</v>
      </c>
      <c r="K345" s="14" t="s">
        <v>299</v>
      </c>
      <c r="L345" s="14" t="s">
        <v>296</v>
      </c>
      <c r="M345" s="14" t="s">
        <v>9158</v>
      </c>
      <c r="N345" s="14" t="s">
        <v>9158</v>
      </c>
      <c r="O345" s="14" t="s">
        <v>9158</v>
      </c>
      <c r="P345" s="14" t="s">
        <v>9158</v>
      </c>
      <c r="Q345" s="14" t="s">
        <v>9158</v>
      </c>
      <c r="R345" s="14"/>
    </row>
    <row r="346" spans="1:18">
      <c r="A346" s="9">
        <v>61513</v>
      </c>
      <c r="B346" s="14" t="s">
        <v>334</v>
      </c>
      <c r="C346" s="14" t="s">
        <v>202</v>
      </c>
      <c r="D346" s="14" t="s">
        <v>300</v>
      </c>
      <c r="E346" s="15" t="str">
        <f>HYPERLINK("https://stat100.ameba.jp/tnk47/ratio20/illustrations/card/ill_61513_kessakubungeiengi03.jpg?201810-5-RELEASE-marathon-376", "■")</f>
        <v>■</v>
      </c>
      <c r="F346" s="14" t="s">
        <v>301</v>
      </c>
      <c r="G346" s="14">
        <v>110376</v>
      </c>
      <c r="H346" s="14">
        <v>118552</v>
      </c>
      <c r="I346" s="14">
        <v>22</v>
      </c>
      <c r="J346" s="14" t="s">
        <v>274</v>
      </c>
      <c r="K346" s="14" t="s">
        <v>302</v>
      </c>
      <c r="L346" s="14" t="s">
        <v>303</v>
      </c>
      <c r="M346" s="14" t="s">
        <v>9158</v>
      </c>
      <c r="N346" s="14" t="s">
        <v>9158</v>
      </c>
      <c r="O346" s="14" t="s">
        <v>9158</v>
      </c>
      <c r="P346" s="14" t="s">
        <v>9158</v>
      </c>
      <c r="Q346" s="14" t="s">
        <v>9158</v>
      </c>
      <c r="R346" s="14"/>
    </row>
    <row r="347" spans="1:18">
      <c r="B347" s="14"/>
      <c r="C347" s="14"/>
      <c r="D347" s="14"/>
      <c r="F347" s="14"/>
      <c r="G347" s="14"/>
      <c r="H347" s="14"/>
      <c r="I347" s="14"/>
      <c r="J347" s="14"/>
      <c r="K347" s="14"/>
      <c r="L347" s="14"/>
      <c r="M347" s="14"/>
      <c r="N347" s="14"/>
      <c r="P347" s="14"/>
      <c r="Q347" s="14"/>
      <c r="R347" s="14"/>
    </row>
    <row r="348" spans="1:18">
      <c r="A348" s="14" t="s">
        <v>304</v>
      </c>
      <c r="D348" s="14"/>
      <c r="F348" s="14"/>
      <c r="G348" s="14"/>
      <c r="H348" s="14"/>
      <c r="I348" s="14"/>
      <c r="J348" s="14"/>
      <c r="K348" s="14"/>
      <c r="L348" s="14"/>
      <c r="M348" s="14"/>
      <c r="N348" s="14"/>
      <c r="P348" s="14"/>
      <c r="Q348" s="14"/>
      <c r="R348" s="14"/>
    </row>
    <row r="349" spans="1:18">
      <c r="A349" s="14" t="s">
        <v>305</v>
      </c>
      <c r="C349" s="14"/>
      <c r="D349" s="14"/>
      <c r="F349" s="14"/>
      <c r="G349" s="14"/>
      <c r="H349" s="14"/>
      <c r="I349" s="14"/>
      <c r="J349" s="14"/>
      <c r="K349" s="14"/>
      <c r="L349" s="14"/>
      <c r="M349" s="14"/>
      <c r="N349" s="14"/>
      <c r="P349" s="14"/>
      <c r="Q349" s="14"/>
      <c r="R349" s="14"/>
    </row>
    <row r="350" spans="1:18">
      <c r="A350" s="9" t="s">
        <v>5822</v>
      </c>
      <c r="B350" s="14" t="s">
        <v>330</v>
      </c>
      <c r="C350" s="14" t="s">
        <v>191</v>
      </c>
      <c r="D350" s="14" t="s">
        <v>898</v>
      </c>
      <c r="E350" s="15" t="str">
        <f>HYPERLINK("https://stat100.ameba.jp/tnk47/ratio20/illustrations/card/ill_71403_0_ohanamisanadayukimura03.jpg?201810-5-RELEASE-marathon-376", "■")</f>
        <v>■</v>
      </c>
      <c r="F350" s="14" t="s">
        <v>309</v>
      </c>
      <c r="G350" s="14">
        <v>140016</v>
      </c>
      <c r="H350" s="14">
        <v>130194</v>
      </c>
      <c r="I350" s="14">
        <v>15</v>
      </c>
      <c r="J350" s="14" t="s">
        <v>310</v>
      </c>
      <c r="K350" s="14" t="s">
        <v>311</v>
      </c>
      <c r="L350" s="14" t="s">
        <v>312</v>
      </c>
      <c r="M350" s="14" t="s">
        <v>9158</v>
      </c>
      <c r="N350" s="14" t="s">
        <v>9158</v>
      </c>
      <c r="O350" s="17" t="s">
        <v>10060</v>
      </c>
      <c r="P350" s="14" t="s">
        <v>3418</v>
      </c>
      <c r="Q350" s="14">
        <v>2</v>
      </c>
      <c r="R350" s="14"/>
    </row>
    <row r="351" spans="1:18">
      <c r="A351" s="9" t="s">
        <v>5614</v>
      </c>
      <c r="B351" s="14" t="s">
        <v>330</v>
      </c>
      <c r="C351" s="14" t="s">
        <v>205</v>
      </c>
      <c r="D351" s="14" t="s">
        <v>313</v>
      </c>
      <c r="E351" s="15" t="str">
        <f>HYPERLINK("https://stat100.ameba.jp/tnk47/ratio20/illustrations/card/ill_56223_0_onsempanikkugohime03.jpg?201810-5-RELEASE-marathon-376", "■")</f>
        <v>■</v>
      </c>
      <c r="F351" s="14" t="s">
        <v>314</v>
      </c>
      <c r="G351" s="14">
        <v>83712</v>
      </c>
      <c r="H351" s="14">
        <v>94236</v>
      </c>
      <c r="I351" s="14">
        <v>15</v>
      </c>
      <c r="J351" s="14" t="s">
        <v>315</v>
      </c>
      <c r="K351" s="14" t="s">
        <v>316</v>
      </c>
      <c r="L351" s="14" t="s">
        <v>317</v>
      </c>
      <c r="M351" s="14" t="s">
        <v>9158</v>
      </c>
      <c r="N351" s="14" t="s">
        <v>9158</v>
      </c>
      <c r="O351" s="9" t="s">
        <v>3021</v>
      </c>
      <c r="P351" s="14" t="s">
        <v>2890</v>
      </c>
      <c r="Q351" s="14">
        <v>1</v>
      </c>
      <c r="R351" s="14"/>
    </row>
    <row r="352" spans="1:18">
      <c r="A352" s="9" t="s">
        <v>5897</v>
      </c>
      <c r="B352" s="14" t="s">
        <v>330</v>
      </c>
      <c r="C352" s="14" t="s">
        <v>200</v>
      </c>
      <c r="D352" s="14" t="s">
        <v>277</v>
      </c>
      <c r="E352" s="15" t="str">
        <f>HYPERLINK("https://stat100.ameba.jp/tnk47/ratio20/illustrations/card/ill_40913_0_reigyokudensetsufusehime03.jpg?201810-5-RELEASE-marathon-376", "■")</f>
        <v>■</v>
      </c>
      <c r="F352" s="14" t="s">
        <v>278</v>
      </c>
      <c r="G352" s="14">
        <v>82212</v>
      </c>
      <c r="H352" s="14">
        <v>87780</v>
      </c>
      <c r="I352" s="14">
        <v>15</v>
      </c>
      <c r="J352" s="14" t="s">
        <v>274</v>
      </c>
      <c r="K352" s="14" t="s">
        <v>279</v>
      </c>
      <c r="L352" s="14" t="s">
        <v>280</v>
      </c>
      <c r="M352" s="14" t="s">
        <v>9158</v>
      </c>
      <c r="N352" s="14" t="s">
        <v>9158</v>
      </c>
      <c r="O352" s="14" t="s">
        <v>9158</v>
      </c>
      <c r="P352" s="14" t="s">
        <v>9158</v>
      </c>
      <c r="Q352" s="14" t="s">
        <v>9158</v>
      </c>
      <c r="R352" s="14"/>
    </row>
    <row r="353" spans="1:18">
      <c r="A353" s="9">
        <v>59863</v>
      </c>
      <c r="B353" s="14" t="s">
        <v>334</v>
      </c>
      <c r="C353" s="14" t="s">
        <v>165</v>
      </c>
      <c r="D353" s="14" t="s">
        <v>3868</v>
      </c>
      <c r="E353" s="15" t="str">
        <f>HYPERLINK("https://stat100.ameba.jp/tnk47/ratio20/illustrations/card/ill_59863_yoseiichimokuren03.jpg?201810-5-RELEASE-marathon-376", "■")</f>
        <v>■</v>
      </c>
      <c r="F353" s="14" t="s">
        <v>319</v>
      </c>
      <c r="G353" s="14">
        <v>91664</v>
      </c>
      <c r="H353" s="14">
        <v>85246</v>
      </c>
      <c r="I353" s="14">
        <v>22</v>
      </c>
      <c r="J353" s="14" t="s">
        <v>320</v>
      </c>
      <c r="K353" s="14" t="s">
        <v>321</v>
      </c>
      <c r="L353" s="14" t="s">
        <v>322</v>
      </c>
      <c r="M353" s="14" t="s">
        <v>9158</v>
      </c>
      <c r="N353" s="14" t="s">
        <v>9158</v>
      </c>
      <c r="O353" s="14" t="s">
        <v>9158</v>
      </c>
      <c r="P353" s="14" t="s">
        <v>9158</v>
      </c>
      <c r="Q353" s="14" t="s">
        <v>9158</v>
      </c>
      <c r="R353" s="14"/>
    </row>
    <row r="354" spans="1:18">
      <c r="A354" s="9">
        <v>44573</v>
      </c>
      <c r="B354" s="14" t="s">
        <v>334</v>
      </c>
      <c r="C354" s="14" t="s">
        <v>323</v>
      </c>
      <c r="D354" s="14" t="s">
        <v>3869</v>
      </c>
      <c r="E354" s="15" t="str">
        <f>HYPERLINK("https://stat100.ameba.jp/tnk47/ratio20/illustrations/card/ill_44573_kikuhime03.jpg?201810-5-RELEASE-marathon-376", "■")</f>
        <v>■</v>
      </c>
      <c r="F354" s="14" t="s">
        <v>324</v>
      </c>
      <c r="G354" s="14">
        <v>78838</v>
      </c>
      <c r="H354" s="14">
        <v>84796</v>
      </c>
      <c r="I354" s="14">
        <v>22</v>
      </c>
      <c r="J354" s="14" t="s">
        <v>315</v>
      </c>
      <c r="K354" s="14" t="s">
        <v>325</v>
      </c>
      <c r="L354" s="14" t="s">
        <v>326</v>
      </c>
      <c r="M354" s="14" t="s">
        <v>9158</v>
      </c>
      <c r="N354" s="14" t="s">
        <v>9158</v>
      </c>
      <c r="O354" s="14" t="s">
        <v>9158</v>
      </c>
      <c r="P354" s="14" t="s">
        <v>9158</v>
      </c>
      <c r="Q354" s="14" t="s">
        <v>9158</v>
      </c>
      <c r="R354" s="14"/>
    </row>
    <row r="355" spans="1:18">
      <c r="A355" s="9">
        <v>63283</v>
      </c>
      <c r="B355" s="14" t="s">
        <v>334</v>
      </c>
      <c r="C355" s="14" t="s">
        <v>209</v>
      </c>
      <c r="D355" s="14" t="s">
        <v>2434</v>
      </c>
      <c r="E355" s="15" t="str">
        <f>HYPERLINK("https://stat100.ameba.jp/tnk47/ratio20/illustrations/card/ill_63283_mizuyokanchan03.jpg?201810-5-RELEASE-marathon-376", "■")</f>
        <v>■</v>
      </c>
      <c r="F355" s="14" t="s">
        <v>327</v>
      </c>
      <c r="G355" s="14">
        <v>103896</v>
      </c>
      <c r="H355" s="14">
        <v>96610</v>
      </c>
      <c r="I355" s="14">
        <v>22</v>
      </c>
      <c r="J355" s="14" t="s">
        <v>283</v>
      </c>
      <c r="K355" s="14" t="s">
        <v>328</v>
      </c>
      <c r="L355" s="14" t="s">
        <v>329</v>
      </c>
      <c r="M355" s="14" t="s">
        <v>9158</v>
      </c>
      <c r="N355" s="14" t="s">
        <v>9158</v>
      </c>
      <c r="O355" s="9" t="s">
        <v>3870</v>
      </c>
      <c r="P355" s="14" t="s">
        <v>3563</v>
      </c>
      <c r="Q355" s="14">
        <v>1</v>
      </c>
      <c r="R355" s="14"/>
    </row>
    <row r="356" spans="1:18">
      <c r="A356" s="9">
        <v>52083</v>
      </c>
      <c r="B356" s="14" t="s">
        <v>334</v>
      </c>
      <c r="C356" s="14" t="s">
        <v>158</v>
      </c>
      <c r="D356" s="14" t="s">
        <v>943</v>
      </c>
      <c r="E356" s="15" t="str">
        <f>HYPERLINK("https://stat100.ameba.jp/tnk47/ratio20/illustrations/card/ill_52083_berubetto03.jpg?201810-5-RELEASE-marathon-376", "■")</f>
        <v>■</v>
      </c>
      <c r="F356" s="14" t="s">
        <v>944</v>
      </c>
      <c r="G356" s="14">
        <v>68912</v>
      </c>
      <c r="H356" s="14">
        <v>95134</v>
      </c>
      <c r="I356" s="14">
        <v>20</v>
      </c>
      <c r="J356" s="14" t="s">
        <v>229</v>
      </c>
      <c r="K356" s="14" t="s">
        <v>945</v>
      </c>
      <c r="L356" s="14" t="s">
        <v>13146</v>
      </c>
      <c r="M356" s="14" t="s">
        <v>9158</v>
      </c>
      <c r="N356" s="14" t="s">
        <v>9158</v>
      </c>
      <c r="O356" s="9" t="s">
        <v>2917</v>
      </c>
      <c r="P356" s="14" t="s">
        <v>2918</v>
      </c>
      <c r="Q356" s="14">
        <v>1</v>
      </c>
      <c r="R356" s="14"/>
    </row>
    <row r="357" spans="1:18">
      <c r="B357" s="14"/>
      <c r="C357" s="14"/>
      <c r="D357" s="14"/>
      <c r="F357" s="14"/>
      <c r="G357" s="14"/>
      <c r="H357" s="14"/>
      <c r="I357" s="14"/>
      <c r="J357" s="14"/>
      <c r="K357" s="14"/>
      <c r="L357" s="14"/>
      <c r="M357" s="14"/>
      <c r="N357" s="14"/>
      <c r="P357" s="14"/>
      <c r="Q357" s="14"/>
      <c r="R357" s="14"/>
    </row>
    <row r="358" spans="1:18">
      <c r="A358" s="14" t="s">
        <v>897</v>
      </c>
      <c r="D358" s="14"/>
      <c r="F358" s="14"/>
      <c r="G358" s="14"/>
      <c r="H358" s="14"/>
      <c r="I358" s="14"/>
      <c r="J358" s="14"/>
      <c r="K358" s="14"/>
      <c r="L358" s="14"/>
      <c r="M358" s="14"/>
      <c r="N358" s="14"/>
      <c r="P358" s="14"/>
      <c r="Q358" s="14"/>
      <c r="R358" s="14"/>
    </row>
    <row r="359" spans="1:18">
      <c r="A359" s="14" t="s">
        <v>3876</v>
      </c>
      <c r="B359" s="14"/>
      <c r="C359" s="14"/>
      <c r="D359" s="14"/>
      <c r="F359" s="14"/>
      <c r="G359" s="14"/>
      <c r="H359" s="14"/>
      <c r="I359" s="14"/>
      <c r="J359" s="14"/>
      <c r="K359" s="14"/>
      <c r="L359" s="14"/>
      <c r="M359" s="14"/>
      <c r="N359" s="14"/>
      <c r="P359" s="14"/>
      <c r="Q359" s="14"/>
      <c r="R359" s="14"/>
    </row>
    <row r="360" spans="1:18">
      <c r="A360" s="9" t="s">
        <v>5822</v>
      </c>
      <c r="B360" s="14" t="s">
        <v>330</v>
      </c>
      <c r="C360" s="14" t="s">
        <v>191</v>
      </c>
      <c r="D360" s="14" t="s">
        <v>898</v>
      </c>
      <c r="E360" s="15" t="str">
        <f>HYPERLINK("https://stat100.ameba.jp/tnk47/ratio20/illustrations/card/ill_71403_0_ohanamisanadayukimura03.jpg?201810-5-RELEASE-marathon-376", "■")</f>
        <v>■</v>
      </c>
      <c r="F360" s="14" t="s">
        <v>899</v>
      </c>
      <c r="G360" s="14">
        <v>140016</v>
      </c>
      <c r="H360" s="14">
        <v>140016</v>
      </c>
      <c r="I360" s="14">
        <v>15</v>
      </c>
      <c r="J360" s="14" t="s">
        <v>143</v>
      </c>
      <c r="K360" s="14" t="s">
        <v>900</v>
      </c>
      <c r="L360" s="14" t="s">
        <v>901</v>
      </c>
      <c r="M360" s="14" t="s">
        <v>9158</v>
      </c>
      <c r="N360" s="14" t="s">
        <v>9158</v>
      </c>
      <c r="O360" s="17" t="s">
        <v>10060</v>
      </c>
      <c r="P360" s="14" t="s">
        <v>3418</v>
      </c>
      <c r="Q360" s="14">
        <v>2</v>
      </c>
      <c r="R360" s="14"/>
    </row>
    <row r="361" spans="1:18">
      <c r="A361" s="9" t="s">
        <v>5609</v>
      </c>
      <c r="B361" s="14" t="s">
        <v>330</v>
      </c>
      <c r="C361" s="14" t="s">
        <v>200</v>
      </c>
      <c r="D361" s="14" t="s">
        <v>56</v>
      </c>
      <c r="E361" s="15" t="str">
        <f>HYPERLINK("https://stat100.ameba.jp/tnk47/ratio20/illustrations/card/ill_53753_0_natsumatsuritokugawaieyasu03.jpg?201810-5-RELEASE-marathon-376", "■")</f>
        <v>■</v>
      </c>
      <c r="F361" s="14" t="s">
        <v>902</v>
      </c>
      <c r="G361" s="14">
        <v>94236</v>
      </c>
      <c r="H361" s="14">
        <v>83712</v>
      </c>
      <c r="I361" s="14">
        <v>15</v>
      </c>
      <c r="J361" s="14" t="s">
        <v>143</v>
      </c>
      <c r="K361" s="14" t="s">
        <v>903</v>
      </c>
      <c r="L361" s="14" t="s">
        <v>904</v>
      </c>
      <c r="M361" s="14" t="s">
        <v>9158</v>
      </c>
      <c r="N361" s="14" t="s">
        <v>9158</v>
      </c>
      <c r="O361" s="17" t="s">
        <v>10052</v>
      </c>
      <c r="P361" s="14" t="s">
        <v>13121</v>
      </c>
      <c r="Q361" s="14">
        <v>1</v>
      </c>
      <c r="R361" s="14"/>
    </row>
    <row r="362" spans="1:18">
      <c r="A362" s="9" t="s">
        <v>5902</v>
      </c>
      <c r="B362" s="14" t="s">
        <v>330</v>
      </c>
      <c r="C362" s="14" t="s">
        <v>206</v>
      </c>
      <c r="D362" s="14" t="s">
        <v>905</v>
      </c>
      <c r="E362" s="15" t="str">
        <f>HYPERLINK("https://stat100.ameba.jp/tnk47/ratio20/illustrations/card/ill_40343_0_heshikirihasebekurodakambe03.jpg?201810-5-RELEASE-marathon-376", "■")</f>
        <v>■</v>
      </c>
      <c r="F362" s="14" t="s">
        <v>906</v>
      </c>
      <c r="G362" s="14">
        <v>87780</v>
      </c>
      <c r="H362" s="14">
        <v>82212</v>
      </c>
      <c r="I362" s="14">
        <v>15</v>
      </c>
      <c r="J362" s="14" t="s">
        <v>16</v>
      </c>
      <c r="K362" s="14" t="s">
        <v>907</v>
      </c>
      <c r="L362" s="14" t="s">
        <v>908</v>
      </c>
      <c r="M362" s="14" t="s">
        <v>9158</v>
      </c>
      <c r="N362" s="14" t="s">
        <v>9158</v>
      </c>
      <c r="O362" s="14" t="s">
        <v>9158</v>
      </c>
      <c r="P362" s="14" t="s">
        <v>9158</v>
      </c>
      <c r="Q362" s="14" t="s">
        <v>9158</v>
      </c>
      <c r="R362" s="14"/>
    </row>
    <row r="363" spans="1:18">
      <c r="A363" s="9">
        <v>76633</v>
      </c>
      <c r="B363" s="14" t="s">
        <v>334</v>
      </c>
      <c r="C363" s="14" t="s">
        <v>165</v>
      </c>
      <c r="D363" s="14" t="s">
        <v>909</v>
      </c>
      <c r="E363" s="15" t="str">
        <f>HYPERLINK("https://stat100.ameba.jp/tnk47/ratio20/illustrations/card/ill_76633_terazawahirotaka03.jpg?201810-5-RELEASE-marathon-376", "■")</f>
        <v>■</v>
      </c>
      <c r="F363" s="14" t="s">
        <v>910</v>
      </c>
      <c r="G363" s="14">
        <v>106100</v>
      </c>
      <c r="H363" s="14">
        <v>59700</v>
      </c>
      <c r="I363" s="14">
        <v>22</v>
      </c>
      <c r="J363" s="14" t="s">
        <v>143</v>
      </c>
      <c r="K363" s="14" t="s">
        <v>911</v>
      </c>
      <c r="L363" s="14" t="s">
        <v>912</v>
      </c>
      <c r="M363" s="14" t="s">
        <v>9158</v>
      </c>
      <c r="N363" s="14" t="s">
        <v>9158</v>
      </c>
      <c r="O363" s="14" t="s">
        <v>9158</v>
      </c>
      <c r="P363" s="14" t="s">
        <v>9158</v>
      </c>
      <c r="Q363" s="14" t="s">
        <v>9158</v>
      </c>
      <c r="R363" s="14"/>
    </row>
    <row r="364" spans="1:18">
      <c r="A364" s="9">
        <v>56083</v>
      </c>
      <c r="B364" s="14" t="s">
        <v>334</v>
      </c>
      <c r="C364" s="14" t="s">
        <v>200</v>
      </c>
      <c r="D364" s="14" t="s">
        <v>913</v>
      </c>
      <c r="E364" s="15" t="str">
        <f>HYPERLINK("https://stat100.ameba.jp/tnk47/ratio20/illustrations/card/ill_56083_tanakashozo03.jpg?201810-5-RELEASE-marathon-376", "■")</f>
        <v>■</v>
      </c>
      <c r="F364" s="14" t="s">
        <v>914</v>
      </c>
      <c r="G364" s="14">
        <v>82436</v>
      </c>
      <c r="H364" s="14">
        <v>59264</v>
      </c>
      <c r="I364" s="14">
        <v>19</v>
      </c>
      <c r="J364" s="14" t="s">
        <v>10</v>
      </c>
      <c r="K364" s="14" t="s">
        <v>915</v>
      </c>
      <c r="L364" s="14" t="s">
        <v>916</v>
      </c>
      <c r="M364" s="14" t="s">
        <v>9158</v>
      </c>
      <c r="N364" s="14" t="s">
        <v>9158</v>
      </c>
      <c r="O364" s="14" t="s">
        <v>9158</v>
      </c>
      <c r="P364" s="14" t="s">
        <v>9158</v>
      </c>
      <c r="Q364" s="14" t="s">
        <v>9158</v>
      </c>
      <c r="R364" s="14"/>
    </row>
    <row r="365" spans="1:18">
      <c r="A365" s="9">
        <v>70883</v>
      </c>
      <c r="B365" s="14" t="s">
        <v>334</v>
      </c>
      <c r="C365" s="14" t="s">
        <v>185</v>
      </c>
      <c r="D365" s="14" t="s">
        <v>917</v>
      </c>
      <c r="E365" s="15" t="str">
        <f>HYPERLINK("https://stat100.ameba.jp/tnk47/ratio20/illustrations/card/ill_70883_sotsugyoshikikishi03.jpg?201810-5-RELEASE-marathon-376", "■")</f>
        <v>■</v>
      </c>
      <c r="F365" s="14" t="s">
        <v>918</v>
      </c>
      <c r="G365" s="14">
        <v>77043</v>
      </c>
      <c r="H365" s="14">
        <v>71663</v>
      </c>
      <c r="I365" s="14">
        <v>19</v>
      </c>
      <c r="J365" s="14" t="s">
        <v>16</v>
      </c>
      <c r="K365" s="14" t="s">
        <v>919</v>
      </c>
      <c r="L365" s="14" t="s">
        <v>920</v>
      </c>
      <c r="M365" s="14" t="s">
        <v>9158</v>
      </c>
      <c r="N365" s="14" t="s">
        <v>9158</v>
      </c>
      <c r="O365" s="14" t="s">
        <v>9158</v>
      </c>
      <c r="P365" s="14" t="s">
        <v>9158</v>
      </c>
      <c r="Q365" s="14" t="s">
        <v>9158</v>
      </c>
      <c r="R365" s="14"/>
    </row>
    <row r="366" spans="1:18">
      <c r="A366" s="9">
        <v>67293</v>
      </c>
      <c r="B366" s="14" t="s">
        <v>15</v>
      </c>
      <c r="C366" s="14" t="s">
        <v>185</v>
      </c>
      <c r="D366" s="14" t="s">
        <v>921</v>
      </c>
      <c r="E366" s="15" t="str">
        <f>HYPERLINK("https://stat100.ameba.jp/tnk47/ratio20/illustrations/card/ill_67293_hokkyokuguma03.jpg?201810-5-RELEASE-marathon-376", "■")</f>
        <v>■</v>
      </c>
      <c r="F366" s="14" t="s">
        <v>922</v>
      </c>
      <c r="G366" s="14">
        <v>65208</v>
      </c>
      <c r="H366" s="14">
        <v>59144</v>
      </c>
      <c r="I366" s="14">
        <v>22</v>
      </c>
      <c r="J366" s="14" t="s">
        <v>26</v>
      </c>
      <c r="K366" s="14" t="s">
        <v>923</v>
      </c>
      <c r="L366" s="14" t="s">
        <v>924</v>
      </c>
      <c r="M366" s="14" t="s">
        <v>9158</v>
      </c>
      <c r="N366" s="14" t="s">
        <v>9158</v>
      </c>
      <c r="O366" s="14" t="s">
        <v>9158</v>
      </c>
      <c r="P366" s="14" t="s">
        <v>9158</v>
      </c>
      <c r="Q366" s="14" t="s">
        <v>9158</v>
      </c>
      <c r="R366" s="14"/>
    </row>
    <row r="367" spans="1:18">
      <c r="A367" s="9">
        <v>67343</v>
      </c>
      <c r="B367" s="14" t="s">
        <v>15</v>
      </c>
      <c r="C367" s="14" t="s">
        <v>200</v>
      </c>
      <c r="D367" s="14" t="s">
        <v>925</v>
      </c>
      <c r="E367" s="15" t="str">
        <f>HYPERLINK("https://stat100.ameba.jp/tnk47/ratio20/illustrations/card/ill_67343_taishabuchan03.jpg?201810-5-RELEASE-marathon-376", "■")</f>
        <v>■</v>
      </c>
      <c r="F367" s="14" t="s">
        <v>926</v>
      </c>
      <c r="G367" s="14">
        <v>56496</v>
      </c>
      <c r="H367" s="14">
        <v>51248</v>
      </c>
      <c r="I367" s="14">
        <v>22</v>
      </c>
      <c r="J367" s="14" t="s">
        <v>104</v>
      </c>
      <c r="K367" s="14" t="s">
        <v>927</v>
      </c>
      <c r="L367" s="14" t="s">
        <v>928</v>
      </c>
      <c r="M367" s="14" t="s">
        <v>9158</v>
      </c>
      <c r="N367" s="14" t="s">
        <v>9158</v>
      </c>
      <c r="O367" s="14" t="s">
        <v>9158</v>
      </c>
      <c r="P367" s="14" t="s">
        <v>9158</v>
      </c>
      <c r="Q367" s="14" t="s">
        <v>9158</v>
      </c>
      <c r="R367" s="14"/>
    </row>
    <row r="368" spans="1:18">
      <c r="A368" s="9">
        <v>66873</v>
      </c>
      <c r="B368" s="14" t="s">
        <v>15</v>
      </c>
      <c r="C368" s="14" t="s">
        <v>191</v>
      </c>
      <c r="D368" s="14" t="s">
        <v>929</v>
      </c>
      <c r="E368" s="15" t="str">
        <f>HYPERLINK("https://stat100.ameba.jp/tnk47/ratio20/illustrations/card/ill_66873_haikaramomijinishigorinotsubone03.jpg?201810-5-RELEASE-marathon-376", "■")</f>
        <v>■</v>
      </c>
      <c r="F368" s="14" t="s">
        <v>930</v>
      </c>
      <c r="G368" s="14">
        <v>65208</v>
      </c>
      <c r="H368" s="14">
        <v>59144</v>
      </c>
      <c r="I368" s="14">
        <v>22</v>
      </c>
      <c r="J368" s="14" t="s">
        <v>77</v>
      </c>
      <c r="K368" s="14" t="s">
        <v>931</v>
      </c>
      <c r="L368" s="14" t="s">
        <v>932</v>
      </c>
      <c r="M368" s="14" t="s">
        <v>9158</v>
      </c>
      <c r="N368" s="14" t="s">
        <v>9158</v>
      </c>
      <c r="O368" s="14" t="s">
        <v>9158</v>
      </c>
      <c r="P368" s="14" t="s">
        <v>9158</v>
      </c>
      <c r="Q368" s="14" t="s">
        <v>9158</v>
      </c>
      <c r="R368" s="14"/>
    </row>
    <row r="369" spans="1:18">
      <c r="B369" s="14"/>
      <c r="C369" s="14"/>
      <c r="D369" s="14"/>
      <c r="F369" s="14"/>
      <c r="G369" s="14"/>
      <c r="H369" s="14"/>
      <c r="I369" s="14"/>
      <c r="J369" s="14"/>
      <c r="K369" s="14"/>
      <c r="L369" s="14"/>
      <c r="M369" s="14"/>
      <c r="N369" s="14"/>
      <c r="P369" s="14"/>
      <c r="Q369" s="14"/>
      <c r="R369" s="14"/>
    </row>
    <row r="370" spans="1:18">
      <c r="A370" s="14" t="s">
        <v>17365</v>
      </c>
      <c r="D370" s="14"/>
      <c r="F370" s="14"/>
      <c r="G370" s="14"/>
      <c r="H370" s="14"/>
      <c r="I370" s="14"/>
      <c r="J370" s="14"/>
      <c r="K370" s="14"/>
      <c r="L370" s="14"/>
      <c r="M370" s="14"/>
      <c r="N370" s="14"/>
      <c r="P370" s="14"/>
      <c r="Q370" s="14"/>
      <c r="R370" s="14"/>
    </row>
    <row r="371" spans="1:18">
      <c r="A371" s="14" t="s">
        <v>933</v>
      </c>
      <c r="C371" s="14"/>
      <c r="D371" s="14"/>
      <c r="F371" s="14"/>
      <c r="G371" s="14"/>
      <c r="H371" s="14"/>
      <c r="I371" s="14"/>
      <c r="J371" s="14"/>
      <c r="K371" s="14"/>
      <c r="L371" s="14"/>
      <c r="M371" s="14"/>
      <c r="N371" s="14"/>
      <c r="P371" s="14"/>
      <c r="Q371" s="14"/>
      <c r="R371" s="14"/>
    </row>
    <row r="372" spans="1:18">
      <c r="A372" s="9" t="s">
        <v>5899</v>
      </c>
      <c r="B372" s="14" t="s">
        <v>330</v>
      </c>
      <c r="C372" s="14" t="s">
        <v>205</v>
      </c>
      <c r="D372" s="14" t="s">
        <v>934</v>
      </c>
      <c r="E372" s="15" t="str">
        <f>HYPERLINK("https://stat100.ameba.jp/tnk47/ratio20/illustrations/card/ill_73773_0_umibirakiinugamigyobu03.jpg?201810-5-RELEASE-marathon-376", "■")</f>
        <v>■</v>
      </c>
      <c r="F372" s="14" t="s">
        <v>935</v>
      </c>
      <c r="G372" s="14">
        <v>190902</v>
      </c>
      <c r="H372" s="14">
        <v>205334</v>
      </c>
      <c r="I372" s="14">
        <v>22</v>
      </c>
      <c r="J372" s="14" t="s">
        <v>182</v>
      </c>
      <c r="K372" s="14" t="s">
        <v>936</v>
      </c>
      <c r="L372" s="14" t="s">
        <v>13147</v>
      </c>
      <c r="M372" s="14" t="s">
        <v>9158</v>
      </c>
      <c r="N372" s="14" t="s">
        <v>9158</v>
      </c>
      <c r="O372" s="9" t="s">
        <v>2978</v>
      </c>
      <c r="P372" s="14" t="s">
        <v>2979</v>
      </c>
      <c r="Q372" s="14">
        <v>2</v>
      </c>
      <c r="R372" s="14"/>
    </row>
    <row r="373" spans="1:18">
      <c r="A373" s="9">
        <v>62473</v>
      </c>
      <c r="B373" s="14" t="s">
        <v>334</v>
      </c>
      <c r="C373" s="14" t="s">
        <v>203</v>
      </c>
      <c r="D373" s="14" t="s">
        <v>937</v>
      </c>
      <c r="E373" s="15" t="str">
        <f>HYPERLINK("https://stat100.ameba.jp/tnk47/ratio20/illustrations/card/ill_62473_kokuriko03.jpg?201810-5-RELEASE-marathon-376", "■")</f>
        <v>■</v>
      </c>
      <c r="F373" s="14" t="s">
        <v>938</v>
      </c>
      <c r="G373" s="14">
        <v>91296</v>
      </c>
      <c r="H373" s="14">
        <v>66124</v>
      </c>
      <c r="I373" s="14">
        <v>20</v>
      </c>
      <c r="J373" s="14" t="s">
        <v>169</v>
      </c>
      <c r="K373" s="14" t="s">
        <v>939</v>
      </c>
      <c r="L373" s="14" t="s">
        <v>13148</v>
      </c>
      <c r="M373" s="14" t="s">
        <v>9158</v>
      </c>
      <c r="N373" s="14" t="s">
        <v>9158</v>
      </c>
      <c r="O373" s="9" t="s">
        <v>2838</v>
      </c>
      <c r="P373" s="14" t="s">
        <v>2839</v>
      </c>
      <c r="Q373" s="14">
        <v>1</v>
      </c>
      <c r="R373" s="14"/>
    </row>
    <row r="374" spans="1:18">
      <c r="A374" s="9">
        <v>63853</v>
      </c>
      <c r="B374" s="14" t="s">
        <v>334</v>
      </c>
      <c r="C374" s="14" t="s">
        <v>200</v>
      </c>
      <c r="D374" s="14" t="s">
        <v>940</v>
      </c>
      <c r="E374" s="15" t="str">
        <f>HYPERLINK("https://stat100.ameba.jp/tnk47/ratio20/illustrations/card/ill_63853_daikokaijidainansosatomihakkenden03.jpg?201810-5-RELEASE-marathon-376", "■")</f>
        <v>■</v>
      </c>
      <c r="F374" s="14" t="s">
        <v>941</v>
      </c>
      <c r="G374" s="14">
        <v>84712</v>
      </c>
      <c r="H374" s="14">
        <v>91274</v>
      </c>
      <c r="I374" s="14">
        <v>20</v>
      </c>
      <c r="J374" s="14" t="s">
        <v>155</v>
      </c>
      <c r="K374" s="14" t="s">
        <v>942</v>
      </c>
      <c r="L374" s="14" t="s">
        <v>13149</v>
      </c>
      <c r="M374" s="14" t="s">
        <v>9158</v>
      </c>
      <c r="N374" s="14" t="s">
        <v>9158</v>
      </c>
      <c r="O374" s="9" t="s">
        <v>3619</v>
      </c>
      <c r="P374" s="14" t="s">
        <v>3330</v>
      </c>
      <c r="Q374" s="14">
        <v>1</v>
      </c>
      <c r="R374" s="14"/>
    </row>
    <row r="375" spans="1:18">
      <c r="B375" s="14" t="s">
        <v>334</v>
      </c>
      <c r="C375" s="14"/>
      <c r="D375" s="14"/>
      <c r="E375" s="15" t="str">
        <f>HYPERLINK("", "■")</f>
        <v>■</v>
      </c>
      <c r="F375" s="14"/>
      <c r="G375" s="14"/>
      <c r="H375" s="14"/>
      <c r="I375" s="14">
        <v>20</v>
      </c>
      <c r="J375" s="14"/>
      <c r="K375" s="14"/>
      <c r="L375" s="14"/>
      <c r="M375" s="14" t="s">
        <v>9158</v>
      </c>
      <c r="N375" s="14" t="s">
        <v>9158</v>
      </c>
      <c r="O375" s="14" t="s">
        <v>9158</v>
      </c>
      <c r="P375" s="14" t="s">
        <v>9158</v>
      </c>
      <c r="Q375" s="14" t="s">
        <v>9158</v>
      </c>
      <c r="R375" s="14"/>
    </row>
    <row r="376" spans="1:18">
      <c r="B376" s="14"/>
      <c r="C376" s="14"/>
      <c r="D376" s="14"/>
      <c r="F376" s="14"/>
      <c r="G376" s="14"/>
      <c r="H376" s="14"/>
      <c r="I376" s="14"/>
      <c r="J376" s="14"/>
      <c r="K376" s="14"/>
      <c r="L376" s="14"/>
      <c r="M376" s="14"/>
      <c r="N376" s="14"/>
      <c r="P376" s="14"/>
      <c r="Q376" s="14"/>
      <c r="R376" s="14"/>
    </row>
    <row r="377" spans="1:18">
      <c r="A377" s="14" t="s">
        <v>946</v>
      </c>
      <c r="D377" s="14"/>
      <c r="F377" s="14"/>
      <c r="G377" s="14"/>
      <c r="H377" s="14"/>
      <c r="I377" s="14"/>
      <c r="J377" s="14"/>
      <c r="K377" s="14"/>
      <c r="L377" s="14"/>
      <c r="M377" s="14"/>
      <c r="N377" s="14"/>
      <c r="P377" s="14"/>
      <c r="Q377" s="14"/>
      <c r="R377" s="14"/>
    </row>
    <row r="378" spans="1:18">
      <c r="A378" s="14" t="s">
        <v>3877</v>
      </c>
      <c r="C378" s="14"/>
      <c r="D378" s="14"/>
      <c r="F378" s="14"/>
      <c r="G378" s="14"/>
      <c r="H378" s="14"/>
      <c r="I378" s="14"/>
      <c r="J378" s="14"/>
      <c r="K378" s="14"/>
      <c r="L378" s="14"/>
      <c r="M378" s="14"/>
      <c r="N378" s="14"/>
      <c r="P378" s="14"/>
      <c r="Q378" s="14"/>
      <c r="R378" s="14"/>
    </row>
    <row r="379" spans="1:18">
      <c r="A379" s="9" t="s">
        <v>5614</v>
      </c>
      <c r="B379" s="14" t="s">
        <v>330</v>
      </c>
      <c r="C379" s="14" t="s">
        <v>205</v>
      </c>
      <c r="D379" s="14" t="s">
        <v>947</v>
      </c>
      <c r="E379" s="15" t="str">
        <f>HYPERLINK("https://stat100.ameba.jp/tnk47/ratio20/illustrations/card/ill_56223_0_onsempanikkugohime03.jpg?201811-1-RELEASE-raid-377", "■")</f>
        <v>■</v>
      </c>
      <c r="F379" s="14" t="s">
        <v>948</v>
      </c>
      <c r="G379" s="14">
        <v>83712</v>
      </c>
      <c r="H379" s="14">
        <v>94236</v>
      </c>
      <c r="I379" s="14">
        <v>15</v>
      </c>
      <c r="J379" s="14" t="s">
        <v>77</v>
      </c>
      <c r="K379" s="14" t="s">
        <v>949</v>
      </c>
      <c r="L379" s="14" t="s">
        <v>950</v>
      </c>
      <c r="M379" s="14" t="s">
        <v>9158</v>
      </c>
      <c r="N379" s="14" t="s">
        <v>9158</v>
      </c>
      <c r="O379" s="9" t="s">
        <v>3021</v>
      </c>
      <c r="P379" s="14" t="s">
        <v>2890</v>
      </c>
      <c r="Q379" s="14">
        <v>1</v>
      </c>
      <c r="R379" s="14"/>
    </row>
    <row r="380" spans="1:18">
      <c r="A380" s="9" t="s">
        <v>5611</v>
      </c>
      <c r="B380" s="14" t="s">
        <v>330</v>
      </c>
      <c r="C380" s="14" t="s">
        <v>185</v>
      </c>
      <c r="D380" s="14" t="s">
        <v>951</v>
      </c>
      <c r="E380" s="15" t="str">
        <f>HYPERLINK("https://stat100.ameba.jp/tnk47/ratio20/illustrations/card/ill_60633_0_harumaisentoin03.jpg?201811-1-RELEASE-raid-377", "■")</f>
        <v>■</v>
      </c>
      <c r="F380" s="14" t="s">
        <v>952</v>
      </c>
      <c r="G380" s="14">
        <v>95371</v>
      </c>
      <c r="H380" s="14">
        <v>102590</v>
      </c>
      <c r="I380" s="14">
        <v>15</v>
      </c>
      <c r="J380" s="14" t="s">
        <v>38</v>
      </c>
      <c r="K380" s="14" t="s">
        <v>953</v>
      </c>
      <c r="L380" s="14" t="s">
        <v>954</v>
      </c>
      <c r="M380" s="14" t="s">
        <v>9158</v>
      </c>
      <c r="N380" s="14" t="s">
        <v>9158</v>
      </c>
      <c r="O380" s="9" t="s">
        <v>2888</v>
      </c>
      <c r="P380" s="14" t="s">
        <v>3144</v>
      </c>
      <c r="Q380" s="14">
        <v>1</v>
      </c>
      <c r="R380" s="14"/>
    </row>
    <row r="381" spans="1:18">
      <c r="A381" s="9" t="s">
        <v>5897</v>
      </c>
      <c r="B381" s="14" t="s">
        <v>330</v>
      </c>
      <c r="C381" s="14" t="s">
        <v>200</v>
      </c>
      <c r="D381" s="14" t="s">
        <v>53</v>
      </c>
      <c r="E381" s="15" t="str">
        <f>HYPERLINK("https://stat100.ameba.jp/tnk47/ratio20/illustrations/card/ill_40913_0_reigyokudensetsufusehime03.jpg?201811-1-RELEASE-raid-377", "■")</f>
        <v>■</v>
      </c>
      <c r="F381" s="14" t="s">
        <v>955</v>
      </c>
      <c r="G381" s="14">
        <v>82212</v>
      </c>
      <c r="H381" s="14">
        <v>87780</v>
      </c>
      <c r="I381" s="14">
        <v>15</v>
      </c>
      <c r="J381" s="14" t="s">
        <v>38</v>
      </c>
      <c r="K381" s="14" t="s">
        <v>956</v>
      </c>
      <c r="L381" s="14" t="s">
        <v>957</v>
      </c>
      <c r="M381" s="14" t="s">
        <v>9158</v>
      </c>
      <c r="N381" s="14" t="s">
        <v>9158</v>
      </c>
      <c r="O381" s="14" t="s">
        <v>9158</v>
      </c>
      <c r="P381" s="14" t="s">
        <v>9158</v>
      </c>
      <c r="Q381" s="14" t="s">
        <v>9158</v>
      </c>
      <c r="R381" s="14"/>
    </row>
    <row r="382" spans="1:18">
      <c r="A382" s="9">
        <v>76623</v>
      </c>
      <c r="B382" s="14" t="s">
        <v>334</v>
      </c>
      <c r="C382" s="14" t="s">
        <v>200</v>
      </c>
      <c r="D382" s="14" t="s">
        <v>958</v>
      </c>
      <c r="E382" s="15" t="str">
        <f>HYPERLINK("https://stat100.ameba.jp/tnk47/ratio20/illustrations/card/ill_76623_futakuchionna03.jpg?201811-1-RELEASE-raid-377", "■")</f>
        <v>■</v>
      </c>
      <c r="F382" s="14" t="s">
        <v>959</v>
      </c>
      <c r="G382" s="14">
        <v>63710</v>
      </c>
      <c r="H382" s="14">
        <v>113198</v>
      </c>
      <c r="I382" s="14">
        <v>22</v>
      </c>
      <c r="J382" s="14" t="s">
        <v>73</v>
      </c>
      <c r="K382" s="14" t="s">
        <v>960</v>
      </c>
      <c r="L382" s="14" t="s">
        <v>961</v>
      </c>
      <c r="M382" s="14" t="s">
        <v>9158</v>
      </c>
      <c r="N382" s="14" t="s">
        <v>9158</v>
      </c>
      <c r="O382" s="14" t="s">
        <v>9158</v>
      </c>
      <c r="P382" s="14" t="s">
        <v>9158</v>
      </c>
      <c r="Q382" s="14" t="s">
        <v>9158</v>
      </c>
      <c r="R382" s="14"/>
    </row>
    <row r="383" spans="1:18">
      <c r="A383" s="9">
        <v>66793</v>
      </c>
      <c r="B383" s="14" t="s">
        <v>334</v>
      </c>
      <c r="C383" s="14" t="s">
        <v>185</v>
      </c>
      <c r="D383" s="14" t="s">
        <v>962</v>
      </c>
      <c r="E383" s="15" t="str">
        <f>HYPERLINK("https://stat100.ameba.jp/tnk47/ratio20/illustrations/card/ill_66793_mitsuishinokami03.jpg?201811-1-RELEASE-raid-377", "■")</f>
        <v>■</v>
      </c>
      <c r="F383" s="14" t="s">
        <v>963</v>
      </c>
      <c r="G383" s="14">
        <v>53842</v>
      </c>
      <c r="H383" s="14">
        <v>95707</v>
      </c>
      <c r="I383" s="14">
        <v>19</v>
      </c>
      <c r="J383" s="14" t="s">
        <v>44</v>
      </c>
      <c r="K383" s="14" t="s">
        <v>964</v>
      </c>
      <c r="L383" s="14" t="s">
        <v>965</v>
      </c>
      <c r="M383" s="14" t="s">
        <v>9158</v>
      </c>
      <c r="N383" s="14" t="s">
        <v>9158</v>
      </c>
      <c r="O383" s="14" t="s">
        <v>9158</v>
      </c>
      <c r="P383" s="14" t="s">
        <v>9158</v>
      </c>
      <c r="Q383" s="14" t="s">
        <v>9158</v>
      </c>
      <c r="R383" s="14"/>
    </row>
    <row r="384" spans="1:18">
      <c r="A384" s="9">
        <v>62193</v>
      </c>
      <c r="B384" s="14" t="s">
        <v>334</v>
      </c>
      <c r="C384" s="14" t="s">
        <v>191</v>
      </c>
      <c r="D384" s="14" t="s">
        <v>966</v>
      </c>
      <c r="E384" s="15" t="str">
        <f>HYPERLINK("https://stat100.ameba.jp/tnk47/ratio20/illustrations/card/ill_62193_sakakibaramichiko03.jpg?201811-1-RELEASE-raid-377", "■")</f>
        <v>■</v>
      </c>
      <c r="F384" s="14" t="s">
        <v>967</v>
      </c>
      <c r="G384" s="14">
        <v>68977</v>
      </c>
      <c r="H384" s="14">
        <v>74215</v>
      </c>
      <c r="I384" s="14">
        <v>19</v>
      </c>
      <c r="J384" s="14" t="s">
        <v>77</v>
      </c>
      <c r="K384" s="14" t="s">
        <v>968</v>
      </c>
      <c r="L384" s="14" t="s">
        <v>969</v>
      </c>
      <c r="M384" s="14" t="s">
        <v>9158</v>
      </c>
      <c r="N384" s="14" t="s">
        <v>9158</v>
      </c>
      <c r="O384" s="14" t="s">
        <v>9158</v>
      </c>
      <c r="P384" s="14" t="s">
        <v>9158</v>
      </c>
      <c r="Q384" s="14" t="s">
        <v>9158</v>
      </c>
      <c r="R384" s="14"/>
    </row>
    <row r="385" spans="1:18">
      <c r="A385" s="9">
        <v>67393</v>
      </c>
      <c r="B385" s="14" t="s">
        <v>15</v>
      </c>
      <c r="C385" s="14" t="s">
        <v>206</v>
      </c>
      <c r="D385" s="14" t="s">
        <v>970</v>
      </c>
      <c r="E385" s="15" t="str">
        <f>HYPERLINK("https://stat100.ameba.jp/tnk47/ratio20/illustrations/card/ill_67393_jobaamahime03.jpg?201811-1-RELEASE-raid-377", "■")</f>
        <v>■</v>
      </c>
      <c r="F385" s="14" t="s">
        <v>971</v>
      </c>
      <c r="G385" s="14">
        <v>59144</v>
      </c>
      <c r="H385" s="14">
        <v>65208</v>
      </c>
      <c r="I385" s="14">
        <v>22</v>
      </c>
      <c r="J385" s="14" t="s">
        <v>77</v>
      </c>
      <c r="K385" s="14" t="s">
        <v>972</v>
      </c>
      <c r="L385" s="14" t="s">
        <v>973</v>
      </c>
      <c r="M385" s="14" t="s">
        <v>9158</v>
      </c>
      <c r="N385" s="14" t="s">
        <v>9158</v>
      </c>
      <c r="O385" s="14" t="s">
        <v>9158</v>
      </c>
      <c r="P385" s="14" t="s">
        <v>9158</v>
      </c>
      <c r="Q385" s="14" t="s">
        <v>9158</v>
      </c>
      <c r="R385" s="14"/>
    </row>
    <row r="386" spans="1:18">
      <c r="A386" s="9">
        <v>60863</v>
      </c>
      <c r="B386" s="14" t="s">
        <v>15</v>
      </c>
      <c r="C386" s="14" t="s">
        <v>205</v>
      </c>
      <c r="D386" s="14" t="s">
        <v>974</v>
      </c>
      <c r="E386" s="15" t="str">
        <f>HYPERLINK("https://stat100.ameba.jp/tnk47/ratio20/illustrations/card/ill_60863_hieinihonrisuchan03.jpg?201811-1-RELEASE-raid-377", "■")</f>
        <v>■</v>
      </c>
      <c r="F386" s="14" t="s">
        <v>975</v>
      </c>
      <c r="G386" s="14">
        <v>59144</v>
      </c>
      <c r="H386" s="14">
        <v>65208</v>
      </c>
      <c r="I386" s="14">
        <v>22</v>
      </c>
      <c r="J386" s="14" t="s">
        <v>26</v>
      </c>
      <c r="K386" s="14" t="s">
        <v>976</v>
      </c>
      <c r="L386" s="14" t="s">
        <v>977</v>
      </c>
      <c r="M386" s="14" t="s">
        <v>9158</v>
      </c>
      <c r="N386" s="14" t="s">
        <v>9158</v>
      </c>
      <c r="O386" s="14" t="s">
        <v>9158</v>
      </c>
      <c r="P386" s="14" t="s">
        <v>9158</v>
      </c>
      <c r="Q386" s="14" t="s">
        <v>9158</v>
      </c>
      <c r="R386" s="14"/>
    </row>
    <row r="387" spans="1:18">
      <c r="A387" s="9">
        <v>60993</v>
      </c>
      <c r="B387" s="14" t="s">
        <v>15</v>
      </c>
      <c r="C387" s="14" t="s">
        <v>191</v>
      </c>
      <c r="D387" s="14" t="s">
        <v>978</v>
      </c>
      <c r="E387" s="15" t="str">
        <f>HYPERLINK("https://stat100.ameba.jp/tnk47/ratio20/illustrations/card/ill_60993_majutsushijukeini03.jpg?201811-1-RELEASE-raid-377", "■")</f>
        <v>■</v>
      </c>
      <c r="F387" s="14" t="s">
        <v>979</v>
      </c>
      <c r="G387" s="14">
        <v>59144</v>
      </c>
      <c r="H387" s="14">
        <v>65208</v>
      </c>
      <c r="I387" s="14">
        <v>22</v>
      </c>
      <c r="J387" s="14" t="s">
        <v>16</v>
      </c>
      <c r="K387" s="14" t="s">
        <v>980</v>
      </c>
      <c r="L387" s="14" t="s">
        <v>981</v>
      </c>
      <c r="M387" s="14" t="s">
        <v>9158</v>
      </c>
      <c r="N387" s="14" t="s">
        <v>9158</v>
      </c>
      <c r="O387" s="14" t="s">
        <v>9158</v>
      </c>
      <c r="P387" s="14" t="s">
        <v>9158</v>
      </c>
      <c r="Q387" s="14" t="s">
        <v>9158</v>
      </c>
      <c r="R387" s="14"/>
    </row>
    <row r="388" spans="1:18">
      <c r="B388" s="14"/>
      <c r="C388" s="14"/>
      <c r="D388" s="14"/>
      <c r="F388" s="14"/>
      <c r="G388" s="14"/>
      <c r="H388" s="14"/>
      <c r="I388" s="14"/>
      <c r="J388" s="14"/>
      <c r="K388" s="14"/>
      <c r="L388" s="14"/>
      <c r="M388" s="14"/>
      <c r="N388" s="14"/>
      <c r="P388" s="14"/>
      <c r="Q388" s="14"/>
      <c r="R388" s="14"/>
    </row>
    <row r="389" spans="1:18">
      <c r="A389" s="14" t="s">
        <v>179</v>
      </c>
      <c r="D389" s="14"/>
      <c r="F389" s="14"/>
      <c r="G389" s="14"/>
      <c r="H389" s="14"/>
      <c r="I389" s="14"/>
      <c r="J389" s="14"/>
      <c r="K389" s="14"/>
      <c r="L389" s="14"/>
      <c r="M389" s="14"/>
      <c r="N389" s="14"/>
      <c r="P389" s="14"/>
      <c r="Q389" s="14"/>
      <c r="R389" s="14"/>
    </row>
    <row r="390" spans="1:18">
      <c r="A390" s="14" t="s">
        <v>1009</v>
      </c>
      <c r="B390" s="14"/>
      <c r="C390" s="14"/>
      <c r="D390" s="14"/>
      <c r="F390" s="14"/>
      <c r="G390" s="14"/>
      <c r="H390" s="14"/>
      <c r="I390" s="14"/>
      <c r="J390" s="14"/>
      <c r="K390" s="14"/>
      <c r="L390" s="14"/>
      <c r="M390" s="14"/>
      <c r="N390" s="14"/>
      <c r="P390" s="14"/>
      <c r="Q390" s="14"/>
      <c r="R390" s="14"/>
    </row>
    <row r="391" spans="1:18">
      <c r="A391" s="9" t="s">
        <v>5617</v>
      </c>
      <c r="B391" s="14" t="s">
        <v>330</v>
      </c>
      <c r="C391" s="14" t="s">
        <v>165</v>
      </c>
      <c r="D391" s="14" t="s">
        <v>982</v>
      </c>
      <c r="E391" s="15" t="str">
        <f>HYPERLINK("https://stat100.ameba.jp/tnk47/ratio20/illustrations/card/ill_59673_0_oheyashutendoji03.jpg?201811-1-RELEASE-raid-377", "■")</f>
        <v>■</v>
      </c>
      <c r="F391" s="14" t="s">
        <v>983</v>
      </c>
      <c r="G391" s="14">
        <v>105545</v>
      </c>
      <c r="H391" s="14">
        <v>113525</v>
      </c>
      <c r="I391" s="14">
        <v>15</v>
      </c>
      <c r="J391" s="14" t="s">
        <v>73</v>
      </c>
      <c r="K391" s="14" t="s">
        <v>984</v>
      </c>
      <c r="L391" s="14" t="s">
        <v>985</v>
      </c>
      <c r="M391" s="14" t="s">
        <v>9158</v>
      </c>
      <c r="N391" s="14" t="s">
        <v>9158</v>
      </c>
      <c r="O391" s="17" t="s">
        <v>10058</v>
      </c>
      <c r="P391" s="14" t="s">
        <v>3022</v>
      </c>
      <c r="Q391" s="14">
        <v>1</v>
      </c>
      <c r="R391" s="14"/>
    </row>
    <row r="392" spans="1:18">
      <c r="A392" s="9" t="s">
        <v>5609</v>
      </c>
      <c r="B392" s="14" t="s">
        <v>330</v>
      </c>
      <c r="C392" s="14" t="s">
        <v>200</v>
      </c>
      <c r="D392" s="14" t="s">
        <v>56</v>
      </c>
      <c r="E392" s="15" t="str">
        <f>HYPERLINK("https://stat100.ameba.jp/tnk47/ratio20/illustrations/card/ill_53753_0_natsumatsuritokugawaieyasu03.jpg?201811-1-RELEASE-raid-377", "■")</f>
        <v>■</v>
      </c>
      <c r="F392" s="14" t="s">
        <v>902</v>
      </c>
      <c r="G392" s="14">
        <v>94236</v>
      </c>
      <c r="H392" s="14">
        <v>83712</v>
      </c>
      <c r="I392" s="14">
        <v>15</v>
      </c>
      <c r="J392" s="14" t="s">
        <v>143</v>
      </c>
      <c r="K392" s="14" t="s">
        <v>903</v>
      </c>
      <c r="L392" s="14" t="s">
        <v>904</v>
      </c>
      <c r="M392" s="14" t="s">
        <v>9158</v>
      </c>
      <c r="N392" s="14" t="s">
        <v>9158</v>
      </c>
      <c r="O392" s="17" t="s">
        <v>10052</v>
      </c>
      <c r="P392" s="14" t="s">
        <v>13121</v>
      </c>
      <c r="Q392" s="14">
        <v>1</v>
      </c>
      <c r="R392" s="14"/>
    </row>
    <row r="393" spans="1:18">
      <c r="A393" s="9" t="s">
        <v>5902</v>
      </c>
      <c r="B393" s="14" t="s">
        <v>330</v>
      </c>
      <c r="C393" s="14" t="s">
        <v>206</v>
      </c>
      <c r="D393" s="14" t="s">
        <v>905</v>
      </c>
      <c r="E393" s="15" t="str">
        <f>HYPERLINK("https://stat100.ameba.jp/tnk47/ratio20/illustrations/card/ill_40343_0_heshikirihasebekurodakambe03.jpg?201811-1-RELEASE-raid-377", "■")</f>
        <v>■</v>
      </c>
      <c r="F393" s="14" t="s">
        <v>906</v>
      </c>
      <c r="G393" s="14">
        <v>87780</v>
      </c>
      <c r="H393" s="14">
        <v>82212</v>
      </c>
      <c r="I393" s="14">
        <v>15</v>
      </c>
      <c r="J393" s="14" t="s">
        <v>16</v>
      </c>
      <c r="K393" s="14" t="s">
        <v>907</v>
      </c>
      <c r="L393" s="14" t="s">
        <v>908</v>
      </c>
      <c r="M393" s="14" t="s">
        <v>9158</v>
      </c>
      <c r="N393" s="14" t="s">
        <v>9158</v>
      </c>
      <c r="O393" s="14" t="s">
        <v>9158</v>
      </c>
      <c r="P393" s="14" t="s">
        <v>9158</v>
      </c>
      <c r="Q393" s="14" t="s">
        <v>9158</v>
      </c>
      <c r="R393" s="14"/>
    </row>
    <row r="394" spans="1:18">
      <c r="A394" s="9">
        <v>76123</v>
      </c>
      <c r="B394" s="14" t="s">
        <v>334</v>
      </c>
      <c r="C394" s="14" t="s">
        <v>203</v>
      </c>
      <c r="D394" s="14" t="s">
        <v>986</v>
      </c>
      <c r="E394" s="15" t="str">
        <f>HYPERLINK("https://stat100.ameba.jp/tnk47/ratio20/illustrations/card/ill_76123_hoshiyominotemmongakusha03.jpg?201811-1-RELEASE-raid-377", "■")</f>
        <v>■</v>
      </c>
      <c r="F394" s="14" t="s">
        <v>987</v>
      </c>
      <c r="G394" s="14">
        <v>161516</v>
      </c>
      <c r="H394" s="14">
        <v>90870</v>
      </c>
      <c r="I394" s="14">
        <v>22</v>
      </c>
      <c r="J394" s="14" t="s">
        <v>16</v>
      </c>
      <c r="K394" s="14" t="s">
        <v>988</v>
      </c>
      <c r="L394" s="14" t="s">
        <v>989</v>
      </c>
      <c r="M394" s="14" t="s">
        <v>9158</v>
      </c>
      <c r="N394" s="14" t="s">
        <v>9158</v>
      </c>
      <c r="O394" s="14" t="s">
        <v>9158</v>
      </c>
      <c r="P394" s="14" t="s">
        <v>9158</v>
      </c>
      <c r="Q394" s="14" t="s">
        <v>9158</v>
      </c>
      <c r="R394" s="14"/>
    </row>
    <row r="395" spans="1:18">
      <c r="A395" s="9">
        <v>75203</v>
      </c>
      <c r="B395" s="14" t="s">
        <v>334</v>
      </c>
      <c r="C395" s="14" t="s">
        <v>209</v>
      </c>
      <c r="D395" s="14" t="s">
        <v>990</v>
      </c>
      <c r="E395" s="15" t="str">
        <f>HYPERLINK("https://stat100.ameba.jp/tnk47/ratio20/illustrations/card/ill_75203_hisuitsuraratsukainoyama03.jpg?201811-1-RELEASE-raid-377", "■")</f>
        <v>■</v>
      </c>
      <c r="F395" s="14" t="s">
        <v>991</v>
      </c>
      <c r="G395" s="14">
        <v>97778</v>
      </c>
      <c r="H395" s="14">
        <v>90918</v>
      </c>
      <c r="I395" s="14">
        <v>22</v>
      </c>
      <c r="J395" s="14" t="s">
        <v>38</v>
      </c>
      <c r="K395" s="14" t="s">
        <v>992</v>
      </c>
      <c r="L395" s="14" t="s">
        <v>993</v>
      </c>
      <c r="M395" s="14" t="s">
        <v>9158</v>
      </c>
      <c r="N395" s="14" t="s">
        <v>9158</v>
      </c>
      <c r="O395" s="14" t="s">
        <v>9158</v>
      </c>
      <c r="P395" s="14" t="s">
        <v>9158</v>
      </c>
      <c r="Q395" s="14" t="s">
        <v>9158</v>
      </c>
      <c r="R395" s="14"/>
    </row>
    <row r="396" spans="1:18">
      <c r="A396" s="9">
        <v>77753</v>
      </c>
      <c r="B396" s="14" t="s">
        <v>334</v>
      </c>
      <c r="C396" s="14" t="s">
        <v>203</v>
      </c>
      <c r="D396" s="14" t="s">
        <v>994</v>
      </c>
      <c r="E396" s="15" t="str">
        <f>HYPERLINK("https://stat100.ameba.jp/tnk47/ratio20/illustrations/card/ill_77753_sekiennotorisu03.jpg?201811-1-RELEASE-raid-377", "■")</f>
        <v>■</v>
      </c>
      <c r="F396" s="14" t="s">
        <v>995</v>
      </c>
      <c r="G396" s="14">
        <v>161516</v>
      </c>
      <c r="H396" s="14">
        <v>90870</v>
      </c>
      <c r="I396" s="14">
        <v>22</v>
      </c>
      <c r="J396" s="14" t="s">
        <v>143</v>
      </c>
      <c r="K396" s="14" t="s">
        <v>996</v>
      </c>
      <c r="L396" s="14" t="s">
        <v>145</v>
      </c>
      <c r="M396" s="14" t="s">
        <v>9158</v>
      </c>
      <c r="N396" s="14" t="s">
        <v>9158</v>
      </c>
      <c r="O396" s="14" t="s">
        <v>9158</v>
      </c>
      <c r="P396" s="14" t="s">
        <v>9158</v>
      </c>
      <c r="Q396" s="14" t="s">
        <v>9158</v>
      </c>
      <c r="R396" s="14"/>
    </row>
    <row r="397" spans="1:18">
      <c r="A397" s="9">
        <v>57853</v>
      </c>
      <c r="B397" s="14" t="s">
        <v>15</v>
      </c>
      <c r="C397" s="14" t="s">
        <v>200</v>
      </c>
      <c r="D397" s="14" t="s">
        <v>997</v>
      </c>
      <c r="E397" s="15" t="str">
        <f>HYPERLINK("https://stat100.ameba.jp/tnk47/ratio20/illustrations/card/ill_57853_otokuchuruakaiteruko03.jpg?201811-1-RELEASE-raid-377", "■")</f>
        <v>■</v>
      </c>
      <c r="F397" s="14" t="s">
        <v>998</v>
      </c>
      <c r="G397" s="14">
        <v>56456</v>
      </c>
      <c r="H397" s="14">
        <v>62244</v>
      </c>
      <c r="I397" s="14">
        <v>21</v>
      </c>
      <c r="J397" s="14" t="s">
        <v>143</v>
      </c>
      <c r="K397" s="14" t="s">
        <v>999</v>
      </c>
      <c r="L397" s="14" t="s">
        <v>1000</v>
      </c>
      <c r="M397" s="14" t="s">
        <v>9158</v>
      </c>
      <c r="N397" s="14" t="s">
        <v>9158</v>
      </c>
      <c r="O397" s="14" t="s">
        <v>9158</v>
      </c>
      <c r="P397" s="14" t="s">
        <v>9158</v>
      </c>
      <c r="Q397" s="14" t="s">
        <v>9158</v>
      </c>
      <c r="R397" s="14"/>
    </row>
    <row r="398" spans="1:18">
      <c r="A398" s="9">
        <v>57913</v>
      </c>
      <c r="B398" s="14" t="s">
        <v>15</v>
      </c>
      <c r="C398" s="14" t="s">
        <v>165</v>
      </c>
      <c r="D398" s="14" t="s">
        <v>1001</v>
      </c>
      <c r="E398" s="15" t="str">
        <f>HYPERLINK("https://stat100.ameba.jp/tnk47/ratio20/illustrations/card/ill_57913_otokuchurusahohime03.jpg?201811-1-RELEASE-raid-377", "■")</f>
        <v>■</v>
      </c>
      <c r="F398" s="14" t="s">
        <v>1002</v>
      </c>
      <c r="G398" s="14">
        <v>62244</v>
      </c>
      <c r="H398" s="14">
        <v>56456</v>
      </c>
      <c r="I398" s="14">
        <v>21</v>
      </c>
      <c r="J398" s="14" t="s">
        <v>44</v>
      </c>
      <c r="K398" s="14" t="s">
        <v>1003</v>
      </c>
      <c r="L398" s="14" t="s">
        <v>1004</v>
      </c>
      <c r="M398" s="14" t="s">
        <v>9158</v>
      </c>
      <c r="N398" s="14" t="s">
        <v>9158</v>
      </c>
      <c r="O398" s="14" t="s">
        <v>9158</v>
      </c>
      <c r="P398" s="14" t="s">
        <v>9158</v>
      </c>
      <c r="Q398" s="14" t="s">
        <v>9158</v>
      </c>
      <c r="R398" s="14"/>
    </row>
    <row r="399" spans="1:18">
      <c r="A399" s="9">
        <v>55433</v>
      </c>
      <c r="B399" s="14" t="s">
        <v>15</v>
      </c>
      <c r="C399" s="14" t="s">
        <v>191</v>
      </c>
      <c r="D399" s="14" t="s">
        <v>1005</v>
      </c>
      <c r="E399" s="15" t="str">
        <f>HYPERLINK("https://stat100.ameba.jp/tnk47/ratio20/illustrations/card/ill_55433_bunkasaiodainokata03.jpg?201811-1-RELEASE-raid-377", "■")</f>
        <v>■</v>
      </c>
      <c r="F399" s="14" t="s">
        <v>1006</v>
      </c>
      <c r="G399" s="14">
        <v>62244</v>
      </c>
      <c r="H399" s="14">
        <v>56456</v>
      </c>
      <c r="I399" s="14">
        <v>21</v>
      </c>
      <c r="J399" s="14" t="s">
        <v>10</v>
      </c>
      <c r="K399" s="14" t="s">
        <v>1007</v>
      </c>
      <c r="L399" s="14" t="s">
        <v>1008</v>
      </c>
      <c r="M399" s="14" t="s">
        <v>9158</v>
      </c>
      <c r="N399" s="14" t="s">
        <v>9158</v>
      </c>
      <c r="O399" s="14" t="s">
        <v>9158</v>
      </c>
      <c r="P399" s="14" t="s">
        <v>9158</v>
      </c>
      <c r="Q399" s="14" t="s">
        <v>9158</v>
      </c>
      <c r="R399" s="14"/>
    </row>
    <row r="400" spans="1:18">
      <c r="B400" s="14"/>
      <c r="C400" s="14"/>
      <c r="D400" s="14"/>
      <c r="F400" s="14"/>
      <c r="G400" s="14"/>
      <c r="H400" s="14"/>
      <c r="I400" s="14"/>
      <c r="J400" s="14"/>
      <c r="K400" s="14"/>
      <c r="L400" s="14"/>
      <c r="M400" s="14"/>
      <c r="N400" s="14"/>
      <c r="P400" s="14"/>
      <c r="Q400" s="14"/>
      <c r="R400" s="14"/>
    </row>
    <row r="401" spans="1:18">
      <c r="A401" s="14" t="s">
        <v>114</v>
      </c>
      <c r="D401" s="14"/>
      <c r="F401" s="14"/>
      <c r="G401" s="14"/>
      <c r="H401" s="14"/>
      <c r="I401" s="14"/>
      <c r="J401" s="14"/>
      <c r="K401" s="14"/>
      <c r="L401" s="14"/>
      <c r="M401" s="14"/>
      <c r="N401" s="14"/>
      <c r="P401" s="14"/>
      <c r="Q401" s="14"/>
      <c r="R401" s="14"/>
    </row>
    <row r="402" spans="1:18">
      <c r="A402" s="14" t="s">
        <v>1010</v>
      </c>
      <c r="B402" s="14"/>
      <c r="C402" s="14"/>
      <c r="D402" s="14"/>
      <c r="F402" s="14"/>
      <c r="G402" s="14"/>
      <c r="H402" s="14"/>
      <c r="I402" s="14"/>
      <c r="J402" s="14"/>
      <c r="K402" s="14"/>
      <c r="L402" s="14"/>
      <c r="M402" s="14"/>
      <c r="N402" s="14"/>
      <c r="P402" s="14"/>
      <c r="Q402" s="14"/>
      <c r="R402" s="14"/>
    </row>
    <row r="403" spans="1:18">
      <c r="A403" s="9" t="s">
        <v>5606</v>
      </c>
      <c r="B403" s="14" t="s">
        <v>330</v>
      </c>
      <c r="C403" s="14" t="s">
        <v>206</v>
      </c>
      <c r="D403" s="14" t="s">
        <v>1011</v>
      </c>
      <c r="E403" s="15" t="str">
        <f>HYPERLINK("https://stat100.ameba.jp/tnk47/ratio20/illustrations/card/ill_72233_0_koinoboriryugujin03.jpg?201811-1-RELEASE-raid-377", "■")</f>
        <v>■</v>
      </c>
      <c r="F403" s="14" t="s">
        <v>1012</v>
      </c>
      <c r="G403" s="14">
        <v>111513</v>
      </c>
      <c r="H403" s="14">
        <v>119945</v>
      </c>
      <c r="I403" s="14">
        <v>17</v>
      </c>
      <c r="J403" s="14" t="s">
        <v>44</v>
      </c>
      <c r="K403" s="14" t="s">
        <v>1013</v>
      </c>
      <c r="L403" s="14" t="s">
        <v>1014</v>
      </c>
      <c r="M403" s="14" t="s">
        <v>9158</v>
      </c>
      <c r="N403" s="14" t="s">
        <v>9158</v>
      </c>
      <c r="O403" s="9" t="s">
        <v>2940</v>
      </c>
      <c r="P403" s="14" t="s">
        <v>2941</v>
      </c>
      <c r="Q403" s="14">
        <v>2</v>
      </c>
      <c r="R403" s="14"/>
    </row>
    <row r="404" spans="1:18">
      <c r="A404" s="9" t="s">
        <v>5615</v>
      </c>
      <c r="B404" s="14" t="s">
        <v>330</v>
      </c>
      <c r="C404" s="14" t="s">
        <v>206</v>
      </c>
      <c r="D404" s="14" t="s">
        <v>1015</v>
      </c>
      <c r="E404" s="15" t="str">
        <f>HYPERLINK("https://stat100.ameba.jp/tnk47/ratio20/illustrations/card/ill_57733_0_shogatsunisenjunanaamakusashiro03.jpg?201811-1-RELEASE-raid-377", "■")</f>
        <v>■</v>
      </c>
      <c r="F404" s="14" t="s">
        <v>1016</v>
      </c>
      <c r="G404" s="14">
        <v>94872</v>
      </c>
      <c r="H404" s="14">
        <v>106800</v>
      </c>
      <c r="I404" s="14">
        <v>17</v>
      </c>
      <c r="J404" s="14" t="s">
        <v>10</v>
      </c>
      <c r="K404" s="14" t="s">
        <v>1017</v>
      </c>
      <c r="L404" s="14" t="s">
        <v>1018</v>
      </c>
      <c r="M404" s="14" t="s">
        <v>9158</v>
      </c>
      <c r="N404" s="14" t="s">
        <v>9158</v>
      </c>
      <c r="O404" s="17" t="s">
        <v>10063</v>
      </c>
      <c r="P404" s="14" t="s">
        <v>3062</v>
      </c>
      <c r="Q404" s="14">
        <v>1</v>
      </c>
      <c r="R404" s="14"/>
    </row>
    <row r="405" spans="1:18">
      <c r="A405" s="9">
        <v>75083</v>
      </c>
      <c r="B405" s="14" t="s">
        <v>334</v>
      </c>
      <c r="C405" s="14" t="s">
        <v>209</v>
      </c>
      <c r="D405" s="14" t="s">
        <v>1019</v>
      </c>
      <c r="E405" s="15" t="str">
        <f>HYPERLINK("https://stat100.ameba.jp/tnk47/ratio20/illustrations/card/ill_75083_sukumizuhanakosan03.jpg?201811-1-RELEASE-raid-377", "■")</f>
        <v>■</v>
      </c>
      <c r="F405" s="14" t="s">
        <v>1020</v>
      </c>
      <c r="G405" s="14">
        <v>111914</v>
      </c>
      <c r="H405" s="14">
        <v>81078</v>
      </c>
      <c r="I405" s="14">
        <v>24</v>
      </c>
      <c r="J405" s="14" t="s">
        <v>73</v>
      </c>
      <c r="K405" s="14" t="s">
        <v>1021</v>
      </c>
      <c r="L405" s="14" t="s">
        <v>1022</v>
      </c>
      <c r="M405" s="14" t="s">
        <v>9158</v>
      </c>
      <c r="N405" s="14" t="s">
        <v>9158</v>
      </c>
      <c r="O405" s="9" t="s">
        <v>3415</v>
      </c>
      <c r="P405" s="14" t="s">
        <v>3416</v>
      </c>
      <c r="Q405" s="14">
        <v>1</v>
      </c>
      <c r="R405" s="14"/>
    </row>
    <row r="406" spans="1:18">
      <c r="A406" s="9">
        <v>54833</v>
      </c>
      <c r="B406" s="14" t="s">
        <v>334</v>
      </c>
      <c r="C406" s="14" t="s">
        <v>265</v>
      </c>
      <c r="D406" s="14" t="s">
        <v>1023</v>
      </c>
      <c r="E406" s="15" t="str">
        <f>HYPERLINK("https://stat100.ameba.jp/tnk47/ratio20/illustrations/card/ill_54833_keramaburu03.jpg?201811-1-RELEASE-raid-377", "■")</f>
        <v>■</v>
      </c>
      <c r="F406" s="14" t="s">
        <v>1024</v>
      </c>
      <c r="G406" s="14">
        <v>63547</v>
      </c>
      <c r="H406" s="14">
        <v>86668</v>
      </c>
      <c r="I406" s="14">
        <v>21</v>
      </c>
      <c r="J406" s="14" t="s">
        <v>26</v>
      </c>
      <c r="K406" s="14" t="s">
        <v>1025</v>
      </c>
      <c r="L406" s="14" t="s">
        <v>1026</v>
      </c>
      <c r="M406" s="14" t="s">
        <v>9158</v>
      </c>
      <c r="N406" s="14" t="s">
        <v>9158</v>
      </c>
      <c r="O406" s="14" t="s">
        <v>9158</v>
      </c>
      <c r="P406" s="14" t="s">
        <v>9158</v>
      </c>
      <c r="Q406" s="14" t="s">
        <v>9158</v>
      </c>
      <c r="R406" s="14"/>
    </row>
    <row r="407" spans="1:18">
      <c r="A407" s="9">
        <v>73093</v>
      </c>
      <c r="B407" s="14" t="s">
        <v>334</v>
      </c>
      <c r="C407" s="14" t="s">
        <v>209</v>
      </c>
      <c r="D407" s="14" t="s">
        <v>1027</v>
      </c>
      <c r="E407" s="15" t="str">
        <f>HYPERLINK("https://stat100.ameba.jp/tnk47/ratio20/illustrations/card/ill_73093_aisukurinchan03.jpg?201811-1-RELEASE-raid-377", "■")</f>
        <v>■</v>
      </c>
      <c r="F407" s="14" t="s">
        <v>1027</v>
      </c>
      <c r="G407" s="14">
        <v>139716</v>
      </c>
      <c r="H407" s="14">
        <v>101199</v>
      </c>
      <c r="I407" s="14">
        <v>21</v>
      </c>
      <c r="J407" s="14" t="s">
        <v>104</v>
      </c>
      <c r="K407" s="14" t="s">
        <v>1028</v>
      </c>
      <c r="L407" s="14" t="s">
        <v>1029</v>
      </c>
      <c r="M407" s="14" t="s">
        <v>9158</v>
      </c>
      <c r="N407" s="14" t="s">
        <v>9158</v>
      </c>
      <c r="O407" s="9" t="s">
        <v>2741</v>
      </c>
      <c r="P407" s="14" t="s">
        <v>2742</v>
      </c>
      <c r="Q407" s="14">
        <v>1</v>
      </c>
      <c r="R407" s="14"/>
    </row>
    <row r="408" spans="1:18">
      <c r="A408" s="9">
        <v>72153</v>
      </c>
      <c r="B408" s="14" t="s">
        <v>334</v>
      </c>
      <c r="C408" s="14" t="s">
        <v>203</v>
      </c>
      <c r="D408" s="14" t="s">
        <v>1030</v>
      </c>
      <c r="E408" s="15" t="str">
        <f>HYPERLINK("https://stat100.ameba.jp/tnk47/ratio20/illustrations/card/ill_72153_bakki03.jpg?201811-1-RELEASE-raid-377", "■")</f>
        <v>■</v>
      </c>
      <c r="F408" s="14" t="s">
        <v>1031</v>
      </c>
      <c r="G408" s="14">
        <v>80391</v>
      </c>
      <c r="H408" s="14">
        <v>111000</v>
      </c>
      <c r="I408" s="14">
        <v>21</v>
      </c>
      <c r="J408" s="14" t="s">
        <v>73</v>
      </c>
      <c r="K408" s="14" t="s">
        <v>1032</v>
      </c>
      <c r="L408" s="14" t="s">
        <v>1033</v>
      </c>
      <c r="M408" s="14" t="s">
        <v>9158</v>
      </c>
      <c r="N408" s="14" t="s">
        <v>9158</v>
      </c>
      <c r="O408" s="14" t="s">
        <v>9158</v>
      </c>
      <c r="P408" s="14" t="s">
        <v>9158</v>
      </c>
      <c r="Q408" s="14" t="s">
        <v>9158</v>
      </c>
      <c r="R408" s="14"/>
    </row>
    <row r="409" spans="1:18">
      <c r="A409" s="9">
        <v>66353</v>
      </c>
      <c r="B409" s="14" t="s">
        <v>334</v>
      </c>
      <c r="C409" s="14" t="s">
        <v>203</v>
      </c>
      <c r="D409" s="14" t="s">
        <v>141</v>
      </c>
      <c r="E409" s="15" t="str">
        <f>HYPERLINK("https://stat100.ameba.jp/tnk47/ratio20/illustrations/card/ill_66353_kajiwaranyudotoan03.jpg?201811-1-RELEASE-raid-377", "■")</f>
        <v>■</v>
      </c>
      <c r="F409" s="14" t="s">
        <v>142</v>
      </c>
      <c r="G409" s="14">
        <v>139716</v>
      </c>
      <c r="H409" s="14">
        <v>101199</v>
      </c>
      <c r="I409" s="14">
        <v>21</v>
      </c>
      <c r="J409" s="14" t="s">
        <v>143</v>
      </c>
      <c r="K409" s="14" t="s">
        <v>144</v>
      </c>
      <c r="L409" s="14" t="s">
        <v>145</v>
      </c>
      <c r="M409" s="14" t="s">
        <v>9158</v>
      </c>
      <c r="N409" s="14" t="s">
        <v>9158</v>
      </c>
      <c r="O409" s="17" t="s">
        <v>10054</v>
      </c>
      <c r="P409" s="14" t="s">
        <v>3672</v>
      </c>
      <c r="Q409" s="14">
        <v>1</v>
      </c>
      <c r="R409" s="14"/>
    </row>
    <row r="410" spans="1:18">
      <c r="A410" s="9">
        <v>60183</v>
      </c>
      <c r="B410" s="14" t="s">
        <v>334</v>
      </c>
      <c r="C410" s="14" t="s">
        <v>209</v>
      </c>
      <c r="D410" s="14" t="s">
        <v>1034</v>
      </c>
      <c r="E410" s="15" t="str">
        <f>HYPERLINK("https://stat100.ameba.jp/tnk47/ratio20/illustrations/card/ill_60183_aizuyaichi03.jpg?201811-1-RELEASE-raid-377", "■")</f>
        <v>■</v>
      </c>
      <c r="F410" s="14" t="s">
        <v>1035</v>
      </c>
      <c r="G410" s="14">
        <v>69051</v>
      </c>
      <c r="H410" s="14">
        <v>95307</v>
      </c>
      <c r="I410" s="14">
        <v>21</v>
      </c>
      <c r="J410" s="14" t="s">
        <v>16</v>
      </c>
      <c r="K410" s="14" t="s">
        <v>1036</v>
      </c>
      <c r="L410" s="14" t="s">
        <v>1037</v>
      </c>
      <c r="M410" s="14" t="s">
        <v>9158</v>
      </c>
      <c r="N410" s="14" t="s">
        <v>9158</v>
      </c>
      <c r="O410" s="14" t="s">
        <v>9158</v>
      </c>
      <c r="P410" s="14" t="s">
        <v>9158</v>
      </c>
      <c r="Q410" s="14" t="s">
        <v>9158</v>
      </c>
      <c r="R410" s="14"/>
    </row>
    <row r="411" spans="1:18">
      <c r="B411" s="14"/>
      <c r="C411" s="14"/>
      <c r="D411" s="14"/>
      <c r="F411" s="14"/>
      <c r="G411" s="14"/>
      <c r="H411" s="14"/>
      <c r="I411" s="14"/>
      <c r="J411" s="14"/>
      <c r="K411" s="14"/>
      <c r="L411" s="14"/>
      <c r="M411" s="14"/>
      <c r="N411" s="14"/>
      <c r="P411" s="14"/>
      <c r="Q411" s="14"/>
      <c r="R411" s="14"/>
    </row>
    <row r="412" spans="1:18">
      <c r="A412" s="14" t="s">
        <v>208</v>
      </c>
      <c r="D412" s="14"/>
      <c r="F412" s="14"/>
      <c r="G412" s="14"/>
      <c r="H412" s="14"/>
      <c r="I412" s="14"/>
      <c r="J412" s="14"/>
      <c r="K412" s="14"/>
      <c r="L412" s="14"/>
      <c r="M412" s="14"/>
      <c r="N412" s="14"/>
      <c r="P412" s="14"/>
      <c r="Q412" s="14"/>
      <c r="R412" s="14"/>
    </row>
    <row r="413" spans="1:18">
      <c r="A413" s="14" t="s">
        <v>1038</v>
      </c>
      <c r="C413" s="14"/>
      <c r="D413" s="14"/>
      <c r="F413" s="14"/>
      <c r="G413" s="14"/>
      <c r="H413" s="14"/>
      <c r="I413" s="14"/>
      <c r="J413" s="14"/>
      <c r="K413" s="14"/>
      <c r="L413" s="14"/>
      <c r="M413" s="14"/>
      <c r="N413" s="14"/>
      <c r="P413" s="14"/>
      <c r="Q413" s="14"/>
      <c r="R413" s="14"/>
    </row>
    <row r="414" spans="1:18">
      <c r="A414" s="9" t="s">
        <v>5617</v>
      </c>
      <c r="B414" s="14" t="s">
        <v>330</v>
      </c>
      <c r="C414" s="14" t="s">
        <v>165</v>
      </c>
      <c r="D414" s="14" t="s">
        <v>982</v>
      </c>
      <c r="E414" s="15" t="str">
        <f>HYPERLINK("https://stat100.ameba.jp/tnk47/ratio20/illustrations/card/ill_59673_0_oheyashutendoji03.jpg?201811-1-RELEASE-raid-377", "■")</f>
        <v>■</v>
      </c>
      <c r="F414" s="14" t="s">
        <v>983</v>
      </c>
      <c r="G414" s="14">
        <v>105545</v>
      </c>
      <c r="H414" s="14">
        <v>113525</v>
      </c>
      <c r="I414" s="14">
        <v>15</v>
      </c>
      <c r="J414" s="14" t="s">
        <v>73</v>
      </c>
      <c r="K414" s="14" t="s">
        <v>984</v>
      </c>
      <c r="L414" s="14" t="s">
        <v>985</v>
      </c>
      <c r="M414" s="14" t="s">
        <v>9158</v>
      </c>
      <c r="N414" s="14" t="s">
        <v>9158</v>
      </c>
      <c r="O414" s="17" t="s">
        <v>10058</v>
      </c>
      <c r="P414" s="14" t="s">
        <v>3022</v>
      </c>
      <c r="Q414" s="14">
        <v>1</v>
      </c>
      <c r="R414" s="14"/>
    </row>
    <row r="415" spans="1:18">
      <c r="A415" s="9" t="s">
        <v>5607</v>
      </c>
      <c r="B415" s="14" t="s">
        <v>330</v>
      </c>
      <c r="C415" s="14" t="s">
        <v>200</v>
      </c>
      <c r="D415" s="14" t="s">
        <v>1039</v>
      </c>
      <c r="E415" s="15" t="str">
        <f>HYPERLINK("https://stat100.ameba.jp/tnk47/ratio20/illustrations/card/ill_58853_0_setsubumpanikkuhiratsukaraicho03.jpg?201811-1-RELEASE-raid-377", "■")</f>
        <v>■</v>
      </c>
      <c r="F415" s="14" t="s">
        <v>1040</v>
      </c>
      <c r="G415" s="14">
        <v>94236</v>
      </c>
      <c r="H415" s="14">
        <v>83712</v>
      </c>
      <c r="I415" s="14">
        <v>15</v>
      </c>
      <c r="J415" s="14" t="s">
        <v>16</v>
      </c>
      <c r="K415" s="14" t="s">
        <v>1041</v>
      </c>
      <c r="L415" s="14" t="s">
        <v>1042</v>
      </c>
      <c r="M415" s="14" t="s">
        <v>9158</v>
      </c>
      <c r="N415" s="14" t="s">
        <v>9158</v>
      </c>
      <c r="O415" s="17" t="s">
        <v>10059</v>
      </c>
      <c r="P415" s="14" t="s">
        <v>2870</v>
      </c>
      <c r="Q415" s="14">
        <v>1</v>
      </c>
      <c r="R415" s="14"/>
    </row>
    <row r="416" spans="1:18">
      <c r="A416" s="9" t="s">
        <v>5622</v>
      </c>
      <c r="B416" s="14" t="s">
        <v>330</v>
      </c>
      <c r="C416" s="14" t="s">
        <v>185</v>
      </c>
      <c r="D416" s="14" t="s">
        <v>1043</v>
      </c>
      <c r="E416" s="15" t="str">
        <f>HYPERLINK("https://stat100.ameba.jp/tnk47/ratio20/illustrations/card/ill_49953_0_yushamarihime03.jpg?201811-1-RELEASE-raid-377", "■")</f>
        <v>■</v>
      </c>
      <c r="F416" s="14" t="s">
        <v>1044</v>
      </c>
      <c r="G416" s="14">
        <v>94236</v>
      </c>
      <c r="H416" s="14">
        <v>83712</v>
      </c>
      <c r="I416" s="14">
        <v>15</v>
      </c>
      <c r="J416" s="14" t="s">
        <v>187</v>
      </c>
      <c r="K416" s="14" t="s">
        <v>1045</v>
      </c>
      <c r="L416" s="14" t="s">
        <v>1046</v>
      </c>
      <c r="M416" s="14" t="s">
        <v>9158</v>
      </c>
      <c r="N416" s="14" t="s">
        <v>9158</v>
      </c>
      <c r="O416" s="14" t="s">
        <v>9158</v>
      </c>
      <c r="P416" s="14" t="s">
        <v>9158</v>
      </c>
      <c r="Q416" s="14" t="s">
        <v>9158</v>
      </c>
      <c r="R416" s="14"/>
    </row>
    <row r="417" spans="1:19">
      <c r="A417" s="9">
        <v>45333</v>
      </c>
      <c r="B417" s="14" t="s">
        <v>334</v>
      </c>
      <c r="C417" s="14" t="s">
        <v>262</v>
      </c>
      <c r="D417" s="14" t="s">
        <v>1047</v>
      </c>
      <c r="E417" s="15" t="str">
        <f>HYPERLINK("https://stat100.ameba.jp/tnk47/ratio20/illustrations/card/ill_45333_furutsutarutochan03.jpg?201811-1-RELEASE-raid-377", "■")</f>
        <v>■</v>
      </c>
      <c r="F417" s="14" t="s">
        <v>1048</v>
      </c>
      <c r="G417" s="14">
        <v>84796</v>
      </c>
      <c r="H417" s="14">
        <v>78838</v>
      </c>
      <c r="I417" s="14">
        <v>22</v>
      </c>
      <c r="J417" s="14" t="s">
        <v>104</v>
      </c>
      <c r="K417" s="14" t="s">
        <v>1049</v>
      </c>
      <c r="L417" s="14" t="s">
        <v>1050</v>
      </c>
      <c r="M417" s="14" t="s">
        <v>9158</v>
      </c>
      <c r="N417" s="14" t="s">
        <v>9158</v>
      </c>
      <c r="O417" s="14" t="s">
        <v>9158</v>
      </c>
      <c r="P417" s="14" t="s">
        <v>9158</v>
      </c>
      <c r="Q417" s="14" t="s">
        <v>9158</v>
      </c>
      <c r="S417" s="14" t="s">
        <v>12929</v>
      </c>
    </row>
    <row r="418" spans="1:19">
      <c r="A418" s="9">
        <v>52763</v>
      </c>
      <c r="B418" s="14" t="s">
        <v>334</v>
      </c>
      <c r="C418" s="14" t="s">
        <v>262</v>
      </c>
      <c r="D418" s="14" t="s">
        <v>1051</v>
      </c>
      <c r="E418" s="15" t="str">
        <f>HYPERLINK("https://stat100.ameba.jp/tnk47/ratio20/illustrations/card/ill_52763_keijiyamaokatesshu03.jpg?201811-1-RELEASE-raid-377", "■")</f>
        <v>■</v>
      </c>
      <c r="F418" s="14" t="s">
        <v>1052</v>
      </c>
      <c r="G418" s="14">
        <v>84796</v>
      </c>
      <c r="H418" s="14">
        <v>78838</v>
      </c>
      <c r="I418" s="14">
        <v>22</v>
      </c>
      <c r="J418" s="14" t="s">
        <v>10</v>
      </c>
      <c r="K418" s="14" t="s">
        <v>1053</v>
      </c>
      <c r="L418" s="14" t="s">
        <v>1054</v>
      </c>
      <c r="M418" s="14" t="s">
        <v>9158</v>
      </c>
      <c r="N418" s="14" t="s">
        <v>9158</v>
      </c>
      <c r="O418" s="14" t="s">
        <v>9158</v>
      </c>
      <c r="P418" s="14" t="s">
        <v>9158</v>
      </c>
      <c r="Q418" s="14" t="s">
        <v>9158</v>
      </c>
      <c r="S418" s="14" t="s">
        <v>11731</v>
      </c>
    </row>
    <row r="419" spans="1:19">
      <c r="A419" s="9">
        <v>59963</v>
      </c>
      <c r="B419" s="14" t="s">
        <v>334</v>
      </c>
      <c r="C419" s="14" t="s">
        <v>203</v>
      </c>
      <c r="D419" s="14" t="s">
        <v>1055</v>
      </c>
      <c r="E419" s="15" t="str">
        <f>HYPERLINK("https://stat100.ameba.jp/tnk47/ratio20/illustrations/card/ill_59963_hantasaikamagoichi03.jpg?201811-1-RELEASE-raid-377", "■")</f>
        <v>■</v>
      </c>
      <c r="F419" s="14" t="s">
        <v>1056</v>
      </c>
      <c r="G419" s="14">
        <v>139818</v>
      </c>
      <c r="H419" s="14">
        <v>129994</v>
      </c>
      <c r="I419" s="14">
        <v>22</v>
      </c>
      <c r="J419" s="14" t="s">
        <v>143</v>
      </c>
      <c r="K419" s="14" t="s">
        <v>1057</v>
      </c>
      <c r="L419" s="14" t="s">
        <v>1058</v>
      </c>
      <c r="M419" s="14" t="s">
        <v>9158</v>
      </c>
      <c r="N419" s="14" t="s">
        <v>9158</v>
      </c>
      <c r="O419" s="14" t="s">
        <v>9158</v>
      </c>
      <c r="P419" s="14" t="s">
        <v>9158</v>
      </c>
      <c r="Q419" s="14" t="s">
        <v>9158</v>
      </c>
      <c r="S419" s="14" t="s">
        <v>11725</v>
      </c>
    </row>
    <row r="420" spans="1:19">
      <c r="A420" s="9">
        <v>60063</v>
      </c>
      <c r="B420" s="14" t="s">
        <v>15</v>
      </c>
      <c r="C420" s="14" t="s">
        <v>165</v>
      </c>
      <c r="D420" s="14" t="s">
        <v>1059</v>
      </c>
      <c r="E420" s="15" t="str">
        <f>HYPERLINK("https://stat100.ameba.jp/tnk47/ratio20/illustrations/card/ill_60063_aressandorobuarinyano03.jpg?201811-1-RELEASE-raid-377", "■")</f>
        <v>■</v>
      </c>
      <c r="F420" s="14" t="s">
        <v>1060</v>
      </c>
      <c r="G420" s="14">
        <v>65208</v>
      </c>
      <c r="H420" s="14">
        <v>59144</v>
      </c>
      <c r="I420" s="14">
        <v>22</v>
      </c>
      <c r="J420" s="14" t="s">
        <v>10</v>
      </c>
      <c r="K420" s="14" t="s">
        <v>1061</v>
      </c>
      <c r="L420" s="14" t="s">
        <v>1062</v>
      </c>
      <c r="M420" s="14" t="s">
        <v>9158</v>
      </c>
      <c r="N420" s="14" t="s">
        <v>9158</v>
      </c>
      <c r="O420" s="14" t="s">
        <v>9158</v>
      </c>
      <c r="P420" s="14" t="s">
        <v>9158</v>
      </c>
      <c r="Q420" s="14" t="s">
        <v>9158</v>
      </c>
      <c r="S420" s="14" t="s">
        <v>11726</v>
      </c>
    </row>
    <row r="421" spans="1:19">
      <c r="A421" s="9">
        <v>60743</v>
      </c>
      <c r="B421" s="14" t="s">
        <v>15</v>
      </c>
      <c r="C421" s="14" t="s">
        <v>185</v>
      </c>
      <c r="D421" s="14" t="s">
        <v>1063</v>
      </c>
      <c r="E421" s="15" t="str">
        <f>HYPERLINK("https://stat100.ameba.jp/tnk47/ratio20/illustrations/card/ill_60743_satotsugunobu03.jpg?201811-1-RELEASE-raid-377", "■")</f>
        <v>■</v>
      </c>
      <c r="F421" s="14" t="s">
        <v>1064</v>
      </c>
      <c r="G421" s="14">
        <v>65208</v>
      </c>
      <c r="H421" s="14">
        <v>59144</v>
      </c>
      <c r="I421" s="14">
        <v>22</v>
      </c>
      <c r="J421" s="14" t="s">
        <v>143</v>
      </c>
      <c r="K421" s="14" t="s">
        <v>1065</v>
      </c>
      <c r="L421" s="14" t="s">
        <v>1066</v>
      </c>
      <c r="M421" s="14" t="s">
        <v>9158</v>
      </c>
      <c r="N421" s="14" t="s">
        <v>9158</v>
      </c>
      <c r="O421" s="14" t="s">
        <v>9158</v>
      </c>
      <c r="P421" s="14" t="s">
        <v>9158</v>
      </c>
      <c r="Q421" s="14" t="s">
        <v>9158</v>
      </c>
      <c r="S421" s="14" t="s">
        <v>12930</v>
      </c>
    </row>
    <row r="422" spans="1:19">
      <c r="A422" s="9">
        <v>64113</v>
      </c>
      <c r="B422" s="14" t="s">
        <v>15</v>
      </c>
      <c r="C422" s="14" t="s">
        <v>205</v>
      </c>
      <c r="D422" s="14" t="s">
        <v>1067</v>
      </c>
      <c r="E422" s="15" t="str">
        <f>HYPERLINK("https://stat100.ameba.jp/tnk47/ratio20/illustrations/card/ill_64113_onikiriyasutsuna03.jpg?201811-1-RELEASE-raid-377", "■")</f>
        <v>■</v>
      </c>
      <c r="F422" s="14" t="s">
        <v>1068</v>
      </c>
      <c r="G422" s="14">
        <v>59144</v>
      </c>
      <c r="H422" s="14">
        <v>65208</v>
      </c>
      <c r="I422" s="14">
        <v>22</v>
      </c>
      <c r="J422" s="14" t="s">
        <v>38</v>
      </c>
      <c r="K422" s="14" t="s">
        <v>1069</v>
      </c>
      <c r="L422" s="14" t="s">
        <v>1070</v>
      </c>
      <c r="M422" s="14" t="s">
        <v>9158</v>
      </c>
      <c r="N422" s="14" t="s">
        <v>9158</v>
      </c>
      <c r="O422" s="14" t="s">
        <v>9158</v>
      </c>
      <c r="P422" s="14" t="s">
        <v>9158</v>
      </c>
      <c r="Q422" s="14" t="s">
        <v>9158</v>
      </c>
      <c r="S422" s="14" t="s">
        <v>12930</v>
      </c>
    </row>
    <row r="423" spans="1:19">
      <c r="B423" s="14"/>
      <c r="C423" s="14"/>
      <c r="D423" s="14"/>
      <c r="F423" s="14"/>
      <c r="G423" s="14"/>
      <c r="H423" s="14"/>
      <c r="I423" s="14"/>
      <c r="J423" s="14"/>
      <c r="K423" s="14"/>
      <c r="L423" s="14"/>
      <c r="M423" s="14"/>
      <c r="N423" s="14"/>
      <c r="P423" s="14"/>
      <c r="Q423" s="14"/>
      <c r="R423" s="14"/>
    </row>
    <row r="424" spans="1:19">
      <c r="A424" s="14" t="s">
        <v>177</v>
      </c>
      <c r="D424" s="14"/>
      <c r="F424" s="14"/>
      <c r="G424" s="14"/>
      <c r="H424" s="14"/>
      <c r="I424" s="14"/>
      <c r="J424" s="14"/>
      <c r="K424" s="14"/>
      <c r="L424" s="14"/>
      <c r="M424" s="14"/>
      <c r="N424" s="14"/>
      <c r="P424" s="14"/>
      <c r="Q424" s="14"/>
      <c r="R424" s="14"/>
    </row>
    <row r="425" spans="1:19">
      <c r="A425" s="14" t="s">
        <v>1071</v>
      </c>
      <c r="C425" s="14"/>
      <c r="D425" s="14"/>
      <c r="F425" s="14"/>
      <c r="G425" s="14"/>
      <c r="H425" s="14"/>
      <c r="I425" s="14"/>
      <c r="J425" s="14"/>
      <c r="K425" s="14"/>
      <c r="L425" s="14"/>
      <c r="M425" s="14"/>
      <c r="N425" s="14"/>
      <c r="P425" s="14"/>
      <c r="Q425" s="14"/>
      <c r="R425" s="14"/>
    </row>
    <row r="426" spans="1:19">
      <c r="A426" s="9" t="s">
        <v>5617</v>
      </c>
      <c r="B426" s="14" t="s">
        <v>330</v>
      </c>
      <c r="C426" s="14" t="s">
        <v>165</v>
      </c>
      <c r="D426" s="14" t="s">
        <v>982</v>
      </c>
      <c r="E426" s="15" t="str">
        <f>HYPERLINK("https://stat100.ameba.jp/tnk47/ratio20/illustrations/card/ill_59673_0_oheyashutendoji03.jpg?201811-1-RELEASE-raid-377", "■")</f>
        <v>■</v>
      </c>
      <c r="F426" s="14" t="s">
        <v>983</v>
      </c>
      <c r="G426" s="14">
        <v>105545</v>
      </c>
      <c r="H426" s="14">
        <v>113525</v>
      </c>
      <c r="I426" s="14">
        <v>15</v>
      </c>
      <c r="J426" s="14" t="s">
        <v>73</v>
      </c>
      <c r="K426" s="14" t="s">
        <v>984</v>
      </c>
      <c r="L426" s="14" t="s">
        <v>985</v>
      </c>
      <c r="M426" s="14" t="s">
        <v>9158</v>
      </c>
      <c r="N426" s="14" t="s">
        <v>9158</v>
      </c>
      <c r="O426" s="17" t="s">
        <v>10058</v>
      </c>
      <c r="P426" s="14" t="s">
        <v>3022</v>
      </c>
      <c r="Q426" s="14">
        <v>1</v>
      </c>
      <c r="R426" s="14"/>
    </row>
    <row r="427" spans="1:19">
      <c r="A427" s="9" t="s">
        <v>5609</v>
      </c>
      <c r="B427" s="14" t="s">
        <v>330</v>
      </c>
      <c r="C427" s="14" t="s">
        <v>200</v>
      </c>
      <c r="D427" s="14" t="s">
        <v>56</v>
      </c>
      <c r="E427" s="15" t="str">
        <f>HYPERLINK("https://stat100.ameba.jp/tnk47/ratio20/illustrations/card/ill_53753_0_natsumatsuritokugawaieyasu03.jpg?201811-1-RELEASE-raid-377", "■")</f>
        <v>■</v>
      </c>
      <c r="F427" s="14" t="s">
        <v>902</v>
      </c>
      <c r="G427" s="14">
        <v>94236</v>
      </c>
      <c r="H427" s="14">
        <v>83712</v>
      </c>
      <c r="I427" s="14">
        <v>15</v>
      </c>
      <c r="J427" s="14" t="s">
        <v>143</v>
      </c>
      <c r="K427" s="14" t="s">
        <v>903</v>
      </c>
      <c r="L427" s="14" t="s">
        <v>904</v>
      </c>
      <c r="M427" s="14" t="s">
        <v>9158</v>
      </c>
      <c r="N427" s="14" t="s">
        <v>9158</v>
      </c>
      <c r="O427" s="17" t="s">
        <v>10052</v>
      </c>
      <c r="P427" s="14" t="s">
        <v>13121</v>
      </c>
      <c r="Q427" s="14">
        <v>1</v>
      </c>
      <c r="R427" s="14"/>
    </row>
    <row r="428" spans="1:19">
      <c r="A428" s="9" t="s">
        <v>9473</v>
      </c>
      <c r="B428" s="14" t="s">
        <v>330</v>
      </c>
      <c r="C428" s="14" t="s">
        <v>191</v>
      </c>
      <c r="D428" s="14" t="s">
        <v>1072</v>
      </c>
      <c r="E428" s="15" t="str">
        <f>HYPERLINK("https://stat100.ameba.jp/tnk47/ratio20/illustrations/card/ill_46283_0_odanobunaga03.jpg?201811-1-RELEASE-raid-377", "■")</f>
        <v>■</v>
      </c>
      <c r="F428" s="14" t="s">
        <v>1073</v>
      </c>
      <c r="G428" s="14">
        <v>82212</v>
      </c>
      <c r="H428" s="14">
        <v>87780</v>
      </c>
      <c r="I428" s="14">
        <v>15</v>
      </c>
      <c r="J428" s="14" t="s">
        <v>143</v>
      </c>
      <c r="K428" s="14" t="s">
        <v>1074</v>
      </c>
      <c r="L428" s="14" t="s">
        <v>1075</v>
      </c>
      <c r="M428" s="14" t="s">
        <v>9158</v>
      </c>
      <c r="N428" s="14" t="s">
        <v>9158</v>
      </c>
      <c r="O428" s="14" t="s">
        <v>9158</v>
      </c>
      <c r="P428" s="14" t="s">
        <v>9158</v>
      </c>
      <c r="Q428" s="14" t="s">
        <v>9158</v>
      </c>
      <c r="R428" s="14"/>
    </row>
    <row r="429" spans="1:19">
      <c r="A429" s="9">
        <v>76843</v>
      </c>
      <c r="B429" s="14" t="s">
        <v>334</v>
      </c>
      <c r="C429" s="14" t="s">
        <v>191</v>
      </c>
      <c r="D429" s="14" t="s">
        <v>1076</v>
      </c>
      <c r="E429" s="15" t="str">
        <f>HYPERLINK("https://stat100.ameba.jp/tnk47/ratio20/illustrations/card/ill_76843_yunokarairu03.jpg?201811-1-RELEASE-raid-377", "■")</f>
        <v>■</v>
      </c>
      <c r="F429" s="14" t="s">
        <v>1077</v>
      </c>
      <c r="G429" s="14">
        <v>101144</v>
      </c>
      <c r="H429" s="14">
        <v>108778</v>
      </c>
      <c r="I429" s="14">
        <v>22</v>
      </c>
      <c r="J429" s="14" t="s">
        <v>104</v>
      </c>
      <c r="K429" s="14" t="s">
        <v>1078</v>
      </c>
      <c r="L429" s="14" t="s">
        <v>1079</v>
      </c>
      <c r="M429" s="14" t="s">
        <v>9158</v>
      </c>
      <c r="N429" s="14" t="s">
        <v>9158</v>
      </c>
      <c r="O429" s="9" t="s">
        <v>2752</v>
      </c>
      <c r="P429" s="14" t="s">
        <v>13123</v>
      </c>
      <c r="Q429" s="14">
        <v>1</v>
      </c>
      <c r="R429" s="14"/>
    </row>
    <row r="430" spans="1:19">
      <c r="A430" s="9">
        <v>76853</v>
      </c>
      <c r="B430" s="14" t="s">
        <v>334</v>
      </c>
      <c r="C430" s="14" t="s">
        <v>200</v>
      </c>
      <c r="D430" s="14" t="s">
        <v>1080</v>
      </c>
      <c r="E430" s="15" t="str">
        <f>HYPERLINK("https://stat100.ameba.jp/tnk47/ratio20/illustrations/card/ill_76853_kugutsumari03.jpg?201811-1-RELEASE-raid-377", "■")</f>
        <v>■</v>
      </c>
      <c r="F430" s="14" t="s">
        <v>1081</v>
      </c>
      <c r="G430" s="14">
        <v>135666</v>
      </c>
      <c r="H430" s="14">
        <v>126142</v>
      </c>
      <c r="I430" s="14">
        <v>22</v>
      </c>
      <c r="J430" s="14" t="s">
        <v>143</v>
      </c>
      <c r="K430" s="14" t="s">
        <v>1082</v>
      </c>
      <c r="L430" s="14" t="s">
        <v>145</v>
      </c>
      <c r="M430" s="14" t="s">
        <v>9158</v>
      </c>
      <c r="N430" s="14" t="s">
        <v>9158</v>
      </c>
      <c r="O430" s="14" t="s">
        <v>9158</v>
      </c>
      <c r="P430" s="14" t="s">
        <v>9158</v>
      </c>
      <c r="Q430" s="14" t="s">
        <v>9158</v>
      </c>
      <c r="R430" s="14"/>
    </row>
    <row r="431" spans="1:19">
      <c r="A431" s="9">
        <v>76863</v>
      </c>
      <c r="B431" s="14" t="s">
        <v>334</v>
      </c>
      <c r="C431" s="14" t="s">
        <v>165</v>
      </c>
      <c r="D431" s="14" t="s">
        <v>1083</v>
      </c>
      <c r="E431" s="15" t="str">
        <f>HYPERLINK("https://stat100.ameba.jp/tnk47/ratio20/illustrations/card/ill_76863_gyanguma03.jpg?201811-1-RELEASE-raid-377", "■")</f>
        <v>■</v>
      </c>
      <c r="F431" s="14" t="s">
        <v>1084</v>
      </c>
      <c r="G431" s="14">
        <v>102666</v>
      </c>
      <c r="H431" s="14">
        <v>95472</v>
      </c>
      <c r="I431" s="14">
        <v>22</v>
      </c>
      <c r="J431" s="14" t="s">
        <v>26</v>
      </c>
      <c r="K431" s="14" t="s">
        <v>1085</v>
      </c>
      <c r="L431" s="14" t="s">
        <v>1086</v>
      </c>
      <c r="M431" s="14" t="s">
        <v>9158</v>
      </c>
      <c r="N431" s="14" t="s">
        <v>9158</v>
      </c>
      <c r="O431" s="14" t="s">
        <v>9158</v>
      </c>
      <c r="P431" s="14" t="s">
        <v>9158</v>
      </c>
      <c r="Q431" s="14" t="s">
        <v>9158</v>
      </c>
      <c r="R431" s="14"/>
    </row>
    <row r="432" spans="1:19">
      <c r="A432" s="9">
        <v>54563</v>
      </c>
      <c r="B432" s="14" t="s">
        <v>15</v>
      </c>
      <c r="C432" s="14" t="s">
        <v>165</v>
      </c>
      <c r="D432" s="14" t="s">
        <v>1087</v>
      </c>
      <c r="E432" s="15" t="str">
        <f>HYPERLINK("https://stat100.ameba.jp/tnk47/ratio20/illustrations/card/ill_54563_ryokankiyohime03.jpg?201811-1-RELEASE-raid-377", "■")</f>
        <v>■</v>
      </c>
      <c r="F432" s="14" t="s">
        <v>1088</v>
      </c>
      <c r="G432" s="14">
        <v>68334</v>
      </c>
      <c r="H432" s="14">
        <v>50366</v>
      </c>
      <c r="I432" s="14">
        <v>21</v>
      </c>
      <c r="J432" s="14" t="s">
        <v>73</v>
      </c>
      <c r="K432" s="14" t="s">
        <v>1089</v>
      </c>
      <c r="L432" s="14" t="s">
        <v>1090</v>
      </c>
      <c r="M432" s="14" t="s">
        <v>9158</v>
      </c>
      <c r="N432" s="14" t="s">
        <v>9158</v>
      </c>
      <c r="O432" s="14" t="s">
        <v>9158</v>
      </c>
      <c r="P432" s="14" t="s">
        <v>9158</v>
      </c>
      <c r="Q432" s="14" t="s">
        <v>9158</v>
      </c>
      <c r="R432" s="14"/>
    </row>
    <row r="433" spans="1:18">
      <c r="A433" s="9">
        <v>59063</v>
      </c>
      <c r="B433" s="14" t="s">
        <v>15</v>
      </c>
      <c r="C433" s="14" t="s">
        <v>206</v>
      </c>
      <c r="D433" s="14" t="s">
        <v>1091</v>
      </c>
      <c r="E433" s="15" t="str">
        <f>HYPERLINK("https://stat100.ameba.jp/tnk47/ratio20/illustrations/card/ill_59063_umeoiransugitahisajo03.jpg?201811-1-RELEASE-raid-377", "■")</f>
        <v>■</v>
      </c>
      <c r="F433" s="14" t="s">
        <v>1092</v>
      </c>
      <c r="G433" s="14">
        <v>62244</v>
      </c>
      <c r="H433" s="14">
        <v>56456</v>
      </c>
      <c r="I433" s="14">
        <v>21</v>
      </c>
      <c r="J433" s="14" t="s">
        <v>16</v>
      </c>
      <c r="K433" s="14" t="s">
        <v>1093</v>
      </c>
      <c r="L433" s="14" t="s">
        <v>1094</v>
      </c>
      <c r="M433" s="14" t="s">
        <v>9158</v>
      </c>
      <c r="N433" s="14" t="s">
        <v>9158</v>
      </c>
      <c r="O433" s="14" t="s">
        <v>9158</v>
      </c>
      <c r="P433" s="14" t="s">
        <v>9158</v>
      </c>
      <c r="Q433" s="14" t="s">
        <v>9158</v>
      </c>
      <c r="R433" s="14"/>
    </row>
    <row r="434" spans="1:18">
      <c r="A434" s="9">
        <v>53663</v>
      </c>
      <c r="B434" s="14" t="s">
        <v>15</v>
      </c>
      <c r="C434" s="14" t="s">
        <v>185</v>
      </c>
      <c r="D434" s="14" t="s">
        <v>1095</v>
      </c>
      <c r="E434" s="15" t="str">
        <f>HYPERLINK("https://stat100.ameba.jp/tnk47/ratio20/illustrations/card/ill_53663_kanibaruotsukisamaniittausagi03.jpg?201811-1-RELEASE-raid-377", "■")</f>
        <v>■</v>
      </c>
      <c r="F434" s="14" t="s">
        <v>1096</v>
      </c>
      <c r="G434" s="14">
        <v>56456</v>
      </c>
      <c r="H434" s="14">
        <v>62244</v>
      </c>
      <c r="I434" s="14">
        <v>21</v>
      </c>
      <c r="J434" s="14" t="s">
        <v>38</v>
      </c>
      <c r="K434" s="14" t="s">
        <v>1097</v>
      </c>
      <c r="L434" s="14" t="s">
        <v>1098</v>
      </c>
      <c r="M434" s="14" t="s">
        <v>9158</v>
      </c>
      <c r="N434" s="14" t="s">
        <v>9158</v>
      </c>
      <c r="O434" s="14" t="s">
        <v>9158</v>
      </c>
      <c r="P434" s="14" t="s">
        <v>9158</v>
      </c>
      <c r="Q434" s="14" t="s">
        <v>9158</v>
      </c>
      <c r="R434" s="14"/>
    </row>
    <row r="435" spans="1:18">
      <c r="B435" s="14"/>
      <c r="C435" s="14"/>
      <c r="D435" s="14"/>
      <c r="F435" s="14"/>
      <c r="G435" s="14"/>
      <c r="H435" s="14"/>
      <c r="I435" s="14"/>
      <c r="J435" s="14"/>
      <c r="K435" s="14"/>
      <c r="L435" s="14"/>
      <c r="M435" s="14"/>
      <c r="N435" s="14"/>
      <c r="P435" s="14"/>
      <c r="Q435" s="14"/>
      <c r="R435" s="14"/>
    </row>
    <row r="436" spans="1:18">
      <c r="A436" s="14" t="s">
        <v>1099</v>
      </c>
      <c r="D436" s="14"/>
      <c r="F436" s="14"/>
      <c r="G436" s="14"/>
      <c r="H436" s="14"/>
      <c r="I436" s="14"/>
      <c r="J436" s="14"/>
      <c r="K436" s="14"/>
      <c r="L436" s="14"/>
      <c r="M436" s="14"/>
      <c r="N436" s="14"/>
      <c r="P436" s="14"/>
      <c r="Q436" s="14"/>
      <c r="R436" s="14"/>
    </row>
    <row r="437" spans="1:18">
      <c r="A437" s="14" t="s">
        <v>7645</v>
      </c>
      <c r="B437" s="14"/>
      <c r="C437" s="14"/>
      <c r="D437" s="14"/>
      <c r="E437" s="14"/>
      <c r="F437" s="14"/>
      <c r="G437" s="14"/>
      <c r="H437" s="14"/>
      <c r="I437" s="14"/>
      <c r="J437" s="14"/>
      <c r="K437" s="14"/>
      <c r="L437" s="14"/>
      <c r="M437" s="14"/>
      <c r="N437" s="14"/>
      <c r="O437" s="14"/>
      <c r="P437" s="14"/>
      <c r="Q437" s="14"/>
      <c r="R437" s="14"/>
    </row>
    <row r="438" spans="1:18">
      <c r="A438" s="14" t="s">
        <v>7644</v>
      </c>
      <c r="B438" s="14"/>
      <c r="C438" s="14"/>
      <c r="D438" s="14"/>
      <c r="E438" s="14"/>
      <c r="F438" s="14"/>
      <c r="G438" s="14"/>
      <c r="H438" s="14"/>
      <c r="I438" s="14"/>
      <c r="J438" s="14"/>
      <c r="K438" s="14"/>
      <c r="L438" s="14"/>
      <c r="M438" s="14"/>
      <c r="N438" s="14"/>
      <c r="O438" s="14"/>
      <c r="P438" s="14"/>
      <c r="Q438" s="14"/>
      <c r="R438" s="14"/>
    </row>
    <row r="439" spans="1:18">
      <c r="A439" s="9" t="s">
        <v>5787</v>
      </c>
      <c r="B439" s="14" t="s">
        <v>330</v>
      </c>
      <c r="C439" s="14" t="s">
        <v>202</v>
      </c>
      <c r="D439" s="14" t="s">
        <v>1101</v>
      </c>
      <c r="E439" s="15" t="str">
        <f>HYPERLINK("https://stat100.ameba.jp/tnk47/ratio20/illustrations/card/ill_76303_0_haroinkaguya03.jpg?201811-1-RELEASE-raid-377", "■")</f>
        <v>■</v>
      </c>
      <c r="F439" s="14" t="s">
        <v>1102</v>
      </c>
      <c r="G439" s="14">
        <v>178507</v>
      </c>
      <c r="H439" s="14">
        <v>165953</v>
      </c>
      <c r="I439" s="14">
        <v>15</v>
      </c>
      <c r="J439" s="14" t="s">
        <v>38</v>
      </c>
      <c r="K439" s="14" t="s">
        <v>1103</v>
      </c>
      <c r="L439" s="14" t="s">
        <v>1104</v>
      </c>
      <c r="M439" s="14" t="s">
        <v>9158</v>
      </c>
      <c r="N439" s="14" t="s">
        <v>9158</v>
      </c>
      <c r="O439" s="9" t="s">
        <v>2723</v>
      </c>
      <c r="P439" s="14" t="s">
        <v>2724</v>
      </c>
      <c r="Q439" s="14">
        <v>1</v>
      </c>
      <c r="R439" s="14"/>
    </row>
    <row r="440" spans="1:18">
      <c r="A440" s="9">
        <v>76703</v>
      </c>
      <c r="B440" s="14" t="s">
        <v>334</v>
      </c>
      <c r="C440" s="14" t="s">
        <v>185</v>
      </c>
      <c r="D440" s="14" t="s">
        <v>1105</v>
      </c>
      <c r="E440" s="15" t="str">
        <f>HYPERLINK("https://stat100.ameba.jp/tnk47/ratio20/illustrations/card/ill_76703_dondonyaki03.jpg?201811-1-RELEASE-raid-377", "■")</f>
        <v>■</v>
      </c>
      <c r="F440" s="14" t="s">
        <v>1106</v>
      </c>
      <c r="G440" s="14">
        <v>99173</v>
      </c>
      <c r="H440" s="14">
        <v>92220</v>
      </c>
      <c r="I440" s="14">
        <v>21</v>
      </c>
      <c r="J440" s="14" t="s">
        <v>104</v>
      </c>
      <c r="K440" s="14" t="s">
        <v>1107</v>
      </c>
      <c r="L440" s="14" t="s">
        <v>1108</v>
      </c>
      <c r="M440" s="14" t="s">
        <v>9158</v>
      </c>
      <c r="N440" s="14" t="s">
        <v>9158</v>
      </c>
      <c r="O440" s="14" t="s">
        <v>9158</v>
      </c>
      <c r="P440" s="14" t="s">
        <v>9158</v>
      </c>
      <c r="Q440" s="14" t="s">
        <v>9158</v>
      </c>
      <c r="R440" s="14"/>
    </row>
    <row r="441" spans="1:18">
      <c r="A441" s="9">
        <v>76713</v>
      </c>
      <c r="B441" s="14" t="s">
        <v>15</v>
      </c>
      <c r="C441" s="14" t="s">
        <v>165</v>
      </c>
      <c r="D441" s="14" t="s">
        <v>1109</v>
      </c>
      <c r="E441" s="15" t="str">
        <f>HYPERLINK("https://stat100.ameba.jp/tnk47/ratio20/illustrations/card/ill_76713_byofuoinhoodo03.jpg?201811-1-RELEASE-raid-377", "■")</f>
        <v>■</v>
      </c>
      <c r="F441" s="14" t="s">
        <v>1110</v>
      </c>
      <c r="G441" s="14">
        <v>56456</v>
      </c>
      <c r="H441" s="14">
        <v>62244</v>
      </c>
      <c r="I441" s="14">
        <v>21</v>
      </c>
      <c r="J441" s="14" t="s">
        <v>26</v>
      </c>
      <c r="K441" s="14" t="s">
        <v>1111</v>
      </c>
      <c r="L441" s="14" t="s">
        <v>977</v>
      </c>
      <c r="M441" s="14" t="s">
        <v>9158</v>
      </c>
      <c r="N441" s="14" t="s">
        <v>9158</v>
      </c>
      <c r="O441" s="14" t="s">
        <v>9158</v>
      </c>
      <c r="P441" s="14" t="s">
        <v>9158</v>
      </c>
      <c r="Q441" s="14" t="s">
        <v>9158</v>
      </c>
      <c r="R441" s="14"/>
    </row>
    <row r="442" spans="1:18">
      <c r="A442" s="9">
        <v>76723</v>
      </c>
      <c r="B442" s="14" t="s">
        <v>22</v>
      </c>
      <c r="C442" s="14" t="s">
        <v>206</v>
      </c>
      <c r="D442" s="14" t="s">
        <v>1112</v>
      </c>
      <c r="E442" s="15" t="str">
        <f>HYPERLINK("https://stat100.ameba.jp/tnk47/ratio20/illustrations/card/ill_76723_hyakuninisshusugawaranomichizane03.jpg?201811-1-RELEASE-raid-377", "■")</f>
        <v>■</v>
      </c>
      <c r="F442" s="14" t="s">
        <v>1113</v>
      </c>
      <c r="G442" s="14">
        <v>43662</v>
      </c>
      <c r="H442" s="14">
        <v>36304</v>
      </c>
      <c r="I442" s="14">
        <v>21</v>
      </c>
      <c r="J442" s="14" t="s">
        <v>16</v>
      </c>
      <c r="K442" s="14" t="s">
        <v>1114</v>
      </c>
      <c r="L442" s="14" t="s">
        <v>1115</v>
      </c>
      <c r="M442" s="14" t="s">
        <v>9158</v>
      </c>
      <c r="N442" s="14" t="s">
        <v>9158</v>
      </c>
      <c r="O442" s="14" t="s">
        <v>9158</v>
      </c>
      <c r="P442" s="14" t="s">
        <v>9158</v>
      </c>
      <c r="Q442" s="14" t="s">
        <v>9158</v>
      </c>
      <c r="R442" s="14"/>
    </row>
    <row r="443" spans="1:18">
      <c r="A443" s="9">
        <v>76733</v>
      </c>
      <c r="B443" s="14" t="s">
        <v>30</v>
      </c>
      <c r="C443" s="14" t="s">
        <v>1100</v>
      </c>
      <c r="D443" s="14" t="s">
        <v>1116</v>
      </c>
      <c r="E443" s="15" t="str">
        <f>HYPERLINK("https://stat100.ameba.jp/tnk47/ratio20/illustrations/card/ill_76733_houjouujiyasu03.jpg?201811-1-RELEASE-raid-377", "■")</f>
        <v>■</v>
      </c>
      <c r="F443" s="14" t="s">
        <v>1117</v>
      </c>
      <c r="G443" s="14">
        <v>22200</v>
      </c>
      <c r="H443" s="14">
        <v>26434</v>
      </c>
      <c r="I443" s="14">
        <v>21</v>
      </c>
      <c r="J443" s="14" t="s">
        <v>143</v>
      </c>
      <c r="K443" s="14" t="s">
        <v>1118</v>
      </c>
      <c r="L443" s="14" t="s">
        <v>1119</v>
      </c>
      <c r="M443" s="14" t="s">
        <v>9158</v>
      </c>
      <c r="N443" s="14" t="s">
        <v>9158</v>
      </c>
      <c r="O443" s="14" t="s">
        <v>9158</v>
      </c>
      <c r="P443" s="14" t="s">
        <v>9158</v>
      </c>
      <c r="Q443" s="14" t="s">
        <v>9158</v>
      </c>
      <c r="R443" s="14"/>
    </row>
    <row r="444" spans="1:18">
      <c r="B444" s="14"/>
      <c r="C444" s="14"/>
      <c r="D444" s="14"/>
      <c r="F444" s="14"/>
      <c r="G444" s="14"/>
      <c r="H444" s="14"/>
      <c r="I444" s="14"/>
      <c r="J444" s="14"/>
      <c r="K444" s="14"/>
      <c r="L444" s="14"/>
      <c r="M444" s="14"/>
      <c r="N444" s="14"/>
      <c r="P444" s="14"/>
      <c r="Q444" s="14"/>
      <c r="R444" s="14"/>
    </row>
    <row r="445" spans="1:18">
      <c r="A445" s="14" t="s">
        <v>195</v>
      </c>
      <c r="D445" s="14"/>
      <c r="F445" s="14"/>
      <c r="G445" s="14"/>
      <c r="H445" s="14"/>
      <c r="I445" s="14"/>
      <c r="J445" s="14"/>
      <c r="K445" s="14"/>
      <c r="L445" s="14"/>
      <c r="M445" s="14"/>
      <c r="N445" s="14"/>
      <c r="P445" s="14"/>
      <c r="Q445" s="14"/>
      <c r="R445" s="14"/>
    </row>
    <row r="446" spans="1:18">
      <c r="A446" s="14" t="s">
        <v>1120</v>
      </c>
      <c r="B446" s="14"/>
      <c r="C446" s="14"/>
      <c r="D446" s="14"/>
      <c r="F446" s="14"/>
      <c r="G446" s="14"/>
      <c r="H446" s="14"/>
      <c r="I446" s="14"/>
      <c r="J446" s="14"/>
      <c r="K446" s="14"/>
      <c r="L446" s="14"/>
      <c r="M446" s="14"/>
      <c r="N446" s="14"/>
      <c r="P446" s="14"/>
      <c r="Q446" s="14"/>
      <c r="R446" s="14"/>
    </row>
    <row r="447" spans="1:18">
      <c r="A447" s="9">
        <v>76103</v>
      </c>
      <c r="B447" s="14" t="s">
        <v>334</v>
      </c>
      <c r="C447" s="14" t="s">
        <v>154</v>
      </c>
      <c r="D447" s="14" t="s">
        <v>1121</v>
      </c>
      <c r="E447" s="15" t="str">
        <f>HYPERLINK("https://stat100.ameba.jp/tnk47/ratio20/illustrations/card/ill_76103_shibuaji03.jpg?201811-1-RELEASE-raid-377", "■")</f>
        <v>■</v>
      </c>
      <c r="F447" s="14" t="s">
        <v>1122</v>
      </c>
      <c r="G447" s="14">
        <v>90574</v>
      </c>
      <c r="H447" s="14">
        <v>84214</v>
      </c>
      <c r="I447" s="14">
        <v>21</v>
      </c>
      <c r="J447" s="14" t="s">
        <v>143</v>
      </c>
      <c r="K447" s="14" t="s">
        <v>1123</v>
      </c>
      <c r="L447" s="14" t="s">
        <v>1124</v>
      </c>
      <c r="M447" s="14" t="s">
        <v>9158</v>
      </c>
      <c r="N447" s="14" t="s">
        <v>9158</v>
      </c>
      <c r="O447" s="14" t="s">
        <v>9158</v>
      </c>
      <c r="P447" s="14" t="s">
        <v>9158</v>
      </c>
      <c r="Q447" s="14" t="s">
        <v>9158</v>
      </c>
      <c r="R447" s="14"/>
    </row>
    <row r="448" spans="1:18">
      <c r="A448" s="9">
        <v>76113</v>
      </c>
      <c r="B448" s="14" t="s">
        <v>334</v>
      </c>
      <c r="C448" s="14" t="s">
        <v>158</v>
      </c>
      <c r="D448" s="14" t="s">
        <v>1125</v>
      </c>
      <c r="E448" s="15" t="str">
        <f>HYPERLINK("https://stat100.ameba.jp/tnk47/ratio20/illustrations/card/ill_76113_jannudaruku03.jpg?201811-1-RELEASE-raid-377", "■")</f>
        <v>■</v>
      </c>
      <c r="F448" s="14" t="s">
        <v>1126</v>
      </c>
      <c r="G448" s="14">
        <v>90574</v>
      </c>
      <c r="H448" s="14">
        <v>84214</v>
      </c>
      <c r="I448" s="14">
        <v>21</v>
      </c>
      <c r="J448" s="14" t="s">
        <v>10</v>
      </c>
      <c r="K448" s="14" t="s">
        <v>1127</v>
      </c>
      <c r="L448" s="14" t="s">
        <v>1128</v>
      </c>
      <c r="M448" s="14" t="s">
        <v>9158</v>
      </c>
      <c r="N448" s="14" t="s">
        <v>9158</v>
      </c>
      <c r="O448" s="14" t="s">
        <v>9158</v>
      </c>
      <c r="P448" s="14" t="s">
        <v>9158</v>
      </c>
      <c r="Q448" s="14" t="s">
        <v>9158</v>
      </c>
      <c r="R448" s="14"/>
    </row>
    <row r="449" spans="1:18">
      <c r="A449" s="9">
        <v>34823</v>
      </c>
      <c r="B449" s="14" t="s">
        <v>334</v>
      </c>
      <c r="C449" s="14" t="s">
        <v>158</v>
      </c>
      <c r="D449" s="14" t="s">
        <v>1129</v>
      </c>
      <c r="E449" s="15" t="str">
        <f>HYPERLINK("https://stat100.ameba.jp/tnk47/ratio20/illustrations/card/ill_34823_kentokatsurakogoro03.jpg?201811-1-RELEASE-raid-377", "■")</f>
        <v>■</v>
      </c>
      <c r="F449" s="14" t="s">
        <v>1130</v>
      </c>
      <c r="G449" s="14">
        <v>75254</v>
      </c>
      <c r="H449" s="14">
        <v>80942</v>
      </c>
      <c r="I449" s="14">
        <v>21</v>
      </c>
      <c r="J449" s="14" t="s">
        <v>10</v>
      </c>
      <c r="K449" s="14" t="s">
        <v>1131</v>
      </c>
      <c r="L449" s="14" t="s">
        <v>1132</v>
      </c>
      <c r="M449" s="14" t="s">
        <v>9158</v>
      </c>
      <c r="N449" s="14" t="s">
        <v>9158</v>
      </c>
      <c r="O449" s="14" t="s">
        <v>9158</v>
      </c>
      <c r="P449" s="14" t="s">
        <v>9158</v>
      </c>
      <c r="Q449" s="14" t="s">
        <v>9158</v>
      </c>
      <c r="R449" s="14"/>
    </row>
    <row r="450" spans="1:18">
      <c r="A450" s="9">
        <v>67383</v>
      </c>
      <c r="B450" s="14" t="s">
        <v>334</v>
      </c>
      <c r="C450" s="14" t="s">
        <v>191</v>
      </c>
      <c r="D450" s="14" t="s">
        <v>1133</v>
      </c>
      <c r="E450" s="15" t="str">
        <f>HYPERLINK("https://stat100.ameba.jp/tnk47/ratio20/illustrations/card/ill_67383_jobayamakawatomiko03.jpg?201811-1-RELEASE-raid-377", "■")</f>
        <v>■</v>
      </c>
      <c r="F450" s="14" t="s">
        <v>1134</v>
      </c>
      <c r="G450" s="14">
        <v>82027</v>
      </c>
      <c r="H450" s="14">
        <v>76237</v>
      </c>
      <c r="I450" s="14">
        <v>21</v>
      </c>
      <c r="J450" s="14" t="s">
        <v>10</v>
      </c>
      <c r="K450" s="14" t="s">
        <v>1135</v>
      </c>
      <c r="L450" s="14" t="s">
        <v>1136</v>
      </c>
      <c r="M450" s="14" t="s">
        <v>9158</v>
      </c>
      <c r="N450" s="14" t="s">
        <v>9158</v>
      </c>
      <c r="O450" s="14" t="s">
        <v>9158</v>
      </c>
      <c r="P450" s="14" t="s">
        <v>9158</v>
      </c>
      <c r="Q450" s="14" t="s">
        <v>9158</v>
      </c>
      <c r="R450" s="14"/>
    </row>
    <row r="451" spans="1:18">
      <c r="B451" s="14"/>
      <c r="C451" s="14"/>
      <c r="D451" s="14"/>
      <c r="F451" s="14"/>
      <c r="G451" s="14"/>
      <c r="H451" s="14"/>
      <c r="I451" s="14"/>
      <c r="J451" s="14"/>
      <c r="K451" s="14"/>
      <c r="L451" s="14"/>
      <c r="M451" s="14"/>
      <c r="N451" s="14"/>
      <c r="P451" s="14"/>
      <c r="Q451" s="14"/>
      <c r="R451" s="14"/>
    </row>
    <row r="452" spans="1:18">
      <c r="A452" s="14" t="s">
        <v>135</v>
      </c>
      <c r="D452" s="14"/>
      <c r="F452" s="14"/>
      <c r="G452" s="14"/>
      <c r="H452" s="14"/>
      <c r="I452" s="14"/>
      <c r="J452" s="14"/>
      <c r="K452" s="14"/>
      <c r="L452" s="14"/>
      <c r="M452" s="14"/>
      <c r="N452" s="14"/>
      <c r="P452" s="14"/>
      <c r="Q452" s="14"/>
      <c r="R452" s="14"/>
    </row>
    <row r="453" spans="1:18">
      <c r="A453" s="14" t="s">
        <v>1137</v>
      </c>
      <c r="B453" s="14"/>
      <c r="C453" s="14"/>
      <c r="D453" s="14"/>
      <c r="F453" s="14"/>
      <c r="G453" s="14"/>
      <c r="H453" s="14"/>
      <c r="I453" s="14"/>
      <c r="J453" s="14"/>
      <c r="K453" s="14"/>
      <c r="L453" s="14"/>
      <c r="M453" s="14"/>
      <c r="N453" s="14"/>
      <c r="P453" s="14"/>
      <c r="Q453" s="14"/>
      <c r="R453" s="14"/>
    </row>
    <row r="454" spans="1:18">
      <c r="A454" s="9" t="s">
        <v>5848</v>
      </c>
      <c r="B454" s="14" t="s">
        <v>330</v>
      </c>
      <c r="C454" s="14" t="s">
        <v>200</v>
      </c>
      <c r="D454" s="14" t="s">
        <v>1138</v>
      </c>
      <c r="E454" s="15" t="str">
        <f>HYPERLINK("https://stat100.ameba.jp/tnk47/ratio20/illustrations/card/ill_72963_0_amenohanayomehiguchiichiyo03.jpg?201811-1-RELEASE-raid-377", "■")</f>
        <v>■</v>
      </c>
      <c r="F454" s="14" t="s">
        <v>1139</v>
      </c>
      <c r="G454" s="14">
        <v>147404</v>
      </c>
      <c r="H454" s="14">
        <v>137060</v>
      </c>
      <c r="I454" s="14">
        <v>22</v>
      </c>
      <c r="J454" s="14" t="s">
        <v>10</v>
      </c>
      <c r="K454" s="14" t="s">
        <v>1140</v>
      </c>
      <c r="L454" s="14" t="s">
        <v>1141</v>
      </c>
      <c r="M454" s="14" t="s">
        <v>9158</v>
      </c>
      <c r="N454" s="14" t="s">
        <v>9158</v>
      </c>
      <c r="O454" s="9" t="s">
        <v>3162</v>
      </c>
      <c r="P454" s="14" t="s">
        <v>3163</v>
      </c>
      <c r="Q454" s="14">
        <v>1</v>
      </c>
      <c r="R454" s="14"/>
    </row>
    <row r="455" spans="1:18">
      <c r="A455" s="9">
        <v>59423</v>
      </c>
      <c r="B455" s="14" t="s">
        <v>334</v>
      </c>
      <c r="C455" s="14" t="s">
        <v>209</v>
      </c>
      <c r="D455" s="14" t="s">
        <v>1142</v>
      </c>
      <c r="E455" s="15" t="str">
        <f>HYPERLINK("https://stat100.ameba.jp/tnk47/ratio20/illustrations/card/ill_59423_yuishosetsu03.jpg?201811-1-RELEASE-raid-377", "■")</f>
        <v>■</v>
      </c>
      <c r="F455" s="14" t="s">
        <v>1143</v>
      </c>
      <c r="G455" s="14">
        <v>90770</v>
      </c>
      <c r="H455" s="14">
        <v>65764</v>
      </c>
      <c r="I455" s="14">
        <v>20</v>
      </c>
      <c r="J455" s="14" t="s">
        <v>16</v>
      </c>
      <c r="K455" s="14" t="s">
        <v>1144</v>
      </c>
      <c r="L455" s="14" t="s">
        <v>1149</v>
      </c>
      <c r="M455" s="14" t="s">
        <v>9158</v>
      </c>
      <c r="N455" s="14" t="s">
        <v>9158</v>
      </c>
      <c r="O455" s="9" t="s">
        <v>3414</v>
      </c>
      <c r="P455" s="14" t="s">
        <v>13122</v>
      </c>
      <c r="Q455" s="14">
        <v>1</v>
      </c>
      <c r="R455" s="14"/>
    </row>
    <row r="456" spans="1:18">
      <c r="A456" s="9">
        <v>60763</v>
      </c>
      <c r="B456" s="14" t="s">
        <v>334</v>
      </c>
      <c r="C456" s="14" t="s">
        <v>203</v>
      </c>
      <c r="D456" s="14" t="s">
        <v>1145</v>
      </c>
      <c r="E456" s="15" t="str">
        <f>HYPERLINK("https://stat100.ameba.jp/tnk47/ratio20/illustrations/card/ill_60763_fujiwarakagekiyo03.jpg?201811-1-RELEASE-raid-377", "■")</f>
        <v>■</v>
      </c>
      <c r="F456" s="14" t="s">
        <v>1146</v>
      </c>
      <c r="G456" s="14">
        <v>96380</v>
      </c>
      <c r="H456" s="14">
        <v>133062</v>
      </c>
      <c r="I456" s="14">
        <v>20</v>
      </c>
      <c r="J456" s="14" t="s">
        <v>143</v>
      </c>
      <c r="K456" s="14" t="s">
        <v>1147</v>
      </c>
      <c r="L456" s="14" t="s">
        <v>1148</v>
      </c>
      <c r="M456" s="14" t="s">
        <v>9158</v>
      </c>
      <c r="N456" s="14" t="s">
        <v>9158</v>
      </c>
      <c r="O456" s="17" t="s">
        <v>10064</v>
      </c>
      <c r="P456" s="14" t="s">
        <v>13150</v>
      </c>
      <c r="Q456" s="14">
        <v>1</v>
      </c>
      <c r="R456" s="14"/>
    </row>
    <row r="457" spans="1:18">
      <c r="A457" s="9">
        <v>56443</v>
      </c>
      <c r="B457" s="14" t="s">
        <v>334</v>
      </c>
      <c r="C457" s="14" t="s">
        <v>205</v>
      </c>
      <c r="D457" s="14" t="s">
        <v>1150</v>
      </c>
      <c r="E457" s="15" t="str">
        <f>HYPERLINK("https://stat100.ameba.jp/tnk47/ratio20/illustrations/card/ill_56443_poppukurisumasuizumonokuni03.jpg?201811-1-RELEASE-raid-377", "■")</f>
        <v>■</v>
      </c>
      <c r="F457" s="14" t="s">
        <v>1151</v>
      </c>
      <c r="G457" s="14">
        <v>71672</v>
      </c>
      <c r="H457" s="14">
        <v>77088</v>
      </c>
      <c r="I457" s="14">
        <v>20</v>
      </c>
      <c r="J457" s="14" t="s">
        <v>10</v>
      </c>
      <c r="K457" s="14" t="s">
        <v>1152</v>
      </c>
      <c r="L457" s="14" t="s">
        <v>1153</v>
      </c>
      <c r="M457" s="14" t="s">
        <v>9158</v>
      </c>
      <c r="N457" s="14" t="s">
        <v>9158</v>
      </c>
      <c r="O457" s="9" t="s">
        <v>3661</v>
      </c>
      <c r="P457" s="14" t="s">
        <v>3662</v>
      </c>
      <c r="Q457" s="14">
        <v>1</v>
      </c>
      <c r="R457" s="14"/>
    </row>
    <row r="458" spans="1:18">
      <c r="B458" s="14"/>
      <c r="C458" s="14"/>
      <c r="D458" s="14"/>
      <c r="F458" s="14"/>
      <c r="G458" s="14"/>
      <c r="H458" s="14"/>
      <c r="I458" s="14"/>
      <c r="J458" s="14"/>
      <c r="K458" s="14"/>
      <c r="L458" s="14"/>
      <c r="M458" s="14"/>
      <c r="N458" s="14"/>
      <c r="P458" s="14"/>
      <c r="Q458" s="14"/>
      <c r="R458" s="14"/>
    </row>
    <row r="459" spans="1:18">
      <c r="A459" s="14" t="s">
        <v>13326</v>
      </c>
      <c r="D459" s="14"/>
      <c r="F459" s="14"/>
      <c r="G459" s="14"/>
      <c r="H459" s="14"/>
      <c r="I459" s="14"/>
      <c r="J459" s="14"/>
      <c r="K459" s="14"/>
      <c r="L459" s="14"/>
      <c r="M459" s="14"/>
      <c r="N459" s="14"/>
      <c r="P459" s="14"/>
      <c r="Q459" s="14"/>
      <c r="R459" s="14"/>
    </row>
    <row r="460" spans="1:18">
      <c r="A460" s="14" t="s">
        <v>1154</v>
      </c>
      <c r="B460" s="14"/>
      <c r="C460" s="14"/>
      <c r="D460" s="14"/>
      <c r="F460" s="14"/>
      <c r="G460" s="14"/>
      <c r="H460" s="14"/>
      <c r="I460" s="14"/>
      <c r="J460" s="14"/>
      <c r="K460" s="14"/>
      <c r="L460" s="14"/>
      <c r="M460" s="14"/>
      <c r="N460" s="14"/>
      <c r="P460" s="14"/>
      <c r="Q460" s="14"/>
      <c r="R460" s="14"/>
    </row>
    <row r="461" spans="1:18">
      <c r="A461" s="9">
        <v>69293</v>
      </c>
      <c r="B461" s="14" t="s">
        <v>334</v>
      </c>
      <c r="C461" s="14" t="s">
        <v>185</v>
      </c>
      <c r="D461" s="14" t="s">
        <v>1155</v>
      </c>
      <c r="E461" s="15" t="str">
        <f>HYPERLINK("https://stat100.ameba.jp/tnk47/ratio20/illustrations/card/ill_69293_merukishiru03.jpg?201811-1-RELEASE-raid-377x", "■")</f>
        <v>■</v>
      </c>
      <c r="F461" s="14" t="s">
        <v>1156</v>
      </c>
      <c r="G461" s="14">
        <v>103384</v>
      </c>
      <c r="H461" s="14">
        <v>96121</v>
      </c>
      <c r="I461" s="14">
        <v>21</v>
      </c>
      <c r="J461" s="14" t="s">
        <v>414</v>
      </c>
      <c r="K461" s="14" t="s">
        <v>1170</v>
      </c>
      <c r="L461" s="14" t="s">
        <v>9902</v>
      </c>
      <c r="M461" s="14" t="s">
        <v>13151</v>
      </c>
      <c r="N461" s="14" t="s">
        <v>251</v>
      </c>
      <c r="O461" s="14" t="s">
        <v>9158</v>
      </c>
      <c r="P461" s="14" t="s">
        <v>9158</v>
      </c>
      <c r="Q461" s="14" t="s">
        <v>9158</v>
      </c>
      <c r="R461" s="14"/>
    </row>
    <row r="462" spans="1:18">
      <c r="A462" s="9">
        <v>69292</v>
      </c>
      <c r="B462" s="14" t="s">
        <v>334</v>
      </c>
      <c r="C462" s="14" t="s">
        <v>185</v>
      </c>
      <c r="D462" s="14" t="s">
        <v>1155</v>
      </c>
      <c r="E462" s="15" t="str">
        <f>HYPERLINK("https://stat100.ameba.jp/tnk47/ratio20/illustrations/card/ill_69292_merukishiru02.jpg?201811-1-RELEASE-raid-377x", "■")</f>
        <v>■</v>
      </c>
      <c r="F462" s="14" t="s">
        <v>1156</v>
      </c>
      <c r="G462" s="14">
        <v>86423</v>
      </c>
      <c r="H462" s="14">
        <v>79610</v>
      </c>
      <c r="I462" s="14">
        <v>21</v>
      </c>
      <c r="J462" s="14" t="s">
        <v>414</v>
      </c>
      <c r="K462" s="14" t="s">
        <v>1170</v>
      </c>
      <c r="L462" s="14" t="s">
        <v>9902</v>
      </c>
      <c r="M462" s="14" t="s">
        <v>13151</v>
      </c>
      <c r="N462" s="14" t="s">
        <v>251</v>
      </c>
      <c r="O462" s="14" t="s">
        <v>9158</v>
      </c>
      <c r="P462" s="14" t="s">
        <v>9158</v>
      </c>
      <c r="Q462" s="14" t="s">
        <v>9158</v>
      </c>
      <c r="R462" s="14"/>
    </row>
    <row r="463" spans="1:18">
      <c r="A463" s="9">
        <v>69291</v>
      </c>
      <c r="B463" s="14" t="s">
        <v>334</v>
      </c>
      <c r="C463" s="14" t="s">
        <v>185</v>
      </c>
      <c r="D463" s="14" t="s">
        <v>1155</v>
      </c>
      <c r="E463" s="15" t="str">
        <f>HYPERLINK("https://stat100.ameba.jp/tnk47/ratio20/illustrations/card/ill_69291_merukishiru01.jpg?201811-1-RELEASE-raid-377x", "■")</f>
        <v>■</v>
      </c>
      <c r="F463" s="14" t="s">
        <v>1156</v>
      </c>
      <c r="G463" s="14">
        <v>65982</v>
      </c>
      <c r="H463" s="14">
        <v>61425</v>
      </c>
      <c r="I463" s="14">
        <v>21</v>
      </c>
      <c r="J463" s="14" t="s">
        <v>414</v>
      </c>
      <c r="K463" s="14" t="s">
        <v>1170</v>
      </c>
      <c r="L463" s="14" t="s">
        <v>9902</v>
      </c>
      <c r="M463" s="14" t="s">
        <v>13151</v>
      </c>
      <c r="N463" s="14" t="s">
        <v>251</v>
      </c>
      <c r="O463" s="14" t="s">
        <v>9158</v>
      </c>
      <c r="P463" s="14" t="s">
        <v>9158</v>
      </c>
      <c r="Q463" s="14" t="s">
        <v>9158</v>
      </c>
      <c r="R463" s="14"/>
    </row>
    <row r="464" spans="1:18">
      <c r="A464" s="9">
        <v>69303</v>
      </c>
      <c r="B464" s="14" t="s">
        <v>334</v>
      </c>
      <c r="C464" s="14" t="s">
        <v>200</v>
      </c>
      <c r="D464" s="14" t="s">
        <v>4309</v>
      </c>
      <c r="E464" s="15" t="str">
        <f>HYPERLINK("https://stat100.ameba.jp/tnk47/ratio20/illustrations/card/ill_69303_torumushaito03.jpg?201811-1-RELEASE-raid-377x", "■")</f>
        <v>■</v>
      </c>
      <c r="F464" s="14" t="s">
        <v>1162</v>
      </c>
      <c r="G464" s="14">
        <v>103384</v>
      </c>
      <c r="H464" s="14">
        <v>96121</v>
      </c>
      <c r="I464" s="14">
        <v>21</v>
      </c>
      <c r="J464" s="14" t="s">
        <v>369</v>
      </c>
      <c r="K464" s="14" t="s">
        <v>1171</v>
      </c>
      <c r="L464" s="14" t="s">
        <v>9903</v>
      </c>
      <c r="M464" s="14" t="s">
        <v>13151</v>
      </c>
      <c r="N464" s="14" t="s">
        <v>251</v>
      </c>
      <c r="O464" s="14" t="s">
        <v>9158</v>
      </c>
      <c r="P464" s="14" t="s">
        <v>9158</v>
      </c>
      <c r="Q464" s="14" t="s">
        <v>9158</v>
      </c>
      <c r="R464" s="14"/>
    </row>
    <row r="465" spans="1:18">
      <c r="A465" s="9">
        <v>69313</v>
      </c>
      <c r="B465" s="14" t="s">
        <v>334</v>
      </c>
      <c r="C465" s="14" t="s">
        <v>191</v>
      </c>
      <c r="D465" s="14" t="s">
        <v>1158</v>
      </c>
      <c r="E465" s="15" t="str">
        <f>HYPERLINK("https://stat100.ameba.jp/tnk47/ratio20/illustrations/card/ill_69313_teishutoriya03.jpg?201811-1-RELEASE-raid-377x", "■")</f>
        <v>■</v>
      </c>
      <c r="F465" s="14" t="s">
        <v>1163</v>
      </c>
      <c r="G465" s="14">
        <v>96121</v>
      </c>
      <c r="H465" s="14">
        <v>103384</v>
      </c>
      <c r="I465" s="14">
        <v>21</v>
      </c>
      <c r="J465" s="14" t="s">
        <v>401</v>
      </c>
      <c r="K465" s="14" t="s">
        <v>1172</v>
      </c>
      <c r="L465" s="14" t="s">
        <v>9904</v>
      </c>
      <c r="M465" s="14" t="s">
        <v>13151</v>
      </c>
      <c r="N465" s="14" t="s">
        <v>251</v>
      </c>
      <c r="O465" s="14" t="s">
        <v>9158</v>
      </c>
      <c r="P465" s="14" t="s">
        <v>9158</v>
      </c>
      <c r="Q465" s="14" t="s">
        <v>9158</v>
      </c>
      <c r="R465" s="14"/>
    </row>
    <row r="466" spans="1:18">
      <c r="A466" s="9">
        <v>69323</v>
      </c>
      <c r="B466" s="14" t="s">
        <v>334</v>
      </c>
      <c r="C466" s="14" t="s">
        <v>165</v>
      </c>
      <c r="D466" s="14" t="s">
        <v>1159</v>
      </c>
      <c r="E466" s="15" t="str">
        <f>HYPERLINK("https://stat100.ameba.jp/tnk47/ratio20/illustrations/card/ill_69323_fujitsubonomiya03.jpg?201811-1-RELEASE-raid-377x", "■")</f>
        <v>■</v>
      </c>
      <c r="F466" s="14" t="s">
        <v>1164</v>
      </c>
      <c r="G466" s="14">
        <v>96121</v>
      </c>
      <c r="H466" s="14">
        <v>103384</v>
      </c>
      <c r="I466" s="14">
        <v>21</v>
      </c>
      <c r="J466" s="14" t="s">
        <v>1167</v>
      </c>
      <c r="K466" s="14" t="s">
        <v>1173</v>
      </c>
      <c r="L466" s="14" t="s">
        <v>9905</v>
      </c>
      <c r="M466" s="14" t="s">
        <v>13151</v>
      </c>
      <c r="N466" s="14" t="s">
        <v>251</v>
      </c>
      <c r="O466" s="14" t="s">
        <v>9158</v>
      </c>
      <c r="P466" s="14" t="s">
        <v>9158</v>
      </c>
      <c r="Q466" s="14" t="s">
        <v>9158</v>
      </c>
      <c r="R466" s="14"/>
    </row>
    <row r="467" spans="1:18">
      <c r="A467" s="9">
        <v>69333</v>
      </c>
      <c r="B467" s="14" t="s">
        <v>334</v>
      </c>
      <c r="C467" s="14" t="s">
        <v>205</v>
      </c>
      <c r="D467" s="14" t="s">
        <v>1160</v>
      </c>
      <c r="E467" s="15" t="str">
        <f>HYPERLINK("https://stat100.ameba.jp/tnk47/ratio20/illustrations/card/ill_69333_mefuisutofueresu03.jpg?201811-1-RELEASE-raid-377x", "■")</f>
        <v>■</v>
      </c>
      <c r="F467" s="14" t="s">
        <v>1165</v>
      </c>
      <c r="G467" s="14">
        <v>103384</v>
      </c>
      <c r="H467" s="14">
        <v>96121</v>
      </c>
      <c r="I467" s="14">
        <v>21</v>
      </c>
      <c r="J467" s="14" t="s">
        <v>1168</v>
      </c>
      <c r="K467" s="14" t="s">
        <v>1174</v>
      </c>
      <c r="L467" s="14" t="s">
        <v>9906</v>
      </c>
      <c r="M467" s="14" t="s">
        <v>13151</v>
      </c>
      <c r="N467" s="14" t="s">
        <v>251</v>
      </c>
      <c r="O467" s="14" t="s">
        <v>9158</v>
      </c>
      <c r="P467" s="14" t="s">
        <v>9158</v>
      </c>
      <c r="Q467" s="14" t="s">
        <v>9158</v>
      </c>
      <c r="R467" s="14"/>
    </row>
    <row r="468" spans="1:18">
      <c r="A468" s="9">
        <v>69343</v>
      </c>
      <c r="B468" s="14" t="s">
        <v>334</v>
      </c>
      <c r="C468" s="14" t="s">
        <v>206</v>
      </c>
      <c r="D468" s="14" t="s">
        <v>1161</v>
      </c>
      <c r="E468" s="15" t="str">
        <f>HYPERLINK("https://stat100.ameba.jp/tnk47/ratio20/illustrations/card/ill_69343_teikinnofuire03.jpg?201811-1-RELEASE-raid-377x", "■")</f>
        <v>■</v>
      </c>
      <c r="F468" s="14" t="s">
        <v>1166</v>
      </c>
      <c r="G468" s="14">
        <v>96121</v>
      </c>
      <c r="H468" s="14">
        <v>103384</v>
      </c>
      <c r="I468" s="14">
        <v>21</v>
      </c>
      <c r="J468" s="14" t="s">
        <v>1169</v>
      </c>
      <c r="K468" s="14" t="s">
        <v>1175</v>
      </c>
      <c r="L468" s="14" t="s">
        <v>9907</v>
      </c>
      <c r="M468" s="14" t="s">
        <v>13151</v>
      </c>
      <c r="N468" s="14" t="s">
        <v>251</v>
      </c>
      <c r="O468" s="14" t="s">
        <v>9158</v>
      </c>
      <c r="P468" s="14" t="s">
        <v>9158</v>
      </c>
      <c r="Q468" s="14" t="s">
        <v>9158</v>
      </c>
      <c r="R468" s="14"/>
    </row>
    <row r="469" spans="1:18">
      <c r="B469" s="14"/>
      <c r="C469" s="14"/>
      <c r="D469" s="14"/>
      <c r="F469" s="14"/>
      <c r="G469" s="14"/>
      <c r="H469" s="14"/>
      <c r="I469" s="14"/>
      <c r="J469" s="14"/>
      <c r="K469" s="14"/>
      <c r="L469" s="14"/>
      <c r="M469" s="14"/>
      <c r="N469" s="14"/>
      <c r="P469" s="14"/>
      <c r="Q469" s="14"/>
      <c r="R469" s="14"/>
    </row>
    <row r="470" spans="1:18">
      <c r="A470" s="14" t="s">
        <v>1176</v>
      </c>
      <c r="D470" s="14"/>
      <c r="F470" s="14"/>
      <c r="G470" s="14"/>
      <c r="H470" s="14"/>
      <c r="I470" s="14"/>
      <c r="J470" s="14"/>
      <c r="K470" s="14"/>
      <c r="L470" s="14"/>
      <c r="M470" s="14"/>
      <c r="N470" s="14"/>
      <c r="P470" s="14"/>
      <c r="Q470" s="14"/>
      <c r="R470" s="14"/>
    </row>
    <row r="471" spans="1:18">
      <c r="A471" s="14" t="s">
        <v>1177</v>
      </c>
      <c r="C471" s="14"/>
      <c r="D471" s="14"/>
      <c r="F471" s="14"/>
      <c r="G471" s="14"/>
      <c r="H471" s="14"/>
      <c r="I471" s="14"/>
      <c r="J471" s="14"/>
      <c r="K471" s="14"/>
      <c r="L471" s="14"/>
      <c r="M471" s="14"/>
      <c r="N471" s="14"/>
      <c r="P471" s="14"/>
      <c r="Q471" s="14"/>
      <c r="R471" s="14"/>
    </row>
    <row r="472" spans="1:18">
      <c r="A472" s="9" t="s">
        <v>5604</v>
      </c>
      <c r="B472" s="14" t="s">
        <v>330</v>
      </c>
      <c r="C472" s="14" t="s">
        <v>206</v>
      </c>
      <c r="D472" s="14" t="s">
        <v>51</v>
      </c>
      <c r="E472" s="15" t="str">
        <f>HYPERLINK("https://stat100.ameba.jp/tnk47/ratio20/illustrations/card/ill_47263_0_oukyuuatsuhime03.jpg?201811-1-RELEASE-raid-377x", "■")</f>
        <v>■</v>
      </c>
      <c r="F472" s="14" t="s">
        <v>1178</v>
      </c>
      <c r="G472" s="14">
        <v>131930</v>
      </c>
      <c r="H472" s="14">
        <v>117196</v>
      </c>
      <c r="I472" s="14">
        <v>21</v>
      </c>
      <c r="J472" s="14" t="s">
        <v>77</v>
      </c>
      <c r="K472" s="14" t="s">
        <v>1179</v>
      </c>
      <c r="L472" s="14" t="s">
        <v>1180</v>
      </c>
      <c r="M472" s="14" t="s">
        <v>9158</v>
      </c>
      <c r="N472" s="14" t="s">
        <v>9158</v>
      </c>
      <c r="O472" s="14" t="s">
        <v>9158</v>
      </c>
      <c r="P472" s="14" t="s">
        <v>9158</v>
      </c>
      <c r="Q472" s="14" t="s">
        <v>9158</v>
      </c>
      <c r="R472" s="14"/>
    </row>
    <row r="473" spans="1:18">
      <c r="A473" s="9" t="s">
        <v>5897</v>
      </c>
      <c r="B473" s="14" t="s">
        <v>330</v>
      </c>
      <c r="C473" s="14" t="s">
        <v>200</v>
      </c>
      <c r="D473" s="14" t="s">
        <v>53</v>
      </c>
      <c r="E473" s="15" t="str">
        <f>HYPERLINK("https://stat100.ameba.jp/tnk47/ratio20/illustrations/card/ill_40913_0_reigyokudensetsufusehime03.jpg?201811-1-RELEASE-raid-377x", "■")</f>
        <v>■</v>
      </c>
      <c r="F473" s="14" t="s">
        <v>955</v>
      </c>
      <c r="G473" s="14">
        <v>115096</v>
      </c>
      <c r="H473" s="14">
        <v>122892</v>
      </c>
      <c r="I473" s="14">
        <v>21</v>
      </c>
      <c r="J473" s="14" t="s">
        <v>38</v>
      </c>
      <c r="K473" s="14" t="s">
        <v>956</v>
      </c>
      <c r="L473" s="14" t="s">
        <v>957</v>
      </c>
      <c r="M473" s="14" t="s">
        <v>9158</v>
      </c>
      <c r="N473" s="14" t="s">
        <v>9158</v>
      </c>
      <c r="O473" s="14" t="s">
        <v>9158</v>
      </c>
      <c r="P473" s="14" t="s">
        <v>9158</v>
      </c>
      <c r="Q473" s="14" t="s">
        <v>9158</v>
      </c>
      <c r="R473" s="14"/>
    </row>
    <row r="474" spans="1:18">
      <c r="A474" s="9" t="s">
        <v>5616</v>
      </c>
      <c r="B474" s="14" t="s">
        <v>330</v>
      </c>
      <c r="C474" s="14" t="s">
        <v>185</v>
      </c>
      <c r="D474" s="14" t="s">
        <v>54</v>
      </c>
      <c r="E474" s="15" t="str">
        <f>HYPERLINK("https://stat100.ameba.jp/tnk47/ratio20/illustrations/card/ill_44253_0_dokuganryudatemasamune03.jpg?201811-1-RELEASE-raid-377x", "■")</f>
        <v>■</v>
      </c>
      <c r="F474" s="14" t="s">
        <v>1181</v>
      </c>
      <c r="G474" s="14">
        <v>115096</v>
      </c>
      <c r="H474" s="14">
        <v>122892</v>
      </c>
      <c r="I474" s="14">
        <v>21</v>
      </c>
      <c r="J474" s="14" t="s">
        <v>143</v>
      </c>
      <c r="K474" s="14" t="s">
        <v>1182</v>
      </c>
      <c r="L474" s="14" t="s">
        <v>1183</v>
      </c>
      <c r="M474" s="14" t="s">
        <v>9158</v>
      </c>
      <c r="N474" s="14" t="s">
        <v>9158</v>
      </c>
      <c r="O474" s="14" t="s">
        <v>9158</v>
      </c>
      <c r="P474" s="14" t="s">
        <v>9158</v>
      </c>
      <c r="Q474" s="14" t="s">
        <v>9158</v>
      </c>
      <c r="R474" s="14"/>
    </row>
    <row r="475" spans="1:18">
      <c r="A475" s="9">
        <v>76703</v>
      </c>
      <c r="B475" s="14" t="s">
        <v>334</v>
      </c>
      <c r="C475" s="14" t="s">
        <v>185</v>
      </c>
      <c r="D475" s="14" t="s">
        <v>1105</v>
      </c>
      <c r="E475" s="15" t="str">
        <f>HYPERLINK("https://stat100.ameba.jp/tnk47/ratio20/illustrations/card/ill_76703_dondonyaki03.jpg?201811-1-RELEASE-raid-377x", "■")</f>
        <v>■</v>
      </c>
      <c r="F475" s="14" t="s">
        <v>1106</v>
      </c>
      <c r="G475" s="14">
        <v>99173</v>
      </c>
      <c r="H475" s="14">
        <v>92220</v>
      </c>
      <c r="I475" s="14">
        <v>21</v>
      </c>
      <c r="J475" s="14" t="s">
        <v>104</v>
      </c>
      <c r="K475" s="14" t="s">
        <v>1107</v>
      </c>
      <c r="L475" s="14" t="s">
        <v>1108</v>
      </c>
      <c r="M475" s="14" t="s">
        <v>9158</v>
      </c>
      <c r="N475" s="14" t="s">
        <v>9158</v>
      </c>
      <c r="O475" s="14" t="s">
        <v>9158</v>
      </c>
      <c r="P475" s="14" t="s">
        <v>9158</v>
      </c>
      <c r="Q475" s="14" t="s">
        <v>9158</v>
      </c>
      <c r="R475" s="14"/>
    </row>
    <row r="476" spans="1:18">
      <c r="A476" s="9">
        <v>76713</v>
      </c>
      <c r="B476" s="14" t="s">
        <v>15</v>
      </c>
      <c r="C476" s="14" t="s">
        <v>165</v>
      </c>
      <c r="D476" s="14" t="s">
        <v>1109</v>
      </c>
      <c r="E476" s="15" t="str">
        <f>HYPERLINK("https://stat100.ameba.jp/tnk47/ratio20/illustrations/card/ill_76713_byofuoinhoodo03.jpg?201811-1-RELEASE-raid-377x", "■")</f>
        <v>■</v>
      </c>
      <c r="F476" s="14" t="s">
        <v>1110</v>
      </c>
      <c r="G476" s="14">
        <v>48390</v>
      </c>
      <c r="H476" s="14">
        <v>53352</v>
      </c>
      <c r="I476" s="14">
        <v>18</v>
      </c>
      <c r="J476" s="14" t="s">
        <v>26</v>
      </c>
      <c r="K476" s="14" t="s">
        <v>1111</v>
      </c>
      <c r="L476" s="14" t="s">
        <v>977</v>
      </c>
      <c r="M476" s="14" t="s">
        <v>9158</v>
      </c>
      <c r="N476" s="14" t="s">
        <v>9158</v>
      </c>
      <c r="O476" s="14" t="s">
        <v>9158</v>
      </c>
      <c r="P476" s="14" t="s">
        <v>9158</v>
      </c>
      <c r="Q476" s="14" t="s">
        <v>9158</v>
      </c>
      <c r="R476" s="14"/>
    </row>
    <row r="477" spans="1:18">
      <c r="A477" s="9">
        <v>76723</v>
      </c>
      <c r="B477" s="14" t="s">
        <v>22</v>
      </c>
      <c r="C477" s="14" t="s">
        <v>206</v>
      </c>
      <c r="D477" s="14" t="s">
        <v>1112</v>
      </c>
      <c r="E477" s="15" t="str">
        <f>HYPERLINK("https://stat100.ameba.jp/tnk47/ratio20/illustrations/card/ill_76723_hyakuninisshusugawaranomichizane03.jpg?201811-1-RELEASE-raid-377x", "■")</f>
        <v>■</v>
      </c>
      <c r="F477" s="14" t="s">
        <v>1113</v>
      </c>
      <c r="G477" s="14">
        <v>33266</v>
      </c>
      <c r="H477" s="14">
        <v>27660</v>
      </c>
      <c r="I477" s="14">
        <v>16</v>
      </c>
      <c r="J477" s="14" t="s">
        <v>16</v>
      </c>
      <c r="K477" s="14" t="s">
        <v>1114</v>
      </c>
      <c r="L477" s="14" t="s">
        <v>1115</v>
      </c>
      <c r="M477" s="14" t="s">
        <v>9158</v>
      </c>
      <c r="N477" s="14" t="s">
        <v>9158</v>
      </c>
      <c r="O477" s="14" t="s">
        <v>9158</v>
      </c>
      <c r="P477" s="14" t="s">
        <v>9158</v>
      </c>
      <c r="Q477" s="14" t="s">
        <v>9158</v>
      </c>
      <c r="R477" s="14"/>
    </row>
    <row r="478" spans="1:18">
      <c r="A478" s="9">
        <v>76733</v>
      </c>
      <c r="B478" s="14" t="s">
        <v>30</v>
      </c>
      <c r="C478" s="14" t="s">
        <v>1100</v>
      </c>
      <c r="D478" s="14" t="s">
        <v>1116</v>
      </c>
      <c r="E478" s="15" t="str">
        <f>HYPERLINK("https://stat100.ameba.jp/tnk47/ratio20/illustrations/card/ill_76733_houjouujiyasu03.jpg?201811-1-RELEASE-raid-377x", "■")</f>
        <v>■</v>
      </c>
      <c r="F478" s="14" t="s">
        <v>1117</v>
      </c>
      <c r="G478" s="14">
        <v>16914</v>
      </c>
      <c r="H478" s="14">
        <v>20140</v>
      </c>
      <c r="I478" s="14">
        <v>16</v>
      </c>
      <c r="J478" s="14" t="s">
        <v>143</v>
      </c>
      <c r="K478" s="14" t="s">
        <v>1118</v>
      </c>
      <c r="L478" s="14" t="s">
        <v>1119</v>
      </c>
      <c r="M478" s="14" t="s">
        <v>9158</v>
      </c>
      <c r="N478" s="14" t="s">
        <v>9158</v>
      </c>
      <c r="O478" s="14" t="s">
        <v>9158</v>
      </c>
      <c r="P478" s="14" t="s">
        <v>9158</v>
      </c>
      <c r="Q478" s="14" t="s">
        <v>9158</v>
      </c>
      <c r="R478" s="14"/>
    </row>
    <row r="479" spans="1:18">
      <c r="B479" s="14"/>
      <c r="C479" s="14"/>
      <c r="D479" s="14"/>
      <c r="F479" s="14"/>
      <c r="G479" s="14"/>
      <c r="H479" s="14"/>
      <c r="I479" s="14"/>
      <c r="J479" s="14"/>
      <c r="K479" s="14"/>
      <c r="L479" s="14"/>
      <c r="M479" s="14"/>
      <c r="N479" s="14"/>
      <c r="P479" s="14"/>
      <c r="Q479" s="14"/>
      <c r="R479" s="14"/>
    </row>
    <row r="480" spans="1:18">
      <c r="A480" s="14" t="s">
        <v>114</v>
      </c>
      <c r="D480" s="14"/>
      <c r="F480" s="14"/>
      <c r="G480" s="14"/>
      <c r="H480" s="14"/>
      <c r="I480" s="14"/>
      <c r="J480" s="14"/>
      <c r="K480" s="14"/>
      <c r="L480" s="14"/>
      <c r="M480" s="14"/>
      <c r="N480" s="14"/>
      <c r="P480" s="14"/>
      <c r="Q480" s="14"/>
      <c r="R480" s="14"/>
    </row>
    <row r="481" spans="1:18">
      <c r="A481" s="14" t="s">
        <v>1184</v>
      </c>
      <c r="C481" s="14"/>
      <c r="D481" s="14"/>
      <c r="F481" s="14"/>
      <c r="G481" s="14"/>
      <c r="H481" s="14"/>
      <c r="I481" s="14"/>
      <c r="J481" s="14"/>
      <c r="K481" s="14"/>
      <c r="L481" s="14"/>
      <c r="M481" s="14"/>
      <c r="N481" s="14"/>
      <c r="P481" s="14"/>
      <c r="Q481" s="14"/>
      <c r="R481" s="14"/>
    </row>
    <row r="482" spans="1:18">
      <c r="A482" s="9" t="s">
        <v>5899</v>
      </c>
      <c r="B482" s="14" t="s">
        <v>330</v>
      </c>
      <c r="C482" s="14" t="s">
        <v>205</v>
      </c>
      <c r="D482" s="14" t="s">
        <v>1185</v>
      </c>
      <c r="E482" s="15" t="str">
        <f>HYPERLINK("https://stat100.ameba.jp/tnk47/ratio20/illustrations/card/ill_73773_0_umibirakiinugamigyobu03.jpg?201811-1-RELEASE-raid-377x", "■")</f>
        <v>■</v>
      </c>
      <c r="F482" s="14" t="s">
        <v>935</v>
      </c>
      <c r="G482" s="14">
        <v>147514</v>
      </c>
      <c r="H482" s="14">
        <v>158667</v>
      </c>
      <c r="I482" s="14">
        <v>17</v>
      </c>
      <c r="J482" s="14" t="s">
        <v>73</v>
      </c>
      <c r="K482" s="14" t="s">
        <v>1186</v>
      </c>
      <c r="L482" s="14" t="s">
        <v>1187</v>
      </c>
      <c r="M482" s="14" t="s">
        <v>9158</v>
      </c>
      <c r="N482" s="14" t="s">
        <v>9158</v>
      </c>
      <c r="O482" s="9" t="s">
        <v>2978</v>
      </c>
      <c r="P482" s="14" t="s">
        <v>2979</v>
      </c>
      <c r="Q482" s="14">
        <v>2</v>
      </c>
      <c r="R482" s="14"/>
    </row>
    <row r="483" spans="1:18">
      <c r="A483" s="9" t="s">
        <v>5618</v>
      </c>
      <c r="B483" s="14" t="s">
        <v>330</v>
      </c>
      <c r="C483" s="14" t="s">
        <v>200</v>
      </c>
      <c r="D483" s="14" t="s">
        <v>83</v>
      </c>
      <c r="E483" s="15" t="str">
        <f>HYPERLINK("https://stat100.ameba.jp/tnk47/ratio20/illustrations/card/ill_63173_0_minazukikonakaiteruko03.jpg?201811-1-RELEASE-raid-377x", "■")</f>
        <v>■</v>
      </c>
      <c r="F483" s="14" t="s">
        <v>1188</v>
      </c>
      <c r="G483" s="14">
        <v>147552</v>
      </c>
      <c r="H483" s="14">
        <v>158684</v>
      </c>
      <c r="I483" s="14">
        <v>17</v>
      </c>
      <c r="J483" s="14" t="s">
        <v>143</v>
      </c>
      <c r="K483" s="14" t="s">
        <v>1189</v>
      </c>
      <c r="L483" s="14" t="s">
        <v>1190</v>
      </c>
      <c r="M483" s="14" t="s">
        <v>9158</v>
      </c>
      <c r="N483" s="14" t="s">
        <v>9158</v>
      </c>
      <c r="O483" s="9" t="s">
        <v>3328</v>
      </c>
      <c r="P483" s="14" t="s">
        <v>3329</v>
      </c>
      <c r="Q483" s="14">
        <v>1</v>
      </c>
      <c r="R483" s="14"/>
    </row>
    <row r="484" spans="1:18">
      <c r="A484" s="9">
        <v>76783</v>
      </c>
      <c r="B484" s="14" t="s">
        <v>334</v>
      </c>
      <c r="C484" s="14" t="s">
        <v>203</v>
      </c>
      <c r="D484" s="14" t="s">
        <v>1191</v>
      </c>
      <c r="E484" s="15" t="str">
        <f>HYPERLINK("https://stat100.ameba.jp/tnk47/ratio20/illustrations/card/ill_76783_monsutaakashirejina03.jpg?201811-1-RELEASE-raid-377x", "■")</f>
        <v>■</v>
      </c>
      <c r="F484" s="14" t="s">
        <v>1192</v>
      </c>
      <c r="G484" s="14">
        <v>75984</v>
      </c>
      <c r="H484" s="14">
        <v>104890</v>
      </c>
      <c r="I484" s="14">
        <v>24</v>
      </c>
      <c r="J484" s="14" t="s">
        <v>10</v>
      </c>
      <c r="K484" s="14" t="s">
        <v>1193</v>
      </c>
      <c r="L484" s="14" t="s">
        <v>1194</v>
      </c>
      <c r="M484" s="14" t="s">
        <v>9158</v>
      </c>
      <c r="N484" s="14" t="s">
        <v>9158</v>
      </c>
      <c r="O484" s="9" t="s">
        <v>2717</v>
      </c>
      <c r="P484" s="14" t="s">
        <v>13123</v>
      </c>
      <c r="Q484" s="14">
        <v>1</v>
      </c>
      <c r="R484" s="14"/>
    </row>
    <row r="485" spans="1:18">
      <c r="A485" s="9">
        <v>67643</v>
      </c>
      <c r="B485" s="14" t="s">
        <v>334</v>
      </c>
      <c r="C485" s="14" t="s">
        <v>209</v>
      </c>
      <c r="D485" s="14" t="s">
        <v>1195</v>
      </c>
      <c r="E485" s="15" t="str">
        <f>HYPERLINK("https://stat100.ameba.jp/tnk47/ratio20/illustrations/card/ill_67643_edokarakamichan03.jpg?201811-1-RELEASE-raid-377x", "■")</f>
        <v>■</v>
      </c>
      <c r="F485" s="14" t="s">
        <v>1196</v>
      </c>
      <c r="G485" s="14">
        <v>99171</v>
      </c>
      <c r="H485" s="14">
        <v>92220</v>
      </c>
      <c r="I485" s="14">
        <v>21</v>
      </c>
      <c r="J485" s="14" t="s">
        <v>26</v>
      </c>
      <c r="K485" s="14" t="s">
        <v>1197</v>
      </c>
      <c r="L485" s="14" t="s">
        <v>1198</v>
      </c>
      <c r="M485" s="14" t="s">
        <v>9158</v>
      </c>
      <c r="N485" s="14" t="s">
        <v>9158</v>
      </c>
      <c r="O485" s="9" t="s">
        <v>3037</v>
      </c>
      <c r="P485" s="14" t="s">
        <v>13128</v>
      </c>
      <c r="Q485" s="14">
        <v>1</v>
      </c>
      <c r="R485" s="14"/>
    </row>
    <row r="486" spans="1:18">
      <c r="A486" s="9">
        <v>61353</v>
      </c>
      <c r="B486" s="14" t="s">
        <v>334</v>
      </c>
      <c r="C486" s="14" t="s">
        <v>203</v>
      </c>
      <c r="D486" s="14" t="s">
        <v>1199</v>
      </c>
      <c r="E486" s="15" t="str">
        <f>HYPERLINK("https://stat100.ameba.jp/tnk47/ratio20/illustrations/card/ill_61353_shinkidohimiko03.jpg?201811-1-RELEASE-raid-377x", "■")</f>
        <v>■</v>
      </c>
      <c r="F486" s="14" t="s">
        <v>1200</v>
      </c>
      <c r="G486" s="14">
        <v>91779</v>
      </c>
      <c r="H486" s="14">
        <v>66487</v>
      </c>
      <c r="I486" s="14">
        <v>21</v>
      </c>
      <c r="J486" s="14" t="s">
        <v>10</v>
      </c>
      <c r="K486" s="14" t="s">
        <v>1201</v>
      </c>
      <c r="L486" s="14" t="s">
        <v>1202</v>
      </c>
      <c r="M486" s="14" t="s">
        <v>9158</v>
      </c>
      <c r="N486" s="14" t="s">
        <v>9158</v>
      </c>
      <c r="O486" s="14" t="s">
        <v>9158</v>
      </c>
      <c r="P486" s="14" t="s">
        <v>9158</v>
      </c>
      <c r="Q486" s="14" t="s">
        <v>9158</v>
      </c>
      <c r="R486" s="14"/>
    </row>
    <row r="487" spans="1:18">
      <c r="A487" s="9">
        <v>51353</v>
      </c>
      <c r="B487" s="14" t="s">
        <v>334</v>
      </c>
      <c r="C487" s="14" t="s">
        <v>200</v>
      </c>
      <c r="D487" s="14" t="s">
        <v>1203</v>
      </c>
      <c r="E487" s="15" t="str">
        <f>HYPERLINK("https://stat100.ameba.jp/tnk47/ratio20/illustrations/card/ill_51353_toriimototada03.jpg?201811-1-RELEASE-raid-377x", "■")</f>
        <v>■</v>
      </c>
      <c r="F487" s="14" t="s">
        <v>1204</v>
      </c>
      <c r="G487" s="14">
        <v>101199</v>
      </c>
      <c r="H487" s="14">
        <v>139716</v>
      </c>
      <c r="I487" s="14">
        <v>21</v>
      </c>
      <c r="J487" s="14" t="s">
        <v>143</v>
      </c>
      <c r="K487" s="14" t="s">
        <v>1205</v>
      </c>
      <c r="L487" s="14" t="s">
        <v>1148</v>
      </c>
      <c r="M487" s="14" t="s">
        <v>9158</v>
      </c>
      <c r="N487" s="14" t="s">
        <v>9158</v>
      </c>
      <c r="O487" s="14" t="s">
        <v>9158</v>
      </c>
      <c r="P487" s="14" t="s">
        <v>9158</v>
      </c>
      <c r="Q487" s="14" t="s">
        <v>9158</v>
      </c>
      <c r="R487" s="14"/>
    </row>
    <row r="488" spans="1:18">
      <c r="A488" s="9">
        <v>73913</v>
      </c>
      <c r="B488" s="14" t="s">
        <v>334</v>
      </c>
      <c r="C488" s="14" t="s">
        <v>154</v>
      </c>
      <c r="D488" s="14" t="s">
        <v>1206</v>
      </c>
      <c r="E488" s="15" t="str">
        <f>HYPERLINK("https://stat100.ameba.jp/tnk47/ratio20/illustrations/card/ill_73913_atsutajingu03.jpg?201811-1-RELEASE-raid-377x", "■")</f>
        <v>■</v>
      </c>
      <c r="F488" s="14" t="s">
        <v>1207</v>
      </c>
      <c r="G488" s="14">
        <v>69430</v>
      </c>
      <c r="H488" s="14">
        <v>95859</v>
      </c>
      <c r="I488" s="14">
        <v>21</v>
      </c>
      <c r="J488" s="14" t="s">
        <v>44</v>
      </c>
      <c r="K488" s="14" t="s">
        <v>1208</v>
      </c>
      <c r="L488" s="14" t="s">
        <v>1209</v>
      </c>
      <c r="M488" s="14" t="s">
        <v>9158</v>
      </c>
      <c r="N488" s="14" t="s">
        <v>9158</v>
      </c>
      <c r="O488" s="17" t="s">
        <v>10053</v>
      </c>
      <c r="P488" s="14" t="s">
        <v>2822</v>
      </c>
      <c r="Q488" s="14">
        <v>1</v>
      </c>
      <c r="R488" s="14"/>
    </row>
    <row r="489" spans="1:18">
      <c r="A489" s="9">
        <v>63273</v>
      </c>
      <c r="B489" s="14" t="s">
        <v>334</v>
      </c>
      <c r="C489" s="14" t="s">
        <v>158</v>
      </c>
      <c r="D489" s="14" t="s">
        <v>1210</v>
      </c>
      <c r="E489" s="15" t="str">
        <f>HYPERLINK("https://stat100.ameba.jp/tnk47/ratio20/illustrations/card/ill_63273_tsukushimai03.jpg?201811-1-RELEASE-raid-377x", "■")</f>
        <v>■</v>
      </c>
      <c r="F489" s="14" t="s">
        <v>1211</v>
      </c>
      <c r="G489" s="14">
        <v>107166</v>
      </c>
      <c r="H489" s="14">
        <v>77618</v>
      </c>
      <c r="I489" s="14">
        <v>21</v>
      </c>
      <c r="J489" s="14" t="s">
        <v>38</v>
      </c>
      <c r="K489" s="14" t="s">
        <v>1212</v>
      </c>
      <c r="L489" s="14" t="s">
        <v>1213</v>
      </c>
      <c r="M489" s="14" t="s">
        <v>9158</v>
      </c>
      <c r="N489" s="14" t="s">
        <v>9158</v>
      </c>
      <c r="O489" s="9" t="s">
        <v>3642</v>
      </c>
      <c r="P489" s="14" t="s">
        <v>13128</v>
      </c>
      <c r="Q489" s="14">
        <v>1</v>
      </c>
      <c r="R489" s="14"/>
    </row>
    <row r="490" spans="1:18">
      <c r="B490" s="14"/>
      <c r="C490" s="14"/>
      <c r="D490" s="14"/>
      <c r="F490" s="14"/>
      <c r="G490" s="14"/>
      <c r="H490" s="14"/>
      <c r="I490" s="14"/>
      <c r="J490" s="14"/>
      <c r="K490" s="14"/>
      <c r="L490" s="14"/>
      <c r="M490" s="14"/>
      <c r="N490" s="14"/>
      <c r="P490" s="14"/>
      <c r="Q490" s="14"/>
      <c r="R490" s="14"/>
    </row>
    <row r="491" spans="1:18">
      <c r="A491" s="14" t="s">
        <v>1214</v>
      </c>
      <c r="D491" s="14"/>
      <c r="F491" s="14"/>
      <c r="G491" s="14"/>
      <c r="H491" s="14"/>
      <c r="I491" s="14"/>
      <c r="J491" s="14"/>
      <c r="K491" s="14"/>
      <c r="L491" s="14"/>
      <c r="M491" s="14"/>
      <c r="N491" s="14"/>
      <c r="P491" s="14"/>
      <c r="Q491" s="14"/>
      <c r="R491" s="14"/>
    </row>
    <row r="492" spans="1:18">
      <c r="A492" s="14" t="s">
        <v>1215</v>
      </c>
      <c r="C492" s="14"/>
      <c r="D492" s="14"/>
      <c r="F492" s="14"/>
      <c r="G492" s="14"/>
      <c r="H492" s="14"/>
      <c r="I492" s="14"/>
      <c r="J492" s="14"/>
      <c r="K492" s="14"/>
      <c r="L492" s="14"/>
      <c r="M492" s="14"/>
      <c r="N492" s="14"/>
      <c r="P492" s="14"/>
      <c r="Q492" s="14"/>
      <c r="R492" s="14"/>
    </row>
    <row r="493" spans="1:18">
      <c r="A493" s="9">
        <v>76073</v>
      </c>
      <c r="B493" s="14" t="s">
        <v>334</v>
      </c>
      <c r="C493" s="14" t="s">
        <v>154</v>
      </c>
      <c r="D493" s="14" t="s">
        <v>1216</v>
      </c>
      <c r="E493" s="15" t="str">
        <f>HYPERLINK("https://stat100.ameba.jp/tnk47/ratio20/illustrations/card/ill_76073_kokidogatapatobatora03.jpg?201811-1-RELEASE-raid-377x", "■")</f>
        <v>■</v>
      </c>
      <c r="F493" s="14" t="s">
        <v>1217</v>
      </c>
      <c r="G493" s="14">
        <v>134446</v>
      </c>
      <c r="H493" s="14">
        <v>125008</v>
      </c>
      <c r="I493" s="14">
        <v>22</v>
      </c>
      <c r="J493" s="14" t="s">
        <v>143</v>
      </c>
      <c r="K493" s="14" t="s">
        <v>1218</v>
      </c>
      <c r="L493" s="14" t="s">
        <v>1219</v>
      </c>
      <c r="M493" s="14" t="s">
        <v>9158</v>
      </c>
      <c r="N493" s="14" t="s">
        <v>9158</v>
      </c>
      <c r="O493" s="14" t="s">
        <v>9158</v>
      </c>
      <c r="P493" s="14" t="s">
        <v>9158</v>
      </c>
      <c r="Q493" s="14" t="s">
        <v>9158</v>
      </c>
      <c r="R493" s="14"/>
    </row>
    <row r="494" spans="1:18">
      <c r="A494" s="9">
        <v>76083</v>
      </c>
      <c r="B494" s="14" t="s">
        <v>334</v>
      </c>
      <c r="C494" s="14" t="s">
        <v>158</v>
      </c>
      <c r="D494" s="14" t="s">
        <v>1220</v>
      </c>
      <c r="E494" s="15" t="str">
        <f>HYPERLINK("https://stat100.ameba.jp/tnk47/ratio20/illustrations/card/ill_76083_dokutamedeikku03.jpg?201811-1-RELEASE-raid-377x", "■")</f>
        <v>■</v>
      </c>
      <c r="F494" s="14" t="s">
        <v>1221</v>
      </c>
      <c r="G494" s="14">
        <v>96610</v>
      </c>
      <c r="H494" s="14">
        <v>103888</v>
      </c>
      <c r="I494" s="14">
        <v>22</v>
      </c>
      <c r="J494" s="14" t="s">
        <v>16</v>
      </c>
      <c r="K494" s="14" t="s">
        <v>1222</v>
      </c>
      <c r="L494" s="14" t="s">
        <v>1223</v>
      </c>
      <c r="M494" s="14" t="s">
        <v>9158</v>
      </c>
      <c r="N494" s="14" t="s">
        <v>9158</v>
      </c>
      <c r="O494" s="14" t="s">
        <v>9158</v>
      </c>
      <c r="P494" s="14" t="s">
        <v>9158</v>
      </c>
      <c r="Q494" s="14" t="s">
        <v>9158</v>
      </c>
      <c r="R494" s="14"/>
    </row>
    <row r="495" spans="1:18">
      <c r="A495" s="9">
        <v>76093</v>
      </c>
      <c r="B495" s="14" t="s">
        <v>334</v>
      </c>
      <c r="C495" s="14" t="s">
        <v>202</v>
      </c>
      <c r="D495" s="14" t="s">
        <v>1224</v>
      </c>
      <c r="E495" s="15" t="str">
        <f>HYPERLINK("https://stat100.ameba.jp/tnk47/ratio20/illustrations/card/ill_76093_fuaiafuaita03.jpg?201811-1-RELEASE-raid-377x", "■")</f>
        <v>■</v>
      </c>
      <c r="F495" s="14" t="s">
        <v>1225</v>
      </c>
      <c r="G495" s="14">
        <v>96610</v>
      </c>
      <c r="H495" s="14">
        <v>103888</v>
      </c>
      <c r="I495" s="14">
        <v>22</v>
      </c>
      <c r="J495" s="14" t="s">
        <v>10</v>
      </c>
      <c r="K495" s="14" t="s">
        <v>1226</v>
      </c>
      <c r="L495" s="14" t="s">
        <v>1227</v>
      </c>
      <c r="M495" s="14" t="s">
        <v>9158</v>
      </c>
      <c r="N495" s="14" t="s">
        <v>9158</v>
      </c>
      <c r="O495" s="14" t="s">
        <v>9158</v>
      </c>
      <c r="P495" s="14" t="s">
        <v>9158</v>
      </c>
      <c r="Q495" s="14" t="s">
        <v>9158</v>
      </c>
      <c r="R495" s="14"/>
    </row>
    <row r="496" spans="1:18">
      <c r="A496" s="9">
        <v>74413</v>
      </c>
      <c r="B496" s="14" t="s">
        <v>334</v>
      </c>
      <c r="C496" s="14" t="s">
        <v>202</v>
      </c>
      <c r="D496" s="14" t="s">
        <v>36</v>
      </c>
      <c r="E496" s="15" t="str">
        <f>HYPERLINK("https://stat100.ameba.jp/tnk47/ratio20/illustrations/card/ill_74413_mutekisenkanyamato03.jpg?201811-1-RELEASE-raid-377x", "■")</f>
        <v>■</v>
      </c>
      <c r="F496" s="14" t="s">
        <v>37</v>
      </c>
      <c r="G496" s="14">
        <v>129556</v>
      </c>
      <c r="H496" s="14">
        <v>120470</v>
      </c>
      <c r="I496" s="14">
        <v>22</v>
      </c>
      <c r="J496" s="14" t="s">
        <v>38</v>
      </c>
      <c r="K496" s="14" t="s">
        <v>39</v>
      </c>
      <c r="L496" s="14" t="s">
        <v>40</v>
      </c>
      <c r="M496" s="14" t="s">
        <v>9158</v>
      </c>
      <c r="N496" s="14" t="s">
        <v>9158</v>
      </c>
      <c r="O496" s="14" t="s">
        <v>9158</v>
      </c>
      <c r="P496" s="14" t="s">
        <v>9158</v>
      </c>
      <c r="Q496" s="14" t="s">
        <v>9158</v>
      </c>
      <c r="R496" s="14"/>
    </row>
    <row r="497" spans="1:18">
      <c r="A497" s="9">
        <v>74373</v>
      </c>
      <c r="B497" s="14" t="s">
        <v>334</v>
      </c>
      <c r="C497" s="14" t="s">
        <v>203</v>
      </c>
      <c r="D497" s="14" t="s">
        <v>42</v>
      </c>
      <c r="E497" s="15" t="str">
        <f>HYPERLINK("https://stat100.ameba.jp/tnk47/ratio20/illustrations/card/ill_74373_shirasaginomaihimejijou03.jpg?201811-1-RELEASE-raid-377x", "■")</f>
        <v>■</v>
      </c>
      <c r="F497" s="14" t="s">
        <v>43</v>
      </c>
      <c r="G497" s="14">
        <v>86778</v>
      </c>
      <c r="H497" s="14">
        <v>80708</v>
      </c>
      <c r="I497" s="14">
        <v>22</v>
      </c>
      <c r="J497" s="14" t="s">
        <v>44</v>
      </c>
      <c r="K497" s="14" t="s">
        <v>45</v>
      </c>
      <c r="L497" s="14" t="s">
        <v>46</v>
      </c>
      <c r="M497" s="14" t="s">
        <v>9158</v>
      </c>
      <c r="N497" s="14" t="s">
        <v>9158</v>
      </c>
      <c r="O497" s="14" t="s">
        <v>9158</v>
      </c>
      <c r="P497" s="14" t="s">
        <v>9158</v>
      </c>
      <c r="Q497" s="14" t="s">
        <v>9158</v>
      </c>
      <c r="R497" s="14"/>
    </row>
    <row r="498" spans="1:18">
      <c r="A498" s="9">
        <v>74363</v>
      </c>
      <c r="B498" s="14" t="s">
        <v>334</v>
      </c>
      <c r="C498" s="14" t="s">
        <v>209</v>
      </c>
      <c r="D498" s="14" t="s">
        <v>48</v>
      </c>
      <c r="E498" s="15" t="str">
        <f>HYPERLINK("https://stat100.ameba.jp/tnk47/ratio20/illustrations/card/ill_74363_gantorikuren03.jpg?201811-1-RELEASE-raid-377x", "■")</f>
        <v>■</v>
      </c>
      <c r="F498" s="14" t="s">
        <v>49</v>
      </c>
      <c r="G498" s="14">
        <v>82978</v>
      </c>
      <c r="H498" s="14">
        <v>89222</v>
      </c>
      <c r="I498" s="14">
        <v>22</v>
      </c>
      <c r="J498" s="14" t="s">
        <v>26</v>
      </c>
      <c r="K498" s="14" t="s">
        <v>50</v>
      </c>
      <c r="L498" s="14" t="s">
        <v>12</v>
      </c>
      <c r="M498" s="14" t="s">
        <v>9158</v>
      </c>
      <c r="N498" s="14" t="s">
        <v>9158</v>
      </c>
      <c r="O498" s="14" t="s">
        <v>9158</v>
      </c>
      <c r="P498" s="14" t="s">
        <v>9158</v>
      </c>
      <c r="Q498" s="14" t="s">
        <v>9158</v>
      </c>
      <c r="R498" s="14"/>
    </row>
    <row r="499" spans="1:18">
      <c r="B499" s="14"/>
      <c r="C499" s="14"/>
      <c r="D499" s="14"/>
      <c r="F499" s="14"/>
      <c r="G499" s="14"/>
      <c r="H499" s="14"/>
      <c r="I499" s="14"/>
      <c r="J499" s="14"/>
      <c r="K499" s="14"/>
      <c r="L499" s="14"/>
      <c r="M499" s="14"/>
      <c r="N499" s="14"/>
      <c r="P499" s="14"/>
      <c r="Q499" s="14"/>
      <c r="R499" s="14"/>
    </row>
    <row r="500" spans="1:18">
      <c r="A500" s="14" t="s">
        <v>195</v>
      </c>
      <c r="D500" s="14"/>
      <c r="F500" s="14"/>
      <c r="G500" s="14"/>
      <c r="H500" s="14"/>
      <c r="I500" s="14"/>
      <c r="J500" s="14"/>
      <c r="K500" s="14"/>
      <c r="L500" s="14"/>
      <c r="M500" s="14"/>
      <c r="N500" s="14"/>
      <c r="P500" s="14"/>
      <c r="Q500" s="14"/>
      <c r="R500" s="14"/>
    </row>
    <row r="501" spans="1:18">
      <c r="A501" s="14" t="s">
        <v>1228</v>
      </c>
      <c r="C501" s="14"/>
      <c r="D501" s="14"/>
      <c r="F501" s="14"/>
      <c r="G501" s="14"/>
      <c r="H501" s="14"/>
      <c r="I501" s="14"/>
      <c r="J501" s="14"/>
      <c r="K501" s="14"/>
      <c r="L501" s="14"/>
      <c r="M501" s="14"/>
      <c r="N501" s="14"/>
      <c r="P501" s="14"/>
      <c r="Q501" s="14"/>
      <c r="R501" s="14"/>
    </row>
    <row r="502" spans="1:18">
      <c r="A502" s="9">
        <v>71013</v>
      </c>
      <c r="B502" s="14" t="s">
        <v>334</v>
      </c>
      <c r="C502" s="14" t="s">
        <v>154</v>
      </c>
      <c r="D502" s="14" t="s">
        <v>1229</v>
      </c>
      <c r="E502" s="15" t="str">
        <f>HYPERLINK("https://stat100.ameba.jp/tnk47/ratio20/illustrations/card/ill_71013_fujutsushisarashina03.jpg?201811-1-RELEASE-raid-377x", "■")</f>
        <v>■</v>
      </c>
      <c r="F502" s="14" t="s">
        <v>838</v>
      </c>
      <c r="G502" s="14">
        <v>84214</v>
      </c>
      <c r="H502" s="14">
        <v>90574</v>
      </c>
      <c r="I502" s="14">
        <v>21</v>
      </c>
      <c r="J502" s="14" t="s">
        <v>155</v>
      </c>
      <c r="K502" s="14" t="s">
        <v>1231</v>
      </c>
      <c r="L502" s="14" t="s">
        <v>13152</v>
      </c>
      <c r="M502" s="14" t="s">
        <v>9158</v>
      </c>
      <c r="N502" s="14" t="s">
        <v>9158</v>
      </c>
      <c r="O502" s="14" t="s">
        <v>9158</v>
      </c>
      <c r="P502" s="14" t="s">
        <v>9158</v>
      </c>
      <c r="Q502" s="14" t="s">
        <v>9158</v>
      </c>
      <c r="R502" s="14"/>
    </row>
    <row r="503" spans="1:18">
      <c r="A503" s="9">
        <v>71023</v>
      </c>
      <c r="B503" s="14" t="s">
        <v>334</v>
      </c>
      <c r="C503" s="14" t="s">
        <v>158</v>
      </c>
      <c r="D503" s="14" t="s">
        <v>1230</v>
      </c>
      <c r="E503" s="15" t="str">
        <f>HYPERLINK("https://stat100.ameba.jp/tnk47/ratio20/illustrations/card/ill_71023_ommyojiiroha03.jpg?201811-1-RELEASE-raid-377x", "■")</f>
        <v>■</v>
      </c>
      <c r="F503" s="14" t="s">
        <v>842</v>
      </c>
      <c r="G503" s="14">
        <v>84214</v>
      </c>
      <c r="H503" s="14">
        <v>90574</v>
      </c>
      <c r="I503" s="14">
        <v>21</v>
      </c>
      <c r="J503" s="14" t="s">
        <v>159</v>
      </c>
      <c r="K503" s="14" t="s">
        <v>1232</v>
      </c>
      <c r="L503" s="14" t="s">
        <v>1233</v>
      </c>
      <c r="M503" s="14" t="s">
        <v>9158</v>
      </c>
      <c r="N503" s="14" t="s">
        <v>9158</v>
      </c>
      <c r="O503" s="14" t="s">
        <v>9158</v>
      </c>
      <c r="P503" s="14" t="s">
        <v>9158</v>
      </c>
      <c r="Q503" s="14" t="s">
        <v>9158</v>
      </c>
      <c r="R503" s="14"/>
    </row>
    <row r="504" spans="1:18">
      <c r="A504" s="9">
        <v>46063</v>
      </c>
      <c r="B504" s="14" t="s">
        <v>334</v>
      </c>
      <c r="C504" s="14" t="s">
        <v>165</v>
      </c>
      <c r="D504" s="14" t="s">
        <v>166</v>
      </c>
      <c r="E504" s="15" t="str">
        <f>HYPERLINK("https://stat100.ameba.jp/tnk47/ratio20/illustrations/card/ill_46063_kongorikishizo03.jpg?201811-1-RELEASE-raid-377x", "■")</f>
        <v>■</v>
      </c>
      <c r="F504" s="14" t="s">
        <v>167</v>
      </c>
      <c r="G504" s="14">
        <v>91114</v>
      </c>
      <c r="H504" s="14">
        <v>65502</v>
      </c>
      <c r="I504" s="14">
        <v>21</v>
      </c>
      <c r="J504" s="14" t="s">
        <v>169</v>
      </c>
      <c r="K504" s="14" t="s">
        <v>1234</v>
      </c>
      <c r="L504" s="14" t="s">
        <v>13126</v>
      </c>
      <c r="M504" s="14" t="s">
        <v>9158</v>
      </c>
      <c r="N504" s="14" t="s">
        <v>9158</v>
      </c>
      <c r="O504" s="14" t="s">
        <v>9158</v>
      </c>
      <c r="P504" s="14" t="s">
        <v>9158</v>
      </c>
      <c r="Q504" s="14" t="s">
        <v>9158</v>
      </c>
      <c r="R504" s="14"/>
    </row>
    <row r="505" spans="1:18">
      <c r="A505" s="9">
        <v>30303</v>
      </c>
      <c r="B505" s="14" t="s">
        <v>334</v>
      </c>
      <c r="C505" s="14" t="s">
        <v>203</v>
      </c>
      <c r="D505" s="14" t="s">
        <v>1235</v>
      </c>
      <c r="E505" s="15" t="str">
        <f>HYPERLINK("https://stat100.ameba.jp/tnk47/ratio20/illustrations/card/ill_30303_makaihimiko03.jpg?201811-1-RELEASE-raid-377x", "■")</f>
        <v>■</v>
      </c>
      <c r="F505" s="14" t="s">
        <v>171</v>
      </c>
      <c r="G505" s="14">
        <v>80942</v>
      </c>
      <c r="H505" s="14">
        <v>75254</v>
      </c>
      <c r="I505" s="14">
        <v>21</v>
      </c>
      <c r="J505" s="14" t="s">
        <v>173</v>
      </c>
      <c r="K505" s="14" t="s">
        <v>172</v>
      </c>
      <c r="L505" s="14" t="s">
        <v>13127</v>
      </c>
      <c r="M505" s="14" t="s">
        <v>9158</v>
      </c>
      <c r="N505" s="14" t="s">
        <v>9158</v>
      </c>
      <c r="O505" s="14" t="s">
        <v>9158</v>
      </c>
      <c r="P505" s="14" t="s">
        <v>9158</v>
      </c>
      <c r="Q505" s="14" t="s">
        <v>9158</v>
      </c>
      <c r="R505" s="14"/>
    </row>
    <row r="506" spans="1:18">
      <c r="B506" s="14"/>
      <c r="C506" s="14"/>
      <c r="D506" s="14"/>
      <c r="F506" s="14"/>
      <c r="G506" s="14"/>
      <c r="H506" s="14"/>
      <c r="I506" s="14"/>
      <c r="J506" s="14"/>
      <c r="K506" s="14"/>
      <c r="L506" s="14"/>
      <c r="M506" s="14"/>
      <c r="N506" s="14"/>
      <c r="P506" s="14"/>
      <c r="Q506" s="14"/>
      <c r="R506" s="14"/>
    </row>
    <row r="507" spans="1:18">
      <c r="A507" s="14" t="s">
        <v>1236</v>
      </c>
      <c r="D507" s="14"/>
      <c r="F507" s="14"/>
      <c r="G507" s="14"/>
      <c r="H507" s="14"/>
      <c r="I507" s="14"/>
      <c r="J507" s="14"/>
      <c r="K507" s="14"/>
      <c r="L507" s="14"/>
      <c r="M507" s="14"/>
      <c r="N507" s="14"/>
      <c r="P507" s="14"/>
      <c r="Q507" s="14"/>
      <c r="R507" s="14"/>
    </row>
    <row r="508" spans="1:18">
      <c r="A508" s="14" t="s">
        <v>1237</v>
      </c>
      <c r="C508" s="14"/>
      <c r="D508" s="14"/>
      <c r="F508" s="14"/>
      <c r="G508" s="14"/>
      <c r="H508" s="14"/>
      <c r="I508" s="14"/>
      <c r="J508" s="14"/>
      <c r="K508" s="14"/>
      <c r="L508" s="14"/>
      <c r="M508" s="14"/>
      <c r="N508" s="14"/>
      <c r="P508" s="14"/>
      <c r="Q508" s="14"/>
      <c r="R508" s="14"/>
    </row>
    <row r="509" spans="1:18">
      <c r="A509" s="9" t="s">
        <v>9497</v>
      </c>
      <c r="B509" s="14" t="s">
        <v>117</v>
      </c>
      <c r="C509" s="14" t="s">
        <v>202</v>
      </c>
      <c r="D509" s="14" t="s">
        <v>1238</v>
      </c>
      <c r="E509" s="15" t="str">
        <f>HYPERLINK("https://stat100.ameba.jp/tnk47/ratio20/illustrations/card/ill_68523_0_jindaisankoshin03.jpg?201811-1-RELEASE-raid-377x", "■")</f>
        <v>■</v>
      </c>
      <c r="F509" s="14" t="s">
        <v>1239</v>
      </c>
      <c r="G509" s="14">
        <v>94274</v>
      </c>
      <c r="H509" s="14">
        <v>87622</v>
      </c>
      <c r="I509" s="14">
        <v>28</v>
      </c>
      <c r="J509" s="14" t="s">
        <v>38</v>
      </c>
      <c r="K509" s="14" t="s">
        <v>1240</v>
      </c>
      <c r="L509" s="14" t="s">
        <v>1241</v>
      </c>
      <c r="M509" s="14" t="s">
        <v>9158</v>
      </c>
      <c r="N509" s="14" t="s">
        <v>9158</v>
      </c>
      <c r="O509" s="14" t="s">
        <v>9158</v>
      </c>
      <c r="P509" s="14" t="s">
        <v>9158</v>
      </c>
      <c r="Q509" s="14" t="s">
        <v>9158</v>
      </c>
      <c r="R509" s="14"/>
    </row>
    <row r="510" spans="1:18">
      <c r="A510" s="9" t="s">
        <v>5724</v>
      </c>
      <c r="B510" s="14" t="s">
        <v>52</v>
      </c>
      <c r="C510" s="14" t="s">
        <v>185</v>
      </c>
      <c r="D510" s="14" t="s">
        <v>1242</v>
      </c>
      <c r="E510" s="15" t="str">
        <f>HYPERLINK("https://stat100.ameba.jp/tnk47/ratio20/illustrations/card/ill_66433_0_haroinfujishirogozen03.jpg?201811-1-RELEASE-raid-377x", "■")</f>
        <v>■</v>
      </c>
      <c r="F510" s="14" t="s">
        <v>1243</v>
      </c>
      <c r="G510" s="14">
        <v>110170</v>
      </c>
      <c r="H510" s="14">
        <v>118500</v>
      </c>
      <c r="I510" s="14">
        <v>18</v>
      </c>
      <c r="J510" s="14" t="s">
        <v>77</v>
      </c>
      <c r="K510" s="14" t="s">
        <v>1244</v>
      </c>
      <c r="L510" s="14" t="s">
        <v>1245</v>
      </c>
      <c r="M510" s="14" t="s">
        <v>9158</v>
      </c>
      <c r="N510" s="14" t="s">
        <v>9158</v>
      </c>
      <c r="O510" s="17" t="s">
        <v>10062</v>
      </c>
      <c r="P510" s="14" t="s">
        <v>3345</v>
      </c>
      <c r="Q510" s="14">
        <v>1</v>
      </c>
      <c r="R510" s="14"/>
    </row>
    <row r="511" spans="1:18">
      <c r="A511" s="9" t="s">
        <v>5725</v>
      </c>
      <c r="B511" s="14" t="s">
        <v>52</v>
      </c>
      <c r="C511" s="14" t="s">
        <v>206</v>
      </c>
      <c r="D511" s="14" t="s">
        <v>55</v>
      </c>
      <c r="E511" s="15" t="str">
        <f>HYPERLINK("https://stat100.ameba.jp/tnk47/ratio20/illustrations/card/ill_52693_0_sengokumibirakiyanagiharabyakuren03.jpg?201811-1-RELEASE-raid-377x", "■")</f>
        <v>■</v>
      </c>
      <c r="F511" s="14" t="s">
        <v>1246</v>
      </c>
      <c r="G511" s="14">
        <v>100454</v>
      </c>
      <c r="H511" s="14">
        <v>113082</v>
      </c>
      <c r="I511" s="14">
        <v>18</v>
      </c>
      <c r="J511" s="14" t="s">
        <v>16</v>
      </c>
      <c r="K511" s="14" t="s">
        <v>1247</v>
      </c>
      <c r="L511" s="14" t="s">
        <v>1248</v>
      </c>
      <c r="M511" s="14" t="s">
        <v>9158</v>
      </c>
      <c r="N511" s="14" t="s">
        <v>9158</v>
      </c>
      <c r="O511" s="9" t="s">
        <v>3303</v>
      </c>
      <c r="P511" s="14" t="s">
        <v>3304</v>
      </c>
      <c r="Q511" s="14">
        <v>1</v>
      </c>
      <c r="R511" s="14"/>
    </row>
    <row r="512" spans="1:18">
      <c r="A512" s="9">
        <v>65643</v>
      </c>
      <c r="B512" s="14" t="s">
        <v>0</v>
      </c>
      <c r="C512" s="14" t="s">
        <v>209</v>
      </c>
      <c r="D512" s="14" t="s">
        <v>1249</v>
      </c>
      <c r="E512" s="15" t="str">
        <f>HYPERLINK("https://stat100.ameba.jp/tnk47/ratio20/illustrations/card/ill_65643_shitompekamui03.jpg?201811-1-RELEASE-raid-377x", "■")</f>
        <v>■</v>
      </c>
      <c r="F512" s="14" t="s">
        <v>1250</v>
      </c>
      <c r="G512" s="14">
        <v>69430</v>
      </c>
      <c r="H512" s="14">
        <v>95859</v>
      </c>
      <c r="I512" s="14">
        <v>21</v>
      </c>
      <c r="J512" s="14" t="s">
        <v>44</v>
      </c>
      <c r="K512" s="14" t="s">
        <v>1251</v>
      </c>
      <c r="L512" s="14" t="s">
        <v>1252</v>
      </c>
      <c r="M512" s="14" t="s">
        <v>9158</v>
      </c>
      <c r="N512" s="14" t="s">
        <v>9158</v>
      </c>
      <c r="O512" s="9" t="s">
        <v>3244</v>
      </c>
      <c r="P512" s="14" t="s">
        <v>3245</v>
      </c>
      <c r="Q512" s="14">
        <v>1</v>
      </c>
      <c r="R512" s="14"/>
    </row>
    <row r="513" spans="1:18">
      <c r="A513" s="9">
        <v>63273</v>
      </c>
      <c r="B513" s="14" t="s">
        <v>0</v>
      </c>
      <c r="C513" s="14" t="s">
        <v>203</v>
      </c>
      <c r="D513" s="14" t="s">
        <v>1210</v>
      </c>
      <c r="E513" s="15" t="str">
        <f>HYPERLINK("https://stat100.ameba.jp/tnk47/ratio20/illustrations/card/ill_63273_tsukushimai03.jpg?201811-1-RELEASE-raid-377x", "■")</f>
        <v>■</v>
      </c>
      <c r="F513" s="14" t="s">
        <v>1211</v>
      </c>
      <c r="G513" s="14">
        <v>107166</v>
      </c>
      <c r="H513" s="14">
        <v>77618</v>
      </c>
      <c r="I513" s="14">
        <v>21</v>
      </c>
      <c r="J513" s="14" t="s">
        <v>38</v>
      </c>
      <c r="K513" s="14" t="s">
        <v>1212</v>
      </c>
      <c r="L513" s="14" t="s">
        <v>1213</v>
      </c>
      <c r="M513" s="14" t="s">
        <v>9158</v>
      </c>
      <c r="N513" s="14" t="s">
        <v>9158</v>
      </c>
      <c r="O513" s="9" t="s">
        <v>3642</v>
      </c>
      <c r="P513" s="14" t="s">
        <v>13128</v>
      </c>
      <c r="Q513" s="14">
        <v>1</v>
      </c>
      <c r="R513" s="14"/>
    </row>
    <row r="514" spans="1:18">
      <c r="A514" s="9">
        <v>66343</v>
      </c>
      <c r="B514" s="14" t="s">
        <v>0</v>
      </c>
      <c r="C514" s="14" t="s">
        <v>209</v>
      </c>
      <c r="D514" s="14" t="s">
        <v>1253</v>
      </c>
      <c r="E514" s="15" t="str">
        <f>HYPERLINK("https://stat100.ameba.jp/tnk47/ratio20/illustrations/card/ill_66343_shunobon03.jpg?201811-1-RELEASE-raid-377x", "■")</f>
        <v>■</v>
      </c>
      <c r="F514" s="14" t="s">
        <v>1254</v>
      </c>
      <c r="G514" s="14">
        <v>70942</v>
      </c>
      <c r="H514" s="14">
        <v>97925</v>
      </c>
      <c r="I514" s="14">
        <v>21</v>
      </c>
      <c r="J514" s="14" t="s">
        <v>73</v>
      </c>
      <c r="K514" s="14" t="s">
        <v>1255</v>
      </c>
      <c r="L514" s="14" t="s">
        <v>1256</v>
      </c>
      <c r="M514" s="14" t="s">
        <v>9158</v>
      </c>
      <c r="N514" s="14" t="s">
        <v>9158</v>
      </c>
      <c r="O514" s="14" t="s">
        <v>9158</v>
      </c>
      <c r="P514" s="14" t="s">
        <v>9158</v>
      </c>
      <c r="Q514" s="14" t="s">
        <v>9158</v>
      </c>
      <c r="R514" s="14"/>
    </row>
    <row r="515" spans="1:18">
      <c r="B515" s="14"/>
      <c r="C515" s="14"/>
      <c r="D515" s="14"/>
      <c r="F515" s="14"/>
      <c r="G515" s="14"/>
      <c r="H515" s="14"/>
      <c r="I515" s="14"/>
      <c r="J515" s="14"/>
      <c r="K515" s="14"/>
      <c r="L515" s="14"/>
      <c r="M515" s="14"/>
      <c r="N515" s="14"/>
      <c r="P515" s="14"/>
      <c r="Q515" s="14"/>
      <c r="R515" s="14"/>
    </row>
    <row r="516" spans="1:18">
      <c r="A516" s="14" t="s">
        <v>115</v>
      </c>
      <c r="D516" s="14"/>
      <c r="F516" s="14"/>
      <c r="G516" s="14"/>
      <c r="H516" s="14"/>
      <c r="I516" s="14"/>
      <c r="J516" s="14"/>
      <c r="K516" s="14"/>
      <c r="L516" s="14"/>
      <c r="M516" s="14"/>
      <c r="N516" s="14"/>
      <c r="P516" s="14"/>
      <c r="Q516" s="14"/>
      <c r="R516" s="14"/>
    </row>
    <row r="517" spans="1:18">
      <c r="A517" s="14" t="s">
        <v>1257</v>
      </c>
      <c r="C517" s="14"/>
      <c r="D517" s="14"/>
      <c r="F517" s="14"/>
      <c r="G517" s="14"/>
      <c r="H517" s="14"/>
      <c r="I517" s="14"/>
      <c r="J517" s="14"/>
      <c r="K517" s="14"/>
      <c r="L517" s="14"/>
      <c r="M517" s="14"/>
      <c r="N517" s="14"/>
      <c r="P517" s="14"/>
      <c r="Q517" s="14"/>
      <c r="R517" s="14"/>
    </row>
    <row r="518" spans="1:18">
      <c r="A518" s="9" t="s">
        <v>5611</v>
      </c>
      <c r="B518" s="14" t="s">
        <v>52</v>
      </c>
      <c r="C518" s="14" t="s">
        <v>185</v>
      </c>
      <c r="D518" s="14" t="s">
        <v>951</v>
      </c>
      <c r="E518" s="15" t="str">
        <f>HYPERLINK("https://stat100.ameba.jp/tnk47/ratio20/illustrations/card/ill_60633_0_harumaisentoin03.jpg?201811-1-RELEASE-raid-377x", "■")</f>
        <v>■</v>
      </c>
      <c r="F518" s="14" t="s">
        <v>952</v>
      </c>
      <c r="G518" s="14">
        <v>95371</v>
      </c>
      <c r="H518" s="14">
        <v>102590</v>
      </c>
      <c r="I518" s="14">
        <v>15</v>
      </c>
      <c r="J518" s="14" t="s">
        <v>38</v>
      </c>
      <c r="K518" s="14" t="s">
        <v>953</v>
      </c>
      <c r="L518" s="14" t="s">
        <v>954</v>
      </c>
      <c r="M518" s="14" t="s">
        <v>9158</v>
      </c>
      <c r="N518" s="14" t="s">
        <v>9158</v>
      </c>
      <c r="O518" s="9" t="s">
        <v>2888</v>
      </c>
      <c r="P518" s="14" t="s">
        <v>3144</v>
      </c>
      <c r="Q518" s="14">
        <v>1</v>
      </c>
      <c r="R518" s="14"/>
    </row>
    <row r="519" spans="1:18">
      <c r="A519" s="9" t="s">
        <v>5725</v>
      </c>
      <c r="B519" s="14" t="s">
        <v>52</v>
      </c>
      <c r="C519" s="14" t="s">
        <v>206</v>
      </c>
      <c r="D519" s="14" t="s">
        <v>55</v>
      </c>
      <c r="E519" s="15" t="str">
        <f>HYPERLINK("https://stat100.ameba.jp/tnk47/ratio20/illustrations/card/ill_52693_0_sengokumibirakiyanagiharabyakuren03.jpg?201811-1-RELEASE-raid-377x", "■")</f>
        <v>■</v>
      </c>
      <c r="F519" s="14" t="s">
        <v>1246</v>
      </c>
      <c r="G519" s="14">
        <v>83712</v>
      </c>
      <c r="H519" s="14">
        <v>94236</v>
      </c>
      <c r="I519" s="14">
        <v>15</v>
      </c>
      <c r="J519" s="14" t="s">
        <v>16</v>
      </c>
      <c r="K519" s="14" t="s">
        <v>1247</v>
      </c>
      <c r="L519" s="14" t="s">
        <v>1248</v>
      </c>
      <c r="M519" s="14" t="s">
        <v>9158</v>
      </c>
      <c r="N519" s="14" t="s">
        <v>9158</v>
      </c>
      <c r="O519" s="9" t="s">
        <v>3303</v>
      </c>
      <c r="P519" s="14" t="s">
        <v>3304</v>
      </c>
      <c r="Q519" s="14">
        <v>1</v>
      </c>
      <c r="R519" s="14"/>
    </row>
    <row r="520" spans="1:18">
      <c r="A520" s="9" t="s">
        <v>5897</v>
      </c>
      <c r="B520" s="14" t="s">
        <v>52</v>
      </c>
      <c r="C520" s="14" t="s">
        <v>200</v>
      </c>
      <c r="D520" s="14" t="s">
        <v>53</v>
      </c>
      <c r="E520" s="15" t="str">
        <f>HYPERLINK("https://stat100.ameba.jp/tnk47/ratio20/illustrations/card/ill_40913_0_reigyokudensetsufusehime03.jpg?201811-1-RELEASE-raid-377x", "■")</f>
        <v>■</v>
      </c>
      <c r="F520" s="14" t="s">
        <v>955</v>
      </c>
      <c r="G520" s="14">
        <v>82212</v>
      </c>
      <c r="H520" s="14">
        <v>87780</v>
      </c>
      <c r="I520" s="14">
        <v>15</v>
      </c>
      <c r="J520" s="14" t="s">
        <v>38</v>
      </c>
      <c r="K520" s="14" t="s">
        <v>956</v>
      </c>
      <c r="L520" s="14" t="s">
        <v>957</v>
      </c>
      <c r="M520" s="14" t="s">
        <v>9158</v>
      </c>
      <c r="N520" s="14" t="s">
        <v>9158</v>
      </c>
      <c r="O520" s="14" t="s">
        <v>9158</v>
      </c>
      <c r="P520" s="14" t="s">
        <v>9158</v>
      </c>
      <c r="Q520" s="14" t="s">
        <v>9158</v>
      </c>
      <c r="R520" s="14"/>
    </row>
    <row r="521" spans="1:18">
      <c r="A521" s="9">
        <v>69953</v>
      </c>
      <c r="B521" s="14" t="s">
        <v>334</v>
      </c>
      <c r="C521" s="14" t="s">
        <v>200</v>
      </c>
      <c r="D521" s="14" t="s">
        <v>1258</v>
      </c>
      <c r="E521" s="15" t="str">
        <f>HYPERLINK("https://stat100.ameba.jp/tnk47/ratio20/illustrations/card/ill_69953_hyoketsunonikusutopatororu03.jpg?201811-1-RELEASE-raid-377x", "■")</f>
        <v>■</v>
      </c>
      <c r="F521" s="14" t="s">
        <v>1259</v>
      </c>
      <c r="G521" s="14">
        <v>72186</v>
      </c>
      <c r="H521" s="14">
        <v>128320</v>
      </c>
      <c r="I521" s="14">
        <v>22</v>
      </c>
      <c r="J521" s="14" t="s">
        <v>143</v>
      </c>
      <c r="K521" s="14" t="s">
        <v>1260</v>
      </c>
      <c r="L521" s="14" t="s">
        <v>1190</v>
      </c>
      <c r="M521" s="14" t="s">
        <v>9158</v>
      </c>
      <c r="N521" s="14" t="s">
        <v>9158</v>
      </c>
      <c r="O521" s="14" t="s">
        <v>9158</v>
      </c>
      <c r="P521" s="14" t="s">
        <v>9158</v>
      </c>
      <c r="Q521" s="14" t="s">
        <v>9158</v>
      </c>
      <c r="R521" s="14"/>
    </row>
    <row r="522" spans="1:18">
      <c r="A522" s="9">
        <v>54103</v>
      </c>
      <c r="B522" s="14" t="s">
        <v>334</v>
      </c>
      <c r="C522" s="14" t="s">
        <v>206</v>
      </c>
      <c r="D522" s="14" t="s">
        <v>1261</v>
      </c>
      <c r="E522" s="15" t="str">
        <f>HYPERLINK("https://stat100.ameba.jp/tnk47/ratio20/illustrations/card/ill_54103_gimashinjo03.jpg?201811-1-RELEASE-raid-377x", "■")</f>
        <v>■</v>
      </c>
      <c r="F522" s="14" t="s">
        <v>1262</v>
      </c>
      <c r="G522" s="14">
        <v>68622</v>
      </c>
      <c r="H522" s="14">
        <v>95452</v>
      </c>
      <c r="I522" s="14">
        <v>22</v>
      </c>
      <c r="J522" s="14" t="s">
        <v>10</v>
      </c>
      <c r="K522" s="14" t="s">
        <v>1263</v>
      </c>
      <c r="L522" s="14" t="s">
        <v>1264</v>
      </c>
      <c r="M522" s="14" t="s">
        <v>9158</v>
      </c>
      <c r="N522" s="14" t="s">
        <v>9158</v>
      </c>
      <c r="O522" s="14" t="s">
        <v>9158</v>
      </c>
      <c r="P522" s="14" t="s">
        <v>9158</v>
      </c>
      <c r="Q522" s="14" t="s">
        <v>9158</v>
      </c>
      <c r="R522" s="14"/>
    </row>
    <row r="523" spans="1:18">
      <c r="A523" s="9">
        <v>59183</v>
      </c>
      <c r="B523" s="14" t="s">
        <v>334</v>
      </c>
      <c r="C523" s="14" t="s">
        <v>209</v>
      </c>
      <c r="D523" s="14" t="s">
        <v>1265</v>
      </c>
      <c r="E523" s="15" t="str">
        <f>HYPERLINK("https://stat100.ameba.jp/tnk47/ratio20/illustrations/card/ill_59183_otonanoasobikyoho03.jpg?201811-1-RELEASE-raid-377x", "■")</f>
        <v>■</v>
      </c>
      <c r="F523" s="14" t="s">
        <v>1266</v>
      </c>
      <c r="G523" s="14">
        <v>78838</v>
      </c>
      <c r="H523" s="14">
        <v>84796</v>
      </c>
      <c r="I523" s="14">
        <v>22</v>
      </c>
      <c r="J523" s="14" t="s">
        <v>104</v>
      </c>
      <c r="K523" s="14" t="s">
        <v>1267</v>
      </c>
      <c r="L523" s="14" t="s">
        <v>1268</v>
      </c>
      <c r="M523" s="14" t="s">
        <v>9158</v>
      </c>
      <c r="N523" s="14" t="s">
        <v>9158</v>
      </c>
      <c r="O523" s="14" t="s">
        <v>9158</v>
      </c>
      <c r="P523" s="14" t="s">
        <v>9158</v>
      </c>
      <c r="Q523" s="14" t="s">
        <v>9158</v>
      </c>
      <c r="R523" s="14"/>
    </row>
    <row r="524" spans="1:18">
      <c r="A524" s="9">
        <v>48673</v>
      </c>
      <c r="B524" s="14" t="s">
        <v>15</v>
      </c>
      <c r="C524" s="14" t="s">
        <v>206</v>
      </c>
      <c r="D524" s="14" t="s">
        <v>1269</v>
      </c>
      <c r="E524" s="15" t="str">
        <f>HYPERLINK("https://stat100.ameba.jp/tnk47/ratio20/illustrations/card/ill_48673_senyaichiyamonogatari03.jpg?201811-1-RELEASE-raid-377x", "■")</f>
        <v>■</v>
      </c>
      <c r="F524" s="14" t="s">
        <v>1270</v>
      </c>
      <c r="G524" s="14">
        <v>59144</v>
      </c>
      <c r="H524" s="14">
        <v>65208</v>
      </c>
      <c r="I524" s="14">
        <v>22</v>
      </c>
      <c r="J524" s="14" t="s">
        <v>38</v>
      </c>
      <c r="K524" s="14" t="s">
        <v>1271</v>
      </c>
      <c r="L524" s="14" t="s">
        <v>1272</v>
      </c>
      <c r="M524" s="14" t="s">
        <v>9158</v>
      </c>
      <c r="N524" s="14" t="s">
        <v>9158</v>
      </c>
      <c r="O524" s="14" t="s">
        <v>9158</v>
      </c>
      <c r="P524" s="14" t="s">
        <v>9158</v>
      </c>
      <c r="Q524" s="14" t="s">
        <v>9158</v>
      </c>
      <c r="R524" s="14"/>
    </row>
    <row r="525" spans="1:18">
      <c r="A525" s="9">
        <v>47793</v>
      </c>
      <c r="B525" s="14" t="s">
        <v>15</v>
      </c>
      <c r="C525" s="14" t="s">
        <v>185</v>
      </c>
      <c r="D525" s="14" t="s">
        <v>1273</v>
      </c>
      <c r="E525" s="15" t="str">
        <f>HYPERLINK("https://stat100.ameba.jp/tnk47/ratio20/illustrations/card/ill_47793_arabiannaitotadanomakuzu03.jpg?201811-1-RELEASE-raid-377x", "■")</f>
        <v>■</v>
      </c>
      <c r="F525" s="14" t="s">
        <v>1274</v>
      </c>
      <c r="G525" s="14">
        <v>59144</v>
      </c>
      <c r="H525" s="14">
        <v>65208</v>
      </c>
      <c r="I525" s="14">
        <v>22</v>
      </c>
      <c r="J525" s="14" t="s">
        <v>10</v>
      </c>
      <c r="K525" s="14" t="s">
        <v>1275</v>
      </c>
      <c r="L525" s="14" t="s">
        <v>1276</v>
      </c>
      <c r="M525" s="14" t="s">
        <v>9158</v>
      </c>
      <c r="N525" s="14" t="s">
        <v>9158</v>
      </c>
      <c r="O525" s="14" t="s">
        <v>9158</v>
      </c>
      <c r="P525" s="14" t="s">
        <v>9158</v>
      </c>
      <c r="Q525" s="14" t="s">
        <v>9158</v>
      </c>
      <c r="R525" s="14"/>
    </row>
    <row r="526" spans="1:18">
      <c r="A526" s="9">
        <v>54903</v>
      </c>
      <c r="B526" s="14" t="s">
        <v>15</v>
      </c>
      <c r="C526" s="14" t="s">
        <v>205</v>
      </c>
      <c r="D526" s="14" t="s">
        <v>1277</v>
      </c>
      <c r="E526" s="15" t="str">
        <f>HYPERLINK("https://stat100.ameba.jp/tnk47/ratio20/illustrations/card/ill_54903_baniyamanetoshiko03.jpg?201811-1-RELEASE-raid-377x", "■")</f>
        <v>■</v>
      </c>
      <c r="F526" s="14" t="s">
        <v>1278</v>
      </c>
      <c r="G526" s="14">
        <v>52764</v>
      </c>
      <c r="H526" s="14">
        <v>71588</v>
      </c>
      <c r="I526" s="14">
        <v>22</v>
      </c>
      <c r="J526" s="14" t="s">
        <v>16</v>
      </c>
      <c r="K526" s="14" t="s">
        <v>1279</v>
      </c>
      <c r="L526" s="14" t="s">
        <v>1280</v>
      </c>
      <c r="M526" s="14" t="s">
        <v>9158</v>
      </c>
      <c r="N526" s="14" t="s">
        <v>9158</v>
      </c>
      <c r="O526" s="14" t="s">
        <v>9158</v>
      </c>
      <c r="P526" s="14" t="s">
        <v>9158</v>
      </c>
      <c r="Q526" s="14" t="s">
        <v>9158</v>
      </c>
      <c r="R526" s="14"/>
    </row>
    <row r="527" spans="1:18">
      <c r="B527" s="14"/>
      <c r="C527" s="14"/>
      <c r="D527" s="14"/>
      <c r="F527" s="14"/>
      <c r="G527" s="14"/>
      <c r="H527" s="14"/>
      <c r="I527" s="14"/>
      <c r="J527" s="14"/>
      <c r="K527" s="14"/>
      <c r="L527" s="14"/>
      <c r="M527" s="14"/>
      <c r="N527" s="14"/>
      <c r="P527" s="14"/>
      <c r="Q527" s="14"/>
      <c r="R527" s="14"/>
    </row>
    <row r="528" spans="1:18">
      <c r="A528" s="14" t="s">
        <v>223</v>
      </c>
      <c r="D528" s="14"/>
      <c r="F528" s="14"/>
      <c r="G528" s="14"/>
      <c r="H528" s="14"/>
      <c r="I528" s="14"/>
      <c r="J528" s="14"/>
      <c r="K528" s="14"/>
      <c r="L528" s="14"/>
      <c r="M528" s="14"/>
      <c r="N528" s="14"/>
      <c r="P528" s="14"/>
      <c r="Q528" s="14"/>
      <c r="R528" s="14"/>
    </row>
    <row r="529" spans="1:18">
      <c r="A529" s="14" t="s">
        <v>1281</v>
      </c>
      <c r="B529" s="14"/>
      <c r="C529" s="14"/>
      <c r="D529" s="14"/>
      <c r="F529" s="14"/>
      <c r="G529" s="14"/>
      <c r="H529" s="14"/>
      <c r="I529" s="14"/>
      <c r="J529" s="14"/>
      <c r="K529" s="14"/>
      <c r="L529" s="14"/>
      <c r="M529" s="14"/>
      <c r="N529" s="14"/>
      <c r="P529" s="14"/>
      <c r="Q529" s="14"/>
      <c r="R529" s="14"/>
    </row>
    <row r="530" spans="1:18">
      <c r="A530" s="9" t="s">
        <v>5787</v>
      </c>
      <c r="B530" s="14" t="s">
        <v>330</v>
      </c>
      <c r="C530" s="14" t="s">
        <v>202</v>
      </c>
      <c r="D530" s="14" t="s">
        <v>1101</v>
      </c>
      <c r="E530" s="15" t="str">
        <f>HYPERLINK("https://stat100.ameba.jp/tnk47/ratio20/illustrations/card/ill_76303_0_haroinkaguya03.jpg?201811-1-RELEASE-raid-377x", "■")</f>
        <v>■</v>
      </c>
      <c r="F530" s="14" t="s">
        <v>1102</v>
      </c>
      <c r="G530" s="14">
        <v>202309</v>
      </c>
      <c r="H530" s="14">
        <v>188081</v>
      </c>
      <c r="I530" s="14">
        <v>17</v>
      </c>
      <c r="J530" s="14" t="s">
        <v>38</v>
      </c>
      <c r="K530" s="14" t="s">
        <v>1103</v>
      </c>
      <c r="L530" s="14" t="s">
        <v>1104</v>
      </c>
      <c r="M530" s="14" t="s">
        <v>9158</v>
      </c>
      <c r="N530" s="14" t="s">
        <v>9158</v>
      </c>
      <c r="O530" s="9" t="s">
        <v>2723</v>
      </c>
      <c r="P530" s="14" t="s">
        <v>2724</v>
      </c>
      <c r="Q530" s="14">
        <v>1</v>
      </c>
      <c r="R530" s="14"/>
    </row>
    <row r="531" spans="1:18">
      <c r="A531" s="9">
        <v>67103</v>
      </c>
      <c r="B531" s="14" t="s">
        <v>334</v>
      </c>
      <c r="C531" s="14" t="s">
        <v>154</v>
      </c>
      <c r="D531" s="14" t="s">
        <v>1282</v>
      </c>
      <c r="E531" s="15" t="str">
        <f>HYPERLINK("https://stat100.ameba.jp/tnk47/ratio20/illustrations/card/ill_67103_ankonabe03.jpg?201811-1-RELEASE-raid-377x", "■")</f>
        <v>■</v>
      </c>
      <c r="F531" s="14" t="s">
        <v>1283</v>
      </c>
      <c r="G531" s="14">
        <v>72735</v>
      </c>
      <c r="H531" s="14">
        <v>100430</v>
      </c>
      <c r="I531" s="14">
        <v>19</v>
      </c>
      <c r="J531" s="14" t="s">
        <v>216</v>
      </c>
      <c r="K531" s="14" t="s">
        <v>1284</v>
      </c>
      <c r="L531" s="14" t="s">
        <v>13153</v>
      </c>
      <c r="M531" s="14" t="s">
        <v>9158</v>
      </c>
      <c r="N531" s="14" t="s">
        <v>9158</v>
      </c>
      <c r="O531" s="9" t="s">
        <v>3461</v>
      </c>
      <c r="P531" s="14" t="s">
        <v>3462</v>
      </c>
      <c r="Q531" s="14">
        <v>1</v>
      </c>
      <c r="R531" s="14"/>
    </row>
    <row r="532" spans="1:18">
      <c r="A532" s="9">
        <v>67993</v>
      </c>
      <c r="B532" s="14" t="s">
        <v>334</v>
      </c>
      <c r="C532" s="14" t="s">
        <v>205</v>
      </c>
      <c r="D532" s="14" t="s">
        <v>1285</v>
      </c>
      <c r="E532" s="15" t="str">
        <f>HYPERLINK("https://stat100.ameba.jp/tnk47/ratio20/illustrations/card/ill_67993_kurisumasupateikanekomisuzu03.jpg?201811-1-RELEASE-raid-377x", "■")</f>
        <v>■</v>
      </c>
      <c r="F532" s="14" t="s">
        <v>1286</v>
      </c>
      <c r="G532" s="14">
        <v>74215</v>
      </c>
      <c r="H532" s="14">
        <v>68977</v>
      </c>
      <c r="I532" s="14">
        <v>19</v>
      </c>
      <c r="J532" s="14" t="s">
        <v>173</v>
      </c>
      <c r="K532" s="14" t="s">
        <v>1287</v>
      </c>
      <c r="L532" s="14" t="s">
        <v>13154</v>
      </c>
      <c r="M532" s="14" t="s">
        <v>9158</v>
      </c>
      <c r="N532" s="14" t="s">
        <v>9158</v>
      </c>
      <c r="O532" s="17" t="s">
        <v>10025</v>
      </c>
      <c r="P532" s="14" t="s">
        <v>3701</v>
      </c>
      <c r="Q532" s="14">
        <v>1</v>
      </c>
      <c r="R532" s="14"/>
    </row>
    <row r="533" spans="1:18">
      <c r="A533" s="9">
        <v>64893</v>
      </c>
      <c r="B533" s="14" t="s">
        <v>334</v>
      </c>
      <c r="C533" s="14" t="s">
        <v>185</v>
      </c>
      <c r="D533" s="14" t="s">
        <v>1288</v>
      </c>
      <c r="E533" s="15" t="str">
        <f>HYPERLINK("https://stat100.ameba.jp/tnk47/ratio20/illustrations/card/ill_64893_yukataonamihime03.jpg?201811-1-RELEASE-raid-377x", "■")</f>
        <v>■</v>
      </c>
      <c r="F533" s="14" t="s">
        <v>1289</v>
      </c>
      <c r="G533" s="14">
        <v>112949</v>
      </c>
      <c r="H533" s="14">
        <v>105020</v>
      </c>
      <c r="I533" s="14">
        <v>19</v>
      </c>
      <c r="J533" s="14" t="s">
        <v>194</v>
      </c>
      <c r="K533" s="14" t="s">
        <v>1290</v>
      </c>
      <c r="L533" s="14" t="s">
        <v>13155</v>
      </c>
      <c r="M533" s="14" t="s">
        <v>9158</v>
      </c>
      <c r="N533" s="14" t="s">
        <v>9158</v>
      </c>
      <c r="O533" s="9" t="s">
        <v>3854</v>
      </c>
      <c r="P533" s="14" t="s">
        <v>13124</v>
      </c>
      <c r="Q533" s="14">
        <v>1</v>
      </c>
      <c r="R533" s="14"/>
    </row>
    <row r="534" spans="1:18">
      <c r="B534" s="14"/>
      <c r="C534" s="14"/>
      <c r="D534" s="14"/>
      <c r="F534" s="14"/>
      <c r="G534" s="14"/>
      <c r="H534" s="14"/>
      <c r="I534" s="14"/>
      <c r="J534" s="14"/>
      <c r="K534" s="14"/>
      <c r="L534" s="14"/>
      <c r="M534" s="14"/>
      <c r="N534" s="14"/>
      <c r="P534" s="14"/>
      <c r="Q534" s="14"/>
      <c r="R534" s="14"/>
    </row>
    <row r="535" spans="1:18">
      <c r="A535" s="14" t="s">
        <v>13326</v>
      </c>
      <c r="D535" s="14"/>
      <c r="F535" s="14"/>
      <c r="G535" s="14"/>
      <c r="H535" s="14"/>
      <c r="I535" s="14"/>
      <c r="J535" s="14"/>
      <c r="K535" s="14"/>
      <c r="L535" s="14"/>
      <c r="M535" s="14"/>
      <c r="N535" s="14"/>
      <c r="P535" s="14"/>
      <c r="Q535" s="14"/>
      <c r="R535" s="14"/>
    </row>
    <row r="536" spans="1:18">
      <c r="A536" s="14" t="s">
        <v>1291</v>
      </c>
      <c r="B536" s="14"/>
      <c r="C536" s="14"/>
      <c r="D536" s="14"/>
      <c r="F536" s="14"/>
      <c r="G536" s="14"/>
      <c r="H536" s="14"/>
      <c r="I536" s="14"/>
      <c r="J536" s="14"/>
      <c r="K536" s="14"/>
      <c r="L536" s="14"/>
      <c r="M536" s="14"/>
      <c r="N536" s="14"/>
      <c r="P536" s="14"/>
      <c r="Q536" s="14"/>
      <c r="R536" s="14"/>
    </row>
    <row r="537" spans="1:18">
      <c r="A537" s="9">
        <v>66113</v>
      </c>
      <c r="B537" s="14" t="s">
        <v>334</v>
      </c>
      <c r="C537" s="14" t="s">
        <v>185</v>
      </c>
      <c r="D537" s="14" t="s">
        <v>1292</v>
      </c>
      <c r="E537" s="15" t="str">
        <f>HYPERLINK("https://stat100.ameba.jp/tnk47/ratio20/illustrations/card/ill_66113_shirarikahime03.jpg?201811-1-RELEASE-raid-377xx", "■")</f>
        <v>■</v>
      </c>
      <c r="F537" s="14" t="s">
        <v>1293</v>
      </c>
      <c r="G537" s="14">
        <v>103384</v>
      </c>
      <c r="H537" s="14">
        <v>96121</v>
      </c>
      <c r="I537" s="14">
        <v>21</v>
      </c>
      <c r="J537" s="14" t="s">
        <v>274</v>
      </c>
      <c r="K537" s="14" t="s">
        <v>1304</v>
      </c>
      <c r="L537" s="2" t="s">
        <v>9908</v>
      </c>
      <c r="M537" s="14" t="s">
        <v>13151</v>
      </c>
      <c r="N537" s="14" t="s">
        <v>251</v>
      </c>
      <c r="O537" s="14" t="s">
        <v>9158</v>
      </c>
      <c r="P537" s="14" t="s">
        <v>9158</v>
      </c>
      <c r="Q537" s="14" t="s">
        <v>9158</v>
      </c>
      <c r="R537" s="14" t="s">
        <v>14858</v>
      </c>
    </row>
    <row r="538" spans="1:18">
      <c r="A538" s="9">
        <v>66112</v>
      </c>
      <c r="B538" s="14" t="s">
        <v>334</v>
      </c>
      <c r="C538" s="14" t="s">
        <v>185</v>
      </c>
      <c r="D538" s="14" t="s">
        <v>1292</v>
      </c>
      <c r="E538" s="15" t="str">
        <f>HYPERLINK("https://stat100.ameba.jp/tnk47/ratio20/illustrations/card/ill_66112_shirarikahime02.jpg?201811-1-RELEASE-raid-377xx", "■")</f>
        <v>■</v>
      </c>
      <c r="F538" s="14" t="s">
        <v>1293</v>
      </c>
      <c r="G538" s="14">
        <v>86423</v>
      </c>
      <c r="H538" s="14">
        <v>79610</v>
      </c>
      <c r="I538" s="14">
        <v>21</v>
      </c>
      <c r="J538" s="14" t="s">
        <v>274</v>
      </c>
      <c r="K538" s="14" t="s">
        <v>1304</v>
      </c>
      <c r="L538" s="2" t="s">
        <v>9908</v>
      </c>
      <c r="M538" s="14" t="s">
        <v>13156</v>
      </c>
      <c r="N538" s="14" t="s">
        <v>1310</v>
      </c>
      <c r="O538" s="14" t="s">
        <v>9158</v>
      </c>
      <c r="P538" s="14" t="s">
        <v>9158</v>
      </c>
      <c r="Q538" s="14" t="s">
        <v>9158</v>
      </c>
      <c r="R538" s="14" t="s">
        <v>14858</v>
      </c>
    </row>
    <row r="539" spans="1:18">
      <c r="A539" s="9">
        <v>66111</v>
      </c>
      <c r="B539" s="14" t="s">
        <v>334</v>
      </c>
      <c r="C539" s="14" t="s">
        <v>185</v>
      </c>
      <c r="D539" s="14" t="s">
        <v>1292</v>
      </c>
      <c r="E539" s="15" t="str">
        <f>HYPERLINK("https://stat100.ameba.jp/tnk47/ratio20/illustrations/card/ill_66111_shirarikahime01.jpg?201811-1-RELEASE-raid-377xx", "■")</f>
        <v>■</v>
      </c>
      <c r="F539" s="14" t="s">
        <v>1293</v>
      </c>
      <c r="G539" s="14">
        <v>65982</v>
      </c>
      <c r="H539" s="14">
        <v>61425</v>
      </c>
      <c r="I539" s="14">
        <v>21</v>
      </c>
      <c r="J539" s="14" t="s">
        <v>274</v>
      </c>
      <c r="K539" s="14" t="s">
        <v>1304</v>
      </c>
      <c r="L539" s="2" t="s">
        <v>9908</v>
      </c>
      <c r="M539" s="14" t="s">
        <v>13156</v>
      </c>
      <c r="N539" s="14" t="s">
        <v>1310</v>
      </c>
      <c r="O539" s="14" t="s">
        <v>9158</v>
      </c>
      <c r="P539" s="14" t="s">
        <v>9158</v>
      </c>
      <c r="Q539" s="14" t="s">
        <v>9158</v>
      </c>
      <c r="R539" s="14" t="s">
        <v>14858</v>
      </c>
    </row>
    <row r="540" spans="1:18">
      <c r="A540" s="9">
        <v>65383</v>
      </c>
      <c r="B540" s="14" t="s">
        <v>334</v>
      </c>
      <c r="C540" s="14" t="s">
        <v>200</v>
      </c>
      <c r="D540" s="14" t="s">
        <v>1294</v>
      </c>
      <c r="E540" s="15" t="str">
        <f>HYPERLINK("https://stat100.ameba.jp/tnk47/ratio20/illustrations/card/ill_65383_aogashimachan03.jpg?201811-1-RELEASE-raid-377xx", "■")</f>
        <v>■</v>
      </c>
      <c r="F540" s="14" t="s">
        <v>1295</v>
      </c>
      <c r="G540" s="14">
        <v>96121</v>
      </c>
      <c r="H540" s="14">
        <v>103384</v>
      </c>
      <c r="I540" s="14">
        <v>21</v>
      </c>
      <c r="J540" s="14" t="s">
        <v>369</v>
      </c>
      <c r="K540" s="14" t="s">
        <v>1305</v>
      </c>
      <c r="L540" s="2" t="s">
        <v>9909</v>
      </c>
      <c r="M540" s="14" t="s">
        <v>13151</v>
      </c>
      <c r="N540" s="14" t="s">
        <v>251</v>
      </c>
      <c r="O540" s="14" t="s">
        <v>9158</v>
      </c>
      <c r="P540" s="14" t="s">
        <v>9158</v>
      </c>
      <c r="Q540" s="14" t="s">
        <v>9158</v>
      </c>
      <c r="R540" s="14" t="s">
        <v>14858</v>
      </c>
    </row>
    <row r="541" spans="1:18">
      <c r="A541" s="9">
        <v>66123</v>
      </c>
      <c r="B541" s="14" t="s">
        <v>334</v>
      </c>
      <c r="C541" s="14" t="s">
        <v>191</v>
      </c>
      <c r="D541" s="14" t="s">
        <v>1296</v>
      </c>
      <c r="E541" s="15" t="str">
        <f>HYPERLINK("https://stat100.ameba.jp/tnk47/ratio20/illustrations/card/ill_66123_taikemmoninnohorikawa03.jpg?201811-1-RELEASE-raid-377xx", "■")</f>
        <v>■</v>
      </c>
      <c r="F541" s="14" t="s">
        <v>1297</v>
      </c>
      <c r="G541" s="14">
        <v>103384</v>
      </c>
      <c r="H541" s="14">
        <v>96121</v>
      </c>
      <c r="I541" s="14">
        <v>21</v>
      </c>
      <c r="J541" s="14" t="s">
        <v>414</v>
      </c>
      <c r="K541" s="14" t="s">
        <v>1306</v>
      </c>
      <c r="L541" s="2" t="s">
        <v>9910</v>
      </c>
      <c r="M541" s="14" t="s">
        <v>13151</v>
      </c>
      <c r="N541" s="14" t="s">
        <v>251</v>
      </c>
      <c r="O541" s="14" t="s">
        <v>9158</v>
      </c>
      <c r="P541" s="14" t="s">
        <v>9158</v>
      </c>
      <c r="Q541" s="14" t="s">
        <v>9158</v>
      </c>
      <c r="R541" s="14" t="s">
        <v>14858</v>
      </c>
    </row>
    <row r="542" spans="1:18">
      <c r="A542" s="9">
        <v>66133</v>
      </c>
      <c r="B542" s="14" t="s">
        <v>334</v>
      </c>
      <c r="C542" s="14" t="s">
        <v>165</v>
      </c>
      <c r="D542" s="14" t="s">
        <v>1298</v>
      </c>
      <c r="E542" s="15" t="str">
        <f>HYPERLINK("https://stat100.ameba.jp/tnk47/ratio20/illustrations/card/ill_66133_iinaosuke03.jpg?201811-1-RELEASE-raid-377xx", "■")</f>
        <v>■</v>
      </c>
      <c r="F542" s="14" t="s">
        <v>1299</v>
      </c>
      <c r="G542" s="14">
        <v>96121</v>
      </c>
      <c r="H542" s="14">
        <v>103384</v>
      </c>
      <c r="I542" s="14">
        <v>21</v>
      </c>
      <c r="J542" s="14" t="s">
        <v>351</v>
      </c>
      <c r="K542" s="14" t="s">
        <v>1307</v>
      </c>
      <c r="L542" s="2" t="s">
        <v>9911</v>
      </c>
      <c r="M542" s="14" t="s">
        <v>13151</v>
      </c>
      <c r="N542" s="14" t="s">
        <v>251</v>
      </c>
      <c r="O542" s="14" t="s">
        <v>9158</v>
      </c>
      <c r="P542" s="14" t="s">
        <v>9158</v>
      </c>
      <c r="Q542" s="14" t="s">
        <v>9158</v>
      </c>
      <c r="R542" s="14" t="s">
        <v>14858</v>
      </c>
    </row>
    <row r="543" spans="1:18">
      <c r="A543" s="9">
        <v>65393</v>
      </c>
      <c r="B543" s="14" t="s">
        <v>334</v>
      </c>
      <c r="C543" s="14" t="s">
        <v>205</v>
      </c>
      <c r="D543" s="14" t="s">
        <v>1300</v>
      </c>
      <c r="E543" s="15" t="str">
        <f>HYPERLINK("https://stat100.ameba.jp/tnk47/ratio20/illustrations/card/ill_65393_motochikafujin03.jpg?201811-1-RELEASE-raid-377xx", "■")</f>
        <v>■</v>
      </c>
      <c r="F543" s="14" t="s">
        <v>1301</v>
      </c>
      <c r="G543" s="14">
        <v>96121</v>
      </c>
      <c r="H543" s="14">
        <v>103384</v>
      </c>
      <c r="I543" s="14">
        <v>21</v>
      </c>
      <c r="J543" s="14" t="s">
        <v>315</v>
      </c>
      <c r="K543" s="14" t="s">
        <v>1308</v>
      </c>
      <c r="L543" s="2" t="s">
        <v>9912</v>
      </c>
      <c r="M543" s="14" t="s">
        <v>13151</v>
      </c>
      <c r="N543" s="14" t="s">
        <v>251</v>
      </c>
      <c r="O543" s="14" t="s">
        <v>9158</v>
      </c>
      <c r="P543" s="14" t="s">
        <v>9158</v>
      </c>
      <c r="Q543" s="14" t="s">
        <v>9158</v>
      </c>
      <c r="R543" s="14" t="s">
        <v>14858</v>
      </c>
    </row>
    <row r="544" spans="1:18">
      <c r="A544" s="9">
        <v>65403</v>
      </c>
      <c r="B544" s="14" t="s">
        <v>334</v>
      </c>
      <c r="C544" s="14" t="s">
        <v>206</v>
      </c>
      <c r="D544" s="14" t="s">
        <v>14857</v>
      </c>
      <c r="E544" s="15" t="str">
        <f>HYPERLINK("https://stat100.ameba.jp/tnk47/ratio20/illustrations/card/ill_65403_amenokoyanenomikoto03.jpg?201811-1-RELEASE-raid-377xx", "■")</f>
        <v>■</v>
      </c>
      <c r="F544" s="14" t="s">
        <v>1303</v>
      </c>
      <c r="G544" s="14">
        <v>103384</v>
      </c>
      <c r="H544" s="14">
        <v>96121</v>
      </c>
      <c r="I544" s="14">
        <v>21</v>
      </c>
      <c r="J544" s="14" t="s">
        <v>401</v>
      </c>
      <c r="K544" s="14" t="s">
        <v>1309</v>
      </c>
      <c r="L544" s="2" t="s">
        <v>9913</v>
      </c>
      <c r="M544" s="14" t="s">
        <v>13151</v>
      </c>
      <c r="N544" s="14" t="s">
        <v>251</v>
      </c>
      <c r="O544" s="14" t="s">
        <v>9158</v>
      </c>
      <c r="P544" s="14" t="s">
        <v>9158</v>
      </c>
      <c r="Q544" s="14" t="s">
        <v>9158</v>
      </c>
      <c r="R544" s="14" t="s">
        <v>14858</v>
      </c>
    </row>
    <row r="545" spans="1:18">
      <c r="B545" s="14"/>
      <c r="C545" s="14"/>
      <c r="D545" s="14"/>
      <c r="F545" s="14"/>
      <c r="G545" s="14"/>
      <c r="H545" s="14"/>
      <c r="I545" s="14"/>
      <c r="J545" s="14"/>
      <c r="K545" s="14"/>
      <c r="L545" s="14"/>
      <c r="M545" s="14"/>
      <c r="N545" s="14"/>
      <c r="P545" s="14"/>
      <c r="Q545" s="14"/>
      <c r="R545" s="14"/>
    </row>
    <row r="546" spans="1:18">
      <c r="A546" s="14" t="s">
        <v>132</v>
      </c>
      <c r="D546" s="14"/>
      <c r="F546" s="14"/>
      <c r="G546" s="14"/>
      <c r="H546" s="14"/>
      <c r="I546" s="14"/>
      <c r="J546" s="14"/>
      <c r="K546" s="14"/>
      <c r="L546" s="14"/>
      <c r="M546" s="14"/>
      <c r="N546" s="14"/>
      <c r="P546" s="14"/>
      <c r="Q546" s="14"/>
      <c r="R546" s="14"/>
    </row>
    <row r="547" spans="1:18">
      <c r="A547" s="14" t="s">
        <v>1311</v>
      </c>
      <c r="C547" s="14"/>
      <c r="D547" s="14"/>
      <c r="F547" s="14"/>
      <c r="G547" s="14"/>
      <c r="H547" s="14"/>
      <c r="I547" s="14"/>
      <c r="J547" s="14"/>
      <c r="K547" s="14"/>
      <c r="L547" s="14"/>
      <c r="M547" s="14"/>
      <c r="N547" s="14"/>
      <c r="P547" s="14"/>
      <c r="Q547" s="14"/>
      <c r="R547" s="14"/>
    </row>
    <row r="548" spans="1:18">
      <c r="A548" s="9">
        <v>70575</v>
      </c>
      <c r="B548" s="14" t="s">
        <v>334</v>
      </c>
      <c r="C548" s="14" t="s">
        <v>209</v>
      </c>
      <c r="D548" s="14" t="s">
        <v>1312</v>
      </c>
      <c r="E548" s="15" t="str">
        <f>HYPERLINK("https://stat100.ameba.jp/tnk47/ratio20/illustrations/card/ill_70575_hayashikimuko05.jpg?201811-1-RELEASE-raid-377xx", "■")</f>
        <v>■</v>
      </c>
      <c r="F548" s="14" t="s">
        <v>1313</v>
      </c>
      <c r="G548" s="14">
        <v>103652</v>
      </c>
      <c r="H548" s="14">
        <v>75039</v>
      </c>
      <c r="I548" s="14">
        <v>21</v>
      </c>
      <c r="J548" s="14" t="s">
        <v>77</v>
      </c>
      <c r="K548" s="14" t="s">
        <v>1314</v>
      </c>
      <c r="L548" s="14" t="s">
        <v>76</v>
      </c>
      <c r="M548" s="14" t="s">
        <v>9158</v>
      </c>
      <c r="N548" s="14" t="s">
        <v>9158</v>
      </c>
      <c r="O548" s="14" t="s">
        <v>9158</v>
      </c>
      <c r="P548" s="14" t="s">
        <v>9158</v>
      </c>
      <c r="Q548" s="14" t="s">
        <v>9158</v>
      </c>
      <c r="R548" s="14" t="s">
        <v>174</v>
      </c>
    </row>
    <row r="549" spans="1:18">
      <c r="A549" s="9">
        <v>70573</v>
      </c>
      <c r="B549" s="14" t="s">
        <v>15</v>
      </c>
      <c r="C549" s="14" t="s">
        <v>200</v>
      </c>
      <c r="D549" s="14" t="s">
        <v>1312</v>
      </c>
      <c r="E549" s="15" t="str">
        <f>HYPERLINK("https://stat100.ameba.jp/tnk47/ratio20/illustrations/card/ill_70573_hayashikimuko03.jpg?201811-1-RELEASE-raid-377xx", "■")</f>
        <v>■</v>
      </c>
      <c r="F549" s="14" t="s">
        <v>1313</v>
      </c>
      <c r="G549" s="14">
        <v>76361</v>
      </c>
      <c r="H549" s="14">
        <v>55283</v>
      </c>
      <c r="I549" s="14">
        <v>21</v>
      </c>
      <c r="J549" s="14" t="s">
        <v>77</v>
      </c>
      <c r="K549" s="14" t="s">
        <v>1314</v>
      </c>
      <c r="L549" s="14" t="s">
        <v>1315</v>
      </c>
      <c r="M549" s="14" t="s">
        <v>9158</v>
      </c>
      <c r="N549" s="14" t="s">
        <v>9158</v>
      </c>
      <c r="O549" s="14" t="s">
        <v>9158</v>
      </c>
      <c r="P549" s="14" t="s">
        <v>9158</v>
      </c>
      <c r="Q549" s="14" t="s">
        <v>9158</v>
      </c>
      <c r="R549" s="14" t="s">
        <v>175</v>
      </c>
    </row>
    <row r="550" spans="1:18">
      <c r="A550" s="9">
        <v>70571</v>
      </c>
      <c r="B550" s="14" t="s">
        <v>15</v>
      </c>
      <c r="C550" s="14" t="s">
        <v>200</v>
      </c>
      <c r="D550" s="14" t="s">
        <v>1312</v>
      </c>
      <c r="E550" s="15" t="str">
        <f>HYPERLINK("https://stat100.ameba.jp/tnk47/ratio20/illustrations/card/ill_70571_hayashikimuko01.jpg?201811-1-RELEASE-raid-377xx", "■")</f>
        <v>■</v>
      </c>
      <c r="F550" s="14" t="s">
        <v>1313</v>
      </c>
      <c r="G550" s="14">
        <v>48573</v>
      </c>
      <c r="H550" s="14">
        <v>35154</v>
      </c>
      <c r="I550" s="14">
        <v>21</v>
      </c>
      <c r="J550" s="14" t="s">
        <v>77</v>
      </c>
      <c r="K550" s="14" t="s">
        <v>1314</v>
      </c>
      <c r="L550" s="14" t="s">
        <v>1316</v>
      </c>
      <c r="M550" s="14" t="s">
        <v>9158</v>
      </c>
      <c r="N550" s="14" t="s">
        <v>9158</v>
      </c>
      <c r="O550" s="14" t="s">
        <v>9158</v>
      </c>
      <c r="P550" s="14" t="s">
        <v>9158</v>
      </c>
      <c r="Q550" s="14" t="s">
        <v>9158</v>
      </c>
      <c r="R550" s="14" t="s">
        <v>176</v>
      </c>
    </row>
    <row r="551" spans="1:18">
      <c r="A551" s="9">
        <v>68655</v>
      </c>
      <c r="B551" s="14" t="s">
        <v>334</v>
      </c>
      <c r="C551" s="14" t="s">
        <v>203</v>
      </c>
      <c r="D551" s="14" t="s">
        <v>1317</v>
      </c>
      <c r="E551" s="15" t="str">
        <f>HYPERLINK("https://stat100.ameba.jp/tnk47/ratio20/illustrations/card/ill_68655_hariharinabe05.jpg?201811-1-RELEASE-raid-377xx", "■")</f>
        <v>■</v>
      </c>
      <c r="F551" s="14" t="s">
        <v>1318</v>
      </c>
      <c r="G551" s="14">
        <v>105332</v>
      </c>
      <c r="H551" s="14">
        <v>76280</v>
      </c>
      <c r="I551" s="14">
        <v>21</v>
      </c>
      <c r="J551" s="14" t="s">
        <v>104</v>
      </c>
      <c r="K551" s="14" t="s">
        <v>1319</v>
      </c>
      <c r="L551" s="14" t="s">
        <v>1320</v>
      </c>
      <c r="M551" s="14" t="s">
        <v>9158</v>
      </c>
      <c r="N551" s="14" t="s">
        <v>9158</v>
      </c>
      <c r="O551" s="14" t="s">
        <v>9158</v>
      </c>
      <c r="P551" s="14" t="s">
        <v>9158</v>
      </c>
      <c r="Q551" s="14" t="s">
        <v>9158</v>
      </c>
      <c r="R551" s="14" t="s">
        <v>174</v>
      </c>
    </row>
    <row r="552" spans="1:18">
      <c r="A552" s="9">
        <v>68653</v>
      </c>
      <c r="B552" s="14" t="s">
        <v>15</v>
      </c>
      <c r="C552" s="14" t="s">
        <v>165</v>
      </c>
      <c r="D552" s="14" t="s">
        <v>1317</v>
      </c>
      <c r="E552" s="15" t="str">
        <f>HYPERLINK("https://stat100.ameba.jp/tnk47/ratio20/illustrations/card/ill_68653_hariharinabe03.jpg?201811-1-RELEASE-raid-377xx", "■")</f>
        <v>■</v>
      </c>
      <c r="F552" s="14" t="s">
        <v>1318</v>
      </c>
      <c r="G552" s="14">
        <v>77621</v>
      </c>
      <c r="H552" s="14">
        <v>56193</v>
      </c>
      <c r="I552" s="14">
        <v>21</v>
      </c>
      <c r="J552" s="14" t="s">
        <v>104</v>
      </c>
      <c r="K552" s="14" t="s">
        <v>1319</v>
      </c>
      <c r="L552" s="14" t="s">
        <v>1321</v>
      </c>
      <c r="M552" s="14" t="s">
        <v>9158</v>
      </c>
      <c r="N552" s="14" t="s">
        <v>9158</v>
      </c>
      <c r="O552" s="14" t="s">
        <v>9158</v>
      </c>
      <c r="P552" s="14" t="s">
        <v>9158</v>
      </c>
      <c r="Q552" s="14" t="s">
        <v>9158</v>
      </c>
      <c r="R552" s="14" t="s">
        <v>175</v>
      </c>
    </row>
    <row r="553" spans="1:18">
      <c r="A553" s="9">
        <v>68651</v>
      </c>
      <c r="B553" s="14" t="s">
        <v>15</v>
      </c>
      <c r="C553" s="14" t="s">
        <v>165</v>
      </c>
      <c r="D553" s="14" t="s">
        <v>1317</v>
      </c>
      <c r="E553" s="15" t="str">
        <f>HYPERLINK("https://stat100.ameba.jp/tnk47/ratio20/illustrations/card/ill_68651_hariharinabe01.jpg?201811-1-RELEASE-raid-377xx", "■")</f>
        <v>■</v>
      </c>
      <c r="F553" s="14" t="s">
        <v>1318</v>
      </c>
      <c r="G553" s="14">
        <v>49371</v>
      </c>
      <c r="H553" s="14">
        <v>35742</v>
      </c>
      <c r="I553" s="14">
        <v>21</v>
      </c>
      <c r="J553" s="14" t="s">
        <v>104</v>
      </c>
      <c r="K553" s="14" t="s">
        <v>1319</v>
      </c>
      <c r="L553" s="14" t="s">
        <v>1322</v>
      </c>
      <c r="M553" s="14" t="s">
        <v>9158</v>
      </c>
      <c r="N553" s="14" t="s">
        <v>9158</v>
      </c>
      <c r="O553" s="14" t="s">
        <v>9158</v>
      </c>
      <c r="P553" s="14" t="s">
        <v>9158</v>
      </c>
      <c r="Q553" s="14" t="s">
        <v>9158</v>
      </c>
      <c r="R553" s="14" t="s">
        <v>176</v>
      </c>
    </row>
    <row r="554" spans="1:18">
      <c r="A554" s="9">
        <v>58985</v>
      </c>
      <c r="B554" s="14" t="s">
        <v>334</v>
      </c>
      <c r="C554" s="14" t="s">
        <v>202</v>
      </c>
      <c r="D554" s="14" t="s">
        <v>151</v>
      </c>
      <c r="E554" s="15" t="str">
        <f>HYPERLINK("https://stat100.ameba.jp/tnk47/ratio20/illustrations/card/ill_58985_nanachanningyo05.jpg?201811-1-RELEASE-raid-377xx", "■")</f>
        <v>■</v>
      </c>
      <c r="F554" s="14" t="s">
        <v>1323</v>
      </c>
      <c r="G554" s="14">
        <v>115636</v>
      </c>
      <c r="H554" s="14">
        <v>83723</v>
      </c>
      <c r="I554" s="14">
        <v>21</v>
      </c>
      <c r="J554" s="14" t="s">
        <v>26</v>
      </c>
      <c r="K554" s="14" t="s">
        <v>1324</v>
      </c>
      <c r="L554" s="14" t="s">
        <v>1325</v>
      </c>
      <c r="M554" s="14" t="s">
        <v>9158</v>
      </c>
      <c r="N554" s="14" t="s">
        <v>9158</v>
      </c>
      <c r="O554" s="14" t="s">
        <v>9158</v>
      </c>
      <c r="P554" s="14" t="s">
        <v>9158</v>
      </c>
      <c r="Q554" s="14" t="s">
        <v>9158</v>
      </c>
      <c r="R554" s="14" t="s">
        <v>174</v>
      </c>
    </row>
    <row r="555" spans="1:18">
      <c r="A555" s="9">
        <v>58983</v>
      </c>
      <c r="B555" s="14" t="s">
        <v>15</v>
      </c>
      <c r="C555" s="14" t="s">
        <v>209</v>
      </c>
      <c r="D555" s="14" t="s">
        <v>151</v>
      </c>
      <c r="E555" s="15" t="str">
        <f>HYPERLINK("https://stat100.ameba.jp/tnk47/ratio20/illustrations/card/ill_58983_nanachanningyo03.jpg?201811-1-RELEASE-raid-377xx", "■")</f>
        <v>■</v>
      </c>
      <c r="F555" s="14" t="s">
        <v>1323</v>
      </c>
      <c r="G555" s="14">
        <v>83561</v>
      </c>
      <c r="H555" s="14">
        <v>60496</v>
      </c>
      <c r="I555" s="14">
        <v>21</v>
      </c>
      <c r="J555" s="14" t="s">
        <v>26</v>
      </c>
      <c r="K555" s="14" t="s">
        <v>1324</v>
      </c>
      <c r="L555" s="14" t="s">
        <v>1326</v>
      </c>
      <c r="M555" s="14" t="s">
        <v>9158</v>
      </c>
      <c r="N555" s="14" t="s">
        <v>9158</v>
      </c>
      <c r="O555" s="14" t="s">
        <v>9158</v>
      </c>
      <c r="P555" s="14" t="s">
        <v>9158</v>
      </c>
      <c r="Q555" s="14" t="s">
        <v>9158</v>
      </c>
      <c r="R555" s="14" t="s">
        <v>175</v>
      </c>
    </row>
    <row r="556" spans="1:18">
      <c r="A556" s="9">
        <v>58981</v>
      </c>
      <c r="B556" s="14" t="s">
        <v>15</v>
      </c>
      <c r="C556" s="14" t="s">
        <v>209</v>
      </c>
      <c r="D556" s="14" t="s">
        <v>151</v>
      </c>
      <c r="E556" s="15" t="str">
        <f>HYPERLINK("https://stat100.ameba.jp/tnk47/ratio20/illustrations/card/ill_58981_nanachanningyo01.jpg?201811-1-RELEASE-raid-377xx", "■")</f>
        <v>■</v>
      </c>
      <c r="F556" s="14" t="s">
        <v>1323</v>
      </c>
      <c r="G556" s="14">
        <v>48468</v>
      </c>
      <c r="H556" s="14">
        <v>35091</v>
      </c>
      <c r="I556" s="14">
        <v>21</v>
      </c>
      <c r="J556" s="14" t="s">
        <v>26</v>
      </c>
      <c r="K556" s="14" t="s">
        <v>1324</v>
      </c>
      <c r="L556" s="14" t="s">
        <v>1327</v>
      </c>
      <c r="M556" s="14" t="s">
        <v>9158</v>
      </c>
      <c r="N556" s="14" t="s">
        <v>9158</v>
      </c>
      <c r="O556" s="14" t="s">
        <v>9158</v>
      </c>
      <c r="P556" s="14" t="s">
        <v>9158</v>
      </c>
      <c r="Q556" s="14" t="s">
        <v>9158</v>
      </c>
      <c r="R556" s="14" t="s">
        <v>176</v>
      </c>
    </row>
  </sheetData>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7EF4-DF42-4285-9109-78A56348F783}">
  <dimension ref="A1:S589"/>
  <sheetViews>
    <sheetView zoomScale="55" zoomScaleNormal="55" workbookViewId="0">
      <pane ySplit="1" topLeftCell="A190" activePane="bottomLeft" state="frozen"/>
      <selection activeCell="Q158" sqref="A158:Q158"/>
      <selection pane="bottomLeft" activeCell="Q158" sqref="A158:Q158"/>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12009</v>
      </c>
    </row>
    <row r="4" spans="1:19">
      <c r="A4" s="14" t="s">
        <v>12010</v>
      </c>
    </row>
    <row r="5" spans="1:19">
      <c r="A5" s="14" t="s">
        <v>12011</v>
      </c>
    </row>
    <row r="6" spans="1:19">
      <c r="A6" s="14" t="s">
        <v>12012</v>
      </c>
      <c r="B6" s="7" t="s">
        <v>52</v>
      </c>
      <c r="C6" s="14" t="s">
        <v>202</v>
      </c>
      <c r="D6" s="18" t="s">
        <v>12013</v>
      </c>
      <c r="E6" s="15" t="str">
        <f>HYPERLINK("https://stat100.ameba.jp/tnk47/ratio20/illustrations/card/ill_88363_0_hanamijingukogo03.jpg?202004-5-RELEASE-marathon-466xxxx", "■")</f>
        <v>■</v>
      </c>
      <c r="F6" s="14" t="s">
        <v>12014</v>
      </c>
      <c r="G6" s="14">
        <v>377298</v>
      </c>
      <c r="H6" s="14">
        <v>340998</v>
      </c>
      <c r="I6" s="7">
        <v>31</v>
      </c>
      <c r="J6" s="14" t="s">
        <v>10</v>
      </c>
      <c r="K6" s="14" t="s">
        <v>12015</v>
      </c>
      <c r="L6" s="14" t="s">
        <v>12016</v>
      </c>
      <c r="M6" s="14" t="s">
        <v>9158</v>
      </c>
      <c r="N6" s="14" t="s">
        <v>9158</v>
      </c>
      <c r="O6" s="6" t="s">
        <v>12017</v>
      </c>
      <c r="P6" s="7" t="s">
        <v>12018</v>
      </c>
      <c r="Q6" s="7">
        <v>1</v>
      </c>
    </row>
    <row r="7" spans="1:19">
      <c r="A7" s="14">
        <v>88323</v>
      </c>
      <c r="B7" s="14" t="s">
        <v>0</v>
      </c>
      <c r="C7" s="14" t="s">
        <v>205</v>
      </c>
      <c r="D7" s="18" t="s">
        <v>12019</v>
      </c>
      <c r="E7" s="15" t="str">
        <f>HYPERLINK("https://stat100.ameba.jp/tnk47/ratio20/illustrations/card/ill_88323_hanamibakedanuki03.jpg?202004-5-RELEASE-marathon-466xxxx", "■")</f>
        <v>■</v>
      </c>
      <c r="F7" s="14" t="s">
        <v>12020</v>
      </c>
      <c r="G7" s="14">
        <v>100744</v>
      </c>
      <c r="H7" s="14">
        <v>108330</v>
      </c>
      <c r="I7" s="14">
        <v>26</v>
      </c>
      <c r="J7" s="14" t="s">
        <v>73</v>
      </c>
      <c r="K7" s="14" t="s">
        <v>12021</v>
      </c>
      <c r="L7" s="14" t="s">
        <v>12022</v>
      </c>
      <c r="M7" s="14" t="s">
        <v>9158</v>
      </c>
      <c r="N7" s="14" t="s">
        <v>9158</v>
      </c>
      <c r="O7" s="6" t="s">
        <v>10064</v>
      </c>
      <c r="P7" s="7" t="s">
        <v>13150</v>
      </c>
      <c r="Q7" s="7">
        <v>1</v>
      </c>
    </row>
    <row r="8" spans="1:19">
      <c r="A8" s="14">
        <v>88303</v>
      </c>
      <c r="B8" s="14" t="s">
        <v>0</v>
      </c>
      <c r="C8" s="14" t="s">
        <v>185</v>
      </c>
      <c r="D8" s="18" t="s">
        <v>12023</v>
      </c>
      <c r="E8" s="15" t="str">
        <f>HYPERLINK("https://stat100.ameba.jp/tnk47/ratio20/illustrations/card/ill_88303_hanamihijikatatoshizo03.jpg?202004-5-RELEASE-marathon-466xxxx", "■")</f>
        <v>■</v>
      </c>
      <c r="F8" s="14" t="s">
        <v>12024</v>
      </c>
      <c r="G8" s="14">
        <v>143714</v>
      </c>
      <c r="H8" s="14">
        <v>154562</v>
      </c>
      <c r="I8" s="14">
        <v>26</v>
      </c>
      <c r="J8" s="14" t="s">
        <v>143</v>
      </c>
      <c r="K8" s="14" t="s">
        <v>12025</v>
      </c>
      <c r="L8" s="14" t="s">
        <v>12026</v>
      </c>
      <c r="M8" s="14" t="s">
        <v>2138</v>
      </c>
      <c r="N8" s="14" t="s">
        <v>2139</v>
      </c>
      <c r="O8" s="14" t="s">
        <v>9158</v>
      </c>
      <c r="P8" s="14" t="s">
        <v>9158</v>
      </c>
      <c r="Q8" s="14" t="s">
        <v>9158</v>
      </c>
      <c r="R8" s="14" t="s">
        <v>13120</v>
      </c>
    </row>
    <row r="9" spans="1:19">
      <c r="A9" s="14">
        <v>88313</v>
      </c>
      <c r="B9" s="14" t="s">
        <v>0</v>
      </c>
      <c r="C9" s="14" t="s">
        <v>191</v>
      </c>
      <c r="D9" s="18" t="s">
        <v>12027</v>
      </c>
      <c r="E9" s="15" t="str">
        <f>HYPERLINK("https://stat100.ameba.jp/tnk47/ratio20/illustrations/card/ill_88313_hanamikukurihimenokami03.jpg?202004-5-RELEASE-marathon-466xxxx", "■")</f>
        <v>■</v>
      </c>
      <c r="F9" s="14" t="s">
        <v>12028</v>
      </c>
      <c r="G9" s="14">
        <v>106050</v>
      </c>
      <c r="H9" s="14">
        <v>98594</v>
      </c>
      <c r="I9" s="14">
        <v>26</v>
      </c>
      <c r="J9" s="14" t="s">
        <v>44</v>
      </c>
      <c r="K9" s="14" t="s">
        <v>12029</v>
      </c>
      <c r="L9" s="14" t="s">
        <v>12030</v>
      </c>
      <c r="M9" s="14" t="s">
        <v>2138</v>
      </c>
      <c r="N9" s="14" t="s">
        <v>2139</v>
      </c>
      <c r="O9" s="14" t="s">
        <v>9158</v>
      </c>
      <c r="P9" s="14" t="s">
        <v>9158</v>
      </c>
      <c r="Q9" s="14" t="s">
        <v>9158</v>
      </c>
      <c r="R9" s="14" t="s">
        <v>13120</v>
      </c>
    </row>
    <row r="10" spans="1:19">
      <c r="A10" s="14">
        <v>88333</v>
      </c>
      <c r="B10" s="14" t="s">
        <v>15</v>
      </c>
      <c r="C10" s="14" t="s">
        <v>165</v>
      </c>
      <c r="D10" s="18" t="s">
        <v>12031</v>
      </c>
      <c r="E10" s="15" t="str">
        <f>HYPERLINK("https://stat100.ameba.jp/tnk47/ratio20/illustrations/card/ill_88333_rodobaikushibasonome03.jpg?202004-5-RELEASE-marathon-466xxxx", "■")</f>
        <v>■</v>
      </c>
      <c r="F10" s="14" t="s">
        <v>12032</v>
      </c>
      <c r="G10" s="14">
        <v>77064</v>
      </c>
      <c r="H10" s="14">
        <v>69898</v>
      </c>
      <c r="I10" s="14">
        <v>26</v>
      </c>
      <c r="J10" s="14" t="s">
        <v>10</v>
      </c>
      <c r="K10" s="14" t="s">
        <v>12033</v>
      </c>
      <c r="L10" s="14" t="s">
        <v>4524</v>
      </c>
      <c r="M10" s="14" t="s">
        <v>9158</v>
      </c>
      <c r="N10" s="14" t="s">
        <v>9158</v>
      </c>
      <c r="O10" s="14" t="s">
        <v>9158</v>
      </c>
      <c r="P10" s="14" t="s">
        <v>9158</v>
      </c>
      <c r="Q10" s="14" t="s">
        <v>9158</v>
      </c>
    </row>
    <row r="11" spans="1:19">
      <c r="A11" s="14">
        <v>88343</v>
      </c>
      <c r="B11" s="14" t="s">
        <v>15</v>
      </c>
      <c r="C11" s="14" t="s">
        <v>200</v>
      </c>
      <c r="D11" s="18" t="s">
        <v>12034</v>
      </c>
      <c r="E11" s="15" t="str">
        <f>HYPERLINK("https://stat100.ameba.jp/tnk47/ratio20/illustrations/card/ill_88343_ohanamihiratsukaraiteu03.jpg?202004-5-RELEASE-marathon-466xxxx", "■")</f>
        <v>■</v>
      </c>
      <c r="F11" s="14" t="s">
        <v>12035</v>
      </c>
      <c r="G11" s="14">
        <v>69898</v>
      </c>
      <c r="H11" s="14">
        <v>77064</v>
      </c>
      <c r="I11" s="14">
        <v>26</v>
      </c>
      <c r="J11" s="14" t="s">
        <v>16</v>
      </c>
      <c r="K11" s="14" t="s">
        <v>12036</v>
      </c>
      <c r="L11" s="14" t="s">
        <v>3760</v>
      </c>
      <c r="M11" s="14" t="s">
        <v>9158</v>
      </c>
      <c r="N11" s="14" t="s">
        <v>9158</v>
      </c>
      <c r="O11" s="14" t="s">
        <v>9158</v>
      </c>
      <c r="P11" s="14" t="s">
        <v>9158</v>
      </c>
      <c r="Q11" s="14" t="s">
        <v>9158</v>
      </c>
    </row>
    <row r="12" spans="1:19">
      <c r="A12" s="14">
        <v>88353</v>
      </c>
      <c r="B12" s="14" t="s">
        <v>15</v>
      </c>
      <c r="C12" s="14" t="s">
        <v>206</v>
      </c>
      <c r="D12" s="18" t="s">
        <v>13040</v>
      </c>
      <c r="E12" s="15" t="str">
        <f>HYPERLINK("https://stat100.ameba.jp/tnk47/ratio20/illustrations/card/ill_88353_hanamimunakatasanjojin03.jpg?202004-5-RELEASE-marathon-466xxxx", "■")</f>
        <v>■</v>
      </c>
      <c r="F12" s="14" t="s">
        <v>12037</v>
      </c>
      <c r="G12" s="14">
        <v>77064</v>
      </c>
      <c r="H12" s="14">
        <v>69898</v>
      </c>
      <c r="I12" s="14">
        <v>26</v>
      </c>
      <c r="J12" s="14" t="s">
        <v>44</v>
      </c>
      <c r="K12" s="14" t="s">
        <v>12038</v>
      </c>
      <c r="L12" s="14" t="s">
        <v>12039</v>
      </c>
      <c r="M12" s="14" t="s">
        <v>9158</v>
      </c>
      <c r="N12" s="14" t="s">
        <v>9158</v>
      </c>
      <c r="O12" s="14" t="s">
        <v>9158</v>
      </c>
      <c r="P12" s="14" t="s">
        <v>9158</v>
      </c>
      <c r="Q12" s="14" t="s">
        <v>9158</v>
      </c>
    </row>
    <row r="13" spans="1:19">
      <c r="A13" s="14">
        <v>88373</v>
      </c>
      <c r="B13" s="14" t="s">
        <v>22</v>
      </c>
      <c r="C13" s="14" t="s">
        <v>185</v>
      </c>
      <c r="D13" s="18" t="s">
        <v>12040</v>
      </c>
      <c r="E13" s="15" t="str">
        <f>HYPERLINK("https://stat100.ameba.jp/tnk47/ratio20/illustrations/card/ill_88373_hanamiozawanosakura03.jpg?202004-5-RELEASE-marathon-466xxxx", "■")</f>
        <v>■</v>
      </c>
      <c r="F13" s="14" t="s">
        <v>12041</v>
      </c>
      <c r="G13" s="14">
        <v>44948</v>
      </c>
      <c r="H13" s="14">
        <v>54058</v>
      </c>
      <c r="I13" s="14">
        <v>26</v>
      </c>
      <c r="J13" s="14" t="s">
        <v>26</v>
      </c>
      <c r="K13" s="14" t="s">
        <v>12042</v>
      </c>
      <c r="L13" s="14" t="s">
        <v>5415</v>
      </c>
      <c r="M13" s="14" t="s">
        <v>9158</v>
      </c>
      <c r="N13" s="14" t="s">
        <v>9158</v>
      </c>
      <c r="O13" s="14" t="s">
        <v>9158</v>
      </c>
      <c r="P13" s="14" t="s">
        <v>9158</v>
      </c>
      <c r="Q13" s="14" t="s">
        <v>9158</v>
      </c>
    </row>
    <row r="14" spans="1:19">
      <c r="A14" s="14">
        <v>88383</v>
      </c>
      <c r="B14" s="14" t="s">
        <v>22</v>
      </c>
      <c r="C14" s="14" t="s">
        <v>205</v>
      </c>
      <c r="D14" s="18" t="s">
        <v>12043</v>
      </c>
      <c r="E14" s="15" t="str">
        <f>HYPERLINK("https://stat100.ameba.jp/tnk47/ratio20/illustrations/card/ill_88383_hanamimimuratsuru03.jpg?202004-5-RELEASE-marathon-466xxxx", "■")</f>
        <v>■</v>
      </c>
      <c r="F14" s="14" t="s">
        <v>12044</v>
      </c>
      <c r="G14" s="14">
        <v>54058</v>
      </c>
      <c r="H14" s="14">
        <v>44948</v>
      </c>
      <c r="I14" s="14">
        <v>26</v>
      </c>
      <c r="J14" s="14" t="s">
        <v>143</v>
      </c>
      <c r="K14" s="14" t="s">
        <v>12045</v>
      </c>
      <c r="L14" s="14" t="s">
        <v>3737</v>
      </c>
      <c r="M14" s="14" t="s">
        <v>9158</v>
      </c>
      <c r="N14" s="14" t="s">
        <v>9158</v>
      </c>
      <c r="O14" s="14" t="s">
        <v>9158</v>
      </c>
      <c r="P14" s="14" t="s">
        <v>9158</v>
      </c>
      <c r="Q14" s="14" t="s">
        <v>9158</v>
      </c>
    </row>
    <row r="15" spans="1:19">
      <c r="A15" s="14">
        <v>88403</v>
      </c>
      <c r="B15" s="14" t="s">
        <v>30</v>
      </c>
      <c r="C15" s="14" t="s">
        <v>12046</v>
      </c>
      <c r="D15" s="18" t="s">
        <v>12047</v>
      </c>
      <c r="E15" s="15" t="str">
        <f>HYPERLINK("https://stat100.ameba.jp/tnk47/ratio20/illustrations/card/ill_88403_hanakaematsuri03.jpg?202004-5-RELEASE-marathon-466xxxx", "■")</f>
        <v>■</v>
      </c>
      <c r="F15" s="14" t="s">
        <v>12048</v>
      </c>
      <c r="G15" s="7" t="s">
        <v>12934</v>
      </c>
      <c r="H15" s="7" t="s">
        <v>12934</v>
      </c>
      <c r="I15" s="14">
        <v>26</v>
      </c>
      <c r="J15" s="14" t="s">
        <v>229</v>
      </c>
      <c r="K15" s="7" t="s">
        <v>12934</v>
      </c>
      <c r="L15" s="7" t="s">
        <v>12934</v>
      </c>
      <c r="M15" s="14" t="s">
        <v>9158</v>
      </c>
      <c r="N15" s="14" t="s">
        <v>9158</v>
      </c>
      <c r="O15" s="14" t="s">
        <v>9158</v>
      </c>
      <c r="P15" s="14" t="s">
        <v>9158</v>
      </c>
      <c r="Q15" s="14" t="s">
        <v>9158</v>
      </c>
    </row>
    <row r="16" spans="1:19">
      <c r="A16" s="14">
        <v>88393</v>
      </c>
      <c r="B16" s="14" t="s">
        <v>30</v>
      </c>
      <c r="C16" s="14" t="s">
        <v>5315</v>
      </c>
      <c r="D16" s="18" t="s">
        <v>12049</v>
      </c>
      <c r="E16" s="15" t="str">
        <f>HYPERLINK("https://stat100.ameba.jp/tnk47/ratio20/illustrations/card/ill_88393_hanamimaedatoshiie03.jpg?202004-5-RELEASE-marathon-466xxxx", "■")</f>
        <v>■</v>
      </c>
      <c r="F16" s="14" t="s">
        <v>12050</v>
      </c>
      <c r="G16" s="7" t="s">
        <v>12934</v>
      </c>
      <c r="H16" s="7" t="s">
        <v>12934</v>
      </c>
      <c r="I16" s="14">
        <v>26</v>
      </c>
      <c r="J16" s="14" t="s">
        <v>194</v>
      </c>
      <c r="K16" s="7" t="s">
        <v>12934</v>
      </c>
      <c r="L16" s="7" t="s">
        <v>12934</v>
      </c>
      <c r="M16" s="14" t="s">
        <v>9158</v>
      </c>
      <c r="N16" s="14" t="s">
        <v>9158</v>
      </c>
      <c r="O16" s="14" t="s">
        <v>9158</v>
      </c>
      <c r="P16" s="14" t="s">
        <v>9158</v>
      </c>
      <c r="Q16" s="14" t="s">
        <v>9158</v>
      </c>
    </row>
    <row r="17" spans="1:18">
      <c r="D17" s="7"/>
    </row>
    <row r="18" spans="1:18">
      <c r="A18" s="14" t="s">
        <v>13382</v>
      </c>
      <c r="D18" s="7"/>
    </row>
    <row r="19" spans="1:18">
      <c r="A19" s="14" t="s">
        <v>4203</v>
      </c>
      <c r="D19" s="7"/>
    </row>
    <row r="20" spans="1:18">
      <c r="A20" s="14">
        <v>88455</v>
      </c>
      <c r="B20" s="14" t="s">
        <v>0</v>
      </c>
      <c r="C20" s="14" t="s">
        <v>202</v>
      </c>
      <c r="D20" s="18" t="s">
        <v>12056</v>
      </c>
      <c r="E20" s="15" t="str">
        <f>HYPERLINK("https://stat100.ameba.jp/tnk47/ratio20/illustrations/card/ill_88455_puroresufudomyoo05.jpg?202004-5-RELEASE-marathon-466xxxx", "■")</f>
        <v>■</v>
      </c>
      <c r="F20" s="14" t="s">
        <v>12057</v>
      </c>
      <c r="G20" s="14">
        <v>134052</v>
      </c>
      <c r="H20" s="14">
        <v>97052</v>
      </c>
      <c r="I20" s="14">
        <v>26</v>
      </c>
      <c r="J20" s="14" t="s">
        <v>12059</v>
      </c>
      <c r="K20" s="14" t="s">
        <v>12058</v>
      </c>
      <c r="L20" s="14" t="s">
        <v>12060</v>
      </c>
      <c r="M20" s="14" t="s">
        <v>9158</v>
      </c>
      <c r="N20" s="14" t="s">
        <v>9158</v>
      </c>
      <c r="O20" s="14" t="s">
        <v>9158</v>
      </c>
      <c r="P20" s="14" t="s">
        <v>9158</v>
      </c>
      <c r="Q20" s="14" t="s">
        <v>9158</v>
      </c>
      <c r="R20" s="14" t="s">
        <v>174</v>
      </c>
    </row>
    <row r="21" spans="1:18">
      <c r="A21" s="14">
        <v>88453</v>
      </c>
      <c r="B21" s="14" t="s">
        <v>15</v>
      </c>
      <c r="C21" s="14" t="s">
        <v>12055</v>
      </c>
      <c r="D21" s="18" t="s">
        <v>12056</v>
      </c>
      <c r="E21" s="15" t="str">
        <f>HYPERLINK("https://stat100.ameba.jp/tnk47/ratio20/illustrations/card/ill_88453_puroresufudomyoo03.jpg?202004-5-RELEASE-marathon-466xxxx", "■")</f>
        <v>■</v>
      </c>
      <c r="F21" s="14" t="s">
        <v>12057</v>
      </c>
      <c r="G21" s="14">
        <v>98732</v>
      </c>
      <c r="H21" s="14">
        <v>71504</v>
      </c>
      <c r="I21" s="14">
        <v>26</v>
      </c>
      <c r="J21" s="14" t="s">
        <v>12059</v>
      </c>
      <c r="K21" s="14" t="s">
        <v>12058</v>
      </c>
      <c r="L21" s="14" t="s">
        <v>12061</v>
      </c>
      <c r="M21" s="14" t="s">
        <v>9158</v>
      </c>
      <c r="N21" s="14" t="s">
        <v>9158</v>
      </c>
      <c r="O21" s="14" t="s">
        <v>9158</v>
      </c>
      <c r="P21" s="14" t="s">
        <v>9158</v>
      </c>
      <c r="Q21" s="14" t="s">
        <v>9158</v>
      </c>
      <c r="R21" s="14" t="s">
        <v>175</v>
      </c>
    </row>
    <row r="22" spans="1:18">
      <c r="A22" s="14">
        <v>88451</v>
      </c>
      <c r="B22" s="14" t="s">
        <v>15</v>
      </c>
      <c r="C22" s="14" t="s">
        <v>12055</v>
      </c>
      <c r="D22" s="18" t="s">
        <v>12056</v>
      </c>
      <c r="E22" s="15" t="str">
        <f>HYPERLINK("https://stat100.ameba.jp/tnk47/ratio20/illustrations/card/ill_88451_puroresufudomyoo01.jpg?202004-5-RELEASE-marathon-466xxxx", "■")</f>
        <v>■</v>
      </c>
      <c r="F22" s="14" t="s">
        <v>12057</v>
      </c>
      <c r="G22" s="14">
        <v>62816</v>
      </c>
      <c r="H22" s="14">
        <v>45474</v>
      </c>
      <c r="I22" s="14">
        <v>26</v>
      </c>
      <c r="J22" s="14" t="s">
        <v>12059</v>
      </c>
      <c r="K22" s="14" t="s">
        <v>12058</v>
      </c>
      <c r="L22" s="14" t="s">
        <v>12062</v>
      </c>
      <c r="M22" s="14" t="s">
        <v>9158</v>
      </c>
      <c r="N22" s="14" t="s">
        <v>9158</v>
      </c>
      <c r="O22" s="14" t="s">
        <v>9158</v>
      </c>
      <c r="P22" s="14" t="s">
        <v>9158</v>
      </c>
      <c r="Q22" s="14" t="s">
        <v>9158</v>
      </c>
      <c r="R22" s="14" t="s">
        <v>176</v>
      </c>
    </row>
    <row r="23" spans="1:18">
      <c r="D23" s="7"/>
    </row>
    <row r="24" spans="1:18">
      <c r="A24" s="14" t="s">
        <v>204</v>
      </c>
      <c r="D24" s="7"/>
    </row>
    <row r="25" spans="1:18">
      <c r="A25" s="14" t="s">
        <v>4214</v>
      </c>
      <c r="D25" s="7"/>
    </row>
    <row r="26" spans="1:18">
      <c r="A26" s="14" t="s">
        <v>5602</v>
      </c>
      <c r="B26" s="14" t="s">
        <v>330</v>
      </c>
      <c r="C26" s="14" t="s">
        <v>185</v>
      </c>
      <c r="D26" s="19" t="s">
        <v>813</v>
      </c>
      <c r="E26" s="15" t="str">
        <f>HYPERLINK("https://stat100.ameba.jp/tnk47/ratio20/illustrations/card/ill_55313_0_haroinononokomachi03.jpg?202004-5-RELEASE-marathon-466xxxx", "■")</f>
        <v>■</v>
      </c>
      <c r="F26" s="14" t="s">
        <v>814</v>
      </c>
      <c r="G26" s="14">
        <v>138212</v>
      </c>
      <c r="H26" s="14">
        <v>122776</v>
      </c>
      <c r="I26" s="14">
        <v>22</v>
      </c>
      <c r="J26" s="14" t="s">
        <v>351</v>
      </c>
      <c r="K26" s="14" t="s">
        <v>815</v>
      </c>
      <c r="L26" s="14" t="s">
        <v>816</v>
      </c>
      <c r="M26" s="14" t="s">
        <v>9158</v>
      </c>
      <c r="N26" s="14" t="s">
        <v>9158</v>
      </c>
      <c r="O26" s="19" t="s">
        <v>2733</v>
      </c>
      <c r="P26" s="14" t="s">
        <v>2734</v>
      </c>
      <c r="Q26" s="14">
        <v>1</v>
      </c>
    </row>
    <row r="27" spans="1:18">
      <c r="A27" s="14" t="s">
        <v>5605</v>
      </c>
      <c r="B27" s="14" t="s">
        <v>52</v>
      </c>
      <c r="C27" s="14" t="s">
        <v>202</v>
      </c>
      <c r="D27" s="19" t="s">
        <v>10332</v>
      </c>
      <c r="E27" s="15" t="str">
        <f>HYPERLINK("https://stat100.ameba.jp/tnk47/ratio20/illustrations/card/ill_79373_0_hommeichokotennyohime03.jpg?202004-5-RELEASE-marathon-466xxxx", "■")</f>
        <v>■</v>
      </c>
      <c r="F27" s="14" t="s">
        <v>3495</v>
      </c>
      <c r="G27" s="14">
        <v>272036</v>
      </c>
      <c r="H27" s="14">
        <v>245878</v>
      </c>
      <c r="I27" s="14">
        <v>22</v>
      </c>
      <c r="J27" s="14" t="s">
        <v>104</v>
      </c>
      <c r="K27" s="14" t="s">
        <v>3496</v>
      </c>
      <c r="L27" s="14" t="s">
        <v>3497</v>
      </c>
      <c r="M27" s="14" t="s">
        <v>9158</v>
      </c>
      <c r="N27" s="14" t="s">
        <v>9158</v>
      </c>
      <c r="O27" s="19" t="s">
        <v>10072</v>
      </c>
      <c r="P27" s="14" t="s">
        <v>3498</v>
      </c>
      <c r="Q27" s="14">
        <v>1</v>
      </c>
    </row>
    <row r="28" spans="1:18">
      <c r="A28" s="14" t="s">
        <v>5604</v>
      </c>
      <c r="B28" s="14" t="s">
        <v>330</v>
      </c>
      <c r="C28" s="14" t="s">
        <v>206</v>
      </c>
      <c r="D28" s="19" t="s">
        <v>614</v>
      </c>
      <c r="E28" s="15" t="str">
        <f>HYPERLINK("https://stat100.ameba.jp/tnk47/ratio20/illustrations/card/ill_47263_0_oukyuuatsuhime03.jpg?202004-5-RELEASE-marathon-466xxxx", "■")</f>
        <v>■</v>
      </c>
      <c r="F28" s="14" t="s">
        <v>615</v>
      </c>
      <c r="G28" s="14">
        <v>138212</v>
      </c>
      <c r="H28" s="14">
        <v>122776</v>
      </c>
      <c r="I28" s="14">
        <v>22</v>
      </c>
      <c r="J28" s="14" t="s">
        <v>315</v>
      </c>
      <c r="K28" s="14" t="s">
        <v>616</v>
      </c>
      <c r="L28" s="14" t="s">
        <v>617</v>
      </c>
      <c r="M28" s="14" t="s">
        <v>9158</v>
      </c>
      <c r="N28" s="14" t="s">
        <v>9158</v>
      </c>
      <c r="O28" s="14" t="s">
        <v>9158</v>
      </c>
      <c r="P28" s="14" t="s">
        <v>9158</v>
      </c>
      <c r="Q28" s="14" t="s">
        <v>9158</v>
      </c>
    </row>
    <row r="29" spans="1:18">
      <c r="A29" s="14">
        <v>85883</v>
      </c>
      <c r="B29" s="14" t="s">
        <v>334</v>
      </c>
      <c r="C29" s="14" t="s">
        <v>206</v>
      </c>
      <c r="D29" s="20" t="s">
        <v>10866</v>
      </c>
      <c r="E29" s="15" t="str">
        <f>HYPERLINK("https://stat100.ameba.jp/tnk47/ratio20/illustrations/card/ill_85883_omochapapettomasuta03.jpg?202004-5-RELEASE-marathon-466xxxx", "■")</f>
        <v>■</v>
      </c>
      <c r="F29" s="14" t="s">
        <v>8718</v>
      </c>
      <c r="G29" s="14">
        <v>125392</v>
      </c>
      <c r="H29" s="14">
        <v>70556</v>
      </c>
      <c r="I29" s="14">
        <v>26</v>
      </c>
      <c r="J29" s="14" t="s">
        <v>10</v>
      </c>
      <c r="K29" s="14" t="s">
        <v>8717</v>
      </c>
      <c r="L29" s="14" t="s">
        <v>60</v>
      </c>
      <c r="M29" s="14" t="s">
        <v>9158</v>
      </c>
      <c r="N29" s="14" t="s">
        <v>9158</v>
      </c>
      <c r="O29" s="14" t="s">
        <v>9158</v>
      </c>
      <c r="P29" s="14" t="s">
        <v>9158</v>
      </c>
      <c r="Q29" s="14" t="s">
        <v>9158</v>
      </c>
    </row>
    <row r="30" spans="1:18">
      <c r="A30" s="14">
        <v>85243</v>
      </c>
      <c r="B30" s="14" t="s">
        <v>334</v>
      </c>
      <c r="C30" s="14" t="s">
        <v>200</v>
      </c>
      <c r="D30" s="19" t="s">
        <v>10790</v>
      </c>
      <c r="E30" s="15" t="str">
        <f>HYPERLINK("https://stat100.ameba.jp/tnk47/ratio20/illustrations/card/ill_85243_daikokaijidaikonjikihime03.jpg?202004-5-RELEASE-marathon-466xxxx", "■")</f>
        <v>■</v>
      </c>
      <c r="F30" s="14" t="s">
        <v>8159</v>
      </c>
      <c r="G30" s="14">
        <v>118000</v>
      </c>
      <c r="H30" s="14">
        <v>85492</v>
      </c>
      <c r="I30" s="14">
        <v>26</v>
      </c>
      <c r="J30" s="14" t="s">
        <v>155</v>
      </c>
      <c r="K30" s="14" t="s">
        <v>8158</v>
      </c>
      <c r="L30" s="14" t="s">
        <v>8157</v>
      </c>
      <c r="M30" s="14" t="s">
        <v>9158</v>
      </c>
      <c r="N30" s="14" t="s">
        <v>9158</v>
      </c>
      <c r="O30" s="14" t="s">
        <v>9158</v>
      </c>
      <c r="P30" s="14" t="s">
        <v>9158</v>
      </c>
      <c r="Q30" s="14" t="s">
        <v>9158</v>
      </c>
    </row>
    <row r="31" spans="1:18">
      <c r="A31" s="7">
        <v>76703</v>
      </c>
      <c r="B31" s="14" t="s">
        <v>334</v>
      </c>
      <c r="C31" s="14" t="s">
        <v>185</v>
      </c>
      <c r="D31" s="20" t="s">
        <v>12063</v>
      </c>
      <c r="E31" s="15" t="str">
        <f>HYPERLINK("https://stat100.ameba.jp/tnk47/ratio20/illustrations/card/ill_76703_dondonyaki03.jpg?202004-5-RELEASE-marathon-466xxxx", "■")</f>
        <v>■</v>
      </c>
      <c r="F31" s="14" t="s">
        <v>1106</v>
      </c>
      <c r="G31" s="14">
        <v>122786</v>
      </c>
      <c r="H31" s="14">
        <v>114176</v>
      </c>
      <c r="I31" s="14">
        <v>26</v>
      </c>
      <c r="J31" s="14" t="s">
        <v>104</v>
      </c>
      <c r="K31" s="14" t="s">
        <v>1107</v>
      </c>
      <c r="L31" s="14" t="s">
        <v>1108</v>
      </c>
      <c r="M31" s="14" t="s">
        <v>9158</v>
      </c>
      <c r="N31" s="14" t="s">
        <v>9158</v>
      </c>
      <c r="O31" s="14" t="s">
        <v>9158</v>
      </c>
      <c r="P31" s="14" t="s">
        <v>9158</v>
      </c>
      <c r="Q31" s="14" t="s">
        <v>9158</v>
      </c>
    </row>
    <row r="33" spans="1:18">
      <c r="A33" s="14" t="s">
        <v>12064</v>
      </c>
    </row>
    <row r="34" spans="1:18">
      <c r="A34" s="14" t="s">
        <v>4216</v>
      </c>
    </row>
    <row r="35" spans="1:18">
      <c r="A35" s="7" t="s">
        <v>8437</v>
      </c>
      <c r="B35" s="7" t="s">
        <v>52</v>
      </c>
      <c r="C35" s="7" t="s">
        <v>202</v>
      </c>
      <c r="D35" s="20" t="s">
        <v>10806</v>
      </c>
      <c r="E35" s="15" t="str">
        <f>HYPERLINK("https://stat100.ameba.jp/tnk47/ratio20/illustrations/card/ill_85523_0_seitankuronikurukusumotoine03.jpg?202004-5-RELEASE-marathon-466xxxx", "■")</f>
        <v>■</v>
      </c>
      <c r="F35" s="7" t="s">
        <v>8440</v>
      </c>
      <c r="G35" s="7">
        <v>302861</v>
      </c>
      <c r="H35" s="7">
        <v>273740</v>
      </c>
      <c r="I35" s="7">
        <v>25</v>
      </c>
      <c r="J35" s="14" t="s">
        <v>77</v>
      </c>
      <c r="K35" s="7" t="s">
        <v>8446</v>
      </c>
      <c r="L35" s="7" t="s">
        <v>8439</v>
      </c>
      <c r="M35" s="14" t="s">
        <v>9158</v>
      </c>
      <c r="N35" s="14" t="s">
        <v>9158</v>
      </c>
      <c r="O35" s="19" t="s">
        <v>10133</v>
      </c>
      <c r="P35" s="7" t="s">
        <v>8441</v>
      </c>
      <c r="Q35" s="7">
        <v>1</v>
      </c>
    </row>
    <row r="36" spans="1:18">
      <c r="A36" s="7">
        <v>85653</v>
      </c>
      <c r="B36" s="7" t="s">
        <v>0</v>
      </c>
      <c r="C36" s="14" t="s">
        <v>158</v>
      </c>
      <c r="D36" s="20" t="s">
        <v>10846</v>
      </c>
      <c r="E36" s="15" t="str">
        <f>HYPERLINK("https://stat100.ameba.jp/tnk47/ratio20/illustrations/card/ill_85653_onashiefumizuno03.jpg?202004-5-RELEASE-marathon-466xxxx", "■")</f>
        <v>■</v>
      </c>
      <c r="F36" s="7" t="s">
        <v>8587</v>
      </c>
      <c r="G36" s="7">
        <v>91876</v>
      </c>
      <c r="H36" s="7">
        <v>126858</v>
      </c>
      <c r="I36" s="7">
        <v>24</v>
      </c>
      <c r="J36" s="7" t="s">
        <v>216</v>
      </c>
      <c r="K36" s="7" t="s">
        <v>8586</v>
      </c>
      <c r="L36" s="7" t="s">
        <v>131</v>
      </c>
      <c r="M36" s="14" t="s">
        <v>9158</v>
      </c>
      <c r="N36" s="14" t="s">
        <v>9158</v>
      </c>
      <c r="O36" s="19" t="s">
        <v>4074</v>
      </c>
      <c r="P36" s="14" t="s">
        <v>3462</v>
      </c>
      <c r="Q36" s="14">
        <v>1</v>
      </c>
    </row>
    <row r="37" spans="1:18">
      <c r="A37" s="14">
        <v>80163</v>
      </c>
      <c r="B37" s="14" t="s">
        <v>334</v>
      </c>
      <c r="C37" s="14" t="s">
        <v>158</v>
      </c>
      <c r="D37" s="19" t="s">
        <v>10391</v>
      </c>
      <c r="E37" s="15" t="str">
        <f>HYPERLINK("https://stat100.ameba.jp/tnk47/ratio20/illustrations/card/ill_80163_kuronosu03.jpg?202004-5-RELEASE-marathon-466xxxx", "■")</f>
        <v>■</v>
      </c>
      <c r="F37" s="14" t="s">
        <v>3766</v>
      </c>
      <c r="G37" s="14">
        <v>79348</v>
      </c>
      <c r="H37" s="14">
        <v>109554</v>
      </c>
      <c r="I37" s="14">
        <v>24</v>
      </c>
      <c r="J37" s="14" t="s">
        <v>44</v>
      </c>
      <c r="K37" s="14" t="s">
        <v>3767</v>
      </c>
      <c r="L37" s="14" t="s">
        <v>1209</v>
      </c>
      <c r="M37" s="14" t="s">
        <v>9158</v>
      </c>
      <c r="N37" s="14" t="s">
        <v>9158</v>
      </c>
      <c r="O37" s="19" t="s">
        <v>2752</v>
      </c>
      <c r="P37" s="14" t="s">
        <v>13123</v>
      </c>
      <c r="Q37" s="14">
        <v>1</v>
      </c>
    </row>
    <row r="38" spans="1:18">
      <c r="A38" s="14">
        <v>75083</v>
      </c>
      <c r="B38" s="14" t="s">
        <v>334</v>
      </c>
      <c r="C38" s="14" t="s">
        <v>209</v>
      </c>
      <c r="D38" s="19" t="s">
        <v>10401</v>
      </c>
      <c r="E38" s="15" t="str">
        <f>HYPERLINK("https://stat100.ameba.jp/tnk47/ratio20/illustrations/card/ill_75083_sukumizuhanakosan03.jpg?202004-5-RELEASE-marathon-466xxxx", "■")</f>
        <v>■</v>
      </c>
      <c r="F38" s="14" t="s">
        <v>1020</v>
      </c>
      <c r="G38" s="14">
        <v>111914</v>
      </c>
      <c r="H38" s="14">
        <v>81078</v>
      </c>
      <c r="I38" s="14">
        <v>24</v>
      </c>
      <c r="J38" s="14" t="s">
        <v>73</v>
      </c>
      <c r="K38" s="14" t="s">
        <v>1021</v>
      </c>
      <c r="L38" s="14" t="s">
        <v>1022</v>
      </c>
      <c r="M38" s="14" t="s">
        <v>9158</v>
      </c>
      <c r="N38" s="14" t="s">
        <v>9158</v>
      </c>
      <c r="O38" s="19" t="s">
        <v>10105</v>
      </c>
      <c r="P38" s="14" t="s">
        <v>3416</v>
      </c>
      <c r="Q38" s="14">
        <v>1</v>
      </c>
    </row>
    <row r="40" spans="1:18">
      <c r="A40" s="7" t="s">
        <v>13327</v>
      </c>
      <c r="B40" s="7"/>
      <c r="C40" s="7"/>
      <c r="D40" s="7"/>
      <c r="E40" s="7"/>
      <c r="F40" s="7"/>
      <c r="G40" s="7"/>
      <c r="H40" s="9"/>
      <c r="I40" s="7"/>
      <c r="J40" s="7"/>
      <c r="K40" s="7"/>
      <c r="L40" s="7"/>
      <c r="M40" s="7"/>
      <c r="N40" s="7"/>
      <c r="O40" s="7"/>
      <c r="P40" s="7"/>
      <c r="Q40" s="7"/>
      <c r="R40" s="7"/>
    </row>
    <row r="41" spans="1:18">
      <c r="A41" s="7" t="s">
        <v>4215</v>
      </c>
      <c r="B41" s="7"/>
      <c r="C41" s="7"/>
      <c r="D41" s="7"/>
      <c r="E41" s="7"/>
      <c r="F41" s="7"/>
      <c r="G41" s="7"/>
      <c r="H41" s="9"/>
      <c r="I41" s="7"/>
      <c r="J41" s="7"/>
      <c r="K41" s="7"/>
      <c r="L41" s="7"/>
      <c r="M41" s="7"/>
      <c r="N41" s="7"/>
      <c r="O41" s="7"/>
      <c r="P41" s="7"/>
      <c r="Q41" s="7"/>
      <c r="R41" s="7"/>
    </row>
    <row r="42" spans="1:18">
      <c r="A42" s="14">
        <v>88153</v>
      </c>
      <c r="B42" s="14" t="s">
        <v>334</v>
      </c>
      <c r="C42" s="14" t="s">
        <v>14</v>
      </c>
      <c r="D42" s="6" t="s">
        <v>10011</v>
      </c>
      <c r="E42" s="15" t="str">
        <f>HYPERLINK("https://stat100.ameba.jp/tnk47/ratio20/illustrations/card/ill_88153_sunofueari03.jpg?202004-5-RELEASE-marathon-466xxxx", "■")</f>
        <v>■</v>
      </c>
      <c r="F42" s="14" t="s">
        <v>9960</v>
      </c>
      <c r="G42" s="14">
        <v>128000</v>
      </c>
      <c r="H42" s="14">
        <v>119006</v>
      </c>
      <c r="I42" s="14">
        <v>26</v>
      </c>
      <c r="J42" s="14" t="s">
        <v>169</v>
      </c>
      <c r="K42" s="14" t="s">
        <v>9961</v>
      </c>
      <c r="L42" s="14" t="s">
        <v>9962</v>
      </c>
      <c r="M42" s="14" t="s">
        <v>13130</v>
      </c>
      <c r="N42" s="14" t="s">
        <v>343</v>
      </c>
      <c r="O42" s="14" t="s">
        <v>9158</v>
      </c>
      <c r="P42" s="14" t="s">
        <v>9158</v>
      </c>
      <c r="Q42" s="14" t="s">
        <v>9158</v>
      </c>
      <c r="R42" s="14" t="s">
        <v>14748</v>
      </c>
    </row>
    <row r="43" spans="1:18">
      <c r="A43" s="14">
        <v>88152</v>
      </c>
      <c r="B43" s="14" t="s">
        <v>334</v>
      </c>
      <c r="C43" s="14" t="s">
        <v>14</v>
      </c>
      <c r="D43" s="6" t="s">
        <v>10011</v>
      </c>
      <c r="E43" s="15" t="str">
        <f>HYPERLINK("https://stat100.ameba.jp/tnk47/ratio20/illustrations/card/ill_88152_sunofueari02.jpg?202004-5-RELEASE-marathon-466xxxx", "■")</f>
        <v>■</v>
      </c>
      <c r="F43" s="14" t="s">
        <v>9960</v>
      </c>
      <c r="G43" s="14">
        <v>107000</v>
      </c>
      <c r="H43" s="14">
        <v>98566</v>
      </c>
      <c r="I43" s="14">
        <v>26</v>
      </c>
      <c r="J43" s="14" t="s">
        <v>169</v>
      </c>
      <c r="K43" s="14" t="s">
        <v>9961</v>
      </c>
      <c r="L43" s="14" t="s">
        <v>9962</v>
      </c>
      <c r="M43" s="14" t="s">
        <v>13131</v>
      </c>
      <c r="N43" s="14" t="s">
        <v>251</v>
      </c>
      <c r="O43" s="14" t="s">
        <v>9158</v>
      </c>
      <c r="P43" s="14" t="s">
        <v>9158</v>
      </c>
      <c r="Q43" s="14" t="s">
        <v>9158</v>
      </c>
      <c r="R43" s="14" t="s">
        <v>14748</v>
      </c>
    </row>
    <row r="44" spans="1:18">
      <c r="A44" s="14">
        <v>88151</v>
      </c>
      <c r="B44" s="14" t="s">
        <v>0</v>
      </c>
      <c r="C44" s="14" t="s">
        <v>14</v>
      </c>
      <c r="D44" s="6" t="s">
        <v>10011</v>
      </c>
      <c r="E44" s="15" t="str">
        <f>HYPERLINK("https://stat100.ameba.jp/tnk47/ratio20/illustrations/card/ill_88151_sunofueari01.jpg?202004-5-RELEASE-marathon-466xxxx", "■")</f>
        <v>■</v>
      </c>
      <c r="F44" s="14" t="s">
        <v>9960</v>
      </c>
      <c r="G44" s="14">
        <v>81692</v>
      </c>
      <c r="H44" s="14">
        <v>76050</v>
      </c>
      <c r="I44" s="14">
        <v>26</v>
      </c>
      <c r="J44" s="14" t="s">
        <v>169</v>
      </c>
      <c r="K44" s="14" t="s">
        <v>9961</v>
      </c>
      <c r="L44" s="14" t="s">
        <v>9962</v>
      </c>
      <c r="M44" s="14" t="s">
        <v>13131</v>
      </c>
      <c r="N44" s="14" t="s">
        <v>251</v>
      </c>
      <c r="O44" s="14" t="s">
        <v>9158</v>
      </c>
      <c r="P44" s="14" t="s">
        <v>9158</v>
      </c>
      <c r="Q44" s="14" t="s">
        <v>9158</v>
      </c>
      <c r="R44" s="14" t="s">
        <v>14748</v>
      </c>
    </row>
    <row r="45" spans="1:18">
      <c r="A45" s="14">
        <v>88163</v>
      </c>
      <c r="B45" s="14" t="s">
        <v>334</v>
      </c>
      <c r="C45" s="14" t="s">
        <v>23</v>
      </c>
      <c r="D45" s="6" t="s">
        <v>10012</v>
      </c>
      <c r="E45" s="15" t="str">
        <f>HYPERLINK("https://stat100.ameba.jp/tnk47/ratio20/illustrations/card/ill_88163_shitsujitanteimagi03.jpg?202004-5-RELEASE-marathon-466xxxx", "■")</f>
        <v>■</v>
      </c>
      <c r="F45" s="14" t="s">
        <v>9963</v>
      </c>
      <c r="G45" s="14">
        <v>128000</v>
      </c>
      <c r="H45" s="14">
        <v>119006</v>
      </c>
      <c r="I45" s="14">
        <v>26</v>
      </c>
      <c r="J45" s="14" t="s">
        <v>159</v>
      </c>
      <c r="K45" s="14" t="s">
        <v>9964</v>
      </c>
      <c r="L45" s="14" t="s">
        <v>9965</v>
      </c>
      <c r="M45" s="14" t="s">
        <v>13130</v>
      </c>
      <c r="N45" s="14" t="s">
        <v>343</v>
      </c>
      <c r="O45" s="14" t="s">
        <v>9158</v>
      </c>
      <c r="P45" s="14" t="s">
        <v>9158</v>
      </c>
      <c r="Q45" s="14" t="s">
        <v>9158</v>
      </c>
      <c r="R45" s="14" t="s">
        <v>14748</v>
      </c>
    </row>
    <row r="46" spans="1:18">
      <c r="A46" s="14">
        <v>88173</v>
      </c>
      <c r="B46" s="14" t="s">
        <v>334</v>
      </c>
      <c r="C46" s="14" t="s">
        <v>101</v>
      </c>
      <c r="D46" s="6" t="s">
        <v>10013</v>
      </c>
      <c r="E46" s="15" t="str">
        <f>HYPERLINK("https://stat100.ameba.jp/tnk47/ratio20/illustrations/card/ill_88173_pichipurinsesu03.jpg?202004-5-RELEASE-marathon-466xxxx", "■")</f>
        <v>■</v>
      </c>
      <c r="F46" s="14" t="s">
        <v>9966</v>
      </c>
      <c r="G46" s="14">
        <v>119006</v>
      </c>
      <c r="H46" s="14">
        <v>128000</v>
      </c>
      <c r="I46" s="14">
        <v>26</v>
      </c>
      <c r="J46" s="14" t="s">
        <v>187</v>
      </c>
      <c r="K46" s="14" t="s">
        <v>9967</v>
      </c>
      <c r="L46" s="14" t="s">
        <v>9968</v>
      </c>
      <c r="M46" s="14" t="s">
        <v>13130</v>
      </c>
      <c r="N46" s="14" t="s">
        <v>343</v>
      </c>
      <c r="O46" s="14" t="s">
        <v>9158</v>
      </c>
      <c r="P46" s="14" t="s">
        <v>9158</v>
      </c>
      <c r="Q46" s="14" t="s">
        <v>9158</v>
      </c>
      <c r="R46" s="14" t="s">
        <v>14748</v>
      </c>
    </row>
    <row r="47" spans="1:18">
      <c r="A47" s="14">
        <v>88183</v>
      </c>
      <c r="B47" s="14" t="s">
        <v>0</v>
      </c>
      <c r="C47" s="14" t="s">
        <v>96</v>
      </c>
      <c r="D47" s="6" t="s">
        <v>10014</v>
      </c>
      <c r="E47" s="15" t="str">
        <f>HYPERLINK("https://stat100.ameba.jp/tnk47/ratio20/illustrations/card/ill_88183_saikiringugaru03.jpg?202004-5-RELEASE-marathon-466xxxx", "■")</f>
        <v>■</v>
      </c>
      <c r="F47" s="14" t="s">
        <v>9969</v>
      </c>
      <c r="G47" s="14">
        <v>119006</v>
      </c>
      <c r="H47" s="14">
        <v>128000</v>
      </c>
      <c r="I47" s="14">
        <v>26</v>
      </c>
      <c r="J47" s="14" t="s">
        <v>182</v>
      </c>
      <c r="K47" s="14" t="s">
        <v>9970</v>
      </c>
      <c r="L47" s="14" t="s">
        <v>9971</v>
      </c>
      <c r="M47" s="14" t="s">
        <v>13130</v>
      </c>
      <c r="N47" s="14" t="s">
        <v>343</v>
      </c>
      <c r="O47" s="14" t="s">
        <v>9158</v>
      </c>
      <c r="P47" s="14" t="s">
        <v>9158</v>
      </c>
      <c r="Q47" s="14" t="s">
        <v>9158</v>
      </c>
      <c r="R47" s="14" t="s">
        <v>14748</v>
      </c>
    </row>
    <row r="48" spans="1:18">
      <c r="A48" s="14">
        <v>88193</v>
      </c>
      <c r="B48" s="14" t="s">
        <v>334</v>
      </c>
      <c r="C48" s="14" t="s">
        <v>205</v>
      </c>
      <c r="D48" s="6" t="s">
        <v>10015</v>
      </c>
      <c r="E48" s="15" t="str">
        <f>HYPERLINK("https://stat100.ameba.jp/tnk47/ratio20/illustrations/card/ill_88193_sakasunomajo03.jpg?202004-5-RELEASE-marathon-466xxxx", "■")</f>
        <v>■</v>
      </c>
      <c r="F48" s="14" t="s">
        <v>9972</v>
      </c>
      <c r="G48" s="14">
        <v>119006</v>
      </c>
      <c r="H48" s="14">
        <v>128000</v>
      </c>
      <c r="I48" s="14">
        <v>26</v>
      </c>
      <c r="J48" s="14" t="s">
        <v>155</v>
      </c>
      <c r="K48" s="14" t="s">
        <v>9977</v>
      </c>
      <c r="L48" s="14" t="s">
        <v>9973</v>
      </c>
      <c r="M48" s="14" t="s">
        <v>13130</v>
      </c>
      <c r="N48" s="14" t="s">
        <v>343</v>
      </c>
      <c r="O48" s="14" t="s">
        <v>9158</v>
      </c>
      <c r="P48" s="14" t="s">
        <v>9158</v>
      </c>
      <c r="Q48" s="14" t="s">
        <v>9158</v>
      </c>
      <c r="R48" s="14" t="s">
        <v>14748</v>
      </c>
    </row>
    <row r="49" spans="1:18" s="9" customFormat="1">
      <c r="A49" s="14">
        <v>88203</v>
      </c>
      <c r="B49" s="14" t="s">
        <v>334</v>
      </c>
      <c r="C49" s="14" t="s">
        <v>107</v>
      </c>
      <c r="D49" s="6" t="s">
        <v>10016</v>
      </c>
      <c r="E49" s="15" t="str">
        <f>HYPERLINK("https://stat100.ameba.jp/tnk47/ratio20/illustrations/card/ill_88203_soingumasuta03.jpg?202004-5-RELEASE-marathon-466xxxx", "■")</f>
        <v>■</v>
      </c>
      <c r="F49" s="14" t="s">
        <v>9976</v>
      </c>
      <c r="G49" s="14">
        <v>128000</v>
      </c>
      <c r="H49" s="14">
        <v>119006</v>
      </c>
      <c r="I49" s="14">
        <v>26</v>
      </c>
      <c r="J49" s="14" t="s">
        <v>173</v>
      </c>
      <c r="K49" s="14" t="s">
        <v>9974</v>
      </c>
      <c r="L49" s="14" t="s">
        <v>9975</v>
      </c>
      <c r="M49" s="14" t="s">
        <v>13130</v>
      </c>
      <c r="N49" s="14" t="s">
        <v>343</v>
      </c>
      <c r="O49" s="14" t="s">
        <v>9158</v>
      </c>
      <c r="P49" s="14" t="s">
        <v>9158</v>
      </c>
      <c r="Q49" s="14" t="s">
        <v>9158</v>
      </c>
      <c r="R49" s="14" t="s">
        <v>14748</v>
      </c>
    </row>
    <row r="51" spans="1:18">
      <c r="A51" s="14" t="s">
        <v>12009</v>
      </c>
    </row>
    <row r="52" spans="1:18">
      <c r="A52" s="14" t="s">
        <v>4218</v>
      </c>
    </row>
    <row r="53" spans="1:18">
      <c r="A53" s="14" t="s">
        <v>11484</v>
      </c>
    </row>
    <row r="54" spans="1:18">
      <c r="A54" s="14" t="s">
        <v>12012</v>
      </c>
      <c r="B54" s="7" t="s">
        <v>52</v>
      </c>
      <c r="C54" s="14" t="s">
        <v>202</v>
      </c>
      <c r="D54" s="18" t="s">
        <v>12013</v>
      </c>
      <c r="E54" s="15" t="str">
        <f>HYPERLINK("https://stat100.ameba.jp/tnk47/ratio20/illustrations/card/ill_88363_0_hanamijingukogo03.jpg?202004-5-RELEASE-marathon-466xxxx", "■")</f>
        <v>■</v>
      </c>
      <c r="F54" s="14" t="s">
        <v>12014</v>
      </c>
      <c r="G54" s="14">
        <v>243418</v>
      </c>
      <c r="H54" s="14">
        <v>219998</v>
      </c>
      <c r="I54" s="7">
        <v>20</v>
      </c>
      <c r="J54" s="14" t="s">
        <v>10</v>
      </c>
      <c r="K54" s="14" t="s">
        <v>12015</v>
      </c>
      <c r="L54" s="14" t="s">
        <v>12016</v>
      </c>
      <c r="M54" s="14" t="s">
        <v>9158</v>
      </c>
      <c r="N54" s="14" t="s">
        <v>9158</v>
      </c>
      <c r="O54" s="6" t="s">
        <v>12017</v>
      </c>
      <c r="P54" s="7" t="s">
        <v>12018</v>
      </c>
      <c r="Q54" s="7">
        <v>1</v>
      </c>
    </row>
    <row r="55" spans="1:18">
      <c r="A55" s="14">
        <v>88413</v>
      </c>
      <c r="B55" s="14" t="s">
        <v>12070</v>
      </c>
      <c r="C55" s="14" t="s">
        <v>12066</v>
      </c>
      <c r="D55" s="14" t="s">
        <v>12065</v>
      </c>
      <c r="E55" s="15" t="str">
        <f>HYPERLINK("https://stat100.ameba.jp/tnk47/ratio20/illustrations/card/ill_88413_puroresugo03.jpg?202004-5-RELEASE-marathon-466xxxx", "■")</f>
        <v>■</v>
      </c>
      <c r="F55" s="14" t="s">
        <v>12083</v>
      </c>
      <c r="G55" s="14">
        <v>101558</v>
      </c>
      <c r="H55" s="14">
        <v>94390</v>
      </c>
      <c r="I55" s="14">
        <v>26</v>
      </c>
      <c r="J55" s="14" t="s">
        <v>12074</v>
      </c>
      <c r="K55" s="14" t="s">
        <v>12082</v>
      </c>
      <c r="L55" s="14" t="s">
        <v>12081</v>
      </c>
      <c r="M55" s="14" t="s">
        <v>9158</v>
      </c>
      <c r="N55" s="14" t="s">
        <v>9158</v>
      </c>
      <c r="O55" s="14" t="s">
        <v>9158</v>
      </c>
      <c r="P55" s="14" t="s">
        <v>9158</v>
      </c>
      <c r="Q55" s="14" t="s">
        <v>9158</v>
      </c>
    </row>
    <row r="56" spans="1:18">
      <c r="A56" s="14">
        <v>88423</v>
      </c>
      <c r="B56" s="14" t="s">
        <v>12071</v>
      </c>
      <c r="C56" s="14" t="s">
        <v>12067</v>
      </c>
      <c r="D56" s="14" t="s">
        <v>12078</v>
      </c>
      <c r="E56" s="15" t="str">
        <f>HYPERLINK("https://stat100.ameba.jp/tnk47/ratio20/illustrations/card/ill_88423_puroresunihonrisuchan03.jpg?202004-5-RELEASE-marathon-466xxxx", "■")</f>
        <v>■</v>
      </c>
      <c r="F56" s="14" t="s">
        <v>12086</v>
      </c>
      <c r="G56" s="14">
        <v>69898</v>
      </c>
      <c r="H56" s="14">
        <v>77064</v>
      </c>
      <c r="I56" s="14">
        <v>26</v>
      </c>
      <c r="J56" s="14" t="s">
        <v>12075</v>
      </c>
      <c r="K56" s="14" t="s">
        <v>12085</v>
      </c>
      <c r="L56" s="14" t="s">
        <v>12084</v>
      </c>
      <c r="M56" s="14" t="s">
        <v>9158</v>
      </c>
      <c r="N56" s="14" t="s">
        <v>9158</v>
      </c>
      <c r="O56" s="14" t="s">
        <v>9158</v>
      </c>
      <c r="P56" s="14" t="s">
        <v>9158</v>
      </c>
      <c r="Q56" s="14" t="s">
        <v>9158</v>
      </c>
    </row>
    <row r="57" spans="1:18">
      <c r="A57" s="14">
        <v>88433</v>
      </c>
      <c r="B57" s="14" t="s">
        <v>12072</v>
      </c>
      <c r="C57" s="14" t="s">
        <v>12068</v>
      </c>
      <c r="D57" s="14" t="s">
        <v>12079</v>
      </c>
      <c r="E57" s="15" t="str">
        <f>HYPERLINK("https://stat100.ameba.jp/tnk47/ratio20/illustrations/card/ill_88433_puroresukagoikenokitsune03.jpg?202004-5-RELEASE-marathon-466xxxx", "■")</f>
        <v>■</v>
      </c>
      <c r="F57" s="14" t="s">
        <v>12089</v>
      </c>
      <c r="G57" s="14">
        <v>54058</v>
      </c>
      <c r="H57" s="14">
        <v>44948</v>
      </c>
      <c r="I57" s="14">
        <v>26</v>
      </c>
      <c r="J57" s="14" t="s">
        <v>12076</v>
      </c>
      <c r="K57" s="14" t="s">
        <v>12088</v>
      </c>
      <c r="L57" s="14" t="s">
        <v>12087</v>
      </c>
      <c r="M57" s="14" t="s">
        <v>9158</v>
      </c>
      <c r="N57" s="14" t="s">
        <v>9158</v>
      </c>
      <c r="O57" s="14" t="s">
        <v>9158</v>
      </c>
      <c r="P57" s="14" t="s">
        <v>9158</v>
      </c>
      <c r="Q57" s="14" t="s">
        <v>9158</v>
      </c>
    </row>
    <row r="58" spans="1:18">
      <c r="A58" s="14">
        <v>88443</v>
      </c>
      <c r="B58" s="14" t="s">
        <v>12073</v>
      </c>
      <c r="C58" s="14" t="s">
        <v>12069</v>
      </c>
      <c r="D58" s="14" t="s">
        <v>12080</v>
      </c>
      <c r="E58" s="15" t="str">
        <f>HYPERLINK("https://stat100.ameba.jp/tnk47/ratio20/illustrations/card/ill_88443_hiratsukatamehiro03.jpg?202004-5-RELEASE-marathon-466xxxx", "■")</f>
        <v>■</v>
      </c>
      <c r="F58" s="14" t="s">
        <v>12092</v>
      </c>
      <c r="G58" s="14">
        <v>27486</v>
      </c>
      <c r="H58" s="14">
        <v>32728</v>
      </c>
      <c r="I58" s="14">
        <v>26</v>
      </c>
      <c r="J58" s="14" t="s">
        <v>12077</v>
      </c>
      <c r="K58" s="14" t="s">
        <v>12091</v>
      </c>
      <c r="L58" s="14" t="s">
        <v>12090</v>
      </c>
      <c r="M58" s="14" t="s">
        <v>9158</v>
      </c>
      <c r="N58" s="14" t="s">
        <v>9158</v>
      </c>
      <c r="O58" s="14" t="s">
        <v>9158</v>
      </c>
      <c r="P58" s="14" t="s">
        <v>9158</v>
      </c>
      <c r="Q58" s="14" t="s">
        <v>9158</v>
      </c>
    </row>
    <row r="60" spans="1:18">
      <c r="A60" s="14" t="s">
        <v>12093</v>
      </c>
    </row>
    <row r="61" spans="1:18">
      <c r="A61" s="14" t="s">
        <v>12094</v>
      </c>
    </row>
    <row r="62" spans="1:18">
      <c r="A62" s="14" t="s">
        <v>5734</v>
      </c>
      <c r="B62" s="14" t="s">
        <v>330</v>
      </c>
      <c r="C62" s="14" t="s">
        <v>202</v>
      </c>
      <c r="D62" s="19" t="s">
        <v>2297</v>
      </c>
      <c r="E62" s="15" t="str">
        <f>HYPERLINK("https://stat100.ameba.jp/tnk47/ratio20/illustrations/card/ill_74593_0_natsuyuenchikoshihikari03.jpg?202004-5-RELEASE-marathon-466xxxx", "■")</f>
        <v>■</v>
      </c>
      <c r="F62" s="14" t="s">
        <v>1498</v>
      </c>
      <c r="G62" s="14">
        <v>270828</v>
      </c>
      <c r="H62" s="14">
        <v>251781</v>
      </c>
      <c r="I62" s="14">
        <v>25</v>
      </c>
      <c r="J62" s="14" t="s">
        <v>283</v>
      </c>
      <c r="K62" s="14" t="s">
        <v>1499</v>
      </c>
      <c r="L62" s="14" t="s">
        <v>1500</v>
      </c>
      <c r="M62" s="14" t="s">
        <v>9158</v>
      </c>
      <c r="N62" s="14" t="s">
        <v>9158</v>
      </c>
      <c r="O62" s="19" t="s">
        <v>2731</v>
      </c>
      <c r="P62" s="14" t="s">
        <v>2732</v>
      </c>
      <c r="Q62" s="14">
        <v>1</v>
      </c>
    </row>
    <row r="63" spans="1:18">
      <c r="A63" s="14">
        <v>70363</v>
      </c>
      <c r="B63" s="14" t="s">
        <v>334</v>
      </c>
      <c r="C63" s="14" t="s">
        <v>209</v>
      </c>
      <c r="D63" s="20" t="s">
        <v>10266</v>
      </c>
      <c r="E63" s="15" t="str">
        <f>HYPERLINK("https://stat100.ameba.jp/tnk47/ratio20/illustrations/card/ill_70363_hokushimmyokembosatsu03.jpg?202004-5-RELEASE-marathon-466xxxx", "■")</f>
        <v>■</v>
      </c>
      <c r="F63" s="14" t="s">
        <v>2502</v>
      </c>
      <c r="G63" s="14">
        <v>166328</v>
      </c>
      <c r="H63" s="14">
        <v>120475</v>
      </c>
      <c r="I63" s="14">
        <v>25</v>
      </c>
      <c r="J63" s="14" t="s">
        <v>44</v>
      </c>
      <c r="K63" s="14" t="s">
        <v>2503</v>
      </c>
      <c r="L63" s="14" t="s">
        <v>2504</v>
      </c>
      <c r="M63" s="14" t="s">
        <v>9158</v>
      </c>
      <c r="N63" s="14" t="s">
        <v>9158</v>
      </c>
      <c r="O63" s="19" t="s">
        <v>10114</v>
      </c>
      <c r="P63" s="14" t="s">
        <v>3658</v>
      </c>
      <c r="Q63" s="14">
        <v>1</v>
      </c>
    </row>
    <row r="64" spans="1:18">
      <c r="A64" s="9">
        <v>68723</v>
      </c>
      <c r="B64" s="14" t="s">
        <v>334</v>
      </c>
      <c r="C64" s="14" t="s">
        <v>185</v>
      </c>
      <c r="D64" s="20" t="s">
        <v>10922</v>
      </c>
      <c r="E64" s="15" t="str">
        <f>HYPERLINK("https://stat100.ameba.jp/tnk47/ratio20/illustrations/card/ill_68723_gantanfukuhime03.jpg?202004-5-RELEASE-marathon-466xxxx", "■")</f>
        <v>■</v>
      </c>
      <c r="F64" s="14" t="s">
        <v>2077</v>
      </c>
      <c r="G64" s="14">
        <v>90759</v>
      </c>
      <c r="H64" s="14">
        <v>97651</v>
      </c>
      <c r="I64" s="14">
        <v>25</v>
      </c>
      <c r="J64" s="14" t="s">
        <v>77</v>
      </c>
      <c r="K64" s="14" t="s">
        <v>2078</v>
      </c>
      <c r="L64" s="14" t="s">
        <v>969</v>
      </c>
      <c r="M64" s="14" t="s">
        <v>9158</v>
      </c>
      <c r="N64" s="14" t="s">
        <v>9158</v>
      </c>
      <c r="O64" s="19" t="s">
        <v>10074</v>
      </c>
      <c r="P64" s="14" t="s">
        <v>3592</v>
      </c>
      <c r="Q64" s="14">
        <v>1</v>
      </c>
    </row>
    <row r="65" spans="1:17">
      <c r="A65" s="14">
        <v>56443</v>
      </c>
      <c r="B65" s="14" t="s">
        <v>0</v>
      </c>
      <c r="C65" s="14" t="s">
        <v>205</v>
      </c>
      <c r="D65" s="20" t="s">
        <v>10314</v>
      </c>
      <c r="E65" s="15" t="str">
        <f>HYPERLINK("https://stat100.ameba.jp/tnk47/ratio20/illustrations/card/ill_56443_poppukurisumasuizumonokuni03.jpg?202004-5-RELEASE-marathon-466xxxx", "■")</f>
        <v>■</v>
      </c>
      <c r="F65" s="14" t="s">
        <v>1151</v>
      </c>
      <c r="G65" s="14">
        <v>89590</v>
      </c>
      <c r="H65" s="14">
        <v>96360</v>
      </c>
      <c r="I65" s="14">
        <v>25</v>
      </c>
      <c r="J65" s="14" t="s">
        <v>10</v>
      </c>
      <c r="K65" s="14" t="s">
        <v>1152</v>
      </c>
      <c r="L65" s="14" t="s">
        <v>1153</v>
      </c>
      <c r="M65" s="14" t="s">
        <v>9158</v>
      </c>
      <c r="N65" s="14" t="s">
        <v>9158</v>
      </c>
      <c r="O65" s="19" t="s">
        <v>10119</v>
      </c>
      <c r="P65" s="14" t="s">
        <v>3662</v>
      </c>
      <c r="Q65" s="14">
        <v>1</v>
      </c>
    </row>
    <row r="67" spans="1:17">
      <c r="A67" s="14" t="s">
        <v>12095</v>
      </c>
    </row>
    <row r="68" spans="1:17">
      <c r="A68" s="14" t="s">
        <v>12096</v>
      </c>
    </row>
    <row r="69" spans="1:17">
      <c r="A69" s="14" t="s">
        <v>5614</v>
      </c>
      <c r="B69" s="14" t="s">
        <v>330</v>
      </c>
      <c r="C69" s="14" t="s">
        <v>267</v>
      </c>
      <c r="D69" s="19" t="s">
        <v>313</v>
      </c>
      <c r="E69" s="15" t="str">
        <f>HYPERLINK("https://stat100.ameba.jp/tnk47/ratio20/illustrations/card/ill_56223_0_onsempanikkugohime03.jpg?202004-5-RELEASE-marathon-466xxxx", "■")</f>
        <v>■</v>
      </c>
      <c r="F69" s="14" t="s">
        <v>314</v>
      </c>
      <c r="G69" s="14">
        <v>133938</v>
      </c>
      <c r="H69" s="14">
        <v>150776</v>
      </c>
      <c r="I69" s="14">
        <v>24</v>
      </c>
      <c r="J69" s="14" t="s">
        <v>315</v>
      </c>
      <c r="K69" s="14" t="s">
        <v>316</v>
      </c>
      <c r="L69" s="14" t="s">
        <v>317</v>
      </c>
      <c r="M69" s="14" t="s">
        <v>9158</v>
      </c>
      <c r="N69" s="14" t="s">
        <v>9158</v>
      </c>
      <c r="O69" s="19" t="s">
        <v>3021</v>
      </c>
      <c r="P69" s="14" t="s">
        <v>2890</v>
      </c>
      <c r="Q69" s="14">
        <v>1</v>
      </c>
    </row>
    <row r="70" spans="1:17">
      <c r="A70" s="14" t="s">
        <v>5719</v>
      </c>
      <c r="B70" s="14" t="s">
        <v>52</v>
      </c>
      <c r="C70" s="14" t="s">
        <v>165</v>
      </c>
      <c r="D70" s="20" t="s">
        <v>10379</v>
      </c>
      <c r="E70" s="15" t="str">
        <f>HYPERLINK("https://stat100.ameba.jp/tnk47/ratio20/illustrations/card/ill_54523_0_yonshunennionohime03.jpg?202004-5-RELEASE-marathon-466xxxx", "■")</f>
        <v>■</v>
      </c>
      <c r="F70" s="14" t="s">
        <v>1773</v>
      </c>
      <c r="G70" s="14">
        <v>133938</v>
      </c>
      <c r="H70" s="14">
        <v>150776</v>
      </c>
      <c r="I70" s="14">
        <v>24</v>
      </c>
      <c r="J70" s="14" t="s">
        <v>38</v>
      </c>
      <c r="K70" s="14" t="s">
        <v>1774</v>
      </c>
      <c r="L70" s="14" t="s">
        <v>1775</v>
      </c>
      <c r="M70" s="14" t="s">
        <v>9158</v>
      </c>
      <c r="N70" s="14" t="s">
        <v>9158</v>
      </c>
      <c r="O70" s="19" t="s">
        <v>10094</v>
      </c>
      <c r="P70" s="14" t="s">
        <v>13168</v>
      </c>
      <c r="Q70" s="14">
        <v>1</v>
      </c>
    </row>
    <row r="71" spans="1:17">
      <c r="A71" s="14" t="s">
        <v>5622</v>
      </c>
      <c r="B71" s="14" t="s">
        <v>330</v>
      </c>
      <c r="C71" s="14" t="s">
        <v>335</v>
      </c>
      <c r="D71" s="19" t="s">
        <v>12097</v>
      </c>
      <c r="E71" s="15" t="str">
        <f>HYPERLINK("https://stat100.ameba.jp/tnk47/ratio20/illustrations/card/ill_49953_0_yushamarihime03.jpg?202004-5-RELEASE-marathon-466xxxx", "■")</f>
        <v>■</v>
      </c>
      <c r="F71" s="14" t="s">
        <v>510</v>
      </c>
      <c r="G71" s="14">
        <v>150776</v>
      </c>
      <c r="H71" s="14">
        <v>133938</v>
      </c>
      <c r="I71" s="14">
        <v>24</v>
      </c>
      <c r="J71" s="14" t="s">
        <v>315</v>
      </c>
      <c r="K71" s="14" t="s">
        <v>511</v>
      </c>
      <c r="L71" s="14" t="s">
        <v>512</v>
      </c>
      <c r="M71" s="14" t="s">
        <v>9158</v>
      </c>
      <c r="N71" s="14" t="s">
        <v>9158</v>
      </c>
      <c r="O71" s="14" t="s">
        <v>9158</v>
      </c>
      <c r="P71" s="14" t="s">
        <v>9158</v>
      </c>
      <c r="Q71" s="14" t="s">
        <v>9158</v>
      </c>
    </row>
    <row r="72" spans="1:17">
      <c r="A72" s="14">
        <v>88413</v>
      </c>
      <c r="B72" s="14" t="s">
        <v>0</v>
      </c>
      <c r="C72" s="14" t="s">
        <v>200</v>
      </c>
      <c r="D72" s="14" t="s">
        <v>12065</v>
      </c>
      <c r="E72" s="15" t="str">
        <f>HYPERLINK("https://stat100.ameba.jp/tnk47/ratio20/illustrations/card/ill_88413_puroresugo03.jpg?202004-5-RELEASE-marathon-466xxxx", "■")</f>
        <v>■</v>
      </c>
      <c r="F72" s="14" t="s">
        <v>12083</v>
      </c>
      <c r="G72" s="14">
        <v>97651</v>
      </c>
      <c r="H72" s="14">
        <v>90759</v>
      </c>
      <c r="I72" s="14">
        <v>25</v>
      </c>
      <c r="J72" s="14" t="s">
        <v>187</v>
      </c>
      <c r="K72" s="14" t="s">
        <v>12082</v>
      </c>
      <c r="L72" s="14" t="s">
        <v>12081</v>
      </c>
      <c r="M72" s="14" t="s">
        <v>9158</v>
      </c>
      <c r="N72" s="14" t="s">
        <v>9158</v>
      </c>
      <c r="O72" s="14" t="s">
        <v>9158</v>
      </c>
      <c r="P72" s="14" t="s">
        <v>9158</v>
      </c>
      <c r="Q72" s="14" t="s">
        <v>9158</v>
      </c>
    </row>
    <row r="73" spans="1:17">
      <c r="A73" s="14">
        <v>88423</v>
      </c>
      <c r="B73" s="14" t="s">
        <v>15</v>
      </c>
      <c r="C73" s="14" t="s">
        <v>205</v>
      </c>
      <c r="D73" s="14" t="s">
        <v>12078</v>
      </c>
      <c r="E73" s="15" t="str">
        <f>HYPERLINK("https://stat100.ameba.jp/tnk47/ratio20/illustrations/card/ill_88423_puroresunihonrisuchan03.jpg?202004-5-RELEASE-marathon-466xxxx", "■")</f>
        <v>■</v>
      </c>
      <c r="F73" s="14" t="s">
        <v>12086</v>
      </c>
      <c r="G73" s="14">
        <v>67210</v>
      </c>
      <c r="H73" s="14">
        <v>74100</v>
      </c>
      <c r="I73" s="14">
        <v>25</v>
      </c>
      <c r="J73" s="14" t="s">
        <v>229</v>
      </c>
      <c r="K73" s="14" t="s">
        <v>12085</v>
      </c>
      <c r="L73" s="14" t="s">
        <v>977</v>
      </c>
      <c r="M73" s="14" t="s">
        <v>9158</v>
      </c>
      <c r="N73" s="14" t="s">
        <v>9158</v>
      </c>
      <c r="O73" s="14" t="s">
        <v>9158</v>
      </c>
      <c r="P73" s="14" t="s">
        <v>9158</v>
      </c>
      <c r="Q73" s="14" t="s">
        <v>9158</v>
      </c>
    </row>
    <row r="74" spans="1:17">
      <c r="A74" s="14">
        <v>88433</v>
      </c>
      <c r="B74" s="14" t="s">
        <v>22</v>
      </c>
      <c r="C74" s="14" t="s">
        <v>165</v>
      </c>
      <c r="D74" s="14" t="s">
        <v>12079</v>
      </c>
      <c r="E74" s="15" t="str">
        <f>HYPERLINK("https://stat100.ameba.jp/tnk47/ratio20/illustrations/card/ill_88433_puroresukagoikenokitsune03.jpg?202004-5-RELEASE-marathon-466xxxx", "■")</f>
        <v>■</v>
      </c>
      <c r="F74" s="14" t="s">
        <v>12089</v>
      </c>
      <c r="G74" s="14">
        <v>51980</v>
      </c>
      <c r="H74" s="14">
        <v>43220</v>
      </c>
      <c r="I74" s="14">
        <v>25</v>
      </c>
      <c r="J74" s="14" t="s">
        <v>155</v>
      </c>
      <c r="K74" s="14" t="s">
        <v>12088</v>
      </c>
      <c r="L74" s="14" t="s">
        <v>7248</v>
      </c>
      <c r="M74" s="14" t="s">
        <v>9158</v>
      </c>
      <c r="N74" s="14" t="s">
        <v>9158</v>
      </c>
      <c r="O74" s="14" t="s">
        <v>9158</v>
      </c>
      <c r="P74" s="14" t="s">
        <v>9158</v>
      </c>
      <c r="Q74" s="14" t="s">
        <v>9158</v>
      </c>
    </row>
    <row r="75" spans="1:17">
      <c r="A75" s="14">
        <v>88443</v>
      </c>
      <c r="B75" s="14" t="s">
        <v>30</v>
      </c>
      <c r="C75" s="14" t="s">
        <v>6007</v>
      </c>
      <c r="D75" s="14" t="s">
        <v>12080</v>
      </c>
      <c r="E75" s="15" t="str">
        <f>HYPERLINK("https://stat100.ameba.jp/tnk47/ratio20/illustrations/card/ill_88443_hiratsukatamehiro03.jpg?202004-5-RELEASE-marathon-466xxxx", "■")</f>
        <v>■</v>
      </c>
      <c r="F75" s="14" t="s">
        <v>12092</v>
      </c>
      <c r="G75" s="14">
        <v>26430</v>
      </c>
      <c r="H75" s="14">
        <v>31470</v>
      </c>
      <c r="I75" s="14">
        <v>25</v>
      </c>
      <c r="J75" s="14" t="s">
        <v>194</v>
      </c>
      <c r="K75" s="14" t="s">
        <v>12091</v>
      </c>
      <c r="L75" s="14" t="s">
        <v>1119</v>
      </c>
      <c r="M75" s="14" t="s">
        <v>9158</v>
      </c>
      <c r="N75" s="14" t="s">
        <v>9158</v>
      </c>
      <c r="O75" s="14" t="s">
        <v>9158</v>
      </c>
      <c r="P75" s="14" t="s">
        <v>9158</v>
      </c>
      <c r="Q75" s="14" t="s">
        <v>9158</v>
      </c>
    </row>
    <row r="77" spans="1:17">
      <c r="A77" s="14" t="s">
        <v>12098</v>
      </c>
    </row>
    <row r="78" spans="1:17">
      <c r="A78" s="14" t="s">
        <v>12099</v>
      </c>
    </row>
    <row r="79" spans="1:17">
      <c r="A79" s="14" t="s">
        <v>5615</v>
      </c>
      <c r="B79" s="14" t="s">
        <v>330</v>
      </c>
      <c r="C79" s="14" t="s">
        <v>206</v>
      </c>
      <c r="D79" s="19" t="s">
        <v>2814</v>
      </c>
      <c r="E79" s="15" t="str">
        <f>HYPERLINK("https://stat100.ameba.jp/tnk47/ratio20/illustrations/card/ill_57733_0_shogatsunisenjunanaamakusashiro03.jpg?202004-5-RELEASE-marathon-466xxxx", "■")</f>
        <v>■</v>
      </c>
      <c r="F79" s="14" t="s">
        <v>1016</v>
      </c>
      <c r="G79" s="14">
        <v>122776</v>
      </c>
      <c r="H79" s="14">
        <v>138212</v>
      </c>
      <c r="I79" s="14">
        <v>22</v>
      </c>
      <c r="J79" s="14" t="s">
        <v>10</v>
      </c>
      <c r="K79" s="14" t="s">
        <v>1017</v>
      </c>
      <c r="L79" s="14" t="s">
        <v>1018</v>
      </c>
      <c r="M79" s="14" t="s">
        <v>9158</v>
      </c>
      <c r="N79" s="14" t="s">
        <v>9158</v>
      </c>
      <c r="O79" s="19" t="s">
        <v>10077</v>
      </c>
      <c r="P79" s="14" t="s">
        <v>3062</v>
      </c>
      <c r="Q79" s="14">
        <v>1</v>
      </c>
    </row>
    <row r="80" spans="1:17">
      <c r="A80" s="14" t="s">
        <v>5650</v>
      </c>
      <c r="B80" s="14" t="s">
        <v>52</v>
      </c>
      <c r="C80" s="14" t="s">
        <v>23</v>
      </c>
      <c r="D80" s="20" t="s">
        <v>809</v>
      </c>
      <c r="E80" s="15" t="str">
        <f>HYPERLINK("https://stat100.ameba.jp/tnk47/ratio20/illustrations/card/ill_68033_0_kurisumasupateikandamyojin03.jpg?202004-5-RELEASE-marathon-466xxxx", "■")</f>
        <v>■</v>
      </c>
      <c r="F80" s="14" t="s">
        <v>1871</v>
      </c>
      <c r="G80" s="14">
        <v>139878</v>
      </c>
      <c r="H80" s="14">
        <v>150466</v>
      </c>
      <c r="I80" s="14">
        <v>22</v>
      </c>
      <c r="J80" s="14" t="s">
        <v>44</v>
      </c>
      <c r="K80" s="14" t="s">
        <v>1872</v>
      </c>
      <c r="L80" s="14" t="s">
        <v>1873</v>
      </c>
      <c r="M80" s="14" t="s">
        <v>9158</v>
      </c>
      <c r="N80" s="14" t="s">
        <v>9158</v>
      </c>
      <c r="O80" s="19" t="s">
        <v>2997</v>
      </c>
      <c r="P80" s="14" t="s">
        <v>3483</v>
      </c>
      <c r="Q80" s="14">
        <v>2</v>
      </c>
    </row>
    <row r="81" spans="1:17">
      <c r="A81" s="9" t="s">
        <v>5616</v>
      </c>
      <c r="B81" s="14" t="s">
        <v>330</v>
      </c>
      <c r="C81" s="14" t="s">
        <v>185</v>
      </c>
      <c r="D81" s="14" t="s">
        <v>638</v>
      </c>
      <c r="E81" s="15" t="str">
        <f>HYPERLINK("https://stat100.ameba.jp/tnk47/ratio20/illustrations/card/ill_44253_0_dokuganryudatemasamune03.jpg?202004-5-RELEASE-marathon-466xxxx", "■")</f>
        <v>■</v>
      </c>
      <c r="F81" s="14" t="s">
        <v>639</v>
      </c>
      <c r="G81" s="14">
        <v>120576</v>
      </c>
      <c r="H81" s="14">
        <v>128744</v>
      </c>
      <c r="I81" s="14">
        <v>22</v>
      </c>
      <c r="J81" s="14" t="s">
        <v>310</v>
      </c>
      <c r="K81" s="14" t="s">
        <v>640</v>
      </c>
      <c r="L81" s="14" t="s">
        <v>641</v>
      </c>
      <c r="M81" s="14" t="s">
        <v>9158</v>
      </c>
      <c r="N81" s="14" t="s">
        <v>9158</v>
      </c>
      <c r="O81" s="14" t="s">
        <v>9158</v>
      </c>
      <c r="P81" s="14" t="s">
        <v>9158</v>
      </c>
      <c r="Q81" s="14" t="s">
        <v>9158</v>
      </c>
    </row>
    <row r="82" spans="1:17">
      <c r="A82" s="14">
        <v>63423</v>
      </c>
      <c r="B82" s="14" t="s">
        <v>0</v>
      </c>
      <c r="C82" s="14" t="s">
        <v>165</v>
      </c>
      <c r="D82" s="20" t="s">
        <v>10864</v>
      </c>
      <c r="E82" s="15" t="str">
        <f>HYPERLINK("https://stat100.ameba.jp/tnk47/ratio20/illustrations/card/ill_63423_warashibechoja03.jpg?202004-5-RELEASE-marathon-466xxxx", "■")</f>
        <v>■</v>
      </c>
      <c r="F82" s="14" t="s">
        <v>8688</v>
      </c>
      <c r="G82" s="14">
        <v>82390</v>
      </c>
      <c r="H82" s="14">
        <v>146392</v>
      </c>
      <c r="I82" s="14">
        <v>26</v>
      </c>
      <c r="J82" s="14" t="s">
        <v>38</v>
      </c>
      <c r="K82" s="14" t="s">
        <v>8687</v>
      </c>
      <c r="L82" s="14" t="s">
        <v>8686</v>
      </c>
      <c r="M82" s="14" t="s">
        <v>9158</v>
      </c>
      <c r="N82" s="14" t="s">
        <v>9158</v>
      </c>
      <c r="O82" s="14" t="s">
        <v>9158</v>
      </c>
      <c r="P82" s="14" t="s">
        <v>9158</v>
      </c>
      <c r="Q82" s="14" t="s">
        <v>9158</v>
      </c>
    </row>
    <row r="83" spans="1:17">
      <c r="A83" s="7">
        <v>72593</v>
      </c>
      <c r="B83" s="14" t="s">
        <v>334</v>
      </c>
      <c r="C83" s="14" t="s">
        <v>307</v>
      </c>
      <c r="D83" s="20" t="s">
        <v>3003</v>
      </c>
      <c r="E83" s="15" t="str">
        <f>HYPERLINK("https://stat100.ameba.jp/tnk47/ratio20/illustrations/card/ill_72593_ononomichikaze03.jpg?202004-5-RELEASE-marathon-466xxxx", "■")</f>
        <v>■</v>
      </c>
      <c r="F83" s="14" t="s">
        <v>3004</v>
      </c>
      <c r="G83" s="14">
        <v>73272</v>
      </c>
      <c r="H83" s="14">
        <v>130220</v>
      </c>
      <c r="I83" s="14">
        <v>26</v>
      </c>
      <c r="J83" s="14" t="s">
        <v>414</v>
      </c>
      <c r="K83" s="14" t="s">
        <v>3005</v>
      </c>
      <c r="L83" s="14" t="s">
        <v>1575</v>
      </c>
      <c r="M83" s="14" t="s">
        <v>9158</v>
      </c>
      <c r="N83" s="14" t="s">
        <v>9158</v>
      </c>
      <c r="O83" s="14" t="s">
        <v>9158</v>
      </c>
      <c r="P83" s="14" t="s">
        <v>9158</v>
      </c>
      <c r="Q83" s="14" t="s">
        <v>9158</v>
      </c>
    </row>
    <row r="84" spans="1:17">
      <c r="A84" s="14">
        <v>78293</v>
      </c>
      <c r="B84" s="14" t="s">
        <v>0</v>
      </c>
      <c r="C84" s="14" t="s">
        <v>205</v>
      </c>
      <c r="D84" s="20" t="s">
        <v>10591</v>
      </c>
      <c r="E84" s="15" t="str">
        <f>HYPERLINK("https://stat100.ameba.jp/tnk47/ratio20/illustrations/card/ill_78293_yukinotaawaodori03.jpg?202004-5-RELEASE-marathon-466xxxx", "■")</f>
        <v>■</v>
      </c>
      <c r="F84" s="14" t="s">
        <v>2416</v>
      </c>
      <c r="G84" s="14">
        <v>110126</v>
      </c>
      <c r="H84" s="14">
        <v>118446</v>
      </c>
      <c r="I84" s="14">
        <v>26</v>
      </c>
      <c r="J84" s="14" t="s">
        <v>229</v>
      </c>
      <c r="K84" s="14" t="s">
        <v>2417</v>
      </c>
      <c r="L84" s="14" t="s">
        <v>2137</v>
      </c>
      <c r="M84" s="14" t="s">
        <v>9158</v>
      </c>
      <c r="N84" s="14" t="s">
        <v>9158</v>
      </c>
      <c r="O84" s="14" t="s">
        <v>9158</v>
      </c>
      <c r="P84" s="14" t="s">
        <v>9158</v>
      </c>
      <c r="Q84" s="14" t="s">
        <v>9158</v>
      </c>
    </row>
    <row r="86" spans="1:17">
      <c r="A86" s="14" t="s">
        <v>12100</v>
      </c>
    </row>
    <row r="87" spans="1:17">
      <c r="A87" s="14" t="s">
        <v>12101</v>
      </c>
    </row>
    <row r="88" spans="1:17">
      <c r="A88" s="14" t="s">
        <v>5891</v>
      </c>
      <c r="B88" s="14" t="s">
        <v>330</v>
      </c>
      <c r="C88" s="14" t="s">
        <v>202</v>
      </c>
      <c r="D88" s="20" t="s">
        <v>1371</v>
      </c>
      <c r="E88" s="15" t="str">
        <f>HYPERLINK("https://stat100.ameba.jp/tnk47/ratio20/illustrations/card/ill_77173_0_yukemuritomoegozen03.jpg?202004-5-RELEASE-marathon-466xxxx", "■")</f>
        <v>■</v>
      </c>
      <c r="F88" s="14" t="s">
        <v>1372</v>
      </c>
      <c r="G88" s="14">
        <v>250610</v>
      </c>
      <c r="H88" s="14">
        <v>277283</v>
      </c>
      <c r="I88" s="14">
        <v>25</v>
      </c>
      <c r="J88" s="14" t="s">
        <v>310</v>
      </c>
      <c r="K88" s="14" t="s">
        <v>1373</v>
      </c>
      <c r="L88" s="14" t="s">
        <v>1374</v>
      </c>
      <c r="M88" s="14" t="s">
        <v>9158</v>
      </c>
      <c r="N88" s="14" t="s">
        <v>9158</v>
      </c>
      <c r="O88" s="19" t="s">
        <v>4067</v>
      </c>
      <c r="P88" s="14" t="s">
        <v>3879</v>
      </c>
      <c r="Q88" s="14">
        <v>2</v>
      </c>
    </row>
    <row r="89" spans="1:17">
      <c r="A89" s="14">
        <v>80743</v>
      </c>
      <c r="B89" s="14" t="s">
        <v>0</v>
      </c>
      <c r="C89" s="14" t="s">
        <v>209</v>
      </c>
      <c r="D89" s="19" t="s">
        <v>10414</v>
      </c>
      <c r="E89" s="15" t="str">
        <f>HYPERLINK("https://stat100.ameba.jp/tnk47/ratio20/illustrations/card/ill_80743_senseijutsushi03.jpg?202004-5-RELEASE-marathon-466xxxx", "■")</f>
        <v>■</v>
      </c>
      <c r="F89" s="14" t="s">
        <v>4249</v>
      </c>
      <c r="G89" s="14">
        <v>75984</v>
      </c>
      <c r="H89" s="14">
        <v>104890</v>
      </c>
      <c r="I89" s="14">
        <v>24</v>
      </c>
      <c r="J89" s="14" t="s">
        <v>16</v>
      </c>
      <c r="K89" s="14" t="s">
        <v>4250</v>
      </c>
      <c r="L89" s="14" t="s">
        <v>4251</v>
      </c>
      <c r="M89" s="14" t="s">
        <v>9158</v>
      </c>
      <c r="N89" s="14" t="s">
        <v>9158</v>
      </c>
      <c r="O89" s="19" t="s">
        <v>10109</v>
      </c>
      <c r="P89" s="14" t="s">
        <v>3625</v>
      </c>
      <c r="Q89" s="14">
        <v>1</v>
      </c>
    </row>
    <row r="90" spans="1:17">
      <c r="A90" s="14">
        <v>84153</v>
      </c>
      <c r="B90" s="14" t="s">
        <v>0</v>
      </c>
      <c r="C90" s="14" t="s">
        <v>165</v>
      </c>
      <c r="D90" s="20" t="s">
        <v>10658</v>
      </c>
      <c r="E90" s="15" t="str">
        <f>HYPERLINK("https://stat100.ameba.jp/tnk47/ratio20/illustrations/card/ill_84153_tarottotoyotomihideyori03.jpg?202004-5-RELEASE-marathon-466xxxx", "■")</f>
        <v>■</v>
      </c>
      <c r="F90" s="14" t="s">
        <v>7155</v>
      </c>
      <c r="G90" s="14">
        <v>142674</v>
      </c>
      <c r="H90" s="14">
        <v>132658</v>
      </c>
      <c r="I90" s="14">
        <v>24</v>
      </c>
      <c r="J90" s="14" t="s">
        <v>143</v>
      </c>
      <c r="K90" s="14" t="s">
        <v>7156</v>
      </c>
      <c r="L90" s="14" t="s">
        <v>145</v>
      </c>
      <c r="M90" s="14" t="s">
        <v>9158</v>
      </c>
      <c r="N90" s="14" t="s">
        <v>9158</v>
      </c>
      <c r="O90" s="19" t="s">
        <v>10090</v>
      </c>
      <c r="P90" s="14" t="s">
        <v>3460</v>
      </c>
      <c r="Q90" s="14">
        <v>1</v>
      </c>
    </row>
    <row r="91" spans="1:17">
      <c r="A91" s="14">
        <v>78143</v>
      </c>
      <c r="B91" s="14" t="s">
        <v>334</v>
      </c>
      <c r="C91" s="14" t="s">
        <v>203</v>
      </c>
      <c r="D91" s="19" t="s">
        <v>10285</v>
      </c>
      <c r="E91" s="15" t="str">
        <f>HYPERLINK("https://stat100.ameba.jp/tnk47/ratio20/illustrations/card/ill_78143_kanibarukuin03.jpg?202004-5-RELEASE-marathon-466xxxx", "■")</f>
        <v>■</v>
      </c>
      <c r="F91" s="14" t="s">
        <v>2687</v>
      </c>
      <c r="G91" s="14">
        <v>88624</v>
      </c>
      <c r="H91" s="14">
        <v>122366</v>
      </c>
      <c r="I91" s="14">
        <v>24</v>
      </c>
      <c r="J91" s="14" t="s">
        <v>26</v>
      </c>
      <c r="K91" s="14" t="s">
        <v>2688</v>
      </c>
      <c r="L91" s="14" t="s">
        <v>2137</v>
      </c>
      <c r="M91" s="14" t="s">
        <v>9158</v>
      </c>
      <c r="N91" s="14" t="s">
        <v>9158</v>
      </c>
      <c r="O91" s="19" t="s">
        <v>10103</v>
      </c>
      <c r="P91" s="14" t="s">
        <v>3897</v>
      </c>
      <c r="Q91" s="14">
        <v>1</v>
      </c>
    </row>
    <row r="93" spans="1:17">
      <c r="A93" s="9" t="s">
        <v>195</v>
      </c>
      <c r="B93" s="9"/>
      <c r="C93" s="9"/>
      <c r="D93" s="9"/>
      <c r="E93" s="9"/>
      <c r="F93" s="9"/>
      <c r="G93" s="9"/>
      <c r="H93" s="9"/>
      <c r="I93" s="9"/>
      <c r="J93" s="9"/>
      <c r="K93" s="9"/>
      <c r="L93" s="9"/>
      <c r="M93" s="9"/>
      <c r="N93" s="9"/>
      <c r="O93" s="9"/>
      <c r="P93" s="9"/>
      <c r="Q93" s="9"/>
    </row>
    <row r="94" spans="1:17">
      <c r="A94" s="9" t="s">
        <v>4246</v>
      </c>
      <c r="B94" s="9"/>
      <c r="C94" s="9"/>
      <c r="D94" s="9"/>
      <c r="E94" s="9"/>
      <c r="F94" s="9"/>
      <c r="G94" s="9"/>
      <c r="H94" s="9"/>
      <c r="I94" s="9"/>
      <c r="J94" s="9"/>
      <c r="K94" s="9"/>
      <c r="L94" s="9"/>
      <c r="M94" s="9"/>
      <c r="N94" s="9"/>
      <c r="O94" s="9"/>
      <c r="P94" s="9"/>
      <c r="Q94" s="9"/>
    </row>
    <row r="95" spans="1:17">
      <c r="A95" s="14">
        <v>84733</v>
      </c>
      <c r="B95" s="14" t="s">
        <v>0</v>
      </c>
      <c r="C95" s="14" t="s">
        <v>154</v>
      </c>
      <c r="D95" s="19" t="s">
        <v>10677</v>
      </c>
      <c r="E95" s="15" t="str">
        <f>HYPERLINK("https://stat100.ameba.jp/tnk47/ratio20/illustrations/card/ill_84733_madadoru03.jpg?202004-5-RELEASE-marathon-466xxxx", "■")</f>
        <v>■</v>
      </c>
      <c r="F95" s="14" t="s">
        <v>7293</v>
      </c>
      <c r="G95" s="14">
        <v>112140</v>
      </c>
      <c r="H95" s="14">
        <v>104266</v>
      </c>
      <c r="I95" s="14">
        <v>26</v>
      </c>
      <c r="J95" s="14" t="s">
        <v>182</v>
      </c>
      <c r="K95" s="14" t="s">
        <v>7296</v>
      </c>
      <c r="L95" s="14" t="s">
        <v>7295</v>
      </c>
      <c r="M95" s="14" t="s">
        <v>9158</v>
      </c>
      <c r="N95" s="14" t="s">
        <v>9158</v>
      </c>
      <c r="O95" s="14" t="s">
        <v>9158</v>
      </c>
      <c r="P95" s="14" t="s">
        <v>9158</v>
      </c>
      <c r="Q95" s="14" t="s">
        <v>9158</v>
      </c>
    </row>
    <row r="96" spans="1:17">
      <c r="A96" s="14">
        <v>84743</v>
      </c>
      <c r="B96" s="14" t="s">
        <v>0</v>
      </c>
      <c r="C96" s="14" t="s">
        <v>158</v>
      </c>
      <c r="D96" s="19" t="s">
        <v>10678</v>
      </c>
      <c r="E96" s="15" t="str">
        <f>HYPERLINK("https://stat100.ameba.jp/tnk47/ratio20/illustrations/card/ill_84743_rinnenonyumpe03.jpg?202004-5-RELEASE-marathon-466xxxx", "■")</f>
        <v>■</v>
      </c>
      <c r="F96" s="14" t="s">
        <v>7294</v>
      </c>
      <c r="G96" s="14">
        <v>112140</v>
      </c>
      <c r="H96" s="14">
        <v>104266</v>
      </c>
      <c r="I96" s="14">
        <v>26</v>
      </c>
      <c r="J96" s="14" t="s">
        <v>169</v>
      </c>
      <c r="K96" s="14" t="s">
        <v>7297</v>
      </c>
      <c r="L96" s="14" t="s">
        <v>7298</v>
      </c>
      <c r="M96" s="14" t="s">
        <v>9158</v>
      </c>
      <c r="N96" s="14" t="s">
        <v>9158</v>
      </c>
      <c r="O96" s="14" t="s">
        <v>9158</v>
      </c>
      <c r="P96" s="14" t="s">
        <v>9158</v>
      </c>
      <c r="Q96" s="14" t="s">
        <v>9158</v>
      </c>
    </row>
    <row r="97" spans="1:17">
      <c r="A97" s="14">
        <v>69883</v>
      </c>
      <c r="B97" s="14" t="s">
        <v>334</v>
      </c>
      <c r="C97" s="14" t="s">
        <v>185</v>
      </c>
      <c r="D97" s="19" t="s">
        <v>10293</v>
      </c>
      <c r="E97" s="15" t="str">
        <f>HYPERLINK("https://stat100.ameba.jp/tnk47/ratio20/illustrations/card/ill_69883_kyupiddotominushihime03.jpg?202004-5-RELEASE-marathon-466xxxx", "■")</f>
        <v>■</v>
      </c>
      <c r="F97" s="14" t="s">
        <v>4142</v>
      </c>
      <c r="G97" s="14">
        <v>98594</v>
      </c>
      <c r="H97" s="14">
        <v>106050</v>
      </c>
      <c r="I97" s="14">
        <v>26</v>
      </c>
      <c r="J97" s="14" t="s">
        <v>169</v>
      </c>
      <c r="K97" s="14" t="s">
        <v>4143</v>
      </c>
      <c r="L97" s="14" t="s">
        <v>13190</v>
      </c>
      <c r="M97" s="14" t="s">
        <v>9158</v>
      </c>
      <c r="N97" s="14" t="s">
        <v>9158</v>
      </c>
      <c r="O97" s="14" t="s">
        <v>9158</v>
      </c>
      <c r="P97" s="14" t="s">
        <v>9158</v>
      </c>
      <c r="Q97" s="14" t="s">
        <v>9158</v>
      </c>
    </row>
    <row r="98" spans="1:17">
      <c r="A98" s="9">
        <v>67243</v>
      </c>
      <c r="B98" s="14" t="s">
        <v>334</v>
      </c>
      <c r="C98" s="9" t="s">
        <v>205</v>
      </c>
      <c r="D98" s="20" t="s">
        <v>10199</v>
      </c>
      <c r="E98" s="15" t="str">
        <f>HYPERLINK("https://stat100.ameba.jp/tnk47/ratio20/illustrations/card/ill_67243_onsenyadomoryo03.jpg?202004-5-RELEASE-marathon-466xxxx", "■")</f>
        <v>■</v>
      </c>
      <c r="F98" s="9" t="s">
        <v>3638</v>
      </c>
      <c r="G98" s="9">
        <v>100744</v>
      </c>
      <c r="H98" s="9">
        <v>108330</v>
      </c>
      <c r="I98" s="14">
        <v>26</v>
      </c>
      <c r="J98" s="9" t="s">
        <v>182</v>
      </c>
      <c r="K98" s="9" t="s">
        <v>3639</v>
      </c>
      <c r="L98" s="9" t="s">
        <v>3640</v>
      </c>
      <c r="M98" s="14" t="s">
        <v>9158</v>
      </c>
      <c r="N98" s="14" t="s">
        <v>9158</v>
      </c>
      <c r="O98" s="14" t="s">
        <v>9158</v>
      </c>
      <c r="P98" s="14" t="s">
        <v>9158</v>
      </c>
      <c r="Q98" s="14" t="s">
        <v>9158</v>
      </c>
    </row>
    <row r="99" spans="1:17">
      <c r="A99" s="14">
        <v>52973</v>
      </c>
      <c r="B99" s="14" t="s">
        <v>15</v>
      </c>
      <c r="C99" s="14" t="s">
        <v>206</v>
      </c>
      <c r="D99" s="19" t="s">
        <v>10519</v>
      </c>
      <c r="E99" s="15" t="str">
        <f>HYPERLINK("https://stat100.ameba.jp/tnk47/ratio20/illustrations/card/ill_52973_torampuamoronagu03.jpg?202004-5-RELEASE-marathon-466xxxx", "■")</f>
        <v>■</v>
      </c>
      <c r="F99" s="14" t="s">
        <v>6421</v>
      </c>
      <c r="G99" s="14">
        <v>77064</v>
      </c>
      <c r="H99" s="14">
        <v>69898</v>
      </c>
      <c r="I99" s="14">
        <v>26</v>
      </c>
      <c r="J99" s="14" t="s">
        <v>44</v>
      </c>
      <c r="K99" s="14" t="s">
        <v>6419</v>
      </c>
      <c r="L99" s="14" t="s">
        <v>6418</v>
      </c>
      <c r="M99" s="14" t="s">
        <v>9158</v>
      </c>
      <c r="N99" s="14" t="s">
        <v>9158</v>
      </c>
      <c r="O99" s="14" t="s">
        <v>9158</v>
      </c>
      <c r="P99" s="14" t="s">
        <v>9158</v>
      </c>
      <c r="Q99" s="14" t="s">
        <v>9158</v>
      </c>
    </row>
    <row r="100" spans="1:17">
      <c r="A100" s="14">
        <v>52333</v>
      </c>
      <c r="B100" s="14" t="s">
        <v>15</v>
      </c>
      <c r="C100" s="14" t="s">
        <v>200</v>
      </c>
      <c r="D100" s="19" t="s">
        <v>10537</v>
      </c>
      <c r="E100" s="15" t="str">
        <f>HYPERLINK("https://stat100.ameba.jp/tnk47/ratio20/illustrations/card/ill_52333_chichibuyomatsuri03.jpg?202004-5-RELEASE-marathon-466xxxx", "■")</f>
        <v>■</v>
      </c>
      <c r="F100" s="14" t="s">
        <v>3614</v>
      </c>
      <c r="G100" s="14">
        <v>77064</v>
      </c>
      <c r="H100" s="14">
        <v>69898</v>
      </c>
      <c r="I100" s="14">
        <v>26</v>
      </c>
      <c r="J100" s="14" t="s">
        <v>38</v>
      </c>
      <c r="K100" s="14" t="s">
        <v>3615</v>
      </c>
      <c r="L100" s="14" t="s">
        <v>3616</v>
      </c>
      <c r="M100" s="14" t="s">
        <v>9158</v>
      </c>
      <c r="N100" s="14" t="s">
        <v>9158</v>
      </c>
      <c r="O100" s="14" t="s">
        <v>9158</v>
      </c>
      <c r="P100" s="14" t="s">
        <v>9158</v>
      </c>
      <c r="Q100" s="14" t="s">
        <v>9158</v>
      </c>
    </row>
    <row r="101" spans="1:17">
      <c r="A101" s="14">
        <v>51913</v>
      </c>
      <c r="B101" s="14" t="s">
        <v>15</v>
      </c>
      <c r="C101" s="14" t="s">
        <v>191</v>
      </c>
      <c r="D101" s="19" t="s">
        <v>10538</v>
      </c>
      <c r="E101" s="15" t="str">
        <f>HYPERLINK("https://stat100.ameba.jp/tnk47/ratio20/illustrations/card/ill_51913_kemonomizugihamahime03.jpg?202004-5-RELEASE-marathon-466xxxx", "■")</f>
        <v>■</v>
      </c>
      <c r="F101" s="14" t="s">
        <v>6501</v>
      </c>
      <c r="G101" s="14">
        <v>69898</v>
      </c>
      <c r="H101" s="14">
        <v>77064</v>
      </c>
      <c r="I101" s="14">
        <v>26</v>
      </c>
      <c r="J101" s="14" t="s">
        <v>182</v>
      </c>
      <c r="K101" s="14" t="s">
        <v>6500</v>
      </c>
      <c r="L101" s="14" t="s">
        <v>6499</v>
      </c>
      <c r="M101" s="14" t="s">
        <v>9158</v>
      </c>
      <c r="N101" s="14" t="s">
        <v>9158</v>
      </c>
      <c r="O101" s="14" t="s">
        <v>9158</v>
      </c>
      <c r="P101" s="14" t="s">
        <v>9158</v>
      </c>
      <c r="Q101" s="14" t="s">
        <v>9158</v>
      </c>
    </row>
    <row r="102" spans="1:17">
      <c r="A102" s="14">
        <v>53203</v>
      </c>
      <c r="B102" s="14" t="s">
        <v>15</v>
      </c>
      <c r="C102" s="14" t="s">
        <v>165</v>
      </c>
      <c r="D102" s="20" t="s">
        <v>10494</v>
      </c>
      <c r="E102" s="15" t="str">
        <f>HYPERLINK("https://stat100.ameba.jp/tnk47/ratio20/illustrations/card/ill_53203_buruhawaichan03.jpg?202004-5-RELEASE-marathon-466xxxx", "■")</f>
        <v>■</v>
      </c>
      <c r="F102" s="14" t="s">
        <v>6258</v>
      </c>
      <c r="G102" s="14">
        <v>69898</v>
      </c>
      <c r="H102" s="14">
        <v>77064</v>
      </c>
      <c r="I102" s="14">
        <v>26</v>
      </c>
      <c r="J102" s="14" t="s">
        <v>104</v>
      </c>
      <c r="K102" s="14" t="s">
        <v>6261</v>
      </c>
      <c r="L102" s="14" t="s">
        <v>6260</v>
      </c>
      <c r="M102" s="14" t="s">
        <v>9158</v>
      </c>
      <c r="N102" s="14" t="s">
        <v>9158</v>
      </c>
      <c r="O102" s="14" t="s">
        <v>9158</v>
      </c>
      <c r="P102" s="14" t="s">
        <v>9158</v>
      </c>
      <c r="Q102" s="14" t="s">
        <v>9158</v>
      </c>
    </row>
    <row r="104" spans="1:17">
      <c r="A104" s="14" t="s">
        <v>114</v>
      </c>
    </row>
    <row r="105" spans="1:17">
      <c r="A105" s="14" t="s">
        <v>12103</v>
      </c>
    </row>
    <row r="106" spans="1:17">
      <c r="A106" s="7" t="s">
        <v>8839</v>
      </c>
      <c r="B106" s="7" t="s">
        <v>52</v>
      </c>
      <c r="C106" s="7" t="s">
        <v>202</v>
      </c>
      <c r="D106" s="20" t="s">
        <v>10880</v>
      </c>
      <c r="E106" s="15" t="str">
        <f>HYPERLINK("https://stat100.ameba.jp/tnk47/ratio20/illustrations/card/ill_86273_0_oshogatsuniijimayae03.jpg?202004-5-RELEASE-marathon-466xxxx", "■")</f>
        <v>■</v>
      </c>
      <c r="F106" s="7" t="s">
        <v>8838</v>
      </c>
      <c r="G106" s="7">
        <v>296321</v>
      </c>
      <c r="H106" s="7">
        <v>327865</v>
      </c>
      <c r="I106" s="7">
        <v>27</v>
      </c>
      <c r="J106" s="14" t="s">
        <v>173</v>
      </c>
      <c r="K106" s="7" t="s">
        <v>8837</v>
      </c>
      <c r="L106" s="7" t="s">
        <v>13211</v>
      </c>
      <c r="M106" s="14" t="s">
        <v>9158</v>
      </c>
      <c r="N106" s="14" t="s">
        <v>9158</v>
      </c>
      <c r="O106" s="19" t="s">
        <v>10134</v>
      </c>
      <c r="P106" s="7" t="s">
        <v>8870</v>
      </c>
      <c r="Q106" s="7">
        <v>1</v>
      </c>
    </row>
    <row r="107" spans="1:17">
      <c r="A107" s="14" t="s">
        <v>5605</v>
      </c>
      <c r="B107" s="14" t="s">
        <v>52</v>
      </c>
      <c r="C107" s="14" t="s">
        <v>202</v>
      </c>
      <c r="D107" s="19" t="s">
        <v>10332</v>
      </c>
      <c r="E107" s="15" t="str">
        <f>HYPERLINK("https://stat100.ameba.jp/tnk47/ratio20/illustrations/card/ill_79373_0_hommeichokotennyohime03.jpg?202004-5-RELEASE-marathon-466xxxx", "■")</f>
        <v>■</v>
      </c>
      <c r="F107" s="14" t="s">
        <v>3495</v>
      </c>
      <c r="G107" s="14">
        <v>333862</v>
      </c>
      <c r="H107" s="14">
        <v>301759</v>
      </c>
      <c r="I107" s="14">
        <v>27</v>
      </c>
      <c r="J107" s="14" t="s">
        <v>104</v>
      </c>
      <c r="K107" s="14" t="s">
        <v>3496</v>
      </c>
      <c r="L107" s="14" t="s">
        <v>3497</v>
      </c>
      <c r="M107" s="14" t="s">
        <v>9158</v>
      </c>
      <c r="N107" s="14" t="s">
        <v>9158</v>
      </c>
      <c r="O107" s="19" t="s">
        <v>10072</v>
      </c>
      <c r="P107" s="14" t="s">
        <v>3498</v>
      </c>
      <c r="Q107" s="14">
        <v>1</v>
      </c>
    </row>
    <row r="108" spans="1:17">
      <c r="A108" s="14" t="s">
        <v>5830</v>
      </c>
      <c r="B108" s="14" t="s">
        <v>330</v>
      </c>
      <c r="C108" s="14" t="s">
        <v>191</v>
      </c>
      <c r="D108" s="19" t="s">
        <v>793</v>
      </c>
      <c r="E108" s="15" t="str">
        <f>HYPERLINK("https://stat100.ameba.jp/tnk47/ratio20/illustrations/card/ill_39933_0_reihiiinaotora03.jpg?202004-5-RELEASE-marathon-466xxxx", "■")</f>
        <v>■</v>
      </c>
      <c r="F108" s="14" t="s">
        <v>794</v>
      </c>
      <c r="G108" s="14">
        <v>142500</v>
      </c>
      <c r="H108" s="14">
        <v>152152</v>
      </c>
      <c r="I108" s="14">
        <v>26</v>
      </c>
      <c r="J108" s="14" t="s">
        <v>315</v>
      </c>
      <c r="K108" s="14" t="s">
        <v>795</v>
      </c>
      <c r="L108" s="14" t="s">
        <v>796</v>
      </c>
      <c r="M108" s="14" t="s">
        <v>9158</v>
      </c>
      <c r="N108" s="14" t="s">
        <v>9158</v>
      </c>
      <c r="O108" s="14" t="s">
        <v>9158</v>
      </c>
      <c r="P108" s="14" t="s">
        <v>9158</v>
      </c>
      <c r="Q108" s="14" t="s">
        <v>9158</v>
      </c>
    </row>
    <row r="109" spans="1:17">
      <c r="A109" s="14">
        <v>81023</v>
      </c>
      <c r="B109" s="14" t="s">
        <v>334</v>
      </c>
      <c r="C109" s="14" t="s">
        <v>41</v>
      </c>
      <c r="D109" s="19" t="s">
        <v>10274</v>
      </c>
      <c r="E109" s="15" t="str">
        <f>HYPERLINK("https://stat100.ameba.jp/tnk47/ratio20/illustrations/card/ill_81023_momonokenki03.jpg?202004-5-RELEASE-marathon-466xxxx", "■")</f>
        <v>■</v>
      </c>
      <c r="F109" s="14" t="s">
        <v>4088</v>
      </c>
      <c r="G109" s="14">
        <v>137430</v>
      </c>
      <c r="H109" s="14">
        <v>99532</v>
      </c>
      <c r="I109" s="14">
        <v>26</v>
      </c>
      <c r="J109" s="14" t="s">
        <v>143</v>
      </c>
      <c r="K109" s="14" t="s">
        <v>4089</v>
      </c>
      <c r="L109" s="14" t="s">
        <v>2049</v>
      </c>
      <c r="M109" s="14" t="s">
        <v>9158</v>
      </c>
      <c r="N109" s="14" t="s">
        <v>9158</v>
      </c>
      <c r="O109" s="19" t="s">
        <v>10096</v>
      </c>
      <c r="P109" s="14" t="s">
        <v>3245</v>
      </c>
      <c r="Q109" s="14">
        <v>1</v>
      </c>
    </row>
    <row r="110" spans="1:17">
      <c r="A110" s="14">
        <v>78133</v>
      </c>
      <c r="B110" s="14" t="s">
        <v>0</v>
      </c>
      <c r="C110" s="14" t="s">
        <v>154</v>
      </c>
      <c r="D110" s="20" t="s">
        <v>10313</v>
      </c>
      <c r="E110" s="15" t="str">
        <f>HYPERLINK("https://stat100.ameba.jp/tnk47/ratio20/illustrations/card/ill_78133_akazukin03.jpg?202004-5-RELEASE-marathon-466xxxx", "■")</f>
        <v>■</v>
      </c>
      <c r="F110" s="14" t="s">
        <v>2202</v>
      </c>
      <c r="G110" s="14">
        <v>96100</v>
      </c>
      <c r="H110" s="14">
        <v>132684</v>
      </c>
      <c r="I110" s="14">
        <v>26</v>
      </c>
      <c r="J110" s="14" t="s">
        <v>38</v>
      </c>
      <c r="K110" s="14" t="s">
        <v>2203</v>
      </c>
      <c r="L110" s="14" t="s">
        <v>2204</v>
      </c>
      <c r="M110" s="14" t="s">
        <v>9158</v>
      </c>
      <c r="N110" s="14" t="s">
        <v>9158</v>
      </c>
      <c r="O110" s="19" t="s">
        <v>2917</v>
      </c>
      <c r="P110" s="14" t="s">
        <v>3531</v>
      </c>
      <c r="Q110" s="14">
        <v>1</v>
      </c>
    </row>
    <row r="111" spans="1:17">
      <c r="A111" s="14">
        <v>67103</v>
      </c>
      <c r="B111" s="14" t="s">
        <v>334</v>
      </c>
      <c r="C111" s="14" t="s">
        <v>154</v>
      </c>
      <c r="D111" s="20" t="s">
        <v>10253</v>
      </c>
      <c r="E111" s="15" t="str">
        <f>HYPERLINK("https://stat100.ameba.jp/tnk47/ratio20/illustrations/card/ill_67103_ankonabe03.jpg?202004-5-RELEASE-marathon-466xxxx", "■")</f>
        <v>■</v>
      </c>
      <c r="F111" s="14" t="s">
        <v>1283</v>
      </c>
      <c r="G111" s="14">
        <v>99532</v>
      </c>
      <c r="H111" s="14">
        <v>137430</v>
      </c>
      <c r="I111" s="14">
        <v>26</v>
      </c>
      <c r="J111" s="14" t="s">
        <v>216</v>
      </c>
      <c r="K111" s="14" t="s">
        <v>1284</v>
      </c>
      <c r="L111" s="14" t="s">
        <v>13153</v>
      </c>
      <c r="M111" s="14" t="s">
        <v>9158</v>
      </c>
      <c r="N111" s="14" t="s">
        <v>9158</v>
      </c>
      <c r="O111" s="19" t="s">
        <v>4074</v>
      </c>
      <c r="P111" s="14" t="s">
        <v>3462</v>
      </c>
      <c r="Q111" s="14">
        <v>1</v>
      </c>
    </row>
    <row r="112" spans="1:17">
      <c r="A112" s="14">
        <v>62473</v>
      </c>
      <c r="B112" s="14" t="s">
        <v>334</v>
      </c>
      <c r="C112" s="14" t="s">
        <v>203</v>
      </c>
      <c r="D112" s="20" t="s">
        <v>2834</v>
      </c>
      <c r="E112" s="15" t="str">
        <f>HYPERLINK("https://stat100.ameba.jp/tnk47/ratio20/illustrations/card/ill_62473_kokuriko03.jpg?202004-5-RELEASE-marathon-466xxxx", "■")</f>
        <v>■</v>
      </c>
      <c r="F112" s="14" t="s">
        <v>2835</v>
      </c>
      <c r="G112" s="14">
        <v>118684</v>
      </c>
      <c r="H112" s="14">
        <v>85962</v>
      </c>
      <c r="I112" s="14">
        <v>26</v>
      </c>
      <c r="J112" s="14" t="s">
        <v>401</v>
      </c>
      <c r="K112" s="14" t="s">
        <v>2836</v>
      </c>
      <c r="L112" s="14" t="s">
        <v>2837</v>
      </c>
      <c r="M112" s="14" t="s">
        <v>9158</v>
      </c>
      <c r="N112" s="14" t="s">
        <v>9158</v>
      </c>
      <c r="O112" s="19" t="s">
        <v>2838</v>
      </c>
      <c r="P112" s="14" t="s">
        <v>2839</v>
      </c>
      <c r="Q112" s="14">
        <v>1</v>
      </c>
    </row>
    <row r="113" spans="1:18">
      <c r="A113" s="14">
        <v>67643</v>
      </c>
      <c r="B113" s="14" t="s">
        <v>334</v>
      </c>
      <c r="C113" s="14" t="s">
        <v>209</v>
      </c>
      <c r="D113" s="20" t="s">
        <v>3033</v>
      </c>
      <c r="E113" s="15" t="str">
        <f>HYPERLINK("https://stat100.ameba.jp/tnk47/ratio20/illustrations/card/ill_67643_edokarakamichan03.jpg?202004-5-RELEASE-marathon-466xxxx", "■")</f>
        <v>■</v>
      </c>
      <c r="F113" s="6" t="s">
        <v>1196</v>
      </c>
      <c r="G113" s="14">
        <v>122784</v>
      </c>
      <c r="H113" s="14">
        <v>114176</v>
      </c>
      <c r="I113" s="14">
        <v>26</v>
      </c>
      <c r="J113" s="14" t="s">
        <v>26</v>
      </c>
      <c r="K113" s="14" t="s">
        <v>1197</v>
      </c>
      <c r="L113" s="14" t="s">
        <v>1198</v>
      </c>
      <c r="M113" s="14" t="s">
        <v>9158</v>
      </c>
      <c r="N113" s="14" t="s">
        <v>9158</v>
      </c>
      <c r="O113" s="19" t="s">
        <v>3037</v>
      </c>
      <c r="P113" s="14" t="s">
        <v>13128</v>
      </c>
      <c r="Q113" s="14">
        <v>1</v>
      </c>
    </row>
    <row r="114" spans="1:18">
      <c r="A114" s="14">
        <v>84663</v>
      </c>
      <c r="B114" s="14" t="s">
        <v>334</v>
      </c>
      <c r="C114" s="14" t="s">
        <v>158</v>
      </c>
      <c r="D114" s="20" t="s">
        <v>10648</v>
      </c>
      <c r="E114" s="15" t="str">
        <f>HYPERLINK("https://stat100.ameba.jp/tnk47/ratio20/illustrations/card/ill_84663_juwannonefuerufuito03.jpg?202004-5-RELEASE-marathon-466xxxx", "■")</f>
        <v>■</v>
      </c>
      <c r="F114" s="14" t="s">
        <v>7095</v>
      </c>
      <c r="G114" s="14">
        <v>87834</v>
      </c>
      <c r="H114" s="14">
        <v>121240</v>
      </c>
      <c r="I114" s="14">
        <v>26</v>
      </c>
      <c r="J114" s="14" t="s">
        <v>182</v>
      </c>
      <c r="K114" s="14" t="s">
        <v>7094</v>
      </c>
      <c r="L114" s="14" t="s">
        <v>7093</v>
      </c>
      <c r="M114" s="14" t="s">
        <v>9158</v>
      </c>
      <c r="N114" s="14" t="s">
        <v>9158</v>
      </c>
      <c r="O114" s="19" t="s">
        <v>10091</v>
      </c>
      <c r="P114" s="14" t="s">
        <v>3670</v>
      </c>
      <c r="Q114" s="14">
        <v>1</v>
      </c>
    </row>
    <row r="116" spans="1:18">
      <c r="A116" s="7" t="s">
        <v>13327</v>
      </c>
      <c r="B116" s="7"/>
      <c r="C116" s="7"/>
      <c r="D116" s="7"/>
      <c r="E116" s="7"/>
      <c r="F116" s="7"/>
      <c r="G116" s="7"/>
      <c r="H116" s="7"/>
      <c r="I116" s="7"/>
      <c r="J116" s="7"/>
      <c r="K116" s="7"/>
      <c r="L116" s="7"/>
      <c r="M116" s="7"/>
      <c r="N116" s="7"/>
      <c r="O116" s="7"/>
      <c r="P116" s="7"/>
      <c r="Q116" s="7"/>
      <c r="R116" s="7"/>
    </row>
    <row r="117" spans="1:18">
      <c r="A117" s="7" t="s">
        <v>12104</v>
      </c>
      <c r="B117" s="7"/>
      <c r="C117" s="7"/>
      <c r="D117" s="7"/>
      <c r="E117" s="7"/>
      <c r="F117" s="7"/>
      <c r="G117" s="7"/>
      <c r="H117" s="7"/>
      <c r="I117" s="7"/>
      <c r="J117" s="7"/>
      <c r="K117" s="7"/>
      <c r="L117" s="7"/>
      <c r="M117" s="7"/>
      <c r="N117" s="7"/>
      <c r="O117" s="7"/>
      <c r="P117" s="7"/>
      <c r="Q117" s="7"/>
      <c r="R117" s="7"/>
    </row>
    <row r="118" spans="1:18">
      <c r="A118" s="14">
        <v>86063</v>
      </c>
      <c r="B118" s="14" t="s">
        <v>334</v>
      </c>
      <c r="C118" s="14" t="s">
        <v>14</v>
      </c>
      <c r="D118" s="19" t="s">
        <v>10818</v>
      </c>
      <c r="E118" s="15" t="str">
        <f>HYPERLINK("https://stat100.ameba.jp/tnk47/ratio20/illustrations/card/ill_86063_uotchimeika03.jpg?202004-5-RELEASE-marathon-466xxxx", "■")</f>
        <v>■</v>
      </c>
      <c r="F118" s="14" t="s">
        <v>8368</v>
      </c>
      <c r="G118" s="14">
        <v>119006</v>
      </c>
      <c r="H118" s="14">
        <v>128000</v>
      </c>
      <c r="I118" s="14">
        <v>26</v>
      </c>
      <c r="J118" s="14" t="s">
        <v>173</v>
      </c>
      <c r="K118" s="14" t="s">
        <v>8367</v>
      </c>
      <c r="L118" s="14" t="s">
        <v>8366</v>
      </c>
      <c r="M118" s="14" t="s">
        <v>13130</v>
      </c>
      <c r="N118" s="14" t="s">
        <v>343</v>
      </c>
      <c r="O118" s="14" t="s">
        <v>9158</v>
      </c>
      <c r="P118" s="14" t="s">
        <v>9158</v>
      </c>
      <c r="Q118" s="14" t="s">
        <v>9158</v>
      </c>
      <c r="R118" s="14" t="s">
        <v>14748</v>
      </c>
    </row>
    <row r="119" spans="1:18">
      <c r="A119" s="14">
        <v>86062</v>
      </c>
      <c r="B119" s="14" t="s">
        <v>334</v>
      </c>
      <c r="C119" s="14" t="s">
        <v>14</v>
      </c>
      <c r="D119" s="19" t="s">
        <v>10818</v>
      </c>
      <c r="E119" s="15" t="str">
        <f>HYPERLINK("https://stat100.ameba.jp/tnk47/ratio20/illustrations/card/ill_86062_uotchimeika02.jpg?202004-5-RELEASE-marathon-466xxxx", "■")</f>
        <v>■</v>
      </c>
      <c r="F119" s="14" t="s">
        <v>8368</v>
      </c>
      <c r="G119" s="14">
        <v>98566</v>
      </c>
      <c r="H119" s="14">
        <v>107000</v>
      </c>
      <c r="I119" s="14">
        <v>26</v>
      </c>
      <c r="J119" s="14" t="s">
        <v>173</v>
      </c>
      <c r="K119" s="14" t="s">
        <v>8367</v>
      </c>
      <c r="L119" s="14" t="s">
        <v>8366</v>
      </c>
      <c r="M119" s="14" t="s">
        <v>13131</v>
      </c>
      <c r="N119" s="14" t="s">
        <v>251</v>
      </c>
      <c r="O119" s="14" t="s">
        <v>9158</v>
      </c>
      <c r="P119" s="14" t="s">
        <v>9158</v>
      </c>
      <c r="Q119" s="14" t="s">
        <v>9158</v>
      </c>
      <c r="R119" s="14" t="s">
        <v>14748</v>
      </c>
    </row>
    <row r="120" spans="1:18">
      <c r="A120" s="14">
        <v>86061</v>
      </c>
      <c r="B120" s="14" t="s">
        <v>0</v>
      </c>
      <c r="C120" s="14" t="s">
        <v>14</v>
      </c>
      <c r="D120" s="19" t="s">
        <v>10818</v>
      </c>
      <c r="E120" s="15" t="str">
        <f>HYPERLINK("https://stat100.ameba.jp/tnk47/ratio20/illustrations/card/ill_86061_uotchimeika01.jpg?202004-5-RELEASE-marathon-466xxxx", "■")</f>
        <v>■</v>
      </c>
      <c r="F120" s="14" t="s">
        <v>8368</v>
      </c>
      <c r="G120" s="14">
        <v>76050</v>
      </c>
      <c r="H120" s="14">
        <v>81692</v>
      </c>
      <c r="I120" s="14">
        <v>26</v>
      </c>
      <c r="J120" s="14" t="s">
        <v>173</v>
      </c>
      <c r="K120" s="14" t="s">
        <v>8367</v>
      </c>
      <c r="L120" s="14" t="s">
        <v>8366</v>
      </c>
      <c r="M120" s="14" t="s">
        <v>13131</v>
      </c>
      <c r="N120" s="14" t="s">
        <v>251</v>
      </c>
      <c r="O120" s="14" t="s">
        <v>9158</v>
      </c>
      <c r="P120" s="14" t="s">
        <v>9158</v>
      </c>
      <c r="Q120" s="14" t="s">
        <v>9158</v>
      </c>
      <c r="R120" s="14" t="s">
        <v>14748</v>
      </c>
    </row>
    <row r="121" spans="1:18">
      <c r="A121" s="14">
        <v>86073</v>
      </c>
      <c r="B121" s="14" t="s">
        <v>334</v>
      </c>
      <c r="C121" s="14" t="s">
        <v>23</v>
      </c>
      <c r="D121" s="19" t="s">
        <v>10819</v>
      </c>
      <c r="E121" s="15" t="str">
        <f>HYPERLINK("https://stat100.ameba.jp/tnk47/ratio20/illustrations/card/ill_86073_maddohatta03.jpg?202004-5-RELEASE-marathon-466xxxx", "■")</f>
        <v>■</v>
      </c>
      <c r="F121" s="14" t="s">
        <v>8371</v>
      </c>
      <c r="G121" s="14">
        <v>119006</v>
      </c>
      <c r="H121" s="14">
        <v>128000</v>
      </c>
      <c r="I121" s="14">
        <v>26</v>
      </c>
      <c r="J121" s="14" t="s">
        <v>155</v>
      </c>
      <c r="K121" s="14" t="s">
        <v>8370</v>
      </c>
      <c r="L121" s="14" t="s">
        <v>8369</v>
      </c>
      <c r="M121" s="14" t="s">
        <v>13130</v>
      </c>
      <c r="N121" s="14" t="s">
        <v>343</v>
      </c>
      <c r="O121" s="14" t="s">
        <v>9158</v>
      </c>
      <c r="P121" s="14" t="s">
        <v>9158</v>
      </c>
      <c r="Q121" s="14" t="s">
        <v>9158</v>
      </c>
      <c r="R121" s="14" t="s">
        <v>14748</v>
      </c>
    </row>
    <row r="122" spans="1:18">
      <c r="A122" s="14">
        <v>86083</v>
      </c>
      <c r="B122" s="14" t="s">
        <v>334</v>
      </c>
      <c r="C122" s="14" t="s">
        <v>101</v>
      </c>
      <c r="D122" s="19" t="s">
        <v>10820</v>
      </c>
      <c r="E122" s="15" t="str">
        <f>HYPERLINK("https://stat100.ameba.jp/tnk47/ratio20/illustrations/card/ill_86083_keieinochojomeruro03.jpg?202004-5-RELEASE-marathon-466xxxx", "■")</f>
        <v>■</v>
      </c>
      <c r="F122" s="14" t="s">
        <v>8375</v>
      </c>
      <c r="G122" s="14">
        <v>128000</v>
      </c>
      <c r="H122" s="14">
        <v>119006</v>
      </c>
      <c r="I122" s="14">
        <v>26</v>
      </c>
      <c r="J122" s="14" t="s">
        <v>229</v>
      </c>
      <c r="K122" s="14" t="s">
        <v>8374</v>
      </c>
      <c r="L122" s="14" t="s">
        <v>8373</v>
      </c>
      <c r="M122" s="14" t="s">
        <v>13130</v>
      </c>
      <c r="N122" s="14" t="s">
        <v>343</v>
      </c>
      <c r="O122" s="14" t="s">
        <v>9158</v>
      </c>
      <c r="P122" s="14" t="s">
        <v>9158</v>
      </c>
      <c r="Q122" s="14" t="s">
        <v>9158</v>
      </c>
      <c r="R122" s="14" t="s">
        <v>14748</v>
      </c>
    </row>
    <row r="123" spans="1:18">
      <c r="A123" s="14">
        <v>86093</v>
      </c>
      <c r="B123" s="14" t="s">
        <v>0</v>
      </c>
      <c r="C123" s="14" t="s">
        <v>96</v>
      </c>
      <c r="D123" s="19" t="s">
        <v>10821</v>
      </c>
      <c r="E123" s="15" t="str">
        <f>HYPERLINK("https://stat100.ameba.jp/tnk47/ratio20/illustrations/card/ill_86093_minamotonoyoshimitsu03.jpg?202004-5-RELEASE-marathon-466xxxx", "■")</f>
        <v>■</v>
      </c>
      <c r="F123" s="14" t="s">
        <v>8379</v>
      </c>
      <c r="G123" s="14">
        <v>128000</v>
      </c>
      <c r="H123" s="14">
        <v>119006</v>
      </c>
      <c r="I123" s="14">
        <v>26</v>
      </c>
      <c r="J123" s="14" t="s">
        <v>194</v>
      </c>
      <c r="K123" s="14" t="s">
        <v>8377</v>
      </c>
      <c r="L123" s="14" t="s">
        <v>8376</v>
      </c>
      <c r="M123" s="14" t="s">
        <v>13130</v>
      </c>
      <c r="N123" s="14" t="s">
        <v>343</v>
      </c>
      <c r="O123" s="14" t="s">
        <v>9158</v>
      </c>
      <c r="P123" s="14" t="s">
        <v>9158</v>
      </c>
      <c r="Q123" s="14" t="s">
        <v>9158</v>
      </c>
      <c r="R123" s="14" t="s">
        <v>14748</v>
      </c>
    </row>
    <row r="124" spans="1:18">
      <c r="A124" s="14">
        <v>86103</v>
      </c>
      <c r="B124" s="14" t="s">
        <v>334</v>
      </c>
      <c r="C124" s="14" t="s">
        <v>205</v>
      </c>
      <c r="D124" s="19" t="s">
        <v>10822</v>
      </c>
      <c r="E124" s="15" t="str">
        <f>HYPERLINK("https://stat100.ameba.jp/tnk47/ratio20/illustrations/card/ill_86103_omatsudaimyojin03.jpg?202004-5-RELEASE-marathon-466xxxx", "■")</f>
        <v>■</v>
      </c>
      <c r="F124" s="14" t="s">
        <v>8383</v>
      </c>
      <c r="G124" s="14">
        <v>128000</v>
      </c>
      <c r="H124" s="14">
        <v>119006</v>
      </c>
      <c r="I124" s="14">
        <v>26</v>
      </c>
      <c r="J124" s="14" t="s">
        <v>169</v>
      </c>
      <c r="K124" s="14" t="s">
        <v>8381</v>
      </c>
      <c r="L124" s="14" t="s">
        <v>8380</v>
      </c>
      <c r="M124" s="14" t="s">
        <v>13130</v>
      </c>
      <c r="N124" s="14" t="s">
        <v>343</v>
      </c>
      <c r="O124" s="14" t="s">
        <v>9158</v>
      </c>
      <c r="P124" s="14" t="s">
        <v>9158</v>
      </c>
      <c r="Q124" s="14" t="s">
        <v>9158</v>
      </c>
      <c r="R124" s="14" t="s">
        <v>14748</v>
      </c>
    </row>
    <row r="125" spans="1:18">
      <c r="A125" s="14">
        <v>86113</v>
      </c>
      <c r="B125" s="14" t="s">
        <v>334</v>
      </c>
      <c r="C125" s="14" t="s">
        <v>107</v>
      </c>
      <c r="D125" s="19" t="s">
        <v>10823</v>
      </c>
      <c r="E125" s="15" t="str">
        <f>HYPERLINK("https://stat100.ameba.jp/tnk47/ratio20/illustrations/card/ill_86113_yuno03.jpg?202004-5-RELEASE-marathon-466xxxx", "■")</f>
        <v>■</v>
      </c>
      <c r="F125" s="14" t="s">
        <v>8387</v>
      </c>
      <c r="G125" s="14">
        <v>119006</v>
      </c>
      <c r="H125" s="14">
        <v>128000</v>
      </c>
      <c r="I125" s="14">
        <v>26</v>
      </c>
      <c r="J125" s="14" t="s">
        <v>159</v>
      </c>
      <c r="K125" s="14" t="s">
        <v>8385</v>
      </c>
      <c r="L125" s="14" t="s">
        <v>8384</v>
      </c>
      <c r="M125" s="14" t="s">
        <v>13130</v>
      </c>
      <c r="N125" s="14" t="s">
        <v>343</v>
      </c>
      <c r="O125" s="14" t="s">
        <v>9158</v>
      </c>
      <c r="P125" s="14" t="s">
        <v>9158</v>
      </c>
      <c r="Q125" s="14" t="s">
        <v>9158</v>
      </c>
      <c r="R125" s="14" t="s">
        <v>14748</v>
      </c>
    </row>
    <row r="127" spans="1:18">
      <c r="A127" s="14" t="s">
        <v>12107</v>
      </c>
    </row>
    <row r="128" spans="1:18">
      <c r="A128" s="14" t="s">
        <v>4266</v>
      </c>
    </row>
    <row r="129" spans="1:17">
      <c r="A129" s="14" t="s">
        <v>11485</v>
      </c>
    </row>
    <row r="130" spans="1:17">
      <c r="A130" s="14" t="s">
        <v>12012</v>
      </c>
      <c r="B130" s="7" t="s">
        <v>52</v>
      </c>
      <c r="C130" s="14" t="s">
        <v>202</v>
      </c>
      <c r="D130" s="18" t="s">
        <v>12013</v>
      </c>
      <c r="E130" s="15" t="str">
        <f>HYPERLINK("https://stat100.ameba.jp/tnk47/ratio20/illustrations/card/ill_88363_0_hanamijingukogo03.jpg?202004-5-RELEASE-marathon-466xxxx", "■")</f>
        <v>■</v>
      </c>
      <c r="F130" s="14" t="s">
        <v>12014</v>
      </c>
      <c r="G130" s="14">
        <v>316442</v>
      </c>
      <c r="H130" s="14">
        <v>285998</v>
      </c>
      <c r="I130" s="7">
        <v>26</v>
      </c>
      <c r="J130" s="14" t="s">
        <v>10</v>
      </c>
      <c r="K130" s="14" t="s">
        <v>12015</v>
      </c>
      <c r="L130" s="14" t="s">
        <v>12016</v>
      </c>
      <c r="M130" s="14" t="s">
        <v>9158</v>
      </c>
      <c r="N130" s="14" t="s">
        <v>9158</v>
      </c>
      <c r="O130" s="6" t="s">
        <v>12017</v>
      </c>
      <c r="P130" s="7" t="s">
        <v>12018</v>
      </c>
      <c r="Q130" s="7">
        <v>1</v>
      </c>
    </row>
    <row r="131" spans="1:17">
      <c r="A131" s="14">
        <v>88563</v>
      </c>
      <c r="B131" s="7" t="s">
        <v>12109</v>
      </c>
      <c r="C131" s="14" t="s">
        <v>12113</v>
      </c>
      <c r="D131" s="18" t="s">
        <v>12108</v>
      </c>
      <c r="E131" s="15" t="str">
        <f>HYPERLINK("https://stat100.ameba.jp/tnk47/ratio20/illustrations/card/ill_88563_furawagadenrishieru03.jpg?202004-5-RELEASE-marathon-466xxxx", "■")</f>
        <v>■</v>
      </c>
      <c r="F131" s="14" t="s">
        <v>12141</v>
      </c>
      <c r="G131" s="14">
        <v>94390</v>
      </c>
      <c r="H131" s="14">
        <v>101558</v>
      </c>
      <c r="I131" s="7">
        <v>26</v>
      </c>
      <c r="J131" s="14" t="s">
        <v>12118</v>
      </c>
      <c r="K131" s="14" t="s">
        <v>12140</v>
      </c>
      <c r="L131" s="14" t="s">
        <v>12139</v>
      </c>
      <c r="M131" s="14" t="s">
        <v>9158</v>
      </c>
      <c r="N131" s="14" t="s">
        <v>9158</v>
      </c>
      <c r="O131" s="14" t="s">
        <v>9158</v>
      </c>
      <c r="P131" s="14" t="s">
        <v>9158</v>
      </c>
      <c r="Q131" s="14" t="s">
        <v>9158</v>
      </c>
    </row>
    <row r="132" spans="1:17">
      <c r="A132" s="14">
        <v>88573</v>
      </c>
      <c r="B132" s="14" t="s">
        <v>12109</v>
      </c>
      <c r="C132" s="14" t="s">
        <v>12114</v>
      </c>
      <c r="D132" s="14" t="s">
        <v>12124</v>
      </c>
      <c r="E132" s="15" t="str">
        <f>HYPERLINK("https://stat100.ameba.jp/tnk47/ratio20/illustrations/card/ill_88573_mukadehime03.jpg?202004-5-RELEASE-marathon-466xxxx", "■")</f>
        <v>■</v>
      </c>
      <c r="F132" s="14" t="s">
        <v>12138</v>
      </c>
      <c r="G132" s="14">
        <v>98066</v>
      </c>
      <c r="H132" s="14">
        <v>105426</v>
      </c>
      <c r="I132" s="14">
        <v>26</v>
      </c>
      <c r="J132" s="14" t="s">
        <v>12119</v>
      </c>
      <c r="K132" s="14" t="s">
        <v>12137</v>
      </c>
      <c r="L132" s="14" t="s">
        <v>12136</v>
      </c>
      <c r="M132" s="14" t="s">
        <v>9158</v>
      </c>
      <c r="N132" s="14" t="s">
        <v>9158</v>
      </c>
      <c r="O132" s="14" t="s">
        <v>9158</v>
      </c>
      <c r="P132" s="14" t="s">
        <v>9158</v>
      </c>
      <c r="Q132" s="14" t="s">
        <v>9158</v>
      </c>
    </row>
    <row r="133" spans="1:17">
      <c r="A133" s="14">
        <v>88583</v>
      </c>
      <c r="B133" s="14" t="s">
        <v>12110</v>
      </c>
      <c r="C133" s="14" t="s">
        <v>12115</v>
      </c>
      <c r="D133" s="14" t="s">
        <v>12125</v>
      </c>
      <c r="E133" s="15" t="str">
        <f>HYPERLINK("https://stat100.ameba.jp/tnk47/ratio20/illustrations/card/ill_88583_sakuragoromokamotokanoko03.jpg?202004-5-RELEASE-marathon-466xxxx", "■")</f>
        <v>■</v>
      </c>
      <c r="F133" s="14" t="s">
        <v>12135</v>
      </c>
      <c r="G133" s="14">
        <v>77064</v>
      </c>
      <c r="H133" s="14">
        <v>69898</v>
      </c>
      <c r="I133" s="14">
        <v>26</v>
      </c>
      <c r="J133" s="14" t="s">
        <v>12120</v>
      </c>
      <c r="K133" s="14" t="s">
        <v>12134</v>
      </c>
      <c r="L133" s="14" t="s">
        <v>12133</v>
      </c>
      <c r="M133" s="14" t="s">
        <v>9158</v>
      </c>
      <c r="N133" s="14" t="s">
        <v>9158</v>
      </c>
      <c r="O133" s="14" t="s">
        <v>9158</v>
      </c>
      <c r="P133" s="14" t="s">
        <v>9158</v>
      </c>
      <c r="Q133" s="14" t="s">
        <v>9158</v>
      </c>
    </row>
    <row r="134" spans="1:17">
      <c r="A134" s="14">
        <v>88593</v>
      </c>
      <c r="B134" s="14" t="s">
        <v>12111</v>
      </c>
      <c r="C134" s="14" t="s">
        <v>12116</v>
      </c>
      <c r="D134" s="14" t="s">
        <v>12126</v>
      </c>
      <c r="E134" s="15" t="str">
        <f>HYPERLINK("https://stat100.ameba.jp/tnk47/ratio20/illustrations/card/ill_88593_bashonosei03.jpg?202004-5-RELEASE-marathon-466xxxx", "■")</f>
        <v>■</v>
      </c>
      <c r="F134" s="14" t="s">
        <v>12132</v>
      </c>
      <c r="G134" s="14">
        <v>54058</v>
      </c>
      <c r="H134" s="14">
        <v>54058</v>
      </c>
      <c r="I134" s="14">
        <v>26</v>
      </c>
      <c r="J134" s="14" t="s">
        <v>12121</v>
      </c>
      <c r="K134" s="14" t="s">
        <v>12131</v>
      </c>
      <c r="L134" s="14" t="s">
        <v>12130</v>
      </c>
      <c r="M134" s="14" t="s">
        <v>9158</v>
      </c>
      <c r="N134" s="14" t="s">
        <v>9158</v>
      </c>
      <c r="O134" s="14" t="s">
        <v>9158</v>
      </c>
      <c r="P134" s="14" t="s">
        <v>9158</v>
      </c>
      <c r="Q134" s="14" t="s">
        <v>9158</v>
      </c>
    </row>
    <row r="135" spans="1:17">
      <c r="A135" s="14">
        <v>88603</v>
      </c>
      <c r="B135" s="14" t="s">
        <v>12112</v>
      </c>
      <c r="C135" s="14" t="s">
        <v>12117</v>
      </c>
      <c r="D135" s="14" t="s">
        <v>12123</v>
      </c>
      <c r="E135" s="15" t="str">
        <f>HYPERLINK("https://stat100.ameba.jp/tnk47/ratio20/illustrations/card/ill_88603_kosumosuchan03.jpg?202004-5-RELEASE-marathon-466xxxx", "■")</f>
        <v>■</v>
      </c>
      <c r="F135" s="14" t="s">
        <v>12129</v>
      </c>
      <c r="G135" s="14">
        <v>32728</v>
      </c>
      <c r="H135" s="14">
        <v>27486</v>
      </c>
      <c r="I135" s="14">
        <v>26</v>
      </c>
      <c r="J135" s="14" t="s">
        <v>12122</v>
      </c>
      <c r="K135" s="14" t="s">
        <v>12128</v>
      </c>
      <c r="L135" s="14" t="s">
        <v>12127</v>
      </c>
      <c r="M135" s="14" t="s">
        <v>9158</v>
      </c>
      <c r="N135" s="14" t="s">
        <v>9158</v>
      </c>
      <c r="O135" s="14" t="s">
        <v>9158</v>
      </c>
      <c r="P135" s="14" t="s">
        <v>9158</v>
      </c>
      <c r="Q135" s="14" t="s">
        <v>9158</v>
      </c>
    </row>
    <row r="137" spans="1:17">
      <c r="A137" s="14" t="s">
        <v>12105</v>
      </c>
    </row>
    <row r="138" spans="1:17">
      <c r="A138" s="14" t="s">
        <v>12106</v>
      </c>
    </row>
    <row r="139" spans="1:17">
      <c r="A139" s="14" t="s">
        <v>5623</v>
      </c>
      <c r="B139" s="14" t="s">
        <v>330</v>
      </c>
      <c r="C139" s="14" t="s">
        <v>165</v>
      </c>
      <c r="D139" s="19" t="s">
        <v>3146</v>
      </c>
      <c r="E139" s="15" t="str">
        <f>HYPERLINK("https://stat100.ameba.jp/tnk47/ratio20/illustrations/card/ill_65713_0_undokaionikirimaru03.jpg?202004-5-RELEASE-marathon-466xxxx", "■")</f>
        <v>■</v>
      </c>
      <c r="F139" s="14" t="s">
        <v>535</v>
      </c>
      <c r="G139" s="14">
        <v>189209</v>
      </c>
      <c r="H139" s="14">
        <v>175911</v>
      </c>
      <c r="I139" s="14">
        <v>25</v>
      </c>
      <c r="J139" s="14" t="s">
        <v>320</v>
      </c>
      <c r="K139" s="14" t="s">
        <v>3147</v>
      </c>
      <c r="L139" s="14" t="s">
        <v>3148</v>
      </c>
      <c r="M139" s="14" t="s">
        <v>9158</v>
      </c>
      <c r="N139" s="14" t="s">
        <v>9158</v>
      </c>
      <c r="O139" s="19" t="s">
        <v>2869</v>
      </c>
      <c r="P139" s="14" t="s">
        <v>2870</v>
      </c>
      <c r="Q139" s="14">
        <v>1</v>
      </c>
    </row>
    <row r="140" spans="1:17">
      <c r="A140" s="14">
        <v>73893</v>
      </c>
      <c r="B140" s="14" t="s">
        <v>334</v>
      </c>
      <c r="C140" s="14" t="s">
        <v>203</v>
      </c>
      <c r="D140" s="19" t="s">
        <v>10388</v>
      </c>
      <c r="E140" s="15" t="str">
        <f>HYPERLINK("https://stat100.ameba.jp/tnk47/ratio20/illustrations/card/ill_73893_kurohachidaimyojintookami03.jpg?202004-5-RELEASE-marathon-466xxxx", "■")</f>
        <v>■</v>
      </c>
      <c r="F140" s="14" t="s">
        <v>685</v>
      </c>
      <c r="G140" s="14">
        <v>127580</v>
      </c>
      <c r="H140" s="14">
        <v>92402</v>
      </c>
      <c r="I140" s="14">
        <v>25</v>
      </c>
      <c r="J140" s="14" t="s">
        <v>274</v>
      </c>
      <c r="K140" s="14" t="s">
        <v>686</v>
      </c>
      <c r="L140" s="14" t="s">
        <v>428</v>
      </c>
      <c r="M140" s="14" t="s">
        <v>9158</v>
      </c>
      <c r="N140" s="14" t="s">
        <v>9158</v>
      </c>
      <c r="O140" s="19" t="s">
        <v>10100</v>
      </c>
      <c r="P140" s="14" t="s">
        <v>3810</v>
      </c>
      <c r="Q140" s="14">
        <v>1</v>
      </c>
    </row>
    <row r="141" spans="1:17">
      <c r="A141" s="14">
        <v>73913</v>
      </c>
      <c r="B141" s="14" t="s">
        <v>334</v>
      </c>
      <c r="C141" s="14" t="s">
        <v>154</v>
      </c>
      <c r="D141" s="20" t="s">
        <v>3202</v>
      </c>
      <c r="E141" s="15" t="str">
        <f>HYPERLINK("https://stat100.ameba.jp/tnk47/ratio20/illustrations/card/ill_73913_atsutajingu03.jpg?202004-5-RELEASE-marathon-466xxxx", "■")</f>
        <v>■</v>
      </c>
      <c r="F141" s="14" t="s">
        <v>1207</v>
      </c>
      <c r="G141" s="14">
        <v>82654</v>
      </c>
      <c r="H141" s="14">
        <v>114119</v>
      </c>
      <c r="I141" s="14">
        <v>25</v>
      </c>
      <c r="J141" s="14" t="s">
        <v>44</v>
      </c>
      <c r="K141" s="14" t="s">
        <v>1208</v>
      </c>
      <c r="L141" s="14" t="s">
        <v>1209</v>
      </c>
      <c r="M141" s="14" t="s">
        <v>9158</v>
      </c>
      <c r="N141" s="14" t="s">
        <v>9158</v>
      </c>
      <c r="O141" s="19" t="s">
        <v>10074</v>
      </c>
      <c r="P141" s="14" t="s">
        <v>2822</v>
      </c>
      <c r="Q141" s="14">
        <v>1</v>
      </c>
    </row>
    <row r="142" spans="1:17">
      <c r="A142" s="14">
        <v>79963</v>
      </c>
      <c r="B142" s="14" t="s">
        <v>0</v>
      </c>
      <c r="C142" s="14" t="s">
        <v>200</v>
      </c>
      <c r="D142" s="20" t="s">
        <v>10477</v>
      </c>
      <c r="E142" s="15" t="str">
        <f>HYPERLINK("https://stat100.ameba.jp/tnk47/ratio20/illustrations/card/ill_79963_hinamatsurirakko03.jpg?202004-5-RELEASE-marathon-466xxxx", "■")</f>
        <v>■</v>
      </c>
      <c r="F142" s="14" t="s">
        <v>3715</v>
      </c>
      <c r="G142" s="14">
        <v>113890</v>
      </c>
      <c r="H142" s="14">
        <v>105890</v>
      </c>
      <c r="I142" s="14">
        <v>25</v>
      </c>
      <c r="J142" s="14" t="s">
        <v>26</v>
      </c>
      <c r="K142" s="14" t="s">
        <v>3716</v>
      </c>
      <c r="L142" s="14" t="s">
        <v>1086</v>
      </c>
      <c r="M142" s="14" t="s">
        <v>9158</v>
      </c>
      <c r="N142" s="14" t="s">
        <v>9158</v>
      </c>
      <c r="O142" s="19" t="s">
        <v>10090</v>
      </c>
      <c r="P142" s="14" t="s">
        <v>3460</v>
      </c>
      <c r="Q142" s="14">
        <v>1</v>
      </c>
    </row>
    <row r="144" spans="1:17">
      <c r="A144" s="14" t="s">
        <v>12142</v>
      </c>
    </row>
    <row r="145" spans="1:18">
      <c r="A145" s="14" t="s">
        <v>12143</v>
      </c>
    </row>
    <row r="146" spans="1:18">
      <c r="A146" s="14" t="s">
        <v>5602</v>
      </c>
      <c r="B146" s="14" t="s">
        <v>330</v>
      </c>
      <c r="C146" s="14" t="s">
        <v>185</v>
      </c>
      <c r="D146" s="19" t="s">
        <v>813</v>
      </c>
      <c r="E146" s="15" t="str">
        <f>HYPERLINK("https://stat100.ameba.jp/tnk47/ratio20/illustrations/card/ill_55313_0_haroinononokomachi03.jpg?202004-5-RELEASE-marathon-466xxxx", "■")</f>
        <v>■</v>
      </c>
      <c r="F146" s="14" t="s">
        <v>814</v>
      </c>
      <c r="G146" s="14">
        <v>138212</v>
      </c>
      <c r="H146" s="14">
        <v>122776</v>
      </c>
      <c r="I146" s="14">
        <v>22</v>
      </c>
      <c r="J146" s="14" t="s">
        <v>351</v>
      </c>
      <c r="K146" s="14" t="s">
        <v>815</v>
      </c>
      <c r="L146" s="14" t="s">
        <v>816</v>
      </c>
      <c r="M146" s="14" t="s">
        <v>9158</v>
      </c>
      <c r="N146" s="14" t="s">
        <v>9158</v>
      </c>
      <c r="O146" s="19" t="s">
        <v>2733</v>
      </c>
      <c r="P146" s="14" t="s">
        <v>2734</v>
      </c>
      <c r="Q146" s="14">
        <v>1</v>
      </c>
    </row>
    <row r="147" spans="1:18">
      <c r="A147" s="14" t="s">
        <v>6905</v>
      </c>
      <c r="B147" s="14" t="s">
        <v>330</v>
      </c>
      <c r="C147" s="14" t="s">
        <v>35</v>
      </c>
      <c r="D147" s="19" t="s">
        <v>10299</v>
      </c>
      <c r="E147" s="15" t="str">
        <f>HYPERLINK("https://stat100.ameba.jp/tnk47/ratio20/illustrations/card/ill_80623_0_ohanamigurampingutominushihime03.jpg?202004-5-RELEASE-marathon-466xxxx", "■")</f>
        <v>■</v>
      </c>
      <c r="F147" s="14" t="s">
        <v>4162</v>
      </c>
      <c r="G147" s="14">
        <v>265168</v>
      </c>
      <c r="H147" s="14">
        <v>239682</v>
      </c>
      <c r="I147" s="14">
        <v>22</v>
      </c>
      <c r="J147" s="14" t="s">
        <v>44</v>
      </c>
      <c r="K147" s="14" t="s">
        <v>4163</v>
      </c>
      <c r="L147" s="14" t="s">
        <v>4164</v>
      </c>
      <c r="M147" s="14" t="s">
        <v>9158</v>
      </c>
      <c r="N147" s="14" t="s">
        <v>9158</v>
      </c>
      <c r="O147" s="19" t="s">
        <v>10126</v>
      </c>
      <c r="P147" s="14" t="s">
        <v>4166</v>
      </c>
      <c r="Q147" s="14">
        <v>1</v>
      </c>
    </row>
    <row r="148" spans="1:18">
      <c r="A148" s="14" t="s">
        <v>5604</v>
      </c>
      <c r="B148" s="14" t="s">
        <v>330</v>
      </c>
      <c r="C148" s="14" t="s">
        <v>206</v>
      </c>
      <c r="D148" s="19" t="s">
        <v>614</v>
      </c>
      <c r="E148" s="15" t="str">
        <f>HYPERLINK("https://stat100.ameba.jp/tnk47/ratio20/illustrations/card/ill_47263_0_oukyuuatsuhime03.jpg?202004-5-RELEASE-marathon-466xxxx", "■")</f>
        <v>■</v>
      </c>
      <c r="F148" s="14" t="s">
        <v>615</v>
      </c>
      <c r="G148" s="14">
        <v>138212</v>
      </c>
      <c r="H148" s="14">
        <v>122776</v>
      </c>
      <c r="I148" s="14">
        <v>22</v>
      </c>
      <c r="J148" s="14" t="s">
        <v>315</v>
      </c>
      <c r="K148" s="14" t="s">
        <v>616</v>
      </c>
      <c r="L148" s="14" t="s">
        <v>617</v>
      </c>
      <c r="M148" s="14" t="s">
        <v>9158</v>
      </c>
      <c r="N148" s="14" t="s">
        <v>9158</v>
      </c>
      <c r="O148" s="14" t="s">
        <v>9158</v>
      </c>
      <c r="P148" s="14" t="s">
        <v>9158</v>
      </c>
      <c r="Q148" s="14" t="s">
        <v>9158</v>
      </c>
    </row>
    <row r="149" spans="1:18">
      <c r="A149" s="9">
        <v>77603</v>
      </c>
      <c r="B149" s="14" t="s">
        <v>0</v>
      </c>
      <c r="C149" s="14" t="s">
        <v>191</v>
      </c>
      <c r="D149" s="14" t="s">
        <v>1883</v>
      </c>
      <c r="E149" s="15" t="str">
        <f>HYPERLINK("https://stat100.ameba.jp/tnk47/ratio20/illustrations/card/ill_77603_kajinoikedasen03.jpg?202004-5-RELEASE-marathon-466xxxx", "■")</f>
        <v>■</v>
      </c>
      <c r="F149" s="14" t="s">
        <v>1884</v>
      </c>
      <c r="G149" s="14">
        <v>190884</v>
      </c>
      <c r="H149" s="14">
        <v>107392</v>
      </c>
      <c r="I149" s="14">
        <v>26</v>
      </c>
      <c r="J149" s="14" t="s">
        <v>143</v>
      </c>
      <c r="K149" s="14" t="s">
        <v>1885</v>
      </c>
      <c r="L149" s="14" t="s">
        <v>145</v>
      </c>
      <c r="M149" s="14" t="s">
        <v>9158</v>
      </c>
      <c r="N149" s="14" t="s">
        <v>9158</v>
      </c>
      <c r="O149" s="14" t="s">
        <v>9158</v>
      </c>
      <c r="P149" s="14" t="s">
        <v>9158</v>
      </c>
      <c r="Q149" s="14" t="s">
        <v>9158</v>
      </c>
    </row>
    <row r="150" spans="1:18">
      <c r="A150" s="9">
        <v>59443</v>
      </c>
      <c r="B150" s="14" t="s">
        <v>334</v>
      </c>
      <c r="C150" s="14" t="s">
        <v>267</v>
      </c>
      <c r="D150" s="14" t="s">
        <v>3875</v>
      </c>
      <c r="E150" s="15" t="str">
        <f>HYPERLINK("https://stat100.ameba.jp/tnk47/ratio20/illustrations/card/ill_59443_kumanokusubinomikoto03.jpg?202004-5-RELEASE-marathon-466xxxx", "■")</f>
        <v>■</v>
      </c>
      <c r="F150" s="14" t="s">
        <v>801</v>
      </c>
      <c r="G150" s="14">
        <v>112808</v>
      </c>
      <c r="H150" s="14">
        <v>81098</v>
      </c>
      <c r="I150" s="14">
        <v>26</v>
      </c>
      <c r="J150" s="14" t="s">
        <v>401</v>
      </c>
      <c r="K150" s="14" t="s">
        <v>802</v>
      </c>
      <c r="L150" s="14" t="s">
        <v>803</v>
      </c>
      <c r="M150" s="14" t="s">
        <v>9158</v>
      </c>
      <c r="N150" s="14" t="s">
        <v>9158</v>
      </c>
      <c r="O150" s="14" t="s">
        <v>9158</v>
      </c>
      <c r="P150" s="14" t="s">
        <v>9158</v>
      </c>
      <c r="Q150" s="14" t="s">
        <v>9158</v>
      </c>
    </row>
    <row r="151" spans="1:18">
      <c r="A151" s="14">
        <v>75463</v>
      </c>
      <c r="B151" s="14" t="s">
        <v>334</v>
      </c>
      <c r="C151" s="14" t="s">
        <v>308</v>
      </c>
      <c r="D151" s="19" t="s">
        <v>10249</v>
      </c>
      <c r="E151" s="15" t="str">
        <f>HYPERLINK("https://stat100.ameba.jp/tnk47/ratio20/illustrations/card/ill_75463_kiiui03.jpg?202004-5-RELEASE-marathon-466xxxx", "■")</f>
        <v>■</v>
      </c>
      <c r="F151" s="14" t="s">
        <v>4420</v>
      </c>
      <c r="G151" s="14">
        <v>118446</v>
      </c>
      <c r="H151" s="14">
        <v>110126</v>
      </c>
      <c r="I151" s="14">
        <v>26</v>
      </c>
      <c r="J151" s="14" t="s">
        <v>26</v>
      </c>
      <c r="K151" s="14" t="s">
        <v>4421</v>
      </c>
      <c r="L151" s="14" t="s">
        <v>1086</v>
      </c>
      <c r="M151" s="14" t="s">
        <v>9158</v>
      </c>
      <c r="N151" s="14" t="s">
        <v>9158</v>
      </c>
      <c r="O151" s="14" t="s">
        <v>9158</v>
      </c>
      <c r="P151" s="14" t="s">
        <v>9158</v>
      </c>
      <c r="Q151" s="14" t="s">
        <v>9158</v>
      </c>
    </row>
    <row r="153" spans="1:18">
      <c r="A153" s="14" t="s">
        <v>13383</v>
      </c>
    </row>
    <row r="154" spans="1:18">
      <c r="A154" s="14" t="s">
        <v>12144</v>
      </c>
    </row>
    <row r="155" spans="1:18">
      <c r="A155" s="14">
        <v>88465</v>
      </c>
      <c r="B155" s="14" t="s">
        <v>12148</v>
      </c>
      <c r="C155" s="14" t="s">
        <v>12146</v>
      </c>
      <c r="D155" s="14" t="s">
        <v>12145</v>
      </c>
      <c r="E155" s="15" t="str">
        <f>HYPERLINK("https://stat100.ameba.jp/tnk47/ratio20/illustrations/card/ill_88465_sotonoarubebira05.jpg?202004-5-RELEASE-marathon-466xxxx", "■")</f>
        <v>■</v>
      </c>
      <c r="F155" s="14" t="s">
        <v>12156</v>
      </c>
      <c r="G155" s="14">
        <v>186058</v>
      </c>
      <c r="H155" s="14">
        <v>134718</v>
      </c>
      <c r="I155" s="14">
        <v>26</v>
      </c>
      <c r="J155" s="14" t="s">
        <v>12155</v>
      </c>
      <c r="K155" s="14" t="s">
        <v>12154</v>
      </c>
      <c r="L155" s="14" t="s">
        <v>12153</v>
      </c>
      <c r="M155" s="14" t="s">
        <v>9158</v>
      </c>
      <c r="N155" s="14" t="s">
        <v>9158</v>
      </c>
      <c r="O155" s="14" t="s">
        <v>9158</v>
      </c>
      <c r="P155" s="14" t="s">
        <v>9158</v>
      </c>
      <c r="Q155" s="14" t="s">
        <v>9158</v>
      </c>
      <c r="R155" s="14" t="s">
        <v>12150</v>
      </c>
    </row>
    <row r="156" spans="1:18">
      <c r="A156" s="14">
        <v>88463</v>
      </c>
      <c r="B156" s="14" t="s">
        <v>12149</v>
      </c>
      <c r="C156" s="14" t="s">
        <v>12147</v>
      </c>
      <c r="D156" s="14" t="s">
        <v>12145</v>
      </c>
      <c r="E156" s="15" t="str">
        <f>HYPERLINK("https://stat100.ameba.jp/tnk47/ratio20/illustrations/card/ill_88463_sotonoarubebira03.jpg?202004-5-RELEASE-marathon-466xxxx", "■")</f>
        <v>■</v>
      </c>
      <c r="F156" s="14" t="s">
        <v>12156</v>
      </c>
      <c r="G156" s="14">
        <v>137086</v>
      </c>
      <c r="H156" s="14">
        <v>99256</v>
      </c>
      <c r="I156" s="14">
        <v>26</v>
      </c>
      <c r="J156" s="14" t="s">
        <v>12155</v>
      </c>
      <c r="K156" s="14" t="s">
        <v>12154</v>
      </c>
      <c r="L156" s="14" t="s">
        <v>12157</v>
      </c>
      <c r="M156" s="14" t="s">
        <v>9158</v>
      </c>
      <c r="N156" s="14" t="s">
        <v>9158</v>
      </c>
      <c r="O156" s="14" t="s">
        <v>9158</v>
      </c>
      <c r="P156" s="14" t="s">
        <v>9158</v>
      </c>
      <c r="Q156" s="14" t="s">
        <v>9158</v>
      </c>
      <c r="R156" s="14" t="s">
        <v>12151</v>
      </c>
    </row>
    <row r="157" spans="1:18">
      <c r="A157" s="14">
        <v>88461</v>
      </c>
      <c r="B157" s="14" t="s">
        <v>12149</v>
      </c>
      <c r="C157" s="14" t="s">
        <v>12147</v>
      </c>
      <c r="D157" s="14" t="s">
        <v>12145</v>
      </c>
      <c r="E157" s="15" t="str">
        <f>HYPERLINK("https://stat100.ameba.jp/tnk47/ratio20/illustrations/card/ill_88461_sotonoarubebira01.jpg?202004-5-RELEASE-marathon-466xxxx", "■")</f>
        <v>■</v>
      </c>
      <c r="F157" s="14" t="s">
        <v>12156</v>
      </c>
      <c r="G157" s="14">
        <v>87204</v>
      </c>
      <c r="H157" s="14">
        <v>63154</v>
      </c>
      <c r="I157" s="14">
        <v>26</v>
      </c>
      <c r="J157" s="14" t="s">
        <v>12155</v>
      </c>
      <c r="K157" s="14" t="s">
        <v>12154</v>
      </c>
      <c r="L157" s="14" t="s">
        <v>12158</v>
      </c>
      <c r="M157" s="14" t="s">
        <v>9158</v>
      </c>
      <c r="N157" s="14" t="s">
        <v>9158</v>
      </c>
      <c r="O157" s="14" t="s">
        <v>9158</v>
      </c>
      <c r="P157" s="14" t="s">
        <v>9158</v>
      </c>
      <c r="Q157" s="14" t="s">
        <v>9158</v>
      </c>
      <c r="R157" s="14" t="s">
        <v>12152</v>
      </c>
    </row>
    <row r="159" spans="1:18">
      <c r="A159" s="14" t="s">
        <v>9421</v>
      </c>
    </row>
    <row r="160" spans="1:18">
      <c r="A160" s="14" t="s">
        <v>12159</v>
      </c>
    </row>
    <row r="161" spans="1:17">
      <c r="A161" s="14" t="s">
        <v>12160</v>
      </c>
    </row>
    <row r="162" spans="1:17">
      <c r="A162" s="7" t="s">
        <v>8437</v>
      </c>
      <c r="B162" s="7" t="s">
        <v>52</v>
      </c>
      <c r="C162" s="7" t="s">
        <v>202</v>
      </c>
      <c r="D162" s="20" t="s">
        <v>10806</v>
      </c>
      <c r="E162" s="15" t="str">
        <f>HYPERLINK("https://stat100.ameba.jp/tnk47/ratio20/illustrations/card/ill_85523_0_seitankuronikurukusumotoine03.jpg?202004-5-RELEASE-marathon-466xxxx", "■")</f>
        <v>■</v>
      </c>
      <c r="F162" s="7" t="s">
        <v>8440</v>
      </c>
      <c r="G162" s="14">
        <v>314976</v>
      </c>
      <c r="H162" s="7">
        <v>284690</v>
      </c>
      <c r="I162" s="7">
        <v>26</v>
      </c>
      <c r="J162" s="14" t="s">
        <v>77</v>
      </c>
      <c r="K162" s="7" t="s">
        <v>8446</v>
      </c>
      <c r="L162" s="7" t="s">
        <v>8439</v>
      </c>
      <c r="M162" s="14" t="s">
        <v>9158</v>
      </c>
      <c r="N162" s="14" t="s">
        <v>9158</v>
      </c>
      <c r="O162" s="19" t="s">
        <v>10133</v>
      </c>
      <c r="P162" s="7" t="s">
        <v>8441</v>
      </c>
      <c r="Q162" s="7">
        <v>1</v>
      </c>
    </row>
    <row r="163" spans="1:17">
      <c r="A163" s="14" t="s">
        <v>6598</v>
      </c>
      <c r="B163" s="14" t="s">
        <v>330</v>
      </c>
      <c r="C163" s="14" t="s">
        <v>35</v>
      </c>
      <c r="D163" s="19" t="s">
        <v>10555</v>
      </c>
      <c r="E163" s="15" t="str">
        <f>HYPERLINK("https://stat100.ameba.jp/tnk47/ratio20/illustrations/card/ill_83553_0_kajuenamoronagu03.jpg?202004-5-RELEASE-marathon-466xxxx", "■")</f>
        <v>■</v>
      </c>
      <c r="F163" s="14" t="s">
        <v>6597</v>
      </c>
      <c r="G163" s="14">
        <v>273692</v>
      </c>
      <c r="H163" s="14">
        <v>302830</v>
      </c>
      <c r="I163" s="14">
        <v>26</v>
      </c>
      <c r="J163" s="14" t="s">
        <v>44</v>
      </c>
      <c r="K163" s="14" t="s">
        <v>6595</v>
      </c>
      <c r="L163" s="14" t="s">
        <v>6594</v>
      </c>
      <c r="M163" s="14" t="s">
        <v>9158</v>
      </c>
      <c r="N163" s="14" t="s">
        <v>9158</v>
      </c>
      <c r="O163" s="19" t="s">
        <v>10125</v>
      </c>
      <c r="P163" s="14" t="s">
        <v>6599</v>
      </c>
      <c r="Q163" s="14">
        <v>1</v>
      </c>
    </row>
    <row r="164" spans="1:17">
      <c r="A164" s="14" t="s">
        <v>5963</v>
      </c>
      <c r="B164" s="14" t="s">
        <v>330</v>
      </c>
      <c r="C164" s="14" t="s">
        <v>35</v>
      </c>
      <c r="D164" s="19" t="s">
        <v>10438</v>
      </c>
      <c r="E164" s="15" t="str">
        <f>HYPERLINK("https://stat100.ameba.jp/tnk47/ratio20/illustrations/card/ill_82963_0_yukatamatsuritomokazuki03.jpg?202004-5-RELEASE-marathon-466xxxx", "■")</f>
        <v>■</v>
      </c>
      <c r="F164" s="14" t="s">
        <v>5964</v>
      </c>
      <c r="G164" s="14">
        <v>309714</v>
      </c>
      <c r="H164" s="14">
        <v>342692</v>
      </c>
      <c r="I164" s="14">
        <v>26</v>
      </c>
      <c r="J164" s="14" t="s">
        <v>73</v>
      </c>
      <c r="K164" s="14" t="s">
        <v>5966</v>
      </c>
      <c r="L164" s="14" t="s">
        <v>5967</v>
      </c>
      <c r="M164" s="14" t="s">
        <v>9158</v>
      </c>
      <c r="N164" s="14" t="s">
        <v>9158</v>
      </c>
      <c r="O164" s="19" t="s">
        <v>10115</v>
      </c>
      <c r="P164" s="14" t="s">
        <v>5968</v>
      </c>
      <c r="Q164" s="14">
        <v>1</v>
      </c>
    </row>
    <row r="165" spans="1:17">
      <c r="A165" s="7">
        <v>80353</v>
      </c>
      <c r="B165" s="14" t="s">
        <v>0</v>
      </c>
      <c r="C165" s="14" t="s">
        <v>14</v>
      </c>
      <c r="D165" s="20" t="s">
        <v>4122</v>
      </c>
      <c r="E165" s="15" t="str">
        <f>HYPERLINK("https://stat100.ameba.jp/tnk47/ratio20/illustrations/card/ill_80353_seibugekisentoin03.jpg?202004-5-RELEASE-marathon-466xxxx", "■")</f>
        <v>■</v>
      </c>
      <c r="F165" s="14" t="s">
        <v>4094</v>
      </c>
      <c r="G165" s="14">
        <v>101558</v>
      </c>
      <c r="H165" s="14">
        <v>94390</v>
      </c>
      <c r="I165" s="14">
        <v>26</v>
      </c>
      <c r="J165" s="14" t="s">
        <v>77</v>
      </c>
      <c r="K165" s="14" t="s">
        <v>4095</v>
      </c>
      <c r="L165" s="14" t="s">
        <v>4096</v>
      </c>
      <c r="M165" s="14" t="s">
        <v>9158</v>
      </c>
      <c r="N165" s="14" t="s">
        <v>9158</v>
      </c>
      <c r="O165" s="14" t="s">
        <v>9158</v>
      </c>
      <c r="P165" s="14" t="s">
        <v>9158</v>
      </c>
      <c r="Q165" s="14" t="s">
        <v>9158</v>
      </c>
    </row>
    <row r="166" spans="1:17">
      <c r="A166" s="14">
        <v>83163</v>
      </c>
      <c r="B166" s="14" t="s">
        <v>0</v>
      </c>
      <c r="C166" s="14" t="s">
        <v>200</v>
      </c>
      <c r="D166" s="20" t="s">
        <v>10480</v>
      </c>
      <c r="E166" s="15" t="str">
        <f>HYPERLINK("https://stat100.ameba.jp/tnk47/ratio20/illustrations/card/ill_83163_mangamatsurifutomakimatsurizushi03.jpg?202004-5-RELEASE-marathon-466xxxx", "■")</f>
        <v>■</v>
      </c>
      <c r="F166" s="14" t="s">
        <v>6164</v>
      </c>
      <c r="G166" s="14">
        <v>122786</v>
      </c>
      <c r="H166" s="14">
        <v>114176</v>
      </c>
      <c r="I166" s="14">
        <v>26</v>
      </c>
      <c r="J166" s="14" t="s">
        <v>104</v>
      </c>
      <c r="K166" s="14" t="s">
        <v>6166</v>
      </c>
      <c r="L166" s="14" t="s">
        <v>2409</v>
      </c>
      <c r="M166" s="14" t="s">
        <v>9158</v>
      </c>
      <c r="N166" s="14" t="s">
        <v>9158</v>
      </c>
      <c r="O166" s="14" t="s">
        <v>9158</v>
      </c>
      <c r="P166" s="14" t="s">
        <v>9158</v>
      </c>
      <c r="Q166" s="14" t="s">
        <v>9158</v>
      </c>
    </row>
    <row r="167" spans="1:17">
      <c r="A167" s="7">
        <v>85573</v>
      </c>
      <c r="B167" s="7" t="s">
        <v>0</v>
      </c>
      <c r="C167" s="7" t="s">
        <v>191</v>
      </c>
      <c r="D167" s="20" t="s">
        <v>10824</v>
      </c>
      <c r="E167" s="15" t="str">
        <f>HYPERLINK("https://stat100.ameba.jp/tnk47/ratio20/illustrations/card/ill_85573_kurisumasuotezutsuhanabisan03.jpg?202004-5-RELEASE-marathon-466xxxx", "■")</f>
        <v>■</v>
      </c>
      <c r="F167" s="7" t="s">
        <v>8404</v>
      </c>
      <c r="G167" s="7">
        <v>110126</v>
      </c>
      <c r="H167" s="7">
        <v>118446</v>
      </c>
      <c r="I167" s="7">
        <v>26</v>
      </c>
      <c r="J167" s="7" t="s">
        <v>229</v>
      </c>
      <c r="K167" s="7" t="s">
        <v>8403</v>
      </c>
      <c r="L167" s="7" t="s">
        <v>7427</v>
      </c>
      <c r="M167" s="14" t="s">
        <v>9158</v>
      </c>
      <c r="N167" s="14" t="s">
        <v>9158</v>
      </c>
      <c r="O167" s="14" t="s">
        <v>9158</v>
      </c>
      <c r="P167" s="14" t="s">
        <v>9158</v>
      </c>
      <c r="Q167" s="14" t="s">
        <v>9158</v>
      </c>
    </row>
    <row r="168" spans="1:17">
      <c r="A168" s="14">
        <v>81373</v>
      </c>
      <c r="B168" s="14" t="s">
        <v>0</v>
      </c>
      <c r="C168" s="14" t="s">
        <v>165</v>
      </c>
      <c r="D168" s="19" t="s">
        <v>10710</v>
      </c>
      <c r="E168" s="15" t="str">
        <f>HYPERLINK("https://stat100.ameba.jp/tnk47/ratio20/illustrations/card/ill_81373_hakatadontakuhayamisosei03.jpg?202004-5-RELEASE-marathon-466xxxx", "■")</f>
        <v>■</v>
      </c>
      <c r="F168" s="14" t="s">
        <v>4610</v>
      </c>
      <c r="G168" s="14">
        <v>94390</v>
      </c>
      <c r="H168" s="14">
        <v>101558</v>
      </c>
      <c r="I168" s="14">
        <v>26</v>
      </c>
      <c r="J168" s="14" t="s">
        <v>10</v>
      </c>
      <c r="K168" s="14" t="s">
        <v>4611</v>
      </c>
      <c r="L168" s="14" t="s">
        <v>4612</v>
      </c>
      <c r="M168" s="14" t="s">
        <v>9158</v>
      </c>
      <c r="N168" s="14" t="s">
        <v>9158</v>
      </c>
      <c r="O168" s="14" t="s">
        <v>9158</v>
      </c>
      <c r="P168" s="14" t="s">
        <v>9158</v>
      </c>
      <c r="Q168" s="14" t="s">
        <v>9158</v>
      </c>
    </row>
    <row r="169" spans="1:17">
      <c r="A169" s="14">
        <v>83013</v>
      </c>
      <c r="B169" s="14" t="s">
        <v>0</v>
      </c>
      <c r="C169" s="14" t="s">
        <v>205</v>
      </c>
      <c r="D169" s="20" t="s">
        <v>10454</v>
      </c>
      <c r="E169" s="15" t="str">
        <f>HYPERLINK("https://stat100.ameba.jp/tnk47/ratio20/illustrations/card/ill_83013_kyofunobyotosuseribime03.jpg?202004-5-RELEASE-marathon-466xxxx", "■")</f>
        <v>■</v>
      </c>
      <c r="F169" s="14" t="s">
        <v>6035</v>
      </c>
      <c r="G169" s="14">
        <v>98594</v>
      </c>
      <c r="H169" s="14">
        <v>106050</v>
      </c>
      <c r="I169" s="14">
        <v>26</v>
      </c>
      <c r="J169" s="14" t="s">
        <v>169</v>
      </c>
      <c r="K169" s="14" t="s">
        <v>6037</v>
      </c>
      <c r="L169" s="14" t="s">
        <v>13194</v>
      </c>
      <c r="M169" s="14" t="s">
        <v>9158</v>
      </c>
      <c r="N169" s="14" t="s">
        <v>9158</v>
      </c>
      <c r="O169" s="14" t="s">
        <v>9158</v>
      </c>
      <c r="P169" s="14" t="s">
        <v>9158</v>
      </c>
      <c r="Q169" s="14" t="s">
        <v>9158</v>
      </c>
    </row>
    <row r="170" spans="1:17">
      <c r="A170" s="7">
        <v>85723</v>
      </c>
      <c r="B170" s="7" t="s">
        <v>0</v>
      </c>
      <c r="C170" s="14" t="s">
        <v>107</v>
      </c>
      <c r="D170" s="20" t="s">
        <v>10835</v>
      </c>
      <c r="E170" s="15" t="str">
        <f>HYPERLINK("https://stat100.ameba.jp/tnk47/ratio20/illustrations/card/ill_85723_nemmatsukenkoshindammyorinni03.jpg?202004-5-RELEASE-marathon-466xxxx", "■")</f>
        <v>■</v>
      </c>
      <c r="F170" s="7" t="s">
        <v>8501</v>
      </c>
      <c r="G170" s="7">
        <v>105426</v>
      </c>
      <c r="H170" s="7">
        <v>98066</v>
      </c>
      <c r="I170" s="7">
        <v>26</v>
      </c>
      <c r="J170" s="7" t="s">
        <v>194</v>
      </c>
      <c r="K170" s="7" t="s">
        <v>8500</v>
      </c>
      <c r="L170" s="7" t="s">
        <v>8499</v>
      </c>
      <c r="M170" s="14" t="s">
        <v>9158</v>
      </c>
      <c r="N170" s="14" t="s">
        <v>9158</v>
      </c>
      <c r="O170" s="14" t="s">
        <v>9158</v>
      </c>
      <c r="P170" s="14" t="s">
        <v>9158</v>
      </c>
      <c r="Q170" s="14" t="s">
        <v>9158</v>
      </c>
    </row>
    <row r="172" spans="1:17">
      <c r="A172" s="14" t="s">
        <v>12166</v>
      </c>
    </row>
    <row r="173" spans="1:17">
      <c r="A173" s="14" t="s">
        <v>4294</v>
      </c>
    </row>
    <row r="174" spans="1:17">
      <c r="A174" s="14" t="s">
        <v>5609</v>
      </c>
      <c r="B174" s="14" t="s">
        <v>52</v>
      </c>
      <c r="C174" s="14" t="s">
        <v>200</v>
      </c>
      <c r="D174" s="19" t="s">
        <v>389</v>
      </c>
      <c r="E174" s="15" t="str">
        <f>HYPERLINK("https://stat100.ameba.jp/tnk47/ratio20/illustrations/card/ill_53753_0_natsumatsuritokugawaieyasu03.jpg?202004-5-RELEASE-marathon-466xxxx", "■")</f>
        <v>■</v>
      </c>
      <c r="F174" s="14" t="s">
        <v>902</v>
      </c>
      <c r="G174" s="14">
        <v>150776</v>
      </c>
      <c r="H174" s="14">
        <v>133938</v>
      </c>
      <c r="I174" s="14">
        <v>24</v>
      </c>
      <c r="J174" s="14" t="s">
        <v>194</v>
      </c>
      <c r="K174" s="14" t="s">
        <v>1714</v>
      </c>
      <c r="L174" s="14" t="s">
        <v>904</v>
      </c>
      <c r="M174" s="14" t="s">
        <v>9158</v>
      </c>
      <c r="N174" s="14" t="s">
        <v>9158</v>
      </c>
      <c r="O174" s="19" t="s">
        <v>10076</v>
      </c>
      <c r="P174" s="14" t="s">
        <v>13121</v>
      </c>
      <c r="Q174" s="14">
        <v>1</v>
      </c>
    </row>
    <row r="175" spans="1:17">
      <c r="A175" s="14" t="s">
        <v>5901</v>
      </c>
      <c r="B175" s="14" t="s">
        <v>52</v>
      </c>
      <c r="C175" s="14" t="s">
        <v>101</v>
      </c>
      <c r="D175" s="19" t="s">
        <v>1426</v>
      </c>
      <c r="E175" s="15" t="str">
        <f>HYPERLINK("https://stat100.ameba.jp/tnk47/ratio20/illustrations/card/ill_64953_0_yukatatokugawayoshinobu03.jpg?202004-5-RELEASE-marathon-466xxxx", "■")</f>
        <v>■</v>
      </c>
      <c r="F175" s="14" t="s">
        <v>2090</v>
      </c>
      <c r="G175" s="14">
        <v>149520</v>
      </c>
      <c r="H175" s="14">
        <v>160804</v>
      </c>
      <c r="I175" s="14">
        <v>24</v>
      </c>
      <c r="J175" s="14" t="s">
        <v>10</v>
      </c>
      <c r="K175" s="14" t="s">
        <v>2091</v>
      </c>
      <c r="L175" s="14" t="s">
        <v>2092</v>
      </c>
      <c r="M175" s="14" t="s">
        <v>9158</v>
      </c>
      <c r="N175" s="14" t="s">
        <v>9158</v>
      </c>
      <c r="O175" s="19" t="s">
        <v>2889</v>
      </c>
      <c r="P175" s="14" t="s">
        <v>2890</v>
      </c>
      <c r="Q175" s="14">
        <v>1</v>
      </c>
    </row>
    <row r="176" spans="1:17">
      <c r="A176" s="14" t="s">
        <v>5902</v>
      </c>
      <c r="B176" s="14" t="s">
        <v>330</v>
      </c>
      <c r="C176" s="14" t="s">
        <v>206</v>
      </c>
      <c r="D176" s="19" t="s">
        <v>483</v>
      </c>
      <c r="E176" s="15" t="str">
        <f>HYPERLINK("https://stat100.ameba.jp/tnk47/ratio20/illustrations/card/ill_40343_0_heshikirihasebekurodakambe03.jpg?202004-5-RELEASE-marathon-466xxxx", "■")</f>
        <v>■</v>
      </c>
      <c r="F176" s="14" t="s">
        <v>906</v>
      </c>
      <c r="G176" s="14">
        <v>140448</v>
      </c>
      <c r="H176" s="14">
        <v>131538</v>
      </c>
      <c r="I176" s="14">
        <v>24</v>
      </c>
      <c r="J176" s="14" t="s">
        <v>16</v>
      </c>
      <c r="K176" s="14" t="s">
        <v>907</v>
      </c>
      <c r="L176" s="14" t="s">
        <v>908</v>
      </c>
      <c r="M176" s="14" t="s">
        <v>9158</v>
      </c>
      <c r="N176" s="14" t="s">
        <v>9158</v>
      </c>
      <c r="O176" s="14" t="s">
        <v>9158</v>
      </c>
      <c r="P176" s="14" t="s">
        <v>9158</v>
      </c>
      <c r="Q176" s="14" t="s">
        <v>9158</v>
      </c>
    </row>
    <row r="177" spans="1:18">
      <c r="A177" s="14">
        <v>88563</v>
      </c>
      <c r="B177" s="7" t="s">
        <v>0</v>
      </c>
      <c r="C177" s="14" t="s">
        <v>165</v>
      </c>
      <c r="D177" s="18" t="s">
        <v>12108</v>
      </c>
      <c r="E177" s="15" t="str">
        <f>HYPERLINK("https://stat100.ameba.jp/tnk47/ratio20/illustrations/card/ill_88563_furawagadenrishieru03.jpg?202004-5-RELEASE-marathon-466xxxx", "■")</f>
        <v>■</v>
      </c>
      <c r="F177" s="14" t="s">
        <v>12141</v>
      </c>
      <c r="G177" s="14">
        <v>90759</v>
      </c>
      <c r="H177" s="14">
        <v>97651</v>
      </c>
      <c r="I177" s="7">
        <v>25</v>
      </c>
      <c r="J177" s="14" t="s">
        <v>187</v>
      </c>
      <c r="K177" s="14" t="s">
        <v>12140</v>
      </c>
      <c r="L177" s="14" t="s">
        <v>12139</v>
      </c>
      <c r="M177" s="14" t="s">
        <v>9158</v>
      </c>
      <c r="N177" s="14" t="s">
        <v>9158</v>
      </c>
      <c r="O177" s="14" t="s">
        <v>9158</v>
      </c>
      <c r="P177" s="14" t="s">
        <v>9158</v>
      </c>
      <c r="Q177" s="14" t="s">
        <v>9158</v>
      </c>
    </row>
    <row r="178" spans="1:18">
      <c r="A178" s="14">
        <v>88583</v>
      </c>
      <c r="B178" s="14" t="s">
        <v>15</v>
      </c>
      <c r="C178" s="14" t="s">
        <v>200</v>
      </c>
      <c r="D178" s="14" t="s">
        <v>12125</v>
      </c>
      <c r="E178" s="15" t="str">
        <f>HYPERLINK("https://stat100.ameba.jp/tnk47/ratio20/illustrations/card/ill_88583_sakuragoromokamotokanoko03.jpg?202004-5-RELEASE-marathon-466xxxx", "■")</f>
        <v>■</v>
      </c>
      <c r="F178" s="14" t="s">
        <v>12135</v>
      </c>
      <c r="G178" s="14">
        <v>74100</v>
      </c>
      <c r="H178" s="14">
        <v>67210</v>
      </c>
      <c r="I178" s="14">
        <v>25</v>
      </c>
      <c r="J178" s="14" t="s">
        <v>159</v>
      </c>
      <c r="K178" s="14" t="s">
        <v>12134</v>
      </c>
      <c r="L178" s="14" t="s">
        <v>21</v>
      </c>
      <c r="M178" s="14" t="s">
        <v>9158</v>
      </c>
      <c r="N178" s="14" t="s">
        <v>9158</v>
      </c>
      <c r="O178" s="14" t="s">
        <v>9158</v>
      </c>
      <c r="P178" s="14" t="s">
        <v>9158</v>
      </c>
      <c r="Q178" s="14" t="s">
        <v>9158</v>
      </c>
    </row>
    <row r="179" spans="1:18">
      <c r="A179" s="14">
        <v>88593</v>
      </c>
      <c r="B179" s="14" t="s">
        <v>22</v>
      </c>
      <c r="C179" s="14" t="s">
        <v>206</v>
      </c>
      <c r="D179" s="14" t="s">
        <v>12126</v>
      </c>
      <c r="E179" s="15" t="str">
        <f>HYPERLINK("https://stat100.ameba.jp/tnk47/ratio20/illustrations/card/ill_88593_bashonosei03.jpg?202004-5-RELEASE-marathon-466xxxx", "■")</f>
        <v>■</v>
      </c>
      <c r="F179" s="14" t="s">
        <v>12132</v>
      </c>
      <c r="G179" s="14">
        <v>43220</v>
      </c>
      <c r="H179" s="14">
        <v>51980</v>
      </c>
      <c r="I179" s="14">
        <v>25</v>
      </c>
      <c r="J179" s="14" t="s">
        <v>182</v>
      </c>
      <c r="K179" s="14" t="s">
        <v>12131</v>
      </c>
      <c r="L179" s="14" t="s">
        <v>5881</v>
      </c>
      <c r="M179" s="14" t="s">
        <v>9158</v>
      </c>
      <c r="N179" s="14" t="s">
        <v>9158</v>
      </c>
      <c r="O179" s="14" t="s">
        <v>9158</v>
      </c>
      <c r="P179" s="14" t="s">
        <v>9158</v>
      </c>
      <c r="Q179" s="14" t="s">
        <v>9158</v>
      </c>
    </row>
    <row r="180" spans="1:18">
      <c r="A180" s="14">
        <v>88603</v>
      </c>
      <c r="B180" s="14" t="s">
        <v>30</v>
      </c>
      <c r="C180" s="14" t="s">
        <v>205</v>
      </c>
      <c r="D180" s="14" t="s">
        <v>12123</v>
      </c>
      <c r="E180" s="15" t="str">
        <f>HYPERLINK("https://stat100.ameba.jp/tnk47/ratio20/illustrations/card/ill_88603_kosumosuchan03.jpg?202004-5-RELEASE-marathon-466xxxx", "■")</f>
        <v>■</v>
      </c>
      <c r="F180" s="14" t="s">
        <v>12129</v>
      </c>
      <c r="G180" s="14">
        <v>31470</v>
      </c>
      <c r="H180" s="14">
        <v>26430</v>
      </c>
      <c r="I180" s="14">
        <v>25</v>
      </c>
      <c r="J180" s="14" t="s">
        <v>229</v>
      </c>
      <c r="K180" s="14" t="s">
        <v>12128</v>
      </c>
      <c r="L180" s="14" t="s">
        <v>5318</v>
      </c>
      <c r="M180" s="14" t="s">
        <v>9158</v>
      </c>
      <c r="N180" s="14" t="s">
        <v>9158</v>
      </c>
      <c r="O180" s="14" t="s">
        <v>9158</v>
      </c>
      <c r="P180" s="14" t="s">
        <v>9158</v>
      </c>
      <c r="Q180" s="14" t="s">
        <v>9158</v>
      </c>
    </row>
    <row r="182" spans="1:18">
      <c r="A182" s="14" t="s">
        <v>12167</v>
      </c>
    </row>
    <row r="183" spans="1:18">
      <c r="A183" s="14" t="s">
        <v>12168</v>
      </c>
    </row>
    <row r="184" spans="1:18">
      <c r="A184" s="14" t="s">
        <v>6508</v>
      </c>
      <c r="B184" s="14" t="s">
        <v>330</v>
      </c>
      <c r="C184" s="14" t="s">
        <v>35</v>
      </c>
      <c r="D184" s="19" t="s">
        <v>10168</v>
      </c>
      <c r="E184" s="15" t="str">
        <f>HYPERLINK("https://stat100.ameba.jp/tnk47/ratio20/illustrations/card/ill_81783_0_denshagarukoteipenginchan03.jpg?202004-5-RELEASE-marathon-466xxxx", "■")</f>
        <v>■</v>
      </c>
      <c r="F184" s="14" t="s">
        <v>4834</v>
      </c>
      <c r="G184" s="14">
        <v>290731</v>
      </c>
      <c r="H184" s="14">
        <v>262745</v>
      </c>
      <c r="I184" s="14">
        <v>25</v>
      </c>
      <c r="J184" s="14" t="s">
        <v>26</v>
      </c>
      <c r="K184" s="14" t="s">
        <v>4836</v>
      </c>
      <c r="L184" s="14" t="s">
        <v>1783</v>
      </c>
      <c r="M184" s="14" t="s">
        <v>9158</v>
      </c>
      <c r="N184" s="14" t="s">
        <v>9158</v>
      </c>
      <c r="O184" s="19" t="s">
        <v>10124</v>
      </c>
      <c r="P184" s="14" t="s">
        <v>4838</v>
      </c>
      <c r="Q184" s="14">
        <v>1</v>
      </c>
    </row>
    <row r="185" spans="1:18">
      <c r="A185" s="14">
        <v>84653</v>
      </c>
      <c r="B185" s="14" t="s">
        <v>334</v>
      </c>
      <c r="C185" s="14" t="s">
        <v>209</v>
      </c>
      <c r="D185" s="20" t="s">
        <v>10626</v>
      </c>
      <c r="E185" s="15" t="str">
        <f>HYPERLINK("https://stat100.ameba.jp/tnk47/ratio20/illustrations/card/ill_84653_soru03.jpg?202004-5-RELEASE-marathon-466xxxx", "■")</f>
        <v>■</v>
      </c>
      <c r="F185" s="14" t="s">
        <v>6954</v>
      </c>
      <c r="G185" s="14">
        <v>75984</v>
      </c>
      <c r="H185" s="14">
        <v>104890</v>
      </c>
      <c r="I185" s="14">
        <v>24</v>
      </c>
      <c r="J185" s="14" t="s">
        <v>44</v>
      </c>
      <c r="K185" s="14" t="s">
        <v>6956</v>
      </c>
      <c r="L185" s="14" t="s">
        <v>3652</v>
      </c>
      <c r="M185" s="14" t="s">
        <v>9158</v>
      </c>
      <c r="N185" s="14" t="s">
        <v>9158</v>
      </c>
      <c r="O185" s="19" t="s">
        <v>10103</v>
      </c>
      <c r="P185" s="14" t="s">
        <v>3897</v>
      </c>
      <c r="Q185" s="14">
        <v>1</v>
      </c>
    </row>
    <row r="186" spans="1:18">
      <c r="A186" s="14">
        <v>84643</v>
      </c>
      <c r="B186" s="14" t="s">
        <v>0</v>
      </c>
      <c r="C186" s="14" t="s">
        <v>203</v>
      </c>
      <c r="D186" s="20" t="s">
        <v>10605</v>
      </c>
      <c r="E186" s="15" t="str">
        <f>HYPERLINK("https://stat100.ameba.jp/tnk47/ratio20/illustrations/card/ill_84643_rikayaojo03.jpg?202004-5-RELEASE-marathon-466xxxx", "■")</f>
        <v>■</v>
      </c>
      <c r="F186" s="14" t="s">
        <v>6853</v>
      </c>
      <c r="G186" s="14">
        <v>159674</v>
      </c>
      <c r="H186" s="14">
        <v>115656</v>
      </c>
      <c r="I186" s="14">
        <v>24</v>
      </c>
      <c r="J186" s="14" t="s">
        <v>315</v>
      </c>
      <c r="K186" s="14" t="s">
        <v>6852</v>
      </c>
      <c r="L186" s="14" t="s">
        <v>6851</v>
      </c>
      <c r="M186" s="14" t="s">
        <v>9158</v>
      </c>
      <c r="N186" s="14" t="s">
        <v>9158</v>
      </c>
      <c r="O186" s="19" t="s">
        <v>10082</v>
      </c>
      <c r="P186" s="14" t="s">
        <v>13124</v>
      </c>
      <c r="Q186" s="14">
        <v>1</v>
      </c>
    </row>
    <row r="187" spans="1:18">
      <c r="A187" s="14">
        <v>85483</v>
      </c>
      <c r="B187" s="14" t="s">
        <v>0</v>
      </c>
      <c r="C187" s="14" t="s">
        <v>206</v>
      </c>
      <c r="D187" s="20" t="s">
        <v>10807</v>
      </c>
      <c r="E187" s="15" t="str">
        <f>HYPERLINK("https://stat100.ameba.jp/tnk47/ratio20/illustrations/card/ill_85483_seitankuronikururirimu03.jpg?202004-5-RELEASE-marathon-466xxxx", "■")</f>
        <v>■</v>
      </c>
      <c r="F187" s="14" t="s">
        <v>8445</v>
      </c>
      <c r="G187" s="14">
        <v>99996</v>
      </c>
      <c r="H187" s="14">
        <v>92996</v>
      </c>
      <c r="I187" s="14">
        <v>24</v>
      </c>
      <c r="J187" s="14" t="s">
        <v>182</v>
      </c>
      <c r="K187" s="14" t="s">
        <v>8444</v>
      </c>
      <c r="L187" s="14" t="s">
        <v>2308</v>
      </c>
      <c r="M187" s="14" t="s">
        <v>9158</v>
      </c>
      <c r="N187" s="14" t="s">
        <v>9158</v>
      </c>
      <c r="O187" s="19" t="s">
        <v>10086</v>
      </c>
      <c r="P187" s="14" t="s">
        <v>3701</v>
      </c>
      <c r="Q187" s="14">
        <v>1</v>
      </c>
    </row>
    <row r="189" spans="1:18">
      <c r="A189" s="14" t="s">
        <v>12171</v>
      </c>
    </row>
    <row r="190" spans="1:18">
      <c r="A190" s="14" t="s">
        <v>12172</v>
      </c>
    </row>
    <row r="191" spans="1:18">
      <c r="A191" s="14" t="s">
        <v>12173</v>
      </c>
    </row>
    <row r="192" spans="1:18">
      <c r="A192" s="14" t="s">
        <v>12178</v>
      </c>
      <c r="B192" s="14" t="s">
        <v>12175</v>
      </c>
      <c r="C192" s="14" t="s">
        <v>12174</v>
      </c>
      <c r="D192" s="14" t="s">
        <v>12177</v>
      </c>
      <c r="E192" s="15" t="str">
        <f>HYPERLINK("https://stat100.ameba.jp/tnk47/ratio20/illustrations/card/ill_89533_0_harukazesangakudan03.jpg?202004-5-RELEASE-marathon-466xxxxx", "■")</f>
        <v>■</v>
      </c>
      <c r="F192" s="14" t="s">
        <v>12183</v>
      </c>
      <c r="G192" s="14">
        <v>358132</v>
      </c>
      <c r="H192" s="14">
        <v>323638</v>
      </c>
      <c r="I192" s="14">
        <v>30</v>
      </c>
      <c r="J192" s="14" t="s">
        <v>12176</v>
      </c>
      <c r="K192" s="14" t="s">
        <v>12182</v>
      </c>
      <c r="L192" s="14" t="s">
        <v>12181</v>
      </c>
      <c r="M192" s="14" t="s">
        <v>9158</v>
      </c>
      <c r="N192" s="14" t="s">
        <v>9158</v>
      </c>
      <c r="O192" s="14" t="s">
        <v>12186</v>
      </c>
      <c r="P192" s="14" t="s">
        <v>12187</v>
      </c>
      <c r="Q192" s="14">
        <v>1</v>
      </c>
      <c r="R192" s="14" t="s">
        <v>175</v>
      </c>
    </row>
    <row r="193" spans="1:18">
      <c r="A193" s="14" t="s">
        <v>12179</v>
      </c>
      <c r="B193" s="14" t="s">
        <v>12175</v>
      </c>
      <c r="C193" s="14" t="s">
        <v>12174</v>
      </c>
      <c r="D193" s="14" t="s">
        <v>12177</v>
      </c>
      <c r="E193" s="15" t="str">
        <f>HYPERLINK("https://stat100.ameba.jp/tnk47/ratio20/illustrations/card/ill_89532_0_harukazesangakudan02.jpg?202004-5-RELEASE-marathon-466xxxxx", "■")</f>
        <v>■</v>
      </c>
      <c r="F193" s="14" t="s">
        <v>12183</v>
      </c>
      <c r="G193" s="14">
        <v>268044</v>
      </c>
      <c r="H193" s="14">
        <v>268044</v>
      </c>
      <c r="I193" s="14">
        <v>30</v>
      </c>
      <c r="J193" s="14" t="s">
        <v>12176</v>
      </c>
      <c r="K193" s="14" t="s">
        <v>12182</v>
      </c>
      <c r="L193" s="14" t="s">
        <v>12184</v>
      </c>
      <c r="M193" s="14" t="s">
        <v>9158</v>
      </c>
      <c r="N193" s="14" t="s">
        <v>9158</v>
      </c>
      <c r="O193" s="14" t="s">
        <v>12186</v>
      </c>
      <c r="P193" s="14" t="s">
        <v>12187</v>
      </c>
      <c r="Q193" s="14">
        <v>1</v>
      </c>
      <c r="R193" s="14" t="s">
        <v>9566</v>
      </c>
    </row>
    <row r="194" spans="1:18">
      <c r="A194" s="14" t="s">
        <v>12180</v>
      </c>
      <c r="B194" s="14" t="s">
        <v>12175</v>
      </c>
      <c r="C194" s="14" t="s">
        <v>12174</v>
      </c>
      <c r="D194" s="14" t="s">
        <v>12177</v>
      </c>
      <c r="E194" s="15" t="str">
        <f>HYPERLINK("https://stat100.ameba.jp/tnk47/ratio20/illustrations/card/ill_89531_0_harukazesangakudan01.jpg?202004-5-RELEASE-marathon-466xxxxx", "■")</f>
        <v>■</v>
      </c>
      <c r="F194" s="14" t="s">
        <v>12183</v>
      </c>
      <c r="G194" s="14">
        <v>228570</v>
      </c>
      <c r="H194" s="14">
        <v>206820</v>
      </c>
      <c r="I194" s="14">
        <v>30</v>
      </c>
      <c r="J194" s="14" t="s">
        <v>12176</v>
      </c>
      <c r="K194" s="14" t="s">
        <v>12182</v>
      </c>
      <c r="L194" s="14" t="s">
        <v>12185</v>
      </c>
      <c r="M194" s="14" t="s">
        <v>9158</v>
      </c>
      <c r="N194" s="14" t="s">
        <v>9158</v>
      </c>
      <c r="O194" s="14" t="s">
        <v>12186</v>
      </c>
      <c r="P194" s="14" t="s">
        <v>12187</v>
      </c>
      <c r="Q194" s="14">
        <v>1</v>
      </c>
      <c r="R194" s="14" t="s">
        <v>176</v>
      </c>
    </row>
    <row r="195" spans="1:18">
      <c r="A195" s="14">
        <v>66643</v>
      </c>
      <c r="B195" s="14" t="s">
        <v>334</v>
      </c>
      <c r="C195" s="14" t="s">
        <v>185</v>
      </c>
      <c r="D195" s="19" t="s">
        <v>10631</v>
      </c>
      <c r="E195" s="15" t="str">
        <f>HYPERLINK("https://stat100.ameba.jp/tnk47/ratio20/illustrations/card/ill_66643_oryorisonobehideo03.jpg?202004-5-RELEASE-marathon-466xxxxx", "■")</f>
        <v>■</v>
      </c>
      <c r="F195" s="14" t="s">
        <v>4713</v>
      </c>
      <c r="G195" s="14">
        <v>101558</v>
      </c>
      <c r="H195" s="14">
        <v>94390</v>
      </c>
      <c r="I195" s="14">
        <v>26</v>
      </c>
      <c r="J195" s="14" t="s">
        <v>10</v>
      </c>
      <c r="K195" s="14" t="s">
        <v>6990</v>
      </c>
      <c r="L195" s="14" t="s">
        <v>1202</v>
      </c>
      <c r="M195" s="14" t="s">
        <v>9158</v>
      </c>
      <c r="N195" s="14" t="s">
        <v>9158</v>
      </c>
      <c r="O195" s="14" t="s">
        <v>9158</v>
      </c>
      <c r="P195" s="14" t="s">
        <v>9158</v>
      </c>
      <c r="Q195" s="14" t="s">
        <v>9158</v>
      </c>
    </row>
    <row r="196" spans="1:18">
      <c r="A196" s="9">
        <v>80283</v>
      </c>
      <c r="B196" s="14" t="s">
        <v>0</v>
      </c>
      <c r="C196" s="14" t="s">
        <v>200</v>
      </c>
      <c r="D196" s="14" t="s">
        <v>3934</v>
      </c>
      <c r="E196" s="15" t="str">
        <f>HYPERLINK("https://stat100.ameba.jp/tnk47/ratio20/illustrations/card/ill_80283_howaitodehanakosan03.jpg?202004-5-RELEASE-marathon-466xxxxx", "■")</f>
        <v>■</v>
      </c>
      <c r="F196" s="14" t="s">
        <v>3935</v>
      </c>
      <c r="G196" s="14">
        <v>108330</v>
      </c>
      <c r="H196" s="14">
        <v>100744</v>
      </c>
      <c r="I196" s="14">
        <v>26</v>
      </c>
      <c r="J196" s="14" t="s">
        <v>73</v>
      </c>
      <c r="K196" s="14" t="s">
        <v>3936</v>
      </c>
      <c r="L196" s="14" t="s">
        <v>3937</v>
      </c>
      <c r="M196" s="14" t="s">
        <v>9158</v>
      </c>
      <c r="N196" s="14" t="s">
        <v>9158</v>
      </c>
      <c r="O196" s="14" t="s">
        <v>9158</v>
      </c>
      <c r="P196" s="14" t="s">
        <v>9158</v>
      </c>
      <c r="Q196" s="14" t="s">
        <v>9158</v>
      </c>
    </row>
    <row r="197" spans="1:18">
      <c r="A197" s="14">
        <v>81983</v>
      </c>
      <c r="B197" s="14" t="s">
        <v>0</v>
      </c>
      <c r="C197" s="14" t="s">
        <v>101</v>
      </c>
      <c r="D197" s="19" t="s">
        <v>10206</v>
      </c>
      <c r="E197" s="15" t="str">
        <f>HYPERLINK("https://stat100.ameba.jp/tnk47/ratio20/illustrations/card/ill_81983_otenkinonesammatsushitaotome03.jpg?202004-5-RELEASE-marathon-466xxxxx", "■")</f>
        <v>■</v>
      </c>
      <c r="F197" s="14" t="s">
        <v>5022</v>
      </c>
      <c r="G197" s="14">
        <v>101558</v>
      </c>
      <c r="H197" s="14">
        <v>94390</v>
      </c>
      <c r="I197" s="14">
        <v>26</v>
      </c>
      <c r="J197" s="14" t="s">
        <v>77</v>
      </c>
      <c r="K197" s="14" t="s">
        <v>5024</v>
      </c>
      <c r="L197" s="14" t="s">
        <v>4678</v>
      </c>
      <c r="M197" s="14" t="s">
        <v>9158</v>
      </c>
      <c r="N197" s="14" t="s">
        <v>9158</v>
      </c>
      <c r="O197" s="9" t="s">
        <v>9158</v>
      </c>
      <c r="P197" s="14" t="s">
        <v>9158</v>
      </c>
      <c r="Q197" s="14" t="s">
        <v>9158</v>
      </c>
    </row>
    <row r="198" spans="1:18">
      <c r="A198" s="9">
        <v>86523</v>
      </c>
      <c r="B198" s="9" t="s">
        <v>0</v>
      </c>
      <c r="C198" s="9" t="s">
        <v>165</v>
      </c>
      <c r="D198" s="20" t="s">
        <v>10912</v>
      </c>
      <c r="E198" s="15" t="str">
        <f>HYPERLINK("https://stat100.ameba.jp/tnk47/ratio20/illustrations/card/ill_86523_supahirosaimeitenno03.jpg?202004-5-RELEASE-marathon-466xxxxx", "■")</f>
        <v>■</v>
      </c>
      <c r="F198" s="9" t="s">
        <v>9020</v>
      </c>
      <c r="G198" s="9">
        <v>101558</v>
      </c>
      <c r="H198" s="9">
        <v>94390</v>
      </c>
      <c r="I198" s="9">
        <v>26</v>
      </c>
      <c r="J198" s="9" t="s">
        <v>173</v>
      </c>
      <c r="K198" s="9" t="s">
        <v>9019</v>
      </c>
      <c r="L198" s="9" t="s">
        <v>6763</v>
      </c>
      <c r="M198" s="14" t="s">
        <v>9158</v>
      </c>
      <c r="N198" s="14" t="s">
        <v>9158</v>
      </c>
      <c r="O198" s="14" t="s">
        <v>9158</v>
      </c>
      <c r="P198" s="14" t="s">
        <v>9158</v>
      </c>
      <c r="Q198" s="14" t="s">
        <v>9158</v>
      </c>
    </row>
    <row r="199" spans="1:18">
      <c r="A199" s="14">
        <v>83353</v>
      </c>
      <c r="B199" s="14" t="s">
        <v>0</v>
      </c>
      <c r="C199" s="14" t="s">
        <v>267</v>
      </c>
      <c r="D199" s="19" t="s">
        <v>10532</v>
      </c>
      <c r="E199" s="15" t="str">
        <f>HYPERLINK("https://stat100.ameba.jp/tnk47/ratio20/illustrations/card/ill_83353_kunoichikumanofudechan03.jpg?202004-5-RELEASE-marathon-466xxxxx", "■")</f>
        <v>■</v>
      </c>
      <c r="F199" s="14" t="s">
        <v>6475</v>
      </c>
      <c r="G199" s="14">
        <v>118446</v>
      </c>
      <c r="H199" s="14">
        <v>110126</v>
      </c>
      <c r="I199" s="14">
        <v>26</v>
      </c>
      <c r="J199" s="14" t="s">
        <v>229</v>
      </c>
      <c r="K199" s="14" t="s">
        <v>6474</v>
      </c>
      <c r="L199" s="14" t="s">
        <v>6473</v>
      </c>
      <c r="M199" s="14" t="s">
        <v>9158</v>
      </c>
      <c r="N199" s="14" t="s">
        <v>9158</v>
      </c>
      <c r="O199" s="14" t="s">
        <v>9158</v>
      </c>
      <c r="P199" s="14" t="s">
        <v>9158</v>
      </c>
      <c r="Q199" s="14" t="s">
        <v>9158</v>
      </c>
    </row>
    <row r="200" spans="1:18">
      <c r="A200" s="7">
        <v>85173</v>
      </c>
      <c r="B200" s="7" t="s">
        <v>0</v>
      </c>
      <c r="C200" s="7" t="s">
        <v>206</v>
      </c>
      <c r="D200" s="19" t="s">
        <v>10772</v>
      </c>
      <c r="E200" s="15" t="str">
        <f>HYPERLINK("https://stat100.ameba.jp/tnk47/ratio20/illustrations/card/ill_85173_kimononohiikinaridangochan03.jpg?202004-5-RELEASE-marathon-466xxxxx", "■")</f>
        <v>■</v>
      </c>
      <c r="F200" s="7" t="s">
        <v>8022</v>
      </c>
      <c r="G200" s="7">
        <v>154562</v>
      </c>
      <c r="H200" s="7">
        <v>143714</v>
      </c>
      <c r="I200" s="7">
        <v>26</v>
      </c>
      <c r="J200" s="7" t="s">
        <v>216</v>
      </c>
      <c r="K200" s="7" t="s">
        <v>8021</v>
      </c>
      <c r="L200" s="7" t="s">
        <v>1029</v>
      </c>
      <c r="M200" s="14" t="s">
        <v>9158</v>
      </c>
      <c r="N200" s="14" t="s">
        <v>9158</v>
      </c>
      <c r="O200" s="14" t="s">
        <v>9158</v>
      </c>
      <c r="P200" s="14" t="s">
        <v>9158</v>
      </c>
      <c r="Q200" s="14" t="s">
        <v>9158</v>
      </c>
    </row>
    <row r="202" spans="1:18">
      <c r="A202" s="14" t="s">
        <v>12170</v>
      </c>
    </row>
    <row r="203" spans="1:18">
      <c r="A203" s="14" t="s">
        <v>4321</v>
      </c>
    </row>
    <row r="204" spans="1:18">
      <c r="A204" s="14" t="s">
        <v>5615</v>
      </c>
      <c r="B204" s="14" t="s">
        <v>330</v>
      </c>
      <c r="C204" s="14" t="s">
        <v>206</v>
      </c>
      <c r="D204" s="19" t="s">
        <v>2814</v>
      </c>
      <c r="E204" s="15" t="str">
        <f>HYPERLINK("https://stat100.ameba.jp/tnk47/ratio20/illustrations/card/ill_57733_0_shogatsunisenjunanaamakusashiro03.jpg?202004-5-RELEASE-marathon-466xxxxx", "■")</f>
        <v>■</v>
      </c>
      <c r="F204" s="14" t="s">
        <v>1016</v>
      </c>
      <c r="G204" s="14">
        <v>122776</v>
      </c>
      <c r="H204" s="14">
        <v>138212</v>
      </c>
      <c r="I204" s="14">
        <v>22</v>
      </c>
      <c r="J204" s="14" t="s">
        <v>10</v>
      </c>
      <c r="K204" s="14" t="s">
        <v>1017</v>
      </c>
      <c r="L204" s="14" t="s">
        <v>1018</v>
      </c>
      <c r="M204" s="14" t="s">
        <v>9158</v>
      </c>
      <c r="N204" s="14" t="s">
        <v>9158</v>
      </c>
      <c r="O204" s="19" t="s">
        <v>10077</v>
      </c>
      <c r="P204" s="14" t="s">
        <v>3062</v>
      </c>
      <c r="Q204" s="14">
        <v>1</v>
      </c>
    </row>
    <row r="205" spans="1:18">
      <c r="A205" s="14" t="s">
        <v>5650</v>
      </c>
      <c r="B205" s="14" t="s">
        <v>52</v>
      </c>
      <c r="C205" s="14" t="s">
        <v>23</v>
      </c>
      <c r="D205" s="19" t="s">
        <v>809</v>
      </c>
      <c r="E205" s="15" t="str">
        <f>HYPERLINK("https://stat100.ameba.jp/tnk47/ratio20/illustrations/card/ill_68033_0_kurisumasupateikandamyojin03.jpg?202004-5-RELEASE-marathon-466xxxxx", "■")</f>
        <v>■</v>
      </c>
      <c r="F205" s="14" t="s">
        <v>1871</v>
      </c>
      <c r="G205" s="14">
        <v>139878</v>
      </c>
      <c r="H205" s="14">
        <v>150466</v>
      </c>
      <c r="I205" s="14">
        <v>22</v>
      </c>
      <c r="J205" s="14" t="s">
        <v>44</v>
      </c>
      <c r="K205" s="14" t="s">
        <v>1872</v>
      </c>
      <c r="L205" s="14" t="s">
        <v>1873</v>
      </c>
      <c r="M205" s="14" t="s">
        <v>9158</v>
      </c>
      <c r="N205" s="14" t="s">
        <v>9158</v>
      </c>
      <c r="O205" s="19" t="s">
        <v>2997</v>
      </c>
      <c r="P205" s="14" t="s">
        <v>3483</v>
      </c>
      <c r="Q205" s="14">
        <v>2</v>
      </c>
    </row>
    <row r="206" spans="1:18">
      <c r="A206" s="9" t="s">
        <v>5616</v>
      </c>
      <c r="B206" s="14" t="s">
        <v>330</v>
      </c>
      <c r="C206" s="14" t="s">
        <v>185</v>
      </c>
      <c r="D206" s="14" t="s">
        <v>638</v>
      </c>
      <c r="E206" s="15" t="str">
        <f>HYPERLINK("https://stat100.ameba.jp/tnk47/ratio20/illustrations/card/ill_44253_0_dokuganryudatemasamune03.jpg?202004-5-RELEASE-marathon-466xxxxx", "■")</f>
        <v>■</v>
      </c>
      <c r="F206" s="14" t="s">
        <v>639</v>
      </c>
      <c r="G206" s="14">
        <v>120576</v>
      </c>
      <c r="H206" s="14">
        <v>128744</v>
      </c>
      <c r="I206" s="14">
        <v>22</v>
      </c>
      <c r="J206" s="14" t="s">
        <v>310</v>
      </c>
      <c r="K206" s="14" t="s">
        <v>640</v>
      </c>
      <c r="L206" s="14" t="s">
        <v>641</v>
      </c>
      <c r="M206" s="14" t="s">
        <v>9158</v>
      </c>
      <c r="N206" s="14" t="s">
        <v>9158</v>
      </c>
      <c r="O206" s="14" t="s">
        <v>9158</v>
      </c>
      <c r="P206" s="14" t="s">
        <v>9158</v>
      </c>
      <c r="Q206" s="14" t="s">
        <v>9158</v>
      </c>
    </row>
    <row r="207" spans="1:18">
      <c r="A207" s="14">
        <v>85863</v>
      </c>
      <c r="B207" s="14" t="s">
        <v>0</v>
      </c>
      <c r="C207" s="14" t="s">
        <v>185</v>
      </c>
      <c r="D207" s="20" t="s">
        <v>10868</v>
      </c>
      <c r="E207" s="15" t="str">
        <f>HYPERLINK("https://stat100.ameba.jp/tnk47/ratio20/illustrations/card/ill_85863_omochaawariteia03.jpg?202004-5-RELEASE-marathon-466xxxxx", "■")</f>
        <v>■</v>
      </c>
      <c r="F207" s="14" t="s">
        <v>8732</v>
      </c>
      <c r="G207" s="14">
        <v>70556</v>
      </c>
      <c r="H207" s="14">
        <v>125392</v>
      </c>
      <c r="I207" s="14">
        <v>26</v>
      </c>
      <c r="J207" s="14" t="s">
        <v>187</v>
      </c>
      <c r="K207" s="14" t="s">
        <v>8731</v>
      </c>
      <c r="L207" s="14" t="s">
        <v>7158</v>
      </c>
      <c r="M207" s="14" t="s">
        <v>9158</v>
      </c>
      <c r="N207" s="14" t="s">
        <v>9158</v>
      </c>
      <c r="O207" s="14" t="s">
        <v>9158</v>
      </c>
      <c r="P207" s="14" t="s">
        <v>9158</v>
      </c>
      <c r="Q207" s="14" t="s">
        <v>9158</v>
      </c>
    </row>
    <row r="208" spans="1:18">
      <c r="A208" s="14">
        <v>71763</v>
      </c>
      <c r="B208" s="14" t="s">
        <v>0</v>
      </c>
      <c r="C208" s="14" t="s">
        <v>23</v>
      </c>
      <c r="D208" s="20" t="s">
        <v>2999</v>
      </c>
      <c r="E208" s="15" t="str">
        <f>HYPERLINK("https://stat100.ameba.jp/tnk47/ratio20/illustrations/card/ill_71763_teradatorahiko03.jpg?202004-5-RELEASE-marathon-466xxxxx", "■")</f>
        <v>■</v>
      </c>
      <c r="F208" s="14" t="s">
        <v>3309</v>
      </c>
      <c r="G208" s="14">
        <v>73678</v>
      </c>
      <c r="H208" s="14">
        <v>130968</v>
      </c>
      <c r="I208" s="14">
        <v>26</v>
      </c>
      <c r="J208" s="14" t="s">
        <v>173</v>
      </c>
      <c r="K208" s="14" t="s">
        <v>3310</v>
      </c>
      <c r="L208" s="14" t="s">
        <v>3311</v>
      </c>
      <c r="M208" s="14" t="s">
        <v>9158</v>
      </c>
      <c r="N208" s="14" t="s">
        <v>9158</v>
      </c>
      <c r="O208" s="14" t="s">
        <v>9158</v>
      </c>
      <c r="P208" s="14" t="s">
        <v>9158</v>
      </c>
      <c r="Q208" s="14" t="s">
        <v>9158</v>
      </c>
    </row>
    <row r="209" spans="1:17">
      <c r="A209" s="9">
        <v>65853</v>
      </c>
      <c r="B209" s="14" t="s">
        <v>334</v>
      </c>
      <c r="C209" s="14" t="s">
        <v>107</v>
      </c>
      <c r="D209" s="14" t="s">
        <v>4366</v>
      </c>
      <c r="E209" s="15" t="str">
        <f>HYPERLINK("https://stat100.ameba.jp/tnk47/ratio20/illustrations/card/ill_65853_jokyusugitahisajo03.jpg?202004-5-RELEASE-marathon-466xxxxx", "■")</f>
        <v>■</v>
      </c>
      <c r="F209" s="14" t="s">
        <v>4367</v>
      </c>
      <c r="G209" s="14">
        <v>98066</v>
      </c>
      <c r="H209" s="14">
        <v>105426</v>
      </c>
      <c r="I209" s="14">
        <v>26</v>
      </c>
      <c r="J209" s="14" t="s">
        <v>414</v>
      </c>
      <c r="K209" s="14" t="s">
        <v>4368</v>
      </c>
      <c r="L209" s="14" t="s">
        <v>1997</v>
      </c>
      <c r="M209" s="14" t="s">
        <v>9158</v>
      </c>
      <c r="N209" s="14" t="s">
        <v>9158</v>
      </c>
      <c r="O209" s="14" t="s">
        <v>9158</v>
      </c>
      <c r="P209" s="14" t="s">
        <v>9158</v>
      </c>
      <c r="Q209" s="14" t="s">
        <v>9158</v>
      </c>
    </row>
    <row r="211" spans="1:17">
      <c r="A211" s="14" t="s">
        <v>195</v>
      </c>
    </row>
    <row r="212" spans="1:17">
      <c r="A212" s="14" t="s">
        <v>12169</v>
      </c>
    </row>
    <row r="213" spans="1:17">
      <c r="A213" s="14">
        <v>76103</v>
      </c>
      <c r="B213" s="14" t="s">
        <v>334</v>
      </c>
      <c r="C213" s="14" t="s">
        <v>154</v>
      </c>
      <c r="D213" s="19" t="s">
        <v>570</v>
      </c>
      <c r="E213" s="15" t="str">
        <f>HYPERLINK("https://stat100.ameba.jp/tnk47/ratio20/illustrations/card/ill_76103_shibuaji03.jpg?202004-5-RELEASE-marathon-466xxxxx", "■")</f>
        <v>■</v>
      </c>
      <c r="F213" s="14" t="s">
        <v>1122</v>
      </c>
      <c r="G213" s="14">
        <v>112140</v>
      </c>
      <c r="H213" s="14">
        <v>104266</v>
      </c>
      <c r="I213" s="14">
        <v>26</v>
      </c>
      <c r="J213" s="14" t="s">
        <v>143</v>
      </c>
      <c r="K213" s="14" t="s">
        <v>1123</v>
      </c>
      <c r="L213" s="14" t="s">
        <v>1124</v>
      </c>
      <c r="M213" s="14" t="s">
        <v>9158</v>
      </c>
      <c r="N213" s="14" t="s">
        <v>9158</v>
      </c>
      <c r="O213" s="14" t="s">
        <v>9158</v>
      </c>
      <c r="P213" s="14" t="s">
        <v>9158</v>
      </c>
      <c r="Q213" s="14" t="s">
        <v>9158</v>
      </c>
    </row>
    <row r="214" spans="1:17">
      <c r="A214" s="14">
        <v>76113</v>
      </c>
      <c r="B214" s="14" t="s">
        <v>334</v>
      </c>
      <c r="C214" s="14" t="s">
        <v>158</v>
      </c>
      <c r="D214" s="19" t="s">
        <v>10268</v>
      </c>
      <c r="E214" s="15" t="str">
        <f>HYPERLINK("https://stat100.ameba.jp/tnk47/ratio20/illustrations/card/ill_76113_jannudaruku03.jpg?202004-5-RELEASE-marathon-466xxxxx", "■")</f>
        <v>■</v>
      </c>
      <c r="F214" s="14" t="s">
        <v>1126</v>
      </c>
      <c r="G214" s="14">
        <v>112140</v>
      </c>
      <c r="H214" s="14">
        <v>104266</v>
      </c>
      <c r="I214" s="14">
        <v>26</v>
      </c>
      <c r="J214" s="14" t="s">
        <v>10</v>
      </c>
      <c r="K214" s="14" t="s">
        <v>1127</v>
      </c>
      <c r="L214" s="14" t="s">
        <v>1128</v>
      </c>
      <c r="M214" s="14" t="s">
        <v>9158</v>
      </c>
      <c r="N214" s="14" t="s">
        <v>9158</v>
      </c>
      <c r="O214" s="14" t="s">
        <v>9158</v>
      </c>
      <c r="P214" s="14" t="s">
        <v>9158</v>
      </c>
      <c r="Q214" s="14" t="s">
        <v>9158</v>
      </c>
    </row>
    <row r="215" spans="1:17">
      <c r="A215" s="14">
        <v>63323</v>
      </c>
      <c r="B215" s="14" t="s">
        <v>0</v>
      </c>
      <c r="C215" s="14" t="s">
        <v>200</v>
      </c>
      <c r="D215" s="19" t="s">
        <v>10269</v>
      </c>
      <c r="E215" s="15" t="str">
        <f>HYPERLINK("https://stat100.ameba.jp/tnk47/ratio20/illustrations/card/ill_63323_ajisaikushinadahime03.jpg?202004-5-RELEASE-marathon-466xxxxx", "■")</f>
        <v>■</v>
      </c>
      <c r="F215" s="14" t="s">
        <v>3583</v>
      </c>
      <c r="G215" s="14">
        <v>98594</v>
      </c>
      <c r="H215" s="14">
        <v>106050</v>
      </c>
      <c r="I215" s="14">
        <v>26</v>
      </c>
      <c r="J215" s="14" t="s">
        <v>44</v>
      </c>
      <c r="K215" s="14" t="s">
        <v>3584</v>
      </c>
      <c r="L215" s="14" t="s">
        <v>2400</v>
      </c>
      <c r="M215" s="14" t="s">
        <v>9158</v>
      </c>
      <c r="N215" s="14" t="s">
        <v>9158</v>
      </c>
      <c r="O215" s="14" t="s">
        <v>9158</v>
      </c>
      <c r="P215" s="14" t="s">
        <v>9158</v>
      </c>
      <c r="Q215" s="14" t="s">
        <v>9158</v>
      </c>
    </row>
    <row r="216" spans="1:17">
      <c r="A216" s="14">
        <v>59863</v>
      </c>
      <c r="B216" s="14" t="s">
        <v>334</v>
      </c>
      <c r="C216" s="14" t="s">
        <v>165</v>
      </c>
      <c r="D216" s="19" t="s">
        <v>318</v>
      </c>
      <c r="E216" s="15" t="str">
        <f>HYPERLINK("https://stat100.ameba.jp/tnk47/ratio20/illustrations/card/ill_59863_yoseiichimokuren03.jpg?202004-5-RELEASE-marathon-466xxxxx", "■")</f>
        <v>■</v>
      </c>
      <c r="F216" s="14" t="s">
        <v>319</v>
      </c>
      <c r="G216" s="14">
        <v>108330</v>
      </c>
      <c r="H216" s="14">
        <v>100744</v>
      </c>
      <c r="I216" s="14">
        <v>26</v>
      </c>
      <c r="J216" s="14" t="s">
        <v>320</v>
      </c>
      <c r="K216" s="14" t="s">
        <v>321</v>
      </c>
      <c r="L216" s="14" t="s">
        <v>322</v>
      </c>
      <c r="M216" s="14" t="s">
        <v>9158</v>
      </c>
      <c r="N216" s="14" t="s">
        <v>9158</v>
      </c>
      <c r="O216" s="14" t="s">
        <v>9158</v>
      </c>
      <c r="P216" s="14" t="s">
        <v>9158</v>
      </c>
      <c r="Q216" s="14" t="s">
        <v>9158</v>
      </c>
    </row>
    <row r="217" spans="1:17">
      <c r="A217" s="14">
        <v>51823</v>
      </c>
      <c r="B217" s="14" t="s">
        <v>15</v>
      </c>
      <c r="C217" s="14" t="s">
        <v>101</v>
      </c>
      <c r="D217" s="19" t="s">
        <v>10587</v>
      </c>
      <c r="E217" s="15" t="str">
        <f>HYPERLINK("https://stat100.ameba.jp/tnk47/ratio20/illustrations/card/ill_51823_jukimatsu03.jpg?202004-5-RELEASE-marathon-466xxxxx", "■")</f>
        <v>■</v>
      </c>
      <c r="F217" s="14" t="s">
        <v>6742</v>
      </c>
      <c r="G217" s="14">
        <v>69898</v>
      </c>
      <c r="H217" s="14">
        <v>77064</v>
      </c>
      <c r="I217" s="14">
        <v>26</v>
      </c>
      <c r="J217" s="14" t="s">
        <v>77</v>
      </c>
      <c r="K217" s="14" t="s">
        <v>6743</v>
      </c>
      <c r="L217" s="14" t="s">
        <v>6744</v>
      </c>
      <c r="M217" s="14" t="s">
        <v>9158</v>
      </c>
      <c r="N217" s="14" t="s">
        <v>9158</v>
      </c>
      <c r="O217" s="14" t="s">
        <v>9158</v>
      </c>
      <c r="P217" s="14" t="s">
        <v>9158</v>
      </c>
      <c r="Q217" s="14" t="s">
        <v>9158</v>
      </c>
    </row>
    <row r="218" spans="1:17">
      <c r="A218" s="14">
        <v>51773</v>
      </c>
      <c r="B218" s="14" t="s">
        <v>15</v>
      </c>
      <c r="C218" s="14" t="s">
        <v>205</v>
      </c>
      <c r="D218" s="19" t="s">
        <v>10588</v>
      </c>
      <c r="E218" s="15" t="str">
        <f>HYPERLINK("https://stat100.ameba.jp/tnk47/ratio20/illustrations/card/ill_51773_kawaasobikanekomisuzu03.jpg?202004-5-RELEASE-marathon-466xxxxx", "■")</f>
        <v>■</v>
      </c>
      <c r="F218" s="14" t="s">
        <v>6747</v>
      </c>
      <c r="G218" s="14">
        <v>77064</v>
      </c>
      <c r="H218" s="14">
        <v>69898</v>
      </c>
      <c r="I218" s="14">
        <v>26</v>
      </c>
      <c r="J218" s="14" t="s">
        <v>10</v>
      </c>
      <c r="K218" s="14" t="s">
        <v>6746</v>
      </c>
      <c r="L218" s="14" t="s">
        <v>6745</v>
      </c>
      <c r="M218" s="14" t="s">
        <v>9158</v>
      </c>
      <c r="N218" s="14" t="s">
        <v>9158</v>
      </c>
      <c r="O218" s="14" t="s">
        <v>9158</v>
      </c>
      <c r="P218" s="14" t="s">
        <v>9158</v>
      </c>
      <c r="Q218" s="14" t="s">
        <v>9158</v>
      </c>
    </row>
    <row r="219" spans="1:17">
      <c r="A219" s="14">
        <v>51733</v>
      </c>
      <c r="B219" s="14" t="s">
        <v>15</v>
      </c>
      <c r="C219" s="14" t="s">
        <v>185</v>
      </c>
      <c r="D219" s="19" t="s">
        <v>10589</v>
      </c>
      <c r="E219" s="15" t="str">
        <f>HYPERLINK("https://stat100.ameba.jp/tnk47/ratio20/illustrations/card/ill_51733_ekusoshisutopoiyampe03.jpg?202004-5-RELEASE-marathon-466xxxxx", "■")</f>
        <v>■</v>
      </c>
      <c r="F219" s="14" t="s">
        <v>6750</v>
      </c>
      <c r="G219" s="14">
        <v>69898</v>
      </c>
      <c r="H219" s="14">
        <v>77064</v>
      </c>
      <c r="I219" s="14">
        <v>26</v>
      </c>
      <c r="J219" s="14" t="s">
        <v>274</v>
      </c>
      <c r="K219" s="14" t="s">
        <v>6749</v>
      </c>
      <c r="L219" s="14" t="s">
        <v>6748</v>
      </c>
      <c r="M219" s="14" t="s">
        <v>9158</v>
      </c>
      <c r="N219" s="14" t="s">
        <v>9158</v>
      </c>
      <c r="O219" s="14" t="s">
        <v>9158</v>
      </c>
      <c r="P219" s="14" t="s">
        <v>9158</v>
      </c>
      <c r="Q219" s="14" t="s">
        <v>9158</v>
      </c>
    </row>
    <row r="220" spans="1:17">
      <c r="A220" s="14">
        <v>55743</v>
      </c>
      <c r="B220" s="14" t="s">
        <v>15</v>
      </c>
      <c r="C220" s="14" t="s">
        <v>96</v>
      </c>
      <c r="D220" s="19" t="s">
        <v>10590</v>
      </c>
      <c r="E220" s="15" t="str">
        <f>HYPERLINK("https://stat100.ameba.jp/tnk47/ratio20/illustrations/card/ill_55743_nankoume03.jpg?202004-5-RELEASE-marathon-466xxxxx", "■")</f>
        <v>■</v>
      </c>
      <c r="F220" s="14" t="s">
        <v>4308</v>
      </c>
      <c r="G220" s="14">
        <v>69898</v>
      </c>
      <c r="H220" s="14">
        <v>77064</v>
      </c>
      <c r="I220" s="14">
        <v>26</v>
      </c>
      <c r="J220" s="14" t="s">
        <v>216</v>
      </c>
      <c r="K220" s="14" t="s">
        <v>4310</v>
      </c>
      <c r="L220" s="14" t="s">
        <v>4311</v>
      </c>
      <c r="M220" s="14" t="s">
        <v>9158</v>
      </c>
      <c r="N220" s="14" t="s">
        <v>9158</v>
      </c>
      <c r="O220" s="14" t="s">
        <v>9158</v>
      </c>
      <c r="P220" s="14" t="s">
        <v>9158</v>
      </c>
      <c r="Q220" s="14" t="s">
        <v>9158</v>
      </c>
    </row>
    <row r="222" spans="1:17">
      <c r="A222" s="14" t="s">
        <v>12188</v>
      </c>
    </row>
    <row r="223" spans="1:17">
      <c r="A223" s="14" t="s">
        <v>12190</v>
      </c>
    </row>
    <row r="224" spans="1:17">
      <c r="A224" s="14" t="s">
        <v>6195</v>
      </c>
      <c r="B224" s="14" t="s">
        <v>52</v>
      </c>
      <c r="C224" s="14" t="s">
        <v>191</v>
      </c>
      <c r="D224" s="19" t="s">
        <v>10217</v>
      </c>
      <c r="E224" s="15" t="str">
        <f>HYPERLINK("https://stat100.ameba.jp/tnk47/ratio20/illustrations/card/ill_56493_0_poppukurisumasuikomakitsuno03.jpg?202004-5-RELEASE-marathon-466xxxxx", "■")</f>
        <v>■</v>
      </c>
      <c r="F224" s="14" t="s">
        <v>1769</v>
      </c>
      <c r="G224" s="14">
        <v>150776</v>
      </c>
      <c r="H224" s="14">
        <v>133938</v>
      </c>
      <c r="I224" s="14">
        <v>24</v>
      </c>
      <c r="J224" s="14" t="s">
        <v>77</v>
      </c>
      <c r="K224" s="14" t="s">
        <v>1770</v>
      </c>
      <c r="L224" s="14" t="s">
        <v>1771</v>
      </c>
      <c r="M224" s="14" t="s">
        <v>9158</v>
      </c>
      <c r="N224" s="14" t="s">
        <v>9158</v>
      </c>
      <c r="O224" s="19" t="s">
        <v>10120</v>
      </c>
      <c r="P224" s="14" t="s">
        <v>2724</v>
      </c>
      <c r="Q224" s="14">
        <v>1</v>
      </c>
    </row>
    <row r="225" spans="1:18">
      <c r="A225" s="14" t="s">
        <v>5899</v>
      </c>
      <c r="B225" s="14" t="s">
        <v>330</v>
      </c>
      <c r="C225" s="14" t="s">
        <v>205</v>
      </c>
      <c r="D225" s="20" t="s">
        <v>1559</v>
      </c>
      <c r="E225" s="15" t="str">
        <f>HYPERLINK("https://stat100.ameba.jp/tnk47/ratio20/illustrations/card/ill_73773_0_umibirakiinugamigyobu03.jpg?202004-5-RELEASE-marathon-466xxxxx", "■")</f>
        <v>■</v>
      </c>
      <c r="F225" s="14" t="s">
        <v>935</v>
      </c>
      <c r="G225" s="14">
        <v>208256</v>
      </c>
      <c r="H225" s="14">
        <v>224000</v>
      </c>
      <c r="I225" s="14">
        <v>24</v>
      </c>
      <c r="J225" s="14" t="s">
        <v>182</v>
      </c>
      <c r="K225" s="14" t="s">
        <v>936</v>
      </c>
      <c r="L225" s="14" t="s">
        <v>13147</v>
      </c>
      <c r="M225" s="14" t="s">
        <v>9158</v>
      </c>
      <c r="N225" s="14" t="s">
        <v>9158</v>
      </c>
      <c r="O225" s="19" t="s">
        <v>2978</v>
      </c>
      <c r="P225" s="14" t="s">
        <v>2979</v>
      </c>
      <c r="Q225" s="14">
        <v>2</v>
      </c>
    </row>
    <row r="226" spans="1:18">
      <c r="A226" s="14" t="s">
        <v>5897</v>
      </c>
      <c r="B226" s="14" t="s">
        <v>52</v>
      </c>
      <c r="C226" s="14" t="s">
        <v>23</v>
      </c>
      <c r="D226" s="19" t="s">
        <v>277</v>
      </c>
      <c r="E226" s="15" t="str">
        <f>HYPERLINK("https://stat100.ameba.jp/tnk47/ratio20/illustrations/card/ill_40913_0_reigyokudensetsufusehime03.jpg?202004-5-RELEASE-marathon-466xxxxx", "■")</f>
        <v>■</v>
      </c>
      <c r="F226" s="14" t="s">
        <v>955</v>
      </c>
      <c r="G226" s="14">
        <v>131538</v>
      </c>
      <c r="H226" s="14">
        <v>140448</v>
      </c>
      <c r="I226" s="14">
        <v>24</v>
      </c>
      <c r="J226" s="14" t="s">
        <v>38</v>
      </c>
      <c r="K226" s="14" t="s">
        <v>956</v>
      </c>
      <c r="L226" s="14" t="s">
        <v>957</v>
      </c>
      <c r="M226" s="14" t="s">
        <v>9158</v>
      </c>
      <c r="N226" s="14" t="s">
        <v>9158</v>
      </c>
      <c r="O226" s="14" t="s">
        <v>9158</v>
      </c>
      <c r="P226" s="14" t="s">
        <v>9158</v>
      </c>
      <c r="Q226" s="14" t="s">
        <v>9158</v>
      </c>
    </row>
    <row r="227" spans="1:18">
      <c r="A227" s="14">
        <v>88573</v>
      </c>
      <c r="B227" s="14" t="s">
        <v>0</v>
      </c>
      <c r="C227" s="14" t="s">
        <v>185</v>
      </c>
      <c r="D227" s="14" t="s">
        <v>12124</v>
      </c>
      <c r="E227" s="15" t="str">
        <f>HYPERLINK("https://stat100.ameba.jp/tnk47/ratio20/illustrations/card/ill_88573_mukadehime03.jpg?202004-5-RELEASE-marathon-466xxxxx", "■")</f>
        <v>■</v>
      </c>
      <c r="F227" s="14" t="s">
        <v>12138</v>
      </c>
      <c r="G227" s="14">
        <v>94295</v>
      </c>
      <c r="H227" s="14">
        <v>101373</v>
      </c>
      <c r="I227" s="14">
        <v>25</v>
      </c>
      <c r="J227" s="14" t="s">
        <v>155</v>
      </c>
      <c r="K227" s="14" t="s">
        <v>12137</v>
      </c>
      <c r="L227" s="14" t="s">
        <v>12136</v>
      </c>
      <c r="M227" s="14" t="s">
        <v>9158</v>
      </c>
      <c r="N227" s="14" t="s">
        <v>9158</v>
      </c>
      <c r="O227" s="14" t="s">
        <v>9158</v>
      </c>
      <c r="P227" s="14" t="s">
        <v>9158</v>
      </c>
      <c r="Q227" s="14" t="s">
        <v>9158</v>
      </c>
    </row>
    <row r="228" spans="1:18">
      <c r="A228" s="14">
        <v>88583</v>
      </c>
      <c r="B228" s="14" t="s">
        <v>15</v>
      </c>
      <c r="C228" s="14" t="s">
        <v>200</v>
      </c>
      <c r="D228" s="14" t="s">
        <v>12125</v>
      </c>
      <c r="E228" s="15" t="str">
        <f>HYPERLINK("https://stat100.ameba.jp/tnk47/ratio20/illustrations/card/ill_88583_sakuragoromokamotokanoko03.jpg?202004-5-RELEASE-marathon-466xxxxx", "■")</f>
        <v>■</v>
      </c>
      <c r="F228" s="14" t="s">
        <v>12135</v>
      </c>
      <c r="G228" s="14">
        <v>74100</v>
      </c>
      <c r="H228" s="14">
        <v>67210</v>
      </c>
      <c r="I228" s="14">
        <v>25</v>
      </c>
      <c r="J228" s="14" t="s">
        <v>159</v>
      </c>
      <c r="K228" s="14" t="s">
        <v>12134</v>
      </c>
      <c r="L228" s="14" t="s">
        <v>21</v>
      </c>
      <c r="M228" s="14" t="s">
        <v>9158</v>
      </c>
      <c r="N228" s="14" t="s">
        <v>9158</v>
      </c>
      <c r="O228" s="14" t="s">
        <v>9158</v>
      </c>
      <c r="P228" s="14" t="s">
        <v>9158</v>
      </c>
      <c r="Q228" s="14" t="s">
        <v>9158</v>
      </c>
    </row>
    <row r="229" spans="1:18">
      <c r="A229" s="14">
        <v>88593</v>
      </c>
      <c r="B229" s="14" t="s">
        <v>22</v>
      </c>
      <c r="C229" s="14" t="s">
        <v>206</v>
      </c>
      <c r="D229" s="14" t="s">
        <v>12126</v>
      </c>
      <c r="E229" s="15" t="str">
        <f>HYPERLINK("https://stat100.ameba.jp/tnk47/ratio20/illustrations/card/ill_88593_bashonosei03.jpg?202004-5-RELEASE-marathon-466xxxxx", "■")</f>
        <v>■</v>
      </c>
      <c r="F229" s="14" t="s">
        <v>12132</v>
      </c>
      <c r="G229" s="14">
        <v>43220</v>
      </c>
      <c r="H229" s="14">
        <v>51980</v>
      </c>
      <c r="I229" s="14">
        <v>25</v>
      </c>
      <c r="J229" s="14" t="s">
        <v>182</v>
      </c>
      <c r="K229" s="14" t="s">
        <v>12131</v>
      </c>
      <c r="L229" s="14" t="s">
        <v>5881</v>
      </c>
      <c r="M229" s="14" t="s">
        <v>9158</v>
      </c>
      <c r="N229" s="14" t="s">
        <v>9158</v>
      </c>
      <c r="O229" s="14" t="s">
        <v>9158</v>
      </c>
      <c r="P229" s="14" t="s">
        <v>9158</v>
      </c>
      <c r="Q229" s="14" t="s">
        <v>9158</v>
      </c>
    </row>
    <row r="230" spans="1:18">
      <c r="A230" s="14">
        <v>88603</v>
      </c>
      <c r="B230" s="14" t="s">
        <v>30</v>
      </c>
      <c r="C230" s="14" t="s">
        <v>205</v>
      </c>
      <c r="D230" s="14" t="s">
        <v>12123</v>
      </c>
      <c r="E230" s="15" t="str">
        <f>HYPERLINK("https://stat100.ameba.jp/tnk47/ratio20/illustrations/card/ill_88603_kosumosuchan03.jpg?202004-5-RELEASE-marathon-466xxxxx", "■")</f>
        <v>■</v>
      </c>
      <c r="F230" s="14" t="s">
        <v>12129</v>
      </c>
      <c r="G230" s="14">
        <v>31470</v>
      </c>
      <c r="H230" s="14">
        <v>26430</v>
      </c>
      <c r="I230" s="14">
        <v>25</v>
      </c>
      <c r="J230" s="14" t="s">
        <v>229</v>
      </c>
      <c r="K230" s="14" t="s">
        <v>12128</v>
      </c>
      <c r="L230" s="14" t="s">
        <v>5318</v>
      </c>
      <c r="M230" s="14" t="s">
        <v>9158</v>
      </c>
      <c r="N230" s="14" t="s">
        <v>9158</v>
      </c>
      <c r="O230" s="14" t="s">
        <v>9158</v>
      </c>
      <c r="P230" s="14" t="s">
        <v>9158</v>
      </c>
      <c r="Q230" s="14" t="s">
        <v>9158</v>
      </c>
    </row>
    <row r="232" spans="1:18">
      <c r="A232" s="14" t="s">
        <v>13327</v>
      </c>
    </row>
    <row r="233" spans="1:18">
      <c r="A233" s="14" t="s">
        <v>12189</v>
      </c>
    </row>
    <row r="234" spans="1:18">
      <c r="A234" s="14">
        <v>83973</v>
      </c>
      <c r="B234" s="14" t="s">
        <v>334</v>
      </c>
      <c r="C234" s="14" t="s">
        <v>14</v>
      </c>
      <c r="D234" s="19" t="s">
        <v>10570</v>
      </c>
      <c r="E234" s="15" t="str">
        <f>HYPERLINK("https://stat100.ameba.jp/tnk47/ratio20/illustrations/card/ill_83973_nekokishiirurosu03.jpg?202004-5-RELEASE-marathon-466xxxxx", "■")</f>
        <v>■</v>
      </c>
      <c r="F234" s="14" t="s">
        <v>6706</v>
      </c>
      <c r="G234" s="14">
        <v>128000</v>
      </c>
      <c r="H234" s="14">
        <v>119006</v>
      </c>
      <c r="I234" s="14">
        <v>26</v>
      </c>
      <c r="J234" s="14" t="s">
        <v>229</v>
      </c>
      <c r="K234" s="14" t="s">
        <v>6707</v>
      </c>
      <c r="L234" s="14" t="s">
        <v>13202</v>
      </c>
      <c r="M234" s="14" t="s">
        <v>13130</v>
      </c>
      <c r="N234" s="14" t="s">
        <v>343</v>
      </c>
      <c r="O234" s="14" t="s">
        <v>9158</v>
      </c>
      <c r="P234" s="14" t="s">
        <v>9158</v>
      </c>
      <c r="Q234" s="14" t="s">
        <v>9158</v>
      </c>
      <c r="R234" s="14" t="s">
        <v>14748</v>
      </c>
    </row>
    <row r="235" spans="1:18">
      <c r="A235" s="14">
        <v>83972</v>
      </c>
      <c r="B235" s="14" t="s">
        <v>334</v>
      </c>
      <c r="C235" s="14" t="s">
        <v>14</v>
      </c>
      <c r="D235" s="19" t="s">
        <v>10570</v>
      </c>
      <c r="E235" s="15" t="str">
        <f>HYPERLINK("https://stat100.ameba.jp/tnk47/ratio20/illustrations/card/ill_83972_nekokishiirurosu02.jpg?202004-5-RELEASE-marathon-466xxxxx", "■")</f>
        <v>■</v>
      </c>
      <c r="F235" s="14" t="s">
        <v>6706</v>
      </c>
      <c r="G235" s="14">
        <v>107000</v>
      </c>
      <c r="H235" s="14">
        <v>98566</v>
      </c>
      <c r="I235" s="14">
        <v>26</v>
      </c>
      <c r="J235" s="14" t="s">
        <v>229</v>
      </c>
      <c r="K235" s="14" t="s">
        <v>6707</v>
      </c>
      <c r="L235" s="14" t="s">
        <v>13201</v>
      </c>
      <c r="M235" s="14" t="s">
        <v>13131</v>
      </c>
      <c r="N235" s="14" t="s">
        <v>251</v>
      </c>
      <c r="O235" s="14" t="s">
        <v>9158</v>
      </c>
      <c r="P235" s="14" t="s">
        <v>9158</v>
      </c>
      <c r="Q235" s="14" t="s">
        <v>9158</v>
      </c>
      <c r="R235" s="14" t="s">
        <v>14748</v>
      </c>
    </row>
    <row r="236" spans="1:18">
      <c r="A236" s="14">
        <v>83971</v>
      </c>
      <c r="B236" s="14" t="s">
        <v>0</v>
      </c>
      <c r="C236" s="14" t="s">
        <v>14</v>
      </c>
      <c r="D236" s="19" t="s">
        <v>10570</v>
      </c>
      <c r="E236" s="15" t="str">
        <f>HYPERLINK("https://stat100.ameba.jp/tnk47/ratio20/illustrations/card/ill_83971_nekokishiirurosu01.jpg?202004-5-RELEASE-marathon-466xxxxx", "■")</f>
        <v>■</v>
      </c>
      <c r="F236" s="14" t="s">
        <v>6706</v>
      </c>
      <c r="G236" s="14">
        <v>81692</v>
      </c>
      <c r="H236" s="14">
        <v>76050</v>
      </c>
      <c r="I236" s="14">
        <v>26</v>
      </c>
      <c r="J236" s="14" t="s">
        <v>229</v>
      </c>
      <c r="K236" s="14" t="s">
        <v>6707</v>
      </c>
      <c r="L236" s="14" t="s">
        <v>13201</v>
      </c>
      <c r="M236" s="14" t="s">
        <v>13131</v>
      </c>
      <c r="N236" s="14" t="s">
        <v>251</v>
      </c>
      <c r="O236" s="14" t="s">
        <v>9158</v>
      </c>
      <c r="P236" s="14" t="s">
        <v>9158</v>
      </c>
      <c r="Q236" s="14" t="s">
        <v>9158</v>
      </c>
      <c r="R236" s="14" t="s">
        <v>14748</v>
      </c>
    </row>
    <row r="237" spans="1:18">
      <c r="A237" s="14">
        <v>83983</v>
      </c>
      <c r="B237" s="14" t="s">
        <v>334</v>
      </c>
      <c r="C237" s="14" t="s">
        <v>23</v>
      </c>
      <c r="D237" s="19" t="s">
        <v>10571</v>
      </c>
      <c r="E237" s="15" t="str">
        <f>HYPERLINK("https://stat100.ameba.jp/tnk47/ratio20/illustrations/card/ill_83983_ryujinsui03.jpg?202004-5-RELEASE-marathon-466xxxxx", "■")</f>
        <v>■</v>
      </c>
      <c r="F237" s="14" t="s">
        <v>6708</v>
      </c>
      <c r="G237" s="14">
        <v>119006</v>
      </c>
      <c r="H237" s="14">
        <v>128000</v>
      </c>
      <c r="I237" s="14">
        <v>26</v>
      </c>
      <c r="J237" s="14" t="s">
        <v>169</v>
      </c>
      <c r="K237" s="14" t="s">
        <v>6710</v>
      </c>
      <c r="L237" s="14" t="s">
        <v>6721</v>
      </c>
      <c r="M237" s="14" t="s">
        <v>13130</v>
      </c>
      <c r="N237" s="14" t="s">
        <v>343</v>
      </c>
      <c r="O237" s="14" t="s">
        <v>9158</v>
      </c>
      <c r="P237" s="14" t="s">
        <v>9158</v>
      </c>
      <c r="Q237" s="14" t="s">
        <v>9158</v>
      </c>
      <c r="R237" s="14" t="s">
        <v>14748</v>
      </c>
    </row>
    <row r="238" spans="1:18">
      <c r="A238" s="14">
        <v>83993</v>
      </c>
      <c r="B238" s="14" t="s">
        <v>334</v>
      </c>
      <c r="C238" s="14" t="s">
        <v>101</v>
      </c>
      <c r="D238" s="19" t="s">
        <v>10572</v>
      </c>
      <c r="E238" s="15" t="str">
        <f>HYPERLINK("https://stat100.ameba.jp/tnk47/ratio20/illustrations/card/ill_83993_enjieruzuranotamagochan03.jpg?202004-5-RELEASE-marathon-466xxxxx", "■")</f>
        <v>■</v>
      </c>
      <c r="F238" s="14" t="s">
        <v>6722</v>
      </c>
      <c r="G238" s="14">
        <v>119006</v>
      </c>
      <c r="H238" s="14">
        <v>128000</v>
      </c>
      <c r="I238" s="14">
        <v>26</v>
      </c>
      <c r="J238" s="14" t="s">
        <v>216</v>
      </c>
      <c r="K238" s="14" t="s">
        <v>6723</v>
      </c>
      <c r="L238" s="14" t="s">
        <v>6724</v>
      </c>
      <c r="M238" s="14" t="s">
        <v>13130</v>
      </c>
      <c r="N238" s="14" t="s">
        <v>343</v>
      </c>
      <c r="O238" s="14" t="s">
        <v>9158</v>
      </c>
      <c r="P238" s="14" t="s">
        <v>9158</v>
      </c>
      <c r="Q238" s="14" t="s">
        <v>9158</v>
      </c>
      <c r="R238" s="14" t="s">
        <v>14748</v>
      </c>
    </row>
    <row r="239" spans="1:18">
      <c r="A239" s="14">
        <v>84003</v>
      </c>
      <c r="B239" s="14" t="s">
        <v>0</v>
      </c>
      <c r="C239" s="14" t="s">
        <v>96</v>
      </c>
      <c r="D239" s="19" t="s">
        <v>10573</v>
      </c>
      <c r="E239" s="15" t="str">
        <f>HYPERLINK("https://stat100.ameba.jp/tnk47/ratio20/illustrations/card/ill_84003_sukoropendora03.jpg?202004-5-RELEASE-marathon-466xxxxx", "■")</f>
        <v>■</v>
      </c>
      <c r="F239" s="14" t="s">
        <v>6725</v>
      </c>
      <c r="G239" s="14">
        <v>128000</v>
      </c>
      <c r="H239" s="14">
        <v>119006</v>
      </c>
      <c r="I239" s="14">
        <v>26</v>
      </c>
      <c r="J239" s="14" t="s">
        <v>182</v>
      </c>
      <c r="K239" s="14" t="s">
        <v>6727</v>
      </c>
      <c r="L239" s="14" t="s">
        <v>6728</v>
      </c>
      <c r="M239" s="14" t="s">
        <v>13130</v>
      </c>
      <c r="N239" s="14" t="s">
        <v>343</v>
      </c>
      <c r="O239" s="14" t="s">
        <v>9158</v>
      </c>
      <c r="P239" s="14" t="s">
        <v>9158</v>
      </c>
      <c r="Q239" s="14" t="s">
        <v>9158</v>
      </c>
      <c r="R239" s="14" t="s">
        <v>14748</v>
      </c>
    </row>
    <row r="240" spans="1:18">
      <c r="A240" s="14">
        <v>84013</v>
      </c>
      <c r="B240" s="14" t="s">
        <v>334</v>
      </c>
      <c r="C240" s="14" t="s">
        <v>205</v>
      </c>
      <c r="D240" s="19" t="s">
        <v>10574</v>
      </c>
      <c r="E240" s="15" t="str">
        <f>HYPERLINK("https://stat100.ameba.jp/tnk47/ratio20/illustrations/card/ill_84013_neikiddo03.jpg?202004-5-RELEASE-marathon-466xxxxx", "■")</f>
        <v>■</v>
      </c>
      <c r="F240" s="14" t="s">
        <v>6729</v>
      </c>
      <c r="G240" s="14">
        <v>119006</v>
      </c>
      <c r="H240" s="14">
        <v>128000</v>
      </c>
      <c r="I240" s="14">
        <v>26</v>
      </c>
      <c r="J240" s="14" t="s">
        <v>194</v>
      </c>
      <c r="K240" s="14" t="s">
        <v>6731</v>
      </c>
      <c r="L240" s="14" t="s">
        <v>6732</v>
      </c>
      <c r="M240" s="14" t="s">
        <v>13130</v>
      </c>
      <c r="N240" s="14" t="s">
        <v>343</v>
      </c>
      <c r="O240" s="14" t="s">
        <v>9158</v>
      </c>
      <c r="P240" s="14" t="s">
        <v>9158</v>
      </c>
      <c r="Q240" s="14" t="s">
        <v>9158</v>
      </c>
      <c r="R240" s="14" t="s">
        <v>14748</v>
      </c>
    </row>
    <row r="241" spans="1:18">
      <c r="A241" s="14">
        <v>76763</v>
      </c>
      <c r="B241" s="14" t="s">
        <v>334</v>
      </c>
      <c r="C241" s="14" t="s">
        <v>107</v>
      </c>
      <c r="D241" s="19" t="s">
        <v>10575</v>
      </c>
      <c r="E241" s="15" t="str">
        <f>HYPERLINK("https://stat100.ameba.jp/tnk47/ratio20/illustrations/card/ill_76763_monsutanabeshimakeiginni03.jpg?202004-5-RELEASE-marathon-466xxxxx", "■")</f>
        <v>■</v>
      </c>
      <c r="F241" s="14" t="s">
        <v>6733</v>
      </c>
      <c r="G241" s="14">
        <v>128000</v>
      </c>
      <c r="H241" s="14">
        <v>119006</v>
      </c>
      <c r="I241" s="14">
        <v>26</v>
      </c>
      <c r="J241" s="14" t="s">
        <v>187</v>
      </c>
      <c r="K241" s="14" t="s">
        <v>6735</v>
      </c>
      <c r="L241" s="14" t="s">
        <v>6736</v>
      </c>
      <c r="M241" s="14" t="s">
        <v>13130</v>
      </c>
      <c r="N241" s="14" t="s">
        <v>343</v>
      </c>
      <c r="O241" s="14" t="s">
        <v>9158</v>
      </c>
      <c r="P241" s="14" t="s">
        <v>9158</v>
      </c>
      <c r="Q241" s="14" t="s">
        <v>9158</v>
      </c>
      <c r="R241" s="14" t="s">
        <v>14748</v>
      </c>
    </row>
    <row r="243" spans="1:18">
      <c r="A243" s="14" t="s">
        <v>12191</v>
      </c>
    </row>
    <row r="244" spans="1:18">
      <c r="A244" s="14" t="s">
        <v>12192</v>
      </c>
    </row>
    <row r="245" spans="1:18">
      <c r="A245" s="14" t="s">
        <v>5804</v>
      </c>
      <c r="B245" s="14" t="s">
        <v>52</v>
      </c>
      <c r="C245" s="14" t="s">
        <v>14</v>
      </c>
      <c r="D245" s="19" t="s">
        <v>3195</v>
      </c>
      <c r="E245" s="15" t="str">
        <f>HYPERLINK("https://stat100.ameba.jp/tnk47/ratio20/illustrations/card/ill_75393_0_resukuinotsukisamaniittausagi03.jpg?202004-5-RELEASE-marathon-466xxxxx", "■")</f>
        <v>■</v>
      </c>
      <c r="F245" s="14" t="s">
        <v>3248</v>
      </c>
      <c r="G245" s="14">
        <v>284760</v>
      </c>
      <c r="H245" s="14">
        <v>264750</v>
      </c>
      <c r="I245" s="14">
        <v>25</v>
      </c>
      <c r="J245" s="14" t="s">
        <v>26</v>
      </c>
      <c r="K245" s="14" t="s">
        <v>3249</v>
      </c>
      <c r="L245" s="14" t="s">
        <v>3250</v>
      </c>
      <c r="M245" s="14" t="s">
        <v>9158</v>
      </c>
      <c r="N245" s="14" t="s">
        <v>9158</v>
      </c>
      <c r="O245" s="19" t="s">
        <v>10101</v>
      </c>
      <c r="P245" s="14" t="s">
        <v>3251</v>
      </c>
      <c r="Q245" s="14">
        <v>2</v>
      </c>
    </row>
    <row r="246" spans="1:18">
      <c r="A246" s="14">
        <v>60173</v>
      </c>
      <c r="B246" s="14" t="s">
        <v>0</v>
      </c>
      <c r="C246" s="14" t="s">
        <v>41</v>
      </c>
      <c r="D246" s="20" t="s">
        <v>10231</v>
      </c>
      <c r="E246" s="15" t="str">
        <f>HYPERLINK("https://stat100.ameba.jp/tnk47/ratio20/illustrations/card/ill_60173_kugutsushi03.jpg?202004-5-RELEASE-marathon-466xxxxx", "■")</f>
        <v>■</v>
      </c>
      <c r="F246" s="14" t="s">
        <v>4282</v>
      </c>
      <c r="G246" s="14">
        <v>92402</v>
      </c>
      <c r="H246" s="14">
        <v>127580</v>
      </c>
      <c r="I246" s="14">
        <v>25</v>
      </c>
      <c r="J246" s="14" t="s">
        <v>38</v>
      </c>
      <c r="K246" s="14" t="s">
        <v>4283</v>
      </c>
      <c r="L246" s="14" t="s">
        <v>2714</v>
      </c>
      <c r="M246" s="14" t="s">
        <v>9158</v>
      </c>
      <c r="N246" s="14" t="s">
        <v>9158</v>
      </c>
      <c r="O246" s="19" t="s">
        <v>10113</v>
      </c>
      <c r="P246" s="14" t="s">
        <v>4285</v>
      </c>
      <c r="Q246" s="14">
        <v>1</v>
      </c>
    </row>
    <row r="247" spans="1:18">
      <c r="A247" s="14">
        <v>74553</v>
      </c>
      <c r="B247" s="14" t="s">
        <v>0</v>
      </c>
      <c r="C247" s="14" t="s">
        <v>107</v>
      </c>
      <c r="D247" s="20" t="s">
        <v>10389</v>
      </c>
      <c r="E247" s="15" t="str">
        <f>HYPERLINK("https://stat100.ameba.jp/tnk47/ratio20/illustrations/card/ill_74553_natsuyuenchikusumotoine03.jpg?202004-5-RELEASE-marathon-466xxxxx", "■")</f>
        <v>■</v>
      </c>
      <c r="F247" s="14" t="s">
        <v>4109</v>
      </c>
      <c r="G247" s="14">
        <v>101373</v>
      </c>
      <c r="H247" s="14">
        <v>94295</v>
      </c>
      <c r="I247" s="14">
        <v>25</v>
      </c>
      <c r="J247" s="14" t="s">
        <v>16</v>
      </c>
      <c r="K247" s="14" t="s">
        <v>4110</v>
      </c>
      <c r="L247" s="14" t="s">
        <v>1149</v>
      </c>
      <c r="M247" s="14" t="s">
        <v>9158</v>
      </c>
      <c r="N247" s="14" t="s">
        <v>9158</v>
      </c>
      <c r="O247" s="19" t="s">
        <v>10090</v>
      </c>
      <c r="P247" s="14" t="s">
        <v>3460</v>
      </c>
      <c r="Q247" s="14">
        <v>1</v>
      </c>
    </row>
    <row r="248" spans="1:18">
      <c r="A248" s="14">
        <v>75333</v>
      </c>
      <c r="B248" s="14" t="s">
        <v>334</v>
      </c>
      <c r="C248" s="14" t="s">
        <v>200</v>
      </c>
      <c r="D248" s="19" t="s">
        <v>3206</v>
      </c>
      <c r="E248" s="15" t="str">
        <f>HYPERLINK("https://stat100.ameba.jp/tnk47/ratio20/illustrations/card/ill_75333_resukuintamamonomae03.jpg?202004-5-RELEASE-marathon-466xxxxx", "■")</f>
        <v>■</v>
      </c>
      <c r="F248" s="14" t="s">
        <v>3207</v>
      </c>
      <c r="G248" s="14">
        <v>96871</v>
      </c>
      <c r="H248" s="14">
        <v>104162</v>
      </c>
      <c r="I248" s="7">
        <v>25</v>
      </c>
      <c r="J248" s="14" t="s">
        <v>320</v>
      </c>
      <c r="K248" s="14" t="s">
        <v>3208</v>
      </c>
      <c r="L248" s="14" t="s">
        <v>3209</v>
      </c>
      <c r="M248" s="14" t="s">
        <v>9158</v>
      </c>
      <c r="N248" s="14" t="s">
        <v>9158</v>
      </c>
      <c r="O248" s="19" t="s">
        <v>10074</v>
      </c>
      <c r="P248" s="14" t="s">
        <v>2822</v>
      </c>
      <c r="Q248" s="14">
        <v>1</v>
      </c>
    </row>
    <row r="250" spans="1:18">
      <c r="A250" s="14" t="s">
        <v>14228</v>
      </c>
    </row>
    <row r="251" spans="1:18">
      <c r="A251" s="14" t="s">
        <v>4326</v>
      </c>
    </row>
    <row r="252" spans="1:18">
      <c r="A252" s="14" t="s">
        <v>11486</v>
      </c>
    </row>
    <row r="253" spans="1:18">
      <c r="A253" s="14" t="s">
        <v>12012</v>
      </c>
      <c r="B253" s="7" t="s">
        <v>52</v>
      </c>
      <c r="C253" s="14" t="s">
        <v>202</v>
      </c>
      <c r="D253" s="18" t="s">
        <v>12013</v>
      </c>
      <c r="E253" s="15" t="str">
        <f>HYPERLINK("https://stat100.ameba.jp/tnk47/ratio20/illustrations/card/ill_88363_0_hanamijingukogo03.jpg?202004-5-RELEASE-marathon-466xxxxxxx", "■")</f>
        <v>■</v>
      </c>
      <c r="F253" s="14" t="s">
        <v>12014</v>
      </c>
      <c r="G253" s="14">
        <v>316442</v>
      </c>
      <c r="H253" s="14">
        <v>285998</v>
      </c>
      <c r="I253" s="7">
        <v>26</v>
      </c>
      <c r="J253" s="14" t="s">
        <v>10</v>
      </c>
      <c r="K253" s="14" t="s">
        <v>12015</v>
      </c>
      <c r="L253" s="14" t="s">
        <v>12016</v>
      </c>
      <c r="M253" s="14" t="s">
        <v>9158</v>
      </c>
      <c r="N253" s="14" t="s">
        <v>9158</v>
      </c>
      <c r="O253" s="6" t="s">
        <v>12017</v>
      </c>
      <c r="P253" s="7" t="s">
        <v>12018</v>
      </c>
      <c r="Q253" s="7">
        <v>1</v>
      </c>
    </row>
    <row r="254" spans="1:18">
      <c r="A254" s="14">
        <v>88623</v>
      </c>
      <c r="B254" s="14" t="s">
        <v>12200</v>
      </c>
      <c r="C254" s="14" t="s">
        <v>12195</v>
      </c>
      <c r="D254" s="14" t="s">
        <v>12204</v>
      </c>
      <c r="E254" s="15" t="str">
        <f>HYPERLINK("https://stat100.ameba.jp/tnk47/ratio20/illustrations/card/ill_88623_yuenchirorakosuta03.jpg?202004-5-RELEASE-marathon-466xxxxxxx", "■")</f>
        <v>■</v>
      </c>
      <c r="F254" s="14" t="s">
        <v>12205</v>
      </c>
      <c r="G254" s="14">
        <v>118446</v>
      </c>
      <c r="H254" s="14">
        <v>110126</v>
      </c>
      <c r="I254" s="14">
        <v>26</v>
      </c>
      <c r="J254" s="14" t="s">
        <v>12206</v>
      </c>
      <c r="K254" s="14" t="s">
        <v>12207</v>
      </c>
      <c r="L254" s="14" t="s">
        <v>12208</v>
      </c>
      <c r="M254" s="14" t="s">
        <v>9158</v>
      </c>
      <c r="N254" s="14" t="s">
        <v>9158</v>
      </c>
      <c r="O254" s="14" t="s">
        <v>9158</v>
      </c>
      <c r="P254" s="14" t="s">
        <v>9158</v>
      </c>
      <c r="Q254" s="14" t="s">
        <v>9158</v>
      </c>
    </row>
    <row r="255" spans="1:18">
      <c r="A255" s="14">
        <v>88633</v>
      </c>
      <c r="B255" s="14" t="s">
        <v>12200</v>
      </c>
      <c r="C255" s="14" t="s">
        <v>12196</v>
      </c>
      <c r="D255" s="14" t="s">
        <v>12209</v>
      </c>
      <c r="E255" s="15" t="str">
        <f>HYPERLINK("https://stat100.ameba.jp/tnk47/ratio20/illustrations/card/ill_88633_obentonekodanuki03.jpg?202004-5-RELEASE-marathon-466xxxxxxx", "■")</f>
        <v>■</v>
      </c>
      <c r="F255" s="14" t="s">
        <v>12210</v>
      </c>
      <c r="G255" s="14">
        <v>108330</v>
      </c>
      <c r="H255" s="14">
        <v>100744</v>
      </c>
      <c r="I255" s="14">
        <v>26</v>
      </c>
      <c r="J255" s="14" t="s">
        <v>12213</v>
      </c>
      <c r="K255" s="14" t="s">
        <v>12212</v>
      </c>
      <c r="L255" s="14" t="s">
        <v>12211</v>
      </c>
      <c r="M255" s="14" t="s">
        <v>9158</v>
      </c>
      <c r="N255" s="14" t="s">
        <v>9158</v>
      </c>
      <c r="O255" s="14" t="s">
        <v>9158</v>
      </c>
      <c r="P255" s="14" t="s">
        <v>9158</v>
      </c>
      <c r="Q255" s="14" t="s">
        <v>9158</v>
      </c>
    </row>
    <row r="256" spans="1:18">
      <c r="A256" s="14">
        <v>88643</v>
      </c>
      <c r="B256" s="14" t="s">
        <v>12201</v>
      </c>
      <c r="C256" s="14" t="s">
        <v>12197</v>
      </c>
      <c r="D256" s="14" t="s">
        <v>12214</v>
      </c>
      <c r="E256" s="15" t="str">
        <f>HYPERLINK("https://stat100.ameba.jp/tnk47/ratio20/illustrations/card/ill_88643_yuenchigishumoninnotango03.jpg?202004-5-RELEASE-marathon-466xxxxxxx", "■")</f>
        <v>■</v>
      </c>
      <c r="F256" s="14" t="s">
        <v>12215</v>
      </c>
      <c r="G256" s="14">
        <v>69898</v>
      </c>
      <c r="H256" s="14">
        <v>77064</v>
      </c>
      <c r="I256" s="14">
        <v>26</v>
      </c>
      <c r="J256" s="14" t="s">
        <v>12218</v>
      </c>
      <c r="K256" s="14" t="s">
        <v>12217</v>
      </c>
      <c r="L256" s="14" t="s">
        <v>12216</v>
      </c>
      <c r="M256" s="14" t="s">
        <v>9158</v>
      </c>
      <c r="N256" s="14" t="s">
        <v>9158</v>
      </c>
      <c r="O256" s="14" t="s">
        <v>9158</v>
      </c>
      <c r="P256" s="14" t="s">
        <v>9158</v>
      </c>
      <c r="Q256" s="14" t="s">
        <v>9158</v>
      </c>
    </row>
    <row r="257" spans="1:18">
      <c r="A257" s="14">
        <v>88653</v>
      </c>
      <c r="B257" s="14" t="s">
        <v>12202</v>
      </c>
      <c r="C257" s="14" t="s">
        <v>12198</v>
      </c>
      <c r="D257" s="14" t="s">
        <v>12219</v>
      </c>
      <c r="E257" s="15" t="str">
        <f>HYPERLINK("https://stat100.ameba.jp/tnk47/ratio20/illustrations/card/ill_88653_kanibarumadogusha03.jpg?202004-5-RELEASE-marathon-466xxxxxxx", "■")</f>
        <v>■</v>
      </c>
      <c r="F257" s="14" t="s">
        <v>12220</v>
      </c>
      <c r="G257" s="14">
        <v>54058</v>
      </c>
      <c r="H257" s="14">
        <v>44948</v>
      </c>
      <c r="I257" s="14">
        <v>26</v>
      </c>
      <c r="J257" s="14" t="s">
        <v>12213</v>
      </c>
      <c r="K257" s="14" t="s">
        <v>12222</v>
      </c>
      <c r="L257" s="14" t="s">
        <v>12221</v>
      </c>
      <c r="M257" s="14" t="s">
        <v>9158</v>
      </c>
      <c r="N257" s="14" t="s">
        <v>9158</v>
      </c>
      <c r="O257" s="14" t="s">
        <v>9158</v>
      </c>
      <c r="P257" s="14" t="s">
        <v>9158</v>
      </c>
      <c r="Q257" s="14" t="s">
        <v>9158</v>
      </c>
    </row>
    <row r="258" spans="1:18">
      <c r="A258" s="14">
        <v>88663</v>
      </c>
      <c r="B258" s="14" t="s">
        <v>12203</v>
      </c>
      <c r="C258" s="14" t="s">
        <v>12199</v>
      </c>
      <c r="D258" s="14" t="s">
        <v>12223</v>
      </c>
      <c r="E258" s="15" t="str">
        <f>HYPERLINK("https://stat100.ameba.jp/tnk47/ratio20/illustrations/card/ill_88663_bajutsuonamihime03.jpg?202004-5-RELEASE-marathon-466xxxxxxx", "■")</f>
        <v>■</v>
      </c>
      <c r="F258" s="14" t="s">
        <v>12224</v>
      </c>
      <c r="G258" s="14">
        <v>27486</v>
      </c>
      <c r="H258" s="14">
        <v>32728</v>
      </c>
      <c r="I258" s="14">
        <v>26</v>
      </c>
      <c r="J258" s="14" t="s">
        <v>12227</v>
      </c>
      <c r="K258" s="14" t="s">
        <v>12226</v>
      </c>
      <c r="L258" s="14" t="s">
        <v>12225</v>
      </c>
      <c r="M258" s="14" t="s">
        <v>9158</v>
      </c>
      <c r="N258" s="14" t="s">
        <v>9158</v>
      </c>
      <c r="O258" s="14" t="s">
        <v>9158</v>
      </c>
      <c r="P258" s="14" t="s">
        <v>9158</v>
      </c>
      <c r="Q258" s="14" t="s">
        <v>9158</v>
      </c>
    </row>
    <row r="260" spans="1:18">
      <c r="A260" s="14" t="s">
        <v>12193</v>
      </c>
    </row>
    <row r="261" spans="1:18">
      <c r="A261" s="14" t="s">
        <v>12194</v>
      </c>
    </row>
    <row r="262" spans="1:18">
      <c r="A262" s="14" t="s">
        <v>6030</v>
      </c>
      <c r="B262" s="14" t="s">
        <v>52</v>
      </c>
      <c r="C262" s="14" t="s">
        <v>202</v>
      </c>
      <c r="D262" s="19" t="s">
        <v>10453</v>
      </c>
      <c r="E262" s="15" t="str">
        <f>HYPERLINK("https://stat100.ameba.jp/tnk47/ratio20/illustrations/card/ill_80023_0_hinamatsurikyogokumaria03.jpg?202004-5-RELEASE-marathon-466xxxxxxx", "■")</f>
        <v>■</v>
      </c>
      <c r="F262" s="14" t="s">
        <v>3709</v>
      </c>
      <c r="G262" s="14">
        <v>336906</v>
      </c>
      <c r="H262" s="14">
        <v>372801</v>
      </c>
      <c r="I262" s="14">
        <v>25</v>
      </c>
      <c r="J262" s="14" t="s">
        <v>26</v>
      </c>
      <c r="K262" s="14" t="s">
        <v>3710</v>
      </c>
      <c r="L262" s="14" t="s">
        <v>8799</v>
      </c>
      <c r="M262" s="14" t="s">
        <v>9158</v>
      </c>
      <c r="N262" s="14" t="s">
        <v>9158</v>
      </c>
      <c r="O262" s="19" t="s">
        <v>10116</v>
      </c>
      <c r="P262" s="14" t="s">
        <v>3713</v>
      </c>
      <c r="Q262" s="14">
        <v>1</v>
      </c>
    </row>
    <row r="263" spans="1:18">
      <c r="A263" s="14">
        <v>77663</v>
      </c>
      <c r="B263" s="14" t="s">
        <v>334</v>
      </c>
      <c r="C263" s="14" t="s">
        <v>202</v>
      </c>
      <c r="D263" s="19" t="s">
        <v>10614</v>
      </c>
      <c r="E263" s="15" t="str">
        <f>HYPERLINK("https://stat100.ameba.jp/tnk47/ratio20/illustrations/card/ill_77663_deipuburu03.jpg?202004-5-RELEASE-marathon-466xxxxxxx", "■")</f>
        <v>■</v>
      </c>
      <c r="F263" s="14" t="s">
        <v>1573</v>
      </c>
      <c r="G263" s="14">
        <v>78916</v>
      </c>
      <c r="H263" s="14">
        <v>108924</v>
      </c>
      <c r="I263" s="14">
        <v>24</v>
      </c>
      <c r="J263" s="14" t="s">
        <v>414</v>
      </c>
      <c r="K263" s="14" t="s">
        <v>1574</v>
      </c>
      <c r="L263" s="14" t="s">
        <v>1575</v>
      </c>
      <c r="M263" s="14" t="s">
        <v>9158</v>
      </c>
      <c r="N263" s="14" t="s">
        <v>9158</v>
      </c>
      <c r="O263" s="19" t="s">
        <v>10117</v>
      </c>
      <c r="P263" s="14" t="s">
        <v>3625</v>
      </c>
      <c r="Q263" s="14">
        <v>1</v>
      </c>
    </row>
    <row r="264" spans="1:18">
      <c r="A264" s="14">
        <v>83513</v>
      </c>
      <c r="B264" s="14" t="s">
        <v>334</v>
      </c>
      <c r="C264" s="14" t="s">
        <v>1</v>
      </c>
      <c r="D264" s="19" t="s">
        <v>10556</v>
      </c>
      <c r="E264" s="15" t="str">
        <f>HYPERLINK("https://stat100.ameba.jp/tnk47/ratio20/illustrations/card/ill_83513_kajuemmimuratsuru03.jpg?202004-5-RELEASE-marathon-466xxxxxxx", "■")</f>
        <v>■</v>
      </c>
      <c r="F264" s="14" t="s">
        <v>6603</v>
      </c>
      <c r="G264" s="14">
        <v>142674</v>
      </c>
      <c r="H264" s="14">
        <v>132658</v>
      </c>
      <c r="I264" s="14">
        <v>24</v>
      </c>
      <c r="J264" s="14" t="s">
        <v>143</v>
      </c>
      <c r="K264" s="14" t="s">
        <v>6601</v>
      </c>
      <c r="L264" s="14" t="s">
        <v>6600</v>
      </c>
      <c r="M264" s="14" t="s">
        <v>9158</v>
      </c>
      <c r="N264" s="14" t="s">
        <v>9158</v>
      </c>
      <c r="O264" s="19" t="s">
        <v>2951</v>
      </c>
      <c r="P264" s="14" t="s">
        <v>13122</v>
      </c>
      <c r="Q264" s="14">
        <v>1</v>
      </c>
    </row>
    <row r="265" spans="1:18">
      <c r="A265" s="7">
        <v>85643</v>
      </c>
      <c r="B265" s="7" t="s">
        <v>0</v>
      </c>
      <c r="C265" s="7" t="s">
        <v>154</v>
      </c>
      <c r="D265" s="20" t="s">
        <v>10828</v>
      </c>
      <c r="E265" s="15" t="str">
        <f>HYPERLINK("https://stat100.ameba.jp/tnk47/ratio20/illustrations/card/ill_85643_hosekisho03.jpg?202004-5-RELEASE-marathon-466xxxxxxx", "■")</f>
        <v>■</v>
      </c>
      <c r="F265" s="7" t="s">
        <v>8420</v>
      </c>
      <c r="G265" s="7">
        <v>104890</v>
      </c>
      <c r="H265" s="7">
        <v>75984</v>
      </c>
      <c r="I265" s="14">
        <v>24</v>
      </c>
      <c r="J265" s="7" t="s">
        <v>26</v>
      </c>
      <c r="K265" s="7" t="s">
        <v>8418</v>
      </c>
      <c r="L265" s="7" t="s">
        <v>3260</v>
      </c>
      <c r="M265" s="14" t="s">
        <v>9158</v>
      </c>
      <c r="N265" s="14" t="s">
        <v>9158</v>
      </c>
      <c r="O265" s="19" t="s">
        <v>10091</v>
      </c>
      <c r="P265" s="7" t="s">
        <v>3670</v>
      </c>
      <c r="Q265" s="7">
        <v>1</v>
      </c>
    </row>
    <row r="267" spans="1:18">
      <c r="A267" s="14" t="s">
        <v>13384</v>
      </c>
    </row>
    <row r="268" spans="1:18">
      <c r="A268" s="14" t="s">
        <v>12228</v>
      </c>
    </row>
    <row r="269" spans="1:18">
      <c r="A269" s="14">
        <v>88475</v>
      </c>
      <c r="B269" s="14" t="s">
        <v>0</v>
      </c>
      <c r="C269" s="14" t="s">
        <v>202</v>
      </c>
      <c r="D269" s="14" t="s">
        <v>12262</v>
      </c>
      <c r="E269" s="15" t="str">
        <f>HYPERLINK("https://stat100.ameba.jp/tnk47/ratio20/illustrations/card/ill_88475_baiorinisutosentsua05.jpg?202004-5-RELEASE-marathon-466xxxxxxx", "■")</f>
        <v>■</v>
      </c>
      <c r="F269" s="14" t="s">
        <v>12263</v>
      </c>
      <c r="G269" s="14">
        <v>107050</v>
      </c>
      <c r="H269" s="14">
        <v>147830</v>
      </c>
      <c r="I269" s="14">
        <v>26</v>
      </c>
      <c r="J269" s="14" t="s">
        <v>12265</v>
      </c>
      <c r="K269" s="14" t="s">
        <v>12264</v>
      </c>
      <c r="L269" s="14" t="s">
        <v>12269</v>
      </c>
      <c r="M269" s="14" t="s">
        <v>9158</v>
      </c>
      <c r="N269" s="14" t="s">
        <v>9158</v>
      </c>
      <c r="O269" s="14" t="s">
        <v>9158</v>
      </c>
      <c r="P269" s="14" t="s">
        <v>9158</v>
      </c>
      <c r="Q269" s="14" t="s">
        <v>9158</v>
      </c>
      <c r="R269" s="14" t="s">
        <v>12266</v>
      </c>
    </row>
    <row r="270" spans="1:18">
      <c r="A270" s="14">
        <v>88473</v>
      </c>
      <c r="B270" s="14" t="s">
        <v>12243</v>
      </c>
      <c r="C270" s="14" t="s">
        <v>12233</v>
      </c>
      <c r="D270" s="14" t="s">
        <v>12262</v>
      </c>
      <c r="E270" s="15" t="str">
        <f>HYPERLINK("https://stat100.ameba.jp/tnk47/ratio20/illustrations/card/ill_88473_baiorinisutosentsua03.jpg?202004-5-RELEASE-marathon-466xxxxxxx", "■")</f>
        <v>■</v>
      </c>
      <c r="F270" s="14" t="s">
        <v>12263</v>
      </c>
      <c r="G270" s="14">
        <v>78872</v>
      </c>
      <c r="H270" s="14">
        <v>108928</v>
      </c>
      <c r="I270" s="14">
        <v>26</v>
      </c>
      <c r="J270" s="14" t="s">
        <v>12265</v>
      </c>
      <c r="K270" s="14" t="s">
        <v>12264</v>
      </c>
      <c r="L270" s="14" t="s">
        <v>12270</v>
      </c>
      <c r="M270" s="14" t="s">
        <v>9158</v>
      </c>
      <c r="N270" s="14" t="s">
        <v>9158</v>
      </c>
      <c r="O270" s="14" t="s">
        <v>9158</v>
      </c>
      <c r="P270" s="14" t="s">
        <v>9158</v>
      </c>
      <c r="Q270" s="14" t="s">
        <v>9158</v>
      </c>
      <c r="R270" s="14" t="s">
        <v>12267</v>
      </c>
    </row>
    <row r="271" spans="1:18">
      <c r="A271" s="14">
        <v>88471</v>
      </c>
      <c r="B271" s="14" t="s">
        <v>12243</v>
      </c>
      <c r="C271" s="14" t="s">
        <v>12233</v>
      </c>
      <c r="D271" s="14" t="s">
        <v>12262</v>
      </c>
      <c r="E271" s="15" t="str">
        <f>HYPERLINK("https://stat100.ameba.jp/tnk47/ratio20/illustrations/card/ill_88471_baiorinisutosentsua01.jpg?202004-5-RELEASE-marathon-466xxxxxxx", "■")</f>
        <v>■</v>
      </c>
      <c r="F271" s="14" t="s">
        <v>12263</v>
      </c>
      <c r="G271" s="14">
        <v>50180</v>
      </c>
      <c r="H271" s="14">
        <v>69290</v>
      </c>
      <c r="I271" s="14">
        <v>26</v>
      </c>
      <c r="J271" s="14" t="s">
        <v>12265</v>
      </c>
      <c r="K271" s="14" t="s">
        <v>12264</v>
      </c>
      <c r="L271" s="14" t="s">
        <v>12271</v>
      </c>
      <c r="M271" s="14" t="s">
        <v>9158</v>
      </c>
      <c r="N271" s="14" t="s">
        <v>9158</v>
      </c>
      <c r="O271" s="14" t="s">
        <v>9158</v>
      </c>
      <c r="P271" s="14" t="s">
        <v>9158</v>
      </c>
      <c r="Q271" s="14" t="s">
        <v>9158</v>
      </c>
      <c r="R271" s="14" t="s">
        <v>12268</v>
      </c>
    </row>
    <row r="273" spans="1:17">
      <c r="A273" s="14" t="s">
        <v>12230</v>
      </c>
    </row>
    <row r="274" spans="1:17">
      <c r="A274" s="14" t="s">
        <v>12229</v>
      </c>
    </row>
    <row r="275" spans="1:17">
      <c r="A275" s="14">
        <v>37263</v>
      </c>
      <c r="B275" s="14" t="s">
        <v>0</v>
      </c>
      <c r="C275" s="14" t="s">
        <v>206</v>
      </c>
      <c r="D275" s="19" t="s">
        <v>13776</v>
      </c>
      <c r="E275" s="15" t="str">
        <f>HYPERLINK("https://stat100.ameba.jp/tnk47/ratio20/illustrations/card/ill_37263_shishirianraisu03.jpg?202004-5-RELEASE-marathon-466xxxxxxx", "■")</f>
        <v>■</v>
      </c>
      <c r="F275" s="14" t="s">
        <v>7569</v>
      </c>
      <c r="G275" s="14">
        <v>96360</v>
      </c>
      <c r="H275" s="14">
        <v>89590</v>
      </c>
      <c r="I275" s="14">
        <v>25</v>
      </c>
      <c r="J275" s="14" t="s">
        <v>104</v>
      </c>
      <c r="K275" s="14" t="s">
        <v>7568</v>
      </c>
      <c r="L275" s="14" t="s">
        <v>1050</v>
      </c>
      <c r="M275" s="14" t="s">
        <v>9158</v>
      </c>
      <c r="N275" s="14" t="s">
        <v>9158</v>
      </c>
      <c r="O275" s="14" t="s">
        <v>9158</v>
      </c>
      <c r="P275" s="14" t="s">
        <v>9158</v>
      </c>
      <c r="Q275" s="14" t="s">
        <v>9158</v>
      </c>
    </row>
    <row r="276" spans="1:17">
      <c r="A276" s="14">
        <v>32433</v>
      </c>
      <c r="B276" s="14" t="s">
        <v>0</v>
      </c>
      <c r="C276" s="14" t="s">
        <v>12233</v>
      </c>
      <c r="D276" s="14" t="s">
        <v>12231</v>
      </c>
      <c r="E276" s="15" t="str">
        <f>HYPERLINK("https://stat100.ameba.jp/tnk47/ratio20/illustrations/card/ill_32433_ruzusokkusu03.jpg?202004-5-RELEASE-marathon-466xxxxxxx", "■")</f>
        <v>■</v>
      </c>
      <c r="F276" s="14" t="s">
        <v>12232</v>
      </c>
      <c r="G276" s="14">
        <v>96360</v>
      </c>
      <c r="H276" s="14">
        <v>89590</v>
      </c>
      <c r="I276" s="14">
        <v>25</v>
      </c>
      <c r="J276" s="14" t="s">
        <v>12242</v>
      </c>
      <c r="K276" s="14" t="s">
        <v>12241</v>
      </c>
      <c r="L276" s="14" t="s">
        <v>12240</v>
      </c>
      <c r="M276" s="14" t="s">
        <v>9158</v>
      </c>
      <c r="N276" s="14" t="s">
        <v>9158</v>
      </c>
      <c r="O276" s="14" t="s">
        <v>9158</v>
      </c>
      <c r="P276" s="14" t="s">
        <v>9158</v>
      </c>
      <c r="Q276" s="14" t="s">
        <v>9158</v>
      </c>
    </row>
    <row r="277" spans="1:17">
      <c r="A277" s="14">
        <v>41623</v>
      </c>
      <c r="B277" s="14" t="s">
        <v>0</v>
      </c>
      <c r="C277" s="14" t="s">
        <v>12235</v>
      </c>
      <c r="D277" s="14" t="s">
        <v>12234</v>
      </c>
      <c r="E277" s="15" t="str">
        <f>HYPERLINK("https://stat100.ameba.jp/tnk47/ratio20/illustrations/card/ill_41623_baresukuizumishikibu03.jpg?202004-5-RELEASE-marathon-466xxxxxxx", "■")</f>
        <v>■</v>
      </c>
      <c r="F277" s="14" t="s">
        <v>12236</v>
      </c>
      <c r="G277" s="14">
        <v>89590</v>
      </c>
      <c r="H277" s="14">
        <v>96360</v>
      </c>
      <c r="I277" s="14">
        <v>25</v>
      </c>
      <c r="J277" s="14" t="s">
        <v>12239</v>
      </c>
      <c r="K277" s="14" t="s">
        <v>12238</v>
      </c>
      <c r="L277" s="14" t="s">
        <v>12237</v>
      </c>
      <c r="M277" s="14" t="s">
        <v>9158</v>
      </c>
      <c r="N277" s="14" t="s">
        <v>9158</v>
      </c>
      <c r="O277" s="14" t="s">
        <v>9158</v>
      </c>
      <c r="P277" s="14" t="s">
        <v>9158</v>
      </c>
      <c r="Q277" s="14" t="s">
        <v>9158</v>
      </c>
    </row>
    <row r="278" spans="1:17">
      <c r="A278" s="14">
        <v>35163</v>
      </c>
      <c r="B278" s="14" t="s">
        <v>12243</v>
      </c>
      <c r="C278" s="14" t="s">
        <v>12245</v>
      </c>
      <c r="D278" s="14" t="s">
        <v>12244</v>
      </c>
      <c r="E278" s="15" t="str">
        <f>HYPERLINK("https://stat100.ameba.jp/tnk47/ratio20/illustrations/card/ill_35163_esukaroppu03.jpg?202004-5-RELEASE-marathon-466xxxxxxx", "■")</f>
        <v>■</v>
      </c>
      <c r="F278" s="14" t="s">
        <v>12246</v>
      </c>
      <c r="G278" s="14">
        <v>51078</v>
      </c>
      <c r="H278" s="14">
        <v>56316</v>
      </c>
      <c r="I278" s="14">
        <v>19</v>
      </c>
      <c r="J278" s="14" t="s">
        <v>12249</v>
      </c>
      <c r="K278" s="14" t="s">
        <v>12248</v>
      </c>
      <c r="L278" s="14" t="s">
        <v>12247</v>
      </c>
      <c r="M278" s="14" t="s">
        <v>9158</v>
      </c>
      <c r="N278" s="14" t="s">
        <v>9158</v>
      </c>
      <c r="O278" s="14" t="s">
        <v>9158</v>
      </c>
      <c r="P278" s="14" t="s">
        <v>9158</v>
      </c>
      <c r="Q278" s="14" t="s">
        <v>9158</v>
      </c>
    </row>
    <row r="279" spans="1:17">
      <c r="A279" s="14">
        <v>45603</v>
      </c>
      <c r="B279" s="14" t="s">
        <v>12243</v>
      </c>
      <c r="C279" s="14" t="s">
        <v>12251</v>
      </c>
      <c r="D279" s="14" t="s">
        <v>12250</v>
      </c>
      <c r="E279" s="15" t="str">
        <f>HYPERLINK("https://stat100.ameba.jp/tnk47/ratio20/illustrations/card/ill_45603_gokuhimegoryunotsubone03.jpg?202004-5-RELEASE-marathon-466xxxxxxx", "■")</f>
        <v>■</v>
      </c>
      <c r="F279" s="14" t="s">
        <v>12255</v>
      </c>
      <c r="G279" s="14">
        <v>56316</v>
      </c>
      <c r="H279" s="14">
        <v>51078</v>
      </c>
      <c r="I279" s="14">
        <v>19</v>
      </c>
      <c r="J279" s="14" t="s">
        <v>12254</v>
      </c>
      <c r="K279" s="14" t="s">
        <v>12253</v>
      </c>
      <c r="L279" s="14" t="s">
        <v>12252</v>
      </c>
      <c r="M279" s="14" t="s">
        <v>9158</v>
      </c>
      <c r="N279" s="14" t="s">
        <v>9158</v>
      </c>
      <c r="O279" s="14" t="s">
        <v>9158</v>
      </c>
      <c r="P279" s="14" t="s">
        <v>9158</v>
      </c>
      <c r="Q279" s="14" t="s">
        <v>9158</v>
      </c>
    </row>
    <row r="280" spans="1:17">
      <c r="A280" s="14">
        <v>34833</v>
      </c>
      <c r="B280" s="14" t="s">
        <v>12243</v>
      </c>
      <c r="C280" s="14" t="s">
        <v>12257</v>
      </c>
      <c r="D280" s="14" t="s">
        <v>12256</v>
      </c>
      <c r="E280" s="15" t="str">
        <f>HYPERLINK("https://stat100.ameba.jp/tnk47/ratio20/illustrations/card/ill_34833_kentotakedakounsai03.jpg?202004-5-RELEASE-marathon-466xxxxxxx", "■")</f>
        <v>■</v>
      </c>
      <c r="F280" s="14" t="s">
        <v>12258</v>
      </c>
      <c r="G280" s="14">
        <v>56316</v>
      </c>
      <c r="H280" s="14">
        <v>51078</v>
      </c>
      <c r="I280" s="14">
        <v>19</v>
      </c>
      <c r="J280" s="14" t="s">
        <v>12259</v>
      </c>
      <c r="K280" s="14" t="s">
        <v>12260</v>
      </c>
      <c r="L280" s="14" t="s">
        <v>12261</v>
      </c>
      <c r="M280" s="14" t="s">
        <v>9158</v>
      </c>
      <c r="N280" s="14" t="s">
        <v>9158</v>
      </c>
      <c r="O280" s="14" t="s">
        <v>9158</v>
      </c>
      <c r="P280" s="14" t="s">
        <v>9158</v>
      </c>
      <c r="Q280" s="14" t="s">
        <v>9158</v>
      </c>
    </row>
    <row r="282" spans="1:17">
      <c r="A282" s="14" t="s">
        <v>207</v>
      </c>
    </row>
    <row r="283" spans="1:17">
      <c r="A283" s="14" t="s">
        <v>12274</v>
      </c>
    </row>
    <row r="284" spans="1:17">
      <c r="A284" s="14" t="s">
        <v>5606</v>
      </c>
      <c r="B284" s="14" t="s">
        <v>52</v>
      </c>
      <c r="C284" s="14" t="s">
        <v>206</v>
      </c>
      <c r="D284" s="20" t="s">
        <v>2936</v>
      </c>
      <c r="E284" s="15" t="str">
        <f>HYPERLINK("https://stat100.ameba.jp/tnk47/ratio20/illustrations/card/ill_72233_0_koinoboriryugujin03.jpg?202004-5-RELEASE-marathon-466xxxxxxx", "■")</f>
        <v>■</v>
      </c>
      <c r="F284" s="14" t="s">
        <v>1012</v>
      </c>
      <c r="G284" s="14">
        <v>157432</v>
      </c>
      <c r="H284" s="14">
        <v>169334</v>
      </c>
      <c r="I284" s="14">
        <v>24</v>
      </c>
      <c r="J284" s="14" t="s">
        <v>44</v>
      </c>
      <c r="K284" s="14" t="s">
        <v>1013</v>
      </c>
      <c r="L284" s="14" t="s">
        <v>1014</v>
      </c>
      <c r="M284" s="14" t="s">
        <v>9158</v>
      </c>
      <c r="N284" s="14" t="s">
        <v>9158</v>
      </c>
      <c r="O284" s="19" t="s">
        <v>2940</v>
      </c>
      <c r="P284" s="14" t="s">
        <v>2941</v>
      </c>
      <c r="Q284" s="14">
        <v>2</v>
      </c>
    </row>
    <row r="285" spans="1:17">
      <c r="A285" s="14" t="s">
        <v>5610</v>
      </c>
      <c r="B285" s="14" t="s">
        <v>330</v>
      </c>
      <c r="C285" s="14" t="s">
        <v>185</v>
      </c>
      <c r="D285" s="19" t="s">
        <v>539</v>
      </c>
      <c r="E285" s="15" t="str">
        <f>HYPERLINK("https://stat100.ameba.jp/tnk47/ratio20/illustrations/card/ill_60633_0_harumaisentoin03.jpg?202004-5-RELEASE-marathon-466xxxxxxx", "■")</f>
        <v>■</v>
      </c>
      <c r="F285" s="14" t="s">
        <v>540</v>
      </c>
      <c r="G285" s="14">
        <v>152594</v>
      </c>
      <c r="H285" s="14">
        <v>164144</v>
      </c>
      <c r="I285" s="14">
        <v>24</v>
      </c>
      <c r="J285" s="14" t="s">
        <v>274</v>
      </c>
      <c r="K285" s="14" t="s">
        <v>541</v>
      </c>
      <c r="L285" s="14" t="s">
        <v>542</v>
      </c>
      <c r="M285" s="14" t="s">
        <v>9158</v>
      </c>
      <c r="N285" s="14" t="s">
        <v>9158</v>
      </c>
      <c r="O285" s="19" t="s">
        <v>2888</v>
      </c>
      <c r="P285" s="14" t="s">
        <v>3144</v>
      </c>
      <c r="Q285" s="14">
        <v>1</v>
      </c>
    </row>
    <row r="286" spans="1:17">
      <c r="A286" s="14" t="s">
        <v>5721</v>
      </c>
      <c r="B286" s="14" t="s">
        <v>52</v>
      </c>
      <c r="C286" s="14" t="s">
        <v>1</v>
      </c>
      <c r="D286" s="19" t="s">
        <v>513</v>
      </c>
      <c r="E286" s="15" t="str">
        <f>HYPERLINK("https://stat100.ameba.jp/tnk47/ratio20/illustrations/card/ill_44283_0_izumonokuni03.jpg?202004-5-RELEASE-marathon-466xxxxxxx", "■")</f>
        <v>■</v>
      </c>
      <c r="F286" s="14" t="s">
        <v>1716</v>
      </c>
      <c r="G286" s="14">
        <v>140448</v>
      </c>
      <c r="H286" s="14">
        <v>131538</v>
      </c>
      <c r="I286" s="14">
        <v>24</v>
      </c>
      <c r="J286" s="14" t="s">
        <v>16</v>
      </c>
      <c r="K286" s="14" t="s">
        <v>2254</v>
      </c>
      <c r="L286" s="14" t="s">
        <v>1718</v>
      </c>
      <c r="M286" s="14" t="s">
        <v>9158</v>
      </c>
      <c r="N286" s="14" t="s">
        <v>9158</v>
      </c>
      <c r="O286" s="14" t="s">
        <v>9158</v>
      </c>
      <c r="P286" s="14" t="s">
        <v>9158</v>
      </c>
      <c r="Q286" s="14" t="s">
        <v>9158</v>
      </c>
    </row>
    <row r="287" spans="1:17">
      <c r="A287" s="14">
        <v>88623</v>
      </c>
      <c r="B287" s="14" t="s">
        <v>0</v>
      </c>
      <c r="C287" s="14" t="s">
        <v>200</v>
      </c>
      <c r="D287" s="14" t="s">
        <v>12204</v>
      </c>
      <c r="E287" s="15" t="str">
        <f>HYPERLINK("https://stat100.ameba.jp/tnk47/ratio20/illustrations/card/ill_88623_yuenchirorakosuta03.jpg?202004-5-RELEASE-marathon-466xxxxxxx", "■")</f>
        <v>■</v>
      </c>
      <c r="F287" s="14" t="s">
        <v>12205</v>
      </c>
      <c r="G287" s="14">
        <v>113890</v>
      </c>
      <c r="H287" s="14">
        <v>105890</v>
      </c>
      <c r="I287" s="14">
        <v>25</v>
      </c>
      <c r="J287" s="14" t="s">
        <v>26</v>
      </c>
      <c r="K287" s="14" t="s">
        <v>12207</v>
      </c>
      <c r="L287" s="14" t="s">
        <v>12208</v>
      </c>
      <c r="M287" s="14" t="s">
        <v>9158</v>
      </c>
      <c r="N287" s="14" t="s">
        <v>9158</v>
      </c>
      <c r="O287" s="14" t="s">
        <v>9158</v>
      </c>
      <c r="P287" s="14" t="s">
        <v>9158</v>
      </c>
      <c r="Q287" s="14" t="s">
        <v>9158</v>
      </c>
    </row>
    <row r="288" spans="1:17">
      <c r="A288" s="14">
        <v>88643</v>
      </c>
      <c r="B288" s="14" t="s">
        <v>15</v>
      </c>
      <c r="C288" s="14" t="s">
        <v>165</v>
      </c>
      <c r="D288" s="14" t="s">
        <v>12214</v>
      </c>
      <c r="E288" s="15" t="str">
        <f>HYPERLINK("https://stat100.ameba.jp/tnk47/ratio20/illustrations/card/ill_88643_yuenchigishumoninnotango03.jpg?202004-5-RELEASE-marathon-466xxxxxxx", "■")</f>
        <v>■</v>
      </c>
      <c r="F288" s="14" t="s">
        <v>12215</v>
      </c>
      <c r="G288" s="14">
        <v>67210</v>
      </c>
      <c r="H288" s="14">
        <v>74100</v>
      </c>
      <c r="I288" s="14">
        <v>25</v>
      </c>
      <c r="J288" s="14" t="s">
        <v>10</v>
      </c>
      <c r="K288" s="14" t="s">
        <v>3336</v>
      </c>
      <c r="L288" s="14" t="s">
        <v>3337</v>
      </c>
      <c r="M288" s="14" t="s">
        <v>9158</v>
      </c>
      <c r="N288" s="14" t="s">
        <v>9158</v>
      </c>
      <c r="O288" s="14" t="s">
        <v>9158</v>
      </c>
      <c r="P288" s="14" t="s">
        <v>9158</v>
      </c>
      <c r="Q288" s="14" t="s">
        <v>9158</v>
      </c>
    </row>
    <row r="289" spans="1:18">
      <c r="A289" s="14">
        <v>88653</v>
      </c>
      <c r="B289" s="14" t="s">
        <v>22</v>
      </c>
      <c r="C289" s="14" t="s">
        <v>191</v>
      </c>
      <c r="D289" s="14" t="s">
        <v>12219</v>
      </c>
      <c r="E289" s="15" t="str">
        <f>HYPERLINK("https://stat100.ameba.jp/tnk47/ratio20/illustrations/card/ill_88653_kanibarumadogusha03.jpg?202004-5-RELEASE-marathon-466xxxxxxx", "■")</f>
        <v>■</v>
      </c>
      <c r="F289" s="14" t="s">
        <v>12220</v>
      </c>
      <c r="G289" s="14">
        <v>51980</v>
      </c>
      <c r="H289" s="14">
        <v>43220</v>
      </c>
      <c r="I289" s="14">
        <v>25</v>
      </c>
      <c r="J289" s="14" t="s">
        <v>73</v>
      </c>
      <c r="K289" s="14" t="s">
        <v>12222</v>
      </c>
      <c r="L289" s="14" t="s">
        <v>4556</v>
      </c>
      <c r="M289" s="14" t="s">
        <v>9158</v>
      </c>
      <c r="N289" s="14" t="s">
        <v>9158</v>
      </c>
      <c r="O289" s="14" t="s">
        <v>9158</v>
      </c>
      <c r="P289" s="14" t="s">
        <v>9158</v>
      </c>
      <c r="Q289" s="14" t="s">
        <v>9158</v>
      </c>
    </row>
    <row r="290" spans="1:18">
      <c r="A290" s="14">
        <v>88663</v>
      </c>
      <c r="B290" s="14" t="s">
        <v>30</v>
      </c>
      <c r="C290" s="14" t="s">
        <v>1330</v>
      </c>
      <c r="D290" s="14" t="s">
        <v>12223</v>
      </c>
      <c r="E290" s="15" t="str">
        <f>HYPERLINK("https://stat100.ameba.jp/tnk47/ratio20/illustrations/card/ill_88663_bajutsuonamihime03.jpg?202004-5-RELEASE-marathon-466xxxxxxx", "■")</f>
        <v>■</v>
      </c>
      <c r="F290" s="14" t="s">
        <v>12224</v>
      </c>
      <c r="G290" s="14">
        <v>26430</v>
      </c>
      <c r="H290" s="14">
        <v>31470</v>
      </c>
      <c r="I290" s="14">
        <v>25</v>
      </c>
      <c r="J290" s="14" t="s">
        <v>143</v>
      </c>
      <c r="K290" s="14" t="s">
        <v>12226</v>
      </c>
      <c r="L290" s="14" t="s">
        <v>1119</v>
      </c>
      <c r="M290" s="14" t="s">
        <v>9158</v>
      </c>
      <c r="N290" s="14" t="s">
        <v>9158</v>
      </c>
      <c r="O290" s="14" t="s">
        <v>9158</v>
      </c>
      <c r="P290" s="14" t="s">
        <v>9158</v>
      </c>
      <c r="Q290" s="14" t="s">
        <v>9158</v>
      </c>
    </row>
    <row r="292" spans="1:18">
      <c r="A292" s="14" t="s">
        <v>12272</v>
      </c>
    </row>
    <row r="293" spans="1:18">
      <c r="A293" s="14" t="s">
        <v>12273</v>
      </c>
    </row>
    <row r="294" spans="1:18">
      <c r="A294" s="14" t="s">
        <v>5602</v>
      </c>
      <c r="B294" s="14" t="s">
        <v>330</v>
      </c>
      <c r="C294" s="14" t="s">
        <v>185</v>
      </c>
      <c r="D294" s="19" t="s">
        <v>813</v>
      </c>
      <c r="E294" s="15" t="str">
        <f>HYPERLINK("https://stat100.ameba.jp/tnk47/ratio20/illustrations/card/ill_55313_0_haroinononokomachi03.jpg?202004-5-RELEASE-marathon-466xxxxxxx", "■")</f>
        <v>■</v>
      </c>
      <c r="F294" s="14" t="s">
        <v>814</v>
      </c>
      <c r="G294" s="14">
        <v>138212</v>
      </c>
      <c r="H294" s="14">
        <v>122776</v>
      </c>
      <c r="I294" s="14">
        <v>22</v>
      </c>
      <c r="J294" s="14" t="s">
        <v>351</v>
      </c>
      <c r="K294" s="14" t="s">
        <v>815</v>
      </c>
      <c r="L294" s="14" t="s">
        <v>816</v>
      </c>
      <c r="M294" s="14" t="s">
        <v>9158</v>
      </c>
      <c r="N294" s="14" t="s">
        <v>9158</v>
      </c>
      <c r="O294" s="19" t="s">
        <v>2733</v>
      </c>
      <c r="P294" s="14" t="s">
        <v>2734</v>
      </c>
      <c r="Q294" s="14">
        <v>1</v>
      </c>
    </row>
    <row r="295" spans="1:18">
      <c r="A295" s="14" t="s">
        <v>5605</v>
      </c>
      <c r="B295" s="14" t="s">
        <v>52</v>
      </c>
      <c r="C295" s="14" t="s">
        <v>202</v>
      </c>
      <c r="D295" s="20" t="s">
        <v>10332</v>
      </c>
      <c r="E295" s="15" t="str">
        <f>HYPERLINK("https://stat100.ameba.jp/tnk47/ratio20/illustrations/card/ill_79373_0_hommeichokotennyohime03.jpg?202004-5-RELEASE-marathon-466xxxxxxx", "■")</f>
        <v>■</v>
      </c>
      <c r="F295" s="14" t="s">
        <v>3495</v>
      </c>
      <c r="G295" s="14">
        <v>272036</v>
      </c>
      <c r="H295" s="14">
        <v>245878</v>
      </c>
      <c r="I295" s="14">
        <v>22</v>
      </c>
      <c r="J295" s="14" t="s">
        <v>104</v>
      </c>
      <c r="K295" s="14" t="s">
        <v>3496</v>
      </c>
      <c r="L295" s="14" t="s">
        <v>3497</v>
      </c>
      <c r="M295" s="14" t="s">
        <v>9158</v>
      </c>
      <c r="N295" s="14" t="s">
        <v>9158</v>
      </c>
      <c r="O295" s="19" t="s">
        <v>10072</v>
      </c>
      <c r="P295" s="14" t="s">
        <v>3498</v>
      </c>
      <c r="Q295" s="14">
        <v>1</v>
      </c>
      <c r="R295" s="7"/>
    </row>
    <row r="296" spans="1:18">
      <c r="A296" s="14" t="s">
        <v>5604</v>
      </c>
      <c r="B296" s="14" t="s">
        <v>330</v>
      </c>
      <c r="C296" s="14" t="s">
        <v>206</v>
      </c>
      <c r="D296" s="19" t="s">
        <v>614</v>
      </c>
      <c r="E296" s="15" t="str">
        <f>HYPERLINK("https://stat100.ameba.jp/tnk47/ratio20/illustrations/card/ill_47263_0_oukyuuatsuhime03.jpg?202004-5-RELEASE-marathon-466xxxxxxx", "■")</f>
        <v>■</v>
      </c>
      <c r="F296" s="14" t="s">
        <v>615</v>
      </c>
      <c r="G296" s="14">
        <v>138212</v>
      </c>
      <c r="H296" s="14">
        <v>122776</v>
      </c>
      <c r="I296" s="14">
        <v>22</v>
      </c>
      <c r="J296" s="14" t="s">
        <v>315</v>
      </c>
      <c r="K296" s="14" t="s">
        <v>616</v>
      </c>
      <c r="L296" s="14" t="s">
        <v>617</v>
      </c>
      <c r="M296" s="14" t="s">
        <v>9158</v>
      </c>
      <c r="N296" s="14" t="s">
        <v>9158</v>
      </c>
      <c r="O296" s="14" t="s">
        <v>9158</v>
      </c>
      <c r="P296" s="14" t="s">
        <v>9158</v>
      </c>
      <c r="Q296" s="14" t="s">
        <v>9158</v>
      </c>
    </row>
    <row r="297" spans="1:18">
      <c r="A297" s="14">
        <v>78453</v>
      </c>
      <c r="B297" s="14" t="s">
        <v>0</v>
      </c>
      <c r="C297" s="14" t="s">
        <v>165</v>
      </c>
      <c r="D297" s="20" t="s">
        <v>10393</v>
      </c>
      <c r="E297" s="15" t="str">
        <f>HYPERLINK("https://stat100.ameba.jp/tnk47/ratio20/illustrations/card/ill_78453_dobutsunoshimahashihime03.jpg?202004-5-RELEASE-marathon-466xxxxxxx", "■")</f>
        <v>■</v>
      </c>
      <c r="F297" s="14" t="s">
        <v>2555</v>
      </c>
      <c r="G297" s="14">
        <v>146392</v>
      </c>
      <c r="H297" s="14">
        <v>82390</v>
      </c>
      <c r="I297" s="14">
        <v>26</v>
      </c>
      <c r="J297" s="14" t="s">
        <v>155</v>
      </c>
      <c r="K297" s="14" t="s">
        <v>2556</v>
      </c>
      <c r="L297" s="14" t="s">
        <v>2557</v>
      </c>
      <c r="M297" s="14" t="s">
        <v>9158</v>
      </c>
      <c r="N297" s="14" t="s">
        <v>9158</v>
      </c>
      <c r="O297" s="14" t="s">
        <v>9158</v>
      </c>
      <c r="P297" s="14" t="s">
        <v>9158</v>
      </c>
      <c r="Q297" s="14" t="s">
        <v>9158</v>
      </c>
    </row>
    <row r="298" spans="1:18">
      <c r="A298" s="14">
        <v>56083</v>
      </c>
      <c r="B298" s="14" t="s">
        <v>334</v>
      </c>
      <c r="C298" s="14" t="s">
        <v>200</v>
      </c>
      <c r="D298" s="20" t="s">
        <v>4047</v>
      </c>
      <c r="E298" s="15" t="str">
        <f>HYPERLINK("https://stat100.ameba.jp/tnk47/ratio20/illustrations/card/ill_56083_tanakashozo03.jpg?202004-5-RELEASE-marathon-466xxxxxxx", "■")</f>
        <v>■</v>
      </c>
      <c r="F298" s="14" t="s">
        <v>914</v>
      </c>
      <c r="G298" s="14">
        <v>112808</v>
      </c>
      <c r="H298" s="14">
        <v>81098</v>
      </c>
      <c r="I298" s="14">
        <v>26</v>
      </c>
      <c r="J298" s="14" t="s">
        <v>10</v>
      </c>
      <c r="K298" s="14" t="s">
        <v>915</v>
      </c>
      <c r="L298" s="14" t="s">
        <v>916</v>
      </c>
      <c r="M298" s="14" t="s">
        <v>9158</v>
      </c>
      <c r="N298" s="14" t="s">
        <v>9158</v>
      </c>
      <c r="O298" s="14" t="s">
        <v>9158</v>
      </c>
      <c r="P298" s="14" t="s">
        <v>9158</v>
      </c>
      <c r="Q298" s="14" t="s">
        <v>9158</v>
      </c>
    </row>
    <row r="299" spans="1:18">
      <c r="A299" s="9">
        <v>68993</v>
      </c>
      <c r="B299" s="14" t="s">
        <v>334</v>
      </c>
      <c r="C299" s="14" t="s">
        <v>206</v>
      </c>
      <c r="D299" s="14" t="s">
        <v>2406</v>
      </c>
      <c r="E299" s="15" t="str">
        <f>HYPERLINK("https://stat100.ameba.jp/tnk47/ratio20/illustrations/card/ill_68993_namahageyoriyorichan03.jpg?202004-5-RELEASE-marathon-466xxxxxxx", "■")</f>
        <v>■</v>
      </c>
      <c r="F299" s="14" t="s">
        <v>2407</v>
      </c>
      <c r="G299" s="14">
        <v>122786</v>
      </c>
      <c r="H299" s="14">
        <v>114176</v>
      </c>
      <c r="I299" s="14">
        <v>26</v>
      </c>
      <c r="J299" s="14" t="s">
        <v>104</v>
      </c>
      <c r="K299" s="14" t="s">
        <v>2408</v>
      </c>
      <c r="L299" s="14" t="s">
        <v>2409</v>
      </c>
      <c r="M299" s="14" t="s">
        <v>9158</v>
      </c>
      <c r="N299" s="14" t="s">
        <v>9158</v>
      </c>
      <c r="O299" s="14" t="s">
        <v>9158</v>
      </c>
      <c r="P299" s="14" t="s">
        <v>9158</v>
      </c>
      <c r="Q299" s="14" t="s">
        <v>9158</v>
      </c>
    </row>
    <row r="301" spans="1:18">
      <c r="A301" s="14" t="s">
        <v>12275</v>
      </c>
    </row>
    <row r="302" spans="1:18">
      <c r="A302" s="14" t="s">
        <v>12276</v>
      </c>
    </row>
    <row r="303" spans="1:18">
      <c r="A303" s="7" t="s">
        <v>8437</v>
      </c>
      <c r="B303" s="7" t="s">
        <v>52</v>
      </c>
      <c r="C303" s="7" t="s">
        <v>202</v>
      </c>
      <c r="D303" s="20" t="s">
        <v>10806</v>
      </c>
      <c r="E303" s="15" t="str">
        <f>HYPERLINK("https://stat100.ameba.jp/tnk47/ratio20/illustrations/card/ill_85523_0_seitankuronikurukusumotoine03.jpg?202005-i_prefecture_active_user", "■")</f>
        <v>■</v>
      </c>
      <c r="F303" s="7" t="s">
        <v>8440</v>
      </c>
      <c r="G303" s="7">
        <v>327089</v>
      </c>
      <c r="H303" s="7">
        <v>295640</v>
      </c>
      <c r="I303" s="7">
        <v>27</v>
      </c>
      <c r="J303" s="14" t="s">
        <v>77</v>
      </c>
      <c r="K303" s="7" t="s">
        <v>8446</v>
      </c>
      <c r="L303" s="7" t="s">
        <v>8439</v>
      </c>
      <c r="M303" s="14" t="s">
        <v>9158</v>
      </c>
      <c r="N303" s="14" t="s">
        <v>9158</v>
      </c>
      <c r="O303" s="19" t="s">
        <v>10133</v>
      </c>
      <c r="P303" s="7" t="s">
        <v>8441</v>
      </c>
      <c r="Q303" s="7">
        <v>1</v>
      </c>
    </row>
    <row r="304" spans="1:18">
      <c r="A304" s="14" t="s">
        <v>5843</v>
      </c>
      <c r="B304" s="14" t="s">
        <v>52</v>
      </c>
      <c r="C304" s="14" t="s">
        <v>202</v>
      </c>
      <c r="D304" s="19" t="s">
        <v>10291</v>
      </c>
      <c r="E304" s="15" t="str">
        <f>HYPERLINK("https://stat100.ameba.jp/tnk47/ratio20/illustrations/card/ill_77963_0_kurisumasudaisakusentakiyashahime03.jpg?202005-i_prefecture_active_user", "■")</f>
        <v>■</v>
      </c>
      <c r="F304" s="14" t="s">
        <v>2127</v>
      </c>
      <c r="G304" s="14">
        <v>331590</v>
      </c>
      <c r="H304" s="14">
        <v>299687</v>
      </c>
      <c r="I304" s="14">
        <v>27</v>
      </c>
      <c r="J304" s="14" t="s">
        <v>77</v>
      </c>
      <c r="K304" s="14" t="s">
        <v>2128</v>
      </c>
      <c r="L304" s="14" t="s">
        <v>2129</v>
      </c>
      <c r="M304" s="14" t="s">
        <v>9158</v>
      </c>
      <c r="N304" s="14" t="s">
        <v>9158</v>
      </c>
      <c r="O304" s="19" t="s">
        <v>10107</v>
      </c>
      <c r="P304" s="14" t="s">
        <v>3589</v>
      </c>
      <c r="Q304" s="14">
        <v>2</v>
      </c>
    </row>
    <row r="305" spans="1:17">
      <c r="A305" s="14" t="s">
        <v>5830</v>
      </c>
      <c r="B305" s="14" t="s">
        <v>330</v>
      </c>
      <c r="C305" s="14" t="s">
        <v>191</v>
      </c>
      <c r="D305" s="19" t="s">
        <v>793</v>
      </c>
      <c r="E305" s="15" t="str">
        <f>HYPERLINK("https://stat100.ameba.jp/tnk47/ratio20/illustrations/card/ill_39933_0_reihiiinaotora03.jpg?202005-i_prefecture_active_user", "■")</f>
        <v>■</v>
      </c>
      <c r="F305" s="14" t="s">
        <v>794</v>
      </c>
      <c r="G305" s="14">
        <v>142500</v>
      </c>
      <c r="H305" s="14">
        <v>152152</v>
      </c>
      <c r="I305" s="14">
        <v>26</v>
      </c>
      <c r="J305" s="14" t="s">
        <v>315</v>
      </c>
      <c r="K305" s="14" t="s">
        <v>795</v>
      </c>
      <c r="L305" s="14" t="s">
        <v>796</v>
      </c>
      <c r="M305" s="14" t="s">
        <v>9158</v>
      </c>
      <c r="N305" s="14" t="s">
        <v>9158</v>
      </c>
      <c r="O305" s="14" t="s">
        <v>9158</v>
      </c>
      <c r="P305" s="14" t="s">
        <v>9158</v>
      </c>
      <c r="Q305" s="14" t="s">
        <v>9158</v>
      </c>
    </row>
    <row r="306" spans="1:17">
      <c r="A306" s="14">
        <v>76803</v>
      </c>
      <c r="B306" s="14" t="s">
        <v>334</v>
      </c>
      <c r="C306" s="14" t="s">
        <v>202</v>
      </c>
      <c r="D306" s="19" t="s">
        <v>673</v>
      </c>
      <c r="E306" s="15" t="str">
        <f>HYPERLINK("https://stat100.ameba.jp/tnk47/ratio20/illustrations/card/ill_76803_monsutakujirachan03.jpg?202005-i_prefecture_active_user", "■")</f>
        <v>■</v>
      </c>
      <c r="F306" s="14" t="s">
        <v>674</v>
      </c>
      <c r="G306" s="14">
        <v>172982</v>
      </c>
      <c r="H306" s="14">
        <v>125296</v>
      </c>
      <c r="I306" s="14">
        <v>26</v>
      </c>
      <c r="J306" s="14" t="s">
        <v>283</v>
      </c>
      <c r="K306" s="14" t="s">
        <v>675</v>
      </c>
      <c r="L306" s="14" t="s">
        <v>435</v>
      </c>
      <c r="M306" s="14" t="s">
        <v>9158</v>
      </c>
      <c r="N306" s="14" t="s">
        <v>9158</v>
      </c>
      <c r="O306" s="19" t="s">
        <v>3165</v>
      </c>
      <c r="P306" s="14" t="s">
        <v>13139</v>
      </c>
      <c r="Q306" s="14">
        <v>1</v>
      </c>
    </row>
    <row r="307" spans="1:17">
      <c r="A307" s="14">
        <v>75893</v>
      </c>
      <c r="B307" s="14" t="s">
        <v>0</v>
      </c>
      <c r="C307" s="14" t="s">
        <v>158</v>
      </c>
      <c r="D307" s="19" t="s">
        <v>3095</v>
      </c>
      <c r="E307" s="15" t="str">
        <f>HYPERLINK("https://stat100.ameba.jp/tnk47/ratio20/illustrations/card/ill_75893_hamamatsutakuni03.jpg?202005-i_prefecture_active_user", "■")</f>
        <v>■</v>
      </c>
      <c r="F307" s="14" t="s">
        <v>3594</v>
      </c>
      <c r="G307" s="14">
        <v>118000</v>
      </c>
      <c r="H307" s="14">
        <v>85492</v>
      </c>
      <c r="I307" s="14">
        <v>26</v>
      </c>
      <c r="J307" s="14" t="s">
        <v>16</v>
      </c>
      <c r="K307" s="14" t="s">
        <v>3595</v>
      </c>
      <c r="L307" s="14" t="s">
        <v>920</v>
      </c>
      <c r="M307" s="14" t="s">
        <v>9158</v>
      </c>
      <c r="N307" s="14" t="s">
        <v>9158</v>
      </c>
      <c r="O307" s="19" t="s">
        <v>3037</v>
      </c>
      <c r="P307" s="14" t="s">
        <v>13128</v>
      </c>
      <c r="Q307" s="14">
        <v>1</v>
      </c>
    </row>
    <row r="308" spans="1:17">
      <c r="A308" s="14">
        <v>65643</v>
      </c>
      <c r="B308" s="14" t="s">
        <v>0</v>
      </c>
      <c r="C308" s="14" t="s">
        <v>209</v>
      </c>
      <c r="D308" s="20" t="s">
        <v>1681</v>
      </c>
      <c r="E308" s="15" t="str">
        <f>HYPERLINK("https://stat100.ameba.jp/tnk47/ratio20/illustrations/card/ill_65643_shitompekamui03.jpg?202005-i_prefecture_active_user", "■")</f>
        <v>■</v>
      </c>
      <c r="F308" s="14" t="s">
        <v>1250</v>
      </c>
      <c r="G308" s="14">
        <v>85962</v>
      </c>
      <c r="H308" s="14">
        <v>118684</v>
      </c>
      <c r="I308" s="14">
        <v>26</v>
      </c>
      <c r="J308" s="14" t="s">
        <v>44</v>
      </c>
      <c r="K308" s="14" t="s">
        <v>1251</v>
      </c>
      <c r="L308" s="14" t="s">
        <v>1252</v>
      </c>
      <c r="M308" s="14" t="s">
        <v>9158</v>
      </c>
      <c r="N308" s="14" t="s">
        <v>9158</v>
      </c>
      <c r="O308" s="19" t="s">
        <v>10096</v>
      </c>
      <c r="P308" s="14" t="s">
        <v>3245</v>
      </c>
      <c r="Q308" s="14">
        <v>1</v>
      </c>
    </row>
    <row r="309" spans="1:17">
      <c r="A309" s="14">
        <v>60763</v>
      </c>
      <c r="B309" s="14" t="s">
        <v>334</v>
      </c>
      <c r="C309" s="14" t="s">
        <v>203</v>
      </c>
      <c r="D309" s="20" t="s">
        <v>10420</v>
      </c>
      <c r="E309" s="15" t="str">
        <f>HYPERLINK("https://stat100.ameba.jp/tnk47/ratio20/illustrations/card/ill_60763_fujiwarakagekiyo03.jpg?202005-i_prefecture_active_user", "■")</f>
        <v>■</v>
      </c>
      <c r="F309" s="14" t="s">
        <v>1146</v>
      </c>
      <c r="G309" s="14">
        <v>125296</v>
      </c>
      <c r="H309" s="14">
        <v>172982</v>
      </c>
      <c r="I309" s="14">
        <v>26</v>
      </c>
      <c r="J309" s="14" t="s">
        <v>143</v>
      </c>
      <c r="K309" s="14" t="s">
        <v>1147</v>
      </c>
      <c r="L309" s="14" t="s">
        <v>1148</v>
      </c>
      <c r="M309" s="14" t="s">
        <v>9158</v>
      </c>
      <c r="N309" s="14" t="s">
        <v>9158</v>
      </c>
      <c r="O309" s="19" t="s">
        <v>10112</v>
      </c>
      <c r="P309" s="14" t="s">
        <v>13150</v>
      </c>
      <c r="Q309" s="14">
        <v>1</v>
      </c>
    </row>
    <row r="310" spans="1:17">
      <c r="A310" s="14">
        <v>76793</v>
      </c>
      <c r="B310" s="14" t="s">
        <v>334</v>
      </c>
      <c r="C310" s="14" t="s">
        <v>268</v>
      </c>
      <c r="D310" s="20" t="s">
        <v>425</v>
      </c>
      <c r="E310" s="15" t="str">
        <f>HYPERLINK("https://stat100.ameba.jp/tnk47/ratio20/illustrations/card/ill_76793_monsutatamatebako03.jpg?202005-i_prefecture_active_user", "■")</f>
        <v>■</v>
      </c>
      <c r="F310" s="14" t="s">
        <v>426</v>
      </c>
      <c r="G310" s="14">
        <v>118000</v>
      </c>
      <c r="H310" s="14">
        <v>85492</v>
      </c>
      <c r="I310" s="14">
        <v>26</v>
      </c>
      <c r="J310" s="14" t="s">
        <v>274</v>
      </c>
      <c r="K310" s="14" t="s">
        <v>427</v>
      </c>
      <c r="L310" s="14" t="s">
        <v>428</v>
      </c>
      <c r="M310" s="14" t="s">
        <v>9158</v>
      </c>
      <c r="N310" s="14" t="s">
        <v>9158</v>
      </c>
      <c r="O310" s="19" t="s">
        <v>3037</v>
      </c>
      <c r="P310" s="14" t="s">
        <v>13128</v>
      </c>
      <c r="Q310" s="14">
        <v>1</v>
      </c>
    </row>
    <row r="311" spans="1:17">
      <c r="A311" s="14">
        <v>75873</v>
      </c>
      <c r="B311" s="14" t="s">
        <v>334</v>
      </c>
      <c r="C311" s="14" t="s">
        <v>209</v>
      </c>
      <c r="D311" s="19" t="s">
        <v>10221</v>
      </c>
      <c r="E311" s="15" t="str">
        <f>HYPERLINK("https://stat100.ameba.jp/tnk47/ratio20/illustrations/card/ill_75873_harajukuroriitachan03.jpg?202005-i_prefecture_active_user", "■")</f>
        <v>■</v>
      </c>
      <c r="F311" s="14" t="s">
        <v>1945</v>
      </c>
      <c r="G311" s="14">
        <v>114176</v>
      </c>
      <c r="H311" s="14">
        <v>122786</v>
      </c>
      <c r="I311" s="14">
        <v>26</v>
      </c>
      <c r="J311" s="14" t="s">
        <v>26</v>
      </c>
      <c r="K311" s="14" t="s">
        <v>1946</v>
      </c>
      <c r="L311" s="14" t="s">
        <v>1947</v>
      </c>
      <c r="M311" s="14" t="s">
        <v>9158</v>
      </c>
      <c r="N311" s="14" t="s">
        <v>9158</v>
      </c>
      <c r="O311" s="19" t="s">
        <v>2752</v>
      </c>
      <c r="P311" s="14" t="s">
        <v>13123</v>
      </c>
      <c r="Q311" s="14">
        <v>1</v>
      </c>
    </row>
    <row r="313" spans="1:17">
      <c r="A313" s="14" t="s">
        <v>12277</v>
      </c>
    </row>
    <row r="314" spans="1:17">
      <c r="A314" s="14" t="s">
        <v>12278</v>
      </c>
    </row>
    <row r="315" spans="1:17">
      <c r="A315" s="14" t="s">
        <v>5615</v>
      </c>
      <c r="B315" s="14" t="s">
        <v>330</v>
      </c>
      <c r="C315" s="14" t="s">
        <v>206</v>
      </c>
      <c r="D315" s="19" t="s">
        <v>2814</v>
      </c>
      <c r="E315" s="15" t="str">
        <f>HYPERLINK("https://stat100.ameba.jp/tnk47/ratio20/illustrations/card/ill_57733_0_shogatsunisenjunanaamakusashiro03.jpg?202005-i_prefecture_active_user", "■")</f>
        <v>■</v>
      </c>
      <c r="F315" s="14" t="s">
        <v>1016</v>
      </c>
      <c r="G315" s="14">
        <v>122776</v>
      </c>
      <c r="H315" s="14">
        <v>138212</v>
      </c>
      <c r="I315" s="14">
        <v>22</v>
      </c>
      <c r="J315" s="14" t="s">
        <v>10</v>
      </c>
      <c r="K315" s="14" t="s">
        <v>1017</v>
      </c>
      <c r="L315" s="14" t="s">
        <v>1018</v>
      </c>
      <c r="M315" s="14" t="s">
        <v>9158</v>
      </c>
      <c r="N315" s="14" t="s">
        <v>9158</v>
      </c>
      <c r="O315" s="19" t="s">
        <v>10077</v>
      </c>
      <c r="P315" s="14" t="s">
        <v>3062</v>
      </c>
      <c r="Q315" s="14">
        <v>1</v>
      </c>
    </row>
    <row r="316" spans="1:17">
      <c r="A316" s="14" t="s">
        <v>5650</v>
      </c>
      <c r="B316" s="14" t="s">
        <v>52</v>
      </c>
      <c r="C316" s="14" t="s">
        <v>23</v>
      </c>
      <c r="D316" s="20" t="s">
        <v>809</v>
      </c>
      <c r="E316" s="15" t="str">
        <f>HYPERLINK("https://stat100.ameba.jp/tnk47/ratio20/illustrations/card/ill_68033_0_kurisumasupateikandamyojin03.jpg?202005-i_prefecture_active_user", "■")</f>
        <v>■</v>
      </c>
      <c r="F316" s="14" t="s">
        <v>1871</v>
      </c>
      <c r="G316" s="14">
        <v>139878</v>
      </c>
      <c r="H316" s="14">
        <v>150466</v>
      </c>
      <c r="I316" s="14">
        <v>22</v>
      </c>
      <c r="J316" s="14" t="s">
        <v>44</v>
      </c>
      <c r="K316" s="14" t="s">
        <v>1872</v>
      </c>
      <c r="L316" s="14" t="s">
        <v>1873</v>
      </c>
      <c r="M316" s="14" t="s">
        <v>9158</v>
      </c>
      <c r="N316" s="14" t="s">
        <v>9158</v>
      </c>
      <c r="O316" s="19" t="s">
        <v>2997</v>
      </c>
      <c r="P316" s="14" t="s">
        <v>3483</v>
      </c>
      <c r="Q316" s="14">
        <v>2</v>
      </c>
    </row>
    <row r="317" spans="1:17">
      <c r="A317" s="9" t="s">
        <v>5616</v>
      </c>
      <c r="B317" s="14" t="s">
        <v>330</v>
      </c>
      <c r="C317" s="14" t="s">
        <v>185</v>
      </c>
      <c r="D317" s="14" t="s">
        <v>638</v>
      </c>
      <c r="E317" s="15" t="str">
        <f>HYPERLINK("https://stat100.ameba.jp/tnk47/ratio20/illustrations/card/ill_44253_0_dokuganryudatemasamune03.jpg?202005-i_prefecture_active_user", "■")</f>
        <v>■</v>
      </c>
      <c r="F317" s="14" t="s">
        <v>639</v>
      </c>
      <c r="G317" s="14">
        <v>120576</v>
      </c>
      <c r="H317" s="14">
        <v>128744</v>
      </c>
      <c r="I317" s="14">
        <v>22</v>
      </c>
      <c r="J317" s="14" t="s">
        <v>310</v>
      </c>
      <c r="K317" s="14" t="s">
        <v>640</v>
      </c>
      <c r="L317" s="14" t="s">
        <v>641</v>
      </c>
      <c r="M317" s="14" t="s">
        <v>9158</v>
      </c>
      <c r="N317" s="14" t="s">
        <v>9158</v>
      </c>
      <c r="O317" s="14" t="s">
        <v>9158</v>
      </c>
      <c r="P317" s="14" t="s">
        <v>9158</v>
      </c>
      <c r="Q317" s="14" t="s">
        <v>9158</v>
      </c>
    </row>
    <row r="318" spans="1:17">
      <c r="A318" s="9">
        <v>62323</v>
      </c>
      <c r="B318" s="14" t="s">
        <v>334</v>
      </c>
      <c r="C318" s="14" t="s">
        <v>205</v>
      </c>
      <c r="D318" s="14" t="s">
        <v>1743</v>
      </c>
      <c r="E318" s="15" t="str">
        <f>HYPERLINK("https://stat100.ameba.jp/tnk47/ratio20/illustrations/card/ill_62323_raishunsui03.jpg?202005-i_prefecture_active_user", "■")</f>
        <v>■</v>
      </c>
      <c r="F318" s="14" t="s">
        <v>1744</v>
      </c>
      <c r="G318" s="14">
        <v>70556</v>
      </c>
      <c r="H318" s="14">
        <v>125392</v>
      </c>
      <c r="I318" s="14">
        <v>26</v>
      </c>
      <c r="J318" s="14" t="s">
        <v>10</v>
      </c>
      <c r="K318" s="14" t="s">
        <v>1745</v>
      </c>
      <c r="L318" s="14" t="s">
        <v>12</v>
      </c>
      <c r="M318" s="14" t="s">
        <v>9158</v>
      </c>
      <c r="N318" s="14" t="s">
        <v>9158</v>
      </c>
      <c r="O318" s="14" t="s">
        <v>9158</v>
      </c>
      <c r="P318" s="14" t="s">
        <v>9158</v>
      </c>
      <c r="Q318" s="14" t="s">
        <v>9158</v>
      </c>
    </row>
    <row r="319" spans="1:17">
      <c r="A319" s="14">
        <v>85273</v>
      </c>
      <c r="B319" s="14" t="s">
        <v>0</v>
      </c>
      <c r="C319" s="14" t="s">
        <v>191</v>
      </c>
      <c r="D319" s="19" t="s">
        <v>10793</v>
      </c>
      <c r="E319" s="15" t="str">
        <f>HYPERLINK("https://stat100.ameba.jp/tnk47/ratio20/illustrations/card/ill_85273_rikuriru03.jpg?202005-i_prefecture_active_user", "■")</f>
        <v>■</v>
      </c>
      <c r="F319" s="14" t="s">
        <v>8192</v>
      </c>
      <c r="G319" s="14">
        <v>70556</v>
      </c>
      <c r="H319" s="14">
        <v>125392</v>
      </c>
      <c r="I319" s="14">
        <v>26</v>
      </c>
      <c r="J319" s="14" t="s">
        <v>315</v>
      </c>
      <c r="K319" s="14" t="s">
        <v>8191</v>
      </c>
      <c r="L319" s="14" t="s">
        <v>7158</v>
      </c>
      <c r="M319" s="14" t="s">
        <v>9158</v>
      </c>
      <c r="N319" s="14" t="s">
        <v>9158</v>
      </c>
      <c r="O319" s="14" t="s">
        <v>9158</v>
      </c>
      <c r="P319" s="14" t="s">
        <v>9158</v>
      </c>
      <c r="Q319" s="14" t="s">
        <v>9158</v>
      </c>
    </row>
    <row r="320" spans="1:17">
      <c r="A320" s="9">
        <v>80673</v>
      </c>
      <c r="B320" s="14" t="s">
        <v>0</v>
      </c>
      <c r="C320" s="14" t="s">
        <v>107</v>
      </c>
      <c r="D320" s="14" t="s">
        <v>4219</v>
      </c>
      <c r="E320" s="15" t="str">
        <f>HYPERLINK("https://stat100.ameba.jp/tnk47/ratio20/illustrations/card/ill_80673_banchoshishirianraisu03.jpg?202005-i_prefecture_active_user", "■")</f>
        <v>■</v>
      </c>
      <c r="F320" s="14" t="s">
        <v>4220</v>
      </c>
      <c r="G320" s="14">
        <v>143714</v>
      </c>
      <c r="H320" s="14">
        <v>154562</v>
      </c>
      <c r="I320" s="14">
        <v>26</v>
      </c>
      <c r="J320" s="14" t="s">
        <v>104</v>
      </c>
      <c r="K320" s="14" t="s">
        <v>4221</v>
      </c>
      <c r="L320" s="14" t="s">
        <v>2304</v>
      </c>
      <c r="M320" s="14" t="s">
        <v>9158</v>
      </c>
      <c r="N320" s="14" t="s">
        <v>9158</v>
      </c>
      <c r="O320" s="14" t="s">
        <v>9158</v>
      </c>
      <c r="P320" s="14" t="s">
        <v>9158</v>
      </c>
      <c r="Q320" s="14" t="s">
        <v>9158</v>
      </c>
    </row>
    <row r="322" spans="1:17">
      <c r="A322" s="14" t="s">
        <v>12279</v>
      </c>
    </row>
    <row r="323" spans="1:17">
      <c r="A323" s="14" t="s">
        <v>12280</v>
      </c>
    </row>
    <row r="324" spans="1:17">
      <c r="A324" s="14" t="s">
        <v>5963</v>
      </c>
      <c r="B324" s="14" t="s">
        <v>330</v>
      </c>
      <c r="C324" s="14" t="s">
        <v>35</v>
      </c>
      <c r="D324" s="20" t="s">
        <v>10438</v>
      </c>
      <c r="E324" s="15" t="str">
        <f>HYPERLINK("https://stat100.ameba.jp/tnk47/ratio20/illustrations/card/ill_82963_0_yukatamatsuritomokazuki03.jpg?202005-i_prefecture_active_user", "■")</f>
        <v>■</v>
      </c>
      <c r="F324" s="14" t="s">
        <v>5964</v>
      </c>
      <c r="G324" s="14">
        <v>297801</v>
      </c>
      <c r="H324" s="14">
        <v>329511</v>
      </c>
      <c r="I324" s="14">
        <v>25</v>
      </c>
      <c r="J324" s="14" t="s">
        <v>73</v>
      </c>
      <c r="K324" s="14" t="s">
        <v>5966</v>
      </c>
      <c r="L324" s="14" t="s">
        <v>5967</v>
      </c>
      <c r="M324" s="14" t="s">
        <v>9158</v>
      </c>
      <c r="N324" s="14" t="s">
        <v>9158</v>
      </c>
      <c r="O324" s="19" t="s">
        <v>10115</v>
      </c>
      <c r="P324" s="14" t="s">
        <v>5968</v>
      </c>
      <c r="Q324" s="14">
        <v>1</v>
      </c>
    </row>
    <row r="325" spans="1:17">
      <c r="A325" s="14">
        <v>81313</v>
      </c>
      <c r="B325" s="14" t="s">
        <v>0</v>
      </c>
      <c r="C325" s="14" t="s">
        <v>154</v>
      </c>
      <c r="D325" s="20" t="s">
        <v>10511</v>
      </c>
      <c r="E325" s="15" t="str">
        <f>HYPERLINK("https://stat100.ameba.jp/tnk47/ratio20/illustrations/card/ill_81313_harihara03.jpg?202005-i_prefecture_active_user", "■")</f>
        <v>■</v>
      </c>
      <c r="F325" s="14" t="s">
        <v>4667</v>
      </c>
      <c r="G325" s="14">
        <v>159674</v>
      </c>
      <c r="H325" s="14">
        <v>115656</v>
      </c>
      <c r="I325" s="14">
        <v>24</v>
      </c>
      <c r="J325" s="14" t="s">
        <v>44</v>
      </c>
      <c r="K325" s="14" t="s">
        <v>4668</v>
      </c>
      <c r="L325" s="14" t="s">
        <v>4669</v>
      </c>
      <c r="M325" s="14" t="s">
        <v>9158</v>
      </c>
      <c r="N325" s="14" t="s">
        <v>9158</v>
      </c>
      <c r="O325" s="19" t="s">
        <v>10114</v>
      </c>
      <c r="P325" s="14" t="s">
        <v>3658</v>
      </c>
      <c r="Q325" s="14">
        <v>1</v>
      </c>
    </row>
    <row r="326" spans="1:17">
      <c r="A326" s="9">
        <v>80753</v>
      </c>
      <c r="B326" s="14" t="s">
        <v>334</v>
      </c>
      <c r="C326" s="14" t="s">
        <v>41</v>
      </c>
      <c r="D326" s="14" t="s">
        <v>4317</v>
      </c>
      <c r="E326" s="15" t="str">
        <f>HYPERLINK("https://stat100.ameba.jp/tnk47/ratio20/illustrations/card/ill_80753_hakubutsukannojoze03.jpg?202005-i_prefecture_active_user", "■")</f>
        <v>■</v>
      </c>
      <c r="F326" s="14" t="s">
        <v>4318</v>
      </c>
      <c r="G326" s="14">
        <v>78916</v>
      </c>
      <c r="H326" s="14">
        <v>108924</v>
      </c>
      <c r="I326" s="14">
        <v>24</v>
      </c>
      <c r="J326" s="14" t="s">
        <v>38</v>
      </c>
      <c r="K326" s="14" t="s">
        <v>4319</v>
      </c>
      <c r="L326" s="14" t="s">
        <v>4320</v>
      </c>
      <c r="M326" s="14" t="s">
        <v>9158</v>
      </c>
      <c r="N326" s="14" t="s">
        <v>9158</v>
      </c>
      <c r="O326" s="17" t="s">
        <v>10053</v>
      </c>
      <c r="P326" s="14" t="s">
        <v>3592</v>
      </c>
      <c r="Q326" s="14">
        <v>1</v>
      </c>
    </row>
    <row r="327" spans="1:17">
      <c r="A327" s="14">
        <v>68693</v>
      </c>
      <c r="B327" s="14" t="s">
        <v>334</v>
      </c>
      <c r="C327" s="14" t="s">
        <v>154</v>
      </c>
      <c r="D327" s="20" t="s">
        <v>10232</v>
      </c>
      <c r="E327" s="15" t="str">
        <f>HYPERLINK("https://stat100.ameba.jp/tnk47/ratio20/illustrations/card/ill_68693_mayoiga03.jpg?202005-i_prefecture_active_user", "■")</f>
        <v>■</v>
      </c>
      <c r="F327" s="14" t="s">
        <v>3466</v>
      </c>
      <c r="G327" s="14">
        <v>126858</v>
      </c>
      <c r="H327" s="14">
        <v>91876</v>
      </c>
      <c r="I327" s="14">
        <v>24</v>
      </c>
      <c r="J327" s="14" t="s">
        <v>73</v>
      </c>
      <c r="K327" s="14" t="s">
        <v>3467</v>
      </c>
      <c r="L327" s="14" t="s">
        <v>3468</v>
      </c>
      <c r="M327" s="14" t="s">
        <v>9158</v>
      </c>
      <c r="N327" s="14" t="s">
        <v>9158</v>
      </c>
      <c r="O327" s="19" t="s">
        <v>3037</v>
      </c>
      <c r="P327" s="14" t="s">
        <v>13128</v>
      </c>
      <c r="Q327" s="14">
        <v>1</v>
      </c>
    </row>
    <row r="329" spans="1:17">
      <c r="A329" s="14" t="s">
        <v>12281</v>
      </c>
    </row>
    <row r="330" spans="1:17">
      <c r="A330" s="14" t="s">
        <v>12282</v>
      </c>
    </row>
    <row r="331" spans="1:17">
      <c r="A331" s="14" t="s">
        <v>5642</v>
      </c>
      <c r="B331" s="14" t="s">
        <v>330</v>
      </c>
      <c r="C331" s="14" t="s">
        <v>185</v>
      </c>
      <c r="D331" s="20" t="s">
        <v>3086</v>
      </c>
      <c r="E331" s="15" t="str">
        <f>HYPERLINK("https://stat100.ameba.jp/tnk47/ratio20/illustrations/card/ill_69593_0_setsubunyukionna03.jpg?202005-i_prefecture_active_user", "■")</f>
        <v>■</v>
      </c>
      <c r="F331" s="14" t="s">
        <v>3087</v>
      </c>
      <c r="G331" s="14">
        <v>178578</v>
      </c>
      <c r="H331" s="14">
        <v>192083</v>
      </c>
      <c r="I331" s="14">
        <v>25</v>
      </c>
      <c r="J331" s="14" t="s">
        <v>320</v>
      </c>
      <c r="K331" s="14" t="s">
        <v>3088</v>
      </c>
      <c r="L331" s="14" t="s">
        <v>3089</v>
      </c>
      <c r="M331" s="14" t="s">
        <v>9158</v>
      </c>
      <c r="N331" s="14" t="s">
        <v>9158</v>
      </c>
      <c r="O331" s="19" t="s">
        <v>3090</v>
      </c>
      <c r="P331" s="14" t="s">
        <v>3091</v>
      </c>
      <c r="Q331" s="14">
        <v>2</v>
      </c>
    </row>
    <row r="332" spans="1:17">
      <c r="A332" s="14">
        <v>86223</v>
      </c>
      <c r="B332" s="14" t="s">
        <v>0</v>
      </c>
      <c r="C332" s="14" t="s">
        <v>191</v>
      </c>
      <c r="D332" s="20" t="s">
        <v>10881</v>
      </c>
      <c r="E332" s="15" t="str">
        <f>HYPERLINK("https://stat100.ameba.jp/tnk47/ratio20/illustrations/card/ill_86223_oshogatsumiyoshino03.jpg?202005-i_prefecture_active_user", "■")</f>
        <v>■</v>
      </c>
      <c r="F332" s="14" t="s">
        <v>8871</v>
      </c>
      <c r="G332" s="14">
        <v>90759</v>
      </c>
      <c r="H332" s="14">
        <v>97651</v>
      </c>
      <c r="I332" s="14">
        <v>25</v>
      </c>
      <c r="J332" s="14" t="s">
        <v>187</v>
      </c>
      <c r="K332" s="14" t="s">
        <v>8845</v>
      </c>
      <c r="L332" s="14" t="s">
        <v>13212</v>
      </c>
      <c r="M332" s="14" t="s">
        <v>9158</v>
      </c>
      <c r="N332" s="14" t="s">
        <v>9158</v>
      </c>
      <c r="O332" s="19" t="s">
        <v>10119</v>
      </c>
      <c r="P332" s="14" t="s">
        <v>3662</v>
      </c>
      <c r="Q332" s="14">
        <v>1</v>
      </c>
    </row>
    <row r="333" spans="1:17">
      <c r="A333" s="14">
        <v>52083</v>
      </c>
      <c r="B333" s="14" t="s">
        <v>0</v>
      </c>
      <c r="C333" s="14" t="s">
        <v>158</v>
      </c>
      <c r="D333" s="20" t="s">
        <v>2913</v>
      </c>
      <c r="E333" s="15" t="str">
        <f>HYPERLINK("https://stat100.ameba.jp/tnk47/ratio20/illustrations/card/ill_52083_berubetto03.jpg?202005-i_prefecture_active_user", "■")</f>
        <v>■</v>
      </c>
      <c r="F333" s="14" t="s">
        <v>944</v>
      </c>
      <c r="G333" s="14">
        <v>86140</v>
      </c>
      <c r="H333" s="14">
        <v>118917</v>
      </c>
      <c r="I333" s="14">
        <v>25</v>
      </c>
      <c r="J333" s="14" t="s">
        <v>26</v>
      </c>
      <c r="K333" s="14" t="s">
        <v>1864</v>
      </c>
      <c r="L333" s="14" t="s">
        <v>1865</v>
      </c>
      <c r="M333" s="14" t="s">
        <v>9158</v>
      </c>
      <c r="N333" s="14" t="s">
        <v>9158</v>
      </c>
      <c r="O333" s="19" t="s">
        <v>2917</v>
      </c>
      <c r="P333" s="14" t="s">
        <v>2918</v>
      </c>
      <c r="Q333" s="14">
        <v>1</v>
      </c>
    </row>
    <row r="334" spans="1:17">
      <c r="A334" s="9">
        <v>71323</v>
      </c>
      <c r="B334" s="14" t="s">
        <v>0</v>
      </c>
      <c r="C334" s="14" t="s">
        <v>154</v>
      </c>
      <c r="D334" s="14" t="s">
        <v>1878</v>
      </c>
      <c r="E334" s="15" t="str">
        <f>HYPERLINK("https://stat100.ameba.jp/tnk47/ratio20/illustrations/card/ill_71323_kodanobu03.jpg?202005-i_prefecture_active_user", "■")</f>
        <v>■</v>
      </c>
      <c r="F334" s="14" t="s">
        <v>1879</v>
      </c>
      <c r="G334" s="14">
        <v>125000</v>
      </c>
      <c r="H334" s="14">
        <v>116225</v>
      </c>
      <c r="I334" s="14">
        <v>25</v>
      </c>
      <c r="J334" s="14" t="s">
        <v>16</v>
      </c>
      <c r="K334" s="14" t="s">
        <v>1880</v>
      </c>
      <c r="L334" s="14" t="s">
        <v>1881</v>
      </c>
      <c r="M334" s="14" t="s">
        <v>9158</v>
      </c>
      <c r="N334" s="14" t="s">
        <v>9158</v>
      </c>
      <c r="O334" s="17" t="s">
        <v>10055</v>
      </c>
      <c r="P334" s="14" t="s">
        <v>13124</v>
      </c>
      <c r="Q334" s="14">
        <v>1</v>
      </c>
    </row>
    <row r="336" spans="1:17">
      <c r="A336" s="14" t="s">
        <v>207</v>
      </c>
    </row>
    <row r="337" spans="1:17">
      <c r="A337" s="14" t="s">
        <v>12283</v>
      </c>
    </row>
    <row r="338" spans="1:17">
      <c r="A338" s="14" t="s">
        <v>5822</v>
      </c>
      <c r="B338" s="14" t="s">
        <v>330</v>
      </c>
      <c r="C338" s="14" t="s">
        <v>307</v>
      </c>
      <c r="D338" s="19" t="s">
        <v>306</v>
      </c>
      <c r="E338" s="15" t="str">
        <f>HYPERLINK("https://stat100.ameba.jp/tnk47/ratio20/illustrations/card/ill_71403_0_ohanamisanadayukimura03.jpg?202005-i_prefecture_active_user", "■")</f>
        <v>■</v>
      </c>
      <c r="F338" s="14" t="s">
        <v>309</v>
      </c>
      <c r="G338" s="14">
        <v>224026</v>
      </c>
      <c r="H338" s="14">
        <v>208310</v>
      </c>
      <c r="I338" s="14">
        <v>24</v>
      </c>
      <c r="J338" s="14" t="s">
        <v>310</v>
      </c>
      <c r="K338" s="14" t="s">
        <v>311</v>
      </c>
      <c r="L338" s="14" t="s">
        <v>312</v>
      </c>
      <c r="M338" s="14" t="s">
        <v>9158</v>
      </c>
      <c r="N338" s="14" t="s">
        <v>9158</v>
      </c>
      <c r="O338" s="19" t="s">
        <v>10104</v>
      </c>
      <c r="P338" s="14" t="s">
        <v>3418</v>
      </c>
      <c r="Q338" s="14">
        <v>2</v>
      </c>
    </row>
    <row r="339" spans="1:17">
      <c r="A339" s="14" t="s">
        <v>5848</v>
      </c>
      <c r="B339" s="14" t="s">
        <v>52</v>
      </c>
      <c r="C339" s="14" t="s">
        <v>200</v>
      </c>
      <c r="D339" s="20" t="s">
        <v>3160</v>
      </c>
      <c r="E339" s="15" t="str">
        <f>HYPERLINK("https://stat100.ameba.jp/tnk47/ratio20/illustrations/card/ill_72963_0_amenohanayomehiguchiichiyo03.jpg?202005-i_prefecture_active_user", "■")</f>
        <v>■</v>
      </c>
      <c r="F339" s="14" t="s">
        <v>1139</v>
      </c>
      <c r="G339" s="14">
        <v>160804</v>
      </c>
      <c r="H339" s="14">
        <v>149520</v>
      </c>
      <c r="I339" s="14">
        <v>24</v>
      </c>
      <c r="J339" s="14" t="s">
        <v>10</v>
      </c>
      <c r="K339" s="14" t="s">
        <v>1140</v>
      </c>
      <c r="L339" s="14" t="s">
        <v>1141</v>
      </c>
      <c r="M339" s="14" t="s">
        <v>9158</v>
      </c>
      <c r="N339" s="14" t="s">
        <v>9158</v>
      </c>
      <c r="O339" s="19" t="s">
        <v>3162</v>
      </c>
      <c r="P339" s="14" t="s">
        <v>3410</v>
      </c>
      <c r="Q339" s="14">
        <v>1</v>
      </c>
    </row>
    <row r="340" spans="1:17">
      <c r="A340" s="14" t="s">
        <v>5612</v>
      </c>
      <c r="B340" s="14" t="s">
        <v>52</v>
      </c>
      <c r="C340" s="14" t="s">
        <v>165</v>
      </c>
      <c r="D340" s="19" t="s">
        <v>789</v>
      </c>
      <c r="E340" s="15" t="str">
        <f>HYPERLINK("https://stat100.ameba.jp/tnk47/ratio20/illustrations/card/ill_49193_0_onmyoudouabenoseimei03.jpg?202005-i_prefecture_active_user", "■")</f>
        <v>■</v>
      </c>
      <c r="F340" s="14" t="s">
        <v>1896</v>
      </c>
      <c r="G340" s="14">
        <v>133938</v>
      </c>
      <c r="H340" s="14">
        <v>150776</v>
      </c>
      <c r="I340" s="14">
        <v>24</v>
      </c>
      <c r="J340" s="14" t="s">
        <v>10</v>
      </c>
      <c r="K340" s="14" t="s">
        <v>1897</v>
      </c>
      <c r="L340" s="14" t="s">
        <v>1898</v>
      </c>
      <c r="M340" s="14" t="s">
        <v>9158</v>
      </c>
      <c r="N340" s="14" t="s">
        <v>9158</v>
      </c>
      <c r="O340" s="14" t="s">
        <v>9158</v>
      </c>
      <c r="P340" s="14" t="s">
        <v>9158</v>
      </c>
      <c r="Q340" s="14" t="s">
        <v>9158</v>
      </c>
    </row>
    <row r="341" spans="1:17">
      <c r="A341" s="14">
        <v>88633</v>
      </c>
      <c r="B341" s="14" t="s">
        <v>0</v>
      </c>
      <c r="C341" s="14" t="s">
        <v>205</v>
      </c>
      <c r="D341" s="14" t="s">
        <v>12209</v>
      </c>
      <c r="E341" s="15" t="str">
        <f>HYPERLINK("https://stat100.ameba.jp/tnk47/ratio20/illustrations/card/ill_88633_obentonekodanuki03.jpg?202005-i_prefecture_active_user", "■")</f>
        <v>■</v>
      </c>
      <c r="F341" s="14" t="s">
        <v>12210</v>
      </c>
      <c r="G341" s="14">
        <v>104162</v>
      </c>
      <c r="H341" s="14">
        <v>96871</v>
      </c>
      <c r="I341" s="14">
        <v>25</v>
      </c>
      <c r="J341" s="14" t="s">
        <v>73</v>
      </c>
      <c r="K341" s="14" t="s">
        <v>12212</v>
      </c>
      <c r="L341" s="14" t="s">
        <v>12211</v>
      </c>
      <c r="M341" s="14" t="s">
        <v>9158</v>
      </c>
      <c r="N341" s="14" t="s">
        <v>9158</v>
      </c>
      <c r="O341" s="14" t="s">
        <v>9158</v>
      </c>
      <c r="P341" s="14" t="s">
        <v>9158</v>
      </c>
      <c r="Q341" s="14" t="s">
        <v>9158</v>
      </c>
    </row>
    <row r="342" spans="1:17">
      <c r="A342" s="14">
        <v>88643</v>
      </c>
      <c r="B342" s="14" t="s">
        <v>15</v>
      </c>
      <c r="C342" s="14" t="s">
        <v>165</v>
      </c>
      <c r="D342" s="14" t="s">
        <v>12214</v>
      </c>
      <c r="E342" s="15" t="str">
        <f>HYPERLINK("https://stat100.ameba.jp/tnk47/ratio20/illustrations/card/ill_88643_yuenchigishumoninnotango03.jpg?202005-i_prefecture_active_user", "■")</f>
        <v>■</v>
      </c>
      <c r="F342" s="14" t="s">
        <v>12215</v>
      </c>
      <c r="G342" s="14">
        <v>67210</v>
      </c>
      <c r="H342" s="14">
        <v>74100</v>
      </c>
      <c r="I342" s="14">
        <v>25</v>
      </c>
      <c r="J342" s="14" t="s">
        <v>10</v>
      </c>
      <c r="K342" s="14" t="s">
        <v>3336</v>
      </c>
      <c r="L342" s="14" t="s">
        <v>3337</v>
      </c>
      <c r="M342" s="14" t="s">
        <v>9158</v>
      </c>
      <c r="N342" s="14" t="s">
        <v>9158</v>
      </c>
      <c r="O342" s="14" t="s">
        <v>9158</v>
      </c>
      <c r="P342" s="14" t="s">
        <v>9158</v>
      </c>
      <c r="Q342" s="14" t="s">
        <v>9158</v>
      </c>
    </row>
    <row r="343" spans="1:17">
      <c r="A343" s="14">
        <v>88653</v>
      </c>
      <c r="B343" s="14" t="s">
        <v>22</v>
      </c>
      <c r="C343" s="14" t="s">
        <v>191</v>
      </c>
      <c r="D343" s="14" t="s">
        <v>12219</v>
      </c>
      <c r="E343" s="15" t="str">
        <f>HYPERLINK("https://stat100.ameba.jp/tnk47/ratio20/illustrations/card/ill_88653_kanibarumadogusha03.jpg?202005-i_prefecture_active_user", "■")</f>
        <v>■</v>
      </c>
      <c r="F343" s="14" t="s">
        <v>12220</v>
      </c>
      <c r="G343" s="14">
        <v>51980</v>
      </c>
      <c r="H343" s="14">
        <v>43220</v>
      </c>
      <c r="I343" s="14">
        <v>25</v>
      </c>
      <c r="J343" s="14" t="s">
        <v>73</v>
      </c>
      <c r="K343" s="14" t="s">
        <v>12222</v>
      </c>
      <c r="L343" s="14" t="s">
        <v>4556</v>
      </c>
      <c r="M343" s="14" t="s">
        <v>9158</v>
      </c>
      <c r="N343" s="14" t="s">
        <v>9158</v>
      </c>
      <c r="O343" s="14" t="s">
        <v>9158</v>
      </c>
      <c r="P343" s="14" t="s">
        <v>9158</v>
      </c>
      <c r="Q343" s="14" t="s">
        <v>9158</v>
      </c>
    </row>
    <row r="344" spans="1:17">
      <c r="A344" s="14">
        <v>88663</v>
      </c>
      <c r="B344" s="14" t="s">
        <v>30</v>
      </c>
      <c r="C344" s="14" t="s">
        <v>1330</v>
      </c>
      <c r="D344" s="14" t="s">
        <v>12223</v>
      </c>
      <c r="E344" s="15" t="str">
        <f>HYPERLINK("https://stat100.ameba.jp/tnk47/ratio20/illustrations/card/ill_88663_bajutsuonamihime03.jpg?202005-i_prefecture_active_user", "■")</f>
        <v>■</v>
      </c>
      <c r="F344" s="14" t="s">
        <v>12224</v>
      </c>
      <c r="G344" s="14">
        <v>26430</v>
      </c>
      <c r="H344" s="14">
        <v>31470</v>
      </c>
      <c r="I344" s="14">
        <v>25</v>
      </c>
      <c r="J344" s="14" t="s">
        <v>143</v>
      </c>
      <c r="K344" s="14" t="s">
        <v>12226</v>
      </c>
      <c r="L344" s="14" t="s">
        <v>1119</v>
      </c>
      <c r="M344" s="14" t="s">
        <v>9158</v>
      </c>
      <c r="N344" s="14" t="s">
        <v>9158</v>
      </c>
      <c r="O344" s="14" t="s">
        <v>9158</v>
      </c>
      <c r="P344" s="14" t="s">
        <v>9158</v>
      </c>
      <c r="Q344" s="14" t="s">
        <v>9158</v>
      </c>
    </row>
    <row r="346" spans="1:17">
      <c r="A346" s="14" t="s">
        <v>195</v>
      </c>
    </row>
    <row r="347" spans="1:17">
      <c r="A347" s="14" t="s">
        <v>12284</v>
      </c>
    </row>
    <row r="348" spans="1:17">
      <c r="A348" s="14">
        <v>71013</v>
      </c>
      <c r="B348" s="14" t="s">
        <v>334</v>
      </c>
      <c r="C348" s="14" t="s">
        <v>154</v>
      </c>
      <c r="D348" s="19" t="s">
        <v>837</v>
      </c>
      <c r="E348" s="15" t="str">
        <f>HYPERLINK("https://stat100.ameba.jp/tnk47/ratio20/illustrations/card/ill_71013_fujutsushisarashina03.jpg?202005-i_prefecture_active_user", "■")</f>
        <v>■</v>
      </c>
      <c r="F348" s="14" t="s">
        <v>838</v>
      </c>
      <c r="G348" s="14">
        <v>104266</v>
      </c>
      <c r="H348" s="14">
        <v>112140</v>
      </c>
      <c r="I348" s="14">
        <v>26</v>
      </c>
      <c r="J348" s="14" t="s">
        <v>155</v>
      </c>
      <c r="K348" s="14" t="s">
        <v>1231</v>
      </c>
      <c r="L348" s="14" t="s">
        <v>13152</v>
      </c>
      <c r="M348" s="14" t="s">
        <v>9864</v>
      </c>
      <c r="N348" s="14" t="s">
        <v>9158</v>
      </c>
      <c r="O348" s="14" t="s">
        <v>9158</v>
      </c>
      <c r="P348" s="14" t="s">
        <v>9158</v>
      </c>
      <c r="Q348" s="14" t="s">
        <v>9158</v>
      </c>
    </row>
    <row r="349" spans="1:17">
      <c r="A349" s="14">
        <v>71023</v>
      </c>
      <c r="B349" s="14" t="s">
        <v>334</v>
      </c>
      <c r="C349" s="14" t="s">
        <v>158</v>
      </c>
      <c r="D349" s="19" t="s">
        <v>841</v>
      </c>
      <c r="E349" s="15" t="str">
        <f>HYPERLINK("https://stat100.ameba.jp/tnk47/ratio20/illustrations/card/ill_71023_ommyojiiroha03.jpg?202005-i_prefecture_active_user", "■")</f>
        <v>■</v>
      </c>
      <c r="F349" s="14" t="s">
        <v>842</v>
      </c>
      <c r="G349" s="14">
        <v>104266</v>
      </c>
      <c r="H349" s="14">
        <v>112140</v>
      </c>
      <c r="I349" s="14">
        <v>26</v>
      </c>
      <c r="J349" s="14" t="s">
        <v>159</v>
      </c>
      <c r="K349" s="14" t="s">
        <v>1232</v>
      </c>
      <c r="L349" s="14" t="s">
        <v>1233</v>
      </c>
      <c r="M349" s="14" t="s">
        <v>9158</v>
      </c>
      <c r="N349" s="14" t="s">
        <v>9158</v>
      </c>
      <c r="O349" s="14" t="s">
        <v>9158</v>
      </c>
      <c r="P349" s="14" t="s">
        <v>9158</v>
      </c>
      <c r="Q349" s="14" t="s">
        <v>9158</v>
      </c>
    </row>
    <row r="350" spans="1:17">
      <c r="A350" s="14">
        <v>66053</v>
      </c>
      <c r="B350" s="14" t="s">
        <v>334</v>
      </c>
      <c r="C350" s="14" t="s">
        <v>205</v>
      </c>
      <c r="D350" s="19" t="s">
        <v>3046</v>
      </c>
      <c r="E350" s="15" t="str">
        <f>HYPERLINK("https://stat100.ameba.jp/tnk47/ratio20/illustrations/card/ill_66053_serebukushiyatamanokami03.jpg?202005-i_prefecture_active_user", "■")</f>
        <v>■</v>
      </c>
      <c r="F350" s="14" t="s">
        <v>2265</v>
      </c>
      <c r="G350" s="14">
        <v>106050</v>
      </c>
      <c r="H350" s="14">
        <v>98594</v>
      </c>
      <c r="I350" s="14">
        <v>26</v>
      </c>
      <c r="J350" s="14" t="s">
        <v>44</v>
      </c>
      <c r="K350" s="14" t="s">
        <v>2266</v>
      </c>
      <c r="L350" s="14" t="s">
        <v>1860</v>
      </c>
      <c r="M350" s="14" t="s">
        <v>9158</v>
      </c>
      <c r="N350" s="14" t="s">
        <v>9158</v>
      </c>
      <c r="O350" s="14" t="s">
        <v>9158</v>
      </c>
      <c r="P350" s="14" t="s">
        <v>9158</v>
      </c>
      <c r="Q350" s="14" t="s">
        <v>9158</v>
      </c>
    </row>
    <row r="351" spans="1:17">
      <c r="A351" s="14">
        <v>65923</v>
      </c>
      <c r="B351" s="14" t="s">
        <v>334</v>
      </c>
      <c r="C351" s="14" t="s">
        <v>185</v>
      </c>
      <c r="D351" s="19" t="s">
        <v>10204</v>
      </c>
      <c r="E351" s="15" t="str">
        <f>HYPERLINK("https://stat100.ameba.jp/tnk47/ratio20/illustrations/card/ill_65923_arabianginko03.jpg?202005-i_prefecture_active_user", "■")</f>
        <v>■</v>
      </c>
      <c r="F351" s="14" t="s">
        <v>4978</v>
      </c>
      <c r="G351" s="14">
        <v>108330</v>
      </c>
      <c r="H351" s="14">
        <v>100744</v>
      </c>
      <c r="I351" s="14">
        <v>26</v>
      </c>
      <c r="J351" s="14" t="s">
        <v>182</v>
      </c>
      <c r="K351" s="14" t="s">
        <v>3679</v>
      </c>
      <c r="L351" s="14" t="s">
        <v>13188</v>
      </c>
      <c r="M351" s="14" t="s">
        <v>9158</v>
      </c>
      <c r="N351" s="14" t="s">
        <v>9158</v>
      </c>
      <c r="O351" s="14" t="s">
        <v>9158</v>
      </c>
      <c r="P351" s="14" t="s">
        <v>9158</v>
      </c>
      <c r="Q351" s="14" t="s">
        <v>9158</v>
      </c>
    </row>
    <row r="352" spans="1:17">
      <c r="A352" s="14">
        <v>52863</v>
      </c>
      <c r="B352" s="14" t="s">
        <v>15</v>
      </c>
      <c r="C352" s="14" t="s">
        <v>191</v>
      </c>
      <c r="D352" s="19" t="s">
        <v>10516</v>
      </c>
      <c r="E352" s="15" t="str">
        <f>HYPERLINK("https://stat100.ameba.jp/tnk47/ratio20/illustrations/card/ill_52863_andoroidokingyonota03.jpg?202005-i_prefecture_active_user", "■")</f>
        <v>■</v>
      </c>
      <c r="F352" s="14" t="s">
        <v>6409</v>
      </c>
      <c r="G352" s="14">
        <v>69898</v>
      </c>
      <c r="H352" s="14">
        <v>77064</v>
      </c>
      <c r="I352" s="14">
        <v>26</v>
      </c>
      <c r="J352" s="14" t="s">
        <v>38</v>
      </c>
      <c r="K352" s="14" t="s">
        <v>6407</v>
      </c>
      <c r="L352" s="14" t="s">
        <v>6406</v>
      </c>
      <c r="M352" s="14" t="s">
        <v>9158</v>
      </c>
      <c r="N352" s="14" t="s">
        <v>9158</v>
      </c>
      <c r="O352" s="14" t="s">
        <v>9158</v>
      </c>
      <c r="P352" s="14" t="s">
        <v>9158</v>
      </c>
      <c r="Q352" s="14" t="s">
        <v>9158</v>
      </c>
    </row>
    <row r="353" spans="1:19">
      <c r="A353" s="14">
        <v>51593</v>
      </c>
      <c r="B353" s="14" t="s">
        <v>15</v>
      </c>
      <c r="C353" s="14" t="s">
        <v>200</v>
      </c>
      <c r="D353" s="19" t="s">
        <v>10517</v>
      </c>
      <c r="E353" s="15" t="str">
        <f>HYPERLINK("https://stat100.ameba.jp/tnk47/ratio20/illustrations/card/ill_51593_kishuhondatadakatsu03.jpg?202005-i_prefecture_active_user", "■")</f>
        <v>■</v>
      </c>
      <c r="F353" s="14" t="s">
        <v>6413</v>
      </c>
      <c r="G353" s="14">
        <v>69898</v>
      </c>
      <c r="H353" s="14">
        <v>77064</v>
      </c>
      <c r="I353" s="14">
        <v>26</v>
      </c>
      <c r="J353" s="14" t="s">
        <v>143</v>
      </c>
      <c r="K353" s="14" t="s">
        <v>6411</v>
      </c>
      <c r="L353" s="14" t="s">
        <v>6410</v>
      </c>
      <c r="M353" s="14" t="s">
        <v>9158</v>
      </c>
      <c r="N353" s="14" t="s">
        <v>9158</v>
      </c>
      <c r="O353" s="14" t="s">
        <v>9158</v>
      </c>
      <c r="P353" s="14" t="s">
        <v>9158</v>
      </c>
      <c r="Q353" s="14" t="s">
        <v>9158</v>
      </c>
    </row>
    <row r="354" spans="1:19">
      <c r="A354" s="14">
        <v>55403</v>
      </c>
      <c r="B354" s="14" t="s">
        <v>15</v>
      </c>
      <c r="C354" s="14" t="s">
        <v>165</v>
      </c>
      <c r="D354" s="19" t="s">
        <v>10518</v>
      </c>
      <c r="E354" s="15" t="str">
        <f>HYPERLINK("https://stat100.ameba.jp/tnk47/ratio20/illustrations/card/ill_55403_undokaikyogokumaria03.jpg?202005-i_prefecture_active_user", "■")</f>
        <v>■</v>
      </c>
      <c r="F354" s="14" t="s">
        <v>6417</v>
      </c>
      <c r="G354" s="14">
        <v>77064</v>
      </c>
      <c r="H354" s="14">
        <v>69898</v>
      </c>
      <c r="I354" s="14">
        <v>26</v>
      </c>
      <c r="J354" s="14" t="s">
        <v>77</v>
      </c>
      <c r="K354" s="14" t="s">
        <v>6415</v>
      </c>
      <c r="L354" s="14" t="s">
        <v>6414</v>
      </c>
      <c r="M354" s="14" t="s">
        <v>9158</v>
      </c>
      <c r="N354" s="14" t="s">
        <v>9158</v>
      </c>
      <c r="O354" s="14" t="s">
        <v>9158</v>
      </c>
      <c r="P354" s="14" t="s">
        <v>9158</v>
      </c>
      <c r="Q354" s="14" t="s">
        <v>9158</v>
      </c>
    </row>
    <row r="355" spans="1:19">
      <c r="A355" s="14">
        <v>52973</v>
      </c>
      <c r="B355" s="14" t="s">
        <v>15</v>
      </c>
      <c r="C355" s="14" t="s">
        <v>206</v>
      </c>
      <c r="D355" s="19" t="s">
        <v>10519</v>
      </c>
      <c r="E355" s="15" t="str">
        <f>HYPERLINK("https://stat100.ameba.jp/tnk47/ratio20/illustrations/card/ill_52973_torampuamoronagu03.jpg?202005-i_prefecture_active_user", "■")</f>
        <v>■</v>
      </c>
      <c r="F355" s="14" t="s">
        <v>6421</v>
      </c>
      <c r="G355" s="14">
        <v>77064</v>
      </c>
      <c r="H355" s="14">
        <v>69898</v>
      </c>
      <c r="I355" s="14">
        <v>26</v>
      </c>
      <c r="J355" s="14" t="s">
        <v>44</v>
      </c>
      <c r="K355" s="14" t="s">
        <v>6419</v>
      </c>
      <c r="L355" s="14" t="s">
        <v>6418</v>
      </c>
      <c r="M355" s="14" t="s">
        <v>9158</v>
      </c>
      <c r="N355" s="14" t="s">
        <v>9158</v>
      </c>
      <c r="O355" s="14" t="s">
        <v>9158</v>
      </c>
      <c r="P355" s="14" t="s">
        <v>9158</v>
      </c>
      <c r="Q355" s="14" t="s">
        <v>9158</v>
      </c>
    </row>
    <row r="357" spans="1:19">
      <c r="A357" s="14" t="s">
        <v>12285</v>
      </c>
    </row>
    <row r="358" spans="1:19">
      <c r="A358" s="14" t="s">
        <v>12286</v>
      </c>
    </row>
    <row r="359" spans="1:19">
      <c r="A359" s="14" t="s">
        <v>5734</v>
      </c>
      <c r="B359" s="14" t="s">
        <v>330</v>
      </c>
      <c r="C359" s="14" t="s">
        <v>202</v>
      </c>
      <c r="D359" s="20" t="s">
        <v>1497</v>
      </c>
      <c r="E359" s="15" t="str">
        <f>HYPERLINK("https://stat100.ameba.jp/tnk47/ratio20/illustrations/card/ill_74593_0_natsuyuenchikoshihikari03.jpg?202005-i_prefecture_active_user", "■")</f>
        <v>■</v>
      </c>
      <c r="F359" s="14" t="s">
        <v>1498</v>
      </c>
      <c r="G359" s="14">
        <v>281662</v>
      </c>
      <c r="H359" s="14">
        <v>261852</v>
      </c>
      <c r="I359" s="14">
        <v>26</v>
      </c>
      <c r="J359" s="14" t="s">
        <v>283</v>
      </c>
      <c r="K359" s="14" t="s">
        <v>1499</v>
      </c>
      <c r="L359" s="14" t="s">
        <v>1500</v>
      </c>
      <c r="M359" s="14" t="s">
        <v>9158</v>
      </c>
      <c r="N359" s="14" t="s">
        <v>9158</v>
      </c>
      <c r="O359" s="19" t="s">
        <v>2731</v>
      </c>
      <c r="P359" s="14" t="s">
        <v>2732</v>
      </c>
      <c r="Q359" s="14">
        <v>1</v>
      </c>
    </row>
    <row r="360" spans="1:19">
      <c r="A360" s="14" t="s">
        <v>5617</v>
      </c>
      <c r="B360" s="14" t="s">
        <v>330</v>
      </c>
      <c r="C360" s="14" t="s">
        <v>308</v>
      </c>
      <c r="D360" s="20" t="s">
        <v>385</v>
      </c>
      <c r="E360" s="15" t="str">
        <f>HYPERLINK("https://stat100.ameba.jp/tnk47/ratio20/illustrations/card/ill_59673_0_oheyashutendoji03.jpg?202005-i_prefecture_active_user", "■")</f>
        <v>■</v>
      </c>
      <c r="F360" s="14" t="s">
        <v>386</v>
      </c>
      <c r="G360" s="14">
        <v>182946</v>
      </c>
      <c r="H360" s="14">
        <v>196778</v>
      </c>
      <c r="I360" s="14">
        <v>26</v>
      </c>
      <c r="J360" s="14" t="s">
        <v>320</v>
      </c>
      <c r="K360" s="14" t="s">
        <v>387</v>
      </c>
      <c r="L360" s="14" t="s">
        <v>388</v>
      </c>
      <c r="M360" s="14" t="s">
        <v>9158</v>
      </c>
      <c r="N360" s="14" t="s">
        <v>9158</v>
      </c>
      <c r="O360" s="19" t="s">
        <v>10078</v>
      </c>
      <c r="P360" s="14" t="s">
        <v>3022</v>
      </c>
      <c r="Q360" s="14">
        <v>1</v>
      </c>
    </row>
    <row r="361" spans="1:19">
      <c r="A361" s="14" t="s">
        <v>6132</v>
      </c>
      <c r="B361" s="14" t="s">
        <v>52</v>
      </c>
      <c r="C361" s="14" t="s">
        <v>205</v>
      </c>
      <c r="D361" s="19" t="s">
        <v>702</v>
      </c>
      <c r="E361" s="15" t="str">
        <f>HYPERLINK("https://stat100.ameba.jp/tnk47/ratio20/illustrations/card/ill_50693_0_hanamizugimimuratsuru03.jpg?202005-i_prefecture_active_user", "■")</f>
        <v>■</v>
      </c>
      <c r="F361" s="14" t="s">
        <v>2282</v>
      </c>
      <c r="G361" s="14">
        <v>145100</v>
      </c>
      <c r="H361" s="14">
        <v>163342</v>
      </c>
      <c r="I361" s="14">
        <v>26</v>
      </c>
      <c r="J361" s="14" t="s">
        <v>143</v>
      </c>
      <c r="K361" s="14" t="s">
        <v>2283</v>
      </c>
      <c r="L361" s="14" t="s">
        <v>2284</v>
      </c>
      <c r="M361" s="14" t="s">
        <v>9158</v>
      </c>
      <c r="N361" s="14" t="s">
        <v>9158</v>
      </c>
      <c r="O361" s="14" t="s">
        <v>9158</v>
      </c>
      <c r="P361" s="14" t="s">
        <v>9158</v>
      </c>
      <c r="Q361" s="14" t="s">
        <v>9158</v>
      </c>
    </row>
    <row r="362" spans="1:19">
      <c r="A362" s="14">
        <v>82023</v>
      </c>
      <c r="B362" s="14" t="s">
        <v>12289</v>
      </c>
      <c r="C362" s="14" t="s">
        <v>12291</v>
      </c>
      <c r="D362" s="14" t="s">
        <v>12287</v>
      </c>
      <c r="E362" s="15" t="str">
        <f>HYPERLINK("https://stat100.ameba.jp/tnk47/ratio20/illustrations/card/ill_82023_chichinohisuzaku03.jpg?202005-i_prefecture_active_user", "■")</f>
        <v>■</v>
      </c>
      <c r="F362" s="14" t="s">
        <v>12288</v>
      </c>
      <c r="G362" s="14">
        <v>98594</v>
      </c>
      <c r="H362" s="14">
        <v>106050</v>
      </c>
      <c r="I362" s="14">
        <v>26</v>
      </c>
      <c r="J362" s="14" t="s">
        <v>12292</v>
      </c>
      <c r="K362" s="14" t="s">
        <v>12293</v>
      </c>
      <c r="L362" s="14" t="s">
        <v>12294</v>
      </c>
      <c r="M362" s="14" t="s">
        <v>9158</v>
      </c>
      <c r="N362" s="14" t="s">
        <v>9158</v>
      </c>
      <c r="O362" s="14" t="s">
        <v>9158</v>
      </c>
      <c r="P362" s="14" t="s">
        <v>9158</v>
      </c>
      <c r="Q362" s="14" t="s">
        <v>9158</v>
      </c>
      <c r="S362" s="14" t="s">
        <v>12323</v>
      </c>
    </row>
    <row r="363" spans="1:19">
      <c r="A363" s="14">
        <v>82563</v>
      </c>
      <c r="B363" s="14" t="s">
        <v>12289</v>
      </c>
      <c r="C363" s="14" t="s">
        <v>12296</v>
      </c>
      <c r="D363" s="14" t="s">
        <v>12295</v>
      </c>
      <c r="E363" s="15" t="str">
        <f>HYPERLINK("https://stat100.ameba.jp/tnk47/ratio20/illustrations/card/ill_82563_hyokanokisetsukonomae03.jpg?202005-i_prefecture_active_user", "■")</f>
        <v>■</v>
      </c>
      <c r="F363" s="14" t="s">
        <v>12297</v>
      </c>
      <c r="G363" s="14">
        <v>101558</v>
      </c>
      <c r="H363" s="14">
        <v>94390</v>
      </c>
      <c r="I363" s="14">
        <v>26</v>
      </c>
      <c r="J363" s="14" t="s">
        <v>12298</v>
      </c>
      <c r="K363" s="14" t="s">
        <v>12299</v>
      </c>
      <c r="L363" s="14" t="s">
        <v>12300</v>
      </c>
      <c r="M363" s="14" t="s">
        <v>9158</v>
      </c>
      <c r="N363" s="14" t="s">
        <v>9158</v>
      </c>
      <c r="O363" s="14" t="s">
        <v>9158</v>
      </c>
      <c r="P363" s="14" t="s">
        <v>9158</v>
      </c>
      <c r="Q363" s="14" t="s">
        <v>9158</v>
      </c>
      <c r="S363" s="22" t="s">
        <v>12324</v>
      </c>
    </row>
    <row r="364" spans="1:19">
      <c r="A364" s="14">
        <v>82273</v>
      </c>
      <c r="B364" s="14" t="s">
        <v>12289</v>
      </c>
      <c r="C364" s="14" t="s">
        <v>12302</v>
      </c>
      <c r="D364" s="14" t="s">
        <v>12301</v>
      </c>
      <c r="E364" s="15" t="str">
        <f>HYPERLINK("https://stat100.ameba.jp/tnk47/ratio20/illustrations/card/ill_82273_tanabatatoyamaburakku03.jpg?202005-i_prefecture_active_user", "■")</f>
        <v>■</v>
      </c>
      <c r="F364" s="14" t="s">
        <v>12303</v>
      </c>
      <c r="G364" s="14">
        <v>128502</v>
      </c>
      <c r="H364" s="14">
        <v>119476</v>
      </c>
      <c r="I364" s="14">
        <v>26</v>
      </c>
      <c r="J364" s="14" t="s">
        <v>12304</v>
      </c>
      <c r="K364" s="14" t="s">
        <v>12305</v>
      </c>
      <c r="L364" s="14" t="s">
        <v>12306</v>
      </c>
      <c r="M364" s="14" t="s">
        <v>9158</v>
      </c>
      <c r="N364" s="14" t="s">
        <v>9158</v>
      </c>
      <c r="O364" s="14" t="s">
        <v>9158</v>
      </c>
      <c r="P364" s="14" t="s">
        <v>9158</v>
      </c>
      <c r="Q364" s="14" t="s">
        <v>9158</v>
      </c>
      <c r="S364" s="22" t="s">
        <v>12325</v>
      </c>
    </row>
    <row r="365" spans="1:19">
      <c r="A365" s="14">
        <v>84363</v>
      </c>
      <c r="B365" s="14" t="s">
        <v>12290</v>
      </c>
      <c r="C365" s="14" t="s">
        <v>12308</v>
      </c>
      <c r="D365" s="14" t="s">
        <v>12307</v>
      </c>
      <c r="E365" s="15" t="str">
        <f>HYPERLINK("https://stat100.ameba.jp/tnk47/ratio20/illustrations/card/ill_84363_okunokata03.jpg?202005-i_prefecture_active_user", "■")</f>
        <v>■</v>
      </c>
      <c r="F365" s="14" t="s">
        <v>12309</v>
      </c>
      <c r="G365" s="14">
        <v>68172</v>
      </c>
      <c r="H365" s="14">
        <v>61832</v>
      </c>
      <c r="I365" s="14">
        <v>23</v>
      </c>
      <c r="J365" s="14" t="s">
        <v>12298</v>
      </c>
      <c r="K365" s="14" t="s">
        <v>12311</v>
      </c>
      <c r="L365" s="14" t="s">
        <v>12310</v>
      </c>
      <c r="M365" s="14" t="s">
        <v>9158</v>
      </c>
      <c r="N365" s="14" t="s">
        <v>9158</v>
      </c>
      <c r="O365" s="14" t="s">
        <v>9158</v>
      </c>
      <c r="P365" s="14" t="s">
        <v>9158</v>
      </c>
      <c r="Q365" s="14" t="s">
        <v>9158</v>
      </c>
      <c r="S365" s="22" t="s">
        <v>12326</v>
      </c>
    </row>
    <row r="366" spans="1:19">
      <c r="A366" s="14">
        <v>82833</v>
      </c>
      <c r="B366" s="14" t="s">
        <v>12290</v>
      </c>
      <c r="C366" s="14" t="s">
        <v>12313</v>
      </c>
      <c r="D366" s="14" t="s">
        <v>12312</v>
      </c>
      <c r="E366" s="15" t="str">
        <f>HYPERLINK("https://stat100.ameba.jp/tnk47/ratio20/illustrations/card/ill_82833_yuwakuyamahime03.jpg?202005-i_prefecture_active_user", "■")</f>
        <v>■</v>
      </c>
      <c r="F366" s="14" t="s">
        <v>12314</v>
      </c>
      <c r="G366" s="14">
        <v>61832</v>
      </c>
      <c r="H366" s="14">
        <v>68172</v>
      </c>
      <c r="I366" s="14">
        <v>23</v>
      </c>
      <c r="J366" s="14" t="s">
        <v>12316</v>
      </c>
      <c r="K366" s="14" t="s">
        <v>12315</v>
      </c>
      <c r="L366" s="14" t="s">
        <v>12317</v>
      </c>
      <c r="M366" s="14" t="s">
        <v>9158</v>
      </c>
      <c r="N366" s="14" t="s">
        <v>9158</v>
      </c>
      <c r="O366" s="14" t="s">
        <v>9158</v>
      </c>
      <c r="P366" s="14" t="s">
        <v>9158</v>
      </c>
      <c r="Q366" s="14" t="s">
        <v>9158</v>
      </c>
      <c r="S366" s="22" t="s">
        <v>12327</v>
      </c>
    </row>
    <row r="367" spans="1:19">
      <c r="A367" s="14">
        <v>82293</v>
      </c>
      <c r="B367" s="14" t="s">
        <v>12290</v>
      </c>
      <c r="C367" s="14" t="s">
        <v>12320</v>
      </c>
      <c r="D367" s="14" t="s">
        <v>12318</v>
      </c>
      <c r="E367" s="15" t="str">
        <f>HYPERLINK("https://stat100.ameba.jp/tnk47/ratio20/illustrations/card/ill_82293_taiwanramen03.jpg?202005-i_prefecture_active_user", "■")</f>
        <v>■</v>
      </c>
      <c r="F367" s="14" t="s">
        <v>12319</v>
      </c>
      <c r="G367" s="14">
        <v>68172</v>
      </c>
      <c r="H367" s="14">
        <v>61832</v>
      </c>
      <c r="I367" s="14">
        <v>23</v>
      </c>
      <c r="J367" s="14" t="s">
        <v>12304</v>
      </c>
      <c r="K367" s="14" t="s">
        <v>12321</v>
      </c>
      <c r="L367" s="14" t="s">
        <v>12322</v>
      </c>
      <c r="M367" s="14" t="s">
        <v>9158</v>
      </c>
      <c r="N367" s="14" t="s">
        <v>9158</v>
      </c>
      <c r="O367" s="14" t="s">
        <v>9158</v>
      </c>
      <c r="P367" s="14" t="s">
        <v>9158</v>
      </c>
      <c r="Q367" s="14" t="s">
        <v>9158</v>
      </c>
      <c r="S367" s="22" t="s">
        <v>12325</v>
      </c>
    </row>
    <row r="369" spans="1:17">
      <c r="A369" s="14" t="s">
        <v>12328</v>
      </c>
    </row>
    <row r="370" spans="1:17">
      <c r="A370" s="14" t="s">
        <v>12329</v>
      </c>
    </row>
    <row r="371" spans="1:17">
      <c r="A371" s="14" t="s">
        <v>5804</v>
      </c>
      <c r="B371" s="14" t="s">
        <v>52</v>
      </c>
      <c r="C371" s="14" t="s">
        <v>14</v>
      </c>
      <c r="D371" s="19" t="s">
        <v>3195</v>
      </c>
      <c r="E371" s="15" t="str">
        <f>HYPERLINK("https://stat100.ameba.jp/tnk47/ratio20/illustrations/card/ill_75393_0_resukuinotsukisamaniittausagi03.jpg?202005-i_prefecture_active_user", "■")</f>
        <v>■</v>
      </c>
      <c r="F371" s="14" t="s">
        <v>3248</v>
      </c>
      <c r="G371" s="14">
        <v>284760</v>
      </c>
      <c r="H371" s="14">
        <v>264750</v>
      </c>
      <c r="I371" s="14">
        <v>25</v>
      </c>
      <c r="J371" s="14" t="s">
        <v>26</v>
      </c>
      <c r="K371" s="14" t="s">
        <v>3249</v>
      </c>
      <c r="L371" s="14" t="s">
        <v>3250</v>
      </c>
      <c r="M371" s="14" t="s">
        <v>9158</v>
      </c>
      <c r="N371" s="14" t="s">
        <v>9158</v>
      </c>
      <c r="O371" s="19" t="s">
        <v>10101</v>
      </c>
      <c r="P371" s="14" t="s">
        <v>3251</v>
      </c>
      <c r="Q371" s="14">
        <v>2</v>
      </c>
    </row>
    <row r="372" spans="1:17">
      <c r="A372" s="14">
        <v>60173</v>
      </c>
      <c r="B372" s="14" t="s">
        <v>0</v>
      </c>
      <c r="C372" s="14" t="s">
        <v>41</v>
      </c>
      <c r="D372" s="20" t="s">
        <v>10231</v>
      </c>
      <c r="E372" s="15" t="str">
        <f>HYPERLINK("https://stat100.ameba.jp/tnk47/ratio20/illustrations/card/ill_60173_kugutsushi03.jpg?202005-i_prefecture_active_user", "■")</f>
        <v>■</v>
      </c>
      <c r="F372" s="14" t="s">
        <v>4282</v>
      </c>
      <c r="G372" s="14">
        <v>92402</v>
      </c>
      <c r="H372" s="14">
        <v>127580</v>
      </c>
      <c r="I372" s="14">
        <v>25</v>
      </c>
      <c r="J372" s="14" t="s">
        <v>38</v>
      </c>
      <c r="K372" s="14" t="s">
        <v>4283</v>
      </c>
      <c r="L372" s="14" t="s">
        <v>2714</v>
      </c>
      <c r="M372" s="14" t="s">
        <v>9158</v>
      </c>
      <c r="N372" s="14" t="s">
        <v>9158</v>
      </c>
      <c r="O372" s="19" t="s">
        <v>10113</v>
      </c>
      <c r="P372" s="14" t="s">
        <v>4285</v>
      </c>
      <c r="Q372" s="14">
        <v>1</v>
      </c>
    </row>
    <row r="373" spans="1:17">
      <c r="A373" s="14">
        <v>74553</v>
      </c>
      <c r="B373" s="14" t="s">
        <v>0</v>
      </c>
      <c r="C373" s="14" t="s">
        <v>107</v>
      </c>
      <c r="D373" s="20" t="s">
        <v>10389</v>
      </c>
      <c r="E373" s="15" t="str">
        <f>HYPERLINK("https://stat100.ameba.jp/tnk47/ratio20/illustrations/card/ill_74553_natsuyuenchikusumotoine03.jpg?202005-i_prefecture_active_user", "■")</f>
        <v>■</v>
      </c>
      <c r="F373" s="14" t="s">
        <v>4109</v>
      </c>
      <c r="G373" s="14">
        <v>101373</v>
      </c>
      <c r="H373" s="14">
        <v>94295</v>
      </c>
      <c r="I373" s="14">
        <v>25</v>
      </c>
      <c r="J373" s="14" t="s">
        <v>16</v>
      </c>
      <c r="K373" s="14" t="s">
        <v>4110</v>
      </c>
      <c r="L373" s="14" t="s">
        <v>1149</v>
      </c>
      <c r="M373" s="14" t="s">
        <v>9158</v>
      </c>
      <c r="N373" s="14" t="s">
        <v>9158</v>
      </c>
      <c r="O373" s="19" t="s">
        <v>10090</v>
      </c>
      <c r="P373" s="14" t="s">
        <v>3460</v>
      </c>
      <c r="Q373" s="14">
        <v>1</v>
      </c>
    </row>
    <row r="374" spans="1:17">
      <c r="A374" s="14">
        <v>75333</v>
      </c>
      <c r="B374" s="14" t="s">
        <v>334</v>
      </c>
      <c r="C374" s="14" t="s">
        <v>200</v>
      </c>
      <c r="D374" s="19" t="s">
        <v>3206</v>
      </c>
      <c r="E374" s="15" t="str">
        <f>HYPERLINK("https://stat100.ameba.jp/tnk47/ratio20/illustrations/card/ill_75333_resukuintamamonomae03.jpg?202005-i_prefecture_active_user", "■")</f>
        <v>■</v>
      </c>
      <c r="F374" s="14" t="s">
        <v>3207</v>
      </c>
      <c r="G374" s="14">
        <v>96871</v>
      </c>
      <c r="H374" s="14">
        <v>104162</v>
      </c>
      <c r="I374" s="7">
        <v>25</v>
      </c>
      <c r="J374" s="14" t="s">
        <v>320</v>
      </c>
      <c r="K374" s="14" t="s">
        <v>3208</v>
      </c>
      <c r="L374" s="14" t="s">
        <v>3209</v>
      </c>
      <c r="M374" s="14" t="s">
        <v>9158</v>
      </c>
      <c r="N374" s="14" t="s">
        <v>9158</v>
      </c>
      <c r="O374" s="19" t="s">
        <v>10074</v>
      </c>
      <c r="P374" s="14" t="s">
        <v>2822</v>
      </c>
      <c r="Q374" s="14">
        <v>1</v>
      </c>
    </row>
    <row r="376" spans="1:17">
      <c r="A376" s="14" t="s">
        <v>13327</v>
      </c>
    </row>
    <row r="377" spans="1:17">
      <c r="A377" s="14" t="s">
        <v>12330</v>
      </c>
    </row>
    <row r="378" spans="1:17">
      <c r="A378" s="14">
        <v>71873</v>
      </c>
      <c r="B378" s="14" t="s">
        <v>334</v>
      </c>
      <c r="C378" s="14" t="s">
        <v>185</v>
      </c>
      <c r="D378" s="20" t="s">
        <v>10234</v>
      </c>
      <c r="E378" s="15" t="str">
        <f>HYPERLINK("https://stat100.ameba.jp/tnk47/ratio20/illustrations/card/ill_71873_akashita03.jpg?202005-i_prefecture_active_user", "■")</f>
        <v>■</v>
      </c>
      <c r="F378" s="6" t="s">
        <v>5952</v>
      </c>
      <c r="G378" s="14">
        <v>130886</v>
      </c>
      <c r="H378" s="14">
        <v>121686</v>
      </c>
      <c r="I378" s="14">
        <v>26</v>
      </c>
      <c r="J378" s="14" t="s">
        <v>182</v>
      </c>
      <c r="K378" s="14" t="s">
        <v>217</v>
      </c>
      <c r="L378" s="14" t="s">
        <v>13140</v>
      </c>
      <c r="M378" s="14" t="s">
        <v>13131</v>
      </c>
      <c r="N378" s="14" t="s">
        <v>251</v>
      </c>
      <c r="O378" s="14" t="s">
        <v>9158</v>
      </c>
      <c r="P378" s="14" t="s">
        <v>9158</v>
      </c>
      <c r="Q378" s="14" t="s">
        <v>9158</v>
      </c>
    </row>
    <row r="379" spans="1:17">
      <c r="A379" s="14">
        <v>71872</v>
      </c>
      <c r="B379" s="14" t="s">
        <v>334</v>
      </c>
      <c r="C379" s="14" t="s">
        <v>185</v>
      </c>
      <c r="D379" s="20" t="s">
        <v>10234</v>
      </c>
      <c r="E379" s="15" t="str">
        <f>HYPERLINK("https://stat100.ameba.jp/tnk47/ratio20/illustrations/card/ill_71872_akashita02.jpg?202005-i_prefecture_active_user", "■")</f>
        <v>■</v>
      </c>
      <c r="F379" s="14" t="s">
        <v>5952</v>
      </c>
      <c r="G379" s="14">
        <v>109344</v>
      </c>
      <c r="H379" s="14">
        <v>100780</v>
      </c>
      <c r="I379" s="7">
        <v>26</v>
      </c>
      <c r="J379" s="14" t="s">
        <v>182</v>
      </c>
      <c r="K379" s="14" t="s">
        <v>217</v>
      </c>
      <c r="L379" s="14" t="s">
        <v>13140</v>
      </c>
      <c r="M379" s="14" t="s">
        <v>13131</v>
      </c>
      <c r="N379" s="14" t="s">
        <v>251</v>
      </c>
      <c r="O379" s="14" t="s">
        <v>9158</v>
      </c>
      <c r="P379" s="14" t="s">
        <v>9158</v>
      </c>
      <c r="Q379" s="14" t="s">
        <v>9158</v>
      </c>
    </row>
    <row r="380" spans="1:17">
      <c r="A380" s="14">
        <v>71871</v>
      </c>
      <c r="B380" s="14" t="s">
        <v>334</v>
      </c>
      <c r="C380" s="14" t="s">
        <v>185</v>
      </c>
      <c r="D380" s="20" t="s">
        <v>10234</v>
      </c>
      <c r="E380" s="15" t="str">
        <f>HYPERLINK("https://stat100.ameba.jp/tnk47/ratio20/illustrations/card/ill_71871_akashita01.jpg?202005-i_prefecture_active_user", "■")</f>
        <v>■</v>
      </c>
      <c r="F380" s="14" t="s">
        <v>691</v>
      </c>
      <c r="G380" s="14">
        <v>83538</v>
      </c>
      <c r="H380" s="14">
        <v>77766</v>
      </c>
      <c r="I380" s="14">
        <v>26</v>
      </c>
      <c r="J380" s="14" t="s">
        <v>182</v>
      </c>
      <c r="K380" s="14" t="s">
        <v>217</v>
      </c>
      <c r="L380" s="14" t="s">
        <v>13140</v>
      </c>
      <c r="M380" s="14" t="s">
        <v>13131</v>
      </c>
      <c r="N380" s="14" t="s">
        <v>251</v>
      </c>
      <c r="O380" s="14" t="s">
        <v>9158</v>
      </c>
      <c r="P380" s="14" t="s">
        <v>9158</v>
      </c>
      <c r="Q380" s="14" t="s">
        <v>9158</v>
      </c>
    </row>
    <row r="381" spans="1:17">
      <c r="A381" s="14">
        <v>72693</v>
      </c>
      <c r="B381" s="14" t="s">
        <v>334</v>
      </c>
      <c r="C381" s="14" t="s">
        <v>200</v>
      </c>
      <c r="D381" s="20" t="s">
        <v>10235</v>
      </c>
      <c r="E381" s="15" t="str">
        <f>HYPERLINK("https://stat100.ameba.jp/tnk47/ratio20/illustrations/card/ill_72693_sagarasozo03.jpg?202005-i_prefecture_active_user", "■")</f>
        <v>■</v>
      </c>
      <c r="F381" s="14" t="s">
        <v>692</v>
      </c>
      <c r="G381" s="14">
        <v>121686</v>
      </c>
      <c r="H381" s="14">
        <v>130886</v>
      </c>
      <c r="I381" s="7">
        <v>26</v>
      </c>
      <c r="J381" s="14" t="s">
        <v>194</v>
      </c>
      <c r="K381" s="14" t="s">
        <v>218</v>
      </c>
      <c r="L381" s="14" t="s">
        <v>9892</v>
      </c>
      <c r="M381" s="14" t="s">
        <v>13131</v>
      </c>
      <c r="N381" s="14" t="s">
        <v>251</v>
      </c>
      <c r="O381" s="14" t="s">
        <v>9158</v>
      </c>
      <c r="P381" s="14" t="s">
        <v>9158</v>
      </c>
      <c r="Q381" s="14" t="s">
        <v>9158</v>
      </c>
    </row>
    <row r="382" spans="1:17">
      <c r="A382" s="14">
        <v>72703</v>
      </c>
      <c r="B382" s="14" t="s">
        <v>334</v>
      </c>
      <c r="C382" s="14" t="s">
        <v>191</v>
      </c>
      <c r="D382" s="20" t="s">
        <v>10236</v>
      </c>
      <c r="E382" s="15" t="str">
        <f>HYPERLINK("https://stat100.ameba.jp/tnk47/ratio20/illustrations/card/ill_72703_hayakawanoritsugu03.jpg?202005-i_prefecture_active_user", "■")</f>
        <v>■</v>
      </c>
      <c r="F382" s="14" t="s">
        <v>693</v>
      </c>
      <c r="G382" s="14">
        <v>130886</v>
      </c>
      <c r="H382" s="14">
        <v>121686</v>
      </c>
      <c r="I382" s="14">
        <v>26</v>
      </c>
      <c r="J382" s="14" t="s">
        <v>173</v>
      </c>
      <c r="K382" s="14" t="s">
        <v>219</v>
      </c>
      <c r="L382" s="14" t="s">
        <v>9893</v>
      </c>
      <c r="M382" s="14" t="s">
        <v>13131</v>
      </c>
      <c r="N382" s="14" t="s">
        <v>251</v>
      </c>
      <c r="O382" s="14" t="s">
        <v>9158</v>
      </c>
      <c r="P382" s="14" t="s">
        <v>9158</v>
      </c>
      <c r="Q382" s="14" t="s">
        <v>9158</v>
      </c>
    </row>
    <row r="383" spans="1:17">
      <c r="A383" s="14">
        <v>73523</v>
      </c>
      <c r="B383" s="14" t="s">
        <v>334</v>
      </c>
      <c r="C383" s="14" t="s">
        <v>165</v>
      </c>
      <c r="D383" s="20" t="s">
        <v>10237</v>
      </c>
      <c r="E383" s="15" t="str">
        <f>HYPERLINK("https://stat100.ameba.jp/tnk47/ratio20/illustrations/card/ill_73523_marunomarudono03.jpg?202005-i_prefecture_active_user", "■")</f>
        <v>■</v>
      </c>
      <c r="F383" s="14" t="s">
        <v>694</v>
      </c>
      <c r="G383" s="14">
        <v>121686</v>
      </c>
      <c r="H383" s="14">
        <v>130886</v>
      </c>
      <c r="I383" s="7">
        <v>26</v>
      </c>
      <c r="J383" s="14" t="s">
        <v>187</v>
      </c>
      <c r="K383" s="14" t="s">
        <v>220</v>
      </c>
      <c r="L383" s="14" t="s">
        <v>9894</v>
      </c>
      <c r="M383" s="14" t="s">
        <v>13131</v>
      </c>
      <c r="N383" s="14" t="s">
        <v>251</v>
      </c>
      <c r="O383" s="14" t="s">
        <v>9158</v>
      </c>
      <c r="P383" s="14" t="s">
        <v>9158</v>
      </c>
      <c r="Q383" s="14" t="s">
        <v>9158</v>
      </c>
    </row>
    <row r="384" spans="1:17">
      <c r="A384" s="14">
        <v>72713</v>
      </c>
      <c r="B384" s="14" t="s">
        <v>334</v>
      </c>
      <c r="C384" s="14" t="s">
        <v>205</v>
      </c>
      <c r="D384" s="20" t="s">
        <v>10238</v>
      </c>
      <c r="E384" s="15" t="str">
        <f>HYPERLINK("https://stat100.ameba.jp/tnk47/ratio20/illustrations/card/ill_72713_okamuzuminomikoto03.jpg?202005-i_prefecture_active_user", "■")</f>
        <v>■</v>
      </c>
      <c r="F384" s="14" t="s">
        <v>695</v>
      </c>
      <c r="G384" s="14">
        <v>121686</v>
      </c>
      <c r="H384" s="14">
        <v>130886</v>
      </c>
      <c r="I384" s="14">
        <v>26</v>
      </c>
      <c r="J384" s="14" t="s">
        <v>169</v>
      </c>
      <c r="K384" s="14" t="s">
        <v>221</v>
      </c>
      <c r="L384" s="14" t="s">
        <v>9895</v>
      </c>
      <c r="M384" s="14" t="s">
        <v>13131</v>
      </c>
      <c r="N384" s="14" t="s">
        <v>251</v>
      </c>
      <c r="O384" s="14" t="s">
        <v>9158</v>
      </c>
      <c r="P384" s="14" t="s">
        <v>9158</v>
      </c>
      <c r="Q384" s="14" t="s">
        <v>9158</v>
      </c>
    </row>
    <row r="385" spans="1:17">
      <c r="A385" s="14">
        <v>73533</v>
      </c>
      <c r="B385" s="14" t="s">
        <v>334</v>
      </c>
      <c r="C385" s="14" t="s">
        <v>206</v>
      </c>
      <c r="D385" s="20" t="s">
        <v>10239</v>
      </c>
      <c r="E385" s="15" t="str">
        <f>HYPERLINK("https://stat100.ameba.jp/tnk47/ratio20/illustrations/card/ill_73533_agubutachan03.jpg?202005-i_prefecture_active_user", "■")</f>
        <v>■</v>
      </c>
      <c r="F385" s="14" t="s">
        <v>696</v>
      </c>
      <c r="G385" s="14">
        <v>130886</v>
      </c>
      <c r="H385" s="14">
        <v>121686</v>
      </c>
      <c r="I385" s="7">
        <v>26</v>
      </c>
      <c r="J385" s="14" t="s">
        <v>216</v>
      </c>
      <c r="K385" s="14" t="s">
        <v>697</v>
      </c>
      <c r="L385" s="14" t="s">
        <v>9896</v>
      </c>
      <c r="M385" s="14" t="s">
        <v>13131</v>
      </c>
      <c r="N385" s="14" t="s">
        <v>251</v>
      </c>
      <c r="O385" s="14" t="s">
        <v>9158</v>
      </c>
      <c r="P385" s="14" t="s">
        <v>9158</v>
      </c>
      <c r="Q385" s="14" t="s">
        <v>9158</v>
      </c>
    </row>
    <row r="387" spans="1:17">
      <c r="A387" s="14" t="s">
        <v>12331</v>
      </c>
    </row>
    <row r="388" spans="1:17">
      <c r="A388" s="14" t="s">
        <v>12332</v>
      </c>
    </row>
    <row r="389" spans="1:17">
      <c r="A389" s="9" t="s">
        <v>5822</v>
      </c>
      <c r="B389" s="14" t="s">
        <v>330</v>
      </c>
      <c r="C389" s="14" t="s">
        <v>191</v>
      </c>
      <c r="D389" s="14" t="s">
        <v>898</v>
      </c>
      <c r="E389" s="15" t="str">
        <f>HYPERLINK("https://stat100.ameba.jp/tnk47/ratio20/illustrations/card/ill_71403_0_ohanamisanadayukimura03.jpg?202005-i_prefecture_active_user", "■")</f>
        <v>■</v>
      </c>
      <c r="F389" s="14" t="s">
        <v>309</v>
      </c>
      <c r="G389" s="14">
        <v>186688</v>
      </c>
      <c r="H389" s="14">
        <v>173592</v>
      </c>
      <c r="I389" s="14">
        <v>20</v>
      </c>
      <c r="J389" s="14" t="s">
        <v>310</v>
      </c>
      <c r="K389" s="14" t="s">
        <v>311</v>
      </c>
      <c r="L389" s="14" t="s">
        <v>312</v>
      </c>
      <c r="M389" s="14" t="s">
        <v>9158</v>
      </c>
      <c r="N389" s="14" t="s">
        <v>9158</v>
      </c>
      <c r="O389" s="17" t="s">
        <v>10060</v>
      </c>
      <c r="P389" s="14" t="s">
        <v>3418</v>
      </c>
      <c r="Q389" s="14">
        <v>2</v>
      </c>
    </row>
    <row r="390" spans="1:17">
      <c r="A390" s="14">
        <v>88693</v>
      </c>
      <c r="B390" s="14" t="s">
        <v>334</v>
      </c>
      <c r="C390" s="14" t="s">
        <v>12335</v>
      </c>
      <c r="D390" s="14" t="s">
        <v>12334</v>
      </c>
      <c r="E390" s="15" t="str">
        <f>HYPERLINK("https://stat100.ameba.jp/tnk47/ratio20/illustrations/card/ill_88693_pammatsuribekonepi03.jpg?202005-i_prefecture_active_user", "■")</f>
        <v>■</v>
      </c>
      <c r="F390" s="14" t="s">
        <v>12336</v>
      </c>
      <c r="G390" s="14">
        <v>125392</v>
      </c>
      <c r="H390" s="14">
        <v>70556</v>
      </c>
      <c r="I390" s="14">
        <v>26</v>
      </c>
      <c r="J390" s="14" t="s">
        <v>12338</v>
      </c>
      <c r="K390" s="14" t="s">
        <v>12337</v>
      </c>
      <c r="L390" s="14" t="s">
        <v>12339</v>
      </c>
      <c r="M390" s="14" t="s">
        <v>9158</v>
      </c>
      <c r="N390" s="14" t="s">
        <v>9158</v>
      </c>
      <c r="O390" s="14" t="s">
        <v>9158</v>
      </c>
      <c r="P390" s="14" t="s">
        <v>9158</v>
      </c>
      <c r="Q390" s="14" t="s">
        <v>9158</v>
      </c>
    </row>
    <row r="391" spans="1:17">
      <c r="A391" s="14">
        <v>88692</v>
      </c>
      <c r="B391" s="14" t="s">
        <v>334</v>
      </c>
      <c r="C391" s="14" t="s">
        <v>12335</v>
      </c>
      <c r="D391" s="14" t="s">
        <v>12334</v>
      </c>
      <c r="E391" s="15" t="str">
        <f>HYPERLINK("https://stat100.ameba.jp/tnk47/ratio20/illustrations/card/ill_88692_pammatsuribekonepi02.jpg?202005-i_prefecture_active_user", "■")</f>
        <v>■</v>
      </c>
      <c r="F391" s="14" t="s">
        <v>12336</v>
      </c>
      <c r="G391" s="14">
        <v>104364</v>
      </c>
      <c r="H391" s="14">
        <v>58722</v>
      </c>
      <c r="I391" s="14">
        <v>26</v>
      </c>
      <c r="J391" s="14" t="s">
        <v>12338</v>
      </c>
      <c r="K391" s="14" t="s">
        <v>12337</v>
      </c>
      <c r="L391" s="14" t="s">
        <v>12340</v>
      </c>
      <c r="M391" s="14" t="s">
        <v>9158</v>
      </c>
      <c r="N391" s="14" t="s">
        <v>9158</v>
      </c>
      <c r="O391" s="14" t="s">
        <v>9158</v>
      </c>
      <c r="P391" s="14" t="s">
        <v>9158</v>
      </c>
      <c r="Q391" s="14" t="s">
        <v>9158</v>
      </c>
    </row>
    <row r="392" spans="1:17">
      <c r="A392" s="14">
        <v>88691</v>
      </c>
      <c r="B392" s="14" t="s">
        <v>334</v>
      </c>
      <c r="C392" s="14" t="s">
        <v>12335</v>
      </c>
      <c r="D392" s="14" t="s">
        <v>12334</v>
      </c>
      <c r="E392" s="15" t="str">
        <f>HYPERLINK("https://stat100.ameba.jp/tnk47/ratio20/illustrations/card/ill_88691_pammatsuribekonepi01.jpg?202005-i_prefecture_active_user", "■")</f>
        <v>■</v>
      </c>
      <c r="F392" s="14" t="s">
        <v>12336</v>
      </c>
      <c r="G392" s="14">
        <v>80080</v>
      </c>
      <c r="H392" s="14">
        <v>45058</v>
      </c>
      <c r="I392" s="14">
        <v>26</v>
      </c>
      <c r="J392" s="14" t="s">
        <v>12338</v>
      </c>
      <c r="K392" s="14" t="s">
        <v>12337</v>
      </c>
      <c r="L392" s="14" t="s">
        <v>12341</v>
      </c>
      <c r="M392" s="14" t="s">
        <v>9158</v>
      </c>
      <c r="N392" s="14" t="s">
        <v>9158</v>
      </c>
      <c r="O392" s="14" t="s">
        <v>9158</v>
      </c>
      <c r="P392" s="14" t="s">
        <v>9158</v>
      </c>
      <c r="Q392" s="14" t="s">
        <v>9158</v>
      </c>
    </row>
    <row r="393" spans="1:17">
      <c r="A393" s="14">
        <v>88703</v>
      </c>
      <c r="B393" s="14" t="s">
        <v>334</v>
      </c>
      <c r="C393" s="14" t="s">
        <v>12344</v>
      </c>
      <c r="D393" s="14" t="s">
        <v>12342</v>
      </c>
      <c r="E393" s="15" t="str">
        <f>HYPERLINK("https://stat100.ameba.jp/tnk47/ratio20/illustrations/card/ill_88703_pammatsurirezumburedo03.jpg?202005-i_prefecture_active_user", "■")</f>
        <v>■</v>
      </c>
      <c r="F393" s="14" t="s">
        <v>12343</v>
      </c>
      <c r="G393" s="14">
        <v>125392</v>
      </c>
      <c r="H393" s="14">
        <v>70556</v>
      </c>
      <c r="I393" s="14">
        <v>26</v>
      </c>
      <c r="J393" s="14" t="s">
        <v>12348</v>
      </c>
      <c r="K393" s="14" t="s">
        <v>12346</v>
      </c>
      <c r="L393" s="14" t="s">
        <v>12345</v>
      </c>
      <c r="M393" s="14" t="s">
        <v>9158</v>
      </c>
      <c r="N393" s="14" t="s">
        <v>9158</v>
      </c>
      <c r="O393" s="14" t="s">
        <v>9158</v>
      </c>
      <c r="P393" s="14" t="s">
        <v>9158</v>
      </c>
      <c r="Q393" s="14" t="s">
        <v>9158</v>
      </c>
    </row>
    <row r="394" spans="1:17">
      <c r="A394" s="14">
        <v>88702</v>
      </c>
      <c r="B394" s="14" t="s">
        <v>334</v>
      </c>
      <c r="C394" s="14" t="s">
        <v>12344</v>
      </c>
      <c r="D394" s="14" t="s">
        <v>12342</v>
      </c>
      <c r="E394" s="15" t="str">
        <f>HYPERLINK("https://stat100.ameba.jp/tnk47/ratio20/illustrations/card/ill_88702_pammatsurirezumburedo02.jpg?202005-i_prefecture_active_user", "■")</f>
        <v>■</v>
      </c>
      <c r="F394" s="14" t="s">
        <v>12343</v>
      </c>
      <c r="G394" s="14">
        <v>104364</v>
      </c>
      <c r="H394" s="14">
        <v>58722</v>
      </c>
      <c r="I394" s="14">
        <v>26</v>
      </c>
      <c r="J394" s="14" t="s">
        <v>12348</v>
      </c>
      <c r="K394" s="14" t="s">
        <v>12346</v>
      </c>
      <c r="L394" s="14" t="s">
        <v>12347</v>
      </c>
      <c r="M394" s="14" t="s">
        <v>9158</v>
      </c>
      <c r="N394" s="14" t="s">
        <v>9158</v>
      </c>
      <c r="O394" s="14" t="s">
        <v>9158</v>
      </c>
      <c r="P394" s="14" t="s">
        <v>9158</v>
      </c>
      <c r="Q394" s="14" t="s">
        <v>9158</v>
      </c>
    </row>
    <row r="395" spans="1:17">
      <c r="A395" s="14">
        <v>88701</v>
      </c>
      <c r="B395" s="14" t="s">
        <v>334</v>
      </c>
      <c r="C395" s="14" t="s">
        <v>12344</v>
      </c>
      <c r="D395" s="14" t="s">
        <v>12342</v>
      </c>
      <c r="E395" s="15" t="str">
        <f>HYPERLINK("https://stat100.ameba.jp/tnk47/ratio20/illustrations/card/ill_88701_pammatsurirezumburedo01.jpg?202005-i_prefecture_active_user", "■")</f>
        <v>■</v>
      </c>
      <c r="F395" s="14" t="s">
        <v>12343</v>
      </c>
      <c r="G395" s="14">
        <v>80080</v>
      </c>
      <c r="H395" s="14">
        <v>45058</v>
      </c>
      <c r="I395" s="14">
        <v>26</v>
      </c>
      <c r="J395" s="14" t="s">
        <v>12348</v>
      </c>
      <c r="K395" s="14" t="s">
        <v>12346</v>
      </c>
      <c r="L395" s="14" t="s">
        <v>12349</v>
      </c>
      <c r="M395" s="14" t="s">
        <v>9158</v>
      </c>
      <c r="N395" s="14" t="s">
        <v>9158</v>
      </c>
      <c r="O395" s="14" t="s">
        <v>9158</v>
      </c>
      <c r="P395" s="14" t="s">
        <v>9158</v>
      </c>
      <c r="Q395" s="14" t="s">
        <v>9158</v>
      </c>
    </row>
    <row r="397" spans="1:17">
      <c r="A397" s="14" t="s">
        <v>4065</v>
      </c>
    </row>
    <row r="398" spans="1:17">
      <c r="A398" s="14" t="s">
        <v>12333</v>
      </c>
    </row>
    <row r="399" spans="1:17">
      <c r="A399" s="14" t="s">
        <v>5601</v>
      </c>
      <c r="B399" s="14" t="s">
        <v>330</v>
      </c>
      <c r="C399" s="14" t="s">
        <v>35</v>
      </c>
      <c r="D399" s="20" t="s">
        <v>10318</v>
      </c>
      <c r="E399" s="15" t="str">
        <f>HYPERLINK("https://stat100.ameba.jp/tnk47/ratio20/illustrations/card/ill_82423_0_bikinigarukishi03.jpg?202005-i_prefecture_active_user", "■")</f>
        <v>■</v>
      </c>
      <c r="F399" s="14" t="s">
        <v>5391</v>
      </c>
      <c r="G399" s="14">
        <v>302708</v>
      </c>
      <c r="H399" s="14">
        <v>273591</v>
      </c>
      <c r="I399" s="14">
        <v>25</v>
      </c>
      <c r="J399" s="14" t="s">
        <v>77</v>
      </c>
      <c r="K399" s="14" t="s">
        <v>5392</v>
      </c>
      <c r="L399" s="14" t="s">
        <v>5393</v>
      </c>
      <c r="M399" s="14" t="s">
        <v>9158</v>
      </c>
      <c r="N399" s="14" t="s">
        <v>9158</v>
      </c>
      <c r="O399" s="19" t="s">
        <v>10069</v>
      </c>
      <c r="P399" s="14" t="s">
        <v>5394</v>
      </c>
      <c r="Q399" s="14">
        <v>1</v>
      </c>
    </row>
    <row r="400" spans="1:17">
      <c r="A400" s="14">
        <v>81903</v>
      </c>
      <c r="B400" s="14" t="s">
        <v>334</v>
      </c>
      <c r="C400" s="14" t="s">
        <v>47</v>
      </c>
      <c r="D400" s="19" t="s">
        <v>10200</v>
      </c>
      <c r="E400" s="15" t="str">
        <f>HYPERLINK("https://stat100.ameba.jp/tnk47/ratio20/illustrations/card/ill_81903_kiryuhimeiren03.jpg?202005-i_prefecture_active_user", "■")</f>
        <v>■</v>
      </c>
      <c r="F400" s="14" t="s">
        <v>4983</v>
      </c>
      <c r="G400" s="14">
        <v>79348</v>
      </c>
      <c r="H400" s="14">
        <v>109554</v>
      </c>
      <c r="I400" s="14">
        <v>24</v>
      </c>
      <c r="J400" s="14" t="s">
        <v>77</v>
      </c>
      <c r="K400" s="14" t="s">
        <v>4985</v>
      </c>
      <c r="L400" s="14" t="s">
        <v>4986</v>
      </c>
      <c r="M400" s="14" t="s">
        <v>9158</v>
      </c>
      <c r="N400" s="14" t="s">
        <v>9158</v>
      </c>
      <c r="O400" s="19" t="s">
        <v>10112</v>
      </c>
      <c r="P400" s="14" t="s">
        <v>13150</v>
      </c>
      <c r="Q400" s="14">
        <v>1</v>
      </c>
    </row>
    <row r="401" spans="1:17">
      <c r="A401" s="14">
        <v>83093</v>
      </c>
      <c r="B401" s="14" t="s">
        <v>0</v>
      </c>
      <c r="C401" s="14" t="s">
        <v>158</v>
      </c>
      <c r="D401" s="19" t="s">
        <v>10490</v>
      </c>
      <c r="E401" s="15" t="str">
        <f>HYPERLINK("https://stat100.ameba.jp/tnk47/ratio20/illustrations/card/ill_83093_yusuraume03.jpg?202005-i_prefecture_active_user", "■")</f>
        <v>■</v>
      </c>
      <c r="F401" s="14" t="s">
        <v>6267</v>
      </c>
      <c r="G401" s="14">
        <v>126858</v>
      </c>
      <c r="H401" s="14">
        <v>91876</v>
      </c>
      <c r="I401" s="14">
        <v>24</v>
      </c>
      <c r="J401" s="14" t="s">
        <v>104</v>
      </c>
      <c r="K401" s="14" t="s">
        <v>6266</v>
      </c>
      <c r="L401" s="14" t="s">
        <v>2409</v>
      </c>
      <c r="M401" s="14" t="s">
        <v>9158</v>
      </c>
      <c r="N401" s="14" t="s">
        <v>9158</v>
      </c>
      <c r="O401" s="19" t="s">
        <v>10090</v>
      </c>
      <c r="P401" s="14" t="s">
        <v>3460</v>
      </c>
      <c r="Q401" s="14">
        <v>1</v>
      </c>
    </row>
    <row r="402" spans="1:17">
      <c r="A402" s="14">
        <v>71333</v>
      </c>
      <c r="B402" s="14" t="s">
        <v>0</v>
      </c>
      <c r="C402" s="14" t="s">
        <v>41</v>
      </c>
      <c r="D402" s="20" t="s">
        <v>10256</v>
      </c>
      <c r="E402" s="15" t="str">
        <f>HYPERLINK("https://stat100.ameba.jp/tnk47/ratio20/illustrations/card/ill_71333_fujiwaranokamatari03.jpg?202005-i_prefecture_active_user", "■")</f>
        <v>■</v>
      </c>
      <c r="F402" s="14" t="s">
        <v>58</v>
      </c>
      <c r="G402" s="14">
        <v>104890</v>
      </c>
      <c r="H402" s="14">
        <v>75984</v>
      </c>
      <c r="I402" s="14">
        <v>24</v>
      </c>
      <c r="J402" s="14" t="s">
        <v>10</v>
      </c>
      <c r="K402" s="14" t="s">
        <v>59</v>
      </c>
      <c r="L402" s="14" t="s">
        <v>60</v>
      </c>
      <c r="M402" s="14" t="s">
        <v>9158</v>
      </c>
      <c r="N402" s="14" t="s">
        <v>9158</v>
      </c>
      <c r="O402" s="19" t="s">
        <v>10098</v>
      </c>
      <c r="P402" s="14" t="s">
        <v>3491</v>
      </c>
      <c r="Q402" s="14">
        <v>1</v>
      </c>
    </row>
    <row r="404" spans="1:17">
      <c r="A404" s="14" t="s">
        <v>12350</v>
      </c>
    </row>
    <row r="405" spans="1:17">
      <c r="A405" s="14" t="s">
        <v>12351</v>
      </c>
    </row>
    <row r="406" spans="1:17">
      <c r="A406" s="9" t="s">
        <v>6030</v>
      </c>
      <c r="B406" s="14" t="s">
        <v>330</v>
      </c>
      <c r="C406" s="14" t="s">
        <v>202</v>
      </c>
      <c r="D406" s="14" t="s">
        <v>3708</v>
      </c>
      <c r="E406" s="15" t="str">
        <f>HYPERLINK("https://stat100.ameba.jp/tnk47/ratio20/illustrations/card/ill_80023_0_hinamatsurikyogokumaria03.jpg?202005-i_prefecture_active_user", "■")</f>
        <v>■</v>
      </c>
      <c r="F406" s="14" t="s">
        <v>3709</v>
      </c>
      <c r="G406" s="14">
        <v>269524</v>
      </c>
      <c r="H406" s="14">
        <v>298240</v>
      </c>
      <c r="I406" s="14">
        <v>20</v>
      </c>
      <c r="J406" s="14" t="s">
        <v>26</v>
      </c>
      <c r="K406" s="14" t="s">
        <v>3710</v>
      </c>
      <c r="L406" s="14" t="s">
        <v>3711</v>
      </c>
      <c r="M406" s="14" t="s">
        <v>9158</v>
      </c>
      <c r="N406" s="14" t="s">
        <v>9158</v>
      </c>
      <c r="O406" s="9" t="s">
        <v>3712</v>
      </c>
      <c r="P406" s="14" t="s">
        <v>3713</v>
      </c>
      <c r="Q406" s="14">
        <v>1</v>
      </c>
    </row>
    <row r="407" spans="1:17">
      <c r="A407" s="14">
        <v>88713</v>
      </c>
      <c r="B407" s="14" t="s">
        <v>334</v>
      </c>
      <c r="C407" s="14" t="s">
        <v>12353</v>
      </c>
      <c r="D407" s="14" t="s">
        <v>12352</v>
      </c>
      <c r="E407" s="15" t="str">
        <f>HYPERLINK("https://stat100.ameba.jp/tnk47/ratio20/illustrations/card/ill_88713_pammatsurifuigunattsu03.jpg?202005-i_prefecture_active_user", "■")</f>
        <v>■</v>
      </c>
      <c r="F407" s="14" t="s">
        <v>12354</v>
      </c>
      <c r="G407" s="14">
        <v>107392</v>
      </c>
      <c r="H407" s="14">
        <v>190884</v>
      </c>
      <c r="I407" s="14">
        <v>26</v>
      </c>
      <c r="J407" s="14" t="s">
        <v>12357</v>
      </c>
      <c r="K407" s="14" t="s">
        <v>12355</v>
      </c>
      <c r="L407" s="14" t="s">
        <v>12356</v>
      </c>
      <c r="M407" s="14" t="s">
        <v>9158</v>
      </c>
      <c r="N407" s="14" t="s">
        <v>9158</v>
      </c>
      <c r="O407" s="14" t="s">
        <v>9158</v>
      </c>
      <c r="P407" s="14" t="s">
        <v>9158</v>
      </c>
      <c r="Q407" s="14" t="s">
        <v>9158</v>
      </c>
    </row>
    <row r="408" spans="1:17">
      <c r="A408" s="14">
        <v>88712</v>
      </c>
      <c r="B408" s="14" t="s">
        <v>334</v>
      </c>
      <c r="C408" s="14" t="s">
        <v>12353</v>
      </c>
      <c r="D408" s="14" t="s">
        <v>12352</v>
      </c>
      <c r="E408" s="15" t="str">
        <f>HYPERLINK("https://stat100.ameba.jp/tnk47/ratio20/illustrations/card/ill_88712_pammatsurifuigunattsu02.jpg?202005-i_prefecture_active_user", "■")</f>
        <v>■</v>
      </c>
      <c r="F408" s="14" t="s">
        <v>12354</v>
      </c>
      <c r="G408" s="14">
        <v>89376</v>
      </c>
      <c r="H408" s="14">
        <v>158822</v>
      </c>
      <c r="I408" s="14">
        <v>26</v>
      </c>
      <c r="J408" s="14" t="s">
        <v>12357</v>
      </c>
      <c r="K408" s="14" t="s">
        <v>12355</v>
      </c>
      <c r="L408" s="14" t="s">
        <v>12356</v>
      </c>
      <c r="M408" s="14" t="s">
        <v>9158</v>
      </c>
      <c r="N408" s="14" t="s">
        <v>9158</v>
      </c>
      <c r="O408" s="14" t="s">
        <v>9158</v>
      </c>
      <c r="P408" s="14" t="s">
        <v>9158</v>
      </c>
      <c r="Q408" s="14" t="s">
        <v>9158</v>
      </c>
    </row>
    <row r="409" spans="1:17">
      <c r="A409" s="14">
        <v>88711</v>
      </c>
      <c r="B409" s="14" t="s">
        <v>334</v>
      </c>
      <c r="C409" s="14" t="s">
        <v>12353</v>
      </c>
      <c r="D409" s="14" t="s">
        <v>12352</v>
      </c>
      <c r="E409" s="15" t="str">
        <f>HYPERLINK("https://stat100.ameba.jp/tnk47/ratio20/illustrations/card/ill_88711_pammatsurifuigunattsu01.jpg?202005-i_prefecture_active_user", "■")</f>
        <v>■</v>
      </c>
      <c r="F409" s="14" t="s">
        <v>12354</v>
      </c>
      <c r="G409" s="14">
        <v>68588</v>
      </c>
      <c r="H409" s="14">
        <v>121888</v>
      </c>
      <c r="I409" s="14">
        <v>26</v>
      </c>
      <c r="J409" s="14" t="s">
        <v>12357</v>
      </c>
      <c r="K409" s="14" t="s">
        <v>12355</v>
      </c>
      <c r="L409" s="14" t="s">
        <v>12356</v>
      </c>
      <c r="M409" s="14" t="s">
        <v>9158</v>
      </c>
      <c r="N409" s="14" t="s">
        <v>9158</v>
      </c>
      <c r="O409" s="14" t="s">
        <v>9158</v>
      </c>
      <c r="P409" s="14" t="s">
        <v>9158</v>
      </c>
      <c r="Q409" s="14" t="s">
        <v>9158</v>
      </c>
    </row>
    <row r="410" spans="1:17">
      <c r="A410" s="14">
        <v>88723</v>
      </c>
      <c r="B410" s="14" t="s">
        <v>334</v>
      </c>
      <c r="C410" s="14" t="s">
        <v>12358</v>
      </c>
      <c r="D410" s="14" t="s">
        <v>12360</v>
      </c>
      <c r="E410" s="15" t="str">
        <f>HYPERLINK("https://stat100.ameba.jp/tnk47/ratio20/illustrations/card/ill_88723_pammatsurikuressento03.jpg?202005-i_prefecture_active_user", "■")</f>
        <v>■</v>
      </c>
      <c r="F410" s="14" t="s">
        <v>12359</v>
      </c>
      <c r="G410" s="14">
        <v>107392</v>
      </c>
      <c r="H410" s="14">
        <v>190884</v>
      </c>
      <c r="I410" s="14">
        <v>26</v>
      </c>
      <c r="J410" s="14" t="s">
        <v>12363</v>
      </c>
      <c r="K410" s="14" t="s">
        <v>12362</v>
      </c>
      <c r="L410" s="14" t="s">
        <v>12361</v>
      </c>
      <c r="M410" s="14" t="s">
        <v>9158</v>
      </c>
      <c r="N410" s="14" t="s">
        <v>9158</v>
      </c>
      <c r="O410" s="14" t="s">
        <v>9158</v>
      </c>
      <c r="P410" s="14" t="s">
        <v>9158</v>
      </c>
      <c r="Q410" s="14" t="s">
        <v>9158</v>
      </c>
    </row>
    <row r="411" spans="1:17">
      <c r="A411" s="14">
        <v>88722</v>
      </c>
      <c r="B411" s="14" t="s">
        <v>334</v>
      </c>
      <c r="C411" s="14" t="s">
        <v>12358</v>
      </c>
      <c r="D411" s="14" t="s">
        <v>12360</v>
      </c>
      <c r="E411" s="15" t="str">
        <f>HYPERLINK("https://stat100.ameba.jp/tnk47/ratio20/illustrations/card/ill_88722_pammatsurikuressento02.jpg?202005-i_prefecture_active_user", "■")</f>
        <v>■</v>
      </c>
      <c r="F411" s="14" t="s">
        <v>12359</v>
      </c>
      <c r="G411" s="14">
        <v>89376</v>
      </c>
      <c r="H411" s="14">
        <v>158822</v>
      </c>
      <c r="I411" s="14">
        <v>26</v>
      </c>
      <c r="J411" s="14" t="s">
        <v>12363</v>
      </c>
      <c r="K411" s="14" t="s">
        <v>12362</v>
      </c>
      <c r="L411" s="14" t="s">
        <v>12365</v>
      </c>
      <c r="M411" s="14" t="s">
        <v>9158</v>
      </c>
      <c r="N411" s="14" t="s">
        <v>9158</v>
      </c>
      <c r="O411" s="14" t="s">
        <v>9158</v>
      </c>
      <c r="P411" s="14" t="s">
        <v>9158</v>
      </c>
      <c r="Q411" s="14" t="s">
        <v>9158</v>
      </c>
    </row>
    <row r="412" spans="1:17">
      <c r="A412" s="14">
        <v>88721</v>
      </c>
      <c r="B412" s="14" t="s">
        <v>334</v>
      </c>
      <c r="C412" s="14" t="s">
        <v>12358</v>
      </c>
      <c r="D412" s="14" t="s">
        <v>12360</v>
      </c>
      <c r="E412" s="15" t="str">
        <f>HYPERLINK("https://stat100.ameba.jp/tnk47/ratio20/illustrations/card/ill_88721_pammatsurikuressento01.jpg?202005-i_prefecture_active_user", "■")</f>
        <v>■</v>
      </c>
      <c r="F412" s="14" t="s">
        <v>12359</v>
      </c>
      <c r="G412" s="14">
        <v>68588</v>
      </c>
      <c r="H412" s="14">
        <v>121888</v>
      </c>
      <c r="I412" s="14">
        <v>26</v>
      </c>
      <c r="J412" s="14" t="s">
        <v>12363</v>
      </c>
      <c r="K412" s="14" t="s">
        <v>12362</v>
      </c>
      <c r="L412" s="14" t="s">
        <v>12364</v>
      </c>
      <c r="M412" s="14" t="s">
        <v>9158</v>
      </c>
      <c r="N412" s="14" t="s">
        <v>9158</v>
      </c>
      <c r="O412" s="14" t="s">
        <v>9158</v>
      </c>
      <c r="P412" s="14" t="s">
        <v>9158</v>
      </c>
      <c r="Q412" s="14" t="s">
        <v>9158</v>
      </c>
    </row>
    <row r="414" spans="1:17">
      <c r="A414" s="14" t="s">
        <v>12368</v>
      </c>
    </row>
    <row r="415" spans="1:17">
      <c r="A415" s="14" t="s">
        <v>12367</v>
      </c>
    </row>
    <row r="416" spans="1:17">
      <c r="A416" s="14" t="s">
        <v>12366</v>
      </c>
    </row>
    <row r="417" spans="1:17">
      <c r="A417" s="14" t="s">
        <v>12372</v>
      </c>
      <c r="B417" s="14" t="s">
        <v>12371</v>
      </c>
      <c r="C417" s="14" t="s">
        <v>12370</v>
      </c>
      <c r="D417" s="14" t="s">
        <v>12369</v>
      </c>
      <c r="E417" s="15" t="str">
        <f>HYPERLINK("https://stat100.ameba.jp/tnk47/ratio20/illustrations/card/ill_89543_0_tenkurokambammusume03.jpg?202005-i_prefecture_active_user", "■")</f>
        <v>■</v>
      </c>
      <c r="F417" s="14" t="s">
        <v>12374</v>
      </c>
      <c r="G417" s="14">
        <v>416548</v>
      </c>
      <c r="H417" s="14">
        <v>460942</v>
      </c>
      <c r="I417" s="14">
        <v>35</v>
      </c>
      <c r="J417" s="14" t="s">
        <v>12373</v>
      </c>
      <c r="K417" s="14" t="s">
        <v>12375</v>
      </c>
      <c r="L417" s="14" t="s">
        <v>12376</v>
      </c>
      <c r="M417" s="14" t="s">
        <v>9158</v>
      </c>
      <c r="N417" s="14" t="s">
        <v>9158</v>
      </c>
      <c r="O417" s="14" t="s">
        <v>9158</v>
      </c>
      <c r="P417" s="14" t="s">
        <v>9158</v>
      </c>
      <c r="Q417" s="14" t="s">
        <v>9158</v>
      </c>
    </row>
    <row r="418" spans="1:17">
      <c r="A418" s="9" t="s">
        <v>11935</v>
      </c>
      <c r="B418" s="9" t="s">
        <v>117</v>
      </c>
      <c r="C418" s="9" t="s">
        <v>35</v>
      </c>
      <c r="D418" s="20" t="s">
        <v>10932</v>
      </c>
      <c r="E418" s="15" t="str">
        <f>HYPERLINK("https://stat100.ameba.jp/tnk47/ratio20/illustrations/card/ill_87453_0_tenkuroinoshikacho03.jpg?202005-i_prefecture_active_user", "■")</f>
        <v>■</v>
      </c>
      <c r="F418" s="9" t="s">
        <v>9175</v>
      </c>
      <c r="G418" s="9">
        <v>450016</v>
      </c>
      <c r="H418" s="9">
        <v>406728</v>
      </c>
      <c r="I418" s="9">
        <v>35</v>
      </c>
      <c r="J418" s="9" t="s">
        <v>16</v>
      </c>
      <c r="K418" s="9" t="s">
        <v>9177</v>
      </c>
      <c r="L418" s="9" t="s">
        <v>9178</v>
      </c>
      <c r="M418" s="14" t="s">
        <v>9158</v>
      </c>
      <c r="N418" s="14" t="s">
        <v>9158</v>
      </c>
      <c r="O418" s="14" t="s">
        <v>9158</v>
      </c>
      <c r="P418" s="14" t="s">
        <v>9158</v>
      </c>
      <c r="Q418" s="14" t="s">
        <v>9158</v>
      </c>
    </row>
    <row r="419" spans="1:17">
      <c r="A419" s="9" t="s">
        <v>9769</v>
      </c>
      <c r="B419" s="9" t="s">
        <v>117</v>
      </c>
      <c r="C419" s="9" t="s">
        <v>202</v>
      </c>
      <c r="D419" s="19" t="s">
        <v>10993</v>
      </c>
      <c r="E419" s="15" t="str">
        <f>HYPERLINK("https://stat100.ameba.jp/tnk47/ratio20/illustrations/card/ill_88093_0_tenkurorisshunka03.jpg?202005-i_prefecture_active_user", "■")</f>
        <v>■</v>
      </c>
      <c r="F419" s="9" t="s">
        <v>9775</v>
      </c>
      <c r="G419" s="9">
        <v>406728</v>
      </c>
      <c r="H419" s="9">
        <v>450016</v>
      </c>
      <c r="I419" s="9">
        <v>35</v>
      </c>
      <c r="J419" s="9" t="s">
        <v>169</v>
      </c>
      <c r="K419" s="9" t="s">
        <v>9773</v>
      </c>
      <c r="L419" s="9" t="s">
        <v>9772</v>
      </c>
      <c r="M419" s="14" t="s">
        <v>9158</v>
      </c>
      <c r="N419" s="14" t="s">
        <v>9158</v>
      </c>
      <c r="O419" s="14" t="s">
        <v>9158</v>
      </c>
      <c r="P419" s="14" t="s">
        <v>9158</v>
      </c>
      <c r="Q419" s="14" t="s">
        <v>9158</v>
      </c>
    </row>
    <row r="420" spans="1:17">
      <c r="A420" s="9" t="s">
        <v>11934</v>
      </c>
      <c r="B420" s="9" t="s">
        <v>117</v>
      </c>
      <c r="C420" s="9" t="s">
        <v>35</v>
      </c>
      <c r="D420" s="21" t="s">
        <v>11928</v>
      </c>
      <c r="E420" s="15" t="str">
        <f>HYPERLINK("https://stat100.ameba.jp/tnk47/ratio20/illustrations/card/ill_88143_0_tenkurodentokogei03.jpg?202005-i_prefecture_active_user", "■")</f>
        <v>■</v>
      </c>
      <c r="F420" s="9" t="s">
        <v>11929</v>
      </c>
      <c r="G420" s="9">
        <v>460942</v>
      </c>
      <c r="H420" s="9">
        <v>416548</v>
      </c>
      <c r="I420" s="9">
        <v>35</v>
      </c>
      <c r="J420" s="9" t="s">
        <v>26</v>
      </c>
      <c r="K420" s="14" t="s">
        <v>11931</v>
      </c>
      <c r="L420" s="14" t="s">
        <v>13250</v>
      </c>
      <c r="M420" s="14" t="s">
        <v>9158</v>
      </c>
      <c r="N420" s="14" t="s">
        <v>9158</v>
      </c>
      <c r="O420" s="14" t="s">
        <v>9158</v>
      </c>
      <c r="P420" s="14" t="s">
        <v>9158</v>
      </c>
      <c r="Q420" s="14" t="s">
        <v>9158</v>
      </c>
    </row>
    <row r="421" spans="1:17">
      <c r="A421" s="14" t="s">
        <v>5624</v>
      </c>
      <c r="B421" s="14" t="s">
        <v>52</v>
      </c>
      <c r="C421" s="14" t="s">
        <v>101</v>
      </c>
      <c r="D421" s="19" t="s">
        <v>1426</v>
      </c>
      <c r="E421" s="15" t="str">
        <f>HYPERLINK("https://stat100.ameba.jp/tnk47/ratio20/illustrations/card/ill_64953_0_yukatatokugawayoshinobu03.jpg?202005-i_prefecture_active_user", "■")</f>
        <v>■</v>
      </c>
      <c r="F421" s="14" t="s">
        <v>2090</v>
      </c>
      <c r="G421" s="14">
        <v>137060</v>
      </c>
      <c r="H421" s="14">
        <v>147404</v>
      </c>
      <c r="I421" s="14">
        <v>22</v>
      </c>
      <c r="J421" s="14" t="s">
        <v>10</v>
      </c>
      <c r="K421" s="14" t="s">
        <v>2091</v>
      </c>
      <c r="L421" s="14" t="s">
        <v>2092</v>
      </c>
      <c r="M421" s="14" t="s">
        <v>9158</v>
      </c>
      <c r="N421" s="14" t="s">
        <v>9158</v>
      </c>
      <c r="O421" s="19" t="s">
        <v>2889</v>
      </c>
      <c r="P421" s="14" t="s">
        <v>2890</v>
      </c>
      <c r="Q421" s="14">
        <v>1</v>
      </c>
    </row>
    <row r="422" spans="1:17">
      <c r="A422" s="14">
        <v>83903</v>
      </c>
      <c r="B422" s="14" t="s">
        <v>0</v>
      </c>
      <c r="C422" s="14" t="s">
        <v>185</v>
      </c>
      <c r="D422" s="19" t="s">
        <v>10643</v>
      </c>
      <c r="E422" s="15" t="str">
        <f>HYPERLINK("https://stat100.ameba.jp/tnk47/ratio20/illustrations/card/ill_83903_manekinekotsurumyojin03.jpg?202005-i_prefecture_active_user", "■")</f>
        <v>■</v>
      </c>
      <c r="F422" s="14" t="s">
        <v>7078</v>
      </c>
      <c r="G422" s="14">
        <v>118656</v>
      </c>
      <c r="H422" s="14">
        <v>110126</v>
      </c>
      <c r="I422" s="14">
        <v>26</v>
      </c>
      <c r="J422" s="14" t="s">
        <v>38</v>
      </c>
      <c r="K422" s="14" t="s">
        <v>7077</v>
      </c>
      <c r="L422" s="14" t="s">
        <v>4856</v>
      </c>
      <c r="M422" s="14" t="s">
        <v>9158</v>
      </c>
      <c r="N422" s="14" t="s">
        <v>9158</v>
      </c>
      <c r="O422" s="14" t="s">
        <v>9158</v>
      </c>
      <c r="P422" s="14" t="s">
        <v>9158</v>
      </c>
      <c r="Q422" s="14" t="s">
        <v>9158</v>
      </c>
    </row>
    <row r="423" spans="1:17">
      <c r="A423" s="14">
        <v>68323</v>
      </c>
      <c r="B423" s="14" t="s">
        <v>0</v>
      </c>
      <c r="C423" s="14" t="s">
        <v>200</v>
      </c>
      <c r="D423" s="19" t="s">
        <v>10693</v>
      </c>
      <c r="E423" s="15" t="str">
        <f>HYPERLINK("https://stat100.ameba.jp/tnk47/ratio20/illustrations/card/ill_68323_shurambonenkaihayashifumiko03.jpg?202005-i_prefecture_active_user", "■")</f>
        <v>■</v>
      </c>
      <c r="F423" s="14" t="s">
        <v>7410</v>
      </c>
      <c r="G423" s="14">
        <v>105426</v>
      </c>
      <c r="H423" s="14">
        <v>98066</v>
      </c>
      <c r="I423" s="14">
        <v>26</v>
      </c>
      <c r="J423" s="14" t="s">
        <v>159</v>
      </c>
      <c r="K423" s="14" t="s">
        <v>7409</v>
      </c>
      <c r="L423" s="14" t="s">
        <v>1149</v>
      </c>
      <c r="M423" s="14" t="s">
        <v>9158</v>
      </c>
      <c r="N423" s="14" t="s">
        <v>9158</v>
      </c>
      <c r="O423" s="14" t="s">
        <v>9158</v>
      </c>
      <c r="P423" s="14" t="s">
        <v>9158</v>
      </c>
      <c r="Q423" s="14" t="s">
        <v>9158</v>
      </c>
    </row>
    <row r="424" spans="1:17">
      <c r="A424" s="7">
        <v>65773</v>
      </c>
      <c r="B424" s="14" t="s">
        <v>334</v>
      </c>
      <c r="C424" s="14" t="s">
        <v>191</v>
      </c>
      <c r="D424" s="20" t="s">
        <v>10843</v>
      </c>
      <c r="E424" s="15" t="str">
        <f>HYPERLINK("https://stat100.ameba.jp/tnk47/ratio20/illustrations/card/ill_65773_kitsunenoyomeiri03.jpg?202005-i_prefecture_active_user", "■")</f>
        <v>■</v>
      </c>
      <c r="F424" s="14" t="s">
        <v>8545</v>
      </c>
      <c r="G424" s="14">
        <v>118656</v>
      </c>
      <c r="H424" s="14">
        <v>110126</v>
      </c>
      <c r="I424" s="14">
        <v>26</v>
      </c>
      <c r="J424" s="14" t="s">
        <v>155</v>
      </c>
      <c r="K424" s="14" t="s">
        <v>8547</v>
      </c>
      <c r="L424" s="14" t="s">
        <v>1416</v>
      </c>
      <c r="M424" s="14" t="s">
        <v>9158</v>
      </c>
      <c r="N424" s="14" t="s">
        <v>9158</v>
      </c>
      <c r="O424" s="14" t="s">
        <v>9158</v>
      </c>
      <c r="P424" s="14" t="s">
        <v>9158</v>
      </c>
      <c r="Q424" s="14" t="s">
        <v>9158</v>
      </c>
    </row>
    <row r="425" spans="1:17">
      <c r="A425" s="14">
        <v>78993</v>
      </c>
      <c r="B425" s="14" t="s">
        <v>0</v>
      </c>
      <c r="C425" s="14" t="s">
        <v>165</v>
      </c>
      <c r="D425" s="19" t="s">
        <v>3099</v>
      </c>
      <c r="E425" s="15" t="str">
        <f>HYPERLINK("https://stat100.ameba.jp/tnk47/ratio20/illustrations/card/ill_78993_uintasupotsutsukimizakechan03.jpg?202005-i_prefecture_active_user", "■")</f>
        <v>■</v>
      </c>
      <c r="F425" s="14" t="s">
        <v>6842</v>
      </c>
      <c r="G425" s="14">
        <v>122786</v>
      </c>
      <c r="H425" s="14">
        <v>114176</v>
      </c>
      <c r="I425" s="14">
        <v>26</v>
      </c>
      <c r="J425" s="14" t="s">
        <v>216</v>
      </c>
      <c r="K425" s="14" t="s">
        <v>6841</v>
      </c>
      <c r="L425" s="14" t="s">
        <v>1108</v>
      </c>
      <c r="M425" s="14" t="s">
        <v>9158</v>
      </c>
      <c r="N425" s="14" t="s">
        <v>9158</v>
      </c>
      <c r="O425" s="14" t="s">
        <v>9158</v>
      </c>
      <c r="P425" s="14" t="s">
        <v>9158</v>
      </c>
      <c r="Q425" s="14" t="s">
        <v>9158</v>
      </c>
    </row>
    <row r="426" spans="1:17">
      <c r="A426" s="14">
        <v>82033</v>
      </c>
      <c r="B426" s="14" t="s">
        <v>334</v>
      </c>
      <c r="C426" s="14" t="s">
        <v>205</v>
      </c>
      <c r="D426" s="19" t="s">
        <v>10240</v>
      </c>
      <c r="E426" s="15" t="str">
        <f>HYPERLINK("https://stat100.ameba.jp/tnk47/ratio20/illustrations/card/ill_82033_chichinohiakashirejina03.jpg?202005-i_prefecture_active_user", "■")</f>
        <v>■</v>
      </c>
      <c r="F426" s="14" t="s">
        <v>5126</v>
      </c>
      <c r="G426" s="14">
        <v>101558</v>
      </c>
      <c r="H426" s="14">
        <v>94390</v>
      </c>
      <c r="I426" s="14">
        <v>26</v>
      </c>
      <c r="J426" s="14" t="s">
        <v>10</v>
      </c>
      <c r="K426" s="14" t="s">
        <v>5128</v>
      </c>
      <c r="L426" s="14" t="s">
        <v>4347</v>
      </c>
      <c r="M426" s="14" t="s">
        <v>9158</v>
      </c>
      <c r="N426" s="14" t="s">
        <v>9158</v>
      </c>
      <c r="O426" s="14" t="s">
        <v>9158</v>
      </c>
      <c r="P426" s="14" t="s">
        <v>9158</v>
      </c>
      <c r="Q426" s="14" t="s">
        <v>9158</v>
      </c>
    </row>
    <row r="427" spans="1:17">
      <c r="A427" s="7">
        <v>75573</v>
      </c>
      <c r="B427" s="7" t="s">
        <v>0</v>
      </c>
      <c r="C427" s="7" t="s">
        <v>206</v>
      </c>
      <c r="D427" s="19" t="s">
        <v>10380</v>
      </c>
      <c r="E427" s="15" t="str">
        <f>HYPERLINK("https://stat100.ameba.jp/tnk47/ratio20/illustrations/card/ill_75573_niirotadamoto03.jpg?202005-i_prefecture_active_user", "■")</f>
        <v>■</v>
      </c>
      <c r="F427" s="7" t="s">
        <v>5726</v>
      </c>
      <c r="G427" s="7">
        <v>154562</v>
      </c>
      <c r="H427" s="7">
        <v>143714</v>
      </c>
      <c r="I427" s="14">
        <v>26</v>
      </c>
      <c r="J427" s="7" t="s">
        <v>194</v>
      </c>
      <c r="K427" s="7" t="s">
        <v>5728</v>
      </c>
      <c r="L427" s="7" t="s">
        <v>3459</v>
      </c>
      <c r="M427" s="14" t="s">
        <v>9158</v>
      </c>
      <c r="N427" s="14" t="s">
        <v>9158</v>
      </c>
      <c r="O427" s="14" t="s">
        <v>9158</v>
      </c>
      <c r="P427" s="14" t="s">
        <v>9158</v>
      </c>
      <c r="Q427" s="14" t="s">
        <v>9158</v>
      </c>
    </row>
    <row r="429" spans="1:17">
      <c r="A429" s="14" t="s">
        <v>6512</v>
      </c>
    </row>
    <row r="430" spans="1:17">
      <c r="A430" s="14" t="s">
        <v>12377</v>
      </c>
    </row>
    <row r="431" spans="1:17">
      <c r="A431" s="14" t="s">
        <v>5615</v>
      </c>
      <c r="B431" s="14" t="s">
        <v>330</v>
      </c>
      <c r="C431" s="14" t="s">
        <v>206</v>
      </c>
      <c r="D431" s="19" t="s">
        <v>2814</v>
      </c>
      <c r="E431" s="15" t="str">
        <f>HYPERLINK("https://stat100.ameba.jp/tnk47/ratio20/illustrations/card/ill_57733_0_shogatsunisenjunanaamakusashiro03.jpg?202005-i_prefecture_active_user", "■")</f>
        <v>■</v>
      </c>
      <c r="F431" s="14" t="s">
        <v>2815</v>
      </c>
      <c r="G431" s="14">
        <v>133938</v>
      </c>
      <c r="H431" s="14">
        <v>150776</v>
      </c>
      <c r="I431" s="14">
        <v>24</v>
      </c>
      <c r="J431" s="14" t="s">
        <v>351</v>
      </c>
      <c r="K431" s="14" t="s">
        <v>2816</v>
      </c>
      <c r="L431" s="14" t="s">
        <v>2817</v>
      </c>
      <c r="M431" s="14" t="s">
        <v>9158</v>
      </c>
      <c r="N431" s="14" t="s">
        <v>9158</v>
      </c>
      <c r="O431" s="19" t="s">
        <v>10077</v>
      </c>
      <c r="P431" s="14" t="s">
        <v>3062</v>
      </c>
      <c r="Q431" s="14">
        <v>1</v>
      </c>
    </row>
    <row r="432" spans="1:17">
      <c r="A432" s="14" t="s">
        <v>5602</v>
      </c>
      <c r="B432" s="14" t="s">
        <v>52</v>
      </c>
      <c r="C432" s="14" t="s">
        <v>14</v>
      </c>
      <c r="D432" s="19" t="s">
        <v>813</v>
      </c>
      <c r="E432" s="15" t="str">
        <f>HYPERLINK("https://stat100.ameba.jp/tnk47/ratio20/illustrations/card/ill_55313_0_haroinononokomachi03.jpg?202005-i_prefecture_active_user", "■")</f>
        <v>■</v>
      </c>
      <c r="F432" s="14" t="s">
        <v>2094</v>
      </c>
      <c r="G432" s="14">
        <v>150776</v>
      </c>
      <c r="H432" s="14">
        <v>133938</v>
      </c>
      <c r="I432" s="14">
        <v>24</v>
      </c>
      <c r="J432" s="14" t="s">
        <v>10</v>
      </c>
      <c r="K432" s="14" t="s">
        <v>2095</v>
      </c>
      <c r="L432" s="14" t="s">
        <v>2096</v>
      </c>
      <c r="M432" s="14" t="s">
        <v>9158</v>
      </c>
      <c r="N432" s="14" t="s">
        <v>9158</v>
      </c>
      <c r="O432" s="19" t="s">
        <v>2733</v>
      </c>
      <c r="P432" s="14" t="s">
        <v>2734</v>
      </c>
      <c r="Q432" s="14">
        <v>1</v>
      </c>
    </row>
    <row r="433" spans="1:17">
      <c r="A433" s="14" t="s">
        <v>5625</v>
      </c>
      <c r="B433" s="14" t="s">
        <v>330</v>
      </c>
      <c r="C433" s="14" t="s">
        <v>200</v>
      </c>
      <c r="D433" s="20" t="s">
        <v>630</v>
      </c>
      <c r="E433" s="15" t="str">
        <f>HYPERLINK("https://stat100.ameba.jp/tnk47/ratio20/illustrations/card/ill_48283_0_kyuubitamamonomae03.jpg?202005-i_prefecture_active_user", "■")</f>
        <v>■</v>
      </c>
      <c r="F433" s="14" t="s">
        <v>631</v>
      </c>
      <c r="G433" s="14">
        <v>150776</v>
      </c>
      <c r="H433" s="14">
        <v>133938</v>
      </c>
      <c r="I433" s="14">
        <v>24</v>
      </c>
      <c r="J433" s="14" t="s">
        <v>320</v>
      </c>
      <c r="K433" s="14" t="s">
        <v>632</v>
      </c>
      <c r="L433" s="14" t="s">
        <v>633</v>
      </c>
      <c r="M433" s="14" t="s">
        <v>9158</v>
      </c>
      <c r="N433" s="14" t="s">
        <v>9158</v>
      </c>
      <c r="O433" s="14" t="s">
        <v>9158</v>
      </c>
      <c r="P433" s="14" t="s">
        <v>9158</v>
      </c>
      <c r="Q433" s="14" t="s">
        <v>9158</v>
      </c>
    </row>
    <row r="434" spans="1:17">
      <c r="A434" s="14">
        <v>56613</v>
      </c>
      <c r="B434" s="14" t="s">
        <v>0</v>
      </c>
      <c r="C434" s="14" t="s">
        <v>150</v>
      </c>
      <c r="D434" s="14" t="s">
        <v>146</v>
      </c>
      <c r="E434" s="15" t="str">
        <f>HYPERLINK("https://stat100.ameba.jp/tnk47/ratio20/illustrations/card/ill_56613_genjushimasakon03.jpg?202005-i_prefecture_active_user", "■")</f>
        <v>■</v>
      </c>
      <c r="F434" s="14" t="s">
        <v>147</v>
      </c>
      <c r="G434" s="14">
        <v>148199</v>
      </c>
      <c r="H434" s="14">
        <v>89590</v>
      </c>
      <c r="I434" s="14">
        <v>25</v>
      </c>
      <c r="J434" s="14" t="s">
        <v>143</v>
      </c>
      <c r="K434" s="14" t="s">
        <v>148</v>
      </c>
      <c r="L434" s="14" t="s">
        <v>149</v>
      </c>
      <c r="M434" s="14" t="s">
        <v>9158</v>
      </c>
      <c r="N434" s="14" t="s">
        <v>9158</v>
      </c>
      <c r="O434" s="17" t="s">
        <v>10056</v>
      </c>
      <c r="P434" s="14" t="s">
        <v>3853</v>
      </c>
      <c r="Q434" s="14">
        <v>1</v>
      </c>
    </row>
    <row r="435" spans="1:17">
      <c r="A435" s="9">
        <v>55433</v>
      </c>
      <c r="B435" s="14" t="s">
        <v>15</v>
      </c>
      <c r="C435" s="14" t="s">
        <v>191</v>
      </c>
      <c r="D435" s="14" t="s">
        <v>1005</v>
      </c>
      <c r="E435" s="15" t="str">
        <f>HYPERLINK("https://stat100.ameba.jp/tnk47/ratio20/illustrations/card/ill_55433_bunkasaiodainokata03.jpg?202005-i_prefecture_active_user", "■")</f>
        <v>■</v>
      </c>
      <c r="F435" s="14" t="s">
        <v>1006</v>
      </c>
      <c r="G435" s="14">
        <v>74100</v>
      </c>
      <c r="H435" s="14">
        <v>67210</v>
      </c>
      <c r="I435" s="14">
        <v>25</v>
      </c>
      <c r="J435" s="14" t="s">
        <v>10</v>
      </c>
      <c r="K435" s="14" t="s">
        <v>1007</v>
      </c>
      <c r="L435" s="14" t="s">
        <v>1008</v>
      </c>
      <c r="M435" s="14" t="s">
        <v>9158</v>
      </c>
      <c r="N435" s="14" t="s">
        <v>9158</v>
      </c>
      <c r="O435" s="14" t="s">
        <v>9158</v>
      </c>
      <c r="P435" s="14" t="s">
        <v>9158</v>
      </c>
      <c r="Q435" s="14" t="s">
        <v>9158</v>
      </c>
    </row>
    <row r="436" spans="1:17">
      <c r="A436" s="14">
        <v>33723</v>
      </c>
      <c r="B436" s="14" t="s">
        <v>12379</v>
      </c>
      <c r="C436" s="14" t="s">
        <v>165</v>
      </c>
      <c r="D436" s="14" t="s">
        <v>12378</v>
      </c>
      <c r="E436" s="15" t="str">
        <f>HYPERLINK("https://stat100.ameba.jp/tnk47/ratio20/illustrations/card/ill_33723_yatsuhashikurepu03.jpg?202005-i_prefecture_active_user", "■")</f>
        <v>■</v>
      </c>
      <c r="F436" s="14" t="s">
        <v>12380</v>
      </c>
      <c r="G436" s="14">
        <v>43220</v>
      </c>
      <c r="H436" s="14">
        <v>51980</v>
      </c>
      <c r="I436" s="14">
        <v>25</v>
      </c>
      <c r="J436" s="14" t="s">
        <v>12382</v>
      </c>
      <c r="K436" s="14" t="s">
        <v>12383</v>
      </c>
      <c r="L436" s="14" t="s">
        <v>12381</v>
      </c>
      <c r="M436" s="14" t="s">
        <v>9158</v>
      </c>
      <c r="N436" s="14" t="s">
        <v>9158</v>
      </c>
      <c r="O436" s="14" t="s">
        <v>9158</v>
      </c>
      <c r="P436" s="14" t="s">
        <v>9158</v>
      </c>
      <c r="Q436" s="14" t="s">
        <v>9158</v>
      </c>
    </row>
    <row r="437" spans="1:17">
      <c r="A437" s="14">
        <v>64543</v>
      </c>
      <c r="B437" s="14" t="s">
        <v>12385</v>
      </c>
      <c r="C437" s="14" t="s">
        <v>12386</v>
      </c>
      <c r="D437" s="14" t="s">
        <v>12384</v>
      </c>
      <c r="E437" s="15" t="str">
        <f>HYPERLINK("https://stat100.ameba.jp/tnk47/ratio20/illustrations/card/ill_64543_inabanoshirosagi03.jpg?202005-i_prefecture_active_user", "■")</f>
        <v>■</v>
      </c>
      <c r="F437" s="14" t="s">
        <v>12389</v>
      </c>
      <c r="G437" s="14">
        <v>26430</v>
      </c>
      <c r="H437" s="14">
        <v>31470</v>
      </c>
      <c r="I437" s="14">
        <v>25</v>
      </c>
      <c r="J437" s="14" t="s">
        <v>155</v>
      </c>
      <c r="K437" s="14" t="s">
        <v>12388</v>
      </c>
      <c r="L437" s="14" t="s">
        <v>12387</v>
      </c>
      <c r="M437" s="14" t="s">
        <v>9158</v>
      </c>
      <c r="N437" s="14" t="s">
        <v>9158</v>
      </c>
      <c r="O437" s="14" t="s">
        <v>9158</v>
      </c>
      <c r="P437" s="14" t="s">
        <v>9158</v>
      </c>
      <c r="Q437" s="14" t="s">
        <v>9158</v>
      </c>
    </row>
    <row r="439" spans="1:17">
      <c r="A439" s="14" t="s">
        <v>12390</v>
      </c>
    </row>
    <row r="440" spans="1:17">
      <c r="A440" s="14" t="s">
        <v>12391</v>
      </c>
    </row>
    <row r="441" spans="1:17">
      <c r="A441" s="14" t="s">
        <v>5607</v>
      </c>
      <c r="B441" s="14" t="s">
        <v>330</v>
      </c>
      <c r="C441" s="14" t="s">
        <v>200</v>
      </c>
      <c r="D441" s="20" t="s">
        <v>421</v>
      </c>
      <c r="E441" s="15" t="str">
        <f>HYPERLINK("https://stat100.ameba.jp/tnk47/ratio20/illustrations/card/ill_58853_0_setsubumpanikkuhiratsukaraicho03.jpg?202005-i_prefecture_active_user", "■")</f>
        <v>■</v>
      </c>
      <c r="F441" s="14" t="s">
        <v>1040</v>
      </c>
      <c r="G441" s="14">
        <v>157060</v>
      </c>
      <c r="H441" s="14">
        <v>139520</v>
      </c>
      <c r="I441" s="14">
        <v>25</v>
      </c>
      <c r="J441" s="14" t="s">
        <v>16</v>
      </c>
      <c r="K441" s="14" t="s">
        <v>1041</v>
      </c>
      <c r="L441" s="14" t="s">
        <v>1042</v>
      </c>
      <c r="M441" s="14" t="s">
        <v>9158</v>
      </c>
      <c r="N441" s="14" t="s">
        <v>9158</v>
      </c>
      <c r="O441" s="19" t="s">
        <v>10075</v>
      </c>
      <c r="P441" s="14" t="s">
        <v>2870</v>
      </c>
      <c r="Q441" s="14">
        <v>1</v>
      </c>
    </row>
    <row r="442" spans="1:17">
      <c r="A442" s="14">
        <v>85483</v>
      </c>
      <c r="B442" s="14" t="s">
        <v>0</v>
      </c>
      <c r="C442" s="14" t="s">
        <v>206</v>
      </c>
      <c r="D442" s="20" t="s">
        <v>10807</v>
      </c>
      <c r="E442" s="15" t="str">
        <f>HYPERLINK("https://stat100.ameba.jp/tnk47/ratio20/illustrations/card/ill_85483_seitankuronikururirimu03.jpg?202005-i_prefecture_active_user", "■")</f>
        <v>■</v>
      </c>
      <c r="F442" s="14" t="s">
        <v>8445</v>
      </c>
      <c r="G442" s="14">
        <v>104162</v>
      </c>
      <c r="H442" s="14">
        <v>96871</v>
      </c>
      <c r="I442" s="14">
        <v>25</v>
      </c>
      <c r="J442" s="14" t="s">
        <v>182</v>
      </c>
      <c r="K442" s="14" t="s">
        <v>8444</v>
      </c>
      <c r="L442" s="14" t="s">
        <v>2308</v>
      </c>
      <c r="M442" s="14" t="s">
        <v>9158</v>
      </c>
      <c r="N442" s="14" t="s">
        <v>9158</v>
      </c>
      <c r="O442" s="19" t="s">
        <v>10086</v>
      </c>
      <c r="P442" s="14" t="s">
        <v>3701</v>
      </c>
      <c r="Q442" s="14">
        <v>1</v>
      </c>
    </row>
    <row r="443" spans="1:17">
      <c r="A443" s="14">
        <v>79523</v>
      </c>
      <c r="B443" s="14" t="s">
        <v>0</v>
      </c>
      <c r="C443" s="14" t="s">
        <v>203</v>
      </c>
      <c r="D443" s="20" t="s">
        <v>10309</v>
      </c>
      <c r="E443" s="15" t="str">
        <f>HYPERLINK("https://stat100.ameba.jp/tnk47/ratio20/illustrations/card/ill_79523_shikyokunoashurato03.jpg?202005-i_prefecture_active_user", "■")</f>
        <v>■</v>
      </c>
      <c r="F443" s="14" t="s">
        <v>3590</v>
      </c>
      <c r="G443" s="14">
        <v>79151</v>
      </c>
      <c r="H443" s="14">
        <v>109259</v>
      </c>
      <c r="I443" s="14">
        <v>25</v>
      </c>
      <c r="J443" s="14" t="s">
        <v>77</v>
      </c>
      <c r="K443" s="14" t="s">
        <v>3591</v>
      </c>
      <c r="L443" s="14" t="s">
        <v>1955</v>
      </c>
      <c r="M443" s="14" t="s">
        <v>9158</v>
      </c>
      <c r="N443" s="14" t="s">
        <v>9158</v>
      </c>
      <c r="O443" s="19" t="s">
        <v>10074</v>
      </c>
      <c r="P443" s="14" t="s">
        <v>3592</v>
      </c>
      <c r="Q443" s="14">
        <v>1</v>
      </c>
    </row>
    <row r="444" spans="1:17">
      <c r="A444" s="14">
        <v>58743</v>
      </c>
      <c r="B444" s="14" t="s">
        <v>334</v>
      </c>
      <c r="C444" s="14" t="s">
        <v>209</v>
      </c>
      <c r="D444" s="20" t="s">
        <v>10273</v>
      </c>
      <c r="E444" s="15" t="str">
        <f>HYPERLINK("https://stat100.ameba.jp/tnk47/ratio20/illustrations/card/ill_58743_enkirienoki03.jpg?202005-i_prefecture_active_user", "■")</f>
        <v>■</v>
      </c>
      <c r="F444" s="14" t="s">
        <v>2550</v>
      </c>
      <c r="G444" s="14">
        <v>75651</v>
      </c>
      <c r="H444" s="14">
        <v>103176</v>
      </c>
      <c r="I444" s="14">
        <v>25</v>
      </c>
      <c r="J444" s="14" t="s">
        <v>44</v>
      </c>
      <c r="K444" s="14" t="s">
        <v>2551</v>
      </c>
      <c r="L444" s="14" t="s">
        <v>95</v>
      </c>
      <c r="M444" s="14" t="s">
        <v>9158</v>
      </c>
      <c r="N444" s="14" t="s">
        <v>9158</v>
      </c>
      <c r="O444" s="19" t="s">
        <v>10091</v>
      </c>
      <c r="P444" s="14" t="s">
        <v>3670</v>
      </c>
      <c r="Q444" s="14">
        <v>1</v>
      </c>
    </row>
    <row r="446" spans="1:17">
      <c r="A446" s="14" t="s">
        <v>6512</v>
      </c>
    </row>
    <row r="447" spans="1:17">
      <c r="A447" s="14" t="s">
        <v>12392</v>
      </c>
    </row>
    <row r="448" spans="1:17">
      <c r="A448" s="14" t="s">
        <v>5787</v>
      </c>
      <c r="B448" s="14" t="s">
        <v>330</v>
      </c>
      <c r="C448" s="14" t="s">
        <v>270</v>
      </c>
      <c r="D448" s="19" t="s">
        <v>331</v>
      </c>
      <c r="E448" s="15" t="str">
        <f>HYPERLINK("https://stat100.ameba.jp/tnk47/ratio20/illustrations/card/ill_76303_0_haroinkaguya03.jpg?202005-i_prefecture_active_user", "■")</f>
        <v>■</v>
      </c>
      <c r="F448" s="14" t="s">
        <v>332</v>
      </c>
      <c r="G448" s="14">
        <v>285614</v>
      </c>
      <c r="H448" s="14">
        <v>265526</v>
      </c>
      <c r="I448" s="14">
        <v>24</v>
      </c>
      <c r="J448" s="14" t="s">
        <v>274</v>
      </c>
      <c r="K448" s="14" t="s">
        <v>333</v>
      </c>
      <c r="L448" s="14" t="s">
        <v>276</v>
      </c>
      <c r="M448" s="14" t="s">
        <v>9158</v>
      </c>
      <c r="N448" s="14" t="s">
        <v>9158</v>
      </c>
      <c r="O448" s="19" t="s">
        <v>2976</v>
      </c>
      <c r="P448" s="14" t="s">
        <v>2724</v>
      </c>
      <c r="Q448" s="14">
        <v>1</v>
      </c>
    </row>
    <row r="449" spans="1:17">
      <c r="A449" s="14" t="s">
        <v>5725</v>
      </c>
      <c r="B449" s="14" t="s">
        <v>52</v>
      </c>
      <c r="C449" s="14" t="s">
        <v>107</v>
      </c>
      <c r="D449" s="19" t="s">
        <v>543</v>
      </c>
      <c r="E449" s="15" t="str">
        <f>HYPERLINK("https://stat100.ameba.jp/tnk47/ratio20/illustrations/card/ill_52693_0_sengokumibirakiyanagiharabyakuren03.jpg?202005-i_prefecture_active_user", "■")</f>
        <v>■</v>
      </c>
      <c r="F449" s="14" t="s">
        <v>1246</v>
      </c>
      <c r="G449" s="14">
        <v>133938</v>
      </c>
      <c r="H449" s="14">
        <v>150776</v>
      </c>
      <c r="I449" s="14">
        <v>24</v>
      </c>
      <c r="J449" s="14" t="s">
        <v>16</v>
      </c>
      <c r="K449" s="14" t="s">
        <v>1247</v>
      </c>
      <c r="L449" s="14" t="s">
        <v>1248</v>
      </c>
      <c r="M449" s="14" t="s">
        <v>9158</v>
      </c>
      <c r="N449" s="14" t="s">
        <v>9158</v>
      </c>
      <c r="O449" s="19" t="s">
        <v>2886</v>
      </c>
      <c r="P449" s="14" t="s">
        <v>3304</v>
      </c>
      <c r="Q449" s="14">
        <v>1</v>
      </c>
    </row>
    <row r="450" spans="1:17">
      <c r="A450" s="14" t="s">
        <v>5616</v>
      </c>
      <c r="B450" s="14" t="s">
        <v>52</v>
      </c>
      <c r="C450" s="14" t="s">
        <v>14</v>
      </c>
      <c r="D450" s="19" t="s">
        <v>638</v>
      </c>
      <c r="E450" s="15" t="str">
        <f>HYPERLINK("https://stat100.ameba.jp/tnk47/ratio20/illustrations/card/ill_44253_0_dokuganryudatemasamune03.jpg?202005-i_prefecture_active_user", "■")</f>
        <v>■</v>
      </c>
      <c r="F450" s="14" t="s">
        <v>1181</v>
      </c>
      <c r="G450" s="14">
        <v>131538</v>
      </c>
      <c r="H450" s="14">
        <v>140448</v>
      </c>
      <c r="I450" s="14">
        <v>24</v>
      </c>
      <c r="J450" s="14" t="s">
        <v>143</v>
      </c>
      <c r="K450" s="14" t="s">
        <v>1182</v>
      </c>
      <c r="L450" s="14" t="s">
        <v>1183</v>
      </c>
      <c r="M450" s="14" t="s">
        <v>9158</v>
      </c>
      <c r="N450" s="14" t="s">
        <v>9158</v>
      </c>
      <c r="O450" s="14" t="s">
        <v>9158</v>
      </c>
      <c r="P450" s="14" t="s">
        <v>9158</v>
      </c>
      <c r="Q450" s="14" t="s">
        <v>9158</v>
      </c>
    </row>
    <row r="451" spans="1:17">
      <c r="A451" s="14">
        <v>56183</v>
      </c>
      <c r="B451" s="14" t="s">
        <v>0</v>
      </c>
      <c r="C451" s="14" t="s">
        <v>191</v>
      </c>
      <c r="D451" s="19" t="s">
        <v>10333</v>
      </c>
      <c r="E451" s="15" t="str">
        <f>HYPERLINK("https://stat100.ameba.jp/tnk47/ratio20/illustrations/card/ill_56183_onsempanikkukoteipenginchan03.jpg?202005-i_prefecture_active_user", "■")</f>
        <v>■</v>
      </c>
      <c r="F451" s="14" t="s">
        <v>2025</v>
      </c>
      <c r="G451" s="14">
        <v>96360</v>
      </c>
      <c r="H451" s="14">
        <v>89590</v>
      </c>
      <c r="I451" s="14">
        <v>25</v>
      </c>
      <c r="J451" s="14" t="s">
        <v>229</v>
      </c>
      <c r="K451" s="14" t="s">
        <v>2026</v>
      </c>
      <c r="L451" s="14" t="s">
        <v>13170</v>
      </c>
      <c r="M451" s="14" t="s">
        <v>9158</v>
      </c>
      <c r="N451" s="14" t="s">
        <v>9158</v>
      </c>
      <c r="O451" s="19" t="s">
        <v>10073</v>
      </c>
      <c r="P451" s="14" t="s">
        <v>3895</v>
      </c>
      <c r="Q451" s="14">
        <v>1</v>
      </c>
    </row>
    <row r="452" spans="1:17">
      <c r="A452" s="9">
        <v>47423</v>
      </c>
      <c r="B452" s="14" t="s">
        <v>348</v>
      </c>
      <c r="C452" s="14" t="s">
        <v>271</v>
      </c>
      <c r="D452" s="14" t="s">
        <v>783</v>
      </c>
      <c r="E452" s="15" t="str">
        <f>HYPERLINK("https://stat100.ameba.jp/tnk47/ratio20/illustrations/card/ill_47423_naporitan03.jpg?202005-i_prefecture_active_user", "■")</f>
        <v>■</v>
      </c>
      <c r="F452" s="14" t="s">
        <v>784</v>
      </c>
      <c r="G452" s="14">
        <v>74100</v>
      </c>
      <c r="H452" s="14">
        <v>67210</v>
      </c>
      <c r="I452" s="14">
        <v>25</v>
      </c>
      <c r="J452" s="14" t="s">
        <v>283</v>
      </c>
      <c r="K452" s="14" t="s">
        <v>785</v>
      </c>
      <c r="L452" s="14" t="s">
        <v>786</v>
      </c>
      <c r="M452" s="14" t="s">
        <v>9158</v>
      </c>
      <c r="N452" s="14" t="s">
        <v>9158</v>
      </c>
      <c r="O452" s="14" t="s">
        <v>9158</v>
      </c>
      <c r="P452" s="14" t="s">
        <v>9158</v>
      </c>
      <c r="Q452" s="14" t="s">
        <v>9158</v>
      </c>
    </row>
    <row r="453" spans="1:17">
      <c r="A453" s="14">
        <v>82493</v>
      </c>
      <c r="B453" s="14" t="s">
        <v>22</v>
      </c>
      <c r="C453" s="14" t="s">
        <v>205</v>
      </c>
      <c r="D453" s="14" t="s">
        <v>12393</v>
      </c>
      <c r="E453" s="15" t="str">
        <f>HYPERLINK("https://stat100.ameba.jp/tnk47/ratio20/illustrations/card/ill_82493_nukabukuro03.jpg?202005-i_prefecture_active_user", "■")</f>
        <v>■</v>
      </c>
      <c r="F453" s="14" t="s">
        <v>5463</v>
      </c>
      <c r="G453" s="14">
        <v>43220</v>
      </c>
      <c r="H453" s="14">
        <v>51980</v>
      </c>
      <c r="I453" s="14">
        <v>25</v>
      </c>
      <c r="J453" s="14" t="s">
        <v>155</v>
      </c>
      <c r="K453" s="14" t="s">
        <v>5465</v>
      </c>
      <c r="L453" s="14" t="s">
        <v>2015</v>
      </c>
      <c r="M453" s="14" t="s">
        <v>9158</v>
      </c>
      <c r="N453" s="14" t="s">
        <v>9158</v>
      </c>
      <c r="O453" s="14" t="s">
        <v>9158</v>
      </c>
      <c r="P453" s="14" t="s">
        <v>9158</v>
      </c>
      <c r="Q453" s="14" t="s">
        <v>9158</v>
      </c>
    </row>
    <row r="454" spans="1:17">
      <c r="A454" s="14">
        <v>71723</v>
      </c>
      <c r="B454" s="14" t="s">
        <v>30</v>
      </c>
      <c r="C454" s="14" t="s">
        <v>12395</v>
      </c>
      <c r="D454" s="14" t="s">
        <v>12394</v>
      </c>
      <c r="E454" s="15" t="str">
        <f>HYPERLINK("https://stat100.ameba.jp/tnk47/ratio20/illustrations/card/ill_71723_chokokorone03.jpg?202005-i_prefecture_active_user", "■")</f>
        <v>■</v>
      </c>
      <c r="F454" s="14" t="s">
        <v>12396</v>
      </c>
      <c r="G454" s="14">
        <v>26430</v>
      </c>
      <c r="H454" s="14">
        <v>31470</v>
      </c>
      <c r="I454" s="14">
        <v>25</v>
      </c>
      <c r="J454" s="14" t="s">
        <v>104</v>
      </c>
      <c r="K454" s="14" t="s">
        <v>12397</v>
      </c>
      <c r="L454" s="14" t="s">
        <v>4560</v>
      </c>
      <c r="M454" s="14" t="s">
        <v>9158</v>
      </c>
      <c r="N454" s="14" t="s">
        <v>9158</v>
      </c>
      <c r="O454" s="14" t="s">
        <v>9158</v>
      </c>
      <c r="P454" s="14" t="s">
        <v>9158</v>
      </c>
      <c r="Q454" s="14" t="s">
        <v>9158</v>
      </c>
    </row>
    <row r="456" spans="1:17">
      <c r="A456" s="14" t="s">
        <v>3916</v>
      </c>
    </row>
    <row r="457" spans="1:17">
      <c r="A457" s="14" t="s">
        <v>12398</v>
      </c>
    </row>
    <row r="458" spans="1:17">
      <c r="A458" s="14">
        <v>62203</v>
      </c>
      <c r="B458" s="14" t="s">
        <v>334</v>
      </c>
      <c r="C458" s="14" t="s">
        <v>154</v>
      </c>
      <c r="D458" s="20" t="s">
        <v>3039</v>
      </c>
      <c r="E458" s="15" t="str">
        <f>HYPERLINK("https://stat100.ameba.jp/tnk47/ratio20/illustrations/card/ill_62203_keishoimmasahime03.jpg?202005-i_prefecture_active_user", "■")</f>
        <v>■</v>
      </c>
      <c r="F458" s="14" t="s">
        <v>2261</v>
      </c>
      <c r="G458" s="14">
        <v>104266</v>
      </c>
      <c r="H458" s="14">
        <v>112140</v>
      </c>
      <c r="I458" s="14">
        <v>26</v>
      </c>
      <c r="J458" s="14" t="s">
        <v>77</v>
      </c>
      <c r="K458" s="14" t="s">
        <v>2262</v>
      </c>
      <c r="L458" s="14" t="s">
        <v>2263</v>
      </c>
      <c r="M458" s="14" t="s">
        <v>9158</v>
      </c>
      <c r="N458" s="14" t="s">
        <v>9158</v>
      </c>
      <c r="O458" s="14" t="s">
        <v>9158</v>
      </c>
      <c r="P458" s="14" t="s">
        <v>9158</v>
      </c>
      <c r="Q458" s="14" t="s">
        <v>9158</v>
      </c>
    </row>
    <row r="459" spans="1:17">
      <c r="A459" s="14">
        <v>69723</v>
      </c>
      <c r="B459" s="14" t="s">
        <v>334</v>
      </c>
      <c r="C459" s="14" t="s">
        <v>158</v>
      </c>
      <c r="D459" s="20" t="s">
        <v>3042</v>
      </c>
      <c r="E459" s="15" t="str">
        <f>HYPERLINK("https://stat100.ameba.jp/tnk47/ratio20/illustrations/card/ill_69723_nakaurajurian03.jpg?202005-i_prefecture_active_user", "■")</f>
        <v>■</v>
      </c>
      <c r="F459" s="14" t="s">
        <v>2257</v>
      </c>
      <c r="G459" s="14">
        <v>104266</v>
      </c>
      <c r="H459" s="14">
        <v>112140</v>
      </c>
      <c r="I459" s="14">
        <v>26</v>
      </c>
      <c r="J459" s="14" t="s">
        <v>173</v>
      </c>
      <c r="K459" s="14" t="s">
        <v>2258</v>
      </c>
      <c r="L459" s="14" t="s">
        <v>2259</v>
      </c>
      <c r="M459" s="14" t="s">
        <v>9158</v>
      </c>
      <c r="N459" s="14" t="s">
        <v>9158</v>
      </c>
      <c r="O459" s="14" t="s">
        <v>9158</v>
      </c>
      <c r="P459" s="14" t="s">
        <v>9158</v>
      </c>
      <c r="Q459" s="14" t="s">
        <v>9158</v>
      </c>
    </row>
    <row r="460" spans="1:17">
      <c r="A460" s="14">
        <v>76483</v>
      </c>
      <c r="B460" s="14" t="s">
        <v>334</v>
      </c>
      <c r="C460" s="14" t="s">
        <v>307</v>
      </c>
      <c r="D460" s="20" t="s">
        <v>589</v>
      </c>
      <c r="E460" s="15" t="str">
        <f>HYPERLINK("https://stat100.ameba.jp/tnk47/ratio20/illustrations/card/ill_76483_yukemurimizuhanome03.jpg?202005-i_prefecture_active_user", "■")</f>
        <v>■</v>
      </c>
      <c r="F460" s="14" t="s">
        <v>590</v>
      </c>
      <c r="G460" s="14">
        <v>106050</v>
      </c>
      <c r="H460" s="14">
        <v>98594</v>
      </c>
      <c r="I460" s="14">
        <v>26</v>
      </c>
      <c r="J460" s="14" t="s">
        <v>401</v>
      </c>
      <c r="K460" s="14" t="s">
        <v>591</v>
      </c>
      <c r="L460" s="14" t="s">
        <v>592</v>
      </c>
      <c r="M460" s="14" t="s">
        <v>9158</v>
      </c>
      <c r="N460" s="14" t="s">
        <v>9158</v>
      </c>
      <c r="O460" s="14" t="s">
        <v>9158</v>
      </c>
      <c r="P460" s="14" t="s">
        <v>9158</v>
      </c>
      <c r="Q460" s="14" t="s">
        <v>9158</v>
      </c>
    </row>
    <row r="461" spans="1:17">
      <c r="A461" s="14">
        <v>70023</v>
      </c>
      <c r="B461" s="14" t="s">
        <v>334</v>
      </c>
      <c r="C461" s="14" t="s">
        <v>344</v>
      </c>
      <c r="D461" s="20" t="s">
        <v>10230</v>
      </c>
      <c r="E461" s="15" t="str">
        <f>HYPERLINK("https://stat100.ameba.jp/tnk47/ratio20/illustrations/card/ill_70023_yukinoukokunabeshimanobakeneko03.jpg?202005-i_prefecture_active_user", "■")</f>
        <v>■</v>
      </c>
      <c r="F461" s="14" t="s">
        <v>769</v>
      </c>
      <c r="G461" s="14">
        <v>100744</v>
      </c>
      <c r="H461" s="14">
        <v>108330</v>
      </c>
      <c r="I461" s="14">
        <v>26</v>
      </c>
      <c r="J461" s="14" t="s">
        <v>320</v>
      </c>
      <c r="K461" s="14" t="s">
        <v>770</v>
      </c>
      <c r="L461" s="14" t="s">
        <v>771</v>
      </c>
      <c r="M461" s="14" t="s">
        <v>9158</v>
      </c>
      <c r="N461" s="14" t="s">
        <v>9158</v>
      </c>
      <c r="O461" s="14" t="s">
        <v>9158</v>
      </c>
      <c r="P461" s="14" t="s">
        <v>9158</v>
      </c>
      <c r="Q461" s="14" t="s">
        <v>9158</v>
      </c>
    </row>
    <row r="462" spans="1:17">
      <c r="A462" s="14">
        <v>52733</v>
      </c>
      <c r="B462" s="14" t="s">
        <v>15</v>
      </c>
      <c r="C462" s="14" t="s">
        <v>185</v>
      </c>
      <c r="D462" s="20" t="s">
        <v>10491</v>
      </c>
      <c r="E462" s="15" t="str">
        <f>HYPERLINK("https://stat100.ameba.jp/tnk47/ratio20/illustrations/card/ill_52733_sekkinambutsuruhime03.jpg?202005-i_prefecture_active_user", "■")</f>
        <v>■</v>
      </c>
      <c r="F462" s="14" t="s">
        <v>6246</v>
      </c>
      <c r="G462" s="14">
        <v>69898</v>
      </c>
      <c r="H462" s="14">
        <v>77064</v>
      </c>
      <c r="I462" s="14">
        <v>26</v>
      </c>
      <c r="J462" s="14" t="s">
        <v>77</v>
      </c>
      <c r="K462" s="14" t="s">
        <v>6248</v>
      </c>
      <c r="L462" s="14" t="s">
        <v>6249</v>
      </c>
      <c r="M462" s="14" t="s">
        <v>9158</v>
      </c>
      <c r="N462" s="14" t="s">
        <v>9158</v>
      </c>
      <c r="O462" s="14" t="s">
        <v>9158</v>
      </c>
      <c r="P462" s="14" t="s">
        <v>9158</v>
      </c>
      <c r="Q462" s="14" t="s">
        <v>9158</v>
      </c>
    </row>
    <row r="463" spans="1:17">
      <c r="A463" s="14">
        <v>54003</v>
      </c>
      <c r="B463" s="14" t="s">
        <v>15</v>
      </c>
      <c r="C463" s="14" t="s">
        <v>200</v>
      </c>
      <c r="D463" s="20" t="s">
        <v>10492</v>
      </c>
      <c r="E463" s="15" t="str">
        <f>HYPERLINK("https://stat100.ameba.jp/tnk47/ratio20/illustrations/card/ill_54003_seiryumegurihiguchiichiyo03.jpg?202005-i_prefecture_active_user", "■")</f>
        <v>■</v>
      </c>
      <c r="F463" s="14" t="s">
        <v>6250</v>
      </c>
      <c r="G463" s="14">
        <v>77064</v>
      </c>
      <c r="H463" s="14">
        <v>69898</v>
      </c>
      <c r="I463" s="14">
        <v>26</v>
      </c>
      <c r="J463" s="14" t="s">
        <v>10</v>
      </c>
      <c r="K463" s="14" t="s">
        <v>6252</v>
      </c>
      <c r="L463" s="14" t="s">
        <v>6253</v>
      </c>
      <c r="M463" s="14" t="s">
        <v>9158</v>
      </c>
      <c r="N463" s="14" t="s">
        <v>9158</v>
      </c>
      <c r="O463" s="14" t="s">
        <v>9158</v>
      </c>
      <c r="P463" s="14" t="s">
        <v>9158</v>
      </c>
      <c r="Q463" s="14" t="s">
        <v>9158</v>
      </c>
    </row>
    <row r="464" spans="1:17">
      <c r="A464" s="14">
        <v>51833</v>
      </c>
      <c r="B464" s="14" t="s">
        <v>15</v>
      </c>
      <c r="C464" s="14" t="s">
        <v>205</v>
      </c>
      <c r="D464" s="20" t="s">
        <v>10493</v>
      </c>
      <c r="E464" s="15" t="str">
        <f>HYPERLINK("https://stat100.ameba.jp/tnk47/ratio20/illustrations/card/ill_51833_jukimakitsuhikonomikoto03.jpg?202005-i_prefecture_active_user", "■")</f>
        <v>■</v>
      </c>
      <c r="F464" s="14" t="s">
        <v>6254</v>
      </c>
      <c r="G464" s="14">
        <v>77064</v>
      </c>
      <c r="H464" s="14">
        <v>69898</v>
      </c>
      <c r="I464" s="14">
        <v>26</v>
      </c>
      <c r="J464" s="14" t="s">
        <v>44</v>
      </c>
      <c r="K464" s="14" t="s">
        <v>6257</v>
      </c>
      <c r="L464" s="14" t="s">
        <v>6256</v>
      </c>
      <c r="M464" s="14" t="s">
        <v>9158</v>
      </c>
      <c r="N464" s="14" t="s">
        <v>9158</v>
      </c>
      <c r="O464" s="14" t="s">
        <v>9158</v>
      </c>
      <c r="P464" s="14" t="s">
        <v>9158</v>
      </c>
      <c r="Q464" s="14" t="s">
        <v>9158</v>
      </c>
    </row>
    <row r="465" spans="1:17">
      <c r="A465" s="14">
        <v>53203</v>
      </c>
      <c r="B465" s="14" t="s">
        <v>15</v>
      </c>
      <c r="C465" s="14" t="s">
        <v>165</v>
      </c>
      <c r="D465" s="20" t="s">
        <v>10494</v>
      </c>
      <c r="E465" s="15" t="str">
        <f>HYPERLINK("https://stat100.ameba.jp/tnk47/ratio20/illustrations/card/ill_53203_buruhawaichan03.jpg?202005-i_prefecture_active_user", "■")</f>
        <v>■</v>
      </c>
      <c r="F465" s="14" t="s">
        <v>6258</v>
      </c>
      <c r="G465" s="14">
        <v>69898</v>
      </c>
      <c r="H465" s="14">
        <v>77064</v>
      </c>
      <c r="I465" s="14">
        <v>26</v>
      </c>
      <c r="J465" s="14" t="s">
        <v>104</v>
      </c>
      <c r="K465" s="14" t="s">
        <v>6261</v>
      </c>
      <c r="L465" s="14" t="s">
        <v>6260</v>
      </c>
      <c r="M465" s="14" t="s">
        <v>9158</v>
      </c>
      <c r="N465" s="14" t="s">
        <v>9158</v>
      </c>
      <c r="O465" s="14" t="s">
        <v>9158</v>
      </c>
      <c r="P465" s="14" t="s">
        <v>9158</v>
      </c>
      <c r="Q465" s="14" t="s">
        <v>9158</v>
      </c>
    </row>
    <row r="467" spans="1:17">
      <c r="A467" s="14" t="s">
        <v>13402</v>
      </c>
    </row>
    <row r="468" spans="1:17">
      <c r="A468" s="14" t="s">
        <v>12399</v>
      </c>
    </row>
    <row r="469" spans="1:17">
      <c r="A469" s="9" t="s">
        <v>12160</v>
      </c>
    </row>
    <row r="470" spans="1:17">
      <c r="A470" s="14" t="s">
        <v>7150</v>
      </c>
      <c r="B470" s="14" t="s">
        <v>52</v>
      </c>
      <c r="C470" s="14" t="s">
        <v>202</v>
      </c>
      <c r="D470" s="19" t="s">
        <v>10656</v>
      </c>
      <c r="E470" s="15" t="str">
        <f>HYPERLINK("https://stat100.ameba.jp/tnk47/ratio20/illustrations/card/ill_84203_0_tarottofujiwaranoshoshi03.jpg?202002-i_prefecture_active_userxxxx", "■")</f>
        <v>■</v>
      </c>
      <c r="F470" s="14" t="s">
        <v>7153</v>
      </c>
      <c r="G470" s="14">
        <v>382686</v>
      </c>
      <c r="H470" s="14">
        <v>345894</v>
      </c>
      <c r="I470" s="14">
        <v>26</v>
      </c>
      <c r="J470" s="14" t="s">
        <v>10</v>
      </c>
      <c r="K470" s="14" t="s">
        <v>7152</v>
      </c>
      <c r="L470" s="14" t="s">
        <v>7151</v>
      </c>
      <c r="M470" s="14" t="s">
        <v>9158</v>
      </c>
      <c r="N470" s="14" t="s">
        <v>9158</v>
      </c>
      <c r="O470" s="19" t="s">
        <v>10128</v>
      </c>
      <c r="P470" s="14" t="s">
        <v>7154</v>
      </c>
      <c r="Q470" s="14">
        <v>1</v>
      </c>
    </row>
    <row r="471" spans="1:17">
      <c r="A471" s="14" t="s">
        <v>6508</v>
      </c>
      <c r="B471" s="14" t="s">
        <v>330</v>
      </c>
      <c r="C471" s="14" t="s">
        <v>35</v>
      </c>
      <c r="D471" s="20" t="s">
        <v>10168</v>
      </c>
      <c r="E471" s="15" t="str">
        <f>HYPERLINK("https://stat100.ameba.jp/tnk47/ratio20/illustrations/card/ill_81783_0_denshagarukoteipenginchan03.jpg?202001-3-RELEASE-dice-e-449x", "■")</f>
        <v>■</v>
      </c>
      <c r="F471" s="14" t="s">
        <v>4834</v>
      </c>
      <c r="G471" s="14">
        <v>302360</v>
      </c>
      <c r="H471" s="14">
        <v>273254</v>
      </c>
      <c r="I471" s="14">
        <v>26</v>
      </c>
      <c r="J471" s="14" t="s">
        <v>26</v>
      </c>
      <c r="K471" s="14" t="s">
        <v>4836</v>
      </c>
      <c r="L471" s="14" t="s">
        <v>1783</v>
      </c>
      <c r="M471" s="14" t="s">
        <v>9158</v>
      </c>
      <c r="N471" s="14" t="s">
        <v>9158</v>
      </c>
      <c r="O471" s="19" t="s">
        <v>10124</v>
      </c>
      <c r="P471" s="14" t="s">
        <v>4838</v>
      </c>
      <c r="Q471" s="14">
        <v>1</v>
      </c>
    </row>
    <row r="472" spans="1:17">
      <c r="A472" s="14" t="s">
        <v>5619</v>
      </c>
      <c r="B472" s="14" t="s">
        <v>330</v>
      </c>
      <c r="C472" s="14" t="s">
        <v>202</v>
      </c>
      <c r="D472" s="20" t="s">
        <v>10348</v>
      </c>
      <c r="E472" s="15" t="str">
        <f>HYPERLINK("https://stat100.ameba.jp/tnk47/ratio20/illustrations/card/ill_81183_0_shinryokunokisetsuamaterasu03.jpg?202002-5-RELEASE-marathon-456", "■")</f>
        <v>■</v>
      </c>
      <c r="F472" s="14" t="s">
        <v>4505</v>
      </c>
      <c r="G472" s="14">
        <v>273132</v>
      </c>
      <c r="H472" s="14">
        <v>302232</v>
      </c>
      <c r="I472" s="14">
        <v>26</v>
      </c>
      <c r="J472" s="14" t="s">
        <v>44</v>
      </c>
      <c r="K472" s="14" t="s">
        <v>4506</v>
      </c>
      <c r="L472" s="14" t="s">
        <v>4507</v>
      </c>
      <c r="M472" s="14" t="s">
        <v>9158</v>
      </c>
      <c r="N472" s="14" t="s">
        <v>9158</v>
      </c>
      <c r="O472" s="19" t="s">
        <v>10083</v>
      </c>
      <c r="P472" s="14" t="s">
        <v>4509</v>
      </c>
      <c r="Q472" s="14">
        <v>0</v>
      </c>
    </row>
    <row r="473" spans="1:17">
      <c r="A473" s="14">
        <v>75653</v>
      </c>
      <c r="B473" s="14" t="s">
        <v>334</v>
      </c>
      <c r="C473" s="14" t="s">
        <v>185</v>
      </c>
      <c r="D473" s="20" t="s">
        <v>10767</v>
      </c>
      <c r="E473" s="15" t="str">
        <f>HYPERLINK("https://stat100.ameba.jp/tnk47/ratio20/illustrations/card/ill_75653_kitanobuchika03.jpg?202002-i_prefecture_active_userx", "■")</f>
        <v>■</v>
      </c>
      <c r="F473" s="14" t="s">
        <v>7960</v>
      </c>
      <c r="G473" s="14">
        <v>143714</v>
      </c>
      <c r="H473" s="14">
        <v>154562</v>
      </c>
      <c r="I473" s="14">
        <v>26</v>
      </c>
      <c r="J473" s="14" t="s">
        <v>194</v>
      </c>
      <c r="K473" s="14" t="s">
        <v>7959</v>
      </c>
      <c r="L473" s="14" t="s">
        <v>1148</v>
      </c>
      <c r="M473" s="14" t="s">
        <v>9158</v>
      </c>
      <c r="N473" s="14" t="s">
        <v>9158</v>
      </c>
      <c r="O473" s="14" t="s">
        <v>9158</v>
      </c>
      <c r="P473" s="14" t="s">
        <v>9158</v>
      </c>
      <c r="Q473" s="14" t="s">
        <v>9158</v>
      </c>
    </row>
    <row r="474" spans="1:17">
      <c r="A474" s="14">
        <v>72653</v>
      </c>
      <c r="B474" s="14" t="s">
        <v>334</v>
      </c>
      <c r="C474" s="14" t="s">
        <v>23</v>
      </c>
      <c r="D474" s="20" t="s">
        <v>10365</v>
      </c>
      <c r="E474" s="15" t="str">
        <f>HYPERLINK("https://stat100.ameba.jp/tnk47/ratio20/illustrations/card/ill_72653_shokanoseisochin03.jpg?201912-3-RELEASE-dice-e-444x", "■")</f>
        <v>■</v>
      </c>
      <c r="F474" s="14" t="s">
        <v>4017</v>
      </c>
      <c r="G474" s="14">
        <v>118446</v>
      </c>
      <c r="H474" s="14">
        <v>110126</v>
      </c>
      <c r="I474" s="14">
        <v>26</v>
      </c>
      <c r="J474" s="14" t="s">
        <v>26</v>
      </c>
      <c r="K474" s="14" t="s">
        <v>4018</v>
      </c>
      <c r="L474" s="14" t="s">
        <v>4019</v>
      </c>
      <c r="M474" s="14" t="s">
        <v>9158</v>
      </c>
      <c r="N474" s="14" t="s">
        <v>9158</v>
      </c>
      <c r="O474" s="14" t="s">
        <v>9158</v>
      </c>
      <c r="P474" s="14" t="s">
        <v>9158</v>
      </c>
      <c r="Q474" s="14" t="s">
        <v>9158</v>
      </c>
    </row>
    <row r="475" spans="1:17">
      <c r="A475" s="7">
        <v>70523</v>
      </c>
      <c r="B475" s="14" t="s">
        <v>334</v>
      </c>
      <c r="C475" s="14" t="s">
        <v>307</v>
      </c>
      <c r="D475" s="20" t="s">
        <v>3191</v>
      </c>
      <c r="E475" s="15" t="str">
        <f>HYPERLINK("https://stat100.ameba.jp/tnk47/ratio20/illustrations/card/ill_70523_shitsunaipurumochizukichiyome03.jpg?202001-i_prefecture_active_user", "■")</f>
        <v>■</v>
      </c>
      <c r="F475" s="14" t="s">
        <v>1995</v>
      </c>
      <c r="G475" s="14">
        <v>98066</v>
      </c>
      <c r="H475" s="14">
        <v>105426</v>
      </c>
      <c r="I475" s="14">
        <v>26</v>
      </c>
      <c r="J475" s="14" t="s">
        <v>16</v>
      </c>
      <c r="K475" s="14" t="s">
        <v>1996</v>
      </c>
      <c r="L475" s="14" t="s">
        <v>1997</v>
      </c>
      <c r="M475" s="14" t="s">
        <v>9158</v>
      </c>
      <c r="N475" s="14" t="s">
        <v>9158</v>
      </c>
      <c r="O475" s="14" t="s">
        <v>9158</v>
      </c>
      <c r="P475" s="14" t="s">
        <v>9158</v>
      </c>
      <c r="Q475" s="14" t="s">
        <v>9158</v>
      </c>
    </row>
    <row r="476" spans="1:17">
      <c r="A476" s="9">
        <v>70743</v>
      </c>
      <c r="B476" s="9" t="s">
        <v>334</v>
      </c>
      <c r="C476" s="9" t="s">
        <v>165</v>
      </c>
      <c r="D476" s="9" t="s">
        <v>10475</v>
      </c>
      <c r="E476" s="15" t="str">
        <f>HYPERLINK("https://stat100.ameba.jp/tnk47/ratio20/illustrations/card/ill_70743_howaitodekitanokata03.jpg?201902-i_prefecture_active_user", "■")</f>
        <v>■</v>
      </c>
      <c r="F476" s="9" t="s">
        <v>11298</v>
      </c>
      <c r="G476" s="9">
        <v>154562</v>
      </c>
      <c r="H476" s="9">
        <v>143714</v>
      </c>
      <c r="I476" s="14">
        <v>26</v>
      </c>
      <c r="J476" s="9" t="s">
        <v>310</v>
      </c>
      <c r="K476" s="9" t="s">
        <v>11299</v>
      </c>
      <c r="L476" s="9" t="s">
        <v>11300</v>
      </c>
      <c r="M476" s="14" t="s">
        <v>9158</v>
      </c>
      <c r="N476" s="14" t="s">
        <v>9158</v>
      </c>
      <c r="O476" s="14" t="s">
        <v>9158</v>
      </c>
      <c r="P476" s="14" t="s">
        <v>9158</v>
      </c>
      <c r="Q476" s="14" t="s">
        <v>9158</v>
      </c>
    </row>
    <row r="477" spans="1:17">
      <c r="A477" s="14">
        <v>84673</v>
      </c>
      <c r="B477" s="14" t="s">
        <v>0</v>
      </c>
      <c r="C477" s="14" t="s">
        <v>205</v>
      </c>
      <c r="D477" s="19" t="s">
        <v>10607</v>
      </c>
      <c r="E477" s="15" t="str">
        <f>HYPERLINK("https://stat100.ameba.jp/tnk47/ratio20/illustrations/card/ill_84673_bujutsukahoshigamisama03.jpg?201909-3-RELEASE-dice-e-429x", "■")</f>
        <v>■</v>
      </c>
      <c r="F477" s="14" t="s">
        <v>6875</v>
      </c>
      <c r="G477" s="14">
        <v>118656</v>
      </c>
      <c r="H477" s="14">
        <v>110126</v>
      </c>
      <c r="I477" s="14">
        <v>26</v>
      </c>
      <c r="J477" s="14" t="s">
        <v>155</v>
      </c>
      <c r="K477" s="14" t="s">
        <v>6874</v>
      </c>
      <c r="L477" s="14" t="s">
        <v>5400</v>
      </c>
      <c r="M477" s="14" t="s">
        <v>9158</v>
      </c>
      <c r="N477" s="14" t="s">
        <v>9158</v>
      </c>
      <c r="O477" s="14" t="s">
        <v>9158</v>
      </c>
      <c r="P477" s="14" t="s">
        <v>9158</v>
      </c>
      <c r="Q477" s="14" t="s">
        <v>9158</v>
      </c>
    </row>
    <row r="478" spans="1:17">
      <c r="A478" s="9">
        <v>86533</v>
      </c>
      <c r="B478" s="9" t="s">
        <v>0</v>
      </c>
      <c r="C478" s="9" t="s">
        <v>206</v>
      </c>
      <c r="D478" s="20" t="s">
        <v>10913</v>
      </c>
      <c r="E478" s="15" t="str">
        <f>HYPERLINK("https://stat100.ameba.jp/tnk47/ratio20/illustrations/card/ill_86533_onikirishuyoriyorichan03.jpg?202001-4-RELEASE-guildbattle-450", "■")</f>
        <v>■</v>
      </c>
      <c r="F478" s="9" t="s">
        <v>9023</v>
      </c>
      <c r="G478" s="9">
        <v>110126</v>
      </c>
      <c r="H478" s="9">
        <v>118446</v>
      </c>
      <c r="I478" s="9">
        <v>26</v>
      </c>
      <c r="J478" s="9" t="s">
        <v>216</v>
      </c>
      <c r="K478" s="9" t="s">
        <v>9022</v>
      </c>
      <c r="L478" s="9" t="s">
        <v>9021</v>
      </c>
      <c r="M478" s="14" t="s">
        <v>9158</v>
      </c>
      <c r="N478" s="14" t="s">
        <v>9158</v>
      </c>
      <c r="O478" s="14" t="s">
        <v>9158</v>
      </c>
      <c r="P478" s="14" t="s">
        <v>9158</v>
      </c>
      <c r="Q478" s="14" t="s">
        <v>9158</v>
      </c>
    </row>
    <row r="480" spans="1:17">
      <c r="A480" s="14" t="s">
        <v>12403</v>
      </c>
    </row>
    <row r="481" spans="1:17">
      <c r="A481" s="14" t="s">
        <v>4451</v>
      </c>
    </row>
    <row r="482" spans="1:17">
      <c r="A482" s="14" t="s">
        <v>11487</v>
      </c>
    </row>
    <row r="483" spans="1:17">
      <c r="A483" s="14" t="s">
        <v>12012</v>
      </c>
      <c r="B483" s="7" t="s">
        <v>52</v>
      </c>
      <c r="C483" s="14" t="s">
        <v>202</v>
      </c>
      <c r="D483" s="18" t="s">
        <v>12013</v>
      </c>
      <c r="E483" s="15" t="str">
        <f>HYPERLINK("https://stat100.ameba.jp/tnk47/ratio20/illustrations/card/ill_88363_0_hanamijingukogo03.jpg?202005-i_prefecture_active_user", "■")</f>
        <v>■</v>
      </c>
      <c r="F483" s="14" t="s">
        <v>12014</v>
      </c>
      <c r="G483" s="14">
        <v>316442</v>
      </c>
      <c r="H483" s="14">
        <v>285998</v>
      </c>
      <c r="I483" s="7">
        <v>26</v>
      </c>
      <c r="J483" s="14" t="s">
        <v>10</v>
      </c>
      <c r="K483" s="14" t="s">
        <v>12015</v>
      </c>
      <c r="L483" s="14" t="s">
        <v>12016</v>
      </c>
      <c r="M483" s="14" t="s">
        <v>9158</v>
      </c>
      <c r="N483" s="14" t="s">
        <v>9158</v>
      </c>
      <c r="O483" s="6" t="s">
        <v>12017</v>
      </c>
      <c r="P483" s="7" t="s">
        <v>12018</v>
      </c>
      <c r="Q483" s="7">
        <v>1</v>
      </c>
    </row>
    <row r="484" spans="1:17">
      <c r="A484" s="14">
        <v>88793</v>
      </c>
      <c r="B484" s="14" t="s">
        <v>0</v>
      </c>
      <c r="C484" s="14" t="s">
        <v>12405</v>
      </c>
      <c r="D484" s="14" t="s">
        <v>12404</v>
      </c>
      <c r="E484" s="15" t="str">
        <f>HYPERLINK("https://stat100.ameba.jp/tnk47/ratio20/illustrations/card/ill_88793_ichigogariyakushimachan03.jpg?202005-i_prefecture_active_user", "■")</f>
        <v>■</v>
      </c>
      <c r="F484" s="14" t="s">
        <v>12412</v>
      </c>
      <c r="G484" s="14">
        <v>110126</v>
      </c>
      <c r="H484" s="14">
        <v>118446</v>
      </c>
      <c r="I484" s="7">
        <v>26</v>
      </c>
      <c r="J484" s="14" t="s">
        <v>12409</v>
      </c>
      <c r="K484" s="14" t="s">
        <v>12411</v>
      </c>
      <c r="L484" s="14" t="s">
        <v>12410</v>
      </c>
      <c r="M484" s="14" t="s">
        <v>9158</v>
      </c>
      <c r="N484" s="14" t="s">
        <v>9158</v>
      </c>
      <c r="O484" s="14" t="s">
        <v>9158</v>
      </c>
      <c r="P484" s="14" t="s">
        <v>9158</v>
      </c>
      <c r="Q484" s="14" t="s">
        <v>9158</v>
      </c>
    </row>
    <row r="485" spans="1:17">
      <c r="A485" s="14">
        <v>88803</v>
      </c>
      <c r="B485" s="9" t="s">
        <v>0</v>
      </c>
      <c r="C485" s="14" t="s">
        <v>12414</v>
      </c>
      <c r="D485" s="14" t="s">
        <v>12413</v>
      </c>
      <c r="E485" s="15" t="str">
        <f>HYPERLINK("https://stat100.ameba.jp/tnk47/ratio20/illustrations/card/ill_88803_buruberitei03.jpg?202005-i_prefecture_active_user", "■")</f>
        <v>■</v>
      </c>
      <c r="F485" s="14" t="s">
        <v>12418</v>
      </c>
      <c r="G485" s="14">
        <v>105426</v>
      </c>
      <c r="H485" s="14">
        <v>98066</v>
      </c>
      <c r="I485" s="7">
        <v>26</v>
      </c>
      <c r="J485" s="14" t="s">
        <v>12417</v>
      </c>
      <c r="K485" s="14" t="s">
        <v>12416</v>
      </c>
      <c r="L485" s="14" t="s">
        <v>12415</v>
      </c>
      <c r="M485" s="14" t="s">
        <v>9158</v>
      </c>
      <c r="N485" s="14" t="s">
        <v>9158</v>
      </c>
      <c r="O485" s="14" t="s">
        <v>9158</v>
      </c>
      <c r="P485" s="14" t="s">
        <v>9158</v>
      </c>
      <c r="Q485" s="14" t="s">
        <v>9158</v>
      </c>
    </row>
    <row r="486" spans="1:17">
      <c r="A486" s="14">
        <v>88813</v>
      </c>
      <c r="B486" s="14" t="s">
        <v>12406</v>
      </c>
      <c r="C486" s="14" t="s">
        <v>12420</v>
      </c>
      <c r="D486" s="14" t="s">
        <v>12419</v>
      </c>
      <c r="E486" s="15" t="str">
        <f>HYPERLINK("https://stat100.ameba.jp/tnk47/ratio20/illustrations/card/ill_88813_nogyosenhime03.jpg?202005-i_prefecture_active_user", "■")</f>
        <v>■</v>
      </c>
      <c r="F486" s="14" t="s">
        <v>12424</v>
      </c>
      <c r="G486" s="14">
        <v>69898</v>
      </c>
      <c r="H486" s="14">
        <v>77064</v>
      </c>
      <c r="I486" s="7">
        <v>26</v>
      </c>
      <c r="J486" s="14" t="s">
        <v>12423</v>
      </c>
      <c r="K486" s="14" t="s">
        <v>12422</v>
      </c>
      <c r="L486" s="14" t="s">
        <v>12421</v>
      </c>
      <c r="M486" s="14" t="s">
        <v>9158</v>
      </c>
      <c r="N486" s="14" t="s">
        <v>9158</v>
      </c>
      <c r="O486" s="14" t="s">
        <v>9158</v>
      </c>
      <c r="P486" s="14" t="s">
        <v>9158</v>
      </c>
      <c r="Q486" s="14" t="s">
        <v>9158</v>
      </c>
    </row>
    <row r="487" spans="1:17">
      <c r="A487" s="14">
        <v>88823</v>
      </c>
      <c r="B487" s="14" t="s">
        <v>12407</v>
      </c>
      <c r="C487" s="14" t="s">
        <v>12429</v>
      </c>
      <c r="D487" s="14" t="s">
        <v>12428</v>
      </c>
      <c r="E487" s="15" t="str">
        <f>HYPERLINK("https://stat100.ameba.jp/tnk47/ratio20/illustrations/card/ill_88823_korakukasekihakkutsumusume03.jpg?202005-i_prefecture_active_user", "■")</f>
        <v>■</v>
      </c>
      <c r="F487" s="14" t="s">
        <v>12427</v>
      </c>
      <c r="G487" s="14">
        <v>54058</v>
      </c>
      <c r="H487" s="14">
        <v>44948</v>
      </c>
      <c r="I487" s="7">
        <v>26</v>
      </c>
      <c r="J487" s="14" t="s">
        <v>12409</v>
      </c>
      <c r="K487" s="14" t="s">
        <v>12426</v>
      </c>
      <c r="L487" s="14" t="s">
        <v>12425</v>
      </c>
      <c r="M487" s="14" t="s">
        <v>9158</v>
      </c>
      <c r="N487" s="14" t="s">
        <v>9158</v>
      </c>
      <c r="O487" s="14" t="s">
        <v>9158</v>
      </c>
      <c r="P487" s="14" t="s">
        <v>9158</v>
      </c>
      <c r="Q487" s="14" t="s">
        <v>9158</v>
      </c>
    </row>
    <row r="488" spans="1:17">
      <c r="A488" s="14">
        <v>88833</v>
      </c>
      <c r="B488" s="14" t="s">
        <v>12408</v>
      </c>
      <c r="C488" s="14" t="s">
        <v>12434</v>
      </c>
      <c r="D488" s="14" t="s">
        <v>12433</v>
      </c>
      <c r="E488" s="15" t="str">
        <f>HYPERLINK("https://stat100.ameba.jp/tnk47/ratio20/illustrations/card/ill_88833_akinasu03.jpg?202005-i_prefecture_active_user", "■")</f>
        <v>■</v>
      </c>
      <c r="F488" s="14" t="s">
        <v>12432</v>
      </c>
      <c r="G488" s="14">
        <v>27486</v>
      </c>
      <c r="H488" s="14">
        <v>32728</v>
      </c>
      <c r="I488" s="7">
        <v>26</v>
      </c>
      <c r="J488" s="14" t="s">
        <v>12417</v>
      </c>
      <c r="K488" s="14" t="s">
        <v>12431</v>
      </c>
      <c r="L488" s="14" t="s">
        <v>12430</v>
      </c>
      <c r="M488" s="14" t="s">
        <v>9158</v>
      </c>
      <c r="N488" s="14" t="s">
        <v>9158</v>
      </c>
      <c r="O488" s="14" t="s">
        <v>9158</v>
      </c>
      <c r="P488" s="14" t="s">
        <v>9158</v>
      </c>
      <c r="Q488" s="14" t="s">
        <v>9158</v>
      </c>
    </row>
    <row r="490" spans="1:17">
      <c r="A490" s="14" t="s">
        <v>12436</v>
      </c>
    </row>
    <row r="491" spans="1:17">
      <c r="A491" s="14" t="s">
        <v>12435</v>
      </c>
    </row>
    <row r="492" spans="1:17">
      <c r="A492" s="14" t="s">
        <v>5602</v>
      </c>
      <c r="B492" s="14" t="s">
        <v>330</v>
      </c>
      <c r="C492" s="14" t="s">
        <v>185</v>
      </c>
      <c r="D492" s="19" t="s">
        <v>813</v>
      </c>
      <c r="E492" s="15" t="str">
        <f>HYPERLINK("https://stat100.ameba.jp/tnk47/ratio20/illustrations/card/ill_55313_0_haroinononokomachi03.jpg?202005-i_prefecture_active_user", "■")</f>
        <v>■</v>
      </c>
      <c r="F492" s="14" t="s">
        <v>814</v>
      </c>
      <c r="G492" s="14">
        <v>138212</v>
      </c>
      <c r="H492" s="14">
        <v>122776</v>
      </c>
      <c r="I492" s="14">
        <v>22</v>
      </c>
      <c r="J492" s="14" t="s">
        <v>351</v>
      </c>
      <c r="K492" s="14" t="s">
        <v>815</v>
      </c>
      <c r="L492" s="14" t="s">
        <v>816</v>
      </c>
      <c r="M492" s="14" t="s">
        <v>9158</v>
      </c>
      <c r="N492" s="14" t="s">
        <v>9158</v>
      </c>
      <c r="O492" s="19" t="s">
        <v>2733</v>
      </c>
      <c r="P492" s="14" t="s">
        <v>2734</v>
      </c>
      <c r="Q492" s="14">
        <v>1</v>
      </c>
    </row>
    <row r="493" spans="1:17">
      <c r="A493" s="14" t="s">
        <v>5605</v>
      </c>
      <c r="B493" s="14" t="s">
        <v>52</v>
      </c>
      <c r="C493" s="14" t="s">
        <v>202</v>
      </c>
      <c r="D493" s="19" t="s">
        <v>10332</v>
      </c>
      <c r="E493" s="15" t="str">
        <f>HYPERLINK("https://stat100.ameba.jp/tnk47/ratio20/illustrations/card/ill_79373_0_hommeichokotennyohime03.jpg?202005-i_prefecture_active_user", "■")</f>
        <v>■</v>
      </c>
      <c r="F493" s="14" t="s">
        <v>3495</v>
      </c>
      <c r="G493" s="14">
        <v>272036</v>
      </c>
      <c r="H493" s="14">
        <v>245878</v>
      </c>
      <c r="I493" s="14">
        <v>22</v>
      </c>
      <c r="J493" s="14" t="s">
        <v>104</v>
      </c>
      <c r="K493" s="14" t="s">
        <v>3496</v>
      </c>
      <c r="L493" s="14" t="s">
        <v>3497</v>
      </c>
      <c r="M493" s="14" t="s">
        <v>9158</v>
      </c>
      <c r="N493" s="14" t="s">
        <v>9158</v>
      </c>
      <c r="O493" s="19" t="s">
        <v>10072</v>
      </c>
      <c r="P493" s="14" t="s">
        <v>3498</v>
      </c>
      <c r="Q493" s="14">
        <v>1</v>
      </c>
    </row>
    <row r="494" spans="1:17">
      <c r="A494" s="14" t="s">
        <v>5604</v>
      </c>
      <c r="B494" s="14" t="s">
        <v>330</v>
      </c>
      <c r="C494" s="14" t="s">
        <v>206</v>
      </c>
      <c r="D494" s="19" t="s">
        <v>614</v>
      </c>
      <c r="E494" s="15" t="str">
        <f>HYPERLINK("https://stat100.ameba.jp/tnk47/ratio20/illustrations/card/ill_47263_0_oukyuuatsuhime03.jpg?202005-i_prefecture_active_user", "■")</f>
        <v>■</v>
      </c>
      <c r="F494" s="14" t="s">
        <v>615</v>
      </c>
      <c r="G494" s="14">
        <v>138212</v>
      </c>
      <c r="H494" s="14">
        <v>122776</v>
      </c>
      <c r="I494" s="14">
        <v>22</v>
      </c>
      <c r="J494" s="14" t="s">
        <v>315</v>
      </c>
      <c r="K494" s="14" t="s">
        <v>616</v>
      </c>
      <c r="L494" s="14" t="s">
        <v>617</v>
      </c>
      <c r="M494" s="14" t="s">
        <v>9158</v>
      </c>
      <c r="N494" s="14" t="s">
        <v>9158</v>
      </c>
      <c r="O494" s="14" t="s">
        <v>9158</v>
      </c>
      <c r="P494" s="14" t="s">
        <v>9158</v>
      </c>
      <c r="Q494" s="14" t="s">
        <v>9158</v>
      </c>
    </row>
    <row r="495" spans="1:17">
      <c r="A495" s="14">
        <v>82193</v>
      </c>
      <c r="B495" s="14" t="s">
        <v>334</v>
      </c>
      <c r="C495" s="14" t="s">
        <v>206</v>
      </c>
      <c r="D495" s="20" t="s">
        <v>12437</v>
      </c>
      <c r="E495" s="15" t="str">
        <f>HYPERLINK("https://stat100.ameba.jp/tnk47/ratio20/illustrations/card/ill_82193_tsuyuromantatsukuchinawa03.jpg?202005-i_prefecture_active_user", "■")</f>
        <v>■</v>
      </c>
      <c r="F495" s="14" t="s">
        <v>5248</v>
      </c>
      <c r="G495" s="14">
        <v>190884</v>
      </c>
      <c r="H495" s="14">
        <v>107392</v>
      </c>
      <c r="I495" s="14">
        <v>26</v>
      </c>
      <c r="J495" s="14" t="s">
        <v>73</v>
      </c>
      <c r="K495" s="14" t="s">
        <v>5250</v>
      </c>
      <c r="L495" s="14" t="s">
        <v>5251</v>
      </c>
      <c r="M495" s="14" t="s">
        <v>9158</v>
      </c>
      <c r="N495" s="14" t="s">
        <v>9158</v>
      </c>
      <c r="O495" s="14" t="s">
        <v>9158</v>
      </c>
      <c r="P495" s="14" t="s">
        <v>9158</v>
      </c>
      <c r="Q495" s="14" t="s">
        <v>9158</v>
      </c>
    </row>
    <row r="496" spans="1:17">
      <c r="A496" s="14">
        <v>81013</v>
      </c>
      <c r="B496" s="14" t="s">
        <v>334</v>
      </c>
      <c r="C496" s="14" t="s">
        <v>205</v>
      </c>
      <c r="D496" s="19" t="s">
        <v>12438</v>
      </c>
      <c r="E496" s="15" t="str">
        <f>HYPERLINK("https://stat100.ameba.jp/tnk47/ratio20/illustrations/card/ill_81013_furudenshagoshikihime03.jpg?202005-i_prefecture_active_user", "■")</f>
        <v>■</v>
      </c>
      <c r="F496" s="14" t="s">
        <v>4413</v>
      </c>
      <c r="G496" s="14">
        <v>146392</v>
      </c>
      <c r="H496" s="14">
        <v>82390</v>
      </c>
      <c r="I496" s="14">
        <v>26</v>
      </c>
      <c r="J496" s="14" t="s">
        <v>155</v>
      </c>
      <c r="K496" s="14" t="s">
        <v>4414</v>
      </c>
      <c r="L496" s="14" t="s">
        <v>2557</v>
      </c>
      <c r="M496" s="14" t="s">
        <v>9158</v>
      </c>
      <c r="N496" s="14" t="s">
        <v>9158</v>
      </c>
      <c r="O496" s="14" t="s">
        <v>9158</v>
      </c>
      <c r="P496" s="14" t="s">
        <v>9158</v>
      </c>
      <c r="Q496" s="14" t="s">
        <v>9158</v>
      </c>
    </row>
    <row r="497" spans="1:17">
      <c r="A497" s="7">
        <v>69073</v>
      </c>
      <c r="B497" s="14" t="s">
        <v>334</v>
      </c>
      <c r="C497" s="14" t="s">
        <v>191</v>
      </c>
      <c r="D497" s="20" t="s">
        <v>12441</v>
      </c>
      <c r="E497" s="15" t="str">
        <f>HYPERLINK("https://stat100.ameba.jp/tnk47/ratio20/illustrations/card/ill_69073_uintasupotsuhishidashunso03.jpg?202005-i_prefecture_active_user", "■")</f>
        <v>■</v>
      </c>
      <c r="F497" s="14" t="s">
        <v>12440</v>
      </c>
      <c r="G497" s="14">
        <v>101558</v>
      </c>
      <c r="H497" s="14">
        <v>94390</v>
      </c>
      <c r="I497" s="14">
        <v>26</v>
      </c>
      <c r="J497" s="14" t="s">
        <v>16</v>
      </c>
      <c r="K497" s="14" t="s">
        <v>12439</v>
      </c>
      <c r="L497" s="14" t="s">
        <v>3613</v>
      </c>
      <c r="M497" s="14" t="s">
        <v>9158</v>
      </c>
      <c r="N497" s="14" t="s">
        <v>9158</v>
      </c>
      <c r="O497" s="14" t="s">
        <v>9158</v>
      </c>
      <c r="P497" s="14" t="s">
        <v>9158</v>
      </c>
      <c r="Q497" s="14" t="s">
        <v>9158</v>
      </c>
    </row>
    <row r="499" spans="1:17">
      <c r="A499" s="14" t="s">
        <v>12442</v>
      </c>
    </row>
    <row r="500" spans="1:17">
      <c r="A500" s="14" t="s">
        <v>12443</v>
      </c>
    </row>
    <row r="501" spans="1:17">
      <c r="A501" s="14" t="s">
        <v>5733</v>
      </c>
      <c r="B501" s="14" t="s">
        <v>330</v>
      </c>
      <c r="C501" s="14" t="s">
        <v>202</v>
      </c>
      <c r="D501" s="19" t="s">
        <v>2744</v>
      </c>
      <c r="E501" s="15" t="str">
        <f>HYPERLINK("https://stat100.ameba.jp/tnk47/ratio20/illustrations/card/ill_78693_0_kyupittokoinomikoto03.jpg?202005-i_prefecture_active_user", "■")</f>
        <v>■</v>
      </c>
      <c r="F501" s="14" t="s">
        <v>2745</v>
      </c>
      <c r="G501" s="14">
        <v>261996</v>
      </c>
      <c r="H501" s="14">
        <v>289889</v>
      </c>
      <c r="I501" s="14">
        <v>25</v>
      </c>
      <c r="J501" s="14" t="s">
        <v>274</v>
      </c>
      <c r="K501" s="14" t="s">
        <v>2746</v>
      </c>
      <c r="L501" s="14" t="s">
        <v>2747</v>
      </c>
      <c r="M501" s="14" t="s">
        <v>9158</v>
      </c>
      <c r="N501" s="14" t="s">
        <v>9158</v>
      </c>
      <c r="O501" s="19" t="s">
        <v>10097</v>
      </c>
      <c r="P501" s="14" t="s">
        <v>2748</v>
      </c>
      <c r="Q501" s="14">
        <v>1</v>
      </c>
    </row>
    <row r="502" spans="1:17">
      <c r="A502" s="14">
        <v>84323</v>
      </c>
      <c r="B502" s="14" t="s">
        <v>0</v>
      </c>
      <c r="C502" s="14" t="s">
        <v>158</v>
      </c>
      <c r="D502" s="19" t="s">
        <v>10669</v>
      </c>
      <c r="E502" s="15" t="str">
        <f>HYPERLINK("https://stat100.ameba.jp/tnk47/ratio20/illustrations/card/ill_84323_kagizumebyakko03.jpg?202005-i_prefecture_active_user", "■")</f>
        <v>■</v>
      </c>
      <c r="F502" s="14" t="s">
        <v>7284</v>
      </c>
      <c r="G502" s="14">
        <v>122366</v>
      </c>
      <c r="H502" s="14">
        <v>88624</v>
      </c>
      <c r="I502" s="14">
        <v>24</v>
      </c>
      <c r="J502" s="14" t="s">
        <v>155</v>
      </c>
      <c r="K502" s="14" t="s">
        <v>7283</v>
      </c>
      <c r="L502" s="14" t="s">
        <v>7282</v>
      </c>
      <c r="M502" s="14" t="s">
        <v>9158</v>
      </c>
      <c r="N502" s="14" t="s">
        <v>9158</v>
      </c>
      <c r="O502" s="19" t="s">
        <v>10109</v>
      </c>
      <c r="P502" s="14" t="s">
        <v>3625</v>
      </c>
      <c r="Q502" s="14">
        <v>1</v>
      </c>
    </row>
    <row r="503" spans="1:17">
      <c r="A503" s="16">
        <v>75853</v>
      </c>
      <c r="B503" s="14" t="s">
        <v>334</v>
      </c>
      <c r="C503" s="14" t="s">
        <v>41</v>
      </c>
      <c r="D503" s="19" t="s">
        <v>10224</v>
      </c>
      <c r="E503" s="15" t="str">
        <f>HYPERLINK("https://stat100.ameba.jp/tnk47/ratio20/illustrations/card/ill_75853_moruganoyuki03.jpg?202005-i_prefecture_active_user", "■")</f>
        <v>■</v>
      </c>
      <c r="F503" s="14" t="s">
        <v>5106</v>
      </c>
      <c r="G503" s="14">
        <v>120000</v>
      </c>
      <c r="H503" s="14">
        <v>111576</v>
      </c>
      <c r="I503" s="14">
        <v>24</v>
      </c>
      <c r="J503" s="14" t="s">
        <v>16</v>
      </c>
      <c r="K503" s="14" t="s">
        <v>5108</v>
      </c>
      <c r="L503" s="14" t="s">
        <v>1881</v>
      </c>
      <c r="M503" s="14" t="s">
        <v>9158</v>
      </c>
      <c r="N503" s="14" t="s">
        <v>9158</v>
      </c>
      <c r="O503" s="7" t="s">
        <v>3578</v>
      </c>
      <c r="P503" s="14" t="s">
        <v>3579</v>
      </c>
      <c r="Q503" s="14">
        <v>1</v>
      </c>
    </row>
    <row r="504" spans="1:17">
      <c r="A504" s="9">
        <v>67953</v>
      </c>
      <c r="B504" s="14" t="s">
        <v>334</v>
      </c>
      <c r="C504" s="14" t="s">
        <v>209</v>
      </c>
      <c r="D504" s="14" t="s">
        <v>2486</v>
      </c>
      <c r="E504" s="15" t="str">
        <f>HYPERLINK("https://stat100.ameba.jp/tnk47/ratio20/illustrations/card/ill_67953_kutaniyaki03.jpg?202005-i_prefecture_active_user", "■")</f>
        <v>■</v>
      </c>
      <c r="F504" s="14" t="s">
        <v>2487</v>
      </c>
      <c r="G504" s="14">
        <v>78916</v>
      </c>
      <c r="H504" s="14">
        <v>108924</v>
      </c>
      <c r="I504" s="14">
        <v>24</v>
      </c>
      <c r="J504" s="14" t="s">
        <v>26</v>
      </c>
      <c r="K504" s="14" t="s">
        <v>2488</v>
      </c>
      <c r="L504" s="14" t="s">
        <v>2489</v>
      </c>
      <c r="M504" s="14" t="s">
        <v>9158</v>
      </c>
      <c r="N504" s="14" t="s">
        <v>9158</v>
      </c>
      <c r="O504" s="17" t="s">
        <v>10053</v>
      </c>
      <c r="P504" s="14" t="s">
        <v>3592</v>
      </c>
      <c r="Q504" s="14">
        <v>1</v>
      </c>
    </row>
    <row r="506" spans="1:17">
      <c r="A506" s="14" t="s">
        <v>12490</v>
      </c>
    </row>
    <row r="507" spans="1:17">
      <c r="A507" s="14" t="s">
        <v>12491</v>
      </c>
    </row>
    <row r="508" spans="1:17">
      <c r="A508" s="14" t="s">
        <v>5620</v>
      </c>
      <c r="B508" s="14" t="s">
        <v>52</v>
      </c>
      <c r="C508" s="14" t="s">
        <v>344</v>
      </c>
      <c r="D508" s="19" t="s">
        <v>669</v>
      </c>
      <c r="E508" s="15" t="str">
        <f>HYPERLINK("https://stat100.ameba.jp/tnk47/ratio20/illustrations/card/ill_67173_0_yukemuriawamorichan03.jpg?202005-i_prefecture_active_user", "■")</f>
        <v>■</v>
      </c>
      <c r="F508" s="14" t="s">
        <v>2043</v>
      </c>
      <c r="G508" s="14">
        <v>192083</v>
      </c>
      <c r="H508" s="14">
        <v>178578</v>
      </c>
      <c r="I508" s="14">
        <v>25</v>
      </c>
      <c r="J508" s="14" t="s">
        <v>104</v>
      </c>
      <c r="K508" s="14" t="s">
        <v>2044</v>
      </c>
      <c r="L508" s="14" t="s">
        <v>2045</v>
      </c>
      <c r="M508" s="14" t="s">
        <v>9158</v>
      </c>
      <c r="N508" s="14" t="s">
        <v>9158</v>
      </c>
      <c r="O508" s="19" t="s">
        <v>10087</v>
      </c>
      <c r="P508" s="14" t="s">
        <v>3455</v>
      </c>
      <c r="Q508" s="14">
        <v>1</v>
      </c>
    </row>
    <row r="509" spans="1:17">
      <c r="A509" s="14">
        <v>84863</v>
      </c>
      <c r="B509" s="14" t="s">
        <v>0</v>
      </c>
      <c r="C509" s="14" t="s">
        <v>200</v>
      </c>
      <c r="D509" s="19" t="s">
        <v>10742</v>
      </c>
      <c r="E509" s="15" t="str">
        <f>HYPERLINK("https://stat100.ameba.jp/tnk47/ratio20/illustrations/card/ill_84863_onsengaiarisubekon03.jpg?202005-i_prefecture_active_user", "■")</f>
        <v>■</v>
      </c>
      <c r="F509" s="14" t="s">
        <v>7796</v>
      </c>
      <c r="G509" s="14">
        <v>101373</v>
      </c>
      <c r="H509" s="14">
        <v>94295</v>
      </c>
      <c r="I509" s="14">
        <v>25</v>
      </c>
      <c r="J509" s="14" t="s">
        <v>159</v>
      </c>
      <c r="K509" s="14" t="s">
        <v>7795</v>
      </c>
      <c r="L509" s="14" t="s">
        <v>7794</v>
      </c>
      <c r="M509" s="14" t="s">
        <v>9158</v>
      </c>
      <c r="N509" s="14" t="s">
        <v>9158</v>
      </c>
      <c r="O509" s="19" t="s">
        <v>2951</v>
      </c>
      <c r="P509" s="14" t="s">
        <v>13122</v>
      </c>
      <c r="Q509" s="14">
        <v>1</v>
      </c>
    </row>
    <row r="510" spans="1:17">
      <c r="A510" s="14">
        <v>75883</v>
      </c>
      <c r="B510" s="14" t="s">
        <v>334</v>
      </c>
      <c r="C510" s="14" t="s">
        <v>154</v>
      </c>
      <c r="D510" s="19" t="s">
        <v>10402</v>
      </c>
      <c r="E510" s="15" t="str">
        <f>HYPERLINK("https://stat100.ameba.jp/tnk47/ratio20/illustrations/card/ill_75883_kitajokagehiro03.jpg?202005-i_prefecture_active_user", "■")</f>
        <v>■</v>
      </c>
      <c r="F510" s="14" t="s">
        <v>2411</v>
      </c>
      <c r="G510" s="14">
        <v>120475</v>
      </c>
      <c r="H510" s="14">
        <v>166328</v>
      </c>
      <c r="I510" s="14">
        <v>25</v>
      </c>
      <c r="J510" s="14" t="s">
        <v>143</v>
      </c>
      <c r="K510" s="14" t="s">
        <v>2412</v>
      </c>
      <c r="L510" s="14" t="s">
        <v>1148</v>
      </c>
      <c r="M510" s="14" t="s">
        <v>9158</v>
      </c>
      <c r="N510" s="14" t="s">
        <v>9158</v>
      </c>
      <c r="O510" s="19" t="s">
        <v>10106</v>
      </c>
      <c r="P510" s="14" t="s">
        <v>3330</v>
      </c>
      <c r="Q510" s="14">
        <v>2</v>
      </c>
    </row>
    <row r="511" spans="1:17">
      <c r="A511" s="14">
        <v>76783</v>
      </c>
      <c r="B511" s="14" t="s">
        <v>334</v>
      </c>
      <c r="C511" s="14" t="s">
        <v>203</v>
      </c>
      <c r="D511" s="19" t="s">
        <v>10367</v>
      </c>
      <c r="E511" s="15" t="str">
        <f>HYPERLINK("https://stat100.ameba.jp/tnk47/ratio20/illustrations/card/ill_76783_monsutaakashirejina03.jpg?202005-i_prefecture_active_user", "■")</f>
        <v>■</v>
      </c>
      <c r="F511" s="14" t="s">
        <v>1192</v>
      </c>
      <c r="G511" s="14">
        <v>79151</v>
      </c>
      <c r="H511" s="14">
        <v>109259</v>
      </c>
      <c r="I511" s="14">
        <v>25</v>
      </c>
      <c r="J511" s="14" t="s">
        <v>10</v>
      </c>
      <c r="K511" s="14" t="s">
        <v>1193</v>
      </c>
      <c r="L511" s="14" t="s">
        <v>1194</v>
      </c>
      <c r="M511" s="14" t="s">
        <v>9158</v>
      </c>
      <c r="N511" s="14" t="s">
        <v>9158</v>
      </c>
      <c r="O511" s="19" t="s">
        <v>2752</v>
      </c>
      <c r="P511" s="14" t="s">
        <v>13123</v>
      </c>
      <c r="Q511" s="14">
        <v>1</v>
      </c>
    </row>
    <row r="513" spans="1:18">
      <c r="A513" s="14" t="s">
        <v>12493</v>
      </c>
    </row>
    <row r="514" spans="1:18">
      <c r="A514" s="14" t="s">
        <v>12494</v>
      </c>
    </row>
    <row r="515" spans="1:18">
      <c r="A515" s="14" t="s">
        <v>5603</v>
      </c>
      <c r="B515" s="14" t="s">
        <v>330</v>
      </c>
      <c r="C515" s="14" t="s">
        <v>205</v>
      </c>
      <c r="D515" s="20" t="s">
        <v>611</v>
      </c>
      <c r="E515" s="15" t="str">
        <f>HYPERLINK("https://stat100.ameba.jp/tnk47/ratio20/illustrations/card/ill_61893_0_onikirishumiyamotomusashi03.jpg?202005-i_prefecture_active_user", "■")</f>
        <v>■</v>
      </c>
      <c r="F515" s="14" t="s">
        <v>612</v>
      </c>
      <c r="G515" s="14">
        <v>224026</v>
      </c>
      <c r="H515" s="14">
        <v>208310</v>
      </c>
      <c r="I515" s="14">
        <v>24</v>
      </c>
      <c r="J515" s="14" t="s">
        <v>310</v>
      </c>
      <c r="K515" s="14" t="s">
        <v>613</v>
      </c>
      <c r="L515" s="14" t="s">
        <v>312</v>
      </c>
      <c r="M515" s="14" t="s">
        <v>9158</v>
      </c>
      <c r="N515" s="14" t="s">
        <v>9158</v>
      </c>
      <c r="O515" s="19" t="s">
        <v>10071</v>
      </c>
      <c r="P515" s="14" t="s">
        <v>3253</v>
      </c>
      <c r="Q515" s="14">
        <v>1</v>
      </c>
    </row>
    <row r="516" spans="1:18">
      <c r="A516" s="14" t="s">
        <v>5621</v>
      </c>
      <c r="B516" s="14" t="s">
        <v>330</v>
      </c>
      <c r="C516" s="14" t="s">
        <v>191</v>
      </c>
      <c r="D516" s="19" t="s">
        <v>2871</v>
      </c>
      <c r="E516" s="15" t="str">
        <f>HYPERLINK("https://stat100.ameba.jp/tnk47/ratio20/illustrations/card/ill_51973_0_kemonomizugikuroyuridensetsu03.jpg?202005-i_prefecture_active_user", "■")</f>
        <v>■</v>
      </c>
      <c r="F516" s="14" t="s">
        <v>2034</v>
      </c>
      <c r="G516" s="14">
        <v>150776</v>
      </c>
      <c r="H516" s="14">
        <v>133938</v>
      </c>
      <c r="I516" s="14">
        <v>24</v>
      </c>
      <c r="J516" s="14" t="s">
        <v>38</v>
      </c>
      <c r="K516" s="14" t="s">
        <v>2035</v>
      </c>
      <c r="L516" s="14" t="s">
        <v>2036</v>
      </c>
      <c r="M516" s="14" t="s">
        <v>9158</v>
      </c>
      <c r="N516" s="14" t="s">
        <v>9158</v>
      </c>
      <c r="O516" s="19" t="s">
        <v>10088</v>
      </c>
      <c r="P516" s="14" t="s">
        <v>13172</v>
      </c>
      <c r="Q516" s="14">
        <v>1</v>
      </c>
    </row>
    <row r="517" spans="1:18">
      <c r="A517" s="14" t="s">
        <v>5897</v>
      </c>
      <c r="B517" s="14" t="s">
        <v>52</v>
      </c>
      <c r="C517" s="14" t="s">
        <v>23</v>
      </c>
      <c r="D517" s="20" t="s">
        <v>277</v>
      </c>
      <c r="E517" s="15" t="str">
        <f>HYPERLINK("https://stat100.ameba.jp/tnk47/ratio20/illustrations/card/ill_40913_0_reigyokudensetsufusehime03.jpg?202005-i_prefecture_active_user", "■")</f>
        <v>■</v>
      </c>
      <c r="F517" s="14" t="s">
        <v>955</v>
      </c>
      <c r="G517" s="14">
        <v>131538</v>
      </c>
      <c r="H517" s="14">
        <v>140448</v>
      </c>
      <c r="I517" s="14">
        <v>24</v>
      </c>
      <c r="J517" s="14" t="s">
        <v>38</v>
      </c>
      <c r="K517" s="14" t="s">
        <v>956</v>
      </c>
      <c r="L517" s="14" t="s">
        <v>957</v>
      </c>
      <c r="M517" s="14" t="s">
        <v>9158</v>
      </c>
      <c r="N517" s="14" t="s">
        <v>9158</v>
      </c>
      <c r="O517" s="14" t="s">
        <v>9158</v>
      </c>
      <c r="P517" s="14" t="s">
        <v>9158</v>
      </c>
      <c r="Q517" s="14" t="s">
        <v>9158</v>
      </c>
    </row>
    <row r="518" spans="1:18">
      <c r="A518" s="14">
        <v>88793</v>
      </c>
      <c r="B518" s="14" t="s">
        <v>0</v>
      </c>
      <c r="C518" s="14" t="s">
        <v>107</v>
      </c>
      <c r="D518" s="14" t="s">
        <v>12404</v>
      </c>
      <c r="E518" s="15" t="str">
        <f>HYPERLINK("https://stat100.ameba.jp/tnk47/ratio20/illustrations/card/ill_88793_ichigogariyakushimachan03.jpg?202005-i_prefecture_active_user", "■")</f>
        <v>■</v>
      </c>
      <c r="F518" s="14" t="s">
        <v>12412</v>
      </c>
      <c r="G518" s="14">
        <v>105890</v>
      </c>
      <c r="H518" s="14">
        <v>113890</v>
      </c>
      <c r="I518" s="7">
        <v>25</v>
      </c>
      <c r="J518" s="14" t="s">
        <v>26</v>
      </c>
      <c r="K518" s="14" t="s">
        <v>12411</v>
      </c>
      <c r="L518" s="14" t="s">
        <v>2489</v>
      </c>
      <c r="M518" s="14" t="s">
        <v>9158</v>
      </c>
      <c r="N518" s="14" t="s">
        <v>9158</v>
      </c>
      <c r="O518" s="14" t="s">
        <v>9158</v>
      </c>
      <c r="P518" s="14" t="s">
        <v>9158</v>
      </c>
      <c r="Q518" s="14" t="s">
        <v>9158</v>
      </c>
    </row>
    <row r="519" spans="1:18">
      <c r="A519" s="14">
        <v>88813</v>
      </c>
      <c r="B519" s="14" t="s">
        <v>15</v>
      </c>
      <c r="C519" s="14" t="s">
        <v>96</v>
      </c>
      <c r="D519" s="14" t="s">
        <v>12419</v>
      </c>
      <c r="E519" s="15" t="str">
        <f>HYPERLINK("https://stat100.ameba.jp/tnk47/ratio20/illustrations/card/ill_88813_nogyosenhime03.jpg?202005-i_prefecture_active_user", "■")</f>
        <v>■</v>
      </c>
      <c r="F519" s="14" t="s">
        <v>12424</v>
      </c>
      <c r="G519" s="14">
        <v>67210</v>
      </c>
      <c r="H519" s="14">
        <v>74100</v>
      </c>
      <c r="I519" s="7">
        <v>25</v>
      </c>
      <c r="J519" s="14" t="s">
        <v>77</v>
      </c>
      <c r="K519" s="14" t="s">
        <v>12422</v>
      </c>
      <c r="L519" s="14" t="s">
        <v>973</v>
      </c>
      <c r="M519" s="14" t="s">
        <v>9158</v>
      </c>
      <c r="N519" s="14" t="s">
        <v>9158</v>
      </c>
      <c r="O519" s="14" t="s">
        <v>9158</v>
      </c>
      <c r="P519" s="14" t="s">
        <v>9158</v>
      </c>
      <c r="Q519" s="14" t="s">
        <v>9158</v>
      </c>
    </row>
    <row r="520" spans="1:18">
      <c r="A520" s="14">
        <v>88823</v>
      </c>
      <c r="B520" s="14" t="s">
        <v>22</v>
      </c>
      <c r="C520" s="14" t="s">
        <v>101</v>
      </c>
      <c r="D520" s="14" t="s">
        <v>12428</v>
      </c>
      <c r="E520" s="15" t="str">
        <f>HYPERLINK("https://stat100.ameba.jp/tnk47/ratio20/illustrations/card/ill_88823_korakukasekihakkutsumusume03.jpg?202005-i_prefecture_active_user", "■")</f>
        <v>■</v>
      </c>
      <c r="F520" s="14" t="s">
        <v>12427</v>
      </c>
      <c r="G520" s="14">
        <v>51980</v>
      </c>
      <c r="H520" s="14">
        <v>43220</v>
      </c>
      <c r="I520" s="7">
        <v>25</v>
      </c>
      <c r="J520" s="14" t="s">
        <v>26</v>
      </c>
      <c r="K520" s="14" t="s">
        <v>12426</v>
      </c>
      <c r="L520" s="14" t="s">
        <v>2635</v>
      </c>
      <c r="M520" s="14" t="s">
        <v>9158</v>
      </c>
      <c r="N520" s="14" t="s">
        <v>9158</v>
      </c>
      <c r="O520" s="14" t="s">
        <v>9158</v>
      </c>
      <c r="P520" s="14" t="s">
        <v>9158</v>
      </c>
      <c r="Q520" s="14" t="s">
        <v>9158</v>
      </c>
    </row>
    <row r="521" spans="1:18">
      <c r="A521" s="14">
        <v>88833</v>
      </c>
      <c r="B521" s="14" t="s">
        <v>30</v>
      </c>
      <c r="C521" s="14" t="s">
        <v>12434</v>
      </c>
      <c r="D521" s="14" t="s">
        <v>12433</v>
      </c>
      <c r="E521" s="15" t="str">
        <f>HYPERLINK("https://stat100.ameba.jp/tnk47/ratio20/illustrations/card/ill_88833_akinasu03.jpg?202005-i_prefecture_active_user", "■")</f>
        <v>■</v>
      </c>
      <c r="F521" s="14" t="s">
        <v>12432</v>
      </c>
      <c r="G521" s="14">
        <v>26430</v>
      </c>
      <c r="H521" s="14">
        <v>31470</v>
      </c>
      <c r="I521" s="7">
        <v>25</v>
      </c>
      <c r="J521" s="14" t="s">
        <v>104</v>
      </c>
      <c r="K521" s="14" t="s">
        <v>12431</v>
      </c>
      <c r="L521" s="14" t="s">
        <v>4560</v>
      </c>
      <c r="M521" s="14" t="s">
        <v>9158</v>
      </c>
      <c r="N521" s="14" t="s">
        <v>9158</v>
      </c>
      <c r="O521" s="14" t="s">
        <v>9158</v>
      </c>
      <c r="P521" s="14" t="s">
        <v>9158</v>
      </c>
      <c r="Q521" s="14" t="s">
        <v>9158</v>
      </c>
    </row>
    <row r="523" spans="1:18">
      <c r="A523" s="14" t="s">
        <v>13327</v>
      </c>
    </row>
    <row r="524" spans="1:18">
      <c r="A524" s="14" t="s">
        <v>12492</v>
      </c>
    </row>
    <row r="525" spans="1:18">
      <c r="A525" s="14">
        <v>82213</v>
      </c>
      <c r="B525" s="14" t="s">
        <v>0</v>
      </c>
      <c r="C525" s="14" t="s">
        <v>185</v>
      </c>
      <c r="D525" s="19" t="s">
        <v>10185</v>
      </c>
      <c r="E525" s="15" t="str">
        <f>HYPERLINK("https://stat100.ameba.jp/tnk47/ratio20/illustrations/card/ill_82213_tatarimokke03.jpg?202005-i_prefecture_active_user", "■")</f>
        <v>■</v>
      </c>
      <c r="F525" s="14" t="s">
        <v>4935</v>
      </c>
      <c r="G525" s="14">
        <v>119006</v>
      </c>
      <c r="H525" s="14">
        <v>128000</v>
      </c>
      <c r="I525" s="7">
        <v>26</v>
      </c>
      <c r="J525" s="14" t="s">
        <v>182</v>
      </c>
      <c r="K525" s="14" t="s">
        <v>4937</v>
      </c>
      <c r="L525" s="14" t="s">
        <v>13191</v>
      </c>
      <c r="M525" s="14" t="s">
        <v>13130</v>
      </c>
      <c r="N525" s="14" t="s">
        <v>343</v>
      </c>
      <c r="O525" s="14" t="s">
        <v>9158</v>
      </c>
      <c r="P525" s="14" t="s">
        <v>9158</v>
      </c>
      <c r="Q525" s="14" t="s">
        <v>9158</v>
      </c>
      <c r="R525" s="14" t="s">
        <v>14748</v>
      </c>
    </row>
    <row r="526" spans="1:18">
      <c r="A526" s="14">
        <v>82212</v>
      </c>
      <c r="B526" s="14" t="s">
        <v>334</v>
      </c>
      <c r="C526" s="14" t="s">
        <v>185</v>
      </c>
      <c r="D526" s="19" t="s">
        <v>10185</v>
      </c>
      <c r="E526" s="15" t="str">
        <f>HYPERLINK("https://stat100.ameba.jp/tnk47/ratio20/illustrations/card/ill_82212_tatarimokke02.jpg?202005-i_prefecture_active_user", "■")</f>
        <v>■</v>
      </c>
      <c r="F526" s="14" t="s">
        <v>4935</v>
      </c>
      <c r="G526" s="14">
        <v>98566</v>
      </c>
      <c r="H526" s="14">
        <v>107000</v>
      </c>
      <c r="I526" s="7">
        <v>26</v>
      </c>
      <c r="J526" s="14" t="s">
        <v>182</v>
      </c>
      <c r="K526" s="14" t="s">
        <v>4937</v>
      </c>
      <c r="L526" s="14" t="s">
        <v>13191</v>
      </c>
      <c r="M526" s="14" t="s">
        <v>13131</v>
      </c>
      <c r="N526" s="14" t="s">
        <v>251</v>
      </c>
      <c r="O526" s="14" t="s">
        <v>9158</v>
      </c>
      <c r="P526" s="14" t="s">
        <v>9158</v>
      </c>
      <c r="Q526" s="14" t="s">
        <v>9158</v>
      </c>
      <c r="R526" s="14" t="s">
        <v>14748</v>
      </c>
    </row>
    <row r="527" spans="1:18">
      <c r="A527" s="14">
        <v>82211</v>
      </c>
      <c r="B527" s="14" t="s">
        <v>0</v>
      </c>
      <c r="C527" s="14" t="s">
        <v>185</v>
      </c>
      <c r="D527" s="19" t="s">
        <v>10185</v>
      </c>
      <c r="E527" s="15" t="str">
        <f>HYPERLINK("https://stat100.ameba.jp/tnk47/ratio20/illustrations/card/ill_82211_tatarimokke01.jpg?202005-i_prefecture_active_user", "■")</f>
        <v>■</v>
      </c>
      <c r="F527" s="14" t="s">
        <v>4935</v>
      </c>
      <c r="G527" s="14">
        <v>76050</v>
      </c>
      <c r="H527" s="14">
        <v>81692</v>
      </c>
      <c r="I527" s="7">
        <v>26</v>
      </c>
      <c r="J527" s="14" t="s">
        <v>182</v>
      </c>
      <c r="K527" s="14" t="s">
        <v>4937</v>
      </c>
      <c r="L527" s="14" t="s">
        <v>13191</v>
      </c>
      <c r="M527" s="14" t="s">
        <v>13131</v>
      </c>
      <c r="N527" s="14" t="s">
        <v>251</v>
      </c>
      <c r="O527" s="14" t="s">
        <v>9158</v>
      </c>
      <c r="P527" s="14" t="s">
        <v>9158</v>
      </c>
      <c r="Q527" s="14" t="s">
        <v>9158</v>
      </c>
      <c r="R527" s="14" t="s">
        <v>14748</v>
      </c>
    </row>
    <row r="528" spans="1:18">
      <c r="A528" s="14">
        <v>82223</v>
      </c>
      <c r="B528" s="14" t="s">
        <v>334</v>
      </c>
      <c r="C528" s="14" t="s">
        <v>200</v>
      </c>
      <c r="D528" s="19" t="s">
        <v>10186</v>
      </c>
      <c r="E528" s="15" t="str">
        <f>HYPERLINK("https://stat100.ameba.jp/tnk47/ratio20/illustrations/card/ill_82223_oyayubihime03.jpg?202005-i_prefecture_active_user", "■")</f>
        <v>■</v>
      </c>
      <c r="F528" s="14" t="s">
        <v>4931</v>
      </c>
      <c r="G528" s="14">
        <v>128000</v>
      </c>
      <c r="H528" s="14">
        <v>119006</v>
      </c>
      <c r="I528" s="7">
        <v>26</v>
      </c>
      <c r="J528" s="14" t="s">
        <v>155</v>
      </c>
      <c r="K528" s="14" t="s">
        <v>4933</v>
      </c>
      <c r="L528" s="14" t="s">
        <v>4934</v>
      </c>
      <c r="M528" s="14" t="s">
        <v>13130</v>
      </c>
      <c r="N528" s="14" t="s">
        <v>343</v>
      </c>
      <c r="O528" s="14" t="s">
        <v>9158</v>
      </c>
      <c r="P528" s="14" t="s">
        <v>9158</v>
      </c>
      <c r="Q528" s="14" t="s">
        <v>9158</v>
      </c>
      <c r="R528" s="14" t="s">
        <v>14748</v>
      </c>
    </row>
    <row r="529" spans="1:18">
      <c r="A529" s="14">
        <v>82233</v>
      </c>
      <c r="B529" s="14" t="s">
        <v>334</v>
      </c>
      <c r="C529" s="14" t="s">
        <v>191</v>
      </c>
      <c r="D529" s="19" t="s">
        <v>10187</v>
      </c>
      <c r="E529" s="15" t="str">
        <f>HYPERLINK("https://stat100.ameba.jp/tnk47/ratio20/illustrations/card/ill_82233_iseokiku03.jpg?202005-i_prefecture_active_user", "■")</f>
        <v>■</v>
      </c>
      <c r="F529" s="14" t="s">
        <v>4924</v>
      </c>
      <c r="G529" s="14">
        <v>128000</v>
      </c>
      <c r="H529" s="14">
        <v>119006</v>
      </c>
      <c r="I529" s="7">
        <v>26</v>
      </c>
      <c r="J529" s="14" t="s">
        <v>187</v>
      </c>
      <c r="K529" s="14" t="s">
        <v>4926</v>
      </c>
      <c r="L529" s="14" t="s">
        <v>4930</v>
      </c>
      <c r="M529" s="14" t="s">
        <v>13130</v>
      </c>
      <c r="N529" s="14" t="s">
        <v>343</v>
      </c>
      <c r="O529" s="14" t="s">
        <v>9158</v>
      </c>
      <c r="P529" s="14" t="s">
        <v>9158</v>
      </c>
      <c r="Q529" s="14" t="s">
        <v>9158</v>
      </c>
      <c r="R529" s="14" t="s">
        <v>14748</v>
      </c>
    </row>
    <row r="530" spans="1:18">
      <c r="A530" s="14">
        <v>82243</v>
      </c>
      <c r="B530" s="14" t="s">
        <v>0</v>
      </c>
      <c r="C530" s="14" t="s">
        <v>165</v>
      </c>
      <c r="D530" s="19" t="s">
        <v>10188</v>
      </c>
      <c r="E530" s="15" t="str">
        <f>HYPERLINK("https://stat100.ameba.jp/tnk47/ratio20/illustrations/card/ill_82243_nanohana03.jpg?202005-i_prefecture_active_user", "■")</f>
        <v>■</v>
      </c>
      <c r="F530" s="14" t="s">
        <v>4921</v>
      </c>
      <c r="G530" s="14">
        <v>128000</v>
      </c>
      <c r="H530" s="14">
        <v>119006</v>
      </c>
      <c r="I530" s="7">
        <v>26</v>
      </c>
      <c r="J530" s="14" t="s">
        <v>229</v>
      </c>
      <c r="K530" s="14" t="s">
        <v>4923</v>
      </c>
      <c r="L530" s="14" t="s">
        <v>4929</v>
      </c>
      <c r="M530" s="14" t="s">
        <v>13130</v>
      </c>
      <c r="N530" s="14" t="s">
        <v>343</v>
      </c>
      <c r="O530" s="14" t="s">
        <v>9158</v>
      </c>
      <c r="P530" s="14" t="s">
        <v>9158</v>
      </c>
      <c r="Q530" s="14" t="s">
        <v>9158</v>
      </c>
      <c r="R530" s="14" t="s">
        <v>14748</v>
      </c>
    </row>
    <row r="531" spans="1:18">
      <c r="A531" s="14">
        <v>82253</v>
      </c>
      <c r="B531" s="14" t="s">
        <v>334</v>
      </c>
      <c r="C531" s="14" t="s">
        <v>205</v>
      </c>
      <c r="D531" s="19" t="s">
        <v>10189</v>
      </c>
      <c r="E531" s="15" t="str">
        <f>HYPERLINK("https://stat100.ameba.jp/tnk47/ratio20/illustrations/card/ill_82253_ajisaikyogokuichiko03.jpg?202005-i_prefecture_active_user", "■")</f>
        <v>■</v>
      </c>
      <c r="F531" s="14" t="s">
        <v>4920</v>
      </c>
      <c r="G531" s="14">
        <v>119006</v>
      </c>
      <c r="H531" s="14">
        <v>128000</v>
      </c>
      <c r="I531" s="7">
        <v>26</v>
      </c>
      <c r="J531" s="14" t="s">
        <v>159</v>
      </c>
      <c r="K531" s="14" t="s">
        <v>4919</v>
      </c>
      <c r="L531" s="14" t="s">
        <v>4927</v>
      </c>
      <c r="M531" s="14" t="s">
        <v>13130</v>
      </c>
      <c r="N531" s="14" t="s">
        <v>343</v>
      </c>
      <c r="O531" s="14" t="s">
        <v>9158</v>
      </c>
      <c r="P531" s="14" t="s">
        <v>9158</v>
      </c>
      <c r="Q531" s="14" t="s">
        <v>9158</v>
      </c>
      <c r="R531" s="14" t="s">
        <v>14748</v>
      </c>
    </row>
    <row r="532" spans="1:18">
      <c r="A532" s="14">
        <v>82263</v>
      </c>
      <c r="B532" s="14" t="s">
        <v>334</v>
      </c>
      <c r="C532" s="14" t="s">
        <v>206</v>
      </c>
      <c r="D532" s="19" t="s">
        <v>10190</v>
      </c>
      <c r="E532" s="15" t="str">
        <f>HYPERLINK("https://stat100.ameba.jp/tnk47/ratio20/illustrations/card/ill_82263_euterupe03.jpg?202005-i_prefecture_active_user", "■")</f>
        <v>■</v>
      </c>
      <c r="F532" s="14" t="s">
        <v>4915</v>
      </c>
      <c r="G532" s="14">
        <v>119006</v>
      </c>
      <c r="H532" s="14">
        <v>128000</v>
      </c>
      <c r="I532" s="7">
        <v>26</v>
      </c>
      <c r="J532" s="14" t="s">
        <v>169</v>
      </c>
      <c r="K532" s="14" t="s">
        <v>4917</v>
      </c>
      <c r="L532" s="14" t="s">
        <v>4928</v>
      </c>
      <c r="M532" s="14" t="s">
        <v>13130</v>
      </c>
      <c r="N532" s="14" t="s">
        <v>343</v>
      </c>
      <c r="O532" s="14" t="s">
        <v>9158</v>
      </c>
      <c r="P532" s="14" t="s">
        <v>9158</v>
      </c>
      <c r="Q532" s="14" t="s">
        <v>9158</v>
      </c>
      <c r="R532" s="14" t="s">
        <v>14748</v>
      </c>
    </row>
    <row r="534" spans="1:18">
      <c r="A534" s="14" t="s">
        <v>12495</v>
      </c>
    </row>
    <row r="535" spans="1:18">
      <c r="A535" s="14" t="s">
        <v>12496</v>
      </c>
    </row>
    <row r="536" spans="1:18">
      <c r="A536" s="14" t="s">
        <v>5804</v>
      </c>
      <c r="B536" s="14" t="s">
        <v>52</v>
      </c>
      <c r="C536" s="14" t="s">
        <v>14</v>
      </c>
      <c r="D536" s="19" t="s">
        <v>3195</v>
      </c>
      <c r="E536" s="15" t="str">
        <f>HYPERLINK("https://stat100.ameba.jp/tnk47/ratio20/illustrations/card/ill_75393_0_resukuinotsukisamaniittausagi03.jpg?202005-i_prefecture_active_user", "■")</f>
        <v>■</v>
      </c>
      <c r="F536" s="14" t="s">
        <v>3248</v>
      </c>
      <c r="G536" s="14">
        <v>273368</v>
      </c>
      <c r="H536" s="14">
        <v>254160</v>
      </c>
      <c r="I536" s="14">
        <v>24</v>
      </c>
      <c r="J536" s="14" t="s">
        <v>26</v>
      </c>
      <c r="K536" s="14" t="s">
        <v>3249</v>
      </c>
      <c r="L536" s="14" t="s">
        <v>3250</v>
      </c>
      <c r="M536" s="14" t="s">
        <v>9158</v>
      </c>
      <c r="N536" s="14" t="s">
        <v>9158</v>
      </c>
      <c r="O536" s="19" t="s">
        <v>10101</v>
      </c>
      <c r="P536" s="14" t="s">
        <v>3251</v>
      </c>
      <c r="Q536" s="14">
        <v>2</v>
      </c>
    </row>
    <row r="537" spans="1:18">
      <c r="A537" s="14" t="s">
        <v>5778</v>
      </c>
      <c r="B537" s="14" t="s">
        <v>330</v>
      </c>
      <c r="C537" s="14" t="s">
        <v>205</v>
      </c>
      <c r="D537" s="19" t="s">
        <v>272</v>
      </c>
      <c r="E537" s="15" t="str">
        <f>HYPERLINK("https://stat100.ameba.jp/tnk47/ratio20/illustrations/card/ill_68783_0_gantammomotaro03.jpg?202005-i_prefecture_active_user", "■")</f>
        <v>■</v>
      </c>
      <c r="F537" s="14" t="s">
        <v>273</v>
      </c>
      <c r="G537" s="14">
        <v>164144</v>
      </c>
      <c r="H537" s="14">
        <v>152594</v>
      </c>
      <c r="I537" s="14">
        <v>24</v>
      </c>
      <c r="J537" s="14" t="s">
        <v>274</v>
      </c>
      <c r="K537" s="14" t="s">
        <v>275</v>
      </c>
      <c r="L537" s="14" t="s">
        <v>276</v>
      </c>
      <c r="M537" s="14" t="s">
        <v>9158</v>
      </c>
      <c r="N537" s="14" t="s">
        <v>9158</v>
      </c>
      <c r="O537" s="19" t="s">
        <v>10099</v>
      </c>
      <c r="P537" s="14" t="s">
        <v>3085</v>
      </c>
      <c r="Q537" s="14">
        <v>1</v>
      </c>
    </row>
    <row r="538" spans="1:18">
      <c r="A538" s="14" t="s">
        <v>5830</v>
      </c>
      <c r="B538" s="14" t="s">
        <v>330</v>
      </c>
      <c r="C538" s="14" t="s">
        <v>191</v>
      </c>
      <c r="D538" s="19" t="s">
        <v>793</v>
      </c>
      <c r="E538" s="15" t="str">
        <f>HYPERLINK("https://stat100.ameba.jp/tnk47/ratio20/illustrations/card/ill_39933_0_reihiiinaotora03.jpg?202005-i_prefecture_active_user", "■")</f>
        <v>■</v>
      </c>
      <c r="F538" s="14" t="s">
        <v>794</v>
      </c>
      <c r="G538" s="14">
        <v>131538</v>
      </c>
      <c r="H538" s="14">
        <v>140448</v>
      </c>
      <c r="I538" s="14">
        <v>24</v>
      </c>
      <c r="J538" s="14" t="s">
        <v>315</v>
      </c>
      <c r="K538" s="14" t="s">
        <v>795</v>
      </c>
      <c r="L538" s="14" t="s">
        <v>796</v>
      </c>
      <c r="M538" s="14" t="s">
        <v>9158</v>
      </c>
      <c r="N538" s="14" t="s">
        <v>9158</v>
      </c>
      <c r="O538" s="14" t="s">
        <v>9158</v>
      </c>
      <c r="P538" s="14" t="s">
        <v>9158</v>
      </c>
      <c r="Q538" s="14" t="s">
        <v>9158</v>
      </c>
    </row>
    <row r="539" spans="1:18">
      <c r="A539" s="14">
        <v>88803</v>
      </c>
      <c r="B539" s="9" t="s">
        <v>0</v>
      </c>
      <c r="C539" s="14" t="s">
        <v>23</v>
      </c>
      <c r="D539" s="14" t="s">
        <v>12413</v>
      </c>
      <c r="E539" s="15" t="str">
        <f>HYPERLINK("https://stat100.ameba.jp/tnk47/ratio20/illustrations/card/ill_88803_buruberitei03.jpg?202005-i_prefecture_active_user", "■")</f>
        <v>■</v>
      </c>
      <c r="F539" s="14" t="s">
        <v>12418</v>
      </c>
      <c r="G539" s="14">
        <v>101373</v>
      </c>
      <c r="H539" s="14">
        <v>94295</v>
      </c>
      <c r="I539" s="7">
        <v>25</v>
      </c>
      <c r="J539" s="14" t="s">
        <v>104</v>
      </c>
      <c r="K539" s="14" t="s">
        <v>12416</v>
      </c>
      <c r="L539" s="14" t="s">
        <v>12415</v>
      </c>
      <c r="M539" s="14" t="s">
        <v>9158</v>
      </c>
      <c r="N539" s="14" t="s">
        <v>9158</v>
      </c>
      <c r="O539" s="14" t="s">
        <v>9158</v>
      </c>
      <c r="P539" s="14" t="s">
        <v>9158</v>
      </c>
      <c r="Q539" s="14" t="s">
        <v>9158</v>
      </c>
    </row>
    <row r="540" spans="1:18">
      <c r="A540" s="14">
        <v>88813</v>
      </c>
      <c r="B540" s="14" t="s">
        <v>15</v>
      </c>
      <c r="C540" s="14" t="s">
        <v>96</v>
      </c>
      <c r="D540" s="14" t="s">
        <v>12419</v>
      </c>
      <c r="E540" s="15" t="str">
        <f>HYPERLINK("https://stat100.ameba.jp/tnk47/ratio20/illustrations/card/ill_88813_nogyosenhime03.jpg?202005-i_prefecture_active_user", "■")</f>
        <v>■</v>
      </c>
      <c r="F540" s="14" t="s">
        <v>12424</v>
      </c>
      <c r="G540" s="14">
        <v>67210</v>
      </c>
      <c r="H540" s="14">
        <v>74100</v>
      </c>
      <c r="I540" s="7">
        <v>25</v>
      </c>
      <c r="J540" s="14" t="s">
        <v>77</v>
      </c>
      <c r="K540" s="14" t="s">
        <v>12422</v>
      </c>
      <c r="L540" s="14" t="s">
        <v>973</v>
      </c>
      <c r="M540" s="14" t="s">
        <v>9158</v>
      </c>
      <c r="N540" s="14" t="s">
        <v>9158</v>
      </c>
      <c r="O540" s="14" t="s">
        <v>9158</v>
      </c>
      <c r="P540" s="14" t="s">
        <v>9158</v>
      </c>
      <c r="Q540" s="14" t="s">
        <v>9158</v>
      </c>
    </row>
    <row r="541" spans="1:18">
      <c r="A541" s="14">
        <v>88823</v>
      </c>
      <c r="B541" s="14" t="s">
        <v>22</v>
      </c>
      <c r="C541" s="14" t="s">
        <v>101</v>
      </c>
      <c r="D541" s="14" t="s">
        <v>12428</v>
      </c>
      <c r="E541" s="15" t="str">
        <f>HYPERLINK("https://stat100.ameba.jp/tnk47/ratio20/illustrations/card/ill_88823_korakukasekihakkutsumusume03.jpg?202005-i_prefecture_active_user", "■")</f>
        <v>■</v>
      </c>
      <c r="F541" s="14" t="s">
        <v>12427</v>
      </c>
      <c r="G541" s="14">
        <v>51980</v>
      </c>
      <c r="H541" s="14">
        <v>43220</v>
      </c>
      <c r="I541" s="7">
        <v>25</v>
      </c>
      <c r="J541" s="14" t="s">
        <v>26</v>
      </c>
      <c r="K541" s="14" t="s">
        <v>12426</v>
      </c>
      <c r="L541" s="14" t="s">
        <v>2635</v>
      </c>
      <c r="M541" s="14" t="s">
        <v>9158</v>
      </c>
      <c r="N541" s="14" t="s">
        <v>9158</v>
      </c>
      <c r="O541" s="14" t="s">
        <v>9158</v>
      </c>
      <c r="P541" s="14" t="s">
        <v>9158</v>
      </c>
      <c r="Q541" s="14" t="s">
        <v>9158</v>
      </c>
    </row>
    <row r="542" spans="1:18">
      <c r="A542" s="14">
        <v>88833</v>
      </c>
      <c r="B542" s="14" t="s">
        <v>30</v>
      </c>
      <c r="C542" s="14" t="s">
        <v>12434</v>
      </c>
      <c r="D542" s="14" t="s">
        <v>12433</v>
      </c>
      <c r="E542" s="15" t="str">
        <f>HYPERLINK("https://stat100.ameba.jp/tnk47/ratio20/illustrations/card/ill_88833_akinasu03.jpg?202005-i_prefecture_active_user", "■")</f>
        <v>■</v>
      </c>
      <c r="F542" s="14" t="s">
        <v>12432</v>
      </c>
      <c r="G542" s="14">
        <v>26430</v>
      </c>
      <c r="H542" s="14">
        <v>31470</v>
      </c>
      <c r="I542" s="7">
        <v>25</v>
      </c>
      <c r="J542" s="14" t="s">
        <v>104</v>
      </c>
      <c r="K542" s="14" t="s">
        <v>12431</v>
      </c>
      <c r="L542" s="14" t="s">
        <v>4560</v>
      </c>
      <c r="M542" s="14" t="s">
        <v>9158</v>
      </c>
      <c r="N542" s="14" t="s">
        <v>9158</v>
      </c>
      <c r="O542" s="14" t="s">
        <v>9158</v>
      </c>
      <c r="P542" s="14" t="s">
        <v>9158</v>
      </c>
      <c r="Q542" s="14" t="s">
        <v>9158</v>
      </c>
    </row>
    <row r="544" spans="1:18">
      <c r="A544" s="14" t="s">
        <v>12497</v>
      </c>
    </row>
    <row r="545" spans="1:17">
      <c r="A545" s="14" t="s">
        <v>12498</v>
      </c>
    </row>
    <row r="546" spans="1:17">
      <c r="A546" s="14" t="s">
        <v>5615</v>
      </c>
      <c r="B546" s="14" t="s">
        <v>330</v>
      </c>
      <c r="C546" s="14" t="s">
        <v>206</v>
      </c>
      <c r="D546" s="19" t="s">
        <v>2814</v>
      </c>
      <c r="E546" s="15" t="str">
        <f>HYPERLINK("https://stat100.ameba.jp/tnk47/ratio20/illustrations/card/ill_57733_0_shogatsunisenjunanaamakusashiro03.jpg?202004-5-RELEASE-marathon-466xxxx", "■")</f>
        <v>■</v>
      </c>
      <c r="F546" s="14" t="s">
        <v>1016</v>
      </c>
      <c r="G546" s="14">
        <v>122776</v>
      </c>
      <c r="H546" s="14">
        <v>138212</v>
      </c>
      <c r="I546" s="14">
        <v>22</v>
      </c>
      <c r="J546" s="14" t="s">
        <v>10</v>
      </c>
      <c r="K546" s="14" t="s">
        <v>1017</v>
      </c>
      <c r="L546" s="14" t="s">
        <v>1018</v>
      </c>
      <c r="M546" s="14" t="s">
        <v>9158</v>
      </c>
      <c r="N546" s="14" t="s">
        <v>9158</v>
      </c>
      <c r="O546" s="19" t="s">
        <v>10077</v>
      </c>
      <c r="P546" s="14" t="s">
        <v>3062</v>
      </c>
      <c r="Q546" s="14">
        <v>1</v>
      </c>
    </row>
    <row r="547" spans="1:17">
      <c r="A547" s="14" t="s">
        <v>5650</v>
      </c>
      <c r="B547" s="14" t="s">
        <v>52</v>
      </c>
      <c r="C547" s="14" t="s">
        <v>23</v>
      </c>
      <c r="D547" s="20" t="s">
        <v>809</v>
      </c>
      <c r="E547" s="15" t="str">
        <f>HYPERLINK("https://stat100.ameba.jp/tnk47/ratio20/illustrations/card/ill_68033_0_kurisumasupateikandamyojin03.jpg?202004-5-RELEASE-marathon-466xxxx", "■")</f>
        <v>■</v>
      </c>
      <c r="F547" s="14" t="s">
        <v>1871</v>
      </c>
      <c r="G547" s="14">
        <v>139878</v>
      </c>
      <c r="H547" s="14">
        <v>150466</v>
      </c>
      <c r="I547" s="14">
        <v>22</v>
      </c>
      <c r="J547" s="14" t="s">
        <v>44</v>
      </c>
      <c r="K547" s="14" t="s">
        <v>1872</v>
      </c>
      <c r="L547" s="14" t="s">
        <v>1873</v>
      </c>
      <c r="M547" s="14" t="s">
        <v>9158</v>
      </c>
      <c r="N547" s="14" t="s">
        <v>9158</v>
      </c>
      <c r="O547" s="19" t="s">
        <v>2997</v>
      </c>
      <c r="P547" s="14" t="s">
        <v>3483</v>
      </c>
      <c r="Q547" s="14">
        <v>2</v>
      </c>
    </row>
    <row r="548" spans="1:17">
      <c r="A548" s="9" t="s">
        <v>5616</v>
      </c>
      <c r="B548" s="14" t="s">
        <v>330</v>
      </c>
      <c r="C548" s="14" t="s">
        <v>185</v>
      </c>
      <c r="D548" s="14" t="s">
        <v>638</v>
      </c>
      <c r="E548" s="15" t="str">
        <f>HYPERLINK("https://stat100.ameba.jp/tnk47/ratio20/illustrations/card/ill_44253_0_dokuganryudatemasamune03.jpg?202004-5-RELEASE-marathon-466xxxx", "■")</f>
        <v>■</v>
      </c>
      <c r="F548" s="14" t="s">
        <v>639</v>
      </c>
      <c r="G548" s="14">
        <v>120576</v>
      </c>
      <c r="H548" s="14">
        <v>128744</v>
      </c>
      <c r="I548" s="14">
        <v>22</v>
      </c>
      <c r="J548" s="14" t="s">
        <v>310</v>
      </c>
      <c r="K548" s="14" t="s">
        <v>640</v>
      </c>
      <c r="L548" s="14" t="s">
        <v>641</v>
      </c>
      <c r="M548" s="14" t="s">
        <v>9158</v>
      </c>
      <c r="N548" s="14" t="s">
        <v>9158</v>
      </c>
      <c r="O548" s="14" t="s">
        <v>9158</v>
      </c>
      <c r="P548" s="14" t="s">
        <v>9158</v>
      </c>
      <c r="Q548" s="14" t="s">
        <v>9158</v>
      </c>
    </row>
    <row r="549" spans="1:17">
      <c r="A549" s="9">
        <v>69953</v>
      </c>
      <c r="B549" s="14" t="s">
        <v>334</v>
      </c>
      <c r="C549" s="14" t="s">
        <v>200</v>
      </c>
      <c r="D549" s="14" t="s">
        <v>1258</v>
      </c>
      <c r="E549" s="15" t="str">
        <f>HYPERLINK("https://stat100.ameba.jp/tnk47/ratio20/illustrations/card/ill_69953_hyoketsunonikusutopatororu03.jpg?201811-1-RELEASE-raid-377x", "■")</f>
        <v>■</v>
      </c>
      <c r="F549" s="14" t="s">
        <v>1259</v>
      </c>
      <c r="G549" s="14">
        <v>85312</v>
      </c>
      <c r="H549" s="14">
        <v>151650</v>
      </c>
      <c r="I549" s="14">
        <v>26</v>
      </c>
      <c r="J549" s="14" t="s">
        <v>143</v>
      </c>
      <c r="K549" s="14" t="s">
        <v>1260</v>
      </c>
      <c r="L549" s="14" t="s">
        <v>1190</v>
      </c>
      <c r="M549" s="14" t="s">
        <v>9158</v>
      </c>
      <c r="N549" s="14" t="s">
        <v>9158</v>
      </c>
      <c r="O549" s="14" t="s">
        <v>9158</v>
      </c>
      <c r="P549" s="14" t="s">
        <v>9158</v>
      </c>
      <c r="Q549" s="14" t="s">
        <v>9158</v>
      </c>
    </row>
    <row r="550" spans="1:17">
      <c r="A550" s="14">
        <v>84523</v>
      </c>
      <c r="B550" s="14" t="s">
        <v>0</v>
      </c>
      <c r="C550" s="14" t="s">
        <v>165</v>
      </c>
      <c r="D550" s="19" t="s">
        <v>10720</v>
      </c>
      <c r="E550" s="15" t="str">
        <f>HYPERLINK("https://stat100.ameba.jp/tnk47/ratio20/illustrations/card/ill_84523_haroinhoihoibi03.jpg?202002-i_prefecture_active_userxxx", "■")</f>
        <v>■</v>
      </c>
      <c r="F550" s="14" t="s">
        <v>7580</v>
      </c>
      <c r="G550" s="14">
        <v>107392</v>
      </c>
      <c r="H550" s="14">
        <v>190884</v>
      </c>
      <c r="I550" s="14">
        <v>26</v>
      </c>
      <c r="J550" s="14" t="s">
        <v>320</v>
      </c>
      <c r="K550" s="14" t="s">
        <v>7579</v>
      </c>
      <c r="L550" s="14" t="s">
        <v>7578</v>
      </c>
      <c r="M550" s="14" t="s">
        <v>9158</v>
      </c>
      <c r="N550" s="14" t="s">
        <v>9158</v>
      </c>
      <c r="O550" s="14" t="s">
        <v>9158</v>
      </c>
      <c r="P550" s="14" t="s">
        <v>9158</v>
      </c>
      <c r="Q550" s="14" t="s">
        <v>9158</v>
      </c>
    </row>
    <row r="551" spans="1:17">
      <c r="A551" s="14">
        <v>74063</v>
      </c>
      <c r="B551" s="14" t="s">
        <v>334</v>
      </c>
      <c r="C551" s="14" t="s">
        <v>185</v>
      </c>
      <c r="D551" s="19" t="s">
        <v>10476</v>
      </c>
      <c r="E551" s="15" t="str">
        <f>HYPERLINK("https://stat100.ameba.jp/tnk47/ratio20/illustrations/card/ill_74063_yokoyamamatsusaburo03.jpg?202002-i_prefecture_active_userxx", "■")</f>
        <v>■</v>
      </c>
      <c r="F551" s="14" t="s">
        <v>4430</v>
      </c>
      <c r="G551" s="14">
        <v>98066</v>
      </c>
      <c r="H551" s="14">
        <v>105426</v>
      </c>
      <c r="I551" s="14">
        <v>26</v>
      </c>
      <c r="J551" s="14" t="s">
        <v>16</v>
      </c>
      <c r="K551" s="14" t="s">
        <v>4431</v>
      </c>
      <c r="L551" s="14" t="s">
        <v>124</v>
      </c>
      <c r="M551" s="14" t="s">
        <v>9158</v>
      </c>
      <c r="N551" s="14" t="s">
        <v>9158</v>
      </c>
      <c r="O551" s="14" t="s">
        <v>9158</v>
      </c>
      <c r="P551" s="14" t="s">
        <v>9158</v>
      </c>
      <c r="Q551" s="14" t="s">
        <v>9158</v>
      </c>
    </row>
    <row r="553" spans="1:17">
      <c r="A553" s="14" t="s">
        <v>12499</v>
      </c>
    </row>
    <row r="554" spans="1:17">
      <c r="A554" s="14" t="s">
        <v>12500</v>
      </c>
    </row>
    <row r="555" spans="1:17">
      <c r="A555" s="14" t="s">
        <v>6598</v>
      </c>
      <c r="B555" s="14" t="s">
        <v>330</v>
      </c>
      <c r="C555" s="14" t="s">
        <v>35</v>
      </c>
      <c r="D555" s="19" t="s">
        <v>10555</v>
      </c>
      <c r="E555" s="15" t="str">
        <f>HYPERLINK("https://stat100.ameba.jp/tnk47/ratio20/illustrations/card/ill_83553_0_kajuenamoronagu03.jpg?202005-3-RELEASE-dice-469", "■")</f>
        <v>■</v>
      </c>
      <c r="F555" s="14" t="s">
        <v>6597</v>
      </c>
      <c r="G555" s="14">
        <v>263165</v>
      </c>
      <c r="H555" s="14">
        <v>291184</v>
      </c>
      <c r="I555" s="14">
        <v>25</v>
      </c>
      <c r="J555" s="14" t="s">
        <v>44</v>
      </c>
      <c r="K555" s="14" t="s">
        <v>6595</v>
      </c>
      <c r="L555" s="14" t="s">
        <v>6594</v>
      </c>
      <c r="M555" s="14" t="s">
        <v>9158</v>
      </c>
      <c r="N555" s="14" t="s">
        <v>9158</v>
      </c>
      <c r="O555" s="19" t="s">
        <v>10125</v>
      </c>
      <c r="P555" s="14" t="s">
        <v>6599</v>
      </c>
      <c r="Q555" s="14">
        <v>1</v>
      </c>
    </row>
    <row r="556" spans="1:17">
      <c r="A556" s="14">
        <v>83393</v>
      </c>
      <c r="B556" s="14" t="s">
        <v>334</v>
      </c>
      <c r="C556" s="14" t="s">
        <v>209</v>
      </c>
      <c r="D556" s="20" t="s">
        <v>10381</v>
      </c>
      <c r="E556" s="15" t="str">
        <f>HYPERLINK("https://stat100.ameba.jp/tnk47/ratio20/illustrations/card/ill_83393_rito03.jpg?202005-3-RELEASE-dice-469", "■")</f>
        <v>■</v>
      </c>
      <c r="F556" s="14" t="s">
        <v>5735</v>
      </c>
      <c r="G556" s="14">
        <v>122476</v>
      </c>
      <c r="H556" s="14">
        <v>88706</v>
      </c>
      <c r="I556" s="14">
        <v>24</v>
      </c>
      <c r="J556" s="14" t="s">
        <v>38</v>
      </c>
      <c r="K556" s="14" t="s">
        <v>5738</v>
      </c>
      <c r="L556" s="14" t="s">
        <v>5400</v>
      </c>
      <c r="M556" s="14" t="s">
        <v>9158</v>
      </c>
      <c r="N556" s="14" t="s">
        <v>9158</v>
      </c>
      <c r="O556" s="19" t="s">
        <v>10098</v>
      </c>
      <c r="P556" s="14" t="s">
        <v>3491</v>
      </c>
      <c r="Q556" s="14">
        <v>1</v>
      </c>
    </row>
    <row r="557" spans="1:17">
      <c r="A557" s="9">
        <v>79513</v>
      </c>
      <c r="B557" s="14" t="s">
        <v>334</v>
      </c>
      <c r="C557" s="14" t="s">
        <v>209</v>
      </c>
      <c r="D557" s="14" t="s">
        <v>3528</v>
      </c>
      <c r="E557" s="15" t="str">
        <f>HYPERLINK("https://stat100.ameba.jp/tnk47/ratio20/illustrations/card/ill_79513_suzafuonia03.jpg?202005-3-RELEASE-dice-469", "■")</f>
        <v>■</v>
      </c>
      <c r="F557" s="14" t="s">
        <v>3529</v>
      </c>
      <c r="G557" s="14">
        <v>75984</v>
      </c>
      <c r="H557" s="14">
        <v>104890</v>
      </c>
      <c r="I557" s="14">
        <v>24</v>
      </c>
      <c r="J557" s="14" t="s">
        <v>10</v>
      </c>
      <c r="K557" s="14" t="s">
        <v>3532</v>
      </c>
      <c r="L557" s="14" t="s">
        <v>12</v>
      </c>
      <c r="M557" s="14" t="s">
        <v>9158</v>
      </c>
      <c r="N557" s="14" t="s">
        <v>9158</v>
      </c>
      <c r="O557" s="9" t="s">
        <v>3530</v>
      </c>
      <c r="P557" s="14" t="s">
        <v>3531</v>
      </c>
      <c r="Q557" s="14">
        <v>1</v>
      </c>
    </row>
    <row r="558" spans="1:17">
      <c r="A558" s="9">
        <v>75093</v>
      </c>
      <c r="B558" s="14" t="s">
        <v>334</v>
      </c>
      <c r="C558" s="14" t="s">
        <v>158</v>
      </c>
      <c r="D558" s="14" t="s">
        <v>2613</v>
      </c>
      <c r="E558" s="15" t="str">
        <f>HYPERLINK("https://stat100.ameba.jp/tnk47/ratio20/illustrations/card/ill_75093_hangonko03.jpg?202005-3-RELEASE-dice-469", "■")</f>
        <v>■</v>
      </c>
      <c r="F558" s="14" t="s">
        <v>2614</v>
      </c>
      <c r="G558" s="14">
        <v>126858</v>
      </c>
      <c r="H558" s="14">
        <v>91876</v>
      </c>
      <c r="I558" s="14">
        <v>24</v>
      </c>
      <c r="J558" s="14" t="s">
        <v>44</v>
      </c>
      <c r="K558" s="14" t="s">
        <v>2615</v>
      </c>
      <c r="L558" s="14" t="s">
        <v>1108</v>
      </c>
      <c r="M558" s="14" t="s">
        <v>9158</v>
      </c>
      <c r="N558" s="14" t="s">
        <v>9158</v>
      </c>
      <c r="O558" s="17" t="s">
        <v>3414</v>
      </c>
      <c r="P558" s="14" t="s">
        <v>13122</v>
      </c>
      <c r="Q558" s="14">
        <v>1</v>
      </c>
    </row>
    <row r="560" spans="1:17">
      <c r="A560" s="14" t="s">
        <v>12501</v>
      </c>
    </row>
    <row r="561" spans="1:18">
      <c r="A561" s="14" t="s">
        <v>12502</v>
      </c>
    </row>
    <row r="562" spans="1:18">
      <c r="A562" s="9" t="s">
        <v>6905</v>
      </c>
      <c r="B562" s="14" t="s">
        <v>330</v>
      </c>
      <c r="C562" s="14" t="s">
        <v>35</v>
      </c>
      <c r="D562" s="14" t="s">
        <v>4161</v>
      </c>
      <c r="E562" s="15" t="str">
        <f>HYPERLINK("https://stat100.ameba.jp/tnk47/ratio20/illustrations/card/ill_80623_0_ohanamigurampingutominushihime03.jpg?202005-3-RELEASE-dice-469", "■")</f>
        <v>■</v>
      </c>
      <c r="F562" s="14" t="s">
        <v>4162</v>
      </c>
      <c r="G562" s="14">
        <v>325434</v>
      </c>
      <c r="H562" s="14">
        <v>294156</v>
      </c>
      <c r="I562" s="14">
        <v>27</v>
      </c>
      <c r="J562" s="14" t="s">
        <v>44</v>
      </c>
      <c r="K562" s="14" t="s">
        <v>4163</v>
      </c>
      <c r="L562" s="14" t="s">
        <v>4164</v>
      </c>
      <c r="M562" s="14" t="s">
        <v>9158</v>
      </c>
      <c r="N562" s="14" t="s">
        <v>9158</v>
      </c>
      <c r="O562" s="9" t="s">
        <v>4165</v>
      </c>
      <c r="P562" s="14" t="s">
        <v>4166</v>
      </c>
      <c r="Q562" s="14">
        <v>1</v>
      </c>
    </row>
    <row r="563" spans="1:18">
      <c r="A563" s="14" t="s">
        <v>7789</v>
      </c>
      <c r="B563" s="14" t="s">
        <v>52</v>
      </c>
      <c r="C563" s="14" t="s">
        <v>202</v>
      </c>
      <c r="D563" s="19" t="s">
        <v>10741</v>
      </c>
      <c r="E563" s="15" t="str">
        <f>HYPERLINK("https://stat100.ameba.jp/tnk47/ratio20/illustrations/card/ill_84923_0_onsengainansosatomihakkenden03.jpg?202005-3-RELEASE-dice-469", "■")</f>
        <v>■</v>
      </c>
      <c r="F563" s="14" t="s">
        <v>7792</v>
      </c>
      <c r="G563" s="14">
        <v>311915</v>
      </c>
      <c r="H563" s="14">
        <v>345111</v>
      </c>
      <c r="I563" s="14">
        <v>27</v>
      </c>
      <c r="J563" s="14" t="s">
        <v>155</v>
      </c>
      <c r="K563" s="14" t="s">
        <v>7791</v>
      </c>
      <c r="L563" s="14" t="s">
        <v>7790</v>
      </c>
      <c r="M563" s="14" t="s">
        <v>9158</v>
      </c>
      <c r="N563" s="14" t="s">
        <v>9158</v>
      </c>
      <c r="O563" s="19" t="s">
        <v>10131</v>
      </c>
      <c r="P563" s="14" t="s">
        <v>7793</v>
      </c>
      <c r="Q563" s="14">
        <v>0</v>
      </c>
    </row>
    <row r="564" spans="1:18">
      <c r="A564" s="14" t="s">
        <v>5902</v>
      </c>
      <c r="B564" s="14" t="s">
        <v>330</v>
      </c>
      <c r="C564" s="14" t="s">
        <v>206</v>
      </c>
      <c r="D564" s="19" t="s">
        <v>483</v>
      </c>
      <c r="E564" s="15" t="str">
        <f>HYPERLINK("https://stat100.ameba.jp/tnk47/ratio20/illustrations/card/ill_40343_0_heshikirihasebekurodakambe03.jpg?202005-3-RELEASE-dice-469", "■")</f>
        <v>■</v>
      </c>
      <c r="F564" s="14" t="s">
        <v>906</v>
      </c>
      <c r="G564" s="14">
        <v>152152</v>
      </c>
      <c r="H564" s="14">
        <v>142500</v>
      </c>
      <c r="I564" s="14">
        <v>26</v>
      </c>
      <c r="J564" s="14" t="s">
        <v>16</v>
      </c>
      <c r="K564" s="14" t="s">
        <v>907</v>
      </c>
      <c r="L564" s="14" t="s">
        <v>908</v>
      </c>
      <c r="M564" s="14" t="s">
        <v>9158</v>
      </c>
      <c r="N564" s="14" t="s">
        <v>9158</v>
      </c>
      <c r="O564" s="14" t="s">
        <v>9158</v>
      </c>
      <c r="P564" s="14" t="s">
        <v>9158</v>
      </c>
      <c r="Q564" s="14" t="s">
        <v>9158</v>
      </c>
    </row>
    <row r="565" spans="1:18">
      <c r="A565" s="14">
        <v>83083</v>
      </c>
      <c r="B565" s="14" t="s">
        <v>0</v>
      </c>
      <c r="C565" s="14" t="s">
        <v>209</v>
      </c>
      <c r="D565" s="20" t="s">
        <v>10469</v>
      </c>
      <c r="E565" s="15" t="str">
        <f>HYPERLINK("https://stat100.ameba.jp/tnk47/ratio20/illustrations/card/ill_83083_burakkukingu03.jpg?202005-3-RELEASE-dice-469", "■")</f>
        <v>■</v>
      </c>
      <c r="F565" s="14" t="s">
        <v>6093</v>
      </c>
      <c r="G565" s="14">
        <v>125296</v>
      </c>
      <c r="H565" s="14">
        <v>172982</v>
      </c>
      <c r="I565" s="14">
        <v>26</v>
      </c>
      <c r="J565" s="14" t="s">
        <v>194</v>
      </c>
      <c r="K565" s="14" t="s">
        <v>6095</v>
      </c>
      <c r="L565" s="14" t="s">
        <v>1148</v>
      </c>
      <c r="M565" s="14" t="s">
        <v>9158</v>
      </c>
      <c r="N565" s="14" t="s">
        <v>9158</v>
      </c>
      <c r="O565" s="19" t="s">
        <v>10117</v>
      </c>
      <c r="P565" s="14" t="s">
        <v>3625</v>
      </c>
      <c r="Q565" s="14">
        <v>1</v>
      </c>
    </row>
    <row r="566" spans="1:18">
      <c r="A566" s="7">
        <v>85053</v>
      </c>
      <c r="B566" s="7" t="s">
        <v>0</v>
      </c>
      <c r="C566" s="7" t="s">
        <v>158</v>
      </c>
      <c r="D566" s="19" t="s">
        <v>10768</v>
      </c>
      <c r="E566" s="15" t="str">
        <f>HYPERLINK("https://stat100.ameba.jp/tnk47/ratio20/illustrations/card/ill_85053_heideirumu03.jpg?202005-3-RELEASE-dice-469", "■")</f>
        <v>■</v>
      </c>
      <c r="F566" s="7" t="s">
        <v>7969</v>
      </c>
      <c r="G566" s="7">
        <v>118684</v>
      </c>
      <c r="H566" s="7">
        <v>85962</v>
      </c>
      <c r="I566" s="14">
        <v>26</v>
      </c>
      <c r="J566" s="7" t="s">
        <v>169</v>
      </c>
      <c r="K566" s="7" t="s">
        <v>7968</v>
      </c>
      <c r="L566" s="7" t="s">
        <v>7967</v>
      </c>
      <c r="M566" s="14" t="s">
        <v>9158</v>
      </c>
      <c r="N566" s="14" t="s">
        <v>9158</v>
      </c>
      <c r="O566" s="19" t="s">
        <v>10085</v>
      </c>
      <c r="P566" s="7" t="s">
        <v>4374</v>
      </c>
      <c r="Q566" s="7">
        <v>1</v>
      </c>
    </row>
    <row r="567" spans="1:18">
      <c r="A567" s="14">
        <v>82543</v>
      </c>
      <c r="B567" s="14" t="s">
        <v>334</v>
      </c>
      <c r="C567" s="14" t="s">
        <v>41</v>
      </c>
      <c r="D567" s="20" t="s">
        <v>10342</v>
      </c>
      <c r="E567" s="15" t="str">
        <f>HYPERLINK("https://stat100.ameba.jp/tnk47/ratio20/illustrations/card/ill_82543_nabeshimanagako03.jpg?202005-3-RELEASE-dice-469", "■")</f>
        <v>■</v>
      </c>
      <c r="F567" s="14" t="s">
        <v>5491</v>
      </c>
      <c r="G567" s="14">
        <v>113630</v>
      </c>
      <c r="H567" s="14">
        <v>82318</v>
      </c>
      <c r="I567" s="14">
        <v>26</v>
      </c>
      <c r="J567" s="14" t="s">
        <v>10</v>
      </c>
      <c r="K567" s="14" t="s">
        <v>5493</v>
      </c>
      <c r="L567" s="14" t="s">
        <v>5494</v>
      </c>
      <c r="M567" s="14" t="s">
        <v>9158</v>
      </c>
      <c r="N567" s="14" t="s">
        <v>9158</v>
      </c>
      <c r="O567" s="19" t="s">
        <v>10080</v>
      </c>
      <c r="P567" s="14" t="s">
        <v>3705</v>
      </c>
      <c r="Q567" s="14">
        <v>1</v>
      </c>
    </row>
    <row r="568" spans="1:18">
      <c r="A568" s="14">
        <v>84333</v>
      </c>
      <c r="B568" s="14" t="s">
        <v>0</v>
      </c>
      <c r="C568" s="14" t="s">
        <v>209</v>
      </c>
      <c r="D568" s="19" t="s">
        <v>10692</v>
      </c>
      <c r="E568" s="15" t="str">
        <f>HYPERLINK("https://stat100.ameba.jp/tnk47/ratio20/illustrations/card/ill_84333_otometeia03.jpg?202005-3-RELEASE-dice-469", "■")</f>
        <v>■</v>
      </c>
      <c r="F568" s="14" t="s">
        <v>7401</v>
      </c>
      <c r="G568" s="14">
        <v>113630</v>
      </c>
      <c r="H568" s="14">
        <v>82318</v>
      </c>
      <c r="I568" s="14">
        <v>26</v>
      </c>
      <c r="J568" s="14" t="s">
        <v>16</v>
      </c>
      <c r="K568" s="14" t="s">
        <v>7399</v>
      </c>
      <c r="L568" s="14" t="s">
        <v>4046</v>
      </c>
      <c r="M568" s="14" t="s">
        <v>9158</v>
      </c>
      <c r="N568" s="14" t="s">
        <v>9158</v>
      </c>
      <c r="O568" s="19" t="s">
        <v>10129</v>
      </c>
      <c r="P568" s="14" t="s">
        <v>3581</v>
      </c>
      <c r="Q568" s="14">
        <v>1</v>
      </c>
    </row>
    <row r="569" spans="1:18">
      <c r="A569" s="14">
        <v>75053</v>
      </c>
      <c r="B569" s="14" t="s">
        <v>334</v>
      </c>
      <c r="C569" s="14" t="s">
        <v>47</v>
      </c>
      <c r="D569" s="19" t="s">
        <v>10366</v>
      </c>
      <c r="E569" s="15" t="str">
        <f>HYPERLINK("https://stat100.ameba.jp/tnk47/ratio20/illustrations/card/ill_75053_goshikinuma03.jpg?202005-3-RELEASE-dice-469", "■")</f>
        <v>■</v>
      </c>
      <c r="F569" s="14" t="s">
        <v>5644</v>
      </c>
      <c r="G569" s="14">
        <v>96010</v>
      </c>
      <c r="H569" s="14">
        <v>132562</v>
      </c>
      <c r="I569" s="14">
        <v>26</v>
      </c>
      <c r="J569" s="14" t="s">
        <v>26</v>
      </c>
      <c r="K569" s="14" t="s">
        <v>5646</v>
      </c>
      <c r="L569" s="14" t="s">
        <v>2137</v>
      </c>
      <c r="M569" s="14" t="s">
        <v>9158</v>
      </c>
      <c r="N569" s="14" t="s">
        <v>9158</v>
      </c>
      <c r="O569" s="19" t="s">
        <v>10093</v>
      </c>
      <c r="P569" s="14" t="s">
        <v>13145</v>
      </c>
      <c r="Q569" s="14">
        <v>1</v>
      </c>
    </row>
    <row r="570" spans="1:18">
      <c r="A570" s="9">
        <v>85363</v>
      </c>
      <c r="B570" s="9" t="s">
        <v>0</v>
      </c>
      <c r="C570" s="9" t="s">
        <v>158</v>
      </c>
      <c r="D570" s="19" t="s">
        <v>10708</v>
      </c>
      <c r="E570" s="15" t="str">
        <f>HYPERLINK("https://stat100.ameba.jp/tnk47/ratio20/illustrations/card/ill_85363_sukarunetaisa03.jpg?202005-3-RELEASE-dice-469", "■")</f>
        <v>■</v>
      </c>
      <c r="F570" s="9" t="s">
        <v>7506</v>
      </c>
      <c r="G570" s="9">
        <v>125296</v>
      </c>
      <c r="H570" s="9">
        <v>172982</v>
      </c>
      <c r="I570" s="9">
        <v>26</v>
      </c>
      <c r="J570" s="9" t="s">
        <v>194</v>
      </c>
      <c r="K570" s="9" t="s">
        <v>7504</v>
      </c>
      <c r="L570" s="9" t="s">
        <v>1148</v>
      </c>
      <c r="M570" s="14" t="s">
        <v>9864</v>
      </c>
      <c r="N570" s="14" t="s">
        <v>9158</v>
      </c>
      <c r="O570" s="19" t="s">
        <v>10106</v>
      </c>
      <c r="P570" s="14" t="s">
        <v>3330</v>
      </c>
      <c r="Q570" s="14">
        <v>2</v>
      </c>
    </row>
    <row r="572" spans="1:18">
      <c r="A572" s="14" t="s">
        <v>12504</v>
      </c>
    </row>
    <row r="573" spans="1:18">
      <c r="A573" s="14" t="s">
        <v>12503</v>
      </c>
    </row>
    <row r="574" spans="1:18">
      <c r="A574" s="7">
        <v>85615</v>
      </c>
      <c r="B574" s="7" t="s">
        <v>0</v>
      </c>
      <c r="C574" s="7" t="s">
        <v>202</v>
      </c>
      <c r="D574" s="19" t="s">
        <v>12505</v>
      </c>
      <c r="E574" s="15" t="str">
        <f>HYPERLINK("https://stat100.ameba.jp/tnk47/ratio20/illustrations/card/ill_85615_kurisumasuotomoegozen05.jpg?202005-3-RELEASE-dice-469x", "■")</f>
        <v>■</v>
      </c>
      <c r="F574" s="7" t="s">
        <v>12506</v>
      </c>
      <c r="G574" s="7">
        <v>112392</v>
      </c>
      <c r="H574" s="7">
        <v>155218</v>
      </c>
      <c r="I574" s="7">
        <v>26</v>
      </c>
      <c r="J574" s="14" t="s">
        <v>12509</v>
      </c>
      <c r="K574" s="7" t="s">
        <v>12507</v>
      </c>
      <c r="L574" s="7" t="s">
        <v>12508</v>
      </c>
      <c r="M574" s="14" t="s">
        <v>9158</v>
      </c>
      <c r="N574" s="14" t="s">
        <v>9158</v>
      </c>
      <c r="O574" s="14" t="s">
        <v>9158</v>
      </c>
      <c r="P574" s="14" t="s">
        <v>9158</v>
      </c>
      <c r="Q574" s="14" t="s">
        <v>9158</v>
      </c>
      <c r="R574" s="7" t="s">
        <v>174</v>
      </c>
    </row>
    <row r="575" spans="1:18">
      <c r="A575" s="7">
        <v>85613</v>
      </c>
      <c r="B575" s="7" t="s">
        <v>15</v>
      </c>
      <c r="C575" s="7" t="s">
        <v>154</v>
      </c>
      <c r="D575" s="19" t="s">
        <v>12505</v>
      </c>
      <c r="E575" s="15" t="str">
        <f>HYPERLINK("https://stat100.ameba.jp/tnk47/ratio20/illustrations/card/ill_85613_kurisumasuotomoegozen03.jpg?202005-3-RELEASE-dice-469x", "■")</f>
        <v>■</v>
      </c>
      <c r="F575" s="7" t="s">
        <v>12506</v>
      </c>
      <c r="G575" s="14">
        <v>82804</v>
      </c>
      <c r="H575" s="14">
        <v>114360</v>
      </c>
      <c r="I575" s="7">
        <v>26</v>
      </c>
      <c r="J575" s="14" t="s">
        <v>12509</v>
      </c>
      <c r="K575" s="7" t="s">
        <v>12507</v>
      </c>
      <c r="L575" s="7" t="s">
        <v>12510</v>
      </c>
      <c r="M575" s="14" t="s">
        <v>9158</v>
      </c>
      <c r="N575" s="14" t="s">
        <v>9158</v>
      </c>
      <c r="O575" s="14" t="s">
        <v>9158</v>
      </c>
      <c r="P575" s="14" t="s">
        <v>9158</v>
      </c>
      <c r="Q575" s="14" t="s">
        <v>9158</v>
      </c>
      <c r="R575" s="7" t="s">
        <v>175</v>
      </c>
    </row>
    <row r="576" spans="1:18">
      <c r="A576" s="7">
        <v>85611</v>
      </c>
      <c r="B576" s="7" t="s">
        <v>15</v>
      </c>
      <c r="C576" s="7" t="s">
        <v>154</v>
      </c>
      <c r="D576" s="19" t="s">
        <v>12505</v>
      </c>
      <c r="E576" s="15" t="str">
        <f>HYPERLINK("https://stat100.ameba.jp/tnk47/ratio20/illustrations/card/ill_85611_kurisumasuotomoegozen01.jpg?202005-3-RELEASE-dice-469x", "■")</f>
        <v>■</v>
      </c>
      <c r="F576" s="7" t="s">
        <v>12506</v>
      </c>
      <c r="G576" s="7">
        <v>52676</v>
      </c>
      <c r="H576" s="7">
        <v>72748</v>
      </c>
      <c r="I576" s="7">
        <v>26</v>
      </c>
      <c r="J576" s="14" t="s">
        <v>12509</v>
      </c>
      <c r="K576" s="7" t="s">
        <v>12507</v>
      </c>
      <c r="L576" s="7" t="s">
        <v>12511</v>
      </c>
      <c r="M576" s="14" t="s">
        <v>9158</v>
      </c>
      <c r="N576" s="14" t="s">
        <v>9158</v>
      </c>
      <c r="O576" s="14" t="s">
        <v>9158</v>
      </c>
      <c r="P576" s="14" t="s">
        <v>9158</v>
      </c>
      <c r="Q576" s="14" t="s">
        <v>9158</v>
      </c>
      <c r="R576" s="7" t="s">
        <v>176</v>
      </c>
    </row>
    <row r="577" spans="1:18">
      <c r="A577" s="7">
        <v>85625</v>
      </c>
      <c r="B577" s="7" t="s">
        <v>0</v>
      </c>
      <c r="C577" s="7" t="s">
        <v>202</v>
      </c>
      <c r="D577" s="19" t="s">
        <v>12512</v>
      </c>
      <c r="E577" s="15" t="str">
        <f>HYPERLINK("https://stat100.ameba.jp/tnk47/ratio20/illustrations/card/ill_85625_shikajoshunomori05.jpg?202005-3-RELEASE-dice-469x", "■")</f>
        <v>■</v>
      </c>
      <c r="F577" s="7" t="s">
        <v>12513</v>
      </c>
      <c r="G577" s="7">
        <v>91898</v>
      </c>
      <c r="H577" s="7">
        <v>126922</v>
      </c>
      <c r="I577" s="7">
        <v>26</v>
      </c>
      <c r="J577" s="14" t="s">
        <v>12514</v>
      </c>
      <c r="K577" s="7" t="s">
        <v>12515</v>
      </c>
      <c r="L577" s="7" t="s">
        <v>12516</v>
      </c>
      <c r="M577" s="14" t="s">
        <v>9158</v>
      </c>
      <c r="N577" s="14" t="s">
        <v>9158</v>
      </c>
      <c r="O577" s="14" t="s">
        <v>9158</v>
      </c>
      <c r="P577" s="14" t="s">
        <v>9158</v>
      </c>
      <c r="Q577" s="14" t="s">
        <v>9158</v>
      </c>
      <c r="R577" s="7" t="s">
        <v>174</v>
      </c>
    </row>
    <row r="578" spans="1:18">
      <c r="A578" s="7">
        <v>85623</v>
      </c>
      <c r="B578" s="7" t="s">
        <v>15</v>
      </c>
      <c r="C578" s="7" t="s">
        <v>158</v>
      </c>
      <c r="D578" s="19" t="s">
        <v>12512</v>
      </c>
      <c r="E578" s="15" t="str">
        <f>HYPERLINK("https://stat100.ameba.jp/tnk47/ratio20/illustrations/card/ill_85623_shikajoshunomori03.jpg?202005-3-RELEASE-dice-469x", "■")</f>
        <v>■</v>
      </c>
      <c r="F578" s="7" t="s">
        <v>12513</v>
      </c>
      <c r="G578" s="7">
        <v>67700</v>
      </c>
      <c r="H578" s="7">
        <v>93514</v>
      </c>
      <c r="I578" s="7">
        <v>26</v>
      </c>
      <c r="J578" s="14" t="s">
        <v>12514</v>
      </c>
      <c r="K578" s="7" t="s">
        <v>12515</v>
      </c>
      <c r="L578" s="7" t="s">
        <v>12517</v>
      </c>
      <c r="M578" s="14" t="s">
        <v>9158</v>
      </c>
      <c r="N578" s="14" t="s">
        <v>9158</v>
      </c>
      <c r="O578" s="14" t="s">
        <v>9158</v>
      </c>
      <c r="P578" s="14" t="s">
        <v>9158</v>
      </c>
      <c r="Q578" s="14" t="s">
        <v>9158</v>
      </c>
      <c r="R578" s="7" t="s">
        <v>175</v>
      </c>
    </row>
    <row r="579" spans="1:18">
      <c r="A579" s="7">
        <v>85621</v>
      </c>
      <c r="B579" s="7" t="s">
        <v>15</v>
      </c>
      <c r="C579" s="7" t="s">
        <v>158</v>
      </c>
      <c r="D579" s="19" t="s">
        <v>12512</v>
      </c>
      <c r="E579" s="15" t="str">
        <f>HYPERLINK("https://stat100.ameba.jp/tnk47/ratio20/illustrations/card/ill_85621_shikajoshunomori01.jpg?202005-3-RELEASE-dice-469x", "■")</f>
        <v>■</v>
      </c>
      <c r="F579" s="7" t="s">
        <v>12513</v>
      </c>
      <c r="G579" s="7">
        <v>43082</v>
      </c>
      <c r="H579" s="7">
        <v>59488</v>
      </c>
      <c r="I579" s="7">
        <v>26</v>
      </c>
      <c r="J579" s="14" t="s">
        <v>12514</v>
      </c>
      <c r="K579" s="7" t="s">
        <v>12515</v>
      </c>
      <c r="L579" s="7" t="s">
        <v>12518</v>
      </c>
      <c r="M579" s="14" t="s">
        <v>9158</v>
      </c>
      <c r="N579" s="14" t="s">
        <v>9158</v>
      </c>
      <c r="O579" s="14" t="s">
        <v>9158</v>
      </c>
      <c r="P579" s="14" t="s">
        <v>9158</v>
      </c>
      <c r="Q579" s="14" t="s">
        <v>9158</v>
      </c>
      <c r="R579" s="7" t="s">
        <v>176</v>
      </c>
    </row>
    <row r="580" spans="1:18">
      <c r="A580" s="7">
        <v>85025</v>
      </c>
      <c r="B580" s="7" t="s">
        <v>0</v>
      </c>
      <c r="C580" s="7" t="s">
        <v>202</v>
      </c>
      <c r="D580" s="19" t="s">
        <v>12519</v>
      </c>
      <c r="E580" s="15" t="str">
        <f>HYPERLINK("https://stat100.ameba.jp/tnk47/ratio20/illustrations/card/ill_85025_yataiarashinobeze05.jpg?202005-3-RELEASE-dice-469x", "■")</f>
        <v>■</v>
      </c>
      <c r="F580" s="7" t="s">
        <v>12520</v>
      </c>
      <c r="G580" s="7">
        <v>128332</v>
      </c>
      <c r="H580" s="7">
        <v>92904</v>
      </c>
      <c r="I580" s="7">
        <v>26</v>
      </c>
      <c r="J580" s="14" t="s">
        <v>12523</v>
      </c>
      <c r="K580" s="7" t="s">
        <v>12521</v>
      </c>
      <c r="L580" s="7" t="s">
        <v>12522</v>
      </c>
      <c r="M580" s="14" t="s">
        <v>9158</v>
      </c>
      <c r="N580" s="14" t="s">
        <v>9158</v>
      </c>
      <c r="O580" s="14" t="s">
        <v>9158</v>
      </c>
      <c r="P580" s="14" t="s">
        <v>9158</v>
      </c>
      <c r="Q580" s="14" t="s">
        <v>9158</v>
      </c>
      <c r="R580" s="7" t="s">
        <v>174</v>
      </c>
    </row>
    <row r="581" spans="1:18">
      <c r="A581" s="7">
        <v>85023</v>
      </c>
      <c r="B581" s="7" t="s">
        <v>15</v>
      </c>
      <c r="C581" s="7" t="s">
        <v>154</v>
      </c>
      <c r="D581" s="19" t="s">
        <v>12519</v>
      </c>
      <c r="E581" s="15" t="str">
        <f>HYPERLINK("https://stat100.ameba.jp/tnk47/ratio20/illustrations/card/ill_85023_yataiarashinobeze03.jpg?202005-3-RELEASE-dice-469x", "■")</f>
        <v>■</v>
      </c>
      <c r="F581" s="7" t="s">
        <v>12520</v>
      </c>
      <c r="G581" s="7">
        <v>94544</v>
      </c>
      <c r="H581" s="7">
        <v>68446</v>
      </c>
      <c r="I581" s="7">
        <v>26</v>
      </c>
      <c r="J581" s="14" t="s">
        <v>12523</v>
      </c>
      <c r="K581" s="7" t="s">
        <v>12521</v>
      </c>
      <c r="L581" s="7" t="s">
        <v>12525</v>
      </c>
      <c r="M581" s="14" t="s">
        <v>9158</v>
      </c>
      <c r="N581" s="14" t="s">
        <v>9158</v>
      </c>
      <c r="O581" s="14" t="s">
        <v>9158</v>
      </c>
      <c r="P581" s="14" t="s">
        <v>9158</v>
      </c>
      <c r="Q581" s="14" t="s">
        <v>9158</v>
      </c>
      <c r="R581" s="7" t="s">
        <v>175</v>
      </c>
    </row>
    <row r="582" spans="1:18">
      <c r="A582" s="7">
        <v>85021</v>
      </c>
      <c r="B582" s="7" t="s">
        <v>15</v>
      </c>
      <c r="C582" s="7" t="s">
        <v>154</v>
      </c>
      <c r="D582" s="19" t="s">
        <v>12519</v>
      </c>
      <c r="E582" s="15" t="str">
        <f>HYPERLINK("https://stat100.ameba.jp/tnk47/ratio20/illustrations/card/ill_85021_yataiarashinobeze01.jpg?202005-3-RELEASE-dice-469x", "■")</f>
        <v>■</v>
      </c>
      <c r="F582" s="7" t="s">
        <v>12520</v>
      </c>
      <c r="G582" s="7">
        <v>60138</v>
      </c>
      <c r="H582" s="14">
        <v>43524</v>
      </c>
      <c r="I582" s="7">
        <v>26</v>
      </c>
      <c r="J582" s="14" t="s">
        <v>12523</v>
      </c>
      <c r="K582" s="7" t="s">
        <v>12521</v>
      </c>
      <c r="L582" s="14" t="s">
        <v>12524</v>
      </c>
      <c r="M582" s="14" t="s">
        <v>9158</v>
      </c>
      <c r="N582" s="14" t="s">
        <v>9158</v>
      </c>
      <c r="O582" s="14" t="s">
        <v>9158</v>
      </c>
      <c r="P582" s="14" t="s">
        <v>9158</v>
      </c>
      <c r="Q582" s="14" t="s">
        <v>9158</v>
      </c>
      <c r="R582" s="7" t="s">
        <v>176</v>
      </c>
    </row>
    <row r="584" spans="1:18">
      <c r="A584" s="14" t="s">
        <v>12526</v>
      </c>
    </row>
    <row r="585" spans="1:18">
      <c r="A585" s="14" t="s">
        <v>12527</v>
      </c>
    </row>
    <row r="586" spans="1:18">
      <c r="A586" s="14" t="s">
        <v>5617</v>
      </c>
      <c r="B586" s="14" t="s">
        <v>330</v>
      </c>
      <c r="C586" s="14" t="s">
        <v>308</v>
      </c>
      <c r="D586" s="19" t="s">
        <v>385</v>
      </c>
      <c r="E586" s="15" t="str">
        <f>HYPERLINK("https://stat100.ameba.jp/tnk47/ratio20/illustrations/card/ill_59673_0_oheyashutendoji03.jpg?202005-3-RELEASE-dice-469x", "■")</f>
        <v>■</v>
      </c>
      <c r="F586" s="14" t="s">
        <v>386</v>
      </c>
      <c r="G586" s="14">
        <v>175911</v>
      </c>
      <c r="H586" s="14">
        <v>189209</v>
      </c>
      <c r="I586" s="14">
        <v>25</v>
      </c>
      <c r="J586" s="14" t="s">
        <v>320</v>
      </c>
      <c r="K586" s="14" t="s">
        <v>387</v>
      </c>
      <c r="L586" s="14" t="s">
        <v>388</v>
      </c>
      <c r="M586" s="14" t="s">
        <v>9158</v>
      </c>
      <c r="N586" s="14" t="s">
        <v>9158</v>
      </c>
      <c r="O586" s="19" t="s">
        <v>10078</v>
      </c>
      <c r="P586" s="14" t="s">
        <v>3022</v>
      </c>
      <c r="Q586" s="14">
        <v>1</v>
      </c>
    </row>
    <row r="587" spans="1:18">
      <c r="A587" s="14">
        <v>81143</v>
      </c>
      <c r="B587" s="14" t="s">
        <v>334</v>
      </c>
      <c r="C587" s="14" t="s">
        <v>205</v>
      </c>
      <c r="D587" s="20" t="s">
        <v>10419</v>
      </c>
      <c r="E587" s="15" t="str">
        <f>HYPERLINK("https://stat100.ameba.jp/tnk47/ratio20/illustrations/card/ill_81143_shinryokunokisetsumerompan03.jpg?202005-3-RELEASE-dice-469x", "■")</f>
        <v>■</v>
      </c>
      <c r="F587" s="14" t="s">
        <v>4517</v>
      </c>
      <c r="G587" s="14">
        <v>118063</v>
      </c>
      <c r="H587" s="14">
        <v>109786</v>
      </c>
      <c r="I587" s="7">
        <v>25</v>
      </c>
      <c r="J587" s="14" t="s">
        <v>104</v>
      </c>
      <c r="K587" s="14" t="s">
        <v>4518</v>
      </c>
      <c r="L587" s="14" t="s">
        <v>3489</v>
      </c>
      <c r="M587" s="14" t="s">
        <v>9158</v>
      </c>
      <c r="N587" s="14" t="s">
        <v>9158</v>
      </c>
      <c r="O587" s="19" t="s">
        <v>10111</v>
      </c>
      <c r="P587" s="14" t="s">
        <v>3610</v>
      </c>
      <c r="Q587" s="14">
        <v>1</v>
      </c>
    </row>
    <row r="588" spans="1:18">
      <c r="A588" s="14">
        <v>77903</v>
      </c>
      <c r="B588" s="14" t="s">
        <v>0</v>
      </c>
      <c r="C588" s="14" t="s">
        <v>185</v>
      </c>
      <c r="D588" s="20" t="s">
        <v>10405</v>
      </c>
      <c r="E588" s="15" t="str">
        <f>HYPERLINK("https://stat100.ameba.jp/tnk47/ratio20/illustrations/card/ill_77903_kurisumasudaisakusendongurikorokoro03.jpg?202005-3-RELEASE-dice-469x", "■")</f>
        <v>■</v>
      </c>
      <c r="F588" s="14" t="s">
        <v>2131</v>
      </c>
      <c r="G588" s="14">
        <v>114092</v>
      </c>
      <c r="H588" s="14">
        <v>105890</v>
      </c>
      <c r="I588" s="7">
        <v>25</v>
      </c>
      <c r="J588" s="14" t="s">
        <v>38</v>
      </c>
      <c r="K588" s="14" t="s">
        <v>2132</v>
      </c>
      <c r="L588" s="14" t="s">
        <v>2133</v>
      </c>
      <c r="M588" s="14" t="s">
        <v>9158</v>
      </c>
      <c r="N588" s="14" t="s">
        <v>9158</v>
      </c>
      <c r="O588" s="19" t="s">
        <v>10090</v>
      </c>
      <c r="P588" s="14" t="s">
        <v>3460</v>
      </c>
      <c r="Q588" s="14">
        <v>1</v>
      </c>
    </row>
    <row r="589" spans="1:18">
      <c r="A589" s="14">
        <v>70843</v>
      </c>
      <c r="B589" s="14" t="s">
        <v>334</v>
      </c>
      <c r="C589" s="14" t="s">
        <v>268</v>
      </c>
      <c r="D589" s="20" t="s">
        <v>10651</v>
      </c>
      <c r="E589" s="15" t="str">
        <f>HYPERLINK("https://stat100.ameba.jp/tnk47/ratio20/illustrations/card/ill_70843_indoshinwakurionechan03.jpg?202005-3-RELEASE-dice-469x", "■")</f>
        <v>■</v>
      </c>
      <c r="F589" s="14" t="s">
        <v>856</v>
      </c>
      <c r="G589" s="14">
        <v>105890</v>
      </c>
      <c r="H589" s="14">
        <v>113890</v>
      </c>
      <c r="I589" s="14">
        <v>25</v>
      </c>
      <c r="J589" s="14" t="s">
        <v>369</v>
      </c>
      <c r="K589" s="14" t="s">
        <v>857</v>
      </c>
      <c r="L589" s="14" t="s">
        <v>496</v>
      </c>
      <c r="M589" s="14" t="s">
        <v>9158</v>
      </c>
      <c r="N589" s="14" t="s">
        <v>9158</v>
      </c>
      <c r="O589" s="19" t="s">
        <v>10074</v>
      </c>
      <c r="P589" s="14" t="s">
        <v>3592</v>
      </c>
      <c r="Q589" s="14">
        <v>1</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44B2-0D20-4835-8129-C33ACA91B21E}">
  <dimension ref="A1:S611"/>
  <sheetViews>
    <sheetView zoomScale="55" zoomScaleNormal="55" workbookViewId="0">
      <pane ySplit="1" topLeftCell="A431" activePane="bottomLeft" state="frozen"/>
      <selection activeCell="Q158" sqref="A158:Q158"/>
      <selection pane="bottomLeft" activeCell="D318" sqref="D318"/>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12535</v>
      </c>
    </row>
    <row r="4" spans="1:19">
      <c r="A4" s="14" t="s">
        <v>12537</v>
      </c>
    </row>
    <row r="5" spans="1:19">
      <c r="A5" s="14" t="s">
        <v>12536</v>
      </c>
    </row>
    <row r="6" spans="1:19">
      <c r="A6" s="14" t="s">
        <v>12532</v>
      </c>
      <c r="B6" s="7" t="s">
        <v>52</v>
      </c>
      <c r="C6" s="14" t="s">
        <v>202</v>
      </c>
      <c r="D6" s="18" t="s">
        <v>12528</v>
      </c>
      <c r="E6" s="15" t="str">
        <f>HYPERLINK("https://stat100.ameba.jp/tnk47/ratio20/illustrations/card/ill_89073_0_efuwanresuyokohamaserachan03.jpg?202005-3-RELEASE-dice-469x", "■")</f>
        <v>■</v>
      </c>
      <c r="F6" s="14" t="s">
        <v>12529</v>
      </c>
      <c r="G6" s="14">
        <v>340998</v>
      </c>
      <c r="H6" s="14">
        <v>377298</v>
      </c>
      <c r="I6" s="7">
        <v>31</v>
      </c>
      <c r="J6" s="14" t="s">
        <v>229</v>
      </c>
      <c r="K6" s="14" t="s">
        <v>12530</v>
      </c>
      <c r="L6" s="14" t="s">
        <v>12531</v>
      </c>
      <c r="M6" s="14" t="s">
        <v>9158</v>
      </c>
      <c r="N6" s="14" t="s">
        <v>9158</v>
      </c>
      <c r="O6" s="6" t="s">
        <v>12533</v>
      </c>
      <c r="P6" s="7" t="s">
        <v>12534</v>
      </c>
      <c r="Q6" s="7">
        <v>1</v>
      </c>
    </row>
    <row r="7" spans="1:19">
      <c r="A7" s="14">
        <v>89013</v>
      </c>
      <c r="B7" s="14" t="s">
        <v>0</v>
      </c>
      <c r="C7" s="14" t="s">
        <v>23</v>
      </c>
      <c r="D7" s="18" t="s">
        <v>12538</v>
      </c>
      <c r="E7" s="15" t="str">
        <f>HYPERLINK("https://stat100.ameba.jp/tnk47/ratio20/illustrations/card/ill_89013_efuwanresutokugawaieyasu03.jpg?202005-3-RELEASE-dice-469x", "■")</f>
        <v>■</v>
      </c>
      <c r="F7" s="14" t="s">
        <v>12539</v>
      </c>
      <c r="G7" s="14">
        <v>149240</v>
      </c>
      <c r="H7" s="14">
        <v>160507</v>
      </c>
      <c r="I7" s="14">
        <v>27</v>
      </c>
      <c r="J7" s="14" t="s">
        <v>143</v>
      </c>
      <c r="K7" s="14" t="s">
        <v>12540</v>
      </c>
      <c r="L7" s="14" t="s">
        <v>12026</v>
      </c>
      <c r="M7" s="14" t="s">
        <v>9158</v>
      </c>
      <c r="N7" s="14" t="s">
        <v>9158</v>
      </c>
      <c r="O7" s="6" t="s">
        <v>3624</v>
      </c>
      <c r="P7" s="7" t="s">
        <v>3625</v>
      </c>
      <c r="Q7" s="7">
        <v>1</v>
      </c>
    </row>
    <row r="8" spans="1:19">
      <c r="A8" s="14">
        <v>89023</v>
      </c>
      <c r="B8" s="14" t="s">
        <v>0</v>
      </c>
      <c r="C8" s="14" t="s">
        <v>96</v>
      </c>
      <c r="D8" s="18" t="s">
        <v>12541</v>
      </c>
      <c r="E8" s="15" t="str">
        <f>HYPERLINK("https://stat100.ameba.jp/tnk47/ratio20/illustrations/card/ill_89023_efuwanresuhayamisosei03.jpg?202005-3-RELEASE-dice-469x", "■")</f>
        <v>■</v>
      </c>
      <c r="F8" s="14" t="s">
        <v>12542</v>
      </c>
      <c r="G8" s="14">
        <v>98019</v>
      </c>
      <c r="H8" s="14">
        <v>105465</v>
      </c>
      <c r="I8" s="14">
        <v>27</v>
      </c>
      <c r="J8" s="14" t="s">
        <v>10</v>
      </c>
      <c r="K8" s="14" t="s">
        <v>12543</v>
      </c>
      <c r="L8" s="14" t="s">
        <v>1977</v>
      </c>
      <c r="M8" s="14" t="s">
        <v>2138</v>
      </c>
      <c r="N8" s="14" t="s">
        <v>2139</v>
      </c>
      <c r="O8" s="14" t="s">
        <v>9158</v>
      </c>
      <c r="P8" s="14" t="s">
        <v>9158</v>
      </c>
      <c r="Q8" s="14" t="s">
        <v>9158</v>
      </c>
      <c r="R8" s="14" t="s">
        <v>13120</v>
      </c>
    </row>
    <row r="9" spans="1:19">
      <c r="A9" s="14">
        <v>89033</v>
      </c>
      <c r="B9" s="14" t="s">
        <v>0</v>
      </c>
      <c r="C9" s="14" t="s">
        <v>107</v>
      </c>
      <c r="D9" s="18" t="s">
        <v>12544</v>
      </c>
      <c r="E9" s="15" t="str">
        <f>HYPERLINK("https://stat100.ameba.jp/tnk47/ratio20/illustrations/card/ill_89033_efuwanresukusumototakako03.jpg?202005-3-RELEASE-dice-469x", "■")</f>
        <v>■</v>
      </c>
      <c r="F9" s="14" t="s">
        <v>12545</v>
      </c>
      <c r="G9" s="14">
        <v>109481</v>
      </c>
      <c r="H9" s="14">
        <v>101837</v>
      </c>
      <c r="I9" s="14">
        <v>27</v>
      </c>
      <c r="J9" s="14" t="s">
        <v>16</v>
      </c>
      <c r="K9" s="14" t="s">
        <v>12546</v>
      </c>
      <c r="L9" s="14" t="s">
        <v>12547</v>
      </c>
      <c r="M9" s="14" t="s">
        <v>2138</v>
      </c>
      <c r="N9" s="14" t="s">
        <v>2139</v>
      </c>
      <c r="O9" s="14" t="s">
        <v>9158</v>
      </c>
      <c r="P9" s="14" t="s">
        <v>9158</v>
      </c>
      <c r="Q9" s="14" t="s">
        <v>9158</v>
      </c>
      <c r="R9" s="14" t="s">
        <v>13120</v>
      </c>
    </row>
    <row r="10" spans="1:19">
      <c r="A10" s="14">
        <v>89043</v>
      </c>
      <c r="B10" s="14" t="s">
        <v>15</v>
      </c>
      <c r="C10" s="14" t="s">
        <v>101</v>
      </c>
      <c r="D10" s="18" t="s">
        <v>12548</v>
      </c>
      <c r="E10" s="15" t="str">
        <f>HYPERLINK("https://stat100.ameba.jp/tnk47/ratio20/illustrations/card/ill_89043_resukuintokuhime03.jpg?202005-3-RELEASE-dice-469x", "■")</f>
        <v>■</v>
      </c>
      <c r="F10" s="14" t="s">
        <v>12549</v>
      </c>
      <c r="G10" s="14">
        <v>80028</v>
      </c>
      <c r="H10" s="14">
        <v>72586</v>
      </c>
      <c r="I10" s="14">
        <v>27</v>
      </c>
      <c r="J10" s="14" t="s">
        <v>77</v>
      </c>
      <c r="K10" s="14" t="s">
        <v>12550</v>
      </c>
      <c r="L10" s="14" t="s">
        <v>3501</v>
      </c>
      <c r="M10" s="14" t="s">
        <v>9158</v>
      </c>
      <c r="N10" s="14" t="s">
        <v>9158</v>
      </c>
      <c r="O10" s="14" t="s">
        <v>9158</v>
      </c>
      <c r="P10" s="14" t="s">
        <v>9158</v>
      </c>
      <c r="Q10" s="14" t="s">
        <v>9158</v>
      </c>
    </row>
    <row r="11" spans="1:19">
      <c r="A11" s="14">
        <v>89053</v>
      </c>
      <c r="B11" s="14" t="s">
        <v>15</v>
      </c>
      <c r="C11" s="14" t="s">
        <v>14</v>
      </c>
      <c r="D11" s="18" t="s">
        <v>12551</v>
      </c>
      <c r="E11" s="15" t="str">
        <f>HYPERLINK("https://stat100.ameba.jp/tnk47/ratio20/illustrations/card/ill_89053_resukuinjimboyuki03.jpg?202005-3-RELEASE-dice-469x", "■")</f>
        <v>■</v>
      </c>
      <c r="F11" s="14" t="s">
        <v>12552</v>
      </c>
      <c r="G11" s="14">
        <v>72586</v>
      </c>
      <c r="H11" s="14">
        <v>80028</v>
      </c>
      <c r="I11" s="14">
        <v>27</v>
      </c>
      <c r="J11" s="14" t="s">
        <v>10</v>
      </c>
      <c r="K11" s="14" t="s">
        <v>6930</v>
      </c>
      <c r="L11" s="14" t="s">
        <v>2146</v>
      </c>
      <c r="M11" s="14" t="s">
        <v>9158</v>
      </c>
      <c r="N11" s="14" t="s">
        <v>9158</v>
      </c>
      <c r="O11" s="14" t="s">
        <v>9158</v>
      </c>
      <c r="P11" s="14" t="s">
        <v>9158</v>
      </c>
      <c r="Q11" s="14" t="s">
        <v>9158</v>
      </c>
    </row>
    <row r="12" spans="1:19">
      <c r="A12" s="14">
        <v>89063</v>
      </c>
      <c r="B12" s="14" t="s">
        <v>15</v>
      </c>
      <c r="C12" s="14" t="s">
        <v>1</v>
      </c>
      <c r="D12" s="18" t="s">
        <v>12553</v>
      </c>
      <c r="E12" s="15" t="str">
        <f>HYPERLINK("https://stat100.ameba.jp/tnk47/ratio20/illustrations/card/ill_89063_resukuinorochinomiko03.jpg?202005-3-RELEASE-dice-469x", "■")</f>
        <v>■</v>
      </c>
      <c r="F12" s="14" t="s">
        <v>12554</v>
      </c>
      <c r="G12" s="14">
        <v>80028</v>
      </c>
      <c r="H12" s="14">
        <v>72586</v>
      </c>
      <c r="I12" s="14">
        <v>27</v>
      </c>
      <c r="J12" s="14" t="s">
        <v>77</v>
      </c>
      <c r="K12" s="14" t="s">
        <v>12555</v>
      </c>
      <c r="L12" s="14" t="s">
        <v>5407</v>
      </c>
      <c r="M12" s="14" t="s">
        <v>9158</v>
      </c>
      <c r="N12" s="14" t="s">
        <v>9158</v>
      </c>
      <c r="O12" s="14" t="s">
        <v>9158</v>
      </c>
      <c r="P12" s="14" t="s">
        <v>9158</v>
      </c>
      <c r="Q12" s="14" t="s">
        <v>9158</v>
      </c>
    </row>
    <row r="13" spans="1:19">
      <c r="A13" s="14">
        <v>89083</v>
      </c>
      <c r="B13" s="14" t="s">
        <v>22</v>
      </c>
      <c r="C13" s="14" t="s">
        <v>107</v>
      </c>
      <c r="D13" s="18" t="s">
        <v>12556</v>
      </c>
      <c r="E13" s="15" t="str">
        <f>HYPERLINK("https://stat100.ameba.jp/tnk47/ratio20/illustrations/card/ill_89083_resukuinryuzojitamatsuru03.jpg?202005-3-RELEASE-dice-469x", "■")</f>
        <v>■</v>
      </c>
      <c r="F13" s="14" t="s">
        <v>12557</v>
      </c>
      <c r="G13" s="14">
        <v>56138</v>
      </c>
      <c r="H13" s="14">
        <v>46676</v>
      </c>
      <c r="I13" s="14">
        <v>27</v>
      </c>
      <c r="J13" s="14" t="s">
        <v>77</v>
      </c>
      <c r="K13" s="14" t="s">
        <v>12558</v>
      </c>
      <c r="L13" s="14" t="s">
        <v>7808</v>
      </c>
      <c r="M13" s="14" t="s">
        <v>9158</v>
      </c>
      <c r="N13" s="14" t="s">
        <v>9158</v>
      </c>
      <c r="O13" s="14" t="s">
        <v>9158</v>
      </c>
      <c r="P13" s="14" t="s">
        <v>9158</v>
      </c>
      <c r="Q13" s="14" t="s">
        <v>9158</v>
      </c>
    </row>
    <row r="14" spans="1:19">
      <c r="A14" s="14">
        <v>89093</v>
      </c>
      <c r="B14" s="14" t="s">
        <v>22</v>
      </c>
      <c r="C14" s="14" t="s">
        <v>96</v>
      </c>
      <c r="D14" s="18" t="s">
        <v>12559</v>
      </c>
      <c r="E14" s="15" t="str">
        <f>HYPERLINK("https://stat100.ameba.jp/tnk47/ratio20/illustrations/card/ill_89093_resukuinasaitsuruchiyo03.jpg?202005-3-RELEASE-dice-469x", "■")</f>
        <v>■</v>
      </c>
      <c r="F14" s="14" t="s">
        <v>12560</v>
      </c>
      <c r="G14" s="14">
        <v>46676</v>
      </c>
      <c r="H14" s="14">
        <v>56138</v>
      </c>
      <c r="I14" s="14">
        <v>27</v>
      </c>
      <c r="J14" s="14" t="s">
        <v>77</v>
      </c>
      <c r="K14" s="14" t="s">
        <v>12561</v>
      </c>
      <c r="L14" s="14" t="s">
        <v>4535</v>
      </c>
      <c r="M14" s="14" t="s">
        <v>9158</v>
      </c>
      <c r="N14" s="14" t="s">
        <v>9158</v>
      </c>
      <c r="O14" s="14" t="s">
        <v>9158</v>
      </c>
      <c r="P14" s="14" t="s">
        <v>9158</v>
      </c>
      <c r="Q14" s="14" t="s">
        <v>9158</v>
      </c>
    </row>
    <row r="15" spans="1:19">
      <c r="A15" s="14">
        <v>89113</v>
      </c>
      <c r="B15" s="14" t="s">
        <v>30</v>
      </c>
      <c r="C15" s="14" t="s">
        <v>12565</v>
      </c>
      <c r="D15" s="18" t="s">
        <v>12564</v>
      </c>
      <c r="E15" s="15" t="str">
        <f>HYPERLINK("https://stat100.ameba.jp/tnk47/ratio20/illustrations/card/ill_89113_resukuinchiyo03.jpg?202005-3-RELEASE-dice-469x", "■")</f>
        <v>■</v>
      </c>
      <c r="F15" s="14" t="s">
        <v>12566</v>
      </c>
      <c r="G15" s="7" t="s">
        <v>12934</v>
      </c>
      <c r="H15" s="7" t="s">
        <v>12934</v>
      </c>
      <c r="I15" s="14">
        <v>27</v>
      </c>
      <c r="J15" s="14" t="s">
        <v>77</v>
      </c>
      <c r="K15" s="7" t="s">
        <v>12934</v>
      </c>
      <c r="L15" s="7" t="s">
        <v>12934</v>
      </c>
      <c r="M15" s="14" t="s">
        <v>9158</v>
      </c>
      <c r="N15" s="14" t="s">
        <v>9158</v>
      </c>
      <c r="O15" s="14" t="s">
        <v>9158</v>
      </c>
      <c r="P15" s="14" t="s">
        <v>9158</v>
      </c>
      <c r="Q15" s="14" t="s">
        <v>9158</v>
      </c>
    </row>
    <row r="16" spans="1:19">
      <c r="A16" s="14">
        <v>89103</v>
      </c>
      <c r="B16" s="14" t="s">
        <v>30</v>
      </c>
      <c r="C16" s="14" t="s">
        <v>12563</v>
      </c>
      <c r="D16" s="18" t="s">
        <v>12562</v>
      </c>
      <c r="E16" s="15" t="str">
        <f>HYPERLINK("https://stat100.ameba.jp/tnk47/ratio20/illustrations/card/ill_89103_resukuinwakanahime03.jpg?202005-3-RELEASE-dice-469x", "■")</f>
        <v>■</v>
      </c>
      <c r="F16" s="14" t="s">
        <v>12567</v>
      </c>
      <c r="G16" s="7" t="s">
        <v>12934</v>
      </c>
      <c r="H16" s="7" t="s">
        <v>12934</v>
      </c>
      <c r="I16" s="14">
        <v>27</v>
      </c>
      <c r="J16" s="14" t="s">
        <v>77</v>
      </c>
      <c r="K16" s="7" t="s">
        <v>12934</v>
      </c>
      <c r="L16" s="7" t="s">
        <v>12934</v>
      </c>
      <c r="M16" s="14" t="s">
        <v>9158</v>
      </c>
      <c r="N16" s="14" t="s">
        <v>9158</v>
      </c>
      <c r="O16" s="14" t="s">
        <v>9158</v>
      </c>
      <c r="P16" s="14" t="s">
        <v>9158</v>
      </c>
      <c r="Q16" s="14" t="s">
        <v>9158</v>
      </c>
    </row>
    <row r="17" spans="1:18">
      <c r="D17" s="7"/>
    </row>
    <row r="18" spans="1:18">
      <c r="A18" s="14" t="s">
        <v>13385</v>
      </c>
      <c r="D18" s="7"/>
    </row>
    <row r="19" spans="1:18">
      <c r="A19" s="14" t="s">
        <v>4536</v>
      </c>
      <c r="D19" s="7"/>
    </row>
    <row r="20" spans="1:18">
      <c r="A20" s="14">
        <v>89165</v>
      </c>
      <c r="B20" s="14" t="s">
        <v>0</v>
      </c>
      <c r="C20" s="14" t="s">
        <v>202</v>
      </c>
      <c r="D20" s="18" t="s">
        <v>12570</v>
      </c>
      <c r="E20" s="15" t="str">
        <f>HYPERLINK("https://stat100.ameba.jp/tnk47/ratio20/illustrations/card/ill_89165_uchusensohottakichiko05.jpg?202005-3-RELEASE-dice-469x", "■")</f>
        <v>■</v>
      </c>
      <c r="F20" s="14" t="s">
        <v>12571</v>
      </c>
      <c r="G20" s="14">
        <v>138370</v>
      </c>
      <c r="H20" s="14">
        <v>100195</v>
      </c>
      <c r="I20" s="14">
        <v>27</v>
      </c>
      <c r="J20" s="14" t="s">
        <v>12572</v>
      </c>
      <c r="K20" s="14" t="s">
        <v>12573</v>
      </c>
      <c r="L20" s="14" t="s">
        <v>12574</v>
      </c>
      <c r="M20" s="14" t="s">
        <v>9158</v>
      </c>
      <c r="N20" s="14" t="s">
        <v>9158</v>
      </c>
      <c r="O20" s="14" t="s">
        <v>9158</v>
      </c>
      <c r="P20" s="14" t="s">
        <v>9158</v>
      </c>
      <c r="Q20" s="14" t="s">
        <v>9158</v>
      </c>
      <c r="R20" s="14" t="s">
        <v>174</v>
      </c>
    </row>
    <row r="21" spans="1:18">
      <c r="A21" s="14">
        <v>89163</v>
      </c>
      <c r="B21" s="14" t="s">
        <v>15</v>
      </c>
      <c r="C21" s="14" t="s">
        <v>12576</v>
      </c>
      <c r="D21" s="18" t="s">
        <v>12570</v>
      </c>
      <c r="E21" s="15" t="str">
        <f>HYPERLINK("https://stat100.ameba.jp/tnk47/ratio20/illustrations/card/ill_89163_uchusensohottakichiko03.jpg?202005-3-RELEASE-dice-469x", "■")</f>
        <v>■</v>
      </c>
      <c r="F21" s="14" t="s">
        <v>12571</v>
      </c>
      <c r="G21" s="14">
        <v>101943</v>
      </c>
      <c r="H21" s="14">
        <v>73805</v>
      </c>
      <c r="I21" s="14">
        <v>27</v>
      </c>
      <c r="J21" s="14" t="s">
        <v>12572</v>
      </c>
      <c r="K21" s="14" t="s">
        <v>12573</v>
      </c>
      <c r="L21" s="14" t="s">
        <v>12575</v>
      </c>
      <c r="M21" s="14" t="s">
        <v>9158</v>
      </c>
      <c r="N21" s="14" t="s">
        <v>9158</v>
      </c>
      <c r="O21" s="14" t="s">
        <v>9158</v>
      </c>
      <c r="P21" s="14" t="s">
        <v>9158</v>
      </c>
      <c r="Q21" s="14" t="s">
        <v>9158</v>
      </c>
      <c r="R21" s="14" t="s">
        <v>175</v>
      </c>
    </row>
    <row r="22" spans="1:18">
      <c r="A22" s="14">
        <v>89161</v>
      </c>
      <c r="B22" s="14" t="s">
        <v>15</v>
      </c>
      <c r="C22" s="14" t="s">
        <v>12576</v>
      </c>
      <c r="D22" s="18" t="s">
        <v>12570</v>
      </c>
      <c r="E22" s="15" t="str">
        <f>HYPERLINK("https://stat100.ameba.jp/tnk47/ratio20/illustrations/card/ill_89161_uchusensohottakichiko01.jpg?202005-3-RELEASE-dice-469x", "■")</f>
        <v>■</v>
      </c>
      <c r="F22" s="14" t="s">
        <v>12571</v>
      </c>
      <c r="G22" s="14">
        <v>64854</v>
      </c>
      <c r="H22" s="14">
        <v>46953</v>
      </c>
      <c r="I22" s="14">
        <v>27</v>
      </c>
      <c r="J22" s="14" t="s">
        <v>12572</v>
      </c>
      <c r="K22" s="14" t="s">
        <v>12573</v>
      </c>
      <c r="L22" s="14" t="s">
        <v>12577</v>
      </c>
      <c r="M22" s="14" t="s">
        <v>9158</v>
      </c>
      <c r="N22" s="14" t="s">
        <v>9158</v>
      </c>
      <c r="O22" s="14" t="s">
        <v>9158</v>
      </c>
      <c r="P22" s="14" t="s">
        <v>9158</v>
      </c>
      <c r="Q22" s="14" t="s">
        <v>9158</v>
      </c>
      <c r="R22" s="14" t="s">
        <v>176</v>
      </c>
    </row>
    <row r="24" spans="1:18">
      <c r="A24" s="14" t="s">
        <v>12568</v>
      </c>
    </row>
    <row r="25" spans="1:18">
      <c r="A25" s="14" t="s">
        <v>12569</v>
      </c>
    </row>
    <row r="26" spans="1:18">
      <c r="A26" s="14">
        <v>72723</v>
      </c>
      <c r="B26" s="14" t="s">
        <v>0</v>
      </c>
      <c r="C26" s="14" t="s">
        <v>12579</v>
      </c>
      <c r="D26" s="14" t="s">
        <v>12578</v>
      </c>
      <c r="E26" s="15" t="str">
        <f>HYPERLINK("https://stat100.ameba.jp/tnk47/ratio20/illustrations/card/ill_72723_ogonshukangorudenuikunodaiboken03.jpg?202005-3-RELEASE-dice-469x", "■")</f>
        <v>■</v>
      </c>
      <c r="F26" s="14" t="s">
        <v>12580</v>
      </c>
      <c r="G26" s="14">
        <v>106108</v>
      </c>
      <c r="H26" s="14">
        <v>114112</v>
      </c>
      <c r="I26" s="14">
        <v>26</v>
      </c>
      <c r="J26" s="14" t="s">
        <v>12581</v>
      </c>
      <c r="K26" s="14" t="s">
        <v>12582</v>
      </c>
      <c r="L26" s="14" t="s">
        <v>12583</v>
      </c>
      <c r="M26" s="14" t="s">
        <v>9158</v>
      </c>
      <c r="N26" s="14" t="s">
        <v>9158</v>
      </c>
      <c r="O26" s="14" t="s">
        <v>12584</v>
      </c>
      <c r="P26" s="14" t="s">
        <v>12585</v>
      </c>
      <c r="Q26" s="14">
        <v>1</v>
      </c>
    </row>
    <row r="27" spans="1:18">
      <c r="A27" s="7">
        <v>85733</v>
      </c>
      <c r="B27" s="7" t="s">
        <v>0</v>
      </c>
      <c r="C27" s="14" t="s">
        <v>185</v>
      </c>
      <c r="D27" s="20" t="s">
        <v>10836</v>
      </c>
      <c r="E27" s="15" t="str">
        <f>HYPERLINK("https://stat100.ameba.jp/tnk47/ratio20/illustrations/card/ill_85733_hakkachan03.jpg?202005-3-RELEASE-dice-469x", "■")</f>
        <v>■</v>
      </c>
      <c r="F27" s="7" t="s">
        <v>8504</v>
      </c>
      <c r="G27" s="7">
        <v>118446</v>
      </c>
      <c r="H27" s="7">
        <v>110126</v>
      </c>
      <c r="I27" s="7">
        <v>26</v>
      </c>
      <c r="J27" s="7" t="s">
        <v>229</v>
      </c>
      <c r="K27" s="7" t="s">
        <v>3792</v>
      </c>
      <c r="L27" s="7" t="s">
        <v>1086</v>
      </c>
      <c r="M27" s="14" t="s">
        <v>9158</v>
      </c>
      <c r="N27" s="14" t="s">
        <v>9158</v>
      </c>
      <c r="O27" s="14" t="s">
        <v>9158</v>
      </c>
      <c r="P27" s="14" t="s">
        <v>9158</v>
      </c>
      <c r="Q27" s="14" t="s">
        <v>9158</v>
      </c>
    </row>
    <row r="28" spans="1:18">
      <c r="A28" s="14">
        <v>81833</v>
      </c>
      <c r="B28" s="14" t="s">
        <v>0</v>
      </c>
      <c r="C28" s="14" t="s">
        <v>200</v>
      </c>
      <c r="D28" s="19" t="s">
        <v>10191</v>
      </c>
      <c r="E28" s="15" t="str">
        <f>HYPERLINK("https://stat100.ameba.jp/tnk47/ratio20/illustrations/card/ill_81833_amehimenogyakushuhojotsunataka03.jpg?202005-3-RELEASE-dice-469x", "■")</f>
        <v>■</v>
      </c>
      <c r="F28" s="14" t="s">
        <v>4941</v>
      </c>
      <c r="G28" s="14">
        <v>154562</v>
      </c>
      <c r="H28" s="14">
        <v>143714</v>
      </c>
      <c r="I28" s="14">
        <v>26</v>
      </c>
      <c r="J28" s="14" t="s">
        <v>143</v>
      </c>
      <c r="K28" s="14" t="s">
        <v>4943</v>
      </c>
      <c r="L28" s="14" t="s">
        <v>3459</v>
      </c>
      <c r="M28" s="14" t="s">
        <v>9158</v>
      </c>
      <c r="N28" s="14" t="s">
        <v>9158</v>
      </c>
      <c r="O28" s="14" t="s">
        <v>9158</v>
      </c>
      <c r="P28" s="14" t="s">
        <v>9158</v>
      </c>
      <c r="Q28" s="14" t="s">
        <v>9158</v>
      </c>
    </row>
    <row r="29" spans="1:18">
      <c r="A29" s="9">
        <v>80873</v>
      </c>
      <c r="B29" s="14" t="s">
        <v>0</v>
      </c>
      <c r="C29" s="14" t="s">
        <v>191</v>
      </c>
      <c r="D29" s="14" t="s">
        <v>4327</v>
      </c>
      <c r="E29" s="15" t="str">
        <f>HYPERLINK("https://stat100.ameba.jp/tnk47/ratio20/illustrations/card/ill_80873_fukkatsusaikawashimayoshiko03.jpg?202005-3-RELEASE-dice-469x", "■")</f>
        <v>■</v>
      </c>
      <c r="F29" s="14" t="s">
        <v>4328</v>
      </c>
      <c r="G29" s="14">
        <v>101558</v>
      </c>
      <c r="H29" s="14">
        <v>94390</v>
      </c>
      <c r="I29" s="14">
        <v>26</v>
      </c>
      <c r="J29" s="14" t="s">
        <v>10</v>
      </c>
      <c r="K29" s="14" t="s">
        <v>4329</v>
      </c>
      <c r="L29" s="14" t="s">
        <v>3352</v>
      </c>
      <c r="M29" s="14" t="s">
        <v>9158</v>
      </c>
      <c r="N29" s="14" t="s">
        <v>9158</v>
      </c>
      <c r="O29" s="14" t="s">
        <v>9158</v>
      </c>
      <c r="P29" s="14" t="s">
        <v>9158</v>
      </c>
      <c r="Q29" s="14" t="s">
        <v>9158</v>
      </c>
    </row>
    <row r="30" spans="1:18">
      <c r="A30" s="9">
        <v>70743</v>
      </c>
      <c r="B30" s="9" t="s">
        <v>334</v>
      </c>
      <c r="C30" s="9" t="s">
        <v>165</v>
      </c>
      <c r="D30" s="9" t="s">
        <v>10475</v>
      </c>
      <c r="E30" s="15" t="str">
        <f>HYPERLINK("https://stat100.ameba.jp/tnk47/ratio20/illustrations/card/ill_70743_howaitodekitanokata03.jpg?202005-3-RELEASE-dice-469x", "■")</f>
        <v>■</v>
      </c>
      <c r="F30" s="9" t="s">
        <v>11298</v>
      </c>
      <c r="G30" s="9">
        <v>154562</v>
      </c>
      <c r="H30" s="9">
        <v>143714</v>
      </c>
      <c r="I30" s="14">
        <v>26</v>
      </c>
      <c r="J30" s="9" t="s">
        <v>310</v>
      </c>
      <c r="K30" s="9" t="s">
        <v>11299</v>
      </c>
      <c r="L30" s="9" t="s">
        <v>11300</v>
      </c>
      <c r="M30" s="14" t="s">
        <v>9158</v>
      </c>
      <c r="N30" s="14" t="s">
        <v>9158</v>
      </c>
      <c r="O30" s="14" t="s">
        <v>9158</v>
      </c>
      <c r="P30" s="14" t="s">
        <v>9158</v>
      </c>
      <c r="Q30" s="14" t="s">
        <v>9158</v>
      </c>
    </row>
    <row r="31" spans="1:18">
      <c r="A31" s="14">
        <v>73333</v>
      </c>
      <c r="B31" s="14" t="s">
        <v>0</v>
      </c>
      <c r="C31" s="14" t="s">
        <v>205</v>
      </c>
      <c r="D31" s="19" t="s">
        <v>10766</v>
      </c>
      <c r="E31" s="15" t="str">
        <f>HYPERLINK("https://stat100.ameba.jp/tnk47/ratio20/illustrations/card/ill_73333_akikunitora03.jpg?202005-3-RELEASE-dice-469x", "■")</f>
        <v>■</v>
      </c>
      <c r="F31" s="14" t="s">
        <v>3475</v>
      </c>
      <c r="G31" s="14">
        <v>154562</v>
      </c>
      <c r="H31" s="14">
        <v>143714</v>
      </c>
      <c r="I31" s="14">
        <v>26</v>
      </c>
      <c r="J31" s="14" t="s">
        <v>194</v>
      </c>
      <c r="K31" s="14" t="s">
        <v>3476</v>
      </c>
      <c r="L31" s="14" t="s">
        <v>145</v>
      </c>
      <c r="M31" s="14" t="s">
        <v>9158</v>
      </c>
      <c r="N31" s="14" t="s">
        <v>9158</v>
      </c>
      <c r="O31" s="14" t="s">
        <v>9158</v>
      </c>
      <c r="P31" s="14" t="s">
        <v>9158</v>
      </c>
      <c r="Q31" s="14" t="s">
        <v>9158</v>
      </c>
    </row>
    <row r="32" spans="1:18">
      <c r="A32" s="9">
        <v>73923</v>
      </c>
      <c r="B32" s="14" t="s">
        <v>334</v>
      </c>
      <c r="C32" s="14" t="s">
        <v>206</v>
      </c>
      <c r="D32" s="14" t="s">
        <v>3092</v>
      </c>
      <c r="E32" s="15" t="str">
        <f>HYPERLINK("https://stat100.ameba.jp/tnk47/ratio20/illustrations/card/ill_73923_hiryugama03.jpg?202005-3-RELEASE-dice-469x", "■")</f>
        <v>■</v>
      </c>
      <c r="F32" s="14" t="s">
        <v>3093</v>
      </c>
      <c r="G32" s="14">
        <v>118446</v>
      </c>
      <c r="H32" s="14">
        <v>110126</v>
      </c>
      <c r="I32" s="14">
        <v>26</v>
      </c>
      <c r="J32" s="14" t="s">
        <v>369</v>
      </c>
      <c r="K32" s="14" t="s">
        <v>3094</v>
      </c>
      <c r="L32" s="14" t="s">
        <v>1532</v>
      </c>
      <c r="M32" s="14" t="s">
        <v>9158</v>
      </c>
      <c r="N32" s="14" t="s">
        <v>9158</v>
      </c>
      <c r="O32" s="14" t="s">
        <v>9158</v>
      </c>
      <c r="P32" s="14" t="s">
        <v>9158</v>
      </c>
      <c r="Q32" s="14" t="s">
        <v>9158</v>
      </c>
    </row>
    <row r="33" spans="1:17">
      <c r="D33" s="7"/>
    </row>
    <row r="34" spans="1:17">
      <c r="A34" s="14" t="s">
        <v>204</v>
      </c>
      <c r="D34" s="7"/>
    </row>
    <row r="35" spans="1:17">
      <c r="A35" s="14" t="s">
        <v>4541</v>
      </c>
      <c r="D35" s="7"/>
    </row>
    <row r="36" spans="1:17">
      <c r="A36" s="9" t="s">
        <v>5848</v>
      </c>
      <c r="B36" s="14" t="s">
        <v>330</v>
      </c>
      <c r="C36" s="14" t="s">
        <v>200</v>
      </c>
      <c r="D36" s="14" t="s">
        <v>1138</v>
      </c>
      <c r="E36" s="15" t="str">
        <f>HYPERLINK("https://stat100.ameba.jp/tnk47/ratio20/illustrations/card/ill_72963_0_amenohanayomehiguchiichiyo03.jpg?202005-3-RELEASE-dice-469x", "■")</f>
        <v>■</v>
      </c>
      <c r="F36" s="14" t="s">
        <v>1139</v>
      </c>
      <c r="G36" s="14">
        <v>147404</v>
      </c>
      <c r="H36" s="14">
        <v>137060</v>
      </c>
      <c r="I36" s="14">
        <v>22</v>
      </c>
      <c r="J36" s="14" t="s">
        <v>10</v>
      </c>
      <c r="K36" s="14" t="s">
        <v>1140</v>
      </c>
      <c r="L36" s="14" t="s">
        <v>1141</v>
      </c>
      <c r="M36" s="14" t="s">
        <v>9158</v>
      </c>
      <c r="N36" s="14" t="s">
        <v>9158</v>
      </c>
      <c r="O36" s="9" t="s">
        <v>3162</v>
      </c>
      <c r="P36" s="14" t="s">
        <v>3163</v>
      </c>
      <c r="Q36" s="14">
        <v>1</v>
      </c>
    </row>
    <row r="37" spans="1:17">
      <c r="A37" s="14" t="s">
        <v>5603</v>
      </c>
      <c r="B37" s="14" t="s">
        <v>330</v>
      </c>
      <c r="C37" s="14" t="s">
        <v>205</v>
      </c>
      <c r="D37" s="20" t="s">
        <v>611</v>
      </c>
      <c r="E37" s="15" t="str">
        <f>HYPERLINK("https://stat100.ameba.jp/tnk47/ratio20/illustrations/card/ill_61893_0_onikirishumiyamotomusashi03.jpg?202005-3-RELEASE-dice-469x", "■")</f>
        <v>■</v>
      </c>
      <c r="F37" s="14" t="s">
        <v>612</v>
      </c>
      <c r="G37" s="14">
        <v>205358</v>
      </c>
      <c r="H37" s="14">
        <v>190952</v>
      </c>
      <c r="I37" s="14">
        <v>22</v>
      </c>
      <c r="J37" s="14" t="s">
        <v>310</v>
      </c>
      <c r="K37" s="14" t="s">
        <v>613</v>
      </c>
      <c r="L37" s="14" t="s">
        <v>312</v>
      </c>
      <c r="M37" s="14" t="s">
        <v>9158</v>
      </c>
      <c r="N37" s="14" t="s">
        <v>9158</v>
      </c>
      <c r="O37" s="19" t="s">
        <v>10071</v>
      </c>
      <c r="P37" s="14" t="s">
        <v>3253</v>
      </c>
      <c r="Q37" s="14">
        <v>1</v>
      </c>
    </row>
    <row r="38" spans="1:17">
      <c r="A38" s="14" t="s">
        <v>5608</v>
      </c>
      <c r="B38" s="14" t="s">
        <v>52</v>
      </c>
      <c r="C38" s="14" t="s">
        <v>96</v>
      </c>
      <c r="D38" s="20" t="s">
        <v>634</v>
      </c>
      <c r="E38" s="15" t="str">
        <f>HYPERLINK("https://stat100.ameba.jp/tnk47/ratio20/illustrations/card/ill_40963_0_makami03.jpg?202005-3-RELEASE-dice-469x", "■")</f>
        <v>■</v>
      </c>
      <c r="F38" s="14" t="s">
        <v>2038</v>
      </c>
      <c r="G38" s="14">
        <v>128744</v>
      </c>
      <c r="H38" s="14">
        <v>120576</v>
      </c>
      <c r="I38" s="14">
        <v>22</v>
      </c>
      <c r="J38" s="14" t="s">
        <v>44</v>
      </c>
      <c r="K38" s="14" t="s">
        <v>2039</v>
      </c>
      <c r="L38" s="14" t="s">
        <v>2040</v>
      </c>
      <c r="M38" s="14" t="s">
        <v>9158</v>
      </c>
      <c r="N38" s="14" t="s">
        <v>9158</v>
      </c>
      <c r="O38" s="14" t="s">
        <v>9158</v>
      </c>
      <c r="P38" s="14" t="s">
        <v>9158</v>
      </c>
      <c r="Q38" s="14" t="s">
        <v>9158</v>
      </c>
    </row>
    <row r="39" spans="1:17">
      <c r="A39" s="9">
        <v>79163</v>
      </c>
      <c r="B39" s="14" t="s">
        <v>334</v>
      </c>
      <c r="C39" s="14" t="s">
        <v>185</v>
      </c>
      <c r="D39" s="14" t="s">
        <v>3254</v>
      </c>
      <c r="E39" s="15" t="str">
        <f>HYPERLINK("https://stat100.ameba.jp/tnk47/ratio20/illustrations/card/ill_79163_karutaonamihime03.jpg?202005-3-RELEASE-dice-469x", "■")</f>
        <v>■</v>
      </c>
      <c r="F39" s="14" t="s">
        <v>3255</v>
      </c>
      <c r="G39" s="14">
        <v>190884</v>
      </c>
      <c r="H39" s="14">
        <v>107392</v>
      </c>
      <c r="I39" s="7">
        <v>26</v>
      </c>
      <c r="J39" s="14" t="s">
        <v>143</v>
      </c>
      <c r="K39" s="14" t="s">
        <v>3256</v>
      </c>
      <c r="L39" s="14" t="s">
        <v>145</v>
      </c>
      <c r="M39" s="14" t="s">
        <v>9158</v>
      </c>
      <c r="N39" s="14" t="s">
        <v>9158</v>
      </c>
      <c r="O39" s="14" t="s">
        <v>9158</v>
      </c>
      <c r="P39" s="14" t="s">
        <v>9158</v>
      </c>
      <c r="Q39" s="14" t="s">
        <v>9158</v>
      </c>
    </row>
    <row r="40" spans="1:17">
      <c r="A40" s="14">
        <v>73503</v>
      </c>
      <c r="B40" s="14" t="s">
        <v>334</v>
      </c>
      <c r="C40" s="14" t="s">
        <v>200</v>
      </c>
      <c r="D40" s="20" t="s">
        <v>2875</v>
      </c>
      <c r="E40" s="15" t="str">
        <f>HYPERLINK("https://stat100.ameba.jp/tnk47/ratio20/illustrations/card/ill_73503_nagashirahanokami03.jpg?202005-3-RELEASE-dice-469x", "■")</f>
        <v>■</v>
      </c>
      <c r="F40" s="14" t="s">
        <v>7833</v>
      </c>
      <c r="G40" s="14">
        <v>130968</v>
      </c>
      <c r="H40" s="14">
        <v>73678</v>
      </c>
      <c r="I40" s="14">
        <v>26</v>
      </c>
      <c r="J40" s="14" t="s">
        <v>44</v>
      </c>
      <c r="K40" s="14" t="s">
        <v>7832</v>
      </c>
      <c r="L40" s="14" t="s">
        <v>7831</v>
      </c>
      <c r="M40" s="14" t="s">
        <v>9158</v>
      </c>
      <c r="N40" s="14" t="s">
        <v>9158</v>
      </c>
      <c r="O40" s="14" t="s">
        <v>9158</v>
      </c>
      <c r="P40" s="14" t="s">
        <v>9158</v>
      </c>
      <c r="Q40" s="14" t="s">
        <v>9158</v>
      </c>
    </row>
    <row r="41" spans="1:17">
      <c r="A41" s="9">
        <v>65013</v>
      </c>
      <c r="B41" s="14" t="s">
        <v>334</v>
      </c>
      <c r="C41" s="14" t="s">
        <v>165</v>
      </c>
      <c r="D41" s="14" t="s">
        <v>2882</v>
      </c>
      <c r="E41" s="15" t="str">
        <f>HYPERLINK("https://stat100.ameba.jp/tnk47/ratio20/illustrations/card/ill_65013_showaretoropoppushibanosonome03.jpg?202005-3-RELEASE-dice-469x", "■")</f>
        <v>■</v>
      </c>
      <c r="F41" s="14" t="s">
        <v>2883</v>
      </c>
      <c r="G41" s="14">
        <v>101558</v>
      </c>
      <c r="H41" s="14">
        <v>94390</v>
      </c>
      <c r="I41" s="14">
        <v>26</v>
      </c>
      <c r="J41" s="14" t="s">
        <v>351</v>
      </c>
      <c r="K41" s="14" t="s">
        <v>2884</v>
      </c>
      <c r="L41" s="14" t="s">
        <v>1438</v>
      </c>
      <c r="M41" s="14" t="s">
        <v>9158</v>
      </c>
      <c r="N41" s="14" t="s">
        <v>9158</v>
      </c>
      <c r="O41" s="14" t="s">
        <v>9158</v>
      </c>
      <c r="P41" s="14" t="s">
        <v>9158</v>
      </c>
      <c r="Q41" s="14" t="s">
        <v>9158</v>
      </c>
    </row>
    <row r="43" spans="1:17">
      <c r="A43" s="14" t="s">
        <v>12586</v>
      </c>
    </row>
    <row r="44" spans="1:17">
      <c r="A44" s="14" t="s">
        <v>12587</v>
      </c>
    </row>
    <row r="45" spans="1:17">
      <c r="A45" s="14" t="s">
        <v>7150</v>
      </c>
      <c r="B45" s="14" t="s">
        <v>52</v>
      </c>
      <c r="C45" s="14" t="s">
        <v>202</v>
      </c>
      <c r="D45" s="19" t="s">
        <v>10656</v>
      </c>
      <c r="E45" s="15" t="str">
        <f>HYPERLINK("https://stat100.ameba.jp/tnk47/ratio20/illustrations/card/ill_84203_0_tarottofujiwaranoshoshi03.jpg?202005-3-RELEASE-dice-469x", "■")</f>
        <v>■</v>
      </c>
      <c r="F45" s="14" t="s">
        <v>7153</v>
      </c>
      <c r="G45" s="14">
        <v>367968</v>
      </c>
      <c r="H45" s="14">
        <v>332590</v>
      </c>
      <c r="I45" s="14">
        <v>25</v>
      </c>
      <c r="J45" s="14" t="s">
        <v>10</v>
      </c>
      <c r="K45" s="14" t="s">
        <v>7152</v>
      </c>
      <c r="L45" s="14" t="s">
        <v>7151</v>
      </c>
      <c r="M45" s="14" t="s">
        <v>9158</v>
      </c>
      <c r="N45" s="14" t="s">
        <v>9158</v>
      </c>
      <c r="O45" s="19" t="s">
        <v>10128</v>
      </c>
      <c r="P45" s="14" t="s">
        <v>7154</v>
      </c>
      <c r="Q45" s="14">
        <v>1</v>
      </c>
    </row>
    <row r="46" spans="1:17">
      <c r="A46" s="14">
        <v>81023</v>
      </c>
      <c r="B46" s="14" t="s">
        <v>334</v>
      </c>
      <c r="C46" s="14" t="s">
        <v>41</v>
      </c>
      <c r="D46" s="19" t="s">
        <v>10274</v>
      </c>
      <c r="E46" s="15" t="str">
        <f>HYPERLINK("https://stat100.ameba.jp/tnk47/ratio20/illustrations/card/ill_81023_momonokenki03.jpg?202005-3-RELEASE-dice-469x", "■")</f>
        <v>■</v>
      </c>
      <c r="F46" s="14" t="s">
        <v>4088</v>
      </c>
      <c r="G46" s="14">
        <v>126858</v>
      </c>
      <c r="H46" s="14">
        <v>91876</v>
      </c>
      <c r="I46" s="14">
        <v>24</v>
      </c>
      <c r="J46" s="14" t="s">
        <v>143</v>
      </c>
      <c r="K46" s="14" t="s">
        <v>4089</v>
      </c>
      <c r="L46" s="14" t="s">
        <v>2049</v>
      </c>
      <c r="M46" s="14" t="s">
        <v>9158</v>
      </c>
      <c r="N46" s="14" t="s">
        <v>9158</v>
      </c>
      <c r="O46" s="19" t="s">
        <v>10096</v>
      </c>
      <c r="P46" s="14" t="s">
        <v>3245</v>
      </c>
      <c r="Q46" s="14">
        <v>1</v>
      </c>
    </row>
    <row r="47" spans="1:17">
      <c r="A47" s="14">
        <v>63283</v>
      </c>
      <c r="B47" s="14" t="s">
        <v>334</v>
      </c>
      <c r="C47" s="14" t="s">
        <v>209</v>
      </c>
      <c r="D47" s="19" t="s">
        <v>327</v>
      </c>
      <c r="E47" s="15" t="str">
        <f>HYPERLINK("https://stat100.ameba.jp/tnk47/ratio20/illustrations/card/ill_63283_mizuyokanchan03.jpg?202005-3-RELEASE-dice-469x", "■")</f>
        <v>■</v>
      </c>
      <c r="F47" s="14" t="s">
        <v>327</v>
      </c>
      <c r="G47" s="14">
        <v>113340</v>
      </c>
      <c r="H47" s="14">
        <v>105394</v>
      </c>
      <c r="I47" s="14">
        <v>24</v>
      </c>
      <c r="J47" s="14" t="s">
        <v>283</v>
      </c>
      <c r="K47" s="14" t="s">
        <v>328</v>
      </c>
      <c r="L47" s="14" t="s">
        <v>329</v>
      </c>
      <c r="M47" s="14" t="s">
        <v>9158</v>
      </c>
      <c r="N47" s="14" t="s">
        <v>9158</v>
      </c>
      <c r="O47" s="19" t="s">
        <v>10084</v>
      </c>
      <c r="P47" s="14" t="s">
        <v>3563</v>
      </c>
      <c r="Q47" s="14">
        <v>1</v>
      </c>
    </row>
    <row r="48" spans="1:17">
      <c r="A48" s="14">
        <v>84663</v>
      </c>
      <c r="B48" s="14" t="s">
        <v>334</v>
      </c>
      <c r="C48" s="14" t="s">
        <v>158</v>
      </c>
      <c r="D48" s="20" t="s">
        <v>10648</v>
      </c>
      <c r="E48" s="15" t="str">
        <f>HYPERLINK("https://stat100.ameba.jp/tnk47/ratio20/illustrations/card/ill_84663_juwannonefuerufuito03.jpg?202005-3-RELEASE-dice-469x", "■")</f>
        <v>■</v>
      </c>
      <c r="F48" s="14" t="s">
        <v>7095</v>
      </c>
      <c r="G48" s="14">
        <v>81078</v>
      </c>
      <c r="H48" s="14">
        <v>111914</v>
      </c>
      <c r="I48" s="14">
        <v>24</v>
      </c>
      <c r="J48" s="14" t="s">
        <v>182</v>
      </c>
      <c r="K48" s="14" t="s">
        <v>7094</v>
      </c>
      <c r="L48" s="14" t="s">
        <v>7093</v>
      </c>
      <c r="M48" s="14" t="s">
        <v>9158</v>
      </c>
      <c r="N48" s="14" t="s">
        <v>9158</v>
      </c>
      <c r="O48" s="19" t="s">
        <v>10091</v>
      </c>
      <c r="P48" s="14" t="s">
        <v>3670</v>
      </c>
      <c r="Q48" s="14">
        <v>1</v>
      </c>
    </row>
    <row r="50" spans="1:18">
      <c r="A50" s="7" t="s">
        <v>13327</v>
      </c>
      <c r="B50" s="7"/>
      <c r="C50" s="7"/>
      <c r="D50" s="7"/>
      <c r="E50" s="7"/>
      <c r="F50" s="7"/>
      <c r="G50" s="7"/>
      <c r="H50" s="7"/>
      <c r="I50" s="7"/>
      <c r="J50" s="7"/>
      <c r="K50" s="7"/>
      <c r="L50" s="7"/>
      <c r="M50" s="7"/>
      <c r="N50" s="7"/>
      <c r="O50" s="7"/>
      <c r="P50" s="7"/>
      <c r="Q50" s="7"/>
      <c r="R50" s="7"/>
    </row>
    <row r="51" spans="1:18">
      <c r="A51" s="7" t="s">
        <v>4543</v>
      </c>
      <c r="B51" s="7"/>
      <c r="C51" s="7"/>
      <c r="D51" s="7"/>
      <c r="E51" s="7"/>
      <c r="F51" s="7"/>
      <c r="G51" s="7"/>
      <c r="H51" s="7"/>
      <c r="I51" s="7"/>
      <c r="J51" s="7"/>
      <c r="K51" s="7"/>
      <c r="L51" s="7"/>
      <c r="M51" s="7"/>
      <c r="N51" s="7"/>
      <c r="O51" s="7"/>
      <c r="P51" s="7"/>
      <c r="Q51" s="7"/>
      <c r="R51" s="7"/>
    </row>
    <row r="52" spans="1:18">
      <c r="A52" s="14">
        <v>86063</v>
      </c>
      <c r="B52" s="14" t="s">
        <v>334</v>
      </c>
      <c r="C52" s="14" t="s">
        <v>14</v>
      </c>
      <c r="D52" s="19" t="s">
        <v>10818</v>
      </c>
      <c r="E52" s="15" t="str">
        <f>HYPERLINK("https://stat100.ameba.jp/tnk47/ratio20/illustrations/card/ill_86063_uotchimeika03.jpg?202005-3-RELEASE-dice-469x", "■")</f>
        <v>■</v>
      </c>
      <c r="F52" s="14" t="s">
        <v>8368</v>
      </c>
      <c r="G52" s="14">
        <v>123583</v>
      </c>
      <c r="H52" s="14">
        <v>132922</v>
      </c>
      <c r="I52" s="14">
        <v>27</v>
      </c>
      <c r="J52" s="14" t="s">
        <v>173</v>
      </c>
      <c r="K52" s="14" t="s">
        <v>8367</v>
      </c>
      <c r="L52" s="14" t="s">
        <v>8366</v>
      </c>
      <c r="M52" s="14" t="s">
        <v>13130</v>
      </c>
      <c r="N52" s="14" t="s">
        <v>343</v>
      </c>
      <c r="O52" s="14" t="s">
        <v>9158</v>
      </c>
      <c r="P52" s="14" t="s">
        <v>9158</v>
      </c>
      <c r="Q52" s="14" t="s">
        <v>9158</v>
      </c>
      <c r="R52" s="14" t="s">
        <v>14748</v>
      </c>
    </row>
    <row r="53" spans="1:18">
      <c r="A53" s="14">
        <v>86062</v>
      </c>
      <c r="B53" s="14" t="s">
        <v>334</v>
      </c>
      <c r="C53" s="14" t="s">
        <v>14</v>
      </c>
      <c r="D53" s="19" t="s">
        <v>10818</v>
      </c>
      <c r="E53" s="15" t="str">
        <f>HYPERLINK("https://stat100.ameba.jp/tnk47/ratio20/illustrations/card/ill_86062_uotchimeika02.jpg?202005-3-RELEASE-dice-469x", "■")</f>
        <v>■</v>
      </c>
      <c r="F53" s="14" t="s">
        <v>8368</v>
      </c>
      <c r="G53" s="14">
        <v>102356</v>
      </c>
      <c r="H53" s="14">
        <v>111115</v>
      </c>
      <c r="I53" s="14">
        <v>27</v>
      </c>
      <c r="J53" s="14" t="s">
        <v>173</v>
      </c>
      <c r="K53" s="14" t="s">
        <v>8367</v>
      </c>
      <c r="L53" s="14" t="s">
        <v>8366</v>
      </c>
      <c r="M53" s="14" t="s">
        <v>13131</v>
      </c>
      <c r="N53" s="14" t="s">
        <v>251</v>
      </c>
      <c r="O53" s="14" t="s">
        <v>9158</v>
      </c>
      <c r="P53" s="14" t="s">
        <v>9158</v>
      </c>
      <c r="Q53" s="14" t="s">
        <v>9158</v>
      </c>
      <c r="R53" s="14" t="s">
        <v>14748</v>
      </c>
    </row>
    <row r="54" spans="1:18">
      <c r="A54" s="14">
        <v>86061</v>
      </c>
      <c r="B54" s="14" t="s">
        <v>0</v>
      </c>
      <c r="C54" s="14" t="s">
        <v>14</v>
      </c>
      <c r="D54" s="19" t="s">
        <v>10818</v>
      </c>
      <c r="E54" s="15" t="str">
        <f>HYPERLINK("https://stat100.ameba.jp/tnk47/ratio20/illustrations/card/ill_86061_uotchimeika01.jpg?202005-3-RELEASE-dice-469x", "■")</f>
        <v>■</v>
      </c>
      <c r="F54" s="14" t="s">
        <v>8368</v>
      </c>
      <c r="G54" s="14">
        <v>78975</v>
      </c>
      <c r="H54" s="14">
        <v>84834</v>
      </c>
      <c r="I54" s="14">
        <v>27</v>
      </c>
      <c r="J54" s="14" t="s">
        <v>173</v>
      </c>
      <c r="K54" s="14" t="s">
        <v>8367</v>
      </c>
      <c r="L54" s="14" t="s">
        <v>8366</v>
      </c>
      <c r="M54" s="14" t="s">
        <v>13131</v>
      </c>
      <c r="N54" s="14" t="s">
        <v>251</v>
      </c>
      <c r="O54" s="14" t="s">
        <v>9158</v>
      </c>
      <c r="P54" s="14" t="s">
        <v>9158</v>
      </c>
      <c r="Q54" s="14" t="s">
        <v>9158</v>
      </c>
      <c r="R54" s="14" t="s">
        <v>14748</v>
      </c>
    </row>
    <row r="55" spans="1:18">
      <c r="A55" s="14">
        <v>86073</v>
      </c>
      <c r="B55" s="14" t="s">
        <v>334</v>
      </c>
      <c r="C55" s="14" t="s">
        <v>23</v>
      </c>
      <c r="D55" s="19" t="s">
        <v>10819</v>
      </c>
      <c r="E55" s="15" t="str">
        <f>HYPERLINK("https://stat100.ameba.jp/tnk47/ratio20/illustrations/card/ill_86073_maddohatta03.jpg?202005-3-RELEASE-dice-469x", "■")</f>
        <v>■</v>
      </c>
      <c r="F55" s="14" t="s">
        <v>8371</v>
      </c>
      <c r="G55" s="14">
        <v>123583</v>
      </c>
      <c r="H55" s="14">
        <v>132922</v>
      </c>
      <c r="I55" s="14">
        <v>27</v>
      </c>
      <c r="J55" s="14" t="s">
        <v>155</v>
      </c>
      <c r="K55" s="14" t="s">
        <v>8370</v>
      </c>
      <c r="L55" s="14" t="s">
        <v>8369</v>
      </c>
      <c r="M55" s="14" t="s">
        <v>13130</v>
      </c>
      <c r="N55" s="14" t="s">
        <v>343</v>
      </c>
      <c r="O55" s="14" t="s">
        <v>9158</v>
      </c>
      <c r="P55" s="14" t="s">
        <v>9158</v>
      </c>
      <c r="Q55" s="14" t="s">
        <v>9158</v>
      </c>
      <c r="R55" s="14" t="s">
        <v>14748</v>
      </c>
    </row>
    <row r="56" spans="1:18">
      <c r="A56" s="14">
        <v>86083</v>
      </c>
      <c r="B56" s="14" t="s">
        <v>334</v>
      </c>
      <c r="C56" s="14" t="s">
        <v>101</v>
      </c>
      <c r="D56" s="19" t="s">
        <v>10820</v>
      </c>
      <c r="E56" s="15" t="str">
        <f>HYPERLINK("https://stat100.ameba.jp/tnk47/ratio20/illustrations/card/ill_86083_keieinochojomeruro03.jpg?202005-3-RELEASE-dice-469x", "■")</f>
        <v>■</v>
      </c>
      <c r="F56" s="14" t="s">
        <v>8375</v>
      </c>
      <c r="G56" s="14">
        <v>132922</v>
      </c>
      <c r="H56" s="14">
        <v>123583</v>
      </c>
      <c r="I56" s="14">
        <v>27</v>
      </c>
      <c r="J56" s="14" t="s">
        <v>229</v>
      </c>
      <c r="K56" s="14" t="s">
        <v>8374</v>
      </c>
      <c r="L56" s="14" t="s">
        <v>8373</v>
      </c>
      <c r="M56" s="14" t="s">
        <v>13130</v>
      </c>
      <c r="N56" s="14" t="s">
        <v>343</v>
      </c>
      <c r="O56" s="14" t="s">
        <v>9158</v>
      </c>
      <c r="P56" s="14" t="s">
        <v>9158</v>
      </c>
      <c r="Q56" s="14" t="s">
        <v>9158</v>
      </c>
      <c r="R56" s="14" t="s">
        <v>14748</v>
      </c>
    </row>
    <row r="57" spans="1:18">
      <c r="A57" s="14">
        <v>86093</v>
      </c>
      <c r="B57" s="14" t="s">
        <v>0</v>
      </c>
      <c r="C57" s="14" t="s">
        <v>96</v>
      </c>
      <c r="D57" s="19" t="s">
        <v>10821</v>
      </c>
      <c r="E57" s="15" t="str">
        <f>HYPERLINK("https://stat100.ameba.jp/tnk47/ratio20/illustrations/card/ill_86093_minamotonoyoshimitsu03.jpg?202005-3-RELEASE-dice-469x", "■")</f>
        <v>■</v>
      </c>
      <c r="F57" s="14" t="s">
        <v>8379</v>
      </c>
      <c r="G57" s="14">
        <v>132922</v>
      </c>
      <c r="H57" s="14">
        <v>123583</v>
      </c>
      <c r="I57" s="14">
        <v>27</v>
      </c>
      <c r="J57" s="14" t="s">
        <v>194</v>
      </c>
      <c r="K57" s="14" t="s">
        <v>8377</v>
      </c>
      <c r="L57" s="14" t="s">
        <v>8376</v>
      </c>
      <c r="M57" s="14" t="s">
        <v>13130</v>
      </c>
      <c r="N57" s="14" t="s">
        <v>343</v>
      </c>
      <c r="O57" s="14" t="s">
        <v>9158</v>
      </c>
      <c r="P57" s="14" t="s">
        <v>9158</v>
      </c>
      <c r="Q57" s="14" t="s">
        <v>9158</v>
      </c>
      <c r="R57" s="14" t="s">
        <v>14748</v>
      </c>
    </row>
    <row r="58" spans="1:18">
      <c r="A58" s="14">
        <v>86103</v>
      </c>
      <c r="B58" s="14" t="s">
        <v>334</v>
      </c>
      <c r="C58" s="14" t="s">
        <v>205</v>
      </c>
      <c r="D58" s="19" t="s">
        <v>10822</v>
      </c>
      <c r="E58" s="15" t="str">
        <f>HYPERLINK("https://stat100.ameba.jp/tnk47/ratio20/illustrations/card/ill_86103_omatsudaimyojin03.jpg?202005-3-RELEASE-dice-469x", "■")</f>
        <v>■</v>
      </c>
      <c r="F58" s="14" t="s">
        <v>8383</v>
      </c>
      <c r="G58" s="14">
        <v>132922</v>
      </c>
      <c r="H58" s="14">
        <v>123583</v>
      </c>
      <c r="I58" s="14">
        <v>27</v>
      </c>
      <c r="J58" s="14" t="s">
        <v>169</v>
      </c>
      <c r="K58" s="14" t="s">
        <v>8381</v>
      </c>
      <c r="L58" s="14" t="s">
        <v>8380</v>
      </c>
      <c r="M58" s="14" t="s">
        <v>13130</v>
      </c>
      <c r="N58" s="14" t="s">
        <v>343</v>
      </c>
      <c r="O58" s="14" t="s">
        <v>9158</v>
      </c>
      <c r="P58" s="14" t="s">
        <v>9158</v>
      </c>
      <c r="Q58" s="14" t="s">
        <v>9158</v>
      </c>
      <c r="R58" s="14" t="s">
        <v>14748</v>
      </c>
    </row>
    <row r="59" spans="1:18">
      <c r="A59" s="14">
        <v>86113</v>
      </c>
      <c r="B59" s="14" t="s">
        <v>334</v>
      </c>
      <c r="C59" s="14" t="s">
        <v>107</v>
      </c>
      <c r="D59" s="19" t="s">
        <v>10823</v>
      </c>
      <c r="E59" s="15" t="str">
        <f>HYPERLINK("https://stat100.ameba.jp/tnk47/ratio20/illustrations/card/ill_86113_yuno03.jpg?202005-3-RELEASE-dice-469x", "■")</f>
        <v>■</v>
      </c>
      <c r="F59" s="14" t="s">
        <v>8387</v>
      </c>
      <c r="G59" s="14">
        <v>123583</v>
      </c>
      <c r="H59" s="14">
        <v>132922</v>
      </c>
      <c r="I59" s="14">
        <v>27</v>
      </c>
      <c r="J59" s="14" t="s">
        <v>159</v>
      </c>
      <c r="K59" s="14" t="s">
        <v>8385</v>
      </c>
      <c r="L59" s="14" t="s">
        <v>8384</v>
      </c>
      <c r="M59" s="14" t="s">
        <v>13130</v>
      </c>
      <c r="N59" s="14" t="s">
        <v>343</v>
      </c>
      <c r="O59" s="14" t="s">
        <v>9158</v>
      </c>
      <c r="P59" s="14" t="s">
        <v>9158</v>
      </c>
      <c r="Q59" s="14" t="s">
        <v>9158</v>
      </c>
      <c r="R59" s="14" t="s">
        <v>14748</v>
      </c>
    </row>
    <row r="61" spans="1:18">
      <c r="A61" s="14" t="s">
        <v>12588</v>
      </c>
    </row>
    <row r="62" spans="1:18">
      <c r="A62" s="14" t="s">
        <v>12590</v>
      </c>
    </row>
    <row r="63" spans="1:18">
      <c r="A63" s="14" t="s">
        <v>12589</v>
      </c>
    </row>
    <row r="64" spans="1:18">
      <c r="A64" s="14" t="s">
        <v>12532</v>
      </c>
      <c r="B64" s="7" t="s">
        <v>52</v>
      </c>
      <c r="C64" s="14" t="s">
        <v>202</v>
      </c>
      <c r="D64" s="18" t="s">
        <v>12528</v>
      </c>
      <c r="E64" s="15" t="str">
        <f>HYPERLINK("https://stat100.ameba.jp/tnk47/ratio20/illustrations/card/ill_89073_0_efuwanresuyokohamaserachan03.jpg?202005-3-RELEASE-dice-469x", "■")</f>
        <v>■</v>
      </c>
      <c r="F64" s="14" t="s">
        <v>12529</v>
      </c>
      <c r="G64" s="14">
        <v>296998</v>
      </c>
      <c r="H64" s="14">
        <v>328614</v>
      </c>
      <c r="I64" s="7">
        <v>27</v>
      </c>
      <c r="J64" s="14" t="s">
        <v>229</v>
      </c>
      <c r="K64" s="14" t="s">
        <v>12530</v>
      </c>
      <c r="L64" s="14" t="s">
        <v>12531</v>
      </c>
      <c r="M64" s="14" t="s">
        <v>9158</v>
      </c>
      <c r="N64" s="14" t="s">
        <v>9158</v>
      </c>
      <c r="O64" s="6" t="s">
        <v>12533</v>
      </c>
      <c r="P64" s="7" t="s">
        <v>12534</v>
      </c>
      <c r="Q64" s="7">
        <v>1</v>
      </c>
    </row>
    <row r="65" spans="1:17">
      <c r="A65" s="14">
        <v>89123</v>
      </c>
      <c r="B65" s="14" t="s">
        <v>334</v>
      </c>
      <c r="C65" s="14" t="s">
        <v>12592</v>
      </c>
      <c r="D65" s="14" t="s">
        <v>12591</v>
      </c>
      <c r="E65" s="15" t="str">
        <f>HYPERLINK("https://stat100.ameba.jp/tnk47/ratio20/illustrations/card/ill_89123_uchusensoyasharyujin03.jpg?202005-3-RELEASE-dice-469x", "■")</f>
        <v>■</v>
      </c>
      <c r="F65" s="14" t="s">
        <v>12596</v>
      </c>
      <c r="G65" s="14">
        <v>98019</v>
      </c>
      <c r="H65" s="14">
        <v>105465</v>
      </c>
      <c r="I65" s="7">
        <v>27</v>
      </c>
      <c r="J65" s="14" t="s">
        <v>12597</v>
      </c>
      <c r="K65" s="14" t="s">
        <v>12598</v>
      </c>
      <c r="L65" s="14" t="s">
        <v>12599</v>
      </c>
      <c r="M65" s="14" t="s">
        <v>9158</v>
      </c>
      <c r="N65" s="14" t="s">
        <v>9158</v>
      </c>
      <c r="O65" s="14" t="s">
        <v>9158</v>
      </c>
      <c r="P65" s="14" t="s">
        <v>9158</v>
      </c>
      <c r="Q65" s="14" t="s">
        <v>9158</v>
      </c>
    </row>
    <row r="66" spans="1:17">
      <c r="A66" s="14">
        <v>89133</v>
      </c>
      <c r="B66" s="14" t="s">
        <v>12593</v>
      </c>
      <c r="C66" s="14" t="s">
        <v>12601</v>
      </c>
      <c r="D66" s="14" t="s">
        <v>12600</v>
      </c>
      <c r="E66" s="15" t="str">
        <f>HYPERLINK("https://stat100.ameba.jp/tnk47/ratio20/illustrations/card/ill_89133_akiyamayoshifuru03.jpg?202005-3-RELEASE-dice-469x", "■")</f>
        <v>■</v>
      </c>
      <c r="F66" s="14" t="s">
        <v>12602</v>
      </c>
      <c r="G66" s="14">
        <v>80028</v>
      </c>
      <c r="H66" s="14">
        <v>72586</v>
      </c>
      <c r="I66" s="7">
        <v>27</v>
      </c>
      <c r="J66" s="14" t="s">
        <v>12603</v>
      </c>
      <c r="K66" s="14" t="s">
        <v>12604</v>
      </c>
      <c r="L66" s="14" t="s">
        <v>12605</v>
      </c>
      <c r="M66" s="14" t="s">
        <v>9158</v>
      </c>
      <c r="N66" s="14" t="s">
        <v>9158</v>
      </c>
      <c r="O66" s="14" t="s">
        <v>9158</v>
      </c>
      <c r="P66" s="14" t="s">
        <v>9158</v>
      </c>
      <c r="Q66" s="14" t="s">
        <v>9158</v>
      </c>
    </row>
    <row r="67" spans="1:17">
      <c r="A67" s="14">
        <v>89143</v>
      </c>
      <c r="B67" s="14" t="s">
        <v>12594</v>
      </c>
      <c r="C67" s="14" t="s">
        <v>12607</v>
      </c>
      <c r="D67" s="14" t="s">
        <v>12606</v>
      </c>
      <c r="E67" s="15" t="str">
        <f>HYPERLINK("https://stat100.ameba.jp/tnk47/ratio20/illustrations/card/ill_89143_andoroidopekerechupukamui03.jpg?202005-3-RELEASE-dice-469x", "■")</f>
        <v>■</v>
      </c>
      <c r="F67" s="14" t="s">
        <v>12608</v>
      </c>
      <c r="G67" s="14">
        <v>46676</v>
      </c>
      <c r="H67" s="14">
        <v>56138</v>
      </c>
      <c r="I67" s="7">
        <v>27</v>
      </c>
      <c r="J67" s="14" t="s">
        <v>12597</v>
      </c>
      <c r="K67" s="14" t="s">
        <v>12609</v>
      </c>
      <c r="L67" s="14" t="s">
        <v>12610</v>
      </c>
      <c r="M67" s="14" t="s">
        <v>9158</v>
      </c>
      <c r="N67" s="14" t="s">
        <v>9158</v>
      </c>
      <c r="O67" s="14" t="s">
        <v>9158</v>
      </c>
      <c r="P67" s="14" t="s">
        <v>9158</v>
      </c>
      <c r="Q67" s="14" t="s">
        <v>9158</v>
      </c>
    </row>
    <row r="68" spans="1:17">
      <c r="A68" s="14">
        <v>89153</v>
      </c>
      <c r="B68" s="14" t="s">
        <v>12595</v>
      </c>
      <c r="C68" s="14" t="s">
        <v>12613</v>
      </c>
      <c r="D68" s="23" t="s">
        <v>12611</v>
      </c>
      <c r="E68" s="15" t="str">
        <f>HYPERLINK("https://stat100.ameba.jp/tnk47/ratio20/illustrations/card/ill_89153_arutemisukameishoukin03.jpg?202005-3-RELEASE-dice-469x", "■")</f>
        <v>■</v>
      </c>
      <c r="F68" s="14" t="s">
        <v>12612</v>
      </c>
      <c r="G68" s="14">
        <v>33986</v>
      </c>
      <c r="H68" s="14">
        <v>28544</v>
      </c>
      <c r="I68" s="7">
        <v>27</v>
      </c>
      <c r="J68" s="14" t="s">
        <v>12615</v>
      </c>
      <c r="K68" s="14" t="s">
        <v>12614</v>
      </c>
      <c r="L68" s="14" t="s">
        <v>12616</v>
      </c>
      <c r="M68" s="14" t="s">
        <v>9158</v>
      </c>
      <c r="N68" s="14" t="s">
        <v>9158</v>
      </c>
      <c r="O68" s="14" t="s">
        <v>9158</v>
      </c>
      <c r="P68" s="14" t="s">
        <v>9158</v>
      </c>
      <c r="Q68" s="14" t="s">
        <v>9158</v>
      </c>
    </row>
    <row r="70" spans="1:17">
      <c r="A70" s="14" t="s">
        <v>12617</v>
      </c>
    </row>
    <row r="71" spans="1:17">
      <c r="A71" s="14" t="s">
        <v>12618</v>
      </c>
    </row>
    <row r="72" spans="1:17">
      <c r="A72" s="14" t="s">
        <v>5843</v>
      </c>
      <c r="B72" s="14" t="s">
        <v>52</v>
      </c>
      <c r="C72" s="14" t="s">
        <v>202</v>
      </c>
      <c r="D72" s="19" t="s">
        <v>10291</v>
      </c>
      <c r="E72" s="15" t="str">
        <f>HYPERLINK("https://stat100.ameba.jp/tnk47/ratio20/illustrations/card/ill_77963_0_kurisumasudaisakusentakiyashahime03.jpg?202005-3-RELEASE-dice-469x", "■")</f>
        <v>■</v>
      </c>
      <c r="F72" s="14" t="s">
        <v>2127</v>
      </c>
      <c r="G72" s="14">
        <v>307028</v>
      </c>
      <c r="H72" s="14">
        <v>277487</v>
      </c>
      <c r="I72" s="14">
        <v>25</v>
      </c>
      <c r="J72" s="14" t="s">
        <v>77</v>
      </c>
      <c r="K72" s="14" t="s">
        <v>2128</v>
      </c>
      <c r="L72" s="14" t="s">
        <v>2129</v>
      </c>
      <c r="M72" s="14" t="s">
        <v>9158</v>
      </c>
      <c r="N72" s="14" t="s">
        <v>9158</v>
      </c>
      <c r="O72" s="19" t="s">
        <v>10107</v>
      </c>
      <c r="P72" s="14" t="s">
        <v>3589</v>
      </c>
      <c r="Q72" s="14">
        <v>2</v>
      </c>
    </row>
    <row r="73" spans="1:17">
      <c r="A73" s="9">
        <v>86833</v>
      </c>
      <c r="B73" s="14" t="s">
        <v>0</v>
      </c>
      <c r="C73" s="9" t="s">
        <v>185</v>
      </c>
      <c r="D73" s="19" t="s">
        <v>12619</v>
      </c>
      <c r="E73" s="15" t="str">
        <f>HYPERLINK("https://stat100.ameba.jp/tnk47/ratio20/illustrations/card/ill_86833_chokonohidosankochan03.jpg?202005-3-RELEASE-dice-469x", "■")</f>
        <v>■</v>
      </c>
      <c r="F73" s="9" t="s">
        <v>9335</v>
      </c>
      <c r="G73" s="9">
        <v>94295</v>
      </c>
      <c r="H73" s="9">
        <v>101373</v>
      </c>
      <c r="I73" s="14">
        <v>25</v>
      </c>
      <c r="J73" s="9" t="s">
        <v>229</v>
      </c>
      <c r="K73" s="9" t="s">
        <v>9334</v>
      </c>
      <c r="L73" s="9" t="s">
        <v>9333</v>
      </c>
      <c r="M73" s="14" t="s">
        <v>9158</v>
      </c>
      <c r="N73" s="14" t="s">
        <v>9158</v>
      </c>
      <c r="O73" s="19" t="s">
        <v>2752</v>
      </c>
      <c r="P73" s="14" t="s">
        <v>13123</v>
      </c>
      <c r="Q73" s="14">
        <v>1</v>
      </c>
    </row>
    <row r="74" spans="1:17">
      <c r="A74" s="14">
        <v>80573</v>
      </c>
      <c r="B74" s="14" t="s">
        <v>334</v>
      </c>
      <c r="C74" s="14" t="s">
        <v>165</v>
      </c>
      <c r="D74" s="20" t="s">
        <v>10301</v>
      </c>
      <c r="E74" s="15" t="str">
        <f>HYPERLINK("https://stat100.ameba.jp/tnk47/ratio20/illustrations/card/ill_80573_ohanamigurampingusotorihime03.jpg?202005-3-RELEASE-dice-469x", "■")</f>
        <v>■</v>
      </c>
      <c r="F74" s="14" t="s">
        <v>4176</v>
      </c>
      <c r="G74" s="14">
        <v>114092</v>
      </c>
      <c r="H74" s="14">
        <v>105890</v>
      </c>
      <c r="I74" s="14">
        <v>25</v>
      </c>
      <c r="J74" s="14" t="s">
        <v>38</v>
      </c>
      <c r="K74" s="14" t="s">
        <v>4177</v>
      </c>
      <c r="L74" s="14" t="s">
        <v>4178</v>
      </c>
      <c r="M74" s="14" t="s">
        <v>9158</v>
      </c>
      <c r="N74" s="14" t="s">
        <v>9158</v>
      </c>
      <c r="O74" s="19" t="s">
        <v>10119</v>
      </c>
      <c r="P74" s="14" t="s">
        <v>3662</v>
      </c>
      <c r="Q74" s="14">
        <v>1</v>
      </c>
    </row>
    <row r="75" spans="1:17">
      <c r="A75" s="14">
        <v>82373</v>
      </c>
      <c r="B75" s="14" t="s">
        <v>334</v>
      </c>
      <c r="C75" s="14" t="s">
        <v>191</v>
      </c>
      <c r="D75" s="20" t="s">
        <v>10320</v>
      </c>
      <c r="E75" s="15" t="str">
        <f>HYPERLINK("https://stat100.ameba.jp/tnk47/ratio20/illustrations/card/ill_82373_bikinigaruyasharyujin03.jpg?202005-3-RELEASE-dice-469x", "■")</f>
        <v>■</v>
      </c>
      <c r="F75" s="14" t="s">
        <v>5397</v>
      </c>
      <c r="G75" s="14">
        <v>101971</v>
      </c>
      <c r="H75" s="14">
        <v>94802</v>
      </c>
      <c r="I75" s="14">
        <v>25</v>
      </c>
      <c r="J75" s="14" t="s">
        <v>44</v>
      </c>
      <c r="K75" s="14" t="s">
        <v>5398</v>
      </c>
      <c r="L75" s="14" t="s">
        <v>3356</v>
      </c>
      <c r="M75" s="14" t="s">
        <v>9158</v>
      </c>
      <c r="N75" s="14" t="s">
        <v>9158</v>
      </c>
      <c r="O75" s="19" t="s">
        <v>10070</v>
      </c>
      <c r="P75" s="14" t="s">
        <v>3579</v>
      </c>
      <c r="Q75" s="14">
        <v>1</v>
      </c>
    </row>
    <row r="77" spans="1:17">
      <c r="A77" s="14" t="s">
        <v>12620</v>
      </c>
    </row>
    <row r="78" spans="1:17">
      <c r="A78" s="14" t="s">
        <v>12625</v>
      </c>
    </row>
    <row r="79" spans="1:17">
      <c r="A79" s="14" t="s">
        <v>5609</v>
      </c>
      <c r="B79" s="14" t="s">
        <v>52</v>
      </c>
      <c r="C79" s="14" t="s">
        <v>200</v>
      </c>
      <c r="D79" s="19" t="s">
        <v>389</v>
      </c>
      <c r="E79" s="15" t="str">
        <f>HYPERLINK("https://stat100.ameba.jp/tnk47/ratio20/illustrations/card/ill_53753_0_natsumatsuritokugawaieyasu03.jpg?202005-3-RELEASE-dice-469x", "■")</f>
        <v>■</v>
      </c>
      <c r="F79" s="14" t="s">
        <v>902</v>
      </c>
      <c r="G79" s="14">
        <v>150776</v>
      </c>
      <c r="H79" s="14">
        <v>133938</v>
      </c>
      <c r="I79" s="14">
        <v>24</v>
      </c>
      <c r="J79" s="14" t="s">
        <v>194</v>
      </c>
      <c r="K79" s="14" t="s">
        <v>1714</v>
      </c>
      <c r="L79" s="14" t="s">
        <v>904</v>
      </c>
      <c r="M79" s="14" t="s">
        <v>9158</v>
      </c>
      <c r="N79" s="14" t="s">
        <v>9158</v>
      </c>
      <c r="O79" s="19" t="s">
        <v>10076</v>
      </c>
      <c r="P79" s="14" t="s">
        <v>13121</v>
      </c>
      <c r="Q79" s="14">
        <v>1</v>
      </c>
    </row>
    <row r="80" spans="1:17">
      <c r="A80" s="14" t="s">
        <v>5614</v>
      </c>
      <c r="B80" s="14" t="s">
        <v>330</v>
      </c>
      <c r="C80" s="14" t="s">
        <v>267</v>
      </c>
      <c r="D80" s="19" t="s">
        <v>313</v>
      </c>
      <c r="E80" s="15" t="str">
        <f>HYPERLINK("https://stat100.ameba.jp/tnk47/ratio20/illustrations/card/ill_56223_0_onsempanikkugohime03.jpg?202005-3-RELEASE-dice-469x", "■")</f>
        <v>■</v>
      </c>
      <c r="F80" s="14" t="s">
        <v>314</v>
      </c>
      <c r="G80" s="14">
        <v>133938</v>
      </c>
      <c r="H80" s="14">
        <v>150776</v>
      </c>
      <c r="I80" s="14">
        <v>24</v>
      </c>
      <c r="J80" s="14" t="s">
        <v>315</v>
      </c>
      <c r="K80" s="14" t="s">
        <v>316</v>
      </c>
      <c r="L80" s="14" t="s">
        <v>317</v>
      </c>
      <c r="M80" s="14" t="s">
        <v>9158</v>
      </c>
      <c r="N80" s="14" t="s">
        <v>9158</v>
      </c>
      <c r="O80" s="19" t="s">
        <v>3021</v>
      </c>
      <c r="P80" s="14" t="s">
        <v>2890</v>
      </c>
      <c r="Q80" s="14">
        <v>1</v>
      </c>
    </row>
    <row r="81" spans="1:17">
      <c r="A81" s="14" t="s">
        <v>5612</v>
      </c>
      <c r="B81" s="14" t="s">
        <v>52</v>
      </c>
      <c r="C81" s="14" t="s">
        <v>165</v>
      </c>
      <c r="D81" s="19" t="s">
        <v>789</v>
      </c>
      <c r="E81" s="15" t="str">
        <f>HYPERLINK("https://stat100.ameba.jp/tnk47/ratio20/illustrations/card/ill_49193_0_onmyoudouabenoseimei03.jpg?202005-3-RELEASE-dice-469x", "■")</f>
        <v>■</v>
      </c>
      <c r="F81" s="14" t="s">
        <v>1896</v>
      </c>
      <c r="G81" s="14">
        <v>133938</v>
      </c>
      <c r="H81" s="14">
        <v>150776</v>
      </c>
      <c r="I81" s="14">
        <v>24</v>
      </c>
      <c r="J81" s="14" t="s">
        <v>10</v>
      </c>
      <c r="K81" s="14" t="s">
        <v>1897</v>
      </c>
      <c r="L81" s="14" t="s">
        <v>1898</v>
      </c>
      <c r="M81" s="14" t="s">
        <v>9158</v>
      </c>
      <c r="N81" s="14" t="s">
        <v>9158</v>
      </c>
      <c r="O81" s="14" t="s">
        <v>9158</v>
      </c>
      <c r="P81" s="14" t="s">
        <v>9158</v>
      </c>
      <c r="Q81" s="14" t="s">
        <v>9158</v>
      </c>
    </row>
    <row r="82" spans="1:17">
      <c r="A82" s="14">
        <v>89123</v>
      </c>
      <c r="B82" s="14" t="s">
        <v>334</v>
      </c>
      <c r="C82" s="14" t="s">
        <v>101</v>
      </c>
      <c r="D82" s="14" t="s">
        <v>12591</v>
      </c>
      <c r="E82" s="15" t="str">
        <f>HYPERLINK("https://stat100.ameba.jp/tnk47/ratio20/illustrations/card/ill_89123_uchusensoyasharyujin03.jpg?202005-3-RELEASE-dice-469x", "■")</f>
        <v>■</v>
      </c>
      <c r="F82" s="14" t="s">
        <v>12596</v>
      </c>
      <c r="G82" s="14">
        <v>94390</v>
      </c>
      <c r="H82" s="14">
        <v>101558</v>
      </c>
      <c r="I82" s="7">
        <v>26</v>
      </c>
      <c r="J82" s="14" t="s">
        <v>44</v>
      </c>
      <c r="K82" s="14" t="s">
        <v>12598</v>
      </c>
      <c r="L82" s="14" t="s">
        <v>12599</v>
      </c>
      <c r="M82" s="14" t="s">
        <v>9158</v>
      </c>
      <c r="N82" s="14" t="s">
        <v>9158</v>
      </c>
      <c r="O82" s="14" t="s">
        <v>9158</v>
      </c>
      <c r="P82" s="14" t="s">
        <v>9158</v>
      </c>
      <c r="Q82" s="14" t="s">
        <v>9158</v>
      </c>
    </row>
    <row r="83" spans="1:17">
      <c r="A83" s="14">
        <v>89133</v>
      </c>
      <c r="B83" s="14" t="s">
        <v>15</v>
      </c>
      <c r="C83" s="14" t="s">
        <v>1</v>
      </c>
      <c r="D83" s="14" t="s">
        <v>12600</v>
      </c>
      <c r="E83" s="15" t="str">
        <f>HYPERLINK("https://stat100.ameba.jp/tnk47/ratio20/illustrations/card/ill_89133_akiyamayoshifuru03.jpg?202005-3-RELEASE-dice-469x", "■")</f>
        <v>■</v>
      </c>
      <c r="F83" s="14" t="s">
        <v>12602</v>
      </c>
      <c r="G83" s="14">
        <v>77064</v>
      </c>
      <c r="H83" s="14">
        <v>69898</v>
      </c>
      <c r="I83" s="7">
        <v>26</v>
      </c>
      <c r="J83" s="14" t="s">
        <v>143</v>
      </c>
      <c r="K83" s="14" t="s">
        <v>12604</v>
      </c>
      <c r="L83" s="14" t="s">
        <v>3524</v>
      </c>
      <c r="M83" s="14" t="s">
        <v>9158</v>
      </c>
      <c r="N83" s="14" t="s">
        <v>9158</v>
      </c>
      <c r="O83" s="14" t="s">
        <v>9158</v>
      </c>
      <c r="P83" s="14" t="s">
        <v>9158</v>
      </c>
      <c r="Q83" s="14" t="s">
        <v>9158</v>
      </c>
    </row>
    <row r="84" spans="1:17">
      <c r="A84" s="14">
        <v>89143</v>
      </c>
      <c r="B84" s="14" t="s">
        <v>22</v>
      </c>
      <c r="C84" s="14" t="s">
        <v>14</v>
      </c>
      <c r="D84" s="14" t="s">
        <v>12606</v>
      </c>
      <c r="E84" s="15" t="str">
        <f>HYPERLINK("https://stat100.ameba.jp/tnk47/ratio20/illustrations/card/ill_89143_andoroidopekerechupukamui03.jpg?202005-3-RELEASE-dice-469x", "■")</f>
        <v>■</v>
      </c>
      <c r="F84" s="14" t="s">
        <v>12608</v>
      </c>
      <c r="G84" s="14">
        <v>44948</v>
      </c>
      <c r="H84" s="14">
        <v>54058</v>
      </c>
      <c r="I84" s="7">
        <v>26</v>
      </c>
      <c r="J84" s="14" t="s">
        <v>44</v>
      </c>
      <c r="K84" s="14" t="s">
        <v>12609</v>
      </c>
      <c r="L84" s="14" t="s">
        <v>3780</v>
      </c>
      <c r="M84" s="14" t="s">
        <v>9158</v>
      </c>
      <c r="N84" s="14" t="s">
        <v>9158</v>
      </c>
      <c r="O84" s="14" t="s">
        <v>9158</v>
      </c>
      <c r="P84" s="14" t="s">
        <v>9158</v>
      </c>
      <c r="Q84" s="14" t="s">
        <v>9158</v>
      </c>
    </row>
    <row r="85" spans="1:17">
      <c r="A85" s="14">
        <v>89153</v>
      </c>
      <c r="B85" s="14" t="s">
        <v>30</v>
      </c>
      <c r="C85" s="14" t="s">
        <v>12613</v>
      </c>
      <c r="D85" s="23" t="s">
        <v>12611</v>
      </c>
      <c r="E85" s="15" t="str">
        <f>HYPERLINK("https://stat100.ameba.jp/tnk47/ratio20/illustrations/card/ill_89153_arutemisukameishoukin03.jpg?202005-3-RELEASE-dice-469x", "■")</f>
        <v>■</v>
      </c>
      <c r="F85" s="14" t="s">
        <v>12612</v>
      </c>
      <c r="G85" s="14">
        <v>32728</v>
      </c>
      <c r="H85" s="14">
        <v>27486</v>
      </c>
      <c r="I85" s="7">
        <v>26</v>
      </c>
      <c r="J85" s="14" t="s">
        <v>16</v>
      </c>
      <c r="K85" s="14" t="s">
        <v>12614</v>
      </c>
      <c r="L85" s="14" t="s">
        <v>4233</v>
      </c>
      <c r="M85" s="14" t="s">
        <v>9158</v>
      </c>
      <c r="N85" s="14" t="s">
        <v>9158</v>
      </c>
      <c r="O85" s="14" t="s">
        <v>9158</v>
      </c>
      <c r="P85" s="14" t="s">
        <v>9158</v>
      </c>
      <c r="Q85" s="14" t="s">
        <v>9158</v>
      </c>
    </row>
    <row r="87" spans="1:17">
      <c r="A87" s="14" t="s">
        <v>12621</v>
      </c>
    </row>
    <row r="88" spans="1:17">
      <c r="A88" s="14" t="s">
        <v>12624</v>
      </c>
    </row>
    <row r="89" spans="1:17">
      <c r="A89" s="9" t="s">
        <v>9325</v>
      </c>
      <c r="B89" s="7" t="s">
        <v>52</v>
      </c>
      <c r="C89" s="9" t="s">
        <v>202</v>
      </c>
      <c r="D89" s="19" t="s">
        <v>10947</v>
      </c>
      <c r="E89" s="15" t="str">
        <f>HYPERLINK("https://stat100.ameba.jp/tnk47/ratio20/illustrations/card/ill_86893_0_chokonohisukeban03.jpg?202005-3-RELEASE-dice-469x", "■")</f>
        <v>■</v>
      </c>
      <c r="F89" s="14" t="s">
        <v>9332</v>
      </c>
      <c r="G89" s="9">
        <v>351727</v>
      </c>
      <c r="H89" s="9">
        <v>317873</v>
      </c>
      <c r="I89" s="7">
        <v>27</v>
      </c>
      <c r="J89" s="9" t="s">
        <v>187</v>
      </c>
      <c r="K89" s="14" t="s">
        <v>9330</v>
      </c>
      <c r="L89" s="14" t="s">
        <v>9331</v>
      </c>
      <c r="M89" s="14" t="s">
        <v>9158</v>
      </c>
      <c r="N89" s="14" t="s">
        <v>9158</v>
      </c>
      <c r="O89" s="19" t="s">
        <v>10136</v>
      </c>
      <c r="P89" s="7" t="s">
        <v>9324</v>
      </c>
      <c r="Q89" s="7">
        <v>1</v>
      </c>
    </row>
    <row r="90" spans="1:17">
      <c r="A90" s="14" t="s">
        <v>5601</v>
      </c>
      <c r="B90" s="14" t="s">
        <v>330</v>
      </c>
      <c r="C90" s="14" t="s">
        <v>35</v>
      </c>
      <c r="D90" s="19" t="s">
        <v>10318</v>
      </c>
      <c r="E90" s="15" t="str">
        <f>HYPERLINK("https://stat100.ameba.jp/tnk47/ratio20/illustrations/card/ill_82423_0_bikinigarukishi03.jpg?202005-3-RELEASE-dice-469x", "■")</f>
        <v>■</v>
      </c>
      <c r="F90" s="14" t="s">
        <v>5391</v>
      </c>
      <c r="G90" s="14">
        <v>326924</v>
      </c>
      <c r="H90" s="14">
        <v>295479</v>
      </c>
      <c r="I90" s="14">
        <v>27</v>
      </c>
      <c r="J90" s="14" t="s">
        <v>77</v>
      </c>
      <c r="K90" s="14" t="s">
        <v>5392</v>
      </c>
      <c r="L90" s="14" t="s">
        <v>5393</v>
      </c>
      <c r="M90" s="14" t="s">
        <v>9158</v>
      </c>
      <c r="N90" s="14" t="s">
        <v>9158</v>
      </c>
      <c r="O90" s="19" t="s">
        <v>10069</v>
      </c>
      <c r="P90" s="14" t="s">
        <v>5394</v>
      </c>
      <c r="Q90" s="14">
        <v>1</v>
      </c>
    </row>
    <row r="91" spans="1:17">
      <c r="A91" s="14" t="s">
        <v>5616</v>
      </c>
      <c r="B91" s="14" t="s">
        <v>52</v>
      </c>
      <c r="C91" s="14" t="s">
        <v>14</v>
      </c>
      <c r="D91" s="20" t="s">
        <v>638</v>
      </c>
      <c r="E91" s="15" t="str">
        <f>HYPERLINK("https://stat100.ameba.jp/tnk47/ratio20/illustrations/card/ill_44253_0_dokuganryudatemasamune03.jpg?202005-3-RELEASE-dice-469x", "■")</f>
        <v>■</v>
      </c>
      <c r="F91" s="14" t="s">
        <v>1181</v>
      </c>
      <c r="G91" s="14">
        <v>142500</v>
      </c>
      <c r="H91" s="14">
        <v>152152</v>
      </c>
      <c r="I91" s="14">
        <v>26</v>
      </c>
      <c r="J91" s="14" t="s">
        <v>143</v>
      </c>
      <c r="K91" s="14" t="s">
        <v>1182</v>
      </c>
      <c r="L91" s="14" t="s">
        <v>1183</v>
      </c>
      <c r="M91" s="14" t="s">
        <v>9158</v>
      </c>
      <c r="N91" s="14" t="s">
        <v>9158</v>
      </c>
      <c r="O91" s="14" t="s">
        <v>9158</v>
      </c>
      <c r="P91" s="14" t="s">
        <v>9158</v>
      </c>
      <c r="Q91" s="14" t="s">
        <v>9158</v>
      </c>
    </row>
    <row r="92" spans="1:17">
      <c r="A92" s="14">
        <v>81903</v>
      </c>
      <c r="B92" s="14" t="s">
        <v>334</v>
      </c>
      <c r="C92" s="14" t="s">
        <v>47</v>
      </c>
      <c r="D92" s="20" t="s">
        <v>10200</v>
      </c>
      <c r="E92" s="15" t="str">
        <f>HYPERLINK("https://stat100.ameba.jp/tnk47/ratio20/illustrations/card/ill_81903_kiryuhimeiren03.jpg?202005-3-RELEASE-dice-469x", "■")</f>
        <v>■</v>
      </c>
      <c r="F92" s="14" t="s">
        <v>4983</v>
      </c>
      <c r="G92" s="14">
        <v>85962</v>
      </c>
      <c r="H92" s="14">
        <v>118684</v>
      </c>
      <c r="I92" s="14">
        <v>26</v>
      </c>
      <c r="J92" s="14" t="s">
        <v>77</v>
      </c>
      <c r="K92" s="14" t="s">
        <v>4985</v>
      </c>
      <c r="L92" s="14" t="s">
        <v>4986</v>
      </c>
      <c r="M92" s="14" t="s">
        <v>9158</v>
      </c>
      <c r="N92" s="14" t="s">
        <v>9158</v>
      </c>
      <c r="O92" s="19" t="s">
        <v>10112</v>
      </c>
      <c r="P92" s="14" t="s">
        <v>13150</v>
      </c>
      <c r="Q92" s="14">
        <v>1</v>
      </c>
    </row>
    <row r="93" spans="1:17">
      <c r="A93" s="7">
        <v>85653</v>
      </c>
      <c r="B93" s="7" t="s">
        <v>0</v>
      </c>
      <c r="C93" s="14" t="s">
        <v>158</v>
      </c>
      <c r="D93" s="20" t="s">
        <v>10846</v>
      </c>
      <c r="E93" s="15" t="str">
        <f>HYPERLINK("https://stat100.ameba.jp/tnk47/ratio20/illustrations/card/ill_85653_onashiefumizuno03.jpg?202005-3-RELEASE-dice-469x", "■")</f>
        <v>■</v>
      </c>
      <c r="F93" s="7" t="s">
        <v>8587</v>
      </c>
      <c r="G93" s="7">
        <v>99532</v>
      </c>
      <c r="H93" s="7">
        <v>137430</v>
      </c>
      <c r="I93" s="7">
        <v>26</v>
      </c>
      <c r="J93" s="7" t="s">
        <v>216</v>
      </c>
      <c r="K93" s="7" t="s">
        <v>8586</v>
      </c>
      <c r="L93" s="7" t="s">
        <v>131</v>
      </c>
      <c r="M93" s="14" t="s">
        <v>9158</v>
      </c>
      <c r="N93" s="14" t="s">
        <v>9158</v>
      </c>
      <c r="O93" s="19" t="s">
        <v>4074</v>
      </c>
      <c r="P93" s="14" t="s">
        <v>3462</v>
      </c>
      <c r="Q93" s="14">
        <v>1</v>
      </c>
    </row>
    <row r="94" spans="1:17">
      <c r="A94" s="14">
        <v>66353</v>
      </c>
      <c r="B94" s="14" t="s">
        <v>0</v>
      </c>
      <c r="C94" s="14" t="s">
        <v>41</v>
      </c>
      <c r="D94" s="14" t="s">
        <v>141</v>
      </c>
      <c r="E94" s="15" t="str">
        <f>HYPERLINK("https://stat100.ameba.jp/tnk47/ratio20/illustrations/card/ill_66353_kajiwaranyudotoan03.jpg?202005-3-RELEASE-dice-469x", "■")</f>
        <v>■</v>
      </c>
      <c r="F94" s="14" t="s">
        <v>142</v>
      </c>
      <c r="G94" s="14">
        <v>172982</v>
      </c>
      <c r="H94" s="14">
        <v>125296</v>
      </c>
      <c r="I94" s="7">
        <v>26</v>
      </c>
      <c r="J94" s="14" t="s">
        <v>143</v>
      </c>
      <c r="K94" s="14" t="s">
        <v>144</v>
      </c>
      <c r="L94" s="14" t="s">
        <v>145</v>
      </c>
      <c r="M94" s="14" t="s">
        <v>9158</v>
      </c>
      <c r="N94" s="14" t="s">
        <v>9158</v>
      </c>
      <c r="O94" s="17" t="s">
        <v>10054</v>
      </c>
      <c r="P94" s="14" t="s">
        <v>3672</v>
      </c>
      <c r="Q94" s="14">
        <v>1</v>
      </c>
    </row>
    <row r="95" spans="1:17">
      <c r="A95" s="14">
        <v>81313</v>
      </c>
      <c r="B95" s="14" t="s">
        <v>0</v>
      </c>
      <c r="C95" s="14" t="s">
        <v>154</v>
      </c>
      <c r="D95" s="20" t="s">
        <v>10511</v>
      </c>
      <c r="E95" s="15" t="str">
        <f>HYPERLINK("https://stat100.ameba.jp/tnk47/ratio20/illustrations/card/ill_81313_harihara03.jpg?202005-3-RELEASE-dice-469x", "■")</f>
        <v>■</v>
      </c>
      <c r="F95" s="14" t="s">
        <v>4667</v>
      </c>
      <c r="G95" s="14">
        <v>172982</v>
      </c>
      <c r="H95" s="14">
        <v>125296</v>
      </c>
      <c r="I95" s="14">
        <v>26</v>
      </c>
      <c r="J95" s="14" t="s">
        <v>44</v>
      </c>
      <c r="K95" s="14" t="s">
        <v>4668</v>
      </c>
      <c r="L95" s="14" t="s">
        <v>4669</v>
      </c>
      <c r="M95" s="14" t="s">
        <v>9158</v>
      </c>
      <c r="N95" s="14" t="s">
        <v>9158</v>
      </c>
      <c r="O95" s="19" t="s">
        <v>10114</v>
      </c>
      <c r="P95" s="14" t="s">
        <v>3658</v>
      </c>
      <c r="Q95" s="14">
        <v>1</v>
      </c>
    </row>
    <row r="96" spans="1:17">
      <c r="A96" s="9">
        <v>68693</v>
      </c>
      <c r="B96" s="14" t="s">
        <v>334</v>
      </c>
      <c r="C96" s="14" t="s">
        <v>154</v>
      </c>
      <c r="D96" s="14" t="s">
        <v>3465</v>
      </c>
      <c r="E96" s="15" t="str">
        <f>HYPERLINK("https://stat100.ameba.jp/tnk47/ratio20/illustrations/card/ill_68693_mayoiga03.jpg?202005-3-RELEASE-dice-469x", "■")</f>
        <v>■</v>
      </c>
      <c r="F96" s="14" t="s">
        <v>3466</v>
      </c>
      <c r="G96" s="14">
        <v>137430</v>
      </c>
      <c r="H96" s="14">
        <v>99532</v>
      </c>
      <c r="I96" s="14">
        <v>26</v>
      </c>
      <c r="J96" s="14" t="s">
        <v>73</v>
      </c>
      <c r="K96" s="14" t="s">
        <v>3467</v>
      </c>
      <c r="L96" s="14" t="s">
        <v>3468</v>
      </c>
      <c r="M96" s="14" t="s">
        <v>9158</v>
      </c>
      <c r="N96" s="14" t="s">
        <v>9158</v>
      </c>
      <c r="O96" s="7" t="s">
        <v>3469</v>
      </c>
      <c r="P96" s="14" t="s">
        <v>13128</v>
      </c>
      <c r="Q96" s="14">
        <v>1</v>
      </c>
    </row>
    <row r="97" spans="1:17">
      <c r="A97" s="14">
        <v>52083</v>
      </c>
      <c r="B97" s="14" t="s">
        <v>0</v>
      </c>
      <c r="C97" s="14" t="s">
        <v>158</v>
      </c>
      <c r="D97" s="20" t="s">
        <v>2913</v>
      </c>
      <c r="E97" s="15" t="str">
        <f>HYPERLINK("https://stat100.ameba.jp/tnk47/ratio20/illustrations/card/ill_52083_berubetto03.jpg?202005-3-RELEASE-dice-469x", "■")</f>
        <v>■</v>
      </c>
      <c r="F97" s="14" t="s">
        <v>944</v>
      </c>
      <c r="G97" s="14">
        <v>89584</v>
      </c>
      <c r="H97" s="14">
        <v>123674</v>
      </c>
      <c r="I97" s="14">
        <v>26</v>
      </c>
      <c r="J97" s="14" t="s">
        <v>26</v>
      </c>
      <c r="K97" s="14" t="s">
        <v>1864</v>
      </c>
      <c r="L97" s="14" t="s">
        <v>1865</v>
      </c>
      <c r="M97" s="14" t="s">
        <v>9158</v>
      </c>
      <c r="N97" s="14" t="s">
        <v>9158</v>
      </c>
      <c r="O97" s="19" t="s">
        <v>2917</v>
      </c>
      <c r="P97" s="14" t="s">
        <v>2918</v>
      </c>
      <c r="Q97" s="14">
        <v>1</v>
      </c>
    </row>
    <row r="99" spans="1:17">
      <c r="A99" s="14" t="s">
        <v>12622</v>
      </c>
    </row>
    <row r="100" spans="1:17">
      <c r="A100" s="14" t="s">
        <v>12623</v>
      </c>
    </row>
    <row r="101" spans="1:17">
      <c r="A101" s="9" t="s">
        <v>5642</v>
      </c>
      <c r="B101" s="14" t="s">
        <v>52</v>
      </c>
      <c r="C101" s="14" t="s">
        <v>185</v>
      </c>
      <c r="D101" s="14" t="s">
        <v>2430</v>
      </c>
      <c r="E101" s="15" t="str">
        <f>HYPERLINK("https://stat100.ameba.jp/tnk47/ratio20/illustrations/card/ill_69593_0_setsubunyukionna03.jpg?202005-3-RELEASE-dice-469x", "■")</f>
        <v>■</v>
      </c>
      <c r="F101" s="14" t="s">
        <v>2431</v>
      </c>
      <c r="G101" s="14">
        <v>157150</v>
      </c>
      <c r="H101" s="14">
        <v>169032</v>
      </c>
      <c r="I101" s="14">
        <v>22</v>
      </c>
      <c r="J101" s="14" t="s">
        <v>73</v>
      </c>
      <c r="K101" s="14" t="s">
        <v>2432</v>
      </c>
      <c r="L101" s="14" t="s">
        <v>2433</v>
      </c>
      <c r="M101" s="14" t="s">
        <v>9158</v>
      </c>
      <c r="N101" s="14" t="s">
        <v>9158</v>
      </c>
      <c r="O101" s="9" t="s">
        <v>3599</v>
      </c>
      <c r="P101" s="14" t="s">
        <v>3600</v>
      </c>
      <c r="Q101" s="14">
        <v>2</v>
      </c>
    </row>
    <row r="102" spans="1:17">
      <c r="A102" s="14" t="s">
        <v>5606</v>
      </c>
      <c r="B102" s="14" t="s">
        <v>52</v>
      </c>
      <c r="C102" s="14" t="s">
        <v>206</v>
      </c>
      <c r="D102" s="19" t="s">
        <v>2936</v>
      </c>
      <c r="E102" s="15" t="str">
        <f>HYPERLINK("https://stat100.ameba.jp/tnk47/ratio20/illustrations/card/ill_72233_0_koinoboriryugujin03.jpg?202005-3-RELEASE-dice-469x", "■")</f>
        <v>■</v>
      </c>
      <c r="F102" s="14" t="s">
        <v>1012</v>
      </c>
      <c r="G102" s="14">
        <v>144312</v>
      </c>
      <c r="H102" s="14">
        <v>155224</v>
      </c>
      <c r="I102" s="14">
        <v>22</v>
      </c>
      <c r="J102" s="14" t="s">
        <v>44</v>
      </c>
      <c r="K102" s="14" t="s">
        <v>1013</v>
      </c>
      <c r="L102" s="14" t="s">
        <v>1014</v>
      </c>
      <c r="M102" s="14" t="s">
        <v>9158</v>
      </c>
      <c r="N102" s="14" t="s">
        <v>9158</v>
      </c>
      <c r="O102" s="7" t="s">
        <v>3419</v>
      </c>
      <c r="P102" s="14" t="s">
        <v>3420</v>
      </c>
      <c r="Q102" s="14">
        <v>2</v>
      </c>
    </row>
    <row r="103" spans="1:17">
      <c r="A103" s="14" t="s">
        <v>9473</v>
      </c>
      <c r="B103" s="14" t="s">
        <v>330</v>
      </c>
      <c r="C103" s="14" t="s">
        <v>191</v>
      </c>
      <c r="D103" s="19" t="s">
        <v>393</v>
      </c>
      <c r="E103" s="15" t="str">
        <f>HYPERLINK("https://stat100.ameba.jp/tnk47/ratio20/illustrations/card/ill_46283_0_odanobunaga03.jpg?202005-3-RELEASE-dice-469x", "■")</f>
        <v>■</v>
      </c>
      <c r="F103" s="14" t="s">
        <v>1073</v>
      </c>
      <c r="G103" s="14">
        <v>120576</v>
      </c>
      <c r="H103" s="14">
        <v>128744</v>
      </c>
      <c r="I103" s="14">
        <v>22</v>
      </c>
      <c r="J103" s="14" t="s">
        <v>143</v>
      </c>
      <c r="K103" s="14" t="s">
        <v>1074</v>
      </c>
      <c r="L103" s="14" t="s">
        <v>1075</v>
      </c>
      <c r="M103" s="14" t="s">
        <v>9158</v>
      </c>
      <c r="N103" s="14" t="s">
        <v>9158</v>
      </c>
      <c r="O103" s="9" t="s">
        <v>9158</v>
      </c>
      <c r="P103" s="14" t="s">
        <v>9158</v>
      </c>
      <c r="Q103" s="14" t="s">
        <v>9158</v>
      </c>
    </row>
    <row r="104" spans="1:17">
      <c r="A104" s="14">
        <v>78463</v>
      </c>
      <c r="B104" s="14" t="s">
        <v>334</v>
      </c>
      <c r="C104" s="14" t="s">
        <v>191</v>
      </c>
      <c r="D104" s="20" t="s">
        <v>10611</v>
      </c>
      <c r="E104" s="15" t="str">
        <f>HYPERLINK("https://stat100.ameba.jp/tnk47/ratio20/illustrations/card/ill_78463_dobutsunoshimatakuhatachijihime03.jpg?202005-3-RELEASE-dice-469x", "■")</f>
        <v>■</v>
      </c>
      <c r="F104" s="14" t="s">
        <v>2592</v>
      </c>
      <c r="G104" s="14">
        <v>73678</v>
      </c>
      <c r="H104" s="14">
        <v>130968</v>
      </c>
      <c r="I104" s="14">
        <v>26</v>
      </c>
      <c r="J104" s="14" t="s">
        <v>169</v>
      </c>
      <c r="K104" s="14" t="s">
        <v>2593</v>
      </c>
      <c r="L104" s="14" t="s">
        <v>1209</v>
      </c>
      <c r="M104" s="14" t="s">
        <v>9158</v>
      </c>
      <c r="N104" s="14" t="s">
        <v>9158</v>
      </c>
      <c r="O104" s="14" t="s">
        <v>9158</v>
      </c>
      <c r="P104" s="14" t="s">
        <v>9158</v>
      </c>
      <c r="Q104" s="14" t="s">
        <v>9158</v>
      </c>
    </row>
    <row r="105" spans="1:17">
      <c r="A105" s="14">
        <v>73513</v>
      </c>
      <c r="B105" s="14" t="s">
        <v>0</v>
      </c>
      <c r="C105" s="14" t="s">
        <v>206</v>
      </c>
      <c r="D105" s="20" t="s">
        <v>10722</v>
      </c>
      <c r="E105" s="15" t="str">
        <f>HYPERLINK("https://stat100.ameba.jp/tnk47/ratio20/illustrations/card/ill_73513_shimazutokiwa03.jpg?202005-3-RELEASE-dice-469x", "■")</f>
        <v>■</v>
      </c>
      <c r="F105" s="14" t="s">
        <v>4083</v>
      </c>
      <c r="G105" s="14">
        <v>70556</v>
      </c>
      <c r="H105" s="14">
        <v>125392</v>
      </c>
      <c r="I105" s="14">
        <v>26</v>
      </c>
      <c r="J105" s="14" t="s">
        <v>77</v>
      </c>
      <c r="K105" s="14" t="s">
        <v>4084</v>
      </c>
      <c r="L105" s="14" t="s">
        <v>969</v>
      </c>
      <c r="M105" s="14" t="s">
        <v>9158</v>
      </c>
      <c r="N105" s="14" t="s">
        <v>9158</v>
      </c>
      <c r="O105" s="14" t="s">
        <v>9158</v>
      </c>
      <c r="P105" s="14" t="s">
        <v>9158</v>
      </c>
      <c r="Q105" s="14" t="s">
        <v>9158</v>
      </c>
    </row>
    <row r="106" spans="1:17">
      <c r="A106" s="7">
        <v>85123</v>
      </c>
      <c r="B106" s="7" t="s">
        <v>0</v>
      </c>
      <c r="C106" s="7" t="s">
        <v>205</v>
      </c>
      <c r="D106" s="19" t="s">
        <v>10761</v>
      </c>
      <c r="E106" s="15" t="str">
        <f>HYPERLINK("https://stat100.ameba.jp/tnk47/ratio20/illustrations/card/ill_85123_burabankatsurakogoro03.jpg?202005-3-RELEASE-dice-469x", "■")</f>
        <v>■</v>
      </c>
      <c r="F106" s="7" t="s">
        <v>7904</v>
      </c>
      <c r="G106" s="7">
        <v>98594</v>
      </c>
      <c r="H106" s="7">
        <v>106050</v>
      </c>
      <c r="I106" s="14">
        <v>26</v>
      </c>
      <c r="J106" s="7" t="s">
        <v>173</v>
      </c>
      <c r="K106" s="7" t="s">
        <v>7903</v>
      </c>
      <c r="L106" s="7" t="s">
        <v>7902</v>
      </c>
      <c r="M106" s="14" t="s">
        <v>9158</v>
      </c>
      <c r="N106" s="14" t="s">
        <v>9158</v>
      </c>
      <c r="O106" s="14" t="s">
        <v>9158</v>
      </c>
      <c r="P106" s="14" t="s">
        <v>9158</v>
      </c>
      <c r="Q106" s="14" t="s">
        <v>9158</v>
      </c>
    </row>
    <row r="108" spans="1:17">
      <c r="A108" s="14" t="s">
        <v>12626</v>
      </c>
    </row>
    <row r="109" spans="1:17">
      <c r="A109" s="14" t="s">
        <v>12627</v>
      </c>
    </row>
    <row r="110" spans="1:17">
      <c r="A110" s="14" t="s">
        <v>5963</v>
      </c>
      <c r="B110" s="14" t="s">
        <v>330</v>
      </c>
      <c r="C110" s="14" t="s">
        <v>35</v>
      </c>
      <c r="D110" s="20" t="s">
        <v>10438</v>
      </c>
      <c r="E110" s="15" t="str">
        <f>HYPERLINK("https://stat100.ameba.jp/tnk47/ratio20/illustrations/card/ill_82963_0_yukatamatsuritomokazuki03.jpg?202005-3-RELEASE-dice-469x", "■")</f>
        <v>■</v>
      </c>
      <c r="F110" s="14" t="s">
        <v>5964</v>
      </c>
      <c r="G110" s="14">
        <v>297801</v>
      </c>
      <c r="H110" s="14">
        <v>329511</v>
      </c>
      <c r="I110" s="14">
        <v>25</v>
      </c>
      <c r="J110" s="14" t="s">
        <v>73</v>
      </c>
      <c r="K110" s="14" t="s">
        <v>5966</v>
      </c>
      <c r="L110" s="14" t="s">
        <v>5967</v>
      </c>
      <c r="M110" s="14" t="s">
        <v>9158</v>
      </c>
      <c r="N110" s="14" t="s">
        <v>9158</v>
      </c>
      <c r="O110" s="19" t="s">
        <v>10115</v>
      </c>
      <c r="P110" s="14" t="s">
        <v>5968</v>
      </c>
      <c r="Q110" s="14">
        <v>1</v>
      </c>
    </row>
    <row r="111" spans="1:17">
      <c r="A111" s="14">
        <v>80743</v>
      </c>
      <c r="B111" s="14" t="s">
        <v>0</v>
      </c>
      <c r="C111" s="14" t="s">
        <v>209</v>
      </c>
      <c r="D111" s="20" t="s">
        <v>10414</v>
      </c>
      <c r="E111" s="15" t="str">
        <f>HYPERLINK("https://stat100.ameba.jp/tnk47/ratio20/illustrations/card/ill_80743_senseijutsushi03.jpg?202005-3-RELEASE-dice-469x", "■")</f>
        <v>■</v>
      </c>
      <c r="F111" s="14" t="s">
        <v>4249</v>
      </c>
      <c r="G111" s="14">
        <v>75984</v>
      </c>
      <c r="H111" s="14">
        <v>104890</v>
      </c>
      <c r="I111" s="14">
        <v>24</v>
      </c>
      <c r="J111" s="14" t="s">
        <v>16</v>
      </c>
      <c r="K111" s="14" t="s">
        <v>4250</v>
      </c>
      <c r="L111" s="14" t="s">
        <v>4251</v>
      </c>
      <c r="M111" s="14" t="s">
        <v>9158</v>
      </c>
      <c r="N111" s="14" t="s">
        <v>9158</v>
      </c>
      <c r="O111" s="19" t="s">
        <v>10109</v>
      </c>
      <c r="P111" s="14" t="s">
        <v>3625</v>
      </c>
      <c r="Q111" s="14">
        <v>1</v>
      </c>
    </row>
    <row r="112" spans="1:17">
      <c r="A112" s="14">
        <v>77673</v>
      </c>
      <c r="B112" s="14" t="s">
        <v>334</v>
      </c>
      <c r="C112" s="14" t="s">
        <v>158</v>
      </c>
      <c r="D112" s="20" t="s">
        <v>10270</v>
      </c>
      <c r="E112" s="15" t="str">
        <f>HYPERLINK("https://stat100.ameba.jp/tnk47/ratio20/illustrations/card/ill_77673_ryunochoji03.jpg?202005-3-RELEASE-dice-469x", "■")</f>
        <v>■</v>
      </c>
      <c r="F112" s="14" t="s">
        <v>1777</v>
      </c>
      <c r="G112" s="14">
        <v>111914</v>
      </c>
      <c r="H112" s="14">
        <v>81078</v>
      </c>
      <c r="I112" s="14">
        <v>24</v>
      </c>
      <c r="J112" s="14" t="s">
        <v>73</v>
      </c>
      <c r="K112" s="14" t="s">
        <v>1778</v>
      </c>
      <c r="L112" s="14" t="s">
        <v>1779</v>
      </c>
      <c r="M112" s="14" t="s">
        <v>9158</v>
      </c>
      <c r="N112" s="14" t="s">
        <v>9158</v>
      </c>
      <c r="O112" s="19" t="s">
        <v>10090</v>
      </c>
      <c r="P112" s="14" t="s">
        <v>3460</v>
      </c>
      <c r="Q112" s="14">
        <v>1</v>
      </c>
    </row>
    <row r="113" spans="1:17">
      <c r="A113" s="14">
        <v>78123</v>
      </c>
      <c r="B113" s="14" t="s">
        <v>334</v>
      </c>
      <c r="C113" s="14" t="s">
        <v>209</v>
      </c>
      <c r="D113" s="6" t="s">
        <v>10010</v>
      </c>
      <c r="E113" s="15" t="str">
        <f>HYPERLINK("https://stat100.ameba.jp/tnk47/ratio20/illustrations/card/ill_78123_madannoteirusorushieru03.jpg?202005-3-RELEASE-dice-469x", "■")</f>
        <v>■</v>
      </c>
      <c r="F113" s="14" t="s">
        <v>3024</v>
      </c>
      <c r="G113" s="14">
        <v>159674</v>
      </c>
      <c r="H113" s="14">
        <v>115656</v>
      </c>
      <c r="I113" s="14">
        <v>24</v>
      </c>
      <c r="J113" s="14" t="s">
        <v>310</v>
      </c>
      <c r="K113" s="14" t="s">
        <v>3025</v>
      </c>
      <c r="L113" s="14" t="s">
        <v>443</v>
      </c>
      <c r="M113" s="14" t="s">
        <v>9158</v>
      </c>
      <c r="N113" s="14" t="s">
        <v>9158</v>
      </c>
      <c r="O113" s="17" t="s">
        <v>3414</v>
      </c>
      <c r="P113" s="14" t="s">
        <v>13122</v>
      </c>
      <c r="Q113" s="14">
        <v>1</v>
      </c>
    </row>
    <row r="115" spans="1:17">
      <c r="A115" s="14" t="s">
        <v>12628</v>
      </c>
    </row>
    <row r="116" spans="1:17">
      <c r="A116" s="14" t="s">
        <v>12629</v>
      </c>
    </row>
    <row r="117" spans="1:17">
      <c r="A117" s="14">
        <v>76103</v>
      </c>
      <c r="B117" s="14" t="s">
        <v>334</v>
      </c>
      <c r="C117" s="14" t="s">
        <v>154</v>
      </c>
      <c r="D117" s="19" t="s">
        <v>570</v>
      </c>
      <c r="E117" s="15" t="str">
        <f>HYPERLINK("https://stat100.ameba.jp/tnk47/ratio20/illustrations/card/ill_76103_shibuaji03.jpg?202005-3-RELEASE-dice-469x", "■")</f>
        <v>■</v>
      </c>
      <c r="F117" s="14" t="s">
        <v>1122</v>
      </c>
      <c r="G117" s="14">
        <v>116452</v>
      </c>
      <c r="H117" s="14">
        <v>108276</v>
      </c>
      <c r="I117" s="14">
        <v>27</v>
      </c>
      <c r="J117" s="14" t="s">
        <v>143</v>
      </c>
      <c r="K117" s="14" t="s">
        <v>1123</v>
      </c>
      <c r="L117" s="14" t="s">
        <v>1124</v>
      </c>
      <c r="M117" s="14" t="s">
        <v>9158</v>
      </c>
      <c r="N117" s="14" t="s">
        <v>9158</v>
      </c>
      <c r="O117" s="14" t="s">
        <v>9158</v>
      </c>
      <c r="P117" s="14" t="s">
        <v>9158</v>
      </c>
      <c r="Q117" s="14" t="s">
        <v>9158</v>
      </c>
    </row>
    <row r="118" spans="1:17">
      <c r="A118" s="14">
        <v>76113</v>
      </c>
      <c r="B118" s="14" t="s">
        <v>334</v>
      </c>
      <c r="C118" s="14" t="s">
        <v>158</v>
      </c>
      <c r="D118" s="19" t="s">
        <v>10268</v>
      </c>
      <c r="E118" s="15" t="str">
        <f>HYPERLINK("https://stat100.ameba.jp/tnk47/ratio20/illustrations/card/ill_76113_jannudaruku03.jpg?202005-3-RELEASE-dice-469x", "■")</f>
        <v>■</v>
      </c>
      <c r="F118" s="14" t="s">
        <v>1126</v>
      </c>
      <c r="G118" s="14">
        <v>116452</v>
      </c>
      <c r="H118" s="14">
        <v>108276</v>
      </c>
      <c r="I118" s="14">
        <v>27</v>
      </c>
      <c r="J118" s="14" t="s">
        <v>10</v>
      </c>
      <c r="K118" s="14" t="s">
        <v>1127</v>
      </c>
      <c r="L118" s="14" t="s">
        <v>1128</v>
      </c>
      <c r="M118" s="14" t="s">
        <v>9158</v>
      </c>
      <c r="N118" s="14" t="s">
        <v>9158</v>
      </c>
      <c r="O118" s="14" t="s">
        <v>9158</v>
      </c>
      <c r="P118" s="14" t="s">
        <v>9158</v>
      </c>
      <c r="Q118" s="14" t="s">
        <v>9158</v>
      </c>
    </row>
    <row r="119" spans="1:17">
      <c r="A119" s="14">
        <v>63323</v>
      </c>
      <c r="B119" s="14" t="s">
        <v>0</v>
      </c>
      <c r="C119" s="14" t="s">
        <v>200</v>
      </c>
      <c r="D119" s="19" t="s">
        <v>10269</v>
      </c>
      <c r="E119" s="15" t="str">
        <f>HYPERLINK("https://stat100.ameba.jp/tnk47/ratio20/illustrations/card/ill_63323_ajisaikushinadahime03.jpg?202005-3-RELEASE-dice-469x", "■")</f>
        <v>■</v>
      </c>
      <c r="F119" s="14" t="s">
        <v>3583</v>
      </c>
      <c r="G119" s="14">
        <v>102386</v>
      </c>
      <c r="H119" s="14">
        <v>110129</v>
      </c>
      <c r="I119" s="14">
        <v>27</v>
      </c>
      <c r="J119" s="14" t="s">
        <v>44</v>
      </c>
      <c r="K119" s="14" t="s">
        <v>3584</v>
      </c>
      <c r="L119" s="14" t="s">
        <v>2400</v>
      </c>
      <c r="M119" s="14" t="s">
        <v>9158</v>
      </c>
      <c r="N119" s="14" t="s">
        <v>9158</v>
      </c>
      <c r="O119" s="14" t="s">
        <v>9158</v>
      </c>
      <c r="P119" s="14" t="s">
        <v>9158</v>
      </c>
      <c r="Q119" s="14" t="s">
        <v>9158</v>
      </c>
    </row>
    <row r="120" spans="1:17">
      <c r="A120" s="14">
        <v>59863</v>
      </c>
      <c r="B120" s="14" t="s">
        <v>334</v>
      </c>
      <c r="C120" s="14" t="s">
        <v>165</v>
      </c>
      <c r="D120" s="19" t="s">
        <v>318</v>
      </c>
      <c r="E120" s="15" t="str">
        <f>HYPERLINK("https://stat100.ameba.jp/tnk47/ratio20/illustrations/card/ill_59863_yoseiichimokuren03.jpg?202005-3-RELEASE-dice-469x", "■")</f>
        <v>■</v>
      </c>
      <c r="F120" s="14" t="s">
        <v>319</v>
      </c>
      <c r="G120" s="14">
        <v>112496</v>
      </c>
      <c r="H120" s="14">
        <v>104619</v>
      </c>
      <c r="I120" s="14">
        <v>27</v>
      </c>
      <c r="J120" s="14" t="s">
        <v>320</v>
      </c>
      <c r="K120" s="14" t="s">
        <v>321</v>
      </c>
      <c r="L120" s="14" t="s">
        <v>322</v>
      </c>
      <c r="M120" s="14" t="s">
        <v>9158</v>
      </c>
      <c r="N120" s="14" t="s">
        <v>9158</v>
      </c>
      <c r="O120" s="14" t="s">
        <v>9158</v>
      </c>
      <c r="P120" s="14" t="s">
        <v>9158</v>
      </c>
      <c r="Q120" s="14" t="s">
        <v>9158</v>
      </c>
    </row>
    <row r="121" spans="1:17">
      <c r="A121" s="14">
        <v>51823</v>
      </c>
      <c r="B121" s="14" t="s">
        <v>15</v>
      </c>
      <c r="C121" s="14" t="s">
        <v>101</v>
      </c>
      <c r="D121" s="19" t="s">
        <v>10587</v>
      </c>
      <c r="E121" s="15" t="str">
        <f>HYPERLINK("https://stat100.ameba.jp/tnk47/ratio20/illustrations/card/ill_51823_jukimatsu03.jpg?202005-3-RELEASE-dice-469x", "■")</f>
        <v>■</v>
      </c>
      <c r="F121" s="14" t="s">
        <v>6742</v>
      </c>
      <c r="G121" s="14">
        <v>72586</v>
      </c>
      <c r="H121" s="14">
        <v>80028</v>
      </c>
      <c r="I121" s="14">
        <v>27</v>
      </c>
      <c r="J121" s="14" t="s">
        <v>77</v>
      </c>
      <c r="K121" s="14" t="s">
        <v>6743</v>
      </c>
      <c r="L121" s="14" t="s">
        <v>6744</v>
      </c>
      <c r="M121" s="14" t="s">
        <v>9158</v>
      </c>
      <c r="N121" s="14" t="s">
        <v>9158</v>
      </c>
      <c r="O121" s="14" t="s">
        <v>9158</v>
      </c>
      <c r="P121" s="14" t="s">
        <v>9158</v>
      </c>
      <c r="Q121" s="14" t="s">
        <v>9158</v>
      </c>
    </row>
    <row r="122" spans="1:17">
      <c r="A122" s="14">
        <v>51773</v>
      </c>
      <c r="B122" s="14" t="s">
        <v>15</v>
      </c>
      <c r="C122" s="14" t="s">
        <v>205</v>
      </c>
      <c r="D122" s="19" t="s">
        <v>10588</v>
      </c>
      <c r="E122" s="15" t="str">
        <f>HYPERLINK("https://stat100.ameba.jp/tnk47/ratio20/illustrations/card/ill_51773_kawaasobikanekomisuzu03.jpg?202005-3-RELEASE-dice-469x", "■")</f>
        <v>■</v>
      </c>
      <c r="F122" s="14" t="s">
        <v>6747</v>
      </c>
      <c r="G122" s="14">
        <v>80028</v>
      </c>
      <c r="H122" s="14">
        <v>72586</v>
      </c>
      <c r="I122" s="14">
        <v>27</v>
      </c>
      <c r="J122" s="14" t="s">
        <v>10</v>
      </c>
      <c r="K122" s="14" t="s">
        <v>6746</v>
      </c>
      <c r="L122" s="14" t="s">
        <v>6745</v>
      </c>
      <c r="M122" s="14" t="s">
        <v>9158</v>
      </c>
      <c r="N122" s="14" t="s">
        <v>9158</v>
      </c>
      <c r="O122" s="14" t="s">
        <v>9158</v>
      </c>
      <c r="P122" s="14" t="s">
        <v>9158</v>
      </c>
      <c r="Q122" s="14" t="s">
        <v>9158</v>
      </c>
    </row>
    <row r="123" spans="1:17">
      <c r="A123" s="14">
        <v>51733</v>
      </c>
      <c r="B123" s="14" t="s">
        <v>15</v>
      </c>
      <c r="C123" s="14" t="s">
        <v>185</v>
      </c>
      <c r="D123" s="19" t="s">
        <v>10589</v>
      </c>
      <c r="E123" s="15" t="str">
        <f>HYPERLINK("https://stat100.ameba.jp/tnk47/ratio20/illustrations/card/ill_51733_ekusoshisutopoiyampe03.jpg?202005-3-RELEASE-dice-469x", "■")</f>
        <v>■</v>
      </c>
      <c r="F123" s="14" t="s">
        <v>6750</v>
      </c>
      <c r="G123" s="14">
        <v>72586</v>
      </c>
      <c r="H123" s="14">
        <v>80028</v>
      </c>
      <c r="I123" s="14">
        <v>27</v>
      </c>
      <c r="J123" s="14" t="s">
        <v>274</v>
      </c>
      <c r="K123" s="14" t="s">
        <v>6749</v>
      </c>
      <c r="L123" s="14" t="s">
        <v>6748</v>
      </c>
      <c r="M123" s="14" t="s">
        <v>9158</v>
      </c>
      <c r="N123" s="14" t="s">
        <v>9158</v>
      </c>
      <c r="O123" s="14" t="s">
        <v>9158</v>
      </c>
      <c r="P123" s="14" t="s">
        <v>9158</v>
      </c>
      <c r="Q123" s="14" t="s">
        <v>9158</v>
      </c>
    </row>
    <row r="124" spans="1:17">
      <c r="A124" s="14">
        <v>55743</v>
      </c>
      <c r="B124" s="14" t="s">
        <v>15</v>
      </c>
      <c r="C124" s="14" t="s">
        <v>96</v>
      </c>
      <c r="D124" s="19" t="s">
        <v>10590</v>
      </c>
      <c r="E124" s="15" t="str">
        <f>HYPERLINK("https://stat100.ameba.jp/tnk47/ratio20/illustrations/card/ill_55743_nankoume03.jpg?202005-3-RELEASE-dice-469x", "■")</f>
        <v>■</v>
      </c>
      <c r="F124" s="14" t="s">
        <v>4308</v>
      </c>
      <c r="G124" s="14">
        <v>72586</v>
      </c>
      <c r="H124" s="14">
        <v>80028</v>
      </c>
      <c r="I124" s="14">
        <v>27</v>
      </c>
      <c r="J124" s="14" t="s">
        <v>216</v>
      </c>
      <c r="K124" s="14" t="s">
        <v>4310</v>
      </c>
      <c r="L124" s="14" t="s">
        <v>4311</v>
      </c>
      <c r="M124" s="14" t="s">
        <v>9158</v>
      </c>
      <c r="N124" s="14" t="s">
        <v>9158</v>
      </c>
      <c r="O124" s="14" t="s">
        <v>9158</v>
      </c>
      <c r="P124" s="14" t="s">
        <v>9158</v>
      </c>
      <c r="Q124" s="14" t="s">
        <v>9158</v>
      </c>
    </row>
    <row r="126" spans="1:17">
      <c r="A126" s="14" t="s">
        <v>12630</v>
      </c>
    </row>
    <row r="127" spans="1:17">
      <c r="A127" s="14" t="s">
        <v>12631</v>
      </c>
    </row>
    <row r="128" spans="1:17">
      <c r="A128" s="9" t="s">
        <v>12160</v>
      </c>
    </row>
    <row r="129" spans="1:18">
      <c r="A129" s="7" t="s">
        <v>8839</v>
      </c>
      <c r="B129" s="7" t="s">
        <v>52</v>
      </c>
      <c r="C129" s="7" t="s">
        <v>202</v>
      </c>
      <c r="D129" s="20" t="s">
        <v>10880</v>
      </c>
      <c r="E129" s="15" t="str">
        <f>HYPERLINK("https://stat100.ameba.jp/tnk47/ratio20/illustrations/card/ill_86273_0_oshogatsuniijimayae03.jpg?202005-3-RELEASE-dice-469x", "■")</f>
        <v>■</v>
      </c>
      <c r="F129" s="7" t="s">
        <v>8838</v>
      </c>
      <c r="G129" s="7">
        <v>285346</v>
      </c>
      <c r="H129" s="7">
        <v>327865</v>
      </c>
      <c r="I129" s="7">
        <v>26</v>
      </c>
      <c r="J129" s="14" t="s">
        <v>173</v>
      </c>
      <c r="K129" s="7" t="s">
        <v>8837</v>
      </c>
      <c r="L129" s="7" t="s">
        <v>13211</v>
      </c>
      <c r="M129" s="14" t="s">
        <v>9158</v>
      </c>
      <c r="N129" s="14" t="s">
        <v>9158</v>
      </c>
      <c r="O129" s="19" t="s">
        <v>10134</v>
      </c>
      <c r="P129" s="7" t="s">
        <v>8870</v>
      </c>
      <c r="Q129" s="7">
        <v>1</v>
      </c>
    </row>
    <row r="130" spans="1:18">
      <c r="A130" s="7" t="s">
        <v>8437</v>
      </c>
      <c r="B130" s="7" t="s">
        <v>52</v>
      </c>
      <c r="C130" s="7" t="s">
        <v>202</v>
      </c>
      <c r="D130" s="20" t="s">
        <v>10806</v>
      </c>
      <c r="E130" s="15" t="str">
        <f>HYPERLINK("https://stat100.ameba.jp/tnk47/ratio20/illustrations/card/ill_85523_0_seitankuronikurukusumotoine03.jpg?202005-3-RELEASE-dice-469x", "■")</f>
        <v>■</v>
      </c>
      <c r="F130" s="7" t="s">
        <v>8440</v>
      </c>
      <c r="G130" s="14">
        <v>314976</v>
      </c>
      <c r="H130" s="7">
        <v>284690</v>
      </c>
      <c r="I130" s="7">
        <v>26</v>
      </c>
      <c r="J130" s="14" t="s">
        <v>77</v>
      </c>
      <c r="K130" s="7" t="s">
        <v>8446</v>
      </c>
      <c r="L130" s="7" t="s">
        <v>8439</v>
      </c>
      <c r="M130" s="14" t="s">
        <v>9158</v>
      </c>
      <c r="N130" s="14" t="s">
        <v>9158</v>
      </c>
      <c r="O130" s="19" t="s">
        <v>10133</v>
      </c>
      <c r="P130" s="7" t="s">
        <v>8441</v>
      </c>
      <c r="Q130" s="7">
        <v>1</v>
      </c>
    </row>
    <row r="131" spans="1:18">
      <c r="A131" s="9" t="s">
        <v>5891</v>
      </c>
      <c r="B131" s="14" t="s">
        <v>330</v>
      </c>
      <c r="C131" s="14" t="s">
        <v>202</v>
      </c>
      <c r="D131" s="14" t="s">
        <v>1999</v>
      </c>
      <c r="E131" s="15" t="str">
        <f>HYPERLINK("https://stat100.ameba.jp/tnk47/ratio20/illustrations/card/ill_77173_0_yukemuritomoegozen03.jpg?202005-3-RELEASE-dice-469x", "■")</f>
        <v>■</v>
      </c>
      <c r="F131" s="14" t="s">
        <v>1372</v>
      </c>
      <c r="G131" s="14">
        <v>260634</v>
      </c>
      <c r="H131" s="14">
        <v>288374</v>
      </c>
      <c r="I131" s="14">
        <v>26</v>
      </c>
      <c r="J131" s="14" t="s">
        <v>194</v>
      </c>
      <c r="K131" s="14" t="s">
        <v>1373</v>
      </c>
      <c r="L131" s="14" t="s">
        <v>1374</v>
      </c>
      <c r="M131" s="14" t="s">
        <v>9158</v>
      </c>
      <c r="N131" s="14" t="s">
        <v>9158</v>
      </c>
      <c r="O131" s="9" t="s">
        <v>3878</v>
      </c>
      <c r="P131" s="14" t="s">
        <v>3879</v>
      </c>
      <c r="Q131" s="14">
        <v>2</v>
      </c>
    </row>
    <row r="132" spans="1:18">
      <c r="A132" s="7">
        <v>85113</v>
      </c>
      <c r="B132" s="7" t="s">
        <v>0</v>
      </c>
      <c r="C132" s="7" t="s">
        <v>185</v>
      </c>
      <c r="D132" s="19" t="s">
        <v>10760</v>
      </c>
      <c r="E132" s="15" t="str">
        <f>HYPERLINK("https://stat100.ameba.jp/tnk47/ratio20/illustrations/card/ill_85113_gakuensainaoekanetsugu03.jpg?202005-3-RELEASE-dice-469x", "■")</f>
        <v>■</v>
      </c>
      <c r="F132" s="7" t="s">
        <v>7901</v>
      </c>
      <c r="G132" s="7">
        <v>154562</v>
      </c>
      <c r="H132" s="7">
        <v>143714</v>
      </c>
      <c r="I132" s="7">
        <v>26</v>
      </c>
      <c r="J132" s="7" t="s">
        <v>194</v>
      </c>
      <c r="K132" s="7" t="s">
        <v>7900</v>
      </c>
      <c r="L132" s="7" t="s">
        <v>3459</v>
      </c>
      <c r="M132" s="14" t="s">
        <v>9158</v>
      </c>
      <c r="N132" s="14" t="s">
        <v>9158</v>
      </c>
      <c r="O132" s="14" t="s">
        <v>9158</v>
      </c>
      <c r="P132" s="14" t="s">
        <v>9158</v>
      </c>
      <c r="Q132" s="14" t="s">
        <v>9158</v>
      </c>
    </row>
    <row r="133" spans="1:18">
      <c r="A133" s="7">
        <v>64063</v>
      </c>
      <c r="B133" s="14" t="s">
        <v>334</v>
      </c>
      <c r="C133" s="14" t="s">
        <v>200</v>
      </c>
      <c r="D133" s="20" t="s">
        <v>10834</v>
      </c>
      <c r="E133" s="15" t="str">
        <f>HYPERLINK("https://stat100.ameba.jp/tnk47/ratio20/illustrations/card/ill_64063_yusuzumishinshishika03.jpg?202005-3-RELEASE-dice-469x", "■")</f>
        <v>■</v>
      </c>
      <c r="F133" s="14" t="s">
        <v>4402</v>
      </c>
      <c r="G133" s="14">
        <v>98594</v>
      </c>
      <c r="H133" s="14">
        <v>106050</v>
      </c>
      <c r="I133" s="7">
        <v>26</v>
      </c>
      <c r="J133" s="14" t="s">
        <v>44</v>
      </c>
      <c r="K133" s="14" t="s">
        <v>4403</v>
      </c>
      <c r="L133" s="14" t="s">
        <v>965</v>
      </c>
      <c r="M133" s="14" t="s">
        <v>9158</v>
      </c>
      <c r="N133" s="14" t="s">
        <v>9158</v>
      </c>
      <c r="O133" s="14" t="s">
        <v>9158</v>
      </c>
      <c r="P133" s="14" t="s">
        <v>9158</v>
      </c>
      <c r="Q133" s="14" t="s">
        <v>9158</v>
      </c>
    </row>
    <row r="134" spans="1:18">
      <c r="A134" s="14">
        <v>60803</v>
      </c>
      <c r="B134" s="14" t="s">
        <v>334</v>
      </c>
      <c r="C134" s="14" t="s">
        <v>191</v>
      </c>
      <c r="D134" s="20" t="s">
        <v>15150</v>
      </c>
      <c r="E134" s="15" t="str">
        <f>HYPERLINK("https://stat100.ameba.jp/tnk47/ratio20/illustrations/card/ill_60803_intonkonohatengu03.jpg?202005-3-RELEASE-dice-469x", "■")</f>
        <v>■</v>
      </c>
      <c r="F134" s="14" t="s">
        <v>4602</v>
      </c>
      <c r="G134" s="14">
        <v>108330</v>
      </c>
      <c r="H134" s="14">
        <v>100744</v>
      </c>
      <c r="I134" s="14">
        <v>26</v>
      </c>
      <c r="J134" s="14" t="s">
        <v>73</v>
      </c>
      <c r="K134" s="14" t="s">
        <v>4603</v>
      </c>
      <c r="L134" s="14" t="s">
        <v>4604</v>
      </c>
      <c r="M134" s="14" t="s">
        <v>9158</v>
      </c>
      <c r="N134" s="14" t="s">
        <v>9158</v>
      </c>
      <c r="O134" s="14" t="s">
        <v>9158</v>
      </c>
      <c r="P134" s="14" t="s">
        <v>9158</v>
      </c>
      <c r="Q134" s="14" t="s">
        <v>9158</v>
      </c>
    </row>
    <row r="135" spans="1:18">
      <c r="A135" s="9">
        <v>82133</v>
      </c>
      <c r="B135" s="9" t="s">
        <v>0</v>
      </c>
      <c r="C135" s="9" t="s">
        <v>165</v>
      </c>
      <c r="D135" s="19" t="s">
        <v>15157</v>
      </c>
      <c r="E135" s="15" t="str">
        <f>HYPERLINK("https://stat100.ameba.jp/tnk47/ratio20/illustrations/card/ill_82133_senritsunosumasshukobitokaba03.jpg?202005-3-RELEASE-dice-469x", "■")</f>
        <v>■</v>
      </c>
      <c r="F135" s="9" t="s">
        <v>5298</v>
      </c>
      <c r="G135" s="9">
        <v>98594</v>
      </c>
      <c r="H135" s="9">
        <v>106050</v>
      </c>
      <c r="I135" s="9">
        <v>26</v>
      </c>
      <c r="J135" s="9" t="s">
        <v>229</v>
      </c>
      <c r="K135" s="9" t="s">
        <v>5300</v>
      </c>
      <c r="L135" s="9" t="s">
        <v>5301</v>
      </c>
      <c r="M135" s="14" t="s">
        <v>9158</v>
      </c>
      <c r="N135" s="14" t="s">
        <v>9158</v>
      </c>
      <c r="O135" s="14" t="s">
        <v>9158</v>
      </c>
      <c r="P135" s="14" t="s">
        <v>9158</v>
      </c>
      <c r="Q135" s="14" t="s">
        <v>9158</v>
      </c>
    </row>
    <row r="136" spans="1:18">
      <c r="A136" s="14">
        <v>59743</v>
      </c>
      <c r="B136" s="14" t="s">
        <v>0</v>
      </c>
      <c r="C136" s="14" t="s">
        <v>205</v>
      </c>
      <c r="D136" s="19" t="s">
        <v>10375</v>
      </c>
      <c r="E136" s="15" t="str">
        <f>HYPERLINK("https://stat100.ameba.jp/tnk47/ratio20/illustrations/card/ill_59743_kaitokiuifurutsuchan03.jpg?202005-3-RELEASE-dice-469x", "■")</f>
        <v>■</v>
      </c>
      <c r="F136" s="14" t="s">
        <v>5699</v>
      </c>
      <c r="G136" s="14">
        <v>114176</v>
      </c>
      <c r="H136" s="14">
        <v>122786</v>
      </c>
      <c r="I136" s="14">
        <v>26</v>
      </c>
      <c r="J136" s="14" t="s">
        <v>104</v>
      </c>
      <c r="K136" s="14" t="s">
        <v>5700</v>
      </c>
      <c r="L136" s="14" t="s">
        <v>1079</v>
      </c>
      <c r="M136" s="14" t="s">
        <v>9158</v>
      </c>
      <c r="N136" s="14" t="s">
        <v>9158</v>
      </c>
      <c r="O136" s="14" t="s">
        <v>9158</v>
      </c>
      <c r="P136" s="14" t="s">
        <v>9158</v>
      </c>
      <c r="Q136" s="14" t="s">
        <v>9158</v>
      </c>
    </row>
    <row r="137" spans="1:18">
      <c r="A137" s="14">
        <v>84723</v>
      </c>
      <c r="B137" s="14" t="s">
        <v>0</v>
      </c>
      <c r="C137" s="14" t="s">
        <v>206</v>
      </c>
      <c r="D137" s="19" t="s">
        <v>10728</v>
      </c>
      <c r="E137" s="15" t="str">
        <f>HYPERLINK("https://stat100.ameba.jp/tnk47/ratio20/illustrations/card/ill_84723_undokairyuguneko03.jpg?202005-3-RELEASE-dice-469x", "■")</f>
        <v>■</v>
      </c>
      <c r="F137" s="14" t="s">
        <v>7684</v>
      </c>
      <c r="G137" s="14">
        <v>118656</v>
      </c>
      <c r="H137" s="14">
        <v>118656</v>
      </c>
      <c r="I137" s="14">
        <v>26</v>
      </c>
      <c r="J137" s="14" t="s">
        <v>155</v>
      </c>
      <c r="K137" s="14" t="s">
        <v>7683</v>
      </c>
      <c r="L137" s="14" t="s">
        <v>7682</v>
      </c>
      <c r="M137" s="14" t="s">
        <v>9158</v>
      </c>
      <c r="N137" s="14" t="s">
        <v>9158</v>
      </c>
      <c r="O137" s="14" t="s">
        <v>9158</v>
      </c>
      <c r="P137" s="14" t="s">
        <v>9158</v>
      </c>
      <c r="Q137" s="14" t="s">
        <v>9158</v>
      </c>
    </row>
    <row r="139" spans="1:18">
      <c r="A139" s="14" t="s">
        <v>13327</v>
      </c>
    </row>
    <row r="140" spans="1:18">
      <c r="A140" s="14" t="s">
        <v>12637</v>
      </c>
    </row>
    <row r="141" spans="1:18">
      <c r="A141" s="14">
        <v>88153</v>
      </c>
      <c r="B141" s="14" t="s">
        <v>334</v>
      </c>
      <c r="C141" s="14" t="s">
        <v>14</v>
      </c>
      <c r="D141" s="6" t="s">
        <v>10011</v>
      </c>
      <c r="E141" s="15" t="str">
        <f>HYPERLINK("https://stat100.ameba.jp/tnk47/ratio20/illustrations/card/ill_88153_sunofueari03.jpg?202005-3-RELEASE-dice-469x", "■")</f>
        <v>■</v>
      </c>
      <c r="F141" s="14" t="s">
        <v>9960</v>
      </c>
      <c r="G141" s="14">
        <v>132922</v>
      </c>
      <c r="H141" s="14">
        <v>123583</v>
      </c>
      <c r="I141" s="14">
        <v>27</v>
      </c>
      <c r="J141" s="14" t="s">
        <v>169</v>
      </c>
      <c r="K141" s="14" t="s">
        <v>9961</v>
      </c>
      <c r="L141" s="14" t="s">
        <v>9962</v>
      </c>
      <c r="M141" s="14" t="s">
        <v>13130</v>
      </c>
      <c r="N141" s="14" t="s">
        <v>343</v>
      </c>
      <c r="O141" s="14" t="s">
        <v>9158</v>
      </c>
      <c r="P141" s="14" t="s">
        <v>9158</v>
      </c>
      <c r="Q141" s="14" t="s">
        <v>9158</v>
      </c>
      <c r="R141" s="14" t="s">
        <v>14748</v>
      </c>
    </row>
    <row r="142" spans="1:18">
      <c r="A142" s="14">
        <v>88152</v>
      </c>
      <c r="B142" s="14" t="s">
        <v>334</v>
      </c>
      <c r="C142" s="14" t="s">
        <v>14</v>
      </c>
      <c r="D142" s="6" t="s">
        <v>10011</v>
      </c>
      <c r="E142" s="15" t="str">
        <f>HYPERLINK("https://stat100.ameba.jp/tnk47/ratio20/illustrations/card/ill_88152_sunofueari02.jpg?202005-3-RELEASE-dice-469x", "■")</f>
        <v>■</v>
      </c>
      <c r="F142" s="14" t="s">
        <v>9960</v>
      </c>
      <c r="G142" s="14">
        <v>111115</v>
      </c>
      <c r="H142" s="14">
        <v>102356</v>
      </c>
      <c r="I142" s="14">
        <v>27</v>
      </c>
      <c r="J142" s="14" t="s">
        <v>169</v>
      </c>
      <c r="K142" s="14" t="s">
        <v>9961</v>
      </c>
      <c r="L142" s="14" t="s">
        <v>9962</v>
      </c>
      <c r="M142" s="14" t="s">
        <v>13131</v>
      </c>
      <c r="N142" s="14" t="s">
        <v>251</v>
      </c>
      <c r="O142" s="14" t="s">
        <v>9158</v>
      </c>
      <c r="P142" s="14" t="s">
        <v>9158</v>
      </c>
      <c r="Q142" s="14" t="s">
        <v>9158</v>
      </c>
      <c r="R142" s="14" t="s">
        <v>14748</v>
      </c>
    </row>
    <row r="143" spans="1:18">
      <c r="A143" s="14">
        <v>88151</v>
      </c>
      <c r="B143" s="14" t="s">
        <v>0</v>
      </c>
      <c r="C143" s="14" t="s">
        <v>14</v>
      </c>
      <c r="D143" s="6" t="s">
        <v>10011</v>
      </c>
      <c r="E143" s="15" t="str">
        <f>HYPERLINK("https://stat100.ameba.jp/tnk47/ratio20/illustrations/card/ill_88151_sunofueari01.jpg?202005-3-RELEASE-dice-469x", "■")</f>
        <v>■</v>
      </c>
      <c r="F143" s="14" t="s">
        <v>9960</v>
      </c>
      <c r="G143" s="14">
        <v>84834</v>
      </c>
      <c r="H143" s="14">
        <v>78975</v>
      </c>
      <c r="I143" s="14">
        <v>27</v>
      </c>
      <c r="J143" s="14" t="s">
        <v>169</v>
      </c>
      <c r="K143" s="14" t="s">
        <v>9961</v>
      </c>
      <c r="L143" s="14" t="s">
        <v>9962</v>
      </c>
      <c r="M143" s="14" t="s">
        <v>13131</v>
      </c>
      <c r="N143" s="14" t="s">
        <v>251</v>
      </c>
      <c r="O143" s="14" t="s">
        <v>9158</v>
      </c>
      <c r="P143" s="14" t="s">
        <v>9158</v>
      </c>
      <c r="Q143" s="14" t="s">
        <v>9158</v>
      </c>
      <c r="R143" s="14" t="s">
        <v>14748</v>
      </c>
    </row>
    <row r="144" spans="1:18">
      <c r="A144" s="14">
        <v>88163</v>
      </c>
      <c r="B144" s="14" t="s">
        <v>334</v>
      </c>
      <c r="C144" s="14" t="s">
        <v>23</v>
      </c>
      <c r="D144" s="6" t="s">
        <v>10012</v>
      </c>
      <c r="E144" s="15" t="str">
        <f>HYPERLINK("https://stat100.ameba.jp/tnk47/ratio20/illustrations/card/ill_88163_shitsujitanteimagi03.jpg?202005-3-RELEASE-dice-469x", "■")</f>
        <v>■</v>
      </c>
      <c r="F144" s="14" t="s">
        <v>9963</v>
      </c>
      <c r="G144" s="14">
        <v>132922</v>
      </c>
      <c r="H144" s="14">
        <v>123583</v>
      </c>
      <c r="I144" s="14">
        <v>27</v>
      </c>
      <c r="J144" s="14" t="s">
        <v>159</v>
      </c>
      <c r="K144" s="14" t="s">
        <v>9964</v>
      </c>
      <c r="L144" s="14" t="s">
        <v>9965</v>
      </c>
      <c r="M144" s="14" t="s">
        <v>13130</v>
      </c>
      <c r="N144" s="14" t="s">
        <v>343</v>
      </c>
      <c r="O144" s="14" t="s">
        <v>9158</v>
      </c>
      <c r="P144" s="14" t="s">
        <v>9158</v>
      </c>
      <c r="Q144" s="14" t="s">
        <v>9158</v>
      </c>
      <c r="R144" s="14" t="s">
        <v>14748</v>
      </c>
    </row>
    <row r="145" spans="1:18">
      <c r="A145" s="14">
        <v>88173</v>
      </c>
      <c r="B145" s="14" t="s">
        <v>334</v>
      </c>
      <c r="C145" s="14" t="s">
        <v>101</v>
      </c>
      <c r="D145" s="6" t="s">
        <v>10013</v>
      </c>
      <c r="E145" s="15" t="str">
        <f>HYPERLINK("https://stat100.ameba.jp/tnk47/ratio20/illustrations/card/ill_88173_pichipurinsesu03.jpg?202005-3-RELEASE-dice-469x", "■")</f>
        <v>■</v>
      </c>
      <c r="F145" s="14" t="s">
        <v>9966</v>
      </c>
      <c r="G145" s="14">
        <v>123583</v>
      </c>
      <c r="H145" s="14">
        <v>132922</v>
      </c>
      <c r="I145" s="14">
        <v>27</v>
      </c>
      <c r="J145" s="14" t="s">
        <v>187</v>
      </c>
      <c r="K145" s="14" t="s">
        <v>9967</v>
      </c>
      <c r="L145" s="14" t="s">
        <v>9968</v>
      </c>
      <c r="M145" s="14" t="s">
        <v>13130</v>
      </c>
      <c r="N145" s="14" t="s">
        <v>343</v>
      </c>
      <c r="O145" s="14" t="s">
        <v>9158</v>
      </c>
      <c r="P145" s="14" t="s">
        <v>9158</v>
      </c>
      <c r="Q145" s="14" t="s">
        <v>9158</v>
      </c>
      <c r="R145" s="14" t="s">
        <v>14748</v>
      </c>
    </row>
    <row r="146" spans="1:18">
      <c r="A146" s="14">
        <v>88183</v>
      </c>
      <c r="B146" s="14" t="s">
        <v>0</v>
      </c>
      <c r="C146" s="14" t="s">
        <v>96</v>
      </c>
      <c r="D146" s="6" t="s">
        <v>10014</v>
      </c>
      <c r="E146" s="15" t="str">
        <f>HYPERLINK("https://stat100.ameba.jp/tnk47/ratio20/illustrations/card/ill_88183_saikiringugaru03.jpg?202005-3-RELEASE-dice-469x", "■")</f>
        <v>■</v>
      </c>
      <c r="F146" s="14" t="s">
        <v>9969</v>
      </c>
      <c r="G146" s="14">
        <v>123583</v>
      </c>
      <c r="H146" s="14">
        <v>132922</v>
      </c>
      <c r="I146" s="14">
        <v>27</v>
      </c>
      <c r="J146" s="14" t="s">
        <v>182</v>
      </c>
      <c r="K146" s="14" t="s">
        <v>9970</v>
      </c>
      <c r="L146" s="14" t="s">
        <v>9971</v>
      </c>
      <c r="M146" s="14" t="s">
        <v>13130</v>
      </c>
      <c r="N146" s="14" t="s">
        <v>343</v>
      </c>
      <c r="O146" s="14" t="s">
        <v>9158</v>
      </c>
      <c r="P146" s="14" t="s">
        <v>9158</v>
      </c>
      <c r="Q146" s="14" t="s">
        <v>9158</v>
      </c>
      <c r="R146" s="14" t="s">
        <v>14748</v>
      </c>
    </row>
    <row r="147" spans="1:18">
      <c r="A147" s="14">
        <v>88193</v>
      </c>
      <c r="B147" s="14" t="s">
        <v>334</v>
      </c>
      <c r="C147" s="14" t="s">
        <v>205</v>
      </c>
      <c r="D147" s="6" t="s">
        <v>10015</v>
      </c>
      <c r="E147" s="15" t="str">
        <f>HYPERLINK("https://stat100.ameba.jp/tnk47/ratio20/illustrations/card/ill_88193_sakasunomajo03.jpg?202005-3-RELEASE-dice-469x", "■")</f>
        <v>■</v>
      </c>
      <c r="F147" s="14" t="s">
        <v>9972</v>
      </c>
      <c r="G147" s="14">
        <v>123583</v>
      </c>
      <c r="H147" s="14">
        <v>132922</v>
      </c>
      <c r="I147" s="14">
        <v>27</v>
      </c>
      <c r="J147" s="14" t="s">
        <v>155</v>
      </c>
      <c r="K147" s="14" t="s">
        <v>9977</v>
      </c>
      <c r="L147" s="14" t="s">
        <v>9973</v>
      </c>
      <c r="M147" s="14" t="s">
        <v>13130</v>
      </c>
      <c r="N147" s="14" t="s">
        <v>343</v>
      </c>
      <c r="O147" s="14" t="s">
        <v>9158</v>
      </c>
      <c r="P147" s="14" t="s">
        <v>9158</v>
      </c>
      <c r="Q147" s="14" t="s">
        <v>9158</v>
      </c>
      <c r="R147" s="14" t="s">
        <v>14748</v>
      </c>
    </row>
    <row r="148" spans="1:18" s="9" customFormat="1">
      <c r="A148" s="14">
        <v>88203</v>
      </c>
      <c r="B148" s="14" t="s">
        <v>334</v>
      </c>
      <c r="C148" s="14" t="s">
        <v>107</v>
      </c>
      <c r="D148" s="6" t="s">
        <v>10016</v>
      </c>
      <c r="E148" s="15" t="str">
        <f>HYPERLINK("https://stat100.ameba.jp/tnk47/ratio20/illustrations/card/ill_88203_soingumasuta03.jpg?202005-3-RELEASE-dice-469x", "■")</f>
        <v>■</v>
      </c>
      <c r="F148" s="14" t="s">
        <v>9976</v>
      </c>
      <c r="G148" s="14">
        <v>132922</v>
      </c>
      <c r="H148" s="14">
        <v>123583</v>
      </c>
      <c r="I148" s="14">
        <v>27</v>
      </c>
      <c r="J148" s="14" t="s">
        <v>173</v>
      </c>
      <c r="K148" s="14" t="s">
        <v>9974</v>
      </c>
      <c r="L148" s="14" t="s">
        <v>9975</v>
      </c>
      <c r="M148" s="14" t="s">
        <v>13130</v>
      </c>
      <c r="N148" s="14" t="s">
        <v>343</v>
      </c>
      <c r="O148" s="14" t="s">
        <v>9158</v>
      </c>
      <c r="P148" s="14" t="s">
        <v>9158</v>
      </c>
      <c r="Q148" s="14" t="s">
        <v>9158</v>
      </c>
      <c r="R148" s="14" t="s">
        <v>14748</v>
      </c>
    </row>
    <row r="150" spans="1:18">
      <c r="A150" s="14" t="s">
        <v>12642</v>
      </c>
    </row>
    <row r="151" spans="1:18">
      <c r="A151" s="14" t="s">
        <v>12638</v>
      </c>
    </row>
    <row r="152" spans="1:18">
      <c r="A152" s="14" t="s">
        <v>12639</v>
      </c>
    </row>
    <row r="153" spans="1:18">
      <c r="A153" s="14" t="s">
        <v>12532</v>
      </c>
      <c r="B153" s="7" t="s">
        <v>52</v>
      </c>
      <c r="C153" s="14" t="s">
        <v>202</v>
      </c>
      <c r="D153" s="18" t="s">
        <v>12528</v>
      </c>
      <c r="E153" s="15" t="str">
        <f>HYPERLINK("https://stat100.ameba.jp/tnk47/ratio20/illustrations/card/ill_89073_0_efuwanresuyokohamaserachan03.jpg?202005-3-RELEASE-dice-469x", "■")</f>
        <v>■</v>
      </c>
      <c r="F153" s="14" t="s">
        <v>12529</v>
      </c>
      <c r="G153" s="14">
        <v>296998</v>
      </c>
      <c r="H153" s="14">
        <v>328614</v>
      </c>
      <c r="I153" s="7">
        <v>27</v>
      </c>
      <c r="J153" s="14" t="s">
        <v>229</v>
      </c>
      <c r="K153" s="14" t="s">
        <v>12530</v>
      </c>
      <c r="L153" s="14" t="s">
        <v>12531</v>
      </c>
      <c r="M153" s="14" t="s">
        <v>9158</v>
      </c>
      <c r="N153" s="14" t="s">
        <v>9158</v>
      </c>
      <c r="O153" s="6" t="s">
        <v>12533</v>
      </c>
      <c r="P153" s="7" t="s">
        <v>12534</v>
      </c>
      <c r="Q153" s="7">
        <v>1</v>
      </c>
    </row>
    <row r="154" spans="1:18">
      <c r="A154" s="14">
        <v>89243</v>
      </c>
      <c r="B154" s="14" t="s">
        <v>0</v>
      </c>
      <c r="C154" s="14" t="s">
        <v>12644</v>
      </c>
      <c r="D154" s="14" t="s">
        <v>12643</v>
      </c>
      <c r="E154" s="15" t="str">
        <f>HYPERLINK("https://stat100.ameba.jp/tnk47/ratio20/illustrations/card/ill_89243_kajinoinona03.jpg?202005-3-RELEASE-dice-469x", "■")</f>
        <v>■</v>
      </c>
      <c r="F154" s="14" t="s">
        <v>12647</v>
      </c>
      <c r="G154" s="14">
        <v>105465</v>
      </c>
      <c r="H154" s="14">
        <v>98019</v>
      </c>
      <c r="I154" s="7">
        <v>27</v>
      </c>
      <c r="J154" s="14" t="s">
        <v>12650</v>
      </c>
      <c r="K154" s="14" t="s">
        <v>12649</v>
      </c>
      <c r="L154" s="14" t="s">
        <v>12648</v>
      </c>
      <c r="M154" s="14" t="s">
        <v>9158</v>
      </c>
      <c r="N154" s="14" t="s">
        <v>9158</v>
      </c>
      <c r="O154" s="14" t="s">
        <v>9158</v>
      </c>
      <c r="P154" s="14" t="s">
        <v>9158</v>
      </c>
      <c r="Q154" s="14" t="s">
        <v>9158</v>
      </c>
    </row>
    <row r="155" spans="1:18">
      <c r="A155" s="14">
        <v>89253</v>
      </c>
      <c r="B155" s="14" t="s">
        <v>0</v>
      </c>
      <c r="C155" s="14" t="s">
        <v>12652</v>
      </c>
      <c r="D155" s="14" t="s">
        <v>12651</v>
      </c>
      <c r="E155" s="15" t="str">
        <f>HYPERLINK("https://stat100.ameba.jp/tnk47/ratio20/illustrations/card/ill_89253_ushirogami03.jpg?202005-3-RELEASE-dice-469x", "■")</f>
        <v>■</v>
      </c>
      <c r="F155" s="14" t="s">
        <v>12653</v>
      </c>
      <c r="G155" s="14">
        <v>102386</v>
      </c>
      <c r="H155" s="14">
        <v>110129</v>
      </c>
      <c r="I155" s="7">
        <v>27</v>
      </c>
      <c r="J155" s="14" t="s">
        <v>12654</v>
      </c>
      <c r="K155" s="14" t="s">
        <v>12655</v>
      </c>
      <c r="L155" s="14" t="s">
        <v>12656</v>
      </c>
      <c r="M155" s="14" t="s">
        <v>9158</v>
      </c>
      <c r="N155" s="14" t="s">
        <v>9158</v>
      </c>
      <c r="O155" s="14" t="s">
        <v>9158</v>
      </c>
      <c r="P155" s="14" t="s">
        <v>9158</v>
      </c>
      <c r="Q155" s="14" t="s">
        <v>9158</v>
      </c>
    </row>
    <row r="156" spans="1:18">
      <c r="A156" s="14">
        <v>89263</v>
      </c>
      <c r="B156" s="14" t="s">
        <v>15</v>
      </c>
      <c r="C156" s="14" t="s">
        <v>12658</v>
      </c>
      <c r="D156" s="14" t="s">
        <v>12657</v>
      </c>
      <c r="E156" s="15" t="str">
        <f>HYPERLINK("https://stat100.ameba.jp/tnk47/ratio20/illustrations/card/ill_89263_kuraburaikirimaru03.jpg?202005-3-RELEASE-dice-469x", "■")</f>
        <v>■</v>
      </c>
      <c r="F156" s="14" t="s">
        <v>12659</v>
      </c>
      <c r="G156" s="14">
        <v>80028</v>
      </c>
      <c r="H156" s="14">
        <v>72586</v>
      </c>
      <c r="I156" s="7">
        <v>27</v>
      </c>
      <c r="J156" s="14" t="s">
        <v>12660</v>
      </c>
      <c r="K156" s="14" t="s">
        <v>12661</v>
      </c>
      <c r="L156" s="14" t="s">
        <v>12662</v>
      </c>
      <c r="M156" s="14" t="s">
        <v>9158</v>
      </c>
      <c r="N156" s="14" t="s">
        <v>9158</v>
      </c>
      <c r="O156" s="14" t="s">
        <v>9158</v>
      </c>
      <c r="P156" s="14" t="s">
        <v>9158</v>
      </c>
      <c r="Q156" s="14" t="s">
        <v>9158</v>
      </c>
    </row>
    <row r="157" spans="1:18">
      <c r="A157" s="14">
        <v>89273</v>
      </c>
      <c r="B157" s="14" t="s">
        <v>12645</v>
      </c>
      <c r="C157" s="14" t="s">
        <v>12664</v>
      </c>
      <c r="D157" s="14" t="s">
        <v>12663</v>
      </c>
      <c r="E157" s="15" t="str">
        <f>HYPERLINK("https://stat100.ameba.jp/tnk47/ratio20/illustrations/card/ill_89273_kajinohikeshimusume03.jpg?202005-3-RELEASE-dice-469x", "■")</f>
        <v>■</v>
      </c>
      <c r="F157" s="14" t="s">
        <v>12665</v>
      </c>
      <c r="G157" s="14">
        <v>46676</v>
      </c>
      <c r="H157" s="14">
        <v>56138</v>
      </c>
      <c r="I157" s="7">
        <v>27</v>
      </c>
      <c r="J157" s="14" t="s">
        <v>12654</v>
      </c>
      <c r="K157" s="14" t="s">
        <v>12666</v>
      </c>
      <c r="L157" s="14" t="s">
        <v>12667</v>
      </c>
      <c r="M157" s="14" t="s">
        <v>9158</v>
      </c>
      <c r="N157" s="14" t="s">
        <v>9158</v>
      </c>
      <c r="O157" s="14" t="s">
        <v>9158</v>
      </c>
      <c r="P157" s="14" t="s">
        <v>9158</v>
      </c>
      <c r="Q157" s="14" t="s">
        <v>9158</v>
      </c>
    </row>
    <row r="158" spans="1:18">
      <c r="A158" s="14">
        <v>89283</v>
      </c>
      <c r="B158" s="14" t="s">
        <v>12646</v>
      </c>
      <c r="C158" s="14" t="s">
        <v>12669</v>
      </c>
      <c r="D158" s="14" t="s">
        <v>12668</v>
      </c>
      <c r="E158" s="15" t="str">
        <f>HYPERLINK("https://stat100.ameba.jp/tnk47/ratio20/illustrations/card/ill_89283_oukyuuchurippuchan03.jpg?202005-3-RELEASE-dice-469x", "■")</f>
        <v>■</v>
      </c>
      <c r="F158" s="14" t="s">
        <v>12670</v>
      </c>
      <c r="G158" s="14">
        <v>33986</v>
      </c>
      <c r="H158" s="14">
        <v>28544</v>
      </c>
      <c r="I158" s="7">
        <v>27</v>
      </c>
      <c r="J158" s="14" t="s">
        <v>12671</v>
      </c>
      <c r="K158" s="14" t="s">
        <v>12672</v>
      </c>
      <c r="L158" s="14" t="s">
        <v>12673</v>
      </c>
      <c r="M158" s="14" t="s">
        <v>9158</v>
      </c>
      <c r="N158" s="14" t="s">
        <v>9158</v>
      </c>
      <c r="O158" s="14" t="s">
        <v>9158</v>
      </c>
      <c r="P158" s="14" t="s">
        <v>9158</v>
      </c>
      <c r="Q158" s="14" t="s">
        <v>9158</v>
      </c>
    </row>
    <row r="160" spans="1:18">
      <c r="A160" s="14" t="s">
        <v>12641</v>
      </c>
    </row>
    <row r="161" spans="1:18">
      <c r="A161" s="14" t="s">
        <v>12640</v>
      </c>
    </row>
    <row r="162" spans="1:18">
      <c r="A162" s="14" t="s">
        <v>5848</v>
      </c>
      <c r="B162" s="14" t="s">
        <v>330</v>
      </c>
      <c r="C162" s="14" t="s">
        <v>200</v>
      </c>
      <c r="D162" s="20" t="s">
        <v>3160</v>
      </c>
      <c r="E162" s="15" t="str">
        <f>HYPERLINK("https://stat100.ameba.jp/tnk47/ratio20/illustrations/card/ill_72963_0_amenohanayomehiguchiichiyo03.jpg?202005-3-RELEASE-dice-469x", "■")</f>
        <v>■</v>
      </c>
      <c r="F162" s="14" t="s">
        <v>1139</v>
      </c>
      <c r="G162" s="14">
        <v>147404</v>
      </c>
      <c r="H162" s="14">
        <v>137060</v>
      </c>
      <c r="I162" s="14">
        <v>22</v>
      </c>
      <c r="J162" s="14" t="s">
        <v>10</v>
      </c>
      <c r="K162" s="14" t="s">
        <v>1140</v>
      </c>
      <c r="L162" s="14" t="s">
        <v>1141</v>
      </c>
      <c r="M162" s="14" t="s">
        <v>9158</v>
      </c>
      <c r="N162" s="14" t="s">
        <v>9158</v>
      </c>
      <c r="O162" s="19" t="s">
        <v>3162</v>
      </c>
      <c r="P162" s="14" t="s">
        <v>3163</v>
      </c>
      <c r="Q162" s="14">
        <v>1</v>
      </c>
    </row>
    <row r="163" spans="1:18">
      <c r="A163" s="14" t="s">
        <v>5603</v>
      </c>
      <c r="B163" s="14" t="s">
        <v>330</v>
      </c>
      <c r="C163" s="14" t="s">
        <v>205</v>
      </c>
      <c r="D163" s="20" t="s">
        <v>611</v>
      </c>
      <c r="E163" s="15" t="str">
        <f>HYPERLINK("https://stat100.ameba.jp/tnk47/ratio20/illustrations/card/ill_61893_0_onikirishumiyamotomusashi03.jpg?202005-3-RELEASE-dice-469x", "■")</f>
        <v>■</v>
      </c>
      <c r="F163" s="14" t="s">
        <v>612</v>
      </c>
      <c r="G163" s="14">
        <v>205358</v>
      </c>
      <c r="H163" s="14">
        <v>190952</v>
      </c>
      <c r="I163" s="14">
        <v>22</v>
      </c>
      <c r="J163" s="14" t="s">
        <v>310</v>
      </c>
      <c r="K163" s="14" t="s">
        <v>613</v>
      </c>
      <c r="L163" s="14" t="s">
        <v>312</v>
      </c>
      <c r="M163" s="14" t="s">
        <v>9158</v>
      </c>
      <c r="N163" s="14" t="s">
        <v>9158</v>
      </c>
      <c r="O163" s="19" t="s">
        <v>10071</v>
      </c>
      <c r="P163" s="14" t="s">
        <v>3253</v>
      </c>
      <c r="Q163" s="14">
        <v>1</v>
      </c>
    </row>
    <row r="164" spans="1:18">
      <c r="A164" s="14" t="s">
        <v>5608</v>
      </c>
      <c r="B164" s="14" t="s">
        <v>52</v>
      </c>
      <c r="C164" s="14" t="s">
        <v>96</v>
      </c>
      <c r="D164" s="20" t="s">
        <v>634</v>
      </c>
      <c r="E164" s="15" t="str">
        <f>HYPERLINK("https://stat100.ameba.jp/tnk47/ratio20/illustrations/card/ill_40963_0_makami03.jpg?202005-3-RELEASE-dice-469x", "■")</f>
        <v>■</v>
      </c>
      <c r="F164" s="14" t="s">
        <v>2038</v>
      </c>
      <c r="G164" s="14">
        <v>128744</v>
      </c>
      <c r="H164" s="14">
        <v>120576</v>
      </c>
      <c r="I164" s="14">
        <v>22</v>
      </c>
      <c r="J164" s="14" t="s">
        <v>44</v>
      </c>
      <c r="K164" s="14" t="s">
        <v>2039</v>
      </c>
      <c r="L164" s="14" t="s">
        <v>2040</v>
      </c>
      <c r="M164" s="14" t="s">
        <v>9158</v>
      </c>
      <c r="N164" s="14" t="s">
        <v>9158</v>
      </c>
      <c r="O164" s="14" t="s">
        <v>9158</v>
      </c>
      <c r="P164" s="14" t="s">
        <v>9158</v>
      </c>
      <c r="Q164" s="14" t="s">
        <v>9158</v>
      </c>
      <c r="R164" s="9"/>
    </row>
    <row r="165" spans="1:18">
      <c r="A165" s="14">
        <v>71753</v>
      </c>
      <c r="B165" s="14" t="s">
        <v>0</v>
      </c>
      <c r="C165" s="14" t="s">
        <v>205</v>
      </c>
      <c r="D165" s="19" t="s">
        <v>11542</v>
      </c>
      <c r="E165" s="15" t="str">
        <f>HYPERLINK("https://stat100.ameba.jp/tnk47/ratio20/illustrations/card/ill_71753_kozaiyoshikiyo03.jpg?202005-3-RELEASE-dice-469x", "■")</f>
        <v>■</v>
      </c>
      <c r="F165" s="14" t="s">
        <v>3617</v>
      </c>
      <c r="G165" s="14">
        <v>125392</v>
      </c>
      <c r="H165" s="14">
        <v>70556</v>
      </c>
      <c r="I165" s="14">
        <v>26</v>
      </c>
      <c r="J165" s="14" t="s">
        <v>194</v>
      </c>
      <c r="K165" s="14" t="s">
        <v>3618</v>
      </c>
      <c r="L165" s="14" t="s">
        <v>912</v>
      </c>
      <c r="M165" s="14" t="s">
        <v>9158</v>
      </c>
      <c r="N165" s="14" t="s">
        <v>9158</v>
      </c>
      <c r="O165" s="14" t="s">
        <v>9158</v>
      </c>
      <c r="P165" s="14" t="s">
        <v>9158</v>
      </c>
      <c r="Q165" s="14" t="s">
        <v>9158</v>
      </c>
    </row>
    <row r="166" spans="1:18">
      <c r="A166" s="14">
        <v>65233</v>
      </c>
      <c r="B166" s="14" t="s">
        <v>334</v>
      </c>
      <c r="C166" s="14" t="s">
        <v>191</v>
      </c>
      <c r="D166" s="19" t="s">
        <v>10451</v>
      </c>
      <c r="E166" s="15" t="str">
        <f>HYPERLINK("https://stat100.ameba.jp/tnk47/ratio20/illustrations/card/ill_65233_togakushisoba03.jpg?202005-3-RELEASE-dice-469x", "■")</f>
        <v>■</v>
      </c>
      <c r="F166" s="14" t="s">
        <v>2558</v>
      </c>
      <c r="G166" s="14">
        <v>151650</v>
      </c>
      <c r="H166" s="14">
        <v>85312</v>
      </c>
      <c r="I166" s="14">
        <v>26</v>
      </c>
      <c r="J166" s="14" t="s">
        <v>104</v>
      </c>
      <c r="K166" s="14" t="s">
        <v>2560</v>
      </c>
      <c r="L166" s="14" t="s">
        <v>2409</v>
      </c>
      <c r="M166" s="14" t="s">
        <v>9158</v>
      </c>
      <c r="N166" s="14" t="s">
        <v>9158</v>
      </c>
      <c r="O166" s="14" t="s">
        <v>9158</v>
      </c>
      <c r="P166" s="14" t="s">
        <v>9158</v>
      </c>
      <c r="Q166" s="14" t="s">
        <v>9158</v>
      </c>
    </row>
    <row r="167" spans="1:18">
      <c r="A167" s="9">
        <v>76563</v>
      </c>
      <c r="B167" s="14" t="s">
        <v>334</v>
      </c>
      <c r="C167" s="14" t="s">
        <v>344</v>
      </c>
      <c r="D167" s="14" t="s">
        <v>3872</v>
      </c>
      <c r="E167" s="15" t="str">
        <f>HYPERLINK("https://stat100.ameba.jp/tnk47/ratio20/illustrations/card/ill_76563_hannarideru03.jpg?202005-3-RELEASE-dice-469x", "■")</f>
        <v>■</v>
      </c>
      <c r="F167" s="14" t="s">
        <v>741</v>
      </c>
      <c r="G167" s="14">
        <v>101558</v>
      </c>
      <c r="H167" s="14">
        <v>94390</v>
      </c>
      <c r="I167" s="14">
        <v>26</v>
      </c>
      <c r="J167" s="14" t="s">
        <v>351</v>
      </c>
      <c r="K167" s="14" t="s">
        <v>742</v>
      </c>
      <c r="L167" s="14" t="s">
        <v>743</v>
      </c>
      <c r="M167" s="14" t="s">
        <v>9158</v>
      </c>
      <c r="N167" s="14" t="s">
        <v>9158</v>
      </c>
      <c r="O167" s="14" t="s">
        <v>9158</v>
      </c>
      <c r="P167" s="14" t="s">
        <v>9158</v>
      </c>
      <c r="Q167" s="14" t="s">
        <v>9158</v>
      </c>
    </row>
    <row r="169" spans="1:18">
      <c r="A169" s="14" t="s">
        <v>13386</v>
      </c>
    </row>
    <row r="170" spans="1:18">
      <c r="A170" s="14" t="s">
        <v>12674</v>
      </c>
    </row>
    <row r="171" spans="1:18">
      <c r="A171" s="14">
        <v>89175</v>
      </c>
      <c r="B171" s="14" t="s">
        <v>12675</v>
      </c>
      <c r="C171" s="14" t="s">
        <v>12677</v>
      </c>
      <c r="D171" s="14" t="s">
        <v>12683</v>
      </c>
      <c r="E171" s="15" t="str">
        <f>HYPERLINK("https://stat100.ameba.jp/tnk47/ratio20/illustrations/card/ill_89175_yuamimuman05.jpg?202005-3-RELEASE-dice-469x", "■")</f>
        <v>■</v>
      </c>
      <c r="F171" s="14" t="s">
        <v>12682</v>
      </c>
      <c r="G171" s="14">
        <v>111167</v>
      </c>
      <c r="H171" s="14">
        <v>153514</v>
      </c>
      <c r="I171" s="14">
        <v>27</v>
      </c>
      <c r="J171" s="14" t="s">
        <v>12686</v>
      </c>
      <c r="K171" s="14" t="s">
        <v>12684</v>
      </c>
      <c r="L171" s="14" t="s">
        <v>12685</v>
      </c>
      <c r="M171" s="14" t="s">
        <v>9158</v>
      </c>
      <c r="N171" s="14" t="s">
        <v>9158</v>
      </c>
      <c r="O171" s="14" t="s">
        <v>9158</v>
      </c>
      <c r="P171" s="14" t="s">
        <v>9158</v>
      </c>
      <c r="Q171" s="14" t="s">
        <v>9158</v>
      </c>
      <c r="R171" s="14" t="s">
        <v>12679</v>
      </c>
    </row>
    <row r="172" spans="1:18">
      <c r="A172" s="14">
        <v>89173</v>
      </c>
      <c r="B172" s="14" t="s">
        <v>12676</v>
      </c>
      <c r="C172" s="14" t="s">
        <v>12678</v>
      </c>
      <c r="D172" s="14" t="s">
        <v>12683</v>
      </c>
      <c r="E172" s="15" t="str">
        <f>HYPERLINK("https://stat100.ameba.jp/tnk47/ratio20/illustrations/card/ill_89173_yuamimuman03.jpg?202005-3-RELEASE-dice-469x", "■")</f>
        <v>■</v>
      </c>
      <c r="F172" s="14" t="s">
        <v>12682</v>
      </c>
      <c r="G172" s="14">
        <v>81907</v>
      </c>
      <c r="H172" s="14">
        <v>113118</v>
      </c>
      <c r="I172" s="14">
        <v>27</v>
      </c>
      <c r="J172" s="14" t="s">
        <v>12686</v>
      </c>
      <c r="K172" s="14" t="s">
        <v>12684</v>
      </c>
      <c r="L172" s="14" t="s">
        <v>12687</v>
      </c>
      <c r="M172" s="14" t="s">
        <v>9158</v>
      </c>
      <c r="N172" s="14" t="s">
        <v>9158</v>
      </c>
      <c r="O172" s="14" t="s">
        <v>9158</v>
      </c>
      <c r="P172" s="14" t="s">
        <v>9158</v>
      </c>
      <c r="Q172" s="14" t="s">
        <v>9158</v>
      </c>
      <c r="R172" s="14" t="s">
        <v>12680</v>
      </c>
    </row>
    <row r="173" spans="1:18">
      <c r="A173" s="14">
        <v>89171</v>
      </c>
      <c r="B173" s="14" t="s">
        <v>12676</v>
      </c>
      <c r="C173" s="14" t="s">
        <v>12678</v>
      </c>
      <c r="D173" s="14" t="s">
        <v>12683</v>
      </c>
      <c r="E173" s="15" t="str">
        <f>HYPERLINK("https://stat100.ameba.jp/tnk47/ratio20/illustrations/card/ill_89171_yuamimuman01.jpg?202005-3-RELEASE-dice-469x", "■")</f>
        <v>■</v>
      </c>
      <c r="F173" s="14" t="s">
        <v>12682</v>
      </c>
      <c r="G173" s="14">
        <v>52110</v>
      </c>
      <c r="H173" s="14">
        <v>71955</v>
      </c>
      <c r="I173" s="14">
        <v>27</v>
      </c>
      <c r="J173" s="14" t="s">
        <v>12686</v>
      </c>
      <c r="K173" s="14" t="s">
        <v>12684</v>
      </c>
      <c r="L173" s="14" t="s">
        <v>12688</v>
      </c>
      <c r="M173" s="14" t="s">
        <v>9158</v>
      </c>
      <c r="N173" s="14" t="s">
        <v>9158</v>
      </c>
      <c r="O173" s="14" t="s">
        <v>9158</v>
      </c>
      <c r="P173" s="14" t="s">
        <v>9158</v>
      </c>
      <c r="Q173" s="14" t="s">
        <v>9158</v>
      </c>
      <c r="R173" s="14" t="s">
        <v>12681</v>
      </c>
    </row>
    <row r="175" spans="1:18">
      <c r="A175" s="14" t="s">
        <v>12689</v>
      </c>
    </row>
    <row r="176" spans="1:18">
      <c r="A176" s="14" t="s">
        <v>12690</v>
      </c>
    </row>
    <row r="177" spans="1:17">
      <c r="A177" s="14" t="s">
        <v>5734</v>
      </c>
      <c r="B177" s="14" t="s">
        <v>330</v>
      </c>
      <c r="C177" s="14" t="s">
        <v>202</v>
      </c>
      <c r="D177" s="19" t="s">
        <v>2297</v>
      </c>
      <c r="E177" s="15" t="str">
        <f>HYPERLINK("https://stat100.ameba.jp/tnk47/ratio20/illustrations/card/ill_74593_0_natsuyuenchikoshihikari03.jpg?202005-3-RELEASE-dice-469x", "■")</f>
        <v>■</v>
      </c>
      <c r="F177" s="14" t="s">
        <v>1498</v>
      </c>
      <c r="G177" s="14">
        <v>270828</v>
      </c>
      <c r="H177" s="14">
        <v>251781</v>
      </c>
      <c r="I177" s="14">
        <v>25</v>
      </c>
      <c r="J177" s="14" t="s">
        <v>283</v>
      </c>
      <c r="K177" s="14" t="s">
        <v>1499</v>
      </c>
      <c r="L177" s="14" t="s">
        <v>1500</v>
      </c>
      <c r="M177" s="14" t="s">
        <v>9158</v>
      </c>
      <c r="N177" s="14" t="s">
        <v>9158</v>
      </c>
      <c r="O177" s="19" t="s">
        <v>2731</v>
      </c>
      <c r="P177" s="14" t="s">
        <v>2732</v>
      </c>
      <c r="Q177" s="14">
        <v>1</v>
      </c>
    </row>
    <row r="178" spans="1:17">
      <c r="A178" s="14">
        <v>63853</v>
      </c>
      <c r="B178" s="14" t="s">
        <v>334</v>
      </c>
      <c r="C178" s="14" t="s">
        <v>200</v>
      </c>
      <c r="D178" s="20" t="s">
        <v>10284</v>
      </c>
      <c r="E178" s="15" t="str">
        <f>HYPERLINK("https://stat100.ameba.jp/tnk47/ratio20/illustrations/card/ill_63853_daikokaijidainansosatomihakkenden03.jpg?202005-3-RELEASE-dice-469x", "■")</f>
        <v>■</v>
      </c>
      <c r="F178" s="14" t="s">
        <v>941</v>
      </c>
      <c r="G178" s="14">
        <v>105890</v>
      </c>
      <c r="H178" s="14">
        <v>105890</v>
      </c>
      <c r="I178" s="14">
        <v>25</v>
      </c>
      <c r="J178" s="14" t="s">
        <v>155</v>
      </c>
      <c r="K178" s="14" t="s">
        <v>942</v>
      </c>
      <c r="L178" s="14" t="s">
        <v>13149</v>
      </c>
      <c r="M178" s="14" t="s">
        <v>9158</v>
      </c>
      <c r="N178" s="14" t="s">
        <v>9158</v>
      </c>
      <c r="O178" s="19" t="s">
        <v>10121</v>
      </c>
      <c r="P178" s="14" t="s">
        <v>3330</v>
      </c>
      <c r="Q178" s="14">
        <v>1</v>
      </c>
    </row>
    <row r="179" spans="1:17">
      <c r="A179" s="14">
        <v>67993</v>
      </c>
      <c r="B179" s="14" t="s">
        <v>334</v>
      </c>
      <c r="C179" s="14" t="s">
        <v>205</v>
      </c>
      <c r="D179" s="20" t="s">
        <v>10183</v>
      </c>
      <c r="E179" s="15" t="str">
        <f>HYPERLINK("https://stat100.ameba.jp/tnk47/ratio20/illustrations/card/ill_67993_kurisumasupateikanekomisuzu03.jpg?202005-3-RELEASE-dice-469x", "■")</f>
        <v>■</v>
      </c>
      <c r="F179" s="14" t="s">
        <v>1286</v>
      </c>
      <c r="G179" s="14">
        <v>97651</v>
      </c>
      <c r="H179" s="14">
        <v>90759</v>
      </c>
      <c r="I179" s="14">
        <v>25</v>
      </c>
      <c r="J179" s="14" t="s">
        <v>10</v>
      </c>
      <c r="K179" s="14" t="s">
        <v>2547</v>
      </c>
      <c r="L179" s="14" t="s">
        <v>2548</v>
      </c>
      <c r="M179" s="14" t="s">
        <v>9158</v>
      </c>
      <c r="N179" s="14" t="s">
        <v>9158</v>
      </c>
      <c r="O179" s="19" t="s">
        <v>10086</v>
      </c>
      <c r="P179" s="14" t="s">
        <v>3701</v>
      </c>
      <c r="Q179" s="14">
        <v>1</v>
      </c>
    </row>
    <row r="180" spans="1:17">
      <c r="A180" s="9">
        <v>65653</v>
      </c>
      <c r="B180" s="14" t="s">
        <v>334</v>
      </c>
      <c r="C180" s="14" t="s">
        <v>335</v>
      </c>
      <c r="D180" s="14" t="s">
        <v>3411</v>
      </c>
      <c r="E180" s="15" t="str">
        <f>HYPERLINK("https://stat100.ameba.jp/tnk47/ratio20/illustrations/card/ill_65653_undokaitakamurachieko03.jpg?202005-3-RELEASE-dice-469x", "■")</f>
        <v>■</v>
      </c>
      <c r="F180" s="14" t="s">
        <v>853</v>
      </c>
      <c r="G180" s="14">
        <v>101373</v>
      </c>
      <c r="H180" s="14">
        <v>94295</v>
      </c>
      <c r="I180" s="14">
        <v>25</v>
      </c>
      <c r="J180" s="14" t="s">
        <v>414</v>
      </c>
      <c r="K180" s="14" t="s">
        <v>854</v>
      </c>
      <c r="L180" s="14" t="s">
        <v>855</v>
      </c>
      <c r="M180" s="14" t="s">
        <v>9158</v>
      </c>
      <c r="N180" s="14" t="s">
        <v>9158</v>
      </c>
      <c r="O180" s="9" t="s">
        <v>3414</v>
      </c>
      <c r="P180" s="14" t="s">
        <v>13122</v>
      </c>
      <c r="Q180" s="14">
        <v>1</v>
      </c>
    </row>
    <row r="182" spans="1:17">
      <c r="A182" s="14" t="s">
        <v>12691</v>
      </c>
    </row>
    <row r="183" spans="1:17">
      <c r="A183" s="14" t="s">
        <v>12692</v>
      </c>
    </row>
    <row r="184" spans="1:17">
      <c r="A184" s="14" t="s">
        <v>5602</v>
      </c>
      <c r="B184" s="14" t="s">
        <v>52</v>
      </c>
      <c r="C184" s="14" t="s">
        <v>14</v>
      </c>
      <c r="D184" s="19" t="s">
        <v>813</v>
      </c>
      <c r="E184" s="15" t="str">
        <f>HYPERLINK("https://stat100.ameba.jp/tnk47/ratio20/illustrations/card/ill_55313_0_haroinononokomachi03.jpg?202005-3-RELEASE-dice-469x", "■")</f>
        <v>■</v>
      </c>
      <c r="F184" s="14" t="s">
        <v>2094</v>
      </c>
      <c r="G184" s="14">
        <v>150776</v>
      </c>
      <c r="H184" s="14">
        <v>133938</v>
      </c>
      <c r="I184" s="14">
        <v>24</v>
      </c>
      <c r="J184" s="14" t="s">
        <v>10</v>
      </c>
      <c r="K184" s="14" t="s">
        <v>2095</v>
      </c>
      <c r="L184" s="14" t="s">
        <v>2096</v>
      </c>
      <c r="M184" s="14" t="s">
        <v>9158</v>
      </c>
      <c r="N184" s="14" t="s">
        <v>9158</v>
      </c>
      <c r="O184" s="19" t="s">
        <v>2733</v>
      </c>
      <c r="P184" s="14" t="s">
        <v>2734</v>
      </c>
      <c r="Q184" s="14">
        <v>1</v>
      </c>
    </row>
    <row r="185" spans="1:17">
      <c r="A185" s="14" t="s">
        <v>5606</v>
      </c>
      <c r="B185" s="14" t="s">
        <v>52</v>
      </c>
      <c r="C185" s="14" t="s">
        <v>206</v>
      </c>
      <c r="D185" s="20" t="s">
        <v>2936</v>
      </c>
      <c r="E185" s="15" t="str">
        <f>HYPERLINK("https://stat100.ameba.jp/tnk47/ratio20/illustrations/card/ill_72233_0_koinoboriryugujin03.jpg?202005-3-RELEASE-dice-469x", "■")</f>
        <v>■</v>
      </c>
      <c r="F185" s="14" t="s">
        <v>1012</v>
      </c>
      <c r="G185" s="14">
        <v>157432</v>
      </c>
      <c r="H185" s="14">
        <v>169334</v>
      </c>
      <c r="I185" s="14">
        <v>24</v>
      </c>
      <c r="J185" s="14" t="s">
        <v>44</v>
      </c>
      <c r="K185" s="14" t="s">
        <v>1013</v>
      </c>
      <c r="L185" s="14" t="s">
        <v>1014</v>
      </c>
      <c r="M185" s="14" t="s">
        <v>9158</v>
      </c>
      <c r="N185" s="14" t="s">
        <v>9158</v>
      </c>
      <c r="O185" s="19" t="s">
        <v>2940</v>
      </c>
      <c r="P185" s="14" t="s">
        <v>2941</v>
      </c>
      <c r="Q185" s="14">
        <v>2</v>
      </c>
    </row>
    <row r="186" spans="1:17">
      <c r="A186" s="14" t="s">
        <v>5627</v>
      </c>
      <c r="B186" s="14" t="s">
        <v>330</v>
      </c>
      <c r="C186" s="14" t="s">
        <v>191</v>
      </c>
      <c r="D186" s="19" t="s">
        <v>393</v>
      </c>
      <c r="E186" s="15" t="str">
        <f>HYPERLINK("https://stat100.ameba.jp/tnk47/ratio20/illustrations/card/ill_46283_0_odanobunaga03.jpg?202005-3-RELEASE-dice-469x", "■")</f>
        <v>■</v>
      </c>
      <c r="F186" s="14" t="s">
        <v>1073</v>
      </c>
      <c r="G186" s="14">
        <v>131538</v>
      </c>
      <c r="H186" s="14">
        <v>140448</v>
      </c>
      <c r="I186" s="14">
        <v>24</v>
      </c>
      <c r="J186" s="14" t="s">
        <v>143</v>
      </c>
      <c r="K186" s="14" t="s">
        <v>1074</v>
      </c>
      <c r="L186" s="14" t="s">
        <v>1075</v>
      </c>
      <c r="M186" s="14" t="s">
        <v>9158</v>
      </c>
      <c r="N186" s="14" t="s">
        <v>9158</v>
      </c>
      <c r="O186" s="14" t="s">
        <v>9158</v>
      </c>
      <c r="P186" s="14" t="s">
        <v>9158</v>
      </c>
      <c r="Q186" s="14" t="s">
        <v>9158</v>
      </c>
    </row>
    <row r="187" spans="1:17">
      <c r="A187" s="14">
        <v>89243</v>
      </c>
      <c r="B187" s="14" t="s">
        <v>0</v>
      </c>
      <c r="C187" s="14" t="s">
        <v>1</v>
      </c>
      <c r="D187" s="14" t="s">
        <v>12643</v>
      </c>
      <c r="E187" s="15" t="str">
        <f>HYPERLINK("https://stat100.ameba.jp/tnk47/ratio20/illustrations/card/ill_89243_kajinoinona03.jpg?202005-3-RELEASE-dice-469x", "■")</f>
        <v>■</v>
      </c>
      <c r="F187" s="14" t="s">
        <v>12647</v>
      </c>
      <c r="G187" s="14">
        <v>101558</v>
      </c>
      <c r="H187" s="14">
        <v>94390</v>
      </c>
      <c r="I187" s="7">
        <v>26</v>
      </c>
      <c r="J187" s="14" t="s">
        <v>10</v>
      </c>
      <c r="K187" s="14" t="s">
        <v>12649</v>
      </c>
      <c r="L187" s="14" t="s">
        <v>12648</v>
      </c>
      <c r="M187" s="14" t="s">
        <v>9158</v>
      </c>
      <c r="N187" s="14" t="s">
        <v>9158</v>
      </c>
      <c r="O187" s="14" t="s">
        <v>9158</v>
      </c>
      <c r="P187" s="14" t="s">
        <v>9158</v>
      </c>
      <c r="Q187" s="14" t="s">
        <v>9158</v>
      </c>
    </row>
    <row r="188" spans="1:17">
      <c r="A188" s="14">
        <v>89263</v>
      </c>
      <c r="B188" s="14" t="s">
        <v>15</v>
      </c>
      <c r="C188" s="14" t="s">
        <v>107</v>
      </c>
      <c r="D188" s="14" t="s">
        <v>12657</v>
      </c>
      <c r="E188" s="15" t="str">
        <f>HYPERLINK("https://stat100.ameba.jp/tnk47/ratio20/illustrations/card/ill_89263_kuraburaikirimaru03.jpg?202005-3-RELEASE-dice-469x", "■")</f>
        <v>■</v>
      </c>
      <c r="F188" s="14" t="s">
        <v>12659</v>
      </c>
      <c r="G188" s="14">
        <v>77064</v>
      </c>
      <c r="H188" s="14">
        <v>69898</v>
      </c>
      <c r="I188" s="7">
        <v>26</v>
      </c>
      <c r="J188" s="14" t="s">
        <v>44</v>
      </c>
      <c r="K188" s="14" t="s">
        <v>12661</v>
      </c>
      <c r="L188" s="14" t="s">
        <v>3271</v>
      </c>
      <c r="M188" s="14" t="s">
        <v>9158</v>
      </c>
      <c r="N188" s="14" t="s">
        <v>9158</v>
      </c>
      <c r="O188" s="14" t="s">
        <v>9158</v>
      </c>
      <c r="P188" s="14" t="s">
        <v>9158</v>
      </c>
      <c r="Q188" s="14" t="s">
        <v>9158</v>
      </c>
    </row>
    <row r="189" spans="1:17">
      <c r="A189" s="14">
        <v>89273</v>
      </c>
      <c r="B189" s="14" t="s">
        <v>22</v>
      </c>
      <c r="C189" s="14" t="s">
        <v>14</v>
      </c>
      <c r="D189" s="14" t="s">
        <v>12663</v>
      </c>
      <c r="E189" s="15" t="str">
        <f>HYPERLINK("https://stat100.ameba.jp/tnk47/ratio20/illustrations/card/ill_89273_kajinohikeshimusume03.jpg?202005-3-RELEASE-dice-469x", "■")</f>
        <v>■</v>
      </c>
      <c r="F189" s="14" t="s">
        <v>12665</v>
      </c>
      <c r="G189" s="14">
        <v>44948</v>
      </c>
      <c r="H189" s="14">
        <v>54058</v>
      </c>
      <c r="I189" s="7">
        <v>26</v>
      </c>
      <c r="J189" s="14" t="s">
        <v>73</v>
      </c>
      <c r="K189" s="14" t="s">
        <v>12666</v>
      </c>
      <c r="L189" s="14" t="s">
        <v>5881</v>
      </c>
      <c r="M189" s="14" t="s">
        <v>9158</v>
      </c>
      <c r="N189" s="14" t="s">
        <v>9158</v>
      </c>
      <c r="O189" s="14" t="s">
        <v>9158</v>
      </c>
      <c r="P189" s="14" t="s">
        <v>9158</v>
      </c>
      <c r="Q189" s="14" t="s">
        <v>9158</v>
      </c>
    </row>
    <row r="190" spans="1:17">
      <c r="A190" s="14">
        <v>89283</v>
      </c>
      <c r="B190" s="14" t="s">
        <v>30</v>
      </c>
      <c r="C190" s="14" t="s">
        <v>12669</v>
      </c>
      <c r="D190" s="14" t="s">
        <v>12668</v>
      </c>
      <c r="E190" s="15" t="str">
        <f>HYPERLINK("https://stat100.ameba.jp/tnk47/ratio20/illustrations/card/ill_89283_oukyuuchurippuchan03.jpg?202005-3-RELEASE-dice-469x", "■")</f>
        <v>■</v>
      </c>
      <c r="F190" s="14" t="s">
        <v>12670</v>
      </c>
      <c r="G190" s="14">
        <v>32728</v>
      </c>
      <c r="H190" s="14">
        <v>27486</v>
      </c>
      <c r="I190" s="7">
        <v>26</v>
      </c>
      <c r="J190" s="14" t="s">
        <v>26</v>
      </c>
      <c r="K190" s="14" t="s">
        <v>12672</v>
      </c>
      <c r="L190" s="14" t="s">
        <v>5318</v>
      </c>
      <c r="M190" s="14" t="s">
        <v>9158</v>
      </c>
      <c r="N190" s="14" t="s">
        <v>9158</v>
      </c>
      <c r="O190" s="14" t="s">
        <v>9158</v>
      </c>
      <c r="P190" s="14" t="s">
        <v>9158</v>
      </c>
      <c r="Q190" s="14" t="s">
        <v>9158</v>
      </c>
    </row>
    <row r="192" spans="1:17">
      <c r="A192" s="14" t="s">
        <v>12693</v>
      </c>
    </row>
    <row r="193" spans="1:17">
      <c r="A193" s="14" t="s">
        <v>12694</v>
      </c>
    </row>
    <row r="194" spans="1:17">
      <c r="A194" s="14" t="s">
        <v>5787</v>
      </c>
      <c r="B194" s="14" t="s">
        <v>330</v>
      </c>
      <c r="C194" s="14" t="s">
        <v>270</v>
      </c>
      <c r="D194" s="19" t="s">
        <v>331</v>
      </c>
      <c r="E194" s="15" t="str">
        <f>HYPERLINK("https://stat100.ameba.jp/tnk47/ratio20/illustrations/card/ill_76303_0_haroinkaguya03.jpg?202005-3-RELEASE-dice-469x", "■")</f>
        <v>■</v>
      </c>
      <c r="F194" s="14" t="s">
        <v>332</v>
      </c>
      <c r="G194" s="14">
        <v>297513</v>
      </c>
      <c r="H194" s="14">
        <v>276589</v>
      </c>
      <c r="I194" s="14">
        <v>25</v>
      </c>
      <c r="J194" s="14" t="s">
        <v>274</v>
      </c>
      <c r="K194" s="14" t="s">
        <v>333</v>
      </c>
      <c r="L194" s="14" t="s">
        <v>276</v>
      </c>
      <c r="M194" s="14" t="s">
        <v>9158</v>
      </c>
      <c r="N194" s="14" t="s">
        <v>9158</v>
      </c>
      <c r="O194" s="19" t="s">
        <v>2976</v>
      </c>
      <c r="P194" s="14" t="s">
        <v>2724</v>
      </c>
      <c r="Q194" s="14">
        <v>1</v>
      </c>
    </row>
    <row r="195" spans="1:17">
      <c r="A195" s="9">
        <v>76803</v>
      </c>
      <c r="B195" s="14" t="s">
        <v>334</v>
      </c>
      <c r="C195" s="14" t="s">
        <v>202</v>
      </c>
      <c r="D195" s="14" t="s">
        <v>2436</v>
      </c>
      <c r="E195" s="15" t="str">
        <f>HYPERLINK("https://stat100.ameba.jp/tnk47/ratio20/illustrations/card/ill_76803_monsutakujirachan03.jpg?202005-3-RELEASE-dice-469x", "■")</f>
        <v>■</v>
      </c>
      <c r="F195" s="14" t="s">
        <v>674</v>
      </c>
      <c r="G195" s="14">
        <v>159674</v>
      </c>
      <c r="H195" s="14">
        <v>115656</v>
      </c>
      <c r="I195" s="14">
        <v>24</v>
      </c>
      <c r="J195" s="14" t="s">
        <v>283</v>
      </c>
      <c r="K195" s="14" t="s">
        <v>675</v>
      </c>
      <c r="L195" s="14" t="s">
        <v>435</v>
      </c>
      <c r="M195" s="14" t="s">
        <v>9158</v>
      </c>
      <c r="N195" s="14" t="s">
        <v>9158</v>
      </c>
      <c r="O195" s="9" t="s">
        <v>3165</v>
      </c>
      <c r="P195" s="14" t="s">
        <v>13139</v>
      </c>
      <c r="Q195" s="14">
        <v>1</v>
      </c>
    </row>
    <row r="196" spans="1:17">
      <c r="A196" s="14">
        <v>78143</v>
      </c>
      <c r="B196" s="14" t="s">
        <v>334</v>
      </c>
      <c r="C196" s="14" t="s">
        <v>203</v>
      </c>
      <c r="D196" s="20" t="s">
        <v>10285</v>
      </c>
      <c r="E196" s="15" t="str">
        <f>HYPERLINK("https://stat100.ameba.jp/tnk47/ratio20/illustrations/card/ill_78143_kanibarukuin03.jpg?202005-3-RELEASE-dice-469x", "■")</f>
        <v>■</v>
      </c>
      <c r="F196" s="14" t="s">
        <v>2687</v>
      </c>
      <c r="G196" s="14">
        <v>88624</v>
      </c>
      <c r="H196" s="14">
        <v>122366</v>
      </c>
      <c r="I196" s="14">
        <v>24</v>
      </c>
      <c r="J196" s="14" t="s">
        <v>26</v>
      </c>
      <c r="K196" s="14" t="s">
        <v>2688</v>
      </c>
      <c r="L196" s="14" t="s">
        <v>2137</v>
      </c>
      <c r="M196" s="14" t="s">
        <v>9158</v>
      </c>
      <c r="N196" s="14" t="s">
        <v>9158</v>
      </c>
      <c r="O196" s="19" t="s">
        <v>10103</v>
      </c>
      <c r="P196" s="14" t="s">
        <v>3897</v>
      </c>
      <c r="Q196" s="14">
        <v>1</v>
      </c>
    </row>
    <row r="197" spans="1:17">
      <c r="A197" s="14">
        <v>78133</v>
      </c>
      <c r="B197" s="14" t="s">
        <v>0</v>
      </c>
      <c r="C197" s="14" t="s">
        <v>154</v>
      </c>
      <c r="D197" s="20" t="s">
        <v>10313</v>
      </c>
      <c r="E197" s="15" t="str">
        <f>HYPERLINK("https://stat100.ameba.jp/tnk47/ratio20/illustrations/card/ill_78133_akazukin03.jpg?202005-3-RELEASE-dice-469x", "■")</f>
        <v>■</v>
      </c>
      <c r="F197" s="14" t="s">
        <v>2202</v>
      </c>
      <c r="G197" s="14">
        <v>88706</v>
      </c>
      <c r="H197" s="14">
        <v>122476</v>
      </c>
      <c r="I197" s="14">
        <v>24</v>
      </c>
      <c r="J197" s="14" t="s">
        <v>38</v>
      </c>
      <c r="K197" s="14" t="s">
        <v>2203</v>
      </c>
      <c r="L197" s="14" t="s">
        <v>2204</v>
      </c>
      <c r="M197" s="14" t="s">
        <v>9158</v>
      </c>
      <c r="N197" s="14" t="s">
        <v>9158</v>
      </c>
      <c r="O197" s="19" t="s">
        <v>2917</v>
      </c>
      <c r="P197" s="14" t="s">
        <v>3531</v>
      </c>
      <c r="Q197" s="14">
        <v>1</v>
      </c>
    </row>
    <row r="199" spans="1:17">
      <c r="A199" s="14" t="s">
        <v>12695</v>
      </c>
    </row>
    <row r="200" spans="1:17">
      <c r="A200" s="14" t="s">
        <v>12696</v>
      </c>
    </row>
    <row r="201" spans="1:17">
      <c r="A201" s="9" t="s">
        <v>5642</v>
      </c>
      <c r="B201" s="14" t="s">
        <v>52</v>
      </c>
      <c r="C201" s="14" t="s">
        <v>185</v>
      </c>
      <c r="D201" s="14" t="s">
        <v>2430</v>
      </c>
      <c r="E201" s="15" t="str">
        <f>HYPERLINK("https://stat100.ameba.jp/tnk47/ratio20/illustrations/card/ill_69593_0_setsubunyukionna03.jpg?202005-3-RELEASE-dice-469x", "■")</f>
        <v>■</v>
      </c>
      <c r="F201" s="14" t="s">
        <v>2431</v>
      </c>
      <c r="G201" s="14">
        <v>157150</v>
      </c>
      <c r="H201" s="14">
        <v>169032</v>
      </c>
      <c r="I201" s="14">
        <v>22</v>
      </c>
      <c r="J201" s="14" t="s">
        <v>73</v>
      </c>
      <c r="K201" s="14" t="s">
        <v>2432</v>
      </c>
      <c r="L201" s="14" t="s">
        <v>2433</v>
      </c>
      <c r="M201" s="14" t="s">
        <v>9158</v>
      </c>
      <c r="N201" s="14" t="s">
        <v>9158</v>
      </c>
      <c r="O201" s="9" t="s">
        <v>3599</v>
      </c>
      <c r="P201" s="14" t="s">
        <v>3600</v>
      </c>
      <c r="Q201" s="14">
        <v>2</v>
      </c>
    </row>
    <row r="202" spans="1:17">
      <c r="A202" s="14" t="s">
        <v>5606</v>
      </c>
      <c r="B202" s="14" t="s">
        <v>52</v>
      </c>
      <c r="C202" s="14" t="s">
        <v>206</v>
      </c>
      <c r="D202" s="19" t="s">
        <v>2936</v>
      </c>
      <c r="E202" s="15" t="str">
        <f>HYPERLINK("https://stat100.ameba.jp/tnk47/ratio20/illustrations/card/ill_72233_0_koinoboriryugujin03.jpg?202005-3-RELEASE-dice-469x", "■")</f>
        <v>■</v>
      </c>
      <c r="F202" s="14" t="s">
        <v>1012</v>
      </c>
      <c r="G202" s="14">
        <v>144312</v>
      </c>
      <c r="H202" s="14">
        <v>155224</v>
      </c>
      <c r="I202" s="14">
        <v>22</v>
      </c>
      <c r="J202" s="14" t="s">
        <v>44</v>
      </c>
      <c r="K202" s="14" t="s">
        <v>1013</v>
      </c>
      <c r="L202" s="14" t="s">
        <v>1014</v>
      </c>
      <c r="M202" s="14" t="s">
        <v>9158</v>
      </c>
      <c r="N202" s="14" t="s">
        <v>9158</v>
      </c>
      <c r="O202" s="7" t="s">
        <v>3419</v>
      </c>
      <c r="P202" s="14" t="s">
        <v>3420</v>
      </c>
      <c r="Q202" s="14">
        <v>2</v>
      </c>
    </row>
    <row r="203" spans="1:17">
      <c r="A203" s="14" t="s">
        <v>9473</v>
      </c>
      <c r="B203" s="14" t="s">
        <v>330</v>
      </c>
      <c r="C203" s="14" t="s">
        <v>191</v>
      </c>
      <c r="D203" s="19" t="s">
        <v>393</v>
      </c>
      <c r="E203" s="15" t="str">
        <f>HYPERLINK("https://stat100.ameba.jp/tnk47/ratio20/illustrations/card/ill_46283_0_odanobunaga03.jpg?202005-3-RELEASE-dice-469x", "■")</f>
        <v>■</v>
      </c>
      <c r="F203" s="14" t="s">
        <v>1073</v>
      </c>
      <c r="G203" s="14">
        <v>120576</v>
      </c>
      <c r="H203" s="14">
        <v>128744</v>
      </c>
      <c r="I203" s="14">
        <v>22</v>
      </c>
      <c r="J203" s="14" t="s">
        <v>143</v>
      </c>
      <c r="K203" s="14" t="s">
        <v>1074</v>
      </c>
      <c r="L203" s="14" t="s">
        <v>1075</v>
      </c>
      <c r="M203" s="14" t="s">
        <v>9158</v>
      </c>
      <c r="N203" s="14" t="s">
        <v>9158</v>
      </c>
      <c r="O203" s="9" t="s">
        <v>9158</v>
      </c>
      <c r="P203" s="14" t="s">
        <v>9158</v>
      </c>
      <c r="Q203" s="14" t="s">
        <v>9158</v>
      </c>
    </row>
    <row r="204" spans="1:17">
      <c r="A204" s="14">
        <v>70803</v>
      </c>
      <c r="B204" s="14" t="s">
        <v>334</v>
      </c>
      <c r="C204" s="14" t="s">
        <v>96</v>
      </c>
      <c r="D204" s="19" t="s">
        <v>10341</v>
      </c>
      <c r="E204" s="15" t="str">
        <f>HYPERLINK("https://stat100.ameba.jp/tnk47/ratio20/illustrations/card/ill_70803_awabichan03.jpg?202005-3-RELEASE-dice-469x", "■")</f>
        <v>■</v>
      </c>
      <c r="F204" s="14" t="s">
        <v>2465</v>
      </c>
      <c r="G204" s="14">
        <v>73272</v>
      </c>
      <c r="H204" s="14">
        <v>130220</v>
      </c>
      <c r="I204" s="14">
        <v>26</v>
      </c>
      <c r="J204" s="14" t="s">
        <v>104</v>
      </c>
      <c r="K204" s="14" t="s">
        <v>2466</v>
      </c>
      <c r="L204" s="14" t="s">
        <v>1924</v>
      </c>
      <c r="M204" s="14" t="s">
        <v>9158</v>
      </c>
      <c r="N204" s="14" t="s">
        <v>9158</v>
      </c>
      <c r="O204" s="14" t="s">
        <v>9158</v>
      </c>
      <c r="P204" s="14" t="s">
        <v>9158</v>
      </c>
      <c r="Q204" s="14" t="s">
        <v>9158</v>
      </c>
    </row>
    <row r="205" spans="1:17">
      <c r="A205" s="14">
        <v>74313</v>
      </c>
      <c r="B205" s="14" t="s">
        <v>334</v>
      </c>
      <c r="C205" s="14" t="s">
        <v>185</v>
      </c>
      <c r="D205" s="20" t="s">
        <v>10911</v>
      </c>
      <c r="E205" s="15" t="str">
        <f>HYPERLINK("https://stat100.ameba.jp/tnk47/ratio20/illustrations/card/ill_74313_towadako03.jpg?202005-3-RELEASE-dice-469x", "■")</f>
        <v>■</v>
      </c>
      <c r="F205" s="14" t="s">
        <v>4689</v>
      </c>
      <c r="G205" s="14">
        <v>82310</v>
      </c>
      <c r="H205" s="14">
        <v>146262</v>
      </c>
      <c r="I205" s="14">
        <v>26</v>
      </c>
      <c r="J205" s="14" t="s">
        <v>26</v>
      </c>
      <c r="K205" s="14" t="s">
        <v>4690</v>
      </c>
      <c r="L205" s="14" t="s">
        <v>2137</v>
      </c>
      <c r="M205" s="14" t="s">
        <v>9158</v>
      </c>
      <c r="N205" s="14" t="s">
        <v>9158</v>
      </c>
      <c r="O205" s="14" t="s">
        <v>9158</v>
      </c>
      <c r="P205" s="14" t="s">
        <v>9158</v>
      </c>
      <c r="Q205" s="14" t="s">
        <v>9158</v>
      </c>
    </row>
    <row r="206" spans="1:17">
      <c r="A206" s="7">
        <v>85793</v>
      </c>
      <c r="B206" s="7" t="s">
        <v>0</v>
      </c>
      <c r="C206" s="7" t="s">
        <v>200</v>
      </c>
      <c r="D206" s="20" t="s">
        <v>10851</v>
      </c>
      <c r="E206" s="15" t="str">
        <f>HYPERLINK("https://stat100.ameba.jp/tnk47/ratio20/illustrations/card/ill_85793_monsutaashikagatakauji03.jpg?202005-3-RELEASE-dice-469x", "■")</f>
        <v>■</v>
      </c>
      <c r="F206" s="7" t="s">
        <v>8632</v>
      </c>
      <c r="G206" s="7">
        <v>143714</v>
      </c>
      <c r="H206" s="7">
        <v>154562</v>
      </c>
      <c r="I206" s="7">
        <v>26</v>
      </c>
      <c r="J206" s="14" t="s">
        <v>310</v>
      </c>
      <c r="K206" s="7" t="s">
        <v>8631</v>
      </c>
      <c r="L206" s="7" t="s">
        <v>5541</v>
      </c>
      <c r="M206" s="14" t="s">
        <v>9158</v>
      </c>
      <c r="N206" s="14" t="s">
        <v>9158</v>
      </c>
      <c r="O206" s="14" t="s">
        <v>9158</v>
      </c>
      <c r="P206" s="14" t="s">
        <v>9158</v>
      </c>
      <c r="Q206" s="14" t="s">
        <v>9158</v>
      </c>
    </row>
    <row r="208" spans="1:17">
      <c r="A208" s="14" t="s">
        <v>12697</v>
      </c>
    </row>
    <row r="209" spans="1:17">
      <c r="A209" s="14" t="s">
        <v>12698</v>
      </c>
    </row>
    <row r="210" spans="1:17">
      <c r="A210" s="14">
        <v>84733</v>
      </c>
      <c r="B210" s="14" t="s">
        <v>0</v>
      </c>
      <c r="C210" s="14" t="s">
        <v>154</v>
      </c>
      <c r="D210" s="19" t="s">
        <v>10677</v>
      </c>
      <c r="E210" s="15" t="str">
        <f>HYPERLINK("https://stat100.ameba.jp/tnk47/ratio20/illustrations/card/ill_84733_madadoru03.jpg?202005-3-RELEASE-dice-469x", "■")</f>
        <v>■</v>
      </c>
      <c r="F210" s="14" t="s">
        <v>7293</v>
      </c>
      <c r="G210" s="14">
        <v>116452</v>
      </c>
      <c r="H210" s="14">
        <v>108276</v>
      </c>
      <c r="I210" s="14">
        <v>27</v>
      </c>
      <c r="J210" s="14" t="s">
        <v>182</v>
      </c>
      <c r="K210" s="14" t="s">
        <v>7296</v>
      </c>
      <c r="L210" s="14" t="s">
        <v>7295</v>
      </c>
      <c r="M210" s="14" t="s">
        <v>9158</v>
      </c>
      <c r="N210" s="14" t="s">
        <v>9158</v>
      </c>
      <c r="O210" s="14" t="s">
        <v>9158</v>
      </c>
      <c r="P210" s="14" t="s">
        <v>9158</v>
      </c>
      <c r="Q210" s="14" t="s">
        <v>9158</v>
      </c>
    </row>
    <row r="211" spans="1:17">
      <c r="A211" s="14">
        <v>84743</v>
      </c>
      <c r="B211" s="14" t="s">
        <v>0</v>
      </c>
      <c r="C211" s="14" t="s">
        <v>158</v>
      </c>
      <c r="D211" s="19" t="s">
        <v>10678</v>
      </c>
      <c r="E211" s="15" t="str">
        <f>HYPERLINK("https://stat100.ameba.jp/tnk47/ratio20/illustrations/card/ill_84743_rinnenonyumpe03.jpg?202005-3-RELEASE-dice-469x", "■")</f>
        <v>■</v>
      </c>
      <c r="F211" s="14" t="s">
        <v>7294</v>
      </c>
      <c r="G211" s="14">
        <v>116452</v>
      </c>
      <c r="H211" s="14">
        <v>108276</v>
      </c>
      <c r="I211" s="14">
        <v>27</v>
      </c>
      <c r="J211" s="14" t="s">
        <v>169</v>
      </c>
      <c r="K211" s="14" t="s">
        <v>7297</v>
      </c>
      <c r="L211" s="14" t="s">
        <v>7298</v>
      </c>
      <c r="M211" s="14" t="s">
        <v>9158</v>
      </c>
      <c r="N211" s="14" t="s">
        <v>9158</v>
      </c>
      <c r="O211" s="14" t="s">
        <v>9158</v>
      </c>
      <c r="P211" s="14" t="s">
        <v>9158</v>
      </c>
      <c r="Q211" s="14" t="s">
        <v>9158</v>
      </c>
    </row>
    <row r="212" spans="1:17">
      <c r="A212" s="14">
        <v>69883</v>
      </c>
      <c r="B212" s="14" t="s">
        <v>334</v>
      </c>
      <c r="C212" s="14" t="s">
        <v>185</v>
      </c>
      <c r="D212" s="19" t="s">
        <v>10293</v>
      </c>
      <c r="E212" s="15" t="str">
        <f>HYPERLINK("https://stat100.ameba.jp/tnk47/ratio20/illustrations/card/ill_69883_kyupiddotominushihime03.jpg?202005-3-RELEASE-dice-469x", "■")</f>
        <v>■</v>
      </c>
      <c r="F212" s="14" t="s">
        <v>4142</v>
      </c>
      <c r="G212" s="14">
        <v>102386</v>
      </c>
      <c r="H212" s="14">
        <v>110129</v>
      </c>
      <c r="I212" s="14">
        <v>27</v>
      </c>
      <c r="J212" s="14" t="s">
        <v>169</v>
      </c>
      <c r="K212" s="14" t="s">
        <v>4143</v>
      </c>
      <c r="L212" s="14" t="s">
        <v>13190</v>
      </c>
      <c r="M212" s="14" t="s">
        <v>9158</v>
      </c>
      <c r="N212" s="14" t="s">
        <v>9158</v>
      </c>
      <c r="O212" s="14" t="s">
        <v>9158</v>
      </c>
      <c r="P212" s="14" t="s">
        <v>9158</v>
      </c>
      <c r="Q212" s="14" t="s">
        <v>9158</v>
      </c>
    </row>
    <row r="213" spans="1:17">
      <c r="A213" s="9">
        <v>67243</v>
      </c>
      <c r="B213" s="14" t="s">
        <v>334</v>
      </c>
      <c r="C213" s="9" t="s">
        <v>205</v>
      </c>
      <c r="D213" s="20" t="s">
        <v>10199</v>
      </c>
      <c r="E213" s="15" t="str">
        <f>HYPERLINK("https://stat100.ameba.jp/tnk47/ratio20/illustrations/card/ill_67243_onsenyadomoryo03.jpg?202005-3-RELEASE-dice-469x", "■")</f>
        <v>■</v>
      </c>
      <c r="F213" s="9" t="s">
        <v>3638</v>
      </c>
      <c r="G213" s="9">
        <v>104619</v>
      </c>
      <c r="H213" s="9">
        <v>112496</v>
      </c>
      <c r="I213" s="14">
        <v>27</v>
      </c>
      <c r="J213" s="9" t="s">
        <v>182</v>
      </c>
      <c r="K213" s="9" t="s">
        <v>3639</v>
      </c>
      <c r="L213" s="9" t="s">
        <v>3640</v>
      </c>
      <c r="M213" s="14" t="s">
        <v>9158</v>
      </c>
      <c r="N213" s="14" t="s">
        <v>9158</v>
      </c>
      <c r="O213" s="14" t="s">
        <v>9158</v>
      </c>
      <c r="P213" s="14" t="s">
        <v>9158</v>
      </c>
      <c r="Q213" s="14" t="s">
        <v>9158</v>
      </c>
    </row>
    <row r="214" spans="1:17">
      <c r="A214" s="14">
        <v>52973</v>
      </c>
      <c r="B214" s="14" t="s">
        <v>15</v>
      </c>
      <c r="C214" s="14" t="s">
        <v>206</v>
      </c>
      <c r="D214" s="19" t="s">
        <v>10519</v>
      </c>
      <c r="E214" s="15" t="str">
        <f>HYPERLINK("https://stat100.ameba.jp/tnk47/ratio20/illustrations/card/ill_52973_torampuamoronagu03.jpg?202005-3-RELEASE-dice-469x", "■")</f>
        <v>■</v>
      </c>
      <c r="F214" s="14" t="s">
        <v>6421</v>
      </c>
      <c r="G214" s="14">
        <v>80028</v>
      </c>
      <c r="H214" s="14">
        <v>72586</v>
      </c>
      <c r="I214" s="14">
        <v>27</v>
      </c>
      <c r="J214" s="14" t="s">
        <v>44</v>
      </c>
      <c r="K214" s="14" t="s">
        <v>6419</v>
      </c>
      <c r="L214" s="14" t="s">
        <v>6418</v>
      </c>
      <c r="M214" s="14" t="s">
        <v>9158</v>
      </c>
      <c r="N214" s="14" t="s">
        <v>9158</v>
      </c>
      <c r="O214" s="14" t="s">
        <v>9158</v>
      </c>
      <c r="P214" s="14" t="s">
        <v>9158</v>
      </c>
      <c r="Q214" s="14" t="s">
        <v>9158</v>
      </c>
    </row>
    <row r="215" spans="1:17">
      <c r="A215" s="14">
        <v>52333</v>
      </c>
      <c r="B215" s="14" t="s">
        <v>15</v>
      </c>
      <c r="C215" s="14" t="s">
        <v>200</v>
      </c>
      <c r="D215" s="19" t="s">
        <v>10537</v>
      </c>
      <c r="E215" s="15" t="str">
        <f>HYPERLINK("https://stat100.ameba.jp/tnk47/ratio20/illustrations/card/ill_52333_chichibuyomatsuri03.jpg?202005-3-RELEASE-dice-469x", "■")</f>
        <v>■</v>
      </c>
      <c r="F215" s="14" t="s">
        <v>3614</v>
      </c>
      <c r="G215" s="14">
        <v>80028</v>
      </c>
      <c r="H215" s="14">
        <v>72586</v>
      </c>
      <c r="I215" s="14">
        <v>27</v>
      </c>
      <c r="J215" s="14" t="s">
        <v>38</v>
      </c>
      <c r="K215" s="14" t="s">
        <v>3615</v>
      </c>
      <c r="L215" s="14" t="s">
        <v>3616</v>
      </c>
      <c r="M215" s="14" t="s">
        <v>9158</v>
      </c>
      <c r="N215" s="14" t="s">
        <v>9158</v>
      </c>
      <c r="O215" s="14" t="s">
        <v>9158</v>
      </c>
      <c r="P215" s="14" t="s">
        <v>9158</v>
      </c>
      <c r="Q215" s="14" t="s">
        <v>9158</v>
      </c>
    </row>
    <row r="216" spans="1:17">
      <c r="A216" s="14">
        <v>51913</v>
      </c>
      <c r="B216" s="14" t="s">
        <v>15</v>
      </c>
      <c r="C216" s="14" t="s">
        <v>191</v>
      </c>
      <c r="D216" s="19" t="s">
        <v>10538</v>
      </c>
      <c r="E216" s="15" t="str">
        <f>HYPERLINK("https://stat100.ameba.jp/tnk47/ratio20/illustrations/card/ill_51913_kemonomizugihamahime03.jpg?202005-3-RELEASE-dice-469x", "■")</f>
        <v>■</v>
      </c>
      <c r="F216" s="14" t="s">
        <v>6501</v>
      </c>
      <c r="G216" s="14">
        <v>72586</v>
      </c>
      <c r="H216" s="14">
        <v>80028</v>
      </c>
      <c r="I216" s="14">
        <v>27</v>
      </c>
      <c r="J216" s="14" t="s">
        <v>182</v>
      </c>
      <c r="K216" s="14" t="s">
        <v>6500</v>
      </c>
      <c r="L216" s="14" t="s">
        <v>6499</v>
      </c>
      <c r="M216" s="14" t="s">
        <v>9158</v>
      </c>
      <c r="N216" s="14" t="s">
        <v>9158</v>
      </c>
      <c r="O216" s="14" t="s">
        <v>9158</v>
      </c>
      <c r="P216" s="14" t="s">
        <v>9158</v>
      </c>
      <c r="Q216" s="14" t="s">
        <v>9158</v>
      </c>
    </row>
    <row r="217" spans="1:17">
      <c r="A217" s="14">
        <v>53203</v>
      </c>
      <c r="B217" s="14" t="s">
        <v>15</v>
      </c>
      <c r="C217" s="14" t="s">
        <v>165</v>
      </c>
      <c r="D217" s="20" t="s">
        <v>10494</v>
      </c>
      <c r="E217" s="15" t="str">
        <f>HYPERLINK("https://stat100.ameba.jp/tnk47/ratio20/illustrations/card/ill_53203_buruhawaichan03.jpg?202005-3-RELEASE-dice-469x", "■")</f>
        <v>■</v>
      </c>
      <c r="F217" s="14" t="s">
        <v>6258</v>
      </c>
      <c r="G217" s="14">
        <v>72586</v>
      </c>
      <c r="H217" s="14">
        <v>80028</v>
      </c>
      <c r="I217" s="14">
        <v>27</v>
      </c>
      <c r="J217" s="14" t="s">
        <v>104</v>
      </c>
      <c r="K217" s="14" t="s">
        <v>6261</v>
      </c>
      <c r="L217" s="14" t="s">
        <v>6260</v>
      </c>
      <c r="M217" s="14" t="s">
        <v>9158</v>
      </c>
      <c r="N217" s="14" t="s">
        <v>9158</v>
      </c>
      <c r="O217" s="14" t="s">
        <v>9158</v>
      </c>
      <c r="P217" s="14" t="s">
        <v>9158</v>
      </c>
      <c r="Q217" s="14" t="s">
        <v>9158</v>
      </c>
    </row>
    <row r="219" spans="1:17">
      <c r="A219" s="14" t="s">
        <v>207</v>
      </c>
    </row>
    <row r="220" spans="1:17">
      <c r="A220" s="14" t="s">
        <v>12699</v>
      </c>
    </row>
    <row r="221" spans="1:17">
      <c r="A221" s="14" t="s">
        <v>5618</v>
      </c>
      <c r="B221" s="14" t="s">
        <v>52</v>
      </c>
      <c r="C221" s="14" t="s">
        <v>23</v>
      </c>
      <c r="D221" s="19" t="s">
        <v>665</v>
      </c>
      <c r="E221" s="15" t="str">
        <f>HYPERLINK("https://stat100.ameba.jp/tnk47/ratio20/illustrations/card/ill_63173_0_minazukikonakaiteruko03.jpg?202005-3-RELEASE-dice-469x", "■")</f>
        <v>■</v>
      </c>
      <c r="F221" s="14" t="s">
        <v>1188</v>
      </c>
      <c r="G221" s="14">
        <v>208310</v>
      </c>
      <c r="H221" s="14">
        <v>224026</v>
      </c>
      <c r="I221" s="14">
        <v>24</v>
      </c>
      <c r="J221" s="14" t="s">
        <v>143</v>
      </c>
      <c r="K221" s="14" t="s">
        <v>1189</v>
      </c>
      <c r="L221" s="14" t="s">
        <v>1190</v>
      </c>
      <c r="M221" s="14" t="s">
        <v>9158</v>
      </c>
      <c r="N221" s="14" t="s">
        <v>9158</v>
      </c>
      <c r="O221" s="19" t="s">
        <v>10079</v>
      </c>
      <c r="P221" s="14" t="s">
        <v>3329</v>
      </c>
      <c r="Q221" s="14">
        <v>1</v>
      </c>
    </row>
    <row r="222" spans="1:17">
      <c r="A222" s="14" t="s">
        <v>6195</v>
      </c>
      <c r="B222" s="14" t="s">
        <v>52</v>
      </c>
      <c r="C222" s="14" t="s">
        <v>191</v>
      </c>
      <c r="D222" s="19" t="s">
        <v>10217</v>
      </c>
      <c r="E222" s="15" t="str">
        <f>HYPERLINK("https://stat100.ameba.jp/tnk47/ratio20/illustrations/card/ill_56493_0_poppukurisumasuikomakitsuno03.jpg?202005-3-RELEASE-dice-469x", "■")</f>
        <v>■</v>
      </c>
      <c r="F222" s="14" t="s">
        <v>1769</v>
      </c>
      <c r="G222" s="14">
        <v>150776</v>
      </c>
      <c r="H222" s="14">
        <v>133938</v>
      </c>
      <c r="I222" s="14">
        <v>24</v>
      </c>
      <c r="J222" s="14" t="s">
        <v>77</v>
      </c>
      <c r="K222" s="14" t="s">
        <v>1770</v>
      </c>
      <c r="L222" s="14" t="s">
        <v>1771</v>
      </c>
      <c r="M222" s="14" t="s">
        <v>9158</v>
      </c>
      <c r="N222" s="14" t="s">
        <v>9158</v>
      </c>
      <c r="O222" s="19" t="s">
        <v>10120</v>
      </c>
      <c r="P222" s="14" t="s">
        <v>2724</v>
      </c>
      <c r="Q222" s="14">
        <v>1</v>
      </c>
    </row>
    <row r="223" spans="1:17">
      <c r="A223" s="14" t="s">
        <v>6132</v>
      </c>
      <c r="B223" s="14" t="s">
        <v>52</v>
      </c>
      <c r="C223" s="14" t="s">
        <v>205</v>
      </c>
      <c r="D223" s="19" t="s">
        <v>702</v>
      </c>
      <c r="E223" s="15" t="str">
        <f>HYPERLINK("https://stat100.ameba.jp/tnk47/ratio20/illustrations/card/ill_50693_0_hanamizugimimuratsuru03.jpg?202005-3-RELEASE-dice-469x", "■")</f>
        <v>■</v>
      </c>
      <c r="F223" s="14" t="s">
        <v>2282</v>
      </c>
      <c r="G223" s="14">
        <v>133938</v>
      </c>
      <c r="H223" s="14">
        <v>150776</v>
      </c>
      <c r="I223" s="14">
        <v>24</v>
      </c>
      <c r="J223" s="14" t="s">
        <v>143</v>
      </c>
      <c r="K223" s="14" t="s">
        <v>2283</v>
      </c>
      <c r="L223" s="14" t="s">
        <v>2284</v>
      </c>
      <c r="M223" s="14" t="s">
        <v>9158</v>
      </c>
      <c r="N223" s="14" t="s">
        <v>9158</v>
      </c>
      <c r="O223" s="14" t="s">
        <v>9158</v>
      </c>
      <c r="P223" s="14" t="s">
        <v>9158</v>
      </c>
      <c r="Q223" s="14" t="s">
        <v>9158</v>
      </c>
    </row>
    <row r="224" spans="1:17">
      <c r="A224" s="14">
        <v>89253</v>
      </c>
      <c r="B224" s="14" t="s">
        <v>0</v>
      </c>
      <c r="C224" s="14" t="s">
        <v>96</v>
      </c>
      <c r="D224" s="14" t="s">
        <v>12651</v>
      </c>
      <c r="E224" s="15" t="str">
        <f>HYPERLINK("https://stat100.ameba.jp/tnk47/ratio20/illustrations/card/ill_89253_ushirogami03.jpg?202005-3-RELEASE-dice-469x", "■")</f>
        <v>■</v>
      </c>
      <c r="F224" s="14" t="s">
        <v>12653</v>
      </c>
      <c r="G224" s="14">
        <v>98594</v>
      </c>
      <c r="H224" s="14">
        <v>106050</v>
      </c>
      <c r="I224" s="7">
        <v>26</v>
      </c>
      <c r="J224" s="14" t="s">
        <v>73</v>
      </c>
      <c r="K224" s="14" t="s">
        <v>12655</v>
      </c>
      <c r="L224" s="14" t="s">
        <v>12656</v>
      </c>
      <c r="M224" s="14" t="s">
        <v>9158</v>
      </c>
      <c r="N224" s="14" t="s">
        <v>9158</v>
      </c>
      <c r="O224" s="14" t="s">
        <v>9158</v>
      </c>
      <c r="P224" s="14" t="s">
        <v>9158</v>
      </c>
      <c r="Q224" s="14" t="s">
        <v>9158</v>
      </c>
    </row>
    <row r="225" spans="1:17">
      <c r="A225" s="14">
        <v>89263</v>
      </c>
      <c r="B225" s="14" t="s">
        <v>15</v>
      </c>
      <c r="C225" s="14" t="s">
        <v>107</v>
      </c>
      <c r="D225" s="14" t="s">
        <v>12657</v>
      </c>
      <c r="E225" s="15" t="str">
        <f>HYPERLINK("https://stat100.ameba.jp/tnk47/ratio20/illustrations/card/ill_89263_kuraburaikirimaru03.jpg?202005-3-RELEASE-dice-469x", "■")</f>
        <v>■</v>
      </c>
      <c r="F225" s="14" t="s">
        <v>12659</v>
      </c>
      <c r="G225" s="14">
        <v>77064</v>
      </c>
      <c r="H225" s="14">
        <v>69898</v>
      </c>
      <c r="I225" s="7">
        <v>26</v>
      </c>
      <c r="J225" s="14" t="s">
        <v>44</v>
      </c>
      <c r="K225" s="14" t="s">
        <v>12661</v>
      </c>
      <c r="L225" s="14" t="s">
        <v>3271</v>
      </c>
      <c r="M225" s="14" t="s">
        <v>9158</v>
      </c>
      <c r="N225" s="14" t="s">
        <v>9158</v>
      </c>
      <c r="O225" s="14" t="s">
        <v>9158</v>
      </c>
      <c r="P225" s="14" t="s">
        <v>9158</v>
      </c>
      <c r="Q225" s="14" t="s">
        <v>9158</v>
      </c>
    </row>
    <row r="226" spans="1:17">
      <c r="A226" s="14">
        <v>89273</v>
      </c>
      <c r="B226" s="14" t="s">
        <v>22</v>
      </c>
      <c r="C226" s="14" t="s">
        <v>14</v>
      </c>
      <c r="D226" s="14" t="s">
        <v>12663</v>
      </c>
      <c r="E226" s="15" t="str">
        <f>HYPERLINK("https://stat100.ameba.jp/tnk47/ratio20/illustrations/card/ill_89273_kajinohikeshimusume03.jpg?202005-3-RELEASE-dice-469x", "■")</f>
        <v>■</v>
      </c>
      <c r="F226" s="14" t="s">
        <v>12665</v>
      </c>
      <c r="G226" s="14">
        <v>44948</v>
      </c>
      <c r="H226" s="14">
        <v>54058</v>
      </c>
      <c r="I226" s="7">
        <v>26</v>
      </c>
      <c r="J226" s="14" t="s">
        <v>73</v>
      </c>
      <c r="K226" s="14" t="s">
        <v>12666</v>
      </c>
      <c r="L226" s="14" t="s">
        <v>5881</v>
      </c>
      <c r="M226" s="14" t="s">
        <v>9158</v>
      </c>
      <c r="N226" s="14" t="s">
        <v>9158</v>
      </c>
      <c r="O226" s="14" t="s">
        <v>9158</v>
      </c>
      <c r="P226" s="14" t="s">
        <v>9158</v>
      </c>
      <c r="Q226" s="14" t="s">
        <v>9158</v>
      </c>
    </row>
    <row r="227" spans="1:17">
      <c r="A227" s="14">
        <v>89283</v>
      </c>
      <c r="B227" s="14" t="s">
        <v>30</v>
      </c>
      <c r="C227" s="14" t="s">
        <v>12669</v>
      </c>
      <c r="D227" s="14" t="s">
        <v>12668</v>
      </c>
      <c r="E227" s="15" t="str">
        <f>HYPERLINK("https://stat100.ameba.jp/tnk47/ratio20/illustrations/card/ill_89283_oukyuuchurippuchan03.jpg?202005-3-RELEASE-dice-469x", "■")</f>
        <v>■</v>
      </c>
      <c r="F227" s="14" t="s">
        <v>12670</v>
      </c>
      <c r="G227" s="14">
        <v>32728</v>
      </c>
      <c r="H227" s="14">
        <v>27486</v>
      </c>
      <c r="I227" s="7">
        <v>26</v>
      </c>
      <c r="J227" s="14" t="s">
        <v>26</v>
      </c>
      <c r="K227" s="14" t="s">
        <v>12672</v>
      </c>
      <c r="L227" s="14" t="s">
        <v>5318</v>
      </c>
      <c r="M227" s="14" t="s">
        <v>9158</v>
      </c>
      <c r="N227" s="14" t="s">
        <v>9158</v>
      </c>
      <c r="O227" s="14" t="s">
        <v>9158</v>
      </c>
      <c r="P227" s="14" t="s">
        <v>9158</v>
      </c>
      <c r="Q227" s="14" t="s">
        <v>9158</v>
      </c>
    </row>
    <row r="229" spans="1:17">
      <c r="A229" s="14" t="s">
        <v>13327</v>
      </c>
    </row>
    <row r="230" spans="1:17">
      <c r="A230" s="14" t="s">
        <v>12700</v>
      </c>
    </row>
    <row r="231" spans="1:17">
      <c r="A231" s="14">
        <v>71873</v>
      </c>
      <c r="B231" s="14" t="s">
        <v>334</v>
      </c>
      <c r="C231" s="14" t="s">
        <v>185</v>
      </c>
      <c r="D231" s="20" t="s">
        <v>10234</v>
      </c>
      <c r="E231" s="15" t="str">
        <f>HYPERLINK("https://stat100.ameba.jp/tnk47/ratio20/illustrations/card/ill_71873_akashita03.jpg?202005-3-RELEASE-dice-469x", "■")</f>
        <v>■</v>
      </c>
      <c r="F231" s="6" t="s">
        <v>5952</v>
      </c>
      <c r="G231" s="14">
        <v>135921</v>
      </c>
      <c r="H231" s="14">
        <v>126365</v>
      </c>
      <c r="I231" s="14">
        <v>27</v>
      </c>
      <c r="J231" s="14" t="s">
        <v>182</v>
      </c>
      <c r="K231" s="14" t="s">
        <v>217</v>
      </c>
      <c r="L231" s="14" t="s">
        <v>13140</v>
      </c>
      <c r="M231" s="14" t="s">
        <v>13131</v>
      </c>
      <c r="N231" s="14" t="s">
        <v>251</v>
      </c>
      <c r="O231" s="14" t="s">
        <v>9158</v>
      </c>
      <c r="P231" s="14" t="s">
        <v>9158</v>
      </c>
      <c r="Q231" s="14" t="s">
        <v>9158</v>
      </c>
    </row>
    <row r="232" spans="1:17">
      <c r="A232" s="14">
        <v>71872</v>
      </c>
      <c r="B232" s="14" t="s">
        <v>334</v>
      </c>
      <c r="C232" s="14" t="s">
        <v>185</v>
      </c>
      <c r="D232" s="20" t="s">
        <v>10234</v>
      </c>
      <c r="E232" s="15" t="str">
        <f>HYPERLINK("https://stat100.ameba.jp/tnk47/ratio20/illustrations/card/ill_71872_akashita02.jpg?202005-3-RELEASE-dice-469x", "■")</f>
        <v>■</v>
      </c>
      <c r="F232" s="14" t="s">
        <v>5952</v>
      </c>
      <c r="G232" s="14">
        <v>113551</v>
      </c>
      <c r="H232" s="14">
        <v>104656</v>
      </c>
      <c r="I232" s="7">
        <v>27</v>
      </c>
      <c r="J232" s="14" t="s">
        <v>182</v>
      </c>
      <c r="K232" s="14" t="s">
        <v>217</v>
      </c>
      <c r="L232" s="14" t="s">
        <v>13140</v>
      </c>
      <c r="M232" s="14" t="s">
        <v>13131</v>
      </c>
      <c r="N232" s="14" t="s">
        <v>251</v>
      </c>
      <c r="O232" s="14" t="s">
        <v>9158</v>
      </c>
      <c r="P232" s="14" t="s">
        <v>9158</v>
      </c>
      <c r="Q232" s="14" t="s">
        <v>9158</v>
      </c>
    </row>
    <row r="233" spans="1:17">
      <c r="A233" s="14">
        <v>71871</v>
      </c>
      <c r="B233" s="14" t="s">
        <v>334</v>
      </c>
      <c r="C233" s="14" t="s">
        <v>185</v>
      </c>
      <c r="D233" s="20" t="s">
        <v>10234</v>
      </c>
      <c r="E233" s="15" t="str">
        <f>HYPERLINK("https://stat100.ameba.jp/tnk47/ratio20/illustrations/card/ill_71871_akashita01.jpg?202005-3-RELEASE-dice-469x", "■")</f>
        <v>■</v>
      </c>
      <c r="F233" s="14" t="s">
        <v>691</v>
      </c>
      <c r="G233" s="14">
        <v>86751</v>
      </c>
      <c r="H233" s="14">
        <v>80757</v>
      </c>
      <c r="I233" s="14">
        <v>27</v>
      </c>
      <c r="J233" s="14" t="s">
        <v>182</v>
      </c>
      <c r="K233" s="14" t="s">
        <v>217</v>
      </c>
      <c r="L233" s="14" t="s">
        <v>13140</v>
      </c>
      <c r="M233" s="14" t="s">
        <v>13131</v>
      </c>
      <c r="N233" s="14" t="s">
        <v>251</v>
      </c>
      <c r="O233" s="14" t="s">
        <v>9158</v>
      </c>
      <c r="P233" s="14" t="s">
        <v>9158</v>
      </c>
      <c r="Q233" s="14" t="s">
        <v>9158</v>
      </c>
    </row>
    <row r="234" spans="1:17">
      <c r="A234" s="14">
        <v>72693</v>
      </c>
      <c r="B234" s="14" t="s">
        <v>334</v>
      </c>
      <c r="C234" s="14" t="s">
        <v>200</v>
      </c>
      <c r="D234" s="20" t="s">
        <v>10235</v>
      </c>
      <c r="E234" s="15" t="str">
        <f>HYPERLINK("https://stat100.ameba.jp/tnk47/ratio20/illustrations/card/ill_72693_sagarasozo03.jpg?202005-3-RELEASE-dice-469x", "■")</f>
        <v>■</v>
      </c>
      <c r="F234" s="14" t="s">
        <v>692</v>
      </c>
      <c r="G234" s="14">
        <v>126365</v>
      </c>
      <c r="H234" s="14">
        <v>135921</v>
      </c>
      <c r="I234" s="7">
        <v>27</v>
      </c>
      <c r="J234" s="14" t="s">
        <v>194</v>
      </c>
      <c r="K234" s="14" t="s">
        <v>218</v>
      </c>
      <c r="L234" s="14" t="s">
        <v>9892</v>
      </c>
      <c r="M234" s="14" t="s">
        <v>13131</v>
      </c>
      <c r="N234" s="14" t="s">
        <v>251</v>
      </c>
      <c r="O234" s="14" t="s">
        <v>9158</v>
      </c>
      <c r="P234" s="14" t="s">
        <v>9158</v>
      </c>
      <c r="Q234" s="14" t="s">
        <v>9158</v>
      </c>
    </row>
    <row r="235" spans="1:17">
      <c r="A235" s="14">
        <v>72703</v>
      </c>
      <c r="B235" s="14" t="s">
        <v>334</v>
      </c>
      <c r="C235" s="14" t="s">
        <v>191</v>
      </c>
      <c r="D235" s="20" t="s">
        <v>10236</v>
      </c>
      <c r="E235" s="15" t="str">
        <f>HYPERLINK("https://stat100.ameba.jp/tnk47/ratio20/illustrations/card/ill_72703_hayakawanoritsugu03.jpg?202005-3-RELEASE-dice-469x", "■")</f>
        <v>■</v>
      </c>
      <c r="F235" s="14" t="s">
        <v>693</v>
      </c>
      <c r="G235" s="14">
        <v>135921</v>
      </c>
      <c r="H235" s="14">
        <v>126365</v>
      </c>
      <c r="I235" s="14">
        <v>27</v>
      </c>
      <c r="J235" s="14" t="s">
        <v>173</v>
      </c>
      <c r="K235" s="14" t="s">
        <v>219</v>
      </c>
      <c r="L235" s="14" t="s">
        <v>9893</v>
      </c>
      <c r="M235" s="14" t="s">
        <v>13131</v>
      </c>
      <c r="N235" s="14" t="s">
        <v>251</v>
      </c>
      <c r="O235" s="14" t="s">
        <v>9158</v>
      </c>
      <c r="P235" s="14" t="s">
        <v>9158</v>
      </c>
      <c r="Q235" s="14" t="s">
        <v>9158</v>
      </c>
    </row>
    <row r="236" spans="1:17">
      <c r="A236" s="14">
        <v>73523</v>
      </c>
      <c r="B236" s="14" t="s">
        <v>334</v>
      </c>
      <c r="C236" s="14" t="s">
        <v>165</v>
      </c>
      <c r="D236" s="20" t="s">
        <v>10237</v>
      </c>
      <c r="E236" s="15" t="str">
        <f>HYPERLINK("https://stat100.ameba.jp/tnk47/ratio20/illustrations/card/ill_73523_marunomarudono03.jpg?202005-3-RELEASE-dice-469x", "■")</f>
        <v>■</v>
      </c>
      <c r="F236" s="14" t="s">
        <v>694</v>
      </c>
      <c r="G236" s="14">
        <v>126365</v>
      </c>
      <c r="H236" s="14">
        <v>135921</v>
      </c>
      <c r="I236" s="7">
        <v>27</v>
      </c>
      <c r="J236" s="14" t="s">
        <v>187</v>
      </c>
      <c r="K236" s="14" t="s">
        <v>220</v>
      </c>
      <c r="L236" s="14" t="s">
        <v>9894</v>
      </c>
      <c r="M236" s="14" t="s">
        <v>13131</v>
      </c>
      <c r="N236" s="14" t="s">
        <v>251</v>
      </c>
      <c r="O236" s="14" t="s">
        <v>9158</v>
      </c>
      <c r="P236" s="14" t="s">
        <v>9158</v>
      </c>
      <c r="Q236" s="14" t="s">
        <v>9158</v>
      </c>
    </row>
    <row r="237" spans="1:17">
      <c r="A237" s="14">
        <v>72713</v>
      </c>
      <c r="B237" s="14" t="s">
        <v>334</v>
      </c>
      <c r="C237" s="14" t="s">
        <v>205</v>
      </c>
      <c r="D237" s="20" t="s">
        <v>10238</v>
      </c>
      <c r="E237" s="15" t="str">
        <f>HYPERLINK("https://stat100.ameba.jp/tnk47/ratio20/illustrations/card/ill_72713_okamuzuminomikoto03.jpg?202005-3-RELEASE-dice-469x", "■")</f>
        <v>■</v>
      </c>
      <c r="F237" s="14" t="s">
        <v>695</v>
      </c>
      <c r="G237" s="14">
        <v>126365</v>
      </c>
      <c r="H237" s="14">
        <v>135921</v>
      </c>
      <c r="I237" s="14">
        <v>27</v>
      </c>
      <c r="J237" s="14" t="s">
        <v>169</v>
      </c>
      <c r="K237" s="14" t="s">
        <v>221</v>
      </c>
      <c r="L237" s="14" t="s">
        <v>9895</v>
      </c>
      <c r="M237" s="14" t="s">
        <v>13131</v>
      </c>
      <c r="N237" s="14" t="s">
        <v>251</v>
      </c>
      <c r="O237" s="14" t="s">
        <v>9158</v>
      </c>
      <c r="P237" s="14" t="s">
        <v>9158</v>
      </c>
      <c r="Q237" s="14" t="s">
        <v>9158</v>
      </c>
    </row>
    <row r="238" spans="1:17">
      <c r="A238" s="14">
        <v>73533</v>
      </c>
      <c r="B238" s="14" t="s">
        <v>334</v>
      </c>
      <c r="C238" s="14" t="s">
        <v>206</v>
      </c>
      <c r="D238" s="20" t="s">
        <v>10239</v>
      </c>
      <c r="E238" s="15" t="str">
        <f>HYPERLINK("https://stat100.ameba.jp/tnk47/ratio20/illustrations/card/ill_73533_agubutachan03.jpg?202005-3-RELEASE-dice-469x", "■")</f>
        <v>■</v>
      </c>
      <c r="F238" s="14" t="s">
        <v>696</v>
      </c>
      <c r="G238" s="14">
        <v>135921</v>
      </c>
      <c r="H238" s="14">
        <v>126365</v>
      </c>
      <c r="I238" s="7">
        <v>27</v>
      </c>
      <c r="J238" s="14" t="s">
        <v>216</v>
      </c>
      <c r="K238" s="14" t="s">
        <v>697</v>
      </c>
      <c r="L238" s="14" t="s">
        <v>9896</v>
      </c>
      <c r="M238" s="14" t="s">
        <v>13131</v>
      </c>
      <c r="N238" s="14" t="s">
        <v>251</v>
      </c>
      <c r="O238" s="14" t="s">
        <v>9158</v>
      </c>
      <c r="P238" s="14" t="s">
        <v>9158</v>
      </c>
      <c r="Q238" s="14" t="s">
        <v>9158</v>
      </c>
    </row>
    <row r="240" spans="1:17">
      <c r="A240" s="9" t="s">
        <v>2075</v>
      </c>
      <c r="B240" s="9"/>
      <c r="C240" s="9"/>
      <c r="D240" s="9"/>
      <c r="E240" s="9"/>
      <c r="F240" s="9"/>
      <c r="G240" s="9"/>
      <c r="H240" s="9"/>
      <c r="I240" s="9"/>
      <c r="J240" s="9"/>
      <c r="K240" s="9"/>
      <c r="L240" s="9"/>
      <c r="M240" s="9"/>
      <c r="N240" s="9"/>
      <c r="O240" s="9"/>
      <c r="P240" s="9"/>
      <c r="Q240" s="9"/>
    </row>
    <row r="241" spans="1:17">
      <c r="A241" s="9" t="s">
        <v>4671</v>
      </c>
      <c r="B241" s="9"/>
      <c r="C241" s="9"/>
      <c r="D241" s="9"/>
      <c r="E241" s="9"/>
      <c r="F241" s="9"/>
      <c r="G241" s="9"/>
      <c r="H241" s="9"/>
      <c r="I241" s="9"/>
      <c r="J241" s="9"/>
      <c r="K241" s="9"/>
      <c r="L241" s="9"/>
      <c r="M241" s="9"/>
      <c r="N241" s="9"/>
      <c r="O241" s="9"/>
      <c r="P241" s="9"/>
      <c r="Q241" s="9"/>
    </row>
    <row r="242" spans="1:17">
      <c r="A242" s="14" t="s">
        <v>5899</v>
      </c>
      <c r="B242" s="14" t="s">
        <v>330</v>
      </c>
      <c r="C242" s="14" t="s">
        <v>205</v>
      </c>
      <c r="D242" s="19" t="s">
        <v>1559</v>
      </c>
      <c r="E242" s="15" t="str">
        <f>HYPERLINK("https://stat100.ameba.jp/tnk47/ratio20/illustrations/card/ill_73773_0_umibirakiinugamigyobu03.jpg?202005-3-RELEASE-dice-469x", "■")</f>
        <v>■</v>
      </c>
      <c r="F242" s="14" t="s">
        <v>935</v>
      </c>
      <c r="G242" s="14">
        <v>216934</v>
      </c>
      <c r="H242" s="14">
        <v>233333</v>
      </c>
      <c r="I242" s="14">
        <v>25</v>
      </c>
      <c r="J242" s="14" t="s">
        <v>182</v>
      </c>
      <c r="K242" s="14" t="s">
        <v>936</v>
      </c>
      <c r="L242" s="14" t="s">
        <v>13147</v>
      </c>
      <c r="M242" s="14" t="s">
        <v>9158</v>
      </c>
      <c r="N242" s="14" t="s">
        <v>9158</v>
      </c>
      <c r="O242" s="19" t="s">
        <v>2978</v>
      </c>
      <c r="P242" s="14" t="s">
        <v>2979</v>
      </c>
      <c r="Q242" s="14">
        <v>2</v>
      </c>
    </row>
    <row r="243" spans="1:17">
      <c r="A243" s="14">
        <v>81743</v>
      </c>
      <c r="B243" s="14" t="s">
        <v>334</v>
      </c>
      <c r="C243" s="14" t="s">
        <v>107</v>
      </c>
      <c r="D243" s="19" t="s">
        <v>10171</v>
      </c>
      <c r="E243" s="15" t="str">
        <f>HYPERLINK("https://stat100.ameba.jp/tnk47/ratio20/illustrations/card/ill_81743_denshagarusakyogabashinohebi03.jpg?202005-3-RELEASE-dice-469x", "■")</f>
        <v>■</v>
      </c>
      <c r="F243" s="14" t="s">
        <v>4853</v>
      </c>
      <c r="G243" s="14">
        <v>114092</v>
      </c>
      <c r="H243" s="14">
        <v>105890</v>
      </c>
      <c r="I243" s="14">
        <v>25</v>
      </c>
      <c r="J243" s="14" t="s">
        <v>38</v>
      </c>
      <c r="K243" s="14" t="s">
        <v>4855</v>
      </c>
      <c r="L243" s="14" t="s">
        <v>4856</v>
      </c>
      <c r="M243" s="14" t="s">
        <v>9158</v>
      </c>
      <c r="N243" s="14" t="s">
        <v>9158</v>
      </c>
      <c r="O243" s="19" t="s">
        <v>10091</v>
      </c>
      <c r="P243" s="14" t="s">
        <v>3670</v>
      </c>
      <c r="Q243" s="14">
        <v>1</v>
      </c>
    </row>
    <row r="244" spans="1:17">
      <c r="A244" s="14">
        <v>77123</v>
      </c>
      <c r="B244" s="14" t="s">
        <v>334</v>
      </c>
      <c r="C244" s="14" t="s">
        <v>191</v>
      </c>
      <c r="D244" s="20" t="s">
        <v>10424</v>
      </c>
      <c r="E244" s="15" t="str">
        <f>HYPERLINK("https://stat100.ameba.jp/tnk47/ratio20/illustrations/card/ill_77123_yukemuriizuna03.jpg?202005-3-RELEASE-dice-469x", "■")</f>
        <v>■</v>
      </c>
      <c r="F244" s="14" t="s">
        <v>1377</v>
      </c>
      <c r="G244" s="14">
        <v>104162</v>
      </c>
      <c r="H244" s="14">
        <v>96871</v>
      </c>
      <c r="I244" s="14">
        <v>25</v>
      </c>
      <c r="J244" s="14" t="s">
        <v>320</v>
      </c>
      <c r="K244" s="14" t="s">
        <v>1378</v>
      </c>
      <c r="L244" s="14" t="s">
        <v>1379</v>
      </c>
      <c r="M244" s="14" t="s">
        <v>9158</v>
      </c>
      <c r="N244" s="14" t="s">
        <v>9158</v>
      </c>
      <c r="O244" s="19" t="s">
        <v>2838</v>
      </c>
      <c r="P244" s="14" t="s">
        <v>3579</v>
      </c>
      <c r="Q244" s="14">
        <v>1</v>
      </c>
    </row>
    <row r="245" spans="1:17">
      <c r="A245" s="14">
        <v>78873</v>
      </c>
      <c r="B245" s="14" t="s">
        <v>334</v>
      </c>
      <c r="C245" s="14" t="s">
        <v>209</v>
      </c>
      <c r="D245" s="19" t="s">
        <v>2818</v>
      </c>
      <c r="E245" s="15" t="str">
        <f>HYPERLINK("https://stat100.ameba.jp/tnk47/ratio20/illustrations/card/ill_78873_furutsutomato03.jpg?202005-3-RELEASE-dice-469x", "■")</f>
        <v>■</v>
      </c>
      <c r="F245" s="14" t="s">
        <v>2819</v>
      </c>
      <c r="G245" s="14">
        <v>95703</v>
      </c>
      <c r="H245" s="14">
        <v>132144</v>
      </c>
      <c r="I245" s="14">
        <v>25</v>
      </c>
      <c r="J245" s="14" t="s">
        <v>283</v>
      </c>
      <c r="K245" s="14" t="s">
        <v>2820</v>
      </c>
      <c r="L245" s="14" t="s">
        <v>2821</v>
      </c>
      <c r="M245" s="14" t="s">
        <v>9158</v>
      </c>
      <c r="N245" s="14" t="s">
        <v>9158</v>
      </c>
      <c r="O245" s="19" t="s">
        <v>10074</v>
      </c>
      <c r="P245" s="14" t="s">
        <v>2822</v>
      </c>
      <c r="Q245" s="14">
        <v>1</v>
      </c>
    </row>
    <row r="247" spans="1:17">
      <c r="A247" s="14" t="s">
        <v>12701</v>
      </c>
    </row>
    <row r="248" spans="1:17">
      <c r="A248" s="14" t="s">
        <v>12702</v>
      </c>
    </row>
    <row r="249" spans="1:17">
      <c r="A249" s="9" t="s">
        <v>5848</v>
      </c>
      <c r="B249" s="14" t="s">
        <v>330</v>
      </c>
      <c r="C249" s="14" t="s">
        <v>200</v>
      </c>
      <c r="D249" s="14" t="s">
        <v>1138</v>
      </c>
      <c r="E249" s="15" t="str">
        <f>HYPERLINK("https://stat100.ameba.jp/tnk47/ratio20/illustrations/card/ill_72963_0_amenohanayomehiguchiichiyo03.jpg?202005-3-RELEASE-dice-469x", "■")</f>
        <v>■</v>
      </c>
      <c r="F249" s="14" t="s">
        <v>1139</v>
      </c>
      <c r="G249" s="14">
        <v>147404</v>
      </c>
      <c r="H249" s="14">
        <v>137060</v>
      </c>
      <c r="I249" s="14">
        <v>22</v>
      </c>
      <c r="J249" s="14" t="s">
        <v>10</v>
      </c>
      <c r="K249" s="14" t="s">
        <v>1140</v>
      </c>
      <c r="L249" s="14" t="s">
        <v>1141</v>
      </c>
      <c r="M249" s="14" t="s">
        <v>9158</v>
      </c>
      <c r="N249" s="14" t="s">
        <v>9158</v>
      </c>
      <c r="O249" s="9" t="s">
        <v>3162</v>
      </c>
      <c r="P249" s="14" t="s">
        <v>3163</v>
      </c>
      <c r="Q249" s="14">
        <v>1</v>
      </c>
    </row>
    <row r="250" spans="1:17">
      <c r="A250" s="14" t="s">
        <v>5603</v>
      </c>
      <c r="B250" s="14" t="s">
        <v>330</v>
      </c>
      <c r="C250" s="14" t="s">
        <v>205</v>
      </c>
      <c r="D250" s="20" t="s">
        <v>611</v>
      </c>
      <c r="E250" s="15" t="str">
        <f>HYPERLINK("https://stat100.ameba.jp/tnk47/ratio20/illustrations/card/ill_61893_0_onikirishumiyamotomusashi03.jpg?202005-3-RELEASE-dice-469x", "■")</f>
        <v>■</v>
      </c>
      <c r="F250" s="14" t="s">
        <v>612</v>
      </c>
      <c r="G250" s="14">
        <v>205358</v>
      </c>
      <c r="H250" s="14">
        <v>190952</v>
      </c>
      <c r="I250" s="14">
        <v>22</v>
      </c>
      <c r="J250" s="14" t="s">
        <v>310</v>
      </c>
      <c r="K250" s="14" t="s">
        <v>613</v>
      </c>
      <c r="L250" s="14" t="s">
        <v>312</v>
      </c>
      <c r="M250" s="14" t="s">
        <v>9158</v>
      </c>
      <c r="N250" s="14" t="s">
        <v>9158</v>
      </c>
      <c r="O250" s="19" t="s">
        <v>10071</v>
      </c>
      <c r="P250" s="14" t="s">
        <v>3253</v>
      </c>
      <c r="Q250" s="14">
        <v>1</v>
      </c>
    </row>
    <row r="251" spans="1:17">
      <c r="A251" s="14" t="s">
        <v>5608</v>
      </c>
      <c r="B251" s="14" t="s">
        <v>52</v>
      </c>
      <c r="C251" s="14" t="s">
        <v>96</v>
      </c>
      <c r="D251" s="20" t="s">
        <v>634</v>
      </c>
      <c r="E251" s="15" t="str">
        <f>HYPERLINK("https://stat100.ameba.jp/tnk47/ratio20/illustrations/card/ill_40963_0_makami03.jpg?202005-3-RELEASE-dice-469x", "■")</f>
        <v>■</v>
      </c>
      <c r="F251" s="14" t="s">
        <v>2038</v>
      </c>
      <c r="G251" s="14">
        <v>128744</v>
      </c>
      <c r="H251" s="14">
        <v>120576</v>
      </c>
      <c r="I251" s="14">
        <v>22</v>
      </c>
      <c r="J251" s="14" t="s">
        <v>44</v>
      </c>
      <c r="K251" s="14" t="s">
        <v>2039</v>
      </c>
      <c r="L251" s="14" t="s">
        <v>2040</v>
      </c>
      <c r="M251" s="14" t="s">
        <v>9158</v>
      </c>
      <c r="N251" s="14" t="s">
        <v>9158</v>
      </c>
      <c r="O251" s="14" t="s">
        <v>9158</v>
      </c>
      <c r="P251" s="14" t="s">
        <v>9158</v>
      </c>
      <c r="Q251" s="14" t="s">
        <v>9158</v>
      </c>
    </row>
    <row r="252" spans="1:17">
      <c r="A252" s="14">
        <v>79783</v>
      </c>
      <c r="B252" s="14" t="s">
        <v>334</v>
      </c>
      <c r="C252" s="14" t="s">
        <v>200</v>
      </c>
      <c r="D252" s="19" t="s">
        <v>10330</v>
      </c>
      <c r="E252" s="15" t="str">
        <f>HYPERLINK("https://stat100.ameba.jp/tnk47/ratio20/illustrations/card/ill_79783_entakunokishitakatsukasanobuko03.jpg?202005-3-RELEASE-dice-469x", "■")</f>
        <v>■</v>
      </c>
      <c r="F252" s="14" t="s">
        <v>3663</v>
      </c>
      <c r="G252" s="14">
        <v>125392</v>
      </c>
      <c r="H252" s="14">
        <v>70556</v>
      </c>
      <c r="I252" s="14">
        <v>26</v>
      </c>
      <c r="J252" s="14" t="s">
        <v>187</v>
      </c>
      <c r="K252" s="14" t="s">
        <v>3664</v>
      </c>
      <c r="L252" s="14" t="s">
        <v>76</v>
      </c>
      <c r="M252" s="14" t="s">
        <v>9158</v>
      </c>
      <c r="N252" s="14" t="s">
        <v>9158</v>
      </c>
      <c r="O252" s="14" t="s">
        <v>9158</v>
      </c>
      <c r="P252" s="14" t="s">
        <v>9158</v>
      </c>
      <c r="Q252" s="14" t="s">
        <v>9158</v>
      </c>
    </row>
    <row r="253" spans="1:17">
      <c r="A253" s="14">
        <v>80423</v>
      </c>
      <c r="B253" s="14" t="s">
        <v>0</v>
      </c>
      <c r="C253" s="14" t="s">
        <v>96</v>
      </c>
      <c r="D253" s="20" t="s">
        <v>10489</v>
      </c>
      <c r="E253" s="15" t="str">
        <f>HYPERLINK("https://stat100.ameba.jp/tnk47/ratio20/illustrations/card/ill_80423_shikyushikimurasakishikibu03.jpg?202005-3-RELEASE-dice-469x", "■")</f>
        <v>■</v>
      </c>
      <c r="F253" s="14" t="s">
        <v>4044</v>
      </c>
      <c r="G253" s="14">
        <v>125392</v>
      </c>
      <c r="H253" s="14">
        <v>70556</v>
      </c>
      <c r="I253" s="14">
        <v>26</v>
      </c>
      <c r="J253" s="14" t="s">
        <v>159</v>
      </c>
      <c r="K253" s="14" t="s">
        <v>4045</v>
      </c>
      <c r="L253" s="14" t="s">
        <v>4046</v>
      </c>
      <c r="M253" s="14" t="s">
        <v>9158</v>
      </c>
      <c r="N253" s="14" t="s">
        <v>9158</v>
      </c>
      <c r="O253" s="14" t="s">
        <v>9158</v>
      </c>
      <c r="P253" s="14" t="s">
        <v>9158</v>
      </c>
      <c r="Q253" s="14" t="s">
        <v>9158</v>
      </c>
    </row>
    <row r="254" spans="1:17">
      <c r="A254" s="7">
        <v>78943</v>
      </c>
      <c r="B254" s="14" t="s">
        <v>334</v>
      </c>
      <c r="C254" s="14" t="s">
        <v>185</v>
      </c>
      <c r="D254" s="19" t="s">
        <v>2953</v>
      </c>
      <c r="E254" s="15" t="str">
        <f>HYPERLINK("https://stat100.ameba.jp/tnk47/ratio20/illustrations/card/ill_78943_idoshiiwaisepo03.jpg?202005-3-RELEASE-dice-469x", "■")</f>
        <v>■</v>
      </c>
      <c r="F254" s="14" t="s">
        <v>2954</v>
      </c>
      <c r="G254" s="14">
        <v>108330</v>
      </c>
      <c r="H254" s="14">
        <v>100744</v>
      </c>
      <c r="I254" s="14">
        <v>26</v>
      </c>
      <c r="J254" s="14" t="s">
        <v>320</v>
      </c>
      <c r="K254" s="14" t="s">
        <v>2955</v>
      </c>
      <c r="L254" s="14" t="s">
        <v>2956</v>
      </c>
      <c r="M254" s="14" t="s">
        <v>9158</v>
      </c>
      <c r="N254" s="14" t="s">
        <v>9158</v>
      </c>
      <c r="O254" s="14" t="s">
        <v>9158</v>
      </c>
      <c r="P254" s="14" t="s">
        <v>9158</v>
      </c>
      <c r="Q254" s="14" t="s">
        <v>9158</v>
      </c>
    </row>
    <row r="256" spans="1:17">
      <c r="A256" s="14" t="s">
        <v>12703</v>
      </c>
    </row>
    <row r="257" spans="1:17">
      <c r="A257" s="14" t="s">
        <v>12705</v>
      </c>
    </row>
    <row r="258" spans="1:17">
      <c r="A258" s="14" t="s">
        <v>12704</v>
      </c>
    </row>
    <row r="259" spans="1:17">
      <c r="A259" s="14" t="s">
        <v>12532</v>
      </c>
      <c r="B259" s="7" t="s">
        <v>52</v>
      </c>
      <c r="C259" s="14" t="s">
        <v>202</v>
      </c>
      <c r="D259" s="18" t="s">
        <v>12528</v>
      </c>
      <c r="E259" s="15" t="str">
        <f>HYPERLINK("https://stat100.ameba.jp/tnk47/ratio20/illustrations/card/ill_89073_0_efuwanresuyokohamaserachan03.jpg?202005-3-RELEASE-dice-469x", "■")</f>
        <v>■</v>
      </c>
      <c r="F259" s="14" t="s">
        <v>12529</v>
      </c>
      <c r="G259" s="14">
        <v>296998</v>
      </c>
      <c r="H259" s="14">
        <v>328614</v>
      </c>
      <c r="I259" s="7">
        <v>27</v>
      </c>
      <c r="J259" s="14" t="s">
        <v>229</v>
      </c>
      <c r="K259" s="14" t="s">
        <v>12530</v>
      </c>
      <c r="L259" s="14" t="s">
        <v>12531</v>
      </c>
      <c r="M259" s="14" t="s">
        <v>9158</v>
      </c>
      <c r="N259" s="14" t="s">
        <v>9158</v>
      </c>
      <c r="O259" s="6" t="s">
        <v>12533</v>
      </c>
      <c r="P259" s="7" t="s">
        <v>12534</v>
      </c>
      <c r="Q259" s="7">
        <v>1</v>
      </c>
    </row>
    <row r="260" spans="1:17">
      <c r="A260" s="14">
        <v>89303</v>
      </c>
      <c r="B260" s="14" t="s">
        <v>12707</v>
      </c>
      <c r="C260" s="14" t="s">
        <v>12711</v>
      </c>
      <c r="D260" s="14" t="s">
        <v>12706</v>
      </c>
      <c r="E260" s="15" t="str">
        <f>HYPERLINK("https://stat100.ameba.jp/tnk47/ratio20/illustrations/card/ill_89303_ransaapaosha03.jpg?202005-3-RELEASE-dice-469x", "■")</f>
        <v>■</v>
      </c>
      <c r="F260" s="14" t="s">
        <v>12712</v>
      </c>
      <c r="G260" s="14">
        <v>123002</v>
      </c>
      <c r="H260" s="14">
        <v>114362</v>
      </c>
      <c r="I260" s="14">
        <v>27</v>
      </c>
      <c r="J260" s="14" t="s">
        <v>12713</v>
      </c>
      <c r="K260" s="14" t="s">
        <v>12714</v>
      </c>
      <c r="L260" s="14" t="s">
        <v>12715</v>
      </c>
      <c r="M260" s="14" t="s">
        <v>9158</v>
      </c>
      <c r="N260" s="14" t="s">
        <v>9158</v>
      </c>
      <c r="O260" s="14" t="s">
        <v>9158</v>
      </c>
      <c r="P260" s="14" t="s">
        <v>9158</v>
      </c>
      <c r="Q260" s="14" t="s">
        <v>9158</v>
      </c>
    </row>
    <row r="261" spans="1:17">
      <c r="A261" s="14">
        <v>89313</v>
      </c>
      <c r="B261" s="14" t="s">
        <v>12707</v>
      </c>
      <c r="C261" s="14" t="s">
        <v>12717</v>
      </c>
      <c r="D261" s="14" t="s">
        <v>12716</v>
      </c>
      <c r="E261" s="15" t="str">
        <f>HYPERLINK("https://stat100.ameba.jp/tnk47/ratio20/illustrations/card/ill_89313_hantahiimisama03.jpg?202005-3-RELEASE-dice-469x", "■")</f>
        <v>■</v>
      </c>
      <c r="F261" s="14" t="s">
        <v>12718</v>
      </c>
      <c r="G261" s="14">
        <v>149240</v>
      </c>
      <c r="H261" s="14">
        <v>160507</v>
      </c>
      <c r="I261" s="14">
        <v>27</v>
      </c>
      <c r="J261" s="14" t="s">
        <v>12719</v>
      </c>
      <c r="K261" s="14" t="s">
        <v>12720</v>
      </c>
      <c r="L261" s="14" t="s">
        <v>12721</v>
      </c>
      <c r="M261" s="14" t="s">
        <v>9158</v>
      </c>
      <c r="N261" s="14" t="s">
        <v>9158</v>
      </c>
      <c r="O261" s="14" t="s">
        <v>9158</v>
      </c>
      <c r="P261" s="14" t="s">
        <v>9158</v>
      </c>
      <c r="Q261" s="14" t="s">
        <v>9158</v>
      </c>
    </row>
    <row r="262" spans="1:17">
      <c r="A262" s="14">
        <v>89323</v>
      </c>
      <c r="B262" s="14" t="s">
        <v>12708</v>
      </c>
      <c r="C262" s="14" t="s">
        <v>12723</v>
      </c>
      <c r="D262" s="14" t="s">
        <v>12722</v>
      </c>
      <c r="E262" s="15" t="str">
        <f>HYPERLINK("https://stat100.ameba.jp/tnk47/ratio20/illustrations/card/ill_89323_toribujinkitanokata03.jpg?202005-3-RELEASE-dice-469x", "■")</f>
        <v>■</v>
      </c>
      <c r="F262" s="14" t="s">
        <v>12724</v>
      </c>
      <c r="G262" s="14">
        <v>80028</v>
      </c>
      <c r="H262" s="14">
        <v>72586</v>
      </c>
      <c r="I262" s="7">
        <v>27</v>
      </c>
      <c r="J262" s="14" t="s">
        <v>12727</v>
      </c>
      <c r="K262" s="14" t="s">
        <v>12725</v>
      </c>
      <c r="L262" s="14" t="s">
        <v>12726</v>
      </c>
      <c r="M262" s="14" t="s">
        <v>9158</v>
      </c>
      <c r="N262" s="14" t="s">
        <v>9158</v>
      </c>
      <c r="O262" s="14" t="s">
        <v>9158</v>
      </c>
      <c r="P262" s="14" t="s">
        <v>9158</v>
      </c>
      <c r="Q262" s="14" t="s">
        <v>9158</v>
      </c>
    </row>
    <row r="263" spans="1:17">
      <c r="A263" s="14">
        <v>89333</v>
      </c>
      <c r="B263" s="14" t="s">
        <v>12709</v>
      </c>
      <c r="C263" s="14" t="s">
        <v>12729</v>
      </c>
      <c r="D263" s="14" t="s">
        <v>12728</v>
      </c>
      <c r="E263" s="15" t="str">
        <f>HYPERLINK("https://stat100.ameba.jp/tnk47/ratio20/illustrations/card/ill_89333_sekkieihime03.jpg?202005-3-RELEASE-dice-469x", "■")</f>
        <v>■</v>
      </c>
      <c r="F263" s="14" t="s">
        <v>12730</v>
      </c>
      <c r="G263" s="14">
        <v>46676</v>
      </c>
      <c r="H263" s="14">
        <v>56138</v>
      </c>
      <c r="I263" s="14">
        <v>27</v>
      </c>
      <c r="J263" s="14" t="s">
        <v>12733</v>
      </c>
      <c r="K263" s="14" t="s">
        <v>12731</v>
      </c>
      <c r="L263" s="14" t="s">
        <v>12732</v>
      </c>
      <c r="M263" s="14" t="s">
        <v>9158</v>
      </c>
      <c r="N263" s="14" t="s">
        <v>9158</v>
      </c>
      <c r="O263" s="14" t="s">
        <v>9158</v>
      </c>
      <c r="P263" s="14" t="s">
        <v>9158</v>
      </c>
      <c r="Q263" s="14" t="s">
        <v>9158</v>
      </c>
    </row>
    <row r="264" spans="1:17">
      <c r="A264" s="14">
        <v>89343</v>
      </c>
      <c r="B264" s="14" t="s">
        <v>12710</v>
      </c>
      <c r="C264" s="14" t="s">
        <v>12735</v>
      </c>
      <c r="D264" s="14" t="s">
        <v>12734</v>
      </c>
      <c r="E264" s="15" t="str">
        <f>HYPERLINK("https://stat100.ameba.jp/tnk47/ratio20/illustrations/card/ill_89343_hukushimamasanori03.jpg?202005-3-RELEASE-dice-469x", "■")</f>
        <v>■</v>
      </c>
      <c r="F264" s="14" t="s">
        <v>12736</v>
      </c>
      <c r="G264" s="14">
        <v>33986</v>
      </c>
      <c r="H264" s="14">
        <v>28544</v>
      </c>
      <c r="I264" s="14">
        <v>27</v>
      </c>
      <c r="J264" s="14" t="s">
        <v>12727</v>
      </c>
      <c r="K264" s="14" t="s">
        <v>12737</v>
      </c>
      <c r="L264" s="14" t="s">
        <v>12738</v>
      </c>
      <c r="M264" s="14" t="s">
        <v>9158</v>
      </c>
      <c r="N264" s="14" t="s">
        <v>9158</v>
      </c>
      <c r="O264" s="14" t="s">
        <v>9158</v>
      </c>
      <c r="P264" s="14" t="s">
        <v>9158</v>
      </c>
      <c r="Q264" s="14" t="s">
        <v>9158</v>
      </c>
    </row>
    <row r="266" spans="1:17">
      <c r="A266" s="14" t="s">
        <v>12739</v>
      </c>
    </row>
    <row r="267" spans="1:17">
      <c r="A267" s="14" t="s">
        <v>12740</v>
      </c>
    </row>
    <row r="268" spans="1:17">
      <c r="A268" s="14" t="s">
        <v>12741</v>
      </c>
    </row>
    <row r="269" spans="1:17">
      <c r="A269" s="14" t="s">
        <v>12742</v>
      </c>
    </row>
    <row r="270" spans="1:17">
      <c r="A270" s="9">
        <v>87383</v>
      </c>
      <c r="B270" s="14" t="s">
        <v>334</v>
      </c>
      <c r="C270" s="9" t="s">
        <v>185</v>
      </c>
      <c r="D270" s="20" t="s">
        <v>10923</v>
      </c>
      <c r="E270" s="15" t="str">
        <f>HYPERLINK("https://stat100.ameba.jp/tnk47/ratio20/illustrations/card/ill_87383_shifurumidoshiun03.jpg?202005-3-RELEASE-dice-469x", "■")</f>
        <v>■</v>
      </c>
      <c r="F270" s="9" t="s">
        <v>9141</v>
      </c>
      <c r="G270" s="9">
        <v>161776</v>
      </c>
      <c r="H270" s="9">
        <v>90932</v>
      </c>
      <c r="I270" s="9">
        <v>27</v>
      </c>
      <c r="J270" s="9" t="s">
        <v>169</v>
      </c>
      <c r="K270" s="9" t="s">
        <v>9140</v>
      </c>
      <c r="L270" s="9" t="s">
        <v>9139</v>
      </c>
      <c r="M270" s="14" t="s">
        <v>9158</v>
      </c>
      <c r="N270" s="14" t="s">
        <v>9158</v>
      </c>
      <c r="O270" s="14" t="s">
        <v>9158</v>
      </c>
      <c r="P270" s="14" t="s">
        <v>9158</v>
      </c>
      <c r="Q270" s="14" t="s">
        <v>9158</v>
      </c>
    </row>
    <row r="271" spans="1:17">
      <c r="A271" s="9">
        <v>87393</v>
      </c>
      <c r="B271" s="14" t="s">
        <v>0</v>
      </c>
      <c r="C271" s="9" t="s">
        <v>200</v>
      </c>
      <c r="D271" s="20" t="s">
        <v>10924</v>
      </c>
      <c r="E271" s="15" t="str">
        <f>HYPERLINK("https://stat100.ameba.jp/tnk47/ratio20/illustrations/card/ill_87393_hoenjojikeito03.jpg?202005-3-RELEASE-dice-469x", "■")</f>
        <v>■</v>
      </c>
      <c r="F271" s="9" t="s">
        <v>9144</v>
      </c>
      <c r="G271" s="9">
        <v>161776</v>
      </c>
      <c r="H271" s="9">
        <v>90932</v>
      </c>
      <c r="I271" s="9">
        <v>27</v>
      </c>
      <c r="J271" s="9" t="s">
        <v>173</v>
      </c>
      <c r="K271" s="9" t="s">
        <v>9143</v>
      </c>
      <c r="L271" s="9" t="s">
        <v>9142</v>
      </c>
      <c r="M271" s="14" t="s">
        <v>9158</v>
      </c>
      <c r="N271" s="14" t="s">
        <v>9158</v>
      </c>
      <c r="O271" s="14" t="s">
        <v>9158</v>
      </c>
      <c r="P271" s="14" t="s">
        <v>9158</v>
      </c>
      <c r="Q271" s="14" t="s">
        <v>9158</v>
      </c>
    </row>
    <row r="272" spans="1:17">
      <c r="A272" s="9">
        <v>87403</v>
      </c>
      <c r="B272" s="14" t="s">
        <v>334</v>
      </c>
      <c r="C272" s="9" t="s">
        <v>191</v>
      </c>
      <c r="D272" s="20" t="s">
        <v>10925</v>
      </c>
      <c r="E272" s="15" t="str">
        <f>HYPERLINK("https://stat100.ameba.jp/tnk47/ratio20/illustrations/card/ill_87403_kyoyunokarairu03.jpg?202005-3-RELEASE-dice-469x", "■")</f>
        <v>■</v>
      </c>
      <c r="F272" s="9" t="s">
        <v>9147</v>
      </c>
      <c r="G272" s="9">
        <v>161776</v>
      </c>
      <c r="H272" s="9">
        <v>90932</v>
      </c>
      <c r="I272" s="9">
        <v>27</v>
      </c>
      <c r="J272" s="9" t="s">
        <v>216</v>
      </c>
      <c r="K272" s="9" t="s">
        <v>9146</v>
      </c>
      <c r="L272" s="9" t="s">
        <v>9145</v>
      </c>
      <c r="M272" s="14" t="s">
        <v>9158</v>
      </c>
      <c r="N272" s="14" t="s">
        <v>9158</v>
      </c>
      <c r="O272" s="14" t="s">
        <v>9158</v>
      </c>
      <c r="P272" s="14" t="s">
        <v>9158</v>
      </c>
      <c r="Q272" s="14" t="s">
        <v>9158</v>
      </c>
    </row>
    <row r="273" spans="1:17">
      <c r="A273" s="9">
        <v>87413</v>
      </c>
      <c r="B273" s="14" t="s">
        <v>334</v>
      </c>
      <c r="C273" s="9" t="s">
        <v>165</v>
      </c>
      <c r="D273" s="20" t="s">
        <v>10926</v>
      </c>
      <c r="E273" s="15" t="str">
        <f>HYPERLINK("https://stat100.ameba.jp/tnk47/ratio20/illustrations/card/ill_87413_kiryuagito03.jpg?202005-3-RELEASE-dice-469x", "■")</f>
        <v>■</v>
      </c>
      <c r="F273" s="9" t="s">
        <v>9150</v>
      </c>
      <c r="G273" s="9">
        <v>161776</v>
      </c>
      <c r="H273" s="9">
        <v>90932</v>
      </c>
      <c r="I273" s="9">
        <v>27</v>
      </c>
      <c r="J273" s="9" t="s">
        <v>169</v>
      </c>
      <c r="K273" s="9" t="s">
        <v>9149</v>
      </c>
      <c r="L273" s="9" t="s">
        <v>9148</v>
      </c>
      <c r="M273" s="14" t="s">
        <v>9158</v>
      </c>
      <c r="N273" s="14" t="s">
        <v>9158</v>
      </c>
      <c r="O273" s="14" t="s">
        <v>9158</v>
      </c>
      <c r="P273" s="14" t="s">
        <v>9158</v>
      </c>
      <c r="Q273" s="14" t="s">
        <v>9158</v>
      </c>
    </row>
    <row r="274" spans="1:17">
      <c r="A274" s="9">
        <v>87423</v>
      </c>
      <c r="B274" s="14" t="s">
        <v>0</v>
      </c>
      <c r="C274" s="9" t="s">
        <v>205</v>
      </c>
      <c r="D274" s="20" t="s">
        <v>10927</v>
      </c>
      <c r="E274" s="15" t="str">
        <f>HYPERLINK("https://stat100.ameba.jp/tnk47/ratio20/illustrations/card/ill_87423_iazemichikarin03.jpg?202005-3-RELEASE-dice-469x", "■")</f>
        <v>■</v>
      </c>
      <c r="F274" s="9" t="s">
        <v>9153</v>
      </c>
      <c r="G274" s="9">
        <v>161776</v>
      </c>
      <c r="H274" s="9">
        <v>90932</v>
      </c>
      <c r="I274" s="9">
        <v>27</v>
      </c>
      <c r="J274" s="9" t="s">
        <v>187</v>
      </c>
      <c r="K274" s="9" t="s">
        <v>9152</v>
      </c>
      <c r="L274" s="9" t="s">
        <v>9151</v>
      </c>
      <c r="M274" s="14" t="s">
        <v>9158</v>
      </c>
      <c r="N274" s="14" t="s">
        <v>9158</v>
      </c>
      <c r="O274" s="14" t="s">
        <v>9158</v>
      </c>
      <c r="P274" s="14" t="s">
        <v>9158</v>
      </c>
      <c r="Q274" s="14" t="s">
        <v>9158</v>
      </c>
    </row>
    <row r="275" spans="1:17">
      <c r="A275" s="9">
        <v>87433</v>
      </c>
      <c r="B275" s="14" t="s">
        <v>334</v>
      </c>
      <c r="C275" s="9" t="s">
        <v>206</v>
      </c>
      <c r="D275" s="20" t="s">
        <v>10928</v>
      </c>
      <c r="E275" s="15" t="str">
        <f>HYPERLINK("https://stat100.ameba.jp/tnk47/ratio20/illustrations/card/ill_87433_kaiamamorikuzuha03.jpg?202005-3-RELEASE-dice-469x", "■")</f>
        <v>■</v>
      </c>
      <c r="F275" s="9" t="s">
        <v>9156</v>
      </c>
      <c r="G275" s="9">
        <v>161776</v>
      </c>
      <c r="H275" s="9">
        <v>90932</v>
      </c>
      <c r="I275" s="9">
        <v>27</v>
      </c>
      <c r="J275" s="9" t="s">
        <v>159</v>
      </c>
      <c r="K275" s="9" t="s">
        <v>9155</v>
      </c>
      <c r="L275" s="9" t="s">
        <v>9154</v>
      </c>
      <c r="M275" s="14" t="s">
        <v>9158</v>
      </c>
      <c r="N275" s="14" t="s">
        <v>9158</v>
      </c>
      <c r="O275" s="14" t="s">
        <v>9158</v>
      </c>
      <c r="P275" s="14" t="s">
        <v>9158</v>
      </c>
      <c r="Q275" s="14" t="s">
        <v>9158</v>
      </c>
    </row>
    <row r="276" spans="1:17">
      <c r="A276" s="9">
        <v>79793</v>
      </c>
      <c r="B276" s="14" t="s">
        <v>334</v>
      </c>
      <c r="C276" s="14" t="s">
        <v>202</v>
      </c>
      <c r="D276" s="20" t="s">
        <v>2790</v>
      </c>
      <c r="E276" s="15" t="str">
        <f>HYPERLINK("https://stat100.ameba.jp/tnk47/ratio20/illustrations/card/ill_79793_kuresuteirureina03.jpg?202005-3-RELEASE-dice-469x", "■")</f>
        <v>■</v>
      </c>
      <c r="F276" s="14" t="s">
        <v>2791</v>
      </c>
      <c r="G276" s="14">
        <v>92997</v>
      </c>
      <c r="H276" s="14">
        <v>165353</v>
      </c>
      <c r="I276" s="14">
        <v>27</v>
      </c>
      <c r="J276" s="14" t="s">
        <v>283</v>
      </c>
      <c r="K276" s="14" t="s">
        <v>2792</v>
      </c>
      <c r="L276" s="14" t="s">
        <v>2793</v>
      </c>
      <c r="M276" s="14" t="s">
        <v>9158</v>
      </c>
      <c r="N276" s="14" t="s">
        <v>9158</v>
      </c>
      <c r="O276" s="14" t="s">
        <v>9158</v>
      </c>
      <c r="P276" s="14" t="s">
        <v>9158</v>
      </c>
      <c r="Q276" s="14" t="s">
        <v>9158</v>
      </c>
    </row>
    <row r="277" spans="1:17">
      <c r="A277" s="9">
        <v>79803</v>
      </c>
      <c r="B277" s="14" t="s">
        <v>334</v>
      </c>
      <c r="C277" s="14" t="s">
        <v>202</v>
      </c>
      <c r="D277" s="20" t="s">
        <v>12743</v>
      </c>
      <c r="E277" s="15" t="str">
        <f>HYPERLINK("https://stat100.ameba.jp/tnk47/ratio20/illustrations/card/ill_79803_oyamadaisane03.jpg?202005-3-RELEASE-dice-469x", "■")</f>
        <v>■</v>
      </c>
      <c r="F277" s="14" t="s">
        <v>2795</v>
      </c>
      <c r="G277" s="14">
        <v>76927</v>
      </c>
      <c r="H277" s="14">
        <v>136721</v>
      </c>
      <c r="I277" s="14">
        <v>27</v>
      </c>
      <c r="J277" s="14" t="s">
        <v>351</v>
      </c>
      <c r="K277" s="14" t="s">
        <v>2796</v>
      </c>
      <c r="L277" s="14" t="s">
        <v>2797</v>
      </c>
      <c r="M277" s="14" t="s">
        <v>9158</v>
      </c>
      <c r="N277" s="14" t="s">
        <v>9158</v>
      </c>
      <c r="O277" s="14" t="s">
        <v>9158</v>
      </c>
      <c r="P277" s="14" t="s">
        <v>9158</v>
      </c>
      <c r="Q277" s="14" t="s">
        <v>9158</v>
      </c>
    </row>
    <row r="278" spans="1:17">
      <c r="A278" s="9">
        <v>79813</v>
      </c>
      <c r="B278" s="14" t="s">
        <v>334</v>
      </c>
      <c r="C278" s="14" t="s">
        <v>202</v>
      </c>
      <c r="D278" s="20" t="s">
        <v>12744</v>
      </c>
      <c r="E278" s="15" t="str">
        <f>HYPERLINK("https://stat100.ameba.jp/tnk47/ratio20/illustrations/card/ill_79813_takarazukamarimo03.jpg?202005-3-RELEASE-dice-469x", "■")</f>
        <v>■</v>
      </c>
      <c r="F278" s="14" t="s">
        <v>2799</v>
      </c>
      <c r="G278" s="14">
        <v>159609</v>
      </c>
      <c r="H278" s="14">
        <v>89810</v>
      </c>
      <c r="I278" s="14">
        <v>27</v>
      </c>
      <c r="J278" s="14" t="s">
        <v>274</v>
      </c>
      <c r="K278" s="14" t="s">
        <v>2800</v>
      </c>
      <c r="L278" s="14" t="s">
        <v>489</v>
      </c>
      <c r="M278" s="14" t="s">
        <v>9158</v>
      </c>
      <c r="N278" s="14" t="s">
        <v>9158</v>
      </c>
      <c r="O278" s="14" t="s">
        <v>9158</v>
      </c>
      <c r="P278" s="14" t="s">
        <v>9158</v>
      </c>
      <c r="Q278" s="14" t="s">
        <v>9158</v>
      </c>
    </row>
    <row r="279" spans="1:17">
      <c r="A279" s="9">
        <v>79843</v>
      </c>
      <c r="B279" s="14" t="s">
        <v>334</v>
      </c>
      <c r="C279" s="14" t="s">
        <v>202</v>
      </c>
      <c r="D279" s="20" t="s">
        <v>12745</v>
      </c>
      <c r="E279" s="15" t="str">
        <f>HYPERLINK("https://stat100.ameba.jp/tnk47/ratio20/illustrations/card/ill_79843_saotomereiichi03.jpg?202005-3-RELEASE-dice-469x", "■")</f>
        <v>■</v>
      </c>
      <c r="F279" s="14" t="s">
        <v>3514</v>
      </c>
      <c r="G279" s="14">
        <v>208140</v>
      </c>
      <c r="H279" s="14">
        <v>117126</v>
      </c>
      <c r="I279" s="14">
        <v>27</v>
      </c>
      <c r="J279" s="14" t="s">
        <v>143</v>
      </c>
      <c r="K279" s="14" t="s">
        <v>3515</v>
      </c>
      <c r="L279" s="14" t="s">
        <v>145</v>
      </c>
      <c r="M279" s="14" t="s">
        <v>9158</v>
      </c>
      <c r="N279" s="14" t="s">
        <v>9158</v>
      </c>
      <c r="O279" s="14" t="s">
        <v>9158</v>
      </c>
      <c r="P279" s="14" t="s">
        <v>9158</v>
      </c>
      <c r="Q279" s="14" t="s">
        <v>9158</v>
      </c>
    </row>
    <row r="280" spans="1:17">
      <c r="A280" s="9">
        <v>79853</v>
      </c>
      <c r="B280" s="14" t="s">
        <v>334</v>
      </c>
      <c r="C280" s="14" t="s">
        <v>202</v>
      </c>
      <c r="D280" s="20" t="s">
        <v>12746</v>
      </c>
      <c r="E280" s="15" t="str">
        <f>HYPERLINK("https://stat100.ameba.jp/tnk47/ratio20/illustrations/card/ill_79853_ryuoinsamidare03.jpg?202005-3-RELEASE-dice-469x", "■")</f>
        <v>■</v>
      </c>
      <c r="F280" s="14" t="s">
        <v>3516</v>
      </c>
      <c r="G280" s="14">
        <v>145892</v>
      </c>
      <c r="H280" s="14">
        <v>82109</v>
      </c>
      <c r="I280" s="14">
        <v>27</v>
      </c>
      <c r="J280" s="14" t="s">
        <v>73</v>
      </c>
      <c r="K280" s="14" t="s">
        <v>3517</v>
      </c>
      <c r="L280" s="14" t="s">
        <v>3518</v>
      </c>
      <c r="M280" s="14" t="s">
        <v>9158</v>
      </c>
      <c r="N280" s="14" t="s">
        <v>9158</v>
      </c>
      <c r="O280" s="14" t="s">
        <v>9158</v>
      </c>
      <c r="P280" s="14" t="s">
        <v>9158</v>
      </c>
      <c r="Q280" s="14" t="s">
        <v>9158</v>
      </c>
    </row>
    <row r="281" spans="1:17">
      <c r="A281" s="9">
        <v>79863</v>
      </c>
      <c r="B281" s="14" t="s">
        <v>334</v>
      </c>
      <c r="C281" s="14" t="s">
        <v>202</v>
      </c>
      <c r="D281" s="20" t="s">
        <v>10931</v>
      </c>
      <c r="E281" s="15" t="str">
        <f>HYPERLINK("https://stat100.ameba.jp/tnk47/ratio20/illustrations/card/ill_79863_nagadoayumi03.jpg?202005-3-RELEASE-dice-469x", "■")</f>
        <v>■</v>
      </c>
      <c r="F281" s="14" t="s">
        <v>3519</v>
      </c>
      <c r="G281" s="14">
        <v>80363</v>
      </c>
      <c r="H281" s="14">
        <v>142809</v>
      </c>
      <c r="I281" s="14">
        <v>27</v>
      </c>
      <c r="J281" s="14" t="s">
        <v>44</v>
      </c>
      <c r="K281" s="14" t="s">
        <v>3520</v>
      </c>
      <c r="L281" s="14" t="s">
        <v>1209</v>
      </c>
      <c r="M281" s="14" t="s">
        <v>9158</v>
      </c>
      <c r="N281" s="14" t="s">
        <v>9158</v>
      </c>
      <c r="O281" s="14" t="s">
        <v>9158</v>
      </c>
      <c r="P281" s="14" t="s">
        <v>9158</v>
      </c>
      <c r="Q281" s="14" t="s">
        <v>9158</v>
      </c>
    </row>
    <row r="283" spans="1:17">
      <c r="A283" s="14" t="s">
        <v>12749</v>
      </c>
    </row>
    <row r="284" spans="1:17">
      <c r="A284" s="14" t="s">
        <v>12748</v>
      </c>
    </row>
    <row r="285" spans="1:17">
      <c r="A285" s="14" t="s">
        <v>5733</v>
      </c>
      <c r="B285" s="14" t="s">
        <v>330</v>
      </c>
      <c r="C285" s="14" t="s">
        <v>202</v>
      </c>
      <c r="D285" s="19" t="s">
        <v>2744</v>
      </c>
      <c r="E285" s="15" t="str">
        <f>HYPERLINK("https://stat100.ameba.jp/tnk47/ratio20/illustrations/card/ill_78693_0_kyupittokoinomikoto03.jpg?202005-3-RELEASE-dice-469x", "■")</f>
        <v>■</v>
      </c>
      <c r="F285" s="14" t="s">
        <v>2745</v>
      </c>
      <c r="G285" s="14">
        <v>261996</v>
      </c>
      <c r="H285" s="14">
        <v>289889</v>
      </c>
      <c r="I285" s="14">
        <v>25</v>
      </c>
      <c r="J285" s="14" t="s">
        <v>274</v>
      </c>
      <c r="K285" s="14" t="s">
        <v>2746</v>
      </c>
      <c r="L285" s="14" t="s">
        <v>2747</v>
      </c>
      <c r="M285" s="14" t="s">
        <v>9158</v>
      </c>
      <c r="N285" s="14" t="s">
        <v>9158</v>
      </c>
      <c r="O285" s="19" t="s">
        <v>10097</v>
      </c>
      <c r="P285" s="14" t="s">
        <v>2748</v>
      </c>
      <c r="Q285" s="14">
        <v>1</v>
      </c>
    </row>
    <row r="286" spans="1:17">
      <c r="A286" s="14">
        <v>84633</v>
      </c>
      <c r="B286" s="14" t="s">
        <v>334</v>
      </c>
      <c r="C286" s="14" t="s">
        <v>154</v>
      </c>
      <c r="D286" s="19" t="s">
        <v>10586</v>
      </c>
      <c r="E286" s="15" t="str">
        <f>HYPERLINK("https://stat100.ameba.jp/tnk47/ratio20/illustrations/card/ill_84633_akubishoppu03.jpg?202005-3-RELEASE-dice-469x", "■")</f>
        <v>■</v>
      </c>
      <c r="F286" s="14" t="s">
        <v>6762</v>
      </c>
      <c r="G286" s="14">
        <v>104890</v>
      </c>
      <c r="H286" s="14">
        <v>75984</v>
      </c>
      <c r="I286" s="14">
        <v>24</v>
      </c>
      <c r="J286" s="14" t="s">
        <v>10</v>
      </c>
      <c r="K286" s="14" t="s">
        <v>6764</v>
      </c>
      <c r="L286" s="14" t="s">
        <v>6763</v>
      </c>
      <c r="M286" s="14" t="s">
        <v>9158</v>
      </c>
      <c r="N286" s="14" t="s">
        <v>9158</v>
      </c>
      <c r="O286" s="19" t="s">
        <v>10090</v>
      </c>
      <c r="P286" s="14" t="s">
        <v>3460</v>
      </c>
      <c r="Q286" s="14">
        <v>1</v>
      </c>
    </row>
    <row r="287" spans="1:17">
      <c r="A287" s="14">
        <v>77663</v>
      </c>
      <c r="B287" s="14" t="s">
        <v>334</v>
      </c>
      <c r="C287" s="14" t="s">
        <v>202</v>
      </c>
      <c r="D287" s="19" t="s">
        <v>10614</v>
      </c>
      <c r="E287" s="15" t="str">
        <f>HYPERLINK("https://stat100.ameba.jp/tnk47/ratio20/illustrations/card/ill_77663_deipuburu03.jpg?202005-3-RELEASE-dice-469x", "■")</f>
        <v>■</v>
      </c>
      <c r="F287" s="14" t="s">
        <v>1573</v>
      </c>
      <c r="G287" s="14">
        <v>78916</v>
      </c>
      <c r="H287" s="14">
        <v>108924</v>
      </c>
      <c r="I287" s="14">
        <v>24</v>
      </c>
      <c r="J287" s="14" t="s">
        <v>414</v>
      </c>
      <c r="K287" s="14" t="s">
        <v>1574</v>
      </c>
      <c r="L287" s="14" t="s">
        <v>1575</v>
      </c>
      <c r="M287" s="14" t="s">
        <v>9158</v>
      </c>
      <c r="N287" s="14" t="s">
        <v>9158</v>
      </c>
      <c r="O287" s="19" t="s">
        <v>10117</v>
      </c>
      <c r="P287" s="14" t="s">
        <v>3625</v>
      </c>
      <c r="Q287" s="14">
        <v>1</v>
      </c>
    </row>
    <row r="288" spans="1:17">
      <c r="A288" s="14">
        <v>73893</v>
      </c>
      <c r="B288" s="14" t="s">
        <v>334</v>
      </c>
      <c r="C288" s="14" t="s">
        <v>203</v>
      </c>
      <c r="D288" s="20" t="s">
        <v>10388</v>
      </c>
      <c r="E288" s="15" t="str">
        <f>HYPERLINK("https://stat100.ameba.jp/tnk47/ratio20/illustrations/card/ill_73893_kurohachidaimyojintookami03.jpg?202005-3-RELEASE-dice-469x", "■")</f>
        <v>■</v>
      </c>
      <c r="F288" s="14" t="s">
        <v>685</v>
      </c>
      <c r="G288" s="14">
        <v>122476</v>
      </c>
      <c r="H288" s="14">
        <v>88706</v>
      </c>
      <c r="I288" s="14">
        <v>24</v>
      </c>
      <c r="J288" s="14" t="s">
        <v>274</v>
      </c>
      <c r="K288" s="14" t="s">
        <v>686</v>
      </c>
      <c r="L288" s="14" t="s">
        <v>428</v>
      </c>
      <c r="M288" s="14" t="s">
        <v>9158</v>
      </c>
      <c r="N288" s="14" t="s">
        <v>9158</v>
      </c>
      <c r="O288" s="19" t="s">
        <v>10100</v>
      </c>
      <c r="P288" s="14" t="s">
        <v>3810</v>
      </c>
      <c r="Q288" s="14">
        <v>1</v>
      </c>
    </row>
    <row r="290" spans="1:18">
      <c r="A290" s="14" t="s">
        <v>13409</v>
      </c>
    </row>
    <row r="291" spans="1:18">
      <c r="A291" s="14" t="s">
        <v>12750</v>
      </c>
    </row>
    <row r="292" spans="1:18">
      <c r="A292" s="14">
        <v>89185</v>
      </c>
      <c r="B292" s="14" t="s">
        <v>334</v>
      </c>
      <c r="C292" s="14" t="s">
        <v>12759</v>
      </c>
      <c r="D292" s="14" t="s">
        <v>12751</v>
      </c>
      <c r="E292" s="15" t="str">
        <f>HYPERLINK("https://stat100.ameba.jp/tnk47/ratio20/illustrations/card/ill_89185_funsaimetaruroddo05.jpg?202005-3-RELEASE-dice-469x", "■")</f>
        <v>■</v>
      </c>
      <c r="F292" s="14" t="s">
        <v>12752</v>
      </c>
      <c r="G292" s="14">
        <v>95431</v>
      </c>
      <c r="H292" s="14">
        <v>131805</v>
      </c>
      <c r="I292" s="14">
        <v>27</v>
      </c>
      <c r="J292" s="14" t="s">
        <v>12758</v>
      </c>
      <c r="K292" s="14" t="s">
        <v>12757</v>
      </c>
      <c r="L292" s="14" t="s">
        <v>12756</v>
      </c>
      <c r="M292" s="14" t="s">
        <v>9158</v>
      </c>
      <c r="N292" s="14" t="s">
        <v>9158</v>
      </c>
      <c r="O292" s="14" t="s">
        <v>9158</v>
      </c>
      <c r="P292" s="14" t="s">
        <v>9158</v>
      </c>
      <c r="Q292" s="14" t="s">
        <v>9158</v>
      </c>
      <c r="R292" s="14" t="s">
        <v>12753</v>
      </c>
    </row>
    <row r="293" spans="1:18">
      <c r="A293" s="14">
        <v>89183</v>
      </c>
      <c r="B293" s="14" t="s">
        <v>12760</v>
      </c>
      <c r="C293" s="14" t="s">
        <v>203</v>
      </c>
      <c r="D293" s="14" t="s">
        <v>12751</v>
      </c>
      <c r="E293" s="15" t="str">
        <f>HYPERLINK("https://stat100.ameba.jp/tnk47/ratio20/illustrations/card/ill_89183_funsaimetaruroddo03.jpg?202005-3-RELEASE-dice-469x", "■")</f>
        <v>■</v>
      </c>
      <c r="F293" s="14" t="s">
        <v>12752</v>
      </c>
      <c r="G293" s="14">
        <v>70303</v>
      </c>
      <c r="H293" s="14">
        <v>97110</v>
      </c>
      <c r="I293" s="14">
        <v>27</v>
      </c>
      <c r="J293" s="14" t="s">
        <v>12758</v>
      </c>
      <c r="K293" s="14" t="s">
        <v>12757</v>
      </c>
      <c r="L293" s="14" t="s">
        <v>12761</v>
      </c>
      <c r="M293" s="14" t="s">
        <v>9158</v>
      </c>
      <c r="N293" s="14" t="s">
        <v>9158</v>
      </c>
      <c r="O293" s="14" t="s">
        <v>9158</v>
      </c>
      <c r="P293" s="14" t="s">
        <v>9158</v>
      </c>
      <c r="Q293" s="14" t="s">
        <v>9158</v>
      </c>
      <c r="R293" s="14" t="s">
        <v>12754</v>
      </c>
    </row>
    <row r="294" spans="1:18">
      <c r="A294" s="14">
        <v>89181</v>
      </c>
      <c r="B294" s="14" t="s">
        <v>12760</v>
      </c>
      <c r="C294" s="14" t="s">
        <v>203</v>
      </c>
      <c r="D294" s="14" t="s">
        <v>12751</v>
      </c>
      <c r="E294" s="15" t="str">
        <f>HYPERLINK("https://stat100.ameba.jp/tnk47/ratio20/illustrations/card/ill_89181_funsaimetaruroddo01.jpg?202005-3-RELEASE-dice-469x", "■")</f>
        <v>■</v>
      </c>
      <c r="F294" s="14" t="s">
        <v>12752</v>
      </c>
      <c r="G294" s="14">
        <v>44739</v>
      </c>
      <c r="H294" s="14">
        <v>61776</v>
      </c>
      <c r="I294" s="14">
        <v>27</v>
      </c>
      <c r="J294" s="14" t="s">
        <v>12758</v>
      </c>
      <c r="K294" s="14" t="s">
        <v>12757</v>
      </c>
      <c r="L294" s="14" t="s">
        <v>12762</v>
      </c>
      <c r="M294" s="14" t="s">
        <v>9158</v>
      </c>
      <c r="N294" s="14" t="s">
        <v>9158</v>
      </c>
      <c r="O294" s="14" t="s">
        <v>9158</v>
      </c>
      <c r="P294" s="14" t="s">
        <v>9158</v>
      </c>
      <c r="Q294" s="14" t="s">
        <v>9158</v>
      </c>
      <c r="R294" s="14" t="s">
        <v>12755</v>
      </c>
    </row>
    <row r="296" spans="1:18">
      <c r="A296" s="14" t="s">
        <v>12764</v>
      </c>
    </row>
    <row r="297" spans="1:18">
      <c r="A297" s="14" t="s">
        <v>12763</v>
      </c>
    </row>
    <row r="298" spans="1:18">
      <c r="A298" s="14">
        <v>26483</v>
      </c>
      <c r="B298" s="14" t="s">
        <v>12765</v>
      </c>
      <c r="C298" s="14" t="s">
        <v>12767</v>
      </c>
      <c r="D298" s="14" t="s">
        <v>12766</v>
      </c>
      <c r="E298" s="15" t="str">
        <f>HYPERLINK("https://stat100.ameba.jp/tnk47/ratio20/illustrations/card/ill_26483_biyokaikawahime03.jpg?202005-3-RELEASE-dice-469x", "■")</f>
        <v>■</v>
      </c>
      <c r="F298" s="14" t="s">
        <v>12768</v>
      </c>
      <c r="G298" s="14">
        <v>100214</v>
      </c>
      <c r="H298" s="14">
        <v>93172</v>
      </c>
      <c r="I298" s="14">
        <v>26</v>
      </c>
      <c r="J298" s="14" t="s">
        <v>12769</v>
      </c>
      <c r="K298" s="14" t="s">
        <v>12770</v>
      </c>
      <c r="L298" s="14" t="s">
        <v>12771</v>
      </c>
      <c r="M298" s="14" t="s">
        <v>9158</v>
      </c>
      <c r="N298" s="14" t="s">
        <v>9158</v>
      </c>
      <c r="O298" s="14" t="s">
        <v>9158</v>
      </c>
      <c r="P298" s="14" t="s">
        <v>9158</v>
      </c>
      <c r="Q298" s="14" t="s">
        <v>9158</v>
      </c>
    </row>
    <row r="299" spans="1:18">
      <c r="A299" s="14">
        <v>62193</v>
      </c>
      <c r="B299" s="14" t="s">
        <v>12765</v>
      </c>
      <c r="C299" s="14" t="s">
        <v>12773</v>
      </c>
      <c r="D299" s="14" t="s">
        <v>12772</v>
      </c>
      <c r="E299" s="15" t="str">
        <f>HYPERLINK("https://stat100.ameba.jp/tnk47/ratio20/illustrations/card/ill_62193_sakakibaramichiko03.jpg?202005-3-RELEASE-dice-469x", "■")</f>
        <v>■</v>
      </c>
      <c r="F299" s="14" t="s">
        <v>12774</v>
      </c>
      <c r="G299" s="14">
        <v>94390</v>
      </c>
      <c r="H299" s="14">
        <v>101558</v>
      </c>
      <c r="I299" s="14">
        <v>26</v>
      </c>
      <c r="J299" s="14" t="s">
        <v>12775</v>
      </c>
      <c r="K299" s="14" t="s">
        <v>12776</v>
      </c>
      <c r="L299" s="14" t="s">
        <v>12777</v>
      </c>
      <c r="M299" s="14" t="s">
        <v>9158</v>
      </c>
      <c r="N299" s="14" t="s">
        <v>9158</v>
      </c>
      <c r="O299" s="14" t="s">
        <v>9158</v>
      </c>
      <c r="P299" s="14" t="s">
        <v>9158</v>
      </c>
      <c r="Q299" s="14" t="s">
        <v>9158</v>
      </c>
    </row>
    <row r="300" spans="1:18">
      <c r="A300" s="14">
        <v>75653</v>
      </c>
      <c r="B300" s="14" t="s">
        <v>12765</v>
      </c>
      <c r="C300" s="14" t="s">
        <v>12779</v>
      </c>
      <c r="D300" s="14" t="s">
        <v>12778</v>
      </c>
      <c r="E300" s="15" t="str">
        <f>HYPERLINK("https://stat100.ameba.jp/tnk47/ratio20/illustrations/card/ill_75653_kitanobuchika03.jpg?202005-3-RELEASE-dice-469x", "■")</f>
        <v>■</v>
      </c>
      <c r="F300" s="14" t="s">
        <v>12780</v>
      </c>
      <c r="G300" s="14">
        <v>143714</v>
      </c>
      <c r="H300" s="14">
        <v>154562</v>
      </c>
      <c r="I300" s="14">
        <v>26</v>
      </c>
      <c r="J300" s="14" t="s">
        <v>12781</v>
      </c>
      <c r="K300" s="14" t="s">
        <v>12782</v>
      </c>
      <c r="L300" s="14" t="s">
        <v>12783</v>
      </c>
      <c r="M300" s="14" t="s">
        <v>9158</v>
      </c>
      <c r="N300" s="14" t="s">
        <v>9158</v>
      </c>
      <c r="O300" s="14" t="s">
        <v>9158</v>
      </c>
      <c r="P300" s="14" t="s">
        <v>9158</v>
      </c>
      <c r="Q300" s="14" t="s">
        <v>9158</v>
      </c>
    </row>
    <row r="301" spans="1:18">
      <c r="A301" s="14">
        <v>54613</v>
      </c>
      <c r="B301" s="14" t="s">
        <v>12760</v>
      </c>
      <c r="C301" s="14" t="s">
        <v>12785</v>
      </c>
      <c r="D301" s="14" t="s">
        <v>12784</v>
      </c>
      <c r="E301" s="15" t="str">
        <f>HYPERLINK("https://stat100.ameba.jp/tnk47/ratio20/illustrations/card/ill_54613_kurokishinagatachikamasu03.jpg?202005-3-RELEASE-dice-469x", "■")</f>
        <v>■</v>
      </c>
      <c r="F301" s="14" t="s">
        <v>12786</v>
      </c>
      <c r="G301" s="14">
        <v>61826</v>
      </c>
      <c r="H301" s="14">
        <v>45568</v>
      </c>
      <c r="I301" s="14">
        <v>19</v>
      </c>
      <c r="J301" s="14" t="s">
        <v>12787</v>
      </c>
      <c r="K301" s="14" t="s">
        <v>12788</v>
      </c>
      <c r="L301" s="14" t="s">
        <v>12789</v>
      </c>
      <c r="M301" s="14" t="s">
        <v>9158</v>
      </c>
      <c r="N301" s="14" t="s">
        <v>9158</v>
      </c>
      <c r="O301" s="14" t="s">
        <v>9158</v>
      </c>
      <c r="P301" s="14" t="s">
        <v>9158</v>
      </c>
      <c r="Q301" s="14" t="s">
        <v>9158</v>
      </c>
    </row>
    <row r="302" spans="1:18">
      <c r="A302" s="14">
        <v>33703</v>
      </c>
      <c r="B302" s="14" t="s">
        <v>12760</v>
      </c>
      <c r="C302" s="14" t="s">
        <v>12790</v>
      </c>
      <c r="D302" s="14" t="s">
        <v>12791</v>
      </c>
      <c r="E302" s="15" t="str">
        <f>HYPERLINK("https://stat100.ameba.jp/tnk47/ratio20/illustrations/card/ill_33703_momburankurepu03.jpg?202005-3-RELEASE-dice-469x", "■")</f>
        <v>■</v>
      </c>
      <c r="F302" s="14" t="s">
        <v>12792</v>
      </c>
      <c r="G302" s="14">
        <v>56316</v>
      </c>
      <c r="H302" s="14">
        <v>51078</v>
      </c>
      <c r="I302" s="14">
        <v>19</v>
      </c>
      <c r="J302" s="14" t="s">
        <v>12793</v>
      </c>
      <c r="K302" s="14" t="s">
        <v>12794</v>
      </c>
      <c r="L302" s="14" t="s">
        <v>12795</v>
      </c>
      <c r="M302" s="14" t="s">
        <v>9158</v>
      </c>
      <c r="N302" s="14" t="s">
        <v>9158</v>
      </c>
      <c r="O302" s="14" t="s">
        <v>9158</v>
      </c>
      <c r="P302" s="14" t="s">
        <v>9158</v>
      </c>
      <c r="Q302" s="14" t="s">
        <v>9158</v>
      </c>
    </row>
    <row r="303" spans="1:18">
      <c r="A303" s="14">
        <v>44863</v>
      </c>
      <c r="B303" s="14" t="s">
        <v>12760</v>
      </c>
      <c r="C303" s="14" t="s">
        <v>12797</v>
      </c>
      <c r="D303" s="14" t="s">
        <v>12796</v>
      </c>
      <c r="E303" s="15" t="str">
        <f>HYPERLINK("https://stat100.ameba.jp/tnk47/ratio20/illustrations/card/ill_44863_nekodanuki03.jpg?202005-3-RELEASE-dice-469x", "■")</f>
        <v>■</v>
      </c>
      <c r="F303" s="14" t="s">
        <v>12798</v>
      </c>
      <c r="G303" s="14">
        <v>51078</v>
      </c>
      <c r="H303" s="14">
        <v>56316</v>
      </c>
      <c r="I303" s="14">
        <v>19</v>
      </c>
      <c r="J303" s="14" t="s">
        <v>12769</v>
      </c>
      <c r="K303" s="14" t="s">
        <v>12799</v>
      </c>
      <c r="L303" s="14" t="s">
        <v>12800</v>
      </c>
      <c r="M303" s="14" t="s">
        <v>9158</v>
      </c>
      <c r="N303" s="14" t="s">
        <v>9158</v>
      </c>
      <c r="O303" s="14" t="s">
        <v>9158</v>
      </c>
      <c r="P303" s="14" t="s">
        <v>9158</v>
      </c>
      <c r="Q303" s="14" t="s">
        <v>9158</v>
      </c>
    </row>
    <row r="305" spans="1:17">
      <c r="A305" s="14" t="s">
        <v>12801</v>
      </c>
    </row>
    <row r="306" spans="1:17">
      <c r="A306" s="14" t="s">
        <v>12802</v>
      </c>
    </row>
    <row r="307" spans="1:17">
      <c r="A307" s="14" t="s">
        <v>5610</v>
      </c>
      <c r="B307" s="14" t="s">
        <v>330</v>
      </c>
      <c r="C307" s="14" t="s">
        <v>185</v>
      </c>
      <c r="D307" s="19" t="s">
        <v>539</v>
      </c>
      <c r="E307" s="15" t="str">
        <f>HYPERLINK("https://stat100.ameba.jp/tnk47/ratio20/illustrations/card/ill_60633_0_harumaisentoin03.jpg?202005-3-RELEASE-dice-469xx", "■")</f>
        <v>■</v>
      </c>
      <c r="F307" s="14" t="s">
        <v>540</v>
      </c>
      <c r="G307" s="14">
        <v>152594</v>
      </c>
      <c r="H307" s="14">
        <v>164144</v>
      </c>
      <c r="I307" s="14">
        <v>24</v>
      </c>
      <c r="J307" s="14" t="s">
        <v>274</v>
      </c>
      <c r="K307" s="14" t="s">
        <v>541</v>
      </c>
      <c r="L307" s="14" t="s">
        <v>542</v>
      </c>
      <c r="M307" s="14" t="s">
        <v>9158</v>
      </c>
      <c r="N307" s="14" t="s">
        <v>9158</v>
      </c>
      <c r="O307" s="19" t="s">
        <v>2888</v>
      </c>
      <c r="P307" s="14" t="s">
        <v>3144</v>
      </c>
      <c r="Q307" s="14">
        <v>1</v>
      </c>
    </row>
    <row r="308" spans="1:17">
      <c r="A308" s="14" t="s">
        <v>5719</v>
      </c>
      <c r="B308" s="14" t="s">
        <v>52</v>
      </c>
      <c r="C308" s="14" t="s">
        <v>165</v>
      </c>
      <c r="D308" s="20" t="s">
        <v>10379</v>
      </c>
      <c r="E308" s="15" t="str">
        <f>HYPERLINK("https://stat100.ameba.jp/tnk47/ratio20/illustrations/card/ill_54523_0_yonshunennionohime03.jpg?202005-3-RELEASE-dice-469xx", "■")</f>
        <v>■</v>
      </c>
      <c r="F308" s="14" t="s">
        <v>1773</v>
      </c>
      <c r="G308" s="14">
        <v>133938</v>
      </c>
      <c r="H308" s="14">
        <v>150776</v>
      </c>
      <c r="I308" s="14">
        <v>24</v>
      </c>
      <c r="J308" s="14" t="s">
        <v>38</v>
      </c>
      <c r="K308" s="14" t="s">
        <v>1774</v>
      </c>
      <c r="L308" s="14" t="s">
        <v>1775</v>
      </c>
      <c r="M308" s="14" t="s">
        <v>9158</v>
      </c>
      <c r="N308" s="14" t="s">
        <v>9158</v>
      </c>
      <c r="O308" s="19" t="s">
        <v>10094</v>
      </c>
      <c r="P308" s="14" t="s">
        <v>13168</v>
      </c>
      <c r="Q308" s="14">
        <v>1</v>
      </c>
    </row>
    <row r="309" spans="1:17">
      <c r="A309" s="14" t="s">
        <v>5604</v>
      </c>
      <c r="B309" s="14" t="s">
        <v>330</v>
      </c>
      <c r="C309" s="14" t="s">
        <v>206</v>
      </c>
      <c r="D309" s="19" t="s">
        <v>614</v>
      </c>
      <c r="E309" s="15" t="str">
        <f>HYPERLINK("https://stat100.ameba.jp/tnk47/ratio20/illustrations/card/ill_47263_0_oukyuuatsuhime03.jpg?202005-3-RELEASE-dice-469xx", "■")</f>
        <v>■</v>
      </c>
      <c r="F309" s="14" t="s">
        <v>615</v>
      </c>
      <c r="G309" s="14">
        <v>150776</v>
      </c>
      <c r="H309" s="14">
        <v>133938</v>
      </c>
      <c r="I309" s="14">
        <v>24</v>
      </c>
      <c r="J309" s="14" t="s">
        <v>315</v>
      </c>
      <c r="K309" s="14" t="s">
        <v>616</v>
      </c>
      <c r="L309" s="14" t="s">
        <v>617</v>
      </c>
      <c r="M309" s="14" t="s">
        <v>9158</v>
      </c>
      <c r="N309" s="14" t="s">
        <v>9158</v>
      </c>
      <c r="O309" s="14" t="s">
        <v>9158</v>
      </c>
      <c r="P309" s="14" t="s">
        <v>9158</v>
      </c>
      <c r="Q309" s="14" t="s">
        <v>9158</v>
      </c>
    </row>
    <row r="310" spans="1:17">
      <c r="A310" s="14">
        <v>89303</v>
      </c>
      <c r="B310" s="14" t="s">
        <v>0</v>
      </c>
      <c r="C310" s="14" t="s">
        <v>101</v>
      </c>
      <c r="D310" s="14" t="s">
        <v>12706</v>
      </c>
      <c r="E310" s="15" t="str">
        <f>HYPERLINK("https://stat100.ameba.jp/tnk47/ratio20/illustrations/card/ill_89303_ransaapaosha03.jpg?202005-3-RELEASE-dice-469xx", "■")</f>
        <v>■</v>
      </c>
      <c r="F310" s="14" t="s">
        <v>12712</v>
      </c>
      <c r="G310" s="14">
        <v>118446</v>
      </c>
      <c r="H310" s="14">
        <v>110126</v>
      </c>
      <c r="I310" s="14">
        <v>26</v>
      </c>
      <c r="J310" s="14" t="s">
        <v>38</v>
      </c>
      <c r="K310" s="14" t="s">
        <v>12714</v>
      </c>
      <c r="L310" s="14" t="s">
        <v>12715</v>
      </c>
      <c r="M310" s="14" t="s">
        <v>9158</v>
      </c>
      <c r="N310" s="14" t="s">
        <v>9158</v>
      </c>
      <c r="O310" s="14" t="s">
        <v>9158</v>
      </c>
      <c r="P310" s="14" t="s">
        <v>9158</v>
      </c>
      <c r="Q310" s="14" t="s">
        <v>9158</v>
      </c>
    </row>
    <row r="311" spans="1:17">
      <c r="A311" s="14">
        <v>89323</v>
      </c>
      <c r="B311" s="14" t="s">
        <v>15</v>
      </c>
      <c r="C311" s="14" t="s">
        <v>96</v>
      </c>
      <c r="D311" s="14" t="s">
        <v>12722</v>
      </c>
      <c r="E311" s="15" t="str">
        <f>HYPERLINK("https://stat100.ameba.jp/tnk47/ratio20/illustrations/card/ill_89323_toribujinkitanokata03.jpg?202005-3-RELEASE-dice-469xx", "■")</f>
        <v>■</v>
      </c>
      <c r="F311" s="14" t="s">
        <v>12724</v>
      </c>
      <c r="G311" s="14">
        <v>77064</v>
      </c>
      <c r="H311" s="14">
        <v>69898</v>
      </c>
      <c r="I311" s="7">
        <v>26</v>
      </c>
      <c r="J311" s="14" t="s">
        <v>143</v>
      </c>
      <c r="K311" s="14" t="s">
        <v>12725</v>
      </c>
      <c r="L311" s="14" t="s">
        <v>3524</v>
      </c>
      <c r="M311" s="14" t="s">
        <v>9158</v>
      </c>
      <c r="N311" s="14" t="s">
        <v>9158</v>
      </c>
      <c r="O311" s="14" t="s">
        <v>9158</v>
      </c>
      <c r="P311" s="14" t="s">
        <v>9158</v>
      </c>
      <c r="Q311" s="14" t="s">
        <v>9158</v>
      </c>
    </row>
    <row r="312" spans="1:17">
      <c r="A312" s="14">
        <v>89333</v>
      </c>
      <c r="B312" s="14" t="s">
        <v>22</v>
      </c>
      <c r="C312" s="14" t="s">
        <v>107</v>
      </c>
      <c r="D312" s="14" t="s">
        <v>12728</v>
      </c>
      <c r="E312" s="15" t="str">
        <f>HYPERLINK("https://stat100.ameba.jp/tnk47/ratio20/illustrations/card/ill_89333_sekkieihime03.jpg?202005-3-RELEASE-dice-469xx", "■")</f>
        <v>■</v>
      </c>
      <c r="F312" s="14" t="s">
        <v>12730</v>
      </c>
      <c r="G312" s="14">
        <v>44948</v>
      </c>
      <c r="H312" s="14">
        <v>54058</v>
      </c>
      <c r="I312" s="14">
        <v>26</v>
      </c>
      <c r="J312" s="14" t="s">
        <v>77</v>
      </c>
      <c r="K312" s="14" t="s">
        <v>12731</v>
      </c>
      <c r="L312" s="14" t="s">
        <v>2424</v>
      </c>
      <c r="M312" s="14" t="s">
        <v>9158</v>
      </c>
      <c r="N312" s="14" t="s">
        <v>9158</v>
      </c>
      <c r="O312" s="14" t="s">
        <v>9158</v>
      </c>
      <c r="P312" s="14" t="s">
        <v>9158</v>
      </c>
      <c r="Q312" s="14" t="s">
        <v>9158</v>
      </c>
    </row>
    <row r="313" spans="1:17">
      <c r="A313" s="14">
        <v>89343</v>
      </c>
      <c r="B313" s="14" t="s">
        <v>30</v>
      </c>
      <c r="C313" s="14" t="s">
        <v>12735</v>
      </c>
      <c r="D313" s="14" t="s">
        <v>12734</v>
      </c>
      <c r="E313" s="15" t="str">
        <f>HYPERLINK("https://stat100.ameba.jp/tnk47/ratio20/illustrations/card/ill_89343_hukushimamasanori03.jpg?202005-3-RELEASE-dice-469xx", "■")</f>
        <v>■</v>
      </c>
      <c r="F313" s="14" t="s">
        <v>12736</v>
      </c>
      <c r="G313" s="14">
        <v>32728</v>
      </c>
      <c r="H313" s="14">
        <v>27486</v>
      </c>
      <c r="I313" s="14">
        <v>26</v>
      </c>
      <c r="J313" s="14" t="s">
        <v>143</v>
      </c>
      <c r="K313" s="14" t="s">
        <v>12737</v>
      </c>
      <c r="L313" s="14" t="s">
        <v>2428</v>
      </c>
      <c r="M313" s="14" t="s">
        <v>9158</v>
      </c>
      <c r="N313" s="14" t="s">
        <v>9158</v>
      </c>
      <c r="O313" s="14" t="s">
        <v>9158</v>
      </c>
      <c r="P313" s="14" t="s">
        <v>9158</v>
      </c>
      <c r="Q313" s="14" t="s">
        <v>9158</v>
      </c>
    </row>
    <row r="315" spans="1:17">
      <c r="A315" s="14" t="s">
        <v>12803</v>
      </c>
    </row>
    <row r="316" spans="1:17">
      <c r="A316" s="14" t="s">
        <v>12824</v>
      </c>
    </row>
    <row r="317" spans="1:17">
      <c r="A317" s="14" t="s">
        <v>12825</v>
      </c>
    </row>
    <row r="318" spans="1:17">
      <c r="A318" s="14" t="s">
        <v>12809</v>
      </c>
      <c r="B318" s="14" t="s">
        <v>12804</v>
      </c>
      <c r="C318" s="14" t="s">
        <v>12808</v>
      </c>
      <c r="D318" s="14" t="s">
        <v>12807</v>
      </c>
      <c r="E318" s="15" t="str">
        <f>HYPERLINK("https://stat100.ameba.jp/tnk47/ratio20/illustrations/card/ill_90173_0_yurakunekomusume03.jpg?202005-3-RELEASE-dice-469xx", "■")</f>
        <v>■</v>
      </c>
      <c r="F318" s="14" t="s">
        <v>12810</v>
      </c>
      <c r="G318" s="14">
        <v>358280</v>
      </c>
      <c r="H318" s="14">
        <v>323852</v>
      </c>
      <c r="I318" s="14">
        <v>30</v>
      </c>
      <c r="J318" s="14" t="s">
        <v>12811</v>
      </c>
      <c r="K318" s="14" t="s">
        <v>12812</v>
      </c>
      <c r="L318" s="14" t="s">
        <v>12813</v>
      </c>
      <c r="M318" s="14" t="s">
        <v>9158</v>
      </c>
      <c r="N318" s="14" t="s">
        <v>9158</v>
      </c>
      <c r="O318" s="14" t="s">
        <v>12805</v>
      </c>
      <c r="P318" s="14" t="s">
        <v>12806</v>
      </c>
      <c r="Q318" s="14">
        <v>1</v>
      </c>
    </row>
    <row r="319" spans="1:17">
      <c r="A319" s="9">
        <v>30603</v>
      </c>
      <c r="B319" s="14" t="s">
        <v>334</v>
      </c>
      <c r="C319" s="14" t="s">
        <v>154</v>
      </c>
      <c r="D319" s="14" t="s">
        <v>1597</v>
      </c>
      <c r="E319" s="15" t="str">
        <f>HYPERLINK("https://stat100.ameba.jp/tnk47/ratio20/illustrations/card/ill_30603_haroinnekogami03.jpg?201811-3-RELEASE-dice-e-379", "■")</f>
        <v>■</v>
      </c>
      <c r="F319" s="14" t="s">
        <v>1598</v>
      </c>
      <c r="G319" s="14">
        <v>104068</v>
      </c>
      <c r="H319" s="14">
        <v>96756</v>
      </c>
      <c r="I319" s="14">
        <v>27</v>
      </c>
      <c r="J319" s="14" t="s">
        <v>320</v>
      </c>
      <c r="K319" s="14" t="s">
        <v>1599</v>
      </c>
      <c r="L319" s="14" t="s">
        <v>1600</v>
      </c>
      <c r="M319" s="14" t="s">
        <v>9158</v>
      </c>
      <c r="N319" s="14" t="s">
        <v>9158</v>
      </c>
      <c r="O319" s="14" t="s">
        <v>9158</v>
      </c>
      <c r="P319" s="14" t="s">
        <v>9158</v>
      </c>
      <c r="Q319" s="14" t="s">
        <v>9158</v>
      </c>
    </row>
    <row r="320" spans="1:17">
      <c r="A320" s="9">
        <v>47953</v>
      </c>
      <c r="B320" s="14" t="s">
        <v>334</v>
      </c>
      <c r="C320" s="14" t="s">
        <v>47</v>
      </c>
      <c r="D320" s="14" t="s">
        <v>4733</v>
      </c>
      <c r="E320" s="15" t="str">
        <f>HYPERLINK("https://stat100.ameba.jp/tnk47/ratio20/illustrations/card/ill_47953_nekomiminene03.jpg?201905-4-RELEASE-guildbattle-410", "■")</f>
        <v>■</v>
      </c>
      <c r="F320" s="14" t="s">
        <v>4734</v>
      </c>
      <c r="G320" s="14">
        <v>105465</v>
      </c>
      <c r="H320" s="14">
        <v>98019</v>
      </c>
      <c r="I320" s="14">
        <v>27</v>
      </c>
      <c r="J320" s="14" t="s">
        <v>77</v>
      </c>
      <c r="K320" s="14" t="s">
        <v>4735</v>
      </c>
      <c r="L320" s="14" t="s">
        <v>4096</v>
      </c>
      <c r="M320" s="14" t="s">
        <v>9158</v>
      </c>
      <c r="N320" s="14" t="s">
        <v>9158</v>
      </c>
      <c r="O320" s="14" t="s">
        <v>9158</v>
      </c>
      <c r="P320" s="14" t="s">
        <v>9158</v>
      </c>
      <c r="Q320" s="14" t="s">
        <v>9158</v>
      </c>
    </row>
    <row r="321" spans="1:17">
      <c r="A321" s="14">
        <v>50343</v>
      </c>
      <c r="B321" s="14" t="s">
        <v>334</v>
      </c>
      <c r="C321" s="14" t="s">
        <v>12816</v>
      </c>
      <c r="D321" s="14" t="s">
        <v>12814</v>
      </c>
      <c r="E321" s="15" t="str">
        <f>HYPERLINK("https://stat100.ameba.jp/tnk47/ratio20/illustrations/card/ill_50343_wagahaihanekodearu03.jpg?202005-3-RELEASE-dice-469xx", "■")</f>
        <v>■</v>
      </c>
      <c r="F321" s="14" t="s">
        <v>12815</v>
      </c>
      <c r="G321" s="14">
        <v>117146</v>
      </c>
      <c r="H321" s="14">
        <v>84218</v>
      </c>
      <c r="I321" s="14">
        <v>27</v>
      </c>
      <c r="J321" s="14" t="s">
        <v>12811</v>
      </c>
      <c r="K321" s="14" t="s">
        <v>12817</v>
      </c>
      <c r="L321" s="14" t="s">
        <v>12818</v>
      </c>
      <c r="M321" s="14" t="s">
        <v>9158</v>
      </c>
      <c r="N321" s="14" t="s">
        <v>9158</v>
      </c>
      <c r="O321" s="14" t="s">
        <v>9158</v>
      </c>
      <c r="P321" s="14" t="s">
        <v>9158</v>
      </c>
      <c r="Q321" s="14" t="s">
        <v>9158</v>
      </c>
    </row>
    <row r="322" spans="1:17">
      <c r="A322" s="14">
        <v>81923</v>
      </c>
      <c r="B322" s="14" t="s">
        <v>334</v>
      </c>
      <c r="C322" s="14" t="s">
        <v>12816</v>
      </c>
      <c r="D322" s="14" t="s">
        <v>12819</v>
      </c>
      <c r="E322" s="15" t="str">
        <f>HYPERLINK("https://stat100.ameba.jp/tnk47/ratio20/illustrations/card/ill_81923_otenkinonesannekodanuki03.jpg?202005-3-RELEASE-dice-469xx", "■")</f>
        <v>■</v>
      </c>
      <c r="F322" s="14" t="s">
        <v>12820</v>
      </c>
      <c r="G322" s="14">
        <v>112496</v>
      </c>
      <c r="H322" s="14">
        <v>104619</v>
      </c>
      <c r="I322" s="14">
        <v>27</v>
      </c>
      <c r="J322" s="14" t="s">
        <v>12823</v>
      </c>
      <c r="K322" s="14" t="s">
        <v>12821</v>
      </c>
      <c r="L322" s="14" t="s">
        <v>12822</v>
      </c>
      <c r="M322" s="14" t="s">
        <v>9158</v>
      </c>
      <c r="N322" s="14" t="s">
        <v>9158</v>
      </c>
      <c r="O322" s="14" t="s">
        <v>9158</v>
      </c>
      <c r="P322" s="14" t="s">
        <v>9158</v>
      </c>
      <c r="Q322" s="14" t="s">
        <v>9158</v>
      </c>
    </row>
    <row r="324" spans="1:17">
      <c r="A324" s="14" t="s">
        <v>12826</v>
      </c>
    </row>
    <row r="325" spans="1:17">
      <c r="A325" s="14" t="s">
        <v>12827</v>
      </c>
    </row>
    <row r="326" spans="1:17">
      <c r="A326" s="9" t="s">
        <v>9568</v>
      </c>
      <c r="B326" s="9" t="s">
        <v>117</v>
      </c>
      <c r="C326" s="9" t="s">
        <v>202</v>
      </c>
      <c r="D326" s="19" t="s">
        <v>10978</v>
      </c>
      <c r="E326" s="15" t="str">
        <f>HYPERLINK("https://stat100.ameba.jp/tnk47/ratio20/illustrations/card/ill_88083_0_seirennosammegami03.jpg?202005-3-RELEASE-dice-469xx", "■")</f>
        <v>■</v>
      </c>
      <c r="F326" s="9" t="s">
        <v>9573</v>
      </c>
      <c r="G326" s="9">
        <v>328348</v>
      </c>
      <c r="H326" s="9">
        <v>363286</v>
      </c>
      <c r="I326" s="9">
        <v>30</v>
      </c>
      <c r="J326" s="9" t="s">
        <v>216</v>
      </c>
      <c r="K326" s="9" t="s">
        <v>9572</v>
      </c>
      <c r="L326" s="9" t="s">
        <v>9571</v>
      </c>
      <c r="M326" s="14" t="s">
        <v>9158</v>
      </c>
      <c r="N326" s="14" t="s">
        <v>9158</v>
      </c>
      <c r="O326" s="19" t="s">
        <v>10137</v>
      </c>
      <c r="P326" s="9" t="s">
        <v>9564</v>
      </c>
      <c r="Q326" s="9">
        <v>0</v>
      </c>
    </row>
    <row r="327" spans="1:17">
      <c r="A327" s="14">
        <v>84653</v>
      </c>
      <c r="B327" s="14" t="s">
        <v>334</v>
      </c>
      <c r="C327" s="14" t="s">
        <v>209</v>
      </c>
      <c r="D327" s="20" t="s">
        <v>10626</v>
      </c>
      <c r="E327" s="15" t="str">
        <f>HYPERLINK("https://stat100.ameba.jp/tnk47/ratio20/illustrations/card/ill_84653_soru03.jpg?202005-3-RELEASE-dice-469xx", "■")</f>
        <v>■</v>
      </c>
      <c r="F327" s="14" t="s">
        <v>6954</v>
      </c>
      <c r="G327" s="14">
        <v>82318</v>
      </c>
      <c r="H327" s="14">
        <v>113630</v>
      </c>
      <c r="I327" s="14">
        <v>26</v>
      </c>
      <c r="J327" s="14" t="s">
        <v>44</v>
      </c>
      <c r="K327" s="14" t="s">
        <v>6956</v>
      </c>
      <c r="L327" s="14" t="s">
        <v>3652</v>
      </c>
      <c r="M327" s="14" t="s">
        <v>9158</v>
      </c>
      <c r="N327" s="14" t="s">
        <v>9158</v>
      </c>
      <c r="O327" s="19" t="s">
        <v>10103</v>
      </c>
      <c r="P327" s="14" t="s">
        <v>3897</v>
      </c>
      <c r="Q327" s="14">
        <v>1</v>
      </c>
    </row>
    <row r="328" spans="1:17">
      <c r="A328" s="9">
        <v>54713</v>
      </c>
      <c r="B328" s="14" t="s">
        <v>334</v>
      </c>
      <c r="C328" s="14" t="s">
        <v>264</v>
      </c>
      <c r="D328" s="14" t="s">
        <v>4369</v>
      </c>
      <c r="E328" s="15" t="str">
        <f>HYPERLINK("https://stat100.ameba.jp/tnk47/ratio20/illustrations/card/ill_54713_okashiononokomachi03.jpg?202005-3-RELEASE-dice-469xx", "■")</f>
        <v>■</v>
      </c>
      <c r="F328" s="14" t="s">
        <v>4370</v>
      </c>
      <c r="G328" s="14">
        <v>100214</v>
      </c>
      <c r="H328" s="14">
        <v>93172</v>
      </c>
      <c r="I328" s="14">
        <v>26</v>
      </c>
      <c r="J328" s="14" t="s">
        <v>10</v>
      </c>
      <c r="K328" s="14" t="s">
        <v>4371</v>
      </c>
      <c r="L328" s="14" t="s">
        <v>4372</v>
      </c>
      <c r="M328" s="14" t="s">
        <v>9158</v>
      </c>
      <c r="N328" s="14" t="s">
        <v>9158</v>
      </c>
      <c r="O328" s="9" t="s">
        <v>4373</v>
      </c>
      <c r="P328" s="14" t="s">
        <v>4374</v>
      </c>
      <c r="Q328" s="14">
        <v>1</v>
      </c>
    </row>
    <row r="329" spans="1:17">
      <c r="A329" s="14">
        <v>81303</v>
      </c>
      <c r="B329" s="14" t="s">
        <v>334</v>
      </c>
      <c r="C329" s="14" t="s">
        <v>41</v>
      </c>
      <c r="D329" s="20" t="s">
        <v>10349</v>
      </c>
      <c r="E329" s="15" t="str">
        <f>HYPERLINK("https://stat100.ameba.jp/tnk47/ratio20/illustrations/card/ill_81303_suteirukuin03.jpg?202005-3-RELEASE-dice-469xx", "■")</f>
        <v>■</v>
      </c>
      <c r="F329" s="14" t="s">
        <v>4581</v>
      </c>
      <c r="G329" s="14">
        <v>125296</v>
      </c>
      <c r="H329" s="14">
        <v>172982</v>
      </c>
      <c r="I329" s="14">
        <v>26</v>
      </c>
      <c r="J329" s="14" t="s">
        <v>104</v>
      </c>
      <c r="K329" s="14" t="s">
        <v>4582</v>
      </c>
      <c r="L329" s="14" t="s">
        <v>2304</v>
      </c>
      <c r="M329" s="14" t="s">
        <v>9158</v>
      </c>
      <c r="N329" s="14" t="s">
        <v>9158</v>
      </c>
      <c r="O329" s="19" t="s">
        <v>10084</v>
      </c>
      <c r="P329" s="14" t="s">
        <v>4584</v>
      </c>
      <c r="Q329" s="14">
        <v>1</v>
      </c>
    </row>
    <row r="330" spans="1:17">
      <c r="A330" s="14">
        <v>63273</v>
      </c>
      <c r="B330" s="14" t="s">
        <v>334</v>
      </c>
      <c r="C330" s="14" t="s">
        <v>158</v>
      </c>
      <c r="D330" s="20" t="s">
        <v>828</v>
      </c>
      <c r="E330" s="15" t="str">
        <f>HYPERLINK("https://stat100.ameba.jp/tnk47/ratio20/illustrations/card/ill_63273_tsukushimai03.jpg?202005-3-RELEASE-dice-469xx", "■")</f>
        <v>■</v>
      </c>
      <c r="F330" s="14" t="s">
        <v>1211</v>
      </c>
      <c r="G330" s="14">
        <v>132684</v>
      </c>
      <c r="H330" s="14">
        <v>96100</v>
      </c>
      <c r="I330" s="14">
        <v>26</v>
      </c>
      <c r="J330" s="14" t="s">
        <v>38</v>
      </c>
      <c r="K330" s="14" t="s">
        <v>1212</v>
      </c>
      <c r="L330" s="14" t="s">
        <v>1213</v>
      </c>
      <c r="M330" s="14" t="s">
        <v>9158</v>
      </c>
      <c r="N330" s="14" t="s">
        <v>9158</v>
      </c>
      <c r="O330" s="19" t="s">
        <v>10110</v>
      </c>
      <c r="P330" s="14" t="s">
        <v>13128</v>
      </c>
      <c r="Q330" s="14">
        <v>1</v>
      </c>
    </row>
    <row r="331" spans="1:17">
      <c r="A331" s="14">
        <v>75073</v>
      </c>
      <c r="B331" s="14" t="s">
        <v>334</v>
      </c>
      <c r="C331" s="14" t="s">
        <v>154</v>
      </c>
      <c r="D331" s="20" t="s">
        <v>4252</v>
      </c>
      <c r="E331" s="15" t="str">
        <f>HYPERLINK("https://stat100.ameba.jp/tnk47/ratio20/illustrations/card/ill_75073_puruchacha03.jpg?202005-3-RELEASE-dice-469xx", "■")</f>
        <v>■</v>
      </c>
      <c r="F331" s="14" t="s">
        <v>4253</v>
      </c>
      <c r="G331" s="14">
        <v>113630</v>
      </c>
      <c r="H331" s="14">
        <v>82318</v>
      </c>
      <c r="I331" s="14">
        <v>26</v>
      </c>
      <c r="J331" s="14" t="s">
        <v>315</v>
      </c>
      <c r="K331" s="14" t="s">
        <v>4254</v>
      </c>
      <c r="L331" s="14" t="s">
        <v>1432</v>
      </c>
      <c r="M331" s="14" t="s">
        <v>9158</v>
      </c>
      <c r="N331" s="14" t="s">
        <v>9158</v>
      </c>
      <c r="O331" s="19" t="s">
        <v>10082</v>
      </c>
      <c r="P331" s="14" t="s">
        <v>13124</v>
      </c>
      <c r="Q331" s="14">
        <v>1</v>
      </c>
    </row>
    <row r="332" spans="1:17">
      <c r="A332" s="14">
        <v>66363</v>
      </c>
      <c r="B332" s="14" t="s">
        <v>334</v>
      </c>
      <c r="C332" s="14" t="s">
        <v>158</v>
      </c>
      <c r="D332" s="19" t="s">
        <v>2910</v>
      </c>
      <c r="E332" s="15" t="str">
        <f>HYPERLINK("https://stat100.ameba.jp/tnk47/ratio20/illustrations/card/ill_66363_iharasaikaku03.jpg?202005-3-RELEASE-dice-469xx", "■")</f>
        <v>■</v>
      </c>
      <c r="F332" s="14" t="s">
        <v>122</v>
      </c>
      <c r="G332" s="9">
        <v>85492</v>
      </c>
      <c r="H332" s="9">
        <v>118000</v>
      </c>
      <c r="I332" s="14">
        <v>26</v>
      </c>
      <c r="J332" s="14" t="s">
        <v>414</v>
      </c>
      <c r="K332" s="14" t="s">
        <v>2911</v>
      </c>
      <c r="L332" s="14" t="s">
        <v>1575</v>
      </c>
      <c r="M332" s="14" t="s">
        <v>9158</v>
      </c>
      <c r="N332" s="14" t="s">
        <v>9158</v>
      </c>
      <c r="O332" s="19" t="s">
        <v>10074</v>
      </c>
      <c r="P332" s="14" t="s">
        <v>2822</v>
      </c>
      <c r="Q332" s="14">
        <v>1</v>
      </c>
    </row>
    <row r="334" spans="1:17">
      <c r="A334" s="14" t="s">
        <v>115</v>
      </c>
    </row>
    <row r="335" spans="1:17">
      <c r="A335" s="14" t="s">
        <v>12828</v>
      </c>
    </row>
    <row r="336" spans="1:17">
      <c r="A336" s="9" t="s">
        <v>5642</v>
      </c>
      <c r="B336" s="14" t="s">
        <v>52</v>
      </c>
      <c r="C336" s="14" t="s">
        <v>185</v>
      </c>
      <c r="D336" s="14" t="s">
        <v>2430</v>
      </c>
      <c r="E336" s="15" t="str">
        <f>HYPERLINK("https://stat100.ameba.jp/tnk47/ratio20/illustrations/card/ill_69593_0_setsubunyukionna03.jpg?202005-3-RELEASE-dice-469xx", "■")</f>
        <v>■</v>
      </c>
      <c r="F336" s="14" t="s">
        <v>2431</v>
      </c>
      <c r="G336" s="14">
        <v>157150</v>
      </c>
      <c r="H336" s="14">
        <v>169032</v>
      </c>
      <c r="I336" s="14">
        <v>22</v>
      </c>
      <c r="J336" s="14" t="s">
        <v>73</v>
      </c>
      <c r="K336" s="14" t="s">
        <v>2432</v>
      </c>
      <c r="L336" s="14" t="s">
        <v>2433</v>
      </c>
      <c r="M336" s="14" t="s">
        <v>9158</v>
      </c>
      <c r="N336" s="14" t="s">
        <v>9158</v>
      </c>
      <c r="O336" s="9" t="s">
        <v>3599</v>
      </c>
      <c r="P336" s="14" t="s">
        <v>3600</v>
      </c>
      <c r="Q336" s="14">
        <v>2</v>
      </c>
    </row>
    <row r="337" spans="1:17">
      <c r="A337" s="14" t="s">
        <v>5606</v>
      </c>
      <c r="B337" s="14" t="s">
        <v>52</v>
      </c>
      <c r="C337" s="14" t="s">
        <v>206</v>
      </c>
      <c r="D337" s="19" t="s">
        <v>2936</v>
      </c>
      <c r="E337" s="15" t="str">
        <f>HYPERLINK("https://stat100.ameba.jp/tnk47/ratio20/illustrations/card/ill_72233_0_koinoboriryugujin03.jpg?202005-3-RELEASE-dice-469xx", "■")</f>
        <v>■</v>
      </c>
      <c r="F337" s="14" t="s">
        <v>1012</v>
      </c>
      <c r="G337" s="14">
        <v>144312</v>
      </c>
      <c r="H337" s="14">
        <v>155224</v>
      </c>
      <c r="I337" s="14">
        <v>22</v>
      </c>
      <c r="J337" s="14" t="s">
        <v>44</v>
      </c>
      <c r="K337" s="14" t="s">
        <v>1013</v>
      </c>
      <c r="L337" s="14" t="s">
        <v>1014</v>
      </c>
      <c r="M337" s="14" t="s">
        <v>9158</v>
      </c>
      <c r="N337" s="14" t="s">
        <v>9158</v>
      </c>
      <c r="O337" s="7" t="s">
        <v>3419</v>
      </c>
      <c r="P337" s="14" t="s">
        <v>3420</v>
      </c>
      <c r="Q337" s="14">
        <v>2</v>
      </c>
    </row>
    <row r="338" spans="1:17">
      <c r="A338" s="14" t="s">
        <v>9473</v>
      </c>
      <c r="B338" s="14" t="s">
        <v>330</v>
      </c>
      <c r="C338" s="14" t="s">
        <v>191</v>
      </c>
      <c r="D338" s="19" t="s">
        <v>393</v>
      </c>
      <c r="E338" s="15" t="str">
        <f>HYPERLINK("https://stat100.ameba.jp/tnk47/ratio20/illustrations/card/ill_46283_0_odanobunaga03.jpg?202005-3-RELEASE-dice-469xx", "■")</f>
        <v>■</v>
      </c>
      <c r="F338" s="14" t="s">
        <v>1073</v>
      </c>
      <c r="G338" s="14">
        <v>120576</v>
      </c>
      <c r="H338" s="14">
        <v>128744</v>
      </c>
      <c r="I338" s="14">
        <v>22</v>
      </c>
      <c r="J338" s="14" t="s">
        <v>143</v>
      </c>
      <c r="K338" s="14" t="s">
        <v>1074</v>
      </c>
      <c r="L338" s="14" t="s">
        <v>1075</v>
      </c>
      <c r="M338" s="14" t="s">
        <v>9158</v>
      </c>
      <c r="N338" s="14" t="s">
        <v>9158</v>
      </c>
      <c r="O338" s="9" t="s">
        <v>9158</v>
      </c>
      <c r="P338" s="14" t="s">
        <v>9158</v>
      </c>
      <c r="Q338" s="14" t="s">
        <v>9158</v>
      </c>
    </row>
    <row r="339" spans="1:17">
      <c r="A339" s="14">
        <v>85263</v>
      </c>
      <c r="B339" s="14" t="s">
        <v>0</v>
      </c>
      <c r="C339" s="14" t="s">
        <v>206</v>
      </c>
      <c r="D339" s="19" t="s">
        <v>10792</v>
      </c>
      <c r="E339" s="15" t="str">
        <f>HYPERLINK("https://stat100.ameba.jp/tnk47/ratio20/illustrations/card/ill_85263_daikokaijidaiheshikirihasebe03.jpg?202005-3-RELEASE-dice-469xx", "■")</f>
        <v>■</v>
      </c>
      <c r="F339" s="14" t="s">
        <v>8195</v>
      </c>
      <c r="G339" s="14">
        <v>85312</v>
      </c>
      <c r="H339" s="14">
        <v>151650</v>
      </c>
      <c r="I339" s="14">
        <v>26</v>
      </c>
      <c r="J339" s="14" t="s">
        <v>26</v>
      </c>
      <c r="K339" s="14" t="s">
        <v>8194</v>
      </c>
      <c r="L339" s="14" t="s">
        <v>7955</v>
      </c>
      <c r="M339" s="14" t="s">
        <v>9158</v>
      </c>
      <c r="N339" s="14" t="s">
        <v>9158</v>
      </c>
      <c r="O339" s="14" t="s">
        <v>9158</v>
      </c>
      <c r="P339" s="14" t="s">
        <v>9158</v>
      </c>
      <c r="Q339" s="14" t="s">
        <v>9158</v>
      </c>
    </row>
    <row r="340" spans="1:17">
      <c r="A340" s="9">
        <v>65243</v>
      </c>
      <c r="B340" s="14" t="s">
        <v>0</v>
      </c>
      <c r="C340" s="14" t="s">
        <v>205</v>
      </c>
      <c r="D340" s="14" t="s">
        <v>1925</v>
      </c>
      <c r="E340" s="15" t="str">
        <f>HYPERLINK("https://stat100.ameba.jp/tnk47/ratio20/illustrations/card/ill_65243_kagawayukikage03.jpg?202005-3-RELEASE-dice-469xx", "■")</f>
        <v>■</v>
      </c>
      <c r="F340" s="14" t="s">
        <v>1926</v>
      </c>
      <c r="G340" s="14">
        <v>107392</v>
      </c>
      <c r="H340" s="14">
        <v>190884</v>
      </c>
      <c r="I340" s="14">
        <v>26</v>
      </c>
      <c r="J340" s="14" t="s">
        <v>143</v>
      </c>
      <c r="K340" s="14" t="s">
        <v>1927</v>
      </c>
      <c r="L340" s="14" t="s">
        <v>1148</v>
      </c>
      <c r="M340" s="14" t="s">
        <v>9158</v>
      </c>
      <c r="N340" s="14" t="s">
        <v>9158</v>
      </c>
      <c r="O340" s="14" t="s">
        <v>9158</v>
      </c>
      <c r="P340" s="14" t="s">
        <v>9158</v>
      </c>
      <c r="Q340" s="14" t="s">
        <v>9158</v>
      </c>
    </row>
    <row r="341" spans="1:17">
      <c r="A341" s="9">
        <v>86463</v>
      </c>
      <c r="B341" s="9" t="s">
        <v>0</v>
      </c>
      <c r="C341" s="9" t="s">
        <v>191</v>
      </c>
      <c r="D341" s="20" t="s">
        <v>10903</v>
      </c>
      <c r="E341" s="15" t="str">
        <f>HYPERLINK("https://stat100.ameba.jp/tnk47/ratio20/illustrations/card/ill_86463_mochimakimiyazuhime03.jpg?202005-3-RELEASE-dice-469xx", "■")</f>
        <v>■</v>
      </c>
      <c r="F341" s="9" t="s">
        <v>8961</v>
      </c>
      <c r="G341" s="9">
        <v>98594</v>
      </c>
      <c r="H341" s="9">
        <v>106050</v>
      </c>
      <c r="I341" s="9">
        <v>26</v>
      </c>
      <c r="J341" s="14" t="s">
        <v>44</v>
      </c>
      <c r="K341" s="9" t="s">
        <v>8960</v>
      </c>
      <c r="L341" s="9" t="s">
        <v>4263</v>
      </c>
      <c r="M341" s="14" t="s">
        <v>9158</v>
      </c>
      <c r="N341" s="14" t="s">
        <v>9158</v>
      </c>
      <c r="O341" s="14" t="s">
        <v>9158</v>
      </c>
      <c r="P341" s="14" t="s">
        <v>9158</v>
      </c>
      <c r="Q341" s="14" t="s">
        <v>9158</v>
      </c>
    </row>
    <row r="343" spans="1:17">
      <c r="A343" s="14" t="s">
        <v>12829</v>
      </c>
    </row>
    <row r="344" spans="1:17">
      <c r="A344" s="14" t="s">
        <v>12830</v>
      </c>
    </row>
    <row r="345" spans="1:17">
      <c r="A345" s="14" t="s">
        <v>6905</v>
      </c>
      <c r="B345" s="14" t="s">
        <v>330</v>
      </c>
      <c r="C345" s="14" t="s">
        <v>35</v>
      </c>
      <c r="D345" s="19" t="s">
        <v>4161</v>
      </c>
      <c r="E345" s="15" t="str">
        <f>HYPERLINK("https://stat100.ameba.jp/tnk47/ratio20/illustrations/card/ill_80623_0_ohanamigurampingutominushihime03.jpg?202005-3-RELEASE-dice-469xx", "■")</f>
        <v>■</v>
      </c>
      <c r="F345" s="14" t="s">
        <v>4162</v>
      </c>
      <c r="G345" s="14">
        <v>301326</v>
      </c>
      <c r="H345" s="14">
        <v>272366</v>
      </c>
      <c r="I345" s="14">
        <v>25</v>
      </c>
      <c r="J345" s="14" t="s">
        <v>44</v>
      </c>
      <c r="K345" s="14" t="s">
        <v>4163</v>
      </c>
      <c r="L345" s="14" t="s">
        <v>4164</v>
      </c>
      <c r="M345" s="14" t="s">
        <v>9158</v>
      </c>
      <c r="N345" s="14" t="s">
        <v>9158</v>
      </c>
      <c r="O345" s="19" t="s">
        <v>10126</v>
      </c>
      <c r="P345" s="14" t="s">
        <v>4166</v>
      </c>
      <c r="Q345" s="14">
        <v>1</v>
      </c>
    </row>
    <row r="346" spans="1:17">
      <c r="A346" s="14">
        <v>84333</v>
      </c>
      <c r="B346" s="14" t="s">
        <v>0</v>
      </c>
      <c r="C346" s="14" t="s">
        <v>209</v>
      </c>
      <c r="D346" s="19" t="s">
        <v>10692</v>
      </c>
      <c r="E346" s="15" t="str">
        <f>HYPERLINK("https://stat100.ameba.jp/tnk47/ratio20/illustrations/card/ill_84333_otometeia03.jpg?202005-3-RELEASE-dice-469xx", "■")</f>
        <v>■</v>
      </c>
      <c r="F346" s="14" t="s">
        <v>7401</v>
      </c>
      <c r="G346" s="14">
        <v>104890</v>
      </c>
      <c r="H346" s="14">
        <v>75984</v>
      </c>
      <c r="I346" s="14">
        <v>24</v>
      </c>
      <c r="J346" s="14" t="s">
        <v>16</v>
      </c>
      <c r="K346" s="14" t="s">
        <v>7399</v>
      </c>
      <c r="L346" s="14" t="s">
        <v>4046</v>
      </c>
      <c r="M346" s="14" t="s">
        <v>9158</v>
      </c>
      <c r="N346" s="14" t="s">
        <v>9158</v>
      </c>
      <c r="O346" s="19" t="s">
        <v>10129</v>
      </c>
      <c r="P346" s="14" t="s">
        <v>3581</v>
      </c>
      <c r="Q346" s="14">
        <v>1</v>
      </c>
    </row>
    <row r="347" spans="1:17">
      <c r="A347" s="14">
        <v>82543</v>
      </c>
      <c r="B347" s="14" t="s">
        <v>334</v>
      </c>
      <c r="C347" s="14" t="s">
        <v>41</v>
      </c>
      <c r="D347" s="19" t="s">
        <v>10342</v>
      </c>
      <c r="E347" s="15" t="str">
        <f>HYPERLINK("https://stat100.ameba.jp/tnk47/ratio20/illustrations/card/ill_82543_nabeshimanagako03.jpg?202005-3-RELEASE-dice-469xx", "■")</f>
        <v>■</v>
      </c>
      <c r="F347" s="14" t="s">
        <v>5491</v>
      </c>
      <c r="G347" s="14">
        <v>104890</v>
      </c>
      <c r="H347" s="14">
        <v>75984</v>
      </c>
      <c r="I347" s="14">
        <v>24</v>
      </c>
      <c r="J347" s="14" t="s">
        <v>10</v>
      </c>
      <c r="K347" s="14" t="s">
        <v>5493</v>
      </c>
      <c r="L347" s="14" t="s">
        <v>5494</v>
      </c>
      <c r="M347" s="14" t="s">
        <v>9158</v>
      </c>
      <c r="N347" s="14" t="s">
        <v>9158</v>
      </c>
      <c r="O347" s="19" t="s">
        <v>10080</v>
      </c>
      <c r="P347" s="14" t="s">
        <v>3705</v>
      </c>
      <c r="Q347" s="14">
        <v>1</v>
      </c>
    </row>
    <row r="348" spans="1:17">
      <c r="A348" s="14">
        <v>77683</v>
      </c>
      <c r="B348" s="14" t="s">
        <v>0</v>
      </c>
      <c r="C348" s="14" t="s">
        <v>203</v>
      </c>
      <c r="D348" s="19" t="s">
        <v>10220</v>
      </c>
      <c r="E348" s="15" t="str">
        <f>HYPERLINK("https://stat100.ameba.jp/tnk47/ratio20/illustrations/card/ill_77683_shukusainoujohoride03.jpg?202005-3-RELEASE-dice-469xx", "■")</f>
        <v>■</v>
      </c>
      <c r="F348" s="14" t="s">
        <v>1430</v>
      </c>
      <c r="G348" s="14">
        <v>104890</v>
      </c>
      <c r="H348" s="14">
        <v>75984</v>
      </c>
      <c r="I348" s="14">
        <v>24</v>
      </c>
      <c r="J348" s="14" t="s">
        <v>315</v>
      </c>
      <c r="K348" s="14" t="s">
        <v>1431</v>
      </c>
      <c r="L348" s="14" t="s">
        <v>1432</v>
      </c>
      <c r="M348" s="14" t="s">
        <v>9158</v>
      </c>
      <c r="N348" s="14" t="s">
        <v>9158</v>
      </c>
      <c r="O348" s="19" t="s">
        <v>10090</v>
      </c>
      <c r="P348" s="14" t="s">
        <v>3460</v>
      </c>
      <c r="Q348" s="14">
        <v>1</v>
      </c>
    </row>
    <row r="350" spans="1:17">
      <c r="A350" s="14" t="s">
        <v>12831</v>
      </c>
    </row>
    <row r="351" spans="1:17">
      <c r="A351" s="14" t="s">
        <v>12832</v>
      </c>
    </row>
    <row r="352" spans="1:17">
      <c r="A352" s="14" t="s">
        <v>5623</v>
      </c>
      <c r="B352" s="14" t="s">
        <v>330</v>
      </c>
      <c r="C352" s="14" t="s">
        <v>165</v>
      </c>
      <c r="D352" s="19" t="s">
        <v>3146</v>
      </c>
      <c r="E352" s="15" t="str">
        <f>HYPERLINK("https://stat100.ameba.jp/tnk47/ratio20/illustrations/card/ill_65713_0_undokaionikirimaru03.jpg?202005-3-RELEASE-dice-469xx", "■")</f>
        <v>■</v>
      </c>
      <c r="F352" s="14" t="s">
        <v>535</v>
      </c>
      <c r="G352" s="14">
        <v>189209</v>
      </c>
      <c r="H352" s="14">
        <v>175911</v>
      </c>
      <c r="I352" s="14">
        <v>25</v>
      </c>
      <c r="J352" s="14" t="s">
        <v>320</v>
      </c>
      <c r="K352" s="14" t="s">
        <v>3147</v>
      </c>
      <c r="L352" s="14" t="s">
        <v>3148</v>
      </c>
      <c r="M352" s="14" t="s">
        <v>9158</v>
      </c>
      <c r="N352" s="14" t="s">
        <v>9158</v>
      </c>
      <c r="O352" s="19" t="s">
        <v>2869</v>
      </c>
      <c r="P352" s="14" t="s">
        <v>2870</v>
      </c>
      <c r="Q352" s="14">
        <v>1</v>
      </c>
    </row>
    <row r="353" spans="1:17">
      <c r="A353" s="14">
        <v>60763</v>
      </c>
      <c r="B353" s="14" t="s">
        <v>334</v>
      </c>
      <c r="C353" s="14" t="s">
        <v>203</v>
      </c>
      <c r="D353" s="19" t="s">
        <v>10420</v>
      </c>
      <c r="E353" s="15" t="str">
        <f>HYPERLINK("https://stat100.ameba.jp/tnk47/ratio20/illustrations/card/ill_60763_fujiwarakagekiyo03.jpg?202005-3-RELEASE-dice-469xx", "■")</f>
        <v>■</v>
      </c>
      <c r="F353" s="14" t="s">
        <v>1146</v>
      </c>
      <c r="G353" s="14">
        <v>115656</v>
      </c>
      <c r="H353" s="14">
        <v>159674</v>
      </c>
      <c r="I353" s="14">
        <v>25</v>
      </c>
      <c r="J353" s="14" t="s">
        <v>143</v>
      </c>
      <c r="K353" s="14" t="s">
        <v>1147</v>
      </c>
      <c r="L353" s="14" t="s">
        <v>1148</v>
      </c>
      <c r="M353" s="14" t="s">
        <v>9158</v>
      </c>
      <c r="N353" s="14" t="s">
        <v>9158</v>
      </c>
      <c r="O353" s="19" t="s">
        <v>10112</v>
      </c>
      <c r="P353" s="14" t="s">
        <v>13150</v>
      </c>
      <c r="Q353" s="14">
        <v>1</v>
      </c>
    </row>
    <row r="354" spans="1:17">
      <c r="A354" s="14">
        <v>67103</v>
      </c>
      <c r="B354" s="14" t="s">
        <v>0</v>
      </c>
      <c r="C354" s="14" t="s">
        <v>154</v>
      </c>
      <c r="D354" s="19" t="s">
        <v>10253</v>
      </c>
      <c r="E354" s="15" t="str">
        <f>HYPERLINK("https://stat100.ameba.jp/tnk47/ratio20/illustrations/card/ill_67103_ankonabe03.jpg?202005-3-RELEASE-dice-469xx", "■")</f>
        <v>■</v>
      </c>
      <c r="F354" s="14" t="s">
        <v>1283</v>
      </c>
      <c r="G354" s="14">
        <v>95703</v>
      </c>
      <c r="H354" s="14">
        <v>132144</v>
      </c>
      <c r="I354" s="14">
        <v>25</v>
      </c>
      <c r="J354" s="14" t="s">
        <v>216</v>
      </c>
      <c r="K354" s="14" t="s">
        <v>1284</v>
      </c>
      <c r="L354" s="14" t="s">
        <v>13153</v>
      </c>
      <c r="M354" s="14" t="s">
        <v>9158</v>
      </c>
      <c r="N354" s="14" t="s">
        <v>9158</v>
      </c>
      <c r="O354" s="19" t="s">
        <v>4074</v>
      </c>
      <c r="P354" s="14" t="s">
        <v>3462</v>
      </c>
      <c r="Q354" s="14">
        <v>1</v>
      </c>
    </row>
    <row r="355" spans="1:17">
      <c r="A355" s="14">
        <v>64043</v>
      </c>
      <c r="B355" s="14" t="s">
        <v>334</v>
      </c>
      <c r="C355" s="14" t="s">
        <v>209</v>
      </c>
      <c r="D355" s="19" t="s">
        <v>10262</v>
      </c>
      <c r="E355" s="15" t="str">
        <f>HYPERLINK("https://stat100.ameba.jp/tnk47/ratio20/illustrations/card/ill_64043_kegonnotaki03.jpg?202005-3-RELEASE-dice-469xx", "■")</f>
        <v>■</v>
      </c>
      <c r="F355" s="14" t="s">
        <v>759</v>
      </c>
      <c r="G355" s="14">
        <v>118917</v>
      </c>
      <c r="H355" s="14">
        <v>86140</v>
      </c>
      <c r="I355" s="14">
        <v>25</v>
      </c>
      <c r="J355" s="14" t="s">
        <v>229</v>
      </c>
      <c r="K355" s="14" t="s">
        <v>230</v>
      </c>
      <c r="L355" s="14" t="s">
        <v>13143</v>
      </c>
      <c r="M355" s="14" t="s">
        <v>9158</v>
      </c>
      <c r="N355" s="14" t="s">
        <v>9158</v>
      </c>
      <c r="O355" s="19" t="s">
        <v>10070</v>
      </c>
      <c r="P355" s="14" t="s">
        <v>3579</v>
      </c>
      <c r="Q355" s="14">
        <v>1</v>
      </c>
    </row>
    <row r="357" spans="1:17">
      <c r="A357" s="14" t="s">
        <v>1711</v>
      </c>
    </row>
    <row r="358" spans="1:17">
      <c r="A358" s="14" t="s">
        <v>12840</v>
      </c>
    </row>
    <row r="359" spans="1:17">
      <c r="A359" s="14" t="s">
        <v>5778</v>
      </c>
      <c r="B359" s="14" t="s">
        <v>330</v>
      </c>
      <c r="C359" s="14" t="s">
        <v>205</v>
      </c>
      <c r="D359" s="19" t="s">
        <v>272</v>
      </c>
      <c r="E359" s="15" t="str">
        <f>HYPERLINK("https://stat100.ameba.jp/tnk47/ratio20/illustrations/card/ill_68783_0_gantammomotaro03.jpg?202006-i_prefecture_active_user", "■")</f>
        <v>■</v>
      </c>
      <c r="F359" s="14" t="s">
        <v>273</v>
      </c>
      <c r="G359" s="14">
        <v>164144</v>
      </c>
      <c r="H359" s="14">
        <v>152594</v>
      </c>
      <c r="I359" s="14">
        <v>24</v>
      </c>
      <c r="J359" s="14" t="s">
        <v>274</v>
      </c>
      <c r="K359" s="14" t="s">
        <v>275</v>
      </c>
      <c r="L359" s="14" t="s">
        <v>276</v>
      </c>
      <c r="M359" s="14" t="s">
        <v>9158</v>
      </c>
      <c r="N359" s="14" t="s">
        <v>9158</v>
      </c>
      <c r="O359" s="19" t="s">
        <v>10099</v>
      </c>
      <c r="P359" s="14" t="s">
        <v>3085</v>
      </c>
      <c r="Q359" s="14">
        <v>1</v>
      </c>
    </row>
    <row r="360" spans="1:17">
      <c r="A360" s="14" t="s">
        <v>5617</v>
      </c>
      <c r="B360" s="14" t="s">
        <v>330</v>
      </c>
      <c r="C360" s="14" t="s">
        <v>308</v>
      </c>
      <c r="D360" s="19" t="s">
        <v>385</v>
      </c>
      <c r="E360" s="15" t="str">
        <f>HYPERLINK("https://stat100.ameba.jp/tnk47/ratio20/illustrations/card/ill_59673_0_oheyashutendoji03.jpg?202006-i_prefecture_active_user", "■")</f>
        <v>■</v>
      </c>
      <c r="F360" s="14" t="s">
        <v>386</v>
      </c>
      <c r="G360" s="14">
        <v>168874</v>
      </c>
      <c r="H360" s="14">
        <v>181640</v>
      </c>
      <c r="I360" s="14">
        <v>24</v>
      </c>
      <c r="J360" s="14" t="s">
        <v>320</v>
      </c>
      <c r="K360" s="14" t="s">
        <v>387</v>
      </c>
      <c r="L360" s="14" t="s">
        <v>388</v>
      </c>
      <c r="M360" s="14" t="s">
        <v>9158</v>
      </c>
      <c r="N360" s="14" t="s">
        <v>9158</v>
      </c>
      <c r="O360" s="19" t="s">
        <v>10078</v>
      </c>
      <c r="P360" s="14" t="s">
        <v>3022</v>
      </c>
      <c r="Q360" s="14">
        <v>1</v>
      </c>
    </row>
    <row r="361" spans="1:17">
      <c r="A361" s="14" t="s">
        <v>5622</v>
      </c>
      <c r="B361" s="14" t="s">
        <v>330</v>
      </c>
      <c r="C361" s="14" t="s">
        <v>335</v>
      </c>
      <c r="D361" s="19" t="s">
        <v>1043</v>
      </c>
      <c r="E361" s="15" t="str">
        <f>HYPERLINK("https://stat100.ameba.jp/tnk47/ratio20/illustrations/card/ill_49953_0_yushamarihime03.jpg?202006-i_prefecture_active_user", "■")</f>
        <v>■</v>
      </c>
      <c r="F361" s="14" t="s">
        <v>510</v>
      </c>
      <c r="G361" s="14">
        <v>150776</v>
      </c>
      <c r="H361" s="14">
        <v>133938</v>
      </c>
      <c r="I361" s="14">
        <v>24</v>
      </c>
      <c r="J361" s="14" t="s">
        <v>315</v>
      </c>
      <c r="K361" s="14" t="s">
        <v>511</v>
      </c>
      <c r="L361" s="14" t="s">
        <v>512</v>
      </c>
      <c r="M361" s="14" t="s">
        <v>9158</v>
      </c>
      <c r="N361" s="14" t="s">
        <v>9158</v>
      </c>
      <c r="O361" s="14" t="s">
        <v>9158</v>
      </c>
      <c r="P361" s="14" t="s">
        <v>9158</v>
      </c>
      <c r="Q361" s="14" t="s">
        <v>9158</v>
      </c>
    </row>
    <row r="362" spans="1:17">
      <c r="A362" s="14">
        <v>89313</v>
      </c>
      <c r="B362" s="14" t="s">
        <v>0</v>
      </c>
      <c r="C362" s="14" t="s">
        <v>23</v>
      </c>
      <c r="D362" s="14" t="s">
        <v>12716</v>
      </c>
      <c r="E362" s="15" t="str">
        <f>HYPERLINK("https://stat100.ameba.jp/tnk47/ratio20/illustrations/card/ill_89313_hantahiimisama03.jpg?202006-i_prefecture_active_user", "■")</f>
        <v>■</v>
      </c>
      <c r="F362" s="14" t="s">
        <v>12718</v>
      </c>
      <c r="G362" s="14">
        <v>143714</v>
      </c>
      <c r="H362" s="14">
        <v>154562</v>
      </c>
      <c r="I362" s="14">
        <v>26</v>
      </c>
      <c r="J362" s="14" t="s">
        <v>73</v>
      </c>
      <c r="K362" s="14" t="s">
        <v>12720</v>
      </c>
      <c r="L362" s="14" t="s">
        <v>12721</v>
      </c>
      <c r="M362" s="14" t="s">
        <v>9158</v>
      </c>
      <c r="N362" s="14" t="s">
        <v>9158</v>
      </c>
      <c r="O362" s="14" t="s">
        <v>9158</v>
      </c>
      <c r="P362" s="14" t="s">
        <v>9158</v>
      </c>
      <c r="Q362" s="14" t="s">
        <v>9158</v>
      </c>
    </row>
    <row r="363" spans="1:17">
      <c r="A363" s="14">
        <v>89323</v>
      </c>
      <c r="B363" s="14" t="s">
        <v>15</v>
      </c>
      <c r="C363" s="14" t="s">
        <v>96</v>
      </c>
      <c r="D363" s="14" t="s">
        <v>12722</v>
      </c>
      <c r="E363" s="15" t="str">
        <f>HYPERLINK("https://stat100.ameba.jp/tnk47/ratio20/illustrations/card/ill_89323_toribujinkitanokata03.jpg?202006-i_prefecture_active_user", "■")</f>
        <v>■</v>
      </c>
      <c r="F363" s="14" t="s">
        <v>12724</v>
      </c>
      <c r="G363" s="14">
        <v>77064</v>
      </c>
      <c r="H363" s="14">
        <v>69898</v>
      </c>
      <c r="I363" s="7">
        <v>26</v>
      </c>
      <c r="J363" s="14" t="s">
        <v>143</v>
      </c>
      <c r="K363" s="14" t="s">
        <v>12725</v>
      </c>
      <c r="L363" s="14" t="s">
        <v>3524</v>
      </c>
      <c r="M363" s="14" t="s">
        <v>9158</v>
      </c>
      <c r="N363" s="14" t="s">
        <v>9158</v>
      </c>
      <c r="O363" s="14" t="s">
        <v>9158</v>
      </c>
      <c r="P363" s="14" t="s">
        <v>9158</v>
      </c>
      <c r="Q363" s="14" t="s">
        <v>9158</v>
      </c>
    </row>
    <row r="364" spans="1:17">
      <c r="A364" s="14">
        <v>89333</v>
      </c>
      <c r="B364" s="14" t="s">
        <v>22</v>
      </c>
      <c r="C364" s="14" t="s">
        <v>107</v>
      </c>
      <c r="D364" s="14" t="s">
        <v>12728</v>
      </c>
      <c r="E364" s="15" t="str">
        <f>HYPERLINK("https://stat100.ameba.jp/tnk47/ratio20/illustrations/card/ill_89333_sekkieihime03.jpg?202006-i_prefecture_active_user", "■")</f>
        <v>■</v>
      </c>
      <c r="F364" s="14" t="s">
        <v>12730</v>
      </c>
      <c r="G364" s="14">
        <v>44948</v>
      </c>
      <c r="H364" s="14">
        <v>54058</v>
      </c>
      <c r="I364" s="14">
        <v>26</v>
      </c>
      <c r="J364" s="14" t="s">
        <v>77</v>
      </c>
      <c r="K364" s="14" t="s">
        <v>12731</v>
      </c>
      <c r="L364" s="14" t="s">
        <v>2424</v>
      </c>
      <c r="M364" s="14" t="s">
        <v>9158</v>
      </c>
      <c r="N364" s="14" t="s">
        <v>9158</v>
      </c>
      <c r="O364" s="14" t="s">
        <v>9158</v>
      </c>
      <c r="P364" s="14" t="s">
        <v>9158</v>
      </c>
      <c r="Q364" s="14" t="s">
        <v>9158</v>
      </c>
    </row>
    <row r="365" spans="1:17">
      <c r="A365" s="14">
        <v>89343</v>
      </c>
      <c r="B365" s="14" t="s">
        <v>30</v>
      </c>
      <c r="C365" s="14" t="s">
        <v>12735</v>
      </c>
      <c r="D365" s="14" t="s">
        <v>12734</v>
      </c>
      <c r="E365" s="15" t="str">
        <f>HYPERLINK("https://stat100.ameba.jp/tnk47/ratio20/illustrations/card/ill_89343_hukushimamasanori03.jpg?202006-i_prefecture_active_user", "■")</f>
        <v>■</v>
      </c>
      <c r="F365" s="14" t="s">
        <v>12736</v>
      </c>
      <c r="G365" s="14">
        <v>32728</v>
      </c>
      <c r="H365" s="14">
        <v>27486</v>
      </c>
      <c r="I365" s="14">
        <v>26</v>
      </c>
      <c r="J365" s="14" t="s">
        <v>143</v>
      </c>
      <c r="K365" s="14" t="s">
        <v>12737</v>
      </c>
      <c r="L365" s="14" t="s">
        <v>2428</v>
      </c>
      <c r="M365" s="14" t="s">
        <v>9158</v>
      </c>
      <c r="N365" s="14" t="s">
        <v>9158</v>
      </c>
      <c r="O365" s="14" t="s">
        <v>9158</v>
      </c>
      <c r="P365" s="14" t="s">
        <v>9158</v>
      </c>
      <c r="Q365" s="14" t="s">
        <v>9158</v>
      </c>
    </row>
    <row r="367" spans="1:17">
      <c r="A367" s="14" t="s">
        <v>3916</v>
      </c>
    </row>
    <row r="368" spans="1:17">
      <c r="A368" s="14" t="s">
        <v>12841</v>
      </c>
    </row>
    <row r="369" spans="1:19">
      <c r="A369" s="14">
        <v>62203</v>
      </c>
      <c r="B369" s="14" t="s">
        <v>334</v>
      </c>
      <c r="C369" s="14" t="s">
        <v>154</v>
      </c>
      <c r="D369" s="20" t="s">
        <v>3039</v>
      </c>
      <c r="E369" s="15" t="str">
        <f>HYPERLINK("https://stat100.ameba.jp/tnk47/ratio20/illustrations/card/ill_62203_keishoimmasahime03.jpg?202006-i_prefecture_active_user", "■")</f>
        <v>■</v>
      </c>
      <c r="F369" s="14" t="s">
        <v>2261</v>
      </c>
      <c r="G369" s="14">
        <v>108276</v>
      </c>
      <c r="H369" s="14">
        <v>116452</v>
      </c>
      <c r="I369" s="14">
        <v>27</v>
      </c>
      <c r="J369" s="14" t="s">
        <v>77</v>
      </c>
      <c r="K369" s="14" t="s">
        <v>2262</v>
      </c>
      <c r="L369" s="14" t="s">
        <v>2263</v>
      </c>
      <c r="M369" s="14" t="s">
        <v>9158</v>
      </c>
      <c r="N369" s="14" t="s">
        <v>9158</v>
      </c>
      <c r="O369" s="14" t="s">
        <v>9158</v>
      </c>
      <c r="P369" s="14" t="s">
        <v>9158</v>
      </c>
      <c r="Q369" s="14" t="s">
        <v>9158</v>
      </c>
    </row>
    <row r="370" spans="1:19">
      <c r="A370" s="14">
        <v>69723</v>
      </c>
      <c r="B370" s="14" t="s">
        <v>334</v>
      </c>
      <c r="C370" s="14" t="s">
        <v>158</v>
      </c>
      <c r="D370" s="20" t="s">
        <v>3042</v>
      </c>
      <c r="E370" s="15" t="str">
        <f>HYPERLINK("https://stat100.ameba.jp/tnk47/ratio20/illustrations/card/ill_69723_nakaurajurian03.jpg?202006-i_prefecture_active_user", "■")</f>
        <v>■</v>
      </c>
      <c r="F370" s="14" t="s">
        <v>2257</v>
      </c>
      <c r="G370" s="14">
        <v>108276</v>
      </c>
      <c r="H370" s="14">
        <v>116452</v>
      </c>
      <c r="I370" s="14">
        <v>27</v>
      </c>
      <c r="J370" s="14" t="s">
        <v>173</v>
      </c>
      <c r="K370" s="14" t="s">
        <v>2258</v>
      </c>
      <c r="L370" s="14" t="s">
        <v>2259</v>
      </c>
      <c r="M370" s="14" t="s">
        <v>9158</v>
      </c>
      <c r="N370" s="14" t="s">
        <v>9158</v>
      </c>
      <c r="O370" s="14" t="s">
        <v>9158</v>
      </c>
      <c r="P370" s="14" t="s">
        <v>9158</v>
      </c>
      <c r="Q370" s="14" t="s">
        <v>9158</v>
      </c>
    </row>
    <row r="371" spans="1:19">
      <c r="A371" s="14">
        <v>76483</v>
      </c>
      <c r="B371" s="14" t="s">
        <v>334</v>
      </c>
      <c r="C371" s="14" t="s">
        <v>307</v>
      </c>
      <c r="D371" s="20" t="s">
        <v>589</v>
      </c>
      <c r="E371" s="15" t="str">
        <f>HYPERLINK("https://stat100.ameba.jp/tnk47/ratio20/illustrations/card/ill_76483_yukemurimizuhanome03.jpg?202006-i_prefecture_active_user", "■")</f>
        <v>■</v>
      </c>
      <c r="F371" s="14" t="s">
        <v>590</v>
      </c>
      <c r="G371" s="14">
        <v>110129</v>
      </c>
      <c r="H371" s="14">
        <v>102386</v>
      </c>
      <c r="I371" s="14">
        <v>27</v>
      </c>
      <c r="J371" s="14" t="s">
        <v>401</v>
      </c>
      <c r="K371" s="14" t="s">
        <v>591</v>
      </c>
      <c r="L371" s="14" t="s">
        <v>592</v>
      </c>
      <c r="M371" s="14" t="s">
        <v>9158</v>
      </c>
      <c r="N371" s="14" t="s">
        <v>9158</v>
      </c>
      <c r="O371" s="14" t="s">
        <v>9158</v>
      </c>
      <c r="P371" s="14" t="s">
        <v>9158</v>
      </c>
      <c r="Q371" s="14" t="s">
        <v>9158</v>
      </c>
    </row>
    <row r="372" spans="1:19">
      <c r="A372" s="14">
        <v>70023</v>
      </c>
      <c r="B372" s="14" t="s">
        <v>334</v>
      </c>
      <c r="C372" s="14" t="s">
        <v>344</v>
      </c>
      <c r="D372" s="20" t="s">
        <v>10230</v>
      </c>
      <c r="E372" s="15" t="str">
        <f>HYPERLINK("https://stat100.ameba.jp/tnk47/ratio20/illustrations/card/ill_70023_yukinoukokunabeshimanobakeneko03.jpg?202006-i_prefecture_active_user", "■")</f>
        <v>■</v>
      </c>
      <c r="F372" s="14" t="s">
        <v>769</v>
      </c>
      <c r="G372" s="14">
        <v>104619</v>
      </c>
      <c r="H372" s="14">
        <v>112496</v>
      </c>
      <c r="I372" s="14">
        <v>27</v>
      </c>
      <c r="J372" s="14" t="s">
        <v>320</v>
      </c>
      <c r="K372" s="14" t="s">
        <v>770</v>
      </c>
      <c r="L372" s="14" t="s">
        <v>771</v>
      </c>
      <c r="M372" s="14" t="s">
        <v>9158</v>
      </c>
      <c r="N372" s="14" t="s">
        <v>9158</v>
      </c>
      <c r="O372" s="14" t="s">
        <v>9158</v>
      </c>
      <c r="P372" s="14" t="s">
        <v>9158</v>
      </c>
      <c r="Q372" s="14" t="s">
        <v>9158</v>
      </c>
    </row>
    <row r="373" spans="1:19">
      <c r="A373" s="14">
        <v>52733</v>
      </c>
      <c r="B373" s="14" t="s">
        <v>15</v>
      </c>
      <c r="C373" s="14" t="s">
        <v>185</v>
      </c>
      <c r="D373" s="20" t="s">
        <v>10491</v>
      </c>
      <c r="E373" s="15" t="str">
        <f>HYPERLINK("https://stat100.ameba.jp/tnk47/ratio20/illustrations/card/ill_52733_sekkinambutsuruhime03.jpg?202006-i_prefecture_active_user", "■")</f>
        <v>■</v>
      </c>
      <c r="F373" s="14" t="s">
        <v>6246</v>
      </c>
      <c r="G373" s="14">
        <v>72586</v>
      </c>
      <c r="H373" s="14">
        <v>80028</v>
      </c>
      <c r="I373" s="14">
        <v>27</v>
      </c>
      <c r="J373" s="14" t="s">
        <v>77</v>
      </c>
      <c r="K373" s="14" t="s">
        <v>6248</v>
      </c>
      <c r="L373" s="14" t="s">
        <v>6249</v>
      </c>
      <c r="M373" s="14" t="s">
        <v>9158</v>
      </c>
      <c r="N373" s="14" t="s">
        <v>9158</v>
      </c>
      <c r="O373" s="14" t="s">
        <v>9158</v>
      </c>
      <c r="P373" s="14" t="s">
        <v>9158</v>
      </c>
      <c r="Q373" s="14" t="s">
        <v>9158</v>
      </c>
    </row>
    <row r="374" spans="1:19">
      <c r="A374" s="14">
        <v>54003</v>
      </c>
      <c r="B374" s="14" t="s">
        <v>15</v>
      </c>
      <c r="C374" s="14" t="s">
        <v>200</v>
      </c>
      <c r="D374" s="20" t="s">
        <v>10492</v>
      </c>
      <c r="E374" s="15" t="str">
        <f>HYPERLINK("https://stat100.ameba.jp/tnk47/ratio20/illustrations/card/ill_54003_seiryumegurihiguchiichiyo03.jpg?202006-i_prefecture_active_user", "■")</f>
        <v>■</v>
      </c>
      <c r="F374" s="14" t="s">
        <v>6250</v>
      </c>
      <c r="G374" s="14">
        <v>80028</v>
      </c>
      <c r="H374" s="14">
        <v>72586</v>
      </c>
      <c r="I374" s="14">
        <v>27</v>
      </c>
      <c r="J374" s="14" t="s">
        <v>10</v>
      </c>
      <c r="K374" s="14" t="s">
        <v>6252</v>
      </c>
      <c r="L374" s="14" t="s">
        <v>6253</v>
      </c>
      <c r="M374" s="14" t="s">
        <v>9158</v>
      </c>
      <c r="N374" s="14" t="s">
        <v>9158</v>
      </c>
      <c r="O374" s="14" t="s">
        <v>9158</v>
      </c>
      <c r="P374" s="14" t="s">
        <v>9158</v>
      </c>
      <c r="Q374" s="14" t="s">
        <v>9158</v>
      </c>
    </row>
    <row r="375" spans="1:19">
      <c r="A375" s="14">
        <v>51833</v>
      </c>
      <c r="B375" s="14" t="s">
        <v>15</v>
      </c>
      <c r="C375" s="14" t="s">
        <v>205</v>
      </c>
      <c r="D375" s="20" t="s">
        <v>10493</v>
      </c>
      <c r="E375" s="15" t="str">
        <f>HYPERLINK("https://stat100.ameba.jp/tnk47/ratio20/illustrations/card/ill_51833_jukimakitsuhikonomikoto03.jpg?202006-i_prefecture_active_user", "■")</f>
        <v>■</v>
      </c>
      <c r="F375" s="14" t="s">
        <v>6254</v>
      </c>
      <c r="G375" s="14">
        <v>80028</v>
      </c>
      <c r="H375" s="14">
        <v>72586</v>
      </c>
      <c r="I375" s="14">
        <v>27</v>
      </c>
      <c r="J375" s="14" t="s">
        <v>44</v>
      </c>
      <c r="K375" s="14" t="s">
        <v>6257</v>
      </c>
      <c r="L375" s="14" t="s">
        <v>6256</v>
      </c>
      <c r="M375" s="14" t="s">
        <v>9158</v>
      </c>
      <c r="N375" s="14" t="s">
        <v>9158</v>
      </c>
      <c r="O375" s="14" t="s">
        <v>9158</v>
      </c>
      <c r="P375" s="14" t="s">
        <v>9158</v>
      </c>
      <c r="Q375" s="14" t="s">
        <v>9158</v>
      </c>
    </row>
    <row r="376" spans="1:19">
      <c r="A376" s="14">
        <v>53203</v>
      </c>
      <c r="B376" s="14" t="s">
        <v>15</v>
      </c>
      <c r="C376" s="14" t="s">
        <v>165</v>
      </c>
      <c r="D376" s="20" t="s">
        <v>10494</v>
      </c>
      <c r="E376" s="15" t="str">
        <f>HYPERLINK("https://stat100.ameba.jp/tnk47/ratio20/illustrations/card/ill_53203_buruhawaichan03.jpg?202006-i_prefecture_active_user", "■")</f>
        <v>■</v>
      </c>
      <c r="F376" s="14" t="s">
        <v>6258</v>
      </c>
      <c r="G376" s="14">
        <v>72586</v>
      </c>
      <c r="H376" s="14">
        <v>80028</v>
      </c>
      <c r="I376" s="14">
        <v>27</v>
      </c>
      <c r="J376" s="14" t="s">
        <v>104</v>
      </c>
      <c r="K376" s="14" t="s">
        <v>6261</v>
      </c>
      <c r="L376" s="14" t="s">
        <v>6260</v>
      </c>
      <c r="M376" s="14" t="s">
        <v>9158</v>
      </c>
      <c r="N376" s="14" t="s">
        <v>9158</v>
      </c>
      <c r="O376" s="14" t="s">
        <v>9158</v>
      </c>
      <c r="P376" s="14" t="s">
        <v>9158</v>
      </c>
      <c r="Q376" s="14" t="s">
        <v>9158</v>
      </c>
    </row>
    <row r="378" spans="1:19">
      <c r="A378" s="14" t="s">
        <v>12842</v>
      </c>
    </row>
    <row r="379" spans="1:19">
      <c r="A379" s="14" t="s">
        <v>12844</v>
      </c>
    </row>
    <row r="380" spans="1:19">
      <c r="A380" s="14" t="s">
        <v>5620</v>
      </c>
      <c r="B380" s="14" t="s">
        <v>52</v>
      </c>
      <c r="C380" s="14" t="s">
        <v>344</v>
      </c>
      <c r="D380" s="19" t="s">
        <v>669</v>
      </c>
      <c r="E380" s="15" t="str">
        <f>HYPERLINK("https://stat100.ameba.jp/tnk47/ratio20/illustrations/card/ill_67173_0_yukemuriawamorichan03.jpg?202006-i_prefecture_active_user", "■")</f>
        <v>■</v>
      </c>
      <c r="F380" s="14" t="s">
        <v>2043</v>
      </c>
      <c r="G380" s="14">
        <v>207449</v>
      </c>
      <c r="H380" s="14">
        <v>192866</v>
      </c>
      <c r="I380" s="14">
        <v>27</v>
      </c>
      <c r="J380" s="14" t="s">
        <v>104</v>
      </c>
      <c r="K380" s="14" t="s">
        <v>2044</v>
      </c>
      <c r="L380" s="14" t="s">
        <v>2045</v>
      </c>
      <c r="M380" s="14" t="s">
        <v>9158</v>
      </c>
      <c r="N380" s="14" t="s">
        <v>9158</v>
      </c>
      <c r="O380" s="19" t="s">
        <v>10087</v>
      </c>
      <c r="P380" s="14" t="s">
        <v>3455</v>
      </c>
      <c r="Q380" s="14">
        <v>1</v>
      </c>
    </row>
    <row r="381" spans="1:19">
      <c r="A381" s="14" t="s">
        <v>5650</v>
      </c>
      <c r="B381" s="14" t="s">
        <v>52</v>
      </c>
      <c r="C381" s="14" t="s">
        <v>23</v>
      </c>
      <c r="D381" s="20" t="s">
        <v>809</v>
      </c>
      <c r="E381" s="15" t="str">
        <f>HYPERLINK("https://stat100.ameba.jp/tnk47/ratio20/illustrations/card/ill_68033_0_kurisumasupateikandamyojin03.jpg?202006-i_prefecture_active_user", "■")</f>
        <v>■</v>
      </c>
      <c r="F381" s="14" t="s">
        <v>1871</v>
      </c>
      <c r="G381" s="14">
        <v>171669</v>
      </c>
      <c r="H381" s="14">
        <v>184662</v>
      </c>
      <c r="I381" s="14">
        <v>27</v>
      </c>
      <c r="J381" s="14" t="s">
        <v>44</v>
      </c>
      <c r="K381" s="14" t="s">
        <v>1872</v>
      </c>
      <c r="L381" s="14" t="s">
        <v>1873</v>
      </c>
      <c r="M381" s="14" t="s">
        <v>9158</v>
      </c>
      <c r="N381" s="14" t="s">
        <v>9158</v>
      </c>
      <c r="O381" s="19" t="s">
        <v>2997</v>
      </c>
      <c r="P381" s="14" t="s">
        <v>3483</v>
      </c>
      <c r="Q381" s="14">
        <v>2</v>
      </c>
    </row>
    <row r="382" spans="1:19">
      <c r="A382" s="14" t="s">
        <v>5830</v>
      </c>
      <c r="B382" s="14" t="s">
        <v>330</v>
      </c>
      <c r="C382" s="14" t="s">
        <v>191</v>
      </c>
      <c r="D382" s="19" t="s">
        <v>793</v>
      </c>
      <c r="E382" s="15" t="str">
        <f>HYPERLINK("https://stat100.ameba.jp/tnk47/ratio20/illustrations/card/ill_39933_0_reihiiinaotora03.jpg?202006-i_prefecture_active_user", "■")</f>
        <v>■</v>
      </c>
      <c r="F382" s="14" t="s">
        <v>794</v>
      </c>
      <c r="G382" s="14">
        <v>147980</v>
      </c>
      <c r="H382" s="14">
        <v>158004</v>
      </c>
      <c r="I382" s="14">
        <v>27</v>
      </c>
      <c r="J382" s="14" t="s">
        <v>315</v>
      </c>
      <c r="K382" s="14" t="s">
        <v>795</v>
      </c>
      <c r="L382" s="14" t="s">
        <v>796</v>
      </c>
      <c r="M382" s="14" t="s">
        <v>9158</v>
      </c>
      <c r="N382" s="14" t="s">
        <v>9158</v>
      </c>
      <c r="O382" s="14" t="s">
        <v>9158</v>
      </c>
      <c r="P382" s="14" t="s">
        <v>9158</v>
      </c>
      <c r="Q382" s="14" t="s">
        <v>9158</v>
      </c>
    </row>
    <row r="383" spans="1:19">
      <c r="A383" s="14">
        <v>82813</v>
      </c>
      <c r="B383" s="14" t="s">
        <v>12846</v>
      </c>
      <c r="C383" s="14" t="s">
        <v>12849</v>
      </c>
      <c r="D383" s="14" t="s">
        <v>12848</v>
      </c>
      <c r="E383" s="15" t="str">
        <f>HYPERLINK("https://stat100.ameba.jp/tnk47/ratio20/illustrations/card/ill_82813_kyofunobyotoumizato03.jpg?202006-i_prefecture_active_user", "■")</f>
        <v>■</v>
      </c>
      <c r="F383" s="14" t="s">
        <v>12856</v>
      </c>
      <c r="G383" s="14">
        <v>109475</v>
      </c>
      <c r="H383" s="14">
        <v>117717</v>
      </c>
      <c r="I383" s="14">
        <v>27</v>
      </c>
      <c r="J383" s="14" t="s">
        <v>12855</v>
      </c>
      <c r="K383" s="14" t="s">
        <v>12857</v>
      </c>
      <c r="L383" s="14" t="s">
        <v>12858</v>
      </c>
      <c r="M383" s="14" t="s">
        <v>9158</v>
      </c>
      <c r="N383" s="14" t="s">
        <v>9158</v>
      </c>
      <c r="O383" s="14" t="s">
        <v>9158</v>
      </c>
      <c r="P383" s="14" t="s">
        <v>9158</v>
      </c>
      <c r="Q383" s="14" t="s">
        <v>9158</v>
      </c>
      <c r="S383" s="22" t="s">
        <v>12327</v>
      </c>
    </row>
    <row r="384" spans="1:19">
      <c r="A384" s="14">
        <v>81413</v>
      </c>
      <c r="B384" s="14" t="s">
        <v>12846</v>
      </c>
      <c r="C384" s="14" t="s">
        <v>12850</v>
      </c>
      <c r="D384" s="14" t="s">
        <v>12859</v>
      </c>
      <c r="E384" s="15" t="str">
        <f>HYPERLINK("https://stat100.ameba.jp/tnk47/ratio20/illustrations/card/ill_81413_harunotaiikusaimurakamisuigun03.jpg?202006-i_prefecture_active_user", "■")</f>
        <v>■</v>
      </c>
      <c r="F384" s="14" t="s">
        <v>12860</v>
      </c>
      <c r="G384" s="14">
        <v>160507</v>
      </c>
      <c r="H384" s="14">
        <v>149240</v>
      </c>
      <c r="I384" s="14">
        <v>27</v>
      </c>
      <c r="J384" s="14" t="s">
        <v>12861</v>
      </c>
      <c r="K384" s="14" t="s">
        <v>12862</v>
      </c>
      <c r="L384" s="14" t="s">
        <v>12863</v>
      </c>
      <c r="M384" s="14" t="s">
        <v>9158</v>
      </c>
      <c r="N384" s="14" t="s">
        <v>9158</v>
      </c>
      <c r="O384" s="14" t="s">
        <v>9158</v>
      </c>
      <c r="P384" s="14" t="s">
        <v>9158</v>
      </c>
      <c r="Q384" s="14" t="s">
        <v>9158</v>
      </c>
      <c r="S384" s="14" t="s">
        <v>12883</v>
      </c>
    </row>
    <row r="385" spans="1:19">
      <c r="A385" s="14">
        <v>79683</v>
      </c>
      <c r="B385" s="14" t="s">
        <v>12846</v>
      </c>
      <c r="C385" s="14" t="s">
        <v>12851</v>
      </c>
      <c r="D385" s="14" t="s">
        <v>12864</v>
      </c>
      <c r="E385" s="15" t="str">
        <f>HYPERLINK("https://stat100.ameba.jp/tnk47/ratio20/illustrations/card/ill_79683_yukinosaitenshitompekamui03.jpg?202006-i_prefecture_active_user", "■")</f>
        <v>■</v>
      </c>
      <c r="F385" s="14" t="s">
        <v>12865</v>
      </c>
      <c r="G385" s="14">
        <v>110129</v>
      </c>
      <c r="H385" s="14">
        <v>102386</v>
      </c>
      <c r="I385" s="14">
        <v>27</v>
      </c>
      <c r="J385" s="14" t="s">
        <v>12866</v>
      </c>
      <c r="K385" s="14" t="s">
        <v>12867</v>
      </c>
      <c r="L385" s="14" t="s">
        <v>12868</v>
      </c>
      <c r="M385" s="14" t="s">
        <v>9158</v>
      </c>
      <c r="N385" s="14" t="s">
        <v>9158</v>
      </c>
      <c r="O385" s="14" t="s">
        <v>9158</v>
      </c>
      <c r="P385" s="14" t="s">
        <v>9158</v>
      </c>
      <c r="Q385" s="14" t="s">
        <v>9158</v>
      </c>
      <c r="S385" s="22" t="s">
        <v>12884</v>
      </c>
    </row>
    <row r="386" spans="1:19">
      <c r="A386" s="14">
        <v>81653</v>
      </c>
      <c r="B386" s="14" t="s">
        <v>12847</v>
      </c>
      <c r="C386" s="14" t="s">
        <v>12852</v>
      </c>
      <c r="D386" s="14" t="s">
        <v>12869</v>
      </c>
      <c r="E386" s="15" t="str">
        <f>HYPERLINK("https://stat100.ameba.jp/tnk47/ratio20/illustrations/card/ill_81653_matsudairateru03.jpg?202006-i_prefecture_active_user", "■")</f>
        <v>■</v>
      </c>
      <c r="F386" s="14" t="s">
        <v>12870</v>
      </c>
      <c r="G386" s="14">
        <v>60480</v>
      </c>
      <c r="H386" s="14">
        <v>66690</v>
      </c>
      <c r="I386" s="14">
        <v>27</v>
      </c>
      <c r="J386" s="14" t="s">
        <v>12872</v>
      </c>
      <c r="K386" s="14" t="s">
        <v>12871</v>
      </c>
      <c r="L386" s="14" t="s">
        <v>12873</v>
      </c>
      <c r="M386" s="14" t="s">
        <v>9158</v>
      </c>
      <c r="N386" s="14" t="s">
        <v>9158</v>
      </c>
      <c r="O386" s="14" t="s">
        <v>9158</v>
      </c>
      <c r="P386" s="14" t="s">
        <v>9158</v>
      </c>
      <c r="Q386" s="14" t="s">
        <v>9158</v>
      </c>
      <c r="S386" s="22" t="s">
        <v>11682</v>
      </c>
    </row>
    <row r="387" spans="1:19">
      <c r="A387" s="14">
        <v>85083</v>
      </c>
      <c r="B387" s="14" t="s">
        <v>12847</v>
      </c>
      <c r="C387" s="14" t="s">
        <v>12853</v>
      </c>
      <c r="D387" s="14" t="s">
        <v>12874</v>
      </c>
      <c r="E387" s="15" t="str">
        <f>HYPERLINK("https://stat100.ameba.jp/tnk47/ratio20/illustrations/card/ill_85083_okesutoranekodanuki03.jpg?202006-i_prefecture_active_user", "■")</f>
        <v>■</v>
      </c>
      <c r="F387" s="14" t="s">
        <v>12875</v>
      </c>
      <c r="G387" s="14">
        <v>66690</v>
      </c>
      <c r="H387" s="14">
        <v>60480</v>
      </c>
      <c r="I387" s="14">
        <v>27</v>
      </c>
      <c r="J387" s="14" t="s">
        <v>12855</v>
      </c>
      <c r="K387" s="14" t="s">
        <v>12876</v>
      </c>
      <c r="L387" s="14" t="s">
        <v>12877</v>
      </c>
      <c r="M387" s="14" t="s">
        <v>9158</v>
      </c>
      <c r="N387" s="14" t="s">
        <v>9158</v>
      </c>
      <c r="O387" s="14" t="s">
        <v>9158</v>
      </c>
      <c r="P387" s="14" t="s">
        <v>9158</v>
      </c>
      <c r="Q387" s="14" t="s">
        <v>9158</v>
      </c>
      <c r="S387" s="22" t="s">
        <v>12885</v>
      </c>
    </row>
    <row r="388" spans="1:19">
      <c r="A388" s="14">
        <v>80493</v>
      </c>
      <c r="B388" s="14" t="s">
        <v>12847</v>
      </c>
      <c r="C388" s="14" t="s">
        <v>12854</v>
      </c>
      <c r="D388" s="14" t="s">
        <v>12879</v>
      </c>
      <c r="E388" s="15" t="str">
        <f>HYPERLINK("https://stat100.ameba.jp/tnk47/ratio20/illustrations/card/ill_80493_kujotakeko03.jpg?202006-i_prefecture_active_user", "■")</f>
        <v>■</v>
      </c>
      <c r="F388" s="14" t="s">
        <v>12878</v>
      </c>
      <c r="G388" s="14">
        <v>60480</v>
      </c>
      <c r="H388" s="14">
        <v>66690</v>
      </c>
      <c r="I388" s="14">
        <v>27</v>
      </c>
      <c r="J388" s="14" t="s">
        <v>12880</v>
      </c>
      <c r="K388" s="14" t="s">
        <v>12881</v>
      </c>
      <c r="L388" s="14" t="s">
        <v>12882</v>
      </c>
      <c r="M388" s="14" t="s">
        <v>9158</v>
      </c>
      <c r="N388" s="14" t="s">
        <v>9158</v>
      </c>
      <c r="O388" s="14" t="s">
        <v>9158</v>
      </c>
      <c r="P388" s="14" t="s">
        <v>9158</v>
      </c>
      <c r="Q388" s="14" t="s">
        <v>9158</v>
      </c>
      <c r="S388" s="22" t="s">
        <v>11875</v>
      </c>
    </row>
    <row r="390" spans="1:19">
      <c r="A390" s="14" t="s">
        <v>12843</v>
      </c>
    </row>
    <row r="391" spans="1:19">
      <c r="A391" s="14" t="s">
        <v>12845</v>
      </c>
    </row>
    <row r="392" spans="1:19">
      <c r="A392" s="14" t="s">
        <v>5642</v>
      </c>
      <c r="B392" s="14" t="s">
        <v>330</v>
      </c>
      <c r="C392" s="14" t="s">
        <v>185</v>
      </c>
      <c r="D392" s="20" t="s">
        <v>3086</v>
      </c>
      <c r="E392" s="15" t="str">
        <f>HYPERLINK("https://stat100.ameba.jp/tnk47/ratio20/illustrations/card/ill_69593_0_setsubunyukionna03.jpg?202006-i_prefecture_active_user", "■")</f>
        <v>■</v>
      </c>
      <c r="F392" s="14" t="s">
        <v>3087</v>
      </c>
      <c r="G392" s="14">
        <v>178578</v>
      </c>
      <c r="H392" s="14">
        <v>192083</v>
      </c>
      <c r="I392" s="14">
        <v>25</v>
      </c>
      <c r="J392" s="14" t="s">
        <v>320</v>
      </c>
      <c r="K392" s="14" t="s">
        <v>3088</v>
      </c>
      <c r="L392" s="14" t="s">
        <v>3089</v>
      </c>
      <c r="M392" s="14" t="s">
        <v>9158</v>
      </c>
      <c r="N392" s="14" t="s">
        <v>9158</v>
      </c>
      <c r="O392" s="19" t="s">
        <v>3090</v>
      </c>
      <c r="P392" s="14" t="s">
        <v>3091</v>
      </c>
      <c r="Q392" s="14">
        <v>2</v>
      </c>
    </row>
    <row r="393" spans="1:19">
      <c r="A393" s="9">
        <v>85363</v>
      </c>
      <c r="B393" s="9" t="s">
        <v>0</v>
      </c>
      <c r="C393" s="9" t="s">
        <v>158</v>
      </c>
      <c r="D393" s="19" t="s">
        <v>10708</v>
      </c>
      <c r="E393" s="15" t="str">
        <f>HYPERLINK("https://stat100.ameba.jp/tnk47/ratio20/illustrations/card/ill_85363_sukarunetaisa03.jpg?202006-i_prefecture_active_user", "■")</f>
        <v>■</v>
      </c>
      <c r="F393" s="9" t="s">
        <v>7506</v>
      </c>
      <c r="G393" s="9">
        <v>120475</v>
      </c>
      <c r="H393" s="9">
        <v>166328</v>
      </c>
      <c r="I393" s="9">
        <v>25</v>
      </c>
      <c r="J393" s="9" t="s">
        <v>194</v>
      </c>
      <c r="K393" s="9" t="s">
        <v>7504</v>
      </c>
      <c r="L393" s="9" t="s">
        <v>1148</v>
      </c>
      <c r="M393" s="14" t="s">
        <v>9864</v>
      </c>
      <c r="N393" s="14" t="s">
        <v>9158</v>
      </c>
      <c r="O393" s="19" t="s">
        <v>10106</v>
      </c>
      <c r="P393" s="14" t="s">
        <v>3330</v>
      </c>
      <c r="Q393" s="14">
        <v>2</v>
      </c>
    </row>
    <row r="394" spans="1:19">
      <c r="A394" s="14">
        <v>79963</v>
      </c>
      <c r="B394" s="14" t="s">
        <v>0</v>
      </c>
      <c r="C394" s="14" t="s">
        <v>200</v>
      </c>
      <c r="D394" s="20" t="s">
        <v>10477</v>
      </c>
      <c r="E394" s="15" t="str">
        <f>HYPERLINK("https://stat100.ameba.jp/tnk47/ratio20/illustrations/card/ill_79963_hinamatsurirakko03.jpg?202006-i_prefecture_active_user", "■")</f>
        <v>■</v>
      </c>
      <c r="F394" s="14" t="s">
        <v>3715</v>
      </c>
      <c r="G394" s="14">
        <v>113890</v>
      </c>
      <c r="H394" s="14">
        <v>105890</v>
      </c>
      <c r="I394" s="14">
        <v>25</v>
      </c>
      <c r="J394" s="14" t="s">
        <v>26</v>
      </c>
      <c r="K394" s="14" t="s">
        <v>3716</v>
      </c>
      <c r="L394" s="14" t="s">
        <v>1086</v>
      </c>
      <c r="M394" s="14" t="s">
        <v>9158</v>
      </c>
      <c r="N394" s="14" t="s">
        <v>9158</v>
      </c>
      <c r="O394" s="19" t="s">
        <v>10090</v>
      </c>
      <c r="P394" s="14" t="s">
        <v>3460</v>
      </c>
      <c r="Q394" s="14">
        <v>1</v>
      </c>
    </row>
    <row r="395" spans="1:19">
      <c r="A395" s="7">
        <v>59423</v>
      </c>
      <c r="B395" s="14" t="s">
        <v>334</v>
      </c>
      <c r="C395" s="14" t="s">
        <v>209</v>
      </c>
      <c r="D395" s="19" t="s">
        <v>10286</v>
      </c>
      <c r="E395" s="15" t="str">
        <f>HYPERLINK("https://stat100.ameba.jp/tnk47/ratio20/illustrations/card/ill_59423_yuishosetsu03.jpg?202006-i_prefecture_active_user", "■")</f>
        <v>■</v>
      </c>
      <c r="F395" s="14" t="s">
        <v>1143</v>
      </c>
      <c r="G395" s="14">
        <v>113463</v>
      </c>
      <c r="H395" s="14">
        <v>82205</v>
      </c>
      <c r="I395" s="14">
        <v>25</v>
      </c>
      <c r="J395" s="14" t="s">
        <v>16</v>
      </c>
      <c r="K395" s="14" t="s">
        <v>1144</v>
      </c>
      <c r="L395" s="14" t="s">
        <v>1149</v>
      </c>
      <c r="M395" s="14" t="s">
        <v>9158</v>
      </c>
      <c r="N395" s="14" t="s">
        <v>9158</v>
      </c>
      <c r="O395" s="19" t="s">
        <v>2951</v>
      </c>
      <c r="P395" s="14" t="s">
        <v>13122</v>
      </c>
      <c r="Q395" s="14">
        <v>1</v>
      </c>
    </row>
    <row r="397" spans="1:19">
      <c r="A397" s="14" t="s">
        <v>13327</v>
      </c>
    </row>
    <row r="398" spans="1:19">
      <c r="A398" s="14" t="s">
        <v>12886</v>
      </c>
    </row>
    <row r="399" spans="1:19">
      <c r="A399" s="14">
        <v>83973</v>
      </c>
      <c r="B399" s="14" t="s">
        <v>334</v>
      </c>
      <c r="C399" s="14" t="s">
        <v>14</v>
      </c>
      <c r="D399" s="19" t="s">
        <v>10570</v>
      </c>
      <c r="E399" s="15" t="str">
        <f>HYPERLINK("https://stat100.ameba.jp/tnk47/ratio20/illustrations/card/ill_83973_nekokishiirurosu03.jpg?202006-i_prefecture_active_user", "■")</f>
        <v>■</v>
      </c>
      <c r="F399" s="14" t="s">
        <v>6706</v>
      </c>
      <c r="G399" s="14">
        <v>132922</v>
      </c>
      <c r="H399" s="14">
        <v>123583</v>
      </c>
      <c r="I399" s="14">
        <v>27</v>
      </c>
      <c r="J399" s="14" t="s">
        <v>229</v>
      </c>
      <c r="K399" s="14" t="s">
        <v>6707</v>
      </c>
      <c r="L399" s="14" t="s">
        <v>13202</v>
      </c>
      <c r="M399" s="14" t="s">
        <v>13130</v>
      </c>
      <c r="N399" s="14" t="s">
        <v>343</v>
      </c>
      <c r="O399" s="14" t="s">
        <v>9158</v>
      </c>
      <c r="P399" s="14" t="s">
        <v>9158</v>
      </c>
      <c r="Q399" s="14" t="s">
        <v>9158</v>
      </c>
      <c r="R399" s="14" t="s">
        <v>14748</v>
      </c>
    </row>
    <row r="400" spans="1:19">
      <c r="A400" s="14">
        <v>83972</v>
      </c>
      <c r="B400" s="14" t="s">
        <v>334</v>
      </c>
      <c r="C400" s="14" t="s">
        <v>14</v>
      </c>
      <c r="D400" s="19" t="s">
        <v>10570</v>
      </c>
      <c r="E400" s="15" t="str">
        <f>HYPERLINK("https://stat100.ameba.jp/tnk47/ratio20/illustrations/card/ill_83972_nekokishiirurosu02.jpg?202006-i_prefecture_active_user", "■")</f>
        <v>■</v>
      </c>
      <c r="F400" s="14" t="s">
        <v>6706</v>
      </c>
      <c r="G400" s="14">
        <v>111115</v>
      </c>
      <c r="H400" s="14">
        <v>102356</v>
      </c>
      <c r="I400" s="14">
        <v>27</v>
      </c>
      <c r="J400" s="14" t="s">
        <v>229</v>
      </c>
      <c r="K400" s="14" t="s">
        <v>6707</v>
      </c>
      <c r="L400" s="14" t="s">
        <v>13201</v>
      </c>
      <c r="M400" s="14" t="s">
        <v>13131</v>
      </c>
      <c r="N400" s="14" t="s">
        <v>251</v>
      </c>
      <c r="O400" s="14" t="s">
        <v>9158</v>
      </c>
      <c r="P400" s="14" t="s">
        <v>9158</v>
      </c>
      <c r="Q400" s="14" t="s">
        <v>9158</v>
      </c>
      <c r="R400" s="14" t="s">
        <v>14748</v>
      </c>
    </row>
    <row r="401" spans="1:18">
      <c r="A401" s="14">
        <v>83971</v>
      </c>
      <c r="B401" s="14" t="s">
        <v>0</v>
      </c>
      <c r="C401" s="14" t="s">
        <v>14</v>
      </c>
      <c r="D401" s="19" t="s">
        <v>10570</v>
      </c>
      <c r="E401" s="15" t="str">
        <f>HYPERLINK("https://stat100.ameba.jp/tnk47/ratio20/illustrations/card/ill_83971_nekokishiirurosu01.jpg?202006-i_prefecture_active_user", "■")</f>
        <v>■</v>
      </c>
      <c r="F401" s="14" t="s">
        <v>6706</v>
      </c>
      <c r="G401" s="14">
        <v>84834</v>
      </c>
      <c r="H401" s="14">
        <v>78975</v>
      </c>
      <c r="I401" s="14">
        <v>27</v>
      </c>
      <c r="J401" s="14" t="s">
        <v>229</v>
      </c>
      <c r="K401" s="14" t="s">
        <v>6707</v>
      </c>
      <c r="L401" s="14" t="s">
        <v>13201</v>
      </c>
      <c r="M401" s="14" t="s">
        <v>13131</v>
      </c>
      <c r="N401" s="14" t="s">
        <v>251</v>
      </c>
      <c r="O401" s="14" t="s">
        <v>9158</v>
      </c>
      <c r="P401" s="14" t="s">
        <v>9158</v>
      </c>
      <c r="Q401" s="14" t="s">
        <v>9158</v>
      </c>
      <c r="R401" s="14" t="s">
        <v>14748</v>
      </c>
    </row>
    <row r="402" spans="1:18">
      <c r="A402" s="14">
        <v>83983</v>
      </c>
      <c r="B402" s="14" t="s">
        <v>334</v>
      </c>
      <c r="C402" s="14" t="s">
        <v>23</v>
      </c>
      <c r="D402" s="19" t="s">
        <v>10571</v>
      </c>
      <c r="E402" s="15" t="str">
        <f>HYPERLINK("https://stat100.ameba.jp/tnk47/ratio20/illustrations/card/ill_83983_ryujinsui03.jpg?202006-i_prefecture_active_user", "■")</f>
        <v>■</v>
      </c>
      <c r="F402" s="14" t="s">
        <v>6708</v>
      </c>
      <c r="G402" s="14">
        <v>123583</v>
      </c>
      <c r="H402" s="14">
        <v>132922</v>
      </c>
      <c r="I402" s="14">
        <v>27</v>
      </c>
      <c r="J402" s="14" t="s">
        <v>169</v>
      </c>
      <c r="K402" s="14" t="s">
        <v>6710</v>
      </c>
      <c r="L402" s="14" t="s">
        <v>6721</v>
      </c>
      <c r="M402" s="14" t="s">
        <v>13130</v>
      </c>
      <c r="N402" s="14" t="s">
        <v>343</v>
      </c>
      <c r="O402" s="14" t="s">
        <v>9158</v>
      </c>
      <c r="P402" s="14" t="s">
        <v>9158</v>
      </c>
      <c r="Q402" s="14" t="s">
        <v>9158</v>
      </c>
      <c r="R402" s="14" t="s">
        <v>14748</v>
      </c>
    </row>
    <row r="403" spans="1:18">
      <c r="A403" s="14">
        <v>83993</v>
      </c>
      <c r="B403" s="14" t="s">
        <v>334</v>
      </c>
      <c r="C403" s="14" t="s">
        <v>101</v>
      </c>
      <c r="D403" s="19" t="s">
        <v>10572</v>
      </c>
      <c r="E403" s="15" t="str">
        <f>HYPERLINK("https://stat100.ameba.jp/tnk47/ratio20/illustrations/card/ill_83993_enjieruzuranotamagochan03.jpg?202006-i_prefecture_active_user", "■")</f>
        <v>■</v>
      </c>
      <c r="F403" s="14" t="s">
        <v>6722</v>
      </c>
      <c r="G403" s="14">
        <v>123583</v>
      </c>
      <c r="H403" s="14">
        <v>132922</v>
      </c>
      <c r="I403" s="14">
        <v>27</v>
      </c>
      <c r="J403" s="14" t="s">
        <v>216</v>
      </c>
      <c r="K403" s="14" t="s">
        <v>6723</v>
      </c>
      <c r="L403" s="14" t="s">
        <v>6724</v>
      </c>
      <c r="M403" s="14" t="s">
        <v>13130</v>
      </c>
      <c r="N403" s="14" t="s">
        <v>343</v>
      </c>
      <c r="O403" s="14" t="s">
        <v>9158</v>
      </c>
      <c r="P403" s="14" t="s">
        <v>9158</v>
      </c>
      <c r="Q403" s="14" t="s">
        <v>9158</v>
      </c>
      <c r="R403" s="14" t="s">
        <v>14748</v>
      </c>
    </row>
    <row r="404" spans="1:18">
      <c r="A404" s="14">
        <v>84003</v>
      </c>
      <c r="B404" s="14" t="s">
        <v>0</v>
      </c>
      <c r="C404" s="14" t="s">
        <v>96</v>
      </c>
      <c r="D404" s="19" t="s">
        <v>10573</v>
      </c>
      <c r="E404" s="15" t="str">
        <f>HYPERLINK("https://stat100.ameba.jp/tnk47/ratio20/illustrations/card/ill_84003_sukoropendora03.jpg?202006-i_prefecture_active_user", "■")</f>
        <v>■</v>
      </c>
      <c r="F404" s="14" t="s">
        <v>6725</v>
      </c>
      <c r="G404" s="14">
        <v>132922</v>
      </c>
      <c r="H404" s="14">
        <v>123583</v>
      </c>
      <c r="I404" s="14">
        <v>27</v>
      </c>
      <c r="J404" s="14" t="s">
        <v>182</v>
      </c>
      <c r="K404" s="14" t="s">
        <v>6727</v>
      </c>
      <c r="L404" s="14" t="s">
        <v>6728</v>
      </c>
      <c r="M404" s="14" t="s">
        <v>13130</v>
      </c>
      <c r="N404" s="14" t="s">
        <v>343</v>
      </c>
      <c r="O404" s="14" t="s">
        <v>9158</v>
      </c>
      <c r="P404" s="14" t="s">
        <v>9158</v>
      </c>
      <c r="Q404" s="14" t="s">
        <v>9158</v>
      </c>
      <c r="R404" s="14" t="s">
        <v>14748</v>
      </c>
    </row>
    <row r="405" spans="1:18">
      <c r="A405" s="14">
        <v>84013</v>
      </c>
      <c r="B405" s="14" t="s">
        <v>334</v>
      </c>
      <c r="C405" s="14" t="s">
        <v>205</v>
      </c>
      <c r="D405" s="19" t="s">
        <v>10574</v>
      </c>
      <c r="E405" s="15" t="str">
        <f>HYPERLINK("https://stat100.ameba.jp/tnk47/ratio20/illustrations/card/ill_84013_neikiddo03.jpg?202006-i_prefecture_active_user", "■")</f>
        <v>■</v>
      </c>
      <c r="F405" s="14" t="s">
        <v>6729</v>
      </c>
      <c r="G405" s="14">
        <v>123583</v>
      </c>
      <c r="H405" s="14">
        <v>132922</v>
      </c>
      <c r="I405" s="14">
        <v>27</v>
      </c>
      <c r="J405" s="14" t="s">
        <v>194</v>
      </c>
      <c r="K405" s="14" t="s">
        <v>6731</v>
      </c>
      <c r="L405" s="14" t="s">
        <v>6732</v>
      </c>
      <c r="M405" s="14" t="s">
        <v>13130</v>
      </c>
      <c r="N405" s="14" t="s">
        <v>343</v>
      </c>
      <c r="O405" s="14" t="s">
        <v>9158</v>
      </c>
      <c r="P405" s="14" t="s">
        <v>9158</v>
      </c>
      <c r="Q405" s="14" t="s">
        <v>9158</v>
      </c>
      <c r="R405" s="14" t="s">
        <v>14748</v>
      </c>
    </row>
    <row r="406" spans="1:18">
      <c r="A406" s="14">
        <v>76763</v>
      </c>
      <c r="B406" s="14" t="s">
        <v>334</v>
      </c>
      <c r="C406" s="14" t="s">
        <v>107</v>
      </c>
      <c r="D406" s="19" t="s">
        <v>10575</v>
      </c>
      <c r="E406" s="15" t="str">
        <f>HYPERLINK("https://stat100.ameba.jp/tnk47/ratio20/illustrations/card/ill_76763_monsutanabeshimakeiginni03.jpg?202006-i_prefecture_active_user", "■")</f>
        <v>■</v>
      </c>
      <c r="F406" s="14" t="s">
        <v>6733</v>
      </c>
      <c r="G406" s="14">
        <v>132922</v>
      </c>
      <c r="H406" s="14">
        <v>123583</v>
      </c>
      <c r="I406" s="14">
        <v>27</v>
      </c>
      <c r="J406" s="14" t="s">
        <v>187</v>
      </c>
      <c r="K406" s="14" t="s">
        <v>6735</v>
      </c>
      <c r="L406" s="14" t="s">
        <v>6736</v>
      </c>
      <c r="M406" s="14" t="s">
        <v>13130</v>
      </c>
      <c r="N406" s="14" t="s">
        <v>343</v>
      </c>
      <c r="O406" s="14" t="s">
        <v>9158</v>
      </c>
      <c r="P406" s="14" t="s">
        <v>9158</v>
      </c>
      <c r="Q406" s="14" t="s">
        <v>9158</v>
      </c>
      <c r="R406" s="14" t="s">
        <v>14748</v>
      </c>
    </row>
    <row r="408" spans="1:18">
      <c r="A408" s="14" t="s">
        <v>12887</v>
      </c>
    </row>
    <row r="409" spans="1:18">
      <c r="A409" s="14" t="s">
        <v>12888</v>
      </c>
    </row>
    <row r="410" spans="1:18">
      <c r="A410" s="9" t="s">
        <v>5822</v>
      </c>
      <c r="B410" s="14" t="s">
        <v>330</v>
      </c>
      <c r="C410" s="14" t="s">
        <v>191</v>
      </c>
      <c r="D410" s="14" t="s">
        <v>898</v>
      </c>
      <c r="E410" s="15" t="str">
        <f>HYPERLINK("https://stat100.ameba.jp/tnk47/ratio20/illustrations/card/ill_71403_0_ohanamisanadayukimura03.jpg?202005-i_prefecture_active_user", "■")</f>
        <v>■</v>
      </c>
      <c r="F410" s="14" t="s">
        <v>309</v>
      </c>
      <c r="G410" s="14">
        <v>186688</v>
      </c>
      <c r="H410" s="14">
        <v>173592</v>
      </c>
      <c r="I410" s="14">
        <v>20</v>
      </c>
      <c r="J410" s="14" t="s">
        <v>310</v>
      </c>
      <c r="K410" s="14" t="s">
        <v>311</v>
      </c>
      <c r="L410" s="14" t="s">
        <v>312</v>
      </c>
      <c r="M410" s="14" t="s">
        <v>9158</v>
      </c>
      <c r="N410" s="14" t="s">
        <v>9158</v>
      </c>
      <c r="O410" s="17" t="s">
        <v>10060</v>
      </c>
      <c r="P410" s="14" t="s">
        <v>3418</v>
      </c>
      <c r="Q410" s="14">
        <v>2</v>
      </c>
    </row>
    <row r="411" spans="1:18">
      <c r="A411" s="14">
        <v>89373</v>
      </c>
      <c r="B411" s="14" t="s">
        <v>0</v>
      </c>
      <c r="C411" s="14" t="s">
        <v>12890</v>
      </c>
      <c r="D411" s="14" t="s">
        <v>12889</v>
      </c>
      <c r="E411" s="15" t="str">
        <f>HYPERLINK("https://stat100.ameba.jp/tnk47/ratio20/illustrations/card/ill_89373_minaraimajopuriesuta03.jpg?202006-i_prefecture_active_user", "■")</f>
        <v>■</v>
      </c>
      <c r="F411" s="14" t="s">
        <v>12894</v>
      </c>
      <c r="G411" s="14">
        <v>130214</v>
      </c>
      <c r="H411" s="14">
        <v>73270</v>
      </c>
      <c r="I411" s="14">
        <v>27</v>
      </c>
      <c r="J411" s="14" t="s">
        <v>12891</v>
      </c>
      <c r="K411" s="14" t="s">
        <v>12892</v>
      </c>
      <c r="L411" s="14" t="s">
        <v>12893</v>
      </c>
      <c r="M411" s="14" t="s">
        <v>9158</v>
      </c>
      <c r="N411" s="14" t="s">
        <v>9158</v>
      </c>
      <c r="O411" s="14" t="s">
        <v>9158</v>
      </c>
      <c r="P411" s="14" t="s">
        <v>9158</v>
      </c>
      <c r="Q411" s="14" t="s">
        <v>9158</v>
      </c>
    </row>
    <row r="412" spans="1:18">
      <c r="A412" s="14">
        <v>89372</v>
      </c>
      <c r="B412" s="14" t="s">
        <v>334</v>
      </c>
      <c r="C412" s="14" t="s">
        <v>12890</v>
      </c>
      <c r="D412" s="14" t="s">
        <v>12889</v>
      </c>
      <c r="E412" s="15" t="str">
        <f>HYPERLINK("https://stat100.ameba.jp/tnk47/ratio20/illustrations/card/ill_89372_minaraimajopuriesuta02.jpg?202006-i_prefecture_active_user", "■")</f>
        <v>■</v>
      </c>
      <c r="F412" s="14" t="s">
        <v>12894</v>
      </c>
      <c r="G412" s="14">
        <v>108378</v>
      </c>
      <c r="H412" s="14">
        <v>60982</v>
      </c>
      <c r="I412" s="14">
        <v>27</v>
      </c>
      <c r="J412" s="14" t="s">
        <v>12891</v>
      </c>
      <c r="K412" s="14" t="s">
        <v>12892</v>
      </c>
      <c r="L412" s="14" t="s">
        <v>12895</v>
      </c>
      <c r="M412" s="14" t="s">
        <v>9158</v>
      </c>
      <c r="N412" s="14" t="s">
        <v>9158</v>
      </c>
      <c r="O412" s="14" t="s">
        <v>9158</v>
      </c>
      <c r="P412" s="14" t="s">
        <v>9158</v>
      </c>
      <c r="Q412" s="14" t="s">
        <v>9158</v>
      </c>
    </row>
    <row r="413" spans="1:18">
      <c r="A413" s="14">
        <v>89371</v>
      </c>
      <c r="B413" s="14" t="s">
        <v>334</v>
      </c>
      <c r="C413" s="14" t="s">
        <v>12890</v>
      </c>
      <c r="D413" s="14" t="s">
        <v>12889</v>
      </c>
      <c r="E413" s="15" t="str">
        <f>HYPERLINK("https://stat100.ameba.jp/tnk47/ratio20/illustrations/card/ill_89371_minaraimajopuriesuta01.jpg?202006-i_prefecture_active_user", "■")</f>
        <v>■</v>
      </c>
      <c r="F413" s="14" t="s">
        <v>12894</v>
      </c>
      <c r="G413" s="14">
        <v>83160</v>
      </c>
      <c r="H413" s="14">
        <v>46791</v>
      </c>
      <c r="I413" s="14">
        <v>27</v>
      </c>
      <c r="J413" s="14" t="s">
        <v>12891</v>
      </c>
      <c r="K413" s="14" t="s">
        <v>12892</v>
      </c>
      <c r="L413" s="14" t="s">
        <v>12896</v>
      </c>
      <c r="M413" s="14" t="s">
        <v>9158</v>
      </c>
      <c r="N413" s="14" t="s">
        <v>9158</v>
      </c>
      <c r="O413" s="14" t="s">
        <v>9158</v>
      </c>
      <c r="P413" s="14" t="s">
        <v>9158</v>
      </c>
      <c r="Q413" s="14" t="s">
        <v>9158</v>
      </c>
    </row>
    <row r="414" spans="1:18">
      <c r="A414" s="14">
        <v>89383</v>
      </c>
      <c r="B414" s="14" t="s">
        <v>0</v>
      </c>
      <c r="C414" s="14" t="s">
        <v>12898</v>
      </c>
      <c r="D414" s="14" t="s">
        <v>12897</v>
      </c>
      <c r="E414" s="15" t="str">
        <f>HYPERLINK("https://stat100.ameba.jp/tnk47/ratio20/illustrations/card/ill_89383_minaraimajozaui03.jpg?202006-i_prefecture_active_user", "■")</f>
        <v>■</v>
      </c>
      <c r="F414" s="14" t="s">
        <v>12899</v>
      </c>
      <c r="G414" s="14">
        <v>198226</v>
      </c>
      <c r="H414" s="14">
        <v>111523</v>
      </c>
      <c r="I414" s="14">
        <v>27</v>
      </c>
      <c r="J414" s="14" t="s">
        <v>12900</v>
      </c>
      <c r="K414" s="14" t="s">
        <v>12901</v>
      </c>
      <c r="L414" s="14" t="s">
        <v>12902</v>
      </c>
      <c r="M414" s="14" t="s">
        <v>9158</v>
      </c>
      <c r="N414" s="14" t="s">
        <v>9158</v>
      </c>
      <c r="O414" s="14" t="s">
        <v>9158</v>
      </c>
      <c r="P414" s="14" t="s">
        <v>9158</v>
      </c>
      <c r="Q414" s="14" t="s">
        <v>9158</v>
      </c>
    </row>
    <row r="415" spans="1:18">
      <c r="A415" s="14">
        <v>89382</v>
      </c>
      <c r="B415" s="14" t="s">
        <v>334</v>
      </c>
      <c r="C415" s="14" t="s">
        <v>12898</v>
      </c>
      <c r="D415" s="14" t="s">
        <v>12897</v>
      </c>
      <c r="E415" s="15" t="str">
        <f>HYPERLINK("https://stat100.ameba.jp/tnk47/ratio20/illustrations/card/ill_89382_minaraimajozaui02.jpg?202006-i_prefecture_active_user", "■")</f>
        <v>■</v>
      </c>
      <c r="F415" s="14" t="s">
        <v>12899</v>
      </c>
      <c r="G415" s="14">
        <v>164931</v>
      </c>
      <c r="H415" s="14">
        <v>92814</v>
      </c>
      <c r="I415" s="14">
        <v>27</v>
      </c>
      <c r="J415" s="14" t="s">
        <v>12900</v>
      </c>
      <c r="K415" s="14" t="s">
        <v>12901</v>
      </c>
      <c r="L415" s="14" t="s">
        <v>12903</v>
      </c>
      <c r="M415" s="14" t="s">
        <v>9158</v>
      </c>
      <c r="N415" s="14" t="s">
        <v>9158</v>
      </c>
      <c r="O415" s="14" t="s">
        <v>9158</v>
      </c>
      <c r="P415" s="14" t="s">
        <v>9158</v>
      </c>
      <c r="Q415" s="14" t="s">
        <v>9158</v>
      </c>
    </row>
    <row r="416" spans="1:18">
      <c r="A416" s="14">
        <v>89381</v>
      </c>
      <c r="B416" s="14" t="s">
        <v>334</v>
      </c>
      <c r="C416" s="14" t="s">
        <v>12898</v>
      </c>
      <c r="D416" s="14" t="s">
        <v>12897</v>
      </c>
      <c r="E416" s="15" t="str">
        <f>HYPERLINK("https://stat100.ameba.jp/tnk47/ratio20/illustrations/card/ill_89381_minaraimajozaui01.jpg?202006-i_prefecture_active_user", "■")</f>
        <v>■</v>
      </c>
      <c r="F416" s="14" t="s">
        <v>12899</v>
      </c>
      <c r="G416" s="14">
        <v>126576</v>
      </c>
      <c r="H416" s="14">
        <v>71226</v>
      </c>
      <c r="I416" s="14">
        <v>27</v>
      </c>
      <c r="J416" s="14" t="s">
        <v>12900</v>
      </c>
      <c r="K416" s="14" t="s">
        <v>12901</v>
      </c>
      <c r="L416" s="14" t="s">
        <v>12904</v>
      </c>
      <c r="M416" s="14" t="s">
        <v>9158</v>
      </c>
      <c r="N416" s="14" t="s">
        <v>9158</v>
      </c>
      <c r="O416" s="14" t="s">
        <v>9158</v>
      </c>
      <c r="P416" s="14" t="s">
        <v>9158</v>
      </c>
      <c r="Q416" s="14" t="s">
        <v>9158</v>
      </c>
    </row>
    <row r="418" spans="1:17">
      <c r="A418" s="14" t="s">
        <v>12906</v>
      </c>
    </row>
    <row r="419" spans="1:17">
      <c r="A419" s="14" t="s">
        <v>12907</v>
      </c>
    </row>
    <row r="420" spans="1:17">
      <c r="A420" s="14" t="s">
        <v>12908</v>
      </c>
      <c r="B420" s="14" t="s">
        <v>330</v>
      </c>
      <c r="C420" s="14" t="s">
        <v>35</v>
      </c>
      <c r="D420" s="19" t="s">
        <v>10318</v>
      </c>
      <c r="E420" s="15" t="str">
        <f>HYPERLINK("https://stat100.ameba.jp/tnk47/ratio20/illustrations/card/ill_82423_0_bikinigarukishi03.jpg?202006-i_prefecture_active_user", "■")</f>
        <v>■</v>
      </c>
      <c r="F420" s="14" t="s">
        <v>5391</v>
      </c>
      <c r="G420" s="14">
        <v>302708</v>
      </c>
      <c r="H420" s="14">
        <v>273591</v>
      </c>
      <c r="I420" s="14">
        <v>25</v>
      </c>
      <c r="J420" s="14" t="s">
        <v>77</v>
      </c>
      <c r="K420" s="14" t="s">
        <v>5392</v>
      </c>
      <c r="L420" s="14" t="s">
        <v>5393</v>
      </c>
      <c r="M420" s="14" t="s">
        <v>9158</v>
      </c>
      <c r="N420" s="14" t="s">
        <v>9158</v>
      </c>
      <c r="O420" s="19" t="s">
        <v>10069</v>
      </c>
      <c r="P420" s="14" t="s">
        <v>5394</v>
      </c>
      <c r="Q420" s="14">
        <v>1</v>
      </c>
    </row>
    <row r="421" spans="1:17">
      <c r="A421" s="14">
        <v>83083</v>
      </c>
      <c r="B421" s="14" t="s">
        <v>0</v>
      </c>
      <c r="C421" s="14" t="s">
        <v>209</v>
      </c>
      <c r="D421" s="19" t="s">
        <v>10469</v>
      </c>
      <c r="E421" s="15" t="str">
        <f>HYPERLINK("https://stat100.ameba.jp/tnk47/ratio20/illustrations/card/ill_83083_burakkukingu03.jpg?202006-i_prefecture_active_user", "■")</f>
        <v>■</v>
      </c>
      <c r="F421" s="14" t="s">
        <v>6093</v>
      </c>
      <c r="G421" s="14">
        <v>115656</v>
      </c>
      <c r="H421" s="14">
        <v>159674</v>
      </c>
      <c r="I421" s="14">
        <v>24</v>
      </c>
      <c r="J421" s="14" t="s">
        <v>194</v>
      </c>
      <c r="K421" s="14" t="s">
        <v>6095</v>
      </c>
      <c r="L421" s="14" t="s">
        <v>1148</v>
      </c>
      <c r="M421" s="14" t="s">
        <v>9158</v>
      </c>
      <c r="N421" s="14" t="s">
        <v>9158</v>
      </c>
      <c r="O421" s="19" t="s">
        <v>10117</v>
      </c>
      <c r="P421" s="14" t="s">
        <v>3625</v>
      </c>
      <c r="Q421" s="14">
        <v>1</v>
      </c>
    </row>
    <row r="422" spans="1:17">
      <c r="A422" s="7">
        <v>85643</v>
      </c>
      <c r="B422" s="7" t="s">
        <v>0</v>
      </c>
      <c r="C422" s="7" t="s">
        <v>154</v>
      </c>
      <c r="D422" s="20" t="s">
        <v>10828</v>
      </c>
      <c r="E422" s="15" t="str">
        <f>HYPERLINK("https://stat100.ameba.jp/tnk47/ratio20/illustrations/card/ill_85643_hosekisho03.jpg?202006-i_prefecture_active_user", "■")</f>
        <v>■</v>
      </c>
      <c r="F422" s="7" t="s">
        <v>8420</v>
      </c>
      <c r="G422" s="7">
        <v>104890</v>
      </c>
      <c r="H422" s="7">
        <v>75984</v>
      </c>
      <c r="I422" s="14">
        <v>24</v>
      </c>
      <c r="J422" s="7" t="s">
        <v>26</v>
      </c>
      <c r="K422" s="7" t="s">
        <v>8418</v>
      </c>
      <c r="L422" s="7" t="s">
        <v>3260</v>
      </c>
      <c r="M422" s="14" t="s">
        <v>9158</v>
      </c>
      <c r="N422" s="14" t="s">
        <v>9158</v>
      </c>
      <c r="O422" s="19" t="s">
        <v>10091</v>
      </c>
      <c r="P422" s="7" t="s">
        <v>3670</v>
      </c>
      <c r="Q422" s="7">
        <v>1</v>
      </c>
    </row>
    <row r="423" spans="1:17">
      <c r="A423" s="14">
        <v>80163</v>
      </c>
      <c r="B423" s="14" t="s">
        <v>334</v>
      </c>
      <c r="C423" s="14" t="s">
        <v>158</v>
      </c>
      <c r="D423" s="20" t="s">
        <v>10391</v>
      </c>
      <c r="E423" s="15" t="str">
        <f>HYPERLINK("https://stat100.ameba.jp/tnk47/ratio20/illustrations/card/ill_80163_kuronosu03.jpg?202006-i_prefecture_active_user", "■")</f>
        <v>■</v>
      </c>
      <c r="F423" s="14" t="s">
        <v>3766</v>
      </c>
      <c r="G423" s="14">
        <v>79348</v>
      </c>
      <c r="H423" s="14">
        <v>109554</v>
      </c>
      <c r="I423" s="14">
        <v>24</v>
      </c>
      <c r="J423" s="14" t="s">
        <v>44</v>
      </c>
      <c r="K423" s="14" t="s">
        <v>3767</v>
      </c>
      <c r="L423" s="14" t="s">
        <v>1209</v>
      </c>
      <c r="M423" s="14" t="s">
        <v>9158</v>
      </c>
      <c r="N423" s="14" t="s">
        <v>9158</v>
      </c>
      <c r="O423" s="19" t="s">
        <v>2752</v>
      </c>
      <c r="P423" s="14" t="s">
        <v>13123</v>
      </c>
      <c r="Q423" s="14">
        <v>1</v>
      </c>
    </row>
    <row r="425" spans="1:17">
      <c r="A425" s="14" t="s">
        <v>12909</v>
      </c>
    </row>
    <row r="426" spans="1:17">
      <c r="A426" s="14" t="s">
        <v>12910</v>
      </c>
    </row>
    <row r="427" spans="1:17">
      <c r="A427" s="9" t="s">
        <v>6030</v>
      </c>
      <c r="B427" s="14" t="s">
        <v>330</v>
      </c>
      <c r="C427" s="14" t="s">
        <v>202</v>
      </c>
      <c r="D427" s="14" t="s">
        <v>3708</v>
      </c>
      <c r="E427" s="15" t="str">
        <f>HYPERLINK("https://stat100.ameba.jp/tnk47/ratio20/illustrations/card/ill_80023_0_hinamatsurikyogokumaria03.jpg?202006-i_prefecture_active_user", "■")</f>
        <v>■</v>
      </c>
      <c r="F427" s="14" t="s">
        <v>3709</v>
      </c>
      <c r="G427" s="14">
        <v>269524</v>
      </c>
      <c r="H427" s="14">
        <v>298240</v>
      </c>
      <c r="I427" s="14">
        <v>20</v>
      </c>
      <c r="J427" s="14" t="s">
        <v>26</v>
      </c>
      <c r="K427" s="14" t="s">
        <v>3710</v>
      </c>
      <c r="L427" s="14" t="s">
        <v>3711</v>
      </c>
      <c r="M427" s="14" t="s">
        <v>9158</v>
      </c>
      <c r="N427" s="14" t="s">
        <v>9158</v>
      </c>
      <c r="O427" s="9" t="s">
        <v>3712</v>
      </c>
      <c r="P427" s="14" t="s">
        <v>3713</v>
      </c>
      <c r="Q427" s="14">
        <v>1</v>
      </c>
    </row>
    <row r="428" spans="1:17">
      <c r="A428" s="14">
        <v>89393</v>
      </c>
      <c r="B428" s="14" t="s">
        <v>0</v>
      </c>
      <c r="C428" s="14" t="s">
        <v>12912</v>
      </c>
      <c r="D428" s="14" t="s">
        <v>12911</v>
      </c>
      <c r="E428" s="15" t="str">
        <f>HYPERLINK("https://stat100.ameba.jp/tnk47/ratio20/illustrations/card/ill_89393_minaraimajoanri03.jpg?202006-i_prefecture_active_user", "■")</f>
        <v>■</v>
      </c>
      <c r="F428" s="14" t="s">
        <v>12913</v>
      </c>
      <c r="G428" s="14">
        <v>73270</v>
      </c>
      <c r="H428" s="14">
        <v>130214</v>
      </c>
      <c r="I428" s="14">
        <v>27</v>
      </c>
      <c r="J428" s="14" t="s">
        <v>12914</v>
      </c>
      <c r="K428" s="14" t="s">
        <v>12915</v>
      </c>
      <c r="L428" s="14" t="s">
        <v>12916</v>
      </c>
      <c r="M428" s="14" t="s">
        <v>9158</v>
      </c>
      <c r="N428" s="14" t="s">
        <v>9158</v>
      </c>
      <c r="O428" s="14" t="s">
        <v>9158</v>
      </c>
      <c r="P428" s="14" t="s">
        <v>9158</v>
      </c>
      <c r="Q428" s="14" t="s">
        <v>9158</v>
      </c>
    </row>
    <row r="429" spans="1:17">
      <c r="A429" s="14">
        <v>89392</v>
      </c>
      <c r="B429" s="14" t="s">
        <v>334</v>
      </c>
      <c r="C429" s="14" t="s">
        <v>12912</v>
      </c>
      <c r="D429" s="14" t="s">
        <v>12911</v>
      </c>
      <c r="E429" s="15" t="str">
        <f>HYPERLINK("https://stat100.ameba.jp/tnk47/ratio20/illustrations/card/ill_89392_minaraimajoanri02.jpg?202006-i_prefecture_active_user", "■")</f>
        <v>■</v>
      </c>
      <c r="F429" s="14" t="s">
        <v>12913</v>
      </c>
      <c r="G429" s="14">
        <v>60982</v>
      </c>
      <c r="H429" s="14">
        <v>108378</v>
      </c>
      <c r="I429" s="14">
        <v>27</v>
      </c>
      <c r="J429" s="14" t="s">
        <v>12914</v>
      </c>
      <c r="K429" s="14" t="s">
        <v>12915</v>
      </c>
      <c r="L429" s="14" t="s">
        <v>12917</v>
      </c>
      <c r="M429" s="14" t="s">
        <v>9158</v>
      </c>
      <c r="N429" s="14" t="s">
        <v>9158</v>
      </c>
      <c r="O429" s="14" t="s">
        <v>9158</v>
      </c>
      <c r="P429" s="14" t="s">
        <v>9158</v>
      </c>
      <c r="Q429" s="14" t="s">
        <v>9158</v>
      </c>
    </row>
    <row r="430" spans="1:17">
      <c r="A430" s="14">
        <v>89391</v>
      </c>
      <c r="B430" s="14" t="s">
        <v>334</v>
      </c>
      <c r="C430" s="14" t="s">
        <v>12912</v>
      </c>
      <c r="D430" s="14" t="s">
        <v>12911</v>
      </c>
      <c r="E430" s="15" t="str">
        <f>HYPERLINK("https://stat100.ameba.jp/tnk47/ratio20/illustrations/card/ill_89391_minaraimajoanri01.jpg?202006-i_prefecture_active_user", "■")</f>
        <v>■</v>
      </c>
      <c r="F430" s="14" t="s">
        <v>12913</v>
      </c>
      <c r="G430" s="14">
        <v>46791</v>
      </c>
      <c r="H430" s="14">
        <v>83160</v>
      </c>
      <c r="I430" s="14">
        <v>27</v>
      </c>
      <c r="J430" s="14" t="s">
        <v>12914</v>
      </c>
      <c r="K430" s="14" t="s">
        <v>12915</v>
      </c>
      <c r="L430" s="14" t="s">
        <v>12918</v>
      </c>
      <c r="M430" s="14" t="s">
        <v>9158</v>
      </c>
      <c r="N430" s="14" t="s">
        <v>9158</v>
      </c>
      <c r="O430" s="14" t="s">
        <v>9158</v>
      </c>
      <c r="P430" s="14" t="s">
        <v>9158</v>
      </c>
      <c r="Q430" s="14" t="s">
        <v>9158</v>
      </c>
    </row>
    <row r="431" spans="1:17">
      <c r="A431" s="14">
        <v>89403</v>
      </c>
      <c r="B431" s="14" t="s">
        <v>0</v>
      </c>
      <c r="C431" s="14" t="s">
        <v>12919</v>
      </c>
      <c r="D431" s="14" t="s">
        <v>12920</v>
      </c>
      <c r="E431" s="15" t="str">
        <f>HYPERLINK("https://stat100.ameba.jp/tnk47/ratio20/illustrations/card/ill_89403_minaraimajomokuren03.jpg?202006-i_prefecture_active_user", "■")</f>
        <v>■</v>
      </c>
      <c r="F431" s="14" t="s">
        <v>12921</v>
      </c>
      <c r="G431" s="14">
        <v>88593</v>
      </c>
      <c r="H431" s="14">
        <v>157484</v>
      </c>
      <c r="I431" s="14">
        <v>27</v>
      </c>
      <c r="J431" s="14" t="s">
        <v>12922</v>
      </c>
      <c r="K431" s="14" t="s">
        <v>12923</v>
      </c>
      <c r="L431" s="14" t="s">
        <v>12924</v>
      </c>
      <c r="M431" s="14" t="s">
        <v>9158</v>
      </c>
      <c r="N431" s="14" t="s">
        <v>9158</v>
      </c>
      <c r="O431" s="14" t="s">
        <v>9158</v>
      </c>
      <c r="P431" s="14" t="s">
        <v>9158</v>
      </c>
      <c r="Q431" s="14" t="s">
        <v>9158</v>
      </c>
    </row>
    <row r="432" spans="1:17">
      <c r="A432" s="14">
        <v>89402</v>
      </c>
      <c r="B432" s="14" t="s">
        <v>334</v>
      </c>
      <c r="C432" s="14" t="s">
        <v>12919</v>
      </c>
      <c r="D432" s="14" t="s">
        <v>12920</v>
      </c>
      <c r="E432" s="15" t="str">
        <f>HYPERLINK("https://stat100.ameba.jp/tnk47/ratio20/illustrations/card/ill_89402_minaraimajomokuren02.jpg?202006-i_prefecture_active_user", "■")</f>
        <v>■</v>
      </c>
      <c r="F432" s="14" t="s">
        <v>12921</v>
      </c>
      <c r="G432" s="14">
        <v>73742</v>
      </c>
      <c r="H432" s="14">
        <v>131051</v>
      </c>
      <c r="I432" s="14">
        <v>27</v>
      </c>
      <c r="J432" s="14" t="s">
        <v>12922</v>
      </c>
      <c r="K432" s="14" t="s">
        <v>12923</v>
      </c>
      <c r="L432" s="14" t="s">
        <v>12925</v>
      </c>
      <c r="M432" s="14" t="s">
        <v>9158</v>
      </c>
      <c r="N432" s="14" t="s">
        <v>9158</v>
      </c>
      <c r="O432" s="14" t="s">
        <v>9158</v>
      </c>
      <c r="P432" s="14" t="s">
        <v>9158</v>
      </c>
      <c r="Q432" s="14" t="s">
        <v>9158</v>
      </c>
    </row>
    <row r="433" spans="1:17">
      <c r="A433" s="14">
        <v>89401</v>
      </c>
      <c r="B433" s="14" t="s">
        <v>334</v>
      </c>
      <c r="C433" s="14" t="s">
        <v>12919</v>
      </c>
      <c r="D433" s="14" t="s">
        <v>12920</v>
      </c>
      <c r="E433" s="15" t="str">
        <f>HYPERLINK("https://stat100.ameba.jp/tnk47/ratio20/illustrations/card/ill_89401_minaraimajomokuren01.jpg?202006-i_prefecture_active_user", "■")</f>
        <v>■</v>
      </c>
      <c r="F433" s="14" t="s">
        <v>12921</v>
      </c>
      <c r="G433" s="14">
        <v>56592</v>
      </c>
      <c r="H433" s="14">
        <v>100548</v>
      </c>
      <c r="I433" s="14">
        <v>27</v>
      </c>
      <c r="J433" s="14" t="s">
        <v>12922</v>
      </c>
      <c r="K433" s="14" t="s">
        <v>12923</v>
      </c>
      <c r="L433" s="14" t="s">
        <v>12926</v>
      </c>
      <c r="M433" s="14" t="s">
        <v>9158</v>
      </c>
      <c r="N433" s="14" t="s">
        <v>9158</v>
      </c>
      <c r="O433" s="14" t="s">
        <v>9158</v>
      </c>
      <c r="P433" s="14" t="s">
        <v>9158</v>
      </c>
      <c r="Q433" s="14" t="s">
        <v>9158</v>
      </c>
    </row>
    <row r="435" spans="1:17">
      <c r="A435" s="14" t="s">
        <v>12935</v>
      </c>
    </row>
    <row r="436" spans="1:17">
      <c r="A436" s="14" t="s">
        <v>12936</v>
      </c>
    </row>
    <row r="437" spans="1:17">
      <c r="A437" s="14" t="s">
        <v>12937</v>
      </c>
    </row>
    <row r="438" spans="1:17">
      <c r="A438" s="14" t="s">
        <v>12945</v>
      </c>
      <c r="B438" s="14" t="s">
        <v>12939</v>
      </c>
      <c r="C438" s="14" t="s">
        <v>12940</v>
      </c>
      <c r="D438" s="14" t="s">
        <v>12938</v>
      </c>
      <c r="E438" s="15" t="str">
        <f>HYPERLINK("https://stat100.ameba.jp/tnk47/ratio20/illustrations/card/ill_89523_0_tenkurondokai03.jpg?202006-i_prefecture_active_user", "■")</f>
        <v>■</v>
      </c>
      <c r="F438" s="14" t="s">
        <v>12941</v>
      </c>
      <c r="G438" s="14">
        <v>463507</v>
      </c>
      <c r="H438" s="14">
        <v>418941</v>
      </c>
      <c r="I438" s="14">
        <v>35</v>
      </c>
      <c r="J438" s="14" t="s">
        <v>12942</v>
      </c>
      <c r="K438" s="14" t="s">
        <v>12943</v>
      </c>
      <c r="L438" s="14" t="s">
        <v>12944</v>
      </c>
      <c r="M438" s="14" t="s">
        <v>9158</v>
      </c>
      <c r="N438" s="14" t="s">
        <v>9158</v>
      </c>
      <c r="O438" s="14" t="s">
        <v>9158</v>
      </c>
      <c r="P438" s="14" t="s">
        <v>9158</v>
      </c>
      <c r="Q438" s="14" t="s">
        <v>9158</v>
      </c>
    </row>
    <row r="439" spans="1:17">
      <c r="A439" s="9" t="s">
        <v>9769</v>
      </c>
      <c r="B439" s="9" t="s">
        <v>117</v>
      </c>
      <c r="C439" s="9" t="s">
        <v>202</v>
      </c>
      <c r="D439" s="19" t="s">
        <v>10993</v>
      </c>
      <c r="E439" s="15" t="str">
        <f>HYPERLINK("https://stat100.ameba.jp/tnk47/ratio20/illustrations/card/ill_88093_0_tenkurorisshunka03.jpg?202006-i_prefecture_active_user", "■")</f>
        <v>■</v>
      </c>
      <c r="F439" s="9" t="s">
        <v>9775</v>
      </c>
      <c r="G439" s="9">
        <v>406728</v>
      </c>
      <c r="H439" s="9">
        <v>450016</v>
      </c>
      <c r="I439" s="9">
        <v>35</v>
      </c>
      <c r="J439" s="9" t="s">
        <v>169</v>
      </c>
      <c r="K439" s="9" t="s">
        <v>9773</v>
      </c>
      <c r="L439" s="9" t="s">
        <v>9772</v>
      </c>
      <c r="M439" s="14" t="s">
        <v>9158</v>
      </c>
      <c r="N439" s="14" t="s">
        <v>9158</v>
      </c>
      <c r="O439" s="14" t="s">
        <v>9158</v>
      </c>
      <c r="P439" s="14" t="s">
        <v>9158</v>
      </c>
      <c r="Q439" s="14" t="s">
        <v>9158</v>
      </c>
    </row>
    <row r="440" spans="1:17">
      <c r="A440" s="9" t="s">
        <v>11934</v>
      </c>
      <c r="B440" s="9" t="s">
        <v>117</v>
      </c>
      <c r="C440" s="9" t="s">
        <v>35</v>
      </c>
      <c r="D440" s="21" t="s">
        <v>11928</v>
      </c>
      <c r="E440" s="15" t="str">
        <f>HYPERLINK("https://stat100.ameba.jp/tnk47/ratio20/illustrations/card/ill_88143_0_tenkurodentokogei03.jpg?202006-i_prefecture_active_user", "■")</f>
        <v>■</v>
      </c>
      <c r="F440" s="9" t="s">
        <v>11929</v>
      </c>
      <c r="G440" s="9">
        <v>460942</v>
      </c>
      <c r="H440" s="9">
        <v>416548</v>
      </c>
      <c r="I440" s="9">
        <v>35</v>
      </c>
      <c r="J440" s="9" t="s">
        <v>26</v>
      </c>
      <c r="K440" s="14" t="s">
        <v>11931</v>
      </c>
      <c r="L440" s="14" t="s">
        <v>13250</v>
      </c>
      <c r="M440" s="14" t="s">
        <v>9158</v>
      </c>
      <c r="N440" s="14" t="s">
        <v>9158</v>
      </c>
      <c r="O440" s="14" t="s">
        <v>9158</v>
      </c>
      <c r="P440" s="14" t="s">
        <v>9158</v>
      </c>
      <c r="Q440" s="14" t="s">
        <v>9158</v>
      </c>
    </row>
    <row r="441" spans="1:17">
      <c r="A441" s="14" t="s">
        <v>12372</v>
      </c>
      <c r="B441" s="14" t="s">
        <v>117</v>
      </c>
      <c r="C441" s="14" t="s">
        <v>35</v>
      </c>
      <c r="D441" s="14" t="s">
        <v>12369</v>
      </c>
      <c r="E441" s="15" t="str">
        <f>HYPERLINK("https://stat100.ameba.jp/tnk47/ratio20/illustrations/card/ill_89543_0_tenkurokambammusume03.jpg?202006-i_prefecture_active_user", "■")</f>
        <v>■</v>
      </c>
      <c r="F441" s="14" t="s">
        <v>12374</v>
      </c>
      <c r="G441" s="14">
        <v>416548</v>
      </c>
      <c r="H441" s="14">
        <v>460942</v>
      </c>
      <c r="I441" s="14">
        <v>35</v>
      </c>
      <c r="J441" s="14" t="s">
        <v>44</v>
      </c>
      <c r="K441" s="14" t="s">
        <v>12375</v>
      </c>
      <c r="L441" s="14" t="s">
        <v>12376</v>
      </c>
      <c r="M441" s="14" t="s">
        <v>9158</v>
      </c>
      <c r="N441" s="14" t="s">
        <v>9158</v>
      </c>
      <c r="O441" s="14" t="s">
        <v>9158</v>
      </c>
      <c r="P441" s="14" t="s">
        <v>9158</v>
      </c>
      <c r="Q441" s="14" t="s">
        <v>9158</v>
      </c>
    </row>
    <row r="442" spans="1:17">
      <c r="A442" s="14" t="s">
        <v>5620</v>
      </c>
      <c r="B442" s="14" t="s">
        <v>330</v>
      </c>
      <c r="C442" s="14" t="s">
        <v>206</v>
      </c>
      <c r="D442" s="20" t="s">
        <v>669</v>
      </c>
      <c r="E442" s="15" t="str">
        <f>HYPERLINK("https://stat100.ameba.jp/tnk47/ratio20/illustrations/card/ill_67173_0_yukemuriawamorichan03.jpg?202006-i_prefecture_active_user", "■")</f>
        <v>■</v>
      </c>
      <c r="F442" s="14" t="s">
        <v>670</v>
      </c>
      <c r="G442" s="14">
        <v>169032</v>
      </c>
      <c r="H442" s="14">
        <v>157150</v>
      </c>
      <c r="I442" s="14">
        <v>22</v>
      </c>
      <c r="J442" s="14" t="s">
        <v>283</v>
      </c>
      <c r="K442" s="14" t="s">
        <v>671</v>
      </c>
      <c r="L442" s="14" t="s">
        <v>672</v>
      </c>
      <c r="M442" s="14" t="s">
        <v>9158</v>
      </c>
      <c r="N442" s="14" t="s">
        <v>9158</v>
      </c>
      <c r="O442" s="19" t="s">
        <v>10087</v>
      </c>
      <c r="P442" s="14" t="s">
        <v>3455</v>
      </c>
      <c r="Q442" s="14">
        <v>1</v>
      </c>
    </row>
    <row r="443" spans="1:17">
      <c r="A443" s="9">
        <v>80093</v>
      </c>
      <c r="B443" s="9" t="s">
        <v>0</v>
      </c>
      <c r="C443" s="9" t="s">
        <v>185</v>
      </c>
      <c r="D443" s="19" t="s">
        <v>10735</v>
      </c>
      <c r="E443" s="15" t="str">
        <f>HYPERLINK("https://stat100.ameba.jp/tnk47/ratio20/illustrations/card/ill_80093_kafunshuraijakotsumusume03.jpg?202006-i_prefecture_active_user", "■")</f>
        <v>■</v>
      </c>
      <c r="F443" s="9" t="s">
        <v>3772</v>
      </c>
      <c r="G443" s="9">
        <v>100744</v>
      </c>
      <c r="H443" s="9">
        <v>108330</v>
      </c>
      <c r="I443" s="9">
        <v>26</v>
      </c>
      <c r="J443" s="9" t="s">
        <v>182</v>
      </c>
      <c r="K443" s="9" t="s">
        <v>3773</v>
      </c>
      <c r="L443" s="9" t="s">
        <v>2007</v>
      </c>
      <c r="M443" s="14" t="s">
        <v>9158</v>
      </c>
      <c r="N443" s="14" t="s">
        <v>9158</v>
      </c>
      <c r="O443" s="14" t="s">
        <v>9158</v>
      </c>
      <c r="P443" s="14" t="s">
        <v>9158</v>
      </c>
      <c r="Q443" s="14" t="s">
        <v>9158</v>
      </c>
    </row>
    <row r="444" spans="1:17">
      <c r="A444" s="9">
        <v>52843</v>
      </c>
      <c r="B444" s="14" t="s">
        <v>334</v>
      </c>
      <c r="C444" s="14" t="s">
        <v>200</v>
      </c>
      <c r="D444" s="20" t="s">
        <v>10933</v>
      </c>
      <c r="E444" s="15" t="str">
        <f>HYPERLINK("https://stat100.ameba.jp/tnk47/ratio20/illustrations/card/ill_52843_andoroidofumakotaro03.jpg?202006-i_prefecture_active_user", "■")</f>
        <v>■</v>
      </c>
      <c r="F444" s="9" t="s">
        <v>9190</v>
      </c>
      <c r="G444" s="9">
        <v>93172</v>
      </c>
      <c r="H444" s="9">
        <v>100214</v>
      </c>
      <c r="I444" s="9">
        <v>26</v>
      </c>
      <c r="J444" s="9" t="s">
        <v>159</v>
      </c>
      <c r="K444" s="9" t="s">
        <v>9180</v>
      </c>
      <c r="L444" s="9" t="s">
        <v>3623</v>
      </c>
      <c r="M444" s="14" t="s">
        <v>9158</v>
      </c>
      <c r="N444" s="14" t="s">
        <v>9158</v>
      </c>
      <c r="O444" s="14" t="s">
        <v>9158</v>
      </c>
      <c r="P444" s="14" t="s">
        <v>9158</v>
      </c>
      <c r="Q444" s="14" t="s">
        <v>9158</v>
      </c>
    </row>
    <row r="445" spans="1:17">
      <c r="A445" s="14">
        <v>77533</v>
      </c>
      <c r="B445" s="14" t="s">
        <v>0</v>
      </c>
      <c r="C445" s="14" t="s">
        <v>191</v>
      </c>
      <c r="D445" s="19" t="s">
        <v>10674</v>
      </c>
      <c r="E445" s="15" t="str">
        <f>HYPERLINK("https://stat100.ameba.jp/tnk47/ratio20/illustrations/card/ill_77533_miyakonotawasuzuhikohime03.jpg?202006-i_prefecture_active_user", "■")</f>
        <v>■</v>
      </c>
      <c r="F445" s="14" t="s">
        <v>2005</v>
      </c>
      <c r="G445" s="14">
        <v>100744</v>
      </c>
      <c r="H445" s="14">
        <v>108330</v>
      </c>
      <c r="I445" s="9">
        <v>26</v>
      </c>
      <c r="J445" s="14" t="s">
        <v>73</v>
      </c>
      <c r="K445" s="14" t="s">
        <v>2006</v>
      </c>
      <c r="L445" s="14" t="s">
        <v>2007</v>
      </c>
      <c r="M445" s="14" t="s">
        <v>9158</v>
      </c>
      <c r="N445" s="14" t="s">
        <v>9158</v>
      </c>
      <c r="O445" s="14" t="s">
        <v>9158</v>
      </c>
      <c r="P445" s="14" t="s">
        <v>9158</v>
      </c>
      <c r="Q445" s="14" t="s">
        <v>9158</v>
      </c>
    </row>
    <row r="446" spans="1:17">
      <c r="A446" s="14">
        <v>80823</v>
      </c>
      <c r="B446" s="14" t="s">
        <v>334</v>
      </c>
      <c r="C446" s="14" t="s">
        <v>96</v>
      </c>
      <c r="D446" s="19" t="s">
        <v>10541</v>
      </c>
      <c r="E446" s="15" t="str">
        <f>HYPERLINK("https://stat100.ameba.jp/tnk47/ratio20/illustrations/card/ill_80823_utatanekitanokata03.jpg?202006-i_prefecture_active_user", "■")</f>
        <v>■</v>
      </c>
      <c r="F446" s="14" t="s">
        <v>4268</v>
      </c>
      <c r="G446" s="14">
        <v>143714</v>
      </c>
      <c r="H446" s="14">
        <v>154562</v>
      </c>
      <c r="I446" s="14">
        <v>26</v>
      </c>
      <c r="J446" s="14" t="s">
        <v>143</v>
      </c>
      <c r="K446" s="14" t="s">
        <v>4269</v>
      </c>
      <c r="L446" s="14" t="s">
        <v>1148</v>
      </c>
      <c r="M446" s="14" t="s">
        <v>9158</v>
      </c>
      <c r="N446" s="14" t="s">
        <v>9158</v>
      </c>
      <c r="O446" s="14" t="s">
        <v>9158</v>
      </c>
      <c r="P446" s="14" t="s">
        <v>9158</v>
      </c>
      <c r="Q446" s="14" t="s">
        <v>9158</v>
      </c>
    </row>
    <row r="447" spans="1:17">
      <c r="A447" s="7">
        <v>85183</v>
      </c>
      <c r="B447" s="7" t="s">
        <v>0</v>
      </c>
      <c r="C447" s="7" t="s">
        <v>205</v>
      </c>
      <c r="D447" s="19" t="s">
        <v>10773</v>
      </c>
      <c r="E447" s="15" t="str">
        <f>HYPERLINK("https://stat100.ameba.jp/tnk47/ratio20/illustrations/card/ill_85183_meikokoizumiyakumo03.jpg?202006-i_prefecture_active_user", "■")</f>
        <v>■</v>
      </c>
      <c r="F447" s="7" t="s">
        <v>8025</v>
      </c>
      <c r="G447" s="7">
        <v>98066</v>
      </c>
      <c r="H447" s="7">
        <v>105426</v>
      </c>
      <c r="I447" s="14">
        <v>26</v>
      </c>
      <c r="J447" s="7" t="s">
        <v>159</v>
      </c>
      <c r="K447" s="7" t="s">
        <v>1993</v>
      </c>
      <c r="L447" s="7" t="s">
        <v>7332</v>
      </c>
      <c r="M447" s="14" t="s">
        <v>9158</v>
      </c>
      <c r="N447" s="14" t="s">
        <v>9158</v>
      </c>
      <c r="O447" s="14" t="s">
        <v>9158</v>
      </c>
      <c r="P447" s="14" t="s">
        <v>9158</v>
      </c>
      <c r="Q447" s="14" t="s">
        <v>9158</v>
      </c>
    </row>
    <row r="448" spans="1:17">
      <c r="A448" s="14">
        <v>80673</v>
      </c>
      <c r="B448" s="14" t="s">
        <v>0</v>
      </c>
      <c r="C448" s="14" t="s">
        <v>107</v>
      </c>
      <c r="D448" s="19" t="s">
        <v>10540</v>
      </c>
      <c r="E448" s="15" t="str">
        <f>HYPERLINK("https://stat100.ameba.jp/tnk47/ratio20/illustrations/card/ill_80673_banchoshishirianraisu03.jpg?202006-i_prefecture_active_user", "■")</f>
        <v>■</v>
      </c>
      <c r="F448" s="14" t="s">
        <v>4220</v>
      </c>
      <c r="G448" s="14">
        <v>143714</v>
      </c>
      <c r="H448" s="14">
        <v>154562</v>
      </c>
      <c r="I448" s="14">
        <v>26</v>
      </c>
      <c r="J448" s="14" t="s">
        <v>104</v>
      </c>
      <c r="K448" s="14" t="s">
        <v>4221</v>
      </c>
      <c r="L448" s="14" t="s">
        <v>2304</v>
      </c>
      <c r="M448" s="14" t="s">
        <v>9158</v>
      </c>
      <c r="N448" s="14" t="s">
        <v>9158</v>
      </c>
      <c r="O448" s="14" t="s">
        <v>9158</v>
      </c>
      <c r="P448" s="14" t="s">
        <v>9158</v>
      </c>
      <c r="Q448" s="14" t="s">
        <v>9158</v>
      </c>
    </row>
    <row r="450" spans="1:17">
      <c r="A450" s="14" t="s">
        <v>12946</v>
      </c>
    </row>
    <row r="451" spans="1:17">
      <c r="A451" s="14" t="s">
        <v>12947</v>
      </c>
    </row>
    <row r="452" spans="1:17">
      <c r="A452" s="14" t="s">
        <v>5615</v>
      </c>
      <c r="B452" s="14" t="s">
        <v>330</v>
      </c>
      <c r="C452" s="14" t="s">
        <v>206</v>
      </c>
      <c r="D452" s="20" t="s">
        <v>2814</v>
      </c>
      <c r="E452" s="15" t="str">
        <f>HYPERLINK("https://stat100.ameba.jp/tnk47/ratio20/illustrations/card/ill_57733_0_shogatsunisenjunanaamakusashiro03.jpg?202006-i_prefecture_active_user", "■")</f>
        <v>■</v>
      </c>
      <c r="F452" s="14" t="s">
        <v>2815</v>
      </c>
      <c r="G452" s="14">
        <v>133938</v>
      </c>
      <c r="H452" s="14">
        <v>150776</v>
      </c>
      <c r="I452" s="14">
        <v>24</v>
      </c>
      <c r="J452" s="14" t="s">
        <v>351</v>
      </c>
      <c r="K452" s="14" t="s">
        <v>2816</v>
      </c>
      <c r="L452" s="14" t="s">
        <v>2817</v>
      </c>
      <c r="M452" s="14" t="s">
        <v>9158</v>
      </c>
      <c r="N452" s="14" t="s">
        <v>9158</v>
      </c>
      <c r="O452" s="19" t="s">
        <v>10077</v>
      </c>
      <c r="P452" s="14" t="s">
        <v>3062</v>
      </c>
      <c r="Q452" s="14">
        <v>1</v>
      </c>
    </row>
    <row r="453" spans="1:17">
      <c r="A453" s="14" t="s">
        <v>5603</v>
      </c>
      <c r="B453" s="14" t="s">
        <v>330</v>
      </c>
      <c r="C453" s="14" t="s">
        <v>205</v>
      </c>
      <c r="D453" s="20" t="s">
        <v>611</v>
      </c>
      <c r="E453" s="15" t="str">
        <f>HYPERLINK("https://stat100.ameba.jp/tnk47/ratio20/illustrations/card/ill_61893_0_onikirishumiyamotomusashi03.jpg?202006-i_prefecture_active_user", "■")</f>
        <v>■</v>
      </c>
      <c r="F453" s="14" t="s">
        <v>612</v>
      </c>
      <c r="G453" s="14">
        <v>224026</v>
      </c>
      <c r="H453" s="14">
        <v>208310</v>
      </c>
      <c r="I453" s="14">
        <v>24</v>
      </c>
      <c r="J453" s="14" t="s">
        <v>310</v>
      </c>
      <c r="K453" s="14" t="s">
        <v>613</v>
      </c>
      <c r="L453" s="14" t="s">
        <v>312</v>
      </c>
      <c r="M453" s="14" t="s">
        <v>9158</v>
      </c>
      <c r="N453" s="14" t="s">
        <v>9158</v>
      </c>
      <c r="O453" s="19" t="s">
        <v>10071</v>
      </c>
      <c r="P453" s="14" t="s">
        <v>3253</v>
      </c>
      <c r="Q453" s="14">
        <v>1</v>
      </c>
    </row>
    <row r="454" spans="1:17">
      <c r="A454" s="14" t="s">
        <v>5625</v>
      </c>
      <c r="B454" s="14" t="s">
        <v>330</v>
      </c>
      <c r="C454" s="14" t="s">
        <v>200</v>
      </c>
      <c r="D454" s="19" t="s">
        <v>630</v>
      </c>
      <c r="E454" s="15" t="str">
        <f>HYPERLINK("https://stat100.ameba.jp/tnk47/ratio20/illustrations/card/ill_48283_0_kyuubitamamonomae03.jpg?202006-i_prefecture_active_user", "■")</f>
        <v>■</v>
      </c>
      <c r="F454" s="14" t="s">
        <v>631</v>
      </c>
      <c r="G454" s="14">
        <v>150776</v>
      </c>
      <c r="H454" s="14">
        <v>133938</v>
      </c>
      <c r="I454" s="14">
        <v>24</v>
      </c>
      <c r="J454" s="14" t="s">
        <v>320</v>
      </c>
      <c r="K454" s="14" t="s">
        <v>632</v>
      </c>
      <c r="L454" s="14" t="s">
        <v>633</v>
      </c>
      <c r="M454" s="14" t="s">
        <v>9158</v>
      </c>
      <c r="N454" s="14" t="s">
        <v>9158</v>
      </c>
      <c r="O454" s="14" t="s">
        <v>9158</v>
      </c>
      <c r="P454" s="14" t="s">
        <v>9158</v>
      </c>
      <c r="Q454" s="14" t="s">
        <v>9158</v>
      </c>
    </row>
    <row r="455" spans="1:17">
      <c r="A455" s="14">
        <v>59613</v>
      </c>
      <c r="B455" s="14" t="s">
        <v>0</v>
      </c>
      <c r="C455" s="14" t="s">
        <v>185</v>
      </c>
      <c r="D455" s="20" t="s">
        <v>10267</v>
      </c>
      <c r="E455" s="15" t="str">
        <f>HYPERLINK("https://stat100.ameba.jp/tnk47/ratio20/illustrations/card/ill_59613_oheyadaria03.jpg?202006-i_prefecture_active_user", "■")</f>
        <v>■</v>
      </c>
      <c r="F455" s="14" t="s">
        <v>2293</v>
      </c>
      <c r="G455" s="14">
        <v>110518</v>
      </c>
      <c r="H455" s="14">
        <v>102740</v>
      </c>
      <c r="I455" s="14">
        <v>26</v>
      </c>
      <c r="J455" s="14" t="s">
        <v>26</v>
      </c>
      <c r="K455" s="14" t="s">
        <v>2294</v>
      </c>
      <c r="L455" s="14" t="s">
        <v>2295</v>
      </c>
      <c r="M455" s="14" t="s">
        <v>9158</v>
      </c>
      <c r="N455" s="14" t="s">
        <v>9158</v>
      </c>
      <c r="O455" s="19" t="s">
        <v>10111</v>
      </c>
      <c r="P455" s="14" t="s">
        <v>3610</v>
      </c>
      <c r="Q455" s="14">
        <v>1</v>
      </c>
    </row>
    <row r="456" spans="1:17">
      <c r="A456" s="9">
        <v>60993</v>
      </c>
      <c r="B456" s="14" t="s">
        <v>15</v>
      </c>
      <c r="C456" s="14" t="s">
        <v>191</v>
      </c>
      <c r="D456" s="14" t="s">
        <v>978</v>
      </c>
      <c r="E456" s="15" t="str">
        <f>HYPERLINK("https://stat100.ameba.jp/tnk47/ratio20/illustrations/card/ill_60993_majutsushijukeini03.jpg?202006-i_prefecture_active_user", "■")</f>
        <v>■</v>
      </c>
      <c r="F456" s="14" t="s">
        <v>979</v>
      </c>
      <c r="G456" s="14">
        <v>69898</v>
      </c>
      <c r="H456" s="14">
        <v>77064</v>
      </c>
      <c r="I456" s="14">
        <v>26</v>
      </c>
      <c r="J456" s="14" t="s">
        <v>16</v>
      </c>
      <c r="K456" s="14" t="s">
        <v>980</v>
      </c>
      <c r="L456" s="14" t="s">
        <v>981</v>
      </c>
      <c r="M456" s="14" t="s">
        <v>9158</v>
      </c>
      <c r="N456" s="14" t="s">
        <v>9158</v>
      </c>
      <c r="O456" s="14" t="s">
        <v>9158</v>
      </c>
      <c r="P456" s="14" t="s">
        <v>9158</v>
      </c>
      <c r="Q456" s="14" t="s">
        <v>9158</v>
      </c>
    </row>
    <row r="457" spans="1:17">
      <c r="A457" s="14">
        <v>52983</v>
      </c>
      <c r="B457" s="14" t="s">
        <v>12950</v>
      </c>
      <c r="C457" s="14" t="s">
        <v>12949</v>
      </c>
      <c r="D457" s="14" t="s">
        <v>12948</v>
      </c>
      <c r="E457" s="15" t="str">
        <f>HYPERLINK("https://stat100.ameba.jp/tnk47/ratio20/illustrations/card/ill_52983_toramputoyotomihideyori03.jpg?202006-i_prefecture_active_user", "■")</f>
        <v>■</v>
      </c>
      <c r="F457" s="14" t="s">
        <v>12951</v>
      </c>
      <c r="G457" s="14">
        <v>44948</v>
      </c>
      <c r="H457" s="14">
        <v>54058</v>
      </c>
      <c r="I457" s="14">
        <v>26</v>
      </c>
      <c r="J457" s="14" t="s">
        <v>12952</v>
      </c>
      <c r="K457" s="14" t="s">
        <v>12953</v>
      </c>
      <c r="L457" s="14" t="s">
        <v>12954</v>
      </c>
      <c r="M457" s="14" t="s">
        <v>9158</v>
      </c>
      <c r="N457" s="14" t="s">
        <v>9158</v>
      </c>
      <c r="O457" s="14" t="s">
        <v>9158</v>
      </c>
      <c r="P457" s="14" t="s">
        <v>9158</v>
      </c>
      <c r="Q457" s="14" t="s">
        <v>9158</v>
      </c>
    </row>
    <row r="458" spans="1:17">
      <c r="A458" s="14">
        <v>67273</v>
      </c>
      <c r="B458" s="14" t="s">
        <v>12957</v>
      </c>
      <c r="C458" s="14" t="s">
        <v>12956</v>
      </c>
      <c r="D458" s="14" t="s">
        <v>12955</v>
      </c>
      <c r="E458" s="15" t="str">
        <f>HYPERLINK("https://stat100.ameba.jp/tnk47/ratio20/illustrations/card/ill_67273_ikahonsenchan03.jpg?202006-i_prefecture_active_user", "■")</f>
        <v>■</v>
      </c>
      <c r="F458" s="14" t="s">
        <v>12958</v>
      </c>
      <c r="G458" s="14">
        <v>32728</v>
      </c>
      <c r="H458" s="14">
        <v>27486</v>
      </c>
      <c r="I458" s="14">
        <v>26</v>
      </c>
      <c r="J458" s="14" t="s">
        <v>12959</v>
      </c>
      <c r="K458" s="14" t="s">
        <v>12960</v>
      </c>
      <c r="L458" s="14" t="s">
        <v>12961</v>
      </c>
      <c r="M458" s="14" t="s">
        <v>9158</v>
      </c>
      <c r="N458" s="14" t="s">
        <v>9158</v>
      </c>
      <c r="O458" s="14" t="s">
        <v>9158</v>
      </c>
      <c r="P458" s="14" t="s">
        <v>9158</v>
      </c>
      <c r="Q458" s="14" t="s">
        <v>9158</v>
      </c>
    </row>
    <row r="460" spans="1:17">
      <c r="A460" s="14" t="s">
        <v>12966</v>
      </c>
    </row>
    <row r="461" spans="1:17">
      <c r="A461" s="14" t="s">
        <v>12967</v>
      </c>
    </row>
    <row r="462" spans="1:17">
      <c r="A462" s="7" t="s">
        <v>8100</v>
      </c>
      <c r="B462" s="7" t="s">
        <v>117</v>
      </c>
      <c r="C462" s="7" t="s">
        <v>202</v>
      </c>
      <c r="D462" s="19" t="s">
        <v>10784</v>
      </c>
      <c r="E462" s="15" t="str">
        <f>HYPERLINK("https://stat100.ameba.jp/tnk47/ratio20/illustrations/card/ill_86013_0_somemonosansaishiki03.jpg?202006-i_prefecture_active_user", "■")</f>
        <v>■</v>
      </c>
      <c r="F462" s="7" t="s">
        <v>8103</v>
      </c>
      <c r="G462" s="7">
        <v>349420</v>
      </c>
      <c r="H462" s="7">
        <v>315800</v>
      </c>
      <c r="I462" s="7">
        <v>30</v>
      </c>
      <c r="J462" s="7" t="s">
        <v>187</v>
      </c>
      <c r="K462" s="7" t="s">
        <v>8102</v>
      </c>
      <c r="L462" s="7" t="s">
        <v>8101</v>
      </c>
      <c r="M462" s="14" t="s">
        <v>9158</v>
      </c>
      <c r="N462" s="14" t="s">
        <v>9158</v>
      </c>
      <c r="O462" s="19" t="s">
        <v>10132</v>
      </c>
      <c r="P462" s="14" t="s">
        <v>3277</v>
      </c>
      <c r="Q462" s="14">
        <v>1</v>
      </c>
    </row>
    <row r="463" spans="1:17">
      <c r="A463" s="14">
        <v>71333</v>
      </c>
      <c r="B463" s="14" t="s">
        <v>0</v>
      </c>
      <c r="C463" s="14" t="s">
        <v>41</v>
      </c>
      <c r="D463" s="19" t="s">
        <v>10256</v>
      </c>
      <c r="E463" s="15" t="str">
        <f>HYPERLINK("https://stat100.ameba.jp/tnk47/ratio20/illustrations/card/ill_71333_fujiwaranokamatari03.jpg?202006-i_prefecture_active_user", "■")</f>
        <v>■</v>
      </c>
      <c r="F463" s="14" t="s">
        <v>58</v>
      </c>
      <c r="G463" s="14">
        <v>113630</v>
      </c>
      <c r="H463" s="14">
        <v>82318</v>
      </c>
      <c r="I463" s="14">
        <v>26</v>
      </c>
      <c r="J463" s="14" t="s">
        <v>10</v>
      </c>
      <c r="K463" s="14" t="s">
        <v>59</v>
      </c>
      <c r="L463" s="14" t="s">
        <v>60</v>
      </c>
      <c r="M463" s="14" t="s">
        <v>9158</v>
      </c>
      <c r="N463" s="14" t="s">
        <v>9158</v>
      </c>
      <c r="O463" s="19" t="s">
        <v>10098</v>
      </c>
      <c r="P463" s="14" t="s">
        <v>3491</v>
      </c>
      <c r="Q463" s="14">
        <v>1</v>
      </c>
    </row>
    <row r="464" spans="1:17">
      <c r="A464" s="14">
        <v>84323</v>
      </c>
      <c r="B464" s="14" t="s">
        <v>0</v>
      </c>
      <c r="C464" s="14" t="s">
        <v>158</v>
      </c>
      <c r="D464" s="19" t="s">
        <v>10669</v>
      </c>
      <c r="E464" s="15" t="str">
        <f>HYPERLINK("https://stat100.ameba.jp/tnk47/ratio20/illustrations/card/ill_84323_kagizumebyakko03.jpg?202006-i_prefecture_active_user", "■")</f>
        <v>■</v>
      </c>
      <c r="F464" s="14" t="s">
        <v>7284</v>
      </c>
      <c r="G464" s="14">
        <v>132562</v>
      </c>
      <c r="H464" s="14">
        <v>96010</v>
      </c>
      <c r="I464" s="14">
        <v>26</v>
      </c>
      <c r="J464" s="14" t="s">
        <v>155</v>
      </c>
      <c r="K464" s="14" t="s">
        <v>7283</v>
      </c>
      <c r="L464" s="14" t="s">
        <v>7282</v>
      </c>
      <c r="M464" s="14" t="s">
        <v>9158</v>
      </c>
      <c r="N464" s="14" t="s">
        <v>9158</v>
      </c>
      <c r="O464" s="19" t="s">
        <v>10109</v>
      </c>
      <c r="P464" s="14" t="s">
        <v>3625</v>
      </c>
      <c r="Q464" s="14">
        <v>1</v>
      </c>
    </row>
    <row r="465" spans="1:17">
      <c r="A465" s="14">
        <v>62043</v>
      </c>
      <c r="B465" s="14" t="s">
        <v>0</v>
      </c>
      <c r="C465" s="14" t="s">
        <v>158</v>
      </c>
      <c r="D465" s="20" t="s">
        <v>10233</v>
      </c>
      <c r="E465" s="15" t="str">
        <f>HYPERLINK("https://stat100.ameba.jp/tnk47/ratio20/illustrations/card/ill_62043_niutsuhimenookami03.jpg?202006-i_prefecture_active_user", "■")</f>
        <v>■</v>
      </c>
      <c r="F465" s="14" t="s">
        <v>2022</v>
      </c>
      <c r="G465" s="14">
        <v>85962</v>
      </c>
      <c r="H465" s="14">
        <v>118684</v>
      </c>
      <c r="I465" s="14">
        <v>26</v>
      </c>
      <c r="J465" s="14" t="s">
        <v>169</v>
      </c>
      <c r="K465" s="14" t="s">
        <v>2023</v>
      </c>
      <c r="L465" s="14" t="s">
        <v>13144</v>
      </c>
      <c r="M465" s="14" t="s">
        <v>9158</v>
      </c>
      <c r="N465" s="14" t="s">
        <v>9158</v>
      </c>
      <c r="O465" s="19" t="s">
        <v>10093</v>
      </c>
      <c r="P465" s="14" t="s">
        <v>13145</v>
      </c>
      <c r="Q465" s="14">
        <v>1</v>
      </c>
    </row>
    <row r="466" spans="1:17">
      <c r="A466" s="14">
        <v>73093</v>
      </c>
      <c r="B466" s="14" t="s">
        <v>334</v>
      </c>
      <c r="C466" s="14" t="s">
        <v>209</v>
      </c>
      <c r="D466" s="20" t="s">
        <v>433</v>
      </c>
      <c r="E466" s="15" t="str">
        <f>HYPERLINK("https://stat100.ameba.jp/tnk47/ratio20/illustrations/card/ill_73093_aisukurinchan03.jpg?202006-i_prefecture_active_user", "■")</f>
        <v>■</v>
      </c>
      <c r="F466" s="14" t="s">
        <v>1027</v>
      </c>
      <c r="G466" s="14">
        <v>172982</v>
      </c>
      <c r="H466" s="14">
        <v>125296</v>
      </c>
      <c r="I466" s="14">
        <v>26</v>
      </c>
      <c r="J466" s="14" t="s">
        <v>104</v>
      </c>
      <c r="K466" s="14" t="s">
        <v>1028</v>
      </c>
      <c r="L466" s="14" t="s">
        <v>1029</v>
      </c>
      <c r="M466" s="14" t="s">
        <v>9158</v>
      </c>
      <c r="N466" s="14" t="s">
        <v>9158</v>
      </c>
      <c r="O466" s="19" t="s">
        <v>2741</v>
      </c>
      <c r="P466" s="14" t="s">
        <v>2742</v>
      </c>
      <c r="Q466" s="14">
        <v>1</v>
      </c>
    </row>
    <row r="467" spans="1:17">
      <c r="A467" s="14">
        <v>70373</v>
      </c>
      <c r="B467" s="14" t="s">
        <v>334</v>
      </c>
      <c r="C467" s="14" t="s">
        <v>209</v>
      </c>
      <c r="D467" s="20" t="s">
        <v>10226</v>
      </c>
      <c r="E467" s="15" t="str">
        <f>HYPERLINK("https://stat100.ameba.jp/tnk47/ratio20/illustrations/card/ill_70373_amanoyasukage03.jpg?202006-i_prefecture_active_user", "■")</f>
        <v>■</v>
      </c>
      <c r="F467" s="14" t="s">
        <v>2617</v>
      </c>
      <c r="G467" s="14">
        <v>134306</v>
      </c>
      <c r="H467" s="14">
        <v>144446</v>
      </c>
      <c r="I467" s="14">
        <v>26</v>
      </c>
      <c r="J467" s="14" t="s">
        <v>143</v>
      </c>
      <c r="K467" s="14" t="s">
        <v>2618</v>
      </c>
      <c r="L467" s="14" t="s">
        <v>2619</v>
      </c>
      <c r="M467" s="14" t="s">
        <v>9158</v>
      </c>
      <c r="N467" s="14" t="s">
        <v>9158</v>
      </c>
      <c r="O467" s="19" t="s">
        <v>10081</v>
      </c>
      <c r="P467" s="14" t="s">
        <v>4146</v>
      </c>
      <c r="Q467" s="14">
        <v>1</v>
      </c>
    </row>
    <row r="468" spans="1:17">
      <c r="A468" s="14">
        <v>79513</v>
      </c>
      <c r="B468" s="14" t="s">
        <v>334</v>
      </c>
      <c r="C468" s="14" t="s">
        <v>209</v>
      </c>
      <c r="D468" s="19" t="s">
        <v>10404</v>
      </c>
      <c r="E468" s="15" t="str">
        <f>HYPERLINK("https://stat100.ameba.jp/tnk47/ratio20/illustrations/card/ill_79513_suzafuonia03.jpg?202006-i_prefecture_active_user", "■")</f>
        <v>■</v>
      </c>
      <c r="F468" s="14" t="s">
        <v>3529</v>
      </c>
      <c r="G468" s="14">
        <v>82318</v>
      </c>
      <c r="H468" s="14">
        <v>113630</v>
      </c>
      <c r="I468" s="14">
        <v>26</v>
      </c>
      <c r="J468" s="14" t="s">
        <v>10</v>
      </c>
      <c r="K468" s="14" t="s">
        <v>3532</v>
      </c>
      <c r="L468" s="14" t="s">
        <v>12</v>
      </c>
      <c r="M468" s="14" t="s">
        <v>9158</v>
      </c>
      <c r="N468" s="14" t="s">
        <v>9158</v>
      </c>
      <c r="O468" s="19" t="s">
        <v>2917</v>
      </c>
      <c r="P468" s="14" t="s">
        <v>3531</v>
      </c>
      <c r="Q468" s="14">
        <v>1</v>
      </c>
    </row>
    <row r="470" spans="1:17">
      <c r="A470" s="14" t="s">
        <v>12971</v>
      </c>
    </row>
    <row r="471" spans="1:17">
      <c r="A471" s="14" t="s">
        <v>12972</v>
      </c>
    </row>
    <row r="472" spans="1:17">
      <c r="A472" s="14" t="s">
        <v>5804</v>
      </c>
      <c r="B472" s="14" t="s">
        <v>52</v>
      </c>
      <c r="C472" s="14" t="s">
        <v>14</v>
      </c>
      <c r="D472" s="19" t="s">
        <v>3195</v>
      </c>
      <c r="E472" s="15" t="str">
        <f>HYPERLINK("https://stat100.ameba.jp/tnk47/ratio20/illustrations/card/ill_75393_0_resukuinotsukisamaniittausagi03.jpg?202006-i_prefecture_active_user", "■")</f>
        <v>■</v>
      </c>
      <c r="F472" s="14" t="s">
        <v>3248</v>
      </c>
      <c r="G472" s="14">
        <v>273368</v>
      </c>
      <c r="H472" s="14">
        <v>254160</v>
      </c>
      <c r="I472" s="14">
        <v>24</v>
      </c>
      <c r="J472" s="14" t="s">
        <v>26</v>
      </c>
      <c r="K472" s="14" t="s">
        <v>3249</v>
      </c>
      <c r="L472" s="14" t="s">
        <v>3250</v>
      </c>
      <c r="M472" s="14" t="s">
        <v>9158</v>
      </c>
      <c r="N472" s="14" t="s">
        <v>9158</v>
      </c>
      <c r="O472" s="19" t="s">
        <v>10101</v>
      </c>
      <c r="P472" s="14" t="s">
        <v>3251</v>
      </c>
      <c r="Q472" s="14">
        <v>2</v>
      </c>
    </row>
    <row r="473" spans="1:17">
      <c r="A473" s="14" t="s">
        <v>5901</v>
      </c>
      <c r="B473" s="14" t="s">
        <v>52</v>
      </c>
      <c r="C473" s="14" t="s">
        <v>101</v>
      </c>
      <c r="D473" s="19" t="s">
        <v>1426</v>
      </c>
      <c r="E473" s="15" t="str">
        <f>HYPERLINK("https://stat100.ameba.jp/tnk47/ratio20/illustrations/card/ill_64953_0_yukatatokugawayoshinobu03.jpg?202006-i_prefecture_active_user", "■")</f>
        <v>■</v>
      </c>
      <c r="F473" s="14" t="s">
        <v>2090</v>
      </c>
      <c r="G473" s="14">
        <v>149520</v>
      </c>
      <c r="H473" s="14">
        <v>160804</v>
      </c>
      <c r="I473" s="14">
        <v>24</v>
      </c>
      <c r="J473" s="14" t="s">
        <v>10</v>
      </c>
      <c r="K473" s="14" t="s">
        <v>2091</v>
      </c>
      <c r="L473" s="14" t="s">
        <v>2092</v>
      </c>
      <c r="M473" s="14" t="s">
        <v>9158</v>
      </c>
      <c r="N473" s="14" t="s">
        <v>9158</v>
      </c>
      <c r="O473" s="19" t="s">
        <v>2889</v>
      </c>
      <c r="P473" s="14" t="s">
        <v>2890</v>
      </c>
      <c r="Q473" s="14">
        <v>1</v>
      </c>
    </row>
    <row r="474" spans="1:17">
      <c r="A474" s="14" t="s">
        <v>5608</v>
      </c>
      <c r="B474" s="14" t="s">
        <v>52</v>
      </c>
      <c r="C474" s="14" t="s">
        <v>96</v>
      </c>
      <c r="D474" s="19" t="s">
        <v>634</v>
      </c>
      <c r="E474" s="15" t="str">
        <f>HYPERLINK("https://stat100.ameba.jp/tnk47/ratio20/illustrations/card/ill_40963_0_makami03.jpg?202006-i_prefecture_active_user", "■")</f>
        <v>■</v>
      </c>
      <c r="F474" s="14" t="s">
        <v>2038</v>
      </c>
      <c r="G474" s="14">
        <v>140448</v>
      </c>
      <c r="H474" s="14">
        <v>131538</v>
      </c>
      <c r="I474" s="14">
        <v>24</v>
      </c>
      <c r="J474" s="14" t="s">
        <v>44</v>
      </c>
      <c r="K474" s="14" t="s">
        <v>2039</v>
      </c>
      <c r="L474" s="14" t="s">
        <v>2040</v>
      </c>
      <c r="M474" s="14" t="s">
        <v>9158</v>
      </c>
      <c r="N474" s="14" t="s">
        <v>9158</v>
      </c>
      <c r="O474" s="14" t="s">
        <v>9158</v>
      </c>
      <c r="P474" s="14" t="s">
        <v>9158</v>
      </c>
      <c r="Q474" s="14" t="s">
        <v>9158</v>
      </c>
    </row>
    <row r="475" spans="1:17">
      <c r="A475" s="14">
        <v>58803</v>
      </c>
      <c r="B475" s="14" t="s">
        <v>0</v>
      </c>
      <c r="C475" s="14" t="s">
        <v>205</v>
      </c>
      <c r="D475" s="19" t="s">
        <v>10210</v>
      </c>
      <c r="E475" s="15" t="str">
        <f>HYPERLINK("https://stat100.ameba.jp/tnk47/ratio20/illustrations/card/ill_58803_setsubumpanikkumimuratsuru03.jpg?202006-i_prefecture_active_user", "■")</f>
        <v>■</v>
      </c>
      <c r="F475" s="14" t="s">
        <v>2028</v>
      </c>
      <c r="G475" s="14">
        <v>154128</v>
      </c>
      <c r="H475" s="14">
        <v>93172</v>
      </c>
      <c r="I475" s="14">
        <v>26</v>
      </c>
      <c r="J475" s="14" t="s">
        <v>194</v>
      </c>
      <c r="K475" s="14" t="s">
        <v>2029</v>
      </c>
      <c r="L475" s="14" t="s">
        <v>13171</v>
      </c>
      <c r="M475" s="14" t="s">
        <v>9158</v>
      </c>
      <c r="N475" s="14" t="s">
        <v>9158</v>
      </c>
      <c r="O475" s="19" t="s">
        <v>10092</v>
      </c>
      <c r="P475" s="14" t="s">
        <v>3704</v>
      </c>
      <c r="Q475" s="14">
        <v>1</v>
      </c>
    </row>
    <row r="476" spans="1:17">
      <c r="A476" s="14">
        <v>60013</v>
      </c>
      <c r="B476" s="14" t="s">
        <v>15</v>
      </c>
      <c r="C476" s="14" t="s">
        <v>107</v>
      </c>
      <c r="D476" s="19" t="s">
        <v>10515</v>
      </c>
      <c r="E476" s="15" t="str">
        <f>HYPERLINK("https://stat100.ameba.jp/tnk47/ratio20/illustrations/card/ill_60013_hantaraikirimaru03.jpg?202006-i_prefecture_active_user", "■")</f>
        <v>■</v>
      </c>
      <c r="F476" s="14" t="s">
        <v>6377</v>
      </c>
      <c r="G476" s="14">
        <v>77064</v>
      </c>
      <c r="H476" s="14">
        <v>69898</v>
      </c>
      <c r="I476" s="14">
        <v>26</v>
      </c>
      <c r="J476" s="14" t="s">
        <v>44</v>
      </c>
      <c r="K476" s="14" t="s">
        <v>6376</v>
      </c>
      <c r="L476" s="14" t="s">
        <v>3271</v>
      </c>
      <c r="M476" s="14" t="s">
        <v>9158</v>
      </c>
      <c r="N476" s="14" t="s">
        <v>9158</v>
      </c>
      <c r="O476" s="14" t="s">
        <v>9158</v>
      </c>
      <c r="P476" s="14" t="s">
        <v>9158</v>
      </c>
      <c r="Q476" s="14" t="s">
        <v>9158</v>
      </c>
    </row>
    <row r="477" spans="1:17">
      <c r="A477" s="14">
        <v>69903</v>
      </c>
      <c r="B477" s="14" t="s">
        <v>12975</v>
      </c>
      <c r="C477" s="14" t="s">
        <v>12974</v>
      </c>
      <c r="D477" s="14" t="s">
        <v>12973</v>
      </c>
      <c r="E477" s="15" t="str">
        <f>HYPERLINK("https://stat100.ameba.jp/tnk47/ratio20/illustrations/card/ill_69903_senreikitaharasatoko03.jpg?202006-i_prefecture_active_user", "■")</f>
        <v>■</v>
      </c>
      <c r="F477" s="14" t="s">
        <v>12976</v>
      </c>
      <c r="G477" s="14">
        <v>44948</v>
      </c>
      <c r="H477" s="14">
        <v>54058</v>
      </c>
      <c r="I477" s="14">
        <v>26</v>
      </c>
      <c r="J477" s="14" t="s">
        <v>12977</v>
      </c>
      <c r="K477" s="14" t="s">
        <v>12978</v>
      </c>
      <c r="L477" s="14" t="s">
        <v>12979</v>
      </c>
      <c r="M477" s="14" t="s">
        <v>9158</v>
      </c>
      <c r="N477" s="14" t="s">
        <v>9158</v>
      </c>
      <c r="O477" s="14" t="s">
        <v>9158</v>
      </c>
      <c r="P477" s="14" t="s">
        <v>9158</v>
      </c>
      <c r="Q477" s="14" t="s">
        <v>9158</v>
      </c>
    </row>
    <row r="478" spans="1:17">
      <c r="A478" s="14">
        <v>70773</v>
      </c>
      <c r="B478" s="14" t="s">
        <v>12982</v>
      </c>
      <c r="C478" s="14" t="s">
        <v>12981</v>
      </c>
      <c r="D478" s="14" t="s">
        <v>12980</v>
      </c>
      <c r="E478" s="15" t="str">
        <f>HYPERLINK("https://stat100.ameba.jp/tnk47/ratio20/illustrations/card/ill_70773_ryoranakazomemon03.jpg?202006-i_prefecture_active_user", "■")</f>
        <v>■</v>
      </c>
      <c r="F478" s="14" t="s">
        <v>12983</v>
      </c>
      <c r="G478" s="14">
        <v>27486</v>
      </c>
      <c r="H478" s="14">
        <v>32728</v>
      </c>
      <c r="I478" s="14">
        <v>26</v>
      </c>
      <c r="J478" s="14" t="s">
        <v>12977</v>
      </c>
      <c r="K478" s="14" t="s">
        <v>12984</v>
      </c>
      <c r="L478" s="14" t="s">
        <v>12985</v>
      </c>
      <c r="M478" s="14" t="s">
        <v>9158</v>
      </c>
      <c r="N478" s="14" t="s">
        <v>9158</v>
      </c>
      <c r="O478" s="14" t="s">
        <v>9158</v>
      </c>
      <c r="P478" s="14" t="s">
        <v>9158</v>
      </c>
      <c r="Q478" s="14" t="s">
        <v>9158</v>
      </c>
    </row>
    <row r="480" spans="1:17">
      <c r="A480" s="14" t="s">
        <v>12988</v>
      </c>
    </row>
    <row r="481" spans="1:17">
      <c r="A481" s="14" t="s">
        <v>12989</v>
      </c>
    </row>
    <row r="482" spans="1:17">
      <c r="A482" s="14">
        <v>71013</v>
      </c>
      <c r="B482" s="14" t="s">
        <v>334</v>
      </c>
      <c r="C482" s="14" t="s">
        <v>154</v>
      </c>
      <c r="D482" s="19" t="s">
        <v>837</v>
      </c>
      <c r="E482" s="15" t="str">
        <f>HYPERLINK("https://stat100.ameba.jp/tnk47/ratio20/illustrations/card/ill_71013_fujutsushisarashina03.jpg?202006-i_prefecture_active_user", "■")</f>
        <v>■</v>
      </c>
      <c r="F482" s="14" t="s">
        <v>838</v>
      </c>
      <c r="G482" s="14">
        <v>108276</v>
      </c>
      <c r="H482" s="14">
        <v>116452</v>
      </c>
      <c r="I482" s="14">
        <v>27</v>
      </c>
      <c r="J482" s="14" t="s">
        <v>155</v>
      </c>
      <c r="K482" s="14" t="s">
        <v>1231</v>
      </c>
      <c r="L482" s="14" t="s">
        <v>13152</v>
      </c>
      <c r="M482" s="14" t="s">
        <v>9864</v>
      </c>
      <c r="N482" s="14" t="s">
        <v>9158</v>
      </c>
      <c r="O482" s="14" t="s">
        <v>9158</v>
      </c>
      <c r="P482" s="14" t="s">
        <v>9158</v>
      </c>
      <c r="Q482" s="14" t="s">
        <v>9158</v>
      </c>
    </row>
    <row r="483" spans="1:17">
      <c r="A483" s="14">
        <v>71023</v>
      </c>
      <c r="B483" s="14" t="s">
        <v>334</v>
      </c>
      <c r="C483" s="14" t="s">
        <v>158</v>
      </c>
      <c r="D483" s="19" t="s">
        <v>841</v>
      </c>
      <c r="E483" s="15" t="str">
        <f>HYPERLINK("https://stat100.ameba.jp/tnk47/ratio20/illustrations/card/ill_71023_ommyojiiroha03.jpg?202006-i_prefecture_active_user", "■")</f>
        <v>■</v>
      </c>
      <c r="F483" s="14" t="s">
        <v>842</v>
      </c>
      <c r="G483" s="14">
        <v>108276</v>
      </c>
      <c r="H483" s="14">
        <v>116452</v>
      </c>
      <c r="I483" s="14">
        <v>27</v>
      </c>
      <c r="J483" s="14" t="s">
        <v>159</v>
      </c>
      <c r="K483" s="14" t="s">
        <v>1232</v>
      </c>
      <c r="L483" s="14" t="s">
        <v>1233</v>
      </c>
      <c r="M483" s="14" t="s">
        <v>9158</v>
      </c>
      <c r="N483" s="14" t="s">
        <v>9158</v>
      </c>
      <c r="O483" s="14" t="s">
        <v>9158</v>
      </c>
      <c r="P483" s="14" t="s">
        <v>9158</v>
      </c>
      <c r="Q483" s="14" t="s">
        <v>9158</v>
      </c>
    </row>
    <row r="484" spans="1:17">
      <c r="A484" s="14">
        <v>66053</v>
      </c>
      <c r="B484" s="14" t="s">
        <v>334</v>
      </c>
      <c r="C484" s="14" t="s">
        <v>205</v>
      </c>
      <c r="D484" s="19" t="s">
        <v>3046</v>
      </c>
      <c r="E484" s="15" t="str">
        <f>HYPERLINK("https://stat100.ameba.jp/tnk47/ratio20/illustrations/card/ill_66053_serebukushiyatamanokami03.jpg?202006-i_prefecture_active_user", "■")</f>
        <v>■</v>
      </c>
      <c r="F484" s="14" t="s">
        <v>2265</v>
      </c>
      <c r="G484" s="14">
        <v>110129</v>
      </c>
      <c r="H484" s="14">
        <v>102386</v>
      </c>
      <c r="I484" s="14">
        <v>27</v>
      </c>
      <c r="J484" s="14" t="s">
        <v>44</v>
      </c>
      <c r="K484" s="14" t="s">
        <v>2266</v>
      </c>
      <c r="L484" s="14" t="s">
        <v>1860</v>
      </c>
      <c r="M484" s="14" t="s">
        <v>9158</v>
      </c>
      <c r="N484" s="14" t="s">
        <v>9158</v>
      </c>
      <c r="O484" s="14" t="s">
        <v>9158</v>
      </c>
      <c r="P484" s="14" t="s">
        <v>9158</v>
      </c>
      <c r="Q484" s="14" t="s">
        <v>9158</v>
      </c>
    </row>
    <row r="485" spans="1:17">
      <c r="A485" s="14">
        <v>65923</v>
      </c>
      <c r="B485" s="14" t="s">
        <v>334</v>
      </c>
      <c r="C485" s="14" t="s">
        <v>185</v>
      </c>
      <c r="D485" s="19" t="s">
        <v>10204</v>
      </c>
      <c r="E485" s="15" t="str">
        <f>HYPERLINK("https://stat100.ameba.jp/tnk47/ratio20/illustrations/card/ill_65923_arabianginko03.jpg?202006-i_prefecture_active_user", "■")</f>
        <v>■</v>
      </c>
      <c r="F485" s="14" t="s">
        <v>4978</v>
      </c>
      <c r="G485" s="14">
        <v>112496</v>
      </c>
      <c r="H485" s="14">
        <v>104619</v>
      </c>
      <c r="I485" s="14">
        <v>27</v>
      </c>
      <c r="J485" s="14" t="s">
        <v>182</v>
      </c>
      <c r="K485" s="14" t="s">
        <v>3679</v>
      </c>
      <c r="L485" s="14" t="s">
        <v>13188</v>
      </c>
      <c r="M485" s="14" t="s">
        <v>9158</v>
      </c>
      <c r="N485" s="14" t="s">
        <v>9158</v>
      </c>
      <c r="O485" s="14" t="s">
        <v>9158</v>
      </c>
      <c r="P485" s="14" t="s">
        <v>9158</v>
      </c>
      <c r="Q485" s="14" t="s">
        <v>9158</v>
      </c>
    </row>
    <row r="486" spans="1:17">
      <c r="A486" s="14">
        <v>52863</v>
      </c>
      <c r="B486" s="14" t="s">
        <v>15</v>
      </c>
      <c r="C486" s="14" t="s">
        <v>191</v>
      </c>
      <c r="D486" s="19" t="s">
        <v>10516</v>
      </c>
      <c r="E486" s="15" t="str">
        <f>HYPERLINK("https://stat100.ameba.jp/tnk47/ratio20/illustrations/card/ill_52863_andoroidokingyonota03.jpg?202006-i_prefecture_active_user", "■")</f>
        <v>■</v>
      </c>
      <c r="F486" s="14" t="s">
        <v>6409</v>
      </c>
      <c r="G486" s="14">
        <v>72586</v>
      </c>
      <c r="H486" s="14">
        <v>80028</v>
      </c>
      <c r="I486" s="14">
        <v>27</v>
      </c>
      <c r="J486" s="14" t="s">
        <v>38</v>
      </c>
      <c r="K486" s="14" t="s">
        <v>6407</v>
      </c>
      <c r="L486" s="14" t="s">
        <v>6406</v>
      </c>
      <c r="M486" s="14" t="s">
        <v>9158</v>
      </c>
      <c r="N486" s="14" t="s">
        <v>9158</v>
      </c>
      <c r="O486" s="14" t="s">
        <v>9158</v>
      </c>
      <c r="P486" s="14" t="s">
        <v>9158</v>
      </c>
      <c r="Q486" s="14" t="s">
        <v>9158</v>
      </c>
    </row>
    <row r="487" spans="1:17">
      <c r="A487" s="14">
        <v>51593</v>
      </c>
      <c r="B487" s="14" t="s">
        <v>15</v>
      </c>
      <c r="C487" s="14" t="s">
        <v>200</v>
      </c>
      <c r="D487" s="19" t="s">
        <v>10517</v>
      </c>
      <c r="E487" s="15" t="str">
        <f>HYPERLINK("https://stat100.ameba.jp/tnk47/ratio20/illustrations/card/ill_51593_kishuhondatadakatsu03.jpg?202006-i_prefecture_active_user", "■")</f>
        <v>■</v>
      </c>
      <c r="F487" s="14" t="s">
        <v>6413</v>
      </c>
      <c r="G487" s="14">
        <v>72586</v>
      </c>
      <c r="H487" s="14">
        <v>80028</v>
      </c>
      <c r="I487" s="14">
        <v>27</v>
      </c>
      <c r="J487" s="14" t="s">
        <v>143</v>
      </c>
      <c r="K487" s="14" t="s">
        <v>6411</v>
      </c>
      <c r="L487" s="14" t="s">
        <v>6410</v>
      </c>
      <c r="M487" s="14" t="s">
        <v>9158</v>
      </c>
      <c r="N487" s="14" t="s">
        <v>9158</v>
      </c>
      <c r="O487" s="14" t="s">
        <v>9158</v>
      </c>
      <c r="P487" s="14" t="s">
        <v>9158</v>
      </c>
      <c r="Q487" s="14" t="s">
        <v>9158</v>
      </c>
    </row>
    <row r="488" spans="1:17">
      <c r="A488" s="14">
        <v>55403</v>
      </c>
      <c r="B488" s="14" t="s">
        <v>15</v>
      </c>
      <c r="C488" s="14" t="s">
        <v>165</v>
      </c>
      <c r="D488" s="19" t="s">
        <v>10518</v>
      </c>
      <c r="E488" s="15" t="str">
        <f>HYPERLINK("https://stat100.ameba.jp/tnk47/ratio20/illustrations/card/ill_55403_undokaikyogokumaria03.jpg?202006-i_prefecture_active_user", "■")</f>
        <v>■</v>
      </c>
      <c r="F488" s="14" t="s">
        <v>6417</v>
      </c>
      <c r="G488" s="14">
        <v>80028</v>
      </c>
      <c r="H488" s="14">
        <v>72586</v>
      </c>
      <c r="I488" s="14">
        <v>27</v>
      </c>
      <c r="J488" s="14" t="s">
        <v>77</v>
      </c>
      <c r="K488" s="14" t="s">
        <v>6415</v>
      </c>
      <c r="L488" s="14" t="s">
        <v>6414</v>
      </c>
      <c r="M488" s="14" t="s">
        <v>9158</v>
      </c>
      <c r="N488" s="14" t="s">
        <v>9158</v>
      </c>
      <c r="O488" s="14" t="s">
        <v>9158</v>
      </c>
      <c r="P488" s="14" t="s">
        <v>9158</v>
      </c>
      <c r="Q488" s="14" t="s">
        <v>9158</v>
      </c>
    </row>
    <row r="489" spans="1:17">
      <c r="A489" s="14">
        <v>52973</v>
      </c>
      <c r="B489" s="14" t="s">
        <v>15</v>
      </c>
      <c r="C489" s="14" t="s">
        <v>206</v>
      </c>
      <c r="D489" s="19" t="s">
        <v>10519</v>
      </c>
      <c r="E489" s="15" t="str">
        <f>HYPERLINK("https://stat100.ameba.jp/tnk47/ratio20/illustrations/card/ill_52973_torampuamoronagu03.jpg?202006-i_prefecture_active_user", "■")</f>
        <v>■</v>
      </c>
      <c r="F489" s="14" t="s">
        <v>6421</v>
      </c>
      <c r="G489" s="14">
        <v>80028</v>
      </c>
      <c r="H489" s="14">
        <v>72586</v>
      </c>
      <c r="I489" s="14">
        <v>27</v>
      </c>
      <c r="J489" s="14" t="s">
        <v>44</v>
      </c>
      <c r="K489" s="14" t="s">
        <v>6419</v>
      </c>
      <c r="L489" s="14" t="s">
        <v>6418</v>
      </c>
      <c r="M489" s="14" t="s">
        <v>9158</v>
      </c>
      <c r="N489" s="14" t="s">
        <v>9158</v>
      </c>
      <c r="O489" s="14" t="s">
        <v>9158</v>
      </c>
      <c r="P489" s="14" t="s">
        <v>9158</v>
      </c>
      <c r="Q489" s="14" t="s">
        <v>9158</v>
      </c>
    </row>
    <row r="491" spans="1:17">
      <c r="A491" s="14" t="s">
        <v>12990</v>
      </c>
    </row>
    <row r="492" spans="1:17">
      <c r="A492" s="14" t="s">
        <v>4771</v>
      </c>
    </row>
    <row r="493" spans="1:17">
      <c r="A493" s="14" t="s">
        <v>11493</v>
      </c>
    </row>
    <row r="494" spans="1:17">
      <c r="A494" s="14" t="s">
        <v>12532</v>
      </c>
      <c r="B494" s="7" t="s">
        <v>52</v>
      </c>
      <c r="C494" s="14" t="s">
        <v>202</v>
      </c>
      <c r="D494" s="18" t="s">
        <v>12528</v>
      </c>
      <c r="E494" s="15" t="str">
        <f>HYPERLINK("https://stat100.ameba.jp/tnk47/ratio20/illustrations/card/ill_89073_0_efuwanresuyokohamaserachan03.jpg?202006-i_prefecture_active_user", "■")</f>
        <v>■</v>
      </c>
      <c r="F494" s="14" t="s">
        <v>12529</v>
      </c>
      <c r="G494" s="14">
        <v>296998</v>
      </c>
      <c r="H494" s="14">
        <v>328614</v>
      </c>
      <c r="I494" s="7">
        <v>27</v>
      </c>
      <c r="J494" s="14" t="s">
        <v>229</v>
      </c>
      <c r="K494" s="14" t="s">
        <v>12530</v>
      </c>
      <c r="L494" s="14" t="s">
        <v>12531</v>
      </c>
      <c r="M494" s="14" t="s">
        <v>9158</v>
      </c>
      <c r="N494" s="14" t="s">
        <v>9158</v>
      </c>
      <c r="O494" s="6" t="s">
        <v>12533</v>
      </c>
      <c r="P494" s="7" t="s">
        <v>12534</v>
      </c>
      <c r="Q494" s="7">
        <v>1</v>
      </c>
    </row>
    <row r="495" spans="1:17">
      <c r="A495" s="14">
        <v>89473</v>
      </c>
      <c r="B495" s="14" t="s">
        <v>12993</v>
      </c>
      <c r="C495" s="14" t="s">
        <v>12992</v>
      </c>
      <c r="D495" s="14" t="s">
        <v>12991</v>
      </c>
      <c r="E495" s="15" t="str">
        <f>HYPERLINK("https://stat100.ameba.jp/tnk47/ratio20/illustrations/card/ill_89473_resshanotabikasajizo03.jpg?202006-i_prefecture_active_user", "■")</f>
        <v>■</v>
      </c>
      <c r="F495" s="14" t="s">
        <v>12995</v>
      </c>
      <c r="G495" s="14">
        <v>110129</v>
      </c>
      <c r="H495" s="14">
        <v>102386</v>
      </c>
      <c r="I495" s="7">
        <v>27</v>
      </c>
      <c r="J495" s="14" t="s">
        <v>12996</v>
      </c>
      <c r="K495" s="14" t="s">
        <v>12997</v>
      </c>
      <c r="L495" s="14" t="s">
        <v>12998</v>
      </c>
      <c r="M495" s="14" t="s">
        <v>9158</v>
      </c>
      <c r="N495" s="14" t="s">
        <v>9158</v>
      </c>
      <c r="O495" s="14" t="s">
        <v>9158</v>
      </c>
      <c r="P495" s="14" t="s">
        <v>9158</v>
      </c>
      <c r="Q495" s="14" t="s">
        <v>9158</v>
      </c>
    </row>
    <row r="496" spans="1:17">
      <c r="A496" s="14">
        <v>89483</v>
      </c>
      <c r="B496" s="14" t="s">
        <v>12993</v>
      </c>
      <c r="C496" s="14" t="s">
        <v>13000</v>
      </c>
      <c r="D496" s="14" t="s">
        <v>12999</v>
      </c>
      <c r="E496" s="15" t="str">
        <f>HYPERLINK("https://stat100.ameba.jp/tnk47/ratio20/illustrations/card/ill_89483_tenyueiju03.jpg?202006-i_prefecture_active_user", "■")</f>
        <v>■</v>
      </c>
      <c r="F496" s="14" t="s">
        <v>13003</v>
      </c>
      <c r="G496" s="14">
        <v>105465</v>
      </c>
      <c r="H496" s="14">
        <v>98019</v>
      </c>
      <c r="I496" s="7">
        <v>27</v>
      </c>
      <c r="J496" s="14" t="s">
        <v>13004</v>
      </c>
      <c r="K496" s="14" t="s">
        <v>13005</v>
      </c>
      <c r="L496" s="14" t="s">
        <v>13006</v>
      </c>
      <c r="M496" s="14" t="s">
        <v>9158</v>
      </c>
      <c r="N496" s="14" t="s">
        <v>9158</v>
      </c>
      <c r="O496" s="14" t="s">
        <v>9158</v>
      </c>
      <c r="P496" s="14" t="s">
        <v>9158</v>
      </c>
      <c r="Q496" s="14" t="s">
        <v>9158</v>
      </c>
    </row>
    <row r="497" spans="1:18">
      <c r="A497" s="14">
        <v>89493</v>
      </c>
      <c r="B497" s="14" t="s">
        <v>12994</v>
      </c>
      <c r="C497" s="14" t="s">
        <v>13008</v>
      </c>
      <c r="D497" s="14" t="s">
        <v>13007</v>
      </c>
      <c r="E497" s="15" t="str">
        <f>HYPERLINK("https://stat100.ameba.jp/tnk47/ratio20/illustrations/card/ill_89493_fujigoko03.jpg?202006-i_prefecture_active_user", "■")</f>
        <v>■</v>
      </c>
      <c r="F497" s="14" t="s">
        <v>13009</v>
      </c>
      <c r="G497" s="14">
        <v>72586</v>
      </c>
      <c r="H497" s="14">
        <v>80028</v>
      </c>
      <c r="I497" s="7">
        <v>27</v>
      </c>
      <c r="J497" s="14" t="s">
        <v>13010</v>
      </c>
      <c r="K497" s="14" t="s">
        <v>13011</v>
      </c>
      <c r="L497" s="14" t="s">
        <v>13012</v>
      </c>
      <c r="M497" s="14" t="s">
        <v>9158</v>
      </c>
      <c r="N497" s="14" t="s">
        <v>9158</v>
      </c>
      <c r="O497" s="14" t="s">
        <v>9158</v>
      </c>
      <c r="P497" s="14" t="s">
        <v>9158</v>
      </c>
      <c r="Q497" s="14" t="s">
        <v>9158</v>
      </c>
    </row>
    <row r="498" spans="1:18">
      <c r="A498" s="14">
        <v>89503</v>
      </c>
      <c r="B498" s="14" t="s">
        <v>13001</v>
      </c>
      <c r="C498" s="14" t="s">
        <v>13014</v>
      </c>
      <c r="D498" s="14" t="s">
        <v>13013</v>
      </c>
      <c r="E498" s="15" t="str">
        <f>HYPERLINK("https://stat100.ameba.jp/tnk47/ratio20/illustrations/card/ill_89503_kansuiheiaku03.jpg?202006-i_prefecture_active_user", "■")</f>
        <v>■</v>
      </c>
      <c r="F498" s="14" t="s">
        <v>13015</v>
      </c>
      <c r="G498" s="14">
        <v>56138</v>
      </c>
      <c r="H498" s="14">
        <v>46676</v>
      </c>
      <c r="I498" s="7">
        <v>27</v>
      </c>
      <c r="J498" s="14" t="s">
        <v>13016</v>
      </c>
      <c r="K498" s="14" t="s">
        <v>13017</v>
      </c>
      <c r="L498" s="14" t="s">
        <v>13018</v>
      </c>
      <c r="M498" s="14" t="s">
        <v>9158</v>
      </c>
      <c r="N498" s="14" t="s">
        <v>9158</v>
      </c>
      <c r="O498" s="14" t="s">
        <v>9158</v>
      </c>
      <c r="P498" s="14" t="s">
        <v>9158</v>
      </c>
      <c r="Q498" s="14" t="s">
        <v>9158</v>
      </c>
    </row>
    <row r="499" spans="1:18">
      <c r="A499" s="14">
        <v>89513</v>
      </c>
      <c r="B499" s="14" t="s">
        <v>13002</v>
      </c>
      <c r="C499" s="14" t="s">
        <v>13020</v>
      </c>
      <c r="D499" s="14" t="s">
        <v>13019</v>
      </c>
      <c r="E499" s="15" t="str">
        <f>HYPERLINK("https://stat100.ameba.jp/tnk47/ratio20/illustrations/card/ill_89513_amerikamura03.jpg?202006-i_prefecture_active_user", "■")</f>
        <v>■</v>
      </c>
      <c r="F499" s="14" t="s">
        <v>13021</v>
      </c>
      <c r="G499" s="14">
        <v>28544</v>
      </c>
      <c r="H499" s="14">
        <v>33986</v>
      </c>
      <c r="I499" s="7">
        <v>27</v>
      </c>
      <c r="J499" s="14" t="s">
        <v>13010</v>
      </c>
      <c r="K499" s="14" t="s">
        <v>13022</v>
      </c>
      <c r="L499" s="14" t="s">
        <v>13023</v>
      </c>
      <c r="M499" s="14" t="s">
        <v>9158</v>
      </c>
      <c r="N499" s="14" t="s">
        <v>9158</v>
      </c>
      <c r="O499" s="14" t="s">
        <v>9158</v>
      </c>
      <c r="P499" s="14" t="s">
        <v>9158</v>
      </c>
      <c r="Q499" s="14" t="s">
        <v>9158</v>
      </c>
    </row>
    <row r="501" spans="1:18">
      <c r="A501" s="14" t="s">
        <v>13027</v>
      </c>
    </row>
    <row r="502" spans="1:18">
      <c r="A502" s="14" t="s">
        <v>13028</v>
      </c>
    </row>
    <row r="503" spans="1:18">
      <c r="A503" s="14" t="s">
        <v>5848</v>
      </c>
      <c r="B503" s="14" t="s">
        <v>330</v>
      </c>
      <c r="C503" s="14" t="s">
        <v>200</v>
      </c>
      <c r="D503" s="19" t="s">
        <v>3160</v>
      </c>
      <c r="E503" s="15" t="str">
        <f>HYPERLINK("https://stat100.ameba.jp/tnk47/ratio20/illustrations/card/ill_72963_0_amenohanayomehiguchiichiyo03.jpg?202006-i_prefecture_active_user", "■")</f>
        <v>■</v>
      </c>
      <c r="F503" s="14" t="s">
        <v>1139</v>
      </c>
      <c r="G503" s="14">
        <v>147404</v>
      </c>
      <c r="H503" s="14">
        <v>137060</v>
      </c>
      <c r="I503" s="14">
        <v>22</v>
      </c>
      <c r="J503" s="14" t="s">
        <v>10</v>
      </c>
      <c r="K503" s="14" t="s">
        <v>1140</v>
      </c>
      <c r="L503" s="14" t="s">
        <v>1141</v>
      </c>
      <c r="M503" s="14" t="s">
        <v>9158</v>
      </c>
      <c r="N503" s="14" t="s">
        <v>9158</v>
      </c>
      <c r="O503" s="19" t="s">
        <v>3162</v>
      </c>
      <c r="P503" s="14" t="s">
        <v>3163</v>
      </c>
      <c r="Q503" s="14">
        <v>1</v>
      </c>
      <c r="R503" s="9"/>
    </row>
    <row r="504" spans="1:18">
      <c r="A504" s="14" t="s">
        <v>5603</v>
      </c>
      <c r="B504" s="14" t="s">
        <v>330</v>
      </c>
      <c r="C504" s="14" t="s">
        <v>205</v>
      </c>
      <c r="D504" s="20" t="s">
        <v>611</v>
      </c>
      <c r="E504" s="15" t="str">
        <f>HYPERLINK("https://stat100.ameba.jp/tnk47/ratio20/illustrations/card/ill_61893_0_onikirishumiyamotomusashi03.jpg?202006-i_prefecture_active_user", "■")</f>
        <v>■</v>
      </c>
      <c r="F504" s="14" t="s">
        <v>612</v>
      </c>
      <c r="G504" s="14">
        <v>205358</v>
      </c>
      <c r="H504" s="14">
        <v>190952</v>
      </c>
      <c r="I504" s="14">
        <v>22</v>
      </c>
      <c r="J504" s="14" t="s">
        <v>310</v>
      </c>
      <c r="K504" s="14" t="s">
        <v>613</v>
      </c>
      <c r="L504" s="14" t="s">
        <v>312</v>
      </c>
      <c r="M504" s="14" t="s">
        <v>9158</v>
      </c>
      <c r="N504" s="14" t="s">
        <v>9158</v>
      </c>
      <c r="O504" s="19" t="s">
        <v>10071</v>
      </c>
      <c r="P504" s="14" t="s">
        <v>3253</v>
      </c>
      <c r="Q504" s="14">
        <v>1</v>
      </c>
    </row>
    <row r="505" spans="1:18">
      <c r="A505" s="14" t="s">
        <v>5608</v>
      </c>
      <c r="B505" s="14" t="s">
        <v>52</v>
      </c>
      <c r="C505" s="14" t="s">
        <v>96</v>
      </c>
      <c r="D505" s="20" t="s">
        <v>634</v>
      </c>
      <c r="E505" s="15" t="str">
        <f>HYPERLINK("https://stat100.ameba.jp/tnk47/ratio20/illustrations/card/ill_40963_0_makami03.jpg?202006-i_prefecture_active_user", "■")</f>
        <v>■</v>
      </c>
      <c r="F505" s="14" t="s">
        <v>2038</v>
      </c>
      <c r="G505" s="14">
        <v>128744</v>
      </c>
      <c r="H505" s="14">
        <v>120576</v>
      </c>
      <c r="I505" s="14">
        <v>22</v>
      </c>
      <c r="J505" s="14" t="s">
        <v>44</v>
      </c>
      <c r="K505" s="14" t="s">
        <v>2039</v>
      </c>
      <c r="L505" s="14" t="s">
        <v>2040</v>
      </c>
      <c r="M505" s="14" t="s">
        <v>9158</v>
      </c>
      <c r="N505" s="14" t="s">
        <v>9158</v>
      </c>
      <c r="O505" s="14" t="s">
        <v>9158</v>
      </c>
      <c r="P505" s="14" t="s">
        <v>9158</v>
      </c>
      <c r="Q505" s="14" t="s">
        <v>9158</v>
      </c>
    </row>
    <row r="506" spans="1:18">
      <c r="A506" s="14">
        <v>85873</v>
      </c>
      <c r="B506" s="14" t="s">
        <v>334</v>
      </c>
      <c r="C506" s="14" t="s">
        <v>101</v>
      </c>
      <c r="D506" s="20" t="s">
        <v>13029</v>
      </c>
      <c r="E506" s="15" t="str">
        <f>HYPERLINK("https://stat100.ameba.jp/tnk47/ratio20/illustrations/card/ill_85873_omochamochizukichiyome03.jpg?202006-i_prefecture_active_user", "■")</f>
        <v>■</v>
      </c>
      <c r="F506" s="14" t="s">
        <v>8715</v>
      </c>
      <c r="G506" s="14">
        <v>190884</v>
      </c>
      <c r="H506" s="14">
        <v>107392</v>
      </c>
      <c r="I506" s="14">
        <v>26</v>
      </c>
      <c r="J506" s="14" t="s">
        <v>16</v>
      </c>
      <c r="K506" s="14" t="s">
        <v>8714</v>
      </c>
      <c r="L506" s="14" t="s">
        <v>1912</v>
      </c>
      <c r="M506" s="14" t="s">
        <v>9158</v>
      </c>
      <c r="N506" s="14" t="s">
        <v>9158</v>
      </c>
      <c r="O506" s="14" t="s">
        <v>9158</v>
      </c>
      <c r="P506" s="14" t="s">
        <v>9158</v>
      </c>
      <c r="Q506" s="14" t="s">
        <v>9158</v>
      </c>
    </row>
    <row r="507" spans="1:18">
      <c r="A507" s="9">
        <v>75723</v>
      </c>
      <c r="B507" s="14" t="s">
        <v>334</v>
      </c>
      <c r="C507" s="14" t="s">
        <v>206</v>
      </c>
      <c r="D507" s="14" t="s">
        <v>5636</v>
      </c>
      <c r="E507" s="15" t="str">
        <f>HYPERLINK("https://stat100.ameba.jp/tnk47/ratio20/illustrations/card/ill_75723_shirokitsunenooshibai03.jpg?202006-i_prefecture_active_user", "■")</f>
        <v>■</v>
      </c>
      <c r="F507" s="14" t="s">
        <v>3149</v>
      </c>
      <c r="G507" s="14">
        <v>146392</v>
      </c>
      <c r="H507" s="14">
        <v>82390</v>
      </c>
      <c r="I507" s="14">
        <v>26</v>
      </c>
      <c r="J507" s="14" t="s">
        <v>274</v>
      </c>
      <c r="K507" s="14" t="s">
        <v>3150</v>
      </c>
      <c r="L507" s="14" t="s">
        <v>3151</v>
      </c>
      <c r="M507" s="14" t="s">
        <v>9158</v>
      </c>
      <c r="N507" s="14" t="s">
        <v>9158</v>
      </c>
      <c r="O507" s="14" t="s">
        <v>9158</v>
      </c>
      <c r="P507" s="14" t="s">
        <v>9158</v>
      </c>
      <c r="Q507" s="14" t="s">
        <v>9158</v>
      </c>
    </row>
    <row r="508" spans="1:18">
      <c r="A508" s="14">
        <v>71473</v>
      </c>
      <c r="B508" s="14" t="s">
        <v>334</v>
      </c>
      <c r="C508" s="14" t="s">
        <v>1</v>
      </c>
      <c r="D508" s="19" t="s">
        <v>10508</v>
      </c>
      <c r="E508" s="15" t="str">
        <f>HYPERLINK("https://stat100.ameba.jp/tnk47/ratio20/illustrations/card/ill_71473_nyugakushikishirubaakusechan03.jpg?202006-i_prefecture_active_user", "■")</f>
        <v>■</v>
      </c>
      <c r="F508" s="14" t="s">
        <v>4212</v>
      </c>
      <c r="G508" s="14">
        <v>118446</v>
      </c>
      <c r="H508" s="14">
        <v>110126</v>
      </c>
      <c r="I508" s="14">
        <v>26</v>
      </c>
      <c r="J508" s="14" t="s">
        <v>26</v>
      </c>
      <c r="K508" s="14" t="s">
        <v>4213</v>
      </c>
      <c r="L508" s="14" t="s">
        <v>2181</v>
      </c>
      <c r="M508" s="14" t="s">
        <v>9158</v>
      </c>
      <c r="N508" s="14" t="s">
        <v>9158</v>
      </c>
      <c r="O508" s="14" t="s">
        <v>9158</v>
      </c>
      <c r="P508" s="14" t="s">
        <v>9158</v>
      </c>
      <c r="Q508" s="14" t="s">
        <v>9158</v>
      </c>
    </row>
    <row r="510" spans="1:18">
      <c r="A510" s="14" t="s">
        <v>13030</v>
      </c>
    </row>
    <row r="511" spans="1:18">
      <c r="A511" s="14" t="s">
        <v>13031</v>
      </c>
    </row>
    <row r="512" spans="1:18">
      <c r="A512" s="14" t="s">
        <v>5605</v>
      </c>
      <c r="B512" s="14" t="s">
        <v>52</v>
      </c>
      <c r="C512" s="14" t="s">
        <v>202</v>
      </c>
      <c r="D512" s="19" t="s">
        <v>10332</v>
      </c>
      <c r="E512" s="15" t="str">
        <f>HYPERLINK("https://stat100.ameba.jp/tnk47/ratio20/illustrations/card/ill_79373_0_hommeichokotennyohime03.jpg?202006-i_prefecture_active_user", "■")</f>
        <v>■</v>
      </c>
      <c r="F512" s="14" t="s">
        <v>3495</v>
      </c>
      <c r="G512" s="14">
        <v>309132</v>
      </c>
      <c r="H512" s="14">
        <v>279407</v>
      </c>
      <c r="I512" s="14">
        <v>25</v>
      </c>
      <c r="J512" s="14" t="s">
        <v>104</v>
      </c>
      <c r="K512" s="14" t="s">
        <v>3496</v>
      </c>
      <c r="L512" s="14" t="s">
        <v>3497</v>
      </c>
      <c r="M512" s="14" t="s">
        <v>9158</v>
      </c>
      <c r="N512" s="14" t="s">
        <v>9158</v>
      </c>
      <c r="O512" s="19" t="s">
        <v>10072</v>
      </c>
      <c r="P512" s="14" t="s">
        <v>3498</v>
      </c>
      <c r="Q512" s="14">
        <v>1</v>
      </c>
    </row>
    <row r="513" spans="1:17">
      <c r="A513" s="7">
        <v>85043</v>
      </c>
      <c r="B513" s="7" t="s">
        <v>0</v>
      </c>
      <c r="C513" s="14" t="s">
        <v>209</v>
      </c>
      <c r="D513" s="19" t="s">
        <v>10752</v>
      </c>
      <c r="E513" s="15" t="str">
        <f>HYPERLINK("https://stat100.ameba.jp/tnk47/ratio20/illustrations/card/ill_85043_sutoroberireddo03.jpg?202006-i_prefecture_active_user", "■")</f>
        <v>■</v>
      </c>
      <c r="F513" s="7" t="s">
        <v>7843</v>
      </c>
      <c r="G513" s="7">
        <v>126858</v>
      </c>
      <c r="H513" s="7">
        <v>91876</v>
      </c>
      <c r="I513" s="7">
        <v>24</v>
      </c>
      <c r="J513" s="7" t="s">
        <v>104</v>
      </c>
      <c r="K513" s="7" t="s">
        <v>7841</v>
      </c>
      <c r="L513" s="7" t="s">
        <v>2409</v>
      </c>
      <c r="M513" s="14" t="s">
        <v>9158</v>
      </c>
      <c r="N513" s="14" t="s">
        <v>9158</v>
      </c>
      <c r="O513" s="19" t="s">
        <v>10102</v>
      </c>
      <c r="P513" s="14" t="s">
        <v>3672</v>
      </c>
      <c r="Q513" s="14">
        <v>1</v>
      </c>
    </row>
    <row r="514" spans="1:17">
      <c r="A514" s="14">
        <v>69513</v>
      </c>
      <c r="B514" s="14" t="s">
        <v>0</v>
      </c>
      <c r="C514" s="14" t="s">
        <v>158</v>
      </c>
      <c r="D514" s="19" t="s">
        <v>10265</v>
      </c>
      <c r="E514" s="15" t="str">
        <f>HYPERLINK("https://stat100.ameba.jp/tnk47/ratio20/illustrations/card/ill_69513_somedononokisaki03.jpg?202006-i_prefecture_active_user", "■")</f>
        <v>■</v>
      </c>
      <c r="F514" s="14" t="s">
        <v>3674</v>
      </c>
      <c r="G514" s="14">
        <v>79348</v>
      </c>
      <c r="H514" s="14">
        <v>109554</v>
      </c>
      <c r="I514" s="14">
        <v>24</v>
      </c>
      <c r="J514" s="14" t="s">
        <v>187</v>
      </c>
      <c r="K514" s="14" t="s">
        <v>3675</v>
      </c>
      <c r="L514" s="14" t="s">
        <v>13187</v>
      </c>
      <c r="M514" s="14" t="s">
        <v>9158</v>
      </c>
      <c r="N514" s="14" t="s">
        <v>9158</v>
      </c>
      <c r="O514" s="19" t="s">
        <v>2752</v>
      </c>
      <c r="P514" s="14" t="s">
        <v>13173</v>
      </c>
      <c r="Q514" s="14">
        <v>1</v>
      </c>
    </row>
    <row r="515" spans="1:17">
      <c r="A515" s="14">
        <v>75053</v>
      </c>
      <c r="B515" s="14" t="s">
        <v>334</v>
      </c>
      <c r="C515" s="14" t="s">
        <v>47</v>
      </c>
      <c r="D515" s="19" t="s">
        <v>10366</v>
      </c>
      <c r="E515" s="15" t="str">
        <f>HYPERLINK("https://stat100.ameba.jp/tnk47/ratio20/illustrations/card/ill_75053_goshikinuma03.jpg?202006-i_prefecture_active_user", "■")</f>
        <v>■</v>
      </c>
      <c r="F515" s="14" t="s">
        <v>5644</v>
      </c>
      <c r="G515" s="14">
        <v>88624</v>
      </c>
      <c r="H515" s="14">
        <v>122366</v>
      </c>
      <c r="I515" s="14">
        <v>24</v>
      </c>
      <c r="J515" s="14" t="s">
        <v>26</v>
      </c>
      <c r="K515" s="14" t="s">
        <v>5646</v>
      </c>
      <c r="L515" s="14" t="s">
        <v>2137</v>
      </c>
      <c r="M515" s="14" t="s">
        <v>9158</v>
      </c>
      <c r="N515" s="14" t="s">
        <v>9158</v>
      </c>
      <c r="O515" s="19" t="s">
        <v>10093</v>
      </c>
      <c r="P515" s="14" t="s">
        <v>13145</v>
      </c>
      <c r="Q515" s="14">
        <v>1</v>
      </c>
    </row>
    <row r="517" spans="1:17">
      <c r="A517" s="14" t="s">
        <v>13032</v>
      </c>
    </row>
    <row r="518" spans="1:17">
      <c r="A518" s="14" t="s">
        <v>13033</v>
      </c>
    </row>
    <row r="519" spans="1:17">
      <c r="A519" s="14" t="s">
        <v>5618</v>
      </c>
      <c r="B519" s="14" t="s">
        <v>52</v>
      </c>
      <c r="C519" s="14" t="s">
        <v>23</v>
      </c>
      <c r="D519" s="19" t="s">
        <v>665</v>
      </c>
      <c r="E519" s="15" t="str">
        <f>HYPERLINK("https://stat100.ameba.jp/tnk47/ratio20/illustrations/card/ill_63173_0_minazukikonakaiteruko03.jpg?202006-i_prefecture_active_user", "■")</f>
        <v>■</v>
      </c>
      <c r="F519" s="14" t="s">
        <v>1188</v>
      </c>
      <c r="G519" s="14">
        <v>216990</v>
      </c>
      <c r="H519" s="14">
        <v>233360</v>
      </c>
      <c r="I519" s="14">
        <v>25</v>
      </c>
      <c r="J519" s="14" t="s">
        <v>143</v>
      </c>
      <c r="K519" s="14" t="s">
        <v>1189</v>
      </c>
      <c r="L519" s="14" t="s">
        <v>1190</v>
      </c>
      <c r="M519" s="14" t="s">
        <v>9158</v>
      </c>
      <c r="N519" s="14" t="s">
        <v>9158</v>
      </c>
      <c r="O519" s="19" t="s">
        <v>10079</v>
      </c>
      <c r="P519" s="14" t="s">
        <v>3329</v>
      </c>
      <c r="Q519" s="14">
        <v>1</v>
      </c>
    </row>
    <row r="520" spans="1:17">
      <c r="A520" s="14">
        <v>86223</v>
      </c>
      <c r="B520" s="14" t="s">
        <v>0</v>
      </c>
      <c r="C520" s="14" t="s">
        <v>191</v>
      </c>
      <c r="D520" s="20" t="s">
        <v>10881</v>
      </c>
      <c r="E520" s="15" t="str">
        <f>HYPERLINK("https://stat100.ameba.jp/tnk47/ratio20/illustrations/card/ill_86223_oshogatsumiyoshino03.jpg?202006-i_prefecture_active_user", "■")</f>
        <v>■</v>
      </c>
      <c r="F520" s="14" t="s">
        <v>8871</v>
      </c>
      <c r="G520" s="14">
        <v>90759</v>
      </c>
      <c r="H520" s="14">
        <v>97651</v>
      </c>
      <c r="I520" s="14">
        <v>25</v>
      </c>
      <c r="J520" s="14" t="s">
        <v>187</v>
      </c>
      <c r="K520" s="14" t="s">
        <v>8845</v>
      </c>
      <c r="L520" s="14" t="s">
        <v>13212</v>
      </c>
      <c r="M520" s="14" t="s">
        <v>9158</v>
      </c>
      <c r="N520" s="14" t="s">
        <v>9158</v>
      </c>
      <c r="O520" s="19" t="s">
        <v>10119</v>
      </c>
      <c r="P520" s="14" t="s">
        <v>3662</v>
      </c>
      <c r="Q520" s="14">
        <v>1</v>
      </c>
    </row>
    <row r="521" spans="1:17">
      <c r="A521" s="14">
        <v>85483</v>
      </c>
      <c r="B521" s="14" t="s">
        <v>0</v>
      </c>
      <c r="C521" s="14" t="s">
        <v>206</v>
      </c>
      <c r="D521" s="20" t="s">
        <v>10807</v>
      </c>
      <c r="E521" s="15" t="str">
        <f>HYPERLINK("https://stat100.ameba.jp/tnk47/ratio20/illustrations/card/ill_85483_seitankuronikururirimu03.jpg?202006-i_prefecture_active_user", "■")</f>
        <v>■</v>
      </c>
      <c r="F521" s="14" t="s">
        <v>8445</v>
      </c>
      <c r="G521" s="14">
        <v>104162</v>
      </c>
      <c r="H521" s="14">
        <v>96871</v>
      </c>
      <c r="I521" s="14">
        <v>25</v>
      </c>
      <c r="J521" s="14" t="s">
        <v>182</v>
      </c>
      <c r="K521" s="14" t="s">
        <v>8444</v>
      </c>
      <c r="L521" s="14" t="s">
        <v>2308</v>
      </c>
      <c r="M521" s="14" t="s">
        <v>9158</v>
      </c>
      <c r="N521" s="14" t="s">
        <v>9158</v>
      </c>
      <c r="O521" s="19" t="s">
        <v>10086</v>
      </c>
      <c r="P521" s="14" t="s">
        <v>3701</v>
      </c>
      <c r="Q521" s="14">
        <v>1</v>
      </c>
    </row>
    <row r="522" spans="1:17">
      <c r="A522" s="14">
        <v>81143</v>
      </c>
      <c r="B522" s="14" t="s">
        <v>334</v>
      </c>
      <c r="C522" s="14" t="s">
        <v>205</v>
      </c>
      <c r="D522" s="19" t="s">
        <v>10419</v>
      </c>
      <c r="E522" s="15" t="str">
        <f>HYPERLINK("https://stat100.ameba.jp/tnk47/ratio20/illustrations/card/ill_81143_shinryokunokisetsumerompan03.jpg?202006-i_prefecture_active_user", "■")</f>
        <v>■</v>
      </c>
      <c r="F522" s="14" t="s">
        <v>4517</v>
      </c>
      <c r="G522" s="14">
        <v>118063</v>
      </c>
      <c r="H522" s="14">
        <v>109786</v>
      </c>
      <c r="I522" s="14">
        <v>25</v>
      </c>
      <c r="J522" s="14" t="s">
        <v>104</v>
      </c>
      <c r="K522" s="14" t="s">
        <v>4518</v>
      </c>
      <c r="L522" s="14" t="s">
        <v>3489</v>
      </c>
      <c r="M522" s="14" t="s">
        <v>9158</v>
      </c>
      <c r="N522" s="14" t="s">
        <v>9158</v>
      </c>
      <c r="O522" s="19" t="s">
        <v>10111</v>
      </c>
      <c r="P522" s="14" t="s">
        <v>3610</v>
      </c>
      <c r="Q522" s="14">
        <v>1</v>
      </c>
    </row>
    <row r="524" spans="1:17">
      <c r="A524" s="14" t="s">
        <v>13034</v>
      </c>
    </row>
    <row r="525" spans="1:17">
      <c r="A525" s="14" t="s">
        <v>13035</v>
      </c>
    </row>
    <row r="526" spans="1:17">
      <c r="A526" s="14" t="s">
        <v>5725</v>
      </c>
      <c r="B526" s="14" t="s">
        <v>52</v>
      </c>
      <c r="C526" s="14" t="s">
        <v>107</v>
      </c>
      <c r="D526" s="19" t="s">
        <v>543</v>
      </c>
      <c r="E526" s="15" t="str">
        <f>HYPERLINK("https://stat100.ameba.jp/tnk47/ratio20/illustrations/card/ill_52693_0_sengokumibirakiyanagiharabyakuren03.jpg?202006-i_prefecture_active_user", "■")</f>
        <v>■</v>
      </c>
      <c r="F526" s="14" t="s">
        <v>1246</v>
      </c>
      <c r="G526" s="14">
        <v>133938</v>
      </c>
      <c r="H526" s="14">
        <v>150776</v>
      </c>
      <c r="I526" s="14">
        <v>24</v>
      </c>
      <c r="J526" s="14" t="s">
        <v>16</v>
      </c>
      <c r="K526" s="14" t="s">
        <v>1247</v>
      </c>
      <c r="L526" s="14" t="s">
        <v>1248</v>
      </c>
      <c r="M526" s="14" t="s">
        <v>9158</v>
      </c>
      <c r="N526" s="14" t="s">
        <v>9158</v>
      </c>
      <c r="O526" s="19" t="s">
        <v>2886</v>
      </c>
      <c r="P526" s="14" t="s">
        <v>3304</v>
      </c>
      <c r="Q526" s="14">
        <v>1</v>
      </c>
    </row>
    <row r="527" spans="1:17">
      <c r="A527" s="14" t="s">
        <v>5621</v>
      </c>
      <c r="B527" s="14" t="s">
        <v>330</v>
      </c>
      <c r="C527" s="14" t="s">
        <v>191</v>
      </c>
      <c r="D527" s="19" t="s">
        <v>2871</v>
      </c>
      <c r="E527" s="15" t="str">
        <f>HYPERLINK("https://stat100.ameba.jp/tnk47/ratio20/illustrations/card/ill_51973_0_kemonomizugikuroyuridensetsu03.jpg?202006-i_prefecture_active_user", "■")</f>
        <v>■</v>
      </c>
      <c r="F527" s="14" t="s">
        <v>2034</v>
      </c>
      <c r="G527" s="14">
        <v>150776</v>
      </c>
      <c r="H527" s="14">
        <v>133938</v>
      </c>
      <c r="I527" s="14">
        <v>24</v>
      </c>
      <c r="J527" s="14" t="s">
        <v>38</v>
      </c>
      <c r="K527" s="14" t="s">
        <v>2035</v>
      </c>
      <c r="L527" s="14" t="s">
        <v>2036</v>
      </c>
      <c r="M527" s="14" t="s">
        <v>9158</v>
      </c>
      <c r="N527" s="14" t="s">
        <v>9158</v>
      </c>
      <c r="O527" s="19" t="s">
        <v>10088</v>
      </c>
      <c r="P527" s="14" t="s">
        <v>13172</v>
      </c>
      <c r="Q527" s="14">
        <v>1</v>
      </c>
    </row>
    <row r="528" spans="1:17">
      <c r="A528" s="14" t="s">
        <v>5721</v>
      </c>
      <c r="B528" s="14" t="s">
        <v>52</v>
      </c>
      <c r="C528" s="14" t="s">
        <v>1</v>
      </c>
      <c r="D528" s="19" t="s">
        <v>513</v>
      </c>
      <c r="E528" s="15" t="str">
        <f>HYPERLINK("https://stat100.ameba.jp/tnk47/ratio20/illustrations/card/ill_44283_0_izumonokuni03.jpg?202006-i_prefecture_active_user", "■")</f>
        <v>■</v>
      </c>
      <c r="F528" s="14" t="s">
        <v>1716</v>
      </c>
      <c r="G528" s="14">
        <v>140448</v>
      </c>
      <c r="H528" s="14">
        <v>131538</v>
      </c>
      <c r="I528" s="14">
        <v>24</v>
      </c>
      <c r="J528" s="14" t="s">
        <v>16</v>
      </c>
      <c r="K528" s="14" t="s">
        <v>2254</v>
      </c>
      <c r="L528" s="14" t="s">
        <v>1718</v>
      </c>
      <c r="M528" s="14" t="s">
        <v>9158</v>
      </c>
      <c r="N528" s="14" t="s">
        <v>9158</v>
      </c>
      <c r="O528" s="14" t="s">
        <v>9158</v>
      </c>
      <c r="P528" s="14" t="s">
        <v>9158</v>
      </c>
      <c r="Q528" s="14" t="s">
        <v>9158</v>
      </c>
    </row>
    <row r="529" spans="1:18">
      <c r="A529" s="14">
        <v>89473</v>
      </c>
      <c r="B529" s="14" t="s">
        <v>0</v>
      </c>
      <c r="C529" s="14" t="s">
        <v>14</v>
      </c>
      <c r="D529" s="14" t="s">
        <v>12991</v>
      </c>
      <c r="E529" s="15" t="str">
        <f>HYPERLINK("https://stat100.ameba.jp/tnk47/ratio20/illustrations/card/ill_89473_resshanotabikasajizo03.jpg?202006-i_prefecture_active_user", "■")</f>
        <v>■</v>
      </c>
      <c r="F529" s="14" t="s">
        <v>12995</v>
      </c>
      <c r="G529" s="14">
        <v>106050</v>
      </c>
      <c r="H529" s="14">
        <v>98594</v>
      </c>
      <c r="I529" s="7">
        <v>26</v>
      </c>
      <c r="J529" s="14" t="s">
        <v>38</v>
      </c>
      <c r="K529" s="14" t="s">
        <v>12997</v>
      </c>
      <c r="L529" s="14" t="s">
        <v>12998</v>
      </c>
      <c r="M529" s="14" t="s">
        <v>9158</v>
      </c>
      <c r="N529" s="14" t="s">
        <v>9158</v>
      </c>
      <c r="O529" s="14" t="s">
        <v>9158</v>
      </c>
      <c r="P529" s="14" t="s">
        <v>9158</v>
      </c>
      <c r="Q529" s="14" t="s">
        <v>9158</v>
      </c>
    </row>
    <row r="530" spans="1:18">
      <c r="A530" s="14">
        <v>89493</v>
      </c>
      <c r="B530" s="14" t="s">
        <v>15</v>
      </c>
      <c r="C530" s="14" t="s">
        <v>101</v>
      </c>
      <c r="D530" s="14" t="s">
        <v>13007</v>
      </c>
      <c r="E530" s="15" t="str">
        <f>HYPERLINK("https://stat100.ameba.jp/tnk47/ratio20/illustrations/card/ill_89493_fujigoko03.jpg?202006-i_prefecture_active_user", "■")</f>
        <v>■</v>
      </c>
      <c r="F530" s="14" t="s">
        <v>13009</v>
      </c>
      <c r="G530" s="14">
        <v>69898</v>
      </c>
      <c r="H530" s="14">
        <v>77064</v>
      </c>
      <c r="I530" s="7">
        <v>26</v>
      </c>
      <c r="J530" s="14" t="s">
        <v>26</v>
      </c>
      <c r="K530" s="14" t="s">
        <v>13011</v>
      </c>
      <c r="L530" s="14" t="s">
        <v>977</v>
      </c>
      <c r="M530" s="14" t="s">
        <v>9158</v>
      </c>
      <c r="N530" s="14" t="s">
        <v>9158</v>
      </c>
      <c r="O530" s="14" t="s">
        <v>9158</v>
      </c>
      <c r="P530" s="14" t="s">
        <v>9158</v>
      </c>
      <c r="Q530" s="14" t="s">
        <v>9158</v>
      </c>
    </row>
    <row r="531" spans="1:18">
      <c r="A531" s="14">
        <v>89503</v>
      </c>
      <c r="B531" s="14" t="s">
        <v>22</v>
      </c>
      <c r="C531" s="14" t="s">
        <v>23</v>
      </c>
      <c r="D531" s="14" t="s">
        <v>13013</v>
      </c>
      <c r="E531" s="15" t="str">
        <f>HYPERLINK("https://stat100.ameba.jp/tnk47/ratio20/illustrations/card/ill_89503_kansuiheiaku03.jpg?202006-i_prefecture_active_user", "■")</f>
        <v>■</v>
      </c>
      <c r="F531" s="14" t="s">
        <v>13015</v>
      </c>
      <c r="G531" s="14">
        <v>54058</v>
      </c>
      <c r="H531" s="14">
        <v>44948</v>
      </c>
      <c r="I531" s="7">
        <v>26</v>
      </c>
      <c r="J531" s="14" t="s">
        <v>44</v>
      </c>
      <c r="K531" s="14" t="s">
        <v>13017</v>
      </c>
      <c r="L531" s="14" t="s">
        <v>4956</v>
      </c>
      <c r="M531" s="14" t="s">
        <v>9158</v>
      </c>
      <c r="N531" s="14" t="s">
        <v>9158</v>
      </c>
      <c r="O531" s="14" t="s">
        <v>9158</v>
      </c>
      <c r="P531" s="14" t="s">
        <v>9158</v>
      </c>
      <c r="Q531" s="14" t="s">
        <v>9158</v>
      </c>
    </row>
    <row r="532" spans="1:18">
      <c r="A532" s="14">
        <v>89513</v>
      </c>
      <c r="B532" s="14" t="s">
        <v>30</v>
      </c>
      <c r="C532" s="14" t="s">
        <v>29</v>
      </c>
      <c r="D532" s="14" t="s">
        <v>13019</v>
      </c>
      <c r="E532" s="15" t="str">
        <f>HYPERLINK("https://stat100.ameba.jp/tnk47/ratio20/illustrations/card/ill_89513_amerikamura03.jpg?202006-i_prefecture_active_user", "■")</f>
        <v>■</v>
      </c>
      <c r="F532" s="14" t="s">
        <v>13021</v>
      </c>
      <c r="G532" s="14">
        <v>27486</v>
      </c>
      <c r="H532" s="14">
        <v>32728</v>
      </c>
      <c r="I532" s="7">
        <v>26</v>
      </c>
      <c r="J532" s="14" t="s">
        <v>26</v>
      </c>
      <c r="K532" s="14" t="s">
        <v>13022</v>
      </c>
      <c r="L532" s="14" t="s">
        <v>2221</v>
      </c>
      <c r="M532" s="14" t="s">
        <v>9158</v>
      </c>
      <c r="N532" s="14" t="s">
        <v>9158</v>
      </c>
      <c r="O532" s="14" t="s">
        <v>9158</v>
      </c>
      <c r="P532" s="14" t="s">
        <v>9158</v>
      </c>
      <c r="Q532" s="14" t="s">
        <v>9158</v>
      </c>
    </row>
    <row r="534" spans="1:18">
      <c r="A534" s="14" t="s">
        <v>13327</v>
      </c>
    </row>
    <row r="535" spans="1:18">
      <c r="A535" s="14" t="s">
        <v>13036</v>
      </c>
    </row>
    <row r="536" spans="1:18">
      <c r="A536" s="14">
        <v>82213</v>
      </c>
      <c r="B536" s="14" t="s">
        <v>0</v>
      </c>
      <c r="C536" s="14" t="s">
        <v>185</v>
      </c>
      <c r="D536" s="19" t="s">
        <v>10185</v>
      </c>
      <c r="E536" s="15" t="str">
        <f>HYPERLINK("https://stat100.ameba.jp/tnk47/ratio20/illustrations/card/ill_82213_tatarimokke03.jpg?202006-i_prefecture_active_user", "■")</f>
        <v>■</v>
      </c>
      <c r="F536" s="14" t="s">
        <v>4935</v>
      </c>
      <c r="G536" s="14">
        <v>123583</v>
      </c>
      <c r="H536" s="14">
        <v>132922</v>
      </c>
      <c r="I536" s="7">
        <v>27</v>
      </c>
      <c r="J536" s="14" t="s">
        <v>182</v>
      </c>
      <c r="K536" s="14" t="s">
        <v>4937</v>
      </c>
      <c r="L536" s="14" t="s">
        <v>13191</v>
      </c>
      <c r="M536" s="14" t="s">
        <v>13130</v>
      </c>
      <c r="N536" s="14" t="s">
        <v>343</v>
      </c>
      <c r="O536" s="14" t="s">
        <v>9158</v>
      </c>
      <c r="P536" s="14" t="s">
        <v>9158</v>
      </c>
      <c r="Q536" s="14" t="s">
        <v>9158</v>
      </c>
      <c r="R536" s="14" t="s">
        <v>14748</v>
      </c>
    </row>
    <row r="537" spans="1:18">
      <c r="A537" s="14">
        <v>82212</v>
      </c>
      <c r="B537" s="14" t="s">
        <v>334</v>
      </c>
      <c r="C537" s="14" t="s">
        <v>185</v>
      </c>
      <c r="D537" s="19" t="s">
        <v>10185</v>
      </c>
      <c r="E537" s="15" t="str">
        <f>HYPERLINK("https://stat100.ameba.jp/tnk47/ratio20/illustrations/card/ill_82212_tatarimokke02.jpg?202006-i_prefecture_active_user", "■")</f>
        <v>■</v>
      </c>
      <c r="F537" s="14" t="s">
        <v>4935</v>
      </c>
      <c r="G537" s="14">
        <v>102356</v>
      </c>
      <c r="H537" s="14">
        <v>111115</v>
      </c>
      <c r="I537" s="7">
        <v>27</v>
      </c>
      <c r="J537" s="14" t="s">
        <v>182</v>
      </c>
      <c r="K537" s="14" t="s">
        <v>4937</v>
      </c>
      <c r="L537" s="14" t="s">
        <v>13191</v>
      </c>
      <c r="M537" s="14" t="s">
        <v>13131</v>
      </c>
      <c r="N537" s="14" t="s">
        <v>251</v>
      </c>
      <c r="O537" s="14" t="s">
        <v>9158</v>
      </c>
      <c r="P537" s="14" t="s">
        <v>9158</v>
      </c>
      <c r="Q537" s="14" t="s">
        <v>9158</v>
      </c>
      <c r="R537" s="14" t="s">
        <v>14748</v>
      </c>
    </row>
    <row r="538" spans="1:18">
      <c r="A538" s="14">
        <v>82211</v>
      </c>
      <c r="B538" s="14" t="s">
        <v>0</v>
      </c>
      <c r="C538" s="14" t="s">
        <v>185</v>
      </c>
      <c r="D538" s="19" t="s">
        <v>10185</v>
      </c>
      <c r="E538" s="15" t="str">
        <f>HYPERLINK("https://stat100.ameba.jp/tnk47/ratio20/illustrations/card/ill_82211_tatarimokke01.jpg?202006-i_prefecture_active_user", "■")</f>
        <v>■</v>
      </c>
      <c r="F538" s="14" t="s">
        <v>4935</v>
      </c>
      <c r="G538" s="14">
        <v>78975</v>
      </c>
      <c r="H538" s="14">
        <v>84834</v>
      </c>
      <c r="I538" s="7">
        <v>27</v>
      </c>
      <c r="J538" s="14" t="s">
        <v>182</v>
      </c>
      <c r="K538" s="14" t="s">
        <v>4937</v>
      </c>
      <c r="L538" s="14" t="s">
        <v>13191</v>
      </c>
      <c r="M538" s="14" t="s">
        <v>13131</v>
      </c>
      <c r="N538" s="14" t="s">
        <v>251</v>
      </c>
      <c r="O538" s="14" t="s">
        <v>9158</v>
      </c>
      <c r="P538" s="14" t="s">
        <v>9158</v>
      </c>
      <c r="Q538" s="14" t="s">
        <v>9158</v>
      </c>
      <c r="R538" s="14" t="s">
        <v>14748</v>
      </c>
    </row>
    <row r="539" spans="1:18">
      <c r="A539" s="14">
        <v>82223</v>
      </c>
      <c r="B539" s="14" t="s">
        <v>334</v>
      </c>
      <c r="C539" s="14" t="s">
        <v>200</v>
      </c>
      <c r="D539" s="19" t="s">
        <v>10186</v>
      </c>
      <c r="E539" s="15" t="str">
        <f>HYPERLINK("https://stat100.ameba.jp/tnk47/ratio20/illustrations/card/ill_82223_oyayubihime03.jpg?202006-i_prefecture_active_user", "■")</f>
        <v>■</v>
      </c>
      <c r="F539" s="14" t="s">
        <v>4931</v>
      </c>
      <c r="G539" s="14">
        <v>132922</v>
      </c>
      <c r="H539" s="14">
        <v>123583</v>
      </c>
      <c r="I539" s="7">
        <v>27</v>
      </c>
      <c r="J539" s="14" t="s">
        <v>155</v>
      </c>
      <c r="K539" s="14" t="s">
        <v>4933</v>
      </c>
      <c r="L539" s="14" t="s">
        <v>4934</v>
      </c>
      <c r="M539" s="14" t="s">
        <v>13130</v>
      </c>
      <c r="N539" s="14" t="s">
        <v>343</v>
      </c>
      <c r="O539" s="14" t="s">
        <v>9158</v>
      </c>
      <c r="P539" s="14" t="s">
        <v>9158</v>
      </c>
      <c r="Q539" s="14" t="s">
        <v>9158</v>
      </c>
      <c r="R539" s="14" t="s">
        <v>14748</v>
      </c>
    </row>
    <row r="540" spans="1:18">
      <c r="A540" s="14">
        <v>82233</v>
      </c>
      <c r="B540" s="14" t="s">
        <v>334</v>
      </c>
      <c r="C540" s="14" t="s">
        <v>191</v>
      </c>
      <c r="D540" s="19" t="s">
        <v>10187</v>
      </c>
      <c r="E540" s="15" t="str">
        <f>HYPERLINK("https://stat100.ameba.jp/tnk47/ratio20/illustrations/card/ill_82233_iseokiku03.jpg?202006-i_prefecture_active_user", "■")</f>
        <v>■</v>
      </c>
      <c r="F540" s="14" t="s">
        <v>4924</v>
      </c>
      <c r="G540" s="14">
        <v>132922</v>
      </c>
      <c r="H540" s="14">
        <v>123583</v>
      </c>
      <c r="I540" s="7">
        <v>27</v>
      </c>
      <c r="J540" s="14" t="s">
        <v>187</v>
      </c>
      <c r="K540" s="14" t="s">
        <v>4926</v>
      </c>
      <c r="L540" s="14" t="s">
        <v>4930</v>
      </c>
      <c r="M540" s="14" t="s">
        <v>13130</v>
      </c>
      <c r="N540" s="14" t="s">
        <v>343</v>
      </c>
      <c r="O540" s="14" t="s">
        <v>9158</v>
      </c>
      <c r="P540" s="14" t="s">
        <v>9158</v>
      </c>
      <c r="Q540" s="14" t="s">
        <v>9158</v>
      </c>
      <c r="R540" s="14" t="s">
        <v>14748</v>
      </c>
    </row>
    <row r="541" spans="1:18">
      <c r="A541" s="14">
        <v>82243</v>
      </c>
      <c r="B541" s="14" t="s">
        <v>0</v>
      </c>
      <c r="C541" s="14" t="s">
        <v>165</v>
      </c>
      <c r="D541" s="19" t="s">
        <v>10188</v>
      </c>
      <c r="E541" s="15" t="str">
        <f>HYPERLINK("https://stat100.ameba.jp/tnk47/ratio20/illustrations/card/ill_82243_nanohana03.jpg?202006-i_prefecture_active_user", "■")</f>
        <v>■</v>
      </c>
      <c r="F541" s="14" t="s">
        <v>4921</v>
      </c>
      <c r="G541" s="14">
        <v>132922</v>
      </c>
      <c r="H541" s="14">
        <v>123583</v>
      </c>
      <c r="I541" s="7">
        <v>27</v>
      </c>
      <c r="J541" s="14" t="s">
        <v>229</v>
      </c>
      <c r="K541" s="14" t="s">
        <v>4923</v>
      </c>
      <c r="L541" s="14" t="s">
        <v>4929</v>
      </c>
      <c r="M541" s="14" t="s">
        <v>13130</v>
      </c>
      <c r="N541" s="14" t="s">
        <v>343</v>
      </c>
      <c r="O541" s="14" t="s">
        <v>9158</v>
      </c>
      <c r="P541" s="14" t="s">
        <v>9158</v>
      </c>
      <c r="Q541" s="14" t="s">
        <v>9158</v>
      </c>
      <c r="R541" s="14" t="s">
        <v>14748</v>
      </c>
    </row>
    <row r="542" spans="1:18">
      <c r="A542" s="14">
        <v>82253</v>
      </c>
      <c r="B542" s="14" t="s">
        <v>334</v>
      </c>
      <c r="C542" s="14" t="s">
        <v>205</v>
      </c>
      <c r="D542" s="19" t="s">
        <v>10189</v>
      </c>
      <c r="E542" s="15" t="str">
        <f>HYPERLINK("https://stat100.ameba.jp/tnk47/ratio20/illustrations/card/ill_82253_ajisaikyogokuichiko03.jpg?202006-i_prefecture_active_user", "■")</f>
        <v>■</v>
      </c>
      <c r="F542" s="14" t="s">
        <v>4920</v>
      </c>
      <c r="G542" s="14">
        <v>123583</v>
      </c>
      <c r="H542" s="14">
        <v>132922</v>
      </c>
      <c r="I542" s="7">
        <v>27</v>
      </c>
      <c r="J542" s="14" t="s">
        <v>159</v>
      </c>
      <c r="K542" s="14" t="s">
        <v>4919</v>
      </c>
      <c r="L542" s="14" t="s">
        <v>4927</v>
      </c>
      <c r="M542" s="14" t="s">
        <v>13130</v>
      </c>
      <c r="N542" s="14" t="s">
        <v>343</v>
      </c>
      <c r="O542" s="14" t="s">
        <v>9158</v>
      </c>
      <c r="P542" s="14" t="s">
        <v>9158</v>
      </c>
      <c r="Q542" s="14" t="s">
        <v>9158</v>
      </c>
      <c r="R542" s="14" t="s">
        <v>14748</v>
      </c>
    </row>
    <row r="543" spans="1:18">
      <c r="A543" s="14">
        <v>82263</v>
      </c>
      <c r="B543" s="14" t="s">
        <v>334</v>
      </c>
      <c r="C543" s="14" t="s">
        <v>206</v>
      </c>
      <c r="D543" s="19" t="s">
        <v>10190</v>
      </c>
      <c r="E543" s="15" t="str">
        <f>HYPERLINK("https://stat100.ameba.jp/tnk47/ratio20/illustrations/card/ill_82263_euterupe03.jpg?202006-i_prefecture_active_user", "■")</f>
        <v>■</v>
      </c>
      <c r="F543" s="14" t="s">
        <v>4915</v>
      </c>
      <c r="G543" s="14">
        <v>123583</v>
      </c>
      <c r="H543" s="14">
        <v>132922</v>
      </c>
      <c r="I543" s="7">
        <v>27</v>
      </c>
      <c r="J543" s="14" t="s">
        <v>169</v>
      </c>
      <c r="K543" s="14" t="s">
        <v>4917</v>
      </c>
      <c r="L543" s="14" t="s">
        <v>4928</v>
      </c>
      <c r="M543" s="14" t="s">
        <v>13130</v>
      </c>
      <c r="N543" s="14" t="s">
        <v>343</v>
      </c>
      <c r="O543" s="14" t="s">
        <v>9158</v>
      </c>
      <c r="P543" s="14" t="s">
        <v>9158</v>
      </c>
      <c r="Q543" s="14" t="s">
        <v>9158</v>
      </c>
      <c r="R543" s="14" t="s">
        <v>14748</v>
      </c>
    </row>
    <row r="545" spans="1:18">
      <c r="A545" s="14" t="s">
        <v>13037</v>
      </c>
    </row>
    <row r="546" spans="1:18">
      <c r="A546" s="14" t="s">
        <v>13038</v>
      </c>
    </row>
    <row r="547" spans="1:18">
      <c r="A547" s="9" t="s">
        <v>5642</v>
      </c>
      <c r="B547" s="14" t="s">
        <v>52</v>
      </c>
      <c r="C547" s="14" t="s">
        <v>185</v>
      </c>
      <c r="D547" s="14" t="s">
        <v>2430</v>
      </c>
      <c r="E547" s="15" t="str">
        <f>HYPERLINK("https://stat100.ameba.jp/tnk47/ratio20/illustrations/card/ill_69593_0_setsubunyukionna03.jpg?202006-5-RELEASE-marathon-476", "■")</f>
        <v>■</v>
      </c>
      <c r="F547" s="14" t="s">
        <v>2431</v>
      </c>
      <c r="G547" s="14">
        <v>157150</v>
      </c>
      <c r="H547" s="14">
        <v>169032</v>
      </c>
      <c r="I547" s="14">
        <v>22</v>
      </c>
      <c r="J547" s="14" t="s">
        <v>73</v>
      </c>
      <c r="K547" s="14" t="s">
        <v>2432</v>
      </c>
      <c r="L547" s="14" t="s">
        <v>2433</v>
      </c>
      <c r="M547" s="14" t="s">
        <v>9158</v>
      </c>
      <c r="N547" s="14" t="s">
        <v>9158</v>
      </c>
      <c r="O547" s="9" t="s">
        <v>3599</v>
      </c>
      <c r="P547" s="14" t="s">
        <v>3600</v>
      </c>
      <c r="Q547" s="14">
        <v>2</v>
      </c>
    </row>
    <row r="548" spans="1:18">
      <c r="A548" s="14" t="s">
        <v>5606</v>
      </c>
      <c r="B548" s="14" t="s">
        <v>52</v>
      </c>
      <c r="C548" s="14" t="s">
        <v>206</v>
      </c>
      <c r="D548" s="19" t="s">
        <v>2936</v>
      </c>
      <c r="E548" s="15" t="str">
        <f>HYPERLINK("https://stat100.ameba.jp/tnk47/ratio20/illustrations/card/ill_72233_0_koinoboriryugujin03.jpg?202006-5-RELEASE-marathon-476", "■")</f>
        <v>■</v>
      </c>
      <c r="F548" s="14" t="s">
        <v>1012</v>
      </c>
      <c r="G548" s="14">
        <v>144312</v>
      </c>
      <c r="H548" s="14">
        <v>155224</v>
      </c>
      <c r="I548" s="14">
        <v>22</v>
      </c>
      <c r="J548" s="14" t="s">
        <v>44</v>
      </c>
      <c r="K548" s="14" t="s">
        <v>1013</v>
      </c>
      <c r="L548" s="14" t="s">
        <v>1014</v>
      </c>
      <c r="M548" s="14" t="s">
        <v>9158</v>
      </c>
      <c r="N548" s="14" t="s">
        <v>9158</v>
      </c>
      <c r="O548" s="7" t="s">
        <v>3419</v>
      </c>
      <c r="P548" s="14" t="s">
        <v>3420</v>
      </c>
      <c r="Q548" s="14">
        <v>2</v>
      </c>
    </row>
    <row r="549" spans="1:18">
      <c r="A549" s="14" t="s">
        <v>9473</v>
      </c>
      <c r="B549" s="14" t="s">
        <v>330</v>
      </c>
      <c r="C549" s="14" t="s">
        <v>191</v>
      </c>
      <c r="D549" s="19" t="s">
        <v>393</v>
      </c>
      <c r="E549" s="15" t="str">
        <f>HYPERLINK("https://stat100.ameba.jp/tnk47/ratio20/illustrations/card/ill_46283_0_odanobunaga03.jpg?202006-5-RELEASE-marathon-476", "■")</f>
        <v>■</v>
      </c>
      <c r="F549" s="14" t="s">
        <v>1073</v>
      </c>
      <c r="G549" s="14">
        <v>120576</v>
      </c>
      <c r="H549" s="14">
        <v>128744</v>
      </c>
      <c r="I549" s="14">
        <v>22</v>
      </c>
      <c r="J549" s="14" t="s">
        <v>143</v>
      </c>
      <c r="K549" s="14" t="s">
        <v>1074</v>
      </c>
      <c r="L549" s="14" t="s">
        <v>1075</v>
      </c>
      <c r="M549" s="14" t="s">
        <v>9158</v>
      </c>
      <c r="N549" s="14" t="s">
        <v>9158</v>
      </c>
      <c r="O549" s="9" t="s">
        <v>9158</v>
      </c>
      <c r="P549" s="14" t="s">
        <v>9158</v>
      </c>
      <c r="Q549" s="14" t="s">
        <v>9158</v>
      </c>
    </row>
    <row r="550" spans="1:18">
      <c r="A550" s="14">
        <v>66793</v>
      </c>
      <c r="B550" s="14" t="s">
        <v>334</v>
      </c>
      <c r="C550" s="14" t="s">
        <v>185</v>
      </c>
      <c r="D550" s="19" t="s">
        <v>10198</v>
      </c>
      <c r="E550" s="15" t="str">
        <f>HYPERLINK("https://stat100.ameba.jp/tnk47/ratio20/illustrations/card/ill_66793_mitsuishinokami03.jpg?202006-5-RELEASE-marathon-476", "■")</f>
        <v>■</v>
      </c>
      <c r="F550" s="14" t="s">
        <v>963</v>
      </c>
      <c r="G550" s="14">
        <v>73678</v>
      </c>
      <c r="H550" s="14">
        <v>130968</v>
      </c>
      <c r="I550" s="14">
        <v>26</v>
      </c>
      <c r="J550" s="14" t="s">
        <v>44</v>
      </c>
      <c r="K550" s="14" t="s">
        <v>964</v>
      </c>
      <c r="L550" s="14" t="s">
        <v>965</v>
      </c>
      <c r="M550" s="14" t="s">
        <v>9158</v>
      </c>
      <c r="N550" s="14" t="s">
        <v>9158</v>
      </c>
      <c r="O550" s="14" t="s">
        <v>9158</v>
      </c>
      <c r="P550" s="14" t="s">
        <v>9158</v>
      </c>
      <c r="Q550" s="14" t="s">
        <v>9158</v>
      </c>
    </row>
    <row r="551" spans="1:18">
      <c r="A551" s="7">
        <v>57243</v>
      </c>
      <c r="B551" s="14" t="s">
        <v>334</v>
      </c>
      <c r="C551" s="14" t="s">
        <v>23</v>
      </c>
      <c r="D551" s="20" t="s">
        <v>547</v>
      </c>
      <c r="E551" s="15" t="str">
        <f>HYPERLINK("https://stat100.ameba.jp/tnk47/ratio20/illustrations/card/ill_57243_mizunoyahanryusai03.jpg?202006-5-RELEASE-marathon-476", "■")</f>
        <v>■</v>
      </c>
      <c r="F551" s="14" t="s">
        <v>1740</v>
      </c>
      <c r="G551" s="14">
        <v>93172</v>
      </c>
      <c r="H551" s="14">
        <v>154128</v>
      </c>
      <c r="I551" s="14">
        <v>26</v>
      </c>
      <c r="J551" s="14" t="s">
        <v>310</v>
      </c>
      <c r="K551" s="14" t="s">
        <v>1741</v>
      </c>
      <c r="L551" s="14" t="s">
        <v>1742</v>
      </c>
      <c r="M551" s="14" t="s">
        <v>9158</v>
      </c>
      <c r="N551" s="14" t="s">
        <v>9158</v>
      </c>
      <c r="O551" s="14" t="s">
        <v>9158</v>
      </c>
      <c r="P551" s="14" t="s">
        <v>9158</v>
      </c>
      <c r="Q551" s="14" t="s">
        <v>9158</v>
      </c>
    </row>
    <row r="552" spans="1:18">
      <c r="A552" s="14">
        <v>71833</v>
      </c>
      <c r="B552" s="14" t="s">
        <v>334</v>
      </c>
      <c r="C552" s="14" t="s">
        <v>165</v>
      </c>
      <c r="D552" s="19" t="s">
        <v>10294</v>
      </c>
      <c r="E552" s="15" t="str">
        <f>HYPERLINK("https://stat100.ameba.jp/tnk47/ratio20/illustrations/card/ill_71833_autodoanuregamidoji03.jpg?202006-5-RELEASE-marathon-476", "■")</f>
        <v>■</v>
      </c>
      <c r="F552" s="14" t="s">
        <v>5291</v>
      </c>
      <c r="G552" s="14">
        <v>100744</v>
      </c>
      <c r="H552" s="14">
        <v>108330</v>
      </c>
      <c r="I552" s="14">
        <v>26</v>
      </c>
      <c r="J552" s="14" t="s">
        <v>320</v>
      </c>
      <c r="K552" s="14" t="s">
        <v>4244</v>
      </c>
      <c r="L552" s="14" t="s">
        <v>4245</v>
      </c>
      <c r="M552" s="14" t="s">
        <v>9158</v>
      </c>
      <c r="N552" s="14" t="s">
        <v>9158</v>
      </c>
      <c r="O552" s="14" t="s">
        <v>9158</v>
      </c>
      <c r="P552" s="14" t="s">
        <v>9158</v>
      </c>
      <c r="Q552" s="14" t="s">
        <v>9158</v>
      </c>
    </row>
    <row r="554" spans="1:18">
      <c r="A554" s="7" t="s">
        <v>13327</v>
      </c>
      <c r="B554" s="7"/>
      <c r="C554" s="7"/>
      <c r="D554" s="7"/>
      <c r="E554" s="7"/>
      <c r="F554" s="7"/>
      <c r="G554" s="7"/>
      <c r="H554" s="9"/>
      <c r="I554" s="7"/>
      <c r="J554" s="7"/>
      <c r="K554" s="7"/>
      <c r="L554" s="7"/>
      <c r="M554" s="7"/>
      <c r="N554" s="7"/>
      <c r="O554" s="7"/>
      <c r="P554" s="7"/>
      <c r="Q554" s="7"/>
      <c r="R554" s="7"/>
    </row>
    <row r="555" spans="1:18">
      <c r="A555" s="7" t="s">
        <v>13039</v>
      </c>
      <c r="B555" s="7"/>
      <c r="C555" s="7"/>
      <c r="D555" s="7"/>
      <c r="E555" s="7"/>
      <c r="F555" s="7"/>
      <c r="G555" s="7"/>
      <c r="H555" s="9"/>
      <c r="I555" s="7"/>
      <c r="J555" s="7"/>
      <c r="K555" s="7"/>
      <c r="L555" s="7"/>
      <c r="M555" s="7"/>
      <c r="N555" s="7"/>
      <c r="O555" s="7"/>
      <c r="P555" s="7"/>
      <c r="Q555" s="7"/>
      <c r="R555" s="7"/>
    </row>
    <row r="556" spans="1:18">
      <c r="A556" s="14">
        <v>88153</v>
      </c>
      <c r="B556" s="14" t="s">
        <v>334</v>
      </c>
      <c r="C556" s="14" t="s">
        <v>14</v>
      </c>
      <c r="D556" s="6" t="s">
        <v>10011</v>
      </c>
      <c r="E556" s="15" t="str">
        <f>HYPERLINK("https://stat100.ameba.jp/tnk47/ratio20/illustrations/card/ill_88153_sunofueari03.jpg?202006-5-RELEASE-marathon-476", "■")</f>
        <v>■</v>
      </c>
      <c r="F556" s="14" t="s">
        <v>9960</v>
      </c>
      <c r="G556" s="14">
        <v>132922</v>
      </c>
      <c r="H556" s="14">
        <v>123583</v>
      </c>
      <c r="I556" s="14">
        <v>27</v>
      </c>
      <c r="J556" s="14" t="s">
        <v>169</v>
      </c>
      <c r="K556" s="14" t="s">
        <v>9961</v>
      </c>
      <c r="L556" s="14" t="s">
        <v>9962</v>
      </c>
      <c r="M556" s="14" t="s">
        <v>13130</v>
      </c>
      <c r="N556" s="14" t="s">
        <v>343</v>
      </c>
      <c r="O556" s="14" t="s">
        <v>9158</v>
      </c>
      <c r="P556" s="14" t="s">
        <v>9158</v>
      </c>
      <c r="Q556" s="14" t="s">
        <v>9158</v>
      </c>
    </row>
    <row r="557" spans="1:18">
      <c r="A557" s="14">
        <v>88152</v>
      </c>
      <c r="B557" s="14" t="s">
        <v>334</v>
      </c>
      <c r="C557" s="14" t="s">
        <v>14</v>
      </c>
      <c r="D557" s="6" t="s">
        <v>10011</v>
      </c>
      <c r="E557" s="15" t="str">
        <f>HYPERLINK("https://stat100.ameba.jp/tnk47/ratio20/illustrations/card/ill_88152_sunofueari02.jpg?202006-5-RELEASE-marathon-476", "■")</f>
        <v>■</v>
      </c>
      <c r="F557" s="14" t="s">
        <v>9960</v>
      </c>
      <c r="G557" s="14">
        <v>111115</v>
      </c>
      <c r="H557" s="14">
        <v>102356</v>
      </c>
      <c r="I557" s="14">
        <v>27</v>
      </c>
      <c r="J557" s="14" t="s">
        <v>169</v>
      </c>
      <c r="K557" s="14" t="s">
        <v>9961</v>
      </c>
      <c r="L557" s="14" t="s">
        <v>9962</v>
      </c>
      <c r="M557" s="14" t="s">
        <v>13131</v>
      </c>
      <c r="N557" s="14" t="s">
        <v>251</v>
      </c>
      <c r="O557" s="14" t="s">
        <v>9158</v>
      </c>
      <c r="P557" s="14" t="s">
        <v>9158</v>
      </c>
      <c r="Q557" s="14" t="s">
        <v>9158</v>
      </c>
    </row>
    <row r="558" spans="1:18">
      <c r="A558" s="14">
        <v>88151</v>
      </c>
      <c r="B558" s="14" t="s">
        <v>0</v>
      </c>
      <c r="C558" s="14" t="s">
        <v>14</v>
      </c>
      <c r="D558" s="6" t="s">
        <v>10011</v>
      </c>
      <c r="E558" s="15" t="str">
        <f>HYPERLINK("https://stat100.ameba.jp/tnk47/ratio20/illustrations/card/ill_88151_sunofueari01.jpg?202006-5-RELEASE-marathon-476", "■")</f>
        <v>■</v>
      </c>
      <c r="F558" s="14" t="s">
        <v>9960</v>
      </c>
      <c r="G558" s="14">
        <v>84834</v>
      </c>
      <c r="H558" s="14">
        <v>78975</v>
      </c>
      <c r="I558" s="14">
        <v>27</v>
      </c>
      <c r="J558" s="14" t="s">
        <v>169</v>
      </c>
      <c r="K558" s="14" t="s">
        <v>9961</v>
      </c>
      <c r="L558" s="14" t="s">
        <v>9962</v>
      </c>
      <c r="M558" s="14" t="s">
        <v>13131</v>
      </c>
      <c r="N558" s="14" t="s">
        <v>251</v>
      </c>
      <c r="O558" s="14" t="s">
        <v>9158</v>
      </c>
      <c r="P558" s="14" t="s">
        <v>9158</v>
      </c>
      <c r="Q558" s="14" t="s">
        <v>9158</v>
      </c>
    </row>
    <row r="559" spans="1:18">
      <c r="A559" s="14">
        <v>88163</v>
      </c>
      <c r="B559" s="14" t="s">
        <v>334</v>
      </c>
      <c r="C559" s="14" t="s">
        <v>23</v>
      </c>
      <c r="D559" s="6" t="s">
        <v>10012</v>
      </c>
      <c r="E559" s="15" t="str">
        <f>HYPERLINK("https://stat100.ameba.jp/tnk47/ratio20/illustrations/card/ill_88163_shitsujitanteimagi03.jpg?202006-5-RELEASE-marathon-476", "■")</f>
        <v>■</v>
      </c>
      <c r="F559" s="14" t="s">
        <v>9963</v>
      </c>
      <c r="G559" s="14">
        <v>132922</v>
      </c>
      <c r="H559" s="14">
        <v>123583</v>
      </c>
      <c r="I559" s="14">
        <v>27</v>
      </c>
      <c r="J559" s="14" t="s">
        <v>159</v>
      </c>
      <c r="K559" s="14" t="s">
        <v>9964</v>
      </c>
      <c r="L559" s="14" t="s">
        <v>9965</v>
      </c>
      <c r="M559" s="14" t="s">
        <v>13130</v>
      </c>
      <c r="N559" s="14" t="s">
        <v>343</v>
      </c>
      <c r="O559" s="14" t="s">
        <v>9158</v>
      </c>
      <c r="P559" s="14" t="s">
        <v>9158</v>
      </c>
      <c r="Q559" s="14" t="s">
        <v>9158</v>
      </c>
    </row>
    <row r="560" spans="1:18">
      <c r="A560" s="14">
        <v>88173</v>
      </c>
      <c r="B560" s="14" t="s">
        <v>334</v>
      </c>
      <c r="C560" s="14" t="s">
        <v>101</v>
      </c>
      <c r="D560" s="6" t="s">
        <v>10013</v>
      </c>
      <c r="E560" s="15" t="str">
        <f>HYPERLINK("https://stat100.ameba.jp/tnk47/ratio20/illustrations/card/ill_88173_pichipurinsesu03.jpg?202006-5-RELEASE-marathon-476", "■")</f>
        <v>■</v>
      </c>
      <c r="F560" s="14" t="s">
        <v>9966</v>
      </c>
      <c r="G560" s="14">
        <v>123583</v>
      </c>
      <c r="H560" s="14">
        <v>132922</v>
      </c>
      <c r="I560" s="14">
        <v>27</v>
      </c>
      <c r="J560" s="14" t="s">
        <v>187</v>
      </c>
      <c r="K560" s="14" t="s">
        <v>9967</v>
      </c>
      <c r="L560" s="14" t="s">
        <v>9968</v>
      </c>
      <c r="M560" s="14" t="s">
        <v>13130</v>
      </c>
      <c r="N560" s="14" t="s">
        <v>343</v>
      </c>
      <c r="O560" s="14" t="s">
        <v>9158</v>
      </c>
      <c r="P560" s="14" t="s">
        <v>9158</v>
      </c>
      <c r="Q560" s="14" t="s">
        <v>9158</v>
      </c>
    </row>
    <row r="561" spans="1:17">
      <c r="A561" s="14">
        <v>88183</v>
      </c>
      <c r="B561" s="14" t="s">
        <v>0</v>
      </c>
      <c r="C561" s="14" t="s">
        <v>96</v>
      </c>
      <c r="D561" s="6" t="s">
        <v>10014</v>
      </c>
      <c r="E561" s="15" t="str">
        <f>HYPERLINK("https://stat100.ameba.jp/tnk47/ratio20/illustrations/card/ill_88183_saikiringugaru03.jpg?202006-5-RELEASE-marathon-476", "■")</f>
        <v>■</v>
      </c>
      <c r="F561" s="14" t="s">
        <v>9969</v>
      </c>
      <c r="G561" s="14">
        <v>123583</v>
      </c>
      <c r="H561" s="14">
        <v>132922</v>
      </c>
      <c r="I561" s="14">
        <v>27</v>
      </c>
      <c r="J561" s="14" t="s">
        <v>182</v>
      </c>
      <c r="K561" s="14" t="s">
        <v>9970</v>
      </c>
      <c r="L561" s="14" t="s">
        <v>9971</v>
      </c>
      <c r="M561" s="14" t="s">
        <v>13130</v>
      </c>
      <c r="N561" s="14" t="s">
        <v>343</v>
      </c>
      <c r="O561" s="14" t="s">
        <v>9158</v>
      </c>
      <c r="P561" s="14" t="s">
        <v>9158</v>
      </c>
      <c r="Q561" s="14" t="s">
        <v>9158</v>
      </c>
    </row>
    <row r="562" spans="1:17">
      <c r="A562" s="14">
        <v>88193</v>
      </c>
      <c r="B562" s="14" t="s">
        <v>334</v>
      </c>
      <c r="C562" s="14" t="s">
        <v>205</v>
      </c>
      <c r="D562" s="6" t="s">
        <v>10015</v>
      </c>
      <c r="E562" s="15" t="str">
        <f>HYPERLINK("https://stat100.ameba.jp/tnk47/ratio20/illustrations/card/ill_88193_sakasunomajo03.jpg?202006-5-RELEASE-marathon-476", "■")</f>
        <v>■</v>
      </c>
      <c r="F562" s="14" t="s">
        <v>9972</v>
      </c>
      <c r="G562" s="14">
        <v>123583</v>
      </c>
      <c r="H562" s="14">
        <v>132922</v>
      </c>
      <c r="I562" s="14">
        <v>27</v>
      </c>
      <c r="J562" s="14" t="s">
        <v>155</v>
      </c>
      <c r="K562" s="14" t="s">
        <v>9977</v>
      </c>
      <c r="L562" s="14" t="s">
        <v>9973</v>
      </c>
      <c r="M562" s="14" t="s">
        <v>13130</v>
      </c>
      <c r="N562" s="14" t="s">
        <v>343</v>
      </c>
      <c r="O562" s="14" t="s">
        <v>9158</v>
      </c>
      <c r="P562" s="14" t="s">
        <v>9158</v>
      </c>
      <c r="Q562" s="14" t="s">
        <v>9158</v>
      </c>
    </row>
    <row r="563" spans="1:17">
      <c r="A563" s="14">
        <v>88203</v>
      </c>
      <c r="B563" s="14" t="s">
        <v>334</v>
      </c>
      <c r="C563" s="14" t="s">
        <v>107</v>
      </c>
      <c r="D563" s="6" t="s">
        <v>10016</v>
      </c>
      <c r="E563" s="15" t="str">
        <f>HYPERLINK("https://stat100.ameba.jp/tnk47/ratio20/illustrations/card/ill_88203_soingumasuta03.jpg?202006-5-RELEASE-marathon-476", "■")</f>
        <v>■</v>
      </c>
      <c r="F563" s="14" t="s">
        <v>9976</v>
      </c>
      <c r="G563" s="14">
        <v>132922</v>
      </c>
      <c r="H563" s="14">
        <v>123583</v>
      </c>
      <c r="I563" s="14">
        <v>27</v>
      </c>
      <c r="J563" s="14" t="s">
        <v>173</v>
      </c>
      <c r="K563" s="14" t="s">
        <v>9974</v>
      </c>
      <c r="L563" s="14" t="s">
        <v>9975</v>
      </c>
      <c r="M563" s="14" t="s">
        <v>13130</v>
      </c>
      <c r="N563" s="14" t="s">
        <v>343</v>
      </c>
      <c r="O563" s="14" t="s">
        <v>9158</v>
      </c>
      <c r="P563" s="14" t="s">
        <v>9158</v>
      </c>
      <c r="Q563" s="14" t="s">
        <v>9158</v>
      </c>
    </row>
    <row r="565" spans="1:17">
      <c r="A565" s="14" t="s">
        <v>13042</v>
      </c>
    </row>
    <row r="566" spans="1:17">
      <c r="A566" s="14" t="s">
        <v>13041</v>
      </c>
    </row>
    <row r="567" spans="1:17">
      <c r="A567" s="14" t="s">
        <v>5607</v>
      </c>
      <c r="B567" s="14" t="s">
        <v>330</v>
      </c>
      <c r="C567" s="14" t="s">
        <v>200</v>
      </c>
      <c r="D567" s="19" t="s">
        <v>421</v>
      </c>
      <c r="E567" s="15" t="str">
        <f>HYPERLINK("https://stat100.ameba.jp/tnk47/ratio20/illustrations/card/ill_58853_0_setsubumpanikkuhiratsukaraicho03.jpg?202006-5-RELEASE-marathon-476", "■")</f>
        <v>■</v>
      </c>
      <c r="F567" s="14" t="s">
        <v>1040</v>
      </c>
      <c r="G567" s="14">
        <v>150776</v>
      </c>
      <c r="H567" s="14">
        <v>133938</v>
      </c>
      <c r="I567" s="14">
        <v>24</v>
      </c>
      <c r="J567" s="14" t="s">
        <v>16</v>
      </c>
      <c r="K567" s="14" t="s">
        <v>1041</v>
      </c>
      <c r="L567" s="14" t="s">
        <v>1042</v>
      </c>
      <c r="M567" s="14" t="s">
        <v>9158</v>
      </c>
      <c r="N567" s="14" t="s">
        <v>9158</v>
      </c>
      <c r="O567" s="19" t="s">
        <v>10075</v>
      </c>
      <c r="P567" s="14" t="s">
        <v>2870</v>
      </c>
      <c r="Q567" s="14">
        <v>1</v>
      </c>
    </row>
    <row r="568" spans="1:17">
      <c r="A568" s="14" t="s">
        <v>5724</v>
      </c>
      <c r="B568" s="14" t="s">
        <v>330</v>
      </c>
      <c r="C568" s="14" t="s">
        <v>335</v>
      </c>
      <c r="D568" s="19" t="s">
        <v>698</v>
      </c>
      <c r="E568" s="15" t="str">
        <f>HYPERLINK("https://stat100.ameba.jp/tnk47/ratio20/illustrations/card/ill_66433_0_haroinfujishirogozen03.jpg?202006-5-RELEASE-marathon-476", "■")</f>
        <v>■</v>
      </c>
      <c r="F568" s="14" t="s">
        <v>699</v>
      </c>
      <c r="G568" s="14">
        <v>146892</v>
      </c>
      <c r="H568" s="14">
        <v>158000</v>
      </c>
      <c r="I568" s="14">
        <v>24</v>
      </c>
      <c r="J568" s="14" t="s">
        <v>315</v>
      </c>
      <c r="K568" s="14" t="s">
        <v>700</v>
      </c>
      <c r="L568" s="14" t="s">
        <v>701</v>
      </c>
      <c r="M568" s="14" t="s">
        <v>9158</v>
      </c>
      <c r="N568" s="14" t="s">
        <v>9158</v>
      </c>
      <c r="O568" s="19" t="s">
        <v>10095</v>
      </c>
      <c r="P568" s="14" t="s">
        <v>3345</v>
      </c>
      <c r="Q568" s="14">
        <v>1</v>
      </c>
    </row>
    <row r="569" spans="1:17">
      <c r="A569" s="14" t="s">
        <v>5902</v>
      </c>
      <c r="B569" s="14" t="s">
        <v>330</v>
      </c>
      <c r="C569" s="14" t="s">
        <v>206</v>
      </c>
      <c r="D569" s="19" t="s">
        <v>483</v>
      </c>
      <c r="E569" s="15" t="str">
        <f>HYPERLINK("https://stat100.ameba.jp/tnk47/ratio20/illustrations/card/ill_40343_0_heshikirihasebekurodakambe03.jpg?202006-5-RELEASE-marathon-476", "■")</f>
        <v>■</v>
      </c>
      <c r="F569" s="14" t="s">
        <v>906</v>
      </c>
      <c r="G569" s="14">
        <v>140448</v>
      </c>
      <c r="H569" s="14">
        <v>131538</v>
      </c>
      <c r="I569" s="14">
        <v>24</v>
      </c>
      <c r="J569" s="14" t="s">
        <v>16</v>
      </c>
      <c r="K569" s="14" t="s">
        <v>907</v>
      </c>
      <c r="L569" s="14" t="s">
        <v>908</v>
      </c>
      <c r="M569" s="14" t="s">
        <v>9158</v>
      </c>
      <c r="N569" s="14" t="s">
        <v>9158</v>
      </c>
      <c r="O569" s="14" t="s">
        <v>9158</v>
      </c>
      <c r="P569" s="14" t="s">
        <v>9158</v>
      </c>
      <c r="Q569" s="14" t="s">
        <v>9158</v>
      </c>
    </row>
    <row r="570" spans="1:17">
      <c r="A570" s="14">
        <v>89483</v>
      </c>
      <c r="B570" s="14" t="s">
        <v>0</v>
      </c>
      <c r="C570" s="14" t="s">
        <v>1</v>
      </c>
      <c r="D570" s="14" t="s">
        <v>12999</v>
      </c>
      <c r="E570" s="15" t="str">
        <f>HYPERLINK("https://stat100.ameba.jp/tnk47/ratio20/illustrations/card/ill_89483_tenyueiju03.jpg?202006-5-RELEASE-marathon-476", "■")</f>
        <v>■</v>
      </c>
      <c r="F570" s="14" t="s">
        <v>13003</v>
      </c>
      <c r="G570" s="14">
        <v>101558</v>
      </c>
      <c r="H570" s="14">
        <v>94390</v>
      </c>
      <c r="I570" s="7">
        <v>26</v>
      </c>
      <c r="J570" s="14" t="s">
        <v>77</v>
      </c>
      <c r="K570" s="14" t="s">
        <v>8607</v>
      </c>
      <c r="L570" s="14" t="s">
        <v>12081</v>
      </c>
      <c r="M570" s="14" t="s">
        <v>9158</v>
      </c>
      <c r="N570" s="14" t="s">
        <v>9158</v>
      </c>
      <c r="O570" s="14" t="s">
        <v>9158</v>
      </c>
      <c r="P570" s="14" t="s">
        <v>9158</v>
      </c>
      <c r="Q570" s="14" t="s">
        <v>9158</v>
      </c>
    </row>
    <row r="571" spans="1:17">
      <c r="A571" s="14">
        <v>89493</v>
      </c>
      <c r="B571" s="14" t="s">
        <v>15</v>
      </c>
      <c r="C571" s="14" t="s">
        <v>101</v>
      </c>
      <c r="D571" s="14" t="s">
        <v>13007</v>
      </c>
      <c r="E571" s="15" t="str">
        <f>HYPERLINK("https://stat100.ameba.jp/tnk47/ratio20/illustrations/card/ill_89493_fujigoko03.jpg?202006-5-RELEASE-marathon-476", "■")</f>
        <v>■</v>
      </c>
      <c r="F571" s="14" t="s">
        <v>13009</v>
      </c>
      <c r="G571" s="14">
        <v>69898</v>
      </c>
      <c r="H571" s="14">
        <v>77064</v>
      </c>
      <c r="I571" s="7">
        <v>26</v>
      </c>
      <c r="J571" s="14" t="s">
        <v>26</v>
      </c>
      <c r="K571" s="14" t="s">
        <v>13011</v>
      </c>
      <c r="L571" s="14" t="s">
        <v>977</v>
      </c>
      <c r="M571" s="14" t="s">
        <v>9158</v>
      </c>
      <c r="N571" s="14" t="s">
        <v>9158</v>
      </c>
      <c r="O571" s="14" t="s">
        <v>9158</v>
      </c>
      <c r="P571" s="14" t="s">
        <v>9158</v>
      </c>
      <c r="Q571" s="14" t="s">
        <v>9158</v>
      </c>
    </row>
    <row r="572" spans="1:17">
      <c r="A572" s="14">
        <v>89503</v>
      </c>
      <c r="B572" s="14" t="s">
        <v>22</v>
      </c>
      <c r="C572" s="14" t="s">
        <v>23</v>
      </c>
      <c r="D572" s="14" t="s">
        <v>13013</v>
      </c>
      <c r="E572" s="15" t="str">
        <f>HYPERLINK("https://stat100.ameba.jp/tnk47/ratio20/illustrations/card/ill_89503_kansuiheiaku03.jpg?202006-5-RELEASE-marathon-476", "■")</f>
        <v>■</v>
      </c>
      <c r="F572" s="14" t="s">
        <v>13015</v>
      </c>
      <c r="G572" s="14">
        <v>54058</v>
      </c>
      <c r="H572" s="14">
        <v>44948</v>
      </c>
      <c r="I572" s="7">
        <v>26</v>
      </c>
      <c r="J572" s="14" t="s">
        <v>44</v>
      </c>
      <c r="K572" s="14" t="s">
        <v>13017</v>
      </c>
      <c r="L572" s="14" t="s">
        <v>4956</v>
      </c>
      <c r="M572" s="14" t="s">
        <v>9158</v>
      </c>
      <c r="N572" s="14" t="s">
        <v>9158</v>
      </c>
      <c r="O572" s="14" t="s">
        <v>9158</v>
      </c>
      <c r="P572" s="14" t="s">
        <v>9158</v>
      </c>
      <c r="Q572" s="14" t="s">
        <v>9158</v>
      </c>
    </row>
    <row r="573" spans="1:17">
      <c r="A573" s="14">
        <v>89513</v>
      </c>
      <c r="B573" s="14" t="s">
        <v>30</v>
      </c>
      <c r="C573" s="14" t="s">
        <v>29</v>
      </c>
      <c r="D573" s="14" t="s">
        <v>13019</v>
      </c>
      <c r="E573" s="15" t="str">
        <f>HYPERLINK("https://stat100.ameba.jp/tnk47/ratio20/illustrations/card/ill_89513_amerikamura03.jpg?202006-5-RELEASE-marathon-476", "■")</f>
        <v>■</v>
      </c>
      <c r="F573" s="14" t="s">
        <v>13021</v>
      </c>
      <c r="G573" s="14">
        <v>27486</v>
      </c>
      <c r="H573" s="14">
        <v>32728</v>
      </c>
      <c r="I573" s="7">
        <v>26</v>
      </c>
      <c r="J573" s="14" t="s">
        <v>26</v>
      </c>
      <c r="K573" s="14" t="s">
        <v>13022</v>
      </c>
      <c r="L573" s="14" t="s">
        <v>2221</v>
      </c>
      <c r="M573" s="14" t="s">
        <v>9158</v>
      </c>
      <c r="N573" s="14" t="s">
        <v>9158</v>
      </c>
      <c r="O573" s="14" t="s">
        <v>9158</v>
      </c>
      <c r="P573" s="14" t="s">
        <v>9158</v>
      </c>
      <c r="Q573" s="14" t="s">
        <v>9158</v>
      </c>
    </row>
    <row r="575" spans="1:17">
      <c r="A575" s="14" t="s">
        <v>13043</v>
      </c>
    </row>
    <row r="576" spans="1:17">
      <c r="A576" s="14" t="s">
        <v>13044</v>
      </c>
    </row>
    <row r="577" spans="1:17">
      <c r="A577" s="14" t="s">
        <v>6598</v>
      </c>
      <c r="B577" s="14" t="s">
        <v>330</v>
      </c>
      <c r="C577" s="14" t="s">
        <v>35</v>
      </c>
      <c r="D577" s="19" t="s">
        <v>10555</v>
      </c>
      <c r="E577" s="15" t="str">
        <f>HYPERLINK("https://stat100.ameba.jp/tnk47/ratio20/illustrations/card/ill_83553_0_kajuenamoronagu03.jpg?202002-i_prefecture_active_userxx", "■")</f>
        <v>■</v>
      </c>
      <c r="F577" s="14" t="s">
        <v>6597</v>
      </c>
      <c r="G577" s="14">
        <v>284219</v>
      </c>
      <c r="H577" s="14">
        <v>314478</v>
      </c>
      <c r="I577" s="14">
        <v>27</v>
      </c>
      <c r="J577" s="14" t="s">
        <v>44</v>
      </c>
      <c r="K577" s="14" t="s">
        <v>6595</v>
      </c>
      <c r="L577" s="14" t="s">
        <v>6594</v>
      </c>
      <c r="M577" s="14" t="s">
        <v>9158</v>
      </c>
      <c r="N577" s="14" t="s">
        <v>9158</v>
      </c>
      <c r="O577" s="19" t="s">
        <v>10125</v>
      </c>
      <c r="P577" s="14" t="s">
        <v>6599</v>
      </c>
      <c r="Q577" s="14">
        <v>1</v>
      </c>
    </row>
    <row r="578" spans="1:17">
      <c r="A578" s="14" t="s">
        <v>5843</v>
      </c>
      <c r="B578" s="14" t="s">
        <v>52</v>
      </c>
      <c r="C578" s="14" t="s">
        <v>202</v>
      </c>
      <c r="D578" s="19" t="s">
        <v>10291</v>
      </c>
      <c r="E578" s="15" t="str">
        <f>HYPERLINK("https://stat100.ameba.jp/tnk47/ratio20/illustrations/card/ill_77963_0_kurisumasudaisakusentakiyashahime03.jpg?202005-i_prefecture_active_user", "■")</f>
        <v>■</v>
      </c>
      <c r="F578" s="14" t="s">
        <v>2127</v>
      </c>
      <c r="G578" s="14">
        <v>331590</v>
      </c>
      <c r="H578" s="14">
        <v>299687</v>
      </c>
      <c r="I578" s="14">
        <v>27</v>
      </c>
      <c r="J578" s="14" t="s">
        <v>77</v>
      </c>
      <c r="K578" s="14" t="s">
        <v>2128</v>
      </c>
      <c r="L578" s="14" t="s">
        <v>2129</v>
      </c>
      <c r="M578" s="14" t="s">
        <v>9158</v>
      </c>
      <c r="N578" s="14" t="s">
        <v>9158</v>
      </c>
      <c r="O578" s="19" t="s">
        <v>10107</v>
      </c>
      <c r="P578" s="14" t="s">
        <v>3589</v>
      </c>
      <c r="Q578" s="14">
        <v>2</v>
      </c>
    </row>
    <row r="579" spans="1:17">
      <c r="A579" s="14" t="s">
        <v>6132</v>
      </c>
      <c r="B579" s="14" t="s">
        <v>52</v>
      </c>
      <c r="C579" s="14" t="s">
        <v>205</v>
      </c>
      <c r="D579" s="19" t="s">
        <v>702</v>
      </c>
      <c r="E579" s="15" t="str">
        <f>HYPERLINK("https://stat100.ameba.jp/tnk47/ratio20/illustrations/card/ill_50693_0_hanamizugimimuratsuru03.jpg?202005-i_prefecture_active_user", "■")</f>
        <v>■</v>
      </c>
      <c r="F579" s="14" t="s">
        <v>2282</v>
      </c>
      <c r="G579" s="14">
        <v>145100</v>
      </c>
      <c r="H579" s="14">
        <v>163342</v>
      </c>
      <c r="I579" s="14">
        <v>26</v>
      </c>
      <c r="J579" s="14" t="s">
        <v>143</v>
      </c>
      <c r="K579" s="14" t="s">
        <v>2283</v>
      </c>
      <c r="L579" s="14" t="s">
        <v>2284</v>
      </c>
      <c r="M579" s="14" t="s">
        <v>9158</v>
      </c>
      <c r="N579" s="14" t="s">
        <v>9158</v>
      </c>
      <c r="O579" s="14" t="s">
        <v>9158</v>
      </c>
      <c r="P579" s="14" t="s">
        <v>9158</v>
      </c>
      <c r="Q579" s="14" t="s">
        <v>9158</v>
      </c>
    </row>
    <row r="580" spans="1:17">
      <c r="A580" s="14">
        <v>58743</v>
      </c>
      <c r="B580" s="14" t="s">
        <v>334</v>
      </c>
      <c r="C580" s="14" t="s">
        <v>209</v>
      </c>
      <c r="D580" s="20" t="s">
        <v>10273</v>
      </c>
      <c r="E580" s="15" t="str">
        <f>HYPERLINK("https://stat100.ameba.jp/tnk47/ratio20/illustrations/card/ill_58743_enkirienoki03.jpg?202005-i_prefecture_active_user", "■")</f>
        <v>■</v>
      </c>
      <c r="F580" s="14" t="s">
        <v>2550</v>
      </c>
      <c r="G580" s="14">
        <v>78678</v>
      </c>
      <c r="H580" s="14">
        <v>107304</v>
      </c>
      <c r="I580" s="14">
        <v>26</v>
      </c>
      <c r="J580" s="14" t="s">
        <v>44</v>
      </c>
      <c r="K580" s="14" t="s">
        <v>2551</v>
      </c>
      <c r="L580" s="14" t="s">
        <v>95</v>
      </c>
      <c r="M580" s="14" t="s">
        <v>9158</v>
      </c>
      <c r="N580" s="14" t="s">
        <v>9158</v>
      </c>
      <c r="O580" s="19" t="s">
        <v>10091</v>
      </c>
      <c r="P580" s="14" t="s">
        <v>3670</v>
      </c>
      <c r="Q580" s="14">
        <v>1</v>
      </c>
    </row>
    <row r="581" spans="1:17">
      <c r="A581" s="16">
        <v>75853</v>
      </c>
      <c r="B581" s="14" t="s">
        <v>334</v>
      </c>
      <c r="C581" s="14" t="s">
        <v>41</v>
      </c>
      <c r="D581" s="19" t="s">
        <v>10224</v>
      </c>
      <c r="E581" s="15" t="str">
        <f>HYPERLINK("https://stat100.ameba.jp/tnk47/ratio20/illustrations/card/ill_75853_moruganoyuki03.jpg?202005-i_prefecture_active_user", "■")</f>
        <v>■</v>
      </c>
      <c r="F581" s="14" t="s">
        <v>5106</v>
      </c>
      <c r="G581" s="14">
        <v>130000</v>
      </c>
      <c r="H581" s="14">
        <v>120874</v>
      </c>
      <c r="I581" s="14">
        <v>26</v>
      </c>
      <c r="J581" s="14" t="s">
        <v>16</v>
      </c>
      <c r="K581" s="14" t="s">
        <v>5108</v>
      </c>
      <c r="L581" s="14" t="s">
        <v>1881</v>
      </c>
      <c r="M581" s="14" t="s">
        <v>9158</v>
      </c>
      <c r="N581" s="14" t="s">
        <v>9158</v>
      </c>
      <c r="O581" s="7" t="s">
        <v>3578</v>
      </c>
      <c r="P581" s="14" t="s">
        <v>3579</v>
      </c>
      <c r="Q581" s="14">
        <v>1</v>
      </c>
    </row>
    <row r="582" spans="1:17">
      <c r="A582" s="14">
        <v>75083</v>
      </c>
      <c r="B582" s="14" t="s">
        <v>334</v>
      </c>
      <c r="C582" s="14" t="s">
        <v>209</v>
      </c>
      <c r="D582" s="19" t="s">
        <v>10401</v>
      </c>
      <c r="E582" s="15" t="str">
        <f>HYPERLINK("https://stat100.ameba.jp/tnk47/ratio20/illustrations/card/ill_75083_sukumizuhanakosan03.jpg?202003-5-RELEASE-marathon-461", "■")</f>
        <v>■</v>
      </c>
      <c r="F582" s="14" t="s">
        <v>1020</v>
      </c>
      <c r="G582" s="14">
        <v>121240</v>
      </c>
      <c r="H582" s="14">
        <v>87834</v>
      </c>
      <c r="I582" s="14">
        <v>26</v>
      </c>
      <c r="J582" s="14" t="s">
        <v>73</v>
      </c>
      <c r="K582" s="14" t="s">
        <v>1021</v>
      </c>
      <c r="L582" s="14" t="s">
        <v>1022</v>
      </c>
      <c r="M582" s="14" t="s">
        <v>9158</v>
      </c>
      <c r="N582" s="14" t="s">
        <v>9158</v>
      </c>
      <c r="O582" s="19" t="s">
        <v>10105</v>
      </c>
      <c r="P582" s="14" t="s">
        <v>3416</v>
      </c>
      <c r="Q582" s="14">
        <v>1</v>
      </c>
    </row>
    <row r="583" spans="1:17">
      <c r="A583" s="14">
        <v>79523</v>
      </c>
      <c r="B583" s="14" t="s">
        <v>0</v>
      </c>
      <c r="C583" s="14" t="s">
        <v>203</v>
      </c>
      <c r="D583" s="20" t="s">
        <v>10309</v>
      </c>
      <c r="E583" s="15" t="str">
        <f>HYPERLINK("https://stat100.ameba.jp/tnk47/ratio20/illustrations/card/ill_79523_shikyokunoashurato03.jpg?202005-i_prefecture_active_user", "■")</f>
        <v>■</v>
      </c>
      <c r="F583" s="14" t="s">
        <v>3590</v>
      </c>
      <c r="G583" s="14">
        <v>82318</v>
      </c>
      <c r="H583" s="14">
        <v>113630</v>
      </c>
      <c r="I583" s="14">
        <v>26</v>
      </c>
      <c r="J583" s="14" t="s">
        <v>77</v>
      </c>
      <c r="K583" s="14" t="s">
        <v>3591</v>
      </c>
      <c r="L583" s="14" t="s">
        <v>1955</v>
      </c>
      <c r="M583" s="14" t="s">
        <v>9158</v>
      </c>
      <c r="N583" s="14" t="s">
        <v>9158</v>
      </c>
      <c r="O583" s="19" t="s">
        <v>10074</v>
      </c>
      <c r="P583" s="14" t="s">
        <v>3592</v>
      </c>
      <c r="Q583" s="14">
        <v>1</v>
      </c>
    </row>
    <row r="584" spans="1:17">
      <c r="A584" s="14">
        <v>75883</v>
      </c>
      <c r="B584" s="14" t="s">
        <v>334</v>
      </c>
      <c r="C584" s="14" t="s">
        <v>154</v>
      </c>
      <c r="D584" s="19" t="s">
        <v>10402</v>
      </c>
      <c r="E584" s="15" t="str">
        <f>HYPERLINK("https://stat100.ameba.jp/tnk47/ratio20/illustrations/card/ill_75883_kitajokagehiro03.jpg?202005-i_prefecture_active_user", "■")</f>
        <v>■</v>
      </c>
      <c r="F584" s="14" t="s">
        <v>2411</v>
      </c>
      <c r="G584" s="14">
        <v>125296</v>
      </c>
      <c r="H584" s="14">
        <v>172982</v>
      </c>
      <c r="I584" s="14">
        <v>26</v>
      </c>
      <c r="J584" s="14" t="s">
        <v>143</v>
      </c>
      <c r="K584" s="14" t="s">
        <v>2412</v>
      </c>
      <c r="L584" s="14" t="s">
        <v>1148</v>
      </c>
      <c r="M584" s="14" t="s">
        <v>9158</v>
      </c>
      <c r="N584" s="14" t="s">
        <v>9158</v>
      </c>
      <c r="O584" s="19" t="s">
        <v>10106</v>
      </c>
      <c r="P584" s="14" t="s">
        <v>3330</v>
      </c>
      <c r="Q584" s="14">
        <v>2</v>
      </c>
    </row>
    <row r="585" spans="1:17">
      <c r="A585" s="14">
        <v>62473</v>
      </c>
      <c r="B585" s="14" t="s">
        <v>334</v>
      </c>
      <c r="C585" s="14" t="s">
        <v>203</v>
      </c>
      <c r="D585" s="20" t="s">
        <v>2834</v>
      </c>
      <c r="E585" s="15" t="str">
        <f>HYPERLINK("https://stat100.ameba.jp/tnk47/ratio20/illustrations/card/ill_62473_kokuriko03.jpg?202001-3-RELEASE-dice-e-449", "■")</f>
        <v>■</v>
      </c>
      <c r="F585" s="14" t="s">
        <v>2835</v>
      </c>
      <c r="G585" s="14">
        <v>118684</v>
      </c>
      <c r="H585" s="14">
        <v>85962</v>
      </c>
      <c r="I585" s="14">
        <v>26</v>
      </c>
      <c r="J585" s="14" t="s">
        <v>401</v>
      </c>
      <c r="K585" s="14" t="s">
        <v>2836</v>
      </c>
      <c r="L585" s="14" t="s">
        <v>2837</v>
      </c>
      <c r="M585" s="14" t="s">
        <v>9158</v>
      </c>
      <c r="N585" s="14" t="s">
        <v>9158</v>
      </c>
      <c r="O585" s="19" t="s">
        <v>2838</v>
      </c>
      <c r="P585" s="14" t="s">
        <v>2839</v>
      </c>
      <c r="Q585" s="14">
        <v>1</v>
      </c>
    </row>
    <row r="587" spans="1:17">
      <c r="A587" s="14" t="s">
        <v>13045</v>
      </c>
    </row>
    <row r="588" spans="1:17">
      <c r="A588" s="14" t="s">
        <v>13046</v>
      </c>
    </row>
    <row r="589" spans="1:17">
      <c r="A589" s="14" t="s">
        <v>5891</v>
      </c>
      <c r="B589" s="14" t="s">
        <v>330</v>
      </c>
      <c r="C589" s="14" t="s">
        <v>202</v>
      </c>
      <c r="D589" s="20" t="s">
        <v>1371</v>
      </c>
      <c r="E589" s="15" t="str">
        <f>HYPERLINK("https://stat100.ameba.jp/tnk47/ratio20/illustrations/card/ill_77173_0_yukemuritomoegozen03.jpg?202006-5-RELEASE-marathon-476x", "■")</f>
        <v>■</v>
      </c>
      <c r="F589" s="14" t="s">
        <v>1372</v>
      </c>
      <c r="G589" s="14">
        <v>250610</v>
      </c>
      <c r="H589" s="14">
        <v>277283</v>
      </c>
      <c r="I589" s="14">
        <v>25</v>
      </c>
      <c r="J589" s="14" t="s">
        <v>310</v>
      </c>
      <c r="K589" s="14" t="s">
        <v>1373</v>
      </c>
      <c r="L589" s="14" t="s">
        <v>1374</v>
      </c>
      <c r="M589" s="14" t="s">
        <v>9158</v>
      </c>
      <c r="N589" s="14" t="s">
        <v>9158</v>
      </c>
      <c r="O589" s="19" t="s">
        <v>4067</v>
      </c>
      <c r="P589" s="14" t="s">
        <v>3879</v>
      </c>
      <c r="Q589" s="14">
        <v>2</v>
      </c>
    </row>
    <row r="590" spans="1:17">
      <c r="A590" s="14">
        <v>83393</v>
      </c>
      <c r="B590" s="14" t="s">
        <v>334</v>
      </c>
      <c r="C590" s="14" t="s">
        <v>209</v>
      </c>
      <c r="D590" s="20" t="s">
        <v>10381</v>
      </c>
      <c r="E590" s="15" t="str">
        <f>HYPERLINK("https://stat100.ameba.jp/tnk47/ratio20/illustrations/card/ill_83393_rito03.jpg?202006-5-RELEASE-marathon-476x", "■")</f>
        <v>■</v>
      </c>
      <c r="F590" s="14" t="s">
        <v>5735</v>
      </c>
      <c r="G590" s="14">
        <v>122476</v>
      </c>
      <c r="H590" s="14">
        <v>88706</v>
      </c>
      <c r="I590" s="14">
        <v>24</v>
      </c>
      <c r="J590" s="14" t="s">
        <v>38</v>
      </c>
      <c r="K590" s="14" t="s">
        <v>5738</v>
      </c>
      <c r="L590" s="14" t="s">
        <v>5400</v>
      </c>
      <c r="M590" s="14" t="s">
        <v>9158</v>
      </c>
      <c r="N590" s="14" t="s">
        <v>9158</v>
      </c>
      <c r="O590" s="19" t="s">
        <v>10098</v>
      </c>
      <c r="P590" s="14" t="s">
        <v>3491</v>
      </c>
      <c r="Q590" s="14">
        <v>1</v>
      </c>
    </row>
    <row r="591" spans="1:17">
      <c r="A591" s="14">
        <v>65643</v>
      </c>
      <c r="B591" s="14" t="s">
        <v>0</v>
      </c>
      <c r="C591" s="14" t="s">
        <v>209</v>
      </c>
      <c r="D591" s="20" t="s">
        <v>1681</v>
      </c>
      <c r="E591" s="15" t="str">
        <f>HYPERLINK("https://stat100.ameba.jp/tnk47/ratio20/illustrations/card/ill_65643_shitompekamui03.jpg?202006-5-RELEASE-marathon-476x", "■")</f>
        <v>■</v>
      </c>
      <c r="F591" s="14" t="s">
        <v>1250</v>
      </c>
      <c r="G591" s="14">
        <v>79348</v>
      </c>
      <c r="H591" s="14">
        <v>109554</v>
      </c>
      <c r="I591" s="14">
        <v>24</v>
      </c>
      <c r="J591" s="14" t="s">
        <v>44</v>
      </c>
      <c r="K591" s="14" t="s">
        <v>1251</v>
      </c>
      <c r="L591" s="14" t="s">
        <v>1252</v>
      </c>
      <c r="M591" s="14" t="s">
        <v>9158</v>
      </c>
      <c r="N591" s="14" t="s">
        <v>9158</v>
      </c>
      <c r="O591" s="19" t="s">
        <v>10096</v>
      </c>
      <c r="P591" s="14" t="s">
        <v>3245</v>
      </c>
      <c r="Q591" s="14">
        <v>1</v>
      </c>
    </row>
    <row r="592" spans="1:17">
      <c r="A592" s="14">
        <v>76783</v>
      </c>
      <c r="B592" s="14" t="s">
        <v>334</v>
      </c>
      <c r="C592" s="14" t="s">
        <v>203</v>
      </c>
      <c r="D592" s="20" t="s">
        <v>10367</v>
      </c>
      <c r="E592" s="15" t="str">
        <f>HYPERLINK("https://stat100.ameba.jp/tnk47/ratio20/illustrations/card/ill_76783_monsutaakashirejina03.jpg?202006-5-RELEASE-marathon-476x", "■")</f>
        <v>■</v>
      </c>
      <c r="F592" s="14" t="s">
        <v>1192</v>
      </c>
      <c r="G592" s="14">
        <v>75984</v>
      </c>
      <c r="H592" s="14">
        <v>104890</v>
      </c>
      <c r="I592" s="14">
        <v>24</v>
      </c>
      <c r="J592" s="14" t="s">
        <v>10</v>
      </c>
      <c r="K592" s="14" t="s">
        <v>1193</v>
      </c>
      <c r="L592" s="14" t="s">
        <v>1194</v>
      </c>
      <c r="M592" s="14" t="s">
        <v>9158</v>
      </c>
      <c r="N592" s="14" t="s">
        <v>9158</v>
      </c>
      <c r="O592" s="19" t="s">
        <v>2752</v>
      </c>
      <c r="P592" s="14" t="s">
        <v>13123</v>
      </c>
      <c r="Q592" s="14">
        <v>1</v>
      </c>
    </row>
    <row r="594" spans="1:18">
      <c r="A594" s="14" t="s">
        <v>13047</v>
      </c>
    </row>
    <row r="595" spans="1:18">
      <c r="A595" s="14" t="s">
        <v>13048</v>
      </c>
    </row>
    <row r="596" spans="1:18">
      <c r="A596" s="9" t="s">
        <v>5822</v>
      </c>
      <c r="B596" s="14" t="s">
        <v>330</v>
      </c>
      <c r="C596" s="14" t="s">
        <v>191</v>
      </c>
      <c r="D596" s="14" t="s">
        <v>898</v>
      </c>
      <c r="E596" s="15" t="str">
        <f>HYPERLINK("https://stat100.ameba.jp/tnk47/ratio20/illustrations/card/ill_71403_0_ohanamisanadayukimura03.jpg?202006-5-RELEASE-marathon-476x", "■")</f>
        <v>■</v>
      </c>
      <c r="F596" s="14" t="s">
        <v>309</v>
      </c>
      <c r="G596" s="14">
        <v>233360</v>
      </c>
      <c r="H596" s="14">
        <v>216990</v>
      </c>
      <c r="I596" s="14">
        <v>25</v>
      </c>
      <c r="J596" s="14" t="s">
        <v>310</v>
      </c>
      <c r="K596" s="14" t="s">
        <v>311</v>
      </c>
      <c r="L596" s="14" t="s">
        <v>312</v>
      </c>
      <c r="M596" s="14" t="s">
        <v>9158</v>
      </c>
      <c r="N596" s="14" t="s">
        <v>9158</v>
      </c>
      <c r="O596" s="17" t="s">
        <v>10060</v>
      </c>
      <c r="P596" s="14" t="s">
        <v>3418</v>
      </c>
      <c r="Q596" s="14">
        <v>2</v>
      </c>
    </row>
    <row r="597" spans="1:18">
      <c r="A597" s="14">
        <v>84153</v>
      </c>
      <c r="B597" s="14" t="s">
        <v>0</v>
      </c>
      <c r="C597" s="14" t="s">
        <v>165</v>
      </c>
      <c r="D597" s="20" t="s">
        <v>10658</v>
      </c>
      <c r="E597" s="15" t="str">
        <f>HYPERLINK("https://stat100.ameba.jp/tnk47/ratio20/illustrations/card/ill_84153_tarottotoyotomihideyori03.jpg?202006-5-RELEASE-marathon-476x", "■")</f>
        <v>■</v>
      </c>
      <c r="F597" s="14" t="s">
        <v>7155</v>
      </c>
      <c r="G597" s="14">
        <v>148619</v>
      </c>
      <c r="H597" s="14">
        <v>138186</v>
      </c>
      <c r="I597" s="14">
        <v>25</v>
      </c>
      <c r="J597" s="14" t="s">
        <v>143</v>
      </c>
      <c r="K597" s="14" t="s">
        <v>7156</v>
      </c>
      <c r="L597" s="14" t="s">
        <v>145</v>
      </c>
      <c r="M597" s="14" t="s">
        <v>9158</v>
      </c>
      <c r="N597" s="14" t="s">
        <v>9158</v>
      </c>
      <c r="O597" s="19" t="s">
        <v>10090</v>
      </c>
      <c r="P597" s="14" t="s">
        <v>3460</v>
      </c>
      <c r="Q597" s="14">
        <v>1</v>
      </c>
    </row>
    <row r="598" spans="1:18">
      <c r="A598" s="14">
        <v>73913</v>
      </c>
      <c r="B598" s="14" t="s">
        <v>334</v>
      </c>
      <c r="C598" s="14" t="s">
        <v>154</v>
      </c>
      <c r="D598" s="20" t="s">
        <v>3202</v>
      </c>
      <c r="E598" s="15" t="str">
        <f>HYPERLINK("https://stat100.ameba.jp/tnk47/ratio20/illustrations/card/ill_73913_atsutajingu03.jpg?202006-5-RELEASE-marathon-476x", "■")</f>
        <v>■</v>
      </c>
      <c r="F598" s="14" t="s">
        <v>1207</v>
      </c>
      <c r="G598" s="14">
        <v>82654</v>
      </c>
      <c r="H598" s="14">
        <v>114119</v>
      </c>
      <c r="I598" s="14">
        <v>25</v>
      </c>
      <c r="J598" s="14" t="s">
        <v>44</v>
      </c>
      <c r="K598" s="14" t="s">
        <v>1208</v>
      </c>
      <c r="L598" s="14" t="s">
        <v>1209</v>
      </c>
      <c r="M598" s="14" t="s">
        <v>9158</v>
      </c>
      <c r="N598" s="14" t="s">
        <v>9158</v>
      </c>
      <c r="O598" s="19" t="s">
        <v>10074</v>
      </c>
      <c r="P598" s="14" t="s">
        <v>2822</v>
      </c>
      <c r="Q598" s="14">
        <v>1</v>
      </c>
    </row>
    <row r="599" spans="1:18">
      <c r="A599" s="14">
        <v>56443</v>
      </c>
      <c r="B599" s="14" t="s">
        <v>0</v>
      </c>
      <c r="C599" s="14" t="s">
        <v>205</v>
      </c>
      <c r="D599" s="20" t="s">
        <v>10314</v>
      </c>
      <c r="E599" s="15" t="str">
        <f>HYPERLINK("https://stat100.ameba.jp/tnk47/ratio20/illustrations/card/ill_56443_poppukurisumasuizumonokuni03.jpg?202006-5-RELEASE-marathon-476x", "■")</f>
        <v>■</v>
      </c>
      <c r="F599" s="14" t="s">
        <v>1151</v>
      </c>
      <c r="G599" s="14">
        <v>89590</v>
      </c>
      <c r="H599" s="14">
        <v>96360</v>
      </c>
      <c r="I599" s="14">
        <v>25</v>
      </c>
      <c r="J599" s="14" t="s">
        <v>10</v>
      </c>
      <c r="K599" s="14" t="s">
        <v>1152</v>
      </c>
      <c r="L599" s="14" t="s">
        <v>1153</v>
      </c>
      <c r="M599" s="14" t="s">
        <v>9158</v>
      </c>
      <c r="N599" s="14" t="s">
        <v>9158</v>
      </c>
      <c r="O599" s="19" t="s">
        <v>10119</v>
      </c>
      <c r="P599" s="14" t="s">
        <v>3662</v>
      </c>
      <c r="Q599" s="14">
        <v>1</v>
      </c>
    </row>
    <row r="601" spans="1:18">
      <c r="A601" s="14" t="s">
        <v>13049</v>
      </c>
    </row>
    <row r="602" spans="1:18">
      <c r="A602" s="14" t="s">
        <v>13050</v>
      </c>
    </row>
    <row r="603" spans="1:18">
      <c r="A603" s="14">
        <v>86365</v>
      </c>
      <c r="B603" s="14" t="s">
        <v>13052</v>
      </c>
      <c r="C603" s="14" t="s">
        <v>13057</v>
      </c>
      <c r="D603" s="14" t="s">
        <v>13051</v>
      </c>
      <c r="E603" s="15" t="str">
        <f>HYPERLINK("https://stat100.ameba.jp/tnk47/ratio20/illustrations/card/ill_86365_hagoitataisenhinotomiko05.jpg?202006-5-RELEASE-marathon-476x", "■")</f>
        <v>■</v>
      </c>
      <c r="F603" s="14" t="s">
        <v>13061</v>
      </c>
      <c r="G603" s="14">
        <v>88500</v>
      </c>
      <c r="H603" s="14">
        <v>122234</v>
      </c>
      <c r="I603" s="14">
        <v>26</v>
      </c>
      <c r="J603" s="14" t="s">
        <v>13063</v>
      </c>
      <c r="K603" s="14" t="s">
        <v>13062</v>
      </c>
      <c r="L603" s="14" t="s">
        <v>13064</v>
      </c>
      <c r="M603" s="14" t="s">
        <v>9158</v>
      </c>
      <c r="N603" s="14" t="s">
        <v>9158</v>
      </c>
      <c r="O603" s="14" t="s">
        <v>9158</v>
      </c>
      <c r="P603" s="14" t="s">
        <v>9158</v>
      </c>
      <c r="Q603" s="14" t="s">
        <v>9158</v>
      </c>
      <c r="R603" s="14" t="s">
        <v>13054</v>
      </c>
    </row>
    <row r="604" spans="1:18">
      <c r="A604" s="14">
        <v>86363</v>
      </c>
      <c r="B604" s="14" t="s">
        <v>13053</v>
      </c>
      <c r="C604" s="14" t="s">
        <v>13058</v>
      </c>
      <c r="D604" s="14" t="s">
        <v>13051</v>
      </c>
      <c r="E604" s="15" t="str">
        <f>HYPERLINK("https://stat100.ameba.jp/tnk47/ratio20/illustrations/card/ill_86363_hagoitataisenhinotomiko03.jpg?202006-5-RELEASE-marathon-476x", "■")</f>
        <v>■</v>
      </c>
      <c r="F604" s="14" t="s">
        <v>13061</v>
      </c>
      <c r="G604" s="14">
        <v>65202</v>
      </c>
      <c r="H604" s="14">
        <v>90050</v>
      </c>
      <c r="I604" s="14">
        <v>26</v>
      </c>
      <c r="J604" s="14" t="s">
        <v>13063</v>
      </c>
      <c r="K604" s="14" t="s">
        <v>13062</v>
      </c>
      <c r="L604" s="14" t="s">
        <v>13065</v>
      </c>
      <c r="M604" s="14" t="s">
        <v>9158</v>
      </c>
      <c r="N604" s="14" t="s">
        <v>9158</v>
      </c>
      <c r="O604" s="14" t="s">
        <v>9158</v>
      </c>
      <c r="P604" s="14" t="s">
        <v>9158</v>
      </c>
      <c r="Q604" s="14" t="s">
        <v>9158</v>
      </c>
      <c r="R604" s="14" t="s">
        <v>13055</v>
      </c>
    </row>
    <row r="605" spans="1:18">
      <c r="A605" s="14">
        <v>86361</v>
      </c>
      <c r="B605" s="14" t="s">
        <v>13053</v>
      </c>
      <c r="C605" s="14" t="s">
        <v>13059</v>
      </c>
      <c r="D605" s="14" t="s">
        <v>13051</v>
      </c>
      <c r="E605" s="15" t="str">
        <f>HYPERLINK("https://stat100.ameba.jp/tnk47/ratio20/illustrations/card/ill_86361_hagoitataisenhinotomiko01.jpg?202006-5-RELEASE-marathon-476x", "■")</f>
        <v>■</v>
      </c>
      <c r="F605" s="14" t="s">
        <v>13061</v>
      </c>
      <c r="G605" s="14">
        <v>41470</v>
      </c>
      <c r="H605" s="14">
        <v>57278</v>
      </c>
      <c r="I605" s="14">
        <v>26</v>
      </c>
      <c r="J605" s="14" t="s">
        <v>13063</v>
      </c>
      <c r="K605" s="14" t="s">
        <v>13062</v>
      </c>
      <c r="L605" s="14" t="s">
        <v>13066</v>
      </c>
      <c r="M605" s="14" t="s">
        <v>9158</v>
      </c>
      <c r="N605" s="14" t="s">
        <v>9158</v>
      </c>
      <c r="O605" s="14" t="s">
        <v>9158</v>
      </c>
      <c r="P605" s="14" t="s">
        <v>9158</v>
      </c>
      <c r="Q605" s="14" t="s">
        <v>9158</v>
      </c>
      <c r="R605" s="14" t="s">
        <v>13056</v>
      </c>
    </row>
    <row r="606" spans="1:18">
      <c r="A606" s="14">
        <v>85635</v>
      </c>
      <c r="B606" s="14" t="s">
        <v>13052</v>
      </c>
      <c r="C606" s="14" t="s">
        <v>13057</v>
      </c>
      <c r="D606" s="14" t="s">
        <v>13067</v>
      </c>
      <c r="E606" s="15" t="str">
        <f>HYPERLINK("https://stat100.ameba.jp/tnk47/ratio20/illustrations/card/ill_85635_superubia05.jpg?202006-5-RELEASE-marathon-476x", "■")</f>
        <v>■</v>
      </c>
      <c r="F606" s="14" t="s">
        <v>13068</v>
      </c>
      <c r="G606" s="14">
        <v>122234</v>
      </c>
      <c r="H606" s="14">
        <v>88500</v>
      </c>
      <c r="I606" s="14">
        <v>26</v>
      </c>
      <c r="J606" s="14" t="s">
        <v>13070</v>
      </c>
      <c r="K606" s="14" t="s">
        <v>13069</v>
      </c>
      <c r="L606" s="14" t="s">
        <v>13071</v>
      </c>
      <c r="M606" s="14" t="s">
        <v>9158</v>
      </c>
      <c r="N606" s="14" t="s">
        <v>9158</v>
      </c>
      <c r="O606" s="14" t="s">
        <v>9158</v>
      </c>
      <c r="P606" s="14" t="s">
        <v>9158</v>
      </c>
      <c r="Q606" s="14" t="s">
        <v>9158</v>
      </c>
      <c r="R606" s="14" t="s">
        <v>13054</v>
      </c>
    </row>
    <row r="607" spans="1:18">
      <c r="A607" s="14">
        <v>85633</v>
      </c>
      <c r="B607" s="14" t="s">
        <v>13053</v>
      </c>
      <c r="C607" s="14" t="s">
        <v>13060</v>
      </c>
      <c r="D607" s="14" t="s">
        <v>13067</v>
      </c>
      <c r="E607" s="15" t="str">
        <f>HYPERLINK("https://stat100.ameba.jp/tnk47/ratio20/illustrations/card/ill_85633_superubia03.jpg?202006-5-RELEASE-marathon-476x", "■")</f>
        <v>■</v>
      </c>
      <c r="F607" s="14" t="s">
        <v>13068</v>
      </c>
      <c r="G607" s="14">
        <v>90050</v>
      </c>
      <c r="H607" s="14">
        <v>65202</v>
      </c>
      <c r="I607" s="14">
        <v>26</v>
      </c>
      <c r="J607" s="14" t="s">
        <v>13070</v>
      </c>
      <c r="K607" s="14" t="s">
        <v>13069</v>
      </c>
      <c r="L607" s="14" t="s">
        <v>13072</v>
      </c>
      <c r="M607" s="14" t="s">
        <v>9158</v>
      </c>
      <c r="N607" s="14" t="s">
        <v>9158</v>
      </c>
      <c r="O607" s="14" t="s">
        <v>9158</v>
      </c>
      <c r="P607" s="14" t="s">
        <v>9158</v>
      </c>
      <c r="Q607" s="14" t="s">
        <v>9158</v>
      </c>
      <c r="R607" s="14" t="s">
        <v>13055</v>
      </c>
    </row>
    <row r="608" spans="1:18">
      <c r="A608" s="14">
        <v>85631</v>
      </c>
      <c r="B608" s="14" t="s">
        <v>13053</v>
      </c>
      <c r="C608" s="14" t="s">
        <v>13060</v>
      </c>
      <c r="D608" s="14" t="s">
        <v>13067</v>
      </c>
      <c r="E608" s="15" t="str">
        <f>HYPERLINK("https://stat100.ameba.jp/tnk47/ratio20/illustrations/card/ill_85631_superubia01.jpg?202006-5-RELEASE-marathon-476x", "■")</f>
        <v>■</v>
      </c>
      <c r="F608" s="14" t="s">
        <v>13068</v>
      </c>
      <c r="G608" s="14">
        <v>57278</v>
      </c>
      <c r="H608" s="14">
        <v>41470</v>
      </c>
      <c r="I608" s="14">
        <v>26</v>
      </c>
      <c r="J608" s="14" t="s">
        <v>13070</v>
      </c>
      <c r="K608" s="14" t="s">
        <v>13069</v>
      </c>
      <c r="L608" s="14" t="s">
        <v>13073</v>
      </c>
      <c r="M608" s="14" t="s">
        <v>9158</v>
      </c>
      <c r="N608" s="14" t="s">
        <v>9158</v>
      </c>
      <c r="O608" s="14" t="s">
        <v>9158</v>
      </c>
      <c r="P608" s="14" t="s">
        <v>9158</v>
      </c>
      <c r="Q608" s="14" t="s">
        <v>9158</v>
      </c>
      <c r="R608" s="14" t="s">
        <v>13056</v>
      </c>
    </row>
    <row r="609" spans="1:18">
      <c r="A609" s="14">
        <v>86375</v>
      </c>
      <c r="B609" s="14" t="s">
        <v>13052</v>
      </c>
      <c r="C609" s="14" t="s">
        <v>13057</v>
      </c>
      <c r="D609" s="14" t="s">
        <v>13074</v>
      </c>
      <c r="E609" s="15" t="str">
        <f>HYPERLINK("https://stat100.ameba.jp/tnk47/ratio20/illustrations/card/ill_86375_bakkasu05.jpg?202006-5-RELEASE-marathon-476x", "■")</f>
        <v>■</v>
      </c>
      <c r="F609" s="14" t="s">
        <v>13075</v>
      </c>
      <c r="G609" s="14">
        <v>88500</v>
      </c>
      <c r="H609" s="14">
        <v>122234</v>
      </c>
      <c r="I609" s="14">
        <v>26</v>
      </c>
      <c r="J609" s="14" t="s">
        <v>13076</v>
      </c>
      <c r="K609" s="14" t="s">
        <v>13077</v>
      </c>
      <c r="L609" s="14" t="s">
        <v>13078</v>
      </c>
      <c r="M609" s="14" t="s">
        <v>9158</v>
      </c>
      <c r="N609" s="14" t="s">
        <v>9158</v>
      </c>
      <c r="O609" s="14" t="s">
        <v>9158</v>
      </c>
      <c r="P609" s="14" t="s">
        <v>9158</v>
      </c>
      <c r="Q609" s="14" t="s">
        <v>9158</v>
      </c>
      <c r="R609" s="14" t="s">
        <v>13054</v>
      </c>
    </row>
    <row r="610" spans="1:18">
      <c r="A610" s="14">
        <v>86373</v>
      </c>
      <c r="B610" s="14" t="s">
        <v>13053</v>
      </c>
      <c r="C610" s="14" t="s">
        <v>13060</v>
      </c>
      <c r="D610" s="14" t="s">
        <v>13074</v>
      </c>
      <c r="E610" s="15" t="str">
        <f>HYPERLINK("https://stat100.ameba.jp/tnk47/ratio20/illustrations/card/ill_86373_bakkasu03.jpg?202006-5-RELEASE-marathon-476x", "■")</f>
        <v>■</v>
      </c>
      <c r="F610" s="14" t="s">
        <v>13075</v>
      </c>
      <c r="G610" s="14">
        <v>65202</v>
      </c>
      <c r="H610" s="14">
        <v>90050</v>
      </c>
      <c r="I610" s="14">
        <v>26</v>
      </c>
      <c r="J610" s="14" t="s">
        <v>13076</v>
      </c>
      <c r="K610" s="14" t="s">
        <v>13077</v>
      </c>
      <c r="L610" s="14" t="s">
        <v>13079</v>
      </c>
      <c r="M610" s="14" t="s">
        <v>9158</v>
      </c>
      <c r="N610" s="14" t="s">
        <v>9158</v>
      </c>
      <c r="O610" s="14" t="s">
        <v>9158</v>
      </c>
      <c r="P610" s="14" t="s">
        <v>9158</v>
      </c>
      <c r="Q610" s="14" t="s">
        <v>9158</v>
      </c>
      <c r="R610" s="14" t="s">
        <v>13055</v>
      </c>
    </row>
    <row r="611" spans="1:18">
      <c r="A611" s="14">
        <v>86371</v>
      </c>
      <c r="B611" s="14" t="s">
        <v>13053</v>
      </c>
      <c r="C611" s="14" t="s">
        <v>13060</v>
      </c>
      <c r="D611" s="14" t="s">
        <v>13074</v>
      </c>
      <c r="E611" s="15" t="str">
        <f>HYPERLINK("https://stat100.ameba.jp/tnk47/ratio20/illustrations/card/ill_86371_bakkasu01.jpg?202006-5-RELEASE-marathon-476x", "■")</f>
        <v>■</v>
      </c>
      <c r="F611" s="14" t="s">
        <v>13075</v>
      </c>
      <c r="G611" s="14">
        <v>41470</v>
      </c>
      <c r="H611" s="14">
        <v>57278</v>
      </c>
      <c r="I611" s="14">
        <v>26</v>
      </c>
      <c r="J611" s="14" t="s">
        <v>13076</v>
      </c>
      <c r="K611" s="14" t="s">
        <v>13077</v>
      </c>
      <c r="L611" s="14" t="s">
        <v>13080</v>
      </c>
      <c r="M611" s="14" t="s">
        <v>9158</v>
      </c>
      <c r="N611" s="14" t="s">
        <v>9158</v>
      </c>
      <c r="O611" s="14" t="s">
        <v>9158</v>
      </c>
      <c r="P611" s="14" t="s">
        <v>9158</v>
      </c>
      <c r="Q611" s="14" t="s">
        <v>9158</v>
      </c>
      <c r="R611" s="14" t="s">
        <v>13056</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04C99-2BE1-4F4C-85F2-2209D83E9709}">
  <dimension ref="A1:S606"/>
  <sheetViews>
    <sheetView zoomScale="55" zoomScaleNormal="55" workbookViewId="0">
      <pane ySplit="1" topLeftCell="A422" activePane="bottomLeft" state="frozen"/>
      <selection activeCell="Q158" sqref="A158:Q158"/>
      <selection pane="bottomLeft" activeCell="D435" sqref="D435"/>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17475</v>
      </c>
    </row>
    <row r="4" spans="1:19">
      <c r="A4" s="14" t="s">
        <v>13118</v>
      </c>
    </row>
    <row r="5" spans="1:19">
      <c r="A5" s="14" t="s">
        <v>13119</v>
      </c>
    </row>
    <row r="6" spans="1:19">
      <c r="A6" s="14" t="s">
        <v>13086</v>
      </c>
      <c r="B6" s="7" t="s">
        <v>52</v>
      </c>
      <c r="C6" s="14" t="s">
        <v>202</v>
      </c>
      <c r="D6" s="18" t="s">
        <v>13084</v>
      </c>
      <c r="E6" s="15" t="str">
        <f>HYPERLINK("https://stat100.ameba.jp/tnk47/ratio20/illustrations/card/ill_89703_0_jumburaidohimiko03.jpg?202006-5-RELEASE-marathon-476x", "■")</f>
        <v>■</v>
      </c>
      <c r="F6" s="14" t="s">
        <v>13085</v>
      </c>
      <c r="G6" s="14">
        <v>395073</v>
      </c>
      <c r="H6" s="14">
        <v>323223</v>
      </c>
      <c r="I6" s="7">
        <v>31</v>
      </c>
      <c r="J6" s="14" t="s">
        <v>10</v>
      </c>
      <c r="K6" s="14" t="s">
        <v>13087</v>
      </c>
      <c r="L6" s="14" t="s">
        <v>12016</v>
      </c>
      <c r="M6" s="14" t="s">
        <v>9158</v>
      </c>
      <c r="N6" s="14" t="s">
        <v>9158</v>
      </c>
      <c r="O6" s="6" t="s">
        <v>13088</v>
      </c>
      <c r="P6" s="7" t="s">
        <v>13089</v>
      </c>
      <c r="Q6" s="7">
        <v>1</v>
      </c>
    </row>
    <row r="7" spans="1:19">
      <c r="A7" s="14">
        <v>89653</v>
      </c>
      <c r="B7" s="14" t="s">
        <v>0</v>
      </c>
      <c r="C7" s="14" t="s">
        <v>101</v>
      </c>
      <c r="D7" s="18" t="s">
        <v>13090</v>
      </c>
      <c r="E7" s="15" t="str">
        <f>HYPERLINK("https://stat100.ameba.jp/tnk47/ratio20/illustrations/card/ill_89653_jumburaidochakkariozonichan03.jpg?202006-5-RELEASE-marathon-476x", "■")</f>
        <v>■</v>
      </c>
      <c r="F7" s="14" t="s">
        <v>13091</v>
      </c>
      <c r="G7" s="14">
        <v>127507</v>
      </c>
      <c r="H7" s="14">
        <v>118568</v>
      </c>
      <c r="I7" s="14">
        <v>27</v>
      </c>
      <c r="J7" s="14" t="s">
        <v>104</v>
      </c>
      <c r="K7" s="14" t="s">
        <v>13092</v>
      </c>
      <c r="L7" s="14" t="s">
        <v>13093</v>
      </c>
      <c r="M7" s="14" t="s">
        <v>9158</v>
      </c>
      <c r="N7" s="14" t="s">
        <v>9158</v>
      </c>
      <c r="O7" s="6" t="s">
        <v>4583</v>
      </c>
      <c r="P7" s="7" t="s">
        <v>4584</v>
      </c>
      <c r="Q7" s="7">
        <v>1</v>
      </c>
    </row>
    <row r="8" spans="1:19">
      <c r="A8" s="14">
        <v>89643</v>
      </c>
      <c r="B8" s="14" t="s">
        <v>0</v>
      </c>
      <c r="C8" s="14" t="s">
        <v>14</v>
      </c>
      <c r="D8" s="18" t="s">
        <v>13098</v>
      </c>
      <c r="E8" s="15" t="str">
        <f>HYPERLINK("https://stat100.ameba.jp/tnk47/ratio20/illustrations/card/ill_89643_jumburaidokageonna03.jpg?202006-5-RELEASE-marathon-476x", "■")</f>
        <v>■</v>
      </c>
      <c r="F8" s="14" t="s">
        <v>13094</v>
      </c>
      <c r="G8" s="14">
        <v>118568</v>
      </c>
      <c r="H8" s="14">
        <v>127507</v>
      </c>
      <c r="I8" s="14">
        <v>27</v>
      </c>
      <c r="J8" s="14" t="s">
        <v>73</v>
      </c>
      <c r="K8" s="14" t="s">
        <v>13095</v>
      </c>
      <c r="L8" s="14" t="s">
        <v>13096</v>
      </c>
      <c r="M8" s="14" t="s">
        <v>2138</v>
      </c>
      <c r="N8" s="14" t="s">
        <v>2139</v>
      </c>
      <c r="O8" s="14" t="s">
        <v>9158</v>
      </c>
      <c r="P8" s="14" t="s">
        <v>9158</v>
      </c>
      <c r="Q8" s="14" t="s">
        <v>9158</v>
      </c>
      <c r="R8" s="14" t="s">
        <v>13120</v>
      </c>
    </row>
    <row r="9" spans="1:19">
      <c r="A9" s="14">
        <v>89663</v>
      </c>
      <c r="B9" s="14" t="s">
        <v>0</v>
      </c>
      <c r="C9" s="14" t="s">
        <v>1</v>
      </c>
      <c r="D9" s="18" t="s">
        <v>13097</v>
      </c>
      <c r="E9" s="15" t="str">
        <f>HYPERLINK("https://stat100.ameba.jp/tnk47/ratio20/illustrations/card/ill_89663_jumburaidotsumabenicho03.jpg?202006-5-RELEASE-marathon-476x", "■")</f>
        <v>■</v>
      </c>
      <c r="F9" s="14" t="s">
        <v>13099</v>
      </c>
      <c r="G9" s="14">
        <v>123002</v>
      </c>
      <c r="H9" s="14">
        <v>114362</v>
      </c>
      <c r="I9" s="14">
        <v>27</v>
      </c>
      <c r="J9" s="14" t="s">
        <v>26</v>
      </c>
      <c r="K9" s="14" t="s">
        <v>13100</v>
      </c>
      <c r="L9" s="14" t="s">
        <v>13101</v>
      </c>
      <c r="M9" s="14" t="s">
        <v>2138</v>
      </c>
      <c r="N9" s="14" t="s">
        <v>2139</v>
      </c>
      <c r="O9" s="14" t="s">
        <v>9158</v>
      </c>
      <c r="P9" s="14" t="s">
        <v>9158</v>
      </c>
      <c r="Q9" s="14" t="s">
        <v>9158</v>
      </c>
      <c r="R9" s="14" t="s">
        <v>13120</v>
      </c>
    </row>
    <row r="10" spans="1:19">
      <c r="A10" s="14">
        <v>89673</v>
      </c>
      <c r="B10" s="14" t="s">
        <v>15</v>
      </c>
      <c r="C10" s="14" t="s">
        <v>107</v>
      </c>
      <c r="D10" s="18" t="s">
        <v>13102</v>
      </c>
      <c r="E10" s="15" t="str">
        <f>HYPERLINK("https://stat100.ameba.jp/tnk47/ratio20/illustrations/card/ill_89673_uedeingusatsumakiriko03.jpg?202006-5-RELEASE-marathon-476x", "■")</f>
        <v>■</v>
      </c>
      <c r="F10" s="14" t="s">
        <v>13103</v>
      </c>
      <c r="G10" s="14">
        <v>67210</v>
      </c>
      <c r="H10" s="14">
        <v>74100</v>
      </c>
      <c r="I10" s="14">
        <v>25</v>
      </c>
      <c r="J10" s="14" t="s">
        <v>26</v>
      </c>
      <c r="K10" s="14" t="s">
        <v>13104</v>
      </c>
      <c r="L10" s="14" t="s">
        <v>3383</v>
      </c>
      <c r="M10" s="14" t="s">
        <v>9158</v>
      </c>
      <c r="N10" s="14" t="s">
        <v>9158</v>
      </c>
      <c r="O10" s="14" t="s">
        <v>9158</v>
      </c>
      <c r="P10" s="14" t="s">
        <v>9158</v>
      </c>
      <c r="Q10" s="14" t="s">
        <v>9158</v>
      </c>
    </row>
    <row r="11" spans="1:19">
      <c r="A11" s="14">
        <v>89683</v>
      </c>
      <c r="B11" s="14" t="s">
        <v>15</v>
      </c>
      <c r="C11" s="14" t="s">
        <v>101</v>
      </c>
      <c r="D11" s="18" t="s">
        <v>13105</v>
      </c>
      <c r="E11" s="15" t="str">
        <f>HYPERLINK("https://stat100.ameba.jp/tnk47/ratio20/illustrations/card/ill_89683_minazukikonkimmedai03.jpg?202006-5-RELEASE-marathon-476x", "■")</f>
        <v>■</v>
      </c>
      <c r="F11" s="14" t="s">
        <v>13106</v>
      </c>
      <c r="G11" s="14">
        <v>74100</v>
      </c>
      <c r="H11" s="14">
        <v>67210</v>
      </c>
      <c r="I11" s="14">
        <v>25</v>
      </c>
      <c r="J11" s="14" t="s">
        <v>104</v>
      </c>
      <c r="K11" s="14" t="s">
        <v>13107</v>
      </c>
      <c r="L11" s="14" t="s">
        <v>3502</v>
      </c>
      <c r="M11" s="14" t="s">
        <v>9158</v>
      </c>
      <c r="N11" s="14" t="s">
        <v>9158</v>
      </c>
      <c r="O11" s="14" t="s">
        <v>9158</v>
      </c>
      <c r="P11" s="14" t="s">
        <v>9158</v>
      </c>
      <c r="Q11" s="14" t="s">
        <v>9158</v>
      </c>
    </row>
    <row r="12" spans="1:19">
      <c r="A12" s="14">
        <v>89693</v>
      </c>
      <c r="B12" s="14" t="s">
        <v>15</v>
      </c>
      <c r="C12" s="14" t="s">
        <v>96</v>
      </c>
      <c r="D12" s="18" t="s">
        <v>13108</v>
      </c>
      <c r="E12" s="15" t="str">
        <f>HYPERLINK("https://stat100.ameba.jp/tnk47/ratio20/illustrations/card/ill_89693_minazukikonsotorihime03.jpg?202006-5-RELEASE-marathon-476x", "■")</f>
        <v>■</v>
      </c>
      <c r="F12" s="14" t="s">
        <v>13109</v>
      </c>
      <c r="G12" s="14">
        <v>67210</v>
      </c>
      <c r="H12" s="14">
        <v>74100</v>
      </c>
      <c r="I12" s="14">
        <v>25</v>
      </c>
      <c r="J12" s="14" t="s">
        <v>38</v>
      </c>
      <c r="K12" s="14" t="s">
        <v>13110</v>
      </c>
      <c r="L12" s="14" t="s">
        <v>5922</v>
      </c>
      <c r="M12" s="14" t="s">
        <v>9158</v>
      </c>
      <c r="N12" s="14" t="s">
        <v>9158</v>
      </c>
      <c r="O12" s="14" t="s">
        <v>9158</v>
      </c>
      <c r="P12" s="14" t="s">
        <v>9158</v>
      </c>
      <c r="Q12" s="14" t="s">
        <v>9158</v>
      </c>
    </row>
    <row r="13" spans="1:19">
      <c r="A13" s="14">
        <v>89713</v>
      </c>
      <c r="B13" s="14" t="s">
        <v>22</v>
      </c>
      <c r="C13" s="14" t="s">
        <v>14</v>
      </c>
      <c r="D13" s="18" t="s">
        <v>13111</v>
      </c>
      <c r="E13" s="15" t="str">
        <f>HYPERLINK("https://stat100.ameba.jp/tnk47/ratio20/illustrations/card/ill_89713_uedeingusonobehideo03.jpg?202006-5-RELEASE-marathon-476x", "■")</f>
        <v>■</v>
      </c>
      <c r="F13" s="14" t="s">
        <v>13112</v>
      </c>
      <c r="G13" s="14">
        <v>38032</v>
      </c>
      <c r="H13" s="14">
        <v>45742</v>
      </c>
      <c r="I13" s="14">
        <v>22</v>
      </c>
      <c r="J13" s="14" t="s">
        <v>10</v>
      </c>
      <c r="K13" s="14" t="s">
        <v>13113</v>
      </c>
      <c r="L13" s="14" t="s">
        <v>9347</v>
      </c>
      <c r="M13" s="14" t="s">
        <v>9158</v>
      </c>
      <c r="N13" s="14" t="s">
        <v>9158</v>
      </c>
      <c r="O13" s="14" t="s">
        <v>9158</v>
      </c>
      <c r="P13" s="14" t="s">
        <v>9158</v>
      </c>
      <c r="Q13" s="14" t="s">
        <v>9158</v>
      </c>
    </row>
    <row r="14" spans="1:19">
      <c r="A14" s="14">
        <v>89723</v>
      </c>
      <c r="B14" s="14" t="s">
        <v>22</v>
      </c>
      <c r="C14" s="14" t="s">
        <v>23</v>
      </c>
      <c r="D14" s="18" t="s">
        <v>13081</v>
      </c>
      <c r="E14" s="15" t="str">
        <f>HYPERLINK("https://stat100.ameba.jp/tnk47/ratio20/illustrations/card/ill_89723_uedeinguchin03.jpg?202006-5-RELEASE-marathon-476x", "■")</f>
        <v>■</v>
      </c>
      <c r="F14" s="14" t="s">
        <v>13082</v>
      </c>
      <c r="G14" s="14">
        <v>45742</v>
      </c>
      <c r="H14" s="14">
        <v>38032</v>
      </c>
      <c r="I14" s="14">
        <v>22</v>
      </c>
      <c r="J14" s="14" t="s">
        <v>26</v>
      </c>
      <c r="K14" s="14" t="s">
        <v>13083</v>
      </c>
      <c r="L14" s="14" t="s">
        <v>2162</v>
      </c>
      <c r="M14" s="14" t="s">
        <v>9158</v>
      </c>
      <c r="N14" s="14" t="s">
        <v>9158</v>
      </c>
      <c r="O14" s="14" t="s">
        <v>9158</v>
      </c>
      <c r="P14" s="14" t="s">
        <v>9158</v>
      </c>
      <c r="Q14" s="14" t="s">
        <v>9158</v>
      </c>
    </row>
    <row r="15" spans="1:19">
      <c r="A15" s="14">
        <v>89733</v>
      </c>
      <c r="B15" s="14" t="s">
        <v>30</v>
      </c>
      <c r="C15" s="14" t="s">
        <v>12613</v>
      </c>
      <c r="D15" s="14" t="s">
        <v>13114</v>
      </c>
      <c r="E15" s="15" t="str">
        <f>HYPERLINK("https://stat100.ameba.jp/tnk47/ratio20/illustrations/card/ill_89733_tenshihaniyasu03.jpg?202006-5-RELEASE-marathon-476x", "■")</f>
        <v>■</v>
      </c>
      <c r="F15" s="14" t="s">
        <v>13116</v>
      </c>
      <c r="G15" s="7" t="s">
        <v>12934</v>
      </c>
      <c r="H15" s="7" t="s">
        <v>12934</v>
      </c>
      <c r="I15" s="14">
        <v>19</v>
      </c>
      <c r="J15" s="14" t="s">
        <v>44</v>
      </c>
      <c r="K15" s="7" t="s">
        <v>12934</v>
      </c>
      <c r="L15" s="7" t="s">
        <v>12934</v>
      </c>
      <c r="M15" s="14" t="s">
        <v>9158</v>
      </c>
      <c r="N15" s="14" t="s">
        <v>9158</v>
      </c>
      <c r="O15" s="14" t="s">
        <v>9158</v>
      </c>
      <c r="P15" s="14" t="s">
        <v>9158</v>
      </c>
      <c r="Q15" s="14" t="s">
        <v>9158</v>
      </c>
    </row>
    <row r="16" spans="1:19">
      <c r="A16" s="14">
        <v>89743</v>
      </c>
      <c r="B16" s="14" t="s">
        <v>30</v>
      </c>
      <c r="C16" s="14" t="s">
        <v>4952</v>
      </c>
      <c r="D16" s="18" t="s">
        <v>13115</v>
      </c>
      <c r="E16" s="15" t="str">
        <f>HYPERLINK("https://stat100.ameba.jp/tnk47/ratio20/illustrations/card/ill_89743_ubume03.jpg?202006-5-RELEASE-marathon-476x", "■")</f>
        <v>■</v>
      </c>
      <c r="F16" s="14" t="s">
        <v>13117</v>
      </c>
      <c r="G16" s="7" t="s">
        <v>12934</v>
      </c>
      <c r="H16" s="7" t="s">
        <v>12934</v>
      </c>
      <c r="I16" s="14">
        <v>19</v>
      </c>
      <c r="J16" s="14" t="s">
        <v>73</v>
      </c>
      <c r="K16" s="7" t="s">
        <v>12934</v>
      </c>
      <c r="L16" s="7" t="s">
        <v>12934</v>
      </c>
      <c r="M16" s="14" t="s">
        <v>9158</v>
      </c>
      <c r="N16" s="14" t="s">
        <v>9158</v>
      </c>
      <c r="O16" s="14" t="s">
        <v>9158</v>
      </c>
      <c r="P16" s="14" t="s">
        <v>9158</v>
      </c>
      <c r="Q16" s="14" t="s">
        <v>9158</v>
      </c>
    </row>
    <row r="17" spans="1:18">
      <c r="D17" s="7"/>
    </row>
    <row r="18" spans="1:18">
      <c r="A18" s="14" t="s">
        <v>13387</v>
      </c>
      <c r="D18" s="7"/>
    </row>
    <row r="19" spans="1:18">
      <c r="A19" s="14" t="s">
        <v>4889</v>
      </c>
      <c r="D19" s="7"/>
    </row>
    <row r="20" spans="1:18">
      <c r="A20" s="14">
        <v>89795</v>
      </c>
      <c r="B20" s="14" t="s">
        <v>0</v>
      </c>
      <c r="C20" s="14" t="s">
        <v>202</v>
      </c>
      <c r="D20" s="18" t="s">
        <v>13256</v>
      </c>
      <c r="E20" s="15" t="str">
        <f>HYPERLINK("https://stat100.ameba.jp/tnk47/ratio20/illustrations/card/ill_89795_sennyusosayozenin05.jpg?202006-5-RELEASE-marathon-476xx", "■")</f>
        <v>■</v>
      </c>
      <c r="F20" s="14" t="s">
        <v>13257</v>
      </c>
      <c r="G20" s="14">
        <v>133266</v>
      </c>
      <c r="H20" s="14">
        <v>96477</v>
      </c>
      <c r="I20" s="14">
        <v>27</v>
      </c>
      <c r="J20" s="14" t="s">
        <v>13258</v>
      </c>
      <c r="K20" s="14" t="s">
        <v>13259</v>
      </c>
      <c r="L20" s="14" t="s">
        <v>13260</v>
      </c>
      <c r="M20" s="14" t="s">
        <v>9158</v>
      </c>
      <c r="N20" s="14" t="s">
        <v>9158</v>
      </c>
      <c r="O20" s="14" t="s">
        <v>9158</v>
      </c>
      <c r="P20" s="14" t="s">
        <v>9158</v>
      </c>
      <c r="Q20" s="14" t="s">
        <v>9158</v>
      </c>
      <c r="R20" s="14" t="s">
        <v>174</v>
      </c>
    </row>
    <row r="21" spans="1:18">
      <c r="A21" s="14">
        <v>89793</v>
      </c>
      <c r="B21" s="14" t="s">
        <v>15</v>
      </c>
      <c r="C21" s="14" t="s">
        <v>13255</v>
      </c>
      <c r="D21" s="18" t="s">
        <v>13256</v>
      </c>
      <c r="E21" s="15" t="str">
        <f>HYPERLINK("https://stat100.ameba.jp/tnk47/ratio20/illustrations/card/ill_89793_sennyusosayozenin03.jpg?202006-5-RELEASE-marathon-476xx", "■")</f>
        <v>■</v>
      </c>
      <c r="F21" s="14" t="s">
        <v>13257</v>
      </c>
      <c r="G21" s="14">
        <v>98179</v>
      </c>
      <c r="H21" s="14">
        <v>71077</v>
      </c>
      <c r="I21" s="14">
        <v>27</v>
      </c>
      <c r="J21" s="14" t="s">
        <v>13258</v>
      </c>
      <c r="K21" s="14" t="s">
        <v>13259</v>
      </c>
      <c r="L21" s="14" t="s">
        <v>13260</v>
      </c>
      <c r="M21" s="14" t="s">
        <v>9158</v>
      </c>
      <c r="N21" s="14" t="s">
        <v>9158</v>
      </c>
      <c r="O21" s="14" t="s">
        <v>9158</v>
      </c>
      <c r="P21" s="14" t="s">
        <v>9158</v>
      </c>
      <c r="Q21" s="14" t="s">
        <v>9158</v>
      </c>
      <c r="R21" s="14" t="s">
        <v>175</v>
      </c>
    </row>
    <row r="22" spans="1:18">
      <c r="A22" s="14">
        <v>89791</v>
      </c>
      <c r="B22" s="14" t="s">
        <v>15</v>
      </c>
      <c r="C22" s="14" t="s">
        <v>13255</v>
      </c>
      <c r="D22" s="18" t="s">
        <v>13256</v>
      </c>
      <c r="E22" s="15" t="str">
        <f>HYPERLINK("https://stat100.ameba.jp/tnk47/ratio20/illustrations/card/ill_89791_sennyusosayozenin01.jpg?202006-5-RELEASE-marathon-476xx", "■")</f>
        <v>■</v>
      </c>
      <c r="F22" s="14" t="s">
        <v>13257</v>
      </c>
      <c r="G22" s="14">
        <v>62451</v>
      </c>
      <c r="H22" s="14">
        <v>45198</v>
      </c>
      <c r="I22" s="14">
        <v>27</v>
      </c>
      <c r="J22" s="14" t="s">
        <v>13258</v>
      </c>
      <c r="K22" s="14" t="s">
        <v>13259</v>
      </c>
      <c r="L22" s="14" t="s">
        <v>13260</v>
      </c>
      <c r="M22" s="14" t="s">
        <v>9158</v>
      </c>
      <c r="N22" s="14" t="s">
        <v>9158</v>
      </c>
      <c r="O22" s="14" t="s">
        <v>9158</v>
      </c>
      <c r="P22" s="14" t="s">
        <v>9158</v>
      </c>
      <c r="Q22" s="14" t="s">
        <v>9158</v>
      </c>
      <c r="R22" s="14" t="s">
        <v>176</v>
      </c>
    </row>
    <row r="24" spans="1:18">
      <c r="A24" s="14" t="s">
        <v>13262</v>
      </c>
    </row>
    <row r="25" spans="1:18">
      <c r="A25" s="14" t="s">
        <v>13261</v>
      </c>
    </row>
    <row r="26" spans="1:18">
      <c r="A26" s="7">
        <v>86003</v>
      </c>
      <c r="B26" s="7" t="s">
        <v>117</v>
      </c>
      <c r="C26" s="7" t="s">
        <v>202</v>
      </c>
      <c r="D26" s="20" t="s">
        <v>14508</v>
      </c>
      <c r="E26" s="15" t="str">
        <f>HYPERLINK("https://stat100.ameba.jp/tnk47/ratio20/illustrations/card/ill_86003_ninkishuitochiotomechan03.jpg?202006-5-RELEASE-marathon-476xx", "■")</f>
        <v>■</v>
      </c>
      <c r="F26" s="7" t="s">
        <v>8676</v>
      </c>
      <c r="G26" s="7">
        <v>380144</v>
      </c>
      <c r="H26" s="7">
        <v>343556</v>
      </c>
      <c r="I26" s="7">
        <v>30</v>
      </c>
      <c r="J26" s="7" t="s">
        <v>216</v>
      </c>
      <c r="K26" s="7" t="s">
        <v>8675</v>
      </c>
      <c r="L26" s="7" t="s">
        <v>8674</v>
      </c>
      <c r="M26" s="14" t="s">
        <v>9158</v>
      </c>
      <c r="N26" s="14" t="s">
        <v>9158</v>
      </c>
      <c r="O26" s="14" t="s">
        <v>9158</v>
      </c>
      <c r="P26" s="14" t="s">
        <v>9158</v>
      </c>
      <c r="Q26" s="14" t="s">
        <v>9158</v>
      </c>
      <c r="R26" s="9"/>
    </row>
    <row r="27" spans="1:18">
      <c r="A27" s="14">
        <v>82473</v>
      </c>
      <c r="B27" s="14" t="s">
        <v>0</v>
      </c>
      <c r="C27" s="14" t="s">
        <v>14</v>
      </c>
      <c r="D27" s="19" t="s">
        <v>10335</v>
      </c>
      <c r="E27" s="15" t="str">
        <f>HYPERLINK("https://stat100.ameba.jp/tnk47/ratio20/illustrations/card/ill_82473_tanabataakitainukun03.jpg?202006-5-RELEASE-marathon-476xx", "■")</f>
        <v>■</v>
      </c>
      <c r="F27" s="14" t="s">
        <v>5453</v>
      </c>
      <c r="G27" s="14">
        <v>143714</v>
      </c>
      <c r="H27" s="14">
        <v>154562</v>
      </c>
      <c r="I27" s="14">
        <v>26</v>
      </c>
      <c r="J27" s="14" t="s">
        <v>26</v>
      </c>
      <c r="K27" s="14" t="s">
        <v>5455</v>
      </c>
      <c r="L27" s="14" t="s">
        <v>5456</v>
      </c>
      <c r="M27" s="14" t="s">
        <v>9158</v>
      </c>
      <c r="N27" s="14" t="s">
        <v>9158</v>
      </c>
      <c r="O27" s="14" t="s">
        <v>9158</v>
      </c>
      <c r="P27" s="14" t="s">
        <v>9158</v>
      </c>
      <c r="Q27" s="14" t="s">
        <v>9158</v>
      </c>
    </row>
    <row r="28" spans="1:18">
      <c r="A28" s="14">
        <v>82773</v>
      </c>
      <c r="B28" s="14" t="s">
        <v>0</v>
      </c>
      <c r="C28" s="14" t="s">
        <v>200</v>
      </c>
      <c r="D28" s="19" t="s">
        <v>10410</v>
      </c>
      <c r="E28" s="15" t="str">
        <f>HYPERLINK("https://stat100.ameba.jp/tnk47/ratio20/illustrations/card/ill_82773_furesshumirukuraguzatama03.jpg?202006-5-RELEASE-marathon-476xx", "■")</f>
        <v>■</v>
      </c>
      <c r="F28" s="14" t="s">
        <v>5871</v>
      </c>
      <c r="G28" s="14">
        <v>98066</v>
      </c>
      <c r="H28" s="14">
        <v>105426</v>
      </c>
      <c r="I28" s="14">
        <v>26</v>
      </c>
      <c r="J28" s="14" t="s">
        <v>16</v>
      </c>
      <c r="K28" s="14" t="s">
        <v>5873</v>
      </c>
      <c r="L28" s="14" t="s">
        <v>124</v>
      </c>
      <c r="M28" s="14" t="s">
        <v>9158</v>
      </c>
      <c r="N28" s="14" t="s">
        <v>9158</v>
      </c>
      <c r="O28" s="14" t="s">
        <v>9158</v>
      </c>
      <c r="P28" s="14" t="s">
        <v>9158</v>
      </c>
      <c r="Q28" s="14" t="s">
        <v>9158</v>
      </c>
    </row>
    <row r="29" spans="1:18">
      <c r="A29" s="14">
        <v>84683</v>
      </c>
      <c r="B29" s="14" t="s">
        <v>0</v>
      </c>
      <c r="C29" s="14" t="s">
        <v>191</v>
      </c>
      <c r="D29" s="19" t="s">
        <v>10644</v>
      </c>
      <c r="E29" s="15" t="str">
        <f>HYPERLINK("https://stat100.ameba.jp/tnk47/ratio20/illustrations/card/ill_84683_kyupiddodainokata03.jpg?202006-5-RELEASE-marathon-476xx", "■")</f>
        <v>■</v>
      </c>
      <c r="F29" s="14" t="s">
        <v>7081</v>
      </c>
      <c r="G29" s="14">
        <v>94390</v>
      </c>
      <c r="H29" s="14">
        <v>101558</v>
      </c>
      <c r="I29" s="14">
        <v>26</v>
      </c>
      <c r="J29" s="14" t="s">
        <v>10</v>
      </c>
      <c r="K29" s="14" t="s">
        <v>5100</v>
      </c>
      <c r="L29" s="14" t="s">
        <v>11502</v>
      </c>
      <c r="M29" s="14" t="s">
        <v>9158</v>
      </c>
      <c r="N29" s="14" t="s">
        <v>9158</v>
      </c>
      <c r="O29" s="14" t="s">
        <v>9158</v>
      </c>
      <c r="P29" s="14" t="s">
        <v>9158</v>
      </c>
      <c r="Q29" s="14" t="s">
        <v>9158</v>
      </c>
    </row>
    <row r="30" spans="1:18">
      <c r="A30" s="9">
        <v>82133</v>
      </c>
      <c r="B30" s="9" t="s">
        <v>0</v>
      </c>
      <c r="C30" s="9" t="s">
        <v>165</v>
      </c>
      <c r="D30" s="19" t="s">
        <v>10295</v>
      </c>
      <c r="E30" s="15" t="str">
        <f>HYPERLINK("https://stat100.ameba.jp/tnk47/ratio20/illustrations/card/ill_82133_senritsunosumasshukobitokaba03.jpg?202006-5-RELEASE-marathon-476xx", "■")</f>
        <v>■</v>
      </c>
      <c r="F30" s="9" t="s">
        <v>5298</v>
      </c>
      <c r="G30" s="9">
        <v>98594</v>
      </c>
      <c r="H30" s="9">
        <v>106050</v>
      </c>
      <c r="I30" s="9">
        <v>26</v>
      </c>
      <c r="J30" s="9" t="s">
        <v>229</v>
      </c>
      <c r="K30" s="9" t="s">
        <v>5300</v>
      </c>
      <c r="L30" s="9" t="s">
        <v>5301</v>
      </c>
      <c r="M30" s="14" t="s">
        <v>9158</v>
      </c>
      <c r="N30" s="14" t="s">
        <v>9158</v>
      </c>
      <c r="O30" s="14" t="s">
        <v>9158</v>
      </c>
      <c r="P30" s="14" t="s">
        <v>9158</v>
      </c>
      <c r="Q30" s="14" t="s">
        <v>9158</v>
      </c>
    </row>
    <row r="31" spans="1:18">
      <c r="A31" s="9">
        <v>80233</v>
      </c>
      <c r="B31" s="9" t="s">
        <v>0</v>
      </c>
      <c r="C31" s="9" t="s">
        <v>205</v>
      </c>
      <c r="D31" s="19" t="s">
        <v>10979</v>
      </c>
      <c r="E31" s="15" t="str">
        <f>HYPERLINK("https://stat100.ameba.jp/tnk47/ratio20/illustrations/card/ill_80233_haruichibangoryunotsubone03.jpg?202006-5-RELEASE-marathon-476xx", "■")</f>
        <v>■</v>
      </c>
      <c r="F31" s="9" t="s">
        <v>3830</v>
      </c>
      <c r="G31" s="9">
        <v>94390</v>
      </c>
      <c r="H31" s="9">
        <v>101558</v>
      </c>
      <c r="I31" s="9">
        <v>26</v>
      </c>
      <c r="J31" s="9" t="s">
        <v>187</v>
      </c>
      <c r="K31" s="9" t="s">
        <v>3831</v>
      </c>
      <c r="L31" s="9" t="s">
        <v>969</v>
      </c>
      <c r="M31" s="14" t="s">
        <v>9158</v>
      </c>
      <c r="N31" s="14" t="s">
        <v>9158</v>
      </c>
      <c r="O31" s="14" t="s">
        <v>9158</v>
      </c>
      <c r="P31" s="14" t="s">
        <v>9158</v>
      </c>
      <c r="Q31" s="14" t="s">
        <v>9158</v>
      </c>
    </row>
    <row r="32" spans="1:18">
      <c r="A32" s="9">
        <v>79093</v>
      </c>
      <c r="B32" s="14" t="s">
        <v>334</v>
      </c>
      <c r="C32" s="14" t="s">
        <v>206</v>
      </c>
      <c r="D32" s="14" t="s">
        <v>3394</v>
      </c>
      <c r="E32" s="15" t="str">
        <f>HYPERLINK("https://stat100.ameba.jp/tnk47/ratio20/illustrations/card/ill_79093_shinnenongakukaihakatabijin03.jpg?202006-5-RELEASE-marathon-476xx", "■")</f>
        <v>■</v>
      </c>
      <c r="F32" s="14" t="s">
        <v>3395</v>
      </c>
      <c r="G32" s="14">
        <v>110126</v>
      </c>
      <c r="H32" s="14">
        <v>118446</v>
      </c>
      <c r="I32" s="9">
        <v>26</v>
      </c>
      <c r="J32" s="14" t="s">
        <v>26</v>
      </c>
      <c r="K32" s="14" t="s">
        <v>3396</v>
      </c>
      <c r="L32" s="14" t="s">
        <v>2137</v>
      </c>
      <c r="M32" s="14" t="s">
        <v>9158</v>
      </c>
      <c r="N32" s="14" t="s">
        <v>9158</v>
      </c>
      <c r="O32" s="14" t="s">
        <v>9158</v>
      </c>
      <c r="P32" s="14" t="s">
        <v>9158</v>
      </c>
      <c r="Q32" s="14" t="s">
        <v>9158</v>
      </c>
    </row>
    <row r="33" spans="1:17">
      <c r="D33" s="7"/>
    </row>
    <row r="34" spans="1:17">
      <c r="A34" s="14" t="s">
        <v>204</v>
      </c>
      <c r="D34" s="7"/>
    </row>
    <row r="35" spans="1:17">
      <c r="A35" s="14" t="s">
        <v>4905</v>
      </c>
      <c r="D35" s="7"/>
    </row>
    <row r="36" spans="1:17">
      <c r="A36" s="14" t="s">
        <v>5822</v>
      </c>
      <c r="B36" s="14" t="s">
        <v>330</v>
      </c>
      <c r="C36" s="14" t="s">
        <v>307</v>
      </c>
      <c r="D36" s="19" t="s">
        <v>306</v>
      </c>
      <c r="E36" s="15" t="str">
        <f>HYPERLINK("https://stat100.ameba.jp/tnk47/ratio20/illustrations/card/ill_71403_0_ohanamisanadayukimura03.jpg?202006-5-RELEASE-marathon-476xx", "■")</f>
        <v>■</v>
      </c>
      <c r="F36" s="14" t="s">
        <v>309</v>
      </c>
      <c r="G36" s="14">
        <v>205358</v>
      </c>
      <c r="H36" s="14">
        <v>190952</v>
      </c>
      <c r="I36" s="14">
        <v>22</v>
      </c>
      <c r="J36" s="14" t="s">
        <v>310</v>
      </c>
      <c r="K36" s="14" t="s">
        <v>311</v>
      </c>
      <c r="L36" s="14" t="s">
        <v>312</v>
      </c>
      <c r="M36" s="14" t="s">
        <v>9158</v>
      </c>
      <c r="N36" s="14" t="s">
        <v>9158</v>
      </c>
      <c r="O36" s="6" t="s">
        <v>10060</v>
      </c>
      <c r="P36" s="14" t="s">
        <v>3418</v>
      </c>
      <c r="Q36" s="14">
        <v>2</v>
      </c>
    </row>
    <row r="37" spans="1:17">
      <c r="A37" s="14" t="s">
        <v>5620</v>
      </c>
      <c r="B37" s="14" t="s">
        <v>330</v>
      </c>
      <c r="C37" s="14" t="s">
        <v>206</v>
      </c>
      <c r="D37" s="20" t="s">
        <v>669</v>
      </c>
      <c r="E37" s="15" t="str">
        <f>HYPERLINK("https://stat100.ameba.jp/tnk47/ratio20/illustrations/card/ill_67173_0_yukemuriawamorichan03.jpg?202006-5-RELEASE-marathon-476xx", "■")</f>
        <v>■</v>
      </c>
      <c r="F37" s="14" t="s">
        <v>670</v>
      </c>
      <c r="G37" s="14">
        <v>169032</v>
      </c>
      <c r="H37" s="14">
        <v>157150</v>
      </c>
      <c r="I37" s="14">
        <v>22</v>
      </c>
      <c r="J37" s="14" t="s">
        <v>283</v>
      </c>
      <c r="K37" s="14" t="s">
        <v>671</v>
      </c>
      <c r="L37" s="14" t="s">
        <v>672</v>
      </c>
      <c r="M37" s="14" t="s">
        <v>9158</v>
      </c>
      <c r="N37" s="14" t="s">
        <v>9158</v>
      </c>
      <c r="O37" s="19" t="s">
        <v>10087</v>
      </c>
      <c r="P37" s="14" t="s">
        <v>3455</v>
      </c>
      <c r="Q37" s="14">
        <v>1</v>
      </c>
    </row>
    <row r="38" spans="1:17">
      <c r="A38" s="14" t="s">
        <v>5622</v>
      </c>
      <c r="B38" s="14" t="s">
        <v>330</v>
      </c>
      <c r="C38" s="14" t="s">
        <v>335</v>
      </c>
      <c r="D38" s="19" t="s">
        <v>509</v>
      </c>
      <c r="E38" s="15" t="str">
        <f>HYPERLINK("https://stat100.ameba.jp/tnk47/ratio20/illustrations/card/ill_49953_0_yushamarihime03.jpg?202006-5-RELEASE-marathon-476xx", "■")</f>
        <v>■</v>
      </c>
      <c r="F38" s="14" t="s">
        <v>510</v>
      </c>
      <c r="G38" s="14">
        <v>138212</v>
      </c>
      <c r="H38" s="14">
        <v>122776</v>
      </c>
      <c r="I38" s="14">
        <v>22</v>
      </c>
      <c r="J38" s="14" t="s">
        <v>315</v>
      </c>
      <c r="K38" s="14" t="s">
        <v>511</v>
      </c>
      <c r="L38" s="14" t="s">
        <v>512</v>
      </c>
      <c r="M38" s="14" t="s">
        <v>9158</v>
      </c>
      <c r="N38" s="14" t="s">
        <v>9158</v>
      </c>
      <c r="O38" s="14" t="s">
        <v>9158</v>
      </c>
      <c r="P38" s="14" t="s">
        <v>9158</v>
      </c>
      <c r="Q38" s="14" t="s">
        <v>9158</v>
      </c>
    </row>
    <row r="39" spans="1:17">
      <c r="A39" s="14">
        <v>69943</v>
      </c>
      <c r="B39" s="14" t="s">
        <v>334</v>
      </c>
      <c r="C39" s="14" t="s">
        <v>165</v>
      </c>
      <c r="D39" s="19" t="s">
        <v>10364</v>
      </c>
      <c r="E39" s="15" t="str">
        <f>HYPERLINK("https://stat100.ameba.jp/tnk47/ratio20/illustrations/card/ill_69943_hanzaiopakabaro03.jpg?202006-5-RELEASE-marathon-476xx", "■")</f>
        <v>■</v>
      </c>
      <c r="F39" s="14" t="s">
        <v>1887</v>
      </c>
      <c r="G39" s="14">
        <v>130214</v>
      </c>
      <c r="H39" s="14">
        <v>73270</v>
      </c>
      <c r="I39" s="14">
        <v>27</v>
      </c>
      <c r="J39" s="14" t="s">
        <v>16</v>
      </c>
      <c r="K39" s="14" t="s">
        <v>1888</v>
      </c>
      <c r="L39" s="14" t="s">
        <v>1889</v>
      </c>
      <c r="M39" s="14" t="s">
        <v>9158</v>
      </c>
      <c r="N39" s="14" t="s">
        <v>9158</v>
      </c>
      <c r="O39" s="14" t="s">
        <v>9158</v>
      </c>
      <c r="P39" s="14" t="s">
        <v>9158</v>
      </c>
      <c r="Q39" s="14" t="s">
        <v>9158</v>
      </c>
    </row>
    <row r="40" spans="1:17">
      <c r="A40" s="9">
        <v>58273</v>
      </c>
      <c r="B40" s="14" t="s">
        <v>334</v>
      </c>
      <c r="C40" s="14" t="s">
        <v>335</v>
      </c>
      <c r="D40" s="14" t="s">
        <v>3873</v>
      </c>
      <c r="E40" s="15" t="str">
        <f>HYPERLINK("https://stat100.ameba.jp/tnk47/ratio20/illustrations/card/ill_58273_oniniwasagetsusai03.jpg?202006-5-RELEASE-marathon-476xx", "■")</f>
        <v>■</v>
      </c>
      <c r="F40" s="14" t="s">
        <v>798</v>
      </c>
      <c r="G40" s="14">
        <v>160055</v>
      </c>
      <c r="H40" s="14">
        <v>96756</v>
      </c>
      <c r="I40" s="14">
        <v>27</v>
      </c>
      <c r="J40" s="14" t="s">
        <v>310</v>
      </c>
      <c r="K40" s="14" t="s">
        <v>799</v>
      </c>
      <c r="L40" s="14" t="s">
        <v>800</v>
      </c>
      <c r="M40" s="14" t="s">
        <v>9158</v>
      </c>
      <c r="N40" s="14" t="s">
        <v>9158</v>
      </c>
      <c r="O40" s="14" t="s">
        <v>9158</v>
      </c>
      <c r="P40" s="14" t="s">
        <v>9158</v>
      </c>
      <c r="Q40" s="14" t="s">
        <v>9158</v>
      </c>
    </row>
    <row r="41" spans="1:17">
      <c r="A41" s="14">
        <v>77353</v>
      </c>
      <c r="B41" s="14" t="s">
        <v>0</v>
      </c>
      <c r="C41" s="14" t="s">
        <v>200</v>
      </c>
      <c r="D41" s="19" t="s">
        <v>1529</v>
      </c>
      <c r="E41" s="15" t="str">
        <f>HYPERLINK("https://stat100.ameba.jp/tnk47/ratio20/illustrations/card/ill_77353_chayamusumekandamatsuri03.jpg?202006-5-RELEASE-marathon-476xx", "■")</f>
        <v>■</v>
      </c>
      <c r="F41" s="14" t="s">
        <v>7222</v>
      </c>
      <c r="G41" s="14">
        <v>123002</v>
      </c>
      <c r="H41" s="14">
        <v>114362</v>
      </c>
      <c r="I41" s="14">
        <v>27</v>
      </c>
      <c r="J41" s="14" t="s">
        <v>229</v>
      </c>
      <c r="K41" s="14" t="s">
        <v>7221</v>
      </c>
      <c r="L41" s="14" t="s">
        <v>1086</v>
      </c>
      <c r="M41" s="14" t="s">
        <v>9158</v>
      </c>
      <c r="N41" s="14" t="s">
        <v>9158</v>
      </c>
      <c r="O41" s="14" t="s">
        <v>9158</v>
      </c>
      <c r="P41" s="14" t="s">
        <v>9158</v>
      </c>
      <c r="Q41" s="14" t="s">
        <v>9158</v>
      </c>
    </row>
    <row r="43" spans="1:17">
      <c r="A43" s="14" t="s">
        <v>13298</v>
      </c>
    </row>
    <row r="44" spans="1:17">
      <c r="A44" s="14" t="s">
        <v>13299</v>
      </c>
    </row>
    <row r="45" spans="1:17">
      <c r="A45" s="9" t="s">
        <v>9891</v>
      </c>
      <c r="B45" s="7" t="s">
        <v>52</v>
      </c>
      <c r="C45" s="9" t="s">
        <v>202</v>
      </c>
      <c r="D45" s="6" t="s">
        <v>9978</v>
      </c>
      <c r="E45" s="15" t="str">
        <f>HYPERLINK("https://stat100.ameba.jp/tnk47/ratio20/illustrations/card/ill_87643_0_oendanotohime03.jpg?202006-5-RELEASE-marathon-476xx", "■")</f>
        <v>■</v>
      </c>
      <c r="F45" s="14" t="s">
        <v>9928</v>
      </c>
      <c r="G45" s="9">
        <v>260330</v>
      </c>
      <c r="H45" s="9">
        <v>318156</v>
      </c>
      <c r="I45" s="7">
        <v>25</v>
      </c>
      <c r="J45" s="9" t="s">
        <v>155</v>
      </c>
      <c r="K45" s="14" t="s">
        <v>9932</v>
      </c>
      <c r="L45" s="14" t="s">
        <v>9933</v>
      </c>
      <c r="M45" s="14" t="s">
        <v>9158</v>
      </c>
      <c r="N45" s="14" t="s">
        <v>9158</v>
      </c>
      <c r="O45" s="6" t="s">
        <v>9989</v>
      </c>
      <c r="P45" s="7" t="s">
        <v>9944</v>
      </c>
      <c r="Q45" s="7">
        <v>1</v>
      </c>
    </row>
    <row r="46" spans="1:17">
      <c r="A46" s="14">
        <v>81313</v>
      </c>
      <c r="B46" s="14" t="s">
        <v>0</v>
      </c>
      <c r="C46" s="14" t="s">
        <v>154</v>
      </c>
      <c r="D46" s="19" t="s">
        <v>10511</v>
      </c>
      <c r="E46" s="15" t="str">
        <f>HYPERLINK("https://stat100.ameba.jp/tnk47/ratio20/illustrations/card/ill_81313_harihara03.jpg?202006-5-RELEASE-marathon-476xx", "■")</f>
        <v>■</v>
      </c>
      <c r="F46" s="14" t="s">
        <v>4667</v>
      </c>
      <c r="G46" s="14">
        <v>159674</v>
      </c>
      <c r="H46" s="14">
        <v>115656</v>
      </c>
      <c r="I46" s="14">
        <v>24</v>
      </c>
      <c r="J46" s="14" t="s">
        <v>44</v>
      </c>
      <c r="K46" s="14" t="s">
        <v>4668</v>
      </c>
      <c r="L46" s="14" t="s">
        <v>4669</v>
      </c>
      <c r="M46" s="14" t="s">
        <v>9158</v>
      </c>
      <c r="N46" s="14" t="s">
        <v>9158</v>
      </c>
      <c r="O46" s="19" t="s">
        <v>10114</v>
      </c>
      <c r="P46" s="14" t="s">
        <v>3658</v>
      </c>
      <c r="Q46" s="14">
        <v>1</v>
      </c>
    </row>
    <row r="47" spans="1:17">
      <c r="A47" s="14">
        <v>82543</v>
      </c>
      <c r="B47" s="14" t="s">
        <v>334</v>
      </c>
      <c r="C47" s="14" t="s">
        <v>41</v>
      </c>
      <c r="D47" s="19" t="s">
        <v>10342</v>
      </c>
      <c r="E47" s="15" t="str">
        <f>HYPERLINK("https://stat100.ameba.jp/tnk47/ratio20/illustrations/card/ill_82543_nabeshimanagako03.jpg?202006-5-RELEASE-marathon-476xx", "■")</f>
        <v>■</v>
      </c>
      <c r="F47" s="14" t="s">
        <v>5491</v>
      </c>
      <c r="G47" s="14">
        <v>104890</v>
      </c>
      <c r="H47" s="14">
        <v>75984</v>
      </c>
      <c r="I47" s="14">
        <v>24</v>
      </c>
      <c r="J47" s="14" t="s">
        <v>10</v>
      </c>
      <c r="K47" s="14" t="s">
        <v>5493</v>
      </c>
      <c r="L47" s="14" t="s">
        <v>5494</v>
      </c>
      <c r="M47" s="14" t="s">
        <v>9158</v>
      </c>
      <c r="N47" s="14" t="s">
        <v>9158</v>
      </c>
      <c r="O47" s="19" t="s">
        <v>10080</v>
      </c>
      <c r="P47" s="14" t="s">
        <v>3705</v>
      </c>
      <c r="Q47" s="14">
        <v>1</v>
      </c>
    </row>
    <row r="48" spans="1:17">
      <c r="A48" s="14">
        <v>80743</v>
      </c>
      <c r="B48" s="14" t="s">
        <v>0</v>
      </c>
      <c r="C48" s="14" t="s">
        <v>209</v>
      </c>
      <c r="D48" s="20" t="s">
        <v>10414</v>
      </c>
      <c r="E48" s="15" t="str">
        <f>HYPERLINK("https://stat100.ameba.jp/tnk47/ratio20/illustrations/card/ill_80743_senseijutsushi03.jpg?202006-5-RELEASE-marathon-476xx", "■")</f>
        <v>■</v>
      </c>
      <c r="F48" s="14" t="s">
        <v>4249</v>
      </c>
      <c r="G48" s="14">
        <v>75984</v>
      </c>
      <c r="H48" s="14">
        <v>104890</v>
      </c>
      <c r="I48" s="14">
        <v>24</v>
      </c>
      <c r="J48" s="14" t="s">
        <v>16</v>
      </c>
      <c r="K48" s="14" t="s">
        <v>4250</v>
      </c>
      <c r="L48" s="14" t="s">
        <v>4251</v>
      </c>
      <c r="M48" s="14" t="s">
        <v>9158</v>
      </c>
      <c r="N48" s="14" t="s">
        <v>9158</v>
      </c>
      <c r="O48" s="19" t="s">
        <v>10109</v>
      </c>
      <c r="P48" s="14" t="s">
        <v>3625</v>
      </c>
      <c r="Q48" s="14">
        <v>1</v>
      </c>
    </row>
    <row r="50" spans="1:18">
      <c r="A50" s="14" t="s">
        <v>13327</v>
      </c>
    </row>
    <row r="51" spans="1:18">
      <c r="A51" s="14" t="s">
        <v>13263</v>
      </c>
    </row>
    <row r="52" spans="1:18">
      <c r="A52" s="14">
        <v>90183</v>
      </c>
      <c r="B52" s="14" t="s">
        <v>0</v>
      </c>
      <c r="C52" s="14" t="s">
        <v>335</v>
      </c>
      <c r="D52" s="14" t="s">
        <v>13264</v>
      </c>
      <c r="E52" s="15" t="str">
        <f>HYPERLINK("https://stat100.ameba.jp/tnk47/ratio20/illustrations/card/ill_90183_shinsetsunojou03.jpg?202006-5-RELEASE-marathon-476xx", "■")</f>
        <v>■</v>
      </c>
      <c r="F52" s="14" t="s">
        <v>13267</v>
      </c>
      <c r="G52" s="14">
        <v>123583</v>
      </c>
      <c r="H52" s="14">
        <v>132922</v>
      </c>
      <c r="I52" s="14">
        <v>27</v>
      </c>
      <c r="J52" s="14" t="s">
        <v>13265</v>
      </c>
      <c r="K52" s="14" t="s">
        <v>13266</v>
      </c>
      <c r="L52" s="14" t="s">
        <v>13272</v>
      </c>
      <c r="M52" s="14" t="s">
        <v>13268</v>
      </c>
      <c r="N52" s="14" t="s">
        <v>13269</v>
      </c>
      <c r="O52" s="14" t="s">
        <v>9158</v>
      </c>
      <c r="P52" s="14" t="s">
        <v>9158</v>
      </c>
      <c r="Q52" s="14" t="s">
        <v>9158</v>
      </c>
      <c r="R52" s="14" t="s">
        <v>14748</v>
      </c>
    </row>
    <row r="53" spans="1:18">
      <c r="A53" s="14">
        <v>90182</v>
      </c>
      <c r="B53" s="14" t="s">
        <v>0</v>
      </c>
      <c r="C53" s="14" t="s">
        <v>335</v>
      </c>
      <c r="D53" s="14" t="s">
        <v>13264</v>
      </c>
      <c r="E53" s="15" t="str">
        <f>HYPERLINK("https://stat100.ameba.jp/tnk47/ratio20/illustrations/card/ill_90182_shinsetsunojou02.jpg?202006-5-RELEASE-marathon-476xx", "■")</f>
        <v>■</v>
      </c>
      <c r="F53" s="14" t="s">
        <v>13267</v>
      </c>
      <c r="G53" s="14">
        <v>102356</v>
      </c>
      <c r="H53" s="14">
        <v>111115</v>
      </c>
      <c r="I53" s="14">
        <v>27</v>
      </c>
      <c r="J53" s="14" t="s">
        <v>13265</v>
      </c>
      <c r="K53" s="14" t="s">
        <v>13266</v>
      </c>
      <c r="L53" s="14" t="s">
        <v>13272</v>
      </c>
      <c r="M53" s="14" t="s">
        <v>13270</v>
      </c>
      <c r="N53" s="14" t="s">
        <v>13271</v>
      </c>
      <c r="O53" s="14" t="s">
        <v>9158</v>
      </c>
      <c r="P53" s="14" t="s">
        <v>9158</v>
      </c>
      <c r="Q53" s="14" t="s">
        <v>9158</v>
      </c>
      <c r="R53" s="14" t="s">
        <v>14748</v>
      </c>
    </row>
    <row r="54" spans="1:18">
      <c r="A54" s="14">
        <v>90181</v>
      </c>
      <c r="B54" s="14" t="s">
        <v>0</v>
      </c>
      <c r="C54" s="14" t="s">
        <v>335</v>
      </c>
      <c r="D54" s="14" t="s">
        <v>13264</v>
      </c>
      <c r="E54" s="15" t="str">
        <f>HYPERLINK("https://stat100.ameba.jp/tnk47/ratio20/illustrations/card/ill_90181_shinsetsunojou01.jpg?202006-5-RELEASE-marathon-476xx", "■")</f>
        <v>■</v>
      </c>
      <c r="F54" s="14" t="s">
        <v>13267</v>
      </c>
      <c r="G54" s="14">
        <v>78975</v>
      </c>
      <c r="H54" s="14">
        <v>84834</v>
      </c>
      <c r="I54" s="14">
        <v>27</v>
      </c>
      <c r="J54" s="14" t="s">
        <v>13265</v>
      </c>
      <c r="K54" s="14" t="s">
        <v>13266</v>
      </c>
      <c r="L54" s="14" t="s">
        <v>13272</v>
      </c>
      <c r="M54" s="14" t="s">
        <v>13270</v>
      </c>
      <c r="N54" s="14" t="s">
        <v>13271</v>
      </c>
      <c r="O54" s="14" t="s">
        <v>9158</v>
      </c>
      <c r="P54" s="14" t="s">
        <v>9158</v>
      </c>
      <c r="Q54" s="14" t="s">
        <v>9158</v>
      </c>
      <c r="R54" s="14" t="s">
        <v>14748</v>
      </c>
    </row>
    <row r="55" spans="1:18">
      <c r="A55" s="14">
        <v>90193</v>
      </c>
      <c r="B55" s="14" t="s">
        <v>0</v>
      </c>
      <c r="C55" s="14" t="s">
        <v>200</v>
      </c>
      <c r="D55" s="14" t="s">
        <v>13273</v>
      </c>
      <c r="E55" s="15" t="str">
        <f>HYPERLINK("https://stat100.ameba.jp/tnk47/ratio20/illustrations/card/ill_90193_puchidebirubani03.jpg?202006-5-RELEASE-marathon-476xx", "■")</f>
        <v>■</v>
      </c>
      <c r="F55" s="14" t="s">
        <v>13274</v>
      </c>
      <c r="G55" s="14">
        <v>123583</v>
      </c>
      <c r="H55" s="14">
        <v>132922</v>
      </c>
      <c r="I55" s="14">
        <v>27</v>
      </c>
      <c r="J55" s="14" t="s">
        <v>13275</v>
      </c>
      <c r="K55" s="14" t="s">
        <v>13277</v>
      </c>
      <c r="L55" s="14" t="s">
        <v>13276</v>
      </c>
      <c r="M55" s="14" t="s">
        <v>13268</v>
      </c>
      <c r="N55" s="14" t="s">
        <v>13269</v>
      </c>
      <c r="O55" s="14" t="s">
        <v>9158</v>
      </c>
      <c r="P55" s="14" t="s">
        <v>9158</v>
      </c>
      <c r="Q55" s="14" t="s">
        <v>9158</v>
      </c>
      <c r="R55" s="14" t="s">
        <v>14748</v>
      </c>
    </row>
    <row r="56" spans="1:18">
      <c r="A56" s="14">
        <v>90203</v>
      </c>
      <c r="B56" s="14" t="s">
        <v>0</v>
      </c>
      <c r="C56" s="14" t="s">
        <v>307</v>
      </c>
      <c r="D56" s="14" t="s">
        <v>13278</v>
      </c>
      <c r="E56" s="15" t="str">
        <f>HYPERLINK("https://stat100.ameba.jp/tnk47/ratio20/illustrations/card/ill_90203_kyuteigakademeru03.jpg?202006-5-RELEASE-marathon-476xx", "■")</f>
        <v>■</v>
      </c>
      <c r="F56" s="14" t="s">
        <v>13279</v>
      </c>
      <c r="G56" s="14">
        <v>123583</v>
      </c>
      <c r="H56" s="14">
        <v>132922</v>
      </c>
      <c r="I56" s="14">
        <v>27</v>
      </c>
      <c r="J56" s="14" t="s">
        <v>13280</v>
      </c>
      <c r="K56" s="14" t="s">
        <v>13281</v>
      </c>
      <c r="L56" s="14" t="s">
        <v>13282</v>
      </c>
      <c r="M56" s="14" t="s">
        <v>13268</v>
      </c>
      <c r="N56" s="14" t="s">
        <v>13269</v>
      </c>
      <c r="O56" s="14" t="s">
        <v>9158</v>
      </c>
      <c r="P56" s="14" t="s">
        <v>9158</v>
      </c>
      <c r="Q56" s="14" t="s">
        <v>9158</v>
      </c>
      <c r="R56" s="14" t="s">
        <v>14748</v>
      </c>
    </row>
    <row r="57" spans="1:18">
      <c r="A57" s="14">
        <v>90213</v>
      </c>
      <c r="B57" s="14" t="s">
        <v>0</v>
      </c>
      <c r="C57" s="14" t="s">
        <v>165</v>
      </c>
      <c r="D57" s="14" t="s">
        <v>13283</v>
      </c>
      <c r="E57" s="15" t="str">
        <f>HYPERLINK("https://stat100.ameba.jp/tnk47/ratio20/illustrations/card/ill_90213_kenkyushinomaruyo03.jpg?202006-5-RELEASE-marathon-476xx", "■")</f>
        <v>■</v>
      </c>
      <c r="F57" s="14" t="s">
        <v>13284</v>
      </c>
      <c r="G57" s="14">
        <v>132922</v>
      </c>
      <c r="H57" s="14">
        <v>123583</v>
      </c>
      <c r="I57" s="14">
        <v>27</v>
      </c>
      <c r="J57" s="14" t="s">
        <v>13285</v>
      </c>
      <c r="K57" s="14" t="s">
        <v>13286</v>
      </c>
      <c r="L57" s="14" t="s">
        <v>13287</v>
      </c>
      <c r="M57" s="14" t="s">
        <v>13268</v>
      </c>
      <c r="N57" s="14" t="s">
        <v>13269</v>
      </c>
      <c r="O57" s="14" t="s">
        <v>9158</v>
      </c>
      <c r="P57" s="14" t="s">
        <v>9158</v>
      </c>
      <c r="Q57" s="14" t="s">
        <v>9158</v>
      </c>
      <c r="R57" s="14" t="s">
        <v>14748</v>
      </c>
    </row>
    <row r="58" spans="1:18">
      <c r="A58" s="14">
        <v>90223</v>
      </c>
      <c r="B58" s="14" t="s">
        <v>0</v>
      </c>
      <c r="C58" s="9" t="s">
        <v>205</v>
      </c>
      <c r="D58" s="14" t="s">
        <v>13288</v>
      </c>
      <c r="E58" s="15" t="str">
        <f>HYPERLINK("https://stat100.ameba.jp/tnk47/ratio20/illustrations/card/ill_90223_karunepurinshipe03.jpg?202006-5-RELEASE-marathon-476xx", "■")</f>
        <v>■</v>
      </c>
      <c r="F58" s="14" t="s">
        <v>13289</v>
      </c>
      <c r="G58" s="14">
        <v>132922</v>
      </c>
      <c r="H58" s="14">
        <v>123583</v>
      </c>
      <c r="I58" s="14">
        <v>27</v>
      </c>
      <c r="J58" s="14" t="s">
        <v>13290</v>
      </c>
      <c r="K58" s="14" t="s">
        <v>13291</v>
      </c>
      <c r="L58" s="14" t="s">
        <v>13292</v>
      </c>
      <c r="M58" s="14" t="s">
        <v>13268</v>
      </c>
      <c r="N58" s="14" t="s">
        <v>13269</v>
      </c>
      <c r="O58" s="14" t="s">
        <v>9158</v>
      </c>
      <c r="P58" s="14" t="s">
        <v>9158</v>
      </c>
      <c r="Q58" s="14" t="s">
        <v>9158</v>
      </c>
      <c r="R58" s="14" t="s">
        <v>14748</v>
      </c>
    </row>
    <row r="59" spans="1:18">
      <c r="A59" s="14">
        <v>90233</v>
      </c>
      <c r="B59" s="14" t="s">
        <v>0</v>
      </c>
      <c r="C59" s="14" t="s">
        <v>206</v>
      </c>
      <c r="D59" s="14" t="s">
        <v>13293</v>
      </c>
      <c r="E59" s="15" t="str">
        <f>HYPERLINK("https://stat100.ameba.jp/tnk47/ratio20/illustrations/card/ill_90233_kakutokafuante03.jpg?202006-5-RELEASE-marathon-476xx", "■")</f>
        <v>■</v>
      </c>
      <c r="F59" s="14" t="s">
        <v>13294</v>
      </c>
      <c r="G59" s="14">
        <v>132922</v>
      </c>
      <c r="H59" s="14">
        <v>123583</v>
      </c>
      <c r="I59" s="14">
        <v>27</v>
      </c>
      <c r="J59" s="14" t="s">
        <v>13295</v>
      </c>
      <c r="K59" s="14" t="s">
        <v>13296</v>
      </c>
      <c r="L59" s="14" t="s">
        <v>13297</v>
      </c>
      <c r="M59" s="14" t="s">
        <v>13268</v>
      </c>
      <c r="N59" s="14" t="s">
        <v>13269</v>
      </c>
      <c r="O59" s="14" t="s">
        <v>9158</v>
      </c>
      <c r="P59" s="14" t="s">
        <v>9158</v>
      </c>
      <c r="Q59" s="14" t="s">
        <v>9158</v>
      </c>
      <c r="R59" s="14" t="s">
        <v>14748</v>
      </c>
    </row>
    <row r="61" spans="1:18">
      <c r="A61" s="14" t="s">
        <v>12588</v>
      </c>
    </row>
    <row r="62" spans="1:18">
      <c r="A62" s="14" t="s">
        <v>4939</v>
      </c>
    </row>
    <row r="63" spans="1:18">
      <c r="A63" s="14" t="s">
        <v>9438</v>
      </c>
    </row>
    <row r="64" spans="1:18">
      <c r="A64" s="14" t="s">
        <v>13086</v>
      </c>
      <c r="B64" s="7" t="s">
        <v>52</v>
      </c>
      <c r="C64" s="14" t="s">
        <v>202</v>
      </c>
      <c r="D64" s="18" t="s">
        <v>13084</v>
      </c>
      <c r="E64" s="15" t="str">
        <f>HYPERLINK("https://stat100.ameba.jp/tnk47/ratio20/illustrations/card/ill_89703_0_jumburaidohimiko03.jpg?202006-5-RELEASE-marathon-476xx", "■")</f>
        <v>■</v>
      </c>
      <c r="F64" s="14" t="s">
        <v>13085</v>
      </c>
      <c r="G64" s="14">
        <v>344095</v>
      </c>
      <c r="H64" s="14">
        <v>281517</v>
      </c>
      <c r="I64" s="7">
        <v>27</v>
      </c>
      <c r="J64" s="14" t="s">
        <v>10</v>
      </c>
      <c r="K64" s="14" t="s">
        <v>13087</v>
      </c>
      <c r="L64" s="14" t="s">
        <v>12016</v>
      </c>
      <c r="M64" s="14" t="s">
        <v>9158</v>
      </c>
      <c r="N64" s="14" t="s">
        <v>9158</v>
      </c>
      <c r="O64" s="6" t="s">
        <v>13088</v>
      </c>
      <c r="P64" s="7" t="s">
        <v>13089</v>
      </c>
      <c r="Q64" s="7">
        <v>1</v>
      </c>
    </row>
    <row r="65" spans="1:17">
      <c r="A65" s="14">
        <v>89753</v>
      </c>
      <c r="B65" s="14" t="s">
        <v>334</v>
      </c>
      <c r="C65" s="14" t="s">
        <v>13303</v>
      </c>
      <c r="D65" s="14" t="s">
        <v>13302</v>
      </c>
      <c r="E65" s="15" t="str">
        <f>HYPERLINK("https://stat100.ameba.jp/tnk47/ratio20/illustrations/card/ill_89753_sennyusosanukatanookimi03.jpg?202006-5-RELEASE-marathon-476xx", "■")</f>
        <v>■</v>
      </c>
      <c r="F65" s="14" t="s">
        <v>13304</v>
      </c>
      <c r="G65" s="14">
        <v>98019</v>
      </c>
      <c r="H65" s="14">
        <v>105465</v>
      </c>
      <c r="I65" s="7">
        <v>27</v>
      </c>
      <c r="J65" s="14" t="s">
        <v>13307</v>
      </c>
      <c r="K65" s="14" t="s">
        <v>13306</v>
      </c>
      <c r="L65" s="14" t="s">
        <v>13305</v>
      </c>
      <c r="M65" s="14" t="s">
        <v>9158</v>
      </c>
      <c r="N65" s="14" t="s">
        <v>9158</v>
      </c>
      <c r="O65" s="14" t="s">
        <v>9158</v>
      </c>
      <c r="P65" s="14" t="s">
        <v>9158</v>
      </c>
      <c r="Q65" s="14" t="s">
        <v>9158</v>
      </c>
    </row>
    <row r="66" spans="1:17">
      <c r="A66" s="14">
        <v>89763</v>
      </c>
      <c r="B66" s="14" t="s">
        <v>15</v>
      </c>
      <c r="C66" s="14" t="s">
        <v>13313</v>
      </c>
      <c r="D66" s="14" t="s">
        <v>13312</v>
      </c>
      <c r="E66" s="15" t="str">
        <f>HYPERLINK("https://stat100.ameba.jp/tnk47/ratio20/illustrations/card/ill_89763_tomanenekirimaru03.jpg?202006-5-RELEASE-marathon-476xx", "■")</f>
        <v>■</v>
      </c>
      <c r="F66" s="14" t="s">
        <v>13311</v>
      </c>
      <c r="G66" s="14">
        <v>80028</v>
      </c>
      <c r="H66" s="14">
        <v>72586</v>
      </c>
      <c r="I66" s="7">
        <v>27</v>
      </c>
      <c r="J66" s="14" t="s">
        <v>13310</v>
      </c>
      <c r="K66" s="14" t="s">
        <v>13309</v>
      </c>
      <c r="L66" s="14" t="s">
        <v>13308</v>
      </c>
      <c r="M66" s="14" t="s">
        <v>9158</v>
      </c>
      <c r="N66" s="14" t="s">
        <v>9158</v>
      </c>
      <c r="O66" s="14" t="s">
        <v>9158</v>
      </c>
      <c r="P66" s="14" t="s">
        <v>9158</v>
      </c>
      <c r="Q66" s="14" t="s">
        <v>9158</v>
      </c>
    </row>
    <row r="67" spans="1:17">
      <c r="A67" s="14">
        <v>89773</v>
      </c>
      <c r="B67" s="14" t="s">
        <v>22</v>
      </c>
      <c r="C67" s="14" t="s">
        <v>13319</v>
      </c>
      <c r="D67" s="14" t="s">
        <v>13318</v>
      </c>
      <c r="E67" s="15" t="str">
        <f>HYPERLINK("https://stat100.ameba.jp/tnk47/ratio20/illustrations/card/ill_89773_ekusoshisutokasekihakkutsumusume03.jpg?202006-5-RELEASE-marathon-476xx", "■")</f>
        <v>■</v>
      </c>
      <c r="F67" s="14" t="s">
        <v>13317</v>
      </c>
      <c r="G67" s="14">
        <v>46676</v>
      </c>
      <c r="H67" s="14">
        <v>56138</v>
      </c>
      <c r="I67" s="7">
        <v>27</v>
      </c>
      <c r="J67" s="14" t="s">
        <v>13316</v>
      </c>
      <c r="K67" s="14" t="s">
        <v>13315</v>
      </c>
      <c r="L67" s="14" t="s">
        <v>13314</v>
      </c>
      <c r="M67" s="14" t="s">
        <v>9158</v>
      </c>
      <c r="N67" s="14" t="s">
        <v>9158</v>
      </c>
      <c r="O67" s="14" t="s">
        <v>9158</v>
      </c>
      <c r="P67" s="14" t="s">
        <v>9158</v>
      </c>
      <c r="Q67" s="14" t="s">
        <v>9158</v>
      </c>
    </row>
    <row r="68" spans="1:17">
      <c r="A68" s="14">
        <v>89783</v>
      </c>
      <c r="B68" s="14" t="s">
        <v>30</v>
      </c>
      <c r="C68" s="14" t="s">
        <v>13325</v>
      </c>
      <c r="D68" s="23" t="s">
        <v>13324</v>
      </c>
      <c r="E68" s="15" t="str">
        <f>HYPERLINK("https://stat100.ameba.jp/tnk47/ratio20/illustrations/card/ill_89783_ekusoshisutoteneiin03.jpg?202006-5-RELEASE-marathon-476xx", "■")</f>
        <v>■</v>
      </c>
      <c r="F68" s="14" t="s">
        <v>13323</v>
      </c>
      <c r="G68" s="14">
        <v>33986</v>
      </c>
      <c r="H68" s="14">
        <v>28544</v>
      </c>
      <c r="I68" s="7">
        <v>27</v>
      </c>
      <c r="J68" s="14" t="s">
        <v>13322</v>
      </c>
      <c r="K68" s="14" t="s">
        <v>13321</v>
      </c>
      <c r="L68" s="14" t="s">
        <v>13320</v>
      </c>
      <c r="M68" s="14" t="s">
        <v>9158</v>
      </c>
      <c r="N68" s="14" t="s">
        <v>9158</v>
      </c>
      <c r="O68" s="14" t="s">
        <v>9158</v>
      </c>
      <c r="P68" s="14" t="s">
        <v>9158</v>
      </c>
      <c r="Q68" s="14" t="s">
        <v>9158</v>
      </c>
    </row>
    <row r="70" spans="1:17">
      <c r="A70" s="14" t="s">
        <v>13301</v>
      </c>
    </row>
    <row r="71" spans="1:17">
      <c r="A71" s="14" t="s">
        <v>13300</v>
      </c>
    </row>
    <row r="72" spans="1:17">
      <c r="B72" s="14" t="s">
        <v>52</v>
      </c>
      <c r="D72" s="19"/>
      <c r="E72" s="15"/>
      <c r="I72" s="14">
        <v>25</v>
      </c>
      <c r="M72" s="14" t="s">
        <v>9158</v>
      </c>
      <c r="N72" s="14" t="s">
        <v>9158</v>
      </c>
      <c r="O72" s="14" t="s">
        <v>9158</v>
      </c>
      <c r="P72" s="14" t="s">
        <v>9158</v>
      </c>
      <c r="Q72" s="14" t="s">
        <v>9158</v>
      </c>
    </row>
    <row r="73" spans="1:17">
      <c r="A73" s="9"/>
      <c r="B73" s="14" t="s">
        <v>0</v>
      </c>
      <c r="C73" s="9"/>
      <c r="D73" s="19"/>
      <c r="E73" s="15"/>
      <c r="F73" s="9"/>
      <c r="G73" s="9"/>
      <c r="H73" s="9"/>
      <c r="I73" s="14">
        <v>25</v>
      </c>
      <c r="J73" s="9"/>
      <c r="K73" s="9"/>
      <c r="L73" s="9"/>
      <c r="M73" s="14" t="s">
        <v>9158</v>
      </c>
      <c r="N73" s="14" t="s">
        <v>9158</v>
      </c>
      <c r="O73" s="14" t="s">
        <v>9158</v>
      </c>
      <c r="P73" s="14" t="s">
        <v>9158</v>
      </c>
      <c r="Q73" s="14" t="s">
        <v>9158</v>
      </c>
    </row>
    <row r="74" spans="1:17">
      <c r="B74" s="14" t="s">
        <v>334</v>
      </c>
      <c r="D74" s="20"/>
      <c r="E74" s="15"/>
      <c r="I74" s="14">
        <v>25</v>
      </c>
      <c r="M74" s="14" t="s">
        <v>9158</v>
      </c>
      <c r="N74" s="14" t="s">
        <v>9158</v>
      </c>
      <c r="O74" s="14" t="s">
        <v>9158</v>
      </c>
      <c r="P74" s="14" t="s">
        <v>9158</v>
      </c>
      <c r="Q74" s="14" t="s">
        <v>9158</v>
      </c>
    </row>
    <row r="75" spans="1:17">
      <c r="B75" s="14" t="s">
        <v>334</v>
      </c>
      <c r="D75" s="20"/>
      <c r="E75" s="15"/>
      <c r="I75" s="14">
        <v>25</v>
      </c>
      <c r="M75" s="14" t="s">
        <v>9158</v>
      </c>
      <c r="N75" s="14" t="s">
        <v>9158</v>
      </c>
      <c r="O75" s="14" t="s">
        <v>9158</v>
      </c>
      <c r="P75" s="14" t="s">
        <v>9158</v>
      </c>
      <c r="Q75" s="14" t="s">
        <v>9158</v>
      </c>
    </row>
    <row r="77" spans="1:17">
      <c r="A77" s="9" t="s">
        <v>180</v>
      </c>
    </row>
    <row r="78" spans="1:17">
      <c r="A78" s="14" t="s">
        <v>13390</v>
      </c>
    </row>
    <row r="79" spans="1:17">
      <c r="A79" s="14" t="s">
        <v>5606</v>
      </c>
      <c r="B79" s="14" t="s">
        <v>52</v>
      </c>
      <c r="C79" s="14" t="s">
        <v>206</v>
      </c>
      <c r="D79" s="20" t="s">
        <v>2936</v>
      </c>
      <c r="E79" s="15" t="str">
        <f>HYPERLINK("https://stat100.ameba.jp/tnk47/ratio20/illustrations/card/ill_72233_0_koinoboriryugujin03.jpg?202006-5-RELEASE-marathon-476xx", "■")</f>
        <v>■</v>
      </c>
      <c r="F79" s="14" t="s">
        <v>1012</v>
      </c>
      <c r="G79" s="14">
        <v>157432</v>
      </c>
      <c r="H79" s="14">
        <v>169334</v>
      </c>
      <c r="I79" s="14">
        <v>24</v>
      </c>
      <c r="J79" s="14" t="s">
        <v>44</v>
      </c>
      <c r="K79" s="14" t="s">
        <v>1013</v>
      </c>
      <c r="L79" s="14" t="s">
        <v>1014</v>
      </c>
      <c r="M79" s="14" t="s">
        <v>9158</v>
      </c>
      <c r="N79" s="14" t="s">
        <v>9158</v>
      </c>
      <c r="O79" s="19" t="s">
        <v>2940</v>
      </c>
      <c r="P79" s="14" t="s">
        <v>2941</v>
      </c>
      <c r="Q79" s="14">
        <v>2</v>
      </c>
    </row>
    <row r="80" spans="1:17">
      <c r="A80" s="14" t="s">
        <v>5614</v>
      </c>
      <c r="B80" s="14" t="s">
        <v>330</v>
      </c>
      <c r="C80" s="14" t="s">
        <v>267</v>
      </c>
      <c r="D80" s="20" t="s">
        <v>313</v>
      </c>
      <c r="E80" s="15" t="str">
        <f>HYPERLINK("https://stat100.ameba.jp/tnk47/ratio20/illustrations/card/ill_56223_0_onsempanikkugohime03.jpg?202006-5-RELEASE-marathon-476xx", "■")</f>
        <v>■</v>
      </c>
      <c r="F80" s="14" t="s">
        <v>314</v>
      </c>
      <c r="G80" s="14">
        <v>133938</v>
      </c>
      <c r="H80" s="14">
        <v>150776</v>
      </c>
      <c r="I80" s="14">
        <v>24</v>
      </c>
      <c r="J80" s="14" t="s">
        <v>315</v>
      </c>
      <c r="K80" s="14" t="s">
        <v>316</v>
      </c>
      <c r="L80" s="14" t="s">
        <v>317</v>
      </c>
      <c r="M80" s="14" t="s">
        <v>9158</v>
      </c>
      <c r="N80" s="14" t="s">
        <v>9158</v>
      </c>
      <c r="O80" s="19" t="s">
        <v>3021</v>
      </c>
      <c r="P80" s="14" t="s">
        <v>2890</v>
      </c>
      <c r="Q80" s="14">
        <v>1</v>
      </c>
    </row>
    <row r="81" spans="1:17">
      <c r="A81" s="14" t="s">
        <v>5622</v>
      </c>
      <c r="B81" s="14" t="s">
        <v>330</v>
      </c>
      <c r="C81" s="14" t="s">
        <v>335</v>
      </c>
      <c r="D81" s="19" t="s">
        <v>1043</v>
      </c>
      <c r="E81" s="15" t="str">
        <f>HYPERLINK("https://stat100.ameba.jp/tnk47/ratio20/illustrations/card/ill_49953_0_yushamarihime03.jpg?202006-5-RELEASE-marathon-476xx", "■")</f>
        <v>■</v>
      </c>
      <c r="F81" s="14" t="s">
        <v>510</v>
      </c>
      <c r="G81" s="14">
        <v>150776</v>
      </c>
      <c r="H81" s="14">
        <v>133938</v>
      </c>
      <c r="I81" s="14">
        <v>24</v>
      </c>
      <c r="J81" s="14" t="s">
        <v>315</v>
      </c>
      <c r="K81" s="14" t="s">
        <v>511</v>
      </c>
      <c r="L81" s="14" t="s">
        <v>512</v>
      </c>
      <c r="M81" s="14" t="s">
        <v>9158</v>
      </c>
      <c r="N81" s="14" t="s">
        <v>9158</v>
      </c>
      <c r="O81" s="14" t="s">
        <v>9158</v>
      </c>
      <c r="P81" s="14" t="s">
        <v>9158</v>
      </c>
      <c r="Q81" s="14" t="s">
        <v>9158</v>
      </c>
    </row>
    <row r="82" spans="1:17">
      <c r="A82" s="14">
        <v>89753</v>
      </c>
      <c r="B82" s="14" t="s">
        <v>334</v>
      </c>
      <c r="C82" s="14" t="s">
        <v>96</v>
      </c>
      <c r="D82" s="14" t="s">
        <v>13302</v>
      </c>
      <c r="E82" s="15" t="str">
        <f>HYPERLINK("https://stat100.ameba.jp/tnk47/ratio20/illustrations/card/ill_89753_sennyusosanukatanookimi03.jpg?202006-5-RELEASE-marathon-476xx", "■")</f>
        <v>■</v>
      </c>
      <c r="F82" s="14" t="s">
        <v>13304</v>
      </c>
      <c r="G82" s="14">
        <v>94390</v>
      </c>
      <c r="H82" s="14">
        <v>101558</v>
      </c>
      <c r="I82" s="7">
        <v>26</v>
      </c>
      <c r="J82" s="14" t="s">
        <v>16</v>
      </c>
      <c r="K82" s="14" t="s">
        <v>13306</v>
      </c>
      <c r="L82" s="14" t="s">
        <v>12599</v>
      </c>
      <c r="M82" s="14" t="s">
        <v>9158</v>
      </c>
      <c r="N82" s="14" t="s">
        <v>9158</v>
      </c>
      <c r="O82" s="14" t="s">
        <v>9158</v>
      </c>
      <c r="P82" s="14" t="s">
        <v>9158</v>
      </c>
      <c r="Q82" s="14" t="s">
        <v>9158</v>
      </c>
    </row>
    <row r="83" spans="1:17">
      <c r="A83" s="14">
        <v>89763</v>
      </c>
      <c r="B83" s="14" t="s">
        <v>15</v>
      </c>
      <c r="C83" s="14" t="s">
        <v>23</v>
      </c>
      <c r="D83" s="14" t="s">
        <v>13312</v>
      </c>
      <c r="E83" s="15" t="str">
        <f>HYPERLINK("https://stat100.ameba.jp/tnk47/ratio20/illustrations/card/ill_89763_tomanenekirimaru03.jpg?202006-5-RELEASE-marathon-476xx", "■")</f>
        <v>■</v>
      </c>
      <c r="F83" s="14" t="s">
        <v>13311</v>
      </c>
      <c r="G83" s="14">
        <v>77064</v>
      </c>
      <c r="H83" s="14">
        <v>69898</v>
      </c>
      <c r="I83" s="7">
        <v>26</v>
      </c>
      <c r="J83" s="14" t="s">
        <v>44</v>
      </c>
      <c r="K83" s="14" t="s">
        <v>7491</v>
      </c>
      <c r="L83" s="14" t="s">
        <v>3271</v>
      </c>
      <c r="M83" s="14" t="s">
        <v>9158</v>
      </c>
      <c r="N83" s="14" t="s">
        <v>9158</v>
      </c>
      <c r="O83" s="14" t="s">
        <v>9158</v>
      </c>
      <c r="P83" s="14" t="s">
        <v>9158</v>
      </c>
      <c r="Q83" s="14" t="s">
        <v>9158</v>
      </c>
    </row>
    <row r="84" spans="1:17">
      <c r="A84" s="14">
        <v>89773</v>
      </c>
      <c r="B84" s="14" t="s">
        <v>22</v>
      </c>
      <c r="C84" s="14" t="s">
        <v>101</v>
      </c>
      <c r="D84" s="14" t="s">
        <v>13318</v>
      </c>
      <c r="E84" s="15" t="str">
        <f>HYPERLINK("https://stat100.ameba.jp/tnk47/ratio20/illustrations/card/ill_89773_ekusoshisutokasekihakkutsumusume03.jpg?202006-5-RELEASE-marathon-476xx", "■")</f>
        <v>■</v>
      </c>
      <c r="F84" s="14" t="s">
        <v>13317</v>
      </c>
      <c r="G84" s="14">
        <v>44948</v>
      </c>
      <c r="H84" s="14">
        <v>54058</v>
      </c>
      <c r="I84" s="7">
        <v>26</v>
      </c>
      <c r="J84" s="14" t="s">
        <v>26</v>
      </c>
      <c r="K84" s="14" t="s">
        <v>13315</v>
      </c>
      <c r="L84" s="14" t="s">
        <v>28</v>
      </c>
      <c r="M84" s="14" t="s">
        <v>9158</v>
      </c>
      <c r="N84" s="14" t="s">
        <v>9158</v>
      </c>
      <c r="O84" s="14" t="s">
        <v>9158</v>
      </c>
      <c r="P84" s="14" t="s">
        <v>9158</v>
      </c>
      <c r="Q84" s="14" t="s">
        <v>9158</v>
      </c>
    </row>
    <row r="85" spans="1:17">
      <c r="A85" s="14">
        <v>89783</v>
      </c>
      <c r="B85" s="14" t="s">
        <v>30</v>
      </c>
      <c r="C85" s="14" t="s">
        <v>4230</v>
      </c>
      <c r="D85" s="23" t="s">
        <v>13324</v>
      </c>
      <c r="E85" s="15" t="str">
        <f>HYPERLINK("https://stat100.ameba.jp/tnk47/ratio20/illustrations/card/ill_89783_ekusoshisutoteneiin03.jpg?202006-5-RELEASE-marathon-476xx", "■")</f>
        <v>■</v>
      </c>
      <c r="F85" s="14" t="s">
        <v>13323</v>
      </c>
      <c r="G85" s="14">
        <v>32728</v>
      </c>
      <c r="H85" s="14">
        <v>27486</v>
      </c>
      <c r="I85" s="7">
        <v>26</v>
      </c>
      <c r="J85" s="14" t="s">
        <v>10</v>
      </c>
      <c r="K85" s="14" t="s">
        <v>13321</v>
      </c>
      <c r="L85" s="14" t="s">
        <v>5318</v>
      </c>
      <c r="M85" s="14" t="s">
        <v>9158</v>
      </c>
      <c r="N85" s="14" t="s">
        <v>9158</v>
      </c>
      <c r="O85" s="14" t="s">
        <v>9158</v>
      </c>
      <c r="P85" s="14" t="s">
        <v>9158</v>
      </c>
      <c r="Q85" s="14" t="s">
        <v>9158</v>
      </c>
    </row>
    <row r="87" spans="1:17">
      <c r="A87" s="14" t="s">
        <v>13391</v>
      </c>
    </row>
    <row r="88" spans="1:17">
      <c r="A88" s="14" t="s">
        <v>13392</v>
      </c>
    </row>
    <row r="89" spans="1:17">
      <c r="A89" s="9" t="s">
        <v>11574</v>
      </c>
      <c r="B89" s="9" t="s">
        <v>117</v>
      </c>
      <c r="C89" s="9" t="s">
        <v>202</v>
      </c>
      <c r="D89" s="9" t="s">
        <v>11568</v>
      </c>
      <c r="E89" s="15" t="str">
        <f>HYPERLINK("https://stat100.ameba.jp/tnk47/ratio20/illustrations/card/ill_88133_0_henreisankammi03.jpg?202006-5-RELEASE-marathon-476xx", "■")</f>
        <v>■</v>
      </c>
      <c r="F89" s="9" t="s">
        <v>11573</v>
      </c>
      <c r="G89" s="9">
        <v>357990</v>
      </c>
      <c r="H89" s="9">
        <v>323564</v>
      </c>
      <c r="I89" s="9">
        <v>30</v>
      </c>
      <c r="J89" s="9" t="s">
        <v>216</v>
      </c>
      <c r="K89" s="9" t="s">
        <v>11570</v>
      </c>
      <c r="L89" s="9" t="s">
        <v>13227</v>
      </c>
      <c r="M89" s="14" t="s">
        <v>9158</v>
      </c>
      <c r="N89" s="14" t="s">
        <v>9158</v>
      </c>
      <c r="O89" s="9" t="s">
        <v>11571</v>
      </c>
      <c r="P89" s="9" t="s">
        <v>11572</v>
      </c>
      <c r="Q89" s="9">
        <v>1</v>
      </c>
    </row>
    <row r="90" spans="1:17">
      <c r="A90" s="14">
        <v>78123</v>
      </c>
      <c r="B90" s="14" t="s">
        <v>334</v>
      </c>
      <c r="C90" s="14" t="s">
        <v>209</v>
      </c>
      <c r="D90" s="6" t="s">
        <v>10010</v>
      </c>
      <c r="E90" s="15" t="str">
        <f>HYPERLINK("https://stat100.ameba.jp/tnk47/ratio20/illustrations/card/ill_78123_madannoteirusorushieru03.jpg?202006-5-RELEASE-marathon-476xx", "■")</f>
        <v>■</v>
      </c>
      <c r="F90" s="14" t="s">
        <v>3024</v>
      </c>
      <c r="G90" s="14">
        <v>172982</v>
      </c>
      <c r="H90" s="14">
        <v>125296</v>
      </c>
      <c r="I90" s="14">
        <v>26</v>
      </c>
      <c r="J90" s="14" t="s">
        <v>310</v>
      </c>
      <c r="K90" s="14" t="s">
        <v>3025</v>
      </c>
      <c r="L90" s="14" t="s">
        <v>443</v>
      </c>
      <c r="M90" s="14" t="s">
        <v>9158</v>
      </c>
      <c r="N90" s="14" t="s">
        <v>9158</v>
      </c>
      <c r="O90" s="17" t="s">
        <v>3414</v>
      </c>
      <c r="P90" s="14" t="s">
        <v>13122</v>
      </c>
      <c r="Q90" s="14">
        <v>1</v>
      </c>
    </row>
    <row r="91" spans="1:17">
      <c r="A91" s="9">
        <v>67953</v>
      </c>
      <c r="B91" s="14" t="s">
        <v>334</v>
      </c>
      <c r="C91" s="14" t="s">
        <v>209</v>
      </c>
      <c r="D91" s="14" t="s">
        <v>2486</v>
      </c>
      <c r="E91" s="15" t="str">
        <f>HYPERLINK("https://stat100.ameba.jp/tnk47/ratio20/illustrations/card/ill_67953_kutaniyaki03.jpg?202006-5-RELEASE-marathon-476xx", "■")</f>
        <v>■</v>
      </c>
      <c r="F91" s="14" t="s">
        <v>2487</v>
      </c>
      <c r="G91" s="14">
        <v>85492</v>
      </c>
      <c r="H91" s="14">
        <v>118000</v>
      </c>
      <c r="I91" s="14">
        <v>26</v>
      </c>
      <c r="J91" s="14" t="s">
        <v>26</v>
      </c>
      <c r="K91" s="14" t="s">
        <v>2488</v>
      </c>
      <c r="L91" s="14" t="s">
        <v>2489</v>
      </c>
      <c r="M91" s="14" t="s">
        <v>9158</v>
      </c>
      <c r="N91" s="14" t="s">
        <v>9158</v>
      </c>
      <c r="O91" s="17" t="s">
        <v>10053</v>
      </c>
      <c r="P91" s="14" t="s">
        <v>3592</v>
      </c>
      <c r="Q91" s="14">
        <v>1</v>
      </c>
    </row>
    <row r="92" spans="1:17">
      <c r="A92" s="14">
        <v>67103</v>
      </c>
      <c r="B92" s="14" t="s">
        <v>334</v>
      </c>
      <c r="C92" s="14" t="s">
        <v>154</v>
      </c>
      <c r="D92" s="20" t="s">
        <v>10253</v>
      </c>
      <c r="E92" s="15" t="str">
        <f>HYPERLINK("https://stat100.ameba.jp/tnk47/ratio20/illustrations/card/ill_67103_ankonabe03.jpg?202006-5-RELEASE-marathon-476xx", "■")</f>
        <v>■</v>
      </c>
      <c r="F92" s="14" t="s">
        <v>1283</v>
      </c>
      <c r="G92" s="14">
        <v>99532</v>
      </c>
      <c r="H92" s="14">
        <v>137430</v>
      </c>
      <c r="I92" s="14">
        <v>26</v>
      </c>
      <c r="J92" s="14" t="s">
        <v>216</v>
      </c>
      <c r="K92" s="14" t="s">
        <v>1284</v>
      </c>
      <c r="L92" s="14" t="s">
        <v>13153</v>
      </c>
      <c r="M92" s="14" t="s">
        <v>9158</v>
      </c>
      <c r="N92" s="14" t="s">
        <v>9158</v>
      </c>
      <c r="O92" s="19" t="s">
        <v>4074</v>
      </c>
      <c r="P92" s="14" t="s">
        <v>3462</v>
      </c>
      <c r="Q92" s="14">
        <v>1</v>
      </c>
    </row>
    <row r="93" spans="1:17">
      <c r="A93" s="9">
        <v>73103</v>
      </c>
      <c r="B93" s="14" t="s">
        <v>334</v>
      </c>
      <c r="C93" s="14" t="s">
        <v>41</v>
      </c>
      <c r="D93" s="14" t="s">
        <v>2105</v>
      </c>
      <c r="E93" s="15" t="str">
        <f>HYPERLINK("https://stat100.ameba.jp/tnk47/ratio20/illustrations/card/ill_73103_nominookata03.jpg?202006-5-RELEASE-marathon-476xx", "■")</f>
        <v>■</v>
      </c>
      <c r="F93" s="14" t="s">
        <v>2106</v>
      </c>
      <c r="G93" s="14">
        <v>82318</v>
      </c>
      <c r="H93" s="14">
        <v>113630</v>
      </c>
      <c r="I93" s="14">
        <v>26</v>
      </c>
      <c r="J93" s="14" t="s">
        <v>77</v>
      </c>
      <c r="K93" s="14" t="s">
        <v>2107</v>
      </c>
      <c r="L93" s="14" t="s">
        <v>969</v>
      </c>
      <c r="M93" s="14" t="s">
        <v>9158</v>
      </c>
      <c r="N93" s="14" t="s">
        <v>9158</v>
      </c>
      <c r="O93" s="9" t="s">
        <v>2717</v>
      </c>
      <c r="P93" s="14" t="s">
        <v>13173</v>
      </c>
      <c r="Q93" s="14">
        <v>1</v>
      </c>
    </row>
    <row r="94" spans="1:17">
      <c r="A94" s="14">
        <v>78143</v>
      </c>
      <c r="B94" s="14" t="s">
        <v>334</v>
      </c>
      <c r="C94" s="14" t="s">
        <v>203</v>
      </c>
      <c r="D94" s="19" t="s">
        <v>10285</v>
      </c>
      <c r="E94" s="15" t="str">
        <f>HYPERLINK("https://stat100.ameba.jp/tnk47/ratio20/illustrations/card/ill_78143_kanibarukuin03.jpg?202006-5-RELEASE-marathon-476xx", "■")</f>
        <v>■</v>
      </c>
      <c r="F94" s="14" t="s">
        <v>2687</v>
      </c>
      <c r="G94" s="14">
        <v>96010</v>
      </c>
      <c r="H94" s="14">
        <v>132562</v>
      </c>
      <c r="I94" s="14">
        <v>26</v>
      </c>
      <c r="J94" s="14" t="s">
        <v>26</v>
      </c>
      <c r="K94" s="14" t="s">
        <v>2688</v>
      </c>
      <c r="L94" s="14" t="s">
        <v>2137</v>
      </c>
      <c r="M94" s="14" t="s">
        <v>9158</v>
      </c>
      <c r="N94" s="14" t="s">
        <v>9158</v>
      </c>
      <c r="O94" s="19" t="s">
        <v>10103</v>
      </c>
      <c r="P94" s="14" t="s">
        <v>3897</v>
      </c>
      <c r="Q94" s="14">
        <v>1</v>
      </c>
    </row>
    <row r="95" spans="1:17">
      <c r="A95" s="14">
        <v>75893</v>
      </c>
      <c r="B95" s="14" t="s">
        <v>0</v>
      </c>
      <c r="C95" s="14" t="s">
        <v>158</v>
      </c>
      <c r="D95" s="19" t="s">
        <v>3095</v>
      </c>
      <c r="E95" s="15" t="str">
        <f>HYPERLINK("https://stat100.ameba.jp/tnk47/ratio20/illustrations/card/ill_75893_hamamatsutakuni03.jpg?202006-5-RELEASE-marathon-476xx", "■")</f>
        <v>■</v>
      </c>
      <c r="F95" s="14" t="s">
        <v>3594</v>
      </c>
      <c r="G95" s="14">
        <v>118000</v>
      </c>
      <c r="H95" s="14">
        <v>85492</v>
      </c>
      <c r="I95" s="14">
        <v>26</v>
      </c>
      <c r="J95" s="14" t="s">
        <v>16</v>
      </c>
      <c r="K95" s="14" t="s">
        <v>3595</v>
      </c>
      <c r="L95" s="14" t="s">
        <v>920</v>
      </c>
      <c r="M95" s="14" t="s">
        <v>9158</v>
      </c>
      <c r="N95" s="14" t="s">
        <v>9158</v>
      </c>
      <c r="O95" s="19" t="s">
        <v>3037</v>
      </c>
      <c r="P95" s="14" t="s">
        <v>13128</v>
      </c>
      <c r="Q95" s="14">
        <v>1</v>
      </c>
    </row>
    <row r="97" spans="1:17">
      <c r="A97" s="14" t="s">
        <v>13393</v>
      </c>
    </row>
    <row r="98" spans="1:17">
      <c r="A98" s="14" t="s">
        <v>13394</v>
      </c>
    </row>
    <row r="99" spans="1:17">
      <c r="A99" s="14" t="s">
        <v>5650</v>
      </c>
      <c r="B99" s="14" t="s">
        <v>52</v>
      </c>
      <c r="C99" s="14" t="s">
        <v>23</v>
      </c>
      <c r="D99" s="19" t="s">
        <v>809</v>
      </c>
      <c r="E99" s="15" t="str">
        <f>HYPERLINK("https://stat100.ameba.jp/tnk47/ratio20/illustrations/card/ill_68033_0_kurisumasupateikandamyojin03.jpg?202006-5-RELEASE-marathon-476xx", "■")</f>
        <v>■</v>
      </c>
      <c r="F99" s="14" t="s">
        <v>1871</v>
      </c>
      <c r="G99" s="14">
        <v>139878</v>
      </c>
      <c r="H99" s="14">
        <v>150466</v>
      </c>
      <c r="I99" s="14">
        <v>22</v>
      </c>
      <c r="J99" s="14" t="s">
        <v>44</v>
      </c>
      <c r="K99" s="14" t="s">
        <v>1872</v>
      </c>
      <c r="L99" s="14" t="s">
        <v>1873</v>
      </c>
      <c r="M99" s="14" t="s">
        <v>9158</v>
      </c>
      <c r="N99" s="14" t="s">
        <v>9158</v>
      </c>
      <c r="O99" s="19" t="s">
        <v>2997</v>
      </c>
      <c r="P99" s="14" t="s">
        <v>3483</v>
      </c>
      <c r="Q99" s="14">
        <v>2</v>
      </c>
    </row>
    <row r="100" spans="1:17">
      <c r="A100" s="9" t="s">
        <v>5899</v>
      </c>
      <c r="B100" s="14" t="s">
        <v>330</v>
      </c>
      <c r="C100" s="14" t="s">
        <v>205</v>
      </c>
      <c r="D100" s="14" t="s">
        <v>934</v>
      </c>
      <c r="E100" s="15" t="str">
        <f>HYPERLINK("https://stat100.ameba.jp/tnk47/ratio20/illustrations/card/ill_73773_0_umibirakiinugamigyobu03.jpg?202006-5-RELEASE-marathon-476xx", "■")</f>
        <v>■</v>
      </c>
      <c r="F100" s="14" t="s">
        <v>935</v>
      </c>
      <c r="G100" s="14">
        <v>190902</v>
      </c>
      <c r="H100" s="14">
        <v>205334</v>
      </c>
      <c r="I100" s="14">
        <v>22</v>
      </c>
      <c r="J100" s="14" t="s">
        <v>182</v>
      </c>
      <c r="K100" s="14" t="s">
        <v>936</v>
      </c>
      <c r="L100" s="14" t="s">
        <v>13147</v>
      </c>
      <c r="M100" s="14" t="s">
        <v>9158</v>
      </c>
      <c r="N100" s="14" t="s">
        <v>9158</v>
      </c>
      <c r="O100" s="9" t="s">
        <v>2978</v>
      </c>
      <c r="P100" s="14" t="s">
        <v>2979</v>
      </c>
      <c r="Q100" s="14">
        <v>2</v>
      </c>
    </row>
    <row r="101" spans="1:17">
      <c r="A101" s="9" t="s">
        <v>5612</v>
      </c>
      <c r="B101" s="14" t="s">
        <v>330</v>
      </c>
      <c r="C101" s="14" t="s">
        <v>165</v>
      </c>
      <c r="D101" s="14" t="s">
        <v>789</v>
      </c>
      <c r="E101" s="15" t="str">
        <f>HYPERLINK("https://stat100.ameba.jp/tnk47/ratio20/illustrations/card/ill_49193_0_onmyoudouabenoseimei03.jpg?202006-5-RELEASE-marathon-476xx", "■")</f>
        <v>■</v>
      </c>
      <c r="F101" s="14" t="s">
        <v>790</v>
      </c>
      <c r="G101" s="14">
        <v>122776</v>
      </c>
      <c r="H101" s="14">
        <v>138212</v>
      </c>
      <c r="I101" s="14">
        <v>22</v>
      </c>
      <c r="J101" s="14" t="s">
        <v>351</v>
      </c>
      <c r="K101" s="14" t="s">
        <v>791</v>
      </c>
      <c r="L101" s="14" t="s">
        <v>792</v>
      </c>
      <c r="M101" s="14" t="s">
        <v>9158</v>
      </c>
      <c r="N101" s="14" t="s">
        <v>9158</v>
      </c>
      <c r="O101" s="14" t="s">
        <v>9158</v>
      </c>
      <c r="P101" s="14" t="s">
        <v>9158</v>
      </c>
      <c r="Q101" s="14" t="s">
        <v>9158</v>
      </c>
    </row>
    <row r="102" spans="1:17">
      <c r="A102" s="14">
        <v>68393</v>
      </c>
      <c r="B102" s="14" t="s">
        <v>0</v>
      </c>
      <c r="C102" s="14" t="s">
        <v>191</v>
      </c>
      <c r="D102" s="19" t="s">
        <v>10197</v>
      </c>
      <c r="E102" s="15" t="str">
        <f>HYPERLINK("https://stat100.ameba.jp/tnk47/ratio20/illustrations/card/ill_68393_soseikinokain03.jpg?202006-5-RELEASE-marathon-476xx", "■")</f>
        <v>■</v>
      </c>
      <c r="F102" s="14" t="s">
        <v>4974</v>
      </c>
      <c r="G102" s="14">
        <v>85559</v>
      </c>
      <c r="H102" s="14">
        <v>152023</v>
      </c>
      <c r="I102" s="14">
        <v>27</v>
      </c>
      <c r="J102" s="14" t="s">
        <v>155</v>
      </c>
      <c r="K102" s="14" t="s">
        <v>4976</v>
      </c>
      <c r="L102" s="14" t="s">
        <v>4977</v>
      </c>
      <c r="M102" s="14" t="s">
        <v>9158</v>
      </c>
      <c r="N102" s="14" t="s">
        <v>9158</v>
      </c>
      <c r="O102" s="14" t="s">
        <v>9158</v>
      </c>
      <c r="P102" s="14" t="s">
        <v>9158</v>
      </c>
      <c r="Q102" s="14" t="s">
        <v>9158</v>
      </c>
    </row>
    <row r="103" spans="1:17">
      <c r="A103" s="9">
        <v>56093</v>
      </c>
      <c r="B103" s="14" t="s">
        <v>334</v>
      </c>
      <c r="C103" s="14" t="s">
        <v>206</v>
      </c>
      <c r="D103" s="14" t="s">
        <v>1455</v>
      </c>
      <c r="E103" s="15" t="str">
        <f>HYPERLINK("https://stat100.ameba.jp/tnk47/ratio20/illustrations/card/ill_56093_shiramikiyo03.jpg?202006-5-RELEASE-marathon-476xx", "■")</f>
        <v>■</v>
      </c>
      <c r="F103" s="14" t="s">
        <v>1456</v>
      </c>
      <c r="G103" s="14">
        <v>84218</v>
      </c>
      <c r="H103" s="14">
        <v>117146</v>
      </c>
      <c r="I103" s="14">
        <v>27</v>
      </c>
      <c r="J103" s="14" t="s">
        <v>401</v>
      </c>
      <c r="K103" s="14" t="s">
        <v>1457</v>
      </c>
      <c r="L103" s="14" t="s">
        <v>1458</v>
      </c>
      <c r="M103" s="14" t="s">
        <v>9158</v>
      </c>
      <c r="N103" s="14" t="s">
        <v>9158</v>
      </c>
      <c r="O103" s="14" t="s">
        <v>9158</v>
      </c>
      <c r="P103" s="14" t="s">
        <v>9158</v>
      </c>
      <c r="Q103" s="14" t="s">
        <v>9158</v>
      </c>
    </row>
    <row r="104" spans="1:17">
      <c r="A104" s="7">
        <v>75793</v>
      </c>
      <c r="B104" s="14" t="s">
        <v>0</v>
      </c>
      <c r="C104" s="14" t="s">
        <v>1</v>
      </c>
      <c r="D104" s="19" t="s">
        <v>2738</v>
      </c>
      <c r="E104" s="15" t="str">
        <f>HYPERLINK("https://stat100.ameba.jp/tnk47/ratio20/illustrations/card/ill_75793_izumonokuni03.jpg?202006-5-RELEASE-marathon-476xx", "■")</f>
        <v>■</v>
      </c>
      <c r="F104" s="14" t="s">
        <v>2074</v>
      </c>
      <c r="G104" s="14">
        <v>98019</v>
      </c>
      <c r="H104" s="14">
        <v>105465</v>
      </c>
      <c r="I104" s="14">
        <v>27</v>
      </c>
      <c r="J104" s="14" t="s">
        <v>10</v>
      </c>
      <c r="K104" s="14" t="s">
        <v>11</v>
      </c>
      <c r="L104" s="14" t="s">
        <v>12</v>
      </c>
      <c r="M104" s="14" t="s">
        <v>9158</v>
      </c>
      <c r="N104" s="14" t="s">
        <v>9158</v>
      </c>
      <c r="O104" s="14" t="s">
        <v>9158</v>
      </c>
      <c r="P104" s="14" t="s">
        <v>9158</v>
      </c>
      <c r="Q104" s="14" t="s">
        <v>9158</v>
      </c>
    </row>
    <row r="106" spans="1:17">
      <c r="A106" s="14" t="s">
        <v>13395</v>
      </c>
    </row>
    <row r="107" spans="1:17">
      <c r="A107" s="14" t="s">
        <v>13396</v>
      </c>
    </row>
    <row r="108" spans="1:17">
      <c r="A108" s="14" t="s">
        <v>7150</v>
      </c>
      <c r="B108" s="14" t="s">
        <v>52</v>
      </c>
      <c r="C108" s="14" t="s">
        <v>202</v>
      </c>
      <c r="D108" s="19" t="s">
        <v>10656</v>
      </c>
      <c r="E108" s="15" t="str">
        <f>HYPERLINK("https://stat100.ameba.jp/tnk47/ratio20/illustrations/card/ill_84203_0_tarottofujiwaranoshoshi03.jpg?202006-5-RELEASE-marathon-476xx", "■")</f>
        <v>■</v>
      </c>
      <c r="F108" s="14" t="s">
        <v>7153</v>
      </c>
      <c r="G108" s="14">
        <v>367968</v>
      </c>
      <c r="H108" s="14">
        <v>332590</v>
      </c>
      <c r="I108" s="14">
        <v>25</v>
      </c>
      <c r="J108" s="14" t="s">
        <v>10</v>
      </c>
      <c r="K108" s="14" t="s">
        <v>7152</v>
      </c>
      <c r="L108" s="14" t="s">
        <v>7151</v>
      </c>
      <c r="M108" s="14" t="s">
        <v>9158</v>
      </c>
      <c r="N108" s="14" t="s">
        <v>9158</v>
      </c>
      <c r="O108" s="19" t="s">
        <v>10128</v>
      </c>
      <c r="P108" s="14" t="s">
        <v>7154</v>
      </c>
      <c r="Q108" s="14">
        <v>1</v>
      </c>
    </row>
    <row r="109" spans="1:17">
      <c r="A109" s="14">
        <v>84663</v>
      </c>
      <c r="B109" s="14" t="s">
        <v>334</v>
      </c>
      <c r="C109" s="14" t="s">
        <v>158</v>
      </c>
      <c r="D109" s="20" t="s">
        <v>10648</v>
      </c>
      <c r="E109" s="15" t="str">
        <f>HYPERLINK("https://stat100.ameba.jp/tnk47/ratio20/illustrations/card/ill_84663_juwannonefuerufuito03.jpg?202006-5-RELEASE-marathon-476xx", "■")</f>
        <v>■</v>
      </c>
      <c r="F109" s="14" t="s">
        <v>7095</v>
      </c>
      <c r="G109" s="14">
        <v>81078</v>
      </c>
      <c r="H109" s="14">
        <v>111914</v>
      </c>
      <c r="I109" s="14">
        <v>24</v>
      </c>
      <c r="J109" s="14" t="s">
        <v>182</v>
      </c>
      <c r="K109" s="14" t="s">
        <v>7094</v>
      </c>
      <c r="L109" s="14" t="s">
        <v>7093</v>
      </c>
      <c r="M109" s="14" t="s">
        <v>9158</v>
      </c>
      <c r="N109" s="14" t="s">
        <v>9158</v>
      </c>
      <c r="O109" s="19" t="s">
        <v>10091</v>
      </c>
      <c r="P109" s="14" t="s">
        <v>3670</v>
      </c>
      <c r="Q109" s="14">
        <v>1</v>
      </c>
    </row>
    <row r="110" spans="1:17">
      <c r="A110" s="9">
        <v>76793</v>
      </c>
      <c r="B110" s="14" t="s">
        <v>334</v>
      </c>
      <c r="C110" s="14" t="s">
        <v>268</v>
      </c>
      <c r="D110" s="14" t="s">
        <v>3855</v>
      </c>
      <c r="E110" s="15" t="str">
        <f>HYPERLINK("https://stat100.ameba.jp/tnk47/ratio20/illustrations/card/ill_76793_monsutatamatebako03.jpg?202006-5-RELEASE-marathon-476xx", "■")</f>
        <v>■</v>
      </c>
      <c r="F110" s="14" t="s">
        <v>426</v>
      </c>
      <c r="G110" s="14">
        <v>108924</v>
      </c>
      <c r="H110" s="14">
        <v>78916</v>
      </c>
      <c r="I110" s="14">
        <v>24</v>
      </c>
      <c r="J110" s="14" t="s">
        <v>274</v>
      </c>
      <c r="K110" s="14" t="s">
        <v>427</v>
      </c>
      <c r="L110" s="14" t="s">
        <v>428</v>
      </c>
      <c r="M110" s="14" t="s">
        <v>9158</v>
      </c>
      <c r="N110" s="14" t="s">
        <v>9158</v>
      </c>
      <c r="O110" s="9" t="s">
        <v>3037</v>
      </c>
      <c r="P110" s="14" t="s">
        <v>13128</v>
      </c>
      <c r="Q110" s="14">
        <v>1</v>
      </c>
    </row>
    <row r="111" spans="1:17">
      <c r="A111" s="14">
        <v>70363</v>
      </c>
      <c r="B111" s="14" t="s">
        <v>334</v>
      </c>
      <c r="C111" s="14" t="s">
        <v>209</v>
      </c>
      <c r="D111" s="19" t="s">
        <v>10266</v>
      </c>
      <c r="E111" s="15" t="str">
        <f>HYPERLINK("https://stat100.ameba.jp/tnk47/ratio20/illustrations/card/ill_70363_hokushimmyokembosatsu03.jpg?202006-5-RELEASE-marathon-476xx", "■")</f>
        <v>■</v>
      </c>
      <c r="F111" s="14" t="s">
        <v>2502</v>
      </c>
      <c r="G111" s="14">
        <v>159674</v>
      </c>
      <c r="H111" s="14">
        <v>115656</v>
      </c>
      <c r="I111" s="14">
        <v>24</v>
      </c>
      <c r="J111" s="14" t="s">
        <v>44</v>
      </c>
      <c r="K111" s="14" t="s">
        <v>2503</v>
      </c>
      <c r="L111" s="14" t="s">
        <v>2504</v>
      </c>
      <c r="M111" s="14" t="s">
        <v>9158</v>
      </c>
      <c r="N111" s="14" t="s">
        <v>9158</v>
      </c>
      <c r="O111" s="19" t="s">
        <v>10114</v>
      </c>
      <c r="P111" s="14" t="s">
        <v>3658</v>
      </c>
      <c r="Q111" s="14">
        <v>1</v>
      </c>
    </row>
    <row r="113" spans="1:17">
      <c r="A113" s="14" t="s">
        <v>13397</v>
      </c>
    </row>
    <row r="114" spans="1:17">
      <c r="A114" s="14" t="s">
        <v>13398</v>
      </c>
    </row>
    <row r="115" spans="1:17">
      <c r="A115" s="14">
        <v>76103</v>
      </c>
      <c r="B115" s="14" t="s">
        <v>334</v>
      </c>
      <c r="C115" s="14" t="s">
        <v>154</v>
      </c>
      <c r="D115" s="19" t="s">
        <v>570</v>
      </c>
      <c r="E115" s="15" t="str">
        <f>HYPERLINK("https://stat100.ameba.jp/tnk47/ratio20/illustrations/card/ill_76103_shibuaji03.jpg?202006-5-RELEASE-marathon-476xx", "■")</f>
        <v>■</v>
      </c>
      <c r="F115" s="14" t="s">
        <v>1122</v>
      </c>
      <c r="G115" s="14">
        <v>116452</v>
      </c>
      <c r="H115" s="14">
        <v>108276</v>
      </c>
      <c r="I115" s="14">
        <v>27</v>
      </c>
      <c r="J115" s="14" t="s">
        <v>143</v>
      </c>
      <c r="K115" s="14" t="s">
        <v>1123</v>
      </c>
      <c r="L115" s="14" t="s">
        <v>1124</v>
      </c>
      <c r="M115" s="14" t="s">
        <v>9158</v>
      </c>
      <c r="N115" s="14" t="s">
        <v>9158</v>
      </c>
      <c r="O115" s="14" t="s">
        <v>9158</v>
      </c>
      <c r="P115" s="14" t="s">
        <v>9158</v>
      </c>
      <c r="Q115" s="14" t="s">
        <v>9158</v>
      </c>
    </row>
    <row r="116" spans="1:17">
      <c r="A116" s="14">
        <v>76113</v>
      </c>
      <c r="B116" s="14" t="s">
        <v>334</v>
      </c>
      <c r="C116" s="14" t="s">
        <v>158</v>
      </c>
      <c r="D116" s="19" t="s">
        <v>10268</v>
      </c>
      <c r="E116" s="15" t="str">
        <f>HYPERLINK("https://stat100.ameba.jp/tnk47/ratio20/illustrations/card/ill_76113_jannudaruku03.jpg?202006-5-RELEASE-marathon-476xx", "■")</f>
        <v>■</v>
      </c>
      <c r="F116" s="14" t="s">
        <v>1126</v>
      </c>
      <c r="G116" s="14">
        <v>116452</v>
      </c>
      <c r="H116" s="14">
        <v>108276</v>
      </c>
      <c r="I116" s="14">
        <v>27</v>
      </c>
      <c r="J116" s="14" t="s">
        <v>10</v>
      </c>
      <c r="K116" s="14" t="s">
        <v>1127</v>
      </c>
      <c r="L116" s="14" t="s">
        <v>1128</v>
      </c>
      <c r="M116" s="14" t="s">
        <v>9158</v>
      </c>
      <c r="N116" s="14" t="s">
        <v>9158</v>
      </c>
      <c r="O116" s="14" t="s">
        <v>9158</v>
      </c>
      <c r="P116" s="14" t="s">
        <v>9158</v>
      </c>
      <c r="Q116" s="14" t="s">
        <v>9158</v>
      </c>
    </row>
    <row r="117" spans="1:17">
      <c r="A117" s="14">
        <v>63323</v>
      </c>
      <c r="B117" s="14" t="s">
        <v>0</v>
      </c>
      <c r="C117" s="14" t="s">
        <v>200</v>
      </c>
      <c r="D117" s="19" t="s">
        <v>10269</v>
      </c>
      <c r="E117" s="15" t="str">
        <f>HYPERLINK("https://stat100.ameba.jp/tnk47/ratio20/illustrations/card/ill_63323_ajisaikushinadahime03.jpg?202006-5-RELEASE-marathon-476xx", "■")</f>
        <v>■</v>
      </c>
      <c r="F117" s="14" t="s">
        <v>3583</v>
      </c>
      <c r="G117" s="14">
        <v>102386</v>
      </c>
      <c r="H117" s="14">
        <v>110129</v>
      </c>
      <c r="I117" s="14">
        <v>27</v>
      </c>
      <c r="J117" s="14" t="s">
        <v>44</v>
      </c>
      <c r="K117" s="14" t="s">
        <v>3584</v>
      </c>
      <c r="L117" s="14" t="s">
        <v>2400</v>
      </c>
      <c r="M117" s="14" t="s">
        <v>9158</v>
      </c>
      <c r="N117" s="14" t="s">
        <v>9158</v>
      </c>
      <c r="O117" s="14" t="s">
        <v>9158</v>
      </c>
      <c r="P117" s="14" t="s">
        <v>9158</v>
      </c>
      <c r="Q117" s="14" t="s">
        <v>9158</v>
      </c>
    </row>
    <row r="118" spans="1:17">
      <c r="A118" s="14">
        <v>59863</v>
      </c>
      <c r="B118" s="14" t="s">
        <v>334</v>
      </c>
      <c r="C118" s="14" t="s">
        <v>165</v>
      </c>
      <c r="D118" s="19" t="s">
        <v>318</v>
      </c>
      <c r="E118" s="15" t="str">
        <f>HYPERLINK("https://stat100.ameba.jp/tnk47/ratio20/illustrations/card/ill_59863_yoseiichimokuren03.jpg?202006-5-RELEASE-marathon-476xx", "■")</f>
        <v>■</v>
      </c>
      <c r="F118" s="14" t="s">
        <v>319</v>
      </c>
      <c r="G118" s="14">
        <v>112496</v>
      </c>
      <c r="H118" s="14">
        <v>104619</v>
      </c>
      <c r="I118" s="14">
        <v>27</v>
      </c>
      <c r="J118" s="14" t="s">
        <v>320</v>
      </c>
      <c r="K118" s="14" t="s">
        <v>321</v>
      </c>
      <c r="L118" s="14" t="s">
        <v>322</v>
      </c>
      <c r="M118" s="14" t="s">
        <v>9158</v>
      </c>
      <c r="N118" s="14" t="s">
        <v>9158</v>
      </c>
      <c r="O118" s="14" t="s">
        <v>9158</v>
      </c>
      <c r="P118" s="14" t="s">
        <v>9158</v>
      </c>
      <c r="Q118" s="14" t="s">
        <v>9158</v>
      </c>
    </row>
    <row r="119" spans="1:17">
      <c r="A119" s="14">
        <v>51823</v>
      </c>
      <c r="B119" s="14" t="s">
        <v>15</v>
      </c>
      <c r="C119" s="14" t="s">
        <v>101</v>
      </c>
      <c r="D119" s="19" t="s">
        <v>10587</v>
      </c>
      <c r="E119" s="15" t="str">
        <f>HYPERLINK("https://stat100.ameba.jp/tnk47/ratio20/illustrations/card/ill_51823_jukimatsu03.jpg?202006-5-RELEASE-marathon-476xx", "■")</f>
        <v>■</v>
      </c>
      <c r="F119" s="14" t="s">
        <v>6742</v>
      </c>
      <c r="G119" s="14">
        <v>72586</v>
      </c>
      <c r="H119" s="14">
        <v>80028</v>
      </c>
      <c r="I119" s="14">
        <v>27</v>
      </c>
      <c r="J119" s="14" t="s">
        <v>77</v>
      </c>
      <c r="K119" s="14" t="s">
        <v>6743</v>
      </c>
      <c r="L119" s="14" t="s">
        <v>6744</v>
      </c>
      <c r="M119" s="14" t="s">
        <v>9158</v>
      </c>
      <c r="N119" s="14" t="s">
        <v>9158</v>
      </c>
      <c r="O119" s="14" t="s">
        <v>9158</v>
      </c>
      <c r="P119" s="14" t="s">
        <v>9158</v>
      </c>
      <c r="Q119" s="14" t="s">
        <v>9158</v>
      </c>
    </row>
    <row r="120" spans="1:17">
      <c r="A120" s="14">
        <v>51773</v>
      </c>
      <c r="B120" s="14" t="s">
        <v>15</v>
      </c>
      <c r="C120" s="14" t="s">
        <v>205</v>
      </c>
      <c r="D120" s="19" t="s">
        <v>10588</v>
      </c>
      <c r="E120" s="15" t="str">
        <f>HYPERLINK("https://stat100.ameba.jp/tnk47/ratio20/illustrations/card/ill_51773_kawaasobikanekomisuzu03.jpg?202006-5-RELEASE-marathon-476xx", "■")</f>
        <v>■</v>
      </c>
      <c r="F120" s="14" t="s">
        <v>6747</v>
      </c>
      <c r="G120" s="14">
        <v>80028</v>
      </c>
      <c r="H120" s="14">
        <v>72586</v>
      </c>
      <c r="I120" s="14">
        <v>27</v>
      </c>
      <c r="J120" s="14" t="s">
        <v>10</v>
      </c>
      <c r="K120" s="14" t="s">
        <v>6746</v>
      </c>
      <c r="L120" s="14" t="s">
        <v>6745</v>
      </c>
      <c r="M120" s="14" t="s">
        <v>9158</v>
      </c>
      <c r="N120" s="14" t="s">
        <v>9158</v>
      </c>
      <c r="O120" s="14" t="s">
        <v>9158</v>
      </c>
      <c r="P120" s="14" t="s">
        <v>9158</v>
      </c>
      <c r="Q120" s="14" t="s">
        <v>9158</v>
      </c>
    </row>
    <row r="121" spans="1:17">
      <c r="A121" s="14">
        <v>51733</v>
      </c>
      <c r="B121" s="14" t="s">
        <v>15</v>
      </c>
      <c r="C121" s="14" t="s">
        <v>185</v>
      </c>
      <c r="D121" s="19" t="s">
        <v>10589</v>
      </c>
      <c r="E121" s="15" t="str">
        <f>HYPERLINK("https://stat100.ameba.jp/tnk47/ratio20/illustrations/card/ill_51733_ekusoshisutopoiyampe03.jpg?202006-5-RELEASE-marathon-476xx", "■")</f>
        <v>■</v>
      </c>
      <c r="F121" s="14" t="s">
        <v>6750</v>
      </c>
      <c r="G121" s="14">
        <v>72586</v>
      </c>
      <c r="H121" s="14">
        <v>80028</v>
      </c>
      <c r="I121" s="14">
        <v>27</v>
      </c>
      <c r="J121" s="14" t="s">
        <v>274</v>
      </c>
      <c r="K121" s="14" t="s">
        <v>6749</v>
      </c>
      <c r="L121" s="14" t="s">
        <v>6748</v>
      </c>
      <c r="M121" s="14" t="s">
        <v>9158</v>
      </c>
      <c r="N121" s="14" t="s">
        <v>9158</v>
      </c>
      <c r="O121" s="14" t="s">
        <v>9158</v>
      </c>
      <c r="P121" s="14" t="s">
        <v>9158</v>
      </c>
      <c r="Q121" s="14" t="s">
        <v>9158</v>
      </c>
    </row>
    <row r="122" spans="1:17">
      <c r="A122" s="14">
        <v>55743</v>
      </c>
      <c r="B122" s="14" t="s">
        <v>15</v>
      </c>
      <c r="C122" s="14" t="s">
        <v>96</v>
      </c>
      <c r="D122" s="19" t="s">
        <v>10590</v>
      </c>
      <c r="E122" s="15" t="str">
        <f>HYPERLINK("https://stat100.ameba.jp/tnk47/ratio20/illustrations/card/ill_55743_nankoume03.jpg?202006-5-RELEASE-marathon-476xx", "■")</f>
        <v>■</v>
      </c>
      <c r="F122" s="14" t="s">
        <v>4308</v>
      </c>
      <c r="G122" s="14">
        <v>72586</v>
      </c>
      <c r="H122" s="14">
        <v>80028</v>
      </c>
      <c r="I122" s="14">
        <v>27</v>
      </c>
      <c r="J122" s="14" t="s">
        <v>216</v>
      </c>
      <c r="K122" s="14" t="s">
        <v>4310</v>
      </c>
      <c r="L122" s="14" t="s">
        <v>4311</v>
      </c>
      <c r="M122" s="14" t="s">
        <v>9158</v>
      </c>
      <c r="N122" s="14" t="s">
        <v>9158</v>
      </c>
      <c r="O122" s="14" t="s">
        <v>9158</v>
      </c>
      <c r="P122" s="14" t="s">
        <v>9158</v>
      </c>
      <c r="Q122" s="14" t="s">
        <v>9158</v>
      </c>
    </row>
    <row r="124" spans="1:17">
      <c r="A124" s="14" t="s">
        <v>13399</v>
      </c>
    </row>
    <row r="125" spans="1:17">
      <c r="A125" s="14" t="s">
        <v>13400</v>
      </c>
    </row>
    <row r="126" spans="1:17">
      <c r="A126" s="14" t="s">
        <v>13401</v>
      </c>
    </row>
    <row r="127" spans="1:17">
      <c r="A127" s="9" t="s">
        <v>9325</v>
      </c>
      <c r="B127" s="7" t="s">
        <v>52</v>
      </c>
      <c r="C127" s="9" t="s">
        <v>202</v>
      </c>
      <c r="D127" s="19" t="s">
        <v>10947</v>
      </c>
      <c r="E127" s="15" t="str">
        <f>HYPERLINK("https://stat100.ameba.jp/tnk47/ratio20/illustrations/card/ill_86893_0_chokonohisukeban03.jpg?202006-5-RELEASE-marathon-476xx", "■")</f>
        <v>■</v>
      </c>
      <c r="F127" s="14" t="s">
        <v>9332</v>
      </c>
      <c r="G127" s="9">
        <v>338700</v>
      </c>
      <c r="H127" s="9">
        <v>306100</v>
      </c>
      <c r="I127" s="7">
        <v>26</v>
      </c>
      <c r="J127" s="9" t="s">
        <v>187</v>
      </c>
      <c r="K127" s="14" t="s">
        <v>9330</v>
      </c>
      <c r="L127" s="14" t="s">
        <v>9331</v>
      </c>
      <c r="M127" s="14" t="s">
        <v>9158</v>
      </c>
      <c r="N127" s="14" t="s">
        <v>9158</v>
      </c>
      <c r="O127" s="19" t="s">
        <v>10136</v>
      </c>
      <c r="P127" s="7" t="s">
        <v>9324</v>
      </c>
      <c r="Q127" s="7">
        <v>1</v>
      </c>
    </row>
    <row r="128" spans="1:17">
      <c r="A128" s="14" t="s">
        <v>7789</v>
      </c>
      <c r="B128" s="14" t="s">
        <v>52</v>
      </c>
      <c r="C128" s="14" t="s">
        <v>202</v>
      </c>
      <c r="D128" s="19" t="s">
        <v>10741</v>
      </c>
      <c r="E128" s="15" t="str">
        <f>HYPERLINK("https://stat100.ameba.jp/tnk47/ratio20/illustrations/card/ill_84923_0_onsengainansosatomihakkenden03.jpg?202006-5-RELEASE-marathon-476xx", "■")</f>
        <v>■</v>
      </c>
      <c r="F128" s="14" t="s">
        <v>7792</v>
      </c>
      <c r="G128" s="14">
        <v>300364</v>
      </c>
      <c r="H128" s="14">
        <v>332328</v>
      </c>
      <c r="I128" s="14">
        <v>26</v>
      </c>
      <c r="J128" s="14" t="s">
        <v>155</v>
      </c>
      <c r="K128" s="14" t="s">
        <v>7791</v>
      </c>
      <c r="L128" s="14" t="s">
        <v>7790</v>
      </c>
      <c r="M128" s="14" t="s">
        <v>9158</v>
      </c>
      <c r="N128" s="14" t="s">
        <v>9158</v>
      </c>
      <c r="O128" s="19" t="s">
        <v>10131</v>
      </c>
      <c r="P128" s="14" t="s">
        <v>7793</v>
      </c>
      <c r="Q128" s="14">
        <v>0</v>
      </c>
    </row>
    <row r="129" spans="1:18">
      <c r="A129" s="14" t="s">
        <v>5963</v>
      </c>
      <c r="B129" s="14" t="s">
        <v>330</v>
      </c>
      <c r="C129" s="14" t="s">
        <v>35</v>
      </c>
      <c r="D129" s="20" t="s">
        <v>10438</v>
      </c>
      <c r="E129" s="15" t="str">
        <f>HYPERLINK("https://stat100.ameba.jp/tnk47/ratio20/illustrations/card/ill_82963_0_yukatamatsuritomokazuki03.jpg?202006-5-RELEASE-marathon-476xx", "■")</f>
        <v>■</v>
      </c>
      <c r="F129" s="14" t="s">
        <v>5964</v>
      </c>
      <c r="G129" s="14">
        <v>309714</v>
      </c>
      <c r="H129" s="14">
        <v>342692</v>
      </c>
      <c r="I129" s="14">
        <v>26</v>
      </c>
      <c r="J129" s="14" t="s">
        <v>73</v>
      </c>
      <c r="K129" s="14" t="s">
        <v>5966</v>
      </c>
      <c r="L129" s="14" t="s">
        <v>5967</v>
      </c>
      <c r="M129" s="14" t="s">
        <v>9158</v>
      </c>
      <c r="N129" s="14" t="s">
        <v>9158</v>
      </c>
      <c r="O129" s="19" t="s">
        <v>10115</v>
      </c>
      <c r="P129" s="14" t="s">
        <v>5968</v>
      </c>
      <c r="Q129" s="14">
        <v>1</v>
      </c>
    </row>
    <row r="130" spans="1:18">
      <c r="A130" s="14">
        <v>79643</v>
      </c>
      <c r="B130" s="14" t="s">
        <v>334</v>
      </c>
      <c r="C130" s="14" t="s">
        <v>185</v>
      </c>
      <c r="D130" s="19" t="s">
        <v>10622</v>
      </c>
      <c r="E130" s="15" t="str">
        <f>HYPERLINK("https://stat100.ameba.jp/tnk47/ratio20/illustrations/card/ill_79643_hibikiwataruneirosonobehideo03.jpg?202006-5-RELEASE-marathon-476xx", "■")</f>
        <v>■</v>
      </c>
      <c r="F130" s="14" t="s">
        <v>3603</v>
      </c>
      <c r="G130" s="14">
        <v>94390</v>
      </c>
      <c r="H130" s="14">
        <v>101558</v>
      </c>
      <c r="I130" s="14">
        <v>26</v>
      </c>
      <c r="J130" s="14" t="s">
        <v>173</v>
      </c>
      <c r="K130" s="14" t="s">
        <v>3604</v>
      </c>
      <c r="L130" s="14" t="s">
        <v>2057</v>
      </c>
      <c r="M130" s="14" t="s">
        <v>9158</v>
      </c>
      <c r="N130" s="14" t="s">
        <v>9158</v>
      </c>
      <c r="O130" s="14" t="s">
        <v>9158</v>
      </c>
      <c r="P130" s="14" t="s">
        <v>9158</v>
      </c>
      <c r="Q130" s="14" t="s">
        <v>9158</v>
      </c>
    </row>
    <row r="131" spans="1:18">
      <c r="A131" s="7">
        <v>78033</v>
      </c>
      <c r="B131" s="7" t="s">
        <v>0</v>
      </c>
      <c r="C131" s="7" t="s">
        <v>200</v>
      </c>
      <c r="D131" s="19" t="s">
        <v>10310</v>
      </c>
      <c r="E131" s="15" t="str">
        <f>HYPERLINK("https://stat100.ameba.jp/tnk47/ratio20/illustrations/card/ill_78033_bonenkaimyoombenzaiten03.jpg?202006-5-RELEASE-marathon-476xx", "■")</f>
        <v>■</v>
      </c>
      <c r="F131" s="7" t="s">
        <v>2209</v>
      </c>
      <c r="G131" s="7">
        <v>106050</v>
      </c>
      <c r="H131" s="7">
        <v>98594</v>
      </c>
      <c r="I131" s="14">
        <v>26</v>
      </c>
      <c r="J131" s="7" t="s">
        <v>169</v>
      </c>
      <c r="K131" s="7" t="s">
        <v>2210</v>
      </c>
      <c r="L131" s="7" t="s">
        <v>2211</v>
      </c>
      <c r="M131" s="14" t="s">
        <v>9158</v>
      </c>
      <c r="N131" s="14" t="s">
        <v>9158</v>
      </c>
      <c r="O131" s="14" t="s">
        <v>9158</v>
      </c>
      <c r="P131" s="14" t="s">
        <v>9158</v>
      </c>
      <c r="Q131" s="14" t="s">
        <v>9158</v>
      </c>
    </row>
    <row r="132" spans="1:18">
      <c r="A132" s="9">
        <v>84593</v>
      </c>
      <c r="B132" s="9" t="s">
        <v>0</v>
      </c>
      <c r="C132" s="9" t="s">
        <v>191</v>
      </c>
      <c r="D132" s="19" t="s">
        <v>10727</v>
      </c>
      <c r="E132" s="15" t="str">
        <f>HYPERLINK("https://stat100.ameba.jp/tnk47/ratio20/illustrations/card/ill_84593_sarugundanhashibahideyoshi03.jpg?202006-5-RELEASE-marathon-476xx", "■")</f>
        <v>■</v>
      </c>
      <c r="F132" s="9" t="s">
        <v>7681</v>
      </c>
      <c r="G132" s="9">
        <v>143714</v>
      </c>
      <c r="H132" s="9">
        <v>154562</v>
      </c>
      <c r="I132" s="9">
        <v>26</v>
      </c>
      <c r="J132" s="9" t="s">
        <v>194</v>
      </c>
      <c r="K132" s="9" t="s">
        <v>7680</v>
      </c>
      <c r="L132" s="9" t="s">
        <v>1148</v>
      </c>
      <c r="M132" s="14" t="s">
        <v>9158</v>
      </c>
      <c r="N132" s="14" t="s">
        <v>9158</v>
      </c>
      <c r="O132" s="14" t="s">
        <v>9158</v>
      </c>
      <c r="P132" s="14" t="s">
        <v>9158</v>
      </c>
      <c r="Q132" s="14" t="s">
        <v>9158</v>
      </c>
    </row>
    <row r="133" spans="1:18">
      <c r="A133" s="7">
        <v>84973</v>
      </c>
      <c r="B133" s="7" t="s">
        <v>0</v>
      </c>
      <c r="C133" s="14" t="s">
        <v>308</v>
      </c>
      <c r="D133" s="19" t="s">
        <v>10753</v>
      </c>
      <c r="E133" s="15" t="str">
        <f>HYPERLINK("https://stat100.ameba.jp/tnk47/ratio20/illustrations/card/ill_84973_yukimomijiuchidenokozuchi03.jpg?202006-5-RELEASE-marathon-476xx", "■")</f>
        <v>■</v>
      </c>
      <c r="F133" s="7" t="s">
        <v>7849</v>
      </c>
      <c r="G133" s="7">
        <v>118446</v>
      </c>
      <c r="H133" s="7">
        <v>110126</v>
      </c>
      <c r="I133" s="7">
        <v>26</v>
      </c>
      <c r="J133" s="14" t="s">
        <v>38</v>
      </c>
      <c r="K133" s="7" t="s">
        <v>7848</v>
      </c>
      <c r="L133" s="7" t="s">
        <v>7847</v>
      </c>
      <c r="M133" s="14" t="s">
        <v>9158</v>
      </c>
      <c r="N133" s="14" t="s">
        <v>9158</v>
      </c>
      <c r="O133" s="14" t="s">
        <v>9158</v>
      </c>
      <c r="P133" s="14" t="s">
        <v>9158</v>
      </c>
      <c r="Q133" s="14" t="s">
        <v>9158</v>
      </c>
    </row>
    <row r="134" spans="1:18">
      <c r="A134" s="7">
        <v>85783</v>
      </c>
      <c r="B134" s="7" t="s">
        <v>0</v>
      </c>
      <c r="C134" s="7" t="s">
        <v>205</v>
      </c>
      <c r="D134" s="19" t="s">
        <v>10850</v>
      </c>
      <c r="E134" s="15" t="str">
        <f>HYPERLINK("https://stat100.ameba.jp/tnk47/ratio20/illustrations/card/ill_85783_fuyukominarutokintoki03.jpg?202006-5-RELEASE-marathon-476xx", "■")</f>
        <v>■</v>
      </c>
      <c r="F134" s="7" t="s">
        <v>8635</v>
      </c>
      <c r="G134" s="7">
        <v>122786</v>
      </c>
      <c r="H134" s="7">
        <v>114176</v>
      </c>
      <c r="I134" s="7">
        <v>26</v>
      </c>
      <c r="J134" s="14" t="s">
        <v>104</v>
      </c>
      <c r="K134" s="7" t="s">
        <v>8634</v>
      </c>
      <c r="L134" s="7" t="s">
        <v>3489</v>
      </c>
      <c r="M134" s="14" t="s">
        <v>9158</v>
      </c>
      <c r="N134" s="14" t="s">
        <v>9158</v>
      </c>
      <c r="O134" s="14" t="s">
        <v>9158</v>
      </c>
      <c r="P134" s="14" t="s">
        <v>9158</v>
      </c>
      <c r="Q134" s="14" t="s">
        <v>9158</v>
      </c>
    </row>
    <row r="135" spans="1:18">
      <c r="A135" s="14">
        <v>83603</v>
      </c>
      <c r="B135" s="14" t="s">
        <v>0</v>
      </c>
      <c r="C135" s="14" t="s">
        <v>107</v>
      </c>
      <c r="D135" s="20" t="s">
        <v>10576</v>
      </c>
      <c r="E135" s="15" t="str">
        <f>HYPERLINK("https://stat100.ameba.jp/tnk47/ratio20/illustrations/card/ill_83603_yuenchihazadojingukogo03.jpg?202006-5-RELEASE-marathon-476xx", "■")</f>
        <v>■</v>
      </c>
      <c r="F135" s="14" t="s">
        <v>6668</v>
      </c>
      <c r="G135" s="14">
        <v>94390</v>
      </c>
      <c r="H135" s="14">
        <v>101558</v>
      </c>
      <c r="I135" s="14">
        <v>26</v>
      </c>
      <c r="J135" s="14" t="s">
        <v>10</v>
      </c>
      <c r="K135" s="14" t="s">
        <v>6666</v>
      </c>
      <c r="L135" s="14" t="s">
        <v>2057</v>
      </c>
      <c r="M135" s="14" t="s">
        <v>9158</v>
      </c>
      <c r="N135" s="14" t="s">
        <v>9158</v>
      </c>
      <c r="O135" s="14" t="s">
        <v>9158</v>
      </c>
      <c r="P135" s="14" t="s">
        <v>9158</v>
      </c>
      <c r="Q135" s="14" t="s">
        <v>9158</v>
      </c>
    </row>
    <row r="137" spans="1:18">
      <c r="A137" s="7" t="s">
        <v>13327</v>
      </c>
      <c r="B137" s="7"/>
      <c r="C137" s="7"/>
      <c r="D137" s="7"/>
      <c r="E137" s="7"/>
      <c r="F137" s="7"/>
      <c r="G137" s="7"/>
      <c r="H137" s="7"/>
      <c r="I137" s="7"/>
      <c r="J137" s="7"/>
      <c r="K137" s="7"/>
      <c r="L137" s="7"/>
      <c r="M137" s="7"/>
      <c r="N137" s="7"/>
      <c r="O137" s="7"/>
      <c r="P137" s="7"/>
      <c r="Q137" s="7"/>
      <c r="R137" s="7"/>
    </row>
    <row r="138" spans="1:18">
      <c r="A138" s="7" t="s">
        <v>13403</v>
      </c>
      <c r="B138" s="7"/>
      <c r="C138" s="7"/>
      <c r="D138" s="7"/>
      <c r="E138" s="7"/>
      <c r="F138" s="7"/>
      <c r="G138" s="7"/>
      <c r="H138" s="7"/>
      <c r="I138" s="7"/>
      <c r="J138" s="7"/>
      <c r="K138" s="7"/>
      <c r="L138" s="7"/>
      <c r="M138" s="7"/>
      <c r="N138" s="7"/>
      <c r="O138" s="7"/>
      <c r="P138" s="7"/>
      <c r="Q138" s="7"/>
      <c r="R138" s="7"/>
    </row>
    <row r="139" spans="1:18">
      <c r="A139" s="14">
        <v>86063</v>
      </c>
      <c r="B139" s="14" t="s">
        <v>334</v>
      </c>
      <c r="C139" s="14" t="s">
        <v>14</v>
      </c>
      <c r="D139" s="19" t="s">
        <v>10818</v>
      </c>
      <c r="E139" s="15" t="str">
        <f>HYPERLINK("https://stat100.ameba.jp/tnk47/ratio20/illustrations/card/ill_86063_uotchimeika03.jpg?202006-5-RELEASE-marathon-476xx", "■")</f>
        <v>■</v>
      </c>
      <c r="F139" s="14" t="s">
        <v>8368</v>
      </c>
      <c r="G139" s="14">
        <v>123583</v>
      </c>
      <c r="H139" s="14">
        <v>132922</v>
      </c>
      <c r="I139" s="14">
        <v>27</v>
      </c>
      <c r="J139" s="14" t="s">
        <v>173</v>
      </c>
      <c r="K139" s="14" t="s">
        <v>8367</v>
      </c>
      <c r="L139" s="14" t="s">
        <v>8366</v>
      </c>
      <c r="M139" s="14" t="s">
        <v>13130</v>
      </c>
      <c r="N139" s="14" t="s">
        <v>343</v>
      </c>
      <c r="O139" s="14" t="s">
        <v>9158</v>
      </c>
      <c r="P139" s="14" t="s">
        <v>9158</v>
      </c>
      <c r="Q139" s="14" t="s">
        <v>9158</v>
      </c>
      <c r="R139" s="14" t="s">
        <v>14748</v>
      </c>
    </row>
    <row r="140" spans="1:18">
      <c r="A140" s="14">
        <v>86062</v>
      </c>
      <c r="B140" s="14" t="s">
        <v>334</v>
      </c>
      <c r="C140" s="14" t="s">
        <v>14</v>
      </c>
      <c r="D140" s="19" t="s">
        <v>10818</v>
      </c>
      <c r="E140" s="15" t="str">
        <f>HYPERLINK("https://stat100.ameba.jp/tnk47/ratio20/illustrations/card/ill_86062_uotchimeika02.jpg?202006-5-RELEASE-marathon-476xx", "■")</f>
        <v>■</v>
      </c>
      <c r="F140" s="14" t="s">
        <v>8368</v>
      </c>
      <c r="G140" s="14">
        <v>102356</v>
      </c>
      <c r="H140" s="14">
        <v>111115</v>
      </c>
      <c r="I140" s="14">
        <v>27</v>
      </c>
      <c r="J140" s="14" t="s">
        <v>173</v>
      </c>
      <c r="K140" s="14" t="s">
        <v>8367</v>
      </c>
      <c r="L140" s="14" t="s">
        <v>8366</v>
      </c>
      <c r="M140" s="14" t="s">
        <v>13131</v>
      </c>
      <c r="N140" s="14" t="s">
        <v>251</v>
      </c>
      <c r="O140" s="14" t="s">
        <v>9158</v>
      </c>
      <c r="P140" s="14" t="s">
        <v>9158</v>
      </c>
      <c r="Q140" s="14" t="s">
        <v>9158</v>
      </c>
      <c r="R140" s="14" t="s">
        <v>14748</v>
      </c>
    </row>
    <row r="141" spans="1:18">
      <c r="A141" s="14">
        <v>86061</v>
      </c>
      <c r="B141" s="14" t="s">
        <v>0</v>
      </c>
      <c r="C141" s="14" t="s">
        <v>14</v>
      </c>
      <c r="D141" s="19" t="s">
        <v>10818</v>
      </c>
      <c r="E141" s="15" t="str">
        <f>HYPERLINK("https://stat100.ameba.jp/tnk47/ratio20/illustrations/card/ill_86061_uotchimeika01.jpg?202006-5-RELEASE-marathon-476xx", "■")</f>
        <v>■</v>
      </c>
      <c r="F141" s="14" t="s">
        <v>8368</v>
      </c>
      <c r="G141" s="14">
        <v>78975</v>
      </c>
      <c r="H141" s="14">
        <v>84834</v>
      </c>
      <c r="I141" s="14">
        <v>27</v>
      </c>
      <c r="J141" s="14" t="s">
        <v>173</v>
      </c>
      <c r="K141" s="14" t="s">
        <v>8367</v>
      </c>
      <c r="L141" s="14" t="s">
        <v>8366</v>
      </c>
      <c r="M141" s="14" t="s">
        <v>13131</v>
      </c>
      <c r="N141" s="14" t="s">
        <v>251</v>
      </c>
      <c r="O141" s="14" t="s">
        <v>9158</v>
      </c>
      <c r="P141" s="14" t="s">
        <v>9158</v>
      </c>
      <c r="Q141" s="14" t="s">
        <v>9158</v>
      </c>
      <c r="R141" s="14" t="s">
        <v>14748</v>
      </c>
    </row>
    <row r="142" spans="1:18">
      <c r="A142" s="14">
        <v>86073</v>
      </c>
      <c r="B142" s="14" t="s">
        <v>334</v>
      </c>
      <c r="C142" s="14" t="s">
        <v>23</v>
      </c>
      <c r="D142" s="19" t="s">
        <v>10819</v>
      </c>
      <c r="E142" s="15" t="str">
        <f>HYPERLINK("https://stat100.ameba.jp/tnk47/ratio20/illustrations/card/ill_86073_maddohatta03.jpg?202006-5-RELEASE-marathon-476xx", "■")</f>
        <v>■</v>
      </c>
      <c r="F142" s="14" t="s">
        <v>8371</v>
      </c>
      <c r="G142" s="14">
        <v>123583</v>
      </c>
      <c r="H142" s="14">
        <v>132922</v>
      </c>
      <c r="I142" s="14">
        <v>27</v>
      </c>
      <c r="J142" s="14" t="s">
        <v>155</v>
      </c>
      <c r="K142" s="14" t="s">
        <v>8370</v>
      </c>
      <c r="L142" s="14" t="s">
        <v>8369</v>
      </c>
      <c r="M142" s="14" t="s">
        <v>13130</v>
      </c>
      <c r="N142" s="14" t="s">
        <v>343</v>
      </c>
      <c r="O142" s="14" t="s">
        <v>9158</v>
      </c>
      <c r="P142" s="14" t="s">
        <v>9158</v>
      </c>
      <c r="Q142" s="14" t="s">
        <v>9158</v>
      </c>
      <c r="R142" s="14" t="s">
        <v>14748</v>
      </c>
    </row>
    <row r="143" spans="1:18">
      <c r="A143" s="14">
        <v>86083</v>
      </c>
      <c r="B143" s="14" t="s">
        <v>334</v>
      </c>
      <c r="C143" s="14" t="s">
        <v>101</v>
      </c>
      <c r="D143" s="19" t="s">
        <v>10820</v>
      </c>
      <c r="E143" s="15" t="str">
        <f>HYPERLINK("https://stat100.ameba.jp/tnk47/ratio20/illustrations/card/ill_86083_keieinochojomeruro03.jpg?202006-5-RELEASE-marathon-476xx", "■")</f>
        <v>■</v>
      </c>
      <c r="F143" s="14" t="s">
        <v>8375</v>
      </c>
      <c r="G143" s="14">
        <v>132922</v>
      </c>
      <c r="H143" s="14">
        <v>123583</v>
      </c>
      <c r="I143" s="14">
        <v>27</v>
      </c>
      <c r="J143" s="14" t="s">
        <v>229</v>
      </c>
      <c r="K143" s="14" t="s">
        <v>8374</v>
      </c>
      <c r="L143" s="14" t="s">
        <v>8373</v>
      </c>
      <c r="M143" s="14" t="s">
        <v>13130</v>
      </c>
      <c r="N143" s="14" t="s">
        <v>343</v>
      </c>
      <c r="O143" s="14" t="s">
        <v>9158</v>
      </c>
      <c r="P143" s="14" t="s">
        <v>9158</v>
      </c>
      <c r="Q143" s="14" t="s">
        <v>9158</v>
      </c>
      <c r="R143" s="14" t="s">
        <v>14748</v>
      </c>
    </row>
    <row r="144" spans="1:18">
      <c r="A144" s="14">
        <v>86093</v>
      </c>
      <c r="B144" s="14" t="s">
        <v>0</v>
      </c>
      <c r="C144" s="14" t="s">
        <v>96</v>
      </c>
      <c r="D144" s="19" t="s">
        <v>10821</v>
      </c>
      <c r="E144" s="15" t="str">
        <f>HYPERLINK("https://stat100.ameba.jp/tnk47/ratio20/illustrations/card/ill_86093_minamotonoyoshimitsu03.jpg?202006-5-RELEASE-marathon-476xx", "■")</f>
        <v>■</v>
      </c>
      <c r="F144" s="14" t="s">
        <v>8379</v>
      </c>
      <c r="G144" s="14">
        <v>132922</v>
      </c>
      <c r="H144" s="14">
        <v>123583</v>
      </c>
      <c r="I144" s="14">
        <v>27</v>
      </c>
      <c r="J144" s="14" t="s">
        <v>194</v>
      </c>
      <c r="K144" s="14" t="s">
        <v>8377</v>
      </c>
      <c r="L144" s="14" t="s">
        <v>8376</v>
      </c>
      <c r="M144" s="14" t="s">
        <v>13130</v>
      </c>
      <c r="N144" s="14" t="s">
        <v>343</v>
      </c>
      <c r="O144" s="14" t="s">
        <v>9158</v>
      </c>
      <c r="P144" s="14" t="s">
        <v>9158</v>
      </c>
      <c r="Q144" s="14" t="s">
        <v>9158</v>
      </c>
      <c r="R144" s="14" t="s">
        <v>14748</v>
      </c>
    </row>
    <row r="145" spans="1:18">
      <c r="A145" s="14">
        <v>86103</v>
      </c>
      <c r="B145" s="14" t="s">
        <v>334</v>
      </c>
      <c r="C145" s="14" t="s">
        <v>205</v>
      </c>
      <c r="D145" s="19" t="s">
        <v>10822</v>
      </c>
      <c r="E145" s="15" t="str">
        <f>HYPERLINK("https://stat100.ameba.jp/tnk47/ratio20/illustrations/card/ill_86103_omatsudaimyojin03.jpg?202006-5-RELEASE-marathon-476xx", "■")</f>
        <v>■</v>
      </c>
      <c r="F145" s="14" t="s">
        <v>8383</v>
      </c>
      <c r="G145" s="14">
        <v>132922</v>
      </c>
      <c r="H145" s="14">
        <v>123583</v>
      </c>
      <c r="I145" s="14">
        <v>27</v>
      </c>
      <c r="J145" s="14" t="s">
        <v>169</v>
      </c>
      <c r="K145" s="14" t="s">
        <v>8381</v>
      </c>
      <c r="L145" s="14" t="s">
        <v>8380</v>
      </c>
      <c r="M145" s="14" t="s">
        <v>13130</v>
      </c>
      <c r="N145" s="14" t="s">
        <v>343</v>
      </c>
      <c r="O145" s="14" t="s">
        <v>9158</v>
      </c>
      <c r="P145" s="14" t="s">
        <v>9158</v>
      </c>
      <c r="Q145" s="14" t="s">
        <v>9158</v>
      </c>
      <c r="R145" s="14" t="s">
        <v>14748</v>
      </c>
    </row>
    <row r="146" spans="1:18">
      <c r="A146" s="14">
        <v>86113</v>
      </c>
      <c r="B146" s="14" t="s">
        <v>334</v>
      </c>
      <c r="C146" s="14" t="s">
        <v>107</v>
      </c>
      <c r="D146" s="19" t="s">
        <v>10823</v>
      </c>
      <c r="E146" s="15" t="str">
        <f>HYPERLINK("https://stat100.ameba.jp/tnk47/ratio20/illustrations/card/ill_86113_yuno03.jpg?202006-5-RELEASE-marathon-476xx", "■")</f>
        <v>■</v>
      </c>
      <c r="F146" s="14" t="s">
        <v>8387</v>
      </c>
      <c r="G146" s="14">
        <v>123583</v>
      </c>
      <c r="H146" s="14">
        <v>132922</v>
      </c>
      <c r="I146" s="14">
        <v>27</v>
      </c>
      <c r="J146" s="14" t="s">
        <v>159</v>
      </c>
      <c r="K146" s="14" t="s">
        <v>8385</v>
      </c>
      <c r="L146" s="14" t="s">
        <v>8384</v>
      </c>
      <c r="M146" s="14" t="s">
        <v>13130</v>
      </c>
      <c r="N146" s="14" t="s">
        <v>343</v>
      </c>
      <c r="O146" s="14" t="s">
        <v>9158</v>
      </c>
      <c r="P146" s="14" t="s">
        <v>9158</v>
      </c>
      <c r="Q146" s="14" t="s">
        <v>9158</v>
      </c>
      <c r="R146" s="14" t="s">
        <v>14748</v>
      </c>
    </row>
    <row r="148" spans="1:18">
      <c r="A148" s="14" t="s">
        <v>13777</v>
      </c>
    </row>
    <row r="149" spans="1:18">
      <c r="A149" s="14" t="s">
        <v>13779</v>
      </c>
    </row>
    <row r="150" spans="1:18">
      <c r="A150" s="14" t="s">
        <v>13778</v>
      </c>
    </row>
    <row r="151" spans="1:18">
      <c r="A151" s="14" t="s">
        <v>13086</v>
      </c>
      <c r="B151" s="7" t="s">
        <v>52</v>
      </c>
      <c r="C151" s="14" t="s">
        <v>202</v>
      </c>
      <c r="D151" s="18" t="s">
        <v>13084</v>
      </c>
      <c r="E151" s="15" t="str">
        <f>HYPERLINK("https://stat100.ameba.jp/tnk47/ratio20/illustrations/card/ill_89703_0_jumburaidohimiko03.jpg?202006-5-RELEASE-marathon-476xx", "■")</f>
        <v>■</v>
      </c>
      <c r="F151" s="14" t="s">
        <v>13085</v>
      </c>
      <c r="G151" s="14">
        <v>344095</v>
      </c>
      <c r="H151" s="14">
        <v>281517</v>
      </c>
      <c r="I151" s="7">
        <v>27</v>
      </c>
      <c r="J151" s="14" t="s">
        <v>10</v>
      </c>
      <c r="K151" s="14" t="s">
        <v>13087</v>
      </c>
      <c r="L151" s="14" t="s">
        <v>12016</v>
      </c>
      <c r="M151" s="14" t="s">
        <v>9158</v>
      </c>
      <c r="N151" s="14" t="s">
        <v>9158</v>
      </c>
      <c r="O151" s="6" t="s">
        <v>13088</v>
      </c>
      <c r="P151" s="7" t="s">
        <v>13089</v>
      </c>
      <c r="Q151" s="7">
        <v>1</v>
      </c>
    </row>
    <row r="152" spans="1:18">
      <c r="A152" s="14">
        <v>89883</v>
      </c>
      <c r="B152" s="14" t="s">
        <v>13780</v>
      </c>
      <c r="C152" s="14" t="s">
        <v>13825</v>
      </c>
      <c r="D152" s="14" t="s">
        <v>13843</v>
      </c>
      <c r="E152" s="15" t="str">
        <f>HYPERLINK("https://stat100.ameba.jp/tnk47/ratio20/illustrations/card/ill_89883_yojutsukuriozuna03.jpg?202006-5-RELEASE-marathon-476xx", "■")</f>
        <v>■</v>
      </c>
      <c r="F152" s="14" t="s">
        <v>13844</v>
      </c>
      <c r="G152" s="14">
        <v>114362</v>
      </c>
      <c r="H152" s="14">
        <v>123002</v>
      </c>
      <c r="I152" s="7">
        <v>27</v>
      </c>
      <c r="J152" s="14" t="s">
        <v>13847</v>
      </c>
      <c r="K152" s="14" t="s">
        <v>13846</v>
      </c>
      <c r="L152" s="14" t="s">
        <v>13845</v>
      </c>
      <c r="M152" s="14" t="s">
        <v>9158</v>
      </c>
      <c r="N152" s="14" t="s">
        <v>9158</v>
      </c>
      <c r="O152" s="14" t="s">
        <v>9158</v>
      </c>
      <c r="P152" s="14" t="s">
        <v>9158</v>
      </c>
      <c r="Q152" s="14" t="s">
        <v>9158</v>
      </c>
    </row>
    <row r="153" spans="1:18">
      <c r="A153" s="14">
        <v>89893</v>
      </c>
      <c r="B153" s="14" t="s">
        <v>13780</v>
      </c>
      <c r="C153" s="14" t="s">
        <v>13810</v>
      </c>
      <c r="D153" s="14" t="s">
        <v>13848</v>
      </c>
      <c r="E153" s="15" t="str">
        <f>HYPERLINK("https://stat100.ameba.jp/tnk47/ratio20/illustrations/card/ill_89893_shijuhachitenguhikozambuzembo03.jpg?202006-5-RELEASE-marathon-476xx", "■")</f>
        <v>■</v>
      </c>
      <c r="F153" s="14" t="s">
        <v>13851</v>
      </c>
      <c r="G153" s="14">
        <v>160507</v>
      </c>
      <c r="H153" s="14">
        <v>149240</v>
      </c>
      <c r="I153" s="7">
        <v>27</v>
      </c>
      <c r="J153" s="14" t="s">
        <v>13833</v>
      </c>
      <c r="K153" s="14" t="s">
        <v>13850</v>
      </c>
      <c r="L153" s="14" t="s">
        <v>13849</v>
      </c>
      <c r="M153" s="14" t="s">
        <v>9158</v>
      </c>
      <c r="N153" s="14" t="s">
        <v>9158</v>
      </c>
      <c r="O153" s="14" t="s">
        <v>9158</v>
      </c>
      <c r="P153" s="14" t="s">
        <v>9158</v>
      </c>
      <c r="Q153" s="14" t="s">
        <v>9158</v>
      </c>
    </row>
    <row r="154" spans="1:18">
      <c r="A154" s="14">
        <v>89903</v>
      </c>
      <c r="B154" s="14" t="s">
        <v>13781</v>
      </c>
      <c r="C154" s="14" t="s">
        <v>13856</v>
      </c>
      <c r="D154" s="14" t="s">
        <v>13855</v>
      </c>
      <c r="E154" s="15" t="str">
        <f>HYPERLINK("https://stat100.ameba.jp/tnk47/ratio20/illustrations/card/ill_89903_shijuhachimagaritogenokitsunebi03.jpg?202006-5-RELEASE-marathon-476xx", "■")</f>
        <v>■</v>
      </c>
      <c r="F154" s="14" t="s">
        <v>13854</v>
      </c>
      <c r="G154" s="14">
        <v>72586</v>
      </c>
      <c r="H154" s="14">
        <v>80028</v>
      </c>
      <c r="I154" s="7">
        <v>27</v>
      </c>
      <c r="J154" s="14" t="s">
        <v>13814</v>
      </c>
      <c r="K154" s="14" t="s">
        <v>13853</v>
      </c>
      <c r="L154" s="14" t="s">
        <v>13852</v>
      </c>
      <c r="M154" s="14" t="s">
        <v>9158</v>
      </c>
      <c r="N154" s="14" t="s">
        <v>9158</v>
      </c>
      <c r="O154" s="14" t="s">
        <v>9158</v>
      </c>
      <c r="P154" s="14" t="s">
        <v>9158</v>
      </c>
      <c r="Q154" s="14" t="s">
        <v>9158</v>
      </c>
    </row>
    <row r="155" spans="1:18">
      <c r="A155" s="14">
        <v>89913</v>
      </c>
      <c r="B155" s="14" t="s">
        <v>13782</v>
      </c>
      <c r="C155" s="14" t="s">
        <v>13830</v>
      </c>
      <c r="D155" s="14" t="s">
        <v>13860</v>
      </c>
      <c r="E155" s="15" t="str">
        <f>HYPERLINK("https://stat100.ameba.jp/tnk47/ratio20/illustrations/card/ill_89913_kitsunenochochin03.jpg?202006-5-RELEASE-marathon-476xx", "■")</f>
        <v>■</v>
      </c>
      <c r="F155" s="14" t="s">
        <v>13859</v>
      </c>
      <c r="G155" s="14">
        <v>56138</v>
      </c>
      <c r="H155" s="14">
        <v>46676</v>
      </c>
      <c r="I155" s="7">
        <v>27</v>
      </c>
      <c r="J155" s="14" t="s">
        <v>13833</v>
      </c>
      <c r="K155" s="14" t="s">
        <v>13858</v>
      </c>
      <c r="L155" s="14" t="s">
        <v>13857</v>
      </c>
      <c r="M155" s="14" t="s">
        <v>9158</v>
      </c>
      <c r="N155" s="14" t="s">
        <v>9158</v>
      </c>
      <c r="O155" s="14" t="s">
        <v>9158</v>
      </c>
      <c r="P155" s="14" t="s">
        <v>9158</v>
      </c>
      <c r="Q155" s="14" t="s">
        <v>9158</v>
      </c>
    </row>
    <row r="156" spans="1:18">
      <c r="A156" s="14">
        <v>89923</v>
      </c>
      <c r="B156" s="14" t="s">
        <v>13783</v>
      </c>
      <c r="C156" s="14" t="s">
        <v>13865</v>
      </c>
      <c r="D156" s="14" t="s">
        <v>13864</v>
      </c>
      <c r="E156" s="15" t="str">
        <f>HYPERLINK("https://stat100.ameba.jp/tnk47/ratio20/illustrations/card/ill_89923_kyubinokitsune03.jpg?202006-5-RELEASE-marathon-476xx", "■")</f>
        <v>■</v>
      </c>
      <c r="F156" s="14" t="s">
        <v>13863</v>
      </c>
      <c r="G156" s="14">
        <v>28544</v>
      </c>
      <c r="H156" s="14">
        <v>33986</v>
      </c>
      <c r="I156" s="7">
        <v>27</v>
      </c>
      <c r="J156" s="14" t="s">
        <v>13833</v>
      </c>
      <c r="K156" s="14" t="s">
        <v>13862</v>
      </c>
      <c r="L156" s="14" t="s">
        <v>13861</v>
      </c>
      <c r="M156" s="14" t="s">
        <v>9158</v>
      </c>
      <c r="N156" s="14" t="s">
        <v>9158</v>
      </c>
      <c r="O156" s="14" t="s">
        <v>9158</v>
      </c>
      <c r="P156" s="14" t="s">
        <v>9158</v>
      </c>
      <c r="Q156" s="14" t="s">
        <v>9158</v>
      </c>
    </row>
    <row r="158" spans="1:18">
      <c r="A158" s="14" t="s">
        <v>13784</v>
      </c>
    </row>
    <row r="159" spans="1:18">
      <c r="A159" s="14" t="s">
        <v>13785</v>
      </c>
    </row>
    <row r="160" spans="1:18">
      <c r="A160" s="14" t="s">
        <v>5822</v>
      </c>
      <c r="B160" s="14" t="s">
        <v>330</v>
      </c>
      <c r="C160" s="14" t="s">
        <v>307</v>
      </c>
      <c r="D160" s="19" t="s">
        <v>306</v>
      </c>
      <c r="E160" s="15" t="str">
        <f>HYPERLINK("https://stat100.ameba.jp/tnk47/ratio20/illustrations/card/ill_71403_0_ohanamisanadayukimura03.jpg?202006-5-RELEASE-marathon-476xx", "■")</f>
        <v>■</v>
      </c>
      <c r="F160" s="14" t="s">
        <v>309</v>
      </c>
      <c r="G160" s="14">
        <v>205358</v>
      </c>
      <c r="H160" s="14">
        <v>190952</v>
      </c>
      <c r="I160" s="14">
        <v>22</v>
      </c>
      <c r="J160" s="14" t="s">
        <v>310</v>
      </c>
      <c r="K160" s="14" t="s">
        <v>311</v>
      </c>
      <c r="L160" s="14" t="s">
        <v>312</v>
      </c>
      <c r="M160" s="14" t="s">
        <v>9158</v>
      </c>
      <c r="N160" s="14" t="s">
        <v>9158</v>
      </c>
      <c r="O160" s="6" t="s">
        <v>10060</v>
      </c>
      <c r="P160" s="14" t="s">
        <v>3418</v>
      </c>
      <c r="Q160" s="14">
        <v>2</v>
      </c>
    </row>
    <row r="161" spans="1:18">
      <c r="A161" s="14" t="s">
        <v>5620</v>
      </c>
      <c r="B161" s="14" t="s">
        <v>330</v>
      </c>
      <c r="C161" s="14" t="s">
        <v>206</v>
      </c>
      <c r="D161" s="20" t="s">
        <v>669</v>
      </c>
      <c r="E161" s="15" t="str">
        <f>HYPERLINK("https://stat100.ameba.jp/tnk47/ratio20/illustrations/card/ill_67173_0_yukemuriawamorichan03.jpg?202006-5-RELEASE-marathon-476xx", "■")</f>
        <v>■</v>
      </c>
      <c r="F161" s="14" t="s">
        <v>670</v>
      </c>
      <c r="G161" s="14">
        <v>169032</v>
      </c>
      <c r="H161" s="14">
        <v>157150</v>
      </c>
      <c r="I161" s="14">
        <v>22</v>
      </c>
      <c r="J161" s="14" t="s">
        <v>283</v>
      </c>
      <c r="K161" s="14" t="s">
        <v>671</v>
      </c>
      <c r="L161" s="14" t="s">
        <v>672</v>
      </c>
      <c r="M161" s="14" t="s">
        <v>9158</v>
      </c>
      <c r="N161" s="14" t="s">
        <v>9158</v>
      </c>
      <c r="O161" s="19" t="s">
        <v>10087</v>
      </c>
      <c r="P161" s="14" t="s">
        <v>3455</v>
      </c>
      <c r="Q161" s="14">
        <v>1</v>
      </c>
    </row>
    <row r="162" spans="1:18">
      <c r="A162" s="14" t="s">
        <v>5622</v>
      </c>
      <c r="B162" s="14" t="s">
        <v>330</v>
      </c>
      <c r="C162" s="14" t="s">
        <v>335</v>
      </c>
      <c r="D162" s="19" t="s">
        <v>509</v>
      </c>
      <c r="E162" s="15" t="str">
        <f>HYPERLINK("https://stat100.ameba.jp/tnk47/ratio20/illustrations/card/ill_49953_0_yushamarihime03.jpg?202006-5-RELEASE-marathon-476xx", "■")</f>
        <v>■</v>
      </c>
      <c r="F162" s="14" t="s">
        <v>510</v>
      </c>
      <c r="G162" s="14">
        <v>138212</v>
      </c>
      <c r="H162" s="14">
        <v>122776</v>
      </c>
      <c r="I162" s="14">
        <v>22</v>
      </c>
      <c r="J162" s="14" t="s">
        <v>315</v>
      </c>
      <c r="K162" s="14" t="s">
        <v>511</v>
      </c>
      <c r="L162" s="14" t="s">
        <v>512</v>
      </c>
      <c r="M162" s="14" t="s">
        <v>9158</v>
      </c>
      <c r="N162" s="14" t="s">
        <v>9158</v>
      </c>
      <c r="O162" s="14" t="s">
        <v>9158</v>
      </c>
      <c r="P162" s="14" t="s">
        <v>9158</v>
      </c>
      <c r="Q162" s="14" t="s">
        <v>9158</v>
      </c>
    </row>
    <row r="163" spans="1:18">
      <c r="A163" s="9">
        <v>86593</v>
      </c>
      <c r="B163" s="9" t="s">
        <v>0</v>
      </c>
      <c r="C163" s="9" t="s">
        <v>206</v>
      </c>
      <c r="D163" s="19" t="s">
        <v>10989</v>
      </c>
      <c r="E163" s="15" t="str">
        <f>HYPERLINK("https://stat100.ameba.jp/tnk47/ratio20/illustrations/card/ill_86593_uintasupotsumatsurasayohimedensetsu03.jpg?202006-5-RELEASE-marathon-476xx", "■")</f>
        <v>■</v>
      </c>
      <c r="F163" s="9" t="s">
        <v>9751</v>
      </c>
      <c r="G163" s="9">
        <v>130214</v>
      </c>
      <c r="H163" s="9">
        <v>73270</v>
      </c>
      <c r="I163" s="9">
        <v>27</v>
      </c>
      <c r="J163" s="9" t="s">
        <v>155</v>
      </c>
      <c r="K163" s="9" t="s">
        <v>9750</v>
      </c>
      <c r="L163" s="9" t="s">
        <v>76</v>
      </c>
      <c r="M163" s="14" t="s">
        <v>9158</v>
      </c>
      <c r="N163" s="14" t="s">
        <v>9158</v>
      </c>
      <c r="O163" s="14" t="s">
        <v>9158</v>
      </c>
      <c r="P163" s="14" t="s">
        <v>9158</v>
      </c>
      <c r="Q163" s="14" t="s">
        <v>9158</v>
      </c>
    </row>
    <row r="164" spans="1:18">
      <c r="A164" s="14">
        <v>84753</v>
      </c>
      <c r="B164" s="14" t="s">
        <v>334</v>
      </c>
      <c r="C164" s="14" t="s">
        <v>205</v>
      </c>
      <c r="D164" s="19" t="s">
        <v>10712</v>
      </c>
      <c r="E164" s="15" t="str">
        <f>HYPERLINK("https://stat100.ameba.jp/tnk47/ratio20/illustrations/card/ill_84753_haroimpampukinkuin03.jpg?202006-5-RELEASE-marathon-476xx", "■")</f>
        <v>■</v>
      </c>
      <c r="F164" s="14" t="s">
        <v>7536</v>
      </c>
      <c r="G164" s="14">
        <v>157484</v>
      </c>
      <c r="H164" s="14">
        <v>88593</v>
      </c>
      <c r="I164" s="9">
        <v>27</v>
      </c>
      <c r="J164" s="14" t="s">
        <v>216</v>
      </c>
      <c r="K164" s="14" t="s">
        <v>7535</v>
      </c>
      <c r="L164" s="14" t="s">
        <v>2409</v>
      </c>
      <c r="M164" s="14" t="s">
        <v>9158</v>
      </c>
      <c r="N164" s="14" t="s">
        <v>9158</v>
      </c>
      <c r="O164" s="14" t="s">
        <v>9158</v>
      </c>
      <c r="P164" s="14" t="s">
        <v>9158</v>
      </c>
      <c r="Q164" s="14" t="s">
        <v>9158</v>
      </c>
    </row>
    <row r="165" spans="1:18">
      <c r="A165" s="9">
        <v>67383</v>
      </c>
      <c r="B165" s="14" t="s">
        <v>334</v>
      </c>
      <c r="C165" s="14" t="s">
        <v>307</v>
      </c>
      <c r="D165" s="14" t="s">
        <v>576</v>
      </c>
      <c r="E165" s="15" t="str">
        <f>HYPERLINK("https://stat100.ameba.jp/tnk47/ratio20/illustrations/card/ill_67383_jobayamakawatomiko03.jpg?202006-5-RELEASE-marathon-476xx", "■")</f>
        <v>■</v>
      </c>
      <c r="F165" s="14" t="s">
        <v>577</v>
      </c>
      <c r="G165" s="14">
        <v>105465</v>
      </c>
      <c r="H165" s="14">
        <v>98019</v>
      </c>
      <c r="I165" s="9">
        <v>27</v>
      </c>
      <c r="J165" s="14" t="s">
        <v>351</v>
      </c>
      <c r="K165" s="14" t="s">
        <v>578</v>
      </c>
      <c r="L165" s="14" t="s">
        <v>13138</v>
      </c>
      <c r="M165" s="14" t="s">
        <v>9158</v>
      </c>
      <c r="N165" s="14" t="s">
        <v>9158</v>
      </c>
      <c r="O165" s="14" t="s">
        <v>9158</v>
      </c>
      <c r="P165" s="14" t="s">
        <v>9158</v>
      </c>
      <c r="Q165" s="14" t="s">
        <v>9158</v>
      </c>
    </row>
    <row r="167" spans="1:18">
      <c r="A167" s="14" t="s">
        <v>13871</v>
      </c>
    </row>
    <row r="168" spans="1:18">
      <c r="A168" s="14" t="s">
        <v>13872</v>
      </c>
    </row>
    <row r="169" spans="1:18">
      <c r="A169" s="14">
        <v>89805</v>
      </c>
      <c r="B169" s="14" t="s">
        <v>334</v>
      </c>
      <c r="C169" s="14" t="s">
        <v>202</v>
      </c>
      <c r="D169" s="14" t="s">
        <v>13866</v>
      </c>
      <c r="E169" s="15" t="str">
        <f>HYPERLINK("https://stat100.ameba.jp/tnk47/ratio20/illustrations/card/ill_89805_cheripai05.jpg?202006-5-RELEASE-marathon-476xx", "■")</f>
        <v>■</v>
      </c>
      <c r="F169" s="14" t="s">
        <v>13867</v>
      </c>
      <c r="G169" s="14">
        <v>193214</v>
      </c>
      <c r="H169" s="14">
        <v>139899</v>
      </c>
      <c r="I169" s="7">
        <v>27</v>
      </c>
      <c r="J169" s="14" t="s">
        <v>13869</v>
      </c>
      <c r="K169" s="14" t="s">
        <v>13868</v>
      </c>
      <c r="L169" s="14" t="s">
        <v>13870</v>
      </c>
      <c r="M169" s="14" t="s">
        <v>9158</v>
      </c>
      <c r="N169" s="14" t="s">
        <v>9158</v>
      </c>
      <c r="O169" s="14" t="s">
        <v>9158</v>
      </c>
      <c r="P169" s="14" t="s">
        <v>9158</v>
      </c>
      <c r="Q169" s="14" t="s">
        <v>9158</v>
      </c>
      <c r="R169" s="14" t="s">
        <v>174</v>
      </c>
    </row>
    <row r="170" spans="1:18">
      <c r="A170" s="14">
        <v>89803</v>
      </c>
      <c r="B170" s="14" t="s">
        <v>13781</v>
      </c>
      <c r="C170" s="14" t="s">
        <v>209</v>
      </c>
      <c r="D170" s="14" t="s">
        <v>13866</v>
      </c>
      <c r="E170" s="15" t="str">
        <f>HYPERLINK("https://stat100.ameba.jp/tnk47/ratio20/illustrations/card/ill_89803_cheripai03.jpg?202006-5-RELEASE-marathon-476xx", "■")</f>
        <v>■</v>
      </c>
      <c r="F170" s="14" t="s">
        <v>13867</v>
      </c>
      <c r="G170" s="14">
        <v>142358</v>
      </c>
      <c r="H170" s="14">
        <v>103074</v>
      </c>
      <c r="I170" s="7">
        <v>27</v>
      </c>
      <c r="J170" s="14" t="s">
        <v>13869</v>
      </c>
      <c r="K170" s="14" t="s">
        <v>13868</v>
      </c>
      <c r="L170" s="14" t="s">
        <v>13873</v>
      </c>
      <c r="M170" s="14" t="s">
        <v>9158</v>
      </c>
      <c r="N170" s="14" t="s">
        <v>9158</v>
      </c>
      <c r="O170" s="14" t="s">
        <v>9158</v>
      </c>
      <c r="P170" s="14" t="s">
        <v>9158</v>
      </c>
      <c r="Q170" s="14" t="s">
        <v>9158</v>
      </c>
      <c r="R170" s="14" t="s">
        <v>175</v>
      </c>
    </row>
    <row r="171" spans="1:18">
      <c r="A171" s="14">
        <v>89801</v>
      </c>
      <c r="B171" s="14" t="s">
        <v>13781</v>
      </c>
      <c r="C171" s="14" t="s">
        <v>209</v>
      </c>
      <c r="D171" s="14" t="s">
        <v>13866</v>
      </c>
      <c r="E171" s="15" t="str">
        <f>HYPERLINK("https://stat100.ameba.jp/tnk47/ratio20/illustrations/card/ill_89801_cheripai01.jpg?202006-5-RELEASE-marathon-476xx", "■")</f>
        <v>■</v>
      </c>
      <c r="F171" s="14" t="s">
        <v>13867</v>
      </c>
      <c r="G171" s="14">
        <v>90558</v>
      </c>
      <c r="H171" s="14">
        <v>65583</v>
      </c>
      <c r="I171" s="7">
        <v>27</v>
      </c>
      <c r="J171" s="14" t="s">
        <v>13869</v>
      </c>
      <c r="K171" s="14" t="s">
        <v>13868</v>
      </c>
      <c r="L171" s="14" t="s">
        <v>13874</v>
      </c>
      <c r="M171" s="14" t="s">
        <v>9158</v>
      </c>
      <c r="N171" s="14" t="s">
        <v>9158</v>
      </c>
      <c r="O171" s="14" t="s">
        <v>9158</v>
      </c>
      <c r="P171" s="14" t="s">
        <v>9158</v>
      </c>
      <c r="Q171" s="14" t="s">
        <v>9158</v>
      </c>
      <c r="R171" s="14" t="s">
        <v>176</v>
      </c>
    </row>
    <row r="173" spans="1:18">
      <c r="A173" s="14" t="s">
        <v>13837</v>
      </c>
    </row>
    <row r="174" spans="1:18">
      <c r="A174" s="14" t="s">
        <v>13875</v>
      </c>
    </row>
    <row r="175" spans="1:18">
      <c r="A175" s="14" t="s">
        <v>5615</v>
      </c>
      <c r="B175" s="14" t="s">
        <v>330</v>
      </c>
      <c r="C175" s="14" t="s">
        <v>206</v>
      </c>
      <c r="D175" s="20" t="s">
        <v>2814</v>
      </c>
      <c r="E175" s="15" t="str">
        <f>HYPERLINK("https://stat100.ameba.jp/tnk47/ratio20/illustrations/card/ill_57733_0_shogatsunisenjunanaamakusashiro03.jpg?202006-5-RELEASE-marathon-476xx", "■")</f>
        <v>■</v>
      </c>
      <c r="F175" s="14" t="s">
        <v>2815</v>
      </c>
      <c r="G175" s="14">
        <v>139520</v>
      </c>
      <c r="H175" s="14">
        <v>157060</v>
      </c>
      <c r="I175" s="14">
        <v>25</v>
      </c>
      <c r="J175" s="14" t="s">
        <v>351</v>
      </c>
      <c r="K175" s="14" t="s">
        <v>2816</v>
      </c>
      <c r="L175" s="14" t="s">
        <v>2817</v>
      </c>
      <c r="M175" s="14" t="s">
        <v>9158</v>
      </c>
      <c r="N175" s="14" t="s">
        <v>9158</v>
      </c>
      <c r="O175" s="19" t="s">
        <v>10077</v>
      </c>
      <c r="P175" s="14" t="s">
        <v>3062</v>
      </c>
      <c r="Q175" s="14">
        <v>1</v>
      </c>
    </row>
    <row r="176" spans="1:18">
      <c r="A176" s="14">
        <v>60173</v>
      </c>
      <c r="B176" s="14" t="s">
        <v>0</v>
      </c>
      <c r="C176" s="14" t="s">
        <v>41</v>
      </c>
      <c r="D176" s="20" t="s">
        <v>10231</v>
      </c>
      <c r="E176" s="15" t="str">
        <f>HYPERLINK("https://stat100.ameba.jp/tnk47/ratio20/illustrations/card/ill_60173_kugutsushi03.jpg?202006-5-RELEASE-marathon-476xx", "■")</f>
        <v>■</v>
      </c>
      <c r="F176" s="14" t="s">
        <v>4282</v>
      </c>
      <c r="G176" s="14">
        <v>92402</v>
      </c>
      <c r="H176" s="14">
        <v>127580</v>
      </c>
      <c r="I176" s="14">
        <v>25</v>
      </c>
      <c r="J176" s="14" t="s">
        <v>38</v>
      </c>
      <c r="K176" s="14" t="s">
        <v>4283</v>
      </c>
      <c r="L176" s="14" t="s">
        <v>2714</v>
      </c>
      <c r="M176" s="14" t="s">
        <v>9158</v>
      </c>
      <c r="N176" s="14" t="s">
        <v>9158</v>
      </c>
      <c r="O176" s="19" t="s">
        <v>10113</v>
      </c>
      <c r="P176" s="14" t="s">
        <v>4285</v>
      </c>
      <c r="Q176" s="14">
        <v>1</v>
      </c>
    </row>
    <row r="177" spans="1:17">
      <c r="A177" s="14">
        <v>84863</v>
      </c>
      <c r="B177" s="14" t="s">
        <v>0</v>
      </c>
      <c r="C177" s="14" t="s">
        <v>200</v>
      </c>
      <c r="D177" s="19" t="s">
        <v>10742</v>
      </c>
      <c r="E177" s="15" t="str">
        <f>HYPERLINK("https://stat100.ameba.jp/tnk47/ratio20/illustrations/card/ill_84863_onsengaiarisubekon03.jpg?202006-5-RELEASE-marathon-476xx", "■")</f>
        <v>■</v>
      </c>
      <c r="F177" s="14" t="s">
        <v>7796</v>
      </c>
      <c r="G177" s="14">
        <v>101373</v>
      </c>
      <c r="H177" s="14">
        <v>94295</v>
      </c>
      <c r="I177" s="14">
        <v>25</v>
      </c>
      <c r="J177" s="14" t="s">
        <v>159</v>
      </c>
      <c r="K177" s="14" t="s">
        <v>7795</v>
      </c>
      <c r="L177" s="14" t="s">
        <v>7794</v>
      </c>
      <c r="M177" s="14" t="s">
        <v>9158</v>
      </c>
      <c r="N177" s="14" t="s">
        <v>9158</v>
      </c>
      <c r="O177" s="19" t="s">
        <v>2951</v>
      </c>
      <c r="P177" s="14" t="s">
        <v>13122</v>
      </c>
      <c r="Q177" s="14">
        <v>1</v>
      </c>
    </row>
    <row r="178" spans="1:17">
      <c r="A178" s="14">
        <v>72193</v>
      </c>
      <c r="B178" s="14" t="s">
        <v>334</v>
      </c>
      <c r="C178" s="14" t="s">
        <v>165</v>
      </c>
      <c r="D178" s="19" t="s">
        <v>3112</v>
      </c>
      <c r="E178" s="15" t="str">
        <f>HYPERLINK("https://stat100.ameba.jp/tnk47/ratio20/illustrations/card/ill_72193_koinoborikomyokogo03.jpg?202006-5-RELEASE-marathon-476xx", "■")</f>
        <v>■</v>
      </c>
      <c r="F178" s="14" t="s">
        <v>2539</v>
      </c>
      <c r="G178" s="14">
        <v>97651</v>
      </c>
      <c r="H178" s="14">
        <v>90759</v>
      </c>
      <c r="I178" s="14">
        <v>25</v>
      </c>
      <c r="J178" s="14" t="s">
        <v>10</v>
      </c>
      <c r="K178" s="14" t="s">
        <v>2540</v>
      </c>
      <c r="L178" s="14" t="s">
        <v>60</v>
      </c>
      <c r="M178" s="14" t="s">
        <v>9158</v>
      </c>
      <c r="N178" s="14" t="s">
        <v>9158</v>
      </c>
      <c r="O178" s="19" t="s">
        <v>10090</v>
      </c>
      <c r="P178" s="14" t="s">
        <v>3460</v>
      </c>
      <c r="Q178" s="14">
        <v>1</v>
      </c>
    </row>
    <row r="180" spans="1:17">
      <c r="A180" s="14" t="s">
        <v>13876</v>
      </c>
    </row>
    <row r="181" spans="1:17">
      <c r="A181" s="14" t="s">
        <v>13877</v>
      </c>
    </row>
    <row r="182" spans="1:17">
      <c r="A182" s="14" t="s">
        <v>5602</v>
      </c>
      <c r="B182" s="14" t="s">
        <v>52</v>
      </c>
      <c r="C182" s="14" t="s">
        <v>14</v>
      </c>
      <c r="D182" s="20" t="s">
        <v>813</v>
      </c>
      <c r="E182" s="15" t="str">
        <f>HYPERLINK("https://stat100.ameba.jp/tnk47/ratio20/illustrations/card/ill_55313_0_haroinononokomachi03.jpg?202006-5-RELEASE-marathon-476xx", "■")</f>
        <v>■</v>
      </c>
      <c r="F182" s="14" t="s">
        <v>2094</v>
      </c>
      <c r="G182" s="14">
        <v>150776</v>
      </c>
      <c r="H182" s="14">
        <v>133938</v>
      </c>
      <c r="I182" s="14">
        <v>24</v>
      </c>
      <c r="J182" s="14" t="s">
        <v>10</v>
      </c>
      <c r="K182" s="14" t="s">
        <v>2095</v>
      </c>
      <c r="L182" s="14" t="s">
        <v>2096</v>
      </c>
      <c r="M182" s="14" t="s">
        <v>9158</v>
      </c>
      <c r="N182" s="14" t="s">
        <v>9158</v>
      </c>
      <c r="O182" s="19" t="s">
        <v>2733</v>
      </c>
      <c r="P182" s="14" t="s">
        <v>2734</v>
      </c>
      <c r="Q182" s="14">
        <v>1</v>
      </c>
    </row>
    <row r="183" spans="1:17">
      <c r="A183" s="14" t="s">
        <v>5719</v>
      </c>
      <c r="B183" s="14" t="s">
        <v>52</v>
      </c>
      <c r="C183" s="14" t="s">
        <v>165</v>
      </c>
      <c r="D183" s="20" t="s">
        <v>10379</v>
      </c>
      <c r="E183" s="15" t="str">
        <f>HYPERLINK("https://stat100.ameba.jp/tnk47/ratio20/illustrations/card/ill_54523_0_yonshunennionohime03.jpg?202006-5-RELEASE-marathon-476xx", "■")</f>
        <v>■</v>
      </c>
      <c r="F183" s="14" t="s">
        <v>1773</v>
      </c>
      <c r="G183" s="14">
        <v>133938</v>
      </c>
      <c r="H183" s="14">
        <v>150776</v>
      </c>
      <c r="I183" s="14">
        <v>24</v>
      </c>
      <c r="J183" s="14" t="s">
        <v>38</v>
      </c>
      <c r="K183" s="14" t="s">
        <v>1774</v>
      </c>
      <c r="L183" s="14" t="s">
        <v>1775</v>
      </c>
      <c r="M183" s="14" t="s">
        <v>9158</v>
      </c>
      <c r="N183" s="14" t="s">
        <v>9158</v>
      </c>
      <c r="O183" s="19" t="s">
        <v>10094</v>
      </c>
      <c r="P183" s="14" t="s">
        <v>13168</v>
      </c>
      <c r="Q183" s="14">
        <v>1</v>
      </c>
    </row>
    <row r="184" spans="1:17">
      <c r="A184" s="14" t="s">
        <v>5830</v>
      </c>
      <c r="B184" s="14" t="s">
        <v>330</v>
      </c>
      <c r="C184" s="14" t="s">
        <v>191</v>
      </c>
      <c r="D184" s="19" t="s">
        <v>793</v>
      </c>
      <c r="E184" s="15" t="str">
        <f>HYPERLINK("https://stat100.ameba.jp/tnk47/ratio20/illustrations/card/ill_39933_0_reihiiinaotora03.jpg?202006-5-RELEASE-marathon-476xx", "■")</f>
        <v>■</v>
      </c>
      <c r="F184" s="14" t="s">
        <v>794</v>
      </c>
      <c r="G184" s="14">
        <v>131538</v>
      </c>
      <c r="H184" s="14">
        <v>140448</v>
      </c>
      <c r="I184" s="14">
        <v>24</v>
      </c>
      <c r="J184" s="14" t="s">
        <v>315</v>
      </c>
      <c r="K184" s="14" t="s">
        <v>795</v>
      </c>
      <c r="L184" s="14" t="s">
        <v>796</v>
      </c>
      <c r="M184" s="14" t="s">
        <v>9158</v>
      </c>
      <c r="N184" s="14" t="s">
        <v>9158</v>
      </c>
      <c r="O184" s="14" t="s">
        <v>9158</v>
      </c>
      <c r="P184" s="14" t="s">
        <v>9158</v>
      </c>
      <c r="Q184" s="14" t="s">
        <v>9158</v>
      </c>
    </row>
    <row r="185" spans="1:17">
      <c r="A185" s="14">
        <v>89883</v>
      </c>
      <c r="B185" s="14" t="s">
        <v>13780</v>
      </c>
      <c r="C185" s="14" t="s">
        <v>13825</v>
      </c>
      <c r="D185" s="14" t="s">
        <v>13843</v>
      </c>
      <c r="E185" s="15" t="str">
        <f>HYPERLINK("https://stat100.ameba.jp/tnk47/ratio20/illustrations/card/ill_89883_yojutsukuriozuna03.jpg?202006-5-RELEASE-marathon-476xx", "■")</f>
        <v>■</v>
      </c>
      <c r="F185" s="14" t="s">
        <v>13844</v>
      </c>
      <c r="G185" s="14">
        <v>110126</v>
      </c>
      <c r="H185" s="14">
        <v>118446</v>
      </c>
      <c r="I185" s="7">
        <v>26</v>
      </c>
      <c r="J185" s="14" t="s">
        <v>13847</v>
      </c>
      <c r="K185" s="14" t="s">
        <v>13846</v>
      </c>
      <c r="L185" s="14" t="s">
        <v>13845</v>
      </c>
      <c r="M185" s="14" t="s">
        <v>9158</v>
      </c>
      <c r="N185" s="14" t="s">
        <v>9158</v>
      </c>
      <c r="O185" s="14" t="s">
        <v>9158</v>
      </c>
      <c r="P185" s="14" t="s">
        <v>9158</v>
      </c>
      <c r="Q185" s="14" t="s">
        <v>9158</v>
      </c>
    </row>
    <row r="186" spans="1:17">
      <c r="A186" s="14">
        <v>89903</v>
      </c>
      <c r="B186" s="14" t="s">
        <v>13781</v>
      </c>
      <c r="C186" s="14" t="s">
        <v>13856</v>
      </c>
      <c r="D186" s="14" t="s">
        <v>13855</v>
      </c>
      <c r="E186" s="15" t="str">
        <f>HYPERLINK("https://stat100.ameba.jp/tnk47/ratio20/illustrations/card/ill_89903_shijuhachimagaritogenokitsunebi03.jpg?202006-5-RELEASE-marathon-476xx", "■")</f>
        <v>■</v>
      </c>
      <c r="F186" s="14" t="s">
        <v>13854</v>
      </c>
      <c r="G186" s="14">
        <v>69898</v>
      </c>
      <c r="H186" s="14">
        <v>77064</v>
      </c>
      <c r="I186" s="7">
        <v>26</v>
      </c>
      <c r="J186" s="14" t="s">
        <v>13814</v>
      </c>
      <c r="K186" s="14" t="s">
        <v>13853</v>
      </c>
      <c r="L186" s="14" t="s">
        <v>13852</v>
      </c>
      <c r="M186" s="14" t="s">
        <v>9158</v>
      </c>
      <c r="N186" s="14" t="s">
        <v>9158</v>
      </c>
      <c r="O186" s="14" t="s">
        <v>9158</v>
      </c>
      <c r="P186" s="14" t="s">
        <v>9158</v>
      </c>
      <c r="Q186" s="14" t="s">
        <v>9158</v>
      </c>
    </row>
    <row r="187" spans="1:17">
      <c r="A187" s="14">
        <v>89913</v>
      </c>
      <c r="B187" s="14" t="s">
        <v>13782</v>
      </c>
      <c r="C187" s="14" t="s">
        <v>13830</v>
      </c>
      <c r="D187" s="14" t="s">
        <v>13860</v>
      </c>
      <c r="E187" s="15" t="str">
        <f>HYPERLINK("https://stat100.ameba.jp/tnk47/ratio20/illustrations/card/ill_89913_kitsunenochochin03.jpg?202006-5-RELEASE-marathon-476xx", "■")</f>
        <v>■</v>
      </c>
      <c r="F187" s="14" t="s">
        <v>13859</v>
      </c>
      <c r="G187" s="14">
        <v>54058</v>
      </c>
      <c r="H187" s="14">
        <v>44948</v>
      </c>
      <c r="I187" s="7">
        <v>26</v>
      </c>
      <c r="J187" s="14" t="s">
        <v>13833</v>
      </c>
      <c r="K187" s="14" t="s">
        <v>13858</v>
      </c>
      <c r="L187" s="14" t="s">
        <v>13857</v>
      </c>
      <c r="M187" s="14" t="s">
        <v>9158</v>
      </c>
      <c r="N187" s="14" t="s">
        <v>9158</v>
      </c>
      <c r="O187" s="14" t="s">
        <v>9158</v>
      </c>
      <c r="P187" s="14" t="s">
        <v>9158</v>
      </c>
      <c r="Q187" s="14" t="s">
        <v>9158</v>
      </c>
    </row>
    <row r="188" spans="1:17">
      <c r="A188" s="14">
        <v>89923</v>
      </c>
      <c r="B188" s="14" t="s">
        <v>13783</v>
      </c>
      <c r="C188" s="14" t="s">
        <v>13865</v>
      </c>
      <c r="D188" s="14" t="s">
        <v>13864</v>
      </c>
      <c r="E188" s="15" t="str">
        <f>HYPERLINK("https://stat100.ameba.jp/tnk47/ratio20/illustrations/card/ill_89923_kyubinokitsune03.jpg?202006-5-RELEASE-marathon-476xx", "■")</f>
        <v>■</v>
      </c>
      <c r="F188" s="14" t="s">
        <v>13863</v>
      </c>
      <c r="G188" s="14">
        <v>27486</v>
      </c>
      <c r="H188" s="14">
        <v>32728</v>
      </c>
      <c r="I188" s="7">
        <v>26</v>
      </c>
      <c r="J188" s="14" t="s">
        <v>13833</v>
      </c>
      <c r="K188" s="14" t="s">
        <v>13862</v>
      </c>
      <c r="L188" s="14" t="s">
        <v>13861</v>
      </c>
      <c r="M188" s="14" t="s">
        <v>9158</v>
      </c>
      <c r="N188" s="14" t="s">
        <v>9158</v>
      </c>
      <c r="O188" s="14" t="s">
        <v>9158</v>
      </c>
      <c r="P188" s="14" t="s">
        <v>9158</v>
      </c>
      <c r="Q188" s="14" t="s">
        <v>9158</v>
      </c>
    </row>
    <row r="190" spans="1:17">
      <c r="A190" s="14" t="s">
        <v>13839</v>
      </c>
    </row>
    <row r="191" spans="1:17">
      <c r="A191" s="14" t="s">
        <v>13878</v>
      </c>
    </row>
    <row r="192" spans="1:17">
      <c r="A192" s="14" t="s">
        <v>6905</v>
      </c>
      <c r="B192" s="14" t="s">
        <v>330</v>
      </c>
      <c r="C192" s="14" t="s">
        <v>35</v>
      </c>
      <c r="D192" s="19" t="s">
        <v>10299</v>
      </c>
      <c r="E192" s="15" t="str">
        <f>HYPERLINK("https://stat100.ameba.jp/tnk47/ratio20/illustrations/card/ill_80623_0_ohanamigurampingutominushihime03.jpg?202006-5-RELEASE-marathon-476xx", "■")</f>
        <v>■</v>
      </c>
      <c r="F192" s="14" t="s">
        <v>4162</v>
      </c>
      <c r="G192" s="14">
        <v>301326</v>
      </c>
      <c r="H192" s="14">
        <v>272366</v>
      </c>
      <c r="I192" s="14">
        <v>25</v>
      </c>
      <c r="J192" s="14" t="s">
        <v>44</v>
      </c>
      <c r="K192" s="14" t="s">
        <v>4163</v>
      </c>
      <c r="L192" s="14" t="s">
        <v>4164</v>
      </c>
      <c r="M192" s="14" t="s">
        <v>9158</v>
      </c>
      <c r="N192" s="14" t="s">
        <v>9158</v>
      </c>
      <c r="O192" s="19" t="s">
        <v>10126</v>
      </c>
      <c r="P192" s="14" t="s">
        <v>4166</v>
      </c>
      <c r="Q192" s="14">
        <v>1</v>
      </c>
    </row>
    <row r="193" spans="1:17">
      <c r="A193" s="14">
        <v>77663</v>
      </c>
      <c r="B193" s="14" t="s">
        <v>334</v>
      </c>
      <c r="C193" s="14" t="s">
        <v>202</v>
      </c>
      <c r="D193" s="19" t="s">
        <v>10614</v>
      </c>
      <c r="E193" s="15" t="str">
        <f>HYPERLINK("https://stat100.ameba.jp/tnk47/ratio20/illustrations/card/ill_77663_deipuburu03.jpg?202006-5-RELEASE-marathon-476xx", "■")</f>
        <v>■</v>
      </c>
      <c r="F193" s="14" t="s">
        <v>1573</v>
      </c>
      <c r="G193" s="14">
        <v>78916</v>
      </c>
      <c r="H193" s="14">
        <v>108924</v>
      </c>
      <c r="I193" s="14">
        <v>24</v>
      </c>
      <c r="J193" s="14" t="s">
        <v>414</v>
      </c>
      <c r="K193" s="14" t="s">
        <v>1574</v>
      </c>
      <c r="L193" s="14" t="s">
        <v>1575</v>
      </c>
      <c r="M193" s="14" t="s">
        <v>9158</v>
      </c>
      <c r="N193" s="14" t="s">
        <v>9158</v>
      </c>
      <c r="O193" s="19" t="s">
        <v>10117</v>
      </c>
      <c r="P193" s="14" t="s">
        <v>3625</v>
      </c>
      <c r="Q193" s="14">
        <v>1</v>
      </c>
    </row>
    <row r="194" spans="1:17">
      <c r="A194" s="14">
        <v>75873</v>
      </c>
      <c r="B194" s="14" t="s">
        <v>334</v>
      </c>
      <c r="C194" s="14" t="s">
        <v>209</v>
      </c>
      <c r="D194" s="19" t="s">
        <v>10221</v>
      </c>
      <c r="E194" s="15" t="str">
        <f>HYPERLINK("https://stat100.ameba.jp/tnk47/ratio20/illustrations/card/ill_75873_harajukuroriitachan03.jpg?202006-5-RELEASE-marathon-476xx", "■")</f>
        <v>■</v>
      </c>
      <c r="F194" s="14" t="s">
        <v>1945</v>
      </c>
      <c r="G194" s="14">
        <v>105394</v>
      </c>
      <c r="H194" s="14">
        <v>113340</v>
      </c>
      <c r="I194" s="14">
        <v>24</v>
      </c>
      <c r="J194" s="14" t="s">
        <v>26</v>
      </c>
      <c r="K194" s="14" t="s">
        <v>1946</v>
      </c>
      <c r="L194" s="14" t="s">
        <v>1947</v>
      </c>
      <c r="M194" s="14" t="s">
        <v>9158</v>
      </c>
      <c r="N194" s="14" t="s">
        <v>9158</v>
      </c>
      <c r="O194" s="19" t="s">
        <v>2752</v>
      </c>
      <c r="P194" s="14" t="s">
        <v>13123</v>
      </c>
      <c r="Q194" s="14">
        <v>1</v>
      </c>
    </row>
    <row r="195" spans="1:17">
      <c r="A195" s="14">
        <v>81023</v>
      </c>
      <c r="B195" s="14" t="s">
        <v>334</v>
      </c>
      <c r="C195" s="14" t="s">
        <v>41</v>
      </c>
      <c r="D195" s="20" t="s">
        <v>10274</v>
      </c>
      <c r="E195" s="15" t="str">
        <f>HYPERLINK("https://stat100.ameba.jp/tnk47/ratio20/illustrations/card/ill_81023_momonokenki03.jpg?202006-5-RELEASE-marathon-476xx", "■")</f>
        <v>■</v>
      </c>
      <c r="F195" s="14" t="s">
        <v>4088</v>
      </c>
      <c r="G195" s="14">
        <v>126858</v>
      </c>
      <c r="H195" s="14">
        <v>91876</v>
      </c>
      <c r="I195" s="14">
        <v>24</v>
      </c>
      <c r="J195" s="14" t="s">
        <v>143</v>
      </c>
      <c r="K195" s="14" t="s">
        <v>4089</v>
      </c>
      <c r="L195" s="14" t="s">
        <v>2049</v>
      </c>
      <c r="M195" s="14" t="s">
        <v>9158</v>
      </c>
      <c r="N195" s="14" t="s">
        <v>9158</v>
      </c>
      <c r="O195" s="19" t="s">
        <v>10096</v>
      </c>
      <c r="P195" s="14" t="s">
        <v>3245</v>
      </c>
      <c r="Q195" s="14">
        <v>1</v>
      </c>
    </row>
    <row r="197" spans="1:17">
      <c r="A197" s="14" t="s">
        <v>13879</v>
      </c>
    </row>
    <row r="198" spans="1:17">
      <c r="A198" s="14" t="s">
        <v>13880</v>
      </c>
    </row>
    <row r="199" spans="1:17">
      <c r="A199" s="14" t="s">
        <v>5650</v>
      </c>
      <c r="B199" s="14" t="s">
        <v>52</v>
      </c>
      <c r="C199" s="14" t="s">
        <v>23</v>
      </c>
      <c r="D199" s="19" t="s">
        <v>809</v>
      </c>
      <c r="E199" s="15" t="str">
        <f>HYPERLINK("https://stat100.ameba.jp/tnk47/ratio20/illustrations/card/ill_68033_0_kurisumasupateikandamyojin03.jpg?202006-5-RELEASE-marathon-476xx", "■")</f>
        <v>■</v>
      </c>
      <c r="F199" s="14" t="s">
        <v>1871</v>
      </c>
      <c r="G199" s="14">
        <v>139878</v>
      </c>
      <c r="H199" s="14">
        <v>150466</v>
      </c>
      <c r="I199" s="14">
        <v>22</v>
      </c>
      <c r="J199" s="14" t="s">
        <v>44</v>
      </c>
      <c r="K199" s="14" t="s">
        <v>1872</v>
      </c>
      <c r="L199" s="14" t="s">
        <v>1873</v>
      </c>
      <c r="M199" s="14" t="s">
        <v>9158</v>
      </c>
      <c r="N199" s="14" t="s">
        <v>9158</v>
      </c>
      <c r="O199" s="19" t="s">
        <v>2997</v>
      </c>
      <c r="P199" s="14" t="s">
        <v>3483</v>
      </c>
      <c r="Q199" s="14">
        <v>2</v>
      </c>
    </row>
    <row r="200" spans="1:17">
      <c r="A200" s="9" t="s">
        <v>5899</v>
      </c>
      <c r="B200" s="14" t="s">
        <v>330</v>
      </c>
      <c r="C200" s="14" t="s">
        <v>205</v>
      </c>
      <c r="D200" s="14" t="s">
        <v>934</v>
      </c>
      <c r="E200" s="15" t="str">
        <f>HYPERLINK("https://stat100.ameba.jp/tnk47/ratio20/illustrations/card/ill_73773_0_umibirakiinugamigyobu03.jpg?202006-5-RELEASE-marathon-476xx", "■")</f>
        <v>■</v>
      </c>
      <c r="F200" s="14" t="s">
        <v>935</v>
      </c>
      <c r="G200" s="14">
        <v>190902</v>
      </c>
      <c r="H200" s="14">
        <v>205334</v>
      </c>
      <c r="I200" s="14">
        <v>22</v>
      </c>
      <c r="J200" s="14" t="s">
        <v>182</v>
      </c>
      <c r="K200" s="14" t="s">
        <v>936</v>
      </c>
      <c r="L200" s="14" t="s">
        <v>13147</v>
      </c>
      <c r="M200" s="14" t="s">
        <v>9158</v>
      </c>
      <c r="N200" s="14" t="s">
        <v>9158</v>
      </c>
      <c r="O200" s="9" t="s">
        <v>2978</v>
      </c>
      <c r="P200" s="14" t="s">
        <v>2979</v>
      </c>
      <c r="Q200" s="14">
        <v>2</v>
      </c>
    </row>
    <row r="201" spans="1:17">
      <c r="A201" s="9" t="s">
        <v>5612</v>
      </c>
      <c r="B201" s="14" t="s">
        <v>330</v>
      </c>
      <c r="C201" s="14" t="s">
        <v>165</v>
      </c>
      <c r="D201" s="14" t="s">
        <v>789</v>
      </c>
      <c r="E201" s="15" t="str">
        <f>HYPERLINK("https://stat100.ameba.jp/tnk47/ratio20/illustrations/card/ill_49193_0_onmyoudouabenoseimei03.jpg?202006-5-RELEASE-marathon-476xx", "■")</f>
        <v>■</v>
      </c>
      <c r="F201" s="14" t="s">
        <v>790</v>
      </c>
      <c r="G201" s="14">
        <v>122776</v>
      </c>
      <c r="H201" s="14">
        <v>138212</v>
      </c>
      <c r="I201" s="14">
        <v>22</v>
      </c>
      <c r="J201" s="14" t="s">
        <v>351</v>
      </c>
      <c r="K201" s="14" t="s">
        <v>791</v>
      </c>
      <c r="L201" s="14" t="s">
        <v>792</v>
      </c>
      <c r="M201" s="14" t="s">
        <v>9158</v>
      </c>
      <c r="N201" s="14" t="s">
        <v>9158</v>
      </c>
      <c r="O201" s="14" t="s">
        <v>9158</v>
      </c>
      <c r="P201" s="14" t="s">
        <v>9158</v>
      </c>
      <c r="Q201" s="14" t="s">
        <v>9158</v>
      </c>
    </row>
    <row r="202" spans="1:17">
      <c r="A202" s="14">
        <v>86613</v>
      </c>
      <c r="B202" s="14" t="s">
        <v>0</v>
      </c>
      <c r="C202" s="14" t="s">
        <v>200</v>
      </c>
      <c r="D202" s="19" t="s">
        <v>10991</v>
      </c>
      <c r="E202" s="15" t="str">
        <f>HYPERLINK("https://stat100.ameba.jp/tnk47/ratio20/illustrations/card/ill_86613_uintasupotsukasutaniichiyo03.jpg?202006-5-RELEASE-marathon-476xx", "■")</f>
        <v>■</v>
      </c>
      <c r="F202" s="14" t="s">
        <v>9766</v>
      </c>
      <c r="G202" s="14">
        <v>73270</v>
      </c>
      <c r="H202" s="14">
        <v>130214</v>
      </c>
      <c r="I202" s="9">
        <v>27</v>
      </c>
      <c r="J202" s="14" t="s">
        <v>173</v>
      </c>
      <c r="K202" s="14" t="s">
        <v>9765</v>
      </c>
      <c r="L202" s="14" t="s">
        <v>5436</v>
      </c>
      <c r="M202" s="14" t="s">
        <v>9158</v>
      </c>
      <c r="N202" s="14" t="s">
        <v>9158</v>
      </c>
      <c r="O202" s="14" t="s">
        <v>9158</v>
      </c>
      <c r="P202" s="14" t="s">
        <v>9158</v>
      </c>
      <c r="Q202" s="14" t="s">
        <v>9158</v>
      </c>
    </row>
    <row r="203" spans="1:17">
      <c r="A203" s="16">
        <v>82203</v>
      </c>
      <c r="B203" s="14" t="s">
        <v>334</v>
      </c>
      <c r="C203" s="14" t="s">
        <v>96</v>
      </c>
      <c r="D203" s="19" t="s">
        <v>10280</v>
      </c>
      <c r="E203" s="15" t="str">
        <f>HYPERLINK("https://stat100.ameba.jp/tnk47/ratio20/illustrations/card/ill_82203_tsuyuromanteikyoin03.jpg?202006-5-RELEASE-marathon-476xx", "■")</f>
        <v>■</v>
      </c>
      <c r="F203" s="14" t="s">
        <v>5268</v>
      </c>
      <c r="G203" s="14">
        <v>73270</v>
      </c>
      <c r="H203" s="14">
        <v>130214</v>
      </c>
      <c r="I203" s="9">
        <v>27</v>
      </c>
      <c r="J203" s="14" t="s">
        <v>77</v>
      </c>
      <c r="K203" s="14" t="s">
        <v>5270</v>
      </c>
      <c r="L203" s="14" t="s">
        <v>969</v>
      </c>
      <c r="M203" s="14" t="s">
        <v>9158</v>
      </c>
      <c r="N203" s="14" t="s">
        <v>9158</v>
      </c>
      <c r="O203" s="9" t="s">
        <v>9158</v>
      </c>
      <c r="P203" s="14" t="s">
        <v>9158</v>
      </c>
      <c r="Q203" s="14" t="s">
        <v>9158</v>
      </c>
    </row>
    <row r="204" spans="1:17">
      <c r="A204" s="9">
        <v>87333</v>
      </c>
      <c r="B204" s="9" t="s">
        <v>0</v>
      </c>
      <c r="C204" s="9" t="s">
        <v>185</v>
      </c>
      <c r="D204" s="19" t="s">
        <v>10996</v>
      </c>
      <c r="E204" s="15" t="str">
        <f>HYPERLINK("https://stat100.ameba.jp/tnk47/ratio20/illustrations/card/ill_87333_sammadon03.jpg?202006-5-RELEASE-marathon-476xx", "■")</f>
        <v>■</v>
      </c>
      <c r="F204" s="9" t="s">
        <v>9827</v>
      </c>
      <c r="G204" s="9">
        <v>149240</v>
      </c>
      <c r="H204" s="9">
        <v>160507</v>
      </c>
      <c r="I204" s="9">
        <v>27</v>
      </c>
      <c r="J204" s="9" t="s">
        <v>216</v>
      </c>
      <c r="K204" s="9" t="s">
        <v>9826</v>
      </c>
      <c r="L204" s="9" t="s">
        <v>2304</v>
      </c>
      <c r="M204" s="14" t="s">
        <v>9158</v>
      </c>
      <c r="N204" s="14" t="s">
        <v>9158</v>
      </c>
      <c r="O204" s="14" t="s">
        <v>9158</v>
      </c>
      <c r="P204" s="14" t="s">
        <v>9158</v>
      </c>
      <c r="Q204" s="14" t="s">
        <v>9158</v>
      </c>
    </row>
    <row r="206" spans="1:17">
      <c r="A206" s="14" t="s">
        <v>13881</v>
      </c>
    </row>
    <row r="207" spans="1:17">
      <c r="A207" s="14" t="s">
        <v>13882</v>
      </c>
    </row>
    <row r="208" spans="1:17">
      <c r="A208" s="14">
        <v>84733</v>
      </c>
      <c r="B208" s="14" t="s">
        <v>0</v>
      </c>
      <c r="C208" s="14" t="s">
        <v>154</v>
      </c>
      <c r="D208" s="19" t="s">
        <v>10677</v>
      </c>
      <c r="E208" s="15" t="str">
        <f>HYPERLINK("https://stat100.ameba.jp/tnk47/ratio20/illustrations/card/ill_84733_madadoru03.jpg?202006-5-RELEASE-marathon-476xx", "■")</f>
        <v>■</v>
      </c>
      <c r="F208" s="14" t="s">
        <v>7293</v>
      </c>
      <c r="G208" s="14">
        <v>116452</v>
      </c>
      <c r="H208" s="14">
        <v>108276</v>
      </c>
      <c r="I208" s="14">
        <v>27</v>
      </c>
      <c r="J208" s="14" t="s">
        <v>182</v>
      </c>
      <c r="K208" s="14" t="s">
        <v>7296</v>
      </c>
      <c r="L208" s="14" t="s">
        <v>7295</v>
      </c>
      <c r="M208" s="14" t="s">
        <v>9158</v>
      </c>
      <c r="N208" s="14" t="s">
        <v>9158</v>
      </c>
      <c r="O208" s="14" t="s">
        <v>9158</v>
      </c>
      <c r="P208" s="14" t="s">
        <v>9158</v>
      </c>
      <c r="Q208" s="14" t="s">
        <v>9158</v>
      </c>
    </row>
    <row r="209" spans="1:17">
      <c r="A209" s="14">
        <v>84743</v>
      </c>
      <c r="B209" s="14" t="s">
        <v>0</v>
      </c>
      <c r="C209" s="14" t="s">
        <v>158</v>
      </c>
      <c r="D209" s="19" t="s">
        <v>10678</v>
      </c>
      <c r="E209" s="15" t="str">
        <f>HYPERLINK("https://stat100.ameba.jp/tnk47/ratio20/illustrations/card/ill_84743_rinnenonyumpe03.jpg?202006-5-RELEASE-marathon-476xx", "■")</f>
        <v>■</v>
      </c>
      <c r="F209" s="14" t="s">
        <v>7294</v>
      </c>
      <c r="G209" s="14">
        <v>116452</v>
      </c>
      <c r="H209" s="14">
        <v>108276</v>
      </c>
      <c r="I209" s="14">
        <v>27</v>
      </c>
      <c r="J209" s="14" t="s">
        <v>169</v>
      </c>
      <c r="K209" s="14" t="s">
        <v>7297</v>
      </c>
      <c r="L209" s="14" t="s">
        <v>7298</v>
      </c>
      <c r="M209" s="14" t="s">
        <v>9158</v>
      </c>
      <c r="N209" s="14" t="s">
        <v>9158</v>
      </c>
      <c r="O209" s="14" t="s">
        <v>9158</v>
      </c>
      <c r="P209" s="14" t="s">
        <v>9158</v>
      </c>
      <c r="Q209" s="14" t="s">
        <v>9158</v>
      </c>
    </row>
    <row r="210" spans="1:17">
      <c r="A210" s="14">
        <v>69883</v>
      </c>
      <c r="B210" s="14" t="s">
        <v>334</v>
      </c>
      <c r="C210" s="14" t="s">
        <v>185</v>
      </c>
      <c r="D210" s="19" t="s">
        <v>10293</v>
      </c>
      <c r="E210" s="15" t="str">
        <f>HYPERLINK("https://stat100.ameba.jp/tnk47/ratio20/illustrations/card/ill_69883_kyupiddotominushihime03.jpg?202006-5-RELEASE-marathon-476xx", "■")</f>
        <v>■</v>
      </c>
      <c r="F210" s="14" t="s">
        <v>4142</v>
      </c>
      <c r="G210" s="14">
        <v>102386</v>
      </c>
      <c r="H210" s="14">
        <v>110129</v>
      </c>
      <c r="I210" s="14">
        <v>27</v>
      </c>
      <c r="J210" s="14" t="s">
        <v>169</v>
      </c>
      <c r="K210" s="14" t="s">
        <v>4143</v>
      </c>
      <c r="L210" s="14" t="s">
        <v>13190</v>
      </c>
      <c r="M210" s="14" t="s">
        <v>9158</v>
      </c>
      <c r="N210" s="14" t="s">
        <v>9158</v>
      </c>
      <c r="O210" s="14" t="s">
        <v>9158</v>
      </c>
      <c r="P210" s="14" t="s">
        <v>9158</v>
      </c>
      <c r="Q210" s="14" t="s">
        <v>9158</v>
      </c>
    </row>
    <row r="211" spans="1:17">
      <c r="A211" s="9">
        <v>67243</v>
      </c>
      <c r="B211" s="14" t="s">
        <v>334</v>
      </c>
      <c r="C211" s="9" t="s">
        <v>205</v>
      </c>
      <c r="D211" s="20" t="s">
        <v>10199</v>
      </c>
      <c r="E211" s="15" t="str">
        <f>HYPERLINK("https://stat100.ameba.jp/tnk47/ratio20/illustrations/card/ill_67243_onsenyadomoryo03.jpg?202006-5-RELEASE-marathon-476xx", "■")</f>
        <v>■</v>
      </c>
      <c r="F211" s="9" t="s">
        <v>3638</v>
      </c>
      <c r="G211" s="9">
        <v>104619</v>
      </c>
      <c r="H211" s="9">
        <v>112496</v>
      </c>
      <c r="I211" s="14">
        <v>27</v>
      </c>
      <c r="J211" s="9" t="s">
        <v>182</v>
      </c>
      <c r="K211" s="9" t="s">
        <v>3639</v>
      </c>
      <c r="L211" s="9" t="s">
        <v>3640</v>
      </c>
      <c r="M211" s="14" t="s">
        <v>9158</v>
      </c>
      <c r="N211" s="14" t="s">
        <v>9158</v>
      </c>
      <c r="O211" s="14" t="s">
        <v>9158</v>
      </c>
      <c r="P211" s="14" t="s">
        <v>9158</v>
      </c>
      <c r="Q211" s="14" t="s">
        <v>9158</v>
      </c>
    </row>
    <row r="212" spans="1:17">
      <c r="A212" s="14">
        <v>52973</v>
      </c>
      <c r="B212" s="14" t="s">
        <v>15</v>
      </c>
      <c r="C212" s="14" t="s">
        <v>206</v>
      </c>
      <c r="D212" s="19" t="s">
        <v>10519</v>
      </c>
      <c r="E212" s="15" t="str">
        <f>HYPERLINK("https://stat100.ameba.jp/tnk47/ratio20/illustrations/card/ill_52973_torampuamoronagu03.jpg?202006-5-RELEASE-marathon-476xx", "■")</f>
        <v>■</v>
      </c>
      <c r="F212" s="14" t="s">
        <v>6421</v>
      </c>
      <c r="G212" s="14">
        <v>80028</v>
      </c>
      <c r="H212" s="14">
        <v>72586</v>
      </c>
      <c r="I212" s="14">
        <v>27</v>
      </c>
      <c r="J212" s="14" t="s">
        <v>44</v>
      </c>
      <c r="K212" s="14" t="s">
        <v>6419</v>
      </c>
      <c r="L212" s="14" t="s">
        <v>6418</v>
      </c>
      <c r="M212" s="14" t="s">
        <v>9158</v>
      </c>
      <c r="N212" s="14" t="s">
        <v>9158</v>
      </c>
      <c r="O212" s="14" t="s">
        <v>9158</v>
      </c>
      <c r="P212" s="14" t="s">
        <v>9158</v>
      </c>
      <c r="Q212" s="14" t="s">
        <v>9158</v>
      </c>
    </row>
    <row r="213" spans="1:17">
      <c r="A213" s="14">
        <v>52333</v>
      </c>
      <c r="B213" s="14" t="s">
        <v>15</v>
      </c>
      <c r="C213" s="14" t="s">
        <v>200</v>
      </c>
      <c r="D213" s="19" t="s">
        <v>10537</v>
      </c>
      <c r="E213" s="15" t="str">
        <f>HYPERLINK("https://stat100.ameba.jp/tnk47/ratio20/illustrations/card/ill_52333_chichibuyomatsuri03.jpg?202006-5-RELEASE-marathon-476xx", "■")</f>
        <v>■</v>
      </c>
      <c r="F213" s="14" t="s">
        <v>3614</v>
      </c>
      <c r="G213" s="14">
        <v>80028</v>
      </c>
      <c r="H213" s="14">
        <v>72586</v>
      </c>
      <c r="I213" s="14">
        <v>27</v>
      </c>
      <c r="J213" s="14" t="s">
        <v>38</v>
      </c>
      <c r="K213" s="14" t="s">
        <v>3615</v>
      </c>
      <c r="L213" s="14" t="s">
        <v>3616</v>
      </c>
      <c r="M213" s="14" t="s">
        <v>9158</v>
      </c>
      <c r="N213" s="14" t="s">
        <v>9158</v>
      </c>
      <c r="O213" s="14" t="s">
        <v>9158</v>
      </c>
      <c r="P213" s="14" t="s">
        <v>9158</v>
      </c>
      <c r="Q213" s="14" t="s">
        <v>9158</v>
      </c>
    </row>
    <row r="214" spans="1:17">
      <c r="A214" s="14">
        <v>51913</v>
      </c>
      <c r="B214" s="14" t="s">
        <v>15</v>
      </c>
      <c r="C214" s="14" t="s">
        <v>191</v>
      </c>
      <c r="D214" s="19" t="s">
        <v>10538</v>
      </c>
      <c r="E214" s="15" t="str">
        <f>HYPERLINK("https://stat100.ameba.jp/tnk47/ratio20/illustrations/card/ill_51913_kemonomizugihamahime03.jpg?202006-5-RELEASE-marathon-476xx", "■")</f>
        <v>■</v>
      </c>
      <c r="F214" s="14" t="s">
        <v>6501</v>
      </c>
      <c r="G214" s="14">
        <v>72586</v>
      </c>
      <c r="H214" s="14">
        <v>80028</v>
      </c>
      <c r="I214" s="14">
        <v>27</v>
      </c>
      <c r="J214" s="14" t="s">
        <v>182</v>
      </c>
      <c r="K214" s="14" t="s">
        <v>6500</v>
      </c>
      <c r="L214" s="14" t="s">
        <v>6499</v>
      </c>
      <c r="M214" s="14" t="s">
        <v>9158</v>
      </c>
      <c r="N214" s="14" t="s">
        <v>9158</v>
      </c>
      <c r="O214" s="14" t="s">
        <v>9158</v>
      </c>
      <c r="P214" s="14" t="s">
        <v>9158</v>
      </c>
      <c r="Q214" s="14" t="s">
        <v>9158</v>
      </c>
    </row>
    <row r="215" spans="1:17">
      <c r="A215" s="14">
        <v>53203</v>
      </c>
      <c r="B215" s="14" t="s">
        <v>15</v>
      </c>
      <c r="C215" s="14" t="s">
        <v>165</v>
      </c>
      <c r="D215" s="20" t="s">
        <v>10494</v>
      </c>
      <c r="E215" s="15" t="str">
        <f>HYPERLINK("https://stat100.ameba.jp/tnk47/ratio20/illustrations/card/ill_53203_buruhawaichan03.jpg?202006-5-RELEASE-marathon-476xx", "■")</f>
        <v>■</v>
      </c>
      <c r="F215" s="14" t="s">
        <v>6258</v>
      </c>
      <c r="G215" s="14">
        <v>72586</v>
      </c>
      <c r="H215" s="14">
        <v>80028</v>
      </c>
      <c r="I215" s="14">
        <v>27</v>
      </c>
      <c r="J215" s="14" t="s">
        <v>104</v>
      </c>
      <c r="K215" s="14" t="s">
        <v>6261</v>
      </c>
      <c r="L215" s="14" t="s">
        <v>6260</v>
      </c>
      <c r="M215" s="14" t="s">
        <v>9158</v>
      </c>
      <c r="N215" s="14" t="s">
        <v>9158</v>
      </c>
      <c r="O215" s="14" t="s">
        <v>9158</v>
      </c>
      <c r="P215" s="14" t="s">
        <v>9158</v>
      </c>
      <c r="Q215" s="14" t="s">
        <v>9158</v>
      </c>
    </row>
    <row r="217" spans="1:17">
      <c r="A217" s="14" t="s">
        <v>13876</v>
      </c>
    </row>
    <row r="218" spans="1:17">
      <c r="A218" s="14" t="s">
        <v>13883</v>
      </c>
    </row>
    <row r="219" spans="1:17">
      <c r="A219" s="14" t="s">
        <v>5617</v>
      </c>
      <c r="B219" s="14" t="s">
        <v>330</v>
      </c>
      <c r="C219" s="14" t="s">
        <v>308</v>
      </c>
      <c r="D219" s="19" t="s">
        <v>385</v>
      </c>
      <c r="E219" s="15" t="str">
        <f>HYPERLINK("https://stat100.ameba.jp/tnk47/ratio20/illustrations/card/ill_59673_0_oheyashutendoji03.jpg?202006-5-RELEASE-marathon-476xxx", "■")</f>
        <v>■</v>
      </c>
      <c r="F219" s="14" t="s">
        <v>386</v>
      </c>
      <c r="G219" s="14">
        <v>168874</v>
      </c>
      <c r="H219" s="14">
        <v>181640</v>
      </c>
      <c r="I219" s="14">
        <v>24</v>
      </c>
      <c r="J219" s="14" t="s">
        <v>320</v>
      </c>
      <c r="K219" s="14" t="s">
        <v>387</v>
      </c>
      <c r="L219" s="14" t="s">
        <v>388</v>
      </c>
      <c r="M219" s="14" t="s">
        <v>9158</v>
      </c>
      <c r="N219" s="14" t="s">
        <v>9158</v>
      </c>
      <c r="O219" s="19" t="s">
        <v>10078</v>
      </c>
      <c r="P219" s="14" t="s">
        <v>3022</v>
      </c>
      <c r="Q219" s="14">
        <v>1</v>
      </c>
    </row>
    <row r="220" spans="1:17">
      <c r="A220" s="14" t="s">
        <v>6195</v>
      </c>
      <c r="B220" s="14" t="s">
        <v>52</v>
      </c>
      <c r="C220" s="14" t="s">
        <v>191</v>
      </c>
      <c r="D220" s="19" t="s">
        <v>10217</v>
      </c>
      <c r="E220" s="15" t="str">
        <f>HYPERLINK("https://stat100.ameba.jp/tnk47/ratio20/illustrations/card/ill_56493_0_poppukurisumasuikomakitsuno03.jpg?202006-5-RELEASE-marathon-476xxx", "■")</f>
        <v>■</v>
      </c>
      <c r="F220" s="14" t="s">
        <v>1769</v>
      </c>
      <c r="G220" s="14">
        <v>150776</v>
      </c>
      <c r="H220" s="14">
        <v>133938</v>
      </c>
      <c r="I220" s="14">
        <v>24</v>
      </c>
      <c r="J220" s="14" t="s">
        <v>77</v>
      </c>
      <c r="K220" s="14" t="s">
        <v>1770</v>
      </c>
      <c r="L220" s="14" t="s">
        <v>1771</v>
      </c>
      <c r="M220" s="14" t="s">
        <v>9158</v>
      </c>
      <c r="N220" s="14" t="s">
        <v>9158</v>
      </c>
      <c r="O220" s="19" t="s">
        <v>10120</v>
      </c>
      <c r="P220" s="14" t="s">
        <v>2724</v>
      </c>
      <c r="Q220" s="14">
        <v>1</v>
      </c>
    </row>
    <row r="221" spans="1:17">
      <c r="A221" s="14" t="s">
        <v>5897</v>
      </c>
      <c r="B221" s="14" t="s">
        <v>52</v>
      </c>
      <c r="C221" s="14" t="s">
        <v>23</v>
      </c>
      <c r="D221" s="19" t="s">
        <v>277</v>
      </c>
      <c r="E221" s="15" t="str">
        <f>HYPERLINK("https://stat100.ameba.jp/tnk47/ratio20/illustrations/card/ill_40913_0_reigyokudensetsufusehime03.jpg?202006-5-RELEASE-marathon-476xxx", "■")</f>
        <v>■</v>
      </c>
      <c r="F221" s="14" t="s">
        <v>955</v>
      </c>
      <c r="G221" s="14">
        <v>131538</v>
      </c>
      <c r="H221" s="14">
        <v>140448</v>
      </c>
      <c r="I221" s="14">
        <v>24</v>
      </c>
      <c r="J221" s="14" t="s">
        <v>38</v>
      </c>
      <c r="K221" s="14" t="s">
        <v>956</v>
      </c>
      <c r="L221" s="14" t="s">
        <v>957</v>
      </c>
      <c r="M221" s="14" t="s">
        <v>9158</v>
      </c>
      <c r="N221" s="14" t="s">
        <v>9158</v>
      </c>
      <c r="O221" s="14" t="s">
        <v>9158</v>
      </c>
      <c r="P221" s="14" t="s">
        <v>9158</v>
      </c>
      <c r="Q221" s="14" t="s">
        <v>9158</v>
      </c>
    </row>
    <row r="222" spans="1:17">
      <c r="A222" s="14">
        <v>89893</v>
      </c>
      <c r="B222" s="14" t="s">
        <v>13780</v>
      </c>
      <c r="C222" s="14" t="s">
        <v>13810</v>
      </c>
      <c r="D222" s="14" t="s">
        <v>13848</v>
      </c>
      <c r="E222" s="15" t="str">
        <f>HYPERLINK("https://stat100.ameba.jp/tnk47/ratio20/illustrations/card/ill_89893_shijuhachitenguhikozambuzembo03.jpg?202006-5-RELEASE-marathon-476xxx", "■")</f>
        <v>■</v>
      </c>
      <c r="F222" s="14" t="s">
        <v>13851</v>
      </c>
      <c r="G222" s="14">
        <v>154562</v>
      </c>
      <c r="H222" s="14">
        <v>143714</v>
      </c>
      <c r="I222" s="7">
        <v>26</v>
      </c>
      <c r="J222" s="14" t="s">
        <v>13833</v>
      </c>
      <c r="K222" s="14" t="s">
        <v>13850</v>
      </c>
      <c r="L222" s="14" t="s">
        <v>13849</v>
      </c>
      <c r="M222" s="14" t="s">
        <v>9158</v>
      </c>
      <c r="N222" s="14" t="s">
        <v>9158</v>
      </c>
      <c r="O222" s="14" t="s">
        <v>9158</v>
      </c>
      <c r="P222" s="14" t="s">
        <v>9158</v>
      </c>
      <c r="Q222" s="14" t="s">
        <v>9158</v>
      </c>
    </row>
    <row r="223" spans="1:17">
      <c r="A223" s="14">
        <v>89903</v>
      </c>
      <c r="B223" s="14" t="s">
        <v>13781</v>
      </c>
      <c r="C223" s="14" t="s">
        <v>13856</v>
      </c>
      <c r="D223" s="14" t="s">
        <v>13855</v>
      </c>
      <c r="E223" s="15" t="str">
        <f>HYPERLINK("https://stat100.ameba.jp/tnk47/ratio20/illustrations/card/ill_89903_shijuhachimagaritogenokitsunebi03.jpg?202006-5-RELEASE-marathon-476xxx", "■")</f>
        <v>■</v>
      </c>
      <c r="F223" s="14" t="s">
        <v>13854</v>
      </c>
      <c r="G223" s="14">
        <v>69898</v>
      </c>
      <c r="H223" s="14">
        <v>77064</v>
      </c>
      <c r="I223" s="7">
        <v>26</v>
      </c>
      <c r="J223" s="14" t="s">
        <v>13814</v>
      </c>
      <c r="K223" s="14" t="s">
        <v>13853</v>
      </c>
      <c r="L223" s="14" t="s">
        <v>13852</v>
      </c>
      <c r="M223" s="14" t="s">
        <v>9158</v>
      </c>
      <c r="N223" s="14" t="s">
        <v>9158</v>
      </c>
      <c r="O223" s="14" t="s">
        <v>9158</v>
      </c>
      <c r="P223" s="14" t="s">
        <v>9158</v>
      </c>
      <c r="Q223" s="14" t="s">
        <v>9158</v>
      </c>
    </row>
    <row r="224" spans="1:17">
      <c r="A224" s="14">
        <v>89913</v>
      </c>
      <c r="B224" s="14" t="s">
        <v>13782</v>
      </c>
      <c r="C224" s="14" t="s">
        <v>13830</v>
      </c>
      <c r="D224" s="14" t="s">
        <v>13860</v>
      </c>
      <c r="E224" s="15" t="str">
        <f>HYPERLINK("https://stat100.ameba.jp/tnk47/ratio20/illustrations/card/ill_89913_kitsunenochochin03.jpg?202006-5-RELEASE-marathon-476xxx", "■")</f>
        <v>■</v>
      </c>
      <c r="F224" s="14" t="s">
        <v>13859</v>
      </c>
      <c r="G224" s="14">
        <v>54058</v>
      </c>
      <c r="H224" s="14">
        <v>44948</v>
      </c>
      <c r="I224" s="7">
        <v>26</v>
      </c>
      <c r="J224" s="14" t="s">
        <v>13833</v>
      </c>
      <c r="K224" s="14" t="s">
        <v>13858</v>
      </c>
      <c r="L224" s="14" t="s">
        <v>13857</v>
      </c>
      <c r="M224" s="14" t="s">
        <v>9158</v>
      </c>
      <c r="N224" s="14" t="s">
        <v>9158</v>
      </c>
      <c r="O224" s="14" t="s">
        <v>9158</v>
      </c>
      <c r="P224" s="14" t="s">
        <v>9158</v>
      </c>
      <c r="Q224" s="14" t="s">
        <v>9158</v>
      </c>
    </row>
    <row r="225" spans="1:18">
      <c r="A225" s="14">
        <v>89923</v>
      </c>
      <c r="B225" s="14" t="s">
        <v>13783</v>
      </c>
      <c r="C225" s="14" t="s">
        <v>13865</v>
      </c>
      <c r="D225" s="14" t="s">
        <v>13864</v>
      </c>
      <c r="E225" s="15" t="str">
        <f>HYPERLINK("https://stat100.ameba.jp/tnk47/ratio20/illustrations/card/ill_89923_kyubinokitsune03.jpg?202006-5-RELEASE-marathon-476xxx", "■")</f>
        <v>■</v>
      </c>
      <c r="F225" s="14" t="s">
        <v>13863</v>
      </c>
      <c r="G225" s="14">
        <v>27486</v>
      </c>
      <c r="H225" s="14">
        <v>32728</v>
      </c>
      <c r="I225" s="7">
        <v>26</v>
      </c>
      <c r="J225" s="14" t="s">
        <v>13833</v>
      </c>
      <c r="K225" s="14" t="s">
        <v>13862</v>
      </c>
      <c r="L225" s="14" t="s">
        <v>13861</v>
      </c>
      <c r="M225" s="14" t="s">
        <v>9158</v>
      </c>
      <c r="N225" s="14" t="s">
        <v>9158</v>
      </c>
      <c r="O225" s="14" t="s">
        <v>9158</v>
      </c>
      <c r="P225" s="14" t="s">
        <v>9158</v>
      </c>
      <c r="Q225" s="14" t="s">
        <v>9158</v>
      </c>
    </row>
    <row r="227" spans="1:18">
      <c r="A227" s="14" t="s">
        <v>13327</v>
      </c>
    </row>
    <row r="228" spans="1:18">
      <c r="A228" s="14" t="s">
        <v>13884</v>
      </c>
    </row>
    <row r="229" spans="1:18">
      <c r="A229" s="14">
        <v>82213</v>
      </c>
      <c r="B229" s="14" t="s">
        <v>0</v>
      </c>
      <c r="C229" s="14" t="s">
        <v>185</v>
      </c>
      <c r="D229" s="19" t="s">
        <v>10185</v>
      </c>
      <c r="E229" s="15" t="str">
        <f>HYPERLINK("https://stat100.ameba.jp/tnk47/ratio20/illustrations/card/ill_82213_tatarimokke03.jpg?202006-5-RELEASE-marathon-476xxx", "■")</f>
        <v>■</v>
      </c>
      <c r="F229" s="14" t="s">
        <v>4935</v>
      </c>
      <c r="G229" s="14">
        <v>123583</v>
      </c>
      <c r="H229" s="14">
        <v>132922</v>
      </c>
      <c r="I229" s="7">
        <v>27</v>
      </c>
      <c r="J229" s="14" t="s">
        <v>182</v>
      </c>
      <c r="K229" s="14" t="s">
        <v>4937</v>
      </c>
      <c r="L229" s="14" t="s">
        <v>13191</v>
      </c>
      <c r="M229" s="14" t="s">
        <v>13130</v>
      </c>
      <c r="N229" s="14" t="s">
        <v>343</v>
      </c>
      <c r="O229" s="14" t="s">
        <v>9158</v>
      </c>
      <c r="P229" s="14" t="s">
        <v>9158</v>
      </c>
      <c r="Q229" s="14" t="s">
        <v>9158</v>
      </c>
      <c r="R229" s="14" t="s">
        <v>14748</v>
      </c>
    </row>
    <row r="230" spans="1:18">
      <c r="A230" s="14">
        <v>82212</v>
      </c>
      <c r="B230" s="14" t="s">
        <v>334</v>
      </c>
      <c r="C230" s="14" t="s">
        <v>185</v>
      </c>
      <c r="D230" s="19" t="s">
        <v>10185</v>
      </c>
      <c r="E230" s="15" t="str">
        <f>HYPERLINK("https://stat100.ameba.jp/tnk47/ratio20/illustrations/card/ill_82212_tatarimokke02.jpg?202006-5-RELEASE-marathon-476xxx", "■")</f>
        <v>■</v>
      </c>
      <c r="F230" s="14" t="s">
        <v>4935</v>
      </c>
      <c r="G230" s="14">
        <v>102356</v>
      </c>
      <c r="H230" s="14">
        <v>111115</v>
      </c>
      <c r="I230" s="7">
        <v>27</v>
      </c>
      <c r="J230" s="14" t="s">
        <v>182</v>
      </c>
      <c r="K230" s="14" t="s">
        <v>4937</v>
      </c>
      <c r="L230" s="14" t="s">
        <v>13191</v>
      </c>
      <c r="M230" s="14" t="s">
        <v>13131</v>
      </c>
      <c r="N230" s="14" t="s">
        <v>251</v>
      </c>
      <c r="O230" s="14" t="s">
        <v>9158</v>
      </c>
      <c r="P230" s="14" t="s">
        <v>9158</v>
      </c>
      <c r="Q230" s="14" t="s">
        <v>9158</v>
      </c>
      <c r="R230" s="14" t="s">
        <v>14748</v>
      </c>
    </row>
    <row r="231" spans="1:18">
      <c r="A231" s="14">
        <v>82211</v>
      </c>
      <c r="B231" s="14" t="s">
        <v>0</v>
      </c>
      <c r="C231" s="14" t="s">
        <v>185</v>
      </c>
      <c r="D231" s="19" t="s">
        <v>10185</v>
      </c>
      <c r="E231" s="15" t="str">
        <f>HYPERLINK("https://stat100.ameba.jp/tnk47/ratio20/illustrations/card/ill_82211_tatarimokke01.jpg?202006-5-RELEASE-marathon-476xxx", "■")</f>
        <v>■</v>
      </c>
      <c r="F231" s="14" t="s">
        <v>4935</v>
      </c>
      <c r="G231" s="14">
        <v>78975</v>
      </c>
      <c r="H231" s="14">
        <v>84834</v>
      </c>
      <c r="I231" s="7">
        <v>27</v>
      </c>
      <c r="J231" s="14" t="s">
        <v>182</v>
      </c>
      <c r="K231" s="14" t="s">
        <v>4937</v>
      </c>
      <c r="L231" s="14" t="s">
        <v>13191</v>
      </c>
      <c r="M231" s="14" t="s">
        <v>13131</v>
      </c>
      <c r="N231" s="14" t="s">
        <v>251</v>
      </c>
      <c r="O231" s="14" t="s">
        <v>9158</v>
      </c>
      <c r="P231" s="14" t="s">
        <v>9158</v>
      </c>
      <c r="Q231" s="14" t="s">
        <v>9158</v>
      </c>
      <c r="R231" s="14" t="s">
        <v>14748</v>
      </c>
    </row>
    <row r="232" spans="1:18">
      <c r="A232" s="14">
        <v>82223</v>
      </c>
      <c r="B232" s="14" t="s">
        <v>334</v>
      </c>
      <c r="C232" s="14" t="s">
        <v>200</v>
      </c>
      <c r="D232" s="19" t="s">
        <v>10186</v>
      </c>
      <c r="E232" s="15" t="str">
        <f>HYPERLINK("https://stat100.ameba.jp/tnk47/ratio20/illustrations/card/ill_82223_oyayubihime03.jpg?202006-5-RELEASE-marathon-476xxx", "■")</f>
        <v>■</v>
      </c>
      <c r="F232" s="14" t="s">
        <v>4931</v>
      </c>
      <c r="G232" s="14">
        <v>132922</v>
      </c>
      <c r="H232" s="14">
        <v>123583</v>
      </c>
      <c r="I232" s="7">
        <v>27</v>
      </c>
      <c r="J232" s="14" t="s">
        <v>155</v>
      </c>
      <c r="K232" s="14" t="s">
        <v>4933</v>
      </c>
      <c r="L232" s="14" t="s">
        <v>4934</v>
      </c>
      <c r="M232" s="14" t="s">
        <v>13130</v>
      </c>
      <c r="N232" s="14" t="s">
        <v>343</v>
      </c>
      <c r="O232" s="14" t="s">
        <v>9158</v>
      </c>
      <c r="P232" s="14" t="s">
        <v>9158</v>
      </c>
      <c r="Q232" s="14" t="s">
        <v>9158</v>
      </c>
      <c r="R232" s="14" t="s">
        <v>14748</v>
      </c>
    </row>
    <row r="233" spans="1:18">
      <c r="A233" s="14">
        <v>82233</v>
      </c>
      <c r="B233" s="14" t="s">
        <v>334</v>
      </c>
      <c r="C233" s="14" t="s">
        <v>191</v>
      </c>
      <c r="D233" s="19" t="s">
        <v>10187</v>
      </c>
      <c r="E233" s="15" t="str">
        <f>HYPERLINK("https://stat100.ameba.jp/tnk47/ratio20/illustrations/card/ill_82233_iseokiku03.jpg?202006-5-RELEASE-marathon-476xxx", "■")</f>
        <v>■</v>
      </c>
      <c r="F233" s="14" t="s">
        <v>4924</v>
      </c>
      <c r="G233" s="14">
        <v>132922</v>
      </c>
      <c r="H233" s="14">
        <v>123583</v>
      </c>
      <c r="I233" s="7">
        <v>27</v>
      </c>
      <c r="J233" s="14" t="s">
        <v>187</v>
      </c>
      <c r="K233" s="14" t="s">
        <v>4926</v>
      </c>
      <c r="L233" s="14" t="s">
        <v>4930</v>
      </c>
      <c r="M233" s="14" t="s">
        <v>13130</v>
      </c>
      <c r="N233" s="14" t="s">
        <v>343</v>
      </c>
      <c r="O233" s="14" t="s">
        <v>9158</v>
      </c>
      <c r="P233" s="14" t="s">
        <v>9158</v>
      </c>
      <c r="Q233" s="14" t="s">
        <v>9158</v>
      </c>
      <c r="R233" s="14" t="s">
        <v>14748</v>
      </c>
    </row>
    <row r="234" spans="1:18">
      <c r="A234" s="14">
        <v>82243</v>
      </c>
      <c r="B234" s="14" t="s">
        <v>0</v>
      </c>
      <c r="C234" s="14" t="s">
        <v>165</v>
      </c>
      <c r="D234" s="19" t="s">
        <v>10188</v>
      </c>
      <c r="E234" s="15" t="str">
        <f>HYPERLINK("https://stat100.ameba.jp/tnk47/ratio20/illustrations/card/ill_82243_nanohana03.jpg?202006-5-RELEASE-marathon-476xxx", "■")</f>
        <v>■</v>
      </c>
      <c r="F234" s="14" t="s">
        <v>4921</v>
      </c>
      <c r="G234" s="14">
        <v>132922</v>
      </c>
      <c r="H234" s="14">
        <v>123583</v>
      </c>
      <c r="I234" s="7">
        <v>27</v>
      </c>
      <c r="J234" s="14" t="s">
        <v>229</v>
      </c>
      <c r="K234" s="14" t="s">
        <v>4923</v>
      </c>
      <c r="L234" s="14" t="s">
        <v>4929</v>
      </c>
      <c r="M234" s="14" t="s">
        <v>13130</v>
      </c>
      <c r="N234" s="14" t="s">
        <v>343</v>
      </c>
      <c r="O234" s="14" t="s">
        <v>9158</v>
      </c>
      <c r="P234" s="14" t="s">
        <v>9158</v>
      </c>
      <c r="Q234" s="14" t="s">
        <v>9158</v>
      </c>
      <c r="R234" s="14" t="s">
        <v>14748</v>
      </c>
    </row>
    <row r="235" spans="1:18">
      <c r="A235" s="14">
        <v>82253</v>
      </c>
      <c r="B235" s="14" t="s">
        <v>334</v>
      </c>
      <c r="C235" s="14" t="s">
        <v>205</v>
      </c>
      <c r="D235" s="19" t="s">
        <v>10189</v>
      </c>
      <c r="E235" s="15" t="str">
        <f>HYPERLINK("https://stat100.ameba.jp/tnk47/ratio20/illustrations/card/ill_82253_ajisaikyogokuichiko03.jpg?202006-5-RELEASE-marathon-476xxx", "■")</f>
        <v>■</v>
      </c>
      <c r="F235" s="14" t="s">
        <v>4920</v>
      </c>
      <c r="G235" s="14">
        <v>123583</v>
      </c>
      <c r="H235" s="14">
        <v>132922</v>
      </c>
      <c r="I235" s="7">
        <v>27</v>
      </c>
      <c r="J235" s="14" t="s">
        <v>159</v>
      </c>
      <c r="K235" s="14" t="s">
        <v>4919</v>
      </c>
      <c r="L235" s="14" t="s">
        <v>4927</v>
      </c>
      <c r="M235" s="14" t="s">
        <v>13130</v>
      </c>
      <c r="N235" s="14" t="s">
        <v>343</v>
      </c>
      <c r="O235" s="14" t="s">
        <v>9158</v>
      </c>
      <c r="P235" s="14" t="s">
        <v>9158</v>
      </c>
      <c r="Q235" s="14" t="s">
        <v>9158</v>
      </c>
      <c r="R235" s="14" t="s">
        <v>14748</v>
      </c>
    </row>
    <row r="236" spans="1:18">
      <c r="A236" s="14">
        <v>82263</v>
      </c>
      <c r="B236" s="14" t="s">
        <v>334</v>
      </c>
      <c r="C236" s="14" t="s">
        <v>206</v>
      </c>
      <c r="D236" s="19" t="s">
        <v>10190</v>
      </c>
      <c r="E236" s="15" t="str">
        <f>HYPERLINK("https://stat100.ameba.jp/tnk47/ratio20/illustrations/card/ill_82263_euterupe03.jpg?202006-5-RELEASE-marathon-476xxx", "■")</f>
        <v>■</v>
      </c>
      <c r="F236" s="14" t="s">
        <v>4915</v>
      </c>
      <c r="G236" s="14">
        <v>123583</v>
      </c>
      <c r="H236" s="14">
        <v>132922</v>
      </c>
      <c r="I236" s="7">
        <v>27</v>
      </c>
      <c r="J236" s="14" t="s">
        <v>169</v>
      </c>
      <c r="K236" s="14" t="s">
        <v>4917</v>
      </c>
      <c r="L236" s="14" t="s">
        <v>4928</v>
      </c>
      <c r="M236" s="14" t="s">
        <v>13130</v>
      </c>
      <c r="N236" s="14" t="s">
        <v>343</v>
      </c>
      <c r="O236" s="14" t="s">
        <v>9158</v>
      </c>
      <c r="P236" s="14" t="s">
        <v>9158</v>
      </c>
      <c r="Q236" s="14" t="s">
        <v>9158</v>
      </c>
      <c r="R236" s="14" t="s">
        <v>14748</v>
      </c>
    </row>
    <row r="238" spans="1:18">
      <c r="A238" s="14" t="s">
        <v>13786</v>
      </c>
    </row>
    <row r="239" spans="1:18">
      <c r="A239" s="14" t="s">
        <v>13788</v>
      </c>
    </row>
    <row r="240" spans="1:18">
      <c r="A240" s="14" t="s">
        <v>13787</v>
      </c>
    </row>
    <row r="241" spans="1:17">
      <c r="A241" s="14" t="s">
        <v>13793</v>
      </c>
      <c r="B241" s="14" t="s">
        <v>13792</v>
      </c>
      <c r="C241" s="14" t="s">
        <v>13791</v>
      </c>
      <c r="D241" s="14" t="s">
        <v>13790</v>
      </c>
      <c r="E241" s="15" t="str">
        <f>HYPERLINK("https://stat100.ameba.jp/tnk47/ratio20/illustrations/card/ill_90853_0_meijosanki03.jpg?202006-5-RELEASE-marathon-476xxx", "■")</f>
        <v>■</v>
      </c>
      <c r="F241" s="14" t="s">
        <v>13794</v>
      </c>
      <c r="G241" s="14">
        <v>323852</v>
      </c>
      <c r="H241" s="14">
        <v>358280</v>
      </c>
      <c r="I241" s="14">
        <v>30</v>
      </c>
      <c r="J241" s="14" t="s">
        <v>13795</v>
      </c>
      <c r="K241" s="14" t="s">
        <v>13796</v>
      </c>
      <c r="L241" s="14" t="s">
        <v>13797</v>
      </c>
      <c r="M241" s="14" t="s">
        <v>9158</v>
      </c>
      <c r="N241" s="14" t="s">
        <v>9158</v>
      </c>
      <c r="O241" s="14" t="s">
        <v>13798</v>
      </c>
      <c r="P241" s="14" t="s">
        <v>13799</v>
      </c>
      <c r="Q241" s="14">
        <v>1</v>
      </c>
    </row>
    <row r="242" spans="1:17">
      <c r="A242" s="14">
        <v>64313</v>
      </c>
      <c r="B242" s="14" t="s">
        <v>334</v>
      </c>
      <c r="C242" s="14" t="s">
        <v>13801</v>
      </c>
      <c r="D242" s="14" t="s">
        <v>13800</v>
      </c>
      <c r="E242" s="15" t="str">
        <f>HYPERLINK("https://stat100.ameba.jp/tnk47/ratio20/illustrations/card/ill_64313_akurigurosakanouetamuramaro03.jpg?202006-5-RELEASE-marathon-476xxx", "■")</f>
        <v>■</v>
      </c>
      <c r="F242" s="14" t="s">
        <v>13802</v>
      </c>
      <c r="G242" s="14">
        <v>160507</v>
      </c>
      <c r="H242" s="14">
        <v>149240</v>
      </c>
      <c r="I242" s="14">
        <v>27</v>
      </c>
      <c r="J242" s="14" t="s">
        <v>13803</v>
      </c>
      <c r="K242" s="14" t="s">
        <v>13804</v>
      </c>
      <c r="L242" s="14" t="s">
        <v>13805</v>
      </c>
      <c r="M242" s="14" t="s">
        <v>9158</v>
      </c>
      <c r="N242" s="14" t="s">
        <v>9158</v>
      </c>
      <c r="O242" s="14" t="s">
        <v>9158</v>
      </c>
      <c r="P242" s="14" t="s">
        <v>9158</v>
      </c>
      <c r="Q242" s="14" t="s">
        <v>9158</v>
      </c>
    </row>
    <row r="243" spans="1:17">
      <c r="A243" s="14">
        <v>81833</v>
      </c>
      <c r="B243" s="14" t="s">
        <v>0</v>
      </c>
      <c r="C243" s="14" t="s">
        <v>200</v>
      </c>
      <c r="D243" s="19" t="s">
        <v>10191</v>
      </c>
      <c r="E243" s="15" t="str">
        <f>HYPERLINK("https://stat100.ameba.jp/tnk47/ratio20/illustrations/card/ill_81833_amehimenogyakushuhojotsunataka03.jpg?202006-5-RELEASE-marathon-476xxx", "■")</f>
        <v>■</v>
      </c>
      <c r="F243" s="14" t="s">
        <v>4941</v>
      </c>
      <c r="G243" s="14">
        <v>160507</v>
      </c>
      <c r="H243" s="14">
        <v>149240</v>
      </c>
      <c r="I243" s="14">
        <v>27</v>
      </c>
      <c r="J243" s="14" t="s">
        <v>143</v>
      </c>
      <c r="K243" s="14" t="s">
        <v>4943</v>
      </c>
      <c r="L243" s="14" t="s">
        <v>3459</v>
      </c>
      <c r="M243" s="14" t="s">
        <v>9158</v>
      </c>
      <c r="N243" s="14" t="s">
        <v>9158</v>
      </c>
      <c r="O243" s="14" t="s">
        <v>9158</v>
      </c>
      <c r="P243" s="14" t="s">
        <v>9158</v>
      </c>
      <c r="Q243" s="14" t="s">
        <v>9158</v>
      </c>
    </row>
    <row r="244" spans="1:17">
      <c r="A244" s="9">
        <v>88043</v>
      </c>
      <c r="B244" s="9" t="s">
        <v>0</v>
      </c>
      <c r="C244" s="9" t="s">
        <v>191</v>
      </c>
      <c r="D244" s="9" t="s">
        <v>11982</v>
      </c>
      <c r="E244" s="15" t="str">
        <f>HYPERLINK("https://stat100.ameba.jp/tnk47/ratio20/illustrations/card/ill_88043_kaidoichinoyumitoriimagawayoshimoto03.jpg?202006-5-RELEASE-marathon-476xxx", "■")</f>
        <v>■</v>
      </c>
      <c r="F244" s="9" t="s">
        <v>11983</v>
      </c>
      <c r="G244" s="9">
        <v>149240</v>
      </c>
      <c r="H244" s="9">
        <v>160507</v>
      </c>
      <c r="I244" s="14">
        <v>27</v>
      </c>
      <c r="J244" s="9" t="s">
        <v>194</v>
      </c>
      <c r="K244" s="9" t="s">
        <v>11984</v>
      </c>
      <c r="L244" s="9" t="s">
        <v>13253</v>
      </c>
      <c r="M244" s="14" t="s">
        <v>9158</v>
      </c>
      <c r="N244" s="14" t="s">
        <v>9158</v>
      </c>
      <c r="O244" s="7" t="s">
        <v>9158</v>
      </c>
      <c r="P244" s="14" t="s">
        <v>9158</v>
      </c>
      <c r="Q244" s="14" t="s">
        <v>9158</v>
      </c>
    </row>
    <row r="245" spans="1:17">
      <c r="A245" s="14">
        <v>80823</v>
      </c>
      <c r="B245" s="14" t="s">
        <v>334</v>
      </c>
      <c r="C245" s="14" t="s">
        <v>96</v>
      </c>
      <c r="D245" s="19" t="s">
        <v>10541</v>
      </c>
      <c r="E245" s="15" t="str">
        <f>HYPERLINK("https://stat100.ameba.jp/tnk47/ratio20/illustrations/card/ill_80823_utatanekitanokata03.jpg?202006-5-RELEASE-marathon-476xxx", "■")</f>
        <v>■</v>
      </c>
      <c r="F245" s="14" t="s">
        <v>4268</v>
      </c>
      <c r="G245" s="14">
        <v>149240</v>
      </c>
      <c r="H245" s="14">
        <v>160507</v>
      </c>
      <c r="I245" s="14">
        <v>27</v>
      </c>
      <c r="J245" s="14" t="s">
        <v>143</v>
      </c>
      <c r="K245" s="14" t="s">
        <v>4269</v>
      </c>
      <c r="L245" s="14" t="s">
        <v>1148</v>
      </c>
      <c r="M245" s="14" t="s">
        <v>9158</v>
      </c>
      <c r="N245" s="14" t="s">
        <v>9158</v>
      </c>
      <c r="O245" s="14" t="s">
        <v>9158</v>
      </c>
      <c r="P245" s="14" t="s">
        <v>9158</v>
      </c>
      <c r="Q245" s="14" t="s">
        <v>9158</v>
      </c>
    </row>
    <row r="246" spans="1:17">
      <c r="A246" s="14">
        <v>73333</v>
      </c>
      <c r="B246" s="14" t="s">
        <v>0</v>
      </c>
      <c r="C246" s="14" t="s">
        <v>205</v>
      </c>
      <c r="D246" s="19" t="s">
        <v>10766</v>
      </c>
      <c r="E246" s="15" t="str">
        <f>HYPERLINK("https://stat100.ameba.jp/tnk47/ratio20/illustrations/card/ill_73333_akikunitora03.jpg?202006-5-RELEASE-marathon-476xxx", "■")</f>
        <v>■</v>
      </c>
      <c r="F246" s="14" t="s">
        <v>3475</v>
      </c>
      <c r="G246" s="14">
        <v>160507</v>
      </c>
      <c r="H246" s="14">
        <v>149240</v>
      </c>
      <c r="I246" s="14">
        <v>27</v>
      </c>
      <c r="J246" s="14" t="s">
        <v>194</v>
      </c>
      <c r="K246" s="14" t="s">
        <v>3476</v>
      </c>
      <c r="L246" s="14" t="s">
        <v>145</v>
      </c>
      <c r="M246" s="14" t="s">
        <v>9158</v>
      </c>
      <c r="N246" s="14" t="s">
        <v>9158</v>
      </c>
      <c r="O246" s="14" t="s">
        <v>9158</v>
      </c>
      <c r="P246" s="14" t="s">
        <v>9158</v>
      </c>
      <c r="Q246" s="14" t="s">
        <v>9158</v>
      </c>
    </row>
    <row r="247" spans="1:17">
      <c r="A247" s="7">
        <v>75573</v>
      </c>
      <c r="B247" s="7" t="s">
        <v>0</v>
      </c>
      <c r="C247" s="7" t="s">
        <v>206</v>
      </c>
      <c r="D247" s="19" t="s">
        <v>10380</v>
      </c>
      <c r="E247" s="15" t="str">
        <f>HYPERLINK("https://stat100.ameba.jp/tnk47/ratio20/illustrations/card/ill_75573_niirotadamoto03.jpg?202006-5-RELEASE-marathon-476xxx", "■")</f>
        <v>■</v>
      </c>
      <c r="F247" s="7" t="s">
        <v>5726</v>
      </c>
      <c r="G247" s="7">
        <v>160507</v>
      </c>
      <c r="H247" s="7">
        <v>149240</v>
      </c>
      <c r="I247" s="14">
        <v>27</v>
      </c>
      <c r="J247" s="7" t="s">
        <v>194</v>
      </c>
      <c r="K247" s="7" t="s">
        <v>5728</v>
      </c>
      <c r="L247" s="7" t="s">
        <v>3459</v>
      </c>
      <c r="M247" s="14" t="s">
        <v>9158</v>
      </c>
      <c r="N247" s="14" t="s">
        <v>9158</v>
      </c>
      <c r="O247" s="14" t="s">
        <v>9158</v>
      </c>
      <c r="P247" s="14" t="s">
        <v>9158</v>
      </c>
      <c r="Q247" s="14" t="s">
        <v>9158</v>
      </c>
    </row>
    <row r="249" spans="1:17">
      <c r="A249" s="14" t="s">
        <v>204</v>
      </c>
      <c r="D249" s="7"/>
    </row>
    <row r="250" spans="1:17">
      <c r="A250" s="14" t="s">
        <v>13789</v>
      </c>
      <c r="D250" s="7"/>
    </row>
    <row r="251" spans="1:17">
      <c r="A251" s="14" t="s">
        <v>5822</v>
      </c>
      <c r="B251" s="14" t="s">
        <v>330</v>
      </c>
      <c r="C251" s="14" t="s">
        <v>307</v>
      </c>
      <c r="D251" s="19" t="s">
        <v>306</v>
      </c>
      <c r="E251" s="15" t="str">
        <f>HYPERLINK("https://stat100.ameba.jp/tnk47/ratio20/illustrations/card/ill_71403_0_ohanamisanadayukimura03.jpg?202006-5-RELEASE-marathon-476xxx", "■")</f>
        <v>■</v>
      </c>
      <c r="F251" s="14" t="s">
        <v>309</v>
      </c>
      <c r="G251" s="14">
        <v>205358</v>
      </c>
      <c r="H251" s="14">
        <v>190952</v>
      </c>
      <c r="I251" s="14">
        <v>22</v>
      </c>
      <c r="J251" s="14" t="s">
        <v>310</v>
      </c>
      <c r="K251" s="14" t="s">
        <v>311</v>
      </c>
      <c r="L251" s="14" t="s">
        <v>312</v>
      </c>
      <c r="M251" s="14" t="s">
        <v>9158</v>
      </c>
      <c r="N251" s="14" t="s">
        <v>9158</v>
      </c>
      <c r="O251" s="6" t="s">
        <v>10060</v>
      </c>
      <c r="P251" s="14" t="s">
        <v>3418</v>
      </c>
      <c r="Q251" s="14">
        <v>2</v>
      </c>
    </row>
    <row r="252" spans="1:17">
      <c r="A252" s="14" t="s">
        <v>5620</v>
      </c>
      <c r="B252" s="14" t="s">
        <v>330</v>
      </c>
      <c r="C252" s="14" t="s">
        <v>206</v>
      </c>
      <c r="D252" s="20" t="s">
        <v>669</v>
      </c>
      <c r="E252" s="15" t="str">
        <f>HYPERLINK("https://stat100.ameba.jp/tnk47/ratio20/illustrations/card/ill_67173_0_yukemuriawamorichan03.jpg?202006-5-RELEASE-marathon-476xxx", "■")</f>
        <v>■</v>
      </c>
      <c r="F252" s="14" t="s">
        <v>670</v>
      </c>
      <c r="G252" s="14">
        <v>169032</v>
      </c>
      <c r="H252" s="14">
        <v>157150</v>
      </c>
      <c r="I252" s="14">
        <v>22</v>
      </c>
      <c r="J252" s="14" t="s">
        <v>283</v>
      </c>
      <c r="K252" s="14" t="s">
        <v>671</v>
      </c>
      <c r="L252" s="14" t="s">
        <v>672</v>
      </c>
      <c r="M252" s="14" t="s">
        <v>9158</v>
      </c>
      <c r="N252" s="14" t="s">
        <v>9158</v>
      </c>
      <c r="O252" s="19" t="s">
        <v>10087</v>
      </c>
      <c r="P252" s="14" t="s">
        <v>3455</v>
      </c>
      <c r="Q252" s="14">
        <v>1</v>
      </c>
    </row>
    <row r="253" spans="1:17">
      <c r="A253" s="14" t="s">
        <v>5622</v>
      </c>
      <c r="B253" s="14" t="s">
        <v>330</v>
      </c>
      <c r="C253" s="14" t="s">
        <v>335</v>
      </c>
      <c r="D253" s="19" t="s">
        <v>509</v>
      </c>
      <c r="E253" s="15" t="str">
        <f>HYPERLINK("https://stat100.ameba.jp/tnk47/ratio20/illustrations/card/ill_49953_0_yushamarihime03.jpg?202006-5-RELEASE-marathon-476xxx", "■")</f>
        <v>■</v>
      </c>
      <c r="F253" s="14" t="s">
        <v>510</v>
      </c>
      <c r="G253" s="14">
        <v>138212</v>
      </c>
      <c r="H253" s="14">
        <v>122776</v>
      </c>
      <c r="I253" s="14">
        <v>22</v>
      </c>
      <c r="J253" s="14" t="s">
        <v>315</v>
      </c>
      <c r="K253" s="14" t="s">
        <v>511</v>
      </c>
      <c r="L253" s="14" t="s">
        <v>512</v>
      </c>
      <c r="M253" s="14" t="s">
        <v>9158</v>
      </c>
      <c r="N253" s="14" t="s">
        <v>9158</v>
      </c>
      <c r="O253" s="14" t="s">
        <v>9158</v>
      </c>
      <c r="P253" s="14" t="s">
        <v>9158</v>
      </c>
      <c r="Q253" s="14" t="s">
        <v>9158</v>
      </c>
    </row>
    <row r="254" spans="1:17">
      <c r="A254" s="14">
        <v>81013</v>
      </c>
      <c r="B254" s="14" t="s">
        <v>334</v>
      </c>
      <c r="C254" s="14" t="s">
        <v>205</v>
      </c>
      <c r="D254" s="19" t="s">
        <v>4412</v>
      </c>
      <c r="E254" s="15" t="str">
        <f>HYPERLINK("https://stat100.ameba.jp/tnk47/ratio20/illustrations/card/ill_81013_furudenshagoshikihime03.jpg?202006-5-RELEASE-marathon-476xxx", "■")</f>
        <v>■</v>
      </c>
      <c r="F254" s="14" t="s">
        <v>4413</v>
      </c>
      <c r="G254" s="14">
        <v>152023</v>
      </c>
      <c r="H254" s="14">
        <v>85559</v>
      </c>
      <c r="I254" s="14">
        <v>27</v>
      </c>
      <c r="J254" s="14" t="s">
        <v>155</v>
      </c>
      <c r="K254" s="14" t="s">
        <v>4414</v>
      </c>
      <c r="L254" s="14" t="s">
        <v>2557</v>
      </c>
      <c r="M254" s="14" t="s">
        <v>9158</v>
      </c>
      <c r="N254" s="14" t="s">
        <v>9158</v>
      </c>
      <c r="O254" s="14" t="s">
        <v>9158</v>
      </c>
      <c r="P254" s="14" t="s">
        <v>9158</v>
      </c>
      <c r="Q254" s="14" t="s">
        <v>9158</v>
      </c>
    </row>
    <row r="255" spans="1:17">
      <c r="A255" s="14">
        <v>84513</v>
      </c>
      <c r="B255" s="14" t="s">
        <v>334</v>
      </c>
      <c r="C255" s="14" t="s">
        <v>185</v>
      </c>
      <c r="D255" s="19" t="s">
        <v>10711</v>
      </c>
      <c r="E255" s="15" t="str">
        <f>HYPERLINK("https://stat100.ameba.jp/tnk47/ratio20/illustrations/card/ill_84513_haroinapefuchikamui03.jpg?202006-5-RELEASE-marathon-476xxx", "■")</f>
        <v>■</v>
      </c>
      <c r="F255" s="14" t="s">
        <v>7533</v>
      </c>
      <c r="G255" s="14">
        <v>136005</v>
      </c>
      <c r="H255" s="14">
        <v>76512</v>
      </c>
      <c r="I255" s="14">
        <v>27</v>
      </c>
      <c r="J255" s="14" t="s">
        <v>44</v>
      </c>
      <c r="K255" s="14" t="s">
        <v>7532</v>
      </c>
      <c r="L255" s="14" t="s">
        <v>3356</v>
      </c>
      <c r="M255" s="14" t="s">
        <v>9158</v>
      </c>
      <c r="N255" s="14" t="s">
        <v>9158</v>
      </c>
      <c r="O255" s="14" t="s">
        <v>9158</v>
      </c>
      <c r="P255" s="14" t="s">
        <v>9158</v>
      </c>
      <c r="Q255" s="14" t="s">
        <v>9158</v>
      </c>
    </row>
    <row r="256" spans="1:17">
      <c r="A256" s="14">
        <v>67523</v>
      </c>
      <c r="B256" s="14" t="s">
        <v>334</v>
      </c>
      <c r="C256" s="14" t="s">
        <v>200</v>
      </c>
      <c r="D256" s="19" t="s">
        <v>1414</v>
      </c>
      <c r="E256" s="15" t="str">
        <f>HYPERLINK("https://stat100.ameba.jp/tnk47/ratio20/illustrations/card/ill_67523_shirazuyawatanomori03.jpg?202006-5-RELEASE-marathon-476xxx", "■")</f>
        <v>■</v>
      </c>
      <c r="F256" s="14" t="s">
        <v>2601</v>
      </c>
      <c r="G256" s="14">
        <v>152023</v>
      </c>
      <c r="H256" s="14">
        <v>85559</v>
      </c>
      <c r="I256" s="14">
        <v>27</v>
      </c>
      <c r="J256" s="14" t="s">
        <v>38</v>
      </c>
      <c r="K256" s="14" t="s">
        <v>6235</v>
      </c>
      <c r="L256" s="14" t="s">
        <v>6234</v>
      </c>
      <c r="M256" s="14" t="s">
        <v>9158</v>
      </c>
      <c r="N256" s="14" t="s">
        <v>9158</v>
      </c>
      <c r="O256" s="14" t="s">
        <v>9158</v>
      </c>
      <c r="P256" s="14" t="s">
        <v>9158</v>
      </c>
      <c r="Q256" s="14" t="s">
        <v>9158</v>
      </c>
    </row>
    <row r="257" spans="1:17">
      <c r="A257" s="14">
        <v>82723</v>
      </c>
      <c r="B257" s="14" t="s">
        <v>334</v>
      </c>
      <c r="C257" s="14" t="s">
        <v>191</v>
      </c>
      <c r="D257" s="19" t="s">
        <v>10392</v>
      </c>
      <c r="E257" s="15" t="str">
        <f>HYPERLINK("https://stat100.ameba.jp/tnk47/ratio20/illustrations/card/ill_82723_natsufuesuyamakawatomiko03.jpg?202006-5-RELEASE-marathon-476xxx", "■")</f>
        <v>■</v>
      </c>
      <c r="F257" s="14" t="s">
        <v>5817</v>
      </c>
      <c r="G257" s="14">
        <v>130214</v>
      </c>
      <c r="H257" s="14">
        <v>73270</v>
      </c>
      <c r="I257" s="14">
        <v>27</v>
      </c>
      <c r="J257" s="14" t="s">
        <v>10</v>
      </c>
      <c r="K257" s="14" t="s">
        <v>5818</v>
      </c>
      <c r="L257" s="14" t="s">
        <v>60</v>
      </c>
      <c r="M257" s="14" t="s">
        <v>9158</v>
      </c>
      <c r="N257" s="14" t="s">
        <v>9158</v>
      </c>
      <c r="O257" s="14" t="s">
        <v>9158</v>
      </c>
      <c r="P257" s="14" t="s">
        <v>9158</v>
      </c>
      <c r="Q257" s="14" t="s">
        <v>9158</v>
      </c>
    </row>
    <row r="258" spans="1:17">
      <c r="A258" s="9">
        <v>77433</v>
      </c>
      <c r="B258" s="14" t="s">
        <v>334</v>
      </c>
      <c r="C258" s="14" t="s">
        <v>344</v>
      </c>
      <c r="D258" s="14" t="s">
        <v>1723</v>
      </c>
      <c r="E258" s="15" t="str">
        <f>HYPERLINK("https://stat100.ameba.jp/tnk47/ratio20/illustrations/card/ill_77433_yamagaruakinomurabotoni03.jpg?202006-5-RELEASE-marathon-476xxx", "■")</f>
        <v>■</v>
      </c>
      <c r="F258" s="14" t="s">
        <v>1724</v>
      </c>
      <c r="G258" s="14">
        <v>109481</v>
      </c>
      <c r="H258" s="14">
        <v>101837</v>
      </c>
      <c r="I258" s="14">
        <v>27</v>
      </c>
      <c r="J258" s="14" t="s">
        <v>414</v>
      </c>
      <c r="K258" s="14" t="s">
        <v>1665</v>
      </c>
      <c r="L258" s="14" t="s">
        <v>855</v>
      </c>
      <c r="M258" s="14" t="s">
        <v>9158</v>
      </c>
      <c r="N258" s="14" t="s">
        <v>9158</v>
      </c>
      <c r="O258" s="14" t="s">
        <v>9158</v>
      </c>
      <c r="P258" s="14" t="s">
        <v>9158</v>
      </c>
      <c r="Q258" s="14" t="s">
        <v>9158</v>
      </c>
    </row>
    <row r="259" spans="1:17">
      <c r="A259" s="9">
        <v>86523</v>
      </c>
      <c r="B259" s="9" t="s">
        <v>0</v>
      </c>
      <c r="C259" s="9" t="s">
        <v>165</v>
      </c>
      <c r="D259" s="20" t="s">
        <v>10912</v>
      </c>
      <c r="E259" s="15" t="str">
        <f>HYPERLINK("https://stat100.ameba.jp/tnk47/ratio20/illustrations/card/ill_86523_supahirosaimeitenno03.jpg?202006-5-RELEASE-marathon-476xxx", "■")</f>
        <v>■</v>
      </c>
      <c r="F259" s="9" t="s">
        <v>9020</v>
      </c>
      <c r="G259" s="9">
        <v>105465</v>
      </c>
      <c r="H259" s="9">
        <v>98019</v>
      </c>
      <c r="I259" s="14">
        <v>27</v>
      </c>
      <c r="J259" s="9" t="s">
        <v>173</v>
      </c>
      <c r="K259" s="9" t="s">
        <v>9019</v>
      </c>
      <c r="L259" s="9" t="s">
        <v>6763</v>
      </c>
      <c r="M259" s="14" t="s">
        <v>9158</v>
      </c>
      <c r="N259" s="14" t="s">
        <v>9158</v>
      </c>
      <c r="O259" s="14" t="s">
        <v>9158</v>
      </c>
      <c r="P259" s="14" t="s">
        <v>9158</v>
      </c>
      <c r="Q259" s="14" t="s">
        <v>9158</v>
      </c>
    </row>
    <row r="261" spans="1:17">
      <c r="A261" s="14" t="s">
        <v>13806</v>
      </c>
    </row>
    <row r="262" spans="1:17">
      <c r="A262" s="14" t="s">
        <v>13808</v>
      </c>
    </row>
    <row r="263" spans="1:17">
      <c r="A263" s="14" t="s">
        <v>13807</v>
      </c>
    </row>
    <row r="264" spans="1:17">
      <c r="A264" s="14" t="s">
        <v>13086</v>
      </c>
      <c r="B264" s="7" t="s">
        <v>52</v>
      </c>
      <c r="C264" s="14" t="s">
        <v>202</v>
      </c>
      <c r="D264" s="18" t="s">
        <v>13084</v>
      </c>
      <c r="E264" s="15" t="str">
        <f>HYPERLINK("https://stat100.ameba.jp/tnk47/ratio20/illustrations/card/ill_89703_0_jumburaidohimiko03.jpg?202006-5-RELEASE-marathon-476xxx", "■")</f>
        <v>■</v>
      </c>
      <c r="F264" s="14" t="s">
        <v>13085</v>
      </c>
      <c r="G264" s="14">
        <v>344095</v>
      </c>
      <c r="H264" s="14">
        <v>281517</v>
      </c>
      <c r="I264" s="7">
        <v>27</v>
      </c>
      <c r="J264" s="14" t="s">
        <v>10</v>
      </c>
      <c r="K264" s="14" t="s">
        <v>13087</v>
      </c>
      <c r="L264" s="14" t="s">
        <v>12016</v>
      </c>
      <c r="M264" s="14" t="s">
        <v>9158</v>
      </c>
      <c r="N264" s="14" t="s">
        <v>9158</v>
      </c>
      <c r="O264" s="6" t="s">
        <v>13088</v>
      </c>
      <c r="P264" s="7" t="s">
        <v>13089</v>
      </c>
      <c r="Q264" s="7">
        <v>1</v>
      </c>
    </row>
    <row r="265" spans="1:17">
      <c r="A265" s="14">
        <v>89943</v>
      </c>
      <c r="B265" s="14" t="s">
        <v>13780</v>
      </c>
      <c r="C265" s="14" t="s">
        <v>13810</v>
      </c>
      <c r="D265" s="14" t="s">
        <v>13809</v>
      </c>
      <c r="E265" s="15" t="str">
        <f>HYPERLINK("https://stat100.ameba.jp/tnk47/ratio20/illustrations/card/ill_89943_erementarumururu03.jpg?202006-5-RELEASE-marathon-476xxx", "■")</f>
        <v>■</v>
      </c>
      <c r="F265" s="14" t="s">
        <v>13811</v>
      </c>
      <c r="G265" s="14">
        <v>102386</v>
      </c>
      <c r="H265" s="14">
        <v>110129</v>
      </c>
      <c r="I265" s="7">
        <v>27</v>
      </c>
      <c r="J265" s="14" t="s">
        <v>13814</v>
      </c>
      <c r="K265" s="14" t="s">
        <v>13813</v>
      </c>
      <c r="L265" s="14" t="s">
        <v>13812</v>
      </c>
      <c r="M265" s="14" t="s">
        <v>9158</v>
      </c>
      <c r="N265" s="14" t="s">
        <v>9158</v>
      </c>
      <c r="O265" s="14" t="s">
        <v>9158</v>
      </c>
      <c r="P265" s="14" t="s">
        <v>9158</v>
      </c>
      <c r="Q265" s="14" t="s">
        <v>9158</v>
      </c>
    </row>
    <row r="266" spans="1:17">
      <c r="A266" s="14">
        <v>89953</v>
      </c>
      <c r="B266" s="14" t="s">
        <v>13780</v>
      </c>
      <c r="C266" s="14" t="s">
        <v>13820</v>
      </c>
      <c r="D266" s="14" t="s">
        <v>13819</v>
      </c>
      <c r="E266" s="15" t="str">
        <f>HYPERLINK("https://stat100.ameba.jp/tnk47/ratio20/illustrations/card/ill_89953_koinoborihinotomiko03.jpg?202006-5-RELEASE-marathon-476xxx", "■")</f>
        <v>■</v>
      </c>
      <c r="F266" s="14" t="s">
        <v>13818</v>
      </c>
      <c r="G266" s="14">
        <v>105465</v>
      </c>
      <c r="H266" s="14">
        <v>98019</v>
      </c>
      <c r="I266" s="7">
        <v>27</v>
      </c>
      <c r="J266" s="14" t="s">
        <v>13817</v>
      </c>
      <c r="K266" s="14" t="s">
        <v>13816</v>
      </c>
      <c r="L266" s="14" t="s">
        <v>13815</v>
      </c>
      <c r="M266" s="14" t="s">
        <v>9158</v>
      </c>
      <c r="N266" s="14" t="s">
        <v>9158</v>
      </c>
      <c r="O266" s="14" t="s">
        <v>9158</v>
      </c>
      <c r="P266" s="14" t="s">
        <v>9158</v>
      </c>
      <c r="Q266" s="14" t="s">
        <v>9158</v>
      </c>
    </row>
    <row r="267" spans="1:17">
      <c r="A267" s="14">
        <v>89963</v>
      </c>
      <c r="B267" s="14" t="s">
        <v>13781</v>
      </c>
      <c r="C267" s="14" t="s">
        <v>13825</v>
      </c>
      <c r="D267" s="14" t="s">
        <v>13824</v>
      </c>
      <c r="E267" s="15" t="str">
        <f>HYPERLINK("https://stat100.ameba.jp/tnk47/ratio20/illustrations/card/ill_89963_mahoushoujokikyouhime03.jpg?202006-5-RELEASE-marathon-476xxx", "■")</f>
        <v>■</v>
      </c>
      <c r="F267" s="14" t="s">
        <v>13823</v>
      </c>
      <c r="G267" s="14">
        <v>72586</v>
      </c>
      <c r="H267" s="14">
        <v>80028</v>
      </c>
      <c r="I267" s="7">
        <v>27</v>
      </c>
      <c r="J267" s="14" t="s">
        <v>13817</v>
      </c>
      <c r="K267" s="14" t="s">
        <v>13822</v>
      </c>
      <c r="L267" s="14" t="s">
        <v>13821</v>
      </c>
      <c r="M267" s="14" t="s">
        <v>9158</v>
      </c>
      <c r="N267" s="14" t="s">
        <v>9158</v>
      </c>
      <c r="O267" s="14" t="s">
        <v>9158</v>
      </c>
      <c r="P267" s="14" t="s">
        <v>9158</v>
      </c>
      <c r="Q267" s="14" t="s">
        <v>9158</v>
      </c>
    </row>
    <row r="268" spans="1:17">
      <c r="A268" s="14">
        <v>89973</v>
      </c>
      <c r="B268" s="14" t="s">
        <v>13782</v>
      </c>
      <c r="C268" s="14" t="s">
        <v>13830</v>
      </c>
      <c r="D268" s="14" t="s">
        <v>13829</v>
      </c>
      <c r="E268" s="15" t="str">
        <f>HYPERLINK("https://stat100.ameba.jp/tnk47/ratio20/illustrations/card/ill_89973_mahoushoujogouhime03.jpg?202006-5-RELEASE-marathon-476xxx", "■")</f>
        <v>■</v>
      </c>
      <c r="F268" s="14" t="s">
        <v>13828</v>
      </c>
      <c r="G268" s="14">
        <v>56138</v>
      </c>
      <c r="H268" s="14">
        <v>46676</v>
      </c>
      <c r="I268" s="7">
        <v>27</v>
      </c>
      <c r="J268" s="14" t="s">
        <v>13817</v>
      </c>
      <c r="K268" s="14" t="s">
        <v>13827</v>
      </c>
      <c r="L268" s="14" t="s">
        <v>13826</v>
      </c>
      <c r="M268" s="14" t="s">
        <v>9158</v>
      </c>
      <c r="N268" s="14" t="s">
        <v>9158</v>
      </c>
      <c r="O268" s="14" t="s">
        <v>9158</v>
      </c>
      <c r="P268" s="14" t="s">
        <v>9158</v>
      </c>
      <c r="Q268" s="14" t="s">
        <v>9158</v>
      </c>
    </row>
    <row r="269" spans="1:17">
      <c r="A269" s="14">
        <v>89983</v>
      </c>
      <c r="B269" s="14" t="s">
        <v>13783</v>
      </c>
      <c r="C269" s="14" t="s">
        <v>13836</v>
      </c>
      <c r="D269" s="14" t="s">
        <v>13835</v>
      </c>
      <c r="E269" s="15" t="str">
        <f>HYPERLINK("https://stat100.ameba.jp/tnk47/ratio20/illustrations/card/ill_89983_mahotsukaikinoko03.jpg?202006-5-RELEASE-marathon-476xxx", "■")</f>
        <v>■</v>
      </c>
      <c r="F269" s="14" t="s">
        <v>13834</v>
      </c>
      <c r="G269" s="14">
        <v>28544</v>
      </c>
      <c r="H269" s="14">
        <v>33986</v>
      </c>
      <c r="I269" s="7">
        <v>27</v>
      </c>
      <c r="J269" s="14" t="s">
        <v>13833</v>
      </c>
      <c r="K269" s="14" t="s">
        <v>13832</v>
      </c>
      <c r="L269" s="14" t="s">
        <v>13831</v>
      </c>
      <c r="M269" s="14" t="s">
        <v>9158</v>
      </c>
      <c r="N269" s="14" t="s">
        <v>9158</v>
      </c>
      <c r="O269" s="14" t="s">
        <v>9158</v>
      </c>
      <c r="P269" s="14" t="s">
        <v>9158</v>
      </c>
      <c r="Q269" s="14" t="s">
        <v>9158</v>
      </c>
    </row>
    <row r="271" spans="1:17">
      <c r="A271" s="14" t="s">
        <v>13837</v>
      </c>
    </row>
    <row r="272" spans="1:17">
      <c r="A272" s="14" t="s">
        <v>13838</v>
      </c>
    </row>
    <row r="273" spans="1:18">
      <c r="A273" s="14" t="s">
        <v>5804</v>
      </c>
      <c r="B273" s="14" t="s">
        <v>52</v>
      </c>
      <c r="C273" s="14" t="s">
        <v>14</v>
      </c>
      <c r="D273" s="19" t="s">
        <v>3195</v>
      </c>
      <c r="E273" s="15" t="str">
        <f>HYPERLINK("https://stat100.ameba.jp/tnk47/ratio20/illustrations/card/ill_75393_0_resukuinotsukisamaniittausagi03.jpg?202006-5-RELEASE-marathon-476xxx", "■")</f>
        <v>■</v>
      </c>
      <c r="F273" s="14" t="s">
        <v>3248</v>
      </c>
      <c r="G273" s="14">
        <v>284760</v>
      </c>
      <c r="H273" s="14">
        <v>264750</v>
      </c>
      <c r="I273" s="14">
        <v>25</v>
      </c>
      <c r="J273" s="14" t="s">
        <v>26</v>
      </c>
      <c r="K273" s="14" t="s">
        <v>3249</v>
      </c>
      <c r="L273" s="14" t="s">
        <v>3250</v>
      </c>
      <c r="M273" s="14" t="s">
        <v>9158</v>
      </c>
      <c r="N273" s="14" t="s">
        <v>9158</v>
      </c>
      <c r="O273" s="19" t="s">
        <v>10101</v>
      </c>
      <c r="P273" s="14" t="s">
        <v>3251</v>
      </c>
      <c r="Q273" s="14">
        <v>2</v>
      </c>
    </row>
    <row r="274" spans="1:18">
      <c r="A274" s="14">
        <v>84333</v>
      </c>
      <c r="B274" s="14" t="s">
        <v>0</v>
      </c>
      <c r="C274" s="14" t="s">
        <v>209</v>
      </c>
      <c r="D274" s="20" t="s">
        <v>10692</v>
      </c>
      <c r="E274" s="15" t="str">
        <f>HYPERLINK("https://stat100.ameba.jp/tnk47/ratio20/illustrations/card/ill_84333_otometeia03.jpg?202006-5-RELEASE-marathon-476xxx", "■")</f>
        <v>■</v>
      </c>
      <c r="F274" s="14" t="s">
        <v>7401</v>
      </c>
      <c r="G274" s="14">
        <v>109259</v>
      </c>
      <c r="H274" s="14">
        <v>79151</v>
      </c>
      <c r="I274" s="14">
        <v>25</v>
      </c>
      <c r="J274" s="14" t="s">
        <v>16</v>
      </c>
      <c r="K274" s="14" t="s">
        <v>7399</v>
      </c>
      <c r="L274" s="14" t="s">
        <v>4046</v>
      </c>
      <c r="M274" s="14" t="s">
        <v>9158</v>
      </c>
      <c r="N274" s="14" t="s">
        <v>9158</v>
      </c>
      <c r="O274" s="19" t="s">
        <v>10129</v>
      </c>
      <c r="P274" s="14" t="s">
        <v>3581</v>
      </c>
      <c r="Q274" s="14">
        <v>1</v>
      </c>
    </row>
    <row r="275" spans="1:18">
      <c r="A275" s="9">
        <v>73723</v>
      </c>
      <c r="B275" s="14" t="s">
        <v>334</v>
      </c>
      <c r="C275" s="14" t="s">
        <v>191</v>
      </c>
      <c r="D275" s="14" t="s">
        <v>3456</v>
      </c>
      <c r="E275" s="15" t="str">
        <f>HYPERLINK("https://stat100.ameba.jp/tnk47/ratio20/illustrations/card/ill_73723_umibirakitomoegozen03.jpg?202006-5-RELEASE-marathon-476xxx", "■")</f>
        <v>■</v>
      </c>
      <c r="F275" s="14" t="s">
        <v>3457</v>
      </c>
      <c r="G275" s="14">
        <v>148619</v>
      </c>
      <c r="H275" s="14">
        <v>138186</v>
      </c>
      <c r="I275" s="14">
        <v>25</v>
      </c>
      <c r="J275" s="14" t="s">
        <v>143</v>
      </c>
      <c r="K275" s="14" t="s">
        <v>3458</v>
      </c>
      <c r="L275" s="14" t="s">
        <v>3459</v>
      </c>
      <c r="M275" s="14" t="s">
        <v>9158</v>
      </c>
      <c r="N275" s="14" t="s">
        <v>9158</v>
      </c>
      <c r="O275" s="18" t="s">
        <v>10057</v>
      </c>
      <c r="P275" s="14" t="s">
        <v>3460</v>
      </c>
      <c r="Q275" s="14">
        <v>1</v>
      </c>
    </row>
    <row r="276" spans="1:18">
      <c r="A276" s="14">
        <v>52083</v>
      </c>
      <c r="B276" s="14" t="s">
        <v>0</v>
      </c>
      <c r="C276" s="14" t="s">
        <v>158</v>
      </c>
      <c r="D276" s="20" t="s">
        <v>2913</v>
      </c>
      <c r="E276" s="15" t="str">
        <f>HYPERLINK("https://stat100.ameba.jp/tnk47/ratio20/illustrations/card/ill_52083_berubetto03.jpg?202006-5-RELEASE-marathon-476xxx", "■")</f>
        <v>■</v>
      </c>
      <c r="F276" s="14" t="s">
        <v>944</v>
      </c>
      <c r="G276" s="14">
        <v>86140</v>
      </c>
      <c r="H276" s="14">
        <v>118917</v>
      </c>
      <c r="I276" s="14">
        <v>25</v>
      </c>
      <c r="J276" s="14" t="s">
        <v>26</v>
      </c>
      <c r="K276" s="14" t="s">
        <v>1864</v>
      </c>
      <c r="L276" s="14" t="s">
        <v>1865</v>
      </c>
      <c r="M276" s="14" t="s">
        <v>9158</v>
      </c>
      <c r="N276" s="14" t="s">
        <v>9158</v>
      </c>
      <c r="O276" s="19" t="s">
        <v>2917</v>
      </c>
      <c r="P276" s="14" t="s">
        <v>2918</v>
      </c>
      <c r="Q276" s="14">
        <v>1</v>
      </c>
    </row>
    <row r="278" spans="1:18">
      <c r="A278" s="14" t="s">
        <v>13839</v>
      </c>
    </row>
    <row r="279" spans="1:18">
      <c r="A279" s="14" t="s">
        <v>13840</v>
      </c>
    </row>
    <row r="280" spans="1:18">
      <c r="A280" s="14" t="s">
        <v>5619</v>
      </c>
      <c r="B280" s="14" t="s">
        <v>330</v>
      </c>
      <c r="C280" s="14" t="s">
        <v>202</v>
      </c>
      <c r="D280" s="19" t="s">
        <v>10348</v>
      </c>
      <c r="E280" s="15" t="str">
        <f>HYPERLINK("https://stat100.ameba.jp/tnk47/ratio20/illustrations/card/ill_81183_0_shinryokunokisetsuamaterasu03.jpg?202006-5-RELEASE-marathon-476xxx", "■")</f>
        <v>■</v>
      </c>
      <c r="F280" s="14" t="s">
        <v>4505</v>
      </c>
      <c r="G280" s="14">
        <v>262627</v>
      </c>
      <c r="H280" s="14">
        <v>290607</v>
      </c>
      <c r="I280" s="14">
        <v>25</v>
      </c>
      <c r="J280" s="14" t="s">
        <v>44</v>
      </c>
      <c r="K280" s="14" t="s">
        <v>4506</v>
      </c>
      <c r="L280" s="14" t="s">
        <v>4507</v>
      </c>
      <c r="M280" s="14" t="s">
        <v>9158</v>
      </c>
      <c r="N280" s="14" t="s">
        <v>9158</v>
      </c>
      <c r="O280" s="19" t="s">
        <v>10083</v>
      </c>
      <c r="P280" s="14" t="s">
        <v>4509</v>
      </c>
      <c r="Q280" s="14">
        <v>0</v>
      </c>
    </row>
    <row r="281" spans="1:18">
      <c r="A281" s="14">
        <v>84653</v>
      </c>
      <c r="B281" s="14" t="s">
        <v>334</v>
      </c>
      <c r="C281" s="14" t="s">
        <v>209</v>
      </c>
      <c r="D281" s="19" t="s">
        <v>10626</v>
      </c>
      <c r="E281" s="15" t="str">
        <f>HYPERLINK("https://stat100.ameba.jp/tnk47/ratio20/illustrations/card/ill_84653_soru03.jpg?202006-5-RELEASE-marathon-476xxx", "■")</f>
        <v>■</v>
      </c>
      <c r="F281" s="14" t="s">
        <v>6954</v>
      </c>
      <c r="G281" s="14">
        <v>75984</v>
      </c>
      <c r="H281" s="14">
        <v>104890</v>
      </c>
      <c r="I281" s="14">
        <v>24</v>
      </c>
      <c r="J281" s="14" t="s">
        <v>44</v>
      </c>
      <c r="K281" s="14" t="s">
        <v>6956</v>
      </c>
      <c r="L281" s="14" t="s">
        <v>3652</v>
      </c>
      <c r="M281" s="14" t="s">
        <v>9158</v>
      </c>
      <c r="N281" s="14" t="s">
        <v>9158</v>
      </c>
      <c r="O281" s="19" t="s">
        <v>10103</v>
      </c>
      <c r="P281" s="14" t="s">
        <v>3897</v>
      </c>
      <c r="Q281" s="14">
        <v>1</v>
      </c>
    </row>
    <row r="282" spans="1:18">
      <c r="A282" s="14">
        <v>84323</v>
      </c>
      <c r="B282" s="14" t="s">
        <v>0</v>
      </c>
      <c r="C282" s="14" t="s">
        <v>158</v>
      </c>
      <c r="D282" s="19" t="s">
        <v>10669</v>
      </c>
      <c r="E282" s="15" t="str">
        <f>HYPERLINK("https://stat100.ameba.jp/tnk47/ratio20/illustrations/card/ill_84323_kagizumebyakko03.jpg?202006-5-RELEASE-marathon-476xxx", "■")</f>
        <v>■</v>
      </c>
      <c r="F282" s="14" t="s">
        <v>7284</v>
      </c>
      <c r="G282" s="14">
        <v>122366</v>
      </c>
      <c r="H282" s="14">
        <v>88624</v>
      </c>
      <c r="I282" s="14">
        <v>24</v>
      </c>
      <c r="J282" s="14" t="s">
        <v>155</v>
      </c>
      <c r="K282" s="14" t="s">
        <v>7283</v>
      </c>
      <c r="L282" s="14" t="s">
        <v>7282</v>
      </c>
      <c r="M282" s="14" t="s">
        <v>9158</v>
      </c>
      <c r="N282" s="14" t="s">
        <v>9158</v>
      </c>
      <c r="O282" s="19" t="s">
        <v>10109</v>
      </c>
      <c r="P282" s="14" t="s">
        <v>3625</v>
      </c>
      <c r="Q282" s="14">
        <v>1</v>
      </c>
    </row>
    <row r="283" spans="1:18">
      <c r="A283" s="14">
        <v>67643</v>
      </c>
      <c r="B283" s="14" t="s">
        <v>334</v>
      </c>
      <c r="C283" s="14" t="s">
        <v>209</v>
      </c>
      <c r="D283" s="19" t="s">
        <v>3033</v>
      </c>
      <c r="E283" s="15" t="str">
        <f>HYPERLINK("https://stat100.ameba.jp/tnk47/ratio20/illustrations/card/ill_67643_edokarakamichan03.jpg?202006-5-RELEASE-marathon-476xxx", "■")</f>
        <v>■</v>
      </c>
      <c r="F283" s="6" t="s">
        <v>1196</v>
      </c>
      <c r="G283" s="14">
        <v>113338</v>
      </c>
      <c r="H283" s="14">
        <v>105394</v>
      </c>
      <c r="I283" s="14">
        <v>24</v>
      </c>
      <c r="J283" s="14" t="s">
        <v>26</v>
      </c>
      <c r="K283" s="14" t="s">
        <v>1197</v>
      </c>
      <c r="L283" s="14" t="s">
        <v>1198</v>
      </c>
      <c r="M283" s="14" t="s">
        <v>9158</v>
      </c>
      <c r="N283" s="14" t="s">
        <v>9158</v>
      </c>
      <c r="O283" s="19" t="s">
        <v>3037</v>
      </c>
      <c r="P283" s="14" t="s">
        <v>13128</v>
      </c>
      <c r="Q283" s="14">
        <v>1</v>
      </c>
    </row>
    <row r="285" spans="1:18">
      <c r="A285" s="14" t="s">
        <v>13885</v>
      </c>
    </row>
    <row r="286" spans="1:18">
      <c r="A286" s="14" t="s">
        <v>13886</v>
      </c>
    </row>
    <row r="287" spans="1:18">
      <c r="A287" s="14">
        <v>89815</v>
      </c>
      <c r="B287" s="14" t="s">
        <v>334</v>
      </c>
      <c r="C287" s="14" t="s">
        <v>202</v>
      </c>
      <c r="D287" s="14" t="s">
        <v>13889</v>
      </c>
      <c r="E287" s="15" t="str">
        <f>HYPERLINK("https://stat100.ameba.jp/tnk47/ratio20/illustrations/card/ill_89815_bukenohanayomekuchinashi05.jpg?202007-i_prefecture_active_user", "■")</f>
        <v>■</v>
      </c>
      <c r="F287" s="14" t="s">
        <v>13890</v>
      </c>
      <c r="G287" s="14">
        <v>95431</v>
      </c>
      <c r="H287" s="14">
        <v>131805</v>
      </c>
      <c r="I287" s="7">
        <v>27</v>
      </c>
      <c r="J287" s="14" t="s">
        <v>13795</v>
      </c>
      <c r="K287" s="14" t="s">
        <v>13891</v>
      </c>
      <c r="L287" s="14" t="s">
        <v>13892</v>
      </c>
      <c r="M287" s="14" t="s">
        <v>9158</v>
      </c>
      <c r="N287" s="14" t="s">
        <v>9158</v>
      </c>
      <c r="O287" s="14" t="s">
        <v>9158</v>
      </c>
      <c r="P287" s="14" t="s">
        <v>9158</v>
      </c>
      <c r="Q287" s="14" t="s">
        <v>9158</v>
      </c>
      <c r="R287" s="14" t="s">
        <v>174</v>
      </c>
    </row>
    <row r="288" spans="1:18">
      <c r="A288" s="14">
        <v>89813</v>
      </c>
      <c r="B288" s="14" t="s">
        <v>13781</v>
      </c>
      <c r="C288" s="14" t="s">
        <v>158</v>
      </c>
      <c r="D288" s="14" t="s">
        <v>13889</v>
      </c>
      <c r="E288" s="15" t="str">
        <f>HYPERLINK("https://stat100.ameba.jp/tnk47/ratio20/illustrations/card/ill_89813_bukenohanayomekuchinashi03.jpg?202007-i_prefecture_active_user", "■")</f>
        <v>■</v>
      </c>
      <c r="F288" s="14" t="s">
        <v>13890</v>
      </c>
      <c r="G288" s="14">
        <v>70303</v>
      </c>
      <c r="H288" s="14">
        <v>97110</v>
      </c>
      <c r="I288" s="7">
        <v>27</v>
      </c>
      <c r="J288" s="14" t="s">
        <v>13795</v>
      </c>
      <c r="K288" s="14" t="s">
        <v>13891</v>
      </c>
      <c r="L288" s="14" t="s">
        <v>13893</v>
      </c>
      <c r="M288" s="14" t="s">
        <v>9158</v>
      </c>
      <c r="N288" s="14" t="s">
        <v>9158</v>
      </c>
      <c r="O288" s="14" t="s">
        <v>9158</v>
      </c>
      <c r="P288" s="14" t="s">
        <v>9158</v>
      </c>
      <c r="Q288" s="14" t="s">
        <v>9158</v>
      </c>
      <c r="R288" s="14" t="s">
        <v>175</v>
      </c>
    </row>
    <row r="289" spans="1:18">
      <c r="A289" s="14">
        <v>89811</v>
      </c>
      <c r="B289" s="14" t="s">
        <v>13781</v>
      </c>
      <c r="C289" s="14" t="s">
        <v>158</v>
      </c>
      <c r="D289" s="14" t="s">
        <v>13889</v>
      </c>
      <c r="E289" s="15" t="str">
        <f>HYPERLINK("https://stat100.ameba.jp/tnk47/ratio20/illustrations/card/ill_89811_bukenohanayomekuchinashi01.jpg?202007-i_prefecture_active_user", "■")</f>
        <v>■</v>
      </c>
      <c r="F289" s="14" t="s">
        <v>13890</v>
      </c>
      <c r="G289" s="14">
        <v>44739</v>
      </c>
      <c r="H289" s="14">
        <v>61776</v>
      </c>
      <c r="I289" s="7">
        <v>27</v>
      </c>
      <c r="J289" s="14" t="s">
        <v>13795</v>
      </c>
      <c r="K289" s="14" t="s">
        <v>13891</v>
      </c>
      <c r="L289" s="14" t="s">
        <v>13894</v>
      </c>
      <c r="M289" s="14" t="s">
        <v>9158</v>
      </c>
      <c r="N289" s="14" t="s">
        <v>9158</v>
      </c>
      <c r="O289" s="14" t="s">
        <v>9158</v>
      </c>
      <c r="P289" s="14" t="s">
        <v>9158</v>
      </c>
      <c r="Q289" s="14" t="s">
        <v>9158</v>
      </c>
      <c r="R289" s="14" t="s">
        <v>176</v>
      </c>
    </row>
    <row r="291" spans="1:18">
      <c r="A291" s="14" t="s">
        <v>13887</v>
      </c>
    </row>
    <row r="292" spans="1:18">
      <c r="A292" s="14" t="s">
        <v>13888</v>
      </c>
    </row>
    <row r="293" spans="1:18">
      <c r="A293" s="14">
        <v>78763</v>
      </c>
      <c r="B293" s="14" t="s">
        <v>334</v>
      </c>
      <c r="C293" s="14" t="s">
        <v>205</v>
      </c>
      <c r="D293" s="19" t="s">
        <v>16598</v>
      </c>
      <c r="E293" s="15" t="str">
        <f>HYPERLINK("https://stat100.ameba.jp/tnk47/ratio20/illustrations/card/ill_78763_shichifukujinorochinomusha03.jpg?202007-i_prefecture_active_user", "■")</f>
        <v>■</v>
      </c>
      <c r="F293" s="14" t="s">
        <v>2854</v>
      </c>
      <c r="G293" s="14">
        <v>143714</v>
      </c>
      <c r="H293" s="14">
        <v>154562</v>
      </c>
      <c r="I293" s="14">
        <v>26</v>
      </c>
      <c r="J293" s="14" t="s">
        <v>310</v>
      </c>
      <c r="K293" s="14" t="s">
        <v>2855</v>
      </c>
      <c r="L293" s="14" t="s">
        <v>407</v>
      </c>
      <c r="M293" s="14" t="s">
        <v>9158</v>
      </c>
      <c r="N293" s="14" t="s">
        <v>9158</v>
      </c>
      <c r="O293" s="14" t="s">
        <v>9158</v>
      </c>
      <c r="P293" s="14" t="s">
        <v>9158</v>
      </c>
      <c r="Q293" s="14" t="s">
        <v>9158</v>
      </c>
    </row>
    <row r="294" spans="1:18">
      <c r="A294" s="14">
        <v>69803</v>
      </c>
      <c r="B294" s="14" t="s">
        <v>334</v>
      </c>
      <c r="C294" s="14" t="s">
        <v>96</v>
      </c>
      <c r="D294" s="20" t="s">
        <v>10621</v>
      </c>
      <c r="E294" s="15" t="str">
        <f>HYPERLINK("https://stat100.ameba.jp/tnk47/ratio20/illustrations/card/ill_69803_bummeikaikahatsumenotsubone03.jpg?202007-i_prefecture_active_user", "■")</f>
        <v>■</v>
      </c>
      <c r="F294" s="14" t="s">
        <v>6948</v>
      </c>
      <c r="G294" s="14">
        <v>101558</v>
      </c>
      <c r="H294" s="14">
        <v>94390</v>
      </c>
      <c r="I294" s="14">
        <v>26</v>
      </c>
      <c r="J294" s="14" t="s">
        <v>77</v>
      </c>
      <c r="K294" s="14" t="s">
        <v>6947</v>
      </c>
      <c r="L294" s="14" t="s">
        <v>4096</v>
      </c>
      <c r="M294" s="14" t="s">
        <v>9158</v>
      </c>
      <c r="N294" s="14" t="s">
        <v>9158</v>
      </c>
      <c r="O294" s="14" t="s">
        <v>9158</v>
      </c>
      <c r="P294" s="14" t="s">
        <v>9158</v>
      </c>
      <c r="Q294" s="14" t="s">
        <v>9158</v>
      </c>
    </row>
    <row r="295" spans="1:18">
      <c r="A295" s="14">
        <v>25973</v>
      </c>
      <c r="B295" s="14" t="s">
        <v>334</v>
      </c>
      <c r="C295" s="14" t="s">
        <v>13897</v>
      </c>
      <c r="D295" s="14" t="s">
        <v>13895</v>
      </c>
      <c r="E295" s="15" t="str">
        <f>HYPERLINK("https://stat100.ameba.jp/tnk47/ratio20/illustrations/card/ill_25973_gosenenshiheihiguchiichiyo03.jpg?202007-i_prefecture_active_user", "■")</f>
        <v>■</v>
      </c>
      <c r="F295" s="14" t="s">
        <v>13896</v>
      </c>
      <c r="G295" s="14">
        <v>93172</v>
      </c>
      <c r="H295" s="14">
        <v>100214</v>
      </c>
      <c r="I295" s="14">
        <v>26</v>
      </c>
      <c r="J295" s="14" t="s">
        <v>13900</v>
      </c>
      <c r="K295" s="14" t="s">
        <v>13899</v>
      </c>
      <c r="L295" s="14" t="s">
        <v>13898</v>
      </c>
      <c r="M295" s="14" t="s">
        <v>9158</v>
      </c>
      <c r="N295" s="14" t="s">
        <v>9158</v>
      </c>
      <c r="O295" s="14" t="s">
        <v>9158</v>
      </c>
      <c r="P295" s="14" t="s">
        <v>9158</v>
      </c>
      <c r="Q295" s="14" t="s">
        <v>9158</v>
      </c>
    </row>
    <row r="296" spans="1:18">
      <c r="A296" s="14">
        <v>44413</v>
      </c>
      <c r="B296" s="14" t="s">
        <v>13781</v>
      </c>
      <c r="C296" s="14" t="s">
        <v>13856</v>
      </c>
      <c r="D296" s="14" t="s">
        <v>13901</v>
      </c>
      <c r="E296" s="15" t="str">
        <f>HYPERLINK("https://stat100.ameba.jp/tnk47/ratio20/illustrations/card/ill_44413_ponzu03.jpg?202007-i_prefecture_active_user", "■")</f>
        <v>■</v>
      </c>
      <c r="F296" s="14" t="s">
        <v>13902</v>
      </c>
      <c r="G296" s="14">
        <v>56316</v>
      </c>
      <c r="H296" s="14">
        <v>51078</v>
      </c>
      <c r="I296" s="14">
        <v>19</v>
      </c>
      <c r="J296" s="14" t="s">
        <v>13869</v>
      </c>
      <c r="K296" s="14" t="s">
        <v>13904</v>
      </c>
      <c r="L296" s="14" t="s">
        <v>13903</v>
      </c>
      <c r="M296" s="14" t="s">
        <v>9158</v>
      </c>
      <c r="N296" s="14" t="s">
        <v>9158</v>
      </c>
      <c r="O296" s="14" t="s">
        <v>9158</v>
      </c>
      <c r="P296" s="14" t="s">
        <v>9158</v>
      </c>
      <c r="Q296" s="14" t="s">
        <v>9158</v>
      </c>
    </row>
    <row r="297" spans="1:18">
      <c r="A297" s="14">
        <v>45723</v>
      </c>
      <c r="B297" s="14" t="s">
        <v>13781</v>
      </c>
      <c r="C297" s="14" t="s">
        <v>13825</v>
      </c>
      <c r="D297" s="14" t="s">
        <v>13905</v>
      </c>
      <c r="E297" s="15" t="str">
        <f>HYPERLINK("https://stat100.ameba.jp/tnk47/ratio20/illustrations/card/ill_45723_kareinaruazenoiratsume03.jpg?202007-i_prefecture_active_user", "■")</f>
        <v>■</v>
      </c>
      <c r="F297" s="14" t="s">
        <v>13906</v>
      </c>
      <c r="G297" s="14">
        <v>56316</v>
      </c>
      <c r="H297" s="14">
        <v>51078</v>
      </c>
      <c r="I297" s="14">
        <v>19</v>
      </c>
      <c r="J297" s="14" t="s">
        <v>13908</v>
      </c>
      <c r="K297" s="14" t="s">
        <v>13907</v>
      </c>
      <c r="L297" s="14" t="s">
        <v>14588</v>
      </c>
      <c r="M297" s="14" t="s">
        <v>9158</v>
      </c>
      <c r="N297" s="14" t="s">
        <v>9158</v>
      </c>
      <c r="O297" s="14" t="s">
        <v>9158</v>
      </c>
      <c r="P297" s="14" t="s">
        <v>9158</v>
      </c>
      <c r="Q297" s="14" t="s">
        <v>9158</v>
      </c>
    </row>
    <row r="298" spans="1:18">
      <c r="A298" s="9">
        <v>48673</v>
      </c>
      <c r="B298" s="14" t="s">
        <v>15</v>
      </c>
      <c r="C298" s="14" t="s">
        <v>206</v>
      </c>
      <c r="D298" s="14" t="s">
        <v>1269</v>
      </c>
      <c r="E298" s="15" t="str">
        <f>HYPERLINK("https://stat100.ameba.jp/tnk47/ratio20/illustrations/card/ill_48673_senyaichiyamonogatari03.jpg?202007-i_prefecture_active_user", "■")</f>
        <v>■</v>
      </c>
      <c r="F298" s="14" t="s">
        <v>1270</v>
      </c>
      <c r="G298" s="14">
        <v>51078</v>
      </c>
      <c r="H298" s="14">
        <v>56316</v>
      </c>
      <c r="I298" s="14">
        <v>19</v>
      </c>
      <c r="J298" s="14" t="s">
        <v>38</v>
      </c>
      <c r="K298" s="14" t="s">
        <v>1271</v>
      </c>
      <c r="L298" s="14" t="s">
        <v>1272</v>
      </c>
      <c r="M298" s="14" t="s">
        <v>9158</v>
      </c>
      <c r="N298" s="14" t="s">
        <v>9158</v>
      </c>
      <c r="O298" s="14" t="s">
        <v>9158</v>
      </c>
      <c r="P298" s="14" t="s">
        <v>9158</v>
      </c>
      <c r="Q298" s="14" t="s">
        <v>9158</v>
      </c>
    </row>
    <row r="300" spans="1:18">
      <c r="A300" s="14" t="s">
        <v>13909</v>
      </c>
    </row>
    <row r="301" spans="1:18">
      <c r="A301" s="14" t="s">
        <v>13910</v>
      </c>
    </row>
    <row r="302" spans="1:18">
      <c r="A302" s="14" t="s">
        <v>5610</v>
      </c>
      <c r="B302" s="14" t="s">
        <v>330</v>
      </c>
      <c r="C302" s="14" t="s">
        <v>185</v>
      </c>
      <c r="D302" s="20" t="s">
        <v>539</v>
      </c>
      <c r="E302" s="15" t="str">
        <f>HYPERLINK("https://stat100.ameba.jp/tnk47/ratio20/illustrations/card/ill_60633_0_harumaisentoin03.jpg?202007-i_prefecture_active_user", "■")</f>
        <v>■</v>
      </c>
      <c r="F302" s="14" t="s">
        <v>540</v>
      </c>
      <c r="G302" s="14">
        <v>152594</v>
      </c>
      <c r="H302" s="14">
        <v>164144</v>
      </c>
      <c r="I302" s="14">
        <v>24</v>
      </c>
      <c r="J302" s="14" t="s">
        <v>274</v>
      </c>
      <c r="K302" s="14" t="s">
        <v>541</v>
      </c>
      <c r="L302" s="14" t="s">
        <v>542</v>
      </c>
      <c r="M302" s="14" t="s">
        <v>9158</v>
      </c>
      <c r="N302" s="14" t="s">
        <v>9158</v>
      </c>
      <c r="O302" s="19" t="s">
        <v>2888</v>
      </c>
      <c r="P302" s="14" t="s">
        <v>3144</v>
      </c>
      <c r="Q302" s="14">
        <v>1</v>
      </c>
    </row>
    <row r="303" spans="1:18">
      <c r="A303" s="14" t="s">
        <v>5609</v>
      </c>
      <c r="B303" s="14" t="s">
        <v>52</v>
      </c>
      <c r="C303" s="14" t="s">
        <v>200</v>
      </c>
      <c r="D303" s="20" t="s">
        <v>389</v>
      </c>
      <c r="E303" s="15" t="str">
        <f>HYPERLINK("https://stat100.ameba.jp/tnk47/ratio20/illustrations/card/ill_53753_0_natsumatsuritokugawaieyasu03.jpg?202007-i_prefecture_active_user", "■")</f>
        <v>■</v>
      </c>
      <c r="F303" s="14" t="s">
        <v>902</v>
      </c>
      <c r="G303" s="14">
        <v>150776</v>
      </c>
      <c r="H303" s="14">
        <v>133938</v>
      </c>
      <c r="I303" s="14">
        <v>24</v>
      </c>
      <c r="J303" s="14" t="s">
        <v>194</v>
      </c>
      <c r="K303" s="14" t="s">
        <v>1714</v>
      </c>
      <c r="L303" s="14" t="s">
        <v>904</v>
      </c>
      <c r="M303" s="14" t="s">
        <v>9158</v>
      </c>
      <c r="N303" s="14" t="s">
        <v>9158</v>
      </c>
      <c r="O303" s="19" t="s">
        <v>10076</v>
      </c>
      <c r="P303" s="14" t="s">
        <v>13121</v>
      </c>
      <c r="Q303" s="14">
        <v>1</v>
      </c>
    </row>
    <row r="304" spans="1:18">
      <c r="A304" s="14" t="s">
        <v>5721</v>
      </c>
      <c r="B304" s="14" t="s">
        <v>52</v>
      </c>
      <c r="C304" s="14" t="s">
        <v>1</v>
      </c>
      <c r="D304" s="20" t="s">
        <v>513</v>
      </c>
      <c r="E304" s="15" t="str">
        <f>HYPERLINK("https://stat100.ameba.jp/tnk47/ratio20/illustrations/card/ill_44283_0_izumonokuni03.jpg?202007-i_prefecture_active_user", "■")</f>
        <v>■</v>
      </c>
      <c r="F304" s="14" t="s">
        <v>1716</v>
      </c>
      <c r="G304" s="14">
        <v>140448</v>
      </c>
      <c r="H304" s="14">
        <v>131538</v>
      </c>
      <c r="I304" s="14">
        <v>24</v>
      </c>
      <c r="J304" s="14" t="s">
        <v>16</v>
      </c>
      <c r="K304" s="14" t="s">
        <v>2254</v>
      </c>
      <c r="L304" s="14" t="s">
        <v>1718</v>
      </c>
      <c r="M304" s="14" t="s">
        <v>9158</v>
      </c>
      <c r="N304" s="14" t="s">
        <v>9158</v>
      </c>
      <c r="O304" s="14" t="s">
        <v>9158</v>
      </c>
      <c r="P304" s="14" t="s">
        <v>9158</v>
      </c>
      <c r="Q304" s="14" t="s">
        <v>9158</v>
      </c>
    </row>
    <row r="305" spans="1:17">
      <c r="A305" s="14">
        <v>89943</v>
      </c>
      <c r="B305" s="14" t="s">
        <v>13780</v>
      </c>
      <c r="C305" s="14" t="s">
        <v>13810</v>
      </c>
      <c r="D305" s="14" t="s">
        <v>13809</v>
      </c>
      <c r="E305" s="15" t="str">
        <f>HYPERLINK("https://stat100.ameba.jp/tnk47/ratio20/illustrations/card/ill_89943_erementarumururu03.jpg?202007-i_prefecture_active_user", "■")</f>
        <v>■</v>
      </c>
      <c r="F305" s="14" t="s">
        <v>13811</v>
      </c>
      <c r="G305" s="14">
        <v>98594</v>
      </c>
      <c r="H305" s="14">
        <v>106050</v>
      </c>
      <c r="I305" s="7">
        <v>26</v>
      </c>
      <c r="J305" s="14" t="s">
        <v>13814</v>
      </c>
      <c r="K305" s="14" t="s">
        <v>13813</v>
      </c>
      <c r="L305" s="14" t="s">
        <v>13812</v>
      </c>
      <c r="M305" s="14" t="s">
        <v>9158</v>
      </c>
      <c r="N305" s="14" t="s">
        <v>9158</v>
      </c>
      <c r="O305" s="14" t="s">
        <v>9158</v>
      </c>
      <c r="P305" s="14" t="s">
        <v>9158</v>
      </c>
      <c r="Q305" s="14" t="s">
        <v>9158</v>
      </c>
    </row>
    <row r="306" spans="1:17">
      <c r="A306" s="14">
        <v>89963</v>
      </c>
      <c r="B306" s="14" t="s">
        <v>13781</v>
      </c>
      <c r="C306" s="14" t="s">
        <v>13825</v>
      </c>
      <c r="D306" s="14" t="s">
        <v>13824</v>
      </c>
      <c r="E306" s="15" t="str">
        <f>HYPERLINK("https://stat100.ameba.jp/tnk47/ratio20/illustrations/card/ill_89963_mahoushoujokikyouhime03.jpg?202007-i_prefecture_active_user", "■")</f>
        <v>■</v>
      </c>
      <c r="F306" s="14" t="s">
        <v>13823</v>
      </c>
      <c r="G306" s="14">
        <v>69898</v>
      </c>
      <c r="H306" s="14">
        <v>77064</v>
      </c>
      <c r="I306" s="7">
        <v>26</v>
      </c>
      <c r="J306" s="14" t="s">
        <v>13817</v>
      </c>
      <c r="K306" s="14" t="s">
        <v>13822</v>
      </c>
      <c r="L306" s="14" t="s">
        <v>13821</v>
      </c>
      <c r="M306" s="14" t="s">
        <v>9158</v>
      </c>
      <c r="N306" s="14" t="s">
        <v>9158</v>
      </c>
      <c r="O306" s="14" t="s">
        <v>9158</v>
      </c>
      <c r="P306" s="14" t="s">
        <v>9158</v>
      </c>
      <c r="Q306" s="14" t="s">
        <v>9158</v>
      </c>
    </row>
    <row r="307" spans="1:17">
      <c r="A307" s="14">
        <v>89973</v>
      </c>
      <c r="B307" s="14" t="s">
        <v>13782</v>
      </c>
      <c r="C307" s="14" t="s">
        <v>13830</v>
      </c>
      <c r="D307" s="14" t="s">
        <v>13829</v>
      </c>
      <c r="E307" s="15" t="str">
        <f>HYPERLINK("https://stat100.ameba.jp/tnk47/ratio20/illustrations/card/ill_89973_mahoushoujogouhime03.jpg?202007-i_prefecture_active_user", "■")</f>
        <v>■</v>
      </c>
      <c r="F307" s="14" t="s">
        <v>13828</v>
      </c>
      <c r="G307" s="14">
        <v>54058</v>
      </c>
      <c r="H307" s="14">
        <v>44948</v>
      </c>
      <c r="I307" s="7">
        <v>26</v>
      </c>
      <c r="J307" s="14" t="s">
        <v>13817</v>
      </c>
      <c r="K307" s="14" t="s">
        <v>13827</v>
      </c>
      <c r="L307" s="14" t="s">
        <v>13826</v>
      </c>
      <c r="M307" s="14" t="s">
        <v>9158</v>
      </c>
      <c r="N307" s="14" t="s">
        <v>9158</v>
      </c>
      <c r="O307" s="14" t="s">
        <v>9158</v>
      </c>
      <c r="P307" s="14" t="s">
        <v>9158</v>
      </c>
      <c r="Q307" s="14" t="s">
        <v>9158</v>
      </c>
    </row>
    <row r="308" spans="1:17">
      <c r="A308" s="14">
        <v>89983</v>
      </c>
      <c r="B308" s="14" t="s">
        <v>13783</v>
      </c>
      <c r="C308" s="14" t="s">
        <v>13836</v>
      </c>
      <c r="D308" s="14" t="s">
        <v>13835</v>
      </c>
      <c r="E308" s="15" t="str">
        <f>HYPERLINK("https://stat100.ameba.jp/tnk47/ratio20/illustrations/card/ill_89983_mahotsukaikinoko03.jpg?202007-i_prefecture_active_user", "■")</f>
        <v>■</v>
      </c>
      <c r="F308" s="14" t="s">
        <v>13834</v>
      </c>
      <c r="G308" s="14">
        <v>27486</v>
      </c>
      <c r="H308" s="14">
        <v>32728</v>
      </c>
      <c r="I308" s="7">
        <v>26</v>
      </c>
      <c r="J308" s="14" t="s">
        <v>13833</v>
      </c>
      <c r="K308" s="14" t="s">
        <v>13832</v>
      </c>
      <c r="L308" s="14" t="s">
        <v>13831</v>
      </c>
      <c r="M308" s="14" t="s">
        <v>9158</v>
      </c>
      <c r="N308" s="14" t="s">
        <v>9158</v>
      </c>
      <c r="O308" s="14" t="s">
        <v>9158</v>
      </c>
      <c r="P308" s="14" t="s">
        <v>9158</v>
      </c>
      <c r="Q308" s="14" t="s">
        <v>9158</v>
      </c>
    </row>
    <row r="310" spans="1:17">
      <c r="A310" s="14" t="s">
        <v>13879</v>
      </c>
    </row>
    <row r="311" spans="1:17">
      <c r="A311" s="14" t="s">
        <v>13911</v>
      </c>
    </row>
    <row r="312" spans="1:17">
      <c r="A312" s="14" t="s">
        <v>5650</v>
      </c>
      <c r="B312" s="14" t="s">
        <v>52</v>
      </c>
      <c r="C312" s="14" t="s">
        <v>23</v>
      </c>
      <c r="D312" s="19" t="s">
        <v>809</v>
      </c>
      <c r="E312" s="15" t="str">
        <f>HYPERLINK("https://stat100.ameba.jp/tnk47/ratio20/illustrations/card/ill_68033_0_kurisumasupateikandamyojin03.jpg?202007-i_prefecture_active_user", "■")</f>
        <v>■</v>
      </c>
      <c r="F312" s="14" t="s">
        <v>1871</v>
      </c>
      <c r="G312" s="14">
        <v>139878</v>
      </c>
      <c r="H312" s="14">
        <v>150466</v>
      </c>
      <c r="I312" s="14">
        <v>22</v>
      </c>
      <c r="J312" s="14" t="s">
        <v>44</v>
      </c>
      <c r="K312" s="14" t="s">
        <v>1872</v>
      </c>
      <c r="L312" s="14" t="s">
        <v>1873</v>
      </c>
      <c r="M312" s="14" t="s">
        <v>9158</v>
      </c>
      <c r="N312" s="14" t="s">
        <v>9158</v>
      </c>
      <c r="O312" s="19" t="s">
        <v>2997</v>
      </c>
      <c r="P312" s="14" t="s">
        <v>3483</v>
      </c>
      <c r="Q312" s="14">
        <v>2</v>
      </c>
    </row>
    <row r="313" spans="1:17">
      <c r="A313" s="9" t="s">
        <v>5899</v>
      </c>
      <c r="B313" s="14" t="s">
        <v>330</v>
      </c>
      <c r="C313" s="14" t="s">
        <v>205</v>
      </c>
      <c r="D313" s="14" t="s">
        <v>934</v>
      </c>
      <c r="E313" s="15" t="str">
        <f>HYPERLINK("https://stat100.ameba.jp/tnk47/ratio20/illustrations/card/ill_73773_0_umibirakiinugamigyobu03.jpg?202007-i_prefecture_active_user", "■")</f>
        <v>■</v>
      </c>
      <c r="F313" s="14" t="s">
        <v>935</v>
      </c>
      <c r="G313" s="14">
        <v>190902</v>
      </c>
      <c r="H313" s="14">
        <v>205334</v>
      </c>
      <c r="I313" s="14">
        <v>22</v>
      </c>
      <c r="J313" s="14" t="s">
        <v>182</v>
      </c>
      <c r="K313" s="14" t="s">
        <v>936</v>
      </c>
      <c r="L313" s="14" t="s">
        <v>13147</v>
      </c>
      <c r="M313" s="14" t="s">
        <v>9158</v>
      </c>
      <c r="N313" s="14" t="s">
        <v>9158</v>
      </c>
      <c r="O313" s="9" t="s">
        <v>2978</v>
      </c>
      <c r="P313" s="14" t="s">
        <v>2979</v>
      </c>
      <c r="Q313" s="14">
        <v>2</v>
      </c>
    </row>
    <row r="314" spans="1:17">
      <c r="A314" s="9" t="s">
        <v>5612</v>
      </c>
      <c r="B314" s="14" t="s">
        <v>330</v>
      </c>
      <c r="C314" s="14" t="s">
        <v>165</v>
      </c>
      <c r="D314" s="14" t="s">
        <v>789</v>
      </c>
      <c r="E314" s="15" t="str">
        <f>HYPERLINK("https://stat100.ameba.jp/tnk47/ratio20/illustrations/card/ill_49193_0_onmyoudouabenoseimei03.jpg?202007-i_prefecture_active_user", "■")</f>
        <v>■</v>
      </c>
      <c r="F314" s="14" t="s">
        <v>790</v>
      </c>
      <c r="G314" s="14">
        <v>122776</v>
      </c>
      <c r="H314" s="14">
        <v>138212</v>
      </c>
      <c r="I314" s="14">
        <v>22</v>
      </c>
      <c r="J314" s="14" t="s">
        <v>351</v>
      </c>
      <c r="K314" s="14" t="s">
        <v>791</v>
      </c>
      <c r="L314" s="14" t="s">
        <v>792</v>
      </c>
      <c r="M314" s="14" t="s">
        <v>9158</v>
      </c>
      <c r="N314" s="14" t="s">
        <v>9158</v>
      </c>
      <c r="O314" s="14" t="s">
        <v>9158</v>
      </c>
      <c r="P314" s="14" t="s">
        <v>9158</v>
      </c>
      <c r="Q314" s="14" t="s">
        <v>9158</v>
      </c>
    </row>
    <row r="315" spans="1:17">
      <c r="A315" s="14">
        <v>85853</v>
      </c>
      <c r="B315" s="14" t="s">
        <v>0</v>
      </c>
      <c r="C315" s="14" t="s">
        <v>205</v>
      </c>
      <c r="D315" s="20" t="s">
        <v>10867</v>
      </c>
      <c r="E315" s="15" t="str">
        <f>HYPERLINK("https://stat100.ameba.jp/tnk47/ratio20/illustrations/card/ill_85853_omochaitsukushimanonaiji03.jpg?202007-i_prefecture_active_user", "■")</f>
        <v>■</v>
      </c>
      <c r="F315" s="14" t="s">
        <v>8729</v>
      </c>
      <c r="G315" s="14">
        <v>76512</v>
      </c>
      <c r="H315" s="14">
        <v>136005</v>
      </c>
      <c r="I315" s="14">
        <v>27</v>
      </c>
      <c r="J315" s="14" t="s">
        <v>173</v>
      </c>
      <c r="K315" s="14" t="s">
        <v>8728</v>
      </c>
      <c r="L315" s="14" t="s">
        <v>4081</v>
      </c>
      <c r="M315" s="14" t="s">
        <v>9158</v>
      </c>
      <c r="N315" s="14" t="s">
        <v>9158</v>
      </c>
      <c r="O315" s="14" t="s">
        <v>9158</v>
      </c>
      <c r="P315" s="14" t="s">
        <v>9158</v>
      </c>
      <c r="Q315" s="14" t="s">
        <v>9158</v>
      </c>
    </row>
    <row r="316" spans="1:17">
      <c r="A316" s="9">
        <v>55993</v>
      </c>
      <c r="B316" s="14" t="s">
        <v>334</v>
      </c>
      <c r="C316" s="14" t="s">
        <v>307</v>
      </c>
      <c r="D316" s="14" t="s">
        <v>732</v>
      </c>
      <c r="E316" s="15" t="str">
        <f>HYPERLINK("https://stat100.ameba.jp/tnk47/ratio20/illustrations/card/ill_55993_taiyakichan03.jpg?202007-i_prefecture_active_user", "■")</f>
        <v>■</v>
      </c>
      <c r="F316" s="14" t="s">
        <v>733</v>
      </c>
      <c r="G316" s="14">
        <v>88593</v>
      </c>
      <c r="H316" s="14">
        <v>157484</v>
      </c>
      <c r="I316" s="14">
        <v>27</v>
      </c>
      <c r="J316" s="14" t="s">
        <v>283</v>
      </c>
      <c r="K316" s="14" t="s">
        <v>734</v>
      </c>
      <c r="L316" s="14" t="s">
        <v>735</v>
      </c>
      <c r="M316" s="14" t="s">
        <v>9158</v>
      </c>
      <c r="N316" s="14" t="s">
        <v>9158</v>
      </c>
      <c r="O316" s="14" t="s">
        <v>9158</v>
      </c>
      <c r="P316" s="14" t="s">
        <v>9158</v>
      </c>
      <c r="Q316" s="14" t="s">
        <v>9158</v>
      </c>
    </row>
    <row r="317" spans="1:17">
      <c r="A317" s="14">
        <v>82613</v>
      </c>
      <c r="B317" s="14" t="s">
        <v>0</v>
      </c>
      <c r="C317" s="14" t="s">
        <v>107</v>
      </c>
      <c r="D317" s="19" t="s">
        <v>10354</v>
      </c>
      <c r="E317" s="15" t="str">
        <f>HYPERLINK("https://stat100.ameba.jp/tnk47/ratio20/illustrations/card/ill_82613_hyokanokisetsumyorinni03.jpg?202007-i_prefecture_active_user", "■")</f>
        <v>■</v>
      </c>
      <c r="F317" s="14" t="s">
        <v>5538</v>
      </c>
      <c r="G317" s="14">
        <v>149240</v>
      </c>
      <c r="H317" s="14">
        <v>160507</v>
      </c>
      <c r="I317" s="14">
        <v>27</v>
      </c>
      <c r="J317" s="14" t="s">
        <v>143</v>
      </c>
      <c r="K317" s="14" t="s">
        <v>5540</v>
      </c>
      <c r="L317" s="14" t="s">
        <v>5541</v>
      </c>
      <c r="M317" s="14" t="s">
        <v>9158</v>
      </c>
      <c r="N317" s="14" t="s">
        <v>9158</v>
      </c>
      <c r="O317" s="14" t="s">
        <v>9158</v>
      </c>
      <c r="P317" s="14" t="s">
        <v>9158</v>
      </c>
      <c r="Q317" s="14" t="s">
        <v>9158</v>
      </c>
    </row>
    <row r="319" spans="1:17">
      <c r="A319" s="14" t="s">
        <v>13912</v>
      </c>
    </row>
    <row r="320" spans="1:17">
      <c r="A320" s="14" t="s">
        <v>13913</v>
      </c>
    </row>
    <row r="321" spans="1:17">
      <c r="A321" s="7" t="s">
        <v>8839</v>
      </c>
      <c r="B321" s="7" t="s">
        <v>52</v>
      </c>
      <c r="C321" s="7" t="s">
        <v>202</v>
      </c>
      <c r="D321" s="20" t="s">
        <v>10880</v>
      </c>
      <c r="E321" s="15" t="str">
        <f>HYPERLINK("https://stat100.ameba.jp/tnk47/ratio20/illustrations/card/ill_86273_0_oshogatsuniijimayae03.jpg?202007-i_prefecture_active_user", "■")</f>
        <v>■</v>
      </c>
      <c r="F321" s="7" t="s">
        <v>8838</v>
      </c>
      <c r="G321" s="7">
        <v>296321</v>
      </c>
      <c r="H321" s="7">
        <v>327865</v>
      </c>
      <c r="I321" s="7">
        <v>27</v>
      </c>
      <c r="J321" s="14" t="s">
        <v>173</v>
      </c>
      <c r="K321" s="7" t="s">
        <v>8837</v>
      </c>
      <c r="L321" s="7" t="s">
        <v>13211</v>
      </c>
      <c r="M321" s="14" t="s">
        <v>9158</v>
      </c>
      <c r="N321" s="14" t="s">
        <v>9158</v>
      </c>
      <c r="O321" s="19" t="s">
        <v>10134</v>
      </c>
      <c r="P321" s="7" t="s">
        <v>8870</v>
      </c>
      <c r="Q321" s="7">
        <v>1</v>
      </c>
    </row>
    <row r="322" spans="1:17">
      <c r="A322" s="9" t="s">
        <v>5733</v>
      </c>
      <c r="B322" s="14" t="s">
        <v>330</v>
      </c>
      <c r="C322" s="14" t="s">
        <v>202</v>
      </c>
      <c r="D322" s="14" t="s">
        <v>2744</v>
      </c>
      <c r="E322" s="15" t="str">
        <f>HYPERLINK("https://stat100.ameba.jp/tnk47/ratio20/illustrations/card/ill_78693_0_kyupittokoinomikoto03.jpg?202007-i_prefecture_active_user", "■")</f>
        <v>■</v>
      </c>
      <c r="F322" s="14" t="s">
        <v>2745</v>
      </c>
      <c r="G322" s="14">
        <v>282956</v>
      </c>
      <c r="H322" s="14">
        <v>313081</v>
      </c>
      <c r="I322" s="14">
        <v>27</v>
      </c>
      <c r="J322" s="14" t="s">
        <v>274</v>
      </c>
      <c r="K322" s="14" t="s">
        <v>2746</v>
      </c>
      <c r="L322" s="14" t="s">
        <v>2747</v>
      </c>
      <c r="M322" s="14" t="s">
        <v>9158</v>
      </c>
      <c r="N322" s="14" t="s">
        <v>9158</v>
      </c>
      <c r="O322" s="18" t="s">
        <v>10067</v>
      </c>
      <c r="P322" s="14" t="s">
        <v>2748</v>
      </c>
      <c r="Q322" s="14">
        <v>1</v>
      </c>
    </row>
    <row r="323" spans="1:17">
      <c r="A323" s="14" t="s">
        <v>5608</v>
      </c>
      <c r="B323" s="14" t="s">
        <v>52</v>
      </c>
      <c r="C323" s="14" t="s">
        <v>96</v>
      </c>
      <c r="D323" s="19" t="s">
        <v>634</v>
      </c>
      <c r="E323" s="15" t="str">
        <f>HYPERLINK("https://stat100.ameba.jp/tnk47/ratio20/illustrations/card/ill_40963_0_makami03.jpg?202007-i_prefecture_active_user", "■")</f>
        <v>■</v>
      </c>
      <c r="F323" s="14" t="s">
        <v>2038</v>
      </c>
      <c r="G323" s="14">
        <v>152152</v>
      </c>
      <c r="H323" s="14">
        <v>142500</v>
      </c>
      <c r="I323" s="14">
        <v>26</v>
      </c>
      <c r="J323" s="14" t="s">
        <v>44</v>
      </c>
      <c r="K323" s="14" t="s">
        <v>2039</v>
      </c>
      <c r="L323" s="14" t="s">
        <v>2040</v>
      </c>
      <c r="M323" s="14" t="s">
        <v>9158</v>
      </c>
      <c r="N323" s="14" t="s">
        <v>9158</v>
      </c>
      <c r="O323" s="14" t="s">
        <v>9158</v>
      </c>
      <c r="P323" s="14" t="s">
        <v>9158</v>
      </c>
      <c r="Q323" s="14" t="s">
        <v>9158</v>
      </c>
    </row>
    <row r="324" spans="1:17">
      <c r="A324" s="7">
        <v>85053</v>
      </c>
      <c r="B324" s="7" t="s">
        <v>0</v>
      </c>
      <c r="C324" s="7" t="s">
        <v>158</v>
      </c>
      <c r="D324" s="19" t="s">
        <v>10768</v>
      </c>
      <c r="E324" s="15" t="str">
        <f>HYPERLINK("https://stat100.ameba.jp/tnk47/ratio20/illustrations/card/ill_85053_heideirumu03.jpg?202007-i_prefecture_active_user", "■")</f>
        <v>■</v>
      </c>
      <c r="F324" s="7" t="s">
        <v>7969</v>
      </c>
      <c r="G324" s="7">
        <v>118684</v>
      </c>
      <c r="H324" s="7">
        <v>85962</v>
      </c>
      <c r="I324" s="14">
        <v>26</v>
      </c>
      <c r="J324" s="7" t="s">
        <v>169</v>
      </c>
      <c r="K324" s="7" t="s">
        <v>7968</v>
      </c>
      <c r="L324" s="7" t="s">
        <v>7967</v>
      </c>
      <c r="M324" s="14" t="s">
        <v>9158</v>
      </c>
      <c r="N324" s="14" t="s">
        <v>9158</v>
      </c>
      <c r="O324" s="19" t="s">
        <v>10085</v>
      </c>
      <c r="P324" s="7" t="s">
        <v>4374</v>
      </c>
      <c r="Q324" s="7">
        <v>1</v>
      </c>
    </row>
    <row r="325" spans="1:17">
      <c r="A325" s="14">
        <v>78133</v>
      </c>
      <c r="B325" s="14" t="s">
        <v>0</v>
      </c>
      <c r="C325" s="14" t="s">
        <v>154</v>
      </c>
      <c r="D325" s="20" t="s">
        <v>10313</v>
      </c>
      <c r="E325" s="15" t="str">
        <f>HYPERLINK("https://stat100.ameba.jp/tnk47/ratio20/illustrations/card/ill_78133_akazukin03.jpg?202007-i_prefecture_active_user", "■")</f>
        <v>■</v>
      </c>
      <c r="F325" s="14" t="s">
        <v>2202</v>
      </c>
      <c r="G325" s="14">
        <v>96100</v>
      </c>
      <c r="H325" s="14">
        <v>132684</v>
      </c>
      <c r="I325" s="14">
        <v>26</v>
      </c>
      <c r="J325" s="14" t="s">
        <v>38</v>
      </c>
      <c r="K325" s="14" t="s">
        <v>2203</v>
      </c>
      <c r="L325" s="14" t="s">
        <v>2204</v>
      </c>
      <c r="M325" s="14" t="s">
        <v>9158</v>
      </c>
      <c r="N325" s="14" t="s">
        <v>9158</v>
      </c>
      <c r="O325" s="19" t="s">
        <v>2917</v>
      </c>
      <c r="P325" s="14" t="s">
        <v>3531</v>
      </c>
      <c r="Q325" s="14">
        <v>1</v>
      </c>
    </row>
    <row r="326" spans="1:17">
      <c r="A326" s="14">
        <v>63283</v>
      </c>
      <c r="B326" s="14" t="s">
        <v>334</v>
      </c>
      <c r="C326" s="14" t="s">
        <v>209</v>
      </c>
      <c r="D326" s="19" t="s">
        <v>327</v>
      </c>
      <c r="E326" s="15" t="str">
        <f>HYPERLINK("https://stat100.ameba.jp/tnk47/ratio20/illustrations/card/ill_63283_mizuyokanchan03.jpg?202007-i_prefecture_active_user", "■")</f>
        <v>■</v>
      </c>
      <c r="F326" s="14" t="s">
        <v>327</v>
      </c>
      <c r="G326" s="14">
        <v>122786</v>
      </c>
      <c r="H326" s="14">
        <v>114176</v>
      </c>
      <c r="I326" s="14">
        <v>26</v>
      </c>
      <c r="J326" s="14" t="s">
        <v>283</v>
      </c>
      <c r="K326" s="14" t="s">
        <v>328</v>
      </c>
      <c r="L326" s="14" t="s">
        <v>329</v>
      </c>
      <c r="M326" s="14" t="s">
        <v>9158</v>
      </c>
      <c r="N326" s="14" t="s">
        <v>9158</v>
      </c>
      <c r="O326" s="19" t="s">
        <v>10084</v>
      </c>
      <c r="P326" s="14" t="s">
        <v>3563</v>
      </c>
      <c r="Q326" s="14">
        <v>1</v>
      </c>
    </row>
    <row r="327" spans="1:17">
      <c r="A327" s="14">
        <v>70843</v>
      </c>
      <c r="B327" s="14" t="s">
        <v>334</v>
      </c>
      <c r="C327" s="14" t="s">
        <v>268</v>
      </c>
      <c r="D327" s="20" t="s">
        <v>10651</v>
      </c>
      <c r="E327" s="15" t="str">
        <f>HYPERLINK("https://stat100.ameba.jp/tnk47/ratio20/illustrations/card/ill_70843_indoshinwakurionechan03.jpg?202007-i_prefecture_active_user", "■")</f>
        <v>■</v>
      </c>
      <c r="F327" s="14" t="s">
        <v>856</v>
      </c>
      <c r="G327" s="14">
        <v>110126</v>
      </c>
      <c r="H327" s="14">
        <v>118446</v>
      </c>
      <c r="I327" s="14">
        <v>26</v>
      </c>
      <c r="J327" s="14" t="s">
        <v>369</v>
      </c>
      <c r="K327" s="14" t="s">
        <v>857</v>
      </c>
      <c r="L327" s="14" t="s">
        <v>496</v>
      </c>
      <c r="M327" s="14" t="s">
        <v>9158</v>
      </c>
      <c r="N327" s="14" t="s">
        <v>9158</v>
      </c>
      <c r="O327" s="19" t="s">
        <v>10074</v>
      </c>
      <c r="P327" s="14" t="s">
        <v>3592</v>
      </c>
      <c r="Q327" s="14">
        <v>1</v>
      </c>
    </row>
    <row r="328" spans="1:17">
      <c r="A328" s="14">
        <v>81303</v>
      </c>
      <c r="B328" s="14" t="s">
        <v>334</v>
      </c>
      <c r="C328" s="14" t="s">
        <v>41</v>
      </c>
      <c r="D328" s="20" t="s">
        <v>10349</v>
      </c>
      <c r="E328" s="15" t="str">
        <f>HYPERLINK("https://stat100.ameba.jp/tnk47/ratio20/illustrations/card/ill_81303_suteirukuin03.jpg?202007-i_prefecture_active_user", "■")</f>
        <v>■</v>
      </c>
      <c r="F328" s="14" t="s">
        <v>4581</v>
      </c>
      <c r="G328" s="14">
        <v>125296</v>
      </c>
      <c r="H328" s="14">
        <v>172982</v>
      </c>
      <c r="I328" s="14">
        <v>26</v>
      </c>
      <c r="J328" s="14" t="s">
        <v>104</v>
      </c>
      <c r="K328" s="14" t="s">
        <v>4582</v>
      </c>
      <c r="L328" s="14" t="s">
        <v>2304</v>
      </c>
      <c r="M328" s="14" t="s">
        <v>9158</v>
      </c>
      <c r="N328" s="14" t="s">
        <v>9158</v>
      </c>
      <c r="O328" s="19" t="s">
        <v>10084</v>
      </c>
      <c r="P328" s="14" t="s">
        <v>4584</v>
      </c>
      <c r="Q328" s="14">
        <v>1</v>
      </c>
    </row>
    <row r="329" spans="1:17">
      <c r="A329" s="14">
        <v>77683</v>
      </c>
      <c r="B329" s="14" t="s">
        <v>0</v>
      </c>
      <c r="C329" s="14" t="s">
        <v>203</v>
      </c>
      <c r="D329" s="20" t="s">
        <v>10220</v>
      </c>
      <c r="E329" s="15" t="str">
        <f>HYPERLINK("https://stat100.ameba.jp/tnk47/ratio20/illustrations/card/ill_77683_shukusainoujohoride03.jpg?202007-i_prefecture_active_user", "■")</f>
        <v>■</v>
      </c>
      <c r="F329" s="14" t="s">
        <v>1430</v>
      </c>
      <c r="G329" s="14">
        <v>113630</v>
      </c>
      <c r="H329" s="14">
        <v>82318</v>
      </c>
      <c r="I329" s="14">
        <v>26</v>
      </c>
      <c r="J329" s="14" t="s">
        <v>315</v>
      </c>
      <c r="K329" s="14" t="s">
        <v>1431</v>
      </c>
      <c r="L329" s="14" t="s">
        <v>1432</v>
      </c>
      <c r="M329" s="14" t="s">
        <v>9158</v>
      </c>
      <c r="N329" s="14" t="s">
        <v>9158</v>
      </c>
      <c r="O329" s="19" t="s">
        <v>10090</v>
      </c>
      <c r="P329" s="14" t="s">
        <v>3460</v>
      </c>
      <c r="Q329" s="14">
        <v>1</v>
      </c>
    </row>
    <row r="331" spans="1:17">
      <c r="A331" s="14" t="s">
        <v>13914</v>
      </c>
    </row>
    <row r="332" spans="1:17">
      <c r="A332" s="14" t="s">
        <v>13915</v>
      </c>
    </row>
    <row r="333" spans="1:17">
      <c r="A333" s="14">
        <v>90863</v>
      </c>
      <c r="B333" s="14" t="s">
        <v>0</v>
      </c>
      <c r="C333" s="14" t="s">
        <v>185</v>
      </c>
      <c r="D333" s="14" t="s">
        <v>13916</v>
      </c>
      <c r="E333" s="15" t="str">
        <f>HYPERLINK("https://stat100.ameba.jp/tnk47/ratio20/illustrations/card/ill_90863_yokonosaitenherumesu03.jpg?202007-i_prefecture_active_user", "■")</f>
        <v>■</v>
      </c>
      <c r="F333" s="14" t="s">
        <v>13919</v>
      </c>
      <c r="G333" s="14">
        <v>161776</v>
      </c>
      <c r="H333" s="14">
        <v>90932</v>
      </c>
      <c r="I333" s="7">
        <v>27</v>
      </c>
      <c r="J333" s="14" t="s">
        <v>13847</v>
      </c>
      <c r="K333" s="14" t="s">
        <v>13918</v>
      </c>
      <c r="L333" s="14" t="s">
        <v>13917</v>
      </c>
      <c r="M333" s="14" t="s">
        <v>9158</v>
      </c>
      <c r="N333" s="14" t="s">
        <v>9158</v>
      </c>
      <c r="O333" s="14" t="s">
        <v>9158</v>
      </c>
      <c r="P333" s="14" t="s">
        <v>9158</v>
      </c>
      <c r="Q333" s="14" t="s">
        <v>9158</v>
      </c>
    </row>
    <row r="334" spans="1:17">
      <c r="A334" s="14">
        <v>90873</v>
      </c>
      <c r="B334" s="14" t="s">
        <v>334</v>
      </c>
      <c r="C334" s="14" t="s">
        <v>200</v>
      </c>
      <c r="D334" s="14" t="s">
        <v>13923</v>
      </c>
      <c r="E334" s="15" t="str">
        <f>HYPERLINK("https://stat100.ameba.jp/tnk47/ratio20/illustrations/card/ill_90873_yokonosaitenrozupafue03.jpg?202007-i_prefecture_active_user", "■")</f>
        <v>■</v>
      </c>
      <c r="F334" s="14" t="s">
        <v>13922</v>
      </c>
      <c r="G334" s="14">
        <v>161776</v>
      </c>
      <c r="H334" s="14">
        <v>90932</v>
      </c>
      <c r="I334" s="14">
        <v>27</v>
      </c>
      <c r="J334" s="14" t="s">
        <v>13869</v>
      </c>
      <c r="K334" s="14" t="s">
        <v>13921</v>
      </c>
      <c r="L334" s="14" t="s">
        <v>13920</v>
      </c>
      <c r="M334" s="14" t="s">
        <v>9158</v>
      </c>
      <c r="N334" s="14" t="s">
        <v>9158</v>
      </c>
      <c r="O334" s="14" t="s">
        <v>9158</v>
      </c>
      <c r="P334" s="14" t="s">
        <v>9158</v>
      </c>
      <c r="Q334" s="14" t="s">
        <v>9158</v>
      </c>
    </row>
    <row r="335" spans="1:17">
      <c r="A335" s="14">
        <v>90883</v>
      </c>
      <c r="B335" s="14" t="s">
        <v>334</v>
      </c>
      <c r="C335" s="14" t="s">
        <v>191</v>
      </c>
      <c r="D335" s="14" t="s">
        <v>13927</v>
      </c>
      <c r="E335" s="15" t="str">
        <f>HYPERLINK("https://stat100.ameba.jp/tnk47/ratio20/illustrations/card/ill_90883_yokonosaitenkusuriurichan03.jpg?202007-i_prefecture_active_user", "■")</f>
        <v>■</v>
      </c>
      <c r="F335" s="14" t="s">
        <v>13926</v>
      </c>
      <c r="G335" s="14">
        <v>161776</v>
      </c>
      <c r="H335" s="14">
        <v>90932</v>
      </c>
      <c r="I335" s="7">
        <v>27</v>
      </c>
      <c r="J335" s="14" t="s">
        <v>13795</v>
      </c>
      <c r="K335" s="14" t="s">
        <v>13925</v>
      </c>
      <c r="L335" s="14" t="s">
        <v>13924</v>
      </c>
      <c r="M335" s="14" t="s">
        <v>9158</v>
      </c>
      <c r="N335" s="14" t="s">
        <v>9158</v>
      </c>
      <c r="O335" s="14" t="s">
        <v>9158</v>
      </c>
      <c r="P335" s="14" t="s">
        <v>9158</v>
      </c>
      <c r="Q335" s="14" t="s">
        <v>9158</v>
      </c>
    </row>
    <row r="336" spans="1:17">
      <c r="A336" s="14">
        <v>90893</v>
      </c>
      <c r="B336" s="14" t="s">
        <v>0</v>
      </c>
      <c r="C336" s="14" t="s">
        <v>165</v>
      </c>
      <c r="D336" s="14" t="s">
        <v>13931</v>
      </c>
      <c r="E336" s="15" t="str">
        <f>HYPERLINK("https://stat100.ameba.jp/tnk47/ratio20/illustrations/card/ill_90893_yokonosaitenokuriokami03.jpg?202007-i_prefecture_active_user", "■")</f>
        <v>■</v>
      </c>
      <c r="F336" s="14" t="s">
        <v>13930</v>
      </c>
      <c r="G336" s="14">
        <v>161776</v>
      </c>
      <c r="H336" s="14">
        <v>90932</v>
      </c>
      <c r="I336" s="14">
        <v>27</v>
      </c>
      <c r="J336" s="14" t="s">
        <v>13833</v>
      </c>
      <c r="K336" s="14" t="s">
        <v>13929</v>
      </c>
      <c r="L336" s="14" t="s">
        <v>13928</v>
      </c>
      <c r="M336" s="14" t="s">
        <v>9158</v>
      </c>
      <c r="N336" s="14" t="s">
        <v>9158</v>
      </c>
      <c r="O336" s="14" t="s">
        <v>9158</v>
      </c>
      <c r="P336" s="14" t="s">
        <v>9158</v>
      </c>
      <c r="Q336" s="14" t="s">
        <v>9158</v>
      </c>
    </row>
    <row r="337" spans="1:17">
      <c r="A337" s="14">
        <v>90903</v>
      </c>
      <c r="B337" s="14" t="s">
        <v>334</v>
      </c>
      <c r="C337" s="14" t="s">
        <v>205</v>
      </c>
      <c r="D337" s="14" t="s">
        <v>13935</v>
      </c>
      <c r="E337" s="15" t="str">
        <f>HYPERLINK("https://stat100.ameba.jp/tnk47/ratio20/illustrations/card/ill_90903_yokonosaitensefuiroto03.jpg?202007-i_prefecture_active_user", "■")</f>
        <v>■</v>
      </c>
      <c r="F337" s="14" t="s">
        <v>13934</v>
      </c>
      <c r="G337" s="14">
        <v>161776</v>
      </c>
      <c r="H337" s="14">
        <v>90932</v>
      </c>
      <c r="I337" s="7">
        <v>27</v>
      </c>
      <c r="J337" s="14" t="s">
        <v>13814</v>
      </c>
      <c r="K337" s="14" t="s">
        <v>13933</v>
      </c>
      <c r="L337" s="14" t="s">
        <v>13932</v>
      </c>
      <c r="M337" s="14" t="s">
        <v>9158</v>
      </c>
      <c r="N337" s="14" t="s">
        <v>9158</v>
      </c>
      <c r="O337" s="14" t="s">
        <v>9158</v>
      </c>
      <c r="P337" s="14" t="s">
        <v>9158</v>
      </c>
      <c r="Q337" s="14" t="s">
        <v>9158</v>
      </c>
    </row>
    <row r="338" spans="1:17">
      <c r="A338" s="14">
        <v>90913</v>
      </c>
      <c r="B338" s="14" t="s">
        <v>334</v>
      </c>
      <c r="C338" s="14" t="s">
        <v>206</v>
      </c>
      <c r="D338" s="14" t="s">
        <v>13939</v>
      </c>
      <c r="E338" s="15" t="str">
        <f>HYPERLINK("https://stat100.ameba.jp/tnk47/ratio20/illustrations/card/ill_90913_yokonosaitenoryo03.jpg?202007-i_prefecture_active_user", "■")</f>
        <v>■</v>
      </c>
      <c r="F338" s="14" t="s">
        <v>13938</v>
      </c>
      <c r="G338" s="14">
        <v>161776</v>
      </c>
      <c r="H338" s="14">
        <v>90932</v>
      </c>
      <c r="I338" s="14">
        <v>27</v>
      </c>
      <c r="J338" s="14" t="s">
        <v>13817</v>
      </c>
      <c r="K338" s="14" t="s">
        <v>13937</v>
      </c>
      <c r="L338" s="14" t="s">
        <v>13936</v>
      </c>
      <c r="M338" s="14" t="s">
        <v>9158</v>
      </c>
      <c r="N338" s="14" t="s">
        <v>9158</v>
      </c>
      <c r="O338" s="14" t="s">
        <v>9158</v>
      </c>
      <c r="P338" s="14" t="s">
        <v>9158</v>
      </c>
      <c r="Q338" s="14" t="s">
        <v>9158</v>
      </c>
    </row>
    <row r="340" spans="1:17">
      <c r="A340" s="14" t="s">
        <v>13839</v>
      </c>
    </row>
    <row r="341" spans="1:17">
      <c r="A341" s="14" t="s">
        <v>13940</v>
      </c>
    </row>
    <row r="342" spans="1:17">
      <c r="A342" s="14" t="s">
        <v>5601</v>
      </c>
      <c r="B342" s="14" t="s">
        <v>330</v>
      </c>
      <c r="C342" s="14" t="s">
        <v>35</v>
      </c>
      <c r="D342" s="19" t="s">
        <v>10318</v>
      </c>
      <c r="E342" s="15" t="str">
        <f>HYPERLINK("https://stat100.ameba.jp/tnk47/ratio20/illustrations/card/ill_82423_0_bikinigarukishi03.jpg?202002-i_prefecture_active_userxxxx", "■")</f>
        <v>■</v>
      </c>
      <c r="F342" s="14" t="s">
        <v>5391</v>
      </c>
      <c r="G342" s="14">
        <v>302708</v>
      </c>
      <c r="H342" s="14">
        <v>273591</v>
      </c>
      <c r="I342" s="14">
        <v>25</v>
      </c>
      <c r="J342" s="14" t="s">
        <v>77</v>
      </c>
      <c r="K342" s="14" t="s">
        <v>5392</v>
      </c>
      <c r="L342" s="14" t="s">
        <v>5393</v>
      </c>
      <c r="M342" s="14" t="s">
        <v>9158</v>
      </c>
      <c r="N342" s="14" t="s">
        <v>9158</v>
      </c>
      <c r="O342" s="19" t="s">
        <v>10069</v>
      </c>
      <c r="P342" s="14" t="s">
        <v>5394</v>
      </c>
      <c r="Q342" s="14">
        <v>1</v>
      </c>
    </row>
    <row r="343" spans="1:17">
      <c r="A343" s="7">
        <v>85653</v>
      </c>
      <c r="B343" s="7" t="s">
        <v>0</v>
      </c>
      <c r="C343" s="14" t="s">
        <v>158</v>
      </c>
      <c r="D343" s="20" t="s">
        <v>10846</v>
      </c>
      <c r="E343" s="15" t="str">
        <f>HYPERLINK("https://stat100.ameba.jp/tnk47/ratio20/illustrations/card/ill_85653_onashiefumizuno03.jpg?202004-5-RELEASE-marathon-466xxxx", "■")</f>
        <v>■</v>
      </c>
      <c r="F343" s="7" t="s">
        <v>8587</v>
      </c>
      <c r="G343" s="7">
        <v>91876</v>
      </c>
      <c r="H343" s="7">
        <v>126858</v>
      </c>
      <c r="I343" s="7">
        <v>24</v>
      </c>
      <c r="J343" s="7" t="s">
        <v>216</v>
      </c>
      <c r="K343" s="7" t="s">
        <v>8586</v>
      </c>
      <c r="L343" s="7" t="s">
        <v>131</v>
      </c>
      <c r="M343" s="14" t="s">
        <v>9158</v>
      </c>
      <c r="N343" s="14" t="s">
        <v>9158</v>
      </c>
      <c r="O343" s="19" t="s">
        <v>4074</v>
      </c>
      <c r="P343" s="14" t="s">
        <v>3462</v>
      </c>
      <c r="Q343" s="14">
        <v>1</v>
      </c>
    </row>
    <row r="344" spans="1:17">
      <c r="A344" s="14">
        <v>69503</v>
      </c>
      <c r="B344" s="14" t="s">
        <v>0</v>
      </c>
      <c r="C344" s="14" t="s">
        <v>47</v>
      </c>
      <c r="D344" s="19" t="s">
        <v>2949</v>
      </c>
      <c r="E344" s="15" t="str">
        <f>HYPERLINK("https://stat100.ameba.jp/tnk47/ratio20/illustrations/card/ill_69503_azusayumi03.jpg?202003-i_prefecture_active_user", "■")</f>
        <v>■</v>
      </c>
      <c r="F344" s="14" t="s">
        <v>66</v>
      </c>
      <c r="G344" s="14">
        <v>108924</v>
      </c>
      <c r="H344" s="14">
        <v>78916</v>
      </c>
      <c r="I344" s="14">
        <v>24</v>
      </c>
      <c r="J344" s="14" t="s">
        <v>38</v>
      </c>
      <c r="K344" s="14" t="s">
        <v>67</v>
      </c>
      <c r="L344" s="14" t="s">
        <v>68</v>
      </c>
      <c r="M344" s="14" t="s">
        <v>9158</v>
      </c>
      <c r="N344" s="14" t="s">
        <v>9158</v>
      </c>
      <c r="O344" s="19" t="s">
        <v>2951</v>
      </c>
      <c r="P344" s="14" t="s">
        <v>13122</v>
      </c>
      <c r="Q344" s="14">
        <v>1</v>
      </c>
    </row>
    <row r="345" spans="1:17">
      <c r="A345" s="7">
        <v>85643</v>
      </c>
      <c r="B345" s="7" t="s">
        <v>0</v>
      </c>
      <c r="C345" s="7" t="s">
        <v>154</v>
      </c>
      <c r="D345" s="20" t="s">
        <v>10828</v>
      </c>
      <c r="E345" s="15" t="str">
        <f>HYPERLINK("https://stat100.ameba.jp/tnk47/ratio20/illustrations/card/ill_85643_hosekisho03.jpg?202004-5-RELEASE-marathon-466xxxxxxx", "■")</f>
        <v>■</v>
      </c>
      <c r="F345" s="7" t="s">
        <v>8420</v>
      </c>
      <c r="G345" s="7">
        <v>104890</v>
      </c>
      <c r="H345" s="7">
        <v>75984</v>
      </c>
      <c r="I345" s="14">
        <v>24</v>
      </c>
      <c r="J345" s="7" t="s">
        <v>26</v>
      </c>
      <c r="K345" s="7" t="s">
        <v>8418</v>
      </c>
      <c r="L345" s="7" t="s">
        <v>3260</v>
      </c>
      <c r="M345" s="14" t="s">
        <v>9158</v>
      </c>
      <c r="N345" s="14" t="s">
        <v>9158</v>
      </c>
      <c r="O345" s="19" t="s">
        <v>10091</v>
      </c>
      <c r="P345" s="7" t="s">
        <v>3670</v>
      </c>
      <c r="Q345" s="7">
        <v>1</v>
      </c>
    </row>
    <row r="347" spans="1:17">
      <c r="A347" s="14" t="s">
        <v>13837</v>
      </c>
    </row>
    <row r="348" spans="1:17">
      <c r="A348" s="14" t="s">
        <v>13941</v>
      </c>
    </row>
    <row r="349" spans="1:17">
      <c r="A349" s="14" t="s">
        <v>5734</v>
      </c>
      <c r="B349" s="14" t="s">
        <v>330</v>
      </c>
      <c r="C349" s="14" t="s">
        <v>202</v>
      </c>
      <c r="D349" s="19" t="s">
        <v>2297</v>
      </c>
      <c r="E349" s="15" t="str">
        <f>HYPERLINK("https://stat100.ameba.jp/tnk47/ratio20/illustrations/card/ill_74593_0_natsuyuenchikoshihikari03.jpg?202004-5-RELEASE-marathon-466xxxx", "■")</f>
        <v>■</v>
      </c>
      <c r="F349" s="14" t="s">
        <v>1498</v>
      </c>
      <c r="G349" s="14">
        <v>270828</v>
      </c>
      <c r="H349" s="14">
        <v>251781</v>
      </c>
      <c r="I349" s="14">
        <v>25</v>
      </c>
      <c r="J349" s="14" t="s">
        <v>283</v>
      </c>
      <c r="K349" s="14" t="s">
        <v>1499</v>
      </c>
      <c r="L349" s="14" t="s">
        <v>1500</v>
      </c>
      <c r="M349" s="14" t="s">
        <v>9158</v>
      </c>
      <c r="N349" s="14" t="s">
        <v>9158</v>
      </c>
      <c r="O349" s="19" t="s">
        <v>2731</v>
      </c>
      <c r="P349" s="14" t="s">
        <v>2732</v>
      </c>
      <c r="Q349" s="14">
        <v>1</v>
      </c>
    </row>
    <row r="350" spans="1:17">
      <c r="A350" s="14">
        <v>74553</v>
      </c>
      <c r="B350" s="14" t="s">
        <v>0</v>
      </c>
      <c r="C350" s="14" t="s">
        <v>107</v>
      </c>
      <c r="D350" s="20" t="s">
        <v>10389</v>
      </c>
      <c r="E350" s="15" t="str">
        <f>HYPERLINK("https://stat100.ameba.jp/tnk47/ratio20/illustrations/card/ill_74553_natsuyuenchikusumotoine03.jpg?202001-2-RELEASE-unionbattle-448", "■")</f>
        <v>■</v>
      </c>
      <c r="F350" s="14" t="s">
        <v>4109</v>
      </c>
      <c r="G350" s="14">
        <v>101373</v>
      </c>
      <c r="H350" s="14">
        <v>94295</v>
      </c>
      <c r="I350" s="14">
        <v>25</v>
      </c>
      <c r="J350" s="14" t="s">
        <v>16</v>
      </c>
      <c r="K350" s="14" t="s">
        <v>4110</v>
      </c>
      <c r="L350" s="14" t="s">
        <v>1149</v>
      </c>
      <c r="M350" s="14" t="s">
        <v>9158</v>
      </c>
      <c r="N350" s="14" t="s">
        <v>9158</v>
      </c>
      <c r="O350" s="19" t="s">
        <v>10090</v>
      </c>
      <c r="P350" s="14" t="s">
        <v>3460</v>
      </c>
      <c r="Q350" s="14">
        <v>1</v>
      </c>
    </row>
    <row r="351" spans="1:17">
      <c r="A351" s="14">
        <v>83513</v>
      </c>
      <c r="B351" s="14" t="s">
        <v>334</v>
      </c>
      <c r="C351" s="14" t="s">
        <v>1</v>
      </c>
      <c r="D351" s="20" t="s">
        <v>10556</v>
      </c>
      <c r="E351" s="15" t="str">
        <f>HYPERLINK("https://stat100.ameba.jp/tnk47/ratio20/illustrations/card/ill_83513_kajuemmimuratsuru03.jpg?201912-2-RELEASE-unionbattle-443x", "■")</f>
        <v>■</v>
      </c>
      <c r="F351" s="14" t="s">
        <v>6603</v>
      </c>
      <c r="G351" s="14">
        <v>148619</v>
      </c>
      <c r="H351" s="14">
        <v>138186</v>
      </c>
      <c r="I351" s="14">
        <v>25</v>
      </c>
      <c r="J351" s="14" t="s">
        <v>143</v>
      </c>
      <c r="K351" s="14" t="s">
        <v>6601</v>
      </c>
      <c r="L351" s="14" t="s">
        <v>6600</v>
      </c>
      <c r="M351" s="14" t="s">
        <v>9158</v>
      </c>
      <c r="N351" s="14" t="s">
        <v>9158</v>
      </c>
      <c r="O351" s="19" t="s">
        <v>2951</v>
      </c>
      <c r="P351" s="14" t="s">
        <v>13122</v>
      </c>
      <c r="Q351" s="14">
        <v>1</v>
      </c>
    </row>
    <row r="352" spans="1:17">
      <c r="A352" s="14">
        <v>75333</v>
      </c>
      <c r="B352" s="14" t="s">
        <v>334</v>
      </c>
      <c r="C352" s="14" t="s">
        <v>200</v>
      </c>
      <c r="D352" s="19" t="s">
        <v>3206</v>
      </c>
      <c r="E352" s="15" t="str">
        <f>HYPERLINK("https://stat100.ameba.jp/tnk47/ratio20/illustrations/card/ill_75333_resukuintamamonomae03.jpg?202002-i_prefecture_active_userxxxx", "■")</f>
        <v>■</v>
      </c>
      <c r="F352" s="14" t="s">
        <v>3207</v>
      </c>
      <c r="G352" s="14">
        <v>96871</v>
      </c>
      <c r="H352" s="14">
        <v>104162</v>
      </c>
      <c r="I352" s="7">
        <v>25</v>
      </c>
      <c r="J352" s="14" t="s">
        <v>320</v>
      </c>
      <c r="K352" s="14" t="s">
        <v>3208</v>
      </c>
      <c r="L352" s="14" t="s">
        <v>3209</v>
      </c>
      <c r="M352" s="14" t="s">
        <v>9158</v>
      </c>
      <c r="N352" s="14" t="s">
        <v>9158</v>
      </c>
      <c r="O352" s="19" t="s">
        <v>10074</v>
      </c>
      <c r="P352" s="14" t="s">
        <v>2822</v>
      </c>
      <c r="Q352" s="14">
        <v>1</v>
      </c>
    </row>
    <row r="354" spans="1:17">
      <c r="A354" s="14" t="s">
        <v>13909</v>
      </c>
    </row>
    <row r="355" spans="1:17">
      <c r="A355" s="14" t="s">
        <v>13942</v>
      </c>
    </row>
    <row r="356" spans="1:17">
      <c r="A356" s="14" t="s">
        <v>5778</v>
      </c>
      <c r="B356" s="14" t="s">
        <v>330</v>
      </c>
      <c r="C356" s="14" t="s">
        <v>205</v>
      </c>
      <c r="D356" s="20" t="s">
        <v>272</v>
      </c>
      <c r="E356" s="15" t="str">
        <f>HYPERLINK("https://stat100.ameba.jp/tnk47/ratio20/illustrations/card/ill_68783_0_gantammomotaro03.jpg?202007-i_prefecture_active_userx", "■")</f>
        <v>■</v>
      </c>
      <c r="F356" s="14" t="s">
        <v>273</v>
      </c>
      <c r="G356" s="14">
        <v>164144</v>
      </c>
      <c r="H356" s="14">
        <v>152594</v>
      </c>
      <c r="I356" s="14">
        <v>24</v>
      </c>
      <c r="J356" s="14" t="s">
        <v>274</v>
      </c>
      <c r="K356" s="14" t="s">
        <v>275</v>
      </c>
      <c r="L356" s="14" t="s">
        <v>276</v>
      </c>
      <c r="M356" s="14" t="s">
        <v>9158</v>
      </c>
      <c r="N356" s="14" t="s">
        <v>9158</v>
      </c>
      <c r="O356" s="19" t="s">
        <v>10099</v>
      </c>
      <c r="P356" s="14" t="s">
        <v>3085</v>
      </c>
      <c r="Q356" s="14">
        <v>1</v>
      </c>
    </row>
    <row r="357" spans="1:17">
      <c r="A357" s="14" t="s">
        <v>5615</v>
      </c>
      <c r="B357" s="14" t="s">
        <v>330</v>
      </c>
      <c r="C357" s="14" t="s">
        <v>206</v>
      </c>
      <c r="D357" s="20" t="s">
        <v>2814</v>
      </c>
      <c r="E357" s="15" t="str">
        <f>HYPERLINK("https://stat100.ameba.jp/tnk47/ratio20/illustrations/card/ill_57733_0_shogatsunisenjunanaamakusashiro03.jpg?202007-i_prefecture_active_userx", "■")</f>
        <v>■</v>
      </c>
      <c r="F357" s="14" t="s">
        <v>2815</v>
      </c>
      <c r="G357" s="14">
        <v>133938</v>
      </c>
      <c r="H357" s="14">
        <v>150776</v>
      </c>
      <c r="I357" s="14">
        <v>24</v>
      </c>
      <c r="J357" s="14" t="s">
        <v>351</v>
      </c>
      <c r="K357" s="14" t="s">
        <v>2816</v>
      </c>
      <c r="L357" s="14" t="s">
        <v>2817</v>
      </c>
      <c r="M357" s="14" t="s">
        <v>9158</v>
      </c>
      <c r="N357" s="14" t="s">
        <v>9158</v>
      </c>
      <c r="O357" s="19" t="s">
        <v>10077</v>
      </c>
      <c r="P357" s="14" t="s">
        <v>3062</v>
      </c>
      <c r="Q357" s="14">
        <v>1</v>
      </c>
    </row>
    <row r="358" spans="1:17">
      <c r="A358" s="14" t="s">
        <v>5627</v>
      </c>
      <c r="B358" s="14" t="s">
        <v>330</v>
      </c>
      <c r="C358" s="14" t="s">
        <v>191</v>
      </c>
      <c r="D358" s="19" t="s">
        <v>393</v>
      </c>
      <c r="E358" s="15" t="str">
        <f>HYPERLINK("https://stat100.ameba.jp/tnk47/ratio20/illustrations/card/ill_46283_0_odanobunaga03.jpg?202007-i_prefecture_active_userx", "■")</f>
        <v>■</v>
      </c>
      <c r="F358" s="14" t="s">
        <v>1073</v>
      </c>
      <c r="G358" s="14">
        <v>131538</v>
      </c>
      <c r="H358" s="14">
        <v>140448</v>
      </c>
      <c r="I358" s="14">
        <v>24</v>
      </c>
      <c r="J358" s="14" t="s">
        <v>143</v>
      </c>
      <c r="K358" s="14" t="s">
        <v>1074</v>
      </c>
      <c r="L358" s="14" t="s">
        <v>1075</v>
      </c>
      <c r="M358" s="14" t="s">
        <v>9158</v>
      </c>
      <c r="N358" s="14" t="s">
        <v>9158</v>
      </c>
      <c r="O358" s="14" t="s">
        <v>9158</v>
      </c>
      <c r="P358" s="14" t="s">
        <v>9158</v>
      </c>
      <c r="Q358" s="14" t="s">
        <v>9158</v>
      </c>
    </row>
    <row r="359" spans="1:17">
      <c r="A359" s="14">
        <v>89953</v>
      </c>
      <c r="B359" s="14" t="s">
        <v>13780</v>
      </c>
      <c r="C359" s="14" t="s">
        <v>13820</v>
      </c>
      <c r="D359" s="14" t="s">
        <v>13819</v>
      </c>
      <c r="E359" s="15" t="str">
        <f>HYPERLINK("https://stat100.ameba.jp/tnk47/ratio20/illustrations/card/ill_89953_koinoborihinotomiko03.jpg?202007-i_prefecture_active_userx", "■")</f>
        <v>■</v>
      </c>
      <c r="F359" s="14" t="s">
        <v>13818</v>
      </c>
      <c r="G359" s="14">
        <v>101558</v>
      </c>
      <c r="H359" s="14">
        <v>94390</v>
      </c>
      <c r="I359" s="7">
        <v>26</v>
      </c>
      <c r="J359" s="14" t="s">
        <v>13817</v>
      </c>
      <c r="K359" s="14" t="s">
        <v>13816</v>
      </c>
      <c r="L359" s="14" t="s">
        <v>13815</v>
      </c>
      <c r="M359" s="14" t="s">
        <v>9158</v>
      </c>
      <c r="N359" s="14" t="s">
        <v>9158</v>
      </c>
      <c r="O359" s="14" t="s">
        <v>9158</v>
      </c>
      <c r="P359" s="14" t="s">
        <v>9158</v>
      </c>
      <c r="Q359" s="14" t="s">
        <v>9158</v>
      </c>
    </row>
    <row r="360" spans="1:17">
      <c r="A360" s="14">
        <v>89963</v>
      </c>
      <c r="B360" s="14" t="s">
        <v>13781</v>
      </c>
      <c r="C360" s="14" t="s">
        <v>13825</v>
      </c>
      <c r="D360" s="14" t="s">
        <v>13824</v>
      </c>
      <c r="E360" s="15" t="str">
        <f>HYPERLINK("https://stat100.ameba.jp/tnk47/ratio20/illustrations/card/ill_89963_mahoushoujokikyouhime03.jpg?202007-i_prefecture_active_userx", "■")</f>
        <v>■</v>
      </c>
      <c r="F360" s="14" t="s">
        <v>13823</v>
      </c>
      <c r="G360" s="14">
        <v>69898</v>
      </c>
      <c r="H360" s="14">
        <v>77064</v>
      </c>
      <c r="I360" s="7">
        <v>26</v>
      </c>
      <c r="J360" s="14" t="s">
        <v>13817</v>
      </c>
      <c r="K360" s="14" t="s">
        <v>13822</v>
      </c>
      <c r="L360" s="14" t="s">
        <v>13821</v>
      </c>
      <c r="M360" s="14" t="s">
        <v>9158</v>
      </c>
      <c r="N360" s="14" t="s">
        <v>9158</v>
      </c>
      <c r="O360" s="14" t="s">
        <v>9158</v>
      </c>
      <c r="P360" s="14" t="s">
        <v>9158</v>
      </c>
      <c r="Q360" s="14" t="s">
        <v>9158</v>
      </c>
    </row>
    <row r="361" spans="1:17">
      <c r="A361" s="14">
        <v>89973</v>
      </c>
      <c r="B361" s="14" t="s">
        <v>13782</v>
      </c>
      <c r="C361" s="14" t="s">
        <v>13830</v>
      </c>
      <c r="D361" s="14" t="s">
        <v>13829</v>
      </c>
      <c r="E361" s="15" t="str">
        <f>HYPERLINK("https://stat100.ameba.jp/tnk47/ratio20/illustrations/card/ill_89973_mahoushoujogouhime03.jpg?202007-i_prefecture_active_userx", "■")</f>
        <v>■</v>
      </c>
      <c r="F361" s="14" t="s">
        <v>13828</v>
      </c>
      <c r="G361" s="14">
        <v>54058</v>
      </c>
      <c r="H361" s="14">
        <v>44948</v>
      </c>
      <c r="I361" s="7">
        <v>26</v>
      </c>
      <c r="J361" s="14" t="s">
        <v>13817</v>
      </c>
      <c r="K361" s="14" t="s">
        <v>13827</v>
      </c>
      <c r="L361" s="14" t="s">
        <v>13826</v>
      </c>
      <c r="M361" s="14" t="s">
        <v>9158</v>
      </c>
      <c r="N361" s="14" t="s">
        <v>9158</v>
      </c>
      <c r="O361" s="14" t="s">
        <v>9158</v>
      </c>
      <c r="P361" s="14" t="s">
        <v>9158</v>
      </c>
      <c r="Q361" s="14" t="s">
        <v>9158</v>
      </c>
    </row>
    <row r="362" spans="1:17">
      <c r="A362" s="14">
        <v>89983</v>
      </c>
      <c r="B362" s="14" t="s">
        <v>13783</v>
      </c>
      <c r="C362" s="14" t="s">
        <v>13836</v>
      </c>
      <c r="D362" s="14" t="s">
        <v>13835</v>
      </c>
      <c r="E362" s="15" t="str">
        <f>HYPERLINK("https://stat100.ameba.jp/tnk47/ratio20/illustrations/card/ill_89983_mahotsukaikinoko03.jpg?202007-i_prefecture_active_userx", "■")</f>
        <v>■</v>
      </c>
      <c r="F362" s="14" t="s">
        <v>13834</v>
      </c>
      <c r="G362" s="14">
        <v>27486</v>
      </c>
      <c r="H362" s="14">
        <v>32728</v>
      </c>
      <c r="I362" s="7">
        <v>26</v>
      </c>
      <c r="J362" s="14" t="s">
        <v>13833</v>
      </c>
      <c r="K362" s="14" t="s">
        <v>13832</v>
      </c>
      <c r="L362" s="14" t="s">
        <v>13831</v>
      </c>
      <c r="M362" s="14" t="s">
        <v>9158</v>
      </c>
      <c r="N362" s="14" t="s">
        <v>9158</v>
      </c>
      <c r="O362" s="14" t="s">
        <v>9158</v>
      </c>
      <c r="P362" s="14" t="s">
        <v>9158</v>
      </c>
      <c r="Q362" s="14" t="s">
        <v>9158</v>
      </c>
    </row>
    <row r="364" spans="1:17">
      <c r="A364" s="14" t="s">
        <v>13943</v>
      </c>
    </row>
    <row r="365" spans="1:17">
      <c r="A365" s="14" t="s">
        <v>13944</v>
      </c>
    </row>
    <row r="366" spans="1:17">
      <c r="A366" s="14" t="s">
        <v>5618</v>
      </c>
      <c r="B366" s="14" t="s">
        <v>330</v>
      </c>
      <c r="C366" s="14" t="s">
        <v>200</v>
      </c>
      <c r="D366" s="20" t="s">
        <v>665</v>
      </c>
      <c r="E366" s="15" t="str">
        <f>HYPERLINK("https://stat100.ameba.jp/tnk47/ratio20/illustrations/card/ill_63173_0_minazukikonakaiteruko03.jpg?202007-i_prefecture_active_userx", "■")</f>
        <v>■</v>
      </c>
      <c r="F366" s="14" t="s">
        <v>666</v>
      </c>
      <c r="G366" s="14">
        <v>234350</v>
      </c>
      <c r="H366" s="14">
        <v>252030</v>
      </c>
      <c r="I366" s="14">
        <v>27</v>
      </c>
      <c r="J366" s="14" t="s">
        <v>310</v>
      </c>
      <c r="K366" s="14" t="s">
        <v>667</v>
      </c>
      <c r="L366" s="14" t="s">
        <v>668</v>
      </c>
      <c r="M366" s="14" t="s">
        <v>9158</v>
      </c>
      <c r="N366" s="14" t="s">
        <v>9158</v>
      </c>
      <c r="O366" s="19" t="s">
        <v>10079</v>
      </c>
      <c r="P366" s="14" t="s">
        <v>3329</v>
      </c>
      <c r="Q366" s="14">
        <v>1</v>
      </c>
    </row>
    <row r="367" spans="1:17">
      <c r="A367" s="14" t="s">
        <v>5623</v>
      </c>
      <c r="B367" s="14" t="s">
        <v>330</v>
      </c>
      <c r="C367" s="14" t="s">
        <v>165</v>
      </c>
      <c r="D367" s="20" t="s">
        <v>3146</v>
      </c>
      <c r="E367" s="15" t="str">
        <f>HYPERLINK("https://stat100.ameba.jp/tnk47/ratio20/illustrations/card/ill_65713_0_undokaionikirimaru03.jpg?202007-i_prefecture_active_userx", "■")</f>
        <v>■</v>
      </c>
      <c r="F367" s="14" t="s">
        <v>535</v>
      </c>
      <c r="G367" s="14">
        <v>204345</v>
      </c>
      <c r="H367" s="14">
        <v>189983</v>
      </c>
      <c r="I367" s="14">
        <v>27</v>
      </c>
      <c r="J367" s="14" t="s">
        <v>320</v>
      </c>
      <c r="K367" s="14" t="s">
        <v>3147</v>
      </c>
      <c r="L367" s="14" t="s">
        <v>3148</v>
      </c>
      <c r="M367" s="14" t="s">
        <v>9158</v>
      </c>
      <c r="N367" s="14" t="s">
        <v>9158</v>
      </c>
      <c r="O367" s="19" t="s">
        <v>2869</v>
      </c>
      <c r="P367" s="14" t="s">
        <v>2870</v>
      </c>
      <c r="Q367" s="14">
        <v>1</v>
      </c>
    </row>
    <row r="368" spans="1:17">
      <c r="A368" s="14" t="s">
        <v>6132</v>
      </c>
      <c r="B368" s="14" t="s">
        <v>52</v>
      </c>
      <c r="C368" s="14" t="s">
        <v>205</v>
      </c>
      <c r="D368" s="19" t="s">
        <v>702</v>
      </c>
      <c r="E368" s="15" t="str">
        <f>HYPERLINK("https://stat100.ameba.jp/tnk47/ratio20/illustrations/card/ill_50693_0_hanamizugimimuratsuru03.jpg?202007-i_prefecture_active_userx", "■")</f>
        <v>■</v>
      </c>
      <c r="F368" s="14" t="s">
        <v>2282</v>
      </c>
      <c r="G368" s="14">
        <v>150680</v>
      </c>
      <c r="H368" s="14">
        <v>169624</v>
      </c>
      <c r="I368" s="14">
        <v>27</v>
      </c>
      <c r="J368" s="14" t="s">
        <v>143</v>
      </c>
      <c r="K368" s="14" t="s">
        <v>2283</v>
      </c>
      <c r="L368" s="14" t="s">
        <v>2284</v>
      </c>
      <c r="M368" s="14" t="s">
        <v>9158</v>
      </c>
      <c r="N368" s="14" t="s">
        <v>9158</v>
      </c>
      <c r="O368" s="14" t="s">
        <v>9158</v>
      </c>
      <c r="P368" s="14" t="s">
        <v>9158</v>
      </c>
      <c r="Q368" s="14" t="s">
        <v>9158</v>
      </c>
    </row>
    <row r="369" spans="1:19">
      <c r="A369" s="14">
        <v>83403</v>
      </c>
      <c r="B369" s="14" t="s">
        <v>13780</v>
      </c>
      <c r="C369" s="14" t="s">
        <v>13791</v>
      </c>
      <c r="D369" s="14" t="s">
        <v>13945</v>
      </c>
      <c r="E369" s="15" t="str">
        <f>HYPERLINK("https://stat100.ameba.jp/tnk47/ratio20/illustrations/card/ill_83403_yuenchihazadosoyoshitoshi03.jpg?202007-i_prefecture_active_userx", "■")</f>
        <v>■</v>
      </c>
      <c r="F369" s="14" t="s">
        <v>13948</v>
      </c>
      <c r="G369" s="14">
        <v>156168</v>
      </c>
      <c r="H369" s="14">
        <v>167967</v>
      </c>
      <c r="I369" s="14">
        <v>27</v>
      </c>
      <c r="J369" s="14" t="s">
        <v>13803</v>
      </c>
      <c r="K369" s="14" t="s">
        <v>13947</v>
      </c>
      <c r="L369" s="14" t="s">
        <v>13946</v>
      </c>
      <c r="M369" s="14" t="s">
        <v>9158</v>
      </c>
      <c r="N369" s="14" t="s">
        <v>9158</v>
      </c>
      <c r="O369" s="14" t="s">
        <v>9158</v>
      </c>
      <c r="P369" s="14" t="s">
        <v>9158</v>
      </c>
      <c r="Q369" s="14" t="s">
        <v>9158</v>
      </c>
      <c r="S369" s="14" t="s">
        <v>13970</v>
      </c>
    </row>
    <row r="370" spans="1:19">
      <c r="A370" s="14">
        <v>82703</v>
      </c>
      <c r="B370" s="14" t="s">
        <v>13780</v>
      </c>
      <c r="C370" s="14" t="s">
        <v>13952</v>
      </c>
      <c r="D370" s="14" t="s">
        <v>13953</v>
      </c>
      <c r="E370" s="15" t="str">
        <f>HYPERLINK("https://stat100.ameba.jp/tnk47/ratio20/illustrations/card/ill_82703_natsufuesuizumishikibu03.jpg?202007-i_prefecture_active_userx", "■")</f>
        <v>■</v>
      </c>
      <c r="F370" s="14" t="s">
        <v>13951</v>
      </c>
      <c r="G370" s="14">
        <v>109481</v>
      </c>
      <c r="H370" s="14">
        <v>101837</v>
      </c>
      <c r="I370" s="14">
        <v>27</v>
      </c>
      <c r="J370" s="14" t="s">
        <v>13908</v>
      </c>
      <c r="K370" s="14" t="s">
        <v>13950</v>
      </c>
      <c r="L370" s="14" t="s">
        <v>13949</v>
      </c>
      <c r="M370" s="14" t="s">
        <v>9158</v>
      </c>
      <c r="N370" s="14" t="s">
        <v>9158</v>
      </c>
      <c r="O370" s="14" t="s">
        <v>9158</v>
      </c>
      <c r="P370" s="14" t="s">
        <v>9158</v>
      </c>
      <c r="Q370" s="14" t="s">
        <v>9158</v>
      </c>
      <c r="S370" s="14" t="s">
        <v>14771</v>
      </c>
    </row>
    <row r="371" spans="1:19">
      <c r="A371" s="14">
        <v>82073</v>
      </c>
      <c r="B371" s="14" t="s">
        <v>13780</v>
      </c>
      <c r="C371" s="14" t="s">
        <v>13897</v>
      </c>
      <c r="D371" s="14" t="s">
        <v>13957</v>
      </c>
      <c r="E371" s="15" t="str">
        <f>HYPERLINK("https://stat100.ameba.jp/tnk47/ratio20/illustrations/card/ill_82073_senritsunosumasshugoryokakusan03.jpg?202007-i_prefecture_active_userx", "■")</f>
        <v>■</v>
      </c>
      <c r="F371" s="14" t="s">
        <v>13956</v>
      </c>
      <c r="G371" s="14">
        <v>123002</v>
      </c>
      <c r="H371" s="14">
        <v>114362</v>
      </c>
      <c r="I371" s="14">
        <v>27</v>
      </c>
      <c r="J371" s="14" t="s">
        <v>13795</v>
      </c>
      <c r="K371" s="14" t="s">
        <v>13955</v>
      </c>
      <c r="L371" s="14" t="s">
        <v>13954</v>
      </c>
      <c r="M371" s="14" t="s">
        <v>9158</v>
      </c>
      <c r="N371" s="14" t="s">
        <v>9158</v>
      </c>
      <c r="O371" s="14" t="s">
        <v>9158</v>
      </c>
      <c r="P371" s="14" t="s">
        <v>9158</v>
      </c>
      <c r="Q371" s="14" t="s">
        <v>9158</v>
      </c>
      <c r="S371" s="14" t="s">
        <v>13971</v>
      </c>
    </row>
    <row r="372" spans="1:19">
      <c r="A372" s="14">
        <v>84073</v>
      </c>
      <c r="B372" s="14" t="s">
        <v>13781</v>
      </c>
      <c r="C372" s="14" t="s">
        <v>13810</v>
      </c>
      <c r="D372" s="14" t="s">
        <v>13961</v>
      </c>
      <c r="E372" s="15" t="str">
        <f>HYPERLINK("https://stat100.ameba.jp/tnk47/ratio20/illustrations/card/ill_84073_majokkomijigokuchan03.jpg?202007-i_prefecture_active_userx", "■")</f>
        <v>■</v>
      </c>
      <c r="F372" s="14" t="s">
        <v>13960</v>
      </c>
      <c r="G372" s="14">
        <v>72586</v>
      </c>
      <c r="H372" s="14">
        <v>80028</v>
      </c>
      <c r="I372" s="14">
        <v>27</v>
      </c>
      <c r="J372" s="14" t="s">
        <v>13795</v>
      </c>
      <c r="K372" s="14" t="s">
        <v>13959</v>
      </c>
      <c r="L372" s="14" t="s">
        <v>13958</v>
      </c>
      <c r="M372" s="14" t="s">
        <v>9158</v>
      </c>
      <c r="N372" s="14" t="s">
        <v>9158</v>
      </c>
      <c r="O372" s="14" t="s">
        <v>9158</v>
      </c>
      <c r="P372" s="14" t="s">
        <v>9158</v>
      </c>
      <c r="Q372" s="14" t="s">
        <v>9158</v>
      </c>
      <c r="S372" s="14" t="s">
        <v>13972</v>
      </c>
    </row>
    <row r="373" spans="1:19">
      <c r="A373" s="14">
        <v>83123</v>
      </c>
      <c r="B373" s="14" t="s">
        <v>13781</v>
      </c>
      <c r="C373" s="14" t="s">
        <v>13801</v>
      </c>
      <c r="D373" s="14" t="s">
        <v>13965</v>
      </c>
      <c r="E373" s="15" t="str">
        <f>HYPERLINK("https://stat100.ameba.jp/tnk47/ratio20/illustrations/card/ill_83123_shireitousafaia03.jpg?202007-i_prefecture_active_userx", "■")</f>
        <v>■</v>
      </c>
      <c r="F373" s="14" t="s">
        <v>13964</v>
      </c>
      <c r="G373" s="14">
        <v>80028</v>
      </c>
      <c r="H373" s="14">
        <v>72586</v>
      </c>
      <c r="I373" s="14">
        <v>27</v>
      </c>
      <c r="J373" s="14" t="s">
        <v>13908</v>
      </c>
      <c r="K373" s="14" t="s">
        <v>13963</v>
      </c>
      <c r="L373" s="14" t="s">
        <v>13962</v>
      </c>
      <c r="M373" s="14" t="s">
        <v>9158</v>
      </c>
      <c r="N373" s="14" t="s">
        <v>9158</v>
      </c>
      <c r="O373" s="14" t="s">
        <v>9158</v>
      </c>
      <c r="P373" s="14" t="s">
        <v>9158</v>
      </c>
      <c r="Q373" s="14" t="s">
        <v>9158</v>
      </c>
      <c r="S373" s="14" t="s">
        <v>13973</v>
      </c>
    </row>
    <row r="374" spans="1:19">
      <c r="A374" s="14">
        <v>83313</v>
      </c>
      <c r="B374" s="14" t="s">
        <v>13781</v>
      </c>
      <c r="C374" s="14" t="s">
        <v>13856</v>
      </c>
      <c r="D374" s="14" t="s">
        <v>13969</v>
      </c>
      <c r="E374" s="15" t="str">
        <f>HYPERLINK("https://stat100.ameba.jp/tnk47/ratio20/illustrations/card/ill_83313_masunosushichan03.jpg?202007-i_prefecture_active_userx", "■")</f>
        <v>■</v>
      </c>
      <c r="F374" s="14" t="s">
        <v>13968</v>
      </c>
      <c r="G374" s="14">
        <v>72586</v>
      </c>
      <c r="H374" s="14">
        <v>80028</v>
      </c>
      <c r="I374" s="14">
        <v>27</v>
      </c>
      <c r="J374" s="14" t="s">
        <v>13869</v>
      </c>
      <c r="K374" s="14" t="s">
        <v>13967</v>
      </c>
      <c r="L374" s="14" t="s">
        <v>13966</v>
      </c>
      <c r="M374" s="14" t="s">
        <v>9158</v>
      </c>
      <c r="N374" s="14" t="s">
        <v>9158</v>
      </c>
      <c r="O374" s="14" t="s">
        <v>9158</v>
      </c>
      <c r="P374" s="14" t="s">
        <v>9158</v>
      </c>
      <c r="Q374" s="14" t="s">
        <v>9158</v>
      </c>
      <c r="S374" s="14" t="s">
        <v>13974</v>
      </c>
    </row>
    <row r="376" spans="1:19">
      <c r="A376" s="14" t="s">
        <v>13837</v>
      </c>
    </row>
    <row r="377" spans="1:19">
      <c r="A377" s="14" t="s">
        <v>13975</v>
      </c>
    </row>
    <row r="378" spans="1:19">
      <c r="A378" s="14" t="s">
        <v>5626</v>
      </c>
      <c r="B378" s="14" t="s">
        <v>330</v>
      </c>
      <c r="C378" s="14" t="s">
        <v>200</v>
      </c>
      <c r="D378" s="20" t="s">
        <v>3160</v>
      </c>
      <c r="E378" s="15" t="str">
        <f>HYPERLINK("https://stat100.ameba.jp/tnk47/ratio20/illustrations/card/ill_72963_0_amenohanayomehiguchiichiyo03.jpg?202007-i_prefecture_active_userx", "■")</f>
        <v>■</v>
      </c>
      <c r="F378" s="14" t="s">
        <v>1139</v>
      </c>
      <c r="G378" s="14">
        <v>167506</v>
      </c>
      <c r="H378" s="14">
        <v>155750</v>
      </c>
      <c r="I378" s="14">
        <v>25</v>
      </c>
      <c r="J378" s="14" t="s">
        <v>173</v>
      </c>
      <c r="K378" s="14" t="s">
        <v>1140</v>
      </c>
      <c r="L378" s="14" t="s">
        <v>1141</v>
      </c>
      <c r="M378" s="14" t="s">
        <v>9158</v>
      </c>
      <c r="N378" s="14" t="s">
        <v>9158</v>
      </c>
      <c r="O378" s="19" t="s">
        <v>3162</v>
      </c>
      <c r="P378" s="14" t="s">
        <v>3410</v>
      </c>
      <c r="Q378" s="14">
        <v>1</v>
      </c>
    </row>
    <row r="379" spans="1:19">
      <c r="A379" s="14">
        <v>71333</v>
      </c>
      <c r="B379" s="14" t="s">
        <v>0</v>
      </c>
      <c r="C379" s="14" t="s">
        <v>41</v>
      </c>
      <c r="D379" s="20" t="s">
        <v>10256</v>
      </c>
      <c r="E379" s="15" t="str">
        <f>HYPERLINK("https://stat100.ameba.jp/tnk47/ratio20/illustrations/card/ill_71333_fujiwaranokamatari03.jpg?202007-i_prefecture_active_userx", "■")</f>
        <v>■</v>
      </c>
      <c r="F379" s="14" t="s">
        <v>58</v>
      </c>
      <c r="G379" s="14">
        <v>109259</v>
      </c>
      <c r="H379" s="14">
        <v>79151</v>
      </c>
      <c r="I379" s="14">
        <v>25</v>
      </c>
      <c r="J379" s="14" t="s">
        <v>173</v>
      </c>
      <c r="K379" s="14" t="s">
        <v>59</v>
      </c>
      <c r="L379" s="14" t="s">
        <v>60</v>
      </c>
      <c r="M379" s="14" t="s">
        <v>9158</v>
      </c>
      <c r="N379" s="14" t="s">
        <v>9158</v>
      </c>
      <c r="O379" s="19" t="s">
        <v>10098</v>
      </c>
      <c r="P379" s="14" t="s">
        <v>3491</v>
      </c>
      <c r="Q379" s="14">
        <v>1</v>
      </c>
    </row>
    <row r="380" spans="1:19">
      <c r="A380" s="14">
        <v>86223</v>
      </c>
      <c r="B380" s="14" t="s">
        <v>0</v>
      </c>
      <c r="C380" s="14" t="s">
        <v>191</v>
      </c>
      <c r="D380" s="20" t="s">
        <v>10881</v>
      </c>
      <c r="E380" s="15" t="str">
        <f>HYPERLINK("https://stat100.ameba.jp/tnk47/ratio20/illustrations/card/ill_86223_oshogatsumiyoshino03.jpg?202007-i_prefecture_active_userx", "■")</f>
        <v>■</v>
      </c>
      <c r="F380" s="14" t="s">
        <v>8871</v>
      </c>
      <c r="G380" s="14">
        <v>90759</v>
      </c>
      <c r="H380" s="14">
        <v>97651</v>
      </c>
      <c r="I380" s="14">
        <v>25</v>
      </c>
      <c r="J380" s="14" t="s">
        <v>187</v>
      </c>
      <c r="K380" s="14" t="s">
        <v>8845</v>
      </c>
      <c r="L380" s="14" t="s">
        <v>13212</v>
      </c>
      <c r="M380" s="14" t="s">
        <v>9158</v>
      </c>
      <c r="N380" s="14" t="s">
        <v>9158</v>
      </c>
      <c r="O380" s="19" t="s">
        <v>10119</v>
      </c>
      <c r="P380" s="14" t="s">
        <v>3662</v>
      </c>
      <c r="Q380" s="14">
        <v>1</v>
      </c>
    </row>
    <row r="381" spans="1:19">
      <c r="A381" s="9">
        <v>71323</v>
      </c>
      <c r="B381" s="14" t="s">
        <v>0</v>
      </c>
      <c r="C381" s="14" t="s">
        <v>154</v>
      </c>
      <c r="D381" s="14" t="s">
        <v>1878</v>
      </c>
      <c r="E381" s="15" t="str">
        <f>HYPERLINK("https://stat100.ameba.jp/tnk47/ratio20/illustrations/card/ill_71323_kodanobu03.jpg?202007-i_prefecture_active_userx", "■")</f>
        <v>■</v>
      </c>
      <c r="F381" s="14" t="s">
        <v>1879</v>
      </c>
      <c r="G381" s="14">
        <v>125000</v>
      </c>
      <c r="H381" s="14">
        <v>116225</v>
      </c>
      <c r="I381" s="14">
        <v>25</v>
      </c>
      <c r="J381" s="14" t="s">
        <v>16</v>
      </c>
      <c r="K381" s="14" t="s">
        <v>1880</v>
      </c>
      <c r="L381" s="14" t="s">
        <v>1881</v>
      </c>
      <c r="M381" s="14" t="s">
        <v>9158</v>
      </c>
      <c r="N381" s="14" t="s">
        <v>9158</v>
      </c>
      <c r="O381" s="17" t="s">
        <v>10055</v>
      </c>
      <c r="P381" s="14" t="s">
        <v>13124</v>
      </c>
      <c r="Q381" s="14">
        <v>1</v>
      </c>
    </row>
    <row r="383" spans="1:19">
      <c r="A383" s="14" t="s">
        <v>13881</v>
      </c>
    </row>
    <row r="384" spans="1:19">
      <c r="A384" s="14" t="s">
        <v>13976</v>
      </c>
    </row>
    <row r="385" spans="1:17">
      <c r="A385" s="14">
        <v>71013</v>
      </c>
      <c r="B385" s="14" t="s">
        <v>334</v>
      </c>
      <c r="C385" s="14" t="s">
        <v>154</v>
      </c>
      <c r="D385" s="19" t="s">
        <v>837</v>
      </c>
      <c r="E385" s="15" t="str">
        <f>HYPERLINK("https://stat100.ameba.jp/tnk47/ratio20/illustrations/card/ill_71013_fujutsushisarashina03.jpg?202007-i_prefecture_active_userx", "■")</f>
        <v>■</v>
      </c>
      <c r="F385" s="14" t="s">
        <v>838</v>
      </c>
      <c r="G385" s="14">
        <v>108276</v>
      </c>
      <c r="H385" s="14">
        <v>116452</v>
      </c>
      <c r="I385" s="14">
        <v>27</v>
      </c>
      <c r="J385" s="14" t="s">
        <v>155</v>
      </c>
      <c r="K385" s="14" t="s">
        <v>1231</v>
      </c>
      <c r="L385" s="14" t="s">
        <v>13152</v>
      </c>
      <c r="M385" s="14" t="s">
        <v>9864</v>
      </c>
      <c r="N385" s="14" t="s">
        <v>9158</v>
      </c>
      <c r="O385" s="14" t="s">
        <v>9158</v>
      </c>
      <c r="P385" s="14" t="s">
        <v>9158</v>
      </c>
      <c r="Q385" s="14" t="s">
        <v>9158</v>
      </c>
    </row>
    <row r="386" spans="1:17">
      <c r="A386" s="14">
        <v>71023</v>
      </c>
      <c r="B386" s="14" t="s">
        <v>334</v>
      </c>
      <c r="C386" s="14" t="s">
        <v>158</v>
      </c>
      <c r="D386" s="19" t="s">
        <v>841</v>
      </c>
      <c r="E386" s="15" t="str">
        <f>HYPERLINK("https://stat100.ameba.jp/tnk47/ratio20/illustrations/card/ill_71023_ommyojiiroha03.jpg?202007-i_prefecture_active_userx", "■")</f>
        <v>■</v>
      </c>
      <c r="F386" s="14" t="s">
        <v>842</v>
      </c>
      <c r="G386" s="14">
        <v>108276</v>
      </c>
      <c r="H386" s="14">
        <v>116452</v>
      </c>
      <c r="I386" s="14">
        <v>27</v>
      </c>
      <c r="J386" s="14" t="s">
        <v>159</v>
      </c>
      <c r="K386" s="14" t="s">
        <v>1232</v>
      </c>
      <c r="L386" s="14" t="s">
        <v>1233</v>
      </c>
      <c r="M386" s="14" t="s">
        <v>9158</v>
      </c>
      <c r="N386" s="14" t="s">
        <v>9158</v>
      </c>
      <c r="O386" s="14" t="s">
        <v>9158</v>
      </c>
      <c r="P386" s="14" t="s">
        <v>9158</v>
      </c>
      <c r="Q386" s="14" t="s">
        <v>9158</v>
      </c>
    </row>
    <row r="387" spans="1:17">
      <c r="A387" s="14">
        <v>66053</v>
      </c>
      <c r="B387" s="14" t="s">
        <v>334</v>
      </c>
      <c r="C387" s="14" t="s">
        <v>205</v>
      </c>
      <c r="D387" s="19" t="s">
        <v>3046</v>
      </c>
      <c r="E387" s="15" t="str">
        <f>HYPERLINK("https://stat100.ameba.jp/tnk47/ratio20/illustrations/card/ill_66053_serebukushiyatamanokami03.jpg?202007-i_prefecture_active_userx", "■")</f>
        <v>■</v>
      </c>
      <c r="F387" s="14" t="s">
        <v>2265</v>
      </c>
      <c r="G387" s="14">
        <v>110129</v>
      </c>
      <c r="H387" s="14">
        <v>102386</v>
      </c>
      <c r="I387" s="14">
        <v>27</v>
      </c>
      <c r="J387" s="14" t="s">
        <v>44</v>
      </c>
      <c r="K387" s="14" t="s">
        <v>2266</v>
      </c>
      <c r="L387" s="14" t="s">
        <v>1860</v>
      </c>
      <c r="M387" s="14" t="s">
        <v>9158</v>
      </c>
      <c r="N387" s="14" t="s">
        <v>9158</v>
      </c>
      <c r="O387" s="14" t="s">
        <v>9158</v>
      </c>
      <c r="P387" s="14" t="s">
        <v>9158</v>
      </c>
      <c r="Q387" s="14" t="s">
        <v>9158</v>
      </c>
    </row>
    <row r="388" spans="1:17">
      <c r="A388" s="14">
        <v>65923</v>
      </c>
      <c r="B388" s="14" t="s">
        <v>334</v>
      </c>
      <c r="C388" s="14" t="s">
        <v>185</v>
      </c>
      <c r="D388" s="19" t="s">
        <v>10204</v>
      </c>
      <c r="E388" s="15" t="str">
        <f>HYPERLINK("https://stat100.ameba.jp/tnk47/ratio20/illustrations/card/ill_65923_arabianginko03.jpg?202007-i_prefecture_active_userx", "■")</f>
        <v>■</v>
      </c>
      <c r="F388" s="14" t="s">
        <v>4978</v>
      </c>
      <c r="G388" s="14">
        <v>112496</v>
      </c>
      <c r="H388" s="14">
        <v>104619</v>
      </c>
      <c r="I388" s="14">
        <v>27</v>
      </c>
      <c r="J388" s="14" t="s">
        <v>182</v>
      </c>
      <c r="K388" s="14" t="s">
        <v>3679</v>
      </c>
      <c r="L388" s="14" t="s">
        <v>13188</v>
      </c>
      <c r="M388" s="14" t="s">
        <v>9158</v>
      </c>
      <c r="N388" s="14" t="s">
        <v>9158</v>
      </c>
      <c r="O388" s="14" t="s">
        <v>9158</v>
      </c>
      <c r="P388" s="14" t="s">
        <v>9158</v>
      </c>
      <c r="Q388" s="14" t="s">
        <v>9158</v>
      </c>
    </row>
    <row r="389" spans="1:17">
      <c r="A389" s="14">
        <v>52863</v>
      </c>
      <c r="B389" s="14" t="s">
        <v>15</v>
      </c>
      <c r="C389" s="14" t="s">
        <v>191</v>
      </c>
      <c r="D389" s="19" t="s">
        <v>10516</v>
      </c>
      <c r="E389" s="15" t="str">
        <f>HYPERLINK("https://stat100.ameba.jp/tnk47/ratio20/illustrations/card/ill_52863_andoroidokingyonota03.jpg?202007-i_prefecture_active_userx", "■")</f>
        <v>■</v>
      </c>
      <c r="F389" s="14" t="s">
        <v>6409</v>
      </c>
      <c r="G389" s="14">
        <v>72586</v>
      </c>
      <c r="H389" s="14">
        <v>80028</v>
      </c>
      <c r="I389" s="14">
        <v>27</v>
      </c>
      <c r="J389" s="14" t="s">
        <v>38</v>
      </c>
      <c r="K389" s="14" t="s">
        <v>6407</v>
      </c>
      <c r="L389" s="14" t="s">
        <v>6406</v>
      </c>
      <c r="M389" s="14" t="s">
        <v>9158</v>
      </c>
      <c r="N389" s="14" t="s">
        <v>9158</v>
      </c>
      <c r="O389" s="14" t="s">
        <v>9158</v>
      </c>
      <c r="P389" s="14" t="s">
        <v>9158</v>
      </c>
      <c r="Q389" s="14" t="s">
        <v>9158</v>
      </c>
    </row>
    <row r="390" spans="1:17">
      <c r="A390" s="14">
        <v>51593</v>
      </c>
      <c r="B390" s="14" t="s">
        <v>15</v>
      </c>
      <c r="C390" s="14" t="s">
        <v>200</v>
      </c>
      <c r="D390" s="19" t="s">
        <v>10517</v>
      </c>
      <c r="E390" s="15" t="str">
        <f>HYPERLINK("https://stat100.ameba.jp/tnk47/ratio20/illustrations/card/ill_51593_kishuhondatadakatsu03.jpg?202007-i_prefecture_active_userx", "■")</f>
        <v>■</v>
      </c>
      <c r="F390" s="14" t="s">
        <v>6413</v>
      </c>
      <c r="G390" s="14">
        <v>72586</v>
      </c>
      <c r="H390" s="14">
        <v>80028</v>
      </c>
      <c r="I390" s="14">
        <v>27</v>
      </c>
      <c r="J390" s="14" t="s">
        <v>143</v>
      </c>
      <c r="K390" s="14" t="s">
        <v>6411</v>
      </c>
      <c r="L390" s="14" t="s">
        <v>6410</v>
      </c>
      <c r="M390" s="14" t="s">
        <v>9158</v>
      </c>
      <c r="N390" s="14" t="s">
        <v>9158</v>
      </c>
      <c r="O390" s="14" t="s">
        <v>9158</v>
      </c>
      <c r="P390" s="14" t="s">
        <v>9158</v>
      </c>
      <c r="Q390" s="14" t="s">
        <v>9158</v>
      </c>
    </row>
    <row r="391" spans="1:17">
      <c r="A391" s="14">
        <v>55403</v>
      </c>
      <c r="B391" s="14" t="s">
        <v>15</v>
      </c>
      <c r="C391" s="14" t="s">
        <v>165</v>
      </c>
      <c r="D391" s="19" t="s">
        <v>10518</v>
      </c>
      <c r="E391" s="15" t="str">
        <f>HYPERLINK("https://stat100.ameba.jp/tnk47/ratio20/illustrations/card/ill_55403_undokaikyogokumaria03.jpg?202007-i_prefecture_active_userx", "■")</f>
        <v>■</v>
      </c>
      <c r="F391" s="14" t="s">
        <v>6417</v>
      </c>
      <c r="G391" s="14">
        <v>80028</v>
      </c>
      <c r="H391" s="14">
        <v>72586</v>
      </c>
      <c r="I391" s="14">
        <v>27</v>
      </c>
      <c r="J391" s="14" t="s">
        <v>77</v>
      </c>
      <c r="K391" s="14" t="s">
        <v>6415</v>
      </c>
      <c r="L391" s="14" t="s">
        <v>6414</v>
      </c>
      <c r="M391" s="14" t="s">
        <v>9158</v>
      </c>
      <c r="N391" s="14" t="s">
        <v>9158</v>
      </c>
      <c r="O391" s="14" t="s">
        <v>9158</v>
      </c>
      <c r="P391" s="14" t="s">
        <v>9158</v>
      </c>
      <c r="Q391" s="14" t="s">
        <v>9158</v>
      </c>
    </row>
    <row r="392" spans="1:17">
      <c r="A392" s="14">
        <v>52973</v>
      </c>
      <c r="B392" s="14" t="s">
        <v>15</v>
      </c>
      <c r="C392" s="14" t="s">
        <v>206</v>
      </c>
      <c r="D392" s="19" t="s">
        <v>10519</v>
      </c>
      <c r="E392" s="15" t="str">
        <f>HYPERLINK("https://stat100.ameba.jp/tnk47/ratio20/illustrations/card/ill_52973_torampuamoronagu03.jpg?202007-i_prefecture_active_userx", "■")</f>
        <v>■</v>
      </c>
      <c r="F392" s="14" t="s">
        <v>6421</v>
      </c>
      <c r="G392" s="14">
        <v>80028</v>
      </c>
      <c r="H392" s="14">
        <v>72586</v>
      </c>
      <c r="I392" s="14">
        <v>27</v>
      </c>
      <c r="J392" s="14" t="s">
        <v>44</v>
      </c>
      <c r="K392" s="14" t="s">
        <v>6419</v>
      </c>
      <c r="L392" s="14" t="s">
        <v>6418</v>
      </c>
      <c r="M392" s="14" t="s">
        <v>9158</v>
      </c>
      <c r="N392" s="14" t="s">
        <v>9158</v>
      </c>
      <c r="O392" s="14" t="s">
        <v>9158</v>
      </c>
      <c r="P392" s="14" t="s">
        <v>9158</v>
      </c>
      <c r="Q392" s="14" t="s">
        <v>9158</v>
      </c>
    </row>
    <row r="394" spans="1:17">
      <c r="A394" s="14" t="s">
        <v>13977</v>
      </c>
    </row>
    <row r="395" spans="1:17">
      <c r="A395" s="14" t="s">
        <v>13978</v>
      </c>
    </row>
    <row r="396" spans="1:17">
      <c r="A396" s="9" t="s">
        <v>5822</v>
      </c>
      <c r="B396" s="14" t="s">
        <v>330</v>
      </c>
      <c r="C396" s="14" t="s">
        <v>191</v>
      </c>
      <c r="D396" s="14" t="s">
        <v>898</v>
      </c>
      <c r="E396" s="15" t="str">
        <f>HYPERLINK("https://stat100.ameba.jp/tnk47/ratio20/illustrations/card/ill_71403_0_ohanamisanadayukimura03.jpg?202007-i_prefecture_active_userx", "■")</f>
        <v>■</v>
      </c>
      <c r="F396" s="14" t="s">
        <v>309</v>
      </c>
      <c r="G396" s="14">
        <v>186688</v>
      </c>
      <c r="H396" s="14">
        <v>173592</v>
      </c>
      <c r="I396" s="14">
        <v>20</v>
      </c>
      <c r="J396" s="14" t="s">
        <v>310</v>
      </c>
      <c r="K396" s="14" t="s">
        <v>311</v>
      </c>
      <c r="L396" s="14" t="s">
        <v>312</v>
      </c>
      <c r="M396" s="14" t="s">
        <v>9158</v>
      </c>
      <c r="N396" s="14" t="s">
        <v>9158</v>
      </c>
      <c r="O396" s="17" t="s">
        <v>10060</v>
      </c>
      <c r="P396" s="14" t="s">
        <v>3418</v>
      </c>
      <c r="Q396" s="14">
        <v>2</v>
      </c>
    </row>
    <row r="397" spans="1:17">
      <c r="A397" s="14">
        <v>90013</v>
      </c>
      <c r="B397" s="14" t="s">
        <v>0</v>
      </c>
      <c r="C397" s="14" t="s">
        <v>13825</v>
      </c>
      <c r="D397" s="14" t="s">
        <v>13981</v>
      </c>
      <c r="E397" s="15" t="str">
        <f>HYPERLINK("https://stat100.ameba.jp/tnk47/ratio20/illustrations/card/ill_90013_buiranzumarisondemonia03.jpg?202007-i_prefecture_active_userx", "■")</f>
        <v>■</v>
      </c>
      <c r="F397" s="14" t="s">
        <v>13982</v>
      </c>
      <c r="G397" s="14">
        <v>157484</v>
      </c>
      <c r="H397" s="14">
        <v>88593</v>
      </c>
      <c r="I397" s="14">
        <v>27</v>
      </c>
      <c r="J397" s="14" t="s">
        <v>13795</v>
      </c>
      <c r="K397" s="14" t="s">
        <v>13983</v>
      </c>
      <c r="L397" s="14" t="s">
        <v>13984</v>
      </c>
      <c r="M397" s="14" t="s">
        <v>9158</v>
      </c>
      <c r="N397" s="14" t="s">
        <v>9158</v>
      </c>
      <c r="O397" s="14" t="s">
        <v>9158</v>
      </c>
      <c r="P397" s="14" t="s">
        <v>9158</v>
      </c>
      <c r="Q397" s="14" t="s">
        <v>9158</v>
      </c>
    </row>
    <row r="398" spans="1:17">
      <c r="A398" s="14">
        <v>90012</v>
      </c>
      <c r="B398" s="14" t="s">
        <v>334</v>
      </c>
      <c r="C398" s="14" t="s">
        <v>13825</v>
      </c>
      <c r="D398" s="14" t="s">
        <v>13981</v>
      </c>
      <c r="E398" s="15" t="str">
        <f>HYPERLINK("https://stat100.ameba.jp/tnk47/ratio20/illustrations/card/ill_90012_buiranzumarisondemonia02.jpg?202007-i_prefecture_active_userx", "■")</f>
        <v>■</v>
      </c>
      <c r="F398" s="14" t="s">
        <v>13982</v>
      </c>
      <c r="G398" s="14">
        <v>131051</v>
      </c>
      <c r="H398" s="14">
        <v>73742</v>
      </c>
      <c r="I398" s="14">
        <v>27</v>
      </c>
      <c r="J398" s="14" t="s">
        <v>13795</v>
      </c>
      <c r="K398" s="14" t="s">
        <v>13983</v>
      </c>
      <c r="L398" s="14" t="s">
        <v>13985</v>
      </c>
      <c r="M398" s="14" t="s">
        <v>9158</v>
      </c>
      <c r="N398" s="14" t="s">
        <v>9158</v>
      </c>
      <c r="O398" s="14" t="s">
        <v>9158</v>
      </c>
      <c r="P398" s="14" t="s">
        <v>9158</v>
      </c>
      <c r="Q398" s="14" t="s">
        <v>9158</v>
      </c>
    </row>
    <row r="399" spans="1:17">
      <c r="A399" s="14">
        <v>90011</v>
      </c>
      <c r="B399" s="14" t="s">
        <v>334</v>
      </c>
      <c r="C399" s="14" t="s">
        <v>13825</v>
      </c>
      <c r="D399" s="14" t="s">
        <v>13981</v>
      </c>
      <c r="E399" s="15" t="str">
        <f>HYPERLINK("https://stat100.ameba.jp/tnk47/ratio20/illustrations/card/ill_90011_buiranzumarisondemonia01.jpg?202007-i_prefecture_active_userx", "■")</f>
        <v>■</v>
      </c>
      <c r="F399" s="14" t="s">
        <v>13982</v>
      </c>
      <c r="G399" s="14">
        <v>100548</v>
      </c>
      <c r="H399" s="14">
        <v>56592</v>
      </c>
      <c r="I399" s="14">
        <v>27</v>
      </c>
      <c r="J399" s="14" t="s">
        <v>13795</v>
      </c>
      <c r="K399" s="14" t="s">
        <v>13983</v>
      </c>
      <c r="L399" s="14" t="s">
        <v>13986</v>
      </c>
      <c r="M399" s="14" t="s">
        <v>9158</v>
      </c>
      <c r="N399" s="14" t="s">
        <v>9158</v>
      </c>
      <c r="O399" s="14" t="s">
        <v>9158</v>
      </c>
      <c r="P399" s="14" t="s">
        <v>9158</v>
      </c>
      <c r="Q399" s="14" t="s">
        <v>9158</v>
      </c>
    </row>
    <row r="400" spans="1:17">
      <c r="A400" s="14">
        <v>90023</v>
      </c>
      <c r="B400" s="14" t="s">
        <v>0</v>
      </c>
      <c r="C400" s="14" t="s">
        <v>13830</v>
      </c>
      <c r="D400" s="14" t="s">
        <v>13990</v>
      </c>
      <c r="E400" s="15" t="str">
        <f>HYPERLINK("https://stat100.ameba.jp/tnk47/ratio20/illustrations/card/ill_90023_buiranzuamadeia03.jpg?202007-i_prefecture_active_userx", "■")</f>
        <v>■</v>
      </c>
      <c r="F400" s="14" t="s">
        <v>13989</v>
      </c>
      <c r="G400" s="14">
        <v>198226</v>
      </c>
      <c r="H400" s="14">
        <v>111523</v>
      </c>
      <c r="I400" s="14">
        <v>27</v>
      </c>
      <c r="J400" s="14" t="s">
        <v>13803</v>
      </c>
      <c r="K400" s="14" t="s">
        <v>13988</v>
      </c>
      <c r="L400" s="14" t="s">
        <v>13987</v>
      </c>
      <c r="M400" s="14" t="s">
        <v>9158</v>
      </c>
      <c r="N400" s="14" t="s">
        <v>9158</v>
      </c>
      <c r="O400" s="14" t="s">
        <v>9158</v>
      </c>
      <c r="P400" s="14" t="s">
        <v>9158</v>
      </c>
      <c r="Q400" s="14" t="s">
        <v>9158</v>
      </c>
    </row>
    <row r="401" spans="1:18">
      <c r="A401" s="14">
        <v>90022</v>
      </c>
      <c r="B401" s="14" t="s">
        <v>334</v>
      </c>
      <c r="C401" s="14" t="s">
        <v>13830</v>
      </c>
      <c r="D401" s="14" t="s">
        <v>13990</v>
      </c>
      <c r="E401" s="15" t="str">
        <f>HYPERLINK("https://stat100.ameba.jp/tnk47/ratio20/illustrations/card/ill_90022_buiranzuamadeia02.jpg?202007-i_prefecture_active_userx", "■")</f>
        <v>■</v>
      </c>
      <c r="F401" s="14" t="s">
        <v>13989</v>
      </c>
      <c r="G401" s="14">
        <v>164931</v>
      </c>
      <c r="H401" s="14">
        <v>92814</v>
      </c>
      <c r="I401" s="14">
        <v>27</v>
      </c>
      <c r="J401" s="14" t="s">
        <v>13803</v>
      </c>
      <c r="K401" s="14" t="s">
        <v>13988</v>
      </c>
      <c r="L401" s="14" t="s">
        <v>13991</v>
      </c>
      <c r="M401" s="14" t="s">
        <v>9158</v>
      </c>
      <c r="N401" s="14" t="s">
        <v>9158</v>
      </c>
      <c r="O401" s="14" t="s">
        <v>9158</v>
      </c>
      <c r="P401" s="14" t="s">
        <v>9158</v>
      </c>
      <c r="Q401" s="14" t="s">
        <v>9158</v>
      </c>
    </row>
    <row r="402" spans="1:18">
      <c r="A402" s="14">
        <v>90021</v>
      </c>
      <c r="B402" s="14" t="s">
        <v>334</v>
      </c>
      <c r="C402" s="14" t="s">
        <v>13830</v>
      </c>
      <c r="D402" s="14" t="s">
        <v>13990</v>
      </c>
      <c r="E402" s="15" t="str">
        <f>HYPERLINK("https://stat100.ameba.jp/tnk47/ratio20/illustrations/card/ill_90021_buiranzuamadeia01.jpg?202007-i_prefecture_active_userx", "■")</f>
        <v>■</v>
      </c>
      <c r="F402" s="14" t="s">
        <v>13989</v>
      </c>
      <c r="G402" s="14">
        <v>126576</v>
      </c>
      <c r="H402" s="14">
        <v>71226</v>
      </c>
      <c r="I402" s="14">
        <v>27</v>
      </c>
      <c r="J402" s="14" t="s">
        <v>13803</v>
      </c>
      <c r="K402" s="14" t="s">
        <v>13988</v>
      </c>
      <c r="L402" s="14" t="s">
        <v>13992</v>
      </c>
      <c r="M402" s="14" t="s">
        <v>9158</v>
      </c>
      <c r="N402" s="14" t="s">
        <v>9158</v>
      </c>
      <c r="O402" s="14" t="s">
        <v>9158</v>
      </c>
      <c r="P402" s="14" t="s">
        <v>9158</v>
      </c>
      <c r="Q402" s="14" t="s">
        <v>9158</v>
      </c>
    </row>
    <row r="403" spans="1:18">
      <c r="E403" s="15"/>
    </row>
    <row r="404" spans="1:18">
      <c r="A404" s="14" t="s">
        <v>13839</v>
      </c>
    </row>
    <row r="405" spans="1:18">
      <c r="A405" s="14" t="s">
        <v>13979</v>
      </c>
    </row>
    <row r="406" spans="1:18">
      <c r="A406" s="14" t="s">
        <v>6598</v>
      </c>
      <c r="B406" s="14" t="s">
        <v>330</v>
      </c>
      <c r="C406" s="14" t="s">
        <v>35</v>
      </c>
      <c r="D406" s="19" t="s">
        <v>10555</v>
      </c>
      <c r="E406" s="15" t="str">
        <f>HYPERLINK("https://stat100.ameba.jp/tnk47/ratio20/illustrations/card/ill_83553_0_kajuenamoronagu03.jpg?202007-i_prefecture_active_userx", "■")</f>
        <v>■</v>
      </c>
      <c r="F406" s="14" t="s">
        <v>6597</v>
      </c>
      <c r="G406" s="14">
        <v>263165</v>
      </c>
      <c r="H406" s="14">
        <v>291184</v>
      </c>
      <c r="I406" s="14">
        <v>25</v>
      </c>
      <c r="J406" s="14" t="s">
        <v>44</v>
      </c>
      <c r="K406" s="14" t="s">
        <v>6595</v>
      </c>
      <c r="L406" s="14" t="s">
        <v>6594</v>
      </c>
      <c r="M406" s="14" t="s">
        <v>9158</v>
      </c>
      <c r="N406" s="14" t="s">
        <v>9158</v>
      </c>
      <c r="O406" s="19" t="s">
        <v>10125</v>
      </c>
      <c r="P406" s="14" t="s">
        <v>6599</v>
      </c>
      <c r="Q406" s="14">
        <v>1</v>
      </c>
    </row>
    <row r="407" spans="1:18">
      <c r="A407" s="14">
        <v>83393</v>
      </c>
      <c r="B407" s="14" t="s">
        <v>334</v>
      </c>
      <c r="C407" s="14" t="s">
        <v>209</v>
      </c>
      <c r="D407" s="20" t="s">
        <v>10381</v>
      </c>
      <c r="E407" s="15" t="str">
        <f>HYPERLINK("https://stat100.ameba.jp/tnk47/ratio20/illustrations/card/ill_83393_rito03.jpg?202007-i_prefecture_active_userx", "■")</f>
        <v>■</v>
      </c>
      <c r="F407" s="14" t="s">
        <v>5735</v>
      </c>
      <c r="G407" s="14">
        <v>122476</v>
      </c>
      <c r="H407" s="14">
        <v>88706</v>
      </c>
      <c r="I407" s="14">
        <v>24</v>
      </c>
      <c r="J407" s="14" t="s">
        <v>38</v>
      </c>
      <c r="K407" s="14" t="s">
        <v>5738</v>
      </c>
      <c r="L407" s="14" t="s">
        <v>5400</v>
      </c>
      <c r="M407" s="14" t="s">
        <v>9158</v>
      </c>
      <c r="N407" s="14" t="s">
        <v>9158</v>
      </c>
      <c r="O407" s="19" t="s">
        <v>10098</v>
      </c>
      <c r="P407" s="14" t="s">
        <v>3491</v>
      </c>
      <c r="Q407" s="14">
        <v>1</v>
      </c>
    </row>
    <row r="408" spans="1:18">
      <c r="A408" s="14">
        <v>68693</v>
      </c>
      <c r="B408" s="14" t="s">
        <v>334</v>
      </c>
      <c r="C408" s="14" t="s">
        <v>154</v>
      </c>
      <c r="D408" s="20" t="s">
        <v>10232</v>
      </c>
      <c r="E408" s="15" t="str">
        <f>HYPERLINK("https://stat100.ameba.jp/tnk47/ratio20/illustrations/card/ill_68693_mayoiga03.jpg?202007-i_prefecture_active_userx", "■")</f>
        <v>■</v>
      </c>
      <c r="F408" s="14" t="s">
        <v>3466</v>
      </c>
      <c r="G408" s="14">
        <v>126858</v>
      </c>
      <c r="H408" s="14">
        <v>91876</v>
      </c>
      <c r="I408" s="14">
        <v>24</v>
      </c>
      <c r="J408" s="14" t="s">
        <v>73</v>
      </c>
      <c r="K408" s="14" t="s">
        <v>3467</v>
      </c>
      <c r="L408" s="14" t="s">
        <v>3468</v>
      </c>
      <c r="M408" s="14" t="s">
        <v>9158</v>
      </c>
      <c r="N408" s="14" t="s">
        <v>9158</v>
      </c>
      <c r="O408" s="19" t="s">
        <v>3037</v>
      </c>
      <c r="P408" s="14" t="s">
        <v>13128</v>
      </c>
      <c r="Q408" s="14">
        <v>1</v>
      </c>
    </row>
    <row r="409" spans="1:18">
      <c r="A409" s="14">
        <v>80163</v>
      </c>
      <c r="B409" s="14" t="s">
        <v>334</v>
      </c>
      <c r="C409" s="14" t="s">
        <v>158</v>
      </c>
      <c r="D409" s="20" t="s">
        <v>10391</v>
      </c>
      <c r="E409" s="15" t="str">
        <f>HYPERLINK("https://stat100.ameba.jp/tnk47/ratio20/illustrations/card/ill_80163_kuronosu03.jpg?202007-i_prefecture_active_userx", "■")</f>
        <v>■</v>
      </c>
      <c r="F409" s="14" t="s">
        <v>3766</v>
      </c>
      <c r="G409" s="14">
        <v>79348</v>
      </c>
      <c r="H409" s="14">
        <v>109554</v>
      </c>
      <c r="I409" s="14">
        <v>24</v>
      </c>
      <c r="J409" s="14" t="s">
        <v>44</v>
      </c>
      <c r="K409" s="14" t="s">
        <v>3767</v>
      </c>
      <c r="L409" s="14" t="s">
        <v>1209</v>
      </c>
      <c r="M409" s="14" t="s">
        <v>9158</v>
      </c>
      <c r="N409" s="14" t="s">
        <v>9158</v>
      </c>
      <c r="O409" s="19" t="s">
        <v>2752</v>
      </c>
      <c r="P409" s="14" t="s">
        <v>13123</v>
      </c>
      <c r="Q409" s="14">
        <v>1</v>
      </c>
    </row>
    <row r="411" spans="1:18">
      <c r="A411" s="7" t="s">
        <v>13327</v>
      </c>
      <c r="B411" s="7"/>
      <c r="C411" s="7"/>
      <c r="D411" s="7"/>
      <c r="E411" s="7"/>
      <c r="F411" s="7"/>
      <c r="G411" s="7"/>
      <c r="H411" s="9"/>
      <c r="I411" s="7"/>
      <c r="J411" s="7"/>
      <c r="K411" s="7"/>
      <c r="L411" s="7"/>
      <c r="M411" s="7"/>
      <c r="N411" s="7"/>
      <c r="O411" s="7"/>
      <c r="P411" s="7"/>
      <c r="Q411" s="7"/>
      <c r="R411" s="7"/>
    </row>
    <row r="412" spans="1:18">
      <c r="A412" s="7" t="s">
        <v>13980</v>
      </c>
      <c r="B412" s="7"/>
      <c r="C412" s="7"/>
      <c r="D412" s="7"/>
      <c r="E412" s="7"/>
      <c r="F412" s="7"/>
      <c r="G412" s="7"/>
      <c r="H412" s="9"/>
      <c r="I412" s="7"/>
      <c r="J412" s="7"/>
      <c r="K412" s="7"/>
      <c r="L412" s="7"/>
      <c r="M412" s="7"/>
      <c r="N412" s="7"/>
      <c r="O412" s="7"/>
      <c r="P412" s="7"/>
      <c r="Q412" s="7"/>
      <c r="R412" s="7"/>
    </row>
    <row r="413" spans="1:18">
      <c r="A413" s="14">
        <v>88153</v>
      </c>
      <c r="B413" s="14" t="s">
        <v>334</v>
      </c>
      <c r="C413" s="14" t="s">
        <v>14</v>
      </c>
      <c r="D413" s="6" t="s">
        <v>10011</v>
      </c>
      <c r="E413" s="15" t="str">
        <f>HYPERLINK("https://stat100.ameba.jp/tnk47/ratio20/illustrations/card/ill_88153_sunofueari03.jpg?202007-i_prefecture_active_userx", "■")</f>
        <v>■</v>
      </c>
      <c r="F413" s="14" t="s">
        <v>9960</v>
      </c>
      <c r="G413" s="14">
        <v>132922</v>
      </c>
      <c r="H413" s="14">
        <v>123583</v>
      </c>
      <c r="I413" s="14">
        <v>27</v>
      </c>
      <c r="J413" s="14" t="s">
        <v>169</v>
      </c>
      <c r="K413" s="14" t="s">
        <v>9961</v>
      </c>
      <c r="L413" s="14" t="s">
        <v>9962</v>
      </c>
      <c r="M413" s="14" t="s">
        <v>13130</v>
      </c>
      <c r="N413" s="14" t="s">
        <v>343</v>
      </c>
      <c r="O413" s="14" t="s">
        <v>9158</v>
      </c>
      <c r="P413" s="14" t="s">
        <v>9158</v>
      </c>
      <c r="Q413" s="14" t="s">
        <v>9158</v>
      </c>
      <c r="R413" s="14" t="s">
        <v>14748</v>
      </c>
    </row>
    <row r="414" spans="1:18">
      <c r="A414" s="14">
        <v>88152</v>
      </c>
      <c r="B414" s="14" t="s">
        <v>334</v>
      </c>
      <c r="C414" s="14" t="s">
        <v>14</v>
      </c>
      <c r="D414" s="6" t="s">
        <v>10011</v>
      </c>
      <c r="E414" s="15" t="str">
        <f>HYPERLINK("https://stat100.ameba.jp/tnk47/ratio20/illustrations/card/ill_88152_sunofueari02.jpg?202007-i_prefecture_active_userx", "■")</f>
        <v>■</v>
      </c>
      <c r="F414" s="14" t="s">
        <v>9960</v>
      </c>
      <c r="G414" s="14">
        <v>111115</v>
      </c>
      <c r="H414" s="14">
        <v>102356</v>
      </c>
      <c r="I414" s="14">
        <v>27</v>
      </c>
      <c r="J414" s="14" t="s">
        <v>169</v>
      </c>
      <c r="K414" s="14" t="s">
        <v>9961</v>
      </c>
      <c r="L414" s="14" t="s">
        <v>9962</v>
      </c>
      <c r="M414" s="14" t="s">
        <v>13131</v>
      </c>
      <c r="N414" s="14" t="s">
        <v>251</v>
      </c>
      <c r="O414" s="14" t="s">
        <v>9158</v>
      </c>
      <c r="P414" s="14" t="s">
        <v>9158</v>
      </c>
      <c r="Q414" s="14" t="s">
        <v>9158</v>
      </c>
      <c r="R414" s="14" t="s">
        <v>14748</v>
      </c>
    </row>
    <row r="415" spans="1:18">
      <c r="A415" s="14">
        <v>88151</v>
      </c>
      <c r="B415" s="14" t="s">
        <v>0</v>
      </c>
      <c r="C415" s="14" t="s">
        <v>14</v>
      </c>
      <c r="D415" s="6" t="s">
        <v>10011</v>
      </c>
      <c r="E415" s="15" t="str">
        <f>HYPERLINK("https://stat100.ameba.jp/tnk47/ratio20/illustrations/card/ill_88151_sunofueari01.jpg?202007-i_prefecture_active_userx", "■")</f>
        <v>■</v>
      </c>
      <c r="F415" s="14" t="s">
        <v>9960</v>
      </c>
      <c r="G415" s="14">
        <v>84834</v>
      </c>
      <c r="H415" s="14">
        <v>78975</v>
      </c>
      <c r="I415" s="14">
        <v>27</v>
      </c>
      <c r="J415" s="14" t="s">
        <v>169</v>
      </c>
      <c r="K415" s="14" t="s">
        <v>9961</v>
      </c>
      <c r="L415" s="14" t="s">
        <v>9962</v>
      </c>
      <c r="M415" s="14" t="s">
        <v>13131</v>
      </c>
      <c r="N415" s="14" t="s">
        <v>251</v>
      </c>
      <c r="O415" s="14" t="s">
        <v>9158</v>
      </c>
      <c r="P415" s="14" t="s">
        <v>9158</v>
      </c>
      <c r="Q415" s="14" t="s">
        <v>9158</v>
      </c>
      <c r="R415" s="14" t="s">
        <v>14748</v>
      </c>
    </row>
    <row r="416" spans="1:18">
      <c r="A416" s="14">
        <v>88163</v>
      </c>
      <c r="B416" s="14" t="s">
        <v>334</v>
      </c>
      <c r="C416" s="14" t="s">
        <v>23</v>
      </c>
      <c r="D416" s="6" t="s">
        <v>10012</v>
      </c>
      <c r="E416" s="15" t="str">
        <f>HYPERLINK("https://stat100.ameba.jp/tnk47/ratio20/illustrations/card/ill_88163_shitsujitanteimagi03.jpg?202007-i_prefecture_active_userx", "■")</f>
        <v>■</v>
      </c>
      <c r="F416" s="14" t="s">
        <v>9963</v>
      </c>
      <c r="G416" s="14">
        <v>132922</v>
      </c>
      <c r="H416" s="14">
        <v>123583</v>
      </c>
      <c r="I416" s="14">
        <v>27</v>
      </c>
      <c r="J416" s="14" t="s">
        <v>159</v>
      </c>
      <c r="K416" s="14" t="s">
        <v>9964</v>
      </c>
      <c r="L416" s="14" t="s">
        <v>9965</v>
      </c>
      <c r="M416" s="14" t="s">
        <v>13130</v>
      </c>
      <c r="N416" s="14" t="s">
        <v>343</v>
      </c>
      <c r="O416" s="14" t="s">
        <v>9158</v>
      </c>
      <c r="P416" s="14" t="s">
        <v>9158</v>
      </c>
      <c r="Q416" s="14" t="s">
        <v>9158</v>
      </c>
      <c r="R416" s="14" t="s">
        <v>14748</v>
      </c>
    </row>
    <row r="417" spans="1:18">
      <c r="A417" s="14">
        <v>88173</v>
      </c>
      <c r="B417" s="14" t="s">
        <v>334</v>
      </c>
      <c r="C417" s="14" t="s">
        <v>101</v>
      </c>
      <c r="D417" s="6" t="s">
        <v>10013</v>
      </c>
      <c r="E417" s="15" t="str">
        <f>HYPERLINK("https://stat100.ameba.jp/tnk47/ratio20/illustrations/card/ill_88173_pichipurinsesu03.jpg?202007-i_prefecture_active_userx", "■")</f>
        <v>■</v>
      </c>
      <c r="F417" s="14" t="s">
        <v>9966</v>
      </c>
      <c r="G417" s="14">
        <v>123583</v>
      </c>
      <c r="H417" s="14">
        <v>132922</v>
      </c>
      <c r="I417" s="14">
        <v>27</v>
      </c>
      <c r="J417" s="14" t="s">
        <v>187</v>
      </c>
      <c r="K417" s="14" t="s">
        <v>9967</v>
      </c>
      <c r="L417" s="14" t="s">
        <v>9968</v>
      </c>
      <c r="M417" s="14" t="s">
        <v>13130</v>
      </c>
      <c r="N417" s="14" t="s">
        <v>343</v>
      </c>
      <c r="O417" s="14" t="s">
        <v>9158</v>
      </c>
      <c r="P417" s="14" t="s">
        <v>9158</v>
      </c>
      <c r="Q417" s="14" t="s">
        <v>9158</v>
      </c>
      <c r="R417" s="14" t="s">
        <v>14748</v>
      </c>
    </row>
    <row r="418" spans="1:18">
      <c r="A418" s="14">
        <v>88183</v>
      </c>
      <c r="B418" s="14" t="s">
        <v>0</v>
      </c>
      <c r="C418" s="14" t="s">
        <v>96</v>
      </c>
      <c r="D418" s="6" t="s">
        <v>10014</v>
      </c>
      <c r="E418" s="15" t="str">
        <f>HYPERLINK("https://stat100.ameba.jp/tnk47/ratio20/illustrations/card/ill_88183_saikiringugaru03.jpg?202007-i_prefecture_active_userx", "■")</f>
        <v>■</v>
      </c>
      <c r="F418" s="14" t="s">
        <v>9969</v>
      </c>
      <c r="G418" s="14">
        <v>123583</v>
      </c>
      <c r="H418" s="14">
        <v>132922</v>
      </c>
      <c r="I418" s="14">
        <v>27</v>
      </c>
      <c r="J418" s="14" t="s">
        <v>182</v>
      </c>
      <c r="K418" s="14" t="s">
        <v>9970</v>
      </c>
      <c r="L418" s="14" t="s">
        <v>9971</v>
      </c>
      <c r="M418" s="14" t="s">
        <v>13130</v>
      </c>
      <c r="N418" s="14" t="s">
        <v>343</v>
      </c>
      <c r="O418" s="14" t="s">
        <v>9158</v>
      </c>
      <c r="P418" s="14" t="s">
        <v>9158</v>
      </c>
      <c r="Q418" s="14" t="s">
        <v>9158</v>
      </c>
      <c r="R418" s="14" t="s">
        <v>14748</v>
      </c>
    </row>
    <row r="419" spans="1:18">
      <c r="A419" s="14">
        <v>88193</v>
      </c>
      <c r="B419" s="14" t="s">
        <v>334</v>
      </c>
      <c r="C419" s="14" t="s">
        <v>205</v>
      </c>
      <c r="D419" s="6" t="s">
        <v>10015</v>
      </c>
      <c r="E419" s="15" t="str">
        <f>HYPERLINK("https://stat100.ameba.jp/tnk47/ratio20/illustrations/card/ill_88193_sakasunomajo03.jpg?202007-i_prefecture_active_userx", "■")</f>
        <v>■</v>
      </c>
      <c r="F419" s="14" t="s">
        <v>9972</v>
      </c>
      <c r="G419" s="14">
        <v>123583</v>
      </c>
      <c r="H419" s="14">
        <v>132922</v>
      </c>
      <c r="I419" s="14">
        <v>27</v>
      </c>
      <c r="J419" s="14" t="s">
        <v>155</v>
      </c>
      <c r="K419" s="14" t="s">
        <v>9977</v>
      </c>
      <c r="L419" s="14" t="s">
        <v>9973</v>
      </c>
      <c r="M419" s="14" t="s">
        <v>13130</v>
      </c>
      <c r="N419" s="14" t="s">
        <v>343</v>
      </c>
      <c r="O419" s="14" t="s">
        <v>9158</v>
      </c>
      <c r="P419" s="14" t="s">
        <v>9158</v>
      </c>
      <c r="Q419" s="14" t="s">
        <v>9158</v>
      </c>
      <c r="R419" s="14" t="s">
        <v>14748</v>
      </c>
    </row>
    <row r="420" spans="1:18">
      <c r="A420" s="14">
        <v>88203</v>
      </c>
      <c r="B420" s="14" t="s">
        <v>334</v>
      </c>
      <c r="C420" s="14" t="s">
        <v>107</v>
      </c>
      <c r="D420" s="6" t="s">
        <v>10016</v>
      </c>
      <c r="E420" s="15" t="str">
        <f>HYPERLINK("https://stat100.ameba.jp/tnk47/ratio20/illustrations/card/ill_88203_soingumasuta03.jpg?202007-i_prefecture_active_userx", "■")</f>
        <v>■</v>
      </c>
      <c r="F420" s="14" t="s">
        <v>9976</v>
      </c>
      <c r="G420" s="14">
        <v>132922</v>
      </c>
      <c r="H420" s="14">
        <v>123583</v>
      </c>
      <c r="I420" s="14">
        <v>27</v>
      </c>
      <c r="J420" s="14" t="s">
        <v>173</v>
      </c>
      <c r="K420" s="14" t="s">
        <v>9974</v>
      </c>
      <c r="L420" s="14" t="s">
        <v>9975</v>
      </c>
      <c r="M420" s="14" t="s">
        <v>13130</v>
      </c>
      <c r="N420" s="14" t="s">
        <v>343</v>
      </c>
      <c r="O420" s="14" t="s">
        <v>9158</v>
      </c>
      <c r="P420" s="14" t="s">
        <v>9158</v>
      </c>
      <c r="Q420" s="14" t="s">
        <v>9158</v>
      </c>
      <c r="R420" s="14" t="s">
        <v>14748</v>
      </c>
    </row>
    <row r="422" spans="1:18">
      <c r="A422" s="14" t="s">
        <v>13993</v>
      </c>
    </row>
    <row r="423" spans="1:18">
      <c r="A423" s="14" t="s">
        <v>13994</v>
      </c>
    </row>
    <row r="424" spans="1:18">
      <c r="A424" s="9" t="s">
        <v>6030</v>
      </c>
      <c r="B424" s="14" t="s">
        <v>330</v>
      </c>
      <c r="C424" s="14" t="s">
        <v>202</v>
      </c>
      <c r="D424" s="14" t="s">
        <v>3708</v>
      </c>
      <c r="E424" s="15" t="str">
        <f>HYPERLINK("https://stat100.ameba.jp/tnk47/ratio20/illustrations/card/ill_80023_0_hinamatsurikyogokumaria03.jpg?202007-i_prefecture_active_userx", "■")</f>
        <v>■</v>
      </c>
      <c r="F424" s="14" t="s">
        <v>3709</v>
      </c>
      <c r="G424" s="14">
        <v>269524</v>
      </c>
      <c r="H424" s="14">
        <v>298240</v>
      </c>
      <c r="I424" s="14">
        <v>20</v>
      </c>
      <c r="J424" s="14" t="s">
        <v>26</v>
      </c>
      <c r="K424" s="14" t="s">
        <v>3710</v>
      </c>
      <c r="L424" s="14" t="s">
        <v>3711</v>
      </c>
      <c r="M424" s="14" t="s">
        <v>9158</v>
      </c>
      <c r="N424" s="14" t="s">
        <v>9158</v>
      </c>
      <c r="O424" s="9" t="s">
        <v>3712</v>
      </c>
      <c r="P424" s="14" t="s">
        <v>3713</v>
      </c>
      <c r="Q424" s="14">
        <v>1</v>
      </c>
    </row>
    <row r="425" spans="1:18">
      <c r="A425" s="14">
        <v>90033</v>
      </c>
      <c r="B425" s="14" t="s">
        <v>0</v>
      </c>
      <c r="C425" s="14" t="s">
        <v>13801</v>
      </c>
      <c r="D425" s="14" t="s">
        <v>13998</v>
      </c>
      <c r="E425" s="15" t="str">
        <f>HYPERLINK("https://stat100.ameba.jp/tnk47/ratio20/illustrations/card/ill_90033_buiranzukodonemueru03.jpg?202007-i_prefecture_active_userx", "■")</f>
        <v>■</v>
      </c>
      <c r="F425" s="14" t="s">
        <v>13997</v>
      </c>
      <c r="G425" s="14">
        <v>73270</v>
      </c>
      <c r="H425" s="14">
        <v>130214</v>
      </c>
      <c r="I425" s="14">
        <v>27</v>
      </c>
      <c r="J425" s="14" t="s">
        <v>13908</v>
      </c>
      <c r="K425" s="14" t="s">
        <v>13996</v>
      </c>
      <c r="L425" s="14" t="s">
        <v>13995</v>
      </c>
      <c r="M425" s="14" t="s">
        <v>9158</v>
      </c>
      <c r="N425" s="14" t="s">
        <v>9158</v>
      </c>
      <c r="O425" s="14" t="s">
        <v>9158</v>
      </c>
      <c r="P425" s="14" t="s">
        <v>9158</v>
      </c>
      <c r="Q425" s="14" t="s">
        <v>9158</v>
      </c>
    </row>
    <row r="426" spans="1:18">
      <c r="A426" s="14">
        <v>90032</v>
      </c>
      <c r="B426" s="14" t="s">
        <v>334</v>
      </c>
      <c r="C426" s="14" t="s">
        <v>13801</v>
      </c>
      <c r="D426" s="14" t="s">
        <v>13998</v>
      </c>
      <c r="E426" s="15" t="str">
        <f>HYPERLINK("https://stat100.ameba.jp/tnk47/ratio20/illustrations/card/ill_90032_buiranzukodonemueru02.jpg?202007-i_prefecture_active_userx", "■")</f>
        <v>■</v>
      </c>
      <c r="F426" s="14" t="s">
        <v>13997</v>
      </c>
      <c r="G426" s="14">
        <v>60982</v>
      </c>
      <c r="H426" s="14">
        <v>108378</v>
      </c>
      <c r="I426" s="14">
        <v>27</v>
      </c>
      <c r="J426" s="14" t="s">
        <v>13908</v>
      </c>
      <c r="K426" s="14" t="s">
        <v>13996</v>
      </c>
      <c r="L426" s="14" t="s">
        <v>13999</v>
      </c>
      <c r="M426" s="14" t="s">
        <v>9158</v>
      </c>
      <c r="N426" s="14" t="s">
        <v>9158</v>
      </c>
      <c r="O426" s="14" t="s">
        <v>9158</v>
      </c>
      <c r="P426" s="14" t="s">
        <v>9158</v>
      </c>
      <c r="Q426" s="14" t="s">
        <v>9158</v>
      </c>
    </row>
    <row r="427" spans="1:18">
      <c r="A427" s="14">
        <v>90031</v>
      </c>
      <c r="B427" s="14" t="s">
        <v>334</v>
      </c>
      <c r="C427" s="14" t="s">
        <v>13801</v>
      </c>
      <c r="D427" s="14" t="s">
        <v>13998</v>
      </c>
      <c r="E427" s="15" t="str">
        <f>HYPERLINK("https://stat100.ameba.jp/tnk47/ratio20/illustrations/card/ill_90031_buiranzukodonemueru01.jpg?202007-i_prefecture_active_userx", "■")</f>
        <v>■</v>
      </c>
      <c r="F427" s="14" t="s">
        <v>13997</v>
      </c>
      <c r="G427" s="14">
        <v>46791</v>
      </c>
      <c r="H427" s="14">
        <v>83160</v>
      </c>
      <c r="I427" s="14">
        <v>27</v>
      </c>
      <c r="J427" s="14" t="s">
        <v>13908</v>
      </c>
      <c r="K427" s="14" t="s">
        <v>13996</v>
      </c>
      <c r="L427" s="14" t="s">
        <v>14000</v>
      </c>
      <c r="M427" s="14" t="s">
        <v>9158</v>
      </c>
      <c r="N427" s="14" t="s">
        <v>9158</v>
      </c>
      <c r="O427" s="14" t="s">
        <v>9158</v>
      </c>
      <c r="P427" s="14" t="s">
        <v>9158</v>
      </c>
      <c r="Q427" s="14" t="s">
        <v>9158</v>
      </c>
    </row>
    <row r="428" spans="1:18">
      <c r="A428" s="14">
        <v>90043</v>
      </c>
      <c r="B428" s="14" t="s">
        <v>0</v>
      </c>
      <c r="C428" s="14" t="s">
        <v>13856</v>
      </c>
      <c r="D428" s="14" t="s">
        <v>14004</v>
      </c>
      <c r="E428" s="15" t="str">
        <f>HYPERLINK("https://stat100.ameba.jp/tnk47/ratio20/illustrations/card/ill_90043_buiranzuredeifuranken03.jpg?202007-i_prefecture_active_userx", "■")</f>
        <v>■</v>
      </c>
      <c r="F428" s="14" t="s">
        <v>14003</v>
      </c>
      <c r="G428" s="14">
        <v>85477</v>
      </c>
      <c r="H428" s="14">
        <v>151887</v>
      </c>
      <c r="I428" s="14">
        <v>27</v>
      </c>
      <c r="J428" s="14" t="s">
        <v>13795</v>
      </c>
      <c r="K428" s="14" t="s">
        <v>14002</v>
      </c>
      <c r="L428" s="14" t="s">
        <v>14001</v>
      </c>
      <c r="M428" s="14" t="s">
        <v>9158</v>
      </c>
      <c r="N428" s="14" t="s">
        <v>9158</v>
      </c>
      <c r="O428" s="14" t="s">
        <v>9158</v>
      </c>
      <c r="P428" s="14" t="s">
        <v>9158</v>
      </c>
      <c r="Q428" s="14" t="s">
        <v>9158</v>
      </c>
    </row>
    <row r="429" spans="1:18">
      <c r="A429" s="14">
        <v>90042</v>
      </c>
      <c r="B429" s="14" t="s">
        <v>334</v>
      </c>
      <c r="C429" s="14" t="s">
        <v>13856</v>
      </c>
      <c r="D429" s="14" t="s">
        <v>14004</v>
      </c>
      <c r="E429" s="15" t="str">
        <f>HYPERLINK("https://stat100.ameba.jp/tnk47/ratio20/illustrations/card/ill_90042_buiranzuredeifuranken02.jpg?202007-i_prefecture_active_userx", "■")</f>
        <v>■</v>
      </c>
      <c r="F429" s="14" t="s">
        <v>14003</v>
      </c>
      <c r="G429" s="14">
        <v>71122</v>
      </c>
      <c r="H429" s="14">
        <v>126424</v>
      </c>
      <c r="I429" s="14">
        <v>27</v>
      </c>
      <c r="J429" s="14" t="s">
        <v>13795</v>
      </c>
      <c r="K429" s="14" t="s">
        <v>14002</v>
      </c>
      <c r="L429" s="14" t="s">
        <v>14005</v>
      </c>
      <c r="M429" s="14" t="s">
        <v>9158</v>
      </c>
      <c r="N429" s="14" t="s">
        <v>9158</v>
      </c>
      <c r="O429" s="14" t="s">
        <v>9158</v>
      </c>
      <c r="P429" s="14" t="s">
        <v>9158</v>
      </c>
      <c r="Q429" s="14" t="s">
        <v>9158</v>
      </c>
    </row>
    <row r="430" spans="1:18">
      <c r="A430" s="14">
        <v>90041</v>
      </c>
      <c r="B430" s="14" t="s">
        <v>334</v>
      </c>
      <c r="C430" s="14" t="s">
        <v>13856</v>
      </c>
      <c r="D430" s="14" t="s">
        <v>14004</v>
      </c>
      <c r="E430" s="15" t="str">
        <f>HYPERLINK("https://stat100.ameba.jp/tnk47/ratio20/illustrations/card/ill_90041_buiranzuredeifuranken01.jpg?202007-i_prefecture_active_userx", "■")</f>
        <v>■</v>
      </c>
      <c r="F430" s="14" t="s">
        <v>14003</v>
      </c>
      <c r="G430" s="14">
        <v>54567</v>
      </c>
      <c r="H430" s="14">
        <v>96984</v>
      </c>
      <c r="I430" s="14">
        <v>27</v>
      </c>
      <c r="J430" s="14" t="s">
        <v>13795</v>
      </c>
      <c r="K430" s="14" t="s">
        <v>14002</v>
      </c>
      <c r="L430" s="14" t="s">
        <v>14006</v>
      </c>
      <c r="M430" s="14" t="s">
        <v>9158</v>
      </c>
      <c r="N430" s="14" t="s">
        <v>9158</v>
      </c>
      <c r="O430" s="14" t="s">
        <v>9158</v>
      </c>
      <c r="P430" s="14" t="s">
        <v>9158</v>
      </c>
      <c r="Q430" s="14" t="s">
        <v>9158</v>
      </c>
    </row>
    <row r="432" spans="1:18">
      <c r="A432" s="14" t="s">
        <v>14007</v>
      </c>
    </row>
    <row r="433" spans="1:17">
      <c r="A433" s="14" t="s">
        <v>14009</v>
      </c>
    </row>
    <row r="434" spans="1:17">
      <c r="A434" s="14" t="s">
        <v>14008</v>
      </c>
    </row>
    <row r="435" spans="1:17">
      <c r="A435" s="14" t="s">
        <v>14011</v>
      </c>
      <c r="B435" s="14" t="s">
        <v>13792</v>
      </c>
      <c r="C435" s="14" t="s">
        <v>13791</v>
      </c>
      <c r="D435" s="14" t="s">
        <v>14010</v>
      </c>
      <c r="E435" s="15" t="str">
        <f>HYPERLINK("https://stat100.ameba.jp/tnk47/ratio20/illustrations/card/ill_90163_0_tenkurofuaitazu03.jpg?202007-i_prefecture_active_userx", "■")</f>
        <v>■</v>
      </c>
      <c r="F435" s="14" t="s">
        <v>14013</v>
      </c>
      <c r="G435" s="14">
        <v>418941</v>
      </c>
      <c r="H435" s="14">
        <v>463507</v>
      </c>
      <c r="I435" s="14">
        <v>35</v>
      </c>
      <c r="J435" s="14" t="s">
        <v>159</v>
      </c>
      <c r="K435" s="14" t="s">
        <v>14014</v>
      </c>
      <c r="L435" s="14" t="s">
        <v>14012</v>
      </c>
      <c r="M435" s="14" t="s">
        <v>9158</v>
      </c>
      <c r="N435" s="14" t="s">
        <v>9158</v>
      </c>
      <c r="O435" s="14" t="s">
        <v>9158</v>
      </c>
      <c r="P435" s="14" t="s">
        <v>9158</v>
      </c>
      <c r="Q435" s="14" t="s">
        <v>9158</v>
      </c>
    </row>
    <row r="436" spans="1:17">
      <c r="A436" s="9" t="s">
        <v>11934</v>
      </c>
      <c r="B436" s="9" t="s">
        <v>117</v>
      </c>
      <c r="C436" s="9" t="s">
        <v>35</v>
      </c>
      <c r="D436" s="21" t="s">
        <v>11928</v>
      </c>
      <c r="E436" s="15" t="str">
        <f>HYPERLINK("https://stat100.ameba.jp/tnk47/ratio20/illustrations/card/ill_88143_0_tenkurodentokogei03.jpg?202007-i_prefecture_active_userx", "■")</f>
        <v>■</v>
      </c>
      <c r="F436" s="9" t="s">
        <v>11929</v>
      </c>
      <c r="G436" s="9">
        <v>460942</v>
      </c>
      <c r="H436" s="9">
        <v>416548</v>
      </c>
      <c r="I436" s="9">
        <v>35</v>
      </c>
      <c r="J436" s="9" t="s">
        <v>26</v>
      </c>
      <c r="K436" s="14" t="s">
        <v>11931</v>
      </c>
      <c r="L436" s="14" t="s">
        <v>13250</v>
      </c>
      <c r="M436" s="14" t="s">
        <v>9158</v>
      </c>
      <c r="N436" s="14" t="s">
        <v>9158</v>
      </c>
      <c r="O436" s="14" t="s">
        <v>9158</v>
      </c>
      <c r="P436" s="14" t="s">
        <v>9158</v>
      </c>
      <c r="Q436" s="14" t="s">
        <v>9158</v>
      </c>
    </row>
    <row r="437" spans="1:17">
      <c r="A437" s="14" t="s">
        <v>12945</v>
      </c>
      <c r="B437" s="14" t="s">
        <v>117</v>
      </c>
      <c r="C437" s="14" t="s">
        <v>35</v>
      </c>
      <c r="D437" s="14" t="s">
        <v>12938</v>
      </c>
      <c r="E437" s="15" t="str">
        <f>HYPERLINK("https://stat100.ameba.jp/tnk47/ratio20/illustrations/card/ill_89523_0_tenkurondokai03.jpg?202007-i_prefecture_active_userx", "■")</f>
        <v>■</v>
      </c>
      <c r="F437" s="14" t="s">
        <v>12941</v>
      </c>
      <c r="G437" s="14">
        <v>463507</v>
      </c>
      <c r="H437" s="14">
        <v>418941</v>
      </c>
      <c r="I437" s="14">
        <v>35</v>
      </c>
      <c r="J437" s="14" t="s">
        <v>143</v>
      </c>
      <c r="K437" s="14" t="s">
        <v>12943</v>
      </c>
      <c r="L437" s="14" t="s">
        <v>12944</v>
      </c>
      <c r="M437" s="14" t="s">
        <v>9158</v>
      </c>
      <c r="N437" s="14" t="s">
        <v>9158</v>
      </c>
      <c r="O437" s="14" t="s">
        <v>9158</v>
      </c>
      <c r="P437" s="14" t="s">
        <v>9158</v>
      </c>
      <c r="Q437" s="14" t="s">
        <v>9158</v>
      </c>
    </row>
    <row r="438" spans="1:17">
      <c r="A438" s="14" t="s">
        <v>12372</v>
      </c>
      <c r="B438" s="14" t="s">
        <v>117</v>
      </c>
      <c r="C438" s="14" t="s">
        <v>35</v>
      </c>
      <c r="D438" s="14" t="s">
        <v>12369</v>
      </c>
      <c r="E438" s="15" t="str">
        <f>HYPERLINK("https://stat100.ameba.jp/tnk47/ratio20/illustrations/card/ill_89543_0_tenkurokambammusume03.jpg?202007-i_prefecture_active_userx", "■")</f>
        <v>■</v>
      </c>
      <c r="F438" s="14" t="s">
        <v>12374</v>
      </c>
      <c r="G438" s="14">
        <v>416548</v>
      </c>
      <c r="H438" s="14">
        <v>460942</v>
      </c>
      <c r="I438" s="14">
        <v>35</v>
      </c>
      <c r="J438" s="14" t="s">
        <v>44</v>
      </c>
      <c r="K438" s="14" t="s">
        <v>12375</v>
      </c>
      <c r="L438" s="14" t="s">
        <v>12376</v>
      </c>
      <c r="M438" s="14" t="s">
        <v>9158</v>
      </c>
      <c r="N438" s="14" t="s">
        <v>9158</v>
      </c>
      <c r="O438" s="14" t="s">
        <v>9158</v>
      </c>
      <c r="P438" s="14" t="s">
        <v>9158</v>
      </c>
      <c r="Q438" s="14" t="s">
        <v>9158</v>
      </c>
    </row>
    <row r="439" spans="1:17">
      <c r="A439" s="14" t="s">
        <v>5602</v>
      </c>
      <c r="B439" s="14" t="s">
        <v>330</v>
      </c>
      <c r="C439" s="14" t="s">
        <v>185</v>
      </c>
      <c r="D439" s="19" t="s">
        <v>813</v>
      </c>
      <c r="E439" s="15" t="str">
        <f>HYPERLINK("https://stat100.ameba.jp/tnk47/ratio20/illustrations/card/ill_55313_0_haroinononokomachi03.jpg?202007-i_prefecture_active_userx", "■")</f>
        <v>■</v>
      </c>
      <c r="F439" s="14" t="s">
        <v>814</v>
      </c>
      <c r="G439" s="14">
        <v>138212</v>
      </c>
      <c r="H439" s="14">
        <v>122776</v>
      </c>
      <c r="I439" s="14">
        <v>22</v>
      </c>
      <c r="J439" s="14" t="s">
        <v>351</v>
      </c>
      <c r="K439" s="14" t="s">
        <v>815</v>
      </c>
      <c r="L439" s="14" t="s">
        <v>816</v>
      </c>
      <c r="M439" s="14" t="s">
        <v>9158</v>
      </c>
      <c r="N439" s="14" t="s">
        <v>9158</v>
      </c>
      <c r="O439" s="19" t="s">
        <v>2733</v>
      </c>
      <c r="P439" s="14" t="s">
        <v>2734</v>
      </c>
      <c r="Q439" s="14">
        <v>1</v>
      </c>
    </row>
    <row r="440" spans="1:17">
      <c r="A440" s="7">
        <v>80353</v>
      </c>
      <c r="B440" s="14" t="s">
        <v>0</v>
      </c>
      <c r="C440" s="14" t="s">
        <v>14</v>
      </c>
      <c r="D440" s="20" t="s">
        <v>4122</v>
      </c>
      <c r="E440" s="15" t="str">
        <f>HYPERLINK("https://stat100.ameba.jp/tnk47/ratio20/illustrations/card/ill_80353_seibugekisentoin03.jpg?202007-i_prefecture_active_userx", "■")</f>
        <v>■</v>
      </c>
      <c r="F440" s="14" t="s">
        <v>4094</v>
      </c>
      <c r="G440" s="14">
        <v>101558</v>
      </c>
      <c r="H440" s="14">
        <v>94390</v>
      </c>
      <c r="I440" s="14">
        <v>26</v>
      </c>
      <c r="J440" s="14" t="s">
        <v>77</v>
      </c>
      <c r="K440" s="14" t="s">
        <v>4095</v>
      </c>
      <c r="L440" s="14" t="s">
        <v>4096</v>
      </c>
      <c r="M440" s="14" t="s">
        <v>9158</v>
      </c>
      <c r="N440" s="14" t="s">
        <v>9158</v>
      </c>
      <c r="O440" s="14" t="s">
        <v>9158</v>
      </c>
      <c r="P440" s="14" t="s">
        <v>9158</v>
      </c>
      <c r="Q440" s="14" t="s">
        <v>9158</v>
      </c>
    </row>
    <row r="441" spans="1:17">
      <c r="A441" s="14">
        <v>84253</v>
      </c>
      <c r="B441" s="14" t="s">
        <v>0</v>
      </c>
      <c r="C441" s="14" t="s">
        <v>200</v>
      </c>
      <c r="D441" s="19" t="s">
        <v>10670</v>
      </c>
      <c r="E441" s="15" t="str">
        <f>HYPERLINK("https://stat100.ameba.jp/tnk47/ratio20/illustrations/card/ill_84253_yokaitaisenkushinadahime03.jpg?202007-i_prefecture_active_userx", "■")</f>
        <v>■</v>
      </c>
      <c r="F441" s="14" t="s">
        <v>7240</v>
      </c>
      <c r="G441" s="14">
        <v>106050</v>
      </c>
      <c r="H441" s="14">
        <v>98594</v>
      </c>
      <c r="I441" s="14">
        <v>26</v>
      </c>
      <c r="J441" s="14" t="s">
        <v>44</v>
      </c>
      <c r="K441" s="14" t="s">
        <v>7242</v>
      </c>
      <c r="L441" s="14" t="s">
        <v>7243</v>
      </c>
      <c r="M441" s="14" t="s">
        <v>9158</v>
      </c>
      <c r="N441" s="14" t="s">
        <v>9158</v>
      </c>
      <c r="O441" s="14" t="s">
        <v>9158</v>
      </c>
      <c r="P441" s="14" t="s">
        <v>9158</v>
      </c>
      <c r="Q441" s="14" t="s">
        <v>9158</v>
      </c>
    </row>
    <row r="442" spans="1:17">
      <c r="A442" s="9">
        <v>87153</v>
      </c>
      <c r="B442" s="9" t="s">
        <v>0</v>
      </c>
      <c r="C442" s="9" t="s">
        <v>191</v>
      </c>
      <c r="D442" s="19" t="s">
        <v>10973</v>
      </c>
      <c r="E442" s="15" t="str">
        <f>HYPERLINK("https://stat100.ameba.jp/tnk47/ratio20/illustrations/card/ill_87153_doragonteimaryanda03.jpg?202007-i_prefecture_active_userx", "■")</f>
        <v>■</v>
      </c>
      <c r="F442" s="9" t="s">
        <v>9549</v>
      </c>
      <c r="G442" s="9">
        <v>154562</v>
      </c>
      <c r="H442" s="9">
        <v>143714</v>
      </c>
      <c r="I442" s="9">
        <v>26</v>
      </c>
      <c r="J442" s="9" t="s">
        <v>194</v>
      </c>
      <c r="K442" s="9" t="s">
        <v>9548</v>
      </c>
      <c r="L442" s="9" t="s">
        <v>3459</v>
      </c>
      <c r="M442" s="14" t="s">
        <v>9158</v>
      </c>
      <c r="N442" s="14" t="s">
        <v>9158</v>
      </c>
      <c r="O442" s="14" t="s">
        <v>9158</v>
      </c>
      <c r="P442" s="14" t="s">
        <v>9158</v>
      </c>
      <c r="Q442" s="14" t="s">
        <v>9158</v>
      </c>
    </row>
    <row r="443" spans="1:17">
      <c r="A443" s="14">
        <v>82663</v>
      </c>
      <c r="B443" s="14" t="s">
        <v>0</v>
      </c>
      <c r="C443" s="14" t="s">
        <v>165</v>
      </c>
      <c r="D443" s="20" t="s">
        <v>10368</v>
      </c>
      <c r="E443" s="15" t="str">
        <f>HYPERLINK("https://stat100.ameba.jp/tnk47/ratio20/illustrations/card/ill_82663_fuisshingukoshikibunonaishi03.jpg?202007-i_prefecture_active_userx", "■")</f>
        <v>■</v>
      </c>
      <c r="F443" s="14" t="s">
        <v>5662</v>
      </c>
      <c r="G443" s="14">
        <v>105426</v>
      </c>
      <c r="H443" s="14">
        <v>98066</v>
      </c>
      <c r="I443" s="14">
        <v>26</v>
      </c>
      <c r="J443" s="14" t="s">
        <v>414</v>
      </c>
      <c r="K443" s="14" t="s">
        <v>5663</v>
      </c>
      <c r="L443" s="14" t="s">
        <v>920</v>
      </c>
      <c r="M443" s="14" t="s">
        <v>9158</v>
      </c>
      <c r="N443" s="14" t="s">
        <v>9158</v>
      </c>
      <c r="O443" s="14" t="s">
        <v>9158</v>
      </c>
      <c r="P443" s="14" t="s">
        <v>9158</v>
      </c>
      <c r="Q443" s="14" t="s">
        <v>9158</v>
      </c>
    </row>
    <row r="444" spans="1:17">
      <c r="A444" s="14">
        <v>84403</v>
      </c>
      <c r="B444" s="14" t="s">
        <v>0</v>
      </c>
      <c r="C444" s="14" t="s">
        <v>205</v>
      </c>
      <c r="D444" s="19" t="s">
        <v>10682</v>
      </c>
      <c r="E444" s="15" t="str">
        <f>HYPERLINK("https://stat100.ameba.jp/tnk47/ratio20/illustrations/card/ill_84403_dokushonokisetsuheikegani03.jpg?202007-i_prefecture_active_userx", "■")</f>
        <v>■</v>
      </c>
      <c r="F444" s="14" t="s">
        <v>7329</v>
      </c>
      <c r="G444" s="14">
        <v>108330</v>
      </c>
      <c r="H444" s="14">
        <v>100744</v>
      </c>
      <c r="I444" s="14">
        <v>26</v>
      </c>
      <c r="J444" s="14" t="s">
        <v>73</v>
      </c>
      <c r="K444" s="14" t="s">
        <v>7328</v>
      </c>
      <c r="L444" s="14" t="s">
        <v>7327</v>
      </c>
      <c r="M444" s="14" t="s">
        <v>9158</v>
      </c>
      <c r="N444" s="14" t="s">
        <v>9158</v>
      </c>
      <c r="O444" s="14" t="s">
        <v>9158</v>
      </c>
      <c r="P444" s="14" t="s">
        <v>9158</v>
      </c>
      <c r="Q444" s="14" t="s">
        <v>9158</v>
      </c>
    </row>
    <row r="445" spans="1:17">
      <c r="A445" s="7">
        <v>85313</v>
      </c>
      <c r="B445" s="7" t="s">
        <v>0</v>
      </c>
      <c r="C445" s="7" t="s">
        <v>206</v>
      </c>
      <c r="D445" s="19" t="s">
        <v>14016</v>
      </c>
      <c r="E445" s="15" t="str">
        <f>HYPERLINK("https://stat100.ameba.jp/tnk47/ratio20/illustrations/card/ill_85313_chukahantentachibanaginchiyo03.jpg?202007-i_prefecture_active_userx", "■")</f>
        <v>■</v>
      </c>
      <c r="F445" s="7" t="s">
        <v>8270</v>
      </c>
      <c r="G445" s="7">
        <v>101558</v>
      </c>
      <c r="H445" s="7">
        <v>94390</v>
      </c>
      <c r="I445" s="7">
        <v>26</v>
      </c>
      <c r="J445" s="7" t="s">
        <v>187</v>
      </c>
      <c r="K445" s="7" t="s">
        <v>14015</v>
      </c>
      <c r="L445" s="7" t="s">
        <v>8269</v>
      </c>
      <c r="M445" s="14" t="s">
        <v>9158</v>
      </c>
      <c r="N445" s="14" t="s">
        <v>9158</v>
      </c>
      <c r="O445" s="14" t="s">
        <v>9158</v>
      </c>
      <c r="P445" s="14" t="s">
        <v>9158</v>
      </c>
      <c r="Q445" s="14" t="s">
        <v>9158</v>
      </c>
    </row>
    <row r="447" spans="1:17">
      <c r="A447" s="14" t="s">
        <v>14028</v>
      </c>
    </row>
    <row r="448" spans="1:17">
      <c r="A448" s="14" t="s">
        <v>14018</v>
      </c>
    </row>
    <row r="449" spans="1:17">
      <c r="A449" s="14" t="s">
        <v>5607</v>
      </c>
      <c r="B449" s="14" t="s">
        <v>330</v>
      </c>
      <c r="C449" s="14" t="s">
        <v>200</v>
      </c>
      <c r="D449" s="19" t="s">
        <v>421</v>
      </c>
      <c r="E449" s="15" t="str">
        <f>HYPERLINK("https://stat100.ameba.jp/tnk47/ratio20/illustrations/card/ill_58853_0_setsubumpanikkuhiratsukaraicho03.jpg?202007-i_prefecture_active_userx", "■")</f>
        <v>■</v>
      </c>
      <c r="F449" s="14" t="s">
        <v>1040</v>
      </c>
      <c r="G449" s="14">
        <v>150776</v>
      </c>
      <c r="H449" s="14">
        <v>133938</v>
      </c>
      <c r="I449" s="14">
        <v>24</v>
      </c>
      <c r="J449" s="14" t="s">
        <v>16</v>
      </c>
      <c r="K449" s="14" t="s">
        <v>1041</v>
      </c>
      <c r="L449" s="14" t="s">
        <v>1042</v>
      </c>
      <c r="M449" s="14" t="s">
        <v>9158</v>
      </c>
      <c r="N449" s="14" t="s">
        <v>9158</v>
      </c>
      <c r="O449" s="19" t="s">
        <v>10075</v>
      </c>
      <c r="P449" s="14" t="s">
        <v>2870</v>
      </c>
      <c r="Q449" s="14">
        <v>1</v>
      </c>
    </row>
    <row r="450" spans="1:17">
      <c r="A450" s="14" t="s">
        <v>5725</v>
      </c>
      <c r="B450" s="14" t="s">
        <v>52</v>
      </c>
      <c r="C450" s="14" t="s">
        <v>107</v>
      </c>
      <c r="D450" s="19" t="s">
        <v>543</v>
      </c>
      <c r="E450" s="15" t="str">
        <f>HYPERLINK("https://stat100.ameba.jp/tnk47/ratio20/illustrations/card/ill_52693_0_sengokumibirakiyanagiharabyakuren03.jpg?202007-i_prefecture_active_userx", "■")</f>
        <v>■</v>
      </c>
      <c r="F450" s="14" t="s">
        <v>1246</v>
      </c>
      <c r="G450" s="14">
        <v>133938</v>
      </c>
      <c r="H450" s="14">
        <v>150776</v>
      </c>
      <c r="I450" s="14">
        <v>24</v>
      </c>
      <c r="J450" s="14" t="s">
        <v>16</v>
      </c>
      <c r="K450" s="14" t="s">
        <v>1247</v>
      </c>
      <c r="L450" s="14" t="s">
        <v>1248</v>
      </c>
      <c r="M450" s="14" t="s">
        <v>9158</v>
      </c>
      <c r="N450" s="14" t="s">
        <v>9158</v>
      </c>
      <c r="O450" s="19" t="s">
        <v>2886</v>
      </c>
      <c r="P450" s="14" t="s">
        <v>3304</v>
      </c>
      <c r="Q450" s="14">
        <v>1</v>
      </c>
    </row>
    <row r="451" spans="1:17">
      <c r="A451" s="14" t="s">
        <v>5616</v>
      </c>
      <c r="B451" s="14" t="s">
        <v>52</v>
      </c>
      <c r="C451" s="14" t="s">
        <v>14</v>
      </c>
      <c r="D451" s="20" t="s">
        <v>638</v>
      </c>
      <c r="E451" s="15" t="str">
        <f>HYPERLINK("https://stat100.ameba.jp/tnk47/ratio20/illustrations/card/ill_44253_0_dokuganryudatemasamune03.jpg?202007-i_prefecture_active_userx", "■")</f>
        <v>■</v>
      </c>
      <c r="F451" s="14" t="s">
        <v>1181</v>
      </c>
      <c r="G451" s="14">
        <v>131538</v>
      </c>
      <c r="H451" s="14">
        <v>140448</v>
      </c>
      <c r="I451" s="14">
        <v>24</v>
      </c>
      <c r="J451" s="14" t="s">
        <v>143</v>
      </c>
      <c r="K451" s="14" t="s">
        <v>1182</v>
      </c>
      <c r="L451" s="14" t="s">
        <v>1183</v>
      </c>
      <c r="M451" s="14" t="s">
        <v>9158</v>
      </c>
      <c r="N451" s="14" t="s">
        <v>9158</v>
      </c>
      <c r="O451" s="14" t="s">
        <v>9158</v>
      </c>
      <c r="P451" s="14" t="s">
        <v>9158</v>
      </c>
      <c r="Q451" s="14" t="s">
        <v>9158</v>
      </c>
    </row>
    <row r="452" spans="1:17">
      <c r="A452" s="14">
        <v>63273</v>
      </c>
      <c r="B452" s="14" t="s">
        <v>334</v>
      </c>
      <c r="C452" s="14" t="s">
        <v>158</v>
      </c>
      <c r="D452" s="19" t="s">
        <v>828</v>
      </c>
      <c r="E452" s="15" t="str">
        <f>HYPERLINK("https://stat100.ameba.jp/tnk47/ratio20/illustrations/card/ill_63273_tsukushimai03.jpg?202007-i_prefecture_active_userx", "■")</f>
        <v>■</v>
      </c>
      <c r="F452" s="14" t="s">
        <v>1211</v>
      </c>
      <c r="G452" s="14">
        <v>132684</v>
      </c>
      <c r="H452" s="14">
        <v>96100</v>
      </c>
      <c r="I452" s="14">
        <v>26</v>
      </c>
      <c r="J452" s="14" t="s">
        <v>38</v>
      </c>
      <c r="K452" s="14" t="s">
        <v>1212</v>
      </c>
      <c r="L452" s="14" t="s">
        <v>1213</v>
      </c>
      <c r="M452" s="14" t="s">
        <v>9158</v>
      </c>
      <c r="N452" s="14" t="s">
        <v>9158</v>
      </c>
      <c r="O452" s="19" t="s">
        <v>10110</v>
      </c>
      <c r="P452" s="14" t="s">
        <v>13128</v>
      </c>
      <c r="Q452" s="14">
        <v>1</v>
      </c>
    </row>
    <row r="453" spans="1:17">
      <c r="A453" s="9">
        <v>80953</v>
      </c>
      <c r="B453" s="14" t="s">
        <v>15</v>
      </c>
      <c r="C453" s="14" t="s">
        <v>101</v>
      </c>
      <c r="D453" s="14" t="s">
        <v>4456</v>
      </c>
      <c r="E453" s="15" t="str">
        <f>HYPERLINK("https://stat100.ameba.jp/tnk47/ratio20/illustrations/card/ill_80953_akazomemon03.jpg?202007-i_prefecture_active_userx", "■")</f>
        <v>■</v>
      </c>
      <c r="F453" s="14" t="s">
        <v>4457</v>
      </c>
      <c r="G453" s="14">
        <v>69898</v>
      </c>
      <c r="H453" s="14">
        <v>77064</v>
      </c>
      <c r="I453" s="14">
        <v>26</v>
      </c>
      <c r="J453" s="14" t="s">
        <v>10</v>
      </c>
      <c r="K453" s="14" t="s">
        <v>4458</v>
      </c>
      <c r="L453" s="14" t="s">
        <v>3337</v>
      </c>
      <c r="M453" s="14" t="s">
        <v>9158</v>
      </c>
      <c r="N453" s="14" t="s">
        <v>9158</v>
      </c>
      <c r="O453" s="14" t="s">
        <v>9158</v>
      </c>
      <c r="P453" s="14" t="s">
        <v>9158</v>
      </c>
      <c r="Q453" s="14" t="s">
        <v>9158</v>
      </c>
    </row>
    <row r="454" spans="1:17">
      <c r="A454" s="14">
        <v>60963</v>
      </c>
      <c r="B454" s="14" t="s">
        <v>13782</v>
      </c>
      <c r="C454" s="14" t="s">
        <v>13820</v>
      </c>
      <c r="D454" s="14" t="s">
        <v>14021</v>
      </c>
      <c r="E454" s="15" t="str">
        <f>HYPERLINK("https://stat100.ameba.jp/tnk47/ratio20/illustrations/card/ill_60963_shinseiyobiosankitsune03.jpg?202007-i_prefecture_active_userx", "■")</f>
        <v>■</v>
      </c>
      <c r="F454" s="14" t="s">
        <v>14020</v>
      </c>
      <c r="G454" s="14">
        <v>54058</v>
      </c>
      <c r="H454" s="14">
        <v>44948</v>
      </c>
      <c r="I454" s="14">
        <v>26</v>
      </c>
      <c r="J454" s="14" t="s">
        <v>13833</v>
      </c>
      <c r="K454" s="14" t="s">
        <v>14019</v>
      </c>
      <c r="L454" s="14" t="s">
        <v>13857</v>
      </c>
      <c r="M454" s="14" t="s">
        <v>9158</v>
      </c>
      <c r="N454" s="14" t="s">
        <v>9158</v>
      </c>
      <c r="O454" s="14" t="s">
        <v>9158</v>
      </c>
      <c r="P454" s="14" t="s">
        <v>9158</v>
      </c>
      <c r="Q454" s="14" t="s">
        <v>9158</v>
      </c>
    </row>
    <row r="455" spans="1:17">
      <c r="A455" s="14">
        <v>71643</v>
      </c>
      <c r="B455" s="14" t="s">
        <v>13783</v>
      </c>
      <c r="C455" s="14" t="s">
        <v>14026</v>
      </c>
      <c r="D455" s="14" t="s">
        <v>14025</v>
      </c>
      <c r="E455" s="15" t="str">
        <f>HYPERLINK("https://stat100.ameba.jp/tnk47/ratio20/illustrations/card/ill_71643_sakamototome03.jpg?202007-i_prefecture_active_userx", "■")</f>
        <v>■</v>
      </c>
      <c r="F455" s="14" t="s">
        <v>14024</v>
      </c>
      <c r="G455" s="14">
        <v>32728</v>
      </c>
      <c r="H455" s="14">
        <v>27486</v>
      </c>
      <c r="I455" s="14">
        <v>26</v>
      </c>
      <c r="J455" s="14" t="s">
        <v>13803</v>
      </c>
      <c r="K455" s="14" t="s">
        <v>14023</v>
      </c>
      <c r="L455" s="14" t="s">
        <v>14022</v>
      </c>
      <c r="M455" s="14" t="s">
        <v>9158</v>
      </c>
      <c r="N455" s="14" t="s">
        <v>9158</v>
      </c>
      <c r="O455" s="14" t="s">
        <v>9158</v>
      </c>
      <c r="P455" s="14" t="s">
        <v>9158</v>
      </c>
      <c r="Q455" s="14" t="s">
        <v>9158</v>
      </c>
    </row>
    <row r="457" spans="1:17">
      <c r="A457" s="14" t="s">
        <v>13912</v>
      </c>
    </row>
    <row r="458" spans="1:17">
      <c r="A458" s="14" t="s">
        <v>14017</v>
      </c>
    </row>
    <row r="459" spans="1:17">
      <c r="A459" s="9" t="s">
        <v>9891</v>
      </c>
      <c r="B459" s="7" t="s">
        <v>52</v>
      </c>
      <c r="C459" s="9" t="s">
        <v>202</v>
      </c>
      <c r="D459" s="6" t="s">
        <v>9978</v>
      </c>
      <c r="E459" s="15" t="str">
        <f>HYPERLINK("https://stat100.ameba.jp/tnk47/ratio20/illustrations/card/ill_87643_0_oendanotohime03.jpg?202007-i_prefecture_active_userx", "■")</f>
        <v>■</v>
      </c>
      <c r="F459" s="14" t="s">
        <v>9928</v>
      </c>
      <c r="G459" s="9">
        <v>281156</v>
      </c>
      <c r="H459" s="9">
        <v>343608</v>
      </c>
      <c r="I459" s="7">
        <v>27</v>
      </c>
      <c r="J459" s="9" t="s">
        <v>155</v>
      </c>
      <c r="K459" s="14" t="s">
        <v>9932</v>
      </c>
      <c r="L459" s="14" t="s">
        <v>9933</v>
      </c>
      <c r="M459" s="14" t="s">
        <v>9158</v>
      </c>
      <c r="N459" s="14" t="s">
        <v>9158</v>
      </c>
      <c r="O459" s="6" t="s">
        <v>9989</v>
      </c>
      <c r="P459" s="7" t="s">
        <v>9944</v>
      </c>
      <c r="Q459" s="7">
        <v>1</v>
      </c>
    </row>
    <row r="460" spans="1:17">
      <c r="A460" s="9" t="s">
        <v>6030</v>
      </c>
      <c r="B460" s="14" t="s">
        <v>330</v>
      </c>
      <c r="C460" s="14" t="s">
        <v>202</v>
      </c>
      <c r="D460" s="14" t="s">
        <v>3708</v>
      </c>
      <c r="E460" s="15" t="str">
        <f>HYPERLINK("https://stat100.ameba.jp/tnk47/ratio20/illustrations/card/ill_80023_0_hinamatsurikyogokumaria03.jpg?202007-i_prefecture_active_userx", "■")</f>
        <v>■</v>
      </c>
      <c r="F460" s="14" t="s">
        <v>3709</v>
      </c>
      <c r="G460" s="14">
        <v>363858</v>
      </c>
      <c r="H460" s="14">
        <v>402625</v>
      </c>
      <c r="I460" s="14">
        <v>27</v>
      </c>
      <c r="J460" s="14" t="s">
        <v>26</v>
      </c>
      <c r="K460" s="14" t="s">
        <v>3710</v>
      </c>
      <c r="L460" s="14" t="s">
        <v>3711</v>
      </c>
      <c r="M460" s="14" t="s">
        <v>9158</v>
      </c>
      <c r="N460" s="14" t="s">
        <v>9158</v>
      </c>
      <c r="O460" s="9" t="s">
        <v>3712</v>
      </c>
      <c r="P460" s="14" t="s">
        <v>3713</v>
      </c>
      <c r="Q460" s="14">
        <v>1</v>
      </c>
    </row>
    <row r="461" spans="1:17">
      <c r="A461" s="14" t="s">
        <v>5625</v>
      </c>
      <c r="B461" s="14" t="s">
        <v>330</v>
      </c>
      <c r="C461" s="14" t="s">
        <v>200</v>
      </c>
      <c r="D461" s="19" t="s">
        <v>630</v>
      </c>
      <c r="E461" s="15" t="str">
        <f>HYPERLINK("https://stat100.ameba.jp/tnk47/ratio20/illustrations/card/ill_48283_0_kyuubitamamonomae03.jpg?202007-i_prefecture_active_userx", "■")</f>
        <v>■</v>
      </c>
      <c r="F461" s="14" t="s">
        <v>631</v>
      </c>
      <c r="G461" s="14">
        <v>163342</v>
      </c>
      <c r="H461" s="14">
        <v>145100</v>
      </c>
      <c r="I461" s="14">
        <v>26</v>
      </c>
      <c r="J461" s="14" t="s">
        <v>320</v>
      </c>
      <c r="K461" s="14" t="s">
        <v>632</v>
      </c>
      <c r="L461" s="14" t="s">
        <v>633</v>
      </c>
      <c r="M461" s="14" t="s">
        <v>9158</v>
      </c>
      <c r="N461" s="14" t="s">
        <v>9158</v>
      </c>
      <c r="O461" s="14" t="s">
        <v>9158</v>
      </c>
      <c r="P461" s="14" t="s">
        <v>9158</v>
      </c>
      <c r="Q461" s="14" t="s">
        <v>9158</v>
      </c>
    </row>
    <row r="462" spans="1:17">
      <c r="A462" s="14">
        <v>60763</v>
      </c>
      <c r="B462" s="14" t="s">
        <v>334</v>
      </c>
      <c r="C462" s="14" t="s">
        <v>203</v>
      </c>
      <c r="D462" s="20" t="s">
        <v>10420</v>
      </c>
      <c r="E462" s="15" t="str">
        <f>HYPERLINK("https://stat100.ameba.jp/tnk47/ratio20/illustrations/card/ill_60763_fujiwarakagekiyo03.jpg?202007-i_prefecture_active_userx", "■")</f>
        <v>■</v>
      </c>
      <c r="F462" s="14" t="s">
        <v>1146</v>
      </c>
      <c r="G462" s="14">
        <v>125296</v>
      </c>
      <c r="H462" s="14">
        <v>172982</v>
      </c>
      <c r="I462" s="14">
        <v>26</v>
      </c>
      <c r="J462" s="14" t="s">
        <v>143</v>
      </c>
      <c r="K462" s="14" t="s">
        <v>1147</v>
      </c>
      <c r="L462" s="14" t="s">
        <v>1148</v>
      </c>
      <c r="M462" s="14" t="s">
        <v>9158</v>
      </c>
      <c r="N462" s="14" t="s">
        <v>9158</v>
      </c>
      <c r="O462" s="19" t="s">
        <v>10112</v>
      </c>
      <c r="P462" s="14" t="s">
        <v>13150</v>
      </c>
      <c r="Q462" s="14">
        <v>1</v>
      </c>
    </row>
    <row r="463" spans="1:17">
      <c r="A463" s="14">
        <v>64043</v>
      </c>
      <c r="B463" s="14" t="s">
        <v>334</v>
      </c>
      <c r="C463" s="14" t="s">
        <v>209</v>
      </c>
      <c r="D463" s="20" t="s">
        <v>10262</v>
      </c>
      <c r="E463" s="15" t="str">
        <f>HYPERLINK("https://stat100.ameba.jp/tnk47/ratio20/illustrations/card/ill_64043_kegonnotaki03.jpg?202007-i_prefecture_active_userx", "■")</f>
        <v>■</v>
      </c>
      <c r="F463" s="14" t="s">
        <v>759</v>
      </c>
      <c r="G463" s="14">
        <v>123674</v>
      </c>
      <c r="H463" s="14">
        <v>89584</v>
      </c>
      <c r="I463" s="14">
        <v>26</v>
      </c>
      <c r="J463" s="14" t="s">
        <v>229</v>
      </c>
      <c r="K463" s="14" t="s">
        <v>230</v>
      </c>
      <c r="L463" s="14" t="s">
        <v>13143</v>
      </c>
      <c r="M463" s="14" t="s">
        <v>9158</v>
      </c>
      <c r="N463" s="14" t="s">
        <v>9158</v>
      </c>
      <c r="O463" s="19" t="s">
        <v>10070</v>
      </c>
      <c r="P463" s="14" t="s">
        <v>3579</v>
      </c>
      <c r="Q463" s="14">
        <v>1</v>
      </c>
    </row>
    <row r="464" spans="1:17">
      <c r="A464" s="14">
        <v>73893</v>
      </c>
      <c r="B464" s="14" t="s">
        <v>334</v>
      </c>
      <c r="C464" s="14" t="s">
        <v>203</v>
      </c>
      <c r="D464" s="19" t="s">
        <v>10388</v>
      </c>
      <c r="E464" s="15" t="str">
        <f>HYPERLINK("https://stat100.ameba.jp/tnk47/ratio20/illustrations/card/ill_73893_kurohachidaimyojintookami03.jpg?202007-i_prefecture_active_userx", "■")</f>
        <v>■</v>
      </c>
      <c r="F464" s="14" t="s">
        <v>685</v>
      </c>
      <c r="G464" s="14">
        <v>132684</v>
      </c>
      <c r="H464" s="14">
        <v>96100</v>
      </c>
      <c r="I464" s="14">
        <v>26</v>
      </c>
      <c r="J464" s="14" t="s">
        <v>274</v>
      </c>
      <c r="K464" s="14" t="s">
        <v>686</v>
      </c>
      <c r="L464" s="14" t="s">
        <v>428</v>
      </c>
      <c r="M464" s="14" t="s">
        <v>9158</v>
      </c>
      <c r="N464" s="14" t="s">
        <v>9158</v>
      </c>
      <c r="O464" s="19" t="s">
        <v>10100</v>
      </c>
      <c r="P464" s="14" t="s">
        <v>3810</v>
      </c>
      <c r="Q464" s="14">
        <v>1</v>
      </c>
    </row>
    <row r="465" spans="1:17">
      <c r="A465" s="14">
        <v>83083</v>
      </c>
      <c r="B465" s="14" t="s">
        <v>0</v>
      </c>
      <c r="C465" s="14" t="s">
        <v>209</v>
      </c>
      <c r="D465" s="20" t="s">
        <v>10469</v>
      </c>
      <c r="E465" s="15" t="str">
        <f>HYPERLINK("https://stat100.ameba.jp/tnk47/ratio20/illustrations/card/ill_83083_burakkukingu03.jpg?202007-i_prefecture_active_userx", "■")</f>
        <v>■</v>
      </c>
      <c r="F465" s="14" t="s">
        <v>6093</v>
      </c>
      <c r="G465" s="14">
        <v>125296</v>
      </c>
      <c r="H465" s="14">
        <v>172982</v>
      </c>
      <c r="I465" s="14">
        <v>26</v>
      </c>
      <c r="J465" s="14" t="s">
        <v>194</v>
      </c>
      <c r="K465" s="14" t="s">
        <v>6095</v>
      </c>
      <c r="L465" s="14" t="s">
        <v>1148</v>
      </c>
      <c r="M465" s="14" t="s">
        <v>9158</v>
      </c>
      <c r="N465" s="14" t="s">
        <v>9158</v>
      </c>
      <c r="O465" s="19" t="s">
        <v>10117</v>
      </c>
      <c r="P465" s="14" t="s">
        <v>3625</v>
      </c>
      <c r="Q465" s="14">
        <v>1</v>
      </c>
    </row>
    <row r="466" spans="1:17">
      <c r="A466" s="7">
        <v>85043</v>
      </c>
      <c r="B466" s="7" t="s">
        <v>0</v>
      </c>
      <c r="C466" s="14" t="s">
        <v>209</v>
      </c>
      <c r="D466" s="19" t="s">
        <v>10752</v>
      </c>
      <c r="E466" s="15" t="str">
        <f>HYPERLINK("https://stat100.ameba.jp/tnk47/ratio20/illustrations/card/ill_85043_sutoroberireddo03.jpg?202007-i_prefecture_active_userx", "■")</f>
        <v>■</v>
      </c>
      <c r="F466" s="7" t="s">
        <v>7843</v>
      </c>
      <c r="G466" s="7">
        <v>137430</v>
      </c>
      <c r="H466" s="7">
        <v>99532</v>
      </c>
      <c r="I466" s="14">
        <v>26</v>
      </c>
      <c r="J466" s="7" t="s">
        <v>104</v>
      </c>
      <c r="K466" s="7" t="s">
        <v>7841</v>
      </c>
      <c r="L466" s="7" t="s">
        <v>2409</v>
      </c>
      <c r="M466" s="14" t="s">
        <v>9158</v>
      </c>
      <c r="N466" s="14" t="s">
        <v>9158</v>
      </c>
      <c r="O466" s="19" t="s">
        <v>10102</v>
      </c>
      <c r="P466" s="14" t="s">
        <v>3672</v>
      </c>
      <c r="Q466" s="14">
        <v>1</v>
      </c>
    </row>
    <row r="467" spans="1:17">
      <c r="A467" s="14">
        <v>76783</v>
      </c>
      <c r="B467" s="14" t="s">
        <v>334</v>
      </c>
      <c r="C467" s="14" t="s">
        <v>203</v>
      </c>
      <c r="D467" s="19" t="s">
        <v>10367</v>
      </c>
      <c r="E467" s="15" t="str">
        <f>HYPERLINK("https://stat100.ameba.jp/tnk47/ratio20/illustrations/card/ill_76783_monsutaakashirejina03.jpg?202007-i_prefecture_active_userx", "■")</f>
        <v>■</v>
      </c>
      <c r="F467" s="14" t="s">
        <v>1192</v>
      </c>
      <c r="G467" s="14">
        <v>82318</v>
      </c>
      <c r="H467" s="14">
        <v>113630</v>
      </c>
      <c r="I467" s="14">
        <v>26</v>
      </c>
      <c r="J467" s="14" t="s">
        <v>10</v>
      </c>
      <c r="K467" s="14" t="s">
        <v>1193</v>
      </c>
      <c r="L467" s="14" t="s">
        <v>1194</v>
      </c>
      <c r="M467" s="14" t="s">
        <v>9158</v>
      </c>
      <c r="N467" s="14" t="s">
        <v>9158</v>
      </c>
      <c r="O467" s="19" t="s">
        <v>2752</v>
      </c>
      <c r="P467" s="14" t="s">
        <v>13123</v>
      </c>
      <c r="Q467" s="14">
        <v>1</v>
      </c>
    </row>
    <row r="469" spans="1:17">
      <c r="A469" s="14" t="s">
        <v>14029</v>
      </c>
    </row>
    <row r="470" spans="1:17">
      <c r="A470" s="14" t="s">
        <v>14027</v>
      </c>
    </row>
    <row r="471" spans="1:17">
      <c r="A471" s="14" t="s">
        <v>5899</v>
      </c>
      <c r="B471" s="14" t="s">
        <v>330</v>
      </c>
      <c r="C471" s="14" t="s">
        <v>205</v>
      </c>
      <c r="D471" s="20" t="s">
        <v>1559</v>
      </c>
      <c r="E471" s="15" t="str">
        <f>HYPERLINK("https://stat100.ameba.jp/tnk47/ratio20/illustrations/card/ill_73773_0_umibirakiinugamigyobu03.jpg?202007-i_prefecture_active_userx", "■")</f>
        <v>■</v>
      </c>
      <c r="F471" s="14" t="s">
        <v>935</v>
      </c>
      <c r="G471" s="14">
        <v>208256</v>
      </c>
      <c r="H471" s="14">
        <v>224000</v>
      </c>
      <c r="I471" s="14">
        <v>24</v>
      </c>
      <c r="J471" s="14" t="s">
        <v>182</v>
      </c>
      <c r="K471" s="14" t="s">
        <v>936</v>
      </c>
      <c r="L471" s="14" t="s">
        <v>13147</v>
      </c>
      <c r="M471" s="14" t="s">
        <v>9158</v>
      </c>
      <c r="N471" s="14" t="s">
        <v>9158</v>
      </c>
      <c r="O471" s="19" t="s">
        <v>2978</v>
      </c>
      <c r="P471" s="14" t="s">
        <v>2979</v>
      </c>
      <c r="Q471" s="14">
        <v>2</v>
      </c>
    </row>
    <row r="472" spans="1:17">
      <c r="A472" s="14" t="s">
        <v>5621</v>
      </c>
      <c r="B472" s="14" t="s">
        <v>330</v>
      </c>
      <c r="C472" s="14" t="s">
        <v>191</v>
      </c>
      <c r="D472" s="20" t="s">
        <v>2871</v>
      </c>
      <c r="E472" s="15" t="str">
        <f>HYPERLINK("https://stat100.ameba.jp/tnk47/ratio20/illustrations/card/ill_51973_0_kemonomizugikuroyuridensetsu03.jpg?202007-i_prefecture_active_userx", "■")</f>
        <v>■</v>
      </c>
      <c r="F472" s="14" t="s">
        <v>2034</v>
      </c>
      <c r="G472" s="14">
        <v>150776</v>
      </c>
      <c r="H472" s="14">
        <v>133938</v>
      </c>
      <c r="I472" s="14">
        <v>24</v>
      </c>
      <c r="J472" s="14" t="s">
        <v>38</v>
      </c>
      <c r="K472" s="14" t="s">
        <v>2035</v>
      </c>
      <c r="L472" s="14" t="s">
        <v>2036</v>
      </c>
      <c r="M472" s="14" t="s">
        <v>9158</v>
      </c>
      <c r="N472" s="14" t="s">
        <v>9158</v>
      </c>
      <c r="O472" s="19" t="s">
        <v>10088</v>
      </c>
      <c r="P472" s="14" t="s">
        <v>13172</v>
      </c>
      <c r="Q472" s="14">
        <v>1</v>
      </c>
    </row>
    <row r="473" spans="1:17">
      <c r="A473" s="14" t="s">
        <v>5608</v>
      </c>
      <c r="B473" s="14" t="s">
        <v>52</v>
      </c>
      <c r="C473" s="14" t="s">
        <v>96</v>
      </c>
      <c r="D473" s="19" t="s">
        <v>634</v>
      </c>
      <c r="E473" s="15" t="str">
        <f>HYPERLINK("https://stat100.ameba.jp/tnk47/ratio20/illustrations/card/ill_40963_0_makami03.jpg?202007-i_prefecture_active_userx", "■")</f>
        <v>■</v>
      </c>
      <c r="F473" s="14" t="s">
        <v>2038</v>
      </c>
      <c r="G473" s="14">
        <v>140448</v>
      </c>
      <c r="H473" s="14">
        <v>131538</v>
      </c>
      <c r="I473" s="14">
        <v>24</v>
      </c>
      <c r="J473" s="14" t="s">
        <v>44</v>
      </c>
      <c r="K473" s="14" t="s">
        <v>2039</v>
      </c>
      <c r="L473" s="14" t="s">
        <v>2040</v>
      </c>
      <c r="M473" s="14" t="s">
        <v>9158</v>
      </c>
      <c r="N473" s="14" t="s">
        <v>9158</v>
      </c>
      <c r="O473" s="14" t="s">
        <v>9158</v>
      </c>
      <c r="P473" s="14" t="s">
        <v>9158</v>
      </c>
      <c r="Q473" s="14" t="s">
        <v>9158</v>
      </c>
    </row>
    <row r="474" spans="1:17">
      <c r="A474" s="14">
        <v>58343</v>
      </c>
      <c r="B474" s="14" t="s">
        <v>334</v>
      </c>
      <c r="C474" s="14" t="s">
        <v>268</v>
      </c>
      <c r="D474" s="19" t="s">
        <v>585</v>
      </c>
      <c r="E474" s="15" t="str">
        <f>HYPERLINK("https://stat100.ameba.jp/tnk47/ratio20/illustrations/card/ill_58343_agemakidayu03.jpg?202007-i_prefecture_active_userx", "■")</f>
        <v>■</v>
      </c>
      <c r="F474" s="14" t="s">
        <v>586</v>
      </c>
      <c r="G474" s="14">
        <v>107304</v>
      </c>
      <c r="H474" s="14">
        <v>78678</v>
      </c>
      <c r="I474" s="14">
        <v>26</v>
      </c>
      <c r="J474" s="14" t="s">
        <v>274</v>
      </c>
      <c r="K474" s="14" t="s">
        <v>587</v>
      </c>
      <c r="L474" s="14" t="s">
        <v>588</v>
      </c>
      <c r="M474" s="14" t="s">
        <v>9158</v>
      </c>
      <c r="N474" s="14" t="s">
        <v>9158</v>
      </c>
      <c r="O474" s="19" t="s">
        <v>2912</v>
      </c>
      <c r="P474" s="14" t="s">
        <v>13122</v>
      </c>
      <c r="Q474" s="14">
        <v>1</v>
      </c>
    </row>
    <row r="475" spans="1:17">
      <c r="A475" s="9">
        <v>69223</v>
      </c>
      <c r="B475" s="14" t="s">
        <v>348</v>
      </c>
      <c r="C475" s="14" t="s">
        <v>344</v>
      </c>
      <c r="D475" s="14" t="s">
        <v>780</v>
      </c>
      <c r="E475" s="15" t="str">
        <f>HYPERLINK("https://stat100.ameba.jp/tnk47/ratio20/illustrations/card/ill_69223_burodoeiruisufuroisu03.jpg?202007-i_prefecture_active_userx", "■")</f>
        <v>■</v>
      </c>
      <c r="F475" s="14" t="s">
        <v>781</v>
      </c>
      <c r="G475" s="14">
        <v>77064</v>
      </c>
      <c r="H475" s="14">
        <v>69898</v>
      </c>
      <c r="I475" s="14">
        <v>26</v>
      </c>
      <c r="J475" s="14" t="s">
        <v>351</v>
      </c>
      <c r="K475" s="14" t="s">
        <v>782</v>
      </c>
      <c r="L475" s="14" t="s">
        <v>473</v>
      </c>
      <c r="M475" s="14" t="s">
        <v>9158</v>
      </c>
      <c r="N475" s="14" t="s">
        <v>9158</v>
      </c>
      <c r="O475" s="14" t="s">
        <v>9158</v>
      </c>
      <c r="P475" s="14" t="s">
        <v>9158</v>
      </c>
      <c r="Q475" s="14" t="s">
        <v>9158</v>
      </c>
    </row>
    <row r="476" spans="1:17">
      <c r="A476" s="14">
        <v>71633</v>
      </c>
      <c r="B476" s="14" t="s">
        <v>13782</v>
      </c>
      <c r="C476" s="14" t="s">
        <v>13801</v>
      </c>
      <c r="D476" s="14" t="s">
        <v>14039</v>
      </c>
      <c r="E476" s="15" t="str">
        <f>HYPERLINK("https://stat100.ameba.jp/tnk47/ratio20/illustrations/card/ill_71633_kimunkamui03.jpg?202007-i_prefecture_active_userx", "■")</f>
        <v>■</v>
      </c>
      <c r="F476" s="14" t="s">
        <v>14038</v>
      </c>
      <c r="G476" s="14">
        <v>44948</v>
      </c>
      <c r="H476" s="14">
        <v>54058</v>
      </c>
      <c r="I476" s="14">
        <v>26</v>
      </c>
      <c r="J476" s="14" t="s">
        <v>13814</v>
      </c>
      <c r="K476" s="14" t="s">
        <v>14037</v>
      </c>
      <c r="L476" s="14" t="s">
        <v>14036</v>
      </c>
      <c r="M476" s="14" t="s">
        <v>9158</v>
      </c>
      <c r="N476" s="14" t="s">
        <v>9158</v>
      </c>
      <c r="O476" s="14" t="s">
        <v>9158</v>
      </c>
      <c r="P476" s="14" t="s">
        <v>9158</v>
      </c>
      <c r="Q476" s="14" t="s">
        <v>9158</v>
      </c>
    </row>
    <row r="477" spans="1:17">
      <c r="A477" s="14">
        <v>70053</v>
      </c>
      <c r="B477" s="14" t="s">
        <v>13783</v>
      </c>
      <c r="C477" s="14" t="s">
        <v>14035</v>
      </c>
      <c r="D477" s="14" t="s">
        <v>14034</v>
      </c>
      <c r="E477" s="15" t="str">
        <f>HYPERLINK("https://stat100.ameba.jp/tnk47/ratio20/illustrations/card/ill_70053_gitabatakechikafusa03.jpg?202007-i_prefecture_active_userx", "■")</f>
        <v>■</v>
      </c>
      <c r="F477" s="14" t="s">
        <v>14033</v>
      </c>
      <c r="G477" s="14">
        <v>27486</v>
      </c>
      <c r="H477" s="14">
        <v>32728</v>
      </c>
      <c r="I477" s="14">
        <v>26</v>
      </c>
      <c r="J477" s="14" t="s">
        <v>13908</v>
      </c>
      <c r="K477" s="14" t="s">
        <v>14032</v>
      </c>
      <c r="L477" s="14" t="s">
        <v>14031</v>
      </c>
      <c r="M477" s="14" t="s">
        <v>9158</v>
      </c>
      <c r="N477" s="14" t="s">
        <v>9158</v>
      </c>
      <c r="O477" s="14" t="s">
        <v>9158</v>
      </c>
      <c r="P477" s="14" t="s">
        <v>9158</v>
      </c>
      <c r="Q477" s="14" t="s">
        <v>9158</v>
      </c>
    </row>
    <row r="479" spans="1:17">
      <c r="A479" s="14" t="s">
        <v>13881</v>
      </c>
    </row>
    <row r="480" spans="1:17">
      <c r="A480" s="14" t="s">
        <v>14030</v>
      </c>
    </row>
    <row r="481" spans="1:17">
      <c r="A481" s="14">
        <v>62203</v>
      </c>
      <c r="B481" s="14" t="s">
        <v>334</v>
      </c>
      <c r="C481" s="14" t="s">
        <v>154</v>
      </c>
      <c r="D481" s="20" t="s">
        <v>3039</v>
      </c>
      <c r="E481" s="15" t="str">
        <f>HYPERLINK("https://stat100.ameba.jp/tnk47/ratio20/illustrations/card/ill_62203_keishoimmasahime03.jpg?202007-i_prefecture_active_userx", "■")</f>
        <v>■</v>
      </c>
      <c r="F481" s="14" t="s">
        <v>2261</v>
      </c>
      <c r="G481" s="14">
        <v>108276</v>
      </c>
      <c r="H481" s="14">
        <v>116452</v>
      </c>
      <c r="I481" s="14">
        <v>27</v>
      </c>
      <c r="J481" s="14" t="s">
        <v>77</v>
      </c>
      <c r="K481" s="14" t="s">
        <v>2262</v>
      </c>
      <c r="L481" s="14" t="s">
        <v>2263</v>
      </c>
      <c r="M481" s="14" t="s">
        <v>9158</v>
      </c>
      <c r="N481" s="14" t="s">
        <v>9158</v>
      </c>
      <c r="O481" s="14" t="s">
        <v>9158</v>
      </c>
      <c r="P481" s="14" t="s">
        <v>9158</v>
      </c>
      <c r="Q481" s="14" t="s">
        <v>9158</v>
      </c>
    </row>
    <row r="482" spans="1:17">
      <c r="A482" s="14">
        <v>69723</v>
      </c>
      <c r="B482" s="14" t="s">
        <v>334</v>
      </c>
      <c r="C482" s="14" t="s">
        <v>158</v>
      </c>
      <c r="D482" s="20" t="s">
        <v>3042</v>
      </c>
      <c r="E482" s="15" t="str">
        <f>HYPERLINK("https://stat100.ameba.jp/tnk47/ratio20/illustrations/card/ill_69723_nakaurajurian03.jpg?202007-i_prefecture_active_userx", "■")</f>
        <v>■</v>
      </c>
      <c r="F482" s="14" t="s">
        <v>2257</v>
      </c>
      <c r="G482" s="14">
        <v>108276</v>
      </c>
      <c r="H482" s="14">
        <v>116452</v>
      </c>
      <c r="I482" s="14">
        <v>27</v>
      </c>
      <c r="J482" s="14" t="s">
        <v>173</v>
      </c>
      <c r="K482" s="14" t="s">
        <v>2258</v>
      </c>
      <c r="L482" s="14" t="s">
        <v>2259</v>
      </c>
      <c r="M482" s="14" t="s">
        <v>9158</v>
      </c>
      <c r="N482" s="14" t="s">
        <v>9158</v>
      </c>
      <c r="O482" s="14" t="s">
        <v>9158</v>
      </c>
      <c r="P482" s="14" t="s">
        <v>9158</v>
      </c>
      <c r="Q482" s="14" t="s">
        <v>9158</v>
      </c>
    </row>
    <row r="483" spans="1:17">
      <c r="A483" s="14">
        <v>76483</v>
      </c>
      <c r="B483" s="14" t="s">
        <v>334</v>
      </c>
      <c r="C483" s="14" t="s">
        <v>307</v>
      </c>
      <c r="D483" s="20" t="s">
        <v>589</v>
      </c>
      <c r="E483" s="15" t="str">
        <f>HYPERLINK("https://stat100.ameba.jp/tnk47/ratio20/illustrations/card/ill_76483_yukemurimizuhanome03.jpg?202007-i_prefecture_active_userx", "■")</f>
        <v>■</v>
      </c>
      <c r="F483" s="14" t="s">
        <v>590</v>
      </c>
      <c r="G483" s="14">
        <v>110129</v>
      </c>
      <c r="H483" s="14">
        <v>102386</v>
      </c>
      <c r="I483" s="14">
        <v>27</v>
      </c>
      <c r="J483" s="14" t="s">
        <v>401</v>
      </c>
      <c r="K483" s="14" t="s">
        <v>591</v>
      </c>
      <c r="L483" s="14" t="s">
        <v>592</v>
      </c>
      <c r="M483" s="14" t="s">
        <v>9158</v>
      </c>
      <c r="N483" s="14" t="s">
        <v>9158</v>
      </c>
      <c r="O483" s="14" t="s">
        <v>9158</v>
      </c>
      <c r="P483" s="14" t="s">
        <v>9158</v>
      </c>
      <c r="Q483" s="14" t="s">
        <v>9158</v>
      </c>
    </row>
    <row r="484" spans="1:17">
      <c r="A484" s="14">
        <v>70023</v>
      </c>
      <c r="B484" s="14" t="s">
        <v>334</v>
      </c>
      <c r="C484" s="14" t="s">
        <v>344</v>
      </c>
      <c r="D484" s="20" t="s">
        <v>10230</v>
      </c>
      <c r="E484" s="15" t="str">
        <f>HYPERLINK("https://stat100.ameba.jp/tnk47/ratio20/illustrations/card/ill_70023_yukinoukokunabeshimanobakeneko03.jpg?202007-i_prefecture_active_userx", "■")</f>
        <v>■</v>
      </c>
      <c r="F484" s="14" t="s">
        <v>769</v>
      </c>
      <c r="G484" s="14">
        <v>104619</v>
      </c>
      <c r="H484" s="14">
        <v>112496</v>
      </c>
      <c r="I484" s="14">
        <v>27</v>
      </c>
      <c r="J484" s="14" t="s">
        <v>320</v>
      </c>
      <c r="K484" s="14" t="s">
        <v>770</v>
      </c>
      <c r="L484" s="14" t="s">
        <v>771</v>
      </c>
      <c r="M484" s="14" t="s">
        <v>9158</v>
      </c>
      <c r="N484" s="14" t="s">
        <v>9158</v>
      </c>
      <c r="O484" s="14" t="s">
        <v>9158</v>
      </c>
      <c r="P484" s="14" t="s">
        <v>9158</v>
      </c>
      <c r="Q484" s="14" t="s">
        <v>9158</v>
      </c>
    </row>
    <row r="485" spans="1:17">
      <c r="A485" s="14">
        <v>52733</v>
      </c>
      <c r="B485" s="14" t="s">
        <v>15</v>
      </c>
      <c r="C485" s="14" t="s">
        <v>185</v>
      </c>
      <c r="D485" s="20" t="s">
        <v>10491</v>
      </c>
      <c r="E485" s="15" t="str">
        <f>HYPERLINK("https://stat100.ameba.jp/tnk47/ratio20/illustrations/card/ill_52733_sekkinambutsuruhime03.jpg?202007-i_prefecture_active_userx", "■")</f>
        <v>■</v>
      </c>
      <c r="F485" s="14" t="s">
        <v>6246</v>
      </c>
      <c r="G485" s="14">
        <v>72586</v>
      </c>
      <c r="H485" s="14">
        <v>80028</v>
      </c>
      <c r="I485" s="14">
        <v>27</v>
      </c>
      <c r="J485" s="14" t="s">
        <v>77</v>
      </c>
      <c r="K485" s="14" t="s">
        <v>6248</v>
      </c>
      <c r="L485" s="14" t="s">
        <v>6249</v>
      </c>
      <c r="M485" s="14" t="s">
        <v>9158</v>
      </c>
      <c r="N485" s="14" t="s">
        <v>9158</v>
      </c>
      <c r="O485" s="14" t="s">
        <v>9158</v>
      </c>
      <c r="P485" s="14" t="s">
        <v>9158</v>
      </c>
      <c r="Q485" s="14" t="s">
        <v>9158</v>
      </c>
    </row>
    <row r="486" spans="1:17">
      <c r="A486" s="14">
        <v>54003</v>
      </c>
      <c r="B486" s="14" t="s">
        <v>15</v>
      </c>
      <c r="C486" s="14" t="s">
        <v>200</v>
      </c>
      <c r="D486" s="20" t="s">
        <v>10492</v>
      </c>
      <c r="E486" s="15" t="str">
        <f>HYPERLINK("https://stat100.ameba.jp/tnk47/ratio20/illustrations/card/ill_54003_seiryumegurihiguchiichiyo03.jpg?202007-i_prefecture_active_userx", "■")</f>
        <v>■</v>
      </c>
      <c r="F486" s="14" t="s">
        <v>6250</v>
      </c>
      <c r="G486" s="14">
        <v>80028</v>
      </c>
      <c r="H486" s="14">
        <v>72586</v>
      </c>
      <c r="I486" s="14">
        <v>27</v>
      </c>
      <c r="J486" s="14" t="s">
        <v>10</v>
      </c>
      <c r="K486" s="14" t="s">
        <v>6252</v>
      </c>
      <c r="L486" s="14" t="s">
        <v>6253</v>
      </c>
      <c r="M486" s="14" t="s">
        <v>9158</v>
      </c>
      <c r="N486" s="14" t="s">
        <v>9158</v>
      </c>
      <c r="O486" s="14" t="s">
        <v>9158</v>
      </c>
      <c r="P486" s="14" t="s">
        <v>9158</v>
      </c>
      <c r="Q486" s="14" t="s">
        <v>9158</v>
      </c>
    </row>
    <row r="487" spans="1:17">
      <c r="A487" s="14">
        <v>51833</v>
      </c>
      <c r="B487" s="14" t="s">
        <v>15</v>
      </c>
      <c r="C487" s="14" t="s">
        <v>205</v>
      </c>
      <c r="D487" s="20" t="s">
        <v>10493</v>
      </c>
      <c r="E487" s="15" t="str">
        <f>HYPERLINK("https://stat100.ameba.jp/tnk47/ratio20/illustrations/card/ill_51833_jukimakitsuhikonomikoto03.jpg?202007-i_prefecture_active_userx", "■")</f>
        <v>■</v>
      </c>
      <c r="F487" s="14" t="s">
        <v>6254</v>
      </c>
      <c r="G487" s="14">
        <v>80028</v>
      </c>
      <c r="H487" s="14">
        <v>72586</v>
      </c>
      <c r="I487" s="14">
        <v>27</v>
      </c>
      <c r="J487" s="14" t="s">
        <v>44</v>
      </c>
      <c r="K487" s="14" t="s">
        <v>6257</v>
      </c>
      <c r="L487" s="14" t="s">
        <v>6256</v>
      </c>
      <c r="M487" s="14" t="s">
        <v>9158</v>
      </c>
      <c r="N487" s="14" t="s">
        <v>9158</v>
      </c>
      <c r="O487" s="14" t="s">
        <v>9158</v>
      </c>
      <c r="P487" s="14" t="s">
        <v>9158</v>
      </c>
      <c r="Q487" s="14" t="s">
        <v>9158</v>
      </c>
    </row>
    <row r="488" spans="1:17">
      <c r="A488" s="14">
        <v>53203</v>
      </c>
      <c r="B488" s="14" t="s">
        <v>15</v>
      </c>
      <c r="C488" s="14" t="s">
        <v>165</v>
      </c>
      <c r="D488" s="20" t="s">
        <v>10494</v>
      </c>
      <c r="E488" s="15" t="str">
        <f>HYPERLINK("https://stat100.ameba.jp/tnk47/ratio20/illustrations/card/ill_53203_buruhawaichan03.jpg?202007-i_prefecture_active_userx", "■")</f>
        <v>■</v>
      </c>
      <c r="F488" s="14" t="s">
        <v>6258</v>
      </c>
      <c r="G488" s="14">
        <v>72586</v>
      </c>
      <c r="H488" s="14">
        <v>80028</v>
      </c>
      <c r="I488" s="14">
        <v>27</v>
      </c>
      <c r="J488" s="14" t="s">
        <v>104</v>
      </c>
      <c r="K488" s="14" t="s">
        <v>6261</v>
      </c>
      <c r="L488" s="14" t="s">
        <v>6260</v>
      </c>
      <c r="M488" s="14" t="s">
        <v>9158</v>
      </c>
      <c r="N488" s="14" t="s">
        <v>9158</v>
      </c>
      <c r="O488" s="14" t="s">
        <v>9158</v>
      </c>
      <c r="P488" s="14" t="s">
        <v>9158</v>
      </c>
      <c r="Q488" s="14" t="s">
        <v>9158</v>
      </c>
    </row>
    <row r="490" spans="1:17">
      <c r="A490" s="14" t="s">
        <v>14042</v>
      </c>
    </row>
    <row r="491" spans="1:17">
      <c r="A491" s="14" t="s">
        <v>14040</v>
      </c>
    </row>
    <row r="492" spans="1:17">
      <c r="A492" s="14" t="s">
        <v>14041</v>
      </c>
    </row>
    <row r="493" spans="1:17">
      <c r="A493" s="14" t="s">
        <v>13086</v>
      </c>
      <c r="B493" s="7" t="s">
        <v>52</v>
      </c>
      <c r="C493" s="14" t="s">
        <v>202</v>
      </c>
      <c r="D493" s="18" t="s">
        <v>13084</v>
      </c>
      <c r="E493" s="15" t="str">
        <f>HYPERLINK("https://stat100.ameba.jp/tnk47/ratio20/illustrations/card/ill_89703_0_jumburaidohimiko03.jpg?202007-i_prefecture_active_userx", "■")</f>
        <v>■</v>
      </c>
      <c r="F493" s="14" t="s">
        <v>13085</v>
      </c>
      <c r="G493" s="14">
        <v>344095</v>
      </c>
      <c r="H493" s="14">
        <v>281517</v>
      </c>
      <c r="I493" s="7">
        <v>27</v>
      </c>
      <c r="J493" s="14" t="s">
        <v>10</v>
      </c>
      <c r="K493" s="14" t="s">
        <v>13087</v>
      </c>
      <c r="L493" s="14" t="s">
        <v>12016</v>
      </c>
      <c r="M493" s="14" t="s">
        <v>9158</v>
      </c>
      <c r="N493" s="14" t="s">
        <v>9158</v>
      </c>
      <c r="O493" s="6" t="s">
        <v>13088</v>
      </c>
      <c r="P493" s="7" t="s">
        <v>13089</v>
      </c>
      <c r="Q493" s="7">
        <v>1</v>
      </c>
    </row>
    <row r="494" spans="1:17">
      <c r="A494" s="14">
        <v>90113</v>
      </c>
      <c r="B494" s="14" t="s">
        <v>13780</v>
      </c>
      <c r="C494" s="14" t="s">
        <v>13825</v>
      </c>
      <c r="D494" s="14" t="s">
        <v>14052</v>
      </c>
      <c r="E494" s="15" t="str">
        <f>HYPERLINK("https://stat100.ameba.jp/tnk47/ratio20/illustrations/card/ill_90113_hotarumatsuribenzaiten03.jpg?202007-i_prefecture_active_userx", "■")</f>
        <v>■</v>
      </c>
      <c r="F494" s="14" t="s">
        <v>14051</v>
      </c>
      <c r="G494" s="14">
        <v>102386</v>
      </c>
      <c r="H494" s="14">
        <v>110129</v>
      </c>
      <c r="I494" s="7">
        <v>27</v>
      </c>
      <c r="J494" s="14" t="s">
        <v>13814</v>
      </c>
      <c r="K494" s="14" t="s">
        <v>14050</v>
      </c>
      <c r="L494" s="14" t="s">
        <v>14049</v>
      </c>
      <c r="M494" s="14" t="s">
        <v>9158</v>
      </c>
      <c r="N494" s="14" t="s">
        <v>9158</v>
      </c>
      <c r="O494" s="14" t="s">
        <v>9158</v>
      </c>
      <c r="P494" s="14" t="s">
        <v>9158</v>
      </c>
      <c r="Q494" s="14" t="s">
        <v>9158</v>
      </c>
    </row>
    <row r="495" spans="1:17">
      <c r="A495" s="14">
        <v>90123</v>
      </c>
      <c r="B495" s="14" t="s">
        <v>13780</v>
      </c>
      <c r="C495" s="14" t="s">
        <v>13856</v>
      </c>
      <c r="D495" s="14" t="s">
        <v>14056</v>
      </c>
      <c r="E495" s="15" t="str">
        <f>HYPERLINK("https://stat100.ameba.jp/tnk47/ratio20/illustrations/card/ill_90123_ononomichikaze03.jpg?202007-i_prefecture_active_userx", "■")</f>
        <v>■</v>
      </c>
      <c r="F495" s="14" t="s">
        <v>14055</v>
      </c>
      <c r="G495" s="14">
        <v>105465</v>
      </c>
      <c r="H495" s="14">
        <v>98019</v>
      </c>
      <c r="I495" s="7">
        <v>27</v>
      </c>
      <c r="J495" s="14" t="s">
        <v>13908</v>
      </c>
      <c r="K495" s="14" t="s">
        <v>14054</v>
      </c>
      <c r="L495" s="14" t="s">
        <v>14053</v>
      </c>
      <c r="M495" s="14" t="s">
        <v>9158</v>
      </c>
      <c r="N495" s="14" t="s">
        <v>9158</v>
      </c>
      <c r="O495" s="14" t="s">
        <v>9158</v>
      </c>
      <c r="P495" s="14" t="s">
        <v>9158</v>
      </c>
      <c r="Q495" s="14" t="s">
        <v>9158</v>
      </c>
    </row>
    <row r="496" spans="1:17">
      <c r="A496" s="14">
        <v>90133</v>
      </c>
      <c r="B496" s="14" t="s">
        <v>13781</v>
      </c>
      <c r="C496" s="14" t="s">
        <v>13810</v>
      </c>
      <c r="D496" s="14" t="s">
        <v>14060</v>
      </c>
      <c r="E496" s="15" t="str">
        <f>HYPERLINK("https://stat100.ameba.jp/tnk47/ratio20/illustrations/card/ill_90133_yusuzumimyorinni03.jpg?202007-i_prefecture_active_userx", "■")</f>
        <v>■</v>
      </c>
      <c r="F496" s="14" t="s">
        <v>14059</v>
      </c>
      <c r="G496" s="14">
        <v>72586</v>
      </c>
      <c r="H496" s="14">
        <v>80028</v>
      </c>
      <c r="I496" s="7">
        <v>27</v>
      </c>
      <c r="J496" s="14" t="s">
        <v>13803</v>
      </c>
      <c r="K496" s="14" t="s">
        <v>14058</v>
      </c>
      <c r="L496" s="14" t="s">
        <v>14057</v>
      </c>
      <c r="M496" s="14" t="s">
        <v>9158</v>
      </c>
      <c r="N496" s="14" t="s">
        <v>9158</v>
      </c>
      <c r="O496" s="14" t="s">
        <v>9158</v>
      </c>
      <c r="P496" s="14" t="s">
        <v>9158</v>
      </c>
      <c r="Q496" s="14" t="s">
        <v>9158</v>
      </c>
    </row>
    <row r="497" spans="1:17">
      <c r="A497" s="14">
        <v>90143</v>
      </c>
      <c r="B497" s="14" t="s">
        <v>13782</v>
      </c>
      <c r="C497" s="14" t="s">
        <v>13856</v>
      </c>
      <c r="D497" s="14" t="s">
        <v>14063</v>
      </c>
      <c r="E497" s="15" t="str">
        <f>HYPERLINK("https://stat100.ameba.jp/tnk47/ratio20/illustrations/card/ill_90143_fuyunojintensuin03.jpg?202007-i_prefecture_active_userx", "■")</f>
        <v>■</v>
      </c>
      <c r="F497" s="14" t="s">
        <v>14062</v>
      </c>
      <c r="G497" s="14">
        <v>56138</v>
      </c>
      <c r="H497" s="14">
        <v>46676</v>
      </c>
      <c r="I497" s="7">
        <v>27</v>
      </c>
      <c r="J497" s="14" t="s">
        <v>13817</v>
      </c>
      <c r="K497" s="14" t="s">
        <v>14061</v>
      </c>
      <c r="L497" s="14" t="s">
        <v>13826</v>
      </c>
      <c r="M497" s="14" t="s">
        <v>9158</v>
      </c>
      <c r="N497" s="14" t="s">
        <v>9158</v>
      </c>
      <c r="O497" s="14" t="s">
        <v>9158</v>
      </c>
      <c r="P497" s="14" t="s">
        <v>9158</v>
      </c>
      <c r="Q497" s="14" t="s">
        <v>9158</v>
      </c>
    </row>
    <row r="498" spans="1:17">
      <c r="A498" s="14">
        <v>90153</v>
      </c>
      <c r="B498" s="14" t="s">
        <v>13783</v>
      </c>
      <c r="C498" s="14" t="s">
        <v>14048</v>
      </c>
      <c r="D498" s="14" t="s">
        <v>14047</v>
      </c>
      <c r="E498" s="15" t="str">
        <f>HYPERLINK("https://stat100.ameba.jp/tnk47/ratio20/illustrations/card/ill_90153_otomisan03.jpg?202007-i_prefecture_active_userx", "■")</f>
        <v>■</v>
      </c>
      <c r="F498" s="14" t="s">
        <v>14046</v>
      </c>
      <c r="G498" s="14">
        <v>28544</v>
      </c>
      <c r="H498" s="14">
        <v>33986</v>
      </c>
      <c r="I498" s="7">
        <v>27</v>
      </c>
      <c r="J498" s="14" t="s">
        <v>13847</v>
      </c>
      <c r="K498" s="14" t="s">
        <v>14045</v>
      </c>
      <c r="L498" s="14" t="s">
        <v>14044</v>
      </c>
      <c r="M498" s="14" t="s">
        <v>9158</v>
      </c>
      <c r="N498" s="14" t="s">
        <v>9158</v>
      </c>
      <c r="O498" s="14" t="s">
        <v>9158</v>
      </c>
      <c r="P498" s="14" t="s">
        <v>9158</v>
      </c>
      <c r="Q498" s="14" t="s">
        <v>9158</v>
      </c>
    </row>
    <row r="500" spans="1:17">
      <c r="A500" s="14" t="s">
        <v>13784</v>
      </c>
    </row>
    <row r="501" spans="1:17">
      <c r="A501" s="14" t="s">
        <v>14043</v>
      </c>
    </row>
    <row r="502" spans="1:17">
      <c r="A502" s="14" t="s">
        <v>5822</v>
      </c>
      <c r="B502" s="14" t="s">
        <v>330</v>
      </c>
      <c r="C502" s="14" t="s">
        <v>307</v>
      </c>
      <c r="D502" s="19" t="s">
        <v>306</v>
      </c>
      <c r="E502" s="15" t="str">
        <f>HYPERLINK("https://stat100.ameba.jp/tnk47/ratio20/illustrations/card/ill_71403_0_ohanamisanadayukimura03.jpg?202007-i_prefecture_active_userx", "■")</f>
        <v>■</v>
      </c>
      <c r="F502" s="14" t="s">
        <v>309</v>
      </c>
      <c r="G502" s="14">
        <v>205358</v>
      </c>
      <c r="H502" s="14">
        <v>190952</v>
      </c>
      <c r="I502" s="14">
        <v>22</v>
      </c>
      <c r="J502" s="14" t="s">
        <v>310</v>
      </c>
      <c r="K502" s="14" t="s">
        <v>311</v>
      </c>
      <c r="L502" s="14" t="s">
        <v>312</v>
      </c>
      <c r="M502" s="14" t="s">
        <v>9158</v>
      </c>
      <c r="N502" s="14" t="s">
        <v>9158</v>
      </c>
      <c r="O502" s="6" t="s">
        <v>10060</v>
      </c>
      <c r="P502" s="14" t="s">
        <v>3418</v>
      </c>
      <c r="Q502" s="14">
        <v>2</v>
      </c>
    </row>
    <row r="503" spans="1:17">
      <c r="A503" s="14" t="s">
        <v>5620</v>
      </c>
      <c r="B503" s="14" t="s">
        <v>330</v>
      </c>
      <c r="C503" s="14" t="s">
        <v>206</v>
      </c>
      <c r="D503" s="20" t="s">
        <v>669</v>
      </c>
      <c r="E503" s="15" t="str">
        <f>HYPERLINK("https://stat100.ameba.jp/tnk47/ratio20/illustrations/card/ill_67173_0_yukemuriawamorichan03.jpg?202007-i_prefecture_active_userx", "■")</f>
        <v>■</v>
      </c>
      <c r="F503" s="14" t="s">
        <v>670</v>
      </c>
      <c r="G503" s="14">
        <v>169032</v>
      </c>
      <c r="H503" s="14">
        <v>157150</v>
      </c>
      <c r="I503" s="14">
        <v>22</v>
      </c>
      <c r="J503" s="14" t="s">
        <v>283</v>
      </c>
      <c r="K503" s="14" t="s">
        <v>671</v>
      </c>
      <c r="L503" s="14" t="s">
        <v>672</v>
      </c>
      <c r="M503" s="14" t="s">
        <v>9158</v>
      </c>
      <c r="N503" s="14" t="s">
        <v>9158</v>
      </c>
      <c r="O503" s="19" t="s">
        <v>10087</v>
      </c>
      <c r="P503" s="14" t="s">
        <v>3455</v>
      </c>
      <c r="Q503" s="14">
        <v>1</v>
      </c>
    </row>
    <row r="504" spans="1:17">
      <c r="A504" s="14" t="s">
        <v>5622</v>
      </c>
      <c r="B504" s="14" t="s">
        <v>330</v>
      </c>
      <c r="C504" s="14" t="s">
        <v>335</v>
      </c>
      <c r="D504" s="19" t="s">
        <v>509</v>
      </c>
      <c r="E504" s="15" t="str">
        <f>HYPERLINK("https://stat100.ameba.jp/tnk47/ratio20/illustrations/card/ill_49953_0_yushamarihime03.jpg?202007-i_prefecture_active_userx", "■")</f>
        <v>■</v>
      </c>
      <c r="F504" s="14" t="s">
        <v>510</v>
      </c>
      <c r="G504" s="14">
        <v>138212</v>
      </c>
      <c r="H504" s="14">
        <v>122776</v>
      </c>
      <c r="I504" s="14">
        <v>22</v>
      </c>
      <c r="J504" s="14" t="s">
        <v>315</v>
      </c>
      <c r="K504" s="14" t="s">
        <v>511</v>
      </c>
      <c r="L504" s="14" t="s">
        <v>512</v>
      </c>
      <c r="M504" s="14" t="s">
        <v>9158</v>
      </c>
      <c r="N504" s="14" t="s">
        <v>9158</v>
      </c>
      <c r="O504" s="14" t="s">
        <v>9158</v>
      </c>
      <c r="P504" s="14" t="s">
        <v>9158</v>
      </c>
      <c r="Q504" s="14" t="s">
        <v>9158</v>
      </c>
    </row>
    <row r="505" spans="1:17">
      <c r="A505" s="14">
        <v>81013</v>
      </c>
      <c r="B505" s="14" t="s">
        <v>334</v>
      </c>
      <c r="C505" s="14" t="s">
        <v>205</v>
      </c>
      <c r="D505" s="19" t="s">
        <v>4412</v>
      </c>
      <c r="E505" s="15" t="str">
        <f>HYPERLINK("https://stat100.ameba.jp/tnk47/ratio20/illustrations/card/ill_81013_furudenshagoshikihime03.jpg?202007-i_prefecture_active_userx", "■")</f>
        <v>■</v>
      </c>
      <c r="F505" s="14" t="s">
        <v>4413</v>
      </c>
      <c r="G505" s="14">
        <v>152023</v>
      </c>
      <c r="H505" s="14">
        <v>85559</v>
      </c>
      <c r="I505" s="14">
        <v>27</v>
      </c>
      <c r="J505" s="14" t="s">
        <v>155</v>
      </c>
      <c r="K505" s="14" t="s">
        <v>4414</v>
      </c>
      <c r="L505" s="14" t="s">
        <v>2557</v>
      </c>
      <c r="M505" s="14" t="s">
        <v>9158</v>
      </c>
      <c r="N505" s="14" t="s">
        <v>9158</v>
      </c>
      <c r="O505" s="14" t="s">
        <v>9158</v>
      </c>
      <c r="P505" s="14" t="s">
        <v>9158</v>
      </c>
      <c r="Q505" s="14" t="s">
        <v>9158</v>
      </c>
    </row>
    <row r="506" spans="1:17">
      <c r="A506" s="14">
        <v>82723</v>
      </c>
      <c r="B506" s="14" t="s">
        <v>334</v>
      </c>
      <c r="C506" s="14" t="s">
        <v>191</v>
      </c>
      <c r="D506" s="19" t="s">
        <v>10392</v>
      </c>
      <c r="E506" s="15" t="str">
        <f>HYPERLINK("https://stat100.ameba.jp/tnk47/ratio20/illustrations/card/ill_82723_natsufuesuyamakawatomiko03.jpg?202007-i_prefecture_active_userx", "■")</f>
        <v>■</v>
      </c>
      <c r="F506" s="14" t="s">
        <v>5817</v>
      </c>
      <c r="G506" s="14">
        <v>130214</v>
      </c>
      <c r="H506" s="14">
        <v>73270</v>
      </c>
      <c r="I506" s="14">
        <v>27</v>
      </c>
      <c r="J506" s="14" t="s">
        <v>10</v>
      </c>
      <c r="K506" s="14" t="s">
        <v>5818</v>
      </c>
      <c r="L506" s="14" t="s">
        <v>60</v>
      </c>
      <c r="M506" s="14" t="s">
        <v>9158</v>
      </c>
      <c r="N506" s="14" t="s">
        <v>9158</v>
      </c>
      <c r="O506" s="14" t="s">
        <v>9158</v>
      </c>
      <c r="P506" s="14" t="s">
        <v>9158</v>
      </c>
      <c r="Q506" s="14" t="s">
        <v>9158</v>
      </c>
    </row>
    <row r="507" spans="1:17">
      <c r="A507" s="9">
        <v>77433</v>
      </c>
      <c r="B507" s="14" t="s">
        <v>334</v>
      </c>
      <c r="C507" s="14" t="s">
        <v>344</v>
      </c>
      <c r="D507" s="14" t="s">
        <v>1723</v>
      </c>
      <c r="E507" s="15" t="str">
        <f>HYPERLINK("https://stat100.ameba.jp/tnk47/ratio20/illustrations/card/ill_77433_yamagaruakinomurabotoni03.jpg?202007-i_prefecture_active_userx", "■")</f>
        <v>■</v>
      </c>
      <c r="F507" s="14" t="s">
        <v>1724</v>
      </c>
      <c r="G507" s="14">
        <v>109481</v>
      </c>
      <c r="H507" s="14">
        <v>101837</v>
      </c>
      <c r="I507" s="14">
        <v>27</v>
      </c>
      <c r="J507" s="14" t="s">
        <v>414</v>
      </c>
      <c r="K507" s="14" t="s">
        <v>1665</v>
      </c>
      <c r="L507" s="14" t="s">
        <v>855</v>
      </c>
      <c r="M507" s="14" t="s">
        <v>9158</v>
      </c>
      <c r="N507" s="14" t="s">
        <v>9158</v>
      </c>
      <c r="O507" s="14" t="s">
        <v>9158</v>
      </c>
      <c r="P507" s="14" t="s">
        <v>9158</v>
      </c>
      <c r="Q507" s="14" t="s">
        <v>9158</v>
      </c>
    </row>
    <row r="509" spans="1:17">
      <c r="A509" s="14" t="s">
        <v>13839</v>
      </c>
    </row>
    <row r="510" spans="1:17">
      <c r="A510" s="14" t="s">
        <v>14067</v>
      </c>
    </row>
    <row r="511" spans="1:17">
      <c r="A511" s="14" t="s">
        <v>5963</v>
      </c>
      <c r="B511" s="14" t="s">
        <v>330</v>
      </c>
      <c r="C511" s="14" t="s">
        <v>35</v>
      </c>
      <c r="D511" s="20" t="s">
        <v>10438</v>
      </c>
      <c r="E511" s="15" t="str">
        <f>HYPERLINK("https://stat100.ameba.jp/tnk47/ratio20/illustrations/card/ill_82963_0_yukatamatsuritomokazuki03.jpg?202007-5-RELEASE-marathon-481", "■")</f>
        <v>■</v>
      </c>
      <c r="F511" s="14" t="s">
        <v>5964</v>
      </c>
      <c r="G511" s="14">
        <v>297801</v>
      </c>
      <c r="H511" s="14">
        <v>329511</v>
      </c>
      <c r="I511" s="14">
        <v>25</v>
      </c>
      <c r="J511" s="14" t="s">
        <v>73</v>
      </c>
      <c r="K511" s="14" t="s">
        <v>5966</v>
      </c>
      <c r="L511" s="14" t="s">
        <v>5967</v>
      </c>
      <c r="M511" s="14" t="s">
        <v>9158</v>
      </c>
      <c r="N511" s="14" t="s">
        <v>9158</v>
      </c>
      <c r="O511" s="19" t="s">
        <v>10115</v>
      </c>
      <c r="P511" s="14" t="s">
        <v>5968</v>
      </c>
      <c r="Q511" s="14">
        <v>1</v>
      </c>
    </row>
    <row r="512" spans="1:17">
      <c r="A512" s="9">
        <v>76803</v>
      </c>
      <c r="B512" s="14" t="s">
        <v>334</v>
      </c>
      <c r="C512" s="14" t="s">
        <v>202</v>
      </c>
      <c r="D512" s="14" t="s">
        <v>2436</v>
      </c>
      <c r="E512" s="15" t="str">
        <f>HYPERLINK("https://stat100.ameba.jp/tnk47/ratio20/illustrations/card/ill_76803_monsutakujirachan03.jpg?202007-5-RELEASE-marathon-481", "■")</f>
        <v>■</v>
      </c>
      <c r="F512" s="14" t="s">
        <v>674</v>
      </c>
      <c r="G512" s="14">
        <v>159674</v>
      </c>
      <c r="H512" s="14">
        <v>115656</v>
      </c>
      <c r="I512" s="14">
        <v>24</v>
      </c>
      <c r="J512" s="14" t="s">
        <v>283</v>
      </c>
      <c r="K512" s="14" t="s">
        <v>675</v>
      </c>
      <c r="L512" s="14" t="s">
        <v>435</v>
      </c>
      <c r="M512" s="14" t="s">
        <v>9158</v>
      </c>
      <c r="N512" s="14" t="s">
        <v>9158</v>
      </c>
      <c r="O512" s="9" t="s">
        <v>3165</v>
      </c>
      <c r="P512" s="14" t="s">
        <v>13139</v>
      </c>
      <c r="Q512" s="14">
        <v>1</v>
      </c>
    </row>
    <row r="513" spans="1:17">
      <c r="A513" s="9">
        <v>80173</v>
      </c>
      <c r="B513" s="14" t="s">
        <v>334</v>
      </c>
      <c r="C513" s="14" t="s">
        <v>47</v>
      </c>
      <c r="D513" s="14" t="s">
        <v>3913</v>
      </c>
      <c r="E513" s="15" t="str">
        <f>HYPERLINK("https://stat100.ameba.jp/tnk47/ratio20/illustrations/card/ill_80173_jusomedeia03.jpg?202007-5-RELEASE-marathon-481", "■")</f>
        <v>■</v>
      </c>
      <c r="F513" s="14" t="s">
        <v>3914</v>
      </c>
      <c r="G513" s="14">
        <v>91876</v>
      </c>
      <c r="H513" s="14">
        <v>126858</v>
      </c>
      <c r="I513" s="14">
        <v>24</v>
      </c>
      <c r="J513" s="14" t="s">
        <v>73</v>
      </c>
      <c r="K513" s="14" t="s">
        <v>3915</v>
      </c>
      <c r="L513" s="14" t="s">
        <v>1033</v>
      </c>
      <c r="M513" s="14" t="s">
        <v>9158</v>
      </c>
      <c r="N513" s="14" t="s">
        <v>9158</v>
      </c>
      <c r="O513" s="17" t="s">
        <v>10053</v>
      </c>
      <c r="P513" s="14" t="s">
        <v>3592</v>
      </c>
      <c r="Q513" s="14">
        <v>1</v>
      </c>
    </row>
    <row r="514" spans="1:17">
      <c r="A514" s="14">
        <v>66353</v>
      </c>
      <c r="B514" s="14" t="s">
        <v>0</v>
      </c>
      <c r="C514" s="14" t="s">
        <v>41</v>
      </c>
      <c r="D514" s="19" t="s">
        <v>440</v>
      </c>
      <c r="E514" s="15" t="str">
        <f>HYPERLINK("https://stat100.ameba.jp/tnk47/ratio20/illustrations/card/ill_66353_kajiwaranyudotoan03.jpg?202007-5-RELEASE-marathon-481", "■")</f>
        <v>■</v>
      </c>
      <c r="F514" s="14" t="s">
        <v>142</v>
      </c>
      <c r="G514" s="14">
        <v>159674</v>
      </c>
      <c r="H514" s="14">
        <v>106018</v>
      </c>
      <c r="I514" s="14">
        <v>24</v>
      </c>
      <c r="J514" s="14" t="s">
        <v>143</v>
      </c>
      <c r="K514" s="14" t="s">
        <v>144</v>
      </c>
      <c r="L514" s="14" t="s">
        <v>145</v>
      </c>
      <c r="M514" s="14" t="s">
        <v>9158</v>
      </c>
      <c r="N514" s="14" t="s">
        <v>9158</v>
      </c>
      <c r="O514" s="19" t="s">
        <v>10102</v>
      </c>
      <c r="P514" s="14" t="s">
        <v>3672</v>
      </c>
      <c r="Q514" s="14">
        <v>1</v>
      </c>
    </row>
    <row r="516" spans="1:17">
      <c r="A516" s="14" t="s">
        <v>13837</v>
      </c>
    </row>
    <row r="517" spans="1:17">
      <c r="A517" s="14" t="s">
        <v>14068</v>
      </c>
    </row>
    <row r="518" spans="1:17">
      <c r="A518" s="14" t="s">
        <v>5623</v>
      </c>
      <c r="B518" s="14" t="s">
        <v>330</v>
      </c>
      <c r="C518" s="14" t="s">
        <v>165</v>
      </c>
      <c r="D518" s="19" t="s">
        <v>3146</v>
      </c>
      <c r="E518" s="15" t="str">
        <f>HYPERLINK("https://stat100.ameba.jp/tnk47/ratio20/illustrations/card/ill_65713_0_undokaionikirimaru03.jpg?202007-5-RELEASE-marathon-481", "■")</f>
        <v>■</v>
      </c>
      <c r="F518" s="14" t="s">
        <v>535</v>
      </c>
      <c r="G518" s="14">
        <v>189209</v>
      </c>
      <c r="H518" s="14">
        <v>175911</v>
      </c>
      <c r="I518" s="14">
        <v>25</v>
      </c>
      <c r="J518" s="14" t="s">
        <v>320</v>
      </c>
      <c r="K518" s="14" t="s">
        <v>3147</v>
      </c>
      <c r="L518" s="14" t="s">
        <v>3148</v>
      </c>
      <c r="M518" s="14" t="s">
        <v>9158</v>
      </c>
      <c r="N518" s="14" t="s">
        <v>9158</v>
      </c>
      <c r="O518" s="19" t="s">
        <v>2869</v>
      </c>
      <c r="P518" s="14" t="s">
        <v>2870</v>
      </c>
      <c r="Q518" s="14">
        <v>1</v>
      </c>
    </row>
    <row r="519" spans="1:17">
      <c r="A519" s="14">
        <v>81743</v>
      </c>
      <c r="B519" s="14" t="s">
        <v>334</v>
      </c>
      <c r="C519" s="14" t="s">
        <v>107</v>
      </c>
      <c r="D519" s="19" t="s">
        <v>10171</v>
      </c>
      <c r="E519" s="15" t="str">
        <f>HYPERLINK("https://stat100.ameba.jp/tnk47/ratio20/illustrations/card/ill_81743_denshagarusakyogabashinohebi03.jpg?202007-5-RELEASE-marathon-481", "■")</f>
        <v>■</v>
      </c>
      <c r="F519" s="14" t="s">
        <v>4853</v>
      </c>
      <c r="G519" s="14">
        <v>114092</v>
      </c>
      <c r="H519" s="14">
        <v>105890</v>
      </c>
      <c r="I519" s="14">
        <v>25</v>
      </c>
      <c r="J519" s="14" t="s">
        <v>38</v>
      </c>
      <c r="K519" s="14" t="s">
        <v>4855</v>
      </c>
      <c r="L519" s="14" t="s">
        <v>4856</v>
      </c>
      <c r="M519" s="14" t="s">
        <v>9158</v>
      </c>
      <c r="N519" s="14" t="s">
        <v>9158</v>
      </c>
      <c r="O519" s="19" t="s">
        <v>10091</v>
      </c>
      <c r="P519" s="14" t="s">
        <v>3670</v>
      </c>
      <c r="Q519" s="14">
        <v>1</v>
      </c>
    </row>
    <row r="520" spans="1:17">
      <c r="A520" s="14">
        <v>76243</v>
      </c>
      <c r="B520" s="14" t="s">
        <v>334</v>
      </c>
      <c r="C520" s="14" t="s">
        <v>335</v>
      </c>
      <c r="D520" s="20" t="s">
        <v>10263</v>
      </c>
      <c r="E520" s="15" t="str">
        <f>HYPERLINK("https://stat100.ameba.jp/tnk47/ratio20/illustrations/card/ill_76243_haroinkaraguchinihonshuchan03.jpg?202007-5-RELEASE-marathon-481", "■")</f>
        <v>■</v>
      </c>
      <c r="F520" s="14" t="s">
        <v>336</v>
      </c>
      <c r="G520" s="14">
        <v>118063</v>
      </c>
      <c r="H520" s="14">
        <v>109786</v>
      </c>
      <c r="I520" s="14">
        <v>25</v>
      </c>
      <c r="J520" s="14" t="s">
        <v>283</v>
      </c>
      <c r="K520" s="14" t="s">
        <v>337</v>
      </c>
      <c r="L520" s="14" t="s">
        <v>338</v>
      </c>
      <c r="M520" s="14" t="s">
        <v>9158</v>
      </c>
      <c r="N520" s="14" t="s">
        <v>9158</v>
      </c>
      <c r="O520" s="19" t="s">
        <v>10090</v>
      </c>
      <c r="P520" s="14" t="s">
        <v>3561</v>
      </c>
      <c r="Q520" s="14">
        <v>1</v>
      </c>
    </row>
    <row r="521" spans="1:17">
      <c r="A521" s="14">
        <v>69533</v>
      </c>
      <c r="B521" s="14" t="s">
        <v>0</v>
      </c>
      <c r="C521" s="14" t="s">
        <v>101</v>
      </c>
      <c r="D521" s="20" t="s">
        <v>10418</v>
      </c>
      <c r="E521" s="15" t="str">
        <f>HYPERLINK("https://stat100.ameba.jp/tnk47/ratio20/illustrations/card/ill_69533_setsubunodainokata03.jpg?202007-5-RELEASE-marathon-481", "■")</f>
        <v>■</v>
      </c>
      <c r="F521" s="14" t="s">
        <v>138</v>
      </c>
      <c r="G521" s="14">
        <v>97651</v>
      </c>
      <c r="H521" s="14">
        <v>90759</v>
      </c>
      <c r="I521" s="14">
        <v>25</v>
      </c>
      <c r="J521" s="14" t="s">
        <v>10</v>
      </c>
      <c r="K521" s="14" t="s">
        <v>139</v>
      </c>
      <c r="L521" s="14" t="s">
        <v>140</v>
      </c>
      <c r="M521" s="14" t="s">
        <v>9158</v>
      </c>
      <c r="N521" s="14" t="s">
        <v>9158</v>
      </c>
      <c r="O521" s="19" t="s">
        <v>10082</v>
      </c>
      <c r="P521" s="14" t="s">
        <v>13124</v>
      </c>
      <c r="Q521" s="14">
        <v>1</v>
      </c>
    </row>
    <row r="523" spans="1:17">
      <c r="A523" s="14" t="s">
        <v>14069</v>
      </c>
    </row>
    <row r="524" spans="1:17">
      <c r="A524" s="14" t="s">
        <v>14070</v>
      </c>
    </row>
    <row r="525" spans="1:17">
      <c r="A525" s="14" t="s">
        <v>5603</v>
      </c>
      <c r="B525" s="14" t="s">
        <v>330</v>
      </c>
      <c r="C525" s="14" t="s">
        <v>205</v>
      </c>
      <c r="D525" s="20" t="s">
        <v>611</v>
      </c>
      <c r="E525" s="15" t="str">
        <f>HYPERLINK("https://stat100.ameba.jp/tnk47/ratio20/illustrations/card/ill_61893_0_onikirishumiyamotomusashi03.jpg?202007-5-RELEASE-marathon-481", "■")</f>
        <v>■</v>
      </c>
      <c r="F525" s="14" t="s">
        <v>612</v>
      </c>
      <c r="G525" s="14">
        <v>224026</v>
      </c>
      <c r="H525" s="14">
        <v>208310</v>
      </c>
      <c r="I525" s="14">
        <v>24</v>
      </c>
      <c r="J525" s="14" t="s">
        <v>310</v>
      </c>
      <c r="K525" s="14" t="s">
        <v>613</v>
      </c>
      <c r="L525" s="14" t="s">
        <v>312</v>
      </c>
      <c r="M525" s="14" t="s">
        <v>9158</v>
      </c>
      <c r="N525" s="14" t="s">
        <v>9158</v>
      </c>
      <c r="O525" s="19" t="s">
        <v>10071</v>
      </c>
      <c r="P525" s="14" t="s">
        <v>3253</v>
      </c>
      <c r="Q525" s="14">
        <v>1</v>
      </c>
    </row>
    <row r="526" spans="1:17">
      <c r="A526" s="14" t="s">
        <v>5901</v>
      </c>
      <c r="B526" s="14" t="s">
        <v>52</v>
      </c>
      <c r="C526" s="14" t="s">
        <v>101</v>
      </c>
      <c r="D526" s="19" t="s">
        <v>1426</v>
      </c>
      <c r="E526" s="15" t="str">
        <f>HYPERLINK("https://stat100.ameba.jp/tnk47/ratio20/illustrations/card/ill_64953_0_yukatatokugawayoshinobu03.jpg?202007-5-RELEASE-marathon-481", "■")</f>
        <v>■</v>
      </c>
      <c r="F526" s="14" t="s">
        <v>2090</v>
      </c>
      <c r="G526" s="14">
        <v>149520</v>
      </c>
      <c r="H526" s="14">
        <v>160804</v>
      </c>
      <c r="I526" s="14">
        <v>24</v>
      </c>
      <c r="J526" s="14" t="s">
        <v>10</v>
      </c>
      <c r="K526" s="14" t="s">
        <v>2091</v>
      </c>
      <c r="L526" s="14" t="s">
        <v>2092</v>
      </c>
      <c r="M526" s="14" t="s">
        <v>9158</v>
      </c>
      <c r="N526" s="14" t="s">
        <v>9158</v>
      </c>
      <c r="O526" s="19" t="s">
        <v>2889</v>
      </c>
      <c r="P526" s="14" t="s">
        <v>2890</v>
      </c>
      <c r="Q526" s="14">
        <v>1</v>
      </c>
    </row>
    <row r="527" spans="1:17">
      <c r="A527" s="14" t="s">
        <v>5604</v>
      </c>
      <c r="B527" s="14" t="s">
        <v>330</v>
      </c>
      <c r="C527" s="14" t="s">
        <v>206</v>
      </c>
      <c r="D527" s="19" t="s">
        <v>614</v>
      </c>
      <c r="E527" s="15" t="str">
        <f>HYPERLINK("https://stat100.ameba.jp/tnk47/ratio20/illustrations/card/ill_47263_0_oukyuuatsuhime03.jpg?202007-5-RELEASE-marathon-481", "■")</f>
        <v>■</v>
      </c>
      <c r="F527" s="14" t="s">
        <v>615</v>
      </c>
      <c r="G527" s="14">
        <v>150776</v>
      </c>
      <c r="H527" s="14">
        <v>133938</v>
      </c>
      <c r="I527" s="14">
        <v>24</v>
      </c>
      <c r="J527" s="14" t="s">
        <v>315</v>
      </c>
      <c r="K527" s="14" t="s">
        <v>616</v>
      </c>
      <c r="L527" s="14" t="s">
        <v>617</v>
      </c>
      <c r="M527" s="14" t="s">
        <v>9158</v>
      </c>
      <c r="N527" s="14" t="s">
        <v>9158</v>
      </c>
      <c r="O527" s="14" t="s">
        <v>9158</v>
      </c>
      <c r="P527" s="14" t="s">
        <v>9158</v>
      </c>
      <c r="Q527" s="14" t="s">
        <v>9158</v>
      </c>
    </row>
    <row r="528" spans="1:17">
      <c r="A528" s="14">
        <v>90113</v>
      </c>
      <c r="B528" s="14" t="s">
        <v>13780</v>
      </c>
      <c r="C528" s="14" t="s">
        <v>13825</v>
      </c>
      <c r="D528" s="14" t="s">
        <v>14052</v>
      </c>
      <c r="E528" s="15" t="str">
        <f>HYPERLINK("https://stat100.ameba.jp/tnk47/ratio20/illustrations/card/ill_90113_hotarumatsuribenzaiten03.jpg?202007-5-RELEASE-marathon-481", "■")</f>
        <v>■</v>
      </c>
      <c r="F528" s="14" t="s">
        <v>14051</v>
      </c>
      <c r="G528" s="14">
        <v>98594</v>
      </c>
      <c r="H528" s="14">
        <v>106050</v>
      </c>
      <c r="I528" s="7">
        <v>26</v>
      </c>
      <c r="J528" s="14" t="s">
        <v>13814</v>
      </c>
      <c r="K528" s="14" t="s">
        <v>14050</v>
      </c>
      <c r="L528" s="14" t="s">
        <v>14049</v>
      </c>
      <c r="M528" s="14" t="s">
        <v>9158</v>
      </c>
      <c r="N528" s="14" t="s">
        <v>9158</v>
      </c>
      <c r="O528" s="14" t="s">
        <v>9158</v>
      </c>
      <c r="P528" s="14" t="s">
        <v>9158</v>
      </c>
      <c r="Q528" s="14" t="s">
        <v>9158</v>
      </c>
    </row>
    <row r="529" spans="1:18">
      <c r="A529" s="14">
        <v>90133</v>
      </c>
      <c r="B529" s="14" t="s">
        <v>13781</v>
      </c>
      <c r="C529" s="14" t="s">
        <v>13810</v>
      </c>
      <c r="D529" s="14" t="s">
        <v>14060</v>
      </c>
      <c r="E529" s="15" t="str">
        <f>HYPERLINK("https://stat100.ameba.jp/tnk47/ratio20/illustrations/card/ill_90133_yusuzumimyorinni03.jpg?202007-5-RELEASE-marathon-481", "■")</f>
        <v>■</v>
      </c>
      <c r="F529" s="14" t="s">
        <v>14059</v>
      </c>
      <c r="G529" s="14">
        <v>69898</v>
      </c>
      <c r="H529" s="14">
        <v>77064</v>
      </c>
      <c r="I529" s="7">
        <v>26</v>
      </c>
      <c r="J529" s="14" t="s">
        <v>13803</v>
      </c>
      <c r="K529" s="14" t="s">
        <v>14058</v>
      </c>
      <c r="L529" s="14" t="s">
        <v>14057</v>
      </c>
      <c r="M529" s="14" t="s">
        <v>9158</v>
      </c>
      <c r="N529" s="14" t="s">
        <v>9158</v>
      </c>
      <c r="O529" s="14" t="s">
        <v>9158</v>
      </c>
      <c r="P529" s="14" t="s">
        <v>9158</v>
      </c>
      <c r="Q529" s="14" t="s">
        <v>9158</v>
      </c>
    </row>
    <row r="530" spans="1:18">
      <c r="A530" s="14">
        <v>90143</v>
      </c>
      <c r="B530" s="14" t="s">
        <v>13782</v>
      </c>
      <c r="C530" s="14" t="s">
        <v>13856</v>
      </c>
      <c r="D530" s="14" t="s">
        <v>14063</v>
      </c>
      <c r="E530" s="15" t="str">
        <f>HYPERLINK("https://stat100.ameba.jp/tnk47/ratio20/illustrations/card/ill_90143_fuyunojintensuin03.jpg?202007-5-RELEASE-marathon-481", "■")</f>
        <v>■</v>
      </c>
      <c r="F530" s="14" t="s">
        <v>14062</v>
      </c>
      <c r="G530" s="14">
        <v>54058</v>
      </c>
      <c r="H530" s="14">
        <v>44948</v>
      </c>
      <c r="I530" s="7">
        <v>26</v>
      </c>
      <c r="J530" s="14" t="s">
        <v>13817</v>
      </c>
      <c r="K530" s="14" t="s">
        <v>14061</v>
      </c>
      <c r="L530" s="14" t="s">
        <v>13826</v>
      </c>
      <c r="M530" s="14" t="s">
        <v>9158</v>
      </c>
      <c r="N530" s="14" t="s">
        <v>9158</v>
      </c>
      <c r="O530" s="14" t="s">
        <v>9158</v>
      </c>
      <c r="P530" s="14" t="s">
        <v>9158</v>
      </c>
      <c r="Q530" s="14" t="s">
        <v>9158</v>
      </c>
    </row>
    <row r="531" spans="1:18">
      <c r="A531" s="14">
        <v>90153</v>
      </c>
      <c r="B531" s="14" t="s">
        <v>13783</v>
      </c>
      <c r="C531" s="14" t="s">
        <v>14048</v>
      </c>
      <c r="D531" s="14" t="s">
        <v>14047</v>
      </c>
      <c r="E531" s="15" t="str">
        <f>HYPERLINK("https://stat100.ameba.jp/tnk47/ratio20/illustrations/card/ill_90153_otomisan03.jpg?202007-5-RELEASE-marathon-481", "■")</f>
        <v>■</v>
      </c>
      <c r="F531" s="14" t="s">
        <v>14046</v>
      </c>
      <c r="G531" s="14">
        <v>27486</v>
      </c>
      <c r="H531" s="14">
        <v>32728</v>
      </c>
      <c r="I531" s="7">
        <v>26</v>
      </c>
      <c r="J531" s="14" t="s">
        <v>13847</v>
      </c>
      <c r="K531" s="14" t="s">
        <v>14045</v>
      </c>
      <c r="L531" s="14" t="s">
        <v>14044</v>
      </c>
      <c r="M531" s="14" t="s">
        <v>9158</v>
      </c>
      <c r="N531" s="14" t="s">
        <v>9158</v>
      </c>
      <c r="O531" s="14" t="s">
        <v>9158</v>
      </c>
      <c r="P531" s="14" t="s">
        <v>9158</v>
      </c>
      <c r="Q531" s="14" t="s">
        <v>9158</v>
      </c>
    </row>
    <row r="533" spans="1:18">
      <c r="A533" s="14" t="s">
        <v>14071</v>
      </c>
    </row>
    <row r="534" spans="1:18">
      <c r="A534" s="14" t="s">
        <v>14072</v>
      </c>
    </row>
    <row r="535" spans="1:18">
      <c r="A535" s="14">
        <v>83973</v>
      </c>
      <c r="B535" s="14" t="s">
        <v>334</v>
      </c>
      <c r="C535" s="14" t="s">
        <v>14</v>
      </c>
      <c r="D535" s="19" t="s">
        <v>10570</v>
      </c>
      <c r="E535" s="15" t="str">
        <f>HYPERLINK("https://stat100.ameba.jp/tnk47/ratio20/illustrations/card/ill_83973_nekokishiirurosu03.jpg?202007-5-RELEASE-marathon-481", "■")</f>
        <v>■</v>
      </c>
      <c r="F535" s="14" t="s">
        <v>6706</v>
      </c>
      <c r="G535" s="14">
        <v>132922</v>
      </c>
      <c r="H535" s="14">
        <v>123583</v>
      </c>
      <c r="I535" s="14">
        <v>27</v>
      </c>
      <c r="J535" s="14" t="s">
        <v>229</v>
      </c>
      <c r="K535" s="14" t="s">
        <v>6707</v>
      </c>
      <c r="L535" s="14" t="s">
        <v>13202</v>
      </c>
      <c r="M535" s="14" t="s">
        <v>13130</v>
      </c>
      <c r="N535" s="14" t="s">
        <v>343</v>
      </c>
      <c r="O535" s="14" t="s">
        <v>9158</v>
      </c>
      <c r="P535" s="14" t="s">
        <v>9158</v>
      </c>
      <c r="Q535" s="14" t="s">
        <v>9158</v>
      </c>
      <c r="R535" s="14" t="s">
        <v>14748</v>
      </c>
    </row>
    <row r="536" spans="1:18">
      <c r="A536" s="14">
        <v>83972</v>
      </c>
      <c r="B536" s="14" t="s">
        <v>334</v>
      </c>
      <c r="C536" s="14" t="s">
        <v>14</v>
      </c>
      <c r="D536" s="19" t="s">
        <v>10570</v>
      </c>
      <c r="E536" s="15" t="str">
        <f>HYPERLINK("https://stat100.ameba.jp/tnk47/ratio20/illustrations/card/ill_83972_nekokishiirurosu02.jpg?202007-5-RELEASE-marathon-481", "■")</f>
        <v>■</v>
      </c>
      <c r="F536" s="14" t="s">
        <v>6706</v>
      </c>
      <c r="G536" s="14">
        <v>111115</v>
      </c>
      <c r="H536" s="14">
        <v>102356</v>
      </c>
      <c r="I536" s="14">
        <v>27</v>
      </c>
      <c r="J536" s="14" t="s">
        <v>229</v>
      </c>
      <c r="K536" s="14" t="s">
        <v>6707</v>
      </c>
      <c r="L536" s="14" t="s">
        <v>13201</v>
      </c>
      <c r="M536" s="14" t="s">
        <v>13131</v>
      </c>
      <c r="N536" s="14" t="s">
        <v>251</v>
      </c>
      <c r="O536" s="14" t="s">
        <v>9158</v>
      </c>
      <c r="P536" s="14" t="s">
        <v>9158</v>
      </c>
      <c r="Q536" s="14" t="s">
        <v>9158</v>
      </c>
      <c r="R536" s="14" t="s">
        <v>14748</v>
      </c>
    </row>
    <row r="537" spans="1:18">
      <c r="A537" s="14">
        <v>83971</v>
      </c>
      <c r="B537" s="14" t="s">
        <v>0</v>
      </c>
      <c r="C537" s="14" t="s">
        <v>14</v>
      </c>
      <c r="D537" s="19" t="s">
        <v>10570</v>
      </c>
      <c r="E537" s="15" t="str">
        <f>HYPERLINK("https://stat100.ameba.jp/tnk47/ratio20/illustrations/card/ill_83971_nekokishiirurosu01.jpg?202007-5-RELEASE-marathon-481", "■")</f>
        <v>■</v>
      </c>
      <c r="F537" s="14" t="s">
        <v>6706</v>
      </c>
      <c r="G537" s="14">
        <v>84834</v>
      </c>
      <c r="H537" s="14">
        <v>78975</v>
      </c>
      <c r="I537" s="14">
        <v>27</v>
      </c>
      <c r="J537" s="14" t="s">
        <v>229</v>
      </c>
      <c r="K537" s="14" t="s">
        <v>6707</v>
      </c>
      <c r="L537" s="14" t="s">
        <v>13201</v>
      </c>
      <c r="M537" s="14" t="s">
        <v>13131</v>
      </c>
      <c r="N537" s="14" t="s">
        <v>251</v>
      </c>
      <c r="O537" s="14" t="s">
        <v>9158</v>
      </c>
      <c r="P537" s="14" t="s">
        <v>9158</v>
      </c>
      <c r="Q537" s="14" t="s">
        <v>9158</v>
      </c>
      <c r="R537" s="14" t="s">
        <v>14748</v>
      </c>
    </row>
    <row r="538" spans="1:18">
      <c r="A538" s="14">
        <v>83983</v>
      </c>
      <c r="B538" s="14" t="s">
        <v>334</v>
      </c>
      <c r="C538" s="14" t="s">
        <v>23</v>
      </c>
      <c r="D538" s="19" t="s">
        <v>10571</v>
      </c>
      <c r="E538" s="15" t="str">
        <f>HYPERLINK("https://stat100.ameba.jp/tnk47/ratio20/illustrations/card/ill_83983_ryujinsui03.jpg?202007-5-RELEASE-marathon-481", "■")</f>
        <v>■</v>
      </c>
      <c r="F538" s="14" t="s">
        <v>6708</v>
      </c>
      <c r="G538" s="14">
        <v>123583</v>
      </c>
      <c r="H538" s="14">
        <v>132922</v>
      </c>
      <c r="I538" s="14">
        <v>27</v>
      </c>
      <c r="J538" s="14" t="s">
        <v>169</v>
      </c>
      <c r="K538" s="14" t="s">
        <v>6710</v>
      </c>
      <c r="L538" s="14" t="s">
        <v>6721</v>
      </c>
      <c r="M538" s="14" t="s">
        <v>13130</v>
      </c>
      <c r="N538" s="14" t="s">
        <v>343</v>
      </c>
      <c r="O538" s="14" t="s">
        <v>9158</v>
      </c>
      <c r="P538" s="14" t="s">
        <v>9158</v>
      </c>
      <c r="Q538" s="14" t="s">
        <v>9158</v>
      </c>
      <c r="R538" s="14" t="s">
        <v>14748</v>
      </c>
    </row>
    <row r="539" spans="1:18">
      <c r="A539" s="14">
        <v>83993</v>
      </c>
      <c r="B539" s="14" t="s">
        <v>334</v>
      </c>
      <c r="C539" s="14" t="s">
        <v>101</v>
      </c>
      <c r="D539" s="19" t="s">
        <v>10572</v>
      </c>
      <c r="E539" s="15" t="str">
        <f>HYPERLINK("https://stat100.ameba.jp/tnk47/ratio20/illustrations/card/ill_83993_enjieruzuranotamagochan03.jpg?202007-5-RELEASE-marathon-481", "■")</f>
        <v>■</v>
      </c>
      <c r="F539" s="14" t="s">
        <v>6722</v>
      </c>
      <c r="G539" s="14">
        <v>123583</v>
      </c>
      <c r="H539" s="14">
        <v>132922</v>
      </c>
      <c r="I539" s="14">
        <v>27</v>
      </c>
      <c r="J539" s="14" t="s">
        <v>216</v>
      </c>
      <c r="K539" s="14" t="s">
        <v>6723</v>
      </c>
      <c r="L539" s="14" t="s">
        <v>6724</v>
      </c>
      <c r="M539" s="14" t="s">
        <v>13130</v>
      </c>
      <c r="N539" s="14" t="s">
        <v>343</v>
      </c>
      <c r="O539" s="14" t="s">
        <v>9158</v>
      </c>
      <c r="P539" s="14" t="s">
        <v>9158</v>
      </c>
      <c r="Q539" s="14" t="s">
        <v>9158</v>
      </c>
      <c r="R539" s="14" t="s">
        <v>14748</v>
      </c>
    </row>
    <row r="540" spans="1:18">
      <c r="A540" s="14">
        <v>84003</v>
      </c>
      <c r="B540" s="14" t="s">
        <v>0</v>
      </c>
      <c r="C540" s="14" t="s">
        <v>96</v>
      </c>
      <c r="D540" s="19" t="s">
        <v>10573</v>
      </c>
      <c r="E540" s="15" t="str">
        <f>HYPERLINK("https://stat100.ameba.jp/tnk47/ratio20/illustrations/card/ill_84003_sukoropendora03.jpg?202007-5-RELEASE-marathon-481", "■")</f>
        <v>■</v>
      </c>
      <c r="F540" s="14" t="s">
        <v>6725</v>
      </c>
      <c r="G540" s="14">
        <v>132922</v>
      </c>
      <c r="H540" s="14">
        <v>123583</v>
      </c>
      <c r="I540" s="14">
        <v>27</v>
      </c>
      <c r="J540" s="14" t="s">
        <v>182</v>
      </c>
      <c r="K540" s="14" t="s">
        <v>6727</v>
      </c>
      <c r="L540" s="14" t="s">
        <v>6728</v>
      </c>
      <c r="M540" s="14" t="s">
        <v>13130</v>
      </c>
      <c r="N540" s="14" t="s">
        <v>343</v>
      </c>
      <c r="O540" s="14" t="s">
        <v>9158</v>
      </c>
      <c r="P540" s="14" t="s">
        <v>9158</v>
      </c>
      <c r="Q540" s="14" t="s">
        <v>9158</v>
      </c>
      <c r="R540" s="14" t="s">
        <v>14748</v>
      </c>
    </row>
    <row r="541" spans="1:18">
      <c r="A541" s="14">
        <v>84013</v>
      </c>
      <c r="B541" s="14" t="s">
        <v>334</v>
      </c>
      <c r="C541" s="14" t="s">
        <v>205</v>
      </c>
      <c r="D541" s="19" t="s">
        <v>10574</v>
      </c>
      <c r="E541" s="15" t="str">
        <f>HYPERLINK("https://stat100.ameba.jp/tnk47/ratio20/illustrations/card/ill_84013_neikiddo03.jpg?202007-5-RELEASE-marathon-481", "■")</f>
        <v>■</v>
      </c>
      <c r="F541" s="14" t="s">
        <v>6729</v>
      </c>
      <c r="G541" s="14">
        <v>123583</v>
      </c>
      <c r="H541" s="14">
        <v>132922</v>
      </c>
      <c r="I541" s="14">
        <v>27</v>
      </c>
      <c r="J541" s="14" t="s">
        <v>194</v>
      </c>
      <c r="K541" s="14" t="s">
        <v>6731</v>
      </c>
      <c r="L541" s="14" t="s">
        <v>6732</v>
      </c>
      <c r="M541" s="14" t="s">
        <v>13130</v>
      </c>
      <c r="N541" s="14" t="s">
        <v>343</v>
      </c>
      <c r="O541" s="14" t="s">
        <v>9158</v>
      </c>
      <c r="P541" s="14" t="s">
        <v>9158</v>
      </c>
      <c r="Q541" s="14" t="s">
        <v>9158</v>
      </c>
      <c r="R541" s="14" t="s">
        <v>14748</v>
      </c>
    </row>
    <row r="542" spans="1:18">
      <c r="A542" s="14">
        <v>76763</v>
      </c>
      <c r="B542" s="14" t="s">
        <v>334</v>
      </c>
      <c r="C542" s="14" t="s">
        <v>107</v>
      </c>
      <c r="D542" s="19" t="s">
        <v>10575</v>
      </c>
      <c r="E542" s="15" t="str">
        <f>HYPERLINK("https://stat100.ameba.jp/tnk47/ratio20/illustrations/card/ill_76763_monsutanabeshimakeiginni03.jpg?202007-5-RELEASE-marathon-481", "■")</f>
        <v>■</v>
      </c>
      <c r="F542" s="14" t="s">
        <v>6733</v>
      </c>
      <c r="G542" s="14">
        <v>132922</v>
      </c>
      <c r="H542" s="14">
        <v>123583</v>
      </c>
      <c r="I542" s="14">
        <v>27</v>
      </c>
      <c r="J542" s="14" t="s">
        <v>187</v>
      </c>
      <c r="K542" s="14" t="s">
        <v>6735</v>
      </c>
      <c r="L542" s="14" t="s">
        <v>6736</v>
      </c>
      <c r="M542" s="14" t="s">
        <v>13130</v>
      </c>
      <c r="N542" s="14" t="s">
        <v>343</v>
      </c>
      <c r="O542" s="14" t="s">
        <v>9158</v>
      </c>
      <c r="P542" s="14" t="s">
        <v>9158</v>
      </c>
      <c r="Q542" s="14" t="s">
        <v>9158</v>
      </c>
      <c r="R542" s="14" t="s">
        <v>14748</v>
      </c>
    </row>
    <row r="544" spans="1:18">
      <c r="A544" s="14" t="s">
        <v>14069</v>
      </c>
    </row>
    <row r="545" spans="1:17">
      <c r="A545" s="14" t="s">
        <v>14073</v>
      </c>
    </row>
    <row r="546" spans="1:17">
      <c r="A546" s="14" t="s">
        <v>5787</v>
      </c>
      <c r="B546" s="14" t="s">
        <v>330</v>
      </c>
      <c r="C546" s="14" t="s">
        <v>270</v>
      </c>
      <c r="D546" s="20" t="s">
        <v>331</v>
      </c>
      <c r="E546" s="15" t="str">
        <f>HYPERLINK("https://stat100.ameba.jp/tnk47/ratio20/illustrations/card/ill_76303_0_haroinkaguya03.jpg?202007-5-RELEASE-marathon-481", "■")</f>
        <v>■</v>
      </c>
      <c r="F546" s="14" t="s">
        <v>332</v>
      </c>
      <c r="G546" s="14">
        <v>285614</v>
      </c>
      <c r="H546" s="14">
        <v>265526</v>
      </c>
      <c r="I546" s="14">
        <v>24</v>
      </c>
      <c r="J546" s="14" t="s">
        <v>274</v>
      </c>
      <c r="K546" s="14" t="s">
        <v>333</v>
      </c>
      <c r="L546" s="14" t="s">
        <v>276</v>
      </c>
      <c r="M546" s="14" t="s">
        <v>9158</v>
      </c>
      <c r="N546" s="14" t="s">
        <v>9158</v>
      </c>
      <c r="O546" s="19" t="s">
        <v>2976</v>
      </c>
      <c r="P546" s="14" t="s">
        <v>2724</v>
      </c>
      <c r="Q546" s="14">
        <v>1</v>
      </c>
    </row>
    <row r="547" spans="1:17">
      <c r="A547" s="14" t="s">
        <v>5724</v>
      </c>
      <c r="B547" s="14" t="s">
        <v>330</v>
      </c>
      <c r="C547" s="14" t="s">
        <v>335</v>
      </c>
      <c r="D547" s="19" t="s">
        <v>698</v>
      </c>
      <c r="E547" s="15" t="str">
        <f>HYPERLINK("https://stat100.ameba.jp/tnk47/ratio20/illustrations/card/ill_66433_0_haroinfujishirogozen03.jpg?202007-5-RELEASE-marathon-481", "■")</f>
        <v>■</v>
      </c>
      <c r="F547" s="14" t="s">
        <v>699</v>
      </c>
      <c r="G547" s="14">
        <v>146892</v>
      </c>
      <c r="H547" s="14">
        <v>158000</v>
      </c>
      <c r="I547" s="14">
        <v>24</v>
      </c>
      <c r="J547" s="14" t="s">
        <v>315</v>
      </c>
      <c r="K547" s="14" t="s">
        <v>700</v>
      </c>
      <c r="L547" s="14" t="s">
        <v>701</v>
      </c>
      <c r="M547" s="14" t="s">
        <v>9158</v>
      </c>
      <c r="N547" s="14" t="s">
        <v>9158</v>
      </c>
      <c r="O547" s="19" t="s">
        <v>10095</v>
      </c>
      <c r="P547" s="14" t="s">
        <v>3345</v>
      </c>
      <c r="Q547" s="14">
        <v>1</v>
      </c>
    </row>
    <row r="548" spans="1:17">
      <c r="A548" s="14" t="s">
        <v>5625</v>
      </c>
      <c r="B548" s="14" t="s">
        <v>330</v>
      </c>
      <c r="C548" s="14" t="s">
        <v>200</v>
      </c>
      <c r="D548" s="20" t="s">
        <v>630</v>
      </c>
      <c r="E548" s="15" t="str">
        <f>HYPERLINK("https://stat100.ameba.jp/tnk47/ratio20/illustrations/card/ill_48283_0_kyuubitamamonomae03.jpg?202007-5-RELEASE-marathon-481", "■")</f>
        <v>■</v>
      </c>
      <c r="F548" s="14" t="s">
        <v>631</v>
      </c>
      <c r="G548" s="14">
        <v>150776</v>
      </c>
      <c r="H548" s="14">
        <v>133938</v>
      </c>
      <c r="I548" s="14">
        <v>24</v>
      </c>
      <c r="J548" s="14" t="s">
        <v>320</v>
      </c>
      <c r="K548" s="14" t="s">
        <v>632</v>
      </c>
      <c r="L548" s="14" t="s">
        <v>633</v>
      </c>
      <c r="M548" s="14" t="s">
        <v>9158</v>
      </c>
      <c r="N548" s="14" t="s">
        <v>9158</v>
      </c>
      <c r="O548" s="14" t="s">
        <v>9158</v>
      </c>
      <c r="P548" s="14" t="s">
        <v>9158</v>
      </c>
      <c r="Q548" s="14" t="s">
        <v>9158</v>
      </c>
    </row>
    <row r="549" spans="1:17">
      <c r="A549" s="14">
        <v>90123</v>
      </c>
      <c r="B549" s="14" t="s">
        <v>13780</v>
      </c>
      <c r="C549" s="14" t="s">
        <v>13856</v>
      </c>
      <c r="D549" s="14" t="s">
        <v>14056</v>
      </c>
      <c r="E549" s="15" t="str">
        <f>HYPERLINK("https://stat100.ameba.jp/tnk47/ratio20/illustrations/card/ill_90123_ononomichikaze03.jpg?202007-5-RELEASE-marathon-481", "■")</f>
        <v>■</v>
      </c>
      <c r="F549" s="14" t="s">
        <v>14055</v>
      </c>
      <c r="G549" s="14">
        <v>101558</v>
      </c>
      <c r="H549" s="14">
        <v>94390</v>
      </c>
      <c r="I549" s="7">
        <v>26</v>
      </c>
      <c r="J549" s="14" t="s">
        <v>13908</v>
      </c>
      <c r="K549" s="14" t="s">
        <v>14054</v>
      </c>
      <c r="L549" s="14" t="s">
        <v>14053</v>
      </c>
      <c r="M549" s="14" t="s">
        <v>9158</v>
      </c>
      <c r="N549" s="14" t="s">
        <v>9158</v>
      </c>
      <c r="O549" s="14" t="s">
        <v>9158</v>
      </c>
      <c r="P549" s="14" t="s">
        <v>9158</v>
      </c>
      <c r="Q549" s="14" t="s">
        <v>9158</v>
      </c>
    </row>
    <row r="550" spans="1:17">
      <c r="A550" s="14">
        <v>90133</v>
      </c>
      <c r="B550" s="14" t="s">
        <v>13781</v>
      </c>
      <c r="C550" s="14" t="s">
        <v>13810</v>
      </c>
      <c r="D550" s="14" t="s">
        <v>14060</v>
      </c>
      <c r="E550" s="15" t="str">
        <f>HYPERLINK("https://stat100.ameba.jp/tnk47/ratio20/illustrations/card/ill_90133_yusuzumimyorinni03.jpg?202007-5-RELEASE-marathon-481", "■")</f>
        <v>■</v>
      </c>
      <c r="F550" s="14" t="s">
        <v>14059</v>
      </c>
      <c r="G550" s="14">
        <v>69898</v>
      </c>
      <c r="H550" s="14">
        <v>77064</v>
      </c>
      <c r="I550" s="7">
        <v>26</v>
      </c>
      <c r="J550" s="14" t="s">
        <v>13803</v>
      </c>
      <c r="K550" s="14" t="s">
        <v>14058</v>
      </c>
      <c r="L550" s="14" t="s">
        <v>14057</v>
      </c>
      <c r="M550" s="14" t="s">
        <v>9158</v>
      </c>
      <c r="N550" s="14" t="s">
        <v>9158</v>
      </c>
      <c r="O550" s="14" t="s">
        <v>9158</v>
      </c>
      <c r="P550" s="14" t="s">
        <v>9158</v>
      </c>
      <c r="Q550" s="14" t="s">
        <v>9158</v>
      </c>
    </row>
    <row r="551" spans="1:17">
      <c r="A551" s="14">
        <v>90143</v>
      </c>
      <c r="B551" s="14" t="s">
        <v>13782</v>
      </c>
      <c r="C551" s="14" t="s">
        <v>13856</v>
      </c>
      <c r="D551" s="14" t="s">
        <v>14063</v>
      </c>
      <c r="E551" s="15" t="str">
        <f>HYPERLINK("https://stat100.ameba.jp/tnk47/ratio20/illustrations/card/ill_90143_fuyunojintensuin03.jpg?202007-5-RELEASE-marathon-481", "■")</f>
        <v>■</v>
      </c>
      <c r="F551" s="14" t="s">
        <v>14062</v>
      </c>
      <c r="G551" s="14">
        <v>54058</v>
      </c>
      <c r="H551" s="14">
        <v>44948</v>
      </c>
      <c r="I551" s="7">
        <v>26</v>
      </c>
      <c r="J551" s="14" t="s">
        <v>13817</v>
      </c>
      <c r="K551" s="14" t="s">
        <v>14061</v>
      </c>
      <c r="L551" s="14" t="s">
        <v>13826</v>
      </c>
      <c r="M551" s="14" t="s">
        <v>9158</v>
      </c>
      <c r="N551" s="14" t="s">
        <v>9158</v>
      </c>
      <c r="O551" s="14" t="s">
        <v>9158</v>
      </c>
      <c r="P551" s="14" t="s">
        <v>9158</v>
      </c>
      <c r="Q551" s="14" t="s">
        <v>9158</v>
      </c>
    </row>
    <row r="552" spans="1:17">
      <c r="A552" s="14">
        <v>90153</v>
      </c>
      <c r="B552" s="14" t="s">
        <v>13783</v>
      </c>
      <c r="C552" s="14" t="s">
        <v>14048</v>
      </c>
      <c r="D552" s="14" t="s">
        <v>14047</v>
      </c>
      <c r="E552" s="15" t="str">
        <f>HYPERLINK("https://stat100.ameba.jp/tnk47/ratio20/illustrations/card/ill_90153_otomisan03.jpg?202007-5-RELEASE-marathon-481", "■")</f>
        <v>■</v>
      </c>
      <c r="F552" s="14" t="s">
        <v>14046</v>
      </c>
      <c r="G552" s="14">
        <v>27486</v>
      </c>
      <c r="H552" s="14">
        <v>32728</v>
      </c>
      <c r="I552" s="7">
        <v>26</v>
      </c>
      <c r="J552" s="14" t="s">
        <v>13847</v>
      </c>
      <c r="K552" s="14" t="s">
        <v>14045</v>
      </c>
      <c r="L552" s="14" t="s">
        <v>14044</v>
      </c>
      <c r="M552" s="14" t="s">
        <v>9158</v>
      </c>
      <c r="N552" s="14" t="s">
        <v>9158</v>
      </c>
      <c r="O552" s="14" t="s">
        <v>9158</v>
      </c>
      <c r="P552" s="14" t="s">
        <v>9158</v>
      </c>
      <c r="Q552" s="14" t="s">
        <v>9158</v>
      </c>
    </row>
    <row r="554" spans="1:17">
      <c r="A554" s="14" t="s">
        <v>13837</v>
      </c>
    </row>
    <row r="555" spans="1:17">
      <c r="A555" s="14" t="s">
        <v>14074</v>
      </c>
    </row>
    <row r="556" spans="1:17">
      <c r="A556" s="14" t="s">
        <v>5891</v>
      </c>
      <c r="B556" s="14" t="s">
        <v>330</v>
      </c>
      <c r="C556" s="14" t="s">
        <v>202</v>
      </c>
      <c r="D556" s="20" t="s">
        <v>1371</v>
      </c>
      <c r="E556" s="15" t="str">
        <f>HYPERLINK("https://stat100.ameba.jp/tnk47/ratio20/illustrations/card/ill_77173_0_yukemuritomoegozen03.jpg?202007-5-RELEASE-marathon-481", "■")</f>
        <v>■</v>
      </c>
      <c r="F556" s="14" t="s">
        <v>1372</v>
      </c>
      <c r="G556" s="14">
        <v>250610</v>
      </c>
      <c r="H556" s="14">
        <v>277283</v>
      </c>
      <c r="I556" s="14">
        <v>25</v>
      </c>
      <c r="J556" s="14" t="s">
        <v>310</v>
      </c>
      <c r="K556" s="14" t="s">
        <v>1373</v>
      </c>
      <c r="L556" s="14" t="s">
        <v>1374</v>
      </c>
      <c r="M556" s="14" t="s">
        <v>9158</v>
      </c>
      <c r="N556" s="14" t="s">
        <v>9158</v>
      </c>
      <c r="O556" s="19" t="s">
        <v>4067</v>
      </c>
      <c r="P556" s="14" t="s">
        <v>3879</v>
      </c>
      <c r="Q556" s="14">
        <v>2</v>
      </c>
    </row>
    <row r="557" spans="1:17">
      <c r="A557" s="14">
        <v>77673</v>
      </c>
      <c r="B557" s="14" t="s">
        <v>334</v>
      </c>
      <c r="C557" s="14" t="s">
        <v>158</v>
      </c>
      <c r="D557" s="19" t="s">
        <v>10270</v>
      </c>
      <c r="E557" s="15" t="str">
        <f>HYPERLINK("https://stat100.ameba.jp/tnk47/ratio20/illustrations/card/ill_77673_ryunochoji03.jpg?202007-5-RELEASE-marathon-481", "■")</f>
        <v>■</v>
      </c>
      <c r="F557" s="14" t="s">
        <v>1777</v>
      </c>
      <c r="G557" s="14">
        <v>116577</v>
      </c>
      <c r="H557" s="14">
        <v>84456</v>
      </c>
      <c r="I557" s="7">
        <v>25</v>
      </c>
      <c r="J557" s="14" t="s">
        <v>73</v>
      </c>
      <c r="K557" s="14" t="s">
        <v>1778</v>
      </c>
      <c r="L557" s="14" t="s">
        <v>1779</v>
      </c>
      <c r="M557" s="14" t="s">
        <v>9158</v>
      </c>
      <c r="N557" s="14" t="s">
        <v>9158</v>
      </c>
      <c r="O557" s="19" t="s">
        <v>10090</v>
      </c>
      <c r="P557" s="14" t="s">
        <v>3460</v>
      </c>
      <c r="Q557" s="14">
        <v>1</v>
      </c>
    </row>
    <row r="558" spans="1:17">
      <c r="A558" s="14">
        <v>73093</v>
      </c>
      <c r="B558" s="14" t="s">
        <v>334</v>
      </c>
      <c r="C558" s="14" t="s">
        <v>209</v>
      </c>
      <c r="D558" s="20" t="s">
        <v>433</v>
      </c>
      <c r="E558" s="15" t="str">
        <f>HYPERLINK("https://stat100.ameba.jp/tnk47/ratio20/illustrations/card/ill_73093_aisukurinchan03.jpg?202007-5-RELEASE-marathon-481", "■")</f>
        <v>■</v>
      </c>
      <c r="F558" s="14" t="s">
        <v>1027</v>
      </c>
      <c r="G558" s="14">
        <v>166328</v>
      </c>
      <c r="H558" s="14">
        <v>120475</v>
      </c>
      <c r="I558" s="14">
        <v>25</v>
      </c>
      <c r="J558" s="14" t="s">
        <v>104</v>
      </c>
      <c r="K558" s="14" t="s">
        <v>1028</v>
      </c>
      <c r="L558" s="14" t="s">
        <v>1029</v>
      </c>
      <c r="M558" s="14" t="s">
        <v>9158</v>
      </c>
      <c r="N558" s="14" t="s">
        <v>9158</v>
      </c>
      <c r="O558" s="19" t="s">
        <v>2741</v>
      </c>
      <c r="P558" s="14" t="s">
        <v>2742</v>
      </c>
      <c r="Q558" s="14">
        <v>1</v>
      </c>
    </row>
    <row r="559" spans="1:17">
      <c r="A559" s="14">
        <v>70373</v>
      </c>
      <c r="B559" s="14" t="s">
        <v>334</v>
      </c>
      <c r="C559" s="14" t="s">
        <v>209</v>
      </c>
      <c r="D559" s="19" t="s">
        <v>10226</v>
      </c>
      <c r="E559" s="15" t="str">
        <f>HYPERLINK("https://stat100.ameba.jp/tnk47/ratio20/illustrations/card/ill_70373_amanoyasukage03.jpg?202007-5-RELEASE-marathon-481", "■")</f>
        <v>■</v>
      </c>
      <c r="F559" s="14" t="s">
        <v>2617</v>
      </c>
      <c r="G559" s="14">
        <v>129140</v>
      </c>
      <c r="H559" s="14">
        <v>138891</v>
      </c>
      <c r="I559" s="7">
        <v>25</v>
      </c>
      <c r="J559" s="14" t="s">
        <v>143</v>
      </c>
      <c r="K559" s="14" t="s">
        <v>2618</v>
      </c>
      <c r="L559" s="14" t="s">
        <v>2619</v>
      </c>
      <c r="M559" s="14" t="s">
        <v>9158</v>
      </c>
      <c r="N559" s="14" t="s">
        <v>9158</v>
      </c>
      <c r="O559" s="19" t="s">
        <v>10081</v>
      </c>
      <c r="P559" s="14" t="s">
        <v>4146</v>
      </c>
      <c r="Q559" s="14">
        <v>1</v>
      </c>
    </row>
    <row r="561" spans="1:17">
      <c r="A561" s="14" t="s">
        <v>13879</v>
      </c>
    </row>
    <row r="562" spans="1:17">
      <c r="A562" s="14" t="s">
        <v>14075</v>
      </c>
    </row>
    <row r="563" spans="1:17">
      <c r="A563" s="14" t="s">
        <v>5650</v>
      </c>
      <c r="B563" s="14" t="s">
        <v>52</v>
      </c>
      <c r="C563" s="14" t="s">
        <v>23</v>
      </c>
      <c r="D563" s="19" t="s">
        <v>809</v>
      </c>
      <c r="E563" s="15" t="str">
        <f>HYPERLINK("https://stat100.ameba.jp/tnk47/ratio20/illustrations/card/ill_68033_0_kurisumasupateikandamyojin03.jpg?202007-5-RELEASE-marathon-481", "■")</f>
        <v>■</v>
      </c>
      <c r="F563" s="14" t="s">
        <v>1871</v>
      </c>
      <c r="G563" s="14">
        <v>139878</v>
      </c>
      <c r="H563" s="14">
        <v>150466</v>
      </c>
      <c r="I563" s="14">
        <v>22</v>
      </c>
      <c r="J563" s="14" t="s">
        <v>44</v>
      </c>
      <c r="K563" s="14" t="s">
        <v>1872</v>
      </c>
      <c r="L563" s="14" t="s">
        <v>1873</v>
      </c>
      <c r="M563" s="14" t="s">
        <v>9158</v>
      </c>
      <c r="N563" s="14" t="s">
        <v>9158</v>
      </c>
      <c r="O563" s="19" t="s">
        <v>2997</v>
      </c>
      <c r="P563" s="14" t="s">
        <v>3483</v>
      </c>
      <c r="Q563" s="14">
        <v>2</v>
      </c>
    </row>
    <row r="564" spans="1:17">
      <c r="A564" s="9" t="s">
        <v>5899</v>
      </c>
      <c r="B564" s="14" t="s">
        <v>330</v>
      </c>
      <c r="C564" s="14" t="s">
        <v>205</v>
      </c>
      <c r="D564" s="14" t="s">
        <v>934</v>
      </c>
      <c r="E564" s="15" t="str">
        <f>HYPERLINK("https://stat100.ameba.jp/tnk47/ratio20/illustrations/card/ill_73773_0_umibirakiinugamigyobu03.jpg?202007-5-RELEASE-marathon-481", "■")</f>
        <v>■</v>
      </c>
      <c r="F564" s="14" t="s">
        <v>935</v>
      </c>
      <c r="G564" s="14">
        <v>190902</v>
      </c>
      <c r="H564" s="14">
        <v>205334</v>
      </c>
      <c r="I564" s="14">
        <v>22</v>
      </c>
      <c r="J564" s="14" t="s">
        <v>182</v>
      </c>
      <c r="K564" s="14" t="s">
        <v>936</v>
      </c>
      <c r="L564" s="14" t="s">
        <v>13147</v>
      </c>
      <c r="M564" s="14" t="s">
        <v>9158</v>
      </c>
      <c r="N564" s="14" t="s">
        <v>9158</v>
      </c>
      <c r="O564" s="9" t="s">
        <v>2978</v>
      </c>
      <c r="P564" s="14" t="s">
        <v>2979</v>
      </c>
      <c r="Q564" s="14">
        <v>2</v>
      </c>
    </row>
    <row r="565" spans="1:17">
      <c r="A565" s="9" t="s">
        <v>5612</v>
      </c>
      <c r="B565" s="14" t="s">
        <v>330</v>
      </c>
      <c r="C565" s="14" t="s">
        <v>165</v>
      </c>
      <c r="D565" s="14" t="s">
        <v>789</v>
      </c>
      <c r="E565" s="15" t="str">
        <f>HYPERLINK("https://stat100.ameba.jp/tnk47/ratio20/illustrations/card/ill_49193_0_onmyoudouabenoseimei03.jpg?202007-5-RELEASE-marathon-481", "■")</f>
        <v>■</v>
      </c>
      <c r="F565" s="14" t="s">
        <v>790</v>
      </c>
      <c r="G565" s="14">
        <v>122776</v>
      </c>
      <c r="H565" s="14">
        <v>138212</v>
      </c>
      <c r="I565" s="14">
        <v>22</v>
      </c>
      <c r="J565" s="14" t="s">
        <v>351</v>
      </c>
      <c r="K565" s="14" t="s">
        <v>791</v>
      </c>
      <c r="L565" s="14" t="s">
        <v>792</v>
      </c>
      <c r="M565" s="14" t="s">
        <v>9158</v>
      </c>
      <c r="N565" s="14" t="s">
        <v>9158</v>
      </c>
      <c r="O565" s="14" t="s">
        <v>9158</v>
      </c>
      <c r="P565" s="14" t="s">
        <v>9158</v>
      </c>
      <c r="Q565" s="14" t="s">
        <v>9158</v>
      </c>
    </row>
    <row r="566" spans="1:17">
      <c r="A566" s="14">
        <v>87253</v>
      </c>
      <c r="B566" s="14" t="s">
        <v>0</v>
      </c>
      <c r="C566" s="14" t="s">
        <v>165</v>
      </c>
      <c r="D566" s="19" t="s">
        <v>10992</v>
      </c>
      <c r="E566" s="15" t="str">
        <f>HYPERLINK("https://stat100.ameba.jp/tnk47/ratio20/illustrations/card/ill_87253_rari03.jpg?202007-5-RELEASE-marathon-481", "■")</f>
        <v>■</v>
      </c>
      <c r="F566" s="14" t="s">
        <v>9763</v>
      </c>
      <c r="G566" s="14">
        <v>76091</v>
      </c>
      <c r="H566" s="14">
        <v>135229</v>
      </c>
      <c r="I566" s="9">
        <v>27</v>
      </c>
      <c r="J566" s="14" t="s">
        <v>159</v>
      </c>
      <c r="K566" s="14" t="s">
        <v>9762</v>
      </c>
      <c r="L566" s="14" t="s">
        <v>124</v>
      </c>
      <c r="M566" s="14" t="s">
        <v>9158</v>
      </c>
      <c r="N566" s="14" t="s">
        <v>9158</v>
      </c>
      <c r="O566" s="14" t="s">
        <v>9158</v>
      </c>
      <c r="P566" s="14" t="s">
        <v>9158</v>
      </c>
      <c r="Q566" s="14" t="s">
        <v>9158</v>
      </c>
    </row>
    <row r="567" spans="1:17">
      <c r="A567" s="14">
        <v>54773</v>
      </c>
      <c r="B567" s="14" t="s">
        <v>0</v>
      </c>
      <c r="C567" s="14" t="s">
        <v>185</v>
      </c>
      <c r="D567" s="20" t="s">
        <v>10945</v>
      </c>
      <c r="E567" s="15" t="str">
        <f>HYPERLINK("https://stat100.ameba.jp/tnk47/ratio20/illustrations/card/ill_54773_repunkamui03.jpg?202007-5-RELEASE-marathon-481", "■")</f>
        <v>■</v>
      </c>
      <c r="F567" s="14" t="s">
        <v>9293</v>
      </c>
      <c r="G567" s="14">
        <v>84218</v>
      </c>
      <c r="H567" s="14">
        <v>117146</v>
      </c>
      <c r="I567" s="9">
        <v>27</v>
      </c>
      <c r="J567" s="14" t="s">
        <v>169</v>
      </c>
      <c r="K567" s="14" t="s">
        <v>9292</v>
      </c>
      <c r="L567" s="14" t="s">
        <v>9291</v>
      </c>
      <c r="M567" s="14" t="s">
        <v>9158</v>
      </c>
      <c r="N567" s="14" t="s">
        <v>9158</v>
      </c>
      <c r="O567" s="14" t="s">
        <v>9158</v>
      </c>
      <c r="P567" s="14" t="s">
        <v>9158</v>
      </c>
      <c r="Q567" s="14" t="s">
        <v>9158</v>
      </c>
    </row>
    <row r="568" spans="1:17">
      <c r="A568" s="7">
        <v>85953</v>
      </c>
      <c r="B568" s="7" t="s">
        <v>0</v>
      </c>
      <c r="C568" s="7" t="s">
        <v>200</v>
      </c>
      <c r="D568" s="20" t="s">
        <v>10872</v>
      </c>
      <c r="E568" s="15" t="str">
        <f>HYPERLINK("https://stat100.ameba.jp/tnk47/ratio20/illustrations/card/ill_85953_toshikoshitakiyashahime03.jpg?202007-5-RELEASE-marathon-481", "■")</f>
        <v>■</v>
      </c>
      <c r="F568" s="7" t="s">
        <v>8787</v>
      </c>
      <c r="G568" s="7">
        <v>98019</v>
      </c>
      <c r="H568" s="7">
        <v>105465</v>
      </c>
      <c r="I568" s="9">
        <v>27</v>
      </c>
      <c r="J568" s="14" t="s">
        <v>77</v>
      </c>
      <c r="K568" s="7" t="s">
        <v>8786</v>
      </c>
      <c r="L568" s="7" t="s">
        <v>7158</v>
      </c>
      <c r="M568" s="14" t="s">
        <v>9158</v>
      </c>
      <c r="N568" s="14" t="s">
        <v>9158</v>
      </c>
      <c r="O568" s="14" t="s">
        <v>9158</v>
      </c>
      <c r="P568" s="14" t="s">
        <v>9158</v>
      </c>
      <c r="Q568" s="14" t="s">
        <v>9158</v>
      </c>
    </row>
    <row r="570" spans="1:17">
      <c r="A570" s="14" t="s">
        <v>14076</v>
      </c>
    </row>
    <row r="571" spans="1:17">
      <c r="A571" s="14" t="s">
        <v>14077</v>
      </c>
    </row>
    <row r="572" spans="1:17">
      <c r="A572" s="14" t="s">
        <v>5843</v>
      </c>
      <c r="B572" s="14" t="s">
        <v>52</v>
      </c>
      <c r="C572" s="14" t="s">
        <v>202</v>
      </c>
      <c r="D572" s="19" t="s">
        <v>10291</v>
      </c>
      <c r="E572" s="15" t="str">
        <f>HYPERLINK("https://stat100.ameba.jp/tnk47/ratio20/illustrations/card/ill_77963_0_kurisumasudaisakusentakiyashahime03.jpg?202007-5-RELEASE-marathon-481", "■")</f>
        <v>■</v>
      </c>
      <c r="F572" s="14" t="s">
        <v>2127</v>
      </c>
      <c r="G572" s="14">
        <v>307028</v>
      </c>
      <c r="H572" s="14">
        <v>277487</v>
      </c>
      <c r="I572" s="14">
        <v>25</v>
      </c>
      <c r="J572" s="14" t="s">
        <v>77</v>
      </c>
      <c r="K572" s="14" t="s">
        <v>2128</v>
      </c>
      <c r="L572" s="14" t="s">
        <v>2129</v>
      </c>
      <c r="M572" s="14" t="s">
        <v>9158</v>
      </c>
      <c r="N572" s="14" t="s">
        <v>9158</v>
      </c>
      <c r="O572" s="19" t="s">
        <v>10107</v>
      </c>
      <c r="P572" s="14" t="s">
        <v>3589</v>
      </c>
      <c r="Q572" s="14">
        <v>2</v>
      </c>
    </row>
    <row r="573" spans="1:17">
      <c r="A573" s="14">
        <v>85363</v>
      </c>
      <c r="B573" s="14" t="s">
        <v>0</v>
      </c>
      <c r="C573" s="14" t="s">
        <v>158</v>
      </c>
      <c r="D573" s="19" t="s">
        <v>10708</v>
      </c>
      <c r="E573" s="15" t="str">
        <f>HYPERLINK("https://stat100.ameba.jp/tnk47/ratio20/illustrations/card/ill_85363_sukarunetaisa03.jpg?202007-5-RELEASE-marathon-481", "■")</f>
        <v>■</v>
      </c>
      <c r="F573" s="14" t="s">
        <v>7506</v>
      </c>
      <c r="G573" s="14">
        <v>115656</v>
      </c>
      <c r="H573" s="14">
        <v>159674</v>
      </c>
      <c r="I573" s="14">
        <v>24</v>
      </c>
      <c r="J573" s="14" t="s">
        <v>143</v>
      </c>
      <c r="K573" s="14" t="s">
        <v>7504</v>
      </c>
      <c r="L573" s="14" t="s">
        <v>1148</v>
      </c>
      <c r="M573" s="14" t="s">
        <v>9158</v>
      </c>
      <c r="N573" s="14" t="s">
        <v>9158</v>
      </c>
      <c r="O573" s="19" t="s">
        <v>10106</v>
      </c>
      <c r="P573" s="14" t="s">
        <v>3330</v>
      </c>
      <c r="Q573" s="14">
        <v>2</v>
      </c>
    </row>
    <row r="574" spans="1:17">
      <c r="A574" s="9">
        <v>79513</v>
      </c>
      <c r="B574" s="14" t="s">
        <v>334</v>
      </c>
      <c r="C574" s="14" t="s">
        <v>209</v>
      </c>
      <c r="D574" s="14" t="s">
        <v>3528</v>
      </c>
      <c r="E574" s="15" t="str">
        <f>HYPERLINK("https://stat100.ameba.jp/tnk47/ratio20/illustrations/card/ill_79513_suzafuonia03.jpg?202007-5-RELEASE-marathon-481", "■")</f>
        <v>■</v>
      </c>
      <c r="F574" s="14" t="s">
        <v>3529</v>
      </c>
      <c r="G574" s="14">
        <v>75984</v>
      </c>
      <c r="H574" s="14">
        <v>104890</v>
      </c>
      <c r="I574" s="14">
        <v>24</v>
      </c>
      <c r="J574" s="14" t="s">
        <v>10</v>
      </c>
      <c r="K574" s="14" t="s">
        <v>3532</v>
      </c>
      <c r="L574" s="14" t="s">
        <v>12</v>
      </c>
      <c r="M574" s="14" t="s">
        <v>9158</v>
      </c>
      <c r="N574" s="14" t="s">
        <v>9158</v>
      </c>
      <c r="O574" s="9" t="s">
        <v>3530</v>
      </c>
      <c r="P574" s="14" t="s">
        <v>3531</v>
      </c>
      <c r="Q574" s="14">
        <v>1</v>
      </c>
    </row>
    <row r="575" spans="1:17">
      <c r="A575" s="16">
        <v>75853</v>
      </c>
      <c r="B575" s="14" t="s">
        <v>334</v>
      </c>
      <c r="C575" s="14" t="s">
        <v>41</v>
      </c>
      <c r="D575" s="19" t="s">
        <v>10224</v>
      </c>
      <c r="E575" s="15" t="str">
        <f>HYPERLINK("https://stat100.ameba.jp/tnk47/ratio20/illustrations/card/ill_75853_moruganoyuki03.jpg?202007-5-RELEASE-marathon-481", "■")</f>
        <v>■</v>
      </c>
      <c r="F575" s="14" t="s">
        <v>5106</v>
      </c>
      <c r="G575" s="14">
        <v>120000</v>
      </c>
      <c r="H575" s="14">
        <v>111576</v>
      </c>
      <c r="I575" s="14">
        <v>24</v>
      </c>
      <c r="J575" s="14" t="s">
        <v>16</v>
      </c>
      <c r="K575" s="14" t="s">
        <v>5108</v>
      </c>
      <c r="L575" s="14" t="s">
        <v>1881</v>
      </c>
      <c r="M575" s="14" t="s">
        <v>9158</v>
      </c>
      <c r="N575" s="14" t="s">
        <v>9158</v>
      </c>
      <c r="O575" s="7" t="s">
        <v>3578</v>
      </c>
      <c r="P575" s="14" t="s">
        <v>3579</v>
      </c>
      <c r="Q575" s="14">
        <v>1</v>
      </c>
    </row>
    <row r="577" spans="1:18">
      <c r="A577" s="14" t="s">
        <v>13912</v>
      </c>
    </row>
    <row r="578" spans="1:18">
      <c r="A578" s="14" t="s">
        <v>14078</v>
      </c>
    </row>
    <row r="579" spans="1:18">
      <c r="A579" s="9" t="s">
        <v>9325</v>
      </c>
      <c r="B579" s="7" t="s">
        <v>52</v>
      </c>
      <c r="C579" s="9" t="s">
        <v>202</v>
      </c>
      <c r="D579" s="19" t="s">
        <v>10947</v>
      </c>
      <c r="E579" s="15" t="str">
        <f>HYPERLINK("https://stat100.ameba.jp/tnk47/ratio20/illustrations/card/ill_86893_0_chokonohisukeban03.jpg?202007-5-RELEASE-marathon-481", "■")</f>
        <v>■</v>
      </c>
      <c r="F579" s="14" t="s">
        <v>9332</v>
      </c>
      <c r="G579" s="9">
        <v>351727</v>
      </c>
      <c r="H579" s="9">
        <v>317873</v>
      </c>
      <c r="I579" s="7">
        <v>27</v>
      </c>
      <c r="J579" s="9" t="s">
        <v>187</v>
      </c>
      <c r="K579" s="14" t="s">
        <v>9330</v>
      </c>
      <c r="L579" s="14" t="s">
        <v>9331</v>
      </c>
      <c r="M579" s="14" t="s">
        <v>9158</v>
      </c>
      <c r="N579" s="14" t="s">
        <v>9158</v>
      </c>
      <c r="O579" s="19" t="s">
        <v>10136</v>
      </c>
      <c r="P579" s="7" t="s">
        <v>9324</v>
      </c>
      <c r="Q579" s="7">
        <v>1</v>
      </c>
    </row>
    <row r="580" spans="1:18">
      <c r="A580" s="14" t="s">
        <v>5605</v>
      </c>
      <c r="B580" s="14" t="s">
        <v>52</v>
      </c>
      <c r="C580" s="14" t="s">
        <v>202</v>
      </c>
      <c r="D580" s="19" t="s">
        <v>10332</v>
      </c>
      <c r="E580" s="15" t="str">
        <f>HYPERLINK("https://stat100.ameba.jp/tnk47/ratio20/illustrations/card/ill_79373_0_hommeichokotennyohime03.jpg?202007-5-RELEASE-marathon-481", "■")</f>
        <v>■</v>
      </c>
      <c r="F580" s="14" t="s">
        <v>3495</v>
      </c>
      <c r="G580" s="14">
        <v>333862</v>
      </c>
      <c r="H580" s="14">
        <v>301759</v>
      </c>
      <c r="I580" s="14">
        <v>27</v>
      </c>
      <c r="J580" s="14" t="s">
        <v>104</v>
      </c>
      <c r="K580" s="14" t="s">
        <v>3496</v>
      </c>
      <c r="L580" s="14" t="s">
        <v>3497</v>
      </c>
      <c r="M580" s="14" t="s">
        <v>9158</v>
      </c>
      <c r="N580" s="14" t="s">
        <v>9158</v>
      </c>
      <c r="O580" s="19" t="s">
        <v>10072</v>
      </c>
      <c r="P580" s="14" t="s">
        <v>3498</v>
      </c>
      <c r="Q580" s="14">
        <v>1</v>
      </c>
    </row>
    <row r="581" spans="1:18">
      <c r="A581" s="14" t="s">
        <v>5616</v>
      </c>
      <c r="B581" s="14" t="s">
        <v>52</v>
      </c>
      <c r="C581" s="14" t="s">
        <v>14</v>
      </c>
      <c r="D581" s="20" t="s">
        <v>638</v>
      </c>
      <c r="E581" s="15" t="str">
        <f>HYPERLINK("https://stat100.ameba.jp/tnk47/ratio20/illustrations/card/ill_44253_0_dokuganryudatemasamune03.jpg?202007-5-RELEASE-marathon-481", "■")</f>
        <v>■</v>
      </c>
      <c r="F581" s="14" t="s">
        <v>1181</v>
      </c>
      <c r="G581" s="14">
        <v>142500</v>
      </c>
      <c r="H581" s="14">
        <v>152152</v>
      </c>
      <c r="I581" s="14">
        <v>26</v>
      </c>
      <c r="J581" s="14" t="s">
        <v>143</v>
      </c>
      <c r="K581" s="14" t="s">
        <v>1182</v>
      </c>
      <c r="L581" s="14" t="s">
        <v>1183</v>
      </c>
      <c r="M581" s="14" t="s">
        <v>9158</v>
      </c>
      <c r="N581" s="14" t="s">
        <v>9158</v>
      </c>
      <c r="O581" s="14" t="s">
        <v>9158</v>
      </c>
      <c r="P581" s="14" t="s">
        <v>9158</v>
      </c>
      <c r="Q581" s="14" t="s">
        <v>9158</v>
      </c>
    </row>
    <row r="582" spans="1:18">
      <c r="A582" s="14">
        <v>75883</v>
      </c>
      <c r="B582" s="14" t="s">
        <v>334</v>
      </c>
      <c r="C582" s="14" t="s">
        <v>154</v>
      </c>
      <c r="D582" s="19" t="s">
        <v>10402</v>
      </c>
      <c r="E582" s="15" t="str">
        <f>HYPERLINK("https://stat100.ameba.jp/tnk47/ratio20/illustrations/card/ill_75883_kitajokagehiro03.jpg?202007-5-RELEASE-marathon-481", "■")</f>
        <v>■</v>
      </c>
      <c r="F582" s="14" t="s">
        <v>2411</v>
      </c>
      <c r="G582" s="14">
        <v>125296</v>
      </c>
      <c r="H582" s="14">
        <v>172982</v>
      </c>
      <c r="I582" s="14">
        <v>26</v>
      </c>
      <c r="J582" s="14" t="s">
        <v>143</v>
      </c>
      <c r="K582" s="14" t="s">
        <v>2412</v>
      </c>
      <c r="L582" s="14" t="s">
        <v>1148</v>
      </c>
      <c r="M582" s="14" t="s">
        <v>9158</v>
      </c>
      <c r="N582" s="14" t="s">
        <v>9158</v>
      </c>
      <c r="O582" s="19" t="s">
        <v>10106</v>
      </c>
      <c r="P582" s="14" t="s">
        <v>3330</v>
      </c>
      <c r="Q582" s="14">
        <v>2</v>
      </c>
    </row>
    <row r="583" spans="1:18">
      <c r="A583" s="14">
        <v>82543</v>
      </c>
      <c r="B583" s="14" t="s">
        <v>334</v>
      </c>
      <c r="C583" s="14" t="s">
        <v>41</v>
      </c>
      <c r="D583" s="20" t="s">
        <v>10342</v>
      </c>
      <c r="E583" s="15" t="str">
        <f>HYPERLINK("https://stat100.ameba.jp/tnk47/ratio20/illustrations/card/ill_82543_nabeshimanagako03.jpg?202007-5-RELEASE-marathon-481", "■")</f>
        <v>■</v>
      </c>
      <c r="F583" s="14" t="s">
        <v>5491</v>
      </c>
      <c r="G583" s="14">
        <v>113630</v>
      </c>
      <c r="H583" s="14">
        <v>82318</v>
      </c>
      <c r="I583" s="14">
        <v>26</v>
      </c>
      <c r="J583" s="14" t="s">
        <v>10</v>
      </c>
      <c r="K583" s="14" t="s">
        <v>5493</v>
      </c>
      <c r="L583" s="14" t="s">
        <v>5494</v>
      </c>
      <c r="M583" s="14" t="s">
        <v>9158</v>
      </c>
      <c r="N583" s="14" t="s">
        <v>9158</v>
      </c>
      <c r="O583" s="19" t="s">
        <v>10080</v>
      </c>
      <c r="P583" s="14" t="s">
        <v>3705</v>
      </c>
      <c r="Q583" s="14">
        <v>1</v>
      </c>
    </row>
    <row r="584" spans="1:18">
      <c r="A584" s="14">
        <v>65643</v>
      </c>
      <c r="B584" s="14" t="s">
        <v>0</v>
      </c>
      <c r="C584" s="14" t="s">
        <v>209</v>
      </c>
      <c r="D584" s="20" t="s">
        <v>1681</v>
      </c>
      <c r="E584" s="15" t="str">
        <f>HYPERLINK("https://stat100.ameba.jp/tnk47/ratio20/illustrations/card/ill_65643_shitompekamui03.jpg?202007-5-RELEASE-marathon-481", "■")</f>
        <v>■</v>
      </c>
      <c r="F584" s="14" t="s">
        <v>1250</v>
      </c>
      <c r="G584" s="14">
        <v>85962</v>
      </c>
      <c r="H584" s="14">
        <v>118684</v>
      </c>
      <c r="I584" s="14">
        <v>26</v>
      </c>
      <c r="J584" s="14" t="s">
        <v>44</v>
      </c>
      <c r="K584" s="14" t="s">
        <v>1251</v>
      </c>
      <c r="L584" s="14" t="s">
        <v>1252</v>
      </c>
      <c r="M584" s="14" t="s">
        <v>9158</v>
      </c>
      <c r="N584" s="14" t="s">
        <v>9158</v>
      </c>
      <c r="O584" s="19" t="s">
        <v>10096</v>
      </c>
      <c r="P584" s="14" t="s">
        <v>3245</v>
      </c>
      <c r="Q584" s="14">
        <v>1</v>
      </c>
    </row>
    <row r="585" spans="1:18">
      <c r="A585" s="7">
        <v>59423</v>
      </c>
      <c r="B585" s="14" t="s">
        <v>334</v>
      </c>
      <c r="C585" s="14" t="s">
        <v>209</v>
      </c>
      <c r="D585" s="19" t="s">
        <v>10286</v>
      </c>
      <c r="E585" s="15" t="str">
        <f>HYPERLINK("https://stat100.ameba.jp/tnk47/ratio20/illustrations/card/ill_59423_yuishosetsu03.jpg?202007-5-RELEASE-marathon-481", "■")</f>
        <v>■</v>
      </c>
      <c r="F585" s="14" t="s">
        <v>1143</v>
      </c>
      <c r="G585" s="14">
        <v>118000</v>
      </c>
      <c r="H585" s="14">
        <v>85492</v>
      </c>
      <c r="I585" s="14">
        <v>26</v>
      </c>
      <c r="J585" s="14" t="s">
        <v>16</v>
      </c>
      <c r="K585" s="14" t="s">
        <v>1144</v>
      </c>
      <c r="L585" s="14" t="s">
        <v>1149</v>
      </c>
      <c r="M585" s="14" t="s">
        <v>9158</v>
      </c>
      <c r="N585" s="14" t="s">
        <v>9158</v>
      </c>
      <c r="O585" s="19" t="s">
        <v>2951</v>
      </c>
      <c r="P585" s="14" t="s">
        <v>13122</v>
      </c>
      <c r="Q585" s="14">
        <v>1</v>
      </c>
    </row>
    <row r="586" spans="1:18">
      <c r="A586" s="14">
        <v>69513</v>
      </c>
      <c r="B586" s="14" t="s">
        <v>0</v>
      </c>
      <c r="C586" s="14" t="s">
        <v>158</v>
      </c>
      <c r="D586" s="19" t="s">
        <v>10265</v>
      </c>
      <c r="E586" s="15" t="str">
        <f>HYPERLINK("https://stat100.ameba.jp/tnk47/ratio20/illustrations/card/ill_69513_somedononokisaki03.jpg?202007-5-RELEASE-marathon-481", "■")</f>
        <v>■</v>
      </c>
      <c r="F586" s="14" t="s">
        <v>3674</v>
      </c>
      <c r="G586" s="14">
        <v>85962</v>
      </c>
      <c r="H586" s="14">
        <v>118684</v>
      </c>
      <c r="I586" s="14">
        <v>26</v>
      </c>
      <c r="J586" s="14" t="s">
        <v>187</v>
      </c>
      <c r="K586" s="14" t="s">
        <v>3675</v>
      </c>
      <c r="L586" s="14" t="s">
        <v>13187</v>
      </c>
      <c r="M586" s="14" t="s">
        <v>9158</v>
      </c>
      <c r="N586" s="14" t="s">
        <v>9158</v>
      </c>
      <c r="O586" s="19" t="s">
        <v>2752</v>
      </c>
      <c r="P586" s="14" t="s">
        <v>13173</v>
      </c>
      <c r="Q586" s="14">
        <v>1</v>
      </c>
    </row>
    <row r="587" spans="1:18">
      <c r="A587" s="14">
        <v>83093</v>
      </c>
      <c r="B587" s="14" t="s">
        <v>0</v>
      </c>
      <c r="C587" s="14" t="s">
        <v>158</v>
      </c>
      <c r="D587" s="20" t="s">
        <v>10490</v>
      </c>
      <c r="E587" s="15" t="str">
        <f>HYPERLINK("https://stat100.ameba.jp/tnk47/ratio20/illustrations/card/ill_83093_yusuraume03.jpg?202007-5-RELEASE-marathon-481", "■")</f>
        <v>■</v>
      </c>
      <c r="F587" s="14" t="s">
        <v>6267</v>
      </c>
      <c r="G587" s="14">
        <v>137430</v>
      </c>
      <c r="H587" s="14">
        <v>99532</v>
      </c>
      <c r="I587" s="14">
        <v>26</v>
      </c>
      <c r="J587" s="14" t="s">
        <v>104</v>
      </c>
      <c r="K587" s="14" t="s">
        <v>6266</v>
      </c>
      <c r="L587" s="14" t="s">
        <v>2409</v>
      </c>
      <c r="M587" s="14" t="s">
        <v>9158</v>
      </c>
      <c r="N587" s="14" t="s">
        <v>9158</v>
      </c>
      <c r="O587" s="19" t="s">
        <v>10090</v>
      </c>
      <c r="P587" s="14" t="s">
        <v>3460</v>
      </c>
      <c r="Q587" s="14">
        <v>1</v>
      </c>
    </row>
    <row r="589" spans="1:18">
      <c r="A589" s="14" t="s">
        <v>14079</v>
      </c>
    </row>
    <row r="590" spans="1:18">
      <c r="A590" s="14" t="s">
        <v>14080</v>
      </c>
    </row>
    <row r="591" spans="1:18">
      <c r="A591" s="14">
        <v>86985</v>
      </c>
      <c r="B591" s="14" t="s">
        <v>0</v>
      </c>
      <c r="C591" s="14" t="s">
        <v>202</v>
      </c>
      <c r="D591" s="14" t="s">
        <v>14085</v>
      </c>
      <c r="E591" s="15" t="str">
        <f>HYPERLINK("https://stat100.ameba.jp/tnk47/ratio20/illustrations/card/ill_86985_setsubunkamejuhime05.jpg?202007-5-RELEASE-marathon-481x", "■")</f>
        <v>■</v>
      </c>
      <c r="F591" s="14" t="s">
        <v>14084</v>
      </c>
      <c r="G591" s="14">
        <v>121884</v>
      </c>
      <c r="H591" s="14">
        <v>93369</v>
      </c>
      <c r="I591" s="7">
        <v>27</v>
      </c>
      <c r="J591" s="14" t="s">
        <v>13817</v>
      </c>
      <c r="K591" s="14" t="s">
        <v>14083</v>
      </c>
      <c r="L591" s="14" t="s">
        <v>14082</v>
      </c>
      <c r="M591" s="14" t="s">
        <v>9158</v>
      </c>
      <c r="N591" s="14" t="s">
        <v>9158</v>
      </c>
      <c r="O591" s="14" t="s">
        <v>9158</v>
      </c>
      <c r="P591" s="14" t="s">
        <v>9158</v>
      </c>
      <c r="Q591" s="14" t="s">
        <v>9158</v>
      </c>
      <c r="R591" s="14" t="s">
        <v>174</v>
      </c>
    </row>
    <row r="592" spans="1:18">
      <c r="A592" s="14">
        <v>86983</v>
      </c>
      <c r="B592" s="14" t="s">
        <v>15</v>
      </c>
      <c r="C592" s="14" t="s">
        <v>158</v>
      </c>
      <c r="D592" s="14" t="s">
        <v>14085</v>
      </c>
      <c r="E592" s="15" t="str">
        <f>HYPERLINK("https://stat100.ameba.jp/tnk47/ratio20/illustrations/card/ill_86983_setsubunkamejuhime03.jpg?202007-5-RELEASE-marathon-481x", "■")</f>
        <v>■</v>
      </c>
      <c r="F592" s="14" t="s">
        <v>14084</v>
      </c>
      <c r="G592" s="14">
        <v>86285</v>
      </c>
      <c r="H592" s="14">
        <v>72314</v>
      </c>
      <c r="I592" s="14">
        <v>27</v>
      </c>
      <c r="J592" s="14" t="s">
        <v>13817</v>
      </c>
      <c r="K592" s="14" t="s">
        <v>14083</v>
      </c>
      <c r="L592" s="14" t="s">
        <v>14086</v>
      </c>
      <c r="M592" s="14" t="s">
        <v>9158</v>
      </c>
      <c r="N592" s="14" t="s">
        <v>9158</v>
      </c>
      <c r="O592" s="14" t="s">
        <v>9158</v>
      </c>
      <c r="P592" s="14" t="s">
        <v>9158</v>
      </c>
      <c r="Q592" s="14" t="s">
        <v>9158</v>
      </c>
      <c r="R592" s="14" t="s">
        <v>175</v>
      </c>
    </row>
    <row r="593" spans="1:18">
      <c r="A593" s="14">
        <v>86981</v>
      </c>
      <c r="B593" s="14" t="s">
        <v>15</v>
      </c>
      <c r="C593" s="14" t="s">
        <v>203</v>
      </c>
      <c r="D593" s="14" t="s">
        <v>14085</v>
      </c>
      <c r="E593" s="15" t="str">
        <f>HYPERLINK("https://stat100.ameba.jp/tnk47/ratio20/illustrations/card/ill_86981_setsubunkamejuhime01.jpg?202007-5-RELEASE-marathon-481x", "■")</f>
        <v>■</v>
      </c>
      <c r="F593" s="14" t="s">
        <v>14084</v>
      </c>
      <c r="G593" s="14">
        <v>53568</v>
      </c>
      <c r="H593" s="14">
        <v>47331</v>
      </c>
      <c r="I593" s="7">
        <v>27</v>
      </c>
      <c r="J593" s="14" t="s">
        <v>13817</v>
      </c>
      <c r="K593" s="14" t="s">
        <v>14083</v>
      </c>
      <c r="L593" s="14" t="s">
        <v>14087</v>
      </c>
      <c r="M593" s="14" t="s">
        <v>9158</v>
      </c>
      <c r="N593" s="14" t="s">
        <v>9158</v>
      </c>
      <c r="O593" s="14" t="s">
        <v>9158</v>
      </c>
      <c r="P593" s="14" t="s">
        <v>9158</v>
      </c>
      <c r="Q593" s="14" t="s">
        <v>9158</v>
      </c>
      <c r="R593" s="14" t="s">
        <v>176</v>
      </c>
    </row>
    <row r="594" spans="1:18">
      <c r="A594" s="14">
        <v>86385</v>
      </c>
      <c r="B594" s="14" t="s">
        <v>0</v>
      </c>
      <c r="C594" s="14" t="s">
        <v>202</v>
      </c>
      <c r="D594" s="14" t="s">
        <v>14091</v>
      </c>
      <c r="E594" s="15" t="str">
        <f>HYPERLINK("https://stat100.ameba.jp/tnk47/ratio20/illustrations/card/ill_86385_jirudorei05.jpg?202007-5-RELEASE-marathon-481x", "■")</f>
        <v>■</v>
      </c>
      <c r="F594" s="14" t="s">
        <v>14090</v>
      </c>
      <c r="G594" s="14">
        <v>146883</v>
      </c>
      <c r="H594" s="14">
        <v>202845</v>
      </c>
      <c r="I594" s="14">
        <v>27</v>
      </c>
      <c r="J594" s="14" t="s">
        <v>13900</v>
      </c>
      <c r="K594" s="14" t="s">
        <v>14089</v>
      </c>
      <c r="L594" s="14" t="s">
        <v>14088</v>
      </c>
      <c r="M594" s="14" t="s">
        <v>9158</v>
      </c>
      <c r="N594" s="14" t="s">
        <v>9158</v>
      </c>
      <c r="O594" s="14" t="s">
        <v>9158</v>
      </c>
      <c r="P594" s="14" t="s">
        <v>9158</v>
      </c>
      <c r="Q594" s="14" t="s">
        <v>9158</v>
      </c>
      <c r="R594" s="14" t="s">
        <v>174</v>
      </c>
    </row>
    <row r="595" spans="1:18">
      <c r="A595" s="14">
        <v>86383</v>
      </c>
      <c r="B595" s="14" t="s">
        <v>15</v>
      </c>
      <c r="C595" s="14" t="s">
        <v>158</v>
      </c>
      <c r="D595" s="14" t="s">
        <v>14091</v>
      </c>
      <c r="E595" s="15" t="str">
        <f>HYPERLINK("https://stat100.ameba.jp/tnk47/ratio20/illustrations/card/ill_86383_jirudorei03.jpg?202007-5-RELEASE-marathon-481x", "■")</f>
        <v>■</v>
      </c>
      <c r="F595" s="14" t="s">
        <v>14090</v>
      </c>
      <c r="G595" s="14">
        <v>108225</v>
      </c>
      <c r="H595" s="14">
        <v>149455</v>
      </c>
      <c r="I595" s="7">
        <v>27</v>
      </c>
      <c r="J595" s="14" t="s">
        <v>13900</v>
      </c>
      <c r="K595" s="14" t="s">
        <v>14089</v>
      </c>
      <c r="L595" s="14" t="s">
        <v>14092</v>
      </c>
      <c r="M595" s="14" t="s">
        <v>9158</v>
      </c>
      <c r="N595" s="14" t="s">
        <v>9158</v>
      </c>
      <c r="O595" s="14" t="s">
        <v>9158</v>
      </c>
      <c r="P595" s="14" t="s">
        <v>9158</v>
      </c>
      <c r="Q595" s="14" t="s">
        <v>9158</v>
      </c>
      <c r="R595" s="14" t="s">
        <v>175</v>
      </c>
    </row>
    <row r="596" spans="1:18">
      <c r="A596" s="14">
        <v>86381</v>
      </c>
      <c r="B596" s="14" t="s">
        <v>15</v>
      </c>
      <c r="C596" s="14" t="s">
        <v>203</v>
      </c>
      <c r="D596" s="14" t="s">
        <v>14091</v>
      </c>
      <c r="E596" s="15" t="str">
        <f>HYPERLINK("https://stat100.ameba.jp/tnk47/ratio20/illustrations/card/ill_86381_jirudorei01.jpg?202007-5-RELEASE-marathon-481x", "■")</f>
        <v>■</v>
      </c>
      <c r="F596" s="14" t="s">
        <v>14090</v>
      </c>
      <c r="G596" s="14">
        <v>68850</v>
      </c>
      <c r="H596" s="14">
        <v>95067</v>
      </c>
      <c r="I596" s="14">
        <v>27</v>
      </c>
      <c r="J596" s="14" t="s">
        <v>13900</v>
      </c>
      <c r="K596" s="14" t="s">
        <v>14089</v>
      </c>
      <c r="L596" s="14" t="s">
        <v>14093</v>
      </c>
      <c r="M596" s="14" t="s">
        <v>9158</v>
      </c>
      <c r="N596" s="14" t="s">
        <v>9158</v>
      </c>
      <c r="O596" s="14" t="s">
        <v>9158</v>
      </c>
      <c r="P596" s="14" t="s">
        <v>9158</v>
      </c>
      <c r="Q596" s="14" t="s">
        <v>9158</v>
      </c>
      <c r="R596" s="14" t="s">
        <v>176</v>
      </c>
    </row>
    <row r="597" spans="1:18">
      <c r="A597" s="14">
        <v>87745</v>
      </c>
      <c r="B597" s="14" t="s">
        <v>0</v>
      </c>
      <c r="C597" s="14" t="s">
        <v>202</v>
      </c>
      <c r="D597" s="14" t="s">
        <v>14097</v>
      </c>
      <c r="E597" s="15" t="str">
        <f>HYPERLINK("https://stat100.ameba.jp/tnk47/ratio20/illustrations/card/ill_87745_purinsesushokora05.jpg?202007-5-RELEASE-marathon-481x", "■")</f>
        <v>■</v>
      </c>
      <c r="F597" s="14" t="s">
        <v>14096</v>
      </c>
      <c r="G597" s="14">
        <v>98074</v>
      </c>
      <c r="H597" s="14">
        <v>135426</v>
      </c>
      <c r="I597" s="7">
        <v>27</v>
      </c>
      <c r="J597" s="14" t="s">
        <v>13869</v>
      </c>
      <c r="K597" s="14" t="s">
        <v>14095</v>
      </c>
      <c r="L597" s="14" t="s">
        <v>14094</v>
      </c>
      <c r="M597" s="14" t="s">
        <v>9158</v>
      </c>
      <c r="N597" s="14" t="s">
        <v>9158</v>
      </c>
      <c r="O597" s="14" t="s">
        <v>9158</v>
      </c>
      <c r="P597" s="14" t="s">
        <v>9158</v>
      </c>
      <c r="Q597" s="14" t="s">
        <v>9158</v>
      </c>
      <c r="R597" s="14" t="s">
        <v>174</v>
      </c>
    </row>
    <row r="598" spans="1:18">
      <c r="A598" s="14">
        <v>87743</v>
      </c>
      <c r="B598" s="14" t="s">
        <v>15</v>
      </c>
      <c r="C598" s="14" t="s">
        <v>209</v>
      </c>
      <c r="D598" s="14" t="s">
        <v>14097</v>
      </c>
      <c r="E598" s="15" t="str">
        <f>HYPERLINK("https://stat100.ameba.jp/tnk47/ratio20/illustrations/card/ill_87743_purinsesushokora03.jpg?202007-5-RELEASE-marathon-481x", "■")</f>
        <v>■</v>
      </c>
      <c r="F598" s="14" t="s">
        <v>14096</v>
      </c>
      <c r="G598" s="14">
        <v>72247</v>
      </c>
      <c r="H598" s="14">
        <v>99797</v>
      </c>
      <c r="I598" s="14">
        <v>27</v>
      </c>
      <c r="J598" s="14" t="s">
        <v>13869</v>
      </c>
      <c r="K598" s="14" t="s">
        <v>14095</v>
      </c>
      <c r="L598" s="14" t="s">
        <v>14098</v>
      </c>
      <c r="M598" s="14" t="s">
        <v>9158</v>
      </c>
      <c r="N598" s="14" t="s">
        <v>9158</v>
      </c>
      <c r="O598" s="14" t="s">
        <v>9158</v>
      </c>
      <c r="P598" s="14" t="s">
        <v>9158</v>
      </c>
      <c r="Q598" s="14" t="s">
        <v>9158</v>
      </c>
      <c r="R598" s="14" t="s">
        <v>175</v>
      </c>
    </row>
    <row r="599" spans="1:18">
      <c r="A599" s="14">
        <v>87741</v>
      </c>
      <c r="B599" s="14" t="s">
        <v>15</v>
      </c>
      <c r="C599" s="14" t="s">
        <v>209</v>
      </c>
      <c r="D599" s="14" t="s">
        <v>14097</v>
      </c>
      <c r="E599" s="15" t="str">
        <f>HYPERLINK("https://stat100.ameba.jp/tnk47/ratio20/illustrations/card/ill_87741_purinsesushokora01.jpg?202007-5-RELEASE-marathon-481x", "■")</f>
        <v>■</v>
      </c>
      <c r="F599" s="14" t="s">
        <v>14096</v>
      </c>
      <c r="G599" s="14">
        <v>45954</v>
      </c>
      <c r="H599" s="14">
        <v>63477</v>
      </c>
      <c r="I599" s="7">
        <v>27</v>
      </c>
      <c r="J599" s="14" t="s">
        <v>13869</v>
      </c>
      <c r="K599" s="14" t="s">
        <v>14095</v>
      </c>
      <c r="L599" s="14" t="s">
        <v>14099</v>
      </c>
      <c r="M599" s="14" t="s">
        <v>9158</v>
      </c>
      <c r="N599" s="14" t="s">
        <v>9158</v>
      </c>
      <c r="O599" s="14" t="s">
        <v>9158</v>
      </c>
      <c r="P599" s="14" t="s">
        <v>9158</v>
      </c>
      <c r="Q599" s="14" t="s">
        <v>9158</v>
      </c>
      <c r="R599" s="14" t="s">
        <v>176</v>
      </c>
    </row>
    <row r="601" spans="1:18">
      <c r="A601" s="14" t="s">
        <v>13837</v>
      </c>
    </row>
    <row r="602" spans="1:18">
      <c r="A602" s="14" t="s">
        <v>14081</v>
      </c>
    </row>
    <row r="603" spans="1:18">
      <c r="A603" s="14" t="s">
        <v>5899</v>
      </c>
      <c r="B603" s="14" t="s">
        <v>330</v>
      </c>
      <c r="C603" s="14" t="s">
        <v>205</v>
      </c>
      <c r="D603" s="19" t="s">
        <v>1559</v>
      </c>
      <c r="E603" s="15" t="str">
        <f>HYPERLINK("https://stat100.ameba.jp/tnk47/ratio20/illustrations/card/ill_73773_0_umibirakiinugamigyobu03.jpg?202007-5-RELEASE-marathon-481x", "■")</f>
        <v>■</v>
      </c>
      <c r="F603" s="14" t="s">
        <v>935</v>
      </c>
      <c r="G603" s="14">
        <v>216934</v>
      </c>
      <c r="H603" s="14">
        <v>233333</v>
      </c>
      <c r="I603" s="14">
        <v>25</v>
      </c>
      <c r="J603" s="14" t="s">
        <v>182</v>
      </c>
      <c r="K603" s="14" t="s">
        <v>936</v>
      </c>
      <c r="L603" s="14" t="s">
        <v>13147</v>
      </c>
      <c r="M603" s="14" t="s">
        <v>9158</v>
      </c>
      <c r="N603" s="14" t="s">
        <v>9158</v>
      </c>
      <c r="O603" s="19" t="s">
        <v>2978</v>
      </c>
      <c r="P603" s="14" t="s">
        <v>2979</v>
      </c>
      <c r="Q603" s="14">
        <v>2</v>
      </c>
    </row>
    <row r="604" spans="1:18">
      <c r="A604" s="14">
        <v>80573</v>
      </c>
      <c r="B604" s="14" t="s">
        <v>334</v>
      </c>
      <c r="C604" s="14" t="s">
        <v>165</v>
      </c>
      <c r="D604" s="20" t="s">
        <v>10301</v>
      </c>
      <c r="E604" s="15" t="str">
        <f>HYPERLINK("https://stat100.ameba.jp/tnk47/ratio20/illustrations/card/ill_80573_ohanamigurampingusotorihime03.jpg?202007-5-RELEASE-marathon-481x", "■")</f>
        <v>■</v>
      </c>
      <c r="F604" s="14" t="s">
        <v>4176</v>
      </c>
      <c r="G604" s="14">
        <v>114092</v>
      </c>
      <c r="H604" s="14">
        <v>105890</v>
      </c>
      <c r="I604" s="14">
        <v>25</v>
      </c>
      <c r="J604" s="14" t="s">
        <v>38</v>
      </c>
      <c r="K604" s="14" t="s">
        <v>4177</v>
      </c>
      <c r="L604" s="14" t="s">
        <v>4178</v>
      </c>
      <c r="M604" s="14" t="s">
        <v>9158</v>
      </c>
      <c r="N604" s="14" t="s">
        <v>9158</v>
      </c>
      <c r="O604" s="19" t="s">
        <v>10119</v>
      </c>
      <c r="P604" s="14" t="s">
        <v>3662</v>
      </c>
      <c r="Q604" s="14">
        <v>1</v>
      </c>
    </row>
    <row r="605" spans="1:18">
      <c r="A605" s="9">
        <v>65653</v>
      </c>
      <c r="B605" s="14" t="s">
        <v>334</v>
      </c>
      <c r="C605" s="14" t="s">
        <v>335</v>
      </c>
      <c r="D605" s="14" t="s">
        <v>3411</v>
      </c>
      <c r="E605" s="15" t="str">
        <f>HYPERLINK("https://stat100.ameba.jp/tnk47/ratio20/illustrations/card/ill_65653_undokaitakamurachieko03.jpg?202007-5-RELEASE-marathon-481x", "■")</f>
        <v>■</v>
      </c>
      <c r="F605" s="14" t="s">
        <v>853</v>
      </c>
      <c r="G605" s="14">
        <v>101373</v>
      </c>
      <c r="H605" s="14">
        <v>94295</v>
      </c>
      <c r="I605" s="14">
        <v>25</v>
      </c>
      <c r="J605" s="14" t="s">
        <v>414</v>
      </c>
      <c r="K605" s="14" t="s">
        <v>854</v>
      </c>
      <c r="L605" s="14" t="s">
        <v>855</v>
      </c>
      <c r="M605" s="14" t="s">
        <v>9158</v>
      </c>
      <c r="N605" s="14" t="s">
        <v>9158</v>
      </c>
      <c r="O605" s="9" t="s">
        <v>3414</v>
      </c>
      <c r="P605" s="14" t="s">
        <v>13122</v>
      </c>
      <c r="Q605" s="14">
        <v>1</v>
      </c>
    </row>
    <row r="606" spans="1:18">
      <c r="A606" s="14">
        <v>85483</v>
      </c>
      <c r="B606" s="14" t="s">
        <v>0</v>
      </c>
      <c r="C606" s="14" t="s">
        <v>206</v>
      </c>
      <c r="D606" s="20" t="s">
        <v>10807</v>
      </c>
      <c r="E606" s="15" t="str">
        <f>HYPERLINK("https://stat100.ameba.jp/tnk47/ratio20/illustrations/card/ill_85483_seitankuronikururirimu03.jpg?202007-5-RELEASE-marathon-481x", "■")</f>
        <v>■</v>
      </c>
      <c r="F606" s="14" t="s">
        <v>8445</v>
      </c>
      <c r="G606" s="14">
        <v>104162</v>
      </c>
      <c r="H606" s="14">
        <v>96871</v>
      </c>
      <c r="I606" s="14">
        <v>25</v>
      </c>
      <c r="J606" s="14" t="s">
        <v>182</v>
      </c>
      <c r="K606" s="14" t="s">
        <v>8444</v>
      </c>
      <c r="L606" s="14" t="s">
        <v>2308</v>
      </c>
      <c r="M606" s="14" t="s">
        <v>9158</v>
      </c>
      <c r="N606" s="14" t="s">
        <v>9158</v>
      </c>
      <c r="O606" s="19" t="s">
        <v>10086</v>
      </c>
      <c r="P606" s="14" t="s">
        <v>3701</v>
      </c>
      <c r="Q606" s="14">
        <v>1</v>
      </c>
    </row>
  </sheetData>
  <phoneticPr fontId="1"/>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D959-366A-4D98-885F-0E616630B40E}">
  <dimension ref="A1:S590"/>
  <sheetViews>
    <sheetView zoomScale="55" zoomScaleNormal="55" workbookViewId="0">
      <pane ySplit="1" topLeftCell="A413" activePane="bottomLeft" state="frozen"/>
      <selection activeCell="Q158" sqref="A158:Q158"/>
      <selection pane="bottomLeft" activeCell="D426" sqref="D426"/>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17474</v>
      </c>
    </row>
    <row r="4" spans="1:19">
      <c r="A4" s="14" t="s">
        <v>13448</v>
      </c>
    </row>
    <row r="5" spans="1:19">
      <c r="A5" s="14" t="s">
        <v>13449</v>
      </c>
    </row>
    <row r="6" spans="1:19">
      <c r="A6" s="14" t="s">
        <v>13442</v>
      </c>
      <c r="B6" s="7" t="s">
        <v>52</v>
      </c>
      <c r="C6" s="14" t="s">
        <v>202</v>
      </c>
      <c r="D6" s="18" t="s">
        <v>13441</v>
      </c>
      <c r="E6" s="15" t="str">
        <f>HYPERLINK("https://stat100.ameba.jp/tnk47/ratio20/illustrations/card/ill_90393_0_nangokubakansusanukiudonchan03.jpg?202007-5-RELEASE-marathon-481x", "■")</f>
        <v>■</v>
      </c>
      <c r="F6" s="14" t="s">
        <v>13443</v>
      </c>
      <c r="G6" s="14">
        <v>323223</v>
      </c>
      <c r="H6" s="14">
        <v>395073</v>
      </c>
      <c r="I6" s="7">
        <v>31</v>
      </c>
      <c r="J6" s="14" t="s">
        <v>104</v>
      </c>
      <c r="K6" s="14" t="s">
        <v>13444</v>
      </c>
      <c r="L6" s="14" t="s">
        <v>13445</v>
      </c>
      <c r="M6" s="14" t="s">
        <v>9158</v>
      </c>
      <c r="N6" s="14" t="s">
        <v>9158</v>
      </c>
      <c r="O6" s="6" t="s">
        <v>13446</v>
      </c>
      <c r="P6" s="7" t="s">
        <v>13447</v>
      </c>
      <c r="Q6" s="7">
        <v>1</v>
      </c>
    </row>
    <row r="7" spans="1:19">
      <c r="A7" s="14">
        <v>90353</v>
      </c>
      <c r="B7" s="14" t="s">
        <v>0</v>
      </c>
      <c r="C7" s="14" t="s">
        <v>13657</v>
      </c>
      <c r="D7" s="18" t="s">
        <v>13656</v>
      </c>
      <c r="E7" s="15" t="str">
        <f>HYPERLINK("https://stat100.ameba.jp/tnk47/ratio20/illustrations/card/ill_90353_nangokubakansumyorinni03.jpg?202007-5-RELEASE-marathon-481x", "■")</f>
        <v>■</v>
      </c>
      <c r="F7" s="14" t="s">
        <v>13658</v>
      </c>
      <c r="G7" s="14">
        <v>160507</v>
      </c>
      <c r="H7" s="14">
        <v>149240</v>
      </c>
      <c r="I7" s="14">
        <v>27</v>
      </c>
      <c r="J7" s="14" t="s">
        <v>13659</v>
      </c>
      <c r="K7" s="14" t="s">
        <v>13660</v>
      </c>
      <c r="L7" s="14" t="s">
        <v>13661</v>
      </c>
      <c r="M7" s="14" t="s">
        <v>9158</v>
      </c>
      <c r="N7" s="14" t="s">
        <v>9158</v>
      </c>
      <c r="O7" s="6" t="s">
        <v>3578</v>
      </c>
      <c r="P7" s="7" t="s">
        <v>3579</v>
      </c>
      <c r="Q7" s="7">
        <v>1</v>
      </c>
    </row>
    <row r="8" spans="1:19">
      <c r="A8" s="14">
        <v>90343</v>
      </c>
      <c r="B8" s="14" t="s">
        <v>0</v>
      </c>
      <c r="C8" s="14" t="s">
        <v>13663</v>
      </c>
      <c r="D8" s="18" t="s">
        <v>13662</v>
      </c>
      <c r="E8" s="15" t="str">
        <f>HYPERLINK("https://stat100.ameba.jp/tnk47/ratio20/illustrations/card/ill_90343_nangokubakansuamerikamurachan03.jpg?202007-5-RELEASE-marathon-481x", "■")</f>
        <v>■</v>
      </c>
      <c r="F8" s="14" t="s">
        <v>13664</v>
      </c>
      <c r="G8" s="14">
        <v>123002</v>
      </c>
      <c r="H8" s="14">
        <v>114362</v>
      </c>
      <c r="I8" s="14">
        <v>27</v>
      </c>
      <c r="J8" s="14" t="s">
        <v>13665</v>
      </c>
      <c r="K8" s="14" t="s">
        <v>13666</v>
      </c>
      <c r="L8" s="14" t="s">
        <v>13667</v>
      </c>
      <c r="M8" s="14" t="s">
        <v>2138</v>
      </c>
      <c r="N8" s="14" t="s">
        <v>2139</v>
      </c>
      <c r="O8" s="14" t="s">
        <v>9158</v>
      </c>
      <c r="P8" s="14" t="s">
        <v>9158</v>
      </c>
      <c r="Q8" s="14" t="s">
        <v>9158</v>
      </c>
      <c r="R8" s="14" t="s">
        <v>13120</v>
      </c>
    </row>
    <row r="9" spans="1:19">
      <c r="A9" s="14">
        <v>90333</v>
      </c>
      <c r="B9" s="14" t="s">
        <v>0</v>
      </c>
      <c r="C9" s="14" t="s">
        <v>13669</v>
      </c>
      <c r="D9" s="18" t="s">
        <v>13668</v>
      </c>
      <c r="E9" s="15" t="str">
        <f>HYPERLINK("https://stat100.ameba.jp/tnk47/ratio20/illustrations/card/ill_90333_nangokubakansuyamashitarin03.jpg?202007-5-RELEASE-marathon-481x", "■")</f>
        <v>■</v>
      </c>
      <c r="F9" s="14" t="s">
        <v>13670</v>
      </c>
      <c r="G9" s="14">
        <v>101837</v>
      </c>
      <c r="H9" s="14">
        <v>109481</v>
      </c>
      <c r="I9" s="14">
        <v>27</v>
      </c>
      <c r="J9" s="14" t="s">
        <v>13672</v>
      </c>
      <c r="K9" s="14" t="s">
        <v>13671</v>
      </c>
      <c r="L9" s="14" t="s">
        <v>13673</v>
      </c>
      <c r="M9" s="14" t="s">
        <v>2138</v>
      </c>
      <c r="N9" s="14" t="s">
        <v>2139</v>
      </c>
      <c r="O9" s="14" t="s">
        <v>9158</v>
      </c>
      <c r="P9" s="14" t="s">
        <v>9158</v>
      </c>
      <c r="Q9" s="14" t="s">
        <v>9158</v>
      </c>
      <c r="R9" s="14" t="s">
        <v>13120</v>
      </c>
    </row>
    <row r="10" spans="1:19">
      <c r="A10" s="14">
        <v>90363</v>
      </c>
      <c r="B10" s="14" t="s">
        <v>15</v>
      </c>
      <c r="C10" s="14" t="s">
        <v>13675</v>
      </c>
      <c r="D10" s="18" t="s">
        <v>13674</v>
      </c>
      <c r="E10" s="15" t="str">
        <f>HYPERLINK("https://stat100.ameba.jp/tnk47/ratio20/illustrations/card/ill_90363_umibirakiakashaguma03.jpg?202007-5-RELEASE-marathon-481x", "■")</f>
        <v>■</v>
      </c>
      <c r="F10" s="14" t="s">
        <v>13676</v>
      </c>
      <c r="G10" s="14">
        <v>77064</v>
      </c>
      <c r="H10" s="14">
        <v>69898</v>
      </c>
      <c r="I10" s="14">
        <v>26</v>
      </c>
      <c r="J10" s="14" t="s">
        <v>13677</v>
      </c>
      <c r="K10" s="14" t="s">
        <v>13678</v>
      </c>
      <c r="L10" s="14" t="s">
        <v>13679</v>
      </c>
      <c r="M10" s="14" t="s">
        <v>9158</v>
      </c>
      <c r="N10" s="14" t="s">
        <v>9158</v>
      </c>
      <c r="O10" s="14" t="s">
        <v>9158</v>
      </c>
      <c r="P10" s="14" t="s">
        <v>9158</v>
      </c>
      <c r="Q10" s="14" t="s">
        <v>9158</v>
      </c>
    </row>
    <row r="11" spans="1:19">
      <c r="A11" s="14">
        <v>90373</v>
      </c>
      <c r="B11" s="14" t="s">
        <v>15</v>
      </c>
      <c r="C11" s="14" t="s">
        <v>13681</v>
      </c>
      <c r="D11" s="18" t="s">
        <v>13680</v>
      </c>
      <c r="E11" s="15" t="str">
        <f>HYPERLINK("https://stat100.ameba.jp/tnk47/ratio20/illustrations/card/ill_90373_umibirakiikomakitsuno03.jpg?202007-5-RELEASE-marathon-481x", "■")</f>
        <v>■</v>
      </c>
      <c r="F11" s="14" t="s">
        <v>13682</v>
      </c>
      <c r="G11" s="14">
        <v>69898</v>
      </c>
      <c r="H11" s="14">
        <v>77064</v>
      </c>
      <c r="I11" s="14">
        <v>26</v>
      </c>
      <c r="J11" s="14" t="s">
        <v>13683</v>
      </c>
      <c r="K11" s="14" t="s">
        <v>13684</v>
      </c>
      <c r="L11" s="14" t="s">
        <v>13685</v>
      </c>
      <c r="M11" s="14" t="s">
        <v>9158</v>
      </c>
      <c r="N11" s="14" t="s">
        <v>9158</v>
      </c>
      <c r="O11" s="14" t="s">
        <v>9158</v>
      </c>
      <c r="P11" s="14" t="s">
        <v>9158</v>
      </c>
      <c r="Q11" s="14" t="s">
        <v>9158</v>
      </c>
    </row>
    <row r="12" spans="1:19">
      <c r="A12" s="14">
        <v>90383</v>
      </c>
      <c r="B12" s="14" t="s">
        <v>15</v>
      </c>
      <c r="C12" s="14" t="s">
        <v>13687</v>
      </c>
      <c r="D12" s="18" t="s">
        <v>13686</v>
      </c>
      <c r="E12" s="15" t="str">
        <f>HYPERLINK("https://stat100.ameba.jp/tnk47/ratio20/illustrations/card/ill_90383_tominushihime03.jpg?202007-5-RELEASE-marathon-481x", "■")</f>
        <v>■</v>
      </c>
      <c r="F12" s="14" t="s">
        <v>13688</v>
      </c>
      <c r="G12" s="14">
        <v>77064</v>
      </c>
      <c r="H12" s="14">
        <v>69898</v>
      </c>
      <c r="I12" s="14">
        <v>26</v>
      </c>
      <c r="J12" s="14" t="s">
        <v>13689</v>
      </c>
      <c r="K12" s="14" t="s">
        <v>13690</v>
      </c>
      <c r="L12" s="14" t="s">
        <v>13691</v>
      </c>
      <c r="M12" s="14" t="s">
        <v>9158</v>
      </c>
      <c r="N12" s="14" t="s">
        <v>9158</v>
      </c>
      <c r="O12" s="14" t="s">
        <v>9158</v>
      </c>
      <c r="P12" s="14" t="s">
        <v>9158</v>
      </c>
      <c r="Q12" s="14" t="s">
        <v>9158</v>
      </c>
    </row>
    <row r="13" spans="1:19">
      <c r="A13" s="14">
        <v>90403</v>
      </c>
      <c r="B13" s="14" t="s">
        <v>22</v>
      </c>
      <c r="C13" s="14" t="s">
        <v>13669</v>
      </c>
      <c r="D13" s="18" t="s">
        <v>13692</v>
      </c>
      <c r="E13" s="15" t="str">
        <f>HYPERLINK("https://stat100.ameba.jp/tnk47/ratio20/illustrations/card/ill_90403_dobutsushonansafua03.jpg?202007-5-RELEASE-marathon-481x", "■")</f>
        <v>■</v>
      </c>
      <c r="F13" s="14" t="s">
        <v>13693</v>
      </c>
      <c r="G13" s="14">
        <v>38032</v>
      </c>
      <c r="H13" s="14">
        <v>45742</v>
      </c>
      <c r="I13" s="14">
        <v>22</v>
      </c>
      <c r="J13" s="14" t="s">
        <v>13665</v>
      </c>
      <c r="K13" s="14" t="s">
        <v>13694</v>
      </c>
      <c r="L13" s="14" t="s">
        <v>13695</v>
      </c>
      <c r="M13" s="14" t="s">
        <v>9158</v>
      </c>
      <c r="N13" s="14" t="s">
        <v>9158</v>
      </c>
      <c r="O13" s="14" t="s">
        <v>9158</v>
      </c>
      <c r="P13" s="14" t="s">
        <v>9158</v>
      </c>
      <c r="Q13" s="14" t="s">
        <v>9158</v>
      </c>
    </row>
    <row r="14" spans="1:19">
      <c r="A14" s="14">
        <v>90413</v>
      </c>
      <c r="B14" s="14" t="s">
        <v>22</v>
      </c>
      <c r="C14" s="14" t="s">
        <v>13657</v>
      </c>
      <c r="D14" s="18" t="s">
        <v>13696</v>
      </c>
      <c r="E14" s="15" t="str">
        <f>HYPERLINK("https://stat100.ameba.jp/tnk47/ratio20/illustrations/card/ill_90413_haibisukasutei03.jpg?202007-5-RELEASE-marathon-481x", "■")</f>
        <v>■</v>
      </c>
      <c r="F14" s="14" t="s">
        <v>13697</v>
      </c>
      <c r="G14" s="14">
        <v>45742</v>
      </c>
      <c r="H14" s="14">
        <v>38032</v>
      </c>
      <c r="I14" s="14">
        <v>22</v>
      </c>
      <c r="J14" s="14" t="s">
        <v>13698</v>
      </c>
      <c r="K14" s="14" t="s">
        <v>13699</v>
      </c>
      <c r="L14" s="14" t="s">
        <v>13700</v>
      </c>
      <c r="M14" s="14" t="s">
        <v>9158</v>
      </c>
      <c r="N14" s="14" t="s">
        <v>9158</v>
      </c>
      <c r="O14" s="14" t="s">
        <v>9158</v>
      </c>
      <c r="P14" s="14" t="s">
        <v>9158</v>
      </c>
      <c r="Q14" s="14" t="s">
        <v>9158</v>
      </c>
    </row>
    <row r="15" spans="1:19">
      <c r="A15" s="14">
        <v>90423</v>
      </c>
      <c r="B15" s="14" t="s">
        <v>30</v>
      </c>
      <c r="C15" s="14" t="s">
        <v>13702</v>
      </c>
      <c r="D15" s="18" t="s">
        <v>13701</v>
      </c>
      <c r="E15" s="15" t="str">
        <f>HYPERLINK("https://stat100.ameba.jp/tnk47/ratio20/illustrations/card/ill_90423_sengokumibirakihokkaidogyunyuchan03.jpg?202007-5-RELEASE-marathon-481x", "■")</f>
        <v>■</v>
      </c>
      <c r="F15" s="14" t="s">
        <v>13705</v>
      </c>
      <c r="G15" s="7" t="s">
        <v>12934</v>
      </c>
      <c r="H15" s="7" t="s">
        <v>12934</v>
      </c>
      <c r="I15" s="14">
        <v>19</v>
      </c>
      <c r="J15" s="14" t="s">
        <v>13698</v>
      </c>
      <c r="K15" s="7" t="s">
        <v>12934</v>
      </c>
      <c r="L15" s="7" t="s">
        <v>12934</v>
      </c>
      <c r="M15" s="14" t="s">
        <v>9158</v>
      </c>
      <c r="N15" s="14" t="s">
        <v>9158</v>
      </c>
      <c r="O15" s="14" t="s">
        <v>9158</v>
      </c>
      <c r="P15" s="14" t="s">
        <v>9158</v>
      </c>
      <c r="Q15" s="14" t="s">
        <v>9158</v>
      </c>
    </row>
    <row r="16" spans="1:19">
      <c r="A16" s="14">
        <v>90433</v>
      </c>
      <c r="B16" s="14" t="s">
        <v>30</v>
      </c>
      <c r="C16" s="14" t="s">
        <v>13704</v>
      </c>
      <c r="D16" s="18" t="s">
        <v>13703</v>
      </c>
      <c r="E16" s="15" t="str">
        <f>HYPERLINK("https://stat100.ameba.jp/tnk47/ratio20/illustrations/card/ill_90433_resukyutanegashimashigetoki03.jpg?202007-5-RELEASE-marathon-481x", "■")</f>
        <v>■</v>
      </c>
      <c r="F16" s="14" t="s">
        <v>13706</v>
      </c>
      <c r="G16" s="7" t="s">
        <v>12934</v>
      </c>
      <c r="H16" s="7" t="s">
        <v>12934</v>
      </c>
      <c r="I16" s="14">
        <v>19</v>
      </c>
      <c r="J16" s="14" t="s">
        <v>13659</v>
      </c>
      <c r="K16" s="7" t="s">
        <v>12934</v>
      </c>
      <c r="L16" s="7" t="s">
        <v>12934</v>
      </c>
      <c r="M16" s="14" t="s">
        <v>9158</v>
      </c>
      <c r="N16" s="14" t="s">
        <v>9158</v>
      </c>
      <c r="O16" s="14" t="s">
        <v>9158</v>
      </c>
      <c r="P16" s="14" t="s">
        <v>9158</v>
      </c>
      <c r="Q16" s="14" t="s">
        <v>9158</v>
      </c>
    </row>
    <row r="17" spans="1:18">
      <c r="D17" s="7"/>
    </row>
    <row r="18" spans="1:18">
      <c r="A18" s="14" t="s">
        <v>13762</v>
      </c>
      <c r="D18" s="7"/>
    </row>
    <row r="19" spans="1:18">
      <c r="A19" s="14" t="s">
        <v>5425</v>
      </c>
      <c r="D19" s="7"/>
    </row>
    <row r="20" spans="1:18">
      <c r="A20" s="14">
        <v>90485</v>
      </c>
      <c r="B20" s="14" t="s">
        <v>0</v>
      </c>
      <c r="C20" s="14" t="s">
        <v>202</v>
      </c>
      <c r="D20" s="18" t="s">
        <v>13763</v>
      </c>
      <c r="E20" s="15" t="str">
        <f>HYPERLINK("https://stat100.ameba.jp/tnk47/ratio20/illustrations/card/ill_90485_daikaizokunoboreikamaitachi05.jpg?202007-5-RELEASE-marathon-481xx", "■")</f>
        <v>■</v>
      </c>
      <c r="F20" s="14" t="s">
        <v>13765</v>
      </c>
      <c r="G20" s="14">
        <v>202845</v>
      </c>
      <c r="H20" s="14">
        <v>146883</v>
      </c>
      <c r="I20" s="14">
        <v>27</v>
      </c>
      <c r="J20" s="14" t="s">
        <v>13768</v>
      </c>
      <c r="K20" s="14" t="s">
        <v>13767</v>
      </c>
      <c r="L20" s="14" t="s">
        <v>13766</v>
      </c>
      <c r="M20" s="14" t="s">
        <v>9158</v>
      </c>
      <c r="N20" s="14" t="s">
        <v>9158</v>
      </c>
      <c r="O20" s="14" t="s">
        <v>9158</v>
      </c>
      <c r="P20" s="14" t="s">
        <v>9158</v>
      </c>
      <c r="Q20" s="14" t="s">
        <v>9158</v>
      </c>
      <c r="R20" s="14" t="s">
        <v>174</v>
      </c>
    </row>
    <row r="21" spans="1:18">
      <c r="A21" s="14">
        <v>90483</v>
      </c>
      <c r="B21" s="14" t="s">
        <v>15</v>
      </c>
      <c r="C21" s="14" t="s">
        <v>13764</v>
      </c>
      <c r="D21" s="18" t="s">
        <v>13763</v>
      </c>
      <c r="E21" s="15" t="str">
        <f>HYPERLINK("https://stat100.ameba.jp/tnk47/ratio20/illustrations/card/ill_90483_daikaizokunoboreikamaitachi03.jpg?202007-5-RELEASE-marathon-481xx", "■")</f>
        <v>■</v>
      </c>
      <c r="F21" s="14" t="s">
        <v>13765</v>
      </c>
      <c r="G21" s="14">
        <v>149455</v>
      </c>
      <c r="H21" s="14">
        <v>108225</v>
      </c>
      <c r="I21" s="14">
        <v>27</v>
      </c>
      <c r="J21" s="14" t="s">
        <v>13768</v>
      </c>
      <c r="K21" s="14" t="s">
        <v>13767</v>
      </c>
      <c r="L21" s="14" t="s">
        <v>13769</v>
      </c>
      <c r="M21" s="14" t="s">
        <v>9158</v>
      </c>
      <c r="N21" s="14" t="s">
        <v>9158</v>
      </c>
      <c r="O21" s="14" t="s">
        <v>9158</v>
      </c>
      <c r="P21" s="14" t="s">
        <v>9158</v>
      </c>
      <c r="Q21" s="14" t="s">
        <v>9158</v>
      </c>
      <c r="R21" s="14" t="s">
        <v>175</v>
      </c>
    </row>
    <row r="22" spans="1:18">
      <c r="A22" s="14">
        <v>90481</v>
      </c>
      <c r="B22" s="14" t="s">
        <v>15</v>
      </c>
      <c r="C22" s="14" t="s">
        <v>13764</v>
      </c>
      <c r="D22" s="18" t="s">
        <v>13763</v>
      </c>
      <c r="E22" s="15" t="str">
        <f>HYPERLINK("https://stat100.ameba.jp/tnk47/ratio20/illustrations/card/ill_90481_daikaizokunoboreikamaitachi01.jpg?202007-5-RELEASE-marathon-481xx", "■")</f>
        <v>■</v>
      </c>
      <c r="F22" s="14" t="s">
        <v>13765</v>
      </c>
      <c r="G22" s="14">
        <v>95067</v>
      </c>
      <c r="H22" s="14">
        <v>68850</v>
      </c>
      <c r="I22" s="14">
        <v>27</v>
      </c>
      <c r="J22" s="14" t="s">
        <v>13768</v>
      </c>
      <c r="K22" s="14" t="s">
        <v>13767</v>
      </c>
      <c r="L22" s="14" t="s">
        <v>13770</v>
      </c>
      <c r="M22" s="14" t="s">
        <v>9158</v>
      </c>
      <c r="N22" s="14" t="s">
        <v>9158</v>
      </c>
      <c r="O22" s="14" t="s">
        <v>9158</v>
      </c>
      <c r="P22" s="14" t="s">
        <v>9158</v>
      </c>
      <c r="Q22" s="14" t="s">
        <v>9158</v>
      </c>
      <c r="R22" s="14" t="s">
        <v>176</v>
      </c>
    </row>
    <row r="24" spans="1:18">
      <c r="A24" s="14" t="s">
        <v>13771</v>
      </c>
    </row>
    <row r="25" spans="1:18">
      <c r="A25" s="14" t="s">
        <v>13772</v>
      </c>
    </row>
    <row r="26" spans="1:18">
      <c r="A26" s="14" t="s">
        <v>5619</v>
      </c>
      <c r="B26" s="14" t="s">
        <v>330</v>
      </c>
      <c r="C26" s="14" t="s">
        <v>202</v>
      </c>
      <c r="D26" s="19" t="s">
        <v>10348</v>
      </c>
      <c r="E26" s="15" t="str">
        <f>HYPERLINK("https://stat100.ameba.jp/tnk47/ratio20/illustrations/card/ill_81183_0_shinryokunokisetsuamaterasu03.jpg?202007-5-RELEASE-marathon-481xx", "■")</f>
        <v>■</v>
      </c>
      <c r="F26" s="14" t="s">
        <v>4505</v>
      </c>
      <c r="G26" s="14">
        <v>283637</v>
      </c>
      <c r="H26" s="14">
        <v>313857</v>
      </c>
      <c r="I26" s="14">
        <v>27</v>
      </c>
      <c r="J26" s="14" t="s">
        <v>44</v>
      </c>
      <c r="K26" s="14" t="s">
        <v>4506</v>
      </c>
      <c r="L26" s="14" t="s">
        <v>4507</v>
      </c>
      <c r="M26" s="14" t="s">
        <v>9158</v>
      </c>
      <c r="N26" s="14" t="s">
        <v>9158</v>
      </c>
      <c r="O26" s="19" t="s">
        <v>10083</v>
      </c>
      <c r="P26" s="14" t="s">
        <v>4509</v>
      </c>
      <c r="Q26" s="14">
        <v>0</v>
      </c>
    </row>
    <row r="27" spans="1:18">
      <c r="A27" s="14" t="s">
        <v>5601</v>
      </c>
      <c r="B27" s="14" t="s">
        <v>330</v>
      </c>
      <c r="C27" s="14" t="s">
        <v>35</v>
      </c>
      <c r="D27" s="19" t="s">
        <v>10318</v>
      </c>
      <c r="E27" s="15" t="str">
        <f>HYPERLINK("https://stat100.ameba.jp/tnk47/ratio20/illustrations/card/ill_82423_0_bikinigarukishi03.jpg?202007-5-RELEASE-marathon-481xx", "■")</f>
        <v>■</v>
      </c>
      <c r="F27" s="14" t="s">
        <v>5391</v>
      </c>
      <c r="G27" s="14">
        <v>326924</v>
      </c>
      <c r="H27" s="14">
        <v>295479</v>
      </c>
      <c r="I27" s="14">
        <v>27</v>
      </c>
      <c r="J27" s="14" t="s">
        <v>77</v>
      </c>
      <c r="K27" s="14" t="s">
        <v>5392</v>
      </c>
      <c r="L27" s="14" t="s">
        <v>5393</v>
      </c>
      <c r="M27" s="14" t="s">
        <v>9158</v>
      </c>
      <c r="N27" s="14" t="s">
        <v>9158</v>
      </c>
      <c r="O27" s="19" t="s">
        <v>10069</v>
      </c>
      <c r="P27" s="14" t="s">
        <v>5394</v>
      </c>
      <c r="Q27" s="14">
        <v>1</v>
      </c>
    </row>
    <row r="28" spans="1:18">
      <c r="A28" s="7" t="s">
        <v>8839</v>
      </c>
      <c r="B28" s="7" t="s">
        <v>52</v>
      </c>
      <c r="C28" s="7" t="s">
        <v>202</v>
      </c>
      <c r="D28" s="20" t="s">
        <v>10880</v>
      </c>
      <c r="E28" s="15" t="str">
        <f>HYPERLINK("https://stat100.ameba.jp/tnk47/ratio20/illustrations/card/ill_86273_0_oshogatsuniijimayae03.jpg?202007-5-RELEASE-marathon-481xx", "■")</f>
        <v>■</v>
      </c>
      <c r="F28" s="7" t="s">
        <v>8838</v>
      </c>
      <c r="G28" s="7">
        <v>296321</v>
      </c>
      <c r="H28" s="7">
        <v>327865</v>
      </c>
      <c r="I28" s="7">
        <v>27</v>
      </c>
      <c r="J28" s="14" t="s">
        <v>173</v>
      </c>
      <c r="K28" s="7" t="s">
        <v>8837</v>
      </c>
      <c r="L28" s="7" t="s">
        <v>13211</v>
      </c>
      <c r="M28" s="14" t="s">
        <v>9158</v>
      </c>
      <c r="N28" s="14" t="s">
        <v>9158</v>
      </c>
      <c r="O28" s="19" t="s">
        <v>10134</v>
      </c>
      <c r="P28" s="7" t="s">
        <v>8870</v>
      </c>
      <c r="Q28" s="7">
        <v>1</v>
      </c>
    </row>
    <row r="29" spans="1:18">
      <c r="A29" s="14" t="s">
        <v>7150</v>
      </c>
      <c r="B29" s="14" t="s">
        <v>52</v>
      </c>
      <c r="C29" s="14" t="s">
        <v>202</v>
      </c>
      <c r="D29" s="20" t="s">
        <v>10656</v>
      </c>
      <c r="E29" s="15" t="str">
        <f>HYPERLINK("https://stat100.ameba.jp/tnk47/ratio20/illustrations/card/ill_84203_0_tarottofujiwaranoshoshi03.jpg?202007-5-RELEASE-marathon-481xx", "■")</f>
        <v>■</v>
      </c>
      <c r="F29" s="14" t="s">
        <v>7153</v>
      </c>
      <c r="G29" s="14">
        <v>397406</v>
      </c>
      <c r="H29" s="14">
        <v>359198</v>
      </c>
      <c r="I29" s="14">
        <v>27</v>
      </c>
      <c r="J29" s="14" t="s">
        <v>10</v>
      </c>
      <c r="K29" s="14" t="s">
        <v>7152</v>
      </c>
      <c r="L29" s="14" t="s">
        <v>7151</v>
      </c>
      <c r="M29" s="14" t="s">
        <v>9158</v>
      </c>
      <c r="N29" s="14" t="s">
        <v>9158</v>
      </c>
      <c r="O29" s="19" t="s">
        <v>10128</v>
      </c>
      <c r="P29" s="14" t="s">
        <v>7154</v>
      </c>
      <c r="Q29" s="14">
        <v>1</v>
      </c>
    </row>
    <row r="30" spans="1:18">
      <c r="A30" s="14" t="s">
        <v>6598</v>
      </c>
      <c r="B30" s="14" t="s">
        <v>330</v>
      </c>
      <c r="C30" s="14" t="s">
        <v>35</v>
      </c>
      <c r="D30" s="19" t="s">
        <v>10555</v>
      </c>
      <c r="E30" s="15" t="str">
        <f>HYPERLINK("https://stat100.ameba.jp/tnk47/ratio20/illustrations/card/ill_83553_0_kajuenamoronagu03.jpg?202007-5-RELEASE-marathon-481xx", "■")</f>
        <v>■</v>
      </c>
      <c r="F30" s="14" t="s">
        <v>6597</v>
      </c>
      <c r="G30" s="14">
        <v>284219</v>
      </c>
      <c r="H30" s="14">
        <v>314478</v>
      </c>
      <c r="I30" s="14">
        <v>27</v>
      </c>
      <c r="J30" s="14" t="s">
        <v>44</v>
      </c>
      <c r="K30" s="14" t="s">
        <v>6595</v>
      </c>
      <c r="L30" s="14" t="s">
        <v>6594</v>
      </c>
      <c r="M30" s="14" t="s">
        <v>9158</v>
      </c>
      <c r="N30" s="14" t="s">
        <v>9158</v>
      </c>
      <c r="O30" s="19" t="s">
        <v>10125</v>
      </c>
      <c r="P30" s="14" t="s">
        <v>6599</v>
      </c>
      <c r="Q30" s="14">
        <v>1</v>
      </c>
    </row>
    <row r="31" spans="1:18">
      <c r="A31" s="14">
        <v>83903</v>
      </c>
      <c r="B31" s="14" t="s">
        <v>0</v>
      </c>
      <c r="C31" s="14" t="s">
        <v>185</v>
      </c>
      <c r="D31" s="19" t="s">
        <v>14604</v>
      </c>
      <c r="E31" s="15" t="str">
        <f>HYPERLINK("https://stat100.ameba.jp/tnk47/ratio20/illustrations/card/ill_83903_manekinekotsurumyojin03.jpg?202007-5-RELEASE-marathon-481xx", "■")</f>
        <v>■</v>
      </c>
      <c r="F31" s="14" t="s">
        <v>7078</v>
      </c>
      <c r="G31" s="14">
        <v>123220</v>
      </c>
      <c r="H31" s="14">
        <v>114362</v>
      </c>
      <c r="I31" s="9">
        <v>27</v>
      </c>
      <c r="J31" s="14" t="s">
        <v>38</v>
      </c>
      <c r="K31" s="14" t="s">
        <v>7077</v>
      </c>
      <c r="L31" s="14" t="s">
        <v>4856</v>
      </c>
      <c r="M31" s="14" t="s">
        <v>9158</v>
      </c>
      <c r="N31" s="14" t="s">
        <v>9158</v>
      </c>
      <c r="O31" s="14" t="s">
        <v>9158</v>
      </c>
      <c r="P31" s="14" t="s">
        <v>9158</v>
      </c>
      <c r="Q31" s="14" t="s">
        <v>9158</v>
      </c>
    </row>
    <row r="32" spans="1:18">
      <c r="A32" s="9">
        <v>80283</v>
      </c>
      <c r="B32" s="14" t="s">
        <v>0</v>
      </c>
      <c r="C32" s="14" t="s">
        <v>200</v>
      </c>
      <c r="D32" s="14" t="s">
        <v>3934</v>
      </c>
      <c r="E32" s="15" t="str">
        <f>HYPERLINK("https://stat100.ameba.jp/tnk47/ratio20/illustrations/card/ill_80283_howaitodehanakosan03.jpg?202007-5-RELEASE-marathon-481xx", "■")</f>
        <v>■</v>
      </c>
      <c r="F32" s="14" t="s">
        <v>3935</v>
      </c>
      <c r="G32" s="9">
        <v>112496</v>
      </c>
      <c r="H32" s="9">
        <v>104619</v>
      </c>
      <c r="I32" s="14">
        <v>27</v>
      </c>
      <c r="J32" s="14" t="s">
        <v>73</v>
      </c>
      <c r="K32" s="14" t="s">
        <v>3936</v>
      </c>
      <c r="L32" s="14" t="s">
        <v>3937</v>
      </c>
      <c r="M32" s="14" t="s">
        <v>9158</v>
      </c>
      <c r="N32" s="14" t="s">
        <v>9158</v>
      </c>
      <c r="O32" s="14" t="s">
        <v>9158</v>
      </c>
      <c r="P32" s="14" t="s">
        <v>9158</v>
      </c>
      <c r="Q32" s="14" t="s">
        <v>9158</v>
      </c>
    </row>
    <row r="33" spans="1:17">
      <c r="A33" s="14">
        <v>78213</v>
      </c>
      <c r="B33" s="14" t="s">
        <v>0</v>
      </c>
      <c r="C33" s="14" t="s">
        <v>191</v>
      </c>
      <c r="D33" s="19" t="s">
        <v>14605</v>
      </c>
      <c r="E33" s="15" t="str">
        <f>HYPERLINK("https://stat100.ameba.jp/tnk47/ratio20/illustrations/card/ill_78213_otomarijoshikaitaiyakichan03.jpg?202007-5-RELEASE-marathon-481xx", "■")</f>
        <v>■</v>
      </c>
      <c r="F33" s="14" t="s">
        <v>2313</v>
      </c>
      <c r="G33" s="14">
        <v>160507</v>
      </c>
      <c r="H33" s="14">
        <v>149240</v>
      </c>
      <c r="I33" s="7">
        <v>27</v>
      </c>
      <c r="J33" s="14" t="s">
        <v>104</v>
      </c>
      <c r="K33" s="14" t="s">
        <v>2314</v>
      </c>
      <c r="L33" s="14" t="s">
        <v>1029</v>
      </c>
      <c r="M33" s="14" t="s">
        <v>9158</v>
      </c>
      <c r="N33" s="14" t="s">
        <v>9158</v>
      </c>
      <c r="O33" s="14" t="s">
        <v>9158</v>
      </c>
      <c r="P33" s="14" t="s">
        <v>9158</v>
      </c>
      <c r="Q33" s="14" t="s">
        <v>9158</v>
      </c>
    </row>
    <row r="34" spans="1:17">
      <c r="A34" s="14">
        <v>78993</v>
      </c>
      <c r="B34" s="14" t="s">
        <v>0</v>
      </c>
      <c r="C34" s="14" t="s">
        <v>165</v>
      </c>
      <c r="D34" s="19" t="s">
        <v>14606</v>
      </c>
      <c r="E34" s="15" t="str">
        <f>HYPERLINK("https://stat100.ameba.jp/tnk47/ratio20/illustrations/card/ill_78993_uintasupotsutsukimizakechan03.jpg?202007-5-RELEASE-marathon-481xx", "■")</f>
        <v>■</v>
      </c>
      <c r="F34" s="14" t="s">
        <v>6842</v>
      </c>
      <c r="G34" s="14">
        <v>127507</v>
      </c>
      <c r="H34" s="14">
        <v>118568</v>
      </c>
      <c r="I34" s="14">
        <v>27</v>
      </c>
      <c r="J34" s="14" t="s">
        <v>216</v>
      </c>
      <c r="K34" s="14" t="s">
        <v>6841</v>
      </c>
      <c r="L34" s="14" t="s">
        <v>1108</v>
      </c>
      <c r="M34" s="14" t="s">
        <v>9158</v>
      </c>
      <c r="N34" s="14" t="s">
        <v>9158</v>
      </c>
      <c r="O34" s="14" t="s">
        <v>9158</v>
      </c>
      <c r="P34" s="14" t="s">
        <v>9158</v>
      </c>
      <c r="Q34" s="14" t="s">
        <v>9158</v>
      </c>
    </row>
    <row r="35" spans="1:17">
      <c r="A35" s="14">
        <v>82033</v>
      </c>
      <c r="B35" s="14" t="s">
        <v>334</v>
      </c>
      <c r="C35" s="14" t="s">
        <v>205</v>
      </c>
      <c r="D35" s="19" t="s">
        <v>14608</v>
      </c>
      <c r="E35" s="15" t="str">
        <f>HYPERLINK("https://stat100.ameba.jp/tnk47/ratio20/illustrations/card/ill_82033_chichinohiakashirejina03.jpg?202007-5-RELEASE-marathon-481xx", "■")</f>
        <v>■</v>
      </c>
      <c r="F35" s="14" t="s">
        <v>5126</v>
      </c>
      <c r="G35" s="14">
        <v>105465</v>
      </c>
      <c r="H35" s="14">
        <v>98019</v>
      </c>
      <c r="I35" s="14">
        <v>27</v>
      </c>
      <c r="J35" s="14" t="s">
        <v>10</v>
      </c>
      <c r="K35" s="14" t="s">
        <v>5128</v>
      </c>
      <c r="L35" s="14" t="s">
        <v>4347</v>
      </c>
      <c r="M35" s="14" t="s">
        <v>9158</v>
      </c>
      <c r="N35" s="14" t="s">
        <v>9158</v>
      </c>
      <c r="O35" s="14" t="s">
        <v>9158</v>
      </c>
      <c r="P35" s="14" t="s">
        <v>9158</v>
      </c>
      <c r="Q35" s="14" t="s">
        <v>9158</v>
      </c>
    </row>
    <row r="36" spans="1:17">
      <c r="A36" s="14">
        <v>81423</v>
      </c>
      <c r="B36" s="14" t="s">
        <v>0</v>
      </c>
      <c r="C36" s="14" t="s">
        <v>206</v>
      </c>
      <c r="D36" s="19" t="s">
        <v>14611</v>
      </c>
      <c r="E36" s="15" t="str">
        <f>HYPERLINK("https://stat100.ameba.jp/tnk47/ratio20/illustrations/card/ill_81423_harunotaiikusaiamahime03.jpg?202007-5-RELEASE-marathon-481xx", "■")</f>
        <v>■</v>
      </c>
      <c r="F36" s="14" t="s">
        <v>4676</v>
      </c>
      <c r="G36" s="14">
        <v>105465</v>
      </c>
      <c r="H36" s="14">
        <v>98019</v>
      </c>
      <c r="I36" s="14">
        <v>27</v>
      </c>
      <c r="J36" s="14" t="s">
        <v>187</v>
      </c>
      <c r="K36" s="14" t="s">
        <v>4677</v>
      </c>
      <c r="L36" s="14" t="s">
        <v>4678</v>
      </c>
      <c r="M36" s="14" t="s">
        <v>9158</v>
      </c>
      <c r="N36" s="14" t="s">
        <v>9158</v>
      </c>
      <c r="O36" s="14" t="s">
        <v>9158</v>
      </c>
      <c r="P36" s="14" t="s">
        <v>9158</v>
      </c>
      <c r="Q36" s="14" t="s">
        <v>9158</v>
      </c>
    </row>
    <row r="37" spans="1:17">
      <c r="D37" s="7"/>
    </row>
    <row r="38" spans="1:17">
      <c r="A38" s="14" t="s">
        <v>204</v>
      </c>
      <c r="D38" s="7"/>
    </row>
    <row r="39" spans="1:17">
      <c r="A39" s="14" t="s">
        <v>5441</v>
      </c>
      <c r="D39" s="7"/>
    </row>
    <row r="40" spans="1:17">
      <c r="A40" s="14" t="s">
        <v>5843</v>
      </c>
      <c r="B40" s="14" t="s">
        <v>52</v>
      </c>
      <c r="C40" s="14" t="s">
        <v>202</v>
      </c>
      <c r="D40" s="19" t="s">
        <v>10291</v>
      </c>
      <c r="E40" s="15" t="str">
        <f>HYPERLINK("https://stat100.ameba.jp/tnk47/ratio20/illustrations/card/ill_77963_0_kurisumasudaisakusentakiyashahime03.jpg?202007-5-RELEASE-marathon-481xx", "■")</f>
        <v>■</v>
      </c>
      <c r="F40" s="14" t="s">
        <v>2127</v>
      </c>
      <c r="G40" s="14">
        <v>270184</v>
      </c>
      <c r="H40" s="14">
        <v>244188</v>
      </c>
      <c r="I40" s="14">
        <v>22</v>
      </c>
      <c r="J40" s="14" t="s">
        <v>77</v>
      </c>
      <c r="K40" s="14" t="s">
        <v>2128</v>
      </c>
      <c r="L40" s="14" t="s">
        <v>2129</v>
      </c>
      <c r="M40" s="14" t="s">
        <v>9158</v>
      </c>
      <c r="N40" s="14" t="s">
        <v>9158</v>
      </c>
      <c r="O40" s="19" t="s">
        <v>10107</v>
      </c>
      <c r="P40" s="14" t="s">
        <v>3589</v>
      </c>
      <c r="Q40" s="14">
        <v>2</v>
      </c>
    </row>
    <row r="41" spans="1:17">
      <c r="A41" s="14" t="s">
        <v>5607</v>
      </c>
      <c r="B41" s="14" t="s">
        <v>330</v>
      </c>
      <c r="C41" s="14" t="s">
        <v>200</v>
      </c>
      <c r="D41" s="19" t="s">
        <v>421</v>
      </c>
      <c r="E41" s="15" t="str">
        <f>HYPERLINK("https://stat100.ameba.jp/tnk47/ratio20/illustrations/card/ill_58853_0_setsubumpanikkuhiratsukaraicho03.jpg?202007-5-RELEASE-marathon-481xx", "■")</f>
        <v>■</v>
      </c>
      <c r="F41" s="14" t="s">
        <v>1040</v>
      </c>
      <c r="G41" s="14">
        <v>138212</v>
      </c>
      <c r="H41" s="14">
        <v>122776</v>
      </c>
      <c r="I41" s="14">
        <v>22</v>
      </c>
      <c r="J41" s="14" t="s">
        <v>16</v>
      </c>
      <c r="K41" s="14" t="s">
        <v>1041</v>
      </c>
      <c r="L41" s="14" t="s">
        <v>1042</v>
      </c>
      <c r="M41" s="14" t="s">
        <v>9158</v>
      </c>
      <c r="N41" s="14" t="s">
        <v>9158</v>
      </c>
      <c r="O41" s="6" t="s">
        <v>10059</v>
      </c>
      <c r="P41" s="14" t="s">
        <v>2870</v>
      </c>
      <c r="Q41" s="14">
        <v>1</v>
      </c>
    </row>
    <row r="42" spans="1:17">
      <c r="A42" s="14" t="s">
        <v>5604</v>
      </c>
      <c r="B42" s="14" t="s">
        <v>330</v>
      </c>
      <c r="C42" s="14" t="s">
        <v>206</v>
      </c>
      <c r="D42" s="19" t="s">
        <v>614</v>
      </c>
      <c r="E42" s="15" t="str">
        <f>HYPERLINK("https://stat100.ameba.jp/tnk47/ratio20/illustrations/card/ill_47263_0_oukyuuatsuhime03.jpg?202007-5-RELEASE-marathon-481xx", "■")</f>
        <v>■</v>
      </c>
      <c r="F42" s="14" t="s">
        <v>615</v>
      </c>
      <c r="G42" s="14">
        <v>138212</v>
      </c>
      <c r="H42" s="14">
        <v>122776</v>
      </c>
      <c r="I42" s="14">
        <v>22</v>
      </c>
      <c r="J42" s="14" t="s">
        <v>315</v>
      </c>
      <c r="K42" s="14" t="s">
        <v>616</v>
      </c>
      <c r="L42" s="14" t="s">
        <v>617</v>
      </c>
      <c r="M42" s="14" t="s">
        <v>9158</v>
      </c>
      <c r="N42" s="14" t="s">
        <v>9158</v>
      </c>
      <c r="O42" s="14" t="s">
        <v>9158</v>
      </c>
      <c r="P42" s="14" t="s">
        <v>9158</v>
      </c>
      <c r="Q42" s="14" t="s">
        <v>9158</v>
      </c>
    </row>
    <row r="43" spans="1:17">
      <c r="A43" s="14">
        <v>83283</v>
      </c>
      <c r="B43" s="14" t="s">
        <v>334</v>
      </c>
      <c r="C43" s="14" t="s">
        <v>271</v>
      </c>
      <c r="D43" s="20" t="s">
        <v>10521</v>
      </c>
      <c r="E43" s="15" t="str">
        <f>HYPERLINK("https://stat100.ameba.jp/tnk47/ratio20/illustrations/card/ill_83283_suikawarihondatadakatsu03.jpg?202007-5-RELEASE-marathon-481xx", "■")</f>
        <v>■</v>
      </c>
      <c r="F43" s="14" t="s">
        <v>6431</v>
      </c>
      <c r="G43" s="14">
        <v>198226</v>
      </c>
      <c r="H43" s="14">
        <v>111523</v>
      </c>
      <c r="I43" s="14">
        <v>27</v>
      </c>
      <c r="J43" s="14" t="s">
        <v>310</v>
      </c>
      <c r="K43" s="14" t="s">
        <v>6430</v>
      </c>
      <c r="L43" s="14" t="s">
        <v>145</v>
      </c>
      <c r="M43" s="14" t="s">
        <v>9158</v>
      </c>
      <c r="N43" s="14" t="s">
        <v>9158</v>
      </c>
      <c r="O43" s="14" t="s">
        <v>9158</v>
      </c>
      <c r="P43" s="14" t="s">
        <v>9158</v>
      </c>
      <c r="Q43" s="14" t="s">
        <v>9158</v>
      </c>
    </row>
    <row r="44" spans="1:17">
      <c r="A44" s="14">
        <v>85253</v>
      </c>
      <c r="B44" s="14" t="s">
        <v>334</v>
      </c>
      <c r="C44" s="14" t="s">
        <v>165</v>
      </c>
      <c r="D44" s="19" t="s">
        <v>10791</v>
      </c>
      <c r="E44" s="15" t="str">
        <f>HYPERLINK("https://stat100.ameba.jp/tnk47/ratio20/illustrations/card/ill_85253_makushirion03.jpg?202007-5-RELEASE-marathon-481xx", "■")</f>
        <v>■</v>
      </c>
      <c r="F44" s="14" t="s">
        <v>8162</v>
      </c>
      <c r="G44" s="14">
        <v>130214</v>
      </c>
      <c r="H44" s="14">
        <v>73270</v>
      </c>
      <c r="I44" s="14">
        <v>27</v>
      </c>
      <c r="J44" s="14" t="s">
        <v>173</v>
      </c>
      <c r="K44" s="14" t="s">
        <v>8161</v>
      </c>
      <c r="L44" s="14" t="s">
        <v>5494</v>
      </c>
      <c r="M44" s="14" t="s">
        <v>9158</v>
      </c>
      <c r="N44" s="14" t="s">
        <v>9158</v>
      </c>
      <c r="O44" s="14" t="s">
        <v>9158</v>
      </c>
      <c r="P44" s="14" t="s">
        <v>9158</v>
      </c>
      <c r="Q44" s="14" t="s">
        <v>9158</v>
      </c>
    </row>
    <row r="45" spans="1:17">
      <c r="A45" s="14">
        <v>70883</v>
      </c>
      <c r="B45" s="14" t="s">
        <v>334</v>
      </c>
      <c r="C45" s="14" t="s">
        <v>185</v>
      </c>
      <c r="D45" s="19" t="s">
        <v>10841</v>
      </c>
      <c r="E45" s="15" t="str">
        <f>HYPERLINK("https://stat100.ameba.jp/tnk47/ratio20/illustrations/card/ill_70883_sotsugyoshikikishi03.jpg?202007-5-RELEASE-marathon-481xx", "■")</f>
        <v>■</v>
      </c>
      <c r="F45" s="14" t="s">
        <v>918</v>
      </c>
      <c r="G45" s="14">
        <v>109481</v>
      </c>
      <c r="H45" s="14">
        <v>101837</v>
      </c>
      <c r="I45" s="14">
        <v>27</v>
      </c>
      <c r="J45" s="14" t="s">
        <v>16</v>
      </c>
      <c r="K45" s="14" t="s">
        <v>919</v>
      </c>
      <c r="L45" s="14" t="s">
        <v>920</v>
      </c>
      <c r="M45" s="14" t="s">
        <v>9158</v>
      </c>
      <c r="N45" s="14" t="s">
        <v>9158</v>
      </c>
      <c r="O45" s="14" t="s">
        <v>9158</v>
      </c>
      <c r="P45" s="14" t="s">
        <v>9158</v>
      </c>
      <c r="Q45" s="14" t="s">
        <v>9158</v>
      </c>
    </row>
    <row r="47" spans="1:17">
      <c r="A47" s="14" t="s">
        <v>13773</v>
      </c>
    </row>
    <row r="48" spans="1:17">
      <c r="A48" s="14" t="s">
        <v>13774</v>
      </c>
    </row>
    <row r="49" spans="1:18">
      <c r="A49" s="14" t="s">
        <v>6905</v>
      </c>
      <c r="B49" s="14" t="s">
        <v>330</v>
      </c>
      <c r="C49" s="14" t="s">
        <v>35</v>
      </c>
      <c r="D49" s="19" t="s">
        <v>10299</v>
      </c>
      <c r="E49" s="15" t="str">
        <f>HYPERLINK("https://stat100.ameba.jp/tnk47/ratio20/illustrations/card/ill_80623_0_ohanamigurampingutominushihime03.jpg?202007-5-RELEASE-marathon-481xx", "■")</f>
        <v>■</v>
      </c>
      <c r="F49" s="14" t="s">
        <v>4162</v>
      </c>
      <c r="G49" s="14">
        <v>301326</v>
      </c>
      <c r="H49" s="14">
        <v>272366</v>
      </c>
      <c r="I49" s="14">
        <v>25</v>
      </c>
      <c r="J49" s="14" t="s">
        <v>44</v>
      </c>
      <c r="K49" s="14" t="s">
        <v>4163</v>
      </c>
      <c r="L49" s="14" t="s">
        <v>4164</v>
      </c>
      <c r="M49" s="14" t="s">
        <v>9158</v>
      </c>
      <c r="N49" s="14" t="s">
        <v>9158</v>
      </c>
      <c r="O49" s="19" t="s">
        <v>10126</v>
      </c>
      <c r="P49" s="14" t="s">
        <v>4166</v>
      </c>
      <c r="Q49" s="14">
        <v>1</v>
      </c>
    </row>
    <row r="50" spans="1:18">
      <c r="A50" s="14">
        <v>78143</v>
      </c>
      <c r="B50" s="14" t="s">
        <v>334</v>
      </c>
      <c r="C50" s="14" t="s">
        <v>203</v>
      </c>
      <c r="D50" s="6" t="s">
        <v>2686</v>
      </c>
      <c r="E50" s="15" t="str">
        <f>HYPERLINK("https://stat100.ameba.jp/tnk47/ratio20/illustrations/card/ill_78143_kanibarukuin03.jpg?202007-5-RELEASE-marathon-481xx", "■")</f>
        <v>■</v>
      </c>
      <c r="F50" s="14" t="s">
        <v>2687</v>
      </c>
      <c r="G50" s="14">
        <v>88624</v>
      </c>
      <c r="H50" s="14">
        <v>122366</v>
      </c>
      <c r="I50" s="14">
        <v>24</v>
      </c>
      <c r="J50" s="14" t="s">
        <v>26</v>
      </c>
      <c r="K50" s="14" t="s">
        <v>2688</v>
      </c>
      <c r="L50" s="14" t="s">
        <v>2137</v>
      </c>
      <c r="M50" s="14" t="s">
        <v>9158</v>
      </c>
      <c r="N50" s="14" t="s">
        <v>9158</v>
      </c>
      <c r="O50" s="17" t="s">
        <v>3896</v>
      </c>
      <c r="P50" s="14" t="s">
        <v>3897</v>
      </c>
      <c r="Q50" s="14">
        <v>1</v>
      </c>
    </row>
    <row r="51" spans="1:18">
      <c r="A51" s="14">
        <v>62473</v>
      </c>
      <c r="B51" s="14" t="s">
        <v>334</v>
      </c>
      <c r="C51" s="14" t="s">
        <v>203</v>
      </c>
      <c r="D51" s="19" t="s">
        <v>2834</v>
      </c>
      <c r="E51" s="15" t="str">
        <f>HYPERLINK("https://stat100.ameba.jp/tnk47/ratio20/illustrations/card/ill_62473_kokuriko03.jpg?202007-5-RELEASE-marathon-481xx", "■")</f>
        <v>■</v>
      </c>
      <c r="F51" s="14" t="s">
        <v>2835</v>
      </c>
      <c r="G51" s="14">
        <v>109554</v>
      </c>
      <c r="H51" s="14">
        <v>79348</v>
      </c>
      <c r="I51" s="14">
        <v>24</v>
      </c>
      <c r="J51" s="14" t="s">
        <v>401</v>
      </c>
      <c r="K51" s="14" t="s">
        <v>2836</v>
      </c>
      <c r="L51" s="14" t="s">
        <v>2837</v>
      </c>
      <c r="M51" s="14" t="s">
        <v>9158</v>
      </c>
      <c r="N51" s="14" t="s">
        <v>9158</v>
      </c>
      <c r="O51" s="19" t="s">
        <v>2838</v>
      </c>
      <c r="P51" s="14" t="s">
        <v>2839</v>
      </c>
      <c r="Q51" s="14">
        <v>1</v>
      </c>
    </row>
    <row r="52" spans="1:18">
      <c r="A52" s="14">
        <v>81903</v>
      </c>
      <c r="B52" s="14" t="s">
        <v>334</v>
      </c>
      <c r="C52" s="14" t="s">
        <v>47</v>
      </c>
      <c r="D52" s="19" t="s">
        <v>10200</v>
      </c>
      <c r="E52" s="15" t="str">
        <f>HYPERLINK("https://stat100.ameba.jp/tnk47/ratio20/illustrations/card/ill_81903_kiryuhimeiren03.jpg?202007-5-RELEASE-marathon-481xx", "■")</f>
        <v>■</v>
      </c>
      <c r="F52" s="14" t="s">
        <v>4983</v>
      </c>
      <c r="G52" s="14">
        <v>79348</v>
      </c>
      <c r="H52" s="14">
        <v>109554</v>
      </c>
      <c r="I52" s="14">
        <v>24</v>
      </c>
      <c r="J52" s="14" t="s">
        <v>77</v>
      </c>
      <c r="K52" s="14" t="s">
        <v>4985</v>
      </c>
      <c r="L52" s="14" t="s">
        <v>4986</v>
      </c>
      <c r="M52" s="14" t="s">
        <v>9158</v>
      </c>
      <c r="N52" s="14" t="s">
        <v>9158</v>
      </c>
      <c r="O52" s="19" t="s">
        <v>10112</v>
      </c>
      <c r="P52" s="14" t="s">
        <v>13150</v>
      </c>
      <c r="Q52" s="14">
        <v>1</v>
      </c>
    </row>
    <row r="54" spans="1:18">
      <c r="A54" s="14" t="s">
        <v>13327</v>
      </c>
    </row>
    <row r="55" spans="1:18">
      <c r="A55" s="14" t="s">
        <v>5446</v>
      </c>
    </row>
    <row r="56" spans="1:18">
      <c r="A56" s="14">
        <v>90183</v>
      </c>
      <c r="B56" s="14" t="s">
        <v>0</v>
      </c>
      <c r="C56" s="14" t="s">
        <v>335</v>
      </c>
      <c r="D56" s="14" t="s">
        <v>13264</v>
      </c>
      <c r="E56" s="15" t="str">
        <f>HYPERLINK("https://stat100.ameba.jp/tnk47/ratio20/illustrations/card/ill_90183_shinsetsunojou03.jpg?202007-5-RELEASE-marathon-481xx", "■")</f>
        <v>■</v>
      </c>
      <c r="F56" s="14" t="s">
        <v>13267</v>
      </c>
      <c r="G56" s="14">
        <v>123583</v>
      </c>
      <c r="H56" s="14">
        <v>132922</v>
      </c>
      <c r="I56" s="14">
        <v>27</v>
      </c>
      <c r="J56" s="14" t="s">
        <v>44</v>
      </c>
      <c r="K56" s="14" t="s">
        <v>13266</v>
      </c>
      <c r="L56" s="14" t="s">
        <v>13272</v>
      </c>
      <c r="M56" s="14" t="s">
        <v>2138</v>
      </c>
      <c r="N56" s="14" t="s">
        <v>2139</v>
      </c>
      <c r="O56" s="14" t="s">
        <v>9158</v>
      </c>
      <c r="P56" s="14" t="s">
        <v>9158</v>
      </c>
      <c r="Q56" s="14" t="s">
        <v>9158</v>
      </c>
      <c r="R56" s="14" t="s">
        <v>14748</v>
      </c>
    </row>
    <row r="57" spans="1:18">
      <c r="A57" s="14">
        <v>90182</v>
      </c>
      <c r="B57" s="14" t="s">
        <v>0</v>
      </c>
      <c r="C57" s="14" t="s">
        <v>335</v>
      </c>
      <c r="D57" s="14" t="s">
        <v>13264</v>
      </c>
      <c r="E57" s="15" t="str">
        <f>HYPERLINK("https://stat100.ameba.jp/tnk47/ratio20/illustrations/card/ill_90182_shinsetsunojou02.jpg?202007-5-RELEASE-marathon-481xx", "■")</f>
        <v>■</v>
      </c>
      <c r="F57" s="14" t="s">
        <v>13267</v>
      </c>
      <c r="G57" s="14">
        <v>102356</v>
      </c>
      <c r="H57" s="14">
        <v>111115</v>
      </c>
      <c r="I57" s="14">
        <v>27</v>
      </c>
      <c r="J57" s="14" t="s">
        <v>44</v>
      </c>
      <c r="K57" s="14" t="s">
        <v>13266</v>
      </c>
      <c r="L57" s="14" t="s">
        <v>13272</v>
      </c>
      <c r="M57" s="14" t="s">
        <v>13270</v>
      </c>
      <c r="N57" s="14" t="s">
        <v>13271</v>
      </c>
      <c r="O57" s="14" t="s">
        <v>9158</v>
      </c>
      <c r="P57" s="14" t="s">
        <v>9158</v>
      </c>
      <c r="Q57" s="14" t="s">
        <v>9158</v>
      </c>
      <c r="R57" s="14" t="s">
        <v>14748</v>
      </c>
    </row>
    <row r="58" spans="1:18">
      <c r="A58" s="14">
        <v>90181</v>
      </c>
      <c r="B58" s="14" t="s">
        <v>0</v>
      </c>
      <c r="C58" s="14" t="s">
        <v>335</v>
      </c>
      <c r="D58" s="14" t="s">
        <v>13264</v>
      </c>
      <c r="E58" s="15" t="str">
        <f>HYPERLINK("https://stat100.ameba.jp/tnk47/ratio20/illustrations/card/ill_90181_shinsetsunojou01.jpg?202007-5-RELEASE-marathon-481xx", "■")</f>
        <v>■</v>
      </c>
      <c r="F58" s="14" t="s">
        <v>13267</v>
      </c>
      <c r="G58" s="14">
        <v>78975</v>
      </c>
      <c r="H58" s="14">
        <v>84834</v>
      </c>
      <c r="I58" s="14">
        <v>27</v>
      </c>
      <c r="J58" s="14" t="s">
        <v>44</v>
      </c>
      <c r="K58" s="14" t="s">
        <v>13266</v>
      </c>
      <c r="L58" s="14" t="s">
        <v>13272</v>
      </c>
      <c r="M58" s="14" t="s">
        <v>13270</v>
      </c>
      <c r="N58" s="14" t="s">
        <v>13271</v>
      </c>
      <c r="O58" s="14" t="s">
        <v>9158</v>
      </c>
      <c r="P58" s="14" t="s">
        <v>9158</v>
      </c>
      <c r="Q58" s="14" t="s">
        <v>9158</v>
      </c>
      <c r="R58" s="14" t="s">
        <v>14748</v>
      </c>
    </row>
    <row r="59" spans="1:18">
      <c r="A59" s="14">
        <v>90193</v>
      </c>
      <c r="B59" s="14" t="s">
        <v>0</v>
      </c>
      <c r="C59" s="14" t="s">
        <v>200</v>
      </c>
      <c r="D59" s="14" t="s">
        <v>13273</v>
      </c>
      <c r="E59" s="15" t="str">
        <f>HYPERLINK("https://stat100.ameba.jp/tnk47/ratio20/illustrations/card/ill_90193_puchidebirubani03.jpg?202007-5-RELEASE-marathon-481xx", "■")</f>
        <v>■</v>
      </c>
      <c r="F59" s="14" t="s">
        <v>13274</v>
      </c>
      <c r="G59" s="14">
        <v>123583</v>
      </c>
      <c r="H59" s="14">
        <v>132922</v>
      </c>
      <c r="I59" s="14">
        <v>27</v>
      </c>
      <c r="J59" s="14" t="s">
        <v>73</v>
      </c>
      <c r="K59" s="14" t="s">
        <v>13277</v>
      </c>
      <c r="L59" s="14" t="s">
        <v>13276</v>
      </c>
      <c r="M59" s="14" t="s">
        <v>2138</v>
      </c>
      <c r="N59" s="14" t="s">
        <v>2139</v>
      </c>
      <c r="O59" s="14" t="s">
        <v>9158</v>
      </c>
      <c r="P59" s="14" t="s">
        <v>9158</v>
      </c>
      <c r="Q59" s="14" t="s">
        <v>9158</v>
      </c>
      <c r="R59" s="14" t="s">
        <v>14748</v>
      </c>
    </row>
    <row r="60" spans="1:18">
      <c r="A60" s="14">
        <v>90203</v>
      </c>
      <c r="B60" s="14" t="s">
        <v>0</v>
      </c>
      <c r="C60" s="14" t="s">
        <v>307</v>
      </c>
      <c r="D60" s="14" t="s">
        <v>13278</v>
      </c>
      <c r="E60" s="15" t="str">
        <f>HYPERLINK("https://stat100.ameba.jp/tnk47/ratio20/illustrations/card/ill_90203_kyuteigakademeru03.jpg?202007-5-RELEASE-marathon-481xx", "■")</f>
        <v>■</v>
      </c>
      <c r="F60" s="14" t="s">
        <v>13279</v>
      </c>
      <c r="G60" s="14">
        <v>123583</v>
      </c>
      <c r="H60" s="14">
        <v>132922</v>
      </c>
      <c r="I60" s="14">
        <v>27</v>
      </c>
      <c r="J60" s="14" t="s">
        <v>10</v>
      </c>
      <c r="K60" s="14" t="s">
        <v>13281</v>
      </c>
      <c r="L60" s="14" t="s">
        <v>13282</v>
      </c>
      <c r="M60" s="14" t="s">
        <v>2138</v>
      </c>
      <c r="N60" s="14" t="s">
        <v>2139</v>
      </c>
      <c r="O60" s="14" t="s">
        <v>9158</v>
      </c>
      <c r="P60" s="14" t="s">
        <v>9158</v>
      </c>
      <c r="Q60" s="14" t="s">
        <v>9158</v>
      </c>
      <c r="R60" s="14" t="s">
        <v>14748</v>
      </c>
    </row>
    <row r="61" spans="1:18">
      <c r="A61" s="14">
        <v>90213</v>
      </c>
      <c r="B61" s="14" t="s">
        <v>0</v>
      </c>
      <c r="C61" s="14" t="s">
        <v>165</v>
      </c>
      <c r="D61" s="14" t="s">
        <v>13283</v>
      </c>
      <c r="E61" s="15" t="str">
        <f>HYPERLINK("https://stat100.ameba.jp/tnk47/ratio20/illustrations/card/ill_90213_kenkyushinomaruyo03.jpg?202007-5-RELEASE-marathon-481xx", "■")</f>
        <v>■</v>
      </c>
      <c r="F61" s="14" t="s">
        <v>13284</v>
      </c>
      <c r="G61" s="14">
        <v>132922</v>
      </c>
      <c r="H61" s="14">
        <v>123583</v>
      </c>
      <c r="I61" s="14">
        <v>27</v>
      </c>
      <c r="J61" s="14" t="s">
        <v>16</v>
      </c>
      <c r="K61" s="14" t="s">
        <v>13286</v>
      </c>
      <c r="L61" s="14" t="s">
        <v>13287</v>
      </c>
      <c r="M61" s="14" t="s">
        <v>2138</v>
      </c>
      <c r="N61" s="14" t="s">
        <v>2139</v>
      </c>
      <c r="O61" s="14" t="s">
        <v>9158</v>
      </c>
      <c r="P61" s="14" t="s">
        <v>9158</v>
      </c>
      <c r="Q61" s="14" t="s">
        <v>9158</v>
      </c>
      <c r="R61" s="14" t="s">
        <v>14748</v>
      </c>
    </row>
    <row r="62" spans="1:18">
      <c r="A62" s="14">
        <v>90223</v>
      </c>
      <c r="B62" s="14" t="s">
        <v>0</v>
      </c>
      <c r="C62" s="9" t="s">
        <v>205</v>
      </c>
      <c r="D62" s="14" t="s">
        <v>13288</v>
      </c>
      <c r="E62" s="15" t="str">
        <f>HYPERLINK("https://stat100.ameba.jp/tnk47/ratio20/illustrations/card/ill_90223_karunepurinshipe03.jpg?202007-5-RELEASE-marathon-481xx", "■")</f>
        <v>■</v>
      </c>
      <c r="F62" s="14" t="s">
        <v>13289</v>
      </c>
      <c r="G62" s="14">
        <v>132922</v>
      </c>
      <c r="H62" s="14">
        <v>123583</v>
      </c>
      <c r="I62" s="14">
        <v>27</v>
      </c>
      <c r="J62" s="14" t="s">
        <v>104</v>
      </c>
      <c r="K62" s="14" t="s">
        <v>13291</v>
      </c>
      <c r="L62" s="14" t="s">
        <v>13292</v>
      </c>
      <c r="M62" s="14" t="s">
        <v>2138</v>
      </c>
      <c r="N62" s="14" t="s">
        <v>2139</v>
      </c>
      <c r="O62" s="14" t="s">
        <v>9158</v>
      </c>
      <c r="P62" s="14" t="s">
        <v>9158</v>
      </c>
      <c r="Q62" s="14" t="s">
        <v>9158</v>
      </c>
      <c r="R62" s="14" t="s">
        <v>14748</v>
      </c>
    </row>
    <row r="63" spans="1:18">
      <c r="A63" s="14">
        <v>90233</v>
      </c>
      <c r="B63" s="14" t="s">
        <v>0</v>
      </c>
      <c r="C63" s="14" t="s">
        <v>206</v>
      </c>
      <c r="D63" s="14" t="s">
        <v>13293</v>
      </c>
      <c r="E63" s="15" t="str">
        <f>HYPERLINK("https://stat100.ameba.jp/tnk47/ratio20/illustrations/card/ill_90233_kakutokafuante03.jpg?202007-5-RELEASE-marathon-481xx", "■")</f>
        <v>■</v>
      </c>
      <c r="F63" s="14" t="s">
        <v>13294</v>
      </c>
      <c r="G63" s="14">
        <v>132922</v>
      </c>
      <c r="H63" s="14">
        <v>123583</v>
      </c>
      <c r="I63" s="14">
        <v>27</v>
      </c>
      <c r="J63" s="14" t="s">
        <v>143</v>
      </c>
      <c r="K63" s="14" t="s">
        <v>13296</v>
      </c>
      <c r="L63" s="14" t="s">
        <v>13297</v>
      </c>
      <c r="M63" s="14" t="s">
        <v>2138</v>
      </c>
      <c r="N63" s="14" t="s">
        <v>2139</v>
      </c>
      <c r="O63" s="14" t="s">
        <v>9158</v>
      </c>
      <c r="P63" s="14" t="s">
        <v>9158</v>
      </c>
      <c r="Q63" s="14" t="s">
        <v>9158</v>
      </c>
      <c r="R63" s="14" t="s">
        <v>14748</v>
      </c>
    </row>
    <row r="65" spans="1:17">
      <c r="A65" s="14" t="s">
        <v>14255</v>
      </c>
    </row>
    <row r="66" spans="1:17">
      <c r="A66" s="14" t="s">
        <v>14148</v>
      </c>
    </row>
    <row r="67" spans="1:17">
      <c r="A67" s="14" t="s">
        <v>14149</v>
      </c>
    </row>
    <row r="68" spans="1:17">
      <c r="A68" s="14" t="s">
        <v>13442</v>
      </c>
      <c r="B68" s="7" t="s">
        <v>52</v>
      </c>
      <c r="C68" s="14" t="s">
        <v>202</v>
      </c>
      <c r="D68" s="18" t="s">
        <v>13441</v>
      </c>
      <c r="E68" s="15" t="str">
        <f>HYPERLINK("https://stat100.ameba.jp/tnk47/ratio20/illustrations/card/ill_90393_0_nangokubakansusanukiudonchan03.jpg?202007-5-RELEASE-marathon-481xx", "■")</f>
        <v>■</v>
      </c>
      <c r="F68" s="14" t="s">
        <v>13443</v>
      </c>
      <c r="G68" s="14">
        <v>281517</v>
      </c>
      <c r="H68" s="14">
        <v>344095</v>
      </c>
      <c r="I68" s="7">
        <v>27</v>
      </c>
      <c r="J68" s="14" t="s">
        <v>104</v>
      </c>
      <c r="K68" s="14" t="s">
        <v>13444</v>
      </c>
      <c r="L68" s="14" t="s">
        <v>13445</v>
      </c>
      <c r="M68" s="14" t="s">
        <v>9158</v>
      </c>
      <c r="N68" s="14" t="s">
        <v>9158</v>
      </c>
      <c r="O68" s="6" t="s">
        <v>13446</v>
      </c>
      <c r="P68" s="7" t="s">
        <v>13447</v>
      </c>
      <c r="Q68" s="7">
        <v>1</v>
      </c>
    </row>
    <row r="69" spans="1:17">
      <c r="A69" s="14">
        <v>90443</v>
      </c>
      <c r="B69" s="14" t="s">
        <v>0</v>
      </c>
      <c r="C69" s="14" t="s">
        <v>14133</v>
      </c>
      <c r="D69" s="14" t="s">
        <v>14153</v>
      </c>
      <c r="E69" s="15" t="str">
        <f>HYPERLINK("https://stat100.ameba.jp/tnk47/ratio20/illustrations/card/ill_90443_daikaizokunoboreitsugarushamisen03.jpg?202007-5-RELEASE-marathon-481xx", "■")</f>
        <v>■</v>
      </c>
      <c r="F69" s="14" t="s">
        <v>14152</v>
      </c>
      <c r="G69" s="14">
        <v>114362</v>
      </c>
      <c r="H69" s="14">
        <v>123002</v>
      </c>
      <c r="I69" s="7">
        <v>27</v>
      </c>
      <c r="J69" s="14" t="s">
        <v>14142</v>
      </c>
      <c r="K69" s="14" t="s">
        <v>14151</v>
      </c>
      <c r="L69" s="14" t="s">
        <v>14150</v>
      </c>
      <c r="M69" s="14" t="s">
        <v>9158</v>
      </c>
      <c r="N69" s="14" t="s">
        <v>9158</v>
      </c>
      <c r="O69" s="14" t="s">
        <v>9158</v>
      </c>
      <c r="P69" s="14" t="s">
        <v>9158</v>
      </c>
      <c r="Q69" s="14" t="s">
        <v>9158</v>
      </c>
    </row>
    <row r="70" spans="1:17">
      <c r="A70" s="14">
        <v>90453</v>
      </c>
      <c r="B70" s="14" t="s">
        <v>15</v>
      </c>
      <c r="C70" s="14" t="s">
        <v>14160</v>
      </c>
      <c r="D70" s="14" t="s">
        <v>14159</v>
      </c>
      <c r="E70" s="15" t="str">
        <f>HYPERLINK("https://stat100.ameba.jp/tnk47/ratio20/illustrations/card/ill_90453_kaizokunionohime03.jpg?202007-5-RELEASE-marathon-481xx", "■")</f>
        <v>■</v>
      </c>
      <c r="F70" s="14" t="s">
        <v>14158</v>
      </c>
      <c r="G70" s="14">
        <v>80028</v>
      </c>
      <c r="H70" s="14">
        <v>72586</v>
      </c>
      <c r="I70" s="7">
        <v>27</v>
      </c>
      <c r="J70" s="14" t="s">
        <v>14157</v>
      </c>
      <c r="K70" s="14" t="s">
        <v>14156</v>
      </c>
      <c r="L70" s="14" t="s">
        <v>14155</v>
      </c>
      <c r="M70" s="14" t="s">
        <v>9158</v>
      </c>
      <c r="N70" s="14" t="s">
        <v>9158</v>
      </c>
      <c r="O70" s="14" t="s">
        <v>9158</v>
      </c>
      <c r="P70" s="14" t="s">
        <v>9158</v>
      </c>
      <c r="Q70" s="14" t="s">
        <v>9158</v>
      </c>
    </row>
    <row r="71" spans="1:17">
      <c r="A71" s="14">
        <v>90463</v>
      </c>
      <c r="B71" s="14" t="s">
        <v>14154</v>
      </c>
      <c r="C71" s="14" t="s">
        <v>14145</v>
      </c>
      <c r="D71" s="14" t="s">
        <v>14165</v>
      </c>
      <c r="E71" s="15" t="str">
        <f>HYPERLINK("https://stat100.ameba.jp/tnk47/ratio20/illustrations/card/ill_90463_kaigunkatokiyomasa03.jpg?202007-5-RELEASE-marathon-481xx", "■")</f>
        <v>■</v>
      </c>
      <c r="F71" s="14" t="s">
        <v>14164</v>
      </c>
      <c r="G71" s="14">
        <v>46676</v>
      </c>
      <c r="H71" s="14">
        <v>56138</v>
      </c>
      <c r="I71" s="7">
        <v>27</v>
      </c>
      <c r="J71" s="14" t="s">
        <v>14163</v>
      </c>
      <c r="K71" s="14" t="s">
        <v>14162</v>
      </c>
      <c r="L71" s="14" t="s">
        <v>14161</v>
      </c>
      <c r="M71" s="14" t="s">
        <v>9158</v>
      </c>
      <c r="N71" s="14" t="s">
        <v>9158</v>
      </c>
      <c r="O71" s="14" t="s">
        <v>9158</v>
      </c>
      <c r="P71" s="14" t="s">
        <v>9158</v>
      </c>
      <c r="Q71" s="14" t="s">
        <v>9158</v>
      </c>
    </row>
    <row r="72" spans="1:17">
      <c r="A72" s="14">
        <v>90473</v>
      </c>
      <c r="B72" s="14" t="s">
        <v>14154</v>
      </c>
      <c r="C72" s="14" t="s">
        <v>14170</v>
      </c>
      <c r="D72" s="14" t="s">
        <v>14169</v>
      </c>
      <c r="E72" s="15" t="str">
        <f>HYPERLINK("https://stat100.ameba.jp/tnk47/ratio20/illustrations/card/ill_90473_bakumatsushitakirisuzume03.jpg?202007-5-RELEASE-marathon-481xx", "■")</f>
        <v>■</v>
      </c>
      <c r="F72" s="14" t="s">
        <v>14168</v>
      </c>
      <c r="G72" s="14">
        <v>56138</v>
      </c>
      <c r="H72" s="14">
        <v>46676</v>
      </c>
      <c r="I72" s="7">
        <v>27</v>
      </c>
      <c r="J72" s="14" t="s">
        <v>14157</v>
      </c>
      <c r="K72" s="14" t="s">
        <v>14167</v>
      </c>
      <c r="L72" s="14" t="s">
        <v>14166</v>
      </c>
      <c r="M72" s="14" t="s">
        <v>9158</v>
      </c>
      <c r="N72" s="14" t="s">
        <v>9158</v>
      </c>
      <c r="O72" s="14" t="s">
        <v>9158</v>
      </c>
      <c r="P72" s="14" t="s">
        <v>9158</v>
      </c>
      <c r="Q72" s="14" t="s">
        <v>9158</v>
      </c>
    </row>
    <row r="74" spans="1:17">
      <c r="A74" s="14" t="s">
        <v>14171</v>
      </c>
    </row>
    <row r="75" spans="1:17">
      <c r="A75" s="14" t="s">
        <v>14172</v>
      </c>
    </row>
    <row r="76" spans="1:17">
      <c r="A76" s="14" t="s">
        <v>5620</v>
      </c>
      <c r="B76" s="14" t="s">
        <v>52</v>
      </c>
      <c r="C76" s="14" t="s">
        <v>344</v>
      </c>
      <c r="D76" s="19" t="s">
        <v>669</v>
      </c>
      <c r="E76" s="15" t="str">
        <f>HYPERLINK("https://stat100.ameba.jp/tnk47/ratio20/illustrations/card/ill_67173_0_yukemuriawamorichan03.jpg?202007-5-RELEASE-marathon-481xx", "■")</f>
        <v>■</v>
      </c>
      <c r="F76" s="14" t="s">
        <v>2043</v>
      </c>
      <c r="G76" s="14">
        <v>192083</v>
      </c>
      <c r="H76" s="14">
        <v>178578</v>
      </c>
      <c r="I76" s="14">
        <v>25</v>
      </c>
      <c r="J76" s="14" t="s">
        <v>104</v>
      </c>
      <c r="K76" s="14" t="s">
        <v>2044</v>
      </c>
      <c r="L76" s="14" t="s">
        <v>2045</v>
      </c>
      <c r="M76" s="14" t="s">
        <v>9158</v>
      </c>
      <c r="N76" s="14" t="s">
        <v>9158</v>
      </c>
      <c r="O76" s="19" t="s">
        <v>10087</v>
      </c>
      <c r="P76" s="14" t="s">
        <v>3455</v>
      </c>
      <c r="Q76" s="14">
        <v>1</v>
      </c>
    </row>
    <row r="77" spans="1:17">
      <c r="A77" s="14">
        <v>82903</v>
      </c>
      <c r="B77" s="14" t="s">
        <v>334</v>
      </c>
      <c r="C77" s="14" t="s">
        <v>185</v>
      </c>
      <c r="D77" s="19" t="s">
        <v>10439</v>
      </c>
      <c r="E77" s="15" t="str">
        <f>HYPERLINK("https://stat100.ameba.jp/tnk47/ratio20/illustrations/card/ill_82903_yukatamatsurisonobehideo03.jpg?202007-5-RELEASE-marathon-481xx", "■")</f>
        <v>■</v>
      </c>
      <c r="F77" s="14" t="s">
        <v>5970</v>
      </c>
      <c r="G77" s="14">
        <v>101558</v>
      </c>
      <c r="H77" s="14">
        <v>94390</v>
      </c>
      <c r="I77" s="14">
        <v>26</v>
      </c>
      <c r="J77" s="14" t="s">
        <v>10</v>
      </c>
      <c r="K77" s="14" t="s">
        <v>5972</v>
      </c>
      <c r="L77" s="14" t="s">
        <v>5973</v>
      </c>
      <c r="M77" s="14" t="s">
        <v>9158</v>
      </c>
      <c r="N77" s="14" t="s">
        <v>9158</v>
      </c>
      <c r="O77" s="19" t="s">
        <v>10102</v>
      </c>
      <c r="P77" s="14" t="s">
        <v>3672</v>
      </c>
      <c r="Q77" s="14">
        <v>1</v>
      </c>
    </row>
    <row r="78" spans="1:17">
      <c r="A78" s="9">
        <v>81143</v>
      </c>
      <c r="B78" s="14" t="s">
        <v>334</v>
      </c>
      <c r="C78" s="14" t="s">
        <v>205</v>
      </c>
      <c r="D78" s="14" t="s">
        <v>4516</v>
      </c>
      <c r="E78" s="15" t="str">
        <f>HYPERLINK("https://stat100.ameba.jp/tnk47/ratio20/illustrations/card/ill_81143_shinryokunokisetsumerompan03.jpg?202007-5-RELEASE-marathon-481xx", "■")</f>
        <v>■</v>
      </c>
      <c r="F78" s="14" t="s">
        <v>4517</v>
      </c>
      <c r="G78" s="14">
        <v>122786</v>
      </c>
      <c r="H78" s="14">
        <v>114176</v>
      </c>
      <c r="I78" s="14">
        <v>26</v>
      </c>
      <c r="J78" s="14" t="s">
        <v>104</v>
      </c>
      <c r="K78" s="14" t="s">
        <v>4518</v>
      </c>
      <c r="L78" s="14" t="s">
        <v>3489</v>
      </c>
      <c r="M78" s="14" t="s">
        <v>9158</v>
      </c>
      <c r="N78" s="14" t="s">
        <v>9158</v>
      </c>
      <c r="O78" s="9" t="s">
        <v>3609</v>
      </c>
      <c r="P78" s="14" t="s">
        <v>3610</v>
      </c>
      <c r="Q78" s="14">
        <v>1</v>
      </c>
    </row>
    <row r="79" spans="1:17">
      <c r="A79" s="14">
        <v>63853</v>
      </c>
      <c r="B79" s="14" t="s">
        <v>334</v>
      </c>
      <c r="C79" s="14" t="s">
        <v>200</v>
      </c>
      <c r="D79" s="20" t="s">
        <v>10284</v>
      </c>
      <c r="E79" s="15" t="str">
        <f>HYPERLINK("https://stat100.ameba.jp/tnk47/ratio20/illustrations/card/ill_63853_daikokaijidainansosatomihakkenden03.jpg?202007-5-RELEASE-marathon-481xx", "■")</f>
        <v>■</v>
      </c>
      <c r="F79" s="14" t="s">
        <v>941</v>
      </c>
      <c r="G79" s="14">
        <v>110126</v>
      </c>
      <c r="H79" s="14">
        <v>118656</v>
      </c>
      <c r="I79" s="14">
        <v>26</v>
      </c>
      <c r="J79" s="14" t="s">
        <v>155</v>
      </c>
      <c r="K79" s="14" t="s">
        <v>942</v>
      </c>
      <c r="L79" s="14" t="s">
        <v>13149</v>
      </c>
      <c r="M79" s="14" t="s">
        <v>9158</v>
      </c>
      <c r="N79" s="14" t="s">
        <v>9158</v>
      </c>
      <c r="O79" s="19" t="s">
        <v>10121</v>
      </c>
      <c r="P79" s="14" t="s">
        <v>3330</v>
      </c>
      <c r="Q79" s="14">
        <v>1</v>
      </c>
    </row>
    <row r="81" spans="1:17">
      <c r="A81" s="14" t="s">
        <v>14173</v>
      </c>
    </row>
    <row r="82" spans="1:17">
      <c r="A82" s="14" t="s">
        <v>14179</v>
      </c>
    </row>
    <row r="83" spans="1:17">
      <c r="A83" s="14" t="s">
        <v>5609</v>
      </c>
      <c r="B83" s="14" t="s">
        <v>52</v>
      </c>
      <c r="C83" s="14" t="s">
        <v>200</v>
      </c>
      <c r="D83" s="19" t="s">
        <v>389</v>
      </c>
      <c r="E83" s="15" t="str">
        <f>HYPERLINK("https://stat100.ameba.jp/tnk47/ratio20/illustrations/card/ill_53753_0_natsumatsuritokugawaieyasu03.jpg?202007-5-RELEASE-marathon-481xx", "■")</f>
        <v>■</v>
      </c>
      <c r="F83" s="14" t="s">
        <v>902</v>
      </c>
      <c r="G83" s="14">
        <v>150776</v>
      </c>
      <c r="H83" s="14">
        <v>133938</v>
      </c>
      <c r="I83" s="14">
        <v>24</v>
      </c>
      <c r="J83" s="14" t="s">
        <v>194</v>
      </c>
      <c r="K83" s="14" t="s">
        <v>1714</v>
      </c>
      <c r="L83" s="14" t="s">
        <v>904</v>
      </c>
      <c r="M83" s="14" t="s">
        <v>9158</v>
      </c>
      <c r="N83" s="14" t="s">
        <v>9158</v>
      </c>
      <c r="O83" s="19" t="s">
        <v>10076</v>
      </c>
      <c r="P83" s="14" t="s">
        <v>13121</v>
      </c>
      <c r="Q83" s="14">
        <v>1</v>
      </c>
    </row>
    <row r="84" spans="1:17">
      <c r="A84" s="14" t="s">
        <v>5614</v>
      </c>
      <c r="B84" s="14" t="s">
        <v>330</v>
      </c>
      <c r="C84" s="14" t="s">
        <v>267</v>
      </c>
      <c r="D84" s="19" t="s">
        <v>313</v>
      </c>
      <c r="E84" s="15" t="str">
        <f>HYPERLINK("https://stat100.ameba.jp/tnk47/ratio20/illustrations/card/ill_56223_0_onsempanikkugohime03.jpg?202007-5-RELEASE-marathon-481xx", "■")</f>
        <v>■</v>
      </c>
      <c r="F84" s="14" t="s">
        <v>314</v>
      </c>
      <c r="G84" s="14">
        <v>133938</v>
      </c>
      <c r="H84" s="14">
        <v>150776</v>
      </c>
      <c r="I84" s="14">
        <v>24</v>
      </c>
      <c r="J84" s="14" t="s">
        <v>315</v>
      </c>
      <c r="K84" s="14" t="s">
        <v>316</v>
      </c>
      <c r="L84" s="14" t="s">
        <v>317</v>
      </c>
      <c r="M84" s="14" t="s">
        <v>9158</v>
      </c>
      <c r="N84" s="14" t="s">
        <v>9158</v>
      </c>
      <c r="O84" s="19" t="s">
        <v>3021</v>
      </c>
      <c r="P84" s="14" t="s">
        <v>2890</v>
      </c>
      <c r="Q84" s="14">
        <v>1</v>
      </c>
    </row>
    <row r="85" spans="1:17">
      <c r="A85" s="14" t="s">
        <v>5627</v>
      </c>
      <c r="B85" s="14" t="s">
        <v>330</v>
      </c>
      <c r="C85" s="14" t="s">
        <v>191</v>
      </c>
      <c r="D85" s="19" t="s">
        <v>393</v>
      </c>
      <c r="E85" s="15" t="str">
        <f>HYPERLINK("https://stat100.ameba.jp/tnk47/ratio20/illustrations/card/ill_46283_0_odanobunaga03.jpg?202007-5-RELEASE-marathon-481xx", "■")</f>
        <v>■</v>
      </c>
      <c r="F85" s="14" t="s">
        <v>1073</v>
      </c>
      <c r="G85" s="14">
        <v>131538</v>
      </c>
      <c r="H85" s="14">
        <v>140448</v>
      </c>
      <c r="I85" s="14">
        <v>24</v>
      </c>
      <c r="J85" s="14" t="s">
        <v>143</v>
      </c>
      <c r="K85" s="14" t="s">
        <v>1074</v>
      </c>
      <c r="L85" s="14" t="s">
        <v>1075</v>
      </c>
      <c r="M85" s="14" t="s">
        <v>9158</v>
      </c>
      <c r="N85" s="14" t="s">
        <v>9158</v>
      </c>
      <c r="O85" s="14" t="s">
        <v>9158</v>
      </c>
      <c r="P85" s="14" t="s">
        <v>9158</v>
      </c>
      <c r="Q85" s="14" t="s">
        <v>9158</v>
      </c>
    </row>
    <row r="86" spans="1:17">
      <c r="A86" s="14">
        <v>90443</v>
      </c>
      <c r="B86" s="14" t="s">
        <v>0</v>
      </c>
      <c r="C86" s="14" t="s">
        <v>14</v>
      </c>
      <c r="D86" s="14" t="s">
        <v>14153</v>
      </c>
      <c r="E86" s="15" t="str">
        <f>HYPERLINK("https://stat100.ameba.jp/tnk47/ratio20/illustrations/card/ill_90443_daikaizokunoboreitsugarushamisen03.jpg?202007-5-RELEASE-marathon-481xx", "■")</f>
        <v>■</v>
      </c>
      <c r="F86" s="14" t="s">
        <v>14152</v>
      </c>
      <c r="G86" s="14">
        <v>110126</v>
      </c>
      <c r="H86" s="14">
        <v>118446</v>
      </c>
      <c r="I86" s="14">
        <v>26</v>
      </c>
      <c r="J86" s="14" t="s">
        <v>26</v>
      </c>
      <c r="K86" s="14" t="s">
        <v>14151</v>
      </c>
      <c r="L86" s="14" t="s">
        <v>14150</v>
      </c>
      <c r="M86" s="14" t="s">
        <v>9158</v>
      </c>
      <c r="N86" s="14" t="s">
        <v>9158</v>
      </c>
      <c r="O86" s="14" t="s">
        <v>9158</v>
      </c>
      <c r="P86" s="14" t="s">
        <v>9158</v>
      </c>
      <c r="Q86" s="14" t="s">
        <v>9158</v>
      </c>
    </row>
    <row r="87" spans="1:17">
      <c r="A87" s="14">
        <v>90453</v>
      </c>
      <c r="B87" s="14" t="s">
        <v>15</v>
      </c>
      <c r="C87" s="14" t="s">
        <v>96</v>
      </c>
      <c r="D87" s="14" t="s">
        <v>14159</v>
      </c>
      <c r="E87" s="15" t="str">
        <f>HYPERLINK("https://stat100.ameba.jp/tnk47/ratio20/illustrations/card/ill_90453_kaizokunionohime03.jpg?202007-5-RELEASE-marathon-481xx", "■")</f>
        <v>■</v>
      </c>
      <c r="F87" s="14" t="s">
        <v>14158</v>
      </c>
      <c r="G87" s="14">
        <v>77064</v>
      </c>
      <c r="H87" s="14">
        <v>69898</v>
      </c>
      <c r="I87" s="14">
        <v>26</v>
      </c>
      <c r="J87" s="14" t="s">
        <v>38</v>
      </c>
      <c r="K87" s="14" t="s">
        <v>14156</v>
      </c>
      <c r="L87" s="14" t="s">
        <v>3267</v>
      </c>
      <c r="M87" s="14" t="s">
        <v>9158</v>
      </c>
      <c r="N87" s="14" t="s">
        <v>9158</v>
      </c>
      <c r="O87" s="14" t="s">
        <v>9158</v>
      </c>
      <c r="P87" s="14" t="s">
        <v>9158</v>
      </c>
      <c r="Q87" s="14" t="s">
        <v>9158</v>
      </c>
    </row>
    <row r="88" spans="1:17">
      <c r="A88" s="14">
        <v>90463</v>
      </c>
      <c r="B88" s="14" t="s">
        <v>22</v>
      </c>
      <c r="C88" s="14" t="s">
        <v>107</v>
      </c>
      <c r="D88" s="14" t="s">
        <v>14165</v>
      </c>
      <c r="E88" s="15" t="str">
        <f>HYPERLINK("https://stat100.ameba.jp/tnk47/ratio20/illustrations/card/ill_90463_kaigunkatokiyomasa03.jpg?202007-5-RELEASE-marathon-481xx", "■")</f>
        <v>■</v>
      </c>
      <c r="F88" s="14" t="s">
        <v>14164</v>
      </c>
      <c r="G88" s="14">
        <v>44948</v>
      </c>
      <c r="H88" s="14">
        <v>54058</v>
      </c>
      <c r="I88" s="14">
        <v>26</v>
      </c>
      <c r="J88" s="14" t="s">
        <v>143</v>
      </c>
      <c r="K88" s="14" t="s">
        <v>14162</v>
      </c>
      <c r="L88" s="14" t="s">
        <v>3403</v>
      </c>
      <c r="M88" s="14" t="s">
        <v>9158</v>
      </c>
      <c r="N88" s="14" t="s">
        <v>9158</v>
      </c>
      <c r="O88" s="14" t="s">
        <v>9158</v>
      </c>
      <c r="P88" s="14" t="s">
        <v>9158</v>
      </c>
      <c r="Q88" s="14" t="s">
        <v>9158</v>
      </c>
    </row>
    <row r="89" spans="1:17">
      <c r="A89" s="14">
        <v>90473</v>
      </c>
      <c r="B89" s="14" t="s">
        <v>22</v>
      </c>
      <c r="C89" s="14" t="s">
        <v>23</v>
      </c>
      <c r="D89" s="14" t="s">
        <v>14169</v>
      </c>
      <c r="E89" s="15" t="str">
        <f>HYPERLINK("https://stat100.ameba.jp/tnk47/ratio20/illustrations/card/ill_90473_bakumatsushitakirisuzume03.jpg?202007-5-RELEASE-marathon-481xx", "■")</f>
        <v>■</v>
      </c>
      <c r="F89" s="14" t="s">
        <v>14168</v>
      </c>
      <c r="G89" s="14">
        <v>54058</v>
      </c>
      <c r="H89" s="14">
        <v>44948</v>
      </c>
      <c r="I89" s="14">
        <v>26</v>
      </c>
      <c r="J89" s="14" t="s">
        <v>38</v>
      </c>
      <c r="K89" s="14" t="s">
        <v>14167</v>
      </c>
      <c r="L89" s="14" t="s">
        <v>7248</v>
      </c>
      <c r="M89" s="14" t="s">
        <v>9158</v>
      </c>
      <c r="N89" s="14" t="s">
        <v>9158</v>
      </c>
      <c r="O89" s="14" t="s">
        <v>9158</v>
      </c>
      <c r="P89" s="14" t="s">
        <v>9158</v>
      </c>
      <c r="Q89" s="14" t="s">
        <v>9158</v>
      </c>
    </row>
    <row r="91" spans="1:17">
      <c r="A91" s="14" t="s">
        <v>14177</v>
      </c>
    </row>
    <row r="92" spans="1:17">
      <c r="A92" s="14" t="s">
        <v>14180</v>
      </c>
    </row>
    <row r="93" spans="1:17">
      <c r="A93" s="14" t="s">
        <v>12178</v>
      </c>
      <c r="B93" s="14" t="s">
        <v>117</v>
      </c>
      <c r="C93" s="14" t="s">
        <v>202</v>
      </c>
      <c r="D93" s="14" t="s">
        <v>12177</v>
      </c>
      <c r="E93" s="15" t="str">
        <f>HYPERLINK("https://stat100.ameba.jp/tnk47/ratio20/illustrations/card/ill_89533_0_harukazesangakudan03.jpg?202007-5-RELEASE-marathon-481xx", "■")</f>
        <v>■</v>
      </c>
      <c r="F93" s="14" t="s">
        <v>12183</v>
      </c>
      <c r="G93" s="14">
        <v>358132</v>
      </c>
      <c r="H93" s="14">
        <v>323638</v>
      </c>
      <c r="I93" s="14">
        <v>30</v>
      </c>
      <c r="J93" s="14" t="s">
        <v>169</v>
      </c>
      <c r="K93" s="14" t="s">
        <v>12182</v>
      </c>
      <c r="L93" s="14" t="s">
        <v>12181</v>
      </c>
      <c r="M93" s="14" t="s">
        <v>9158</v>
      </c>
      <c r="N93" s="14" t="s">
        <v>9158</v>
      </c>
      <c r="O93" s="14" t="s">
        <v>12186</v>
      </c>
      <c r="P93" s="14" t="s">
        <v>12187</v>
      </c>
      <c r="Q93" s="14">
        <v>1</v>
      </c>
    </row>
    <row r="94" spans="1:17">
      <c r="A94" s="14">
        <v>73893</v>
      </c>
      <c r="B94" s="14" t="s">
        <v>334</v>
      </c>
      <c r="C94" s="14" t="s">
        <v>203</v>
      </c>
      <c r="D94" s="19" t="s">
        <v>10388</v>
      </c>
      <c r="E94" s="15" t="str">
        <f>HYPERLINK("https://stat100.ameba.jp/tnk47/ratio20/illustrations/card/ill_73893_kurohachidaimyojintookami03.jpg?202007-5-RELEASE-marathon-481xx", "■")</f>
        <v>■</v>
      </c>
      <c r="F94" s="14" t="s">
        <v>685</v>
      </c>
      <c r="G94" s="14">
        <v>132684</v>
      </c>
      <c r="H94" s="14">
        <v>96100</v>
      </c>
      <c r="I94" s="14">
        <v>26</v>
      </c>
      <c r="J94" s="14" t="s">
        <v>274</v>
      </c>
      <c r="K94" s="14" t="s">
        <v>686</v>
      </c>
      <c r="L94" s="14" t="s">
        <v>428</v>
      </c>
      <c r="M94" s="14" t="s">
        <v>9158</v>
      </c>
      <c r="N94" s="14" t="s">
        <v>9158</v>
      </c>
      <c r="O94" s="19" t="s">
        <v>10100</v>
      </c>
      <c r="P94" s="14" t="s">
        <v>3810</v>
      </c>
      <c r="Q94" s="14">
        <v>1</v>
      </c>
    </row>
    <row r="95" spans="1:17">
      <c r="A95" s="14">
        <v>84663</v>
      </c>
      <c r="B95" s="14" t="s">
        <v>334</v>
      </c>
      <c r="C95" s="14" t="s">
        <v>158</v>
      </c>
      <c r="D95" s="20" t="s">
        <v>10648</v>
      </c>
      <c r="E95" s="15" t="str">
        <f>HYPERLINK("https://stat100.ameba.jp/tnk47/ratio20/illustrations/card/ill_84663_juwannonefuerufuito03.jpg?202007-5-RELEASE-marathon-481xx", "■")</f>
        <v>■</v>
      </c>
      <c r="F95" s="14" t="s">
        <v>7095</v>
      </c>
      <c r="G95" s="14">
        <v>87834</v>
      </c>
      <c r="H95" s="14">
        <v>121240</v>
      </c>
      <c r="I95" s="14">
        <v>26</v>
      </c>
      <c r="J95" s="14" t="s">
        <v>182</v>
      </c>
      <c r="K95" s="14" t="s">
        <v>7094</v>
      </c>
      <c r="L95" s="14" t="s">
        <v>7093</v>
      </c>
      <c r="M95" s="14" t="s">
        <v>9158</v>
      </c>
      <c r="N95" s="14" t="s">
        <v>9158</v>
      </c>
      <c r="O95" s="19" t="s">
        <v>10091</v>
      </c>
      <c r="P95" s="14" t="s">
        <v>3670</v>
      </c>
      <c r="Q95" s="14">
        <v>1</v>
      </c>
    </row>
    <row r="96" spans="1:17">
      <c r="A96" s="14">
        <v>75053</v>
      </c>
      <c r="B96" s="14" t="s">
        <v>334</v>
      </c>
      <c r="C96" s="14" t="s">
        <v>47</v>
      </c>
      <c r="D96" s="19" t="s">
        <v>10366</v>
      </c>
      <c r="E96" s="15" t="str">
        <f>HYPERLINK("https://stat100.ameba.jp/tnk47/ratio20/illustrations/card/ill_75053_goshikinuma03.jpg?202007-5-RELEASE-marathon-481xx", "■")</f>
        <v>■</v>
      </c>
      <c r="F96" s="14" t="s">
        <v>5644</v>
      </c>
      <c r="G96" s="14">
        <v>96010</v>
      </c>
      <c r="H96" s="14">
        <v>132562</v>
      </c>
      <c r="I96" s="14">
        <v>26</v>
      </c>
      <c r="J96" s="14" t="s">
        <v>26</v>
      </c>
      <c r="K96" s="14" t="s">
        <v>5646</v>
      </c>
      <c r="L96" s="14" t="s">
        <v>2137</v>
      </c>
      <c r="M96" s="14" t="s">
        <v>9158</v>
      </c>
      <c r="N96" s="14" t="s">
        <v>9158</v>
      </c>
      <c r="O96" s="19" t="s">
        <v>10093</v>
      </c>
      <c r="P96" s="14" t="s">
        <v>13145</v>
      </c>
      <c r="Q96" s="14">
        <v>1</v>
      </c>
    </row>
    <row r="97" spans="1:17">
      <c r="A97" s="14">
        <v>75093</v>
      </c>
      <c r="B97" s="14" t="s">
        <v>334</v>
      </c>
      <c r="C97" s="14" t="s">
        <v>158</v>
      </c>
      <c r="D97" s="20" t="s">
        <v>10403</v>
      </c>
      <c r="E97" s="15" t="str">
        <f>HYPERLINK("https://stat100.ameba.jp/tnk47/ratio20/illustrations/card/ill_75093_hangonko03.jpg?202007-5-RELEASE-marathon-481xx", "■")</f>
        <v>■</v>
      </c>
      <c r="F97" s="14" t="s">
        <v>2614</v>
      </c>
      <c r="G97" s="14">
        <v>137430</v>
      </c>
      <c r="H97" s="14">
        <v>99532</v>
      </c>
      <c r="I97" s="14">
        <v>26</v>
      </c>
      <c r="J97" s="14" t="s">
        <v>44</v>
      </c>
      <c r="K97" s="14" t="s">
        <v>2615</v>
      </c>
      <c r="L97" s="14" t="s">
        <v>1108</v>
      </c>
      <c r="M97" s="14" t="s">
        <v>9158</v>
      </c>
      <c r="N97" s="14" t="s">
        <v>9158</v>
      </c>
      <c r="O97" s="19" t="s">
        <v>2951</v>
      </c>
      <c r="P97" s="14" t="s">
        <v>13122</v>
      </c>
      <c r="Q97" s="14">
        <v>1</v>
      </c>
    </row>
    <row r="98" spans="1:17">
      <c r="A98" s="14">
        <v>78873</v>
      </c>
      <c r="B98" s="14" t="s">
        <v>334</v>
      </c>
      <c r="C98" s="14" t="s">
        <v>209</v>
      </c>
      <c r="D98" s="19" t="s">
        <v>2818</v>
      </c>
      <c r="E98" s="15" t="str">
        <f>HYPERLINK("https://stat100.ameba.jp/tnk47/ratio20/illustrations/card/ill_78873_furutsutomato03.jpg?202007-5-RELEASE-marathon-481xx", "■")</f>
        <v>■</v>
      </c>
      <c r="F98" s="14" t="s">
        <v>2819</v>
      </c>
      <c r="G98" s="14">
        <v>99532</v>
      </c>
      <c r="H98" s="14">
        <v>137430</v>
      </c>
      <c r="I98" s="14">
        <v>26</v>
      </c>
      <c r="J98" s="14" t="s">
        <v>283</v>
      </c>
      <c r="K98" s="14" t="s">
        <v>2820</v>
      </c>
      <c r="L98" s="14" t="s">
        <v>2821</v>
      </c>
      <c r="M98" s="14" t="s">
        <v>9158</v>
      </c>
      <c r="N98" s="14" t="s">
        <v>9158</v>
      </c>
      <c r="O98" s="19" t="s">
        <v>10074</v>
      </c>
      <c r="P98" s="14" t="s">
        <v>2822</v>
      </c>
      <c r="Q98" s="14">
        <v>1</v>
      </c>
    </row>
    <row r="99" spans="1:17">
      <c r="A99" s="14">
        <v>75073</v>
      </c>
      <c r="B99" s="14" t="s">
        <v>334</v>
      </c>
      <c r="C99" s="14" t="s">
        <v>154</v>
      </c>
      <c r="D99" s="20" t="s">
        <v>4252</v>
      </c>
      <c r="E99" s="15" t="str">
        <f>HYPERLINK("https://stat100.ameba.jp/tnk47/ratio20/illustrations/card/ill_75073_puruchacha03.jpg?202007-5-RELEASE-marathon-481xx", "■")</f>
        <v>■</v>
      </c>
      <c r="F99" s="14" t="s">
        <v>4253</v>
      </c>
      <c r="G99" s="14">
        <v>113630</v>
      </c>
      <c r="H99" s="14">
        <v>82318</v>
      </c>
      <c r="I99" s="14">
        <v>26</v>
      </c>
      <c r="J99" s="14" t="s">
        <v>315</v>
      </c>
      <c r="K99" s="14" t="s">
        <v>4254</v>
      </c>
      <c r="L99" s="14" t="s">
        <v>1432</v>
      </c>
      <c r="M99" s="14" t="s">
        <v>9158</v>
      </c>
      <c r="N99" s="14" t="s">
        <v>9158</v>
      </c>
      <c r="O99" s="19" t="s">
        <v>10082</v>
      </c>
      <c r="P99" s="14" t="s">
        <v>13124</v>
      </c>
      <c r="Q99" s="14">
        <v>1</v>
      </c>
    </row>
    <row r="101" spans="1:17">
      <c r="A101" s="14" t="s">
        <v>14181</v>
      </c>
    </row>
    <row r="102" spans="1:17">
      <c r="A102" s="14" t="s">
        <v>14182</v>
      </c>
    </row>
    <row r="103" spans="1:17">
      <c r="A103" s="14" t="s">
        <v>5891</v>
      </c>
      <c r="B103" s="14" t="s">
        <v>330</v>
      </c>
      <c r="C103" s="14" t="s">
        <v>202</v>
      </c>
      <c r="D103" s="19" t="s">
        <v>1999</v>
      </c>
      <c r="E103" s="15" t="str">
        <f>HYPERLINK("https://stat100.ameba.jp/tnk47/ratio20/illustrations/card/ill_77173_0_yukemuritomoegozen03.jpg?202007-5-RELEASE-marathon-481xx", "■")</f>
        <v>■</v>
      </c>
      <c r="F103" s="14" t="s">
        <v>1372</v>
      </c>
      <c r="G103" s="14">
        <v>220536</v>
      </c>
      <c r="H103" s="14">
        <v>244008</v>
      </c>
      <c r="I103" s="14">
        <v>22</v>
      </c>
      <c r="J103" s="14" t="s">
        <v>310</v>
      </c>
      <c r="K103" s="14" t="s">
        <v>1373</v>
      </c>
      <c r="L103" s="14" t="s">
        <v>1374</v>
      </c>
      <c r="M103" s="14" t="s">
        <v>9158</v>
      </c>
      <c r="N103" s="14" t="s">
        <v>9158</v>
      </c>
      <c r="O103" s="19" t="s">
        <v>4067</v>
      </c>
      <c r="P103" s="14" t="s">
        <v>3879</v>
      </c>
      <c r="Q103" s="14">
        <v>2</v>
      </c>
    </row>
    <row r="104" spans="1:17">
      <c r="A104" s="14" t="s">
        <v>5617</v>
      </c>
      <c r="B104" s="14" t="s">
        <v>330</v>
      </c>
      <c r="C104" s="14" t="s">
        <v>308</v>
      </c>
      <c r="D104" s="19" t="s">
        <v>385</v>
      </c>
      <c r="E104" s="15" t="str">
        <f>HYPERLINK("https://stat100.ameba.jp/tnk47/ratio20/illustrations/card/ill_59673_0_oheyashutendoji03.jpg?202007-5-RELEASE-marathon-481xx", "■")</f>
        <v>■</v>
      </c>
      <c r="F104" s="14" t="s">
        <v>386</v>
      </c>
      <c r="G104" s="14">
        <v>154800</v>
      </c>
      <c r="H104" s="14">
        <v>166504</v>
      </c>
      <c r="I104" s="14">
        <v>22</v>
      </c>
      <c r="J104" s="14" t="s">
        <v>320</v>
      </c>
      <c r="K104" s="14" t="s">
        <v>387</v>
      </c>
      <c r="L104" s="14" t="s">
        <v>388</v>
      </c>
      <c r="M104" s="14" t="s">
        <v>9158</v>
      </c>
      <c r="N104" s="14" t="s">
        <v>9158</v>
      </c>
      <c r="O104" s="19" t="s">
        <v>10078</v>
      </c>
      <c r="P104" s="14" t="s">
        <v>3022</v>
      </c>
      <c r="Q104" s="14">
        <v>1</v>
      </c>
    </row>
    <row r="105" spans="1:17">
      <c r="A105" s="14" t="s">
        <v>6132</v>
      </c>
      <c r="B105" s="14" t="s">
        <v>330</v>
      </c>
      <c r="C105" s="14" t="s">
        <v>205</v>
      </c>
      <c r="D105" s="19" t="s">
        <v>702</v>
      </c>
      <c r="E105" s="15" t="str">
        <f>HYPERLINK("https://stat100.ameba.jp/tnk47/ratio20/illustrations/card/ill_50693_0_hanamizugimimuratsuru03.jpg?202007-5-RELEASE-marathon-481xx", "■")</f>
        <v>■</v>
      </c>
      <c r="F105" s="14" t="s">
        <v>703</v>
      </c>
      <c r="G105" s="14">
        <v>122776</v>
      </c>
      <c r="H105" s="14">
        <v>138212</v>
      </c>
      <c r="I105" s="14">
        <v>22</v>
      </c>
      <c r="J105" s="14" t="s">
        <v>310</v>
      </c>
      <c r="K105" s="14" t="s">
        <v>704</v>
      </c>
      <c r="L105" s="14" t="s">
        <v>705</v>
      </c>
      <c r="M105" s="14" t="s">
        <v>9158</v>
      </c>
      <c r="N105" s="14" t="s">
        <v>9158</v>
      </c>
      <c r="O105" s="9" t="s">
        <v>9158</v>
      </c>
      <c r="P105" s="14" t="s">
        <v>9158</v>
      </c>
      <c r="Q105" s="14" t="s">
        <v>9158</v>
      </c>
    </row>
    <row r="106" spans="1:17">
      <c r="A106" s="14">
        <v>61423</v>
      </c>
      <c r="B106" s="14" t="s">
        <v>334</v>
      </c>
      <c r="C106" s="14" t="s">
        <v>107</v>
      </c>
      <c r="D106" s="19" t="s">
        <v>10584</v>
      </c>
      <c r="E106" s="15" t="str">
        <f>HYPERLINK("https://stat100.ameba.jp/tnk47/ratio20/illustrations/card/ill_61423_itogemboku03.jpg?202007-5-RELEASE-marathon-481xx", "■")</f>
        <v>■</v>
      </c>
      <c r="F106" s="14" t="s">
        <v>6759</v>
      </c>
      <c r="G106" s="14">
        <v>88781</v>
      </c>
      <c r="H106" s="14">
        <v>122539</v>
      </c>
      <c r="I106" s="14">
        <v>27</v>
      </c>
      <c r="J106" s="14" t="s">
        <v>159</v>
      </c>
      <c r="K106" s="14" t="s">
        <v>6758</v>
      </c>
      <c r="L106" s="14" t="s">
        <v>4830</v>
      </c>
      <c r="M106" s="14" t="s">
        <v>9158</v>
      </c>
      <c r="N106" s="14" t="s">
        <v>9158</v>
      </c>
      <c r="O106" s="14" t="s">
        <v>9158</v>
      </c>
      <c r="P106" s="14" t="s">
        <v>9158</v>
      </c>
      <c r="Q106" s="14" t="s">
        <v>9158</v>
      </c>
    </row>
    <row r="107" spans="1:17">
      <c r="A107" s="9">
        <v>67243</v>
      </c>
      <c r="B107" s="14" t="s">
        <v>334</v>
      </c>
      <c r="C107" s="9" t="s">
        <v>205</v>
      </c>
      <c r="D107" s="20" t="s">
        <v>10199</v>
      </c>
      <c r="E107" s="15" t="str">
        <f>HYPERLINK("https://stat100.ameba.jp/tnk47/ratio20/illustrations/card/ill_67243_onsenyadomoryo03.jpg?202007-5-RELEASE-marathon-481xx", "■")</f>
        <v>■</v>
      </c>
      <c r="F107" s="9" t="s">
        <v>3638</v>
      </c>
      <c r="G107" s="9">
        <v>104619</v>
      </c>
      <c r="H107" s="9">
        <v>112496</v>
      </c>
      <c r="I107" s="14">
        <v>27</v>
      </c>
      <c r="J107" s="9" t="s">
        <v>182</v>
      </c>
      <c r="K107" s="9" t="s">
        <v>3639</v>
      </c>
      <c r="L107" s="9" t="s">
        <v>3640</v>
      </c>
      <c r="M107" s="14" t="s">
        <v>9158</v>
      </c>
      <c r="N107" s="14" t="s">
        <v>9158</v>
      </c>
      <c r="O107" s="14" t="s">
        <v>9158</v>
      </c>
      <c r="P107" s="14" t="s">
        <v>9158</v>
      </c>
      <c r="Q107" s="14" t="s">
        <v>9158</v>
      </c>
    </row>
    <row r="108" spans="1:17">
      <c r="A108" s="14">
        <v>74853</v>
      </c>
      <c r="B108" s="14" t="s">
        <v>334</v>
      </c>
      <c r="C108" s="14" t="s">
        <v>191</v>
      </c>
      <c r="D108" s="19" t="s">
        <v>10248</v>
      </c>
      <c r="E108" s="15" t="str">
        <f>HYPERLINK("https://stat100.ameba.jp/tnk47/ratio20/illustrations/card/ill_74853_ennichikingyonota03.jpg?202007-5-RELEASE-marathon-481xx", "■")</f>
        <v>■</v>
      </c>
      <c r="F108" s="14" t="s">
        <v>3313</v>
      </c>
      <c r="G108" s="14">
        <v>101837</v>
      </c>
      <c r="H108" s="14">
        <v>109481</v>
      </c>
      <c r="I108" s="14">
        <v>27</v>
      </c>
      <c r="J108" s="14" t="s">
        <v>38</v>
      </c>
      <c r="K108" s="14" t="s">
        <v>3314</v>
      </c>
      <c r="L108" s="14" t="s">
        <v>3315</v>
      </c>
      <c r="M108" s="14" t="s">
        <v>9158</v>
      </c>
      <c r="N108" s="14" t="s">
        <v>9158</v>
      </c>
      <c r="O108" s="14" t="s">
        <v>9158</v>
      </c>
      <c r="P108" s="14" t="s">
        <v>9158</v>
      </c>
      <c r="Q108" s="14" t="s">
        <v>9158</v>
      </c>
    </row>
    <row r="110" spans="1:17">
      <c r="A110" s="14" t="s">
        <v>14178</v>
      </c>
    </row>
    <row r="111" spans="1:17">
      <c r="A111" s="14" t="s">
        <v>14184</v>
      </c>
    </row>
    <row r="112" spans="1:17">
      <c r="A112" s="14" t="s">
        <v>5733</v>
      </c>
      <c r="B112" s="14" t="s">
        <v>330</v>
      </c>
      <c r="C112" s="14" t="s">
        <v>202</v>
      </c>
      <c r="D112" s="19" t="s">
        <v>2744</v>
      </c>
      <c r="E112" s="15" t="str">
        <f>HYPERLINK("https://stat100.ameba.jp/tnk47/ratio20/illustrations/card/ill_78693_0_kyupittokoinomikoto03.jpg?202007-5-RELEASE-marathon-481xx", "■")</f>
        <v>■</v>
      </c>
      <c r="F112" s="14" t="s">
        <v>2745</v>
      </c>
      <c r="G112" s="14">
        <v>261996</v>
      </c>
      <c r="H112" s="14">
        <v>289889</v>
      </c>
      <c r="I112" s="14">
        <v>25</v>
      </c>
      <c r="J112" s="14" t="s">
        <v>274</v>
      </c>
      <c r="K112" s="14" t="s">
        <v>2746</v>
      </c>
      <c r="L112" s="14" t="s">
        <v>2747</v>
      </c>
      <c r="M112" s="14" t="s">
        <v>9158</v>
      </c>
      <c r="N112" s="14" t="s">
        <v>9158</v>
      </c>
      <c r="O112" s="19" t="s">
        <v>10097</v>
      </c>
      <c r="P112" s="14" t="s">
        <v>2748</v>
      </c>
      <c r="Q112" s="14">
        <v>1</v>
      </c>
    </row>
    <row r="113" spans="1:17">
      <c r="A113" s="14">
        <v>80743</v>
      </c>
      <c r="B113" s="14" t="s">
        <v>0</v>
      </c>
      <c r="C113" s="14" t="s">
        <v>209</v>
      </c>
      <c r="D113" s="19" t="s">
        <v>10414</v>
      </c>
      <c r="E113" s="15" t="str">
        <f>HYPERLINK("https://stat100.ameba.jp/tnk47/ratio20/illustrations/card/ill_80743_senseijutsushi03.jpg?202007-5-RELEASE-marathon-481xx", "■")</f>
        <v>■</v>
      </c>
      <c r="F113" s="14" t="s">
        <v>4249</v>
      </c>
      <c r="G113" s="14">
        <v>75984</v>
      </c>
      <c r="H113" s="14">
        <v>104890</v>
      </c>
      <c r="I113" s="14">
        <v>24</v>
      </c>
      <c r="J113" s="14" t="s">
        <v>16</v>
      </c>
      <c r="K113" s="14" t="s">
        <v>4250</v>
      </c>
      <c r="L113" s="14" t="s">
        <v>4251</v>
      </c>
      <c r="M113" s="14" t="s">
        <v>9158</v>
      </c>
      <c r="N113" s="14" t="s">
        <v>9158</v>
      </c>
      <c r="O113" s="19" t="s">
        <v>10109</v>
      </c>
      <c r="P113" s="14" t="s">
        <v>3625</v>
      </c>
      <c r="Q113" s="14">
        <v>1</v>
      </c>
    </row>
    <row r="114" spans="1:17">
      <c r="A114" s="14">
        <v>75083</v>
      </c>
      <c r="B114" s="14" t="s">
        <v>334</v>
      </c>
      <c r="C114" s="14" t="s">
        <v>209</v>
      </c>
      <c r="D114" s="19" t="s">
        <v>10401</v>
      </c>
      <c r="E114" s="15" t="str">
        <f>HYPERLINK("https://stat100.ameba.jp/tnk47/ratio20/illustrations/card/ill_75083_sukumizuhanakosan03.jpg?202007-5-RELEASE-marathon-481xx", "■")</f>
        <v>■</v>
      </c>
      <c r="F114" s="14" t="s">
        <v>1020</v>
      </c>
      <c r="G114" s="14">
        <v>111914</v>
      </c>
      <c r="H114" s="14">
        <v>81078</v>
      </c>
      <c r="I114" s="14">
        <v>24</v>
      </c>
      <c r="J114" s="14" t="s">
        <v>73</v>
      </c>
      <c r="K114" s="14" t="s">
        <v>1021</v>
      </c>
      <c r="L114" s="14" t="s">
        <v>1022</v>
      </c>
      <c r="M114" s="14" t="s">
        <v>9158</v>
      </c>
      <c r="N114" s="14" t="s">
        <v>9158</v>
      </c>
      <c r="O114" s="19" t="s">
        <v>10105</v>
      </c>
      <c r="P114" s="14" t="s">
        <v>3416</v>
      </c>
      <c r="Q114" s="14">
        <v>1</v>
      </c>
    </row>
    <row r="115" spans="1:17">
      <c r="A115" s="14">
        <v>81023</v>
      </c>
      <c r="B115" s="14" t="s">
        <v>334</v>
      </c>
      <c r="C115" s="14" t="s">
        <v>41</v>
      </c>
      <c r="D115" s="19" t="s">
        <v>10274</v>
      </c>
      <c r="E115" s="15" t="str">
        <f>HYPERLINK("https://stat100.ameba.jp/tnk47/ratio20/illustrations/card/ill_81023_momonokenki03.jpg?202007-5-RELEASE-marathon-481xx", "■")</f>
        <v>■</v>
      </c>
      <c r="F115" s="14" t="s">
        <v>4088</v>
      </c>
      <c r="G115" s="14">
        <v>126858</v>
      </c>
      <c r="H115" s="14">
        <v>91876</v>
      </c>
      <c r="I115" s="14">
        <v>24</v>
      </c>
      <c r="J115" s="14" t="s">
        <v>143</v>
      </c>
      <c r="K115" s="14" t="s">
        <v>4089</v>
      </c>
      <c r="L115" s="14" t="s">
        <v>2049</v>
      </c>
      <c r="M115" s="14" t="s">
        <v>9158</v>
      </c>
      <c r="N115" s="14" t="s">
        <v>9158</v>
      </c>
      <c r="O115" s="19" t="s">
        <v>10096</v>
      </c>
      <c r="P115" s="14" t="s">
        <v>3245</v>
      </c>
      <c r="Q115" s="14">
        <v>1</v>
      </c>
    </row>
    <row r="117" spans="1:17">
      <c r="A117" s="14" t="s">
        <v>3916</v>
      </c>
    </row>
    <row r="118" spans="1:17">
      <c r="A118" s="14" t="s">
        <v>14183</v>
      </c>
    </row>
    <row r="119" spans="1:17">
      <c r="A119" s="14">
        <v>76103</v>
      </c>
      <c r="B119" s="14" t="s">
        <v>334</v>
      </c>
      <c r="C119" s="14" t="s">
        <v>154</v>
      </c>
      <c r="D119" s="19" t="s">
        <v>570</v>
      </c>
      <c r="E119" s="15" t="str">
        <f>HYPERLINK("https://stat100.ameba.jp/tnk47/ratio20/illustrations/card/ill_76103_shibuaji03.jpg?202007-5-RELEASE-marathon-481xx", "■")</f>
        <v>■</v>
      </c>
      <c r="F119" s="14" t="s">
        <v>1122</v>
      </c>
      <c r="G119" s="14">
        <v>116452</v>
      </c>
      <c r="H119" s="14">
        <v>108276</v>
      </c>
      <c r="I119" s="14">
        <v>27</v>
      </c>
      <c r="J119" s="14" t="s">
        <v>143</v>
      </c>
      <c r="K119" s="14" t="s">
        <v>1123</v>
      </c>
      <c r="L119" s="14" t="s">
        <v>1124</v>
      </c>
      <c r="M119" s="14" t="s">
        <v>9158</v>
      </c>
      <c r="N119" s="14" t="s">
        <v>9158</v>
      </c>
      <c r="O119" s="14" t="s">
        <v>9158</v>
      </c>
      <c r="P119" s="14" t="s">
        <v>9158</v>
      </c>
      <c r="Q119" s="14" t="s">
        <v>9158</v>
      </c>
    </row>
    <row r="120" spans="1:17">
      <c r="A120" s="14">
        <v>76113</v>
      </c>
      <c r="B120" s="14" t="s">
        <v>334</v>
      </c>
      <c r="C120" s="14" t="s">
        <v>158</v>
      </c>
      <c r="D120" s="19" t="s">
        <v>10268</v>
      </c>
      <c r="E120" s="15" t="str">
        <f>HYPERLINK("https://stat100.ameba.jp/tnk47/ratio20/illustrations/card/ill_76113_jannudaruku03.jpg?202007-5-RELEASE-marathon-481xx", "■")</f>
        <v>■</v>
      </c>
      <c r="F120" s="14" t="s">
        <v>1126</v>
      </c>
      <c r="G120" s="14">
        <v>116452</v>
      </c>
      <c r="H120" s="14">
        <v>108276</v>
      </c>
      <c r="I120" s="14">
        <v>27</v>
      </c>
      <c r="J120" s="14" t="s">
        <v>10</v>
      </c>
      <c r="K120" s="14" t="s">
        <v>1127</v>
      </c>
      <c r="L120" s="14" t="s">
        <v>1128</v>
      </c>
      <c r="M120" s="14" t="s">
        <v>9158</v>
      </c>
      <c r="N120" s="14" t="s">
        <v>9158</v>
      </c>
      <c r="O120" s="14" t="s">
        <v>9158</v>
      </c>
      <c r="P120" s="14" t="s">
        <v>9158</v>
      </c>
      <c r="Q120" s="14" t="s">
        <v>9158</v>
      </c>
    </row>
    <row r="121" spans="1:17">
      <c r="A121" s="14">
        <v>63323</v>
      </c>
      <c r="B121" s="14" t="s">
        <v>0</v>
      </c>
      <c r="C121" s="14" t="s">
        <v>200</v>
      </c>
      <c r="D121" s="19" t="s">
        <v>10269</v>
      </c>
      <c r="E121" s="15" t="str">
        <f>HYPERLINK("https://stat100.ameba.jp/tnk47/ratio20/illustrations/card/ill_63323_ajisaikushinadahime03.jpg?202007-5-RELEASE-marathon-481xx", "■")</f>
        <v>■</v>
      </c>
      <c r="F121" s="14" t="s">
        <v>3583</v>
      </c>
      <c r="G121" s="14">
        <v>102386</v>
      </c>
      <c r="H121" s="14">
        <v>110129</v>
      </c>
      <c r="I121" s="14">
        <v>27</v>
      </c>
      <c r="J121" s="14" t="s">
        <v>44</v>
      </c>
      <c r="K121" s="14" t="s">
        <v>3584</v>
      </c>
      <c r="L121" s="14" t="s">
        <v>2400</v>
      </c>
      <c r="M121" s="14" t="s">
        <v>9158</v>
      </c>
      <c r="N121" s="14" t="s">
        <v>9158</v>
      </c>
      <c r="O121" s="14" t="s">
        <v>9158</v>
      </c>
      <c r="P121" s="14" t="s">
        <v>9158</v>
      </c>
      <c r="Q121" s="14" t="s">
        <v>9158</v>
      </c>
    </row>
    <row r="122" spans="1:17">
      <c r="A122" s="14">
        <v>59863</v>
      </c>
      <c r="B122" s="14" t="s">
        <v>334</v>
      </c>
      <c r="C122" s="14" t="s">
        <v>165</v>
      </c>
      <c r="D122" s="19" t="s">
        <v>318</v>
      </c>
      <c r="E122" s="15" t="str">
        <f>HYPERLINK("https://stat100.ameba.jp/tnk47/ratio20/illustrations/card/ill_59863_yoseiichimokuren03.jpg?202007-5-RELEASE-marathon-481xx", "■")</f>
        <v>■</v>
      </c>
      <c r="F122" s="14" t="s">
        <v>319</v>
      </c>
      <c r="G122" s="14">
        <v>112496</v>
      </c>
      <c r="H122" s="14">
        <v>104619</v>
      </c>
      <c r="I122" s="14">
        <v>27</v>
      </c>
      <c r="J122" s="14" t="s">
        <v>320</v>
      </c>
      <c r="K122" s="14" t="s">
        <v>321</v>
      </c>
      <c r="L122" s="14" t="s">
        <v>322</v>
      </c>
      <c r="M122" s="14" t="s">
        <v>9158</v>
      </c>
      <c r="N122" s="14" t="s">
        <v>9158</v>
      </c>
      <c r="O122" s="14" t="s">
        <v>9158</v>
      </c>
      <c r="P122" s="14" t="s">
        <v>9158</v>
      </c>
      <c r="Q122" s="14" t="s">
        <v>9158</v>
      </c>
    </row>
    <row r="123" spans="1:17">
      <c r="A123" s="14">
        <v>51823</v>
      </c>
      <c r="B123" s="14" t="s">
        <v>15</v>
      </c>
      <c r="C123" s="14" t="s">
        <v>101</v>
      </c>
      <c r="D123" s="19" t="s">
        <v>10587</v>
      </c>
      <c r="E123" s="15" t="str">
        <f>HYPERLINK("https://stat100.ameba.jp/tnk47/ratio20/illustrations/card/ill_51823_jukimatsu03.jpg?202007-5-RELEASE-marathon-481xx", "■")</f>
        <v>■</v>
      </c>
      <c r="F123" s="14" t="s">
        <v>6742</v>
      </c>
      <c r="G123" s="14">
        <v>59144</v>
      </c>
      <c r="H123" s="14">
        <v>65208</v>
      </c>
      <c r="I123" s="14">
        <v>22</v>
      </c>
      <c r="J123" s="14" t="s">
        <v>77</v>
      </c>
      <c r="K123" s="14" t="s">
        <v>6743</v>
      </c>
      <c r="L123" s="14" t="s">
        <v>6744</v>
      </c>
      <c r="M123" s="14" t="s">
        <v>9158</v>
      </c>
      <c r="N123" s="14" t="s">
        <v>9158</v>
      </c>
      <c r="O123" s="14" t="s">
        <v>9158</v>
      </c>
      <c r="P123" s="14" t="s">
        <v>9158</v>
      </c>
      <c r="Q123" s="14" t="s">
        <v>9158</v>
      </c>
    </row>
    <row r="124" spans="1:17">
      <c r="A124" s="14">
        <v>51773</v>
      </c>
      <c r="B124" s="14" t="s">
        <v>15</v>
      </c>
      <c r="C124" s="14" t="s">
        <v>205</v>
      </c>
      <c r="D124" s="19" t="s">
        <v>10588</v>
      </c>
      <c r="E124" s="15" t="str">
        <f>HYPERLINK("https://stat100.ameba.jp/tnk47/ratio20/illustrations/card/ill_51773_kawaasobikanekomisuzu03.jpg?202007-5-RELEASE-marathon-481xx", "■")</f>
        <v>■</v>
      </c>
      <c r="F124" s="14" t="s">
        <v>6747</v>
      </c>
      <c r="G124" s="14">
        <v>65208</v>
      </c>
      <c r="H124" s="14">
        <v>59144</v>
      </c>
      <c r="I124" s="14">
        <v>22</v>
      </c>
      <c r="J124" s="14" t="s">
        <v>10</v>
      </c>
      <c r="K124" s="14" t="s">
        <v>6746</v>
      </c>
      <c r="L124" s="14" t="s">
        <v>6745</v>
      </c>
      <c r="M124" s="14" t="s">
        <v>9158</v>
      </c>
      <c r="N124" s="14" t="s">
        <v>9158</v>
      </c>
      <c r="O124" s="14" t="s">
        <v>9158</v>
      </c>
      <c r="P124" s="14" t="s">
        <v>9158</v>
      </c>
      <c r="Q124" s="14" t="s">
        <v>9158</v>
      </c>
    </row>
    <row r="125" spans="1:17">
      <c r="A125" s="14">
        <v>51733</v>
      </c>
      <c r="B125" s="14" t="s">
        <v>15</v>
      </c>
      <c r="C125" s="14" t="s">
        <v>185</v>
      </c>
      <c r="D125" s="19" t="s">
        <v>10589</v>
      </c>
      <c r="E125" s="15" t="str">
        <f>HYPERLINK("https://stat100.ameba.jp/tnk47/ratio20/illustrations/card/ill_51733_ekusoshisutopoiyampe03.jpg?202007-5-RELEASE-marathon-481xx", "■")</f>
        <v>■</v>
      </c>
      <c r="F125" s="14" t="s">
        <v>6750</v>
      </c>
      <c r="G125" s="14">
        <v>59144</v>
      </c>
      <c r="H125" s="14">
        <v>65208</v>
      </c>
      <c r="I125" s="14">
        <v>22</v>
      </c>
      <c r="J125" s="14" t="s">
        <v>274</v>
      </c>
      <c r="K125" s="14" t="s">
        <v>6749</v>
      </c>
      <c r="L125" s="14" t="s">
        <v>6748</v>
      </c>
      <c r="M125" s="14" t="s">
        <v>9158</v>
      </c>
      <c r="N125" s="14" t="s">
        <v>9158</v>
      </c>
      <c r="O125" s="14" t="s">
        <v>9158</v>
      </c>
      <c r="P125" s="14" t="s">
        <v>9158</v>
      </c>
      <c r="Q125" s="14" t="s">
        <v>9158</v>
      </c>
    </row>
    <row r="126" spans="1:17">
      <c r="A126" s="14">
        <v>55743</v>
      </c>
      <c r="B126" s="14" t="s">
        <v>15</v>
      </c>
      <c r="C126" s="14" t="s">
        <v>96</v>
      </c>
      <c r="D126" s="19" t="s">
        <v>10590</v>
      </c>
      <c r="E126" s="15" t="str">
        <f>HYPERLINK("https://stat100.ameba.jp/tnk47/ratio20/illustrations/card/ill_55743_nankoume03.jpg?202007-5-RELEASE-marathon-481xx", "■")</f>
        <v>■</v>
      </c>
      <c r="F126" s="14" t="s">
        <v>4308</v>
      </c>
      <c r="G126" s="14">
        <v>59144</v>
      </c>
      <c r="H126" s="14">
        <v>65208</v>
      </c>
      <c r="I126" s="14">
        <v>22</v>
      </c>
      <c r="J126" s="14" t="s">
        <v>216</v>
      </c>
      <c r="K126" s="14" t="s">
        <v>4310</v>
      </c>
      <c r="L126" s="14" t="s">
        <v>4311</v>
      </c>
      <c r="M126" s="14" t="s">
        <v>9158</v>
      </c>
      <c r="N126" s="14" t="s">
        <v>9158</v>
      </c>
      <c r="O126" s="14" t="s">
        <v>9158</v>
      </c>
      <c r="P126" s="14" t="s">
        <v>9158</v>
      </c>
      <c r="Q126" s="14" t="s">
        <v>9158</v>
      </c>
    </row>
    <row r="128" spans="1:17">
      <c r="A128" s="14" t="s">
        <v>14185</v>
      </c>
    </row>
    <row r="129" spans="1:18">
      <c r="A129" s="14" t="s">
        <v>14186</v>
      </c>
    </row>
    <row r="130" spans="1:18">
      <c r="A130" s="9" t="s">
        <v>13401</v>
      </c>
    </row>
    <row r="131" spans="1:18">
      <c r="A131" s="14" t="s">
        <v>6508</v>
      </c>
      <c r="B131" s="14" t="s">
        <v>330</v>
      </c>
      <c r="C131" s="14" t="s">
        <v>35</v>
      </c>
      <c r="D131" s="20" t="s">
        <v>10168</v>
      </c>
      <c r="E131" s="15" t="str">
        <f>HYPERLINK("https://stat100.ameba.jp/tnk47/ratio20/illustrations/card/ill_81783_0_denshagarukoteipenginchan03.jpg?202007-5-RELEASE-marathon-481xx", "■")</f>
        <v>■</v>
      </c>
      <c r="F131" s="14" t="s">
        <v>4834</v>
      </c>
      <c r="G131" s="14">
        <v>302360</v>
      </c>
      <c r="H131" s="14">
        <v>273254</v>
      </c>
      <c r="I131" s="14">
        <v>26</v>
      </c>
      <c r="J131" s="14" t="s">
        <v>26</v>
      </c>
      <c r="K131" s="14" t="s">
        <v>4836</v>
      </c>
      <c r="L131" s="14" t="s">
        <v>1783</v>
      </c>
      <c r="M131" s="14" t="s">
        <v>9158</v>
      </c>
      <c r="N131" s="14" t="s">
        <v>9158</v>
      </c>
      <c r="O131" s="19" t="s">
        <v>10124</v>
      </c>
      <c r="P131" s="14" t="s">
        <v>4838</v>
      </c>
      <c r="Q131" s="14">
        <v>1</v>
      </c>
    </row>
    <row r="132" spans="1:18">
      <c r="A132" s="14" t="s">
        <v>7789</v>
      </c>
      <c r="B132" s="14" t="s">
        <v>52</v>
      </c>
      <c r="C132" s="14" t="s">
        <v>202</v>
      </c>
      <c r="D132" s="19" t="s">
        <v>10741</v>
      </c>
      <c r="E132" s="15" t="str">
        <f>HYPERLINK("https://stat100.ameba.jp/tnk47/ratio20/illustrations/card/ill_84923_0_onsengainansosatomihakkenden03.jpg?202007-5-RELEASE-marathon-481xx", "■")</f>
        <v>■</v>
      </c>
      <c r="F132" s="14" t="s">
        <v>7792</v>
      </c>
      <c r="G132" s="14">
        <v>300364</v>
      </c>
      <c r="H132" s="14">
        <v>332328</v>
      </c>
      <c r="I132" s="14">
        <v>26</v>
      </c>
      <c r="J132" s="14" t="s">
        <v>155</v>
      </c>
      <c r="K132" s="14" t="s">
        <v>7791</v>
      </c>
      <c r="L132" s="14" t="s">
        <v>7790</v>
      </c>
      <c r="M132" s="14" t="s">
        <v>9158</v>
      </c>
      <c r="N132" s="14" t="s">
        <v>9158</v>
      </c>
      <c r="O132" s="19" t="s">
        <v>10131</v>
      </c>
      <c r="P132" s="14" t="s">
        <v>7793</v>
      </c>
      <c r="Q132" s="14">
        <v>0</v>
      </c>
    </row>
    <row r="133" spans="1:18">
      <c r="A133" s="9" t="s">
        <v>5787</v>
      </c>
      <c r="B133" s="14" t="s">
        <v>330</v>
      </c>
      <c r="C133" s="14" t="s">
        <v>270</v>
      </c>
      <c r="D133" s="14" t="s">
        <v>1101</v>
      </c>
      <c r="E133" s="15" t="str">
        <f>HYPERLINK("https://stat100.ameba.jp/tnk47/ratio20/illustrations/card/ill_76303_0_haroinkaguya03.jpg?202007-5-RELEASE-marathon-481xx", "■")</f>
        <v>■</v>
      </c>
      <c r="F133" s="14" t="s">
        <v>332</v>
      </c>
      <c r="G133" s="14">
        <v>309414</v>
      </c>
      <c r="H133" s="14">
        <v>287652</v>
      </c>
      <c r="I133" s="14">
        <v>26</v>
      </c>
      <c r="J133" s="14" t="s">
        <v>274</v>
      </c>
      <c r="K133" s="14" t="s">
        <v>333</v>
      </c>
      <c r="L133" s="14" t="s">
        <v>276</v>
      </c>
      <c r="M133" s="14" t="s">
        <v>9158</v>
      </c>
      <c r="N133" s="14" t="s">
        <v>9158</v>
      </c>
      <c r="O133" s="9" t="s">
        <v>2723</v>
      </c>
      <c r="P133" s="14" t="s">
        <v>2724</v>
      </c>
      <c r="Q133" s="14">
        <v>1</v>
      </c>
    </row>
    <row r="134" spans="1:18">
      <c r="A134" s="9">
        <v>86323</v>
      </c>
      <c r="B134" s="9" t="s">
        <v>0</v>
      </c>
      <c r="C134" s="9" t="s">
        <v>185</v>
      </c>
      <c r="D134" s="20" t="s">
        <v>10895</v>
      </c>
      <c r="E134" s="15" t="str">
        <f>HYPERLINK("https://stat100.ameba.jp/tnk47/ratio20/illustrations/card/ill_86323_hagoitataisemmatsukawahime03.jpg?202007-5-RELEASE-marathon-481xx", "■")</f>
        <v>■</v>
      </c>
      <c r="F134" s="9" t="s">
        <v>8909</v>
      </c>
      <c r="G134" s="9">
        <v>154562</v>
      </c>
      <c r="H134" s="9">
        <v>143714</v>
      </c>
      <c r="I134" s="9">
        <v>26</v>
      </c>
      <c r="J134" s="14" t="s">
        <v>73</v>
      </c>
      <c r="K134" s="9" t="s">
        <v>8908</v>
      </c>
      <c r="L134" s="9" t="s">
        <v>5251</v>
      </c>
      <c r="M134" s="14" t="s">
        <v>9158</v>
      </c>
      <c r="N134" s="14" t="s">
        <v>9158</v>
      </c>
      <c r="O134" s="14" t="s">
        <v>9158</v>
      </c>
      <c r="P134" s="14" t="s">
        <v>9158</v>
      </c>
      <c r="Q134" s="14" t="s">
        <v>9158</v>
      </c>
    </row>
    <row r="135" spans="1:18">
      <c r="A135" s="7">
        <v>76373</v>
      </c>
      <c r="B135" s="14" t="s">
        <v>334</v>
      </c>
      <c r="C135" s="14" t="s">
        <v>271</v>
      </c>
      <c r="D135" s="19" t="s">
        <v>466</v>
      </c>
      <c r="E135" s="15" t="str">
        <f>HYPERLINK("https://stat100.ameba.jp/tnk47/ratio20/illustrations/card/ill_76373_marishitenho03.jpg?202007-5-RELEASE-marathon-481xx", "■")</f>
        <v>■</v>
      </c>
      <c r="F135" s="14" t="s">
        <v>467</v>
      </c>
      <c r="G135" s="14">
        <v>110126</v>
      </c>
      <c r="H135" s="14">
        <v>118656</v>
      </c>
      <c r="I135" s="9">
        <v>26</v>
      </c>
      <c r="J135" s="14" t="s">
        <v>274</v>
      </c>
      <c r="K135" s="14" t="s">
        <v>468</v>
      </c>
      <c r="L135" s="14" t="s">
        <v>469</v>
      </c>
      <c r="M135" s="14" t="s">
        <v>9158</v>
      </c>
      <c r="N135" s="14" t="s">
        <v>9158</v>
      </c>
      <c r="O135" s="14" t="s">
        <v>9158</v>
      </c>
      <c r="P135" s="14" t="s">
        <v>9158</v>
      </c>
      <c r="Q135" s="14" t="s">
        <v>9158</v>
      </c>
    </row>
    <row r="136" spans="1:18">
      <c r="A136" s="14">
        <v>79713</v>
      </c>
      <c r="B136" s="14" t="s">
        <v>0</v>
      </c>
      <c r="C136" s="14" t="s">
        <v>191</v>
      </c>
      <c r="D136" s="19" t="s">
        <v>10717</v>
      </c>
      <c r="E136" s="15" t="str">
        <f>HYPERLINK("https://stat100.ameba.jp/tnk47/ratio20/illustrations/card/ill_79713_yukinosaitembodeikonchan03.jpg?202007-5-RELEASE-marathon-481xx", "■")</f>
        <v>■</v>
      </c>
      <c r="F136" s="14" t="s">
        <v>3689</v>
      </c>
      <c r="G136" s="14">
        <v>118446</v>
      </c>
      <c r="H136" s="14">
        <v>110126</v>
      </c>
      <c r="I136" s="14">
        <v>26</v>
      </c>
      <c r="J136" s="14" t="s">
        <v>26</v>
      </c>
      <c r="K136" s="14" t="s">
        <v>3690</v>
      </c>
      <c r="L136" s="14" t="s">
        <v>1086</v>
      </c>
      <c r="M136" s="14" t="s">
        <v>9158</v>
      </c>
      <c r="N136" s="14" t="s">
        <v>9158</v>
      </c>
      <c r="O136" s="14" t="s">
        <v>9158</v>
      </c>
      <c r="P136" s="14" t="s">
        <v>9158</v>
      </c>
      <c r="Q136" s="14" t="s">
        <v>9158</v>
      </c>
    </row>
    <row r="137" spans="1:18">
      <c r="A137" s="14">
        <v>83743</v>
      </c>
      <c r="B137" s="14" t="s">
        <v>0</v>
      </c>
      <c r="C137" s="14" t="s">
        <v>165</v>
      </c>
      <c r="D137" s="19" t="s">
        <v>10595</v>
      </c>
      <c r="E137" s="15" t="str">
        <f>HYPERLINK("https://stat100.ameba.jp/tnk47/ratio20/illustrations/card/ill_83743_usaginosatosahohime03.jpg?202007-5-RELEASE-marathon-481xx", "■")</f>
        <v>■</v>
      </c>
      <c r="F137" s="14" t="s">
        <v>6784</v>
      </c>
      <c r="G137" s="14">
        <v>98594</v>
      </c>
      <c r="H137" s="14">
        <v>106050</v>
      </c>
      <c r="I137" s="14">
        <v>26</v>
      </c>
      <c r="J137" s="14" t="s">
        <v>44</v>
      </c>
      <c r="K137" s="14" t="s">
        <v>6783</v>
      </c>
      <c r="L137" s="14" t="s">
        <v>6782</v>
      </c>
      <c r="M137" s="14" t="s">
        <v>9158</v>
      </c>
      <c r="N137" s="14" t="s">
        <v>9158</v>
      </c>
      <c r="O137" s="14" t="s">
        <v>9158</v>
      </c>
      <c r="P137" s="14" t="s">
        <v>9158</v>
      </c>
      <c r="Q137" s="14" t="s">
        <v>9158</v>
      </c>
    </row>
    <row r="138" spans="1:18">
      <c r="A138" s="7">
        <v>72443</v>
      </c>
      <c r="B138" s="14" t="s">
        <v>334</v>
      </c>
      <c r="C138" s="14" t="s">
        <v>205</v>
      </c>
      <c r="D138" s="20" t="s">
        <v>3006</v>
      </c>
      <c r="E138" s="15" t="str">
        <f>HYPERLINK("https://stat100.ameba.jp/tnk47/ratio20/illustrations/card/ill_72443_uragamimasamune03.jpg?202007-5-RELEASE-marathon-481xx", "■")</f>
        <v>■</v>
      </c>
      <c r="F138" s="14" t="s">
        <v>8574</v>
      </c>
      <c r="G138" s="14">
        <v>110126</v>
      </c>
      <c r="H138" s="14">
        <v>118446</v>
      </c>
      <c r="I138" s="14">
        <v>26</v>
      </c>
      <c r="J138" s="14" t="s">
        <v>194</v>
      </c>
      <c r="K138" s="14" t="s">
        <v>8573</v>
      </c>
      <c r="L138" s="14" t="s">
        <v>8572</v>
      </c>
      <c r="M138" s="14" t="s">
        <v>9158</v>
      </c>
      <c r="N138" s="14" t="s">
        <v>9158</v>
      </c>
      <c r="O138" s="14" t="s">
        <v>9158</v>
      </c>
      <c r="P138" s="14" t="s">
        <v>9158</v>
      </c>
      <c r="Q138" s="14" t="s">
        <v>9158</v>
      </c>
    </row>
    <row r="139" spans="1:18">
      <c r="A139" s="9">
        <v>86943</v>
      </c>
      <c r="B139" s="9" t="s">
        <v>0</v>
      </c>
      <c r="C139" s="9" t="s">
        <v>206</v>
      </c>
      <c r="D139" s="19" t="s">
        <v>10958</v>
      </c>
      <c r="E139" s="15" t="str">
        <f>HYPERLINK("https://stat100.ameba.jp/tnk47/ratio20/illustrations/card/ill_86943_setsubunhaniyasu03.jpg?202007-5-RELEASE-marathon-481xx", "■")</f>
        <v>■</v>
      </c>
      <c r="F139" s="9" t="s">
        <v>9355</v>
      </c>
      <c r="G139" s="9">
        <v>106050</v>
      </c>
      <c r="H139" s="9">
        <v>98594</v>
      </c>
      <c r="I139" s="9">
        <v>26</v>
      </c>
      <c r="J139" s="9" t="s">
        <v>169</v>
      </c>
      <c r="K139" s="9" t="s">
        <v>9354</v>
      </c>
      <c r="L139" s="9" t="s">
        <v>7243</v>
      </c>
      <c r="M139" s="14" t="s">
        <v>9158</v>
      </c>
      <c r="N139" s="14" t="s">
        <v>9158</v>
      </c>
      <c r="O139" s="14" t="s">
        <v>9158</v>
      </c>
      <c r="P139" s="14" t="s">
        <v>9158</v>
      </c>
      <c r="Q139" s="14" t="s">
        <v>9158</v>
      </c>
    </row>
    <row r="141" spans="1:18">
      <c r="A141" s="7" t="s">
        <v>13327</v>
      </c>
      <c r="B141" s="7"/>
      <c r="C141" s="7"/>
      <c r="D141" s="7"/>
      <c r="E141" s="7"/>
      <c r="F141" s="7"/>
      <c r="G141" s="7"/>
      <c r="H141" s="7"/>
      <c r="I141" s="7"/>
      <c r="J141" s="7"/>
      <c r="K141" s="7"/>
      <c r="L141" s="7"/>
      <c r="M141" s="7"/>
      <c r="N141" s="7"/>
      <c r="O141" s="7"/>
      <c r="P141" s="7"/>
      <c r="Q141" s="7"/>
      <c r="R141" s="7"/>
    </row>
    <row r="142" spans="1:18">
      <c r="A142" s="7" t="s">
        <v>14187</v>
      </c>
      <c r="B142" s="7"/>
      <c r="C142" s="7"/>
      <c r="D142" s="7"/>
      <c r="E142" s="7"/>
      <c r="F142" s="7"/>
      <c r="G142" s="7"/>
      <c r="H142" s="7"/>
      <c r="I142" s="7"/>
      <c r="J142" s="7"/>
      <c r="K142" s="7"/>
      <c r="L142" s="7"/>
      <c r="M142" s="7"/>
      <c r="N142" s="7"/>
      <c r="O142" s="7"/>
      <c r="P142" s="7"/>
      <c r="Q142" s="7"/>
      <c r="R142" s="7"/>
    </row>
    <row r="143" spans="1:18">
      <c r="A143" s="14">
        <v>86063</v>
      </c>
      <c r="B143" s="14" t="s">
        <v>334</v>
      </c>
      <c r="C143" s="14" t="s">
        <v>14</v>
      </c>
      <c r="D143" s="19" t="s">
        <v>10818</v>
      </c>
      <c r="E143" s="15" t="str">
        <f>HYPERLINK("https://stat100.ameba.jp/tnk47/ratio20/illustrations/card/ill_86063_uotchimeika03.jpg?202007-5-RELEASE-marathon-481xx", "■")</f>
        <v>■</v>
      </c>
      <c r="F143" s="14" t="s">
        <v>8368</v>
      </c>
      <c r="G143" s="14">
        <v>123583</v>
      </c>
      <c r="H143" s="14">
        <v>132922</v>
      </c>
      <c r="I143" s="14">
        <v>27</v>
      </c>
      <c r="J143" s="14" t="s">
        <v>173</v>
      </c>
      <c r="K143" s="14" t="s">
        <v>8367</v>
      </c>
      <c r="L143" s="14" t="s">
        <v>8366</v>
      </c>
      <c r="M143" s="14" t="s">
        <v>13130</v>
      </c>
      <c r="N143" s="14" t="s">
        <v>343</v>
      </c>
      <c r="O143" s="14" t="s">
        <v>9158</v>
      </c>
      <c r="P143" s="14" t="s">
        <v>9158</v>
      </c>
      <c r="Q143" s="14" t="s">
        <v>9158</v>
      </c>
      <c r="R143" s="14" t="s">
        <v>14748</v>
      </c>
    </row>
    <row r="144" spans="1:18">
      <c r="A144" s="14">
        <v>86062</v>
      </c>
      <c r="B144" s="14" t="s">
        <v>334</v>
      </c>
      <c r="C144" s="14" t="s">
        <v>14</v>
      </c>
      <c r="D144" s="19" t="s">
        <v>10818</v>
      </c>
      <c r="E144" s="15" t="str">
        <f>HYPERLINK("https://stat100.ameba.jp/tnk47/ratio20/illustrations/card/ill_86062_uotchimeika02.jpg?202007-5-RELEASE-marathon-481xx", "■")</f>
        <v>■</v>
      </c>
      <c r="F144" s="14" t="s">
        <v>8368</v>
      </c>
      <c r="G144" s="14">
        <v>102356</v>
      </c>
      <c r="H144" s="14">
        <v>111115</v>
      </c>
      <c r="I144" s="14">
        <v>27</v>
      </c>
      <c r="J144" s="14" t="s">
        <v>173</v>
      </c>
      <c r="K144" s="14" t="s">
        <v>8367</v>
      </c>
      <c r="L144" s="14" t="s">
        <v>8366</v>
      </c>
      <c r="M144" s="14" t="s">
        <v>13131</v>
      </c>
      <c r="N144" s="14" t="s">
        <v>251</v>
      </c>
      <c r="O144" s="14" t="s">
        <v>9158</v>
      </c>
      <c r="P144" s="14" t="s">
        <v>9158</v>
      </c>
      <c r="Q144" s="14" t="s">
        <v>9158</v>
      </c>
      <c r="R144" s="14" t="s">
        <v>14748</v>
      </c>
    </row>
    <row r="145" spans="1:18">
      <c r="A145" s="14">
        <v>86061</v>
      </c>
      <c r="B145" s="14" t="s">
        <v>0</v>
      </c>
      <c r="C145" s="14" t="s">
        <v>14</v>
      </c>
      <c r="D145" s="19" t="s">
        <v>10818</v>
      </c>
      <c r="E145" s="15" t="str">
        <f>HYPERLINK("https://stat100.ameba.jp/tnk47/ratio20/illustrations/card/ill_86061_uotchimeika01.jpg?202007-5-RELEASE-marathon-481xx", "■")</f>
        <v>■</v>
      </c>
      <c r="F145" s="14" t="s">
        <v>8368</v>
      </c>
      <c r="G145" s="14">
        <v>78975</v>
      </c>
      <c r="H145" s="14">
        <v>84834</v>
      </c>
      <c r="I145" s="14">
        <v>27</v>
      </c>
      <c r="J145" s="14" t="s">
        <v>173</v>
      </c>
      <c r="K145" s="14" t="s">
        <v>8367</v>
      </c>
      <c r="L145" s="14" t="s">
        <v>8366</v>
      </c>
      <c r="M145" s="14" t="s">
        <v>13131</v>
      </c>
      <c r="N145" s="14" t="s">
        <v>251</v>
      </c>
      <c r="O145" s="14" t="s">
        <v>9158</v>
      </c>
      <c r="P145" s="14" t="s">
        <v>9158</v>
      </c>
      <c r="Q145" s="14" t="s">
        <v>9158</v>
      </c>
      <c r="R145" s="14" t="s">
        <v>14748</v>
      </c>
    </row>
    <row r="146" spans="1:18">
      <c r="A146" s="14">
        <v>86073</v>
      </c>
      <c r="B146" s="14" t="s">
        <v>334</v>
      </c>
      <c r="C146" s="14" t="s">
        <v>23</v>
      </c>
      <c r="D146" s="19" t="s">
        <v>10819</v>
      </c>
      <c r="E146" s="15" t="str">
        <f>HYPERLINK("https://stat100.ameba.jp/tnk47/ratio20/illustrations/card/ill_86073_maddohatta03.jpg?202007-5-RELEASE-marathon-481xx", "■")</f>
        <v>■</v>
      </c>
      <c r="F146" s="14" t="s">
        <v>8371</v>
      </c>
      <c r="G146" s="14">
        <v>123583</v>
      </c>
      <c r="H146" s="14">
        <v>132922</v>
      </c>
      <c r="I146" s="14">
        <v>27</v>
      </c>
      <c r="J146" s="14" t="s">
        <v>155</v>
      </c>
      <c r="K146" s="14" t="s">
        <v>8370</v>
      </c>
      <c r="L146" s="14" t="s">
        <v>8369</v>
      </c>
      <c r="M146" s="14" t="s">
        <v>13130</v>
      </c>
      <c r="N146" s="14" t="s">
        <v>343</v>
      </c>
      <c r="O146" s="14" t="s">
        <v>9158</v>
      </c>
      <c r="P146" s="14" t="s">
        <v>9158</v>
      </c>
      <c r="Q146" s="14" t="s">
        <v>9158</v>
      </c>
      <c r="R146" s="14" t="s">
        <v>14748</v>
      </c>
    </row>
    <row r="147" spans="1:18">
      <c r="A147" s="14">
        <v>86083</v>
      </c>
      <c r="B147" s="14" t="s">
        <v>334</v>
      </c>
      <c r="C147" s="14" t="s">
        <v>101</v>
      </c>
      <c r="D147" s="19" t="s">
        <v>10820</v>
      </c>
      <c r="E147" s="15" t="str">
        <f>HYPERLINK("https://stat100.ameba.jp/tnk47/ratio20/illustrations/card/ill_86083_keieinochojomeruro03.jpg?202007-5-RELEASE-marathon-481xx", "■")</f>
        <v>■</v>
      </c>
      <c r="F147" s="14" t="s">
        <v>8375</v>
      </c>
      <c r="G147" s="14">
        <v>132922</v>
      </c>
      <c r="H147" s="14">
        <v>123583</v>
      </c>
      <c r="I147" s="14">
        <v>27</v>
      </c>
      <c r="J147" s="14" t="s">
        <v>229</v>
      </c>
      <c r="K147" s="14" t="s">
        <v>8374</v>
      </c>
      <c r="L147" s="14" t="s">
        <v>8373</v>
      </c>
      <c r="M147" s="14" t="s">
        <v>13130</v>
      </c>
      <c r="N147" s="14" t="s">
        <v>343</v>
      </c>
      <c r="O147" s="14" t="s">
        <v>9158</v>
      </c>
      <c r="P147" s="14" t="s">
        <v>9158</v>
      </c>
      <c r="Q147" s="14" t="s">
        <v>9158</v>
      </c>
      <c r="R147" s="14" t="s">
        <v>14748</v>
      </c>
    </row>
    <row r="148" spans="1:18">
      <c r="A148" s="14">
        <v>86093</v>
      </c>
      <c r="B148" s="14" t="s">
        <v>0</v>
      </c>
      <c r="C148" s="14" t="s">
        <v>96</v>
      </c>
      <c r="D148" s="19" t="s">
        <v>10821</v>
      </c>
      <c r="E148" s="15" t="str">
        <f>HYPERLINK("https://stat100.ameba.jp/tnk47/ratio20/illustrations/card/ill_86093_minamotonoyoshimitsu03.jpg?202007-5-RELEASE-marathon-481xx", "■")</f>
        <v>■</v>
      </c>
      <c r="F148" s="14" t="s">
        <v>8379</v>
      </c>
      <c r="G148" s="14">
        <v>132922</v>
      </c>
      <c r="H148" s="14">
        <v>123583</v>
      </c>
      <c r="I148" s="14">
        <v>27</v>
      </c>
      <c r="J148" s="14" t="s">
        <v>194</v>
      </c>
      <c r="K148" s="14" t="s">
        <v>8377</v>
      </c>
      <c r="L148" s="14" t="s">
        <v>8376</v>
      </c>
      <c r="M148" s="14" t="s">
        <v>13130</v>
      </c>
      <c r="N148" s="14" t="s">
        <v>343</v>
      </c>
      <c r="O148" s="14" t="s">
        <v>9158</v>
      </c>
      <c r="P148" s="14" t="s">
        <v>9158</v>
      </c>
      <c r="Q148" s="14" t="s">
        <v>9158</v>
      </c>
      <c r="R148" s="14" t="s">
        <v>14748</v>
      </c>
    </row>
    <row r="149" spans="1:18">
      <c r="A149" s="14">
        <v>86103</v>
      </c>
      <c r="B149" s="14" t="s">
        <v>334</v>
      </c>
      <c r="C149" s="14" t="s">
        <v>205</v>
      </c>
      <c r="D149" s="19" t="s">
        <v>10822</v>
      </c>
      <c r="E149" s="15" t="str">
        <f>HYPERLINK("https://stat100.ameba.jp/tnk47/ratio20/illustrations/card/ill_86103_omatsudaimyojin03.jpg?202007-5-RELEASE-marathon-481xx", "■")</f>
        <v>■</v>
      </c>
      <c r="F149" s="14" t="s">
        <v>8383</v>
      </c>
      <c r="G149" s="14">
        <v>132922</v>
      </c>
      <c r="H149" s="14">
        <v>123583</v>
      </c>
      <c r="I149" s="14">
        <v>27</v>
      </c>
      <c r="J149" s="14" t="s">
        <v>169</v>
      </c>
      <c r="K149" s="14" t="s">
        <v>8381</v>
      </c>
      <c r="L149" s="14" t="s">
        <v>8380</v>
      </c>
      <c r="M149" s="14" t="s">
        <v>13130</v>
      </c>
      <c r="N149" s="14" t="s">
        <v>343</v>
      </c>
      <c r="O149" s="14" t="s">
        <v>9158</v>
      </c>
      <c r="P149" s="14" t="s">
        <v>9158</v>
      </c>
      <c r="Q149" s="14" t="s">
        <v>9158</v>
      </c>
      <c r="R149" s="14" t="s">
        <v>14748</v>
      </c>
    </row>
    <row r="150" spans="1:18">
      <c r="A150" s="14">
        <v>86113</v>
      </c>
      <c r="B150" s="14" t="s">
        <v>334</v>
      </c>
      <c r="C150" s="14" t="s">
        <v>107</v>
      </c>
      <c r="D150" s="19" t="s">
        <v>10823</v>
      </c>
      <c r="E150" s="15" t="str">
        <f>HYPERLINK("https://stat100.ameba.jp/tnk47/ratio20/illustrations/card/ill_86113_yuno03.jpg?202007-5-RELEASE-marathon-481xx", "■")</f>
        <v>■</v>
      </c>
      <c r="F150" s="14" t="s">
        <v>8387</v>
      </c>
      <c r="G150" s="14">
        <v>123583</v>
      </c>
      <c r="H150" s="14">
        <v>132922</v>
      </c>
      <c r="I150" s="14">
        <v>27</v>
      </c>
      <c r="J150" s="14" t="s">
        <v>159</v>
      </c>
      <c r="K150" s="14" t="s">
        <v>8385</v>
      </c>
      <c r="L150" s="14" t="s">
        <v>8384</v>
      </c>
      <c r="M150" s="14" t="s">
        <v>13130</v>
      </c>
      <c r="N150" s="14" t="s">
        <v>343</v>
      </c>
      <c r="O150" s="14" t="s">
        <v>9158</v>
      </c>
      <c r="P150" s="14" t="s">
        <v>9158</v>
      </c>
      <c r="Q150" s="14" t="s">
        <v>9158</v>
      </c>
      <c r="R150" s="14" t="s">
        <v>14748</v>
      </c>
    </row>
    <row r="152" spans="1:18">
      <c r="A152" s="14" t="s">
        <v>14188</v>
      </c>
    </row>
    <row r="153" spans="1:18">
      <c r="A153" s="14" t="s">
        <v>14189</v>
      </c>
    </row>
    <row r="154" spans="1:18">
      <c r="A154" s="14" t="s">
        <v>14190</v>
      </c>
    </row>
    <row r="155" spans="1:18">
      <c r="A155" s="14" t="s">
        <v>13442</v>
      </c>
      <c r="B155" s="7" t="s">
        <v>52</v>
      </c>
      <c r="C155" s="14" t="s">
        <v>202</v>
      </c>
      <c r="D155" s="18" t="s">
        <v>13441</v>
      </c>
      <c r="E155" s="15" t="str">
        <f>HYPERLINK("https://stat100.ameba.jp/tnk47/ratio20/illustrations/card/ill_90393_0_nangokubakansusanukiudonchan03.jpg?202007-5-RELEASE-marathon-481xx", "■")</f>
        <v>■</v>
      </c>
      <c r="F155" s="14" t="s">
        <v>13443</v>
      </c>
      <c r="G155" s="14">
        <v>281517</v>
      </c>
      <c r="H155" s="14">
        <v>344095</v>
      </c>
      <c r="I155" s="7">
        <v>27</v>
      </c>
      <c r="J155" s="14" t="s">
        <v>104</v>
      </c>
      <c r="K155" s="14" t="s">
        <v>13444</v>
      </c>
      <c r="L155" s="14" t="s">
        <v>13445</v>
      </c>
      <c r="M155" s="14" t="s">
        <v>9158</v>
      </c>
      <c r="N155" s="14" t="s">
        <v>9158</v>
      </c>
      <c r="O155" s="6" t="s">
        <v>13446</v>
      </c>
      <c r="P155" s="7" t="s">
        <v>13447</v>
      </c>
      <c r="Q155" s="7">
        <v>1</v>
      </c>
    </row>
    <row r="156" spans="1:18">
      <c r="A156" s="14">
        <v>90563</v>
      </c>
      <c r="B156" s="14" t="s">
        <v>0</v>
      </c>
      <c r="C156" s="14" t="s">
        <v>14196</v>
      </c>
      <c r="D156" s="14" t="s">
        <v>14195</v>
      </c>
      <c r="E156" s="15" t="str">
        <f>HYPERLINK("https://stat100.ameba.jp/tnk47/ratio20/illustrations/card/ill_90563_jinro03.jpg?202007-5-RELEASE-marathon-481xx", "■")</f>
        <v>■</v>
      </c>
      <c r="F156" s="14" t="s">
        <v>14194</v>
      </c>
      <c r="G156" s="14">
        <v>160507</v>
      </c>
      <c r="H156" s="14">
        <v>149240</v>
      </c>
      <c r="I156" s="7">
        <v>27</v>
      </c>
      <c r="J156" s="14" t="s">
        <v>14174</v>
      </c>
      <c r="K156" s="14" t="s">
        <v>14193</v>
      </c>
      <c r="L156" s="14" t="s">
        <v>14192</v>
      </c>
      <c r="M156" s="14" t="s">
        <v>9158</v>
      </c>
      <c r="N156" s="14" t="s">
        <v>9158</v>
      </c>
      <c r="O156" s="14" t="s">
        <v>9158</v>
      </c>
      <c r="P156" s="14" t="s">
        <v>9158</v>
      </c>
      <c r="Q156" s="14" t="s">
        <v>9158</v>
      </c>
    </row>
    <row r="157" spans="1:18">
      <c r="A157" s="14">
        <v>90573</v>
      </c>
      <c r="B157" s="14" t="s">
        <v>0</v>
      </c>
      <c r="C157" s="14" t="s">
        <v>14175</v>
      </c>
      <c r="D157" s="14" t="s">
        <v>14201</v>
      </c>
      <c r="E157" s="15" t="str">
        <f>HYPERLINK("https://stat100.ameba.jp/tnk47/ratio20/illustrations/card/ill_90573_yoigokochiizumonokuni03.jpg?202007-5-RELEASE-marathon-481xx", "■")</f>
        <v>■</v>
      </c>
      <c r="F157" s="14" t="s">
        <v>14200</v>
      </c>
      <c r="G157" s="14">
        <v>105465</v>
      </c>
      <c r="H157" s="14">
        <v>98019</v>
      </c>
      <c r="I157" s="7">
        <v>27</v>
      </c>
      <c r="J157" s="14" t="s">
        <v>14199</v>
      </c>
      <c r="K157" s="14" t="s">
        <v>14198</v>
      </c>
      <c r="L157" s="14" t="s">
        <v>14197</v>
      </c>
      <c r="M157" s="14" t="s">
        <v>9158</v>
      </c>
      <c r="N157" s="14" t="s">
        <v>9158</v>
      </c>
      <c r="O157" s="14" t="s">
        <v>9158</v>
      </c>
      <c r="P157" s="14" t="s">
        <v>9158</v>
      </c>
      <c r="Q157" s="14" t="s">
        <v>9158</v>
      </c>
    </row>
    <row r="158" spans="1:18">
      <c r="A158" s="14">
        <v>90583</v>
      </c>
      <c r="B158" s="14" t="s">
        <v>15</v>
      </c>
      <c r="C158" s="14" t="s">
        <v>185</v>
      </c>
      <c r="D158" s="14" t="s">
        <v>14205</v>
      </c>
      <c r="E158" s="15" t="str">
        <f>HYPERLINK("https://stat100.ameba.jp/tnk47/ratio20/illustrations/card/ill_90583_rapusukamui03.jpg?202007-5-RELEASE-marathon-481xx", "■")</f>
        <v>■</v>
      </c>
      <c r="F158" s="14" t="s">
        <v>14204</v>
      </c>
      <c r="G158" s="14">
        <v>72586</v>
      </c>
      <c r="H158" s="14">
        <v>80028</v>
      </c>
      <c r="I158" s="7">
        <v>27</v>
      </c>
      <c r="J158" s="14" t="s">
        <v>14174</v>
      </c>
      <c r="K158" s="14" t="s">
        <v>14203</v>
      </c>
      <c r="L158" s="14" t="s">
        <v>14202</v>
      </c>
      <c r="M158" s="14" t="s">
        <v>9158</v>
      </c>
      <c r="N158" s="14" t="s">
        <v>9158</v>
      </c>
      <c r="O158" s="14" t="s">
        <v>9158</v>
      </c>
      <c r="P158" s="14" t="s">
        <v>9158</v>
      </c>
      <c r="Q158" s="14" t="s">
        <v>9158</v>
      </c>
    </row>
    <row r="159" spans="1:18">
      <c r="A159" s="14">
        <v>90593</v>
      </c>
      <c r="B159" s="14" t="s">
        <v>22</v>
      </c>
      <c r="C159" s="14" t="s">
        <v>14211</v>
      </c>
      <c r="D159" s="14" t="s">
        <v>14210</v>
      </c>
      <c r="E159" s="15" t="str">
        <f>HYPERLINK("https://stat100.ameba.jp/tnk47/ratio20/illustrations/card/ill_90593_umimonogatarikagoikenokitsune03.jpg?202007-5-RELEASE-marathon-481xx", "■")</f>
        <v>■</v>
      </c>
      <c r="F159" s="14" t="s">
        <v>14209</v>
      </c>
      <c r="G159" s="14">
        <v>56138</v>
      </c>
      <c r="H159" s="14">
        <v>46676</v>
      </c>
      <c r="I159" s="7">
        <v>27</v>
      </c>
      <c r="J159" s="14" t="s">
        <v>14208</v>
      </c>
      <c r="K159" s="14" t="s">
        <v>14207</v>
      </c>
      <c r="L159" s="14" t="s">
        <v>14206</v>
      </c>
      <c r="M159" s="14" t="s">
        <v>9158</v>
      </c>
      <c r="N159" s="14" t="s">
        <v>9158</v>
      </c>
      <c r="O159" s="14" t="s">
        <v>9158</v>
      </c>
      <c r="P159" s="14" t="s">
        <v>9158</v>
      </c>
      <c r="Q159" s="14" t="s">
        <v>9158</v>
      </c>
    </row>
    <row r="160" spans="1:18">
      <c r="A160" s="14">
        <v>90603</v>
      </c>
      <c r="B160" s="14" t="s">
        <v>22</v>
      </c>
      <c r="C160" s="14" t="s">
        <v>14176</v>
      </c>
      <c r="D160" s="14" t="s">
        <v>14216</v>
      </c>
      <c r="E160" s="15" t="str">
        <f>HYPERLINK("https://stat100.ameba.jp/tnk47/ratio20/illustrations/card/ill_90603_sengokumibirakiazusamitenjinnokomaneko03.jpg?202007-5-RELEASE-marathon-481xx", "■")</f>
        <v>■</v>
      </c>
      <c r="F160" s="14" t="s">
        <v>14215</v>
      </c>
      <c r="G160" s="14">
        <v>46676</v>
      </c>
      <c r="H160" s="14">
        <v>56138</v>
      </c>
      <c r="I160" s="7">
        <v>27</v>
      </c>
      <c r="J160" s="14" t="s">
        <v>14214</v>
      </c>
      <c r="K160" s="14" t="s">
        <v>14213</v>
      </c>
      <c r="L160" s="14" t="s">
        <v>14212</v>
      </c>
      <c r="M160" s="14" t="s">
        <v>9158</v>
      </c>
      <c r="N160" s="14" t="s">
        <v>9158</v>
      </c>
      <c r="O160" s="14" t="s">
        <v>9158</v>
      </c>
      <c r="P160" s="14" t="s">
        <v>9158</v>
      </c>
      <c r="Q160" s="14" t="s">
        <v>9158</v>
      </c>
    </row>
    <row r="162" spans="1:18">
      <c r="A162" s="14" t="s">
        <v>204</v>
      </c>
      <c r="D162" s="7"/>
    </row>
    <row r="163" spans="1:18">
      <c r="A163" s="14" t="s">
        <v>14191</v>
      </c>
      <c r="D163" s="7"/>
    </row>
    <row r="164" spans="1:18">
      <c r="A164" s="14" t="s">
        <v>5843</v>
      </c>
      <c r="B164" s="14" t="s">
        <v>52</v>
      </c>
      <c r="C164" s="14" t="s">
        <v>202</v>
      </c>
      <c r="D164" s="19" t="s">
        <v>10291</v>
      </c>
      <c r="E164" s="15" t="str">
        <f>HYPERLINK("https://stat100.ameba.jp/tnk47/ratio20/illustrations/card/ill_77963_0_kurisumasudaisakusentakiyashahime03.jpg?202007-5-RELEASE-marathon-481xx", "■")</f>
        <v>■</v>
      </c>
      <c r="F164" s="14" t="s">
        <v>2127</v>
      </c>
      <c r="G164" s="14">
        <v>270184</v>
      </c>
      <c r="H164" s="14">
        <v>244188</v>
      </c>
      <c r="I164" s="14">
        <v>22</v>
      </c>
      <c r="J164" s="14" t="s">
        <v>77</v>
      </c>
      <c r="K164" s="14" t="s">
        <v>2128</v>
      </c>
      <c r="L164" s="14" t="s">
        <v>2129</v>
      </c>
      <c r="M164" s="14" t="s">
        <v>9158</v>
      </c>
      <c r="N164" s="14" t="s">
        <v>9158</v>
      </c>
      <c r="O164" s="19" t="s">
        <v>10107</v>
      </c>
      <c r="P164" s="14" t="s">
        <v>3589</v>
      </c>
      <c r="Q164" s="14">
        <v>2</v>
      </c>
    </row>
    <row r="165" spans="1:18">
      <c r="A165" s="14" t="s">
        <v>5607</v>
      </c>
      <c r="B165" s="14" t="s">
        <v>330</v>
      </c>
      <c r="C165" s="14" t="s">
        <v>200</v>
      </c>
      <c r="D165" s="19" t="s">
        <v>421</v>
      </c>
      <c r="E165" s="15" t="str">
        <f>HYPERLINK("https://stat100.ameba.jp/tnk47/ratio20/illustrations/card/ill_58853_0_setsubumpanikkuhiratsukaraicho03.jpg?202007-5-RELEASE-marathon-481xx", "■")</f>
        <v>■</v>
      </c>
      <c r="F165" s="14" t="s">
        <v>1040</v>
      </c>
      <c r="G165" s="14">
        <v>138212</v>
      </c>
      <c r="H165" s="14">
        <v>122776</v>
      </c>
      <c r="I165" s="14">
        <v>22</v>
      </c>
      <c r="J165" s="14" t="s">
        <v>16</v>
      </c>
      <c r="K165" s="14" t="s">
        <v>1041</v>
      </c>
      <c r="L165" s="14" t="s">
        <v>1042</v>
      </c>
      <c r="M165" s="14" t="s">
        <v>9158</v>
      </c>
      <c r="N165" s="14" t="s">
        <v>9158</v>
      </c>
      <c r="O165" s="6" t="s">
        <v>10059</v>
      </c>
      <c r="P165" s="14" t="s">
        <v>2870</v>
      </c>
      <c r="Q165" s="14">
        <v>1</v>
      </c>
    </row>
    <row r="166" spans="1:18">
      <c r="A166" s="14" t="s">
        <v>5604</v>
      </c>
      <c r="B166" s="14" t="s">
        <v>330</v>
      </c>
      <c r="C166" s="14" t="s">
        <v>206</v>
      </c>
      <c r="D166" s="19" t="s">
        <v>614</v>
      </c>
      <c r="E166" s="15" t="str">
        <f>HYPERLINK("https://stat100.ameba.jp/tnk47/ratio20/illustrations/card/ill_47263_0_oukyuuatsuhime03.jpg?202007-5-RELEASE-marathon-481xx", "■")</f>
        <v>■</v>
      </c>
      <c r="F166" s="14" t="s">
        <v>615</v>
      </c>
      <c r="G166" s="14">
        <v>138212</v>
      </c>
      <c r="H166" s="14">
        <v>122776</v>
      </c>
      <c r="I166" s="14">
        <v>22</v>
      </c>
      <c r="J166" s="14" t="s">
        <v>315</v>
      </c>
      <c r="K166" s="14" t="s">
        <v>616</v>
      </c>
      <c r="L166" s="14" t="s">
        <v>617</v>
      </c>
      <c r="M166" s="14" t="s">
        <v>9158</v>
      </c>
      <c r="N166" s="14" t="s">
        <v>9158</v>
      </c>
      <c r="O166" s="14" t="s">
        <v>9158</v>
      </c>
      <c r="P166" s="14" t="s">
        <v>9158</v>
      </c>
      <c r="Q166" s="14" t="s">
        <v>9158</v>
      </c>
    </row>
    <row r="167" spans="1:18">
      <c r="A167" s="9">
        <v>70793</v>
      </c>
      <c r="B167" s="14" t="s">
        <v>334</v>
      </c>
      <c r="C167" s="14" t="s">
        <v>191</v>
      </c>
      <c r="D167" s="14" t="s">
        <v>3257</v>
      </c>
      <c r="E167" s="15" t="str">
        <f>HYPERLINK("https://stat100.ameba.jp/tnk47/ratio20/illustrations/card/ill_70793_tojimbo03.jpg?202007-5-RELEASE-marathon-481xx", "■")</f>
        <v>■</v>
      </c>
      <c r="F167" s="14" t="s">
        <v>3258</v>
      </c>
      <c r="G167" s="14">
        <v>130214</v>
      </c>
      <c r="H167" s="14">
        <v>73270</v>
      </c>
      <c r="I167" s="14">
        <v>27</v>
      </c>
      <c r="J167" s="14" t="s">
        <v>26</v>
      </c>
      <c r="K167" s="14" t="s">
        <v>3259</v>
      </c>
      <c r="L167" s="14" t="s">
        <v>3260</v>
      </c>
      <c r="M167" s="14" t="s">
        <v>9158</v>
      </c>
      <c r="N167" s="14" t="s">
        <v>9158</v>
      </c>
      <c r="O167" s="14" t="s">
        <v>9158</v>
      </c>
      <c r="P167" s="14" t="s">
        <v>9158</v>
      </c>
      <c r="Q167" s="14" t="s">
        <v>9158</v>
      </c>
    </row>
    <row r="168" spans="1:18">
      <c r="A168" s="9">
        <v>72583</v>
      </c>
      <c r="B168" s="14" t="s">
        <v>334</v>
      </c>
      <c r="C168" s="14" t="s">
        <v>107</v>
      </c>
      <c r="D168" s="14" t="s">
        <v>4751</v>
      </c>
      <c r="E168" s="15" t="str">
        <f>HYPERLINK("https://stat100.ameba.jp/tnk47/ratio20/illustrations/card/ill_72583_itohime03.jpg?202007-5-RELEASE-marathon-481xx", "■")</f>
        <v>■</v>
      </c>
      <c r="F168" s="14" t="s">
        <v>4752</v>
      </c>
      <c r="G168" s="14">
        <v>130214</v>
      </c>
      <c r="H168" s="14">
        <v>73270</v>
      </c>
      <c r="I168" s="14">
        <v>27</v>
      </c>
      <c r="J168" s="14" t="s">
        <v>77</v>
      </c>
      <c r="K168" s="14" t="s">
        <v>4753</v>
      </c>
      <c r="L168" s="14" t="s">
        <v>76</v>
      </c>
      <c r="M168" s="14" t="s">
        <v>9158</v>
      </c>
      <c r="N168" s="14" t="s">
        <v>9158</v>
      </c>
      <c r="O168" s="14" t="s">
        <v>9158</v>
      </c>
      <c r="P168" s="14" t="s">
        <v>9158</v>
      </c>
      <c r="Q168" s="14" t="s">
        <v>9158</v>
      </c>
    </row>
    <row r="169" spans="1:18">
      <c r="A169" s="7">
        <v>85183</v>
      </c>
      <c r="B169" s="7" t="s">
        <v>0</v>
      </c>
      <c r="C169" s="7" t="s">
        <v>205</v>
      </c>
      <c r="D169" s="19" t="s">
        <v>10773</v>
      </c>
      <c r="E169" s="15" t="str">
        <f>HYPERLINK("https://stat100.ameba.jp/tnk47/ratio20/illustrations/card/ill_64193_meikokoizumiyakumo03.jpg?202007-5-RELEASE-marathon-481xx", "■")</f>
        <v>■</v>
      </c>
      <c r="F169" s="7" t="s">
        <v>8025</v>
      </c>
      <c r="G169" s="7">
        <v>109481</v>
      </c>
      <c r="H169" s="7">
        <v>101837</v>
      </c>
      <c r="I169" s="14">
        <v>27</v>
      </c>
      <c r="J169" s="7" t="s">
        <v>159</v>
      </c>
      <c r="K169" s="7" t="s">
        <v>1993</v>
      </c>
      <c r="L169" s="7" t="s">
        <v>7332</v>
      </c>
      <c r="M169" s="14" t="s">
        <v>9158</v>
      </c>
      <c r="N169" s="14" t="s">
        <v>9158</v>
      </c>
      <c r="O169" s="14" t="s">
        <v>9158</v>
      </c>
      <c r="P169" s="14" t="s">
        <v>9158</v>
      </c>
      <c r="Q169" s="14" t="s">
        <v>9158</v>
      </c>
    </row>
    <row r="171" spans="1:18">
      <c r="A171" s="14" t="s">
        <v>14100</v>
      </c>
    </row>
    <row r="172" spans="1:18">
      <c r="A172" s="14" t="s">
        <v>14101</v>
      </c>
    </row>
    <row r="173" spans="1:18">
      <c r="A173" s="14">
        <v>90495</v>
      </c>
      <c r="B173" t="s">
        <v>0</v>
      </c>
      <c r="C173" s="14" t="s">
        <v>202</v>
      </c>
      <c r="D173" s="14" t="s">
        <v>14102</v>
      </c>
      <c r="E173" s="15" t="str">
        <f>HYPERLINK("https://stat100.ameba.jp/tnk47/ratio20/illustrations/card/ill_90495_rosutotekunoroji05.jpg?202007-5-RELEASE-marathon-481xx", "■")</f>
        <v>■</v>
      </c>
      <c r="F173" s="14" t="s">
        <v>14105</v>
      </c>
      <c r="G173" s="14">
        <v>131805</v>
      </c>
      <c r="H173" s="14">
        <v>95431</v>
      </c>
      <c r="I173" s="14">
        <v>27</v>
      </c>
      <c r="J173" s="14" t="s">
        <v>13908</v>
      </c>
      <c r="K173" s="14" t="s">
        <v>14107</v>
      </c>
      <c r="L173" s="14" t="s">
        <v>14106</v>
      </c>
      <c r="M173" s="14" t="s">
        <v>9158</v>
      </c>
      <c r="N173" s="14" t="s">
        <v>9158</v>
      </c>
      <c r="O173" s="14" t="s">
        <v>9158</v>
      </c>
      <c r="P173" s="14" t="s">
        <v>9158</v>
      </c>
      <c r="Q173" s="14" t="s">
        <v>9158</v>
      </c>
      <c r="R173" s="14" t="s">
        <v>174</v>
      </c>
    </row>
    <row r="174" spans="1:18">
      <c r="A174" s="14">
        <v>90493</v>
      </c>
      <c r="B174" t="s">
        <v>15</v>
      </c>
      <c r="C174" s="14" t="s">
        <v>14103</v>
      </c>
      <c r="D174" s="14" t="s">
        <v>14102</v>
      </c>
      <c r="E174" s="15" t="str">
        <f>HYPERLINK("https://stat100.ameba.jp/tnk47/ratio20/illustrations/card/ill_90493_rosutotekunoroji03.jpg?202007-5-RELEASE-marathon-481xx", "■")</f>
        <v>■</v>
      </c>
      <c r="F174" s="14" t="s">
        <v>14105</v>
      </c>
      <c r="G174" s="14">
        <v>97110</v>
      </c>
      <c r="H174" s="14">
        <v>70303</v>
      </c>
      <c r="I174" s="14">
        <v>27</v>
      </c>
      <c r="J174" s="14" t="s">
        <v>13908</v>
      </c>
      <c r="K174" s="14" t="s">
        <v>14107</v>
      </c>
      <c r="L174" s="14" t="s">
        <v>14108</v>
      </c>
      <c r="M174" s="14" t="s">
        <v>9158</v>
      </c>
      <c r="N174" s="14" t="s">
        <v>9158</v>
      </c>
      <c r="O174" s="14" t="s">
        <v>9158</v>
      </c>
      <c r="P174" s="14" t="s">
        <v>9158</v>
      </c>
      <c r="Q174" s="14" t="s">
        <v>9158</v>
      </c>
      <c r="R174" s="14" t="s">
        <v>175</v>
      </c>
    </row>
    <row r="175" spans="1:18">
      <c r="A175" s="14">
        <v>90491</v>
      </c>
      <c r="B175" t="s">
        <v>15</v>
      </c>
      <c r="C175" s="14" t="s">
        <v>14103</v>
      </c>
      <c r="D175" s="14" t="s">
        <v>14102</v>
      </c>
      <c r="E175" s="15" t="str">
        <f>HYPERLINK("https://stat100.ameba.jp/tnk47/ratio20/illustrations/card/ill_90491_rosutotekunoroji01.jpg?202007-5-RELEASE-marathon-481xx", "■")</f>
        <v>■</v>
      </c>
      <c r="F175" s="14" t="s">
        <v>14105</v>
      </c>
      <c r="G175" s="14">
        <v>61776</v>
      </c>
      <c r="H175" s="14">
        <v>44739</v>
      </c>
      <c r="I175" s="14">
        <v>27</v>
      </c>
      <c r="J175" s="14" t="s">
        <v>13908</v>
      </c>
      <c r="K175" s="14" t="s">
        <v>14107</v>
      </c>
      <c r="L175" s="14" t="s">
        <v>14109</v>
      </c>
      <c r="M175" s="14" t="s">
        <v>9158</v>
      </c>
      <c r="N175" s="14" t="s">
        <v>9158</v>
      </c>
      <c r="O175" s="14" t="s">
        <v>9158</v>
      </c>
      <c r="P175" s="14" t="s">
        <v>9158</v>
      </c>
      <c r="Q175" s="14" t="s">
        <v>9158</v>
      </c>
      <c r="R175" s="14" t="s">
        <v>176</v>
      </c>
    </row>
    <row r="177" spans="1:17">
      <c r="A177" s="14" t="s">
        <v>13837</v>
      </c>
    </row>
    <row r="178" spans="1:17">
      <c r="A178" s="14" t="s">
        <v>14104</v>
      </c>
    </row>
    <row r="179" spans="1:17">
      <c r="A179" s="14" t="s">
        <v>5642</v>
      </c>
      <c r="B179" s="14" t="s">
        <v>330</v>
      </c>
      <c r="C179" s="14" t="s">
        <v>185</v>
      </c>
      <c r="D179" s="20" t="s">
        <v>3086</v>
      </c>
      <c r="E179" s="15" t="str">
        <f>HYPERLINK("https://stat100.ameba.jp/tnk47/ratio20/illustrations/card/ill_69593_0_setsubunyukionna03.jpg?202007-5-RELEASE-marathon-481xx", "■")</f>
        <v>■</v>
      </c>
      <c r="F179" s="14" t="s">
        <v>3087</v>
      </c>
      <c r="G179" s="14">
        <v>178578</v>
      </c>
      <c r="H179" s="14">
        <v>192083</v>
      </c>
      <c r="I179" s="14">
        <v>25</v>
      </c>
      <c r="J179" s="14" t="s">
        <v>320</v>
      </c>
      <c r="K179" s="14" t="s">
        <v>3088</v>
      </c>
      <c r="L179" s="14" t="s">
        <v>3089</v>
      </c>
      <c r="M179" s="14" t="s">
        <v>9158</v>
      </c>
      <c r="N179" s="14" t="s">
        <v>9158</v>
      </c>
      <c r="O179" s="19" t="s">
        <v>3090</v>
      </c>
      <c r="P179" s="14" t="s">
        <v>3091</v>
      </c>
      <c r="Q179" s="14">
        <v>2</v>
      </c>
    </row>
    <row r="180" spans="1:17">
      <c r="A180" s="14">
        <v>77123</v>
      </c>
      <c r="B180" s="14" t="s">
        <v>334</v>
      </c>
      <c r="C180" s="14" t="s">
        <v>191</v>
      </c>
      <c r="D180" s="20" t="s">
        <v>10424</v>
      </c>
      <c r="E180" s="15" t="str">
        <f>HYPERLINK("https://stat100.ameba.jp/tnk47/ratio20/illustrations/card/ill_77123_yukemuriizuna03.jpg?202007-5-RELEASE-marathon-481xx", "■")</f>
        <v>■</v>
      </c>
      <c r="F180" s="14" t="s">
        <v>1377</v>
      </c>
      <c r="G180" s="14">
        <v>108330</v>
      </c>
      <c r="H180" s="14">
        <v>100744</v>
      </c>
      <c r="I180" s="14">
        <v>26</v>
      </c>
      <c r="J180" s="14" t="s">
        <v>320</v>
      </c>
      <c r="K180" s="14" t="s">
        <v>1378</v>
      </c>
      <c r="L180" s="14" t="s">
        <v>1379</v>
      </c>
      <c r="M180" s="14" t="s">
        <v>9158</v>
      </c>
      <c r="N180" s="14" t="s">
        <v>9158</v>
      </c>
      <c r="O180" s="19" t="s">
        <v>2838</v>
      </c>
      <c r="P180" s="14" t="s">
        <v>3579</v>
      </c>
      <c r="Q180" s="14">
        <v>1</v>
      </c>
    </row>
    <row r="181" spans="1:17">
      <c r="A181" s="14">
        <v>84153</v>
      </c>
      <c r="B181" s="14" t="s">
        <v>0</v>
      </c>
      <c r="C181" s="14" t="s">
        <v>165</v>
      </c>
      <c r="D181" s="20" t="s">
        <v>14065</v>
      </c>
      <c r="E181" s="15" t="str">
        <f>HYPERLINK("https://stat100.ameba.jp/tnk47/ratio20/illustrations/card/ill_84153_tarottotoyotomihideyori03.jpg?202007-5-RELEASE-marathon-481xx", "■")</f>
        <v>■</v>
      </c>
      <c r="F181" s="14" t="s">
        <v>7155</v>
      </c>
      <c r="G181" s="14">
        <v>154562</v>
      </c>
      <c r="H181" s="14">
        <v>143714</v>
      </c>
      <c r="I181" s="14">
        <v>26</v>
      </c>
      <c r="J181" s="14" t="s">
        <v>143</v>
      </c>
      <c r="K181" s="14" t="s">
        <v>7156</v>
      </c>
      <c r="L181" s="14" t="s">
        <v>145</v>
      </c>
      <c r="M181" s="14" t="s">
        <v>9158</v>
      </c>
      <c r="N181" s="14" t="s">
        <v>9158</v>
      </c>
      <c r="O181" s="19" t="s">
        <v>10090</v>
      </c>
      <c r="P181" s="14" t="s">
        <v>3460</v>
      </c>
      <c r="Q181" s="14">
        <v>1</v>
      </c>
    </row>
    <row r="182" spans="1:17">
      <c r="A182" s="14">
        <v>66363</v>
      </c>
      <c r="B182" s="14" t="s">
        <v>334</v>
      </c>
      <c r="C182" s="14" t="s">
        <v>158</v>
      </c>
      <c r="D182" s="19" t="s">
        <v>2910</v>
      </c>
      <c r="E182" s="15" t="str">
        <f>HYPERLINK("https://stat100.ameba.jp/tnk47/ratio20/illustrations/card/ill_66363_iharasaikaku03.jpg?202007-5-RELEASE-marathon-481xx", "■")</f>
        <v>■</v>
      </c>
      <c r="F182" s="14" t="s">
        <v>122</v>
      </c>
      <c r="G182" s="9">
        <v>85492</v>
      </c>
      <c r="H182" s="9">
        <v>118000</v>
      </c>
      <c r="I182" s="14">
        <v>26</v>
      </c>
      <c r="J182" s="14" t="s">
        <v>414</v>
      </c>
      <c r="K182" s="14" t="s">
        <v>2911</v>
      </c>
      <c r="L182" s="14" t="s">
        <v>1575</v>
      </c>
      <c r="M182" s="14" t="s">
        <v>9158</v>
      </c>
      <c r="N182" s="14" t="s">
        <v>9158</v>
      </c>
      <c r="O182" s="19" t="s">
        <v>10074</v>
      </c>
      <c r="P182" s="14" t="s">
        <v>2822</v>
      </c>
      <c r="Q182" s="14">
        <v>1</v>
      </c>
    </row>
    <row r="184" spans="1:17">
      <c r="A184" s="14" t="s">
        <v>14217</v>
      </c>
    </row>
    <row r="185" spans="1:17">
      <c r="A185" s="14" t="s">
        <v>14218</v>
      </c>
    </row>
    <row r="186" spans="1:17">
      <c r="A186" s="14" t="s">
        <v>5606</v>
      </c>
      <c r="B186" s="14" t="s">
        <v>52</v>
      </c>
      <c r="C186" s="14" t="s">
        <v>206</v>
      </c>
      <c r="D186" s="20" t="s">
        <v>2936</v>
      </c>
      <c r="E186" s="15" t="str">
        <f>HYPERLINK("https://stat100.ameba.jp/tnk47/ratio20/illustrations/card/ill_72233_0_koinoboriryugujin03.jpg?202007-5-RELEASE-marathon-481xx", "■")</f>
        <v>■</v>
      </c>
      <c r="F186" s="14" t="s">
        <v>1012</v>
      </c>
      <c r="G186" s="14">
        <v>157432</v>
      </c>
      <c r="H186" s="14">
        <v>169334</v>
      </c>
      <c r="I186" s="14">
        <v>24</v>
      </c>
      <c r="J186" s="14" t="s">
        <v>44</v>
      </c>
      <c r="K186" s="14" t="s">
        <v>1013</v>
      </c>
      <c r="L186" s="14" t="s">
        <v>1014</v>
      </c>
      <c r="M186" s="14" t="s">
        <v>9158</v>
      </c>
      <c r="N186" s="14" t="s">
        <v>9158</v>
      </c>
      <c r="O186" s="19" t="s">
        <v>2940</v>
      </c>
      <c r="P186" s="14" t="s">
        <v>2941</v>
      </c>
      <c r="Q186" s="14">
        <v>2</v>
      </c>
    </row>
    <row r="187" spans="1:17">
      <c r="A187" s="14" t="s">
        <v>5602</v>
      </c>
      <c r="B187" s="14" t="s">
        <v>52</v>
      </c>
      <c r="C187" s="14" t="s">
        <v>14</v>
      </c>
      <c r="D187" s="20" t="s">
        <v>813</v>
      </c>
      <c r="E187" s="15" t="str">
        <f>HYPERLINK("https://stat100.ameba.jp/tnk47/ratio20/illustrations/card/ill_55313_0_haroinononokomachi03.jpg?202007-5-RELEASE-marathon-481xx", "■")</f>
        <v>■</v>
      </c>
      <c r="F187" s="14" t="s">
        <v>2094</v>
      </c>
      <c r="G187" s="14">
        <v>150776</v>
      </c>
      <c r="H187" s="14">
        <v>133938</v>
      </c>
      <c r="I187" s="14">
        <v>24</v>
      </c>
      <c r="J187" s="14" t="s">
        <v>10</v>
      </c>
      <c r="K187" s="14" t="s">
        <v>2095</v>
      </c>
      <c r="L187" s="14" t="s">
        <v>2096</v>
      </c>
      <c r="M187" s="14" t="s">
        <v>9158</v>
      </c>
      <c r="N187" s="14" t="s">
        <v>9158</v>
      </c>
      <c r="O187" s="19" t="s">
        <v>2733</v>
      </c>
      <c r="P187" s="14" t="s">
        <v>2734</v>
      </c>
      <c r="Q187" s="14">
        <v>1</v>
      </c>
    </row>
    <row r="188" spans="1:17">
      <c r="A188" s="14" t="s">
        <v>6132</v>
      </c>
      <c r="B188" s="14" t="s">
        <v>52</v>
      </c>
      <c r="C188" s="14" t="s">
        <v>205</v>
      </c>
      <c r="D188" s="19" t="s">
        <v>702</v>
      </c>
      <c r="E188" s="15" t="str">
        <f>HYPERLINK("https://stat100.ameba.jp/tnk47/ratio20/illustrations/card/ill_50693_0_hanamizugimimuratsuru03.jpg?202007-5-RELEASE-marathon-481xx", "■")</f>
        <v>■</v>
      </c>
      <c r="F188" s="14" t="s">
        <v>2282</v>
      </c>
      <c r="G188" s="14">
        <v>133938</v>
      </c>
      <c r="H188" s="14">
        <v>150776</v>
      </c>
      <c r="I188" s="14">
        <v>24</v>
      </c>
      <c r="J188" s="14" t="s">
        <v>143</v>
      </c>
      <c r="K188" s="14" t="s">
        <v>2283</v>
      </c>
      <c r="L188" s="14" t="s">
        <v>2284</v>
      </c>
      <c r="M188" s="14" t="s">
        <v>9158</v>
      </c>
      <c r="N188" s="14" t="s">
        <v>9158</v>
      </c>
      <c r="O188" s="14" t="s">
        <v>9158</v>
      </c>
      <c r="P188" s="14" t="s">
        <v>9158</v>
      </c>
      <c r="Q188" s="14" t="s">
        <v>9158</v>
      </c>
    </row>
    <row r="189" spans="1:17">
      <c r="A189" s="14">
        <v>90563</v>
      </c>
      <c r="B189" s="14" t="s">
        <v>0</v>
      </c>
      <c r="C189" s="14" t="s">
        <v>14196</v>
      </c>
      <c r="D189" s="14" t="s">
        <v>14195</v>
      </c>
      <c r="E189" s="15" t="str">
        <f>HYPERLINK("https://stat100.ameba.jp/tnk47/ratio20/illustrations/card/ill_90563_jinro03.jpg?202007-5-RELEASE-marathon-481xx", "■")</f>
        <v>■</v>
      </c>
      <c r="F189" s="14" t="s">
        <v>14194</v>
      </c>
      <c r="G189" s="14">
        <v>154562</v>
      </c>
      <c r="H189" s="14">
        <v>143714</v>
      </c>
      <c r="I189" s="14">
        <v>26</v>
      </c>
      <c r="J189" s="14" t="s">
        <v>14174</v>
      </c>
      <c r="K189" s="14" t="s">
        <v>14193</v>
      </c>
      <c r="L189" s="14" t="s">
        <v>14192</v>
      </c>
      <c r="M189" s="14" t="s">
        <v>9158</v>
      </c>
      <c r="N189" s="14" t="s">
        <v>9158</v>
      </c>
      <c r="O189" s="14" t="s">
        <v>9158</v>
      </c>
      <c r="P189" s="14" t="s">
        <v>9158</v>
      </c>
      <c r="Q189" s="14" t="s">
        <v>9158</v>
      </c>
    </row>
    <row r="190" spans="1:17">
      <c r="A190" s="14">
        <v>90583</v>
      </c>
      <c r="B190" s="14" t="s">
        <v>15</v>
      </c>
      <c r="C190" s="14" t="s">
        <v>185</v>
      </c>
      <c r="D190" s="14" t="s">
        <v>14205</v>
      </c>
      <c r="E190" s="15" t="str">
        <f>HYPERLINK("https://stat100.ameba.jp/tnk47/ratio20/illustrations/card/ill_90583_rapusukamui03.jpg?202007-5-RELEASE-marathon-481xx", "■")</f>
        <v>■</v>
      </c>
      <c r="F190" s="14" t="s">
        <v>14204</v>
      </c>
      <c r="G190" s="14">
        <v>69898</v>
      </c>
      <c r="H190" s="14">
        <v>77064</v>
      </c>
      <c r="I190" s="14">
        <v>26</v>
      </c>
      <c r="J190" s="14" t="s">
        <v>14174</v>
      </c>
      <c r="K190" s="14" t="s">
        <v>14203</v>
      </c>
      <c r="L190" s="14" t="s">
        <v>14202</v>
      </c>
      <c r="M190" s="14" t="s">
        <v>9158</v>
      </c>
      <c r="N190" s="14" t="s">
        <v>9158</v>
      </c>
      <c r="O190" s="14" t="s">
        <v>9158</v>
      </c>
      <c r="P190" s="14" t="s">
        <v>9158</v>
      </c>
      <c r="Q190" s="14" t="s">
        <v>9158</v>
      </c>
    </row>
    <row r="191" spans="1:17">
      <c r="A191" s="14">
        <v>90593</v>
      </c>
      <c r="B191" s="14" t="s">
        <v>22</v>
      </c>
      <c r="C191" s="14" t="s">
        <v>14211</v>
      </c>
      <c r="D191" s="14" t="s">
        <v>14210</v>
      </c>
      <c r="E191" s="15" t="str">
        <f>HYPERLINK("https://stat100.ameba.jp/tnk47/ratio20/illustrations/card/ill_90593_umimonogatarikagoikenokitsune03.jpg?202007-5-RELEASE-marathon-481xx", "■")</f>
        <v>■</v>
      </c>
      <c r="F191" s="14" t="s">
        <v>14209</v>
      </c>
      <c r="G191" s="14">
        <v>54058</v>
      </c>
      <c r="H191" s="14">
        <v>44948</v>
      </c>
      <c r="I191" s="14">
        <v>26</v>
      </c>
      <c r="J191" s="14" t="s">
        <v>14208</v>
      </c>
      <c r="K191" s="14" t="s">
        <v>14207</v>
      </c>
      <c r="L191" s="14" t="s">
        <v>14206</v>
      </c>
      <c r="M191" s="14" t="s">
        <v>9158</v>
      </c>
      <c r="N191" s="14" t="s">
        <v>9158</v>
      </c>
      <c r="O191" s="14" t="s">
        <v>9158</v>
      </c>
      <c r="P191" s="14" t="s">
        <v>9158</v>
      </c>
      <c r="Q191" s="14" t="s">
        <v>9158</v>
      </c>
    </row>
    <row r="192" spans="1:17">
      <c r="A192" s="14">
        <v>90603</v>
      </c>
      <c r="B192" s="14" t="s">
        <v>22</v>
      </c>
      <c r="C192" s="14" t="s">
        <v>14176</v>
      </c>
      <c r="D192" s="14" t="s">
        <v>14216</v>
      </c>
      <c r="E192" s="15" t="str">
        <f>HYPERLINK("https://stat100.ameba.jp/tnk47/ratio20/illustrations/card/ill_90603_sengokumibirakiazusamitenjinnokomaneko03.jpg?202007-5-RELEASE-marathon-481xx", "■")</f>
        <v>■</v>
      </c>
      <c r="F192" s="14" t="s">
        <v>14215</v>
      </c>
      <c r="G192" s="14">
        <v>44948</v>
      </c>
      <c r="H192" s="14">
        <v>54058</v>
      </c>
      <c r="I192" s="14">
        <v>26</v>
      </c>
      <c r="J192" s="14" t="s">
        <v>14214</v>
      </c>
      <c r="K192" s="14" t="s">
        <v>14213</v>
      </c>
      <c r="L192" s="14" t="s">
        <v>14212</v>
      </c>
      <c r="M192" s="14" t="s">
        <v>9158</v>
      </c>
      <c r="N192" s="14" t="s">
        <v>9158</v>
      </c>
      <c r="O192" s="14" t="s">
        <v>9158</v>
      </c>
      <c r="P192" s="14" t="s">
        <v>9158</v>
      </c>
      <c r="Q192" s="14" t="s">
        <v>9158</v>
      </c>
    </row>
    <row r="194" spans="1:17">
      <c r="A194" s="14" t="s">
        <v>14177</v>
      </c>
    </row>
    <row r="195" spans="1:17">
      <c r="A195" s="14" t="s">
        <v>14219</v>
      </c>
    </row>
    <row r="196" spans="1:17">
      <c r="A196" s="14" t="s">
        <v>12012</v>
      </c>
      <c r="B196" s="7" t="s">
        <v>52</v>
      </c>
      <c r="C196" s="14" t="s">
        <v>202</v>
      </c>
      <c r="D196" s="18" t="s">
        <v>12013</v>
      </c>
      <c r="E196" s="15" t="str">
        <f>HYPERLINK("https://stat100.ameba.jp/tnk47/ratio20/illustrations/card/ill_88363_0_hanamijingukogo03.jpg?202007-5-RELEASE-marathon-481xx", "■")</f>
        <v>■</v>
      </c>
      <c r="F196" s="14" t="s">
        <v>12014</v>
      </c>
      <c r="G196" s="14">
        <v>328614</v>
      </c>
      <c r="H196" s="14">
        <v>296998</v>
      </c>
      <c r="I196" s="7">
        <v>27</v>
      </c>
      <c r="J196" s="14" t="s">
        <v>10</v>
      </c>
      <c r="K196" s="14" t="s">
        <v>12015</v>
      </c>
      <c r="L196" s="14" t="s">
        <v>12016</v>
      </c>
      <c r="M196" s="14" t="s">
        <v>9158</v>
      </c>
      <c r="N196" s="14" t="s">
        <v>9158</v>
      </c>
      <c r="O196" s="6" t="s">
        <v>12017</v>
      </c>
      <c r="P196" s="7" t="s">
        <v>12018</v>
      </c>
      <c r="Q196" s="7">
        <v>1</v>
      </c>
    </row>
    <row r="197" spans="1:17">
      <c r="A197" s="14" t="s">
        <v>5843</v>
      </c>
      <c r="B197" s="14" t="s">
        <v>52</v>
      </c>
      <c r="C197" s="14" t="s">
        <v>202</v>
      </c>
      <c r="D197" s="19" t="s">
        <v>10291</v>
      </c>
      <c r="E197" s="15" t="str">
        <f>HYPERLINK("https://stat100.ameba.jp/tnk47/ratio20/illustrations/card/ill_77963_0_kurisumasudaisakusentakiyashahime03.jpg?202007-5-RELEASE-marathon-481xx", "■")</f>
        <v>■</v>
      </c>
      <c r="F197" s="14" t="s">
        <v>2127</v>
      </c>
      <c r="G197" s="14">
        <v>331590</v>
      </c>
      <c r="H197" s="14">
        <v>299687</v>
      </c>
      <c r="I197" s="14">
        <v>27</v>
      </c>
      <c r="J197" s="14" t="s">
        <v>77</v>
      </c>
      <c r="K197" s="14" t="s">
        <v>2128</v>
      </c>
      <c r="L197" s="14" t="s">
        <v>2129</v>
      </c>
      <c r="M197" s="14" t="s">
        <v>9158</v>
      </c>
      <c r="N197" s="14" t="s">
        <v>9158</v>
      </c>
      <c r="O197" s="19" t="s">
        <v>10107</v>
      </c>
      <c r="P197" s="14" t="s">
        <v>3589</v>
      </c>
      <c r="Q197" s="14">
        <v>2</v>
      </c>
    </row>
    <row r="198" spans="1:17">
      <c r="A198" s="14" t="s">
        <v>5721</v>
      </c>
      <c r="B198" s="14" t="s">
        <v>52</v>
      </c>
      <c r="C198" s="14" t="s">
        <v>1</v>
      </c>
      <c r="D198" s="19" t="s">
        <v>513</v>
      </c>
      <c r="E198" s="15" t="str">
        <f>HYPERLINK("https://stat100.ameba.jp/tnk47/ratio20/illustrations/card/ill_44283_0_izumonokuni03.jpg?202007-5-RELEASE-marathon-481xx", "■")</f>
        <v>■</v>
      </c>
      <c r="F198" s="14" t="s">
        <v>1716</v>
      </c>
      <c r="G198" s="14">
        <v>152152</v>
      </c>
      <c r="H198" s="14">
        <v>142500</v>
      </c>
      <c r="I198" s="14">
        <v>26</v>
      </c>
      <c r="J198" s="14" t="s">
        <v>16</v>
      </c>
      <c r="K198" s="14" t="s">
        <v>2254</v>
      </c>
      <c r="L198" s="14" t="s">
        <v>1718</v>
      </c>
      <c r="M198" s="14" t="s">
        <v>9158</v>
      </c>
      <c r="N198" s="14" t="s">
        <v>9158</v>
      </c>
      <c r="O198" s="14" t="s">
        <v>9158</v>
      </c>
      <c r="P198" s="14" t="s">
        <v>9158</v>
      </c>
      <c r="Q198" s="14" t="s">
        <v>9158</v>
      </c>
    </row>
    <row r="199" spans="1:17">
      <c r="A199" s="14">
        <v>60763</v>
      </c>
      <c r="B199" s="14" t="s">
        <v>334</v>
      </c>
      <c r="C199" s="14" t="s">
        <v>203</v>
      </c>
      <c r="D199" s="20" t="s">
        <v>10420</v>
      </c>
      <c r="E199" s="15" t="str">
        <f>HYPERLINK("https://stat100.ameba.jp/tnk47/ratio20/illustrations/card/ill_60763_fujiwarakagekiyo03.jpg?202007-5-RELEASE-marathon-481xx", "■")</f>
        <v>■</v>
      </c>
      <c r="F199" s="14" t="s">
        <v>1146</v>
      </c>
      <c r="G199" s="14">
        <v>125296</v>
      </c>
      <c r="H199" s="14">
        <v>172982</v>
      </c>
      <c r="I199" s="14">
        <v>26</v>
      </c>
      <c r="J199" s="14" t="s">
        <v>143</v>
      </c>
      <c r="K199" s="14" t="s">
        <v>1147</v>
      </c>
      <c r="L199" s="14" t="s">
        <v>1148</v>
      </c>
      <c r="M199" s="14" t="s">
        <v>9158</v>
      </c>
      <c r="N199" s="14" t="s">
        <v>9158</v>
      </c>
      <c r="O199" s="19" t="s">
        <v>10112</v>
      </c>
      <c r="P199" s="14" t="s">
        <v>13150</v>
      </c>
      <c r="Q199" s="14">
        <v>1</v>
      </c>
    </row>
    <row r="200" spans="1:17">
      <c r="A200" s="14">
        <v>58743</v>
      </c>
      <c r="B200" s="14" t="s">
        <v>334</v>
      </c>
      <c r="C200" s="14" t="s">
        <v>209</v>
      </c>
      <c r="D200" s="20" t="s">
        <v>10273</v>
      </c>
      <c r="E200" s="15" t="str">
        <f>HYPERLINK("https://stat100.ameba.jp/tnk47/ratio20/illustrations/card/ill_58743_enkirienoki03.jpg?202007-5-RELEASE-marathon-481xx", "■")</f>
        <v>■</v>
      </c>
      <c r="F200" s="14" t="s">
        <v>2550</v>
      </c>
      <c r="G200" s="14">
        <v>78678</v>
      </c>
      <c r="H200" s="14">
        <v>107304</v>
      </c>
      <c r="I200" s="14">
        <v>26</v>
      </c>
      <c r="J200" s="14" t="s">
        <v>44</v>
      </c>
      <c r="K200" s="14" t="s">
        <v>2551</v>
      </c>
      <c r="L200" s="14" t="s">
        <v>95</v>
      </c>
      <c r="M200" s="14" t="s">
        <v>9158</v>
      </c>
      <c r="N200" s="14" t="s">
        <v>9158</v>
      </c>
      <c r="O200" s="19" t="s">
        <v>10091</v>
      </c>
      <c r="P200" s="14" t="s">
        <v>3670</v>
      </c>
      <c r="Q200" s="14">
        <v>1</v>
      </c>
    </row>
    <row r="201" spans="1:17">
      <c r="A201" s="14">
        <v>83393</v>
      </c>
      <c r="B201" s="14" t="s">
        <v>334</v>
      </c>
      <c r="C201" s="14" t="s">
        <v>209</v>
      </c>
      <c r="D201" s="19" t="s">
        <v>10381</v>
      </c>
      <c r="E201" s="15" t="str">
        <f>HYPERLINK("https://stat100.ameba.jp/tnk47/ratio20/illustrations/card/ill_83393_rito03.jpg?202007-5-RELEASE-marathon-481xx", "■")</f>
        <v>■</v>
      </c>
      <c r="F201" s="14" t="s">
        <v>5735</v>
      </c>
      <c r="G201" s="14">
        <v>132684</v>
      </c>
      <c r="H201" s="14">
        <v>96100</v>
      </c>
      <c r="I201" s="14">
        <v>26</v>
      </c>
      <c r="J201" s="14" t="s">
        <v>38</v>
      </c>
      <c r="K201" s="14" t="s">
        <v>5738</v>
      </c>
      <c r="L201" s="14" t="s">
        <v>5400</v>
      </c>
      <c r="M201" s="14" t="s">
        <v>9158</v>
      </c>
      <c r="N201" s="14" t="s">
        <v>9158</v>
      </c>
      <c r="O201" s="19" t="s">
        <v>10098</v>
      </c>
      <c r="P201" s="14" t="s">
        <v>3491</v>
      </c>
      <c r="Q201" s="14">
        <v>1</v>
      </c>
    </row>
    <row r="202" spans="1:17">
      <c r="A202" s="14">
        <v>67643</v>
      </c>
      <c r="B202" s="14" t="s">
        <v>334</v>
      </c>
      <c r="C202" s="14" t="s">
        <v>209</v>
      </c>
      <c r="D202" s="20" t="s">
        <v>3033</v>
      </c>
      <c r="E202" s="15" t="str">
        <f>HYPERLINK("https://stat100.ameba.jp/tnk47/ratio20/illustrations/card/ill_67643_edokarakamichan03.jpg?202007-5-RELEASE-marathon-481xx", "■")</f>
        <v>■</v>
      </c>
      <c r="F202" s="6" t="s">
        <v>1196</v>
      </c>
      <c r="G202" s="14">
        <v>122784</v>
      </c>
      <c r="H202" s="14">
        <v>114176</v>
      </c>
      <c r="I202" s="14">
        <v>26</v>
      </c>
      <c r="J202" s="14" t="s">
        <v>26</v>
      </c>
      <c r="K202" s="14" t="s">
        <v>1197</v>
      </c>
      <c r="L202" s="14" t="s">
        <v>1198</v>
      </c>
      <c r="M202" s="14" t="s">
        <v>9158</v>
      </c>
      <c r="N202" s="14" t="s">
        <v>9158</v>
      </c>
      <c r="O202" s="19" t="s">
        <v>3037</v>
      </c>
      <c r="P202" s="14" t="s">
        <v>13128</v>
      </c>
      <c r="Q202" s="14">
        <v>1</v>
      </c>
    </row>
    <row r="203" spans="1:17">
      <c r="A203" s="14">
        <v>76783</v>
      </c>
      <c r="B203" s="14" t="s">
        <v>334</v>
      </c>
      <c r="C203" s="14" t="s">
        <v>203</v>
      </c>
      <c r="D203" s="19" t="s">
        <v>10367</v>
      </c>
      <c r="E203" s="15" t="str">
        <f>HYPERLINK("https://stat100.ameba.jp/tnk47/ratio20/illustrations/card/ill_76783_monsutaakashirejina03.jpg?202007-5-RELEASE-marathon-481xx", "■")</f>
        <v>■</v>
      </c>
      <c r="F203" s="14" t="s">
        <v>1192</v>
      </c>
      <c r="G203" s="14">
        <v>82318</v>
      </c>
      <c r="H203" s="14">
        <v>113630</v>
      </c>
      <c r="I203" s="14">
        <v>26</v>
      </c>
      <c r="J203" s="14" t="s">
        <v>10</v>
      </c>
      <c r="K203" s="14" t="s">
        <v>1193</v>
      </c>
      <c r="L203" s="14" t="s">
        <v>1194</v>
      </c>
      <c r="M203" s="14" t="s">
        <v>9158</v>
      </c>
      <c r="N203" s="14" t="s">
        <v>9158</v>
      </c>
      <c r="O203" s="19" t="s">
        <v>2752</v>
      </c>
      <c r="P203" s="14" t="s">
        <v>13123</v>
      </c>
      <c r="Q203" s="14">
        <v>1</v>
      </c>
    </row>
    <row r="204" spans="1:17">
      <c r="A204" s="14">
        <v>77683</v>
      </c>
      <c r="B204" s="14" t="s">
        <v>0</v>
      </c>
      <c r="C204" s="14" t="s">
        <v>203</v>
      </c>
      <c r="D204" s="20" t="s">
        <v>10220</v>
      </c>
      <c r="E204" s="15" t="str">
        <f>HYPERLINK("https://stat100.ameba.jp/tnk47/ratio20/illustrations/card/ill_77683_shukusainoujohoride03.jpg?202007-5-RELEASE-marathon-481xx", "■")</f>
        <v>■</v>
      </c>
      <c r="F204" s="14" t="s">
        <v>1430</v>
      </c>
      <c r="G204" s="14">
        <v>113630</v>
      </c>
      <c r="H204" s="14">
        <v>82318</v>
      </c>
      <c r="I204" s="14">
        <v>26</v>
      </c>
      <c r="J204" s="14" t="s">
        <v>315</v>
      </c>
      <c r="K204" s="14" t="s">
        <v>1431</v>
      </c>
      <c r="L204" s="14" t="s">
        <v>1432</v>
      </c>
      <c r="M204" s="14" t="s">
        <v>9158</v>
      </c>
      <c r="N204" s="14" t="s">
        <v>9158</v>
      </c>
      <c r="O204" s="19" t="s">
        <v>10090</v>
      </c>
      <c r="P204" s="14" t="s">
        <v>3460</v>
      </c>
      <c r="Q204" s="14">
        <v>1</v>
      </c>
    </row>
    <row r="206" spans="1:17">
      <c r="A206" s="14" t="s">
        <v>14178</v>
      </c>
    </row>
    <row r="207" spans="1:17">
      <c r="A207" s="14" t="s">
        <v>14220</v>
      </c>
    </row>
    <row r="208" spans="1:17">
      <c r="A208" s="14" t="s">
        <v>5963</v>
      </c>
      <c r="B208" s="14" t="s">
        <v>330</v>
      </c>
      <c r="C208" s="14" t="s">
        <v>35</v>
      </c>
      <c r="D208" s="19" t="s">
        <v>10438</v>
      </c>
      <c r="E208" s="15" t="str">
        <f>HYPERLINK("https://stat100.ameba.jp/tnk47/ratio20/illustrations/card/ill_82963_0_yukatamatsuritomokazuki03.jpg?202007-5-RELEASE-marathon-481xx", "■")</f>
        <v>■</v>
      </c>
      <c r="F208" s="14" t="s">
        <v>5964</v>
      </c>
      <c r="G208" s="14">
        <v>297801</v>
      </c>
      <c r="H208" s="14">
        <v>329511</v>
      </c>
      <c r="I208" s="14">
        <v>25</v>
      </c>
      <c r="J208" s="14" t="s">
        <v>73</v>
      </c>
      <c r="K208" s="14" t="s">
        <v>5966</v>
      </c>
      <c r="L208" s="14" t="s">
        <v>5967</v>
      </c>
      <c r="M208" s="14" t="s">
        <v>9158</v>
      </c>
      <c r="N208" s="14" t="s">
        <v>9158</v>
      </c>
      <c r="O208" s="19" t="s">
        <v>10115</v>
      </c>
      <c r="P208" s="14" t="s">
        <v>5968</v>
      </c>
      <c r="Q208" s="14">
        <v>1</v>
      </c>
    </row>
    <row r="209" spans="1:17">
      <c r="A209" s="14">
        <v>84333</v>
      </c>
      <c r="B209" s="14" t="s">
        <v>0</v>
      </c>
      <c r="C209" s="14" t="s">
        <v>209</v>
      </c>
      <c r="D209" s="19" t="s">
        <v>10692</v>
      </c>
      <c r="E209" s="15" t="str">
        <f>HYPERLINK("https://stat100.ameba.jp/tnk47/ratio20/illustrations/card/ill_84333_otometeia03.jpg?202007-5-RELEASE-marathon-481xx", "■")</f>
        <v>■</v>
      </c>
      <c r="F209" s="14" t="s">
        <v>7401</v>
      </c>
      <c r="G209" s="14">
        <v>104890</v>
      </c>
      <c r="H209" s="14">
        <v>75984</v>
      </c>
      <c r="I209" s="14">
        <v>24</v>
      </c>
      <c r="J209" s="14" t="s">
        <v>16</v>
      </c>
      <c r="K209" s="14" t="s">
        <v>7399</v>
      </c>
      <c r="L209" s="14" t="s">
        <v>4046</v>
      </c>
      <c r="M209" s="14" t="s">
        <v>9158</v>
      </c>
      <c r="N209" s="14" t="s">
        <v>9158</v>
      </c>
      <c r="O209" s="19" t="s">
        <v>10129</v>
      </c>
      <c r="P209" s="14" t="s">
        <v>3581</v>
      </c>
      <c r="Q209" s="14">
        <v>1</v>
      </c>
    </row>
    <row r="210" spans="1:17">
      <c r="A210" s="7">
        <v>85643</v>
      </c>
      <c r="B210" s="7" t="s">
        <v>0</v>
      </c>
      <c r="C210" s="7" t="s">
        <v>154</v>
      </c>
      <c r="D210" s="20" t="s">
        <v>10828</v>
      </c>
      <c r="E210" s="15" t="str">
        <f>HYPERLINK("https://stat100.ameba.jp/tnk47/ratio20/illustrations/card/ill_85643_hosekisho03.jpg?202007-5-RELEASE-marathon-481xx", "■")</f>
        <v>■</v>
      </c>
      <c r="F210" s="7" t="s">
        <v>8420</v>
      </c>
      <c r="G210" s="7">
        <v>104890</v>
      </c>
      <c r="H210" s="7">
        <v>75984</v>
      </c>
      <c r="I210" s="14">
        <v>24</v>
      </c>
      <c r="J210" s="7" t="s">
        <v>26</v>
      </c>
      <c r="K210" s="7" t="s">
        <v>8418</v>
      </c>
      <c r="L210" s="7" t="s">
        <v>3260</v>
      </c>
      <c r="M210" s="14" t="s">
        <v>9158</v>
      </c>
      <c r="N210" s="14" t="s">
        <v>9158</v>
      </c>
      <c r="O210" s="19" t="s">
        <v>10091</v>
      </c>
      <c r="P210" s="7" t="s">
        <v>3670</v>
      </c>
      <c r="Q210" s="7">
        <v>1</v>
      </c>
    </row>
    <row r="211" spans="1:17">
      <c r="A211" s="9">
        <v>80753</v>
      </c>
      <c r="B211" s="14" t="s">
        <v>334</v>
      </c>
      <c r="C211" s="14" t="s">
        <v>41</v>
      </c>
      <c r="D211" s="14" t="s">
        <v>4317</v>
      </c>
      <c r="E211" s="15" t="str">
        <f>HYPERLINK("https://stat100.ameba.jp/tnk47/ratio20/illustrations/card/ill_80753_hakubutsukannojoze03.jpg?202007-5-RELEASE-marathon-481xx", "■")</f>
        <v>■</v>
      </c>
      <c r="F211" s="14" t="s">
        <v>4318</v>
      </c>
      <c r="G211" s="14">
        <v>78916</v>
      </c>
      <c r="H211" s="14">
        <v>108924</v>
      </c>
      <c r="I211" s="14">
        <v>24</v>
      </c>
      <c r="J211" s="14" t="s">
        <v>38</v>
      </c>
      <c r="K211" s="14" t="s">
        <v>4319</v>
      </c>
      <c r="L211" s="14" t="s">
        <v>4320</v>
      </c>
      <c r="M211" s="14" t="s">
        <v>9158</v>
      </c>
      <c r="N211" s="14" t="s">
        <v>9158</v>
      </c>
      <c r="O211" s="17" t="s">
        <v>10053</v>
      </c>
      <c r="P211" s="14" t="s">
        <v>3592</v>
      </c>
      <c r="Q211" s="14">
        <v>1</v>
      </c>
    </row>
    <row r="213" spans="1:17">
      <c r="A213" s="14" t="s">
        <v>14181</v>
      </c>
    </row>
    <row r="214" spans="1:17">
      <c r="A214" s="14" t="s">
        <v>14221</v>
      </c>
    </row>
    <row r="215" spans="1:17">
      <c r="A215" s="14" t="s">
        <v>5891</v>
      </c>
      <c r="B215" s="14" t="s">
        <v>330</v>
      </c>
      <c r="C215" s="14" t="s">
        <v>202</v>
      </c>
      <c r="D215" s="19" t="s">
        <v>1999</v>
      </c>
      <c r="E215" s="15" t="str">
        <f>HYPERLINK("https://stat100.ameba.jp/tnk47/ratio20/illustrations/card/ill_77173_0_yukemuritomoegozen03.jpg?202007-5-RELEASE-marathon-481xx", "■")</f>
        <v>■</v>
      </c>
      <c r="F215" s="14" t="s">
        <v>1372</v>
      </c>
      <c r="G215" s="14">
        <v>220536</v>
      </c>
      <c r="H215" s="14">
        <v>244008</v>
      </c>
      <c r="I215" s="14">
        <v>22</v>
      </c>
      <c r="J215" s="14" t="s">
        <v>310</v>
      </c>
      <c r="K215" s="14" t="s">
        <v>1373</v>
      </c>
      <c r="L215" s="14" t="s">
        <v>1374</v>
      </c>
      <c r="M215" s="14" t="s">
        <v>9158</v>
      </c>
      <c r="N215" s="14" t="s">
        <v>9158</v>
      </c>
      <c r="O215" s="19" t="s">
        <v>4067</v>
      </c>
      <c r="P215" s="14" t="s">
        <v>3879</v>
      </c>
      <c r="Q215" s="14">
        <v>2</v>
      </c>
    </row>
    <row r="216" spans="1:17">
      <c r="A216" s="14" t="s">
        <v>5617</v>
      </c>
      <c r="B216" s="14" t="s">
        <v>330</v>
      </c>
      <c r="C216" s="14" t="s">
        <v>308</v>
      </c>
      <c r="D216" s="19" t="s">
        <v>385</v>
      </c>
      <c r="E216" s="15" t="str">
        <f>HYPERLINK("https://stat100.ameba.jp/tnk47/ratio20/illustrations/card/ill_59673_0_oheyashutendoji03.jpg?202007-5-RELEASE-marathon-481xx", "■")</f>
        <v>■</v>
      </c>
      <c r="F216" s="14" t="s">
        <v>386</v>
      </c>
      <c r="G216" s="14">
        <v>154800</v>
      </c>
      <c r="H216" s="14">
        <v>166504</v>
      </c>
      <c r="I216" s="14">
        <v>22</v>
      </c>
      <c r="J216" s="14" t="s">
        <v>320</v>
      </c>
      <c r="K216" s="14" t="s">
        <v>387</v>
      </c>
      <c r="L216" s="14" t="s">
        <v>388</v>
      </c>
      <c r="M216" s="14" t="s">
        <v>9158</v>
      </c>
      <c r="N216" s="14" t="s">
        <v>9158</v>
      </c>
      <c r="O216" s="19" t="s">
        <v>10078</v>
      </c>
      <c r="P216" s="14" t="s">
        <v>3022</v>
      </c>
      <c r="Q216" s="14">
        <v>1</v>
      </c>
    </row>
    <row r="217" spans="1:17">
      <c r="A217" s="14" t="s">
        <v>6132</v>
      </c>
      <c r="B217" s="14" t="s">
        <v>330</v>
      </c>
      <c r="C217" s="14" t="s">
        <v>205</v>
      </c>
      <c r="D217" s="19" t="s">
        <v>702</v>
      </c>
      <c r="E217" s="15" t="str">
        <f>HYPERLINK("https://stat100.ameba.jp/tnk47/ratio20/illustrations/card/ill_50693_0_hanamizugimimuratsuru03.jpg?202007-5-RELEASE-marathon-481xx", "■")</f>
        <v>■</v>
      </c>
      <c r="F217" s="14" t="s">
        <v>703</v>
      </c>
      <c r="G217" s="14">
        <v>122776</v>
      </c>
      <c r="H217" s="14">
        <v>138212</v>
      </c>
      <c r="I217" s="14">
        <v>22</v>
      </c>
      <c r="J217" s="14" t="s">
        <v>310</v>
      </c>
      <c r="K217" s="14" t="s">
        <v>704</v>
      </c>
      <c r="L217" s="14" t="s">
        <v>705</v>
      </c>
      <c r="M217" s="14" t="s">
        <v>9158</v>
      </c>
      <c r="N217" s="14" t="s">
        <v>9158</v>
      </c>
      <c r="O217" s="9" t="s">
        <v>9158</v>
      </c>
      <c r="P217" s="14" t="s">
        <v>9158</v>
      </c>
      <c r="Q217" s="14" t="s">
        <v>9158</v>
      </c>
    </row>
    <row r="218" spans="1:17">
      <c r="A218" s="9">
        <v>87983</v>
      </c>
      <c r="B218" s="14" t="s">
        <v>334</v>
      </c>
      <c r="C218" s="9" t="s">
        <v>185</v>
      </c>
      <c r="D218" s="9" t="s">
        <v>11920</v>
      </c>
      <c r="E218" s="15" t="str">
        <f>HYPERLINK("https://stat100.ameba.jp/tnk47/ratio20/illustrations/card/ill_87983_mafuiadonarorentsua03.jpg?202007-5-RELEASE-marathon-481xx", "■")</f>
        <v>■</v>
      </c>
      <c r="F218" s="9" t="s">
        <v>11918</v>
      </c>
      <c r="G218" s="9">
        <v>111523</v>
      </c>
      <c r="H218" s="9">
        <v>198226</v>
      </c>
      <c r="I218" s="9">
        <v>27</v>
      </c>
      <c r="J218" s="9" t="s">
        <v>173</v>
      </c>
      <c r="K218" s="9" t="s">
        <v>11922</v>
      </c>
      <c r="L218" s="9" t="s">
        <v>13248</v>
      </c>
      <c r="M218" s="14" t="s">
        <v>9158</v>
      </c>
      <c r="N218" s="14" t="s">
        <v>9158</v>
      </c>
      <c r="O218" s="14" t="s">
        <v>9158</v>
      </c>
      <c r="P218" s="14" t="s">
        <v>9158</v>
      </c>
      <c r="Q218" s="14" t="s">
        <v>9158</v>
      </c>
    </row>
    <row r="219" spans="1:17">
      <c r="A219" s="14">
        <v>84763</v>
      </c>
      <c r="B219" s="14" t="s">
        <v>0</v>
      </c>
      <c r="C219" s="14" t="s">
        <v>200</v>
      </c>
      <c r="D219" s="19" t="s">
        <v>10721</v>
      </c>
      <c r="E219" s="15" t="str">
        <f>HYPERLINK("https://stat100.ameba.jp/tnk47/ratio20/illustrations/card/ill_84763_haroimmajodeyone03.jpg?202007-5-RELEASE-marathon-481xx", "■")</f>
        <v>■</v>
      </c>
      <c r="F219" s="14" t="s">
        <v>7583</v>
      </c>
      <c r="G219" s="14">
        <v>76091</v>
      </c>
      <c r="H219" s="14">
        <v>135229</v>
      </c>
      <c r="I219" s="9">
        <v>27</v>
      </c>
      <c r="J219" s="14" t="s">
        <v>16</v>
      </c>
      <c r="K219" s="14" t="s">
        <v>7582</v>
      </c>
      <c r="L219" s="14" t="s">
        <v>7581</v>
      </c>
      <c r="M219" s="14" t="s">
        <v>9158</v>
      </c>
      <c r="N219" s="14" t="s">
        <v>9158</v>
      </c>
      <c r="O219" s="14" t="s">
        <v>9158</v>
      </c>
      <c r="P219" s="14" t="s">
        <v>9158</v>
      </c>
      <c r="Q219" s="14" t="s">
        <v>9158</v>
      </c>
    </row>
    <row r="220" spans="1:17">
      <c r="A220" s="14">
        <v>83963</v>
      </c>
      <c r="B220" s="14" t="s">
        <v>0</v>
      </c>
      <c r="C220" s="14" t="s">
        <v>165</v>
      </c>
      <c r="D220" s="19" t="s">
        <v>10496</v>
      </c>
      <c r="E220" s="15" t="str">
        <f>HYPERLINK("https://stat100.ameba.jp/tnk47/ratio20/illustrations/card/ill_83963_natsumatsurikaguya03.jpg?202007-5-RELEASE-marathon-481xx", "■")</f>
        <v>■</v>
      </c>
      <c r="F220" s="14" t="s">
        <v>6286</v>
      </c>
      <c r="G220" s="14">
        <v>114362</v>
      </c>
      <c r="H220" s="14">
        <v>123220</v>
      </c>
      <c r="I220" s="9">
        <v>27</v>
      </c>
      <c r="J220" s="14" t="s">
        <v>38</v>
      </c>
      <c r="K220" s="14" t="s">
        <v>6289</v>
      </c>
      <c r="L220" s="14" t="s">
        <v>2204</v>
      </c>
      <c r="M220" s="14" t="s">
        <v>9158</v>
      </c>
      <c r="N220" s="14" t="s">
        <v>9158</v>
      </c>
      <c r="O220" s="14" t="s">
        <v>9158</v>
      </c>
      <c r="P220" s="14" t="s">
        <v>9158</v>
      </c>
      <c r="Q220" s="14" t="s">
        <v>9158</v>
      </c>
    </row>
    <row r="222" spans="1:17">
      <c r="A222" s="14" t="s">
        <v>3916</v>
      </c>
    </row>
    <row r="223" spans="1:17">
      <c r="A223" s="14" t="s">
        <v>14222</v>
      </c>
    </row>
    <row r="224" spans="1:17">
      <c r="A224" s="14">
        <v>84733</v>
      </c>
      <c r="B224" s="14" t="s">
        <v>0</v>
      </c>
      <c r="C224" s="14" t="s">
        <v>154</v>
      </c>
      <c r="D224" s="19" t="s">
        <v>10677</v>
      </c>
      <c r="E224" s="15" t="str">
        <f>HYPERLINK("https://stat100.ameba.jp/tnk47/ratio20/illustrations/card/ill_84733_madadoru03.jpg?202007-5-RELEASE-marathon-481xx", "■")</f>
        <v>■</v>
      </c>
      <c r="F224" s="14" t="s">
        <v>7293</v>
      </c>
      <c r="G224" s="14">
        <v>116452</v>
      </c>
      <c r="H224" s="14">
        <v>108276</v>
      </c>
      <c r="I224" s="14">
        <v>27</v>
      </c>
      <c r="J224" s="14" t="s">
        <v>182</v>
      </c>
      <c r="K224" s="14" t="s">
        <v>7296</v>
      </c>
      <c r="L224" s="14" t="s">
        <v>7295</v>
      </c>
      <c r="M224" s="14" t="s">
        <v>9158</v>
      </c>
      <c r="N224" s="14" t="s">
        <v>9158</v>
      </c>
      <c r="O224" s="14" t="s">
        <v>9158</v>
      </c>
      <c r="P224" s="14" t="s">
        <v>9158</v>
      </c>
      <c r="Q224" s="14" t="s">
        <v>9158</v>
      </c>
    </row>
    <row r="225" spans="1:17">
      <c r="A225" s="14">
        <v>84743</v>
      </c>
      <c r="B225" s="14" t="s">
        <v>0</v>
      </c>
      <c r="C225" s="14" t="s">
        <v>158</v>
      </c>
      <c r="D225" s="19" t="s">
        <v>10678</v>
      </c>
      <c r="E225" s="15" t="str">
        <f>HYPERLINK("https://stat100.ameba.jp/tnk47/ratio20/illustrations/card/ill_84743_rinnenonyumpe03.jpg?202007-5-RELEASE-marathon-481xx", "■")</f>
        <v>■</v>
      </c>
      <c r="F225" s="14" t="s">
        <v>7294</v>
      </c>
      <c r="G225" s="14">
        <v>116452</v>
      </c>
      <c r="H225" s="14">
        <v>108276</v>
      </c>
      <c r="I225" s="14">
        <v>27</v>
      </c>
      <c r="J225" s="14" t="s">
        <v>169</v>
      </c>
      <c r="K225" s="14" t="s">
        <v>7297</v>
      </c>
      <c r="L225" s="14" t="s">
        <v>7298</v>
      </c>
      <c r="M225" s="14" t="s">
        <v>9158</v>
      </c>
      <c r="N225" s="14" t="s">
        <v>9158</v>
      </c>
      <c r="O225" s="14" t="s">
        <v>9158</v>
      </c>
      <c r="P225" s="14" t="s">
        <v>9158</v>
      </c>
      <c r="Q225" s="14" t="s">
        <v>9158</v>
      </c>
    </row>
    <row r="226" spans="1:17">
      <c r="A226" s="14">
        <v>69883</v>
      </c>
      <c r="B226" s="14" t="s">
        <v>334</v>
      </c>
      <c r="C226" s="14" t="s">
        <v>185</v>
      </c>
      <c r="D226" s="19" t="s">
        <v>10293</v>
      </c>
      <c r="E226" s="15" t="str">
        <f>HYPERLINK("https://stat100.ameba.jp/tnk47/ratio20/illustrations/card/ill_69883_kyupiddotominushihime03.jpg?202007-5-RELEASE-marathon-481xx", "■")</f>
        <v>■</v>
      </c>
      <c r="F226" s="14" t="s">
        <v>4142</v>
      </c>
      <c r="G226" s="14">
        <v>102386</v>
      </c>
      <c r="H226" s="14">
        <v>110129</v>
      </c>
      <c r="I226" s="14">
        <v>27</v>
      </c>
      <c r="J226" s="14" t="s">
        <v>169</v>
      </c>
      <c r="K226" s="14" t="s">
        <v>4143</v>
      </c>
      <c r="L226" s="14" t="s">
        <v>13190</v>
      </c>
      <c r="M226" s="14" t="s">
        <v>9158</v>
      </c>
      <c r="N226" s="14" t="s">
        <v>9158</v>
      </c>
      <c r="O226" s="14" t="s">
        <v>9158</v>
      </c>
      <c r="P226" s="14" t="s">
        <v>9158</v>
      </c>
      <c r="Q226" s="14" t="s">
        <v>9158</v>
      </c>
    </row>
    <row r="227" spans="1:17">
      <c r="A227" s="9">
        <v>67243</v>
      </c>
      <c r="B227" s="14" t="s">
        <v>334</v>
      </c>
      <c r="C227" s="9" t="s">
        <v>205</v>
      </c>
      <c r="D227" s="20" t="s">
        <v>10199</v>
      </c>
      <c r="E227" s="15" t="str">
        <f>HYPERLINK("https://stat100.ameba.jp/tnk47/ratio20/illustrations/card/ill_67243_onsenyadomoryo03.jpg?202007-5-RELEASE-marathon-481xx", "■")</f>
        <v>■</v>
      </c>
      <c r="F227" s="9" t="s">
        <v>3638</v>
      </c>
      <c r="G227" s="9">
        <v>104619</v>
      </c>
      <c r="H227" s="9">
        <v>112496</v>
      </c>
      <c r="I227" s="14">
        <v>27</v>
      </c>
      <c r="J227" s="9" t="s">
        <v>182</v>
      </c>
      <c r="K227" s="9" t="s">
        <v>3639</v>
      </c>
      <c r="L227" s="9" t="s">
        <v>3640</v>
      </c>
      <c r="M227" s="14" t="s">
        <v>9158</v>
      </c>
      <c r="N227" s="14" t="s">
        <v>9158</v>
      </c>
      <c r="O227" s="14" t="s">
        <v>9158</v>
      </c>
      <c r="P227" s="14" t="s">
        <v>9158</v>
      </c>
      <c r="Q227" s="14" t="s">
        <v>9158</v>
      </c>
    </row>
    <row r="228" spans="1:17">
      <c r="A228" s="14">
        <v>52973</v>
      </c>
      <c r="B228" s="14" t="s">
        <v>15</v>
      </c>
      <c r="C228" s="14" t="s">
        <v>206</v>
      </c>
      <c r="D228" s="19" t="s">
        <v>10519</v>
      </c>
      <c r="E228" s="15" t="str">
        <f>HYPERLINK("https://stat100.ameba.jp/tnk47/ratio20/illustrations/card/ill_52973_torampuamoronagu03.jpg?202007-5-RELEASE-marathon-481xx", "■")</f>
        <v>■</v>
      </c>
      <c r="F228" s="14" t="s">
        <v>6421</v>
      </c>
      <c r="G228" s="14">
        <v>65208</v>
      </c>
      <c r="H228" s="14">
        <v>59144</v>
      </c>
      <c r="I228" s="14">
        <v>22</v>
      </c>
      <c r="J228" s="14" t="s">
        <v>44</v>
      </c>
      <c r="K228" s="14" t="s">
        <v>6419</v>
      </c>
      <c r="L228" s="14" t="s">
        <v>6418</v>
      </c>
      <c r="M228" s="14" t="s">
        <v>9158</v>
      </c>
      <c r="N228" s="14" t="s">
        <v>9158</v>
      </c>
      <c r="O228" s="14" t="s">
        <v>9158</v>
      </c>
      <c r="P228" s="14" t="s">
        <v>9158</v>
      </c>
      <c r="Q228" s="14" t="s">
        <v>9158</v>
      </c>
    </row>
    <row r="229" spans="1:17">
      <c r="A229" s="14">
        <v>52333</v>
      </c>
      <c r="B229" s="14" t="s">
        <v>15</v>
      </c>
      <c r="C229" s="14" t="s">
        <v>200</v>
      </c>
      <c r="D229" s="19" t="s">
        <v>10537</v>
      </c>
      <c r="E229" s="15" t="str">
        <f>HYPERLINK("https://stat100.ameba.jp/tnk47/ratio20/illustrations/card/ill_52333_chichibuyomatsuri03.jpg?202007-5-RELEASE-marathon-481xx", "■")</f>
        <v>■</v>
      </c>
      <c r="F229" s="14" t="s">
        <v>3614</v>
      </c>
      <c r="G229" s="14">
        <v>65208</v>
      </c>
      <c r="H229" s="14">
        <v>59144</v>
      </c>
      <c r="I229" s="14">
        <v>22</v>
      </c>
      <c r="J229" s="14" t="s">
        <v>38</v>
      </c>
      <c r="K229" s="14" t="s">
        <v>3615</v>
      </c>
      <c r="L229" s="14" t="s">
        <v>3616</v>
      </c>
      <c r="M229" s="14" t="s">
        <v>9158</v>
      </c>
      <c r="N229" s="14" t="s">
        <v>9158</v>
      </c>
      <c r="O229" s="14" t="s">
        <v>9158</v>
      </c>
      <c r="P229" s="14" t="s">
        <v>9158</v>
      </c>
      <c r="Q229" s="14" t="s">
        <v>9158</v>
      </c>
    </row>
    <row r="230" spans="1:17">
      <c r="A230" s="14">
        <v>51913</v>
      </c>
      <c r="B230" s="14" t="s">
        <v>15</v>
      </c>
      <c r="C230" s="14" t="s">
        <v>191</v>
      </c>
      <c r="D230" s="19" t="s">
        <v>10538</v>
      </c>
      <c r="E230" s="15" t="str">
        <f>HYPERLINK("https://stat100.ameba.jp/tnk47/ratio20/illustrations/card/ill_51913_kemonomizugihamahime03.jpg?202007-5-RELEASE-marathon-481xx", "■")</f>
        <v>■</v>
      </c>
      <c r="F230" s="14" t="s">
        <v>6501</v>
      </c>
      <c r="G230" s="14">
        <v>59144</v>
      </c>
      <c r="H230" s="14">
        <v>65208</v>
      </c>
      <c r="I230" s="14">
        <v>22</v>
      </c>
      <c r="J230" s="14" t="s">
        <v>182</v>
      </c>
      <c r="K230" s="14" t="s">
        <v>6500</v>
      </c>
      <c r="L230" s="14" t="s">
        <v>6499</v>
      </c>
      <c r="M230" s="14" t="s">
        <v>9158</v>
      </c>
      <c r="N230" s="14" t="s">
        <v>9158</v>
      </c>
      <c r="O230" s="14" t="s">
        <v>9158</v>
      </c>
      <c r="P230" s="14" t="s">
        <v>9158</v>
      </c>
      <c r="Q230" s="14" t="s">
        <v>9158</v>
      </c>
    </row>
    <row r="231" spans="1:17">
      <c r="A231" s="14">
        <v>53203</v>
      </c>
      <c r="B231" s="14" t="s">
        <v>15</v>
      </c>
      <c r="C231" s="14" t="s">
        <v>165</v>
      </c>
      <c r="D231" s="20" t="s">
        <v>10494</v>
      </c>
      <c r="E231" s="15" t="str">
        <f>HYPERLINK("https://stat100.ameba.jp/tnk47/ratio20/illustrations/card/ill_53203_buruhawaichan03.jpg?202007-5-RELEASE-marathon-481xx", "■")</f>
        <v>■</v>
      </c>
      <c r="F231" s="14" t="s">
        <v>6258</v>
      </c>
      <c r="G231" s="14">
        <v>59144</v>
      </c>
      <c r="H231" s="14">
        <v>65208</v>
      </c>
      <c r="I231" s="14">
        <v>22</v>
      </c>
      <c r="J231" s="14" t="s">
        <v>104</v>
      </c>
      <c r="K231" s="14" t="s">
        <v>6261</v>
      </c>
      <c r="L231" s="14" t="s">
        <v>6260</v>
      </c>
      <c r="M231" s="14" t="s">
        <v>9158</v>
      </c>
      <c r="N231" s="14" t="s">
        <v>9158</v>
      </c>
      <c r="O231" s="14" t="s">
        <v>9158</v>
      </c>
      <c r="P231" s="14" t="s">
        <v>9158</v>
      </c>
      <c r="Q231" s="14" t="s">
        <v>9158</v>
      </c>
    </row>
    <row r="233" spans="1:17">
      <c r="A233" s="14" t="s">
        <v>14217</v>
      </c>
    </row>
    <row r="234" spans="1:17">
      <c r="A234" s="14" t="s">
        <v>14224</v>
      </c>
    </row>
    <row r="235" spans="1:17">
      <c r="A235" s="14" t="s">
        <v>5606</v>
      </c>
      <c r="B235" s="14" t="s">
        <v>52</v>
      </c>
      <c r="C235" s="14" t="s">
        <v>206</v>
      </c>
      <c r="D235" s="20" t="s">
        <v>2936</v>
      </c>
      <c r="E235" s="15" t="str">
        <f>HYPERLINK("https://stat100.ameba.jp/tnk47/ratio20/illustrations/card/ill_72233_0_koinoboriryugujin03.jpg?202007-5-RELEASE-marathon-481xx", "■")</f>
        <v>■</v>
      </c>
      <c r="F235" s="14" t="s">
        <v>1012</v>
      </c>
      <c r="G235" s="14">
        <v>157432</v>
      </c>
      <c r="H235" s="14">
        <v>169334</v>
      </c>
      <c r="I235" s="14">
        <v>24</v>
      </c>
      <c r="J235" s="14" t="s">
        <v>44</v>
      </c>
      <c r="K235" s="14" t="s">
        <v>1013</v>
      </c>
      <c r="L235" s="14" t="s">
        <v>1014</v>
      </c>
      <c r="M235" s="14" t="s">
        <v>9158</v>
      </c>
      <c r="N235" s="14" t="s">
        <v>9158</v>
      </c>
      <c r="O235" s="19" t="s">
        <v>2940</v>
      </c>
      <c r="P235" s="14" t="s">
        <v>2941</v>
      </c>
      <c r="Q235" s="14">
        <v>2</v>
      </c>
    </row>
    <row r="236" spans="1:17">
      <c r="A236" s="14" t="s">
        <v>5602</v>
      </c>
      <c r="B236" s="14" t="s">
        <v>52</v>
      </c>
      <c r="C236" s="14" t="s">
        <v>14</v>
      </c>
      <c r="D236" s="20" t="s">
        <v>813</v>
      </c>
      <c r="E236" s="15" t="str">
        <f>HYPERLINK("https://stat100.ameba.jp/tnk47/ratio20/illustrations/card/ill_55313_0_haroinononokomachi03.jpg?202007-5-RELEASE-marathon-481xx", "■")</f>
        <v>■</v>
      </c>
      <c r="F236" s="14" t="s">
        <v>2094</v>
      </c>
      <c r="G236" s="14">
        <v>150776</v>
      </c>
      <c r="H236" s="14">
        <v>133938</v>
      </c>
      <c r="I236" s="14">
        <v>24</v>
      </c>
      <c r="J236" s="14" t="s">
        <v>10</v>
      </c>
      <c r="K236" s="14" t="s">
        <v>2095</v>
      </c>
      <c r="L236" s="14" t="s">
        <v>2096</v>
      </c>
      <c r="M236" s="14" t="s">
        <v>9158</v>
      </c>
      <c r="N236" s="14" t="s">
        <v>9158</v>
      </c>
      <c r="O236" s="19" t="s">
        <v>2733</v>
      </c>
      <c r="P236" s="14" t="s">
        <v>2734</v>
      </c>
      <c r="Q236" s="14">
        <v>1</v>
      </c>
    </row>
    <row r="237" spans="1:17">
      <c r="A237" s="14" t="s">
        <v>6132</v>
      </c>
      <c r="B237" s="14" t="s">
        <v>52</v>
      </c>
      <c r="C237" s="14" t="s">
        <v>205</v>
      </c>
      <c r="D237" s="19" t="s">
        <v>702</v>
      </c>
      <c r="E237" s="15" t="str">
        <f>HYPERLINK("https://stat100.ameba.jp/tnk47/ratio20/illustrations/card/ill_50693_0_hanamizugimimuratsuru03.jpg?202007-5-RELEASE-marathon-481xx", "■")</f>
        <v>■</v>
      </c>
      <c r="F237" s="14" t="s">
        <v>2282</v>
      </c>
      <c r="G237" s="14">
        <v>133938</v>
      </c>
      <c r="H237" s="14">
        <v>150776</v>
      </c>
      <c r="I237" s="14">
        <v>24</v>
      </c>
      <c r="J237" s="14" t="s">
        <v>143</v>
      </c>
      <c r="K237" s="14" t="s">
        <v>2283</v>
      </c>
      <c r="L237" s="14" t="s">
        <v>2284</v>
      </c>
      <c r="M237" s="14" t="s">
        <v>9158</v>
      </c>
      <c r="N237" s="14" t="s">
        <v>9158</v>
      </c>
      <c r="O237" s="14" t="s">
        <v>9158</v>
      </c>
      <c r="P237" s="14" t="s">
        <v>9158</v>
      </c>
      <c r="Q237" s="14" t="s">
        <v>9158</v>
      </c>
    </row>
    <row r="238" spans="1:17">
      <c r="A238" s="14">
        <v>90573</v>
      </c>
      <c r="B238" s="14" t="s">
        <v>0</v>
      </c>
      <c r="C238" s="14" t="s">
        <v>14175</v>
      </c>
      <c r="D238" s="14" t="s">
        <v>14201</v>
      </c>
      <c r="E238" s="15" t="str">
        <f>HYPERLINK("https://stat100.ameba.jp/tnk47/ratio20/illustrations/card/ill_90573_yoigokochiizumonokuni03.jpg?202007-5-RELEASE-marathon-481xx", "■")</f>
        <v>■</v>
      </c>
      <c r="F238" s="14" t="s">
        <v>14200</v>
      </c>
      <c r="G238" s="14">
        <v>101558</v>
      </c>
      <c r="H238" s="14">
        <v>94390</v>
      </c>
      <c r="I238" s="14">
        <v>26</v>
      </c>
      <c r="J238" s="14" t="s">
        <v>14199</v>
      </c>
      <c r="K238" s="14" t="s">
        <v>14198</v>
      </c>
      <c r="L238" s="14" t="s">
        <v>14197</v>
      </c>
      <c r="M238" s="14" t="s">
        <v>9158</v>
      </c>
      <c r="N238" s="14" t="s">
        <v>9158</v>
      </c>
      <c r="O238" s="14" t="s">
        <v>9158</v>
      </c>
      <c r="P238" s="14" t="s">
        <v>9158</v>
      </c>
      <c r="Q238" s="14" t="s">
        <v>9158</v>
      </c>
    </row>
    <row r="239" spans="1:17">
      <c r="A239" s="14">
        <v>90583</v>
      </c>
      <c r="B239" s="14" t="s">
        <v>15</v>
      </c>
      <c r="C239" s="14" t="s">
        <v>185</v>
      </c>
      <c r="D239" s="14" t="s">
        <v>14205</v>
      </c>
      <c r="E239" s="15" t="str">
        <f>HYPERLINK("https://stat100.ameba.jp/tnk47/ratio20/illustrations/card/ill_90583_rapusukamui03.jpg?202007-5-RELEASE-marathon-481xx", "■")</f>
        <v>■</v>
      </c>
      <c r="F239" s="14" t="s">
        <v>14204</v>
      </c>
      <c r="G239" s="14">
        <v>69898</v>
      </c>
      <c r="H239" s="14">
        <v>77064</v>
      </c>
      <c r="I239" s="14">
        <v>26</v>
      </c>
      <c r="J239" s="14" t="s">
        <v>14174</v>
      </c>
      <c r="K239" s="14" t="s">
        <v>14203</v>
      </c>
      <c r="L239" s="14" t="s">
        <v>14202</v>
      </c>
      <c r="M239" s="14" t="s">
        <v>9158</v>
      </c>
      <c r="N239" s="14" t="s">
        <v>9158</v>
      </c>
      <c r="O239" s="14" t="s">
        <v>9158</v>
      </c>
      <c r="P239" s="14" t="s">
        <v>9158</v>
      </c>
      <c r="Q239" s="14" t="s">
        <v>9158</v>
      </c>
    </row>
    <row r="240" spans="1:17">
      <c r="A240" s="14">
        <v>90593</v>
      </c>
      <c r="B240" s="14" t="s">
        <v>22</v>
      </c>
      <c r="C240" s="14" t="s">
        <v>14211</v>
      </c>
      <c r="D240" s="14" t="s">
        <v>14210</v>
      </c>
      <c r="E240" s="15" t="str">
        <f>HYPERLINK("https://stat100.ameba.jp/tnk47/ratio20/illustrations/card/ill_90593_umimonogatarikagoikenokitsune03.jpg?202007-5-RELEASE-marathon-481xx", "■")</f>
        <v>■</v>
      </c>
      <c r="F240" s="14" t="s">
        <v>14209</v>
      </c>
      <c r="G240" s="14">
        <v>54058</v>
      </c>
      <c r="H240" s="14">
        <v>44948</v>
      </c>
      <c r="I240" s="14">
        <v>26</v>
      </c>
      <c r="J240" s="14" t="s">
        <v>14208</v>
      </c>
      <c r="K240" s="14" t="s">
        <v>14207</v>
      </c>
      <c r="L240" s="14" t="s">
        <v>14206</v>
      </c>
      <c r="M240" s="14" t="s">
        <v>9158</v>
      </c>
      <c r="N240" s="14" t="s">
        <v>9158</v>
      </c>
      <c r="O240" s="14" t="s">
        <v>9158</v>
      </c>
      <c r="P240" s="14" t="s">
        <v>9158</v>
      </c>
      <c r="Q240" s="14" t="s">
        <v>9158</v>
      </c>
    </row>
    <row r="241" spans="1:18">
      <c r="A241" s="14">
        <v>90603</v>
      </c>
      <c r="B241" s="14" t="s">
        <v>22</v>
      </c>
      <c r="C241" s="14" t="s">
        <v>14176</v>
      </c>
      <c r="D241" s="14" t="s">
        <v>14216</v>
      </c>
      <c r="E241" s="15" t="str">
        <f>HYPERLINK("https://stat100.ameba.jp/tnk47/ratio20/illustrations/card/ill_90603_sengokumibirakiazusamitenjinnokomaneko03.jpg?202007-5-RELEASE-marathon-481xx", "■")</f>
        <v>■</v>
      </c>
      <c r="F241" s="14" t="s">
        <v>14215</v>
      </c>
      <c r="G241" s="14">
        <v>44948</v>
      </c>
      <c r="H241" s="14">
        <v>54058</v>
      </c>
      <c r="I241" s="14">
        <v>26</v>
      </c>
      <c r="J241" s="14" t="s">
        <v>14214</v>
      </c>
      <c r="K241" s="14" t="s">
        <v>14213</v>
      </c>
      <c r="L241" s="14" t="s">
        <v>14212</v>
      </c>
      <c r="M241" s="14" t="s">
        <v>9158</v>
      </c>
      <c r="N241" s="14" t="s">
        <v>9158</v>
      </c>
      <c r="O241" s="14" t="s">
        <v>9158</v>
      </c>
      <c r="P241" s="14" t="s">
        <v>9158</v>
      </c>
      <c r="Q241" s="14" t="s">
        <v>9158</v>
      </c>
    </row>
    <row r="243" spans="1:18">
      <c r="A243" s="7" t="s">
        <v>13327</v>
      </c>
      <c r="B243" s="7"/>
      <c r="C243" s="7"/>
      <c r="D243" s="7"/>
      <c r="E243" s="7"/>
      <c r="F243" s="7"/>
      <c r="G243" s="7"/>
      <c r="H243" s="9"/>
      <c r="I243" s="7"/>
      <c r="J243" s="7"/>
      <c r="K243" s="7"/>
      <c r="L243" s="7"/>
      <c r="M243" s="7"/>
      <c r="N243" s="7"/>
      <c r="O243" s="7"/>
      <c r="P243" s="7"/>
      <c r="Q243" s="7"/>
      <c r="R243" s="7"/>
    </row>
    <row r="244" spans="1:18">
      <c r="A244" s="7" t="s">
        <v>14223</v>
      </c>
      <c r="B244" s="7"/>
      <c r="C244" s="7"/>
      <c r="D244" s="7"/>
      <c r="E244" s="7"/>
      <c r="F244" s="7"/>
      <c r="G244" s="7"/>
      <c r="H244" s="9"/>
      <c r="I244" s="7"/>
      <c r="J244" s="7"/>
      <c r="K244" s="7"/>
      <c r="L244" s="7"/>
      <c r="M244" s="7"/>
      <c r="N244" s="7"/>
      <c r="O244" s="7"/>
      <c r="P244" s="7"/>
      <c r="Q244" s="7"/>
      <c r="R244" s="7"/>
    </row>
    <row r="245" spans="1:18">
      <c r="A245" s="14">
        <v>88153</v>
      </c>
      <c r="B245" s="14" t="s">
        <v>334</v>
      </c>
      <c r="C245" s="14" t="s">
        <v>14</v>
      </c>
      <c r="D245" s="6" t="s">
        <v>10011</v>
      </c>
      <c r="E245" s="15" t="str">
        <f>HYPERLINK("https://stat100.ameba.jp/tnk47/ratio20/illustrations/card/ill_88153_sunofueari03.jpg?202007-5-RELEASE-marathon-481xx", "■")</f>
        <v>■</v>
      </c>
      <c r="F245" s="14" t="s">
        <v>9960</v>
      </c>
      <c r="G245" s="14">
        <v>132922</v>
      </c>
      <c r="H245" s="14">
        <v>123583</v>
      </c>
      <c r="I245" s="14">
        <v>27</v>
      </c>
      <c r="J245" s="14" t="s">
        <v>169</v>
      </c>
      <c r="K245" s="14" t="s">
        <v>9961</v>
      </c>
      <c r="L245" s="14" t="s">
        <v>9962</v>
      </c>
      <c r="M245" s="14" t="s">
        <v>13130</v>
      </c>
      <c r="N245" s="14" t="s">
        <v>343</v>
      </c>
      <c r="O245" s="14" t="s">
        <v>9158</v>
      </c>
      <c r="P245" s="14" t="s">
        <v>9158</v>
      </c>
      <c r="Q245" s="14" t="s">
        <v>9158</v>
      </c>
      <c r="R245" s="14" t="s">
        <v>14748</v>
      </c>
    </row>
    <row r="246" spans="1:18">
      <c r="A246" s="14">
        <v>88152</v>
      </c>
      <c r="B246" s="14" t="s">
        <v>334</v>
      </c>
      <c r="C246" s="14" t="s">
        <v>14</v>
      </c>
      <c r="D246" s="6" t="s">
        <v>10011</v>
      </c>
      <c r="E246" s="15" t="str">
        <f>HYPERLINK("https://stat100.ameba.jp/tnk47/ratio20/illustrations/card/ill_88152_sunofueari02.jpg?202007-5-RELEASE-marathon-481xx", "■")</f>
        <v>■</v>
      </c>
      <c r="F246" s="14" t="s">
        <v>9960</v>
      </c>
      <c r="G246" s="14">
        <v>111115</v>
      </c>
      <c r="H246" s="14">
        <v>102356</v>
      </c>
      <c r="I246" s="14">
        <v>27</v>
      </c>
      <c r="J246" s="14" t="s">
        <v>169</v>
      </c>
      <c r="K246" s="14" t="s">
        <v>9961</v>
      </c>
      <c r="L246" s="14" t="s">
        <v>9962</v>
      </c>
      <c r="M246" s="14" t="s">
        <v>13131</v>
      </c>
      <c r="N246" s="14" t="s">
        <v>251</v>
      </c>
      <c r="O246" s="14" t="s">
        <v>9158</v>
      </c>
      <c r="P246" s="14" t="s">
        <v>9158</v>
      </c>
      <c r="Q246" s="14" t="s">
        <v>9158</v>
      </c>
      <c r="R246" s="14" t="s">
        <v>14748</v>
      </c>
    </row>
    <row r="247" spans="1:18">
      <c r="A247" s="14">
        <v>88151</v>
      </c>
      <c r="B247" s="14" t="s">
        <v>0</v>
      </c>
      <c r="C247" s="14" t="s">
        <v>14</v>
      </c>
      <c r="D247" s="6" t="s">
        <v>10011</v>
      </c>
      <c r="E247" s="15" t="str">
        <f>HYPERLINK("https://stat100.ameba.jp/tnk47/ratio20/illustrations/card/ill_88151_sunofueari01.jpg?202007-5-RELEASE-marathon-481xx", "■")</f>
        <v>■</v>
      </c>
      <c r="F247" s="14" t="s">
        <v>9960</v>
      </c>
      <c r="G247" s="14">
        <v>84834</v>
      </c>
      <c r="H247" s="14">
        <v>78975</v>
      </c>
      <c r="I247" s="14">
        <v>27</v>
      </c>
      <c r="J247" s="14" t="s">
        <v>169</v>
      </c>
      <c r="K247" s="14" t="s">
        <v>9961</v>
      </c>
      <c r="L247" s="14" t="s">
        <v>9962</v>
      </c>
      <c r="M247" s="14" t="s">
        <v>13131</v>
      </c>
      <c r="N247" s="14" t="s">
        <v>251</v>
      </c>
      <c r="O247" s="14" t="s">
        <v>9158</v>
      </c>
      <c r="P247" s="14" t="s">
        <v>9158</v>
      </c>
      <c r="Q247" s="14" t="s">
        <v>9158</v>
      </c>
      <c r="R247" s="14" t="s">
        <v>14748</v>
      </c>
    </row>
    <row r="248" spans="1:18">
      <c r="A248" s="14">
        <v>88163</v>
      </c>
      <c r="B248" s="14" t="s">
        <v>334</v>
      </c>
      <c r="C248" s="14" t="s">
        <v>23</v>
      </c>
      <c r="D248" s="6" t="s">
        <v>10012</v>
      </c>
      <c r="E248" s="15" t="str">
        <f>HYPERLINK("https://stat100.ameba.jp/tnk47/ratio20/illustrations/card/ill_88163_shitsujitanteimagi03.jpg?202007-5-RELEASE-marathon-481xx", "■")</f>
        <v>■</v>
      </c>
      <c r="F248" s="14" t="s">
        <v>9963</v>
      </c>
      <c r="G248" s="14">
        <v>132922</v>
      </c>
      <c r="H248" s="14">
        <v>123583</v>
      </c>
      <c r="I248" s="14">
        <v>27</v>
      </c>
      <c r="J248" s="14" t="s">
        <v>159</v>
      </c>
      <c r="K248" s="14" t="s">
        <v>9964</v>
      </c>
      <c r="L248" s="14" t="s">
        <v>9965</v>
      </c>
      <c r="M248" s="14" t="s">
        <v>13130</v>
      </c>
      <c r="N248" s="14" t="s">
        <v>343</v>
      </c>
      <c r="O248" s="14" t="s">
        <v>9158</v>
      </c>
      <c r="P248" s="14" t="s">
        <v>9158</v>
      </c>
      <c r="Q248" s="14" t="s">
        <v>9158</v>
      </c>
      <c r="R248" s="14" t="s">
        <v>14748</v>
      </c>
    </row>
    <row r="249" spans="1:18">
      <c r="A249" s="14">
        <v>88173</v>
      </c>
      <c r="B249" s="14" t="s">
        <v>334</v>
      </c>
      <c r="C249" s="14" t="s">
        <v>101</v>
      </c>
      <c r="D249" s="6" t="s">
        <v>10013</v>
      </c>
      <c r="E249" s="15" t="str">
        <f>HYPERLINK("https://stat100.ameba.jp/tnk47/ratio20/illustrations/card/ill_88173_pichipurinsesu03.jpg?202007-5-RELEASE-marathon-481xx", "■")</f>
        <v>■</v>
      </c>
      <c r="F249" s="14" t="s">
        <v>9966</v>
      </c>
      <c r="G249" s="14">
        <v>123583</v>
      </c>
      <c r="H249" s="14">
        <v>132922</v>
      </c>
      <c r="I249" s="14">
        <v>27</v>
      </c>
      <c r="J249" s="14" t="s">
        <v>187</v>
      </c>
      <c r="K249" s="14" t="s">
        <v>9967</v>
      </c>
      <c r="L249" s="14" t="s">
        <v>9968</v>
      </c>
      <c r="M249" s="14" t="s">
        <v>13130</v>
      </c>
      <c r="N249" s="14" t="s">
        <v>343</v>
      </c>
      <c r="O249" s="14" t="s">
        <v>9158</v>
      </c>
      <c r="P249" s="14" t="s">
        <v>9158</v>
      </c>
      <c r="Q249" s="14" t="s">
        <v>9158</v>
      </c>
      <c r="R249" s="14" t="s">
        <v>14748</v>
      </c>
    </row>
    <row r="250" spans="1:18">
      <c r="A250" s="14">
        <v>88183</v>
      </c>
      <c r="B250" s="14" t="s">
        <v>0</v>
      </c>
      <c r="C250" s="14" t="s">
        <v>96</v>
      </c>
      <c r="D250" s="6" t="s">
        <v>10014</v>
      </c>
      <c r="E250" s="15" t="str">
        <f>HYPERLINK("https://stat100.ameba.jp/tnk47/ratio20/illustrations/card/ill_88183_saikiringugaru03.jpg?202007-5-RELEASE-marathon-481xx", "■")</f>
        <v>■</v>
      </c>
      <c r="F250" s="14" t="s">
        <v>9969</v>
      </c>
      <c r="G250" s="14">
        <v>123583</v>
      </c>
      <c r="H250" s="14">
        <v>132922</v>
      </c>
      <c r="I250" s="14">
        <v>27</v>
      </c>
      <c r="J250" s="14" t="s">
        <v>182</v>
      </c>
      <c r="K250" s="14" t="s">
        <v>9970</v>
      </c>
      <c r="L250" s="14" t="s">
        <v>9971</v>
      </c>
      <c r="M250" s="14" t="s">
        <v>13130</v>
      </c>
      <c r="N250" s="14" t="s">
        <v>343</v>
      </c>
      <c r="O250" s="14" t="s">
        <v>9158</v>
      </c>
      <c r="P250" s="14" t="s">
        <v>9158</v>
      </c>
      <c r="Q250" s="14" t="s">
        <v>9158</v>
      </c>
      <c r="R250" s="14" t="s">
        <v>14748</v>
      </c>
    </row>
    <row r="251" spans="1:18">
      <c r="A251" s="14">
        <v>88193</v>
      </c>
      <c r="B251" s="14" t="s">
        <v>334</v>
      </c>
      <c r="C251" s="14" t="s">
        <v>205</v>
      </c>
      <c r="D251" s="6" t="s">
        <v>10015</v>
      </c>
      <c r="E251" s="15" t="str">
        <f>HYPERLINK("https://stat100.ameba.jp/tnk47/ratio20/illustrations/card/ill_88193_sakasunomajo03.jpg?202007-5-RELEASE-marathon-481xx", "■")</f>
        <v>■</v>
      </c>
      <c r="F251" s="14" t="s">
        <v>9972</v>
      </c>
      <c r="G251" s="14">
        <v>123583</v>
      </c>
      <c r="H251" s="14">
        <v>132922</v>
      </c>
      <c r="I251" s="14">
        <v>27</v>
      </c>
      <c r="J251" s="14" t="s">
        <v>155</v>
      </c>
      <c r="K251" s="14" t="s">
        <v>9977</v>
      </c>
      <c r="L251" s="14" t="s">
        <v>9973</v>
      </c>
      <c r="M251" s="14" t="s">
        <v>13130</v>
      </c>
      <c r="N251" s="14" t="s">
        <v>343</v>
      </c>
      <c r="O251" s="14" t="s">
        <v>9158</v>
      </c>
      <c r="P251" s="14" t="s">
        <v>9158</v>
      </c>
      <c r="Q251" s="14" t="s">
        <v>9158</v>
      </c>
      <c r="R251" s="14" t="s">
        <v>14748</v>
      </c>
    </row>
    <row r="252" spans="1:18">
      <c r="A252" s="14">
        <v>88203</v>
      </c>
      <c r="B252" s="14" t="s">
        <v>334</v>
      </c>
      <c r="C252" s="14" t="s">
        <v>107</v>
      </c>
      <c r="D252" s="6" t="s">
        <v>10016</v>
      </c>
      <c r="E252" s="15" t="str">
        <f>HYPERLINK("https://stat100.ameba.jp/tnk47/ratio20/illustrations/card/ill_88203_soingumasuta03.jpg?202007-5-RELEASE-marathon-481xx", "■")</f>
        <v>■</v>
      </c>
      <c r="F252" s="14" t="s">
        <v>9976</v>
      </c>
      <c r="G252" s="14">
        <v>132922</v>
      </c>
      <c r="H252" s="14">
        <v>123583</v>
      </c>
      <c r="I252" s="14">
        <v>27</v>
      </c>
      <c r="J252" s="14" t="s">
        <v>173</v>
      </c>
      <c r="K252" s="14" t="s">
        <v>9974</v>
      </c>
      <c r="L252" s="14" t="s">
        <v>9975</v>
      </c>
      <c r="M252" s="14" t="s">
        <v>13130</v>
      </c>
      <c r="N252" s="14" t="s">
        <v>343</v>
      </c>
      <c r="O252" s="14" t="s">
        <v>9158</v>
      </c>
      <c r="P252" s="14" t="s">
        <v>9158</v>
      </c>
      <c r="Q252" s="14" t="s">
        <v>9158</v>
      </c>
      <c r="R252" s="14" t="s">
        <v>14748</v>
      </c>
    </row>
    <row r="254" spans="1:18">
      <c r="A254" s="14" t="s">
        <v>14225</v>
      </c>
    </row>
    <row r="255" spans="1:18">
      <c r="A255" s="14" t="s">
        <v>14226</v>
      </c>
    </row>
    <row r="256" spans="1:18">
      <c r="A256" s="14" t="s">
        <v>5778</v>
      </c>
      <c r="B256" s="14" t="s">
        <v>330</v>
      </c>
      <c r="C256" s="14" t="s">
        <v>205</v>
      </c>
      <c r="D256" s="19" t="s">
        <v>272</v>
      </c>
      <c r="E256" s="15" t="str">
        <f>HYPERLINK("https://stat100.ameba.jp/tnk47/ratio20/illustrations/card/ill_68783_0_gantammomotaro03.jpg?202007-5-RELEASE-marathon-481xx", "■")</f>
        <v>■</v>
      </c>
      <c r="F256" s="14" t="s">
        <v>273</v>
      </c>
      <c r="G256" s="14">
        <v>170984</v>
      </c>
      <c r="H256" s="14">
        <v>158951</v>
      </c>
      <c r="I256" s="14">
        <v>25</v>
      </c>
      <c r="J256" s="14" t="s">
        <v>274</v>
      </c>
      <c r="K256" s="14" t="s">
        <v>275</v>
      </c>
      <c r="L256" s="14" t="s">
        <v>276</v>
      </c>
      <c r="M256" s="14" t="s">
        <v>9158</v>
      </c>
      <c r="N256" s="14" t="s">
        <v>9158</v>
      </c>
      <c r="O256" s="19" t="s">
        <v>10099</v>
      </c>
      <c r="P256" s="14" t="s">
        <v>3085</v>
      </c>
      <c r="Q256" s="14">
        <v>1</v>
      </c>
    </row>
    <row r="257" spans="1:17">
      <c r="A257" s="14">
        <v>79963</v>
      </c>
      <c r="B257" s="14" t="s">
        <v>0</v>
      </c>
      <c r="C257" s="14" t="s">
        <v>200</v>
      </c>
      <c r="D257" s="20" t="s">
        <v>10477</v>
      </c>
      <c r="E257" s="15" t="str">
        <f>HYPERLINK("https://stat100.ameba.jp/tnk47/ratio20/illustrations/card/ill_79963_hinamatsurirakko03.jpg?202007-5-RELEASE-marathon-481xx", "■")</f>
        <v>■</v>
      </c>
      <c r="F257" s="14" t="s">
        <v>3715</v>
      </c>
      <c r="G257" s="14">
        <v>118446</v>
      </c>
      <c r="H257" s="14">
        <v>110126</v>
      </c>
      <c r="I257" s="14">
        <v>26</v>
      </c>
      <c r="J257" s="14" t="s">
        <v>26</v>
      </c>
      <c r="K257" s="14" t="s">
        <v>3716</v>
      </c>
      <c r="L257" s="14" t="s">
        <v>1086</v>
      </c>
      <c r="M257" s="14" t="s">
        <v>9158</v>
      </c>
      <c r="N257" s="14" t="s">
        <v>9158</v>
      </c>
      <c r="O257" s="19" t="s">
        <v>10090</v>
      </c>
      <c r="P257" s="14" t="s">
        <v>3460</v>
      </c>
      <c r="Q257" s="14">
        <v>1</v>
      </c>
    </row>
    <row r="258" spans="1:17">
      <c r="A258" s="9">
        <v>72923</v>
      </c>
      <c r="B258" s="14" t="s">
        <v>0</v>
      </c>
      <c r="C258" s="14" t="s">
        <v>206</v>
      </c>
      <c r="D258" s="14" t="s">
        <v>1836</v>
      </c>
      <c r="E258" s="15" t="str">
        <f>HYPERLINK("https://stat100.ameba.jp/tnk47/ratio20/illustrations/card/ill_72923_amenohanayomemyorinni03.jpg?202007-5-RELEASE-marathon-481xx", "■")</f>
        <v>■</v>
      </c>
      <c r="F258" s="14" t="s">
        <v>1837</v>
      </c>
      <c r="G258" s="14">
        <v>143714</v>
      </c>
      <c r="H258" s="14">
        <v>154562</v>
      </c>
      <c r="I258" s="14">
        <v>26</v>
      </c>
      <c r="J258" s="14" t="s">
        <v>194</v>
      </c>
      <c r="K258" s="14" t="s">
        <v>1838</v>
      </c>
      <c r="L258" s="14" t="s">
        <v>13160</v>
      </c>
      <c r="M258" s="14" t="s">
        <v>9158</v>
      </c>
      <c r="N258" s="14" t="s">
        <v>9158</v>
      </c>
      <c r="O258" s="9" t="s">
        <v>2752</v>
      </c>
      <c r="P258" s="14" t="s">
        <v>13123</v>
      </c>
      <c r="Q258" s="14">
        <v>1</v>
      </c>
    </row>
    <row r="259" spans="1:17">
      <c r="A259" s="14">
        <v>82373</v>
      </c>
      <c r="B259" s="14" t="s">
        <v>334</v>
      </c>
      <c r="C259" s="14" t="s">
        <v>191</v>
      </c>
      <c r="D259" s="6" t="s">
        <v>10020</v>
      </c>
      <c r="E259" s="15" t="str">
        <f>HYPERLINK("https://stat100.ameba.jp/tnk47/ratio20/illustrations/card/ill_82373_bikinigaruyasharyujin03.jpg?202007-5-RELEASE-marathon-481xx", "■")</f>
        <v>■</v>
      </c>
      <c r="F259" s="14" t="s">
        <v>5397</v>
      </c>
      <c r="G259" s="14">
        <v>106050</v>
      </c>
      <c r="H259" s="14">
        <v>98594</v>
      </c>
      <c r="I259" s="14">
        <v>26</v>
      </c>
      <c r="J259" s="14" t="s">
        <v>44</v>
      </c>
      <c r="K259" s="14" t="s">
        <v>5398</v>
      </c>
      <c r="L259" s="14" t="s">
        <v>3356</v>
      </c>
      <c r="M259" s="14" t="s">
        <v>9158</v>
      </c>
      <c r="N259" s="14" t="s">
        <v>9158</v>
      </c>
      <c r="O259" s="6" t="s">
        <v>3578</v>
      </c>
      <c r="P259" s="14" t="s">
        <v>3579</v>
      </c>
      <c r="Q259" s="14">
        <v>1</v>
      </c>
    </row>
    <row r="261" spans="1:17">
      <c r="A261" s="14" t="s">
        <v>204</v>
      </c>
      <c r="D261" s="7"/>
    </row>
    <row r="262" spans="1:17">
      <c r="A262" s="14" t="s">
        <v>14227</v>
      </c>
      <c r="D262" s="7"/>
    </row>
    <row r="263" spans="1:17">
      <c r="A263" s="14" t="s">
        <v>5843</v>
      </c>
      <c r="B263" s="14" t="s">
        <v>52</v>
      </c>
      <c r="C263" s="14" t="s">
        <v>202</v>
      </c>
      <c r="D263" s="19" t="s">
        <v>10291</v>
      </c>
      <c r="E263" s="15" t="str">
        <f>HYPERLINK("https://stat100.ameba.jp/tnk47/ratio20/illustrations/card/ill_77963_0_kurisumasudaisakusentakiyashahime03.jpg?202007-5-RELEASE-marathon-481xx", "■")</f>
        <v>■</v>
      </c>
      <c r="F263" s="14" t="s">
        <v>2127</v>
      </c>
      <c r="G263" s="14">
        <v>270184</v>
      </c>
      <c r="H263" s="14">
        <v>244188</v>
      </c>
      <c r="I263" s="14">
        <v>22</v>
      </c>
      <c r="J263" s="14" t="s">
        <v>77</v>
      </c>
      <c r="K263" s="14" t="s">
        <v>2128</v>
      </c>
      <c r="L263" s="14" t="s">
        <v>2129</v>
      </c>
      <c r="M263" s="14" t="s">
        <v>9158</v>
      </c>
      <c r="N263" s="14" t="s">
        <v>9158</v>
      </c>
      <c r="O263" s="19" t="s">
        <v>10107</v>
      </c>
      <c r="P263" s="14" t="s">
        <v>3589</v>
      </c>
      <c r="Q263" s="14">
        <v>2</v>
      </c>
    </row>
    <row r="264" spans="1:17">
      <c r="A264" s="14" t="s">
        <v>5607</v>
      </c>
      <c r="B264" s="14" t="s">
        <v>330</v>
      </c>
      <c r="C264" s="14" t="s">
        <v>200</v>
      </c>
      <c r="D264" s="19" t="s">
        <v>421</v>
      </c>
      <c r="E264" s="15" t="str">
        <f>HYPERLINK("https://stat100.ameba.jp/tnk47/ratio20/illustrations/card/ill_58853_0_setsubumpanikkuhiratsukaraicho03.jpg?202007-5-RELEASE-marathon-481xx", "■")</f>
        <v>■</v>
      </c>
      <c r="F264" s="14" t="s">
        <v>1040</v>
      </c>
      <c r="G264" s="14">
        <v>138212</v>
      </c>
      <c r="H264" s="14">
        <v>122776</v>
      </c>
      <c r="I264" s="14">
        <v>22</v>
      </c>
      <c r="J264" s="14" t="s">
        <v>16</v>
      </c>
      <c r="K264" s="14" t="s">
        <v>1041</v>
      </c>
      <c r="L264" s="14" t="s">
        <v>1042</v>
      </c>
      <c r="M264" s="14" t="s">
        <v>9158</v>
      </c>
      <c r="N264" s="14" t="s">
        <v>9158</v>
      </c>
      <c r="O264" s="6" t="s">
        <v>10059</v>
      </c>
      <c r="P264" s="14" t="s">
        <v>2870</v>
      </c>
      <c r="Q264" s="14">
        <v>1</v>
      </c>
    </row>
    <row r="265" spans="1:17">
      <c r="A265" s="14" t="s">
        <v>5604</v>
      </c>
      <c r="B265" s="14" t="s">
        <v>330</v>
      </c>
      <c r="C265" s="14" t="s">
        <v>206</v>
      </c>
      <c r="D265" s="19" t="s">
        <v>614</v>
      </c>
      <c r="E265" s="15" t="str">
        <f>HYPERLINK("https://stat100.ameba.jp/tnk47/ratio20/illustrations/card/ill_47263_0_oukyuuatsuhime03.jpg?202007-5-RELEASE-marathon-481xx", "■")</f>
        <v>■</v>
      </c>
      <c r="F265" s="14" t="s">
        <v>615</v>
      </c>
      <c r="G265" s="14">
        <v>138212</v>
      </c>
      <c r="H265" s="14">
        <v>122776</v>
      </c>
      <c r="I265" s="14">
        <v>22</v>
      </c>
      <c r="J265" s="14" t="s">
        <v>315</v>
      </c>
      <c r="K265" s="14" t="s">
        <v>616</v>
      </c>
      <c r="L265" s="14" t="s">
        <v>617</v>
      </c>
      <c r="M265" s="14" t="s">
        <v>9158</v>
      </c>
      <c r="N265" s="14" t="s">
        <v>9158</v>
      </c>
      <c r="O265" s="14" t="s">
        <v>9158</v>
      </c>
      <c r="P265" s="14" t="s">
        <v>9158</v>
      </c>
      <c r="Q265" s="14" t="s">
        <v>9158</v>
      </c>
    </row>
    <row r="266" spans="1:17">
      <c r="A266" s="14">
        <v>74323</v>
      </c>
      <c r="B266" s="14" t="s">
        <v>334</v>
      </c>
      <c r="C266" s="14" t="s">
        <v>165</v>
      </c>
      <c r="D266" s="19" t="s">
        <v>10222</v>
      </c>
      <c r="E266" s="15" t="str">
        <f>HYPERLINK("https://stat100.ameba.jp/tnk47/ratio20/illustrations/card/ill_74323_nadanosake03.jpg?202007-5-RELEASE-marathon-481xx", "■")</f>
        <v>■</v>
      </c>
      <c r="F266" s="14" t="s">
        <v>5092</v>
      </c>
      <c r="G266" s="14">
        <v>157484</v>
      </c>
      <c r="H266" s="14">
        <v>88593</v>
      </c>
      <c r="I266" s="14">
        <v>27</v>
      </c>
      <c r="J266" s="14" t="s">
        <v>216</v>
      </c>
      <c r="K266" s="14" t="s">
        <v>5094</v>
      </c>
      <c r="L266" s="14" t="s">
        <v>2409</v>
      </c>
      <c r="M266" s="14" t="s">
        <v>9158</v>
      </c>
      <c r="N266" s="14" t="s">
        <v>9158</v>
      </c>
      <c r="O266" s="14" t="s">
        <v>9158</v>
      </c>
      <c r="P266" s="14" t="s">
        <v>9158</v>
      </c>
      <c r="Q266" s="14" t="s">
        <v>9158</v>
      </c>
    </row>
    <row r="267" spans="1:17">
      <c r="A267" s="9">
        <v>87233</v>
      </c>
      <c r="B267" s="9" t="s">
        <v>0</v>
      </c>
      <c r="C267" s="9" t="s">
        <v>185</v>
      </c>
      <c r="D267" s="19" t="s">
        <v>10990</v>
      </c>
      <c r="E267" s="15" t="str">
        <f>HYPERLINK("https://stat100.ameba.jp/tnk47/ratio20/illustrations/card/ill_87233_shubuarie03.jpg?202007-5-RELEASE-marathon-481xx", "■")</f>
        <v>■</v>
      </c>
      <c r="F267" s="9" t="s">
        <v>9748</v>
      </c>
      <c r="G267" s="9">
        <v>130214</v>
      </c>
      <c r="H267" s="9">
        <v>73270</v>
      </c>
      <c r="I267" s="9">
        <v>27</v>
      </c>
      <c r="J267" s="9" t="s">
        <v>194</v>
      </c>
      <c r="K267" s="9" t="s">
        <v>9747</v>
      </c>
      <c r="L267" s="9" t="s">
        <v>912</v>
      </c>
      <c r="M267" s="14" t="s">
        <v>9158</v>
      </c>
      <c r="N267" s="14" t="s">
        <v>9158</v>
      </c>
      <c r="O267" s="14" t="s">
        <v>9158</v>
      </c>
      <c r="P267" s="14" t="s">
        <v>9158</v>
      </c>
      <c r="Q267" s="14" t="s">
        <v>9158</v>
      </c>
    </row>
    <row r="268" spans="1:17">
      <c r="A268" s="14">
        <v>88623</v>
      </c>
      <c r="B268" s="14" t="s">
        <v>0</v>
      </c>
      <c r="C268" s="14" t="s">
        <v>200</v>
      </c>
      <c r="D268" s="14" t="s">
        <v>12204</v>
      </c>
      <c r="E268" s="15" t="str">
        <f>HYPERLINK("https://stat100.ameba.jp/tnk47/ratio20/illustrations/card/ill_88623_yuenchirorakosuta03.jpg?202007-5-RELEASE-marathon-481xx", "■")</f>
        <v>■</v>
      </c>
      <c r="F268" s="14" t="s">
        <v>12205</v>
      </c>
      <c r="G268" s="14">
        <v>123002</v>
      </c>
      <c r="H268" s="14">
        <v>114362</v>
      </c>
      <c r="I268" s="14">
        <v>27</v>
      </c>
      <c r="J268" s="14" t="s">
        <v>26</v>
      </c>
      <c r="K268" s="14" t="s">
        <v>12207</v>
      </c>
      <c r="L268" s="14" t="s">
        <v>12208</v>
      </c>
      <c r="M268" s="14" t="s">
        <v>9158</v>
      </c>
      <c r="N268" s="14" t="s">
        <v>9158</v>
      </c>
      <c r="O268" s="14" t="s">
        <v>9158</v>
      </c>
      <c r="P268" s="14" t="s">
        <v>9158</v>
      </c>
      <c r="Q268" s="14" t="s">
        <v>9158</v>
      </c>
    </row>
    <row r="270" spans="1:17">
      <c r="A270" s="14" t="s">
        <v>14229</v>
      </c>
    </row>
    <row r="271" spans="1:17">
      <c r="A271" s="14" t="s">
        <v>14231</v>
      </c>
    </row>
    <row r="272" spans="1:17">
      <c r="A272" s="14" t="s">
        <v>14230</v>
      </c>
    </row>
    <row r="273" spans="1:17">
      <c r="A273" s="14" t="s">
        <v>13442</v>
      </c>
      <c r="B273" s="7" t="s">
        <v>52</v>
      </c>
      <c r="C273" s="14" t="s">
        <v>202</v>
      </c>
      <c r="D273" s="18" t="s">
        <v>13441</v>
      </c>
      <c r="E273" s="15" t="str">
        <f>HYPERLINK("https://stat100.ameba.jp/tnk47/ratio20/illustrations/card/ill_90393_0_nangokubakansusanukiudonchan03.jpg?202007-5-RELEASE-marathon-481xx", "■")</f>
        <v>■</v>
      </c>
      <c r="F273" s="14" t="s">
        <v>13443</v>
      </c>
      <c r="G273" s="14">
        <v>281517</v>
      </c>
      <c r="H273" s="14">
        <v>344095</v>
      </c>
      <c r="I273" s="7">
        <v>27</v>
      </c>
      <c r="J273" s="14" t="s">
        <v>104</v>
      </c>
      <c r="K273" s="14" t="s">
        <v>13444</v>
      </c>
      <c r="L273" s="14" t="s">
        <v>13445</v>
      </c>
      <c r="M273" s="14" t="s">
        <v>9158</v>
      </c>
      <c r="N273" s="14" t="s">
        <v>9158</v>
      </c>
      <c r="O273" s="6" t="s">
        <v>13446</v>
      </c>
      <c r="P273" s="7" t="s">
        <v>13447</v>
      </c>
      <c r="Q273" s="7">
        <v>1</v>
      </c>
    </row>
    <row r="274" spans="1:17">
      <c r="A274" s="14">
        <v>90623</v>
      </c>
      <c r="B274" s="14" t="s">
        <v>0</v>
      </c>
      <c r="C274" s="14" t="s">
        <v>14211</v>
      </c>
      <c r="D274" s="14" t="s">
        <v>14237</v>
      </c>
      <c r="E274" s="15" t="str">
        <f>HYPERLINK("https://stat100.ameba.jp/tnk47/ratio20/illustrations/card/ill_90623_arabiankunopeshu03.jpg?202007-5-RELEASE-marathon-481xx", "■")</f>
        <v>■</v>
      </c>
      <c r="F274" s="14" t="s">
        <v>14236</v>
      </c>
      <c r="G274" s="14">
        <v>160507</v>
      </c>
      <c r="H274" s="14">
        <v>149240</v>
      </c>
      <c r="I274" s="7">
        <v>27</v>
      </c>
      <c r="J274" s="14" t="s">
        <v>14235</v>
      </c>
      <c r="K274" s="14" t="s">
        <v>14234</v>
      </c>
      <c r="L274" s="14" t="s">
        <v>14233</v>
      </c>
      <c r="M274" s="14" t="s">
        <v>9158</v>
      </c>
      <c r="N274" s="14" t="s">
        <v>9158</v>
      </c>
      <c r="O274" s="14" t="s">
        <v>9158</v>
      </c>
      <c r="P274" s="14" t="s">
        <v>9158</v>
      </c>
      <c r="Q274" s="14" t="s">
        <v>9158</v>
      </c>
    </row>
    <row r="275" spans="1:17">
      <c r="A275" s="14">
        <v>90633</v>
      </c>
      <c r="B275" s="14" t="s">
        <v>0</v>
      </c>
      <c r="C275" t="s">
        <v>14</v>
      </c>
      <c r="D275" s="14" t="s">
        <v>14242</v>
      </c>
      <c r="E275" s="15" t="str">
        <f>HYPERLINK("https://stat100.ameba.jp/tnk47/ratio20/illustrations/card/ill_90633_tamayohime03.jpg?202007-5-RELEASE-marathon-481xx", "■")</f>
        <v>■</v>
      </c>
      <c r="F275" s="14" t="s">
        <v>14241</v>
      </c>
      <c r="G275" s="14">
        <v>98019</v>
      </c>
      <c r="H275" s="14">
        <v>105465</v>
      </c>
      <c r="I275" s="7">
        <v>27</v>
      </c>
      <c r="J275" s="14" t="s">
        <v>14240</v>
      </c>
      <c r="K275" s="14" t="s">
        <v>14239</v>
      </c>
      <c r="L275" s="14" t="s">
        <v>14238</v>
      </c>
      <c r="M275" s="14" t="s">
        <v>9158</v>
      </c>
      <c r="N275" s="14" t="s">
        <v>9158</v>
      </c>
      <c r="O275" s="14" t="s">
        <v>9158</v>
      </c>
      <c r="P275" s="14" t="s">
        <v>9158</v>
      </c>
      <c r="Q275" s="14" t="s">
        <v>9158</v>
      </c>
    </row>
    <row r="276" spans="1:17">
      <c r="A276" s="14">
        <v>90643</v>
      </c>
      <c r="B276" s="14" t="s">
        <v>15</v>
      </c>
      <c r="C276" s="14" t="s">
        <v>14176</v>
      </c>
      <c r="D276" s="14" t="s">
        <v>14246</v>
      </c>
      <c r="E276" s="15" t="str">
        <f>HYPERLINK("https://stat100.ameba.jp/tnk47/ratio20/illustrations/card/ill_90643_arabianbegoma03.jpg?202007-5-RELEASE-marathon-481xx", "■")</f>
        <v>■</v>
      </c>
      <c r="F276" s="14" t="s">
        <v>14245</v>
      </c>
      <c r="G276" s="14">
        <v>80028</v>
      </c>
      <c r="H276" s="14">
        <v>72586</v>
      </c>
      <c r="I276" s="7">
        <v>27</v>
      </c>
      <c r="J276" s="14" t="s">
        <v>14208</v>
      </c>
      <c r="K276" s="14" t="s">
        <v>14244</v>
      </c>
      <c r="L276" s="14" t="s">
        <v>14243</v>
      </c>
      <c r="M276" s="14" t="s">
        <v>9158</v>
      </c>
      <c r="N276" s="14" t="s">
        <v>9158</v>
      </c>
      <c r="O276" s="14" t="s">
        <v>9158</v>
      </c>
      <c r="P276" s="14" t="s">
        <v>9158</v>
      </c>
      <c r="Q276" s="14" t="s">
        <v>9158</v>
      </c>
    </row>
    <row r="277" spans="1:17">
      <c r="A277" s="14">
        <v>90653</v>
      </c>
      <c r="B277" s="14" t="s">
        <v>22</v>
      </c>
      <c r="C277" s="14" t="s">
        <v>14175</v>
      </c>
      <c r="D277" s="14" t="s">
        <v>14250</v>
      </c>
      <c r="E277" s="15" t="str">
        <f>HYPERLINK("https://stat100.ameba.jp/tnk47/ratio20/illustrations/card/ill_90653_arabiannaitoakashirejina03.jpg?202007-5-RELEASE-marathon-481xx", "■")</f>
        <v>■</v>
      </c>
      <c r="F277" s="14" t="s">
        <v>14249</v>
      </c>
      <c r="G277" s="14">
        <v>46676</v>
      </c>
      <c r="H277" s="14">
        <v>56138</v>
      </c>
      <c r="I277" s="7">
        <v>27</v>
      </c>
      <c r="J277" s="14" t="s">
        <v>14240</v>
      </c>
      <c r="K277" s="14" t="s">
        <v>14248</v>
      </c>
      <c r="L277" s="14" t="s">
        <v>14247</v>
      </c>
      <c r="M277" s="14" t="s">
        <v>9158</v>
      </c>
      <c r="N277" s="14" t="s">
        <v>9158</v>
      </c>
      <c r="O277" s="14" t="s">
        <v>9158</v>
      </c>
      <c r="P277" s="14" t="s">
        <v>9158</v>
      </c>
      <c r="Q277" s="14" t="s">
        <v>9158</v>
      </c>
    </row>
    <row r="278" spans="1:17">
      <c r="A278" s="14">
        <v>90663</v>
      </c>
      <c r="B278" s="14" t="s">
        <v>22</v>
      </c>
      <c r="C278" s="14" t="s">
        <v>14196</v>
      </c>
      <c r="D278" s="14" t="s">
        <v>14254</v>
      </c>
      <c r="E278" s="15" t="str">
        <f>HYPERLINK("https://stat100.ameba.jp/tnk47/ratio20/illustrations/card/ill_90663_oukyuusemimaru03.jpg?202007-5-RELEASE-marathon-481xx", "■")</f>
        <v>■</v>
      </c>
      <c r="F278" s="14" t="s">
        <v>14253</v>
      </c>
      <c r="G278" s="14">
        <v>56138</v>
      </c>
      <c r="H278" s="14">
        <v>46676</v>
      </c>
      <c r="I278" s="7">
        <v>27</v>
      </c>
      <c r="J278" s="14" t="s">
        <v>14199</v>
      </c>
      <c r="K278" s="14" t="s">
        <v>14252</v>
      </c>
      <c r="L278" s="14" t="s">
        <v>14251</v>
      </c>
      <c r="M278" s="14" t="s">
        <v>9158</v>
      </c>
      <c r="N278" s="14" t="s">
        <v>9158</v>
      </c>
      <c r="O278" s="14" t="s">
        <v>9158</v>
      </c>
      <c r="P278" s="14" t="s">
        <v>9158</v>
      </c>
      <c r="Q278" s="14" t="s">
        <v>9158</v>
      </c>
    </row>
    <row r="280" spans="1:17">
      <c r="A280" s="14" t="s">
        <v>14178</v>
      </c>
    </row>
    <row r="281" spans="1:17">
      <c r="A281" s="14" t="s">
        <v>14232</v>
      </c>
    </row>
    <row r="282" spans="1:17">
      <c r="A282" s="14" t="s">
        <v>5891</v>
      </c>
      <c r="B282" s="14" t="s">
        <v>330</v>
      </c>
      <c r="C282" s="14" t="s">
        <v>202</v>
      </c>
      <c r="D282" s="20" t="s">
        <v>1371</v>
      </c>
      <c r="E282" s="15" t="str">
        <f>HYPERLINK("https://stat100.ameba.jp/tnk47/ratio20/illustrations/card/ill_77173_0_yukemuritomoegozen03.jpg?202007-5-RELEASE-marathon-481xx", "■")</f>
        <v>■</v>
      </c>
      <c r="F282" s="14" t="s">
        <v>1372</v>
      </c>
      <c r="G282" s="14">
        <v>250610</v>
      </c>
      <c r="H282" s="14">
        <v>277283</v>
      </c>
      <c r="I282" s="14">
        <v>25</v>
      </c>
      <c r="J282" s="14" t="s">
        <v>310</v>
      </c>
      <c r="K282" s="14" t="s">
        <v>1373</v>
      </c>
      <c r="L282" s="14" t="s">
        <v>1374</v>
      </c>
      <c r="M282" s="14" t="s">
        <v>9158</v>
      </c>
      <c r="N282" s="14" t="s">
        <v>9158</v>
      </c>
      <c r="O282" s="19" t="s">
        <v>4067</v>
      </c>
      <c r="P282" s="14" t="s">
        <v>3879</v>
      </c>
      <c r="Q282" s="14">
        <v>2</v>
      </c>
    </row>
    <row r="283" spans="1:17">
      <c r="A283" s="14">
        <v>65643</v>
      </c>
      <c r="B283" s="14" t="s">
        <v>0</v>
      </c>
      <c r="C283" s="14" t="s">
        <v>209</v>
      </c>
      <c r="D283" s="20" t="s">
        <v>1681</v>
      </c>
      <c r="E283" s="15" t="str">
        <f>HYPERLINK("https://stat100.ameba.jp/tnk47/ratio20/illustrations/card/ill_65643_shitompekamui03.jpg?202007-5-RELEASE-marathon-481xx", "■")</f>
        <v>■</v>
      </c>
      <c r="F283" s="14" t="s">
        <v>1250</v>
      </c>
      <c r="G283" s="14">
        <v>79348</v>
      </c>
      <c r="H283" s="14">
        <v>109554</v>
      </c>
      <c r="I283" s="14">
        <v>24</v>
      </c>
      <c r="J283" s="14" t="s">
        <v>44</v>
      </c>
      <c r="K283" s="14" t="s">
        <v>1251</v>
      </c>
      <c r="L283" s="14" t="s">
        <v>1252</v>
      </c>
      <c r="M283" s="14" t="s">
        <v>9158</v>
      </c>
      <c r="N283" s="14" t="s">
        <v>9158</v>
      </c>
      <c r="O283" s="19" t="s">
        <v>10096</v>
      </c>
      <c r="P283" s="14" t="s">
        <v>3245</v>
      </c>
      <c r="Q283" s="14">
        <v>1</v>
      </c>
    </row>
    <row r="284" spans="1:17">
      <c r="A284" s="14">
        <v>83083</v>
      </c>
      <c r="B284" s="14" t="s">
        <v>0</v>
      </c>
      <c r="C284" s="14" t="s">
        <v>209</v>
      </c>
      <c r="D284" s="19" t="s">
        <v>10469</v>
      </c>
      <c r="E284" s="15" t="str">
        <f>HYPERLINK("https://stat100.ameba.jp/tnk47/ratio20/illustrations/card/ill_83083_burakkukingu03.jpg?202007-5-RELEASE-marathon-481xx", "■")</f>
        <v>■</v>
      </c>
      <c r="F284" s="14" t="s">
        <v>6093</v>
      </c>
      <c r="G284" s="14">
        <v>115656</v>
      </c>
      <c r="H284" s="14">
        <v>159674</v>
      </c>
      <c r="I284" s="14">
        <v>24</v>
      </c>
      <c r="J284" s="14" t="s">
        <v>194</v>
      </c>
      <c r="K284" s="14" t="s">
        <v>6095</v>
      </c>
      <c r="L284" s="14" t="s">
        <v>1148</v>
      </c>
      <c r="M284" s="14" t="s">
        <v>9158</v>
      </c>
      <c r="N284" s="14" t="s">
        <v>9158</v>
      </c>
      <c r="O284" s="19" t="s">
        <v>10117</v>
      </c>
      <c r="P284" s="14" t="s">
        <v>3625</v>
      </c>
      <c r="Q284" s="14">
        <v>1</v>
      </c>
    </row>
    <row r="285" spans="1:17">
      <c r="A285" s="14">
        <v>71333</v>
      </c>
      <c r="B285" s="14" t="s">
        <v>0</v>
      </c>
      <c r="C285" s="14" t="s">
        <v>41</v>
      </c>
      <c r="D285" s="20" t="s">
        <v>10256</v>
      </c>
      <c r="E285" s="15" t="str">
        <f>HYPERLINK("https://stat100.ameba.jp/tnk47/ratio20/illustrations/card/ill_71333_fujiwaranokamatari03.jpg?202007-5-RELEASE-marathon-481xx", "■")</f>
        <v>■</v>
      </c>
      <c r="F285" s="14" t="s">
        <v>58</v>
      </c>
      <c r="G285" s="14">
        <v>104890</v>
      </c>
      <c r="H285" s="14">
        <v>75984</v>
      </c>
      <c r="I285" s="14">
        <v>24</v>
      </c>
      <c r="J285" s="14" t="s">
        <v>10</v>
      </c>
      <c r="K285" s="14" t="s">
        <v>59</v>
      </c>
      <c r="L285" s="14" t="s">
        <v>60</v>
      </c>
      <c r="M285" s="14" t="s">
        <v>9158</v>
      </c>
      <c r="N285" s="14" t="s">
        <v>9158</v>
      </c>
      <c r="O285" s="19" t="s">
        <v>10098</v>
      </c>
      <c r="P285" s="14" t="s">
        <v>3491</v>
      </c>
      <c r="Q285" s="14">
        <v>1</v>
      </c>
    </row>
    <row r="287" spans="1:17">
      <c r="A287" s="14" t="s">
        <v>13484</v>
      </c>
    </row>
    <row r="288" spans="1:17">
      <c r="A288" s="14" t="s">
        <v>5686</v>
      </c>
    </row>
    <row r="289" spans="1:19">
      <c r="A289" s="14">
        <v>90505</v>
      </c>
      <c r="B289" s="14" t="s">
        <v>334</v>
      </c>
      <c r="C289" s="14" t="s">
        <v>35</v>
      </c>
      <c r="D289" s="14" t="s">
        <v>13404</v>
      </c>
      <c r="E289" s="15" t="str">
        <f>HYPERLINK("https://stat100.ameba.jp/tnk47/ratio20/illustrations/card/ill_90505_jijoberite05.jpg?202008-i_prefecture_active_userxx", "■")</f>
        <v>■</v>
      </c>
      <c r="F289" s="14" t="s">
        <v>13405</v>
      </c>
      <c r="G289" s="14">
        <v>193214</v>
      </c>
      <c r="H289" s="14">
        <v>139899</v>
      </c>
      <c r="I289" s="14">
        <v>27</v>
      </c>
      <c r="J289" s="14" t="s">
        <v>10</v>
      </c>
      <c r="K289" s="14" t="s">
        <v>13406</v>
      </c>
      <c r="L289" s="14" t="s">
        <v>13407</v>
      </c>
      <c r="M289" s="14" t="s">
        <v>9158</v>
      </c>
      <c r="N289" s="14" t="s">
        <v>9158</v>
      </c>
      <c r="O289" s="14" t="s">
        <v>9158</v>
      </c>
      <c r="P289" s="14" t="s">
        <v>9158</v>
      </c>
      <c r="Q289" s="14" t="s">
        <v>9158</v>
      </c>
      <c r="R289" s="14" t="s">
        <v>174</v>
      </c>
    </row>
    <row r="290" spans="1:19">
      <c r="A290" s="14">
        <v>90503</v>
      </c>
      <c r="B290" s="14" t="s">
        <v>15</v>
      </c>
      <c r="C290" s="14" t="s">
        <v>203</v>
      </c>
      <c r="D290" s="14" t="s">
        <v>13404</v>
      </c>
      <c r="E290" s="15" t="str">
        <f>HYPERLINK("https://stat100.ameba.jp/tnk47/ratio20/illustrations/card/ill_90503_jijoberite03.jpg?202008-i_prefecture_active_userxx", "■")</f>
        <v>■</v>
      </c>
      <c r="F290" s="14" t="s">
        <v>13405</v>
      </c>
      <c r="G290" s="14">
        <v>142358</v>
      </c>
      <c r="H290" s="14">
        <v>103074</v>
      </c>
      <c r="I290" s="14">
        <v>27</v>
      </c>
      <c r="J290" s="14" t="s">
        <v>10</v>
      </c>
      <c r="K290" s="14" t="s">
        <v>13406</v>
      </c>
      <c r="L290" s="14" t="s">
        <v>13408</v>
      </c>
      <c r="M290" s="14" t="s">
        <v>9158</v>
      </c>
      <c r="N290" s="14" t="s">
        <v>9158</v>
      </c>
      <c r="O290" s="14" t="s">
        <v>9158</v>
      </c>
      <c r="P290" s="14" t="s">
        <v>9158</v>
      </c>
      <c r="Q290" s="14" t="s">
        <v>9158</v>
      </c>
      <c r="R290" s="14" t="s">
        <v>175</v>
      </c>
    </row>
    <row r="291" spans="1:19">
      <c r="A291" s="14">
        <v>90501</v>
      </c>
      <c r="B291" s="14" t="s">
        <v>15</v>
      </c>
      <c r="C291" s="14" t="s">
        <v>203</v>
      </c>
      <c r="D291" s="14" t="s">
        <v>13404</v>
      </c>
      <c r="E291" s="15" t="str">
        <f>HYPERLINK("https://stat100.ameba.jp/tnk47/ratio20/illustrations/card/ill_90501_jijoberite01.jpg?202008-i_prefecture_active_userxx", "■")</f>
        <v>■</v>
      </c>
      <c r="F291" s="14" t="s">
        <v>13405</v>
      </c>
      <c r="G291" s="14">
        <v>90558</v>
      </c>
      <c r="H291" s="14">
        <v>65583</v>
      </c>
      <c r="I291" s="14">
        <v>27</v>
      </c>
      <c r="J291" s="14" t="s">
        <v>10</v>
      </c>
      <c r="K291" s="14" t="s">
        <v>13406</v>
      </c>
      <c r="L291" s="14" t="s">
        <v>6370</v>
      </c>
      <c r="M291" s="14" t="s">
        <v>9158</v>
      </c>
      <c r="N291" s="14" t="s">
        <v>9158</v>
      </c>
      <c r="O291" s="14" t="s">
        <v>9158</v>
      </c>
      <c r="P291" s="14" t="s">
        <v>9158</v>
      </c>
      <c r="Q291" s="14" t="s">
        <v>9158</v>
      </c>
      <c r="R291" s="14" t="s">
        <v>176</v>
      </c>
    </row>
    <row r="292" spans="1:19">
      <c r="A292"/>
      <c r="B292"/>
      <c r="C292"/>
      <c r="D292"/>
      <c r="E292"/>
      <c r="F292"/>
      <c r="G292"/>
      <c r="H292"/>
      <c r="I292"/>
      <c r="J292"/>
      <c r="K292"/>
      <c r="L292"/>
      <c r="M292"/>
      <c r="N292"/>
      <c r="O292"/>
      <c r="P292"/>
      <c r="Q292"/>
      <c r="R292"/>
    </row>
    <row r="293" spans="1:19">
      <c r="A293" t="s">
        <v>13410</v>
      </c>
      <c r="B293"/>
      <c r="C293"/>
      <c r="D293"/>
      <c r="E293"/>
      <c r="F293"/>
      <c r="G293"/>
      <c r="H293"/>
      <c r="I293"/>
      <c r="J293"/>
      <c r="K293"/>
      <c r="L293"/>
      <c r="M293"/>
      <c r="N293"/>
      <c r="O293"/>
      <c r="P293"/>
      <c r="Q293"/>
      <c r="R293"/>
    </row>
    <row r="294" spans="1:19">
      <c r="A294" t="s">
        <v>13411</v>
      </c>
      <c r="B294"/>
      <c r="C294"/>
      <c r="D294"/>
      <c r="E294"/>
      <c r="F294"/>
      <c r="G294"/>
      <c r="H294"/>
      <c r="I294"/>
      <c r="J294"/>
      <c r="K294"/>
      <c r="L294"/>
      <c r="M294"/>
      <c r="N294"/>
      <c r="O294"/>
      <c r="P294"/>
      <c r="Q294"/>
      <c r="R294"/>
    </row>
    <row r="295" spans="1:19">
      <c r="A295">
        <v>75223</v>
      </c>
      <c r="B295" t="s">
        <v>0</v>
      </c>
      <c r="C295" s="14" t="s">
        <v>203</v>
      </c>
      <c r="D295" t="s">
        <v>11794</v>
      </c>
      <c r="E295" s="15" t="str">
        <f>HYPERLINK("https://stat100.ameba.jp/tnk47/ratio20/illustrations/card/ill_75223_kumanojinjanokamimai03.jpg?202008-i_prefecture_active_userxx", "■")</f>
        <v>■</v>
      </c>
      <c r="F295" t="s">
        <v>5236</v>
      </c>
      <c r="G295">
        <v>110126</v>
      </c>
      <c r="H295">
        <v>118656</v>
      </c>
      <c r="I295">
        <v>26</v>
      </c>
      <c r="J295" t="s">
        <v>38</v>
      </c>
      <c r="K295" t="s">
        <v>5238</v>
      </c>
      <c r="L295" t="s">
        <v>3539</v>
      </c>
      <c r="M295" s="14" t="s">
        <v>9158</v>
      </c>
      <c r="N295" s="14" t="s">
        <v>9158</v>
      </c>
      <c r="O295" s="14" t="s">
        <v>9158</v>
      </c>
      <c r="P295" s="14" t="s">
        <v>9158</v>
      </c>
      <c r="Q295" s="14" t="s">
        <v>9158</v>
      </c>
      <c r="S295" s="14" t="s">
        <v>13775</v>
      </c>
    </row>
    <row r="296" spans="1:19">
      <c r="A296">
        <v>73113</v>
      </c>
      <c r="B296" t="s">
        <v>0</v>
      </c>
      <c r="C296" t="s">
        <v>101</v>
      </c>
      <c r="D296" t="s">
        <v>13412</v>
      </c>
      <c r="E296" s="15" t="str">
        <f>HYPERLINK("https://stat100.ameba.jp/tnk47/ratio20/illustrations/card/ill_73113_kinasanosatokijomomiji03.jpg?202008-i_prefecture_active_userxx", "■")</f>
        <v>■</v>
      </c>
      <c r="F296" t="s">
        <v>13413</v>
      </c>
      <c r="G296">
        <v>108330</v>
      </c>
      <c r="H296">
        <v>100744</v>
      </c>
      <c r="I296">
        <v>26</v>
      </c>
      <c r="J296" t="s">
        <v>73</v>
      </c>
      <c r="K296" t="s">
        <v>13414</v>
      </c>
      <c r="L296" t="s">
        <v>3937</v>
      </c>
      <c r="M296" s="14" t="s">
        <v>9158</v>
      </c>
      <c r="N296" s="14" t="s">
        <v>9158</v>
      </c>
      <c r="O296" s="14" t="s">
        <v>9158</v>
      </c>
      <c r="P296" s="14" t="s">
        <v>9158</v>
      </c>
      <c r="Q296" s="14" t="s">
        <v>9158</v>
      </c>
      <c r="R296"/>
    </row>
    <row r="297" spans="1:19">
      <c r="A297">
        <v>60813</v>
      </c>
      <c r="B297" t="s">
        <v>0</v>
      </c>
      <c r="C297" t="s">
        <v>23</v>
      </c>
      <c r="D297" t="s">
        <v>3543</v>
      </c>
      <c r="E297" s="15" t="str">
        <f>HYPERLINK("https://stat100.ameba.jp/tnk47/ratio20/illustrations/card/ill_60813_hieigo03.jpg?202008-i_prefecture_active_userxx", "■")</f>
        <v>■</v>
      </c>
      <c r="F297" t="s">
        <v>3544</v>
      </c>
      <c r="G297">
        <v>101558</v>
      </c>
      <c r="H297">
        <v>94390</v>
      </c>
      <c r="I297">
        <v>26</v>
      </c>
      <c r="J297" t="s">
        <v>77</v>
      </c>
      <c r="K297" t="s">
        <v>3545</v>
      </c>
      <c r="L297" t="s">
        <v>76</v>
      </c>
      <c r="M297" s="14" t="s">
        <v>9158</v>
      </c>
      <c r="N297" s="14" t="s">
        <v>9158</v>
      </c>
      <c r="O297" s="14" t="s">
        <v>9158</v>
      </c>
      <c r="P297" s="14" t="s">
        <v>9158</v>
      </c>
      <c r="Q297" s="14" t="s">
        <v>9158</v>
      </c>
      <c r="R297"/>
    </row>
    <row r="298" spans="1:19">
      <c r="A298">
        <v>50863</v>
      </c>
      <c r="B298" t="s">
        <v>15</v>
      </c>
      <c r="C298" t="s">
        <v>1</v>
      </c>
      <c r="D298" t="s">
        <v>13415</v>
      </c>
      <c r="E298" s="15" t="str">
        <f>HYPERLINK("https://stat100.ameba.jp/tnk47/ratio20/illustrations/card/ill_50863_hanamizugiitsukushimanonaiji03.jpg?202008-i_prefecture_active_userxx", "■")</f>
        <v>■</v>
      </c>
      <c r="F298" t="s">
        <v>13416</v>
      </c>
      <c r="G298">
        <v>51078</v>
      </c>
      <c r="H298">
        <v>56316</v>
      </c>
      <c r="I298">
        <v>19</v>
      </c>
      <c r="J298" t="s">
        <v>10</v>
      </c>
      <c r="K298" t="s">
        <v>13417</v>
      </c>
      <c r="L298" t="s">
        <v>1276</v>
      </c>
      <c r="M298" s="14" t="s">
        <v>9158</v>
      </c>
      <c r="N298" s="14" t="s">
        <v>9158</v>
      </c>
      <c r="O298" s="14" t="s">
        <v>9158</v>
      </c>
      <c r="P298" s="14" t="s">
        <v>9158</v>
      </c>
      <c r="Q298" s="14" t="s">
        <v>9158</v>
      </c>
      <c r="R298"/>
    </row>
    <row r="299" spans="1:19">
      <c r="A299">
        <v>44423</v>
      </c>
      <c r="B299" t="s">
        <v>15</v>
      </c>
      <c r="C299" t="s">
        <v>107</v>
      </c>
      <c r="D299" t="s">
        <v>13418</v>
      </c>
      <c r="E299" s="15" t="str">
        <f>HYPERLINK("https://stat100.ameba.jp/tnk47/ratio20/illustrations/card/ill_44423_yuzukosho03.jpg?202008-i_prefecture_active_userxx", "■")</f>
        <v>■</v>
      </c>
      <c r="F299" t="s">
        <v>13419</v>
      </c>
      <c r="G299">
        <v>56316</v>
      </c>
      <c r="H299">
        <v>51078</v>
      </c>
      <c r="I299">
        <v>19</v>
      </c>
      <c r="J299" t="s">
        <v>104</v>
      </c>
      <c r="K299" t="s">
        <v>13420</v>
      </c>
      <c r="L299" t="s">
        <v>13421</v>
      </c>
      <c r="M299" s="14" t="s">
        <v>9158</v>
      </c>
      <c r="N299" s="14" t="s">
        <v>9158</v>
      </c>
      <c r="O299" s="14" t="s">
        <v>9158</v>
      </c>
      <c r="P299" s="14" t="s">
        <v>9158</v>
      </c>
      <c r="Q299" s="14" t="s">
        <v>9158</v>
      </c>
      <c r="R299"/>
    </row>
    <row r="300" spans="1:19">
      <c r="A300">
        <v>59113</v>
      </c>
      <c r="B300" t="s">
        <v>15</v>
      </c>
      <c r="C300" t="s">
        <v>14</v>
      </c>
      <c r="D300" t="s">
        <v>13422</v>
      </c>
      <c r="E300" s="15" t="str">
        <f>HYPERLINK("https://stat100.ameba.jp/tnk47/ratio20/illustrations/card/ill_59113_hananodayunakanotakeko03.jpg?202008-i_prefecture_active_userxx", "■")</f>
        <v>■</v>
      </c>
      <c r="F300" t="s">
        <v>13423</v>
      </c>
      <c r="G300">
        <v>56316</v>
      </c>
      <c r="H300">
        <v>51078</v>
      </c>
      <c r="I300">
        <v>19</v>
      </c>
      <c r="J300" t="s">
        <v>143</v>
      </c>
      <c r="K300" t="s">
        <v>13424</v>
      </c>
      <c r="L300" t="s">
        <v>3524</v>
      </c>
      <c r="M300" s="14" t="s">
        <v>9158</v>
      </c>
      <c r="N300" s="14" t="s">
        <v>9158</v>
      </c>
      <c r="O300" s="14" t="s">
        <v>9158</v>
      </c>
      <c r="P300" s="14" t="s">
        <v>9158</v>
      </c>
      <c r="Q300" s="14" t="s">
        <v>9158</v>
      </c>
      <c r="R300"/>
    </row>
    <row r="302" spans="1:19">
      <c r="A302" s="14" t="s">
        <v>14256</v>
      </c>
    </row>
    <row r="303" spans="1:19">
      <c r="A303" s="14" t="s">
        <v>14257</v>
      </c>
    </row>
    <row r="304" spans="1:19">
      <c r="A304" s="14" t="s">
        <v>5719</v>
      </c>
      <c r="B304" s="14" t="s">
        <v>52</v>
      </c>
      <c r="C304" s="14" t="s">
        <v>165</v>
      </c>
      <c r="D304" s="20" t="s">
        <v>10379</v>
      </c>
      <c r="E304" s="15" t="str">
        <f>HYPERLINK("https://stat100.ameba.jp/tnk47/ratio20/illustrations/card/ill_54523_0_yonshunennionohime03.jpg?202008-i_prefecture_active_userxx", "■")</f>
        <v>■</v>
      </c>
      <c r="F304" s="14" t="s">
        <v>1773</v>
      </c>
      <c r="G304" s="14">
        <v>133938</v>
      </c>
      <c r="H304" s="14">
        <v>150776</v>
      </c>
      <c r="I304" s="14">
        <v>24</v>
      </c>
      <c r="J304" s="14" t="s">
        <v>38</v>
      </c>
      <c r="K304" s="14" t="s">
        <v>1774</v>
      </c>
      <c r="L304" s="14" t="s">
        <v>1775</v>
      </c>
      <c r="M304" s="14" t="s">
        <v>9158</v>
      </c>
      <c r="N304" s="14" t="s">
        <v>9158</v>
      </c>
      <c r="O304" s="19" t="s">
        <v>10094</v>
      </c>
      <c r="P304" s="14" t="s">
        <v>13168</v>
      </c>
      <c r="Q304" s="14">
        <v>1</v>
      </c>
    </row>
    <row r="305" spans="1:17">
      <c r="A305" s="14" t="s">
        <v>5610</v>
      </c>
      <c r="B305" s="14" t="s">
        <v>330</v>
      </c>
      <c r="C305" s="14" t="s">
        <v>185</v>
      </c>
      <c r="D305" s="19" t="s">
        <v>539</v>
      </c>
      <c r="E305" s="15" t="str">
        <f>HYPERLINK("https://stat100.ameba.jp/tnk47/ratio20/illustrations/card/ill_60633_0_harumaisentoin03.jpg?202008-i_prefecture_active_userxx", "■")</f>
        <v>■</v>
      </c>
      <c r="F305" s="14" t="s">
        <v>540</v>
      </c>
      <c r="G305" s="14">
        <v>152594</v>
      </c>
      <c r="H305" s="14">
        <v>164144</v>
      </c>
      <c r="I305" s="14">
        <v>24</v>
      </c>
      <c r="J305" s="14" t="s">
        <v>274</v>
      </c>
      <c r="K305" s="14" t="s">
        <v>541</v>
      </c>
      <c r="L305" s="14" t="s">
        <v>542</v>
      </c>
      <c r="M305" s="14" t="s">
        <v>9158</v>
      </c>
      <c r="N305" s="14" t="s">
        <v>9158</v>
      </c>
      <c r="O305" s="19" t="s">
        <v>2888</v>
      </c>
      <c r="P305" s="14" t="s">
        <v>3144</v>
      </c>
      <c r="Q305" s="14">
        <v>1</v>
      </c>
    </row>
    <row r="306" spans="1:17">
      <c r="A306" s="14" t="s">
        <v>5625</v>
      </c>
      <c r="B306" s="14" t="s">
        <v>330</v>
      </c>
      <c r="C306" s="14" t="s">
        <v>200</v>
      </c>
      <c r="D306" s="20" t="s">
        <v>630</v>
      </c>
      <c r="E306" s="15" t="str">
        <f>HYPERLINK("https://stat100.ameba.jp/tnk47/ratio20/illustrations/card/ill_48283_0_kyuubitamamonomae03.jpg?202008-i_prefecture_active_userxx", "■")</f>
        <v>■</v>
      </c>
      <c r="F306" s="14" t="s">
        <v>631</v>
      </c>
      <c r="G306" s="14">
        <v>150776</v>
      </c>
      <c r="H306" s="14">
        <v>133938</v>
      </c>
      <c r="I306" s="14">
        <v>24</v>
      </c>
      <c r="J306" s="14" t="s">
        <v>320</v>
      </c>
      <c r="K306" s="14" t="s">
        <v>632</v>
      </c>
      <c r="L306" s="14" t="s">
        <v>633</v>
      </c>
      <c r="M306" s="14" t="s">
        <v>9158</v>
      </c>
      <c r="N306" s="14" t="s">
        <v>9158</v>
      </c>
      <c r="O306" s="14" t="s">
        <v>9158</v>
      </c>
      <c r="P306" s="14" t="s">
        <v>9158</v>
      </c>
      <c r="Q306" s="14" t="s">
        <v>9158</v>
      </c>
    </row>
    <row r="307" spans="1:17">
      <c r="A307" s="14">
        <v>90623</v>
      </c>
      <c r="B307" s="14" t="s">
        <v>0</v>
      </c>
      <c r="C307" s="14" t="s">
        <v>14211</v>
      </c>
      <c r="D307" s="14" t="s">
        <v>14237</v>
      </c>
      <c r="E307" s="15" t="str">
        <f>HYPERLINK("https://stat100.ameba.jp/tnk47/ratio20/illustrations/card/ill_90623_arabiankunopeshu03.jpg?202008-i_prefecture_active_userxx", "■")</f>
        <v>■</v>
      </c>
      <c r="F307" s="14" t="s">
        <v>14236</v>
      </c>
      <c r="G307" s="14">
        <v>154562</v>
      </c>
      <c r="H307" s="14">
        <v>143714</v>
      </c>
      <c r="I307" s="7">
        <v>26</v>
      </c>
      <c r="J307" s="14" t="s">
        <v>14235</v>
      </c>
      <c r="K307" s="14" t="s">
        <v>14234</v>
      </c>
      <c r="L307" s="14" t="s">
        <v>14233</v>
      </c>
      <c r="M307" s="14" t="s">
        <v>9158</v>
      </c>
      <c r="N307" s="14" t="s">
        <v>9158</v>
      </c>
      <c r="O307" s="14" t="s">
        <v>9158</v>
      </c>
      <c r="P307" s="14" t="s">
        <v>9158</v>
      </c>
      <c r="Q307" s="14" t="s">
        <v>9158</v>
      </c>
    </row>
    <row r="308" spans="1:17">
      <c r="A308" s="14">
        <v>90643</v>
      </c>
      <c r="B308" s="14" t="s">
        <v>15</v>
      </c>
      <c r="C308" s="14" t="s">
        <v>14176</v>
      </c>
      <c r="D308" s="14" t="s">
        <v>14246</v>
      </c>
      <c r="E308" s="15" t="str">
        <f>HYPERLINK("https://stat100.ameba.jp/tnk47/ratio20/illustrations/card/ill_90643_arabianbegoma03.jpg?202008-i_prefecture_active_userxx", "■")</f>
        <v>■</v>
      </c>
      <c r="F308" s="14" t="s">
        <v>14245</v>
      </c>
      <c r="G308" s="14">
        <v>77064</v>
      </c>
      <c r="H308" s="14">
        <v>69898</v>
      </c>
      <c r="I308" s="7">
        <v>26</v>
      </c>
      <c r="J308" s="14" t="s">
        <v>14208</v>
      </c>
      <c r="K308" s="14" t="s">
        <v>14244</v>
      </c>
      <c r="L308" s="14" t="s">
        <v>14243</v>
      </c>
      <c r="M308" s="14" t="s">
        <v>9158</v>
      </c>
      <c r="N308" s="14" t="s">
        <v>9158</v>
      </c>
      <c r="O308" s="14" t="s">
        <v>9158</v>
      </c>
      <c r="P308" s="14" t="s">
        <v>9158</v>
      </c>
      <c r="Q308" s="14" t="s">
        <v>9158</v>
      </c>
    </row>
    <row r="309" spans="1:17">
      <c r="A309" s="14">
        <v>90653</v>
      </c>
      <c r="B309" s="14" t="s">
        <v>22</v>
      </c>
      <c r="C309" s="14" t="s">
        <v>14175</v>
      </c>
      <c r="D309" s="14" t="s">
        <v>14250</v>
      </c>
      <c r="E309" s="15" t="str">
        <f>HYPERLINK("https://stat100.ameba.jp/tnk47/ratio20/illustrations/card/ill_90653_arabiannaitoakashirejina03.jpg?202008-i_prefecture_active_userxx", "■")</f>
        <v>■</v>
      </c>
      <c r="F309" s="14" t="s">
        <v>14249</v>
      </c>
      <c r="G309" s="14">
        <v>44948</v>
      </c>
      <c r="H309" s="14">
        <v>54058</v>
      </c>
      <c r="I309" s="7">
        <v>26</v>
      </c>
      <c r="J309" s="14" t="s">
        <v>14240</v>
      </c>
      <c r="K309" s="14" t="s">
        <v>14248</v>
      </c>
      <c r="L309" s="14" t="s">
        <v>14247</v>
      </c>
      <c r="M309" s="14" t="s">
        <v>9158</v>
      </c>
      <c r="N309" s="14" t="s">
        <v>9158</v>
      </c>
      <c r="O309" s="14" t="s">
        <v>9158</v>
      </c>
      <c r="P309" s="14" t="s">
        <v>9158</v>
      </c>
      <c r="Q309" s="14" t="s">
        <v>9158</v>
      </c>
    </row>
    <row r="310" spans="1:17">
      <c r="A310" s="14">
        <v>90663</v>
      </c>
      <c r="B310" s="14" t="s">
        <v>22</v>
      </c>
      <c r="C310" s="14" t="s">
        <v>14196</v>
      </c>
      <c r="D310" s="14" t="s">
        <v>14254</v>
      </c>
      <c r="E310" s="15" t="str">
        <f>HYPERLINK("https://stat100.ameba.jp/tnk47/ratio20/illustrations/card/ill_90663_oukyuusemimaru03.jpg?202008-i_prefecture_active_userxx", "■")</f>
        <v>■</v>
      </c>
      <c r="F310" s="14" t="s">
        <v>14253</v>
      </c>
      <c r="G310" s="14">
        <v>54058</v>
      </c>
      <c r="H310" s="14">
        <v>44948</v>
      </c>
      <c r="I310" s="7">
        <v>26</v>
      </c>
      <c r="J310" s="14" t="s">
        <v>14199</v>
      </c>
      <c r="K310" s="14" t="s">
        <v>14252</v>
      </c>
      <c r="L310" s="14" t="s">
        <v>14251</v>
      </c>
      <c r="M310" s="14" t="s">
        <v>9158</v>
      </c>
      <c r="N310" s="14" t="s">
        <v>9158</v>
      </c>
      <c r="O310" s="14" t="s">
        <v>9158</v>
      </c>
      <c r="P310" s="14" t="s">
        <v>9158</v>
      </c>
      <c r="Q310" s="14" t="s">
        <v>9158</v>
      </c>
    </row>
    <row r="312" spans="1:17">
      <c r="A312" s="14" t="s">
        <v>14181</v>
      </c>
    </row>
    <row r="313" spans="1:17">
      <c r="A313" s="14" t="s">
        <v>14258</v>
      </c>
    </row>
    <row r="314" spans="1:17">
      <c r="A314" s="14" t="s">
        <v>5891</v>
      </c>
      <c r="B314" s="14" t="s">
        <v>330</v>
      </c>
      <c r="C314" s="14" t="s">
        <v>202</v>
      </c>
      <c r="D314" s="19" t="s">
        <v>1999</v>
      </c>
      <c r="E314" s="15" t="str">
        <f>HYPERLINK("https://stat100.ameba.jp/tnk47/ratio20/illustrations/card/ill_77173_0_yukemuritomoegozen03.jpg?202008-i_prefecture_active_userxx", "■")</f>
        <v>■</v>
      </c>
      <c r="F314" s="14" t="s">
        <v>1372</v>
      </c>
      <c r="G314" s="14">
        <v>220536</v>
      </c>
      <c r="H314" s="14">
        <v>244008</v>
      </c>
      <c r="I314" s="14">
        <v>22</v>
      </c>
      <c r="J314" s="14" t="s">
        <v>310</v>
      </c>
      <c r="K314" s="14" t="s">
        <v>1373</v>
      </c>
      <c r="L314" s="14" t="s">
        <v>1374</v>
      </c>
      <c r="M314" s="14" t="s">
        <v>9158</v>
      </c>
      <c r="N314" s="14" t="s">
        <v>9158</v>
      </c>
      <c r="O314" s="19" t="s">
        <v>4067</v>
      </c>
      <c r="P314" s="14" t="s">
        <v>3879</v>
      </c>
      <c r="Q314" s="14">
        <v>2</v>
      </c>
    </row>
    <row r="315" spans="1:17">
      <c r="A315" s="14" t="s">
        <v>5617</v>
      </c>
      <c r="B315" s="14" t="s">
        <v>330</v>
      </c>
      <c r="C315" s="14" t="s">
        <v>308</v>
      </c>
      <c r="D315" s="19" t="s">
        <v>385</v>
      </c>
      <c r="E315" s="15" t="str">
        <f>HYPERLINK("https://stat100.ameba.jp/tnk47/ratio20/illustrations/card/ill_59673_0_oheyashutendoji03.jpg?202008-i_prefecture_active_userxx", "■")</f>
        <v>■</v>
      </c>
      <c r="F315" s="14" t="s">
        <v>386</v>
      </c>
      <c r="G315" s="14">
        <v>154800</v>
      </c>
      <c r="H315" s="14">
        <v>166504</v>
      </c>
      <c r="I315" s="14">
        <v>22</v>
      </c>
      <c r="J315" s="14" t="s">
        <v>320</v>
      </c>
      <c r="K315" s="14" t="s">
        <v>387</v>
      </c>
      <c r="L315" s="14" t="s">
        <v>388</v>
      </c>
      <c r="M315" s="14" t="s">
        <v>9158</v>
      </c>
      <c r="N315" s="14" t="s">
        <v>9158</v>
      </c>
      <c r="O315" s="19" t="s">
        <v>10078</v>
      </c>
      <c r="P315" s="14" t="s">
        <v>3022</v>
      </c>
      <c r="Q315" s="14">
        <v>1</v>
      </c>
    </row>
    <row r="316" spans="1:17">
      <c r="A316" s="14" t="s">
        <v>6132</v>
      </c>
      <c r="B316" s="14" t="s">
        <v>330</v>
      </c>
      <c r="C316" s="14" t="s">
        <v>205</v>
      </c>
      <c r="D316" s="19" t="s">
        <v>702</v>
      </c>
      <c r="E316" s="15" t="str">
        <f>HYPERLINK("https://stat100.ameba.jp/tnk47/ratio20/illustrations/card/ill_50693_0_hanamizugimimuratsuru03.jpg?202008-i_prefecture_active_userxx", "■")</f>
        <v>■</v>
      </c>
      <c r="F316" s="14" t="s">
        <v>703</v>
      </c>
      <c r="G316" s="14">
        <v>122776</v>
      </c>
      <c r="H316" s="14">
        <v>138212</v>
      </c>
      <c r="I316" s="14">
        <v>22</v>
      </c>
      <c r="J316" s="14" t="s">
        <v>310</v>
      </c>
      <c r="K316" s="14" t="s">
        <v>704</v>
      </c>
      <c r="L316" s="14" t="s">
        <v>705</v>
      </c>
      <c r="M316" s="14" t="s">
        <v>9158</v>
      </c>
      <c r="N316" s="14" t="s">
        <v>9158</v>
      </c>
      <c r="O316" s="9" t="s">
        <v>9158</v>
      </c>
      <c r="P316" s="14" t="s">
        <v>9158</v>
      </c>
      <c r="Q316" s="14" t="s">
        <v>9158</v>
      </c>
    </row>
    <row r="317" spans="1:17">
      <c r="A317" s="9">
        <v>87993</v>
      </c>
      <c r="B317" s="14" t="s">
        <v>334</v>
      </c>
      <c r="C317" s="9" t="s">
        <v>191</v>
      </c>
      <c r="D317" s="9" t="s">
        <v>11921</v>
      </c>
      <c r="E317" s="15" t="str">
        <f>HYPERLINK("https://stat100.ameba.jp/tnk47/ratio20/illustrations/card/ill_87993_mafuiabirika03.jpg?202008-i_prefecture_active_userxx", "■")</f>
        <v>■</v>
      </c>
      <c r="F317" s="9" t="s">
        <v>11919</v>
      </c>
      <c r="G317" s="9">
        <v>88593</v>
      </c>
      <c r="H317" s="9">
        <v>157484</v>
      </c>
      <c r="I317" s="14">
        <v>27</v>
      </c>
      <c r="J317" s="14" t="s">
        <v>38</v>
      </c>
      <c r="K317" s="9" t="s">
        <v>11923</v>
      </c>
      <c r="L317" s="9" t="s">
        <v>13249</v>
      </c>
      <c r="M317" s="14" t="s">
        <v>9158</v>
      </c>
      <c r="N317" s="14" t="s">
        <v>9158</v>
      </c>
      <c r="O317" s="14" t="s">
        <v>9158</v>
      </c>
      <c r="P317" s="14" t="s">
        <v>9158</v>
      </c>
      <c r="Q317" s="14" t="s">
        <v>9158</v>
      </c>
    </row>
    <row r="318" spans="1:17">
      <c r="A318" s="14">
        <v>67533</v>
      </c>
      <c r="B318" s="14" t="s">
        <v>334</v>
      </c>
      <c r="C318" s="14" t="s">
        <v>206</v>
      </c>
      <c r="D318" s="19" t="s">
        <v>890</v>
      </c>
      <c r="E318" s="15" t="str">
        <f>HYPERLINK("https://stat100.ameba.jp/tnk47/ratio20/illustrations/card/ill_67533_makkurazore03.jpg?202008-i_prefecture_active_userxx", "■")</f>
        <v>■</v>
      </c>
      <c r="F318" s="14" t="s">
        <v>891</v>
      </c>
      <c r="G318" s="14">
        <v>76091</v>
      </c>
      <c r="H318" s="14">
        <v>135229</v>
      </c>
      <c r="I318" s="14">
        <v>27</v>
      </c>
      <c r="J318" s="14" t="s">
        <v>320</v>
      </c>
      <c r="K318" s="14" t="s">
        <v>892</v>
      </c>
      <c r="L318" s="14" t="s">
        <v>893</v>
      </c>
      <c r="M318" s="14" t="s">
        <v>9158</v>
      </c>
      <c r="N318" s="14" t="s">
        <v>9158</v>
      </c>
      <c r="O318" s="14" t="s">
        <v>9158</v>
      </c>
      <c r="P318" s="14" t="s">
        <v>9158</v>
      </c>
      <c r="Q318" s="14" t="s">
        <v>9158</v>
      </c>
    </row>
    <row r="319" spans="1:17">
      <c r="A319" s="7">
        <v>73253</v>
      </c>
      <c r="B319" s="14" t="s">
        <v>0</v>
      </c>
      <c r="C319" s="14" t="s">
        <v>96</v>
      </c>
      <c r="D319" s="19" t="s">
        <v>10245</v>
      </c>
      <c r="E319" s="15" t="str">
        <f>HYPERLINK("https://stat100.ameba.jp/tnk47/ratio20/illustrations/card/ill_73253_minakatakumagusu03.jpg?202008-i_prefecture_active_userxx", "■")</f>
        <v>■</v>
      </c>
      <c r="F319" s="14" t="s">
        <v>5148</v>
      </c>
      <c r="G319" s="14">
        <v>101837</v>
      </c>
      <c r="H319" s="14">
        <v>109481</v>
      </c>
      <c r="I319" s="7">
        <v>27</v>
      </c>
      <c r="J319" s="14" t="s">
        <v>16</v>
      </c>
      <c r="K319" s="14" t="s">
        <v>5149</v>
      </c>
      <c r="L319" s="14" t="s">
        <v>1997</v>
      </c>
      <c r="M319" s="14" t="s">
        <v>9158</v>
      </c>
      <c r="N319" s="14" t="s">
        <v>9158</v>
      </c>
      <c r="O319" s="14" t="s">
        <v>9158</v>
      </c>
      <c r="P319" s="14" t="s">
        <v>9158</v>
      </c>
      <c r="Q319" s="14" t="s">
        <v>9158</v>
      </c>
    </row>
    <row r="321" spans="1:17">
      <c r="A321" s="14" t="s">
        <v>14259</v>
      </c>
    </row>
    <row r="322" spans="1:17">
      <c r="A322" s="14" t="s">
        <v>14260</v>
      </c>
    </row>
    <row r="323" spans="1:17">
      <c r="A323" s="14" t="s">
        <v>14261</v>
      </c>
    </row>
    <row r="324" spans="1:17">
      <c r="A324" s="14" t="s">
        <v>14268</v>
      </c>
      <c r="B324" s="14" t="s">
        <v>14264</v>
      </c>
      <c r="C324" s="14" t="s">
        <v>14263</v>
      </c>
      <c r="D324" s="14" t="s">
        <v>14262</v>
      </c>
      <c r="E324" s="15" t="str">
        <f>HYPERLINK("https://stat100.ameba.jp/tnk47/ratio20/illustrations/card/ill_91543_0_reihosammeizan03.jpg?202008-i_prefecture_active_userxx", "■")</f>
        <v>■</v>
      </c>
      <c r="F324" s="14" t="s">
        <v>14267</v>
      </c>
      <c r="G324" s="14">
        <v>358458</v>
      </c>
      <c r="H324" s="14">
        <v>323964</v>
      </c>
      <c r="I324" s="14">
        <v>30</v>
      </c>
      <c r="J324" s="14" t="s">
        <v>14214</v>
      </c>
      <c r="K324" s="14" t="s">
        <v>14266</v>
      </c>
      <c r="L324" s="14" t="s">
        <v>14265</v>
      </c>
      <c r="M324" s="14" t="s">
        <v>9158</v>
      </c>
      <c r="N324" s="14" t="s">
        <v>9158</v>
      </c>
      <c r="O324" s="14" t="s">
        <v>14269</v>
      </c>
      <c r="P324" s="14" t="s">
        <v>14270</v>
      </c>
      <c r="Q324" s="14">
        <v>1</v>
      </c>
    </row>
    <row r="325" spans="1:17">
      <c r="A325" s="9">
        <v>68103</v>
      </c>
      <c r="B325" s="14" t="s">
        <v>0</v>
      </c>
      <c r="C325" s="14" t="s">
        <v>185</v>
      </c>
      <c r="D325" s="14" t="s">
        <v>1928</v>
      </c>
      <c r="E325" s="15" t="str">
        <f>HYPERLINK("https://stat100.ameba.jp/tnk47/ratio20/illustrations/card/ill_68103_roritairohahime03.jpg?202008-i_prefecture_active_userxx", "■")</f>
        <v>■</v>
      </c>
      <c r="F325" s="14" t="s">
        <v>1929</v>
      </c>
      <c r="G325" s="14">
        <v>98019</v>
      </c>
      <c r="H325" s="14">
        <v>105465</v>
      </c>
      <c r="I325" s="14">
        <v>27</v>
      </c>
      <c r="J325" s="14" t="s">
        <v>77</v>
      </c>
      <c r="K325" s="14" t="s">
        <v>1930</v>
      </c>
      <c r="L325" s="14" t="s">
        <v>969</v>
      </c>
      <c r="M325" s="14" t="s">
        <v>9158</v>
      </c>
      <c r="N325" s="14" t="s">
        <v>9158</v>
      </c>
      <c r="O325" s="14" t="s">
        <v>9158</v>
      </c>
      <c r="P325" s="14" t="s">
        <v>9158</v>
      </c>
      <c r="Q325" s="14" t="s">
        <v>9158</v>
      </c>
    </row>
    <row r="326" spans="1:17">
      <c r="A326" s="9">
        <v>69663</v>
      </c>
      <c r="B326" s="9" t="s">
        <v>334</v>
      </c>
      <c r="C326" s="9" t="s">
        <v>200</v>
      </c>
      <c r="D326" s="9" t="s">
        <v>3568</v>
      </c>
      <c r="E326" s="15" t="str">
        <f>HYPERLINK("https://stat100.ameba.jp/tnk47/ratio20/illustrations/card/ill_69663_massajiuenopandachan03.jpg?202008-i_prefecture_active_userxx", "■")</f>
        <v>■</v>
      </c>
      <c r="F326" s="9" t="s">
        <v>11160</v>
      </c>
      <c r="G326" s="9">
        <v>106693</v>
      </c>
      <c r="H326" s="9">
        <v>114768</v>
      </c>
      <c r="I326" s="9">
        <v>27</v>
      </c>
      <c r="J326" s="9" t="s">
        <v>229</v>
      </c>
      <c r="K326" s="9" t="s">
        <v>3570</v>
      </c>
      <c r="L326" s="9" t="s">
        <v>13186</v>
      </c>
      <c r="M326" s="14" t="s">
        <v>9158</v>
      </c>
      <c r="N326" s="14" t="s">
        <v>9158</v>
      </c>
      <c r="O326" s="14" t="s">
        <v>9158</v>
      </c>
      <c r="P326" s="14" t="s">
        <v>9158</v>
      </c>
      <c r="Q326" s="14" t="s">
        <v>9158</v>
      </c>
    </row>
    <row r="327" spans="1:17">
      <c r="A327" s="14">
        <v>83213</v>
      </c>
      <c r="B327" s="14" t="s">
        <v>0</v>
      </c>
      <c r="C327" s="14" t="s">
        <v>191</v>
      </c>
      <c r="D327" s="19" t="s">
        <v>14434</v>
      </c>
      <c r="E327" s="15" t="str">
        <f>HYPERLINK("https://stat100.ameba.jp/tnk47/ratio20/illustrations/card/ill_83213_hanabishiechizenganinabechan03.jpg?202008-i_prefecture_active_userxx", "■")</f>
        <v>■</v>
      </c>
      <c r="F327" s="14" t="s">
        <v>6282</v>
      </c>
      <c r="G327" s="14">
        <v>118568</v>
      </c>
      <c r="H327" s="14">
        <v>127507</v>
      </c>
      <c r="I327" s="14">
        <v>27</v>
      </c>
      <c r="J327" s="14" t="s">
        <v>104</v>
      </c>
      <c r="K327" s="14" t="s">
        <v>6285</v>
      </c>
      <c r="L327" s="14" t="s">
        <v>131</v>
      </c>
      <c r="M327" s="14" t="s">
        <v>9158</v>
      </c>
      <c r="N327" s="14" t="s">
        <v>9158</v>
      </c>
      <c r="O327" s="14" t="s">
        <v>9158</v>
      </c>
      <c r="P327" s="14" t="s">
        <v>9158</v>
      </c>
      <c r="Q327" s="14" t="s">
        <v>9158</v>
      </c>
    </row>
    <row r="328" spans="1:17">
      <c r="A328" s="9">
        <v>86663</v>
      </c>
      <c r="B328" s="9" t="s">
        <v>0</v>
      </c>
      <c r="C328" s="9" t="s">
        <v>165</v>
      </c>
      <c r="D328" s="20" t="s">
        <v>10939</v>
      </c>
      <c r="E328" s="15" t="str">
        <f>HYPERLINK("https://stat100.ameba.jp/tnk47/ratio20/illustrations/card/ill_86663_darumaichitsukimizakechan03.jpg?202008-i_prefecture_active_userxx", "■")</f>
        <v>■</v>
      </c>
      <c r="F328" s="9" t="s">
        <v>9258</v>
      </c>
      <c r="G328" s="9">
        <v>118568</v>
      </c>
      <c r="H328" s="9">
        <v>127507</v>
      </c>
      <c r="I328" s="9">
        <v>27</v>
      </c>
      <c r="J328" s="9" t="s">
        <v>216</v>
      </c>
      <c r="K328" s="9" t="s">
        <v>9257</v>
      </c>
      <c r="L328" s="9" t="s">
        <v>1079</v>
      </c>
      <c r="M328" s="14" t="s">
        <v>9158</v>
      </c>
      <c r="N328" s="14" t="s">
        <v>9158</v>
      </c>
      <c r="O328" s="14" t="s">
        <v>9158</v>
      </c>
      <c r="P328" s="14" t="s">
        <v>9158</v>
      </c>
      <c r="Q328" s="14" t="s">
        <v>9158</v>
      </c>
    </row>
    <row r="329" spans="1:17">
      <c r="A329" s="7">
        <v>85123</v>
      </c>
      <c r="B329" s="7" t="s">
        <v>0</v>
      </c>
      <c r="C329" s="7" t="s">
        <v>205</v>
      </c>
      <c r="D329" s="19" t="s">
        <v>10761</v>
      </c>
      <c r="E329" s="15" t="str">
        <f>HYPERLINK("https://stat100.ameba.jp/tnk47/ratio20/illustrations/card/ill_85123_burabankatsurakogoro03.jpg?202008-i_prefecture_active_userxx", "■")</f>
        <v>■</v>
      </c>
      <c r="F329" s="7" t="s">
        <v>7904</v>
      </c>
      <c r="G329" s="7">
        <v>102386</v>
      </c>
      <c r="H329" s="7">
        <v>110129</v>
      </c>
      <c r="I329" s="14">
        <v>27</v>
      </c>
      <c r="J329" s="7" t="s">
        <v>173</v>
      </c>
      <c r="K329" s="7" t="s">
        <v>7903</v>
      </c>
      <c r="L329" s="7" t="s">
        <v>7902</v>
      </c>
      <c r="M329" s="14" t="s">
        <v>9158</v>
      </c>
      <c r="N329" s="14" t="s">
        <v>9158</v>
      </c>
      <c r="O329" s="14" t="s">
        <v>9158</v>
      </c>
      <c r="P329" s="14" t="s">
        <v>9158</v>
      </c>
      <c r="Q329" s="14" t="s">
        <v>9158</v>
      </c>
    </row>
    <row r="330" spans="1:17">
      <c r="A330" s="14">
        <v>81493</v>
      </c>
      <c r="B330" s="14" t="s">
        <v>334</v>
      </c>
      <c r="C330" s="14" t="s">
        <v>206</v>
      </c>
      <c r="D330" s="19" t="s">
        <v>11001</v>
      </c>
      <c r="E330" s="15" t="str">
        <f>HYPERLINK("https://stat100.ameba.jp/tnk47/ratio20/illustrations/card/ill_81493_puchidebiruraikirimaru03.jpg?202008-i_prefecture_active_userxx", "■")</f>
        <v>■</v>
      </c>
      <c r="F330" s="14" t="s">
        <v>4774</v>
      </c>
      <c r="G330" s="14">
        <v>149240</v>
      </c>
      <c r="H330" s="14">
        <v>160507</v>
      </c>
      <c r="I330" s="9">
        <v>27</v>
      </c>
      <c r="J330" s="14" t="s">
        <v>169</v>
      </c>
      <c r="K330" s="14" t="s">
        <v>4775</v>
      </c>
      <c r="L330" s="14" t="s">
        <v>4800</v>
      </c>
      <c r="M330" s="14" t="s">
        <v>9158</v>
      </c>
      <c r="N330" s="14" t="s">
        <v>9158</v>
      </c>
      <c r="O330" s="14" t="s">
        <v>9158</v>
      </c>
      <c r="P330" s="14" t="s">
        <v>9158</v>
      </c>
      <c r="Q330" s="14" t="s">
        <v>9158</v>
      </c>
    </row>
    <row r="332" spans="1:17">
      <c r="A332" s="14" t="s">
        <v>14178</v>
      </c>
    </row>
    <row r="333" spans="1:17">
      <c r="A333" s="14" t="s">
        <v>14271</v>
      </c>
    </row>
    <row r="334" spans="1:17">
      <c r="A334" s="14" t="s">
        <v>5605</v>
      </c>
      <c r="B334" s="14" t="s">
        <v>52</v>
      </c>
      <c r="C334" s="14" t="s">
        <v>202</v>
      </c>
      <c r="D334" s="19" t="s">
        <v>10332</v>
      </c>
      <c r="E334" s="15" t="str">
        <f>HYPERLINK("https://stat100.ameba.jp/tnk47/ratio20/illustrations/card/ill_79373_0_hommeichokotennyohime03.jpg?202008-i_prefecture_active_userxx", "■")</f>
        <v>■</v>
      </c>
      <c r="F334" s="14" t="s">
        <v>3495</v>
      </c>
      <c r="G334" s="14">
        <v>309132</v>
      </c>
      <c r="H334" s="14">
        <v>279407</v>
      </c>
      <c r="I334" s="14">
        <v>25</v>
      </c>
      <c r="J334" s="14" t="s">
        <v>104</v>
      </c>
      <c r="K334" s="14" t="s">
        <v>3496</v>
      </c>
      <c r="L334" s="14" t="s">
        <v>3497</v>
      </c>
      <c r="M334" s="14" t="s">
        <v>9158</v>
      </c>
      <c r="N334" s="14" t="s">
        <v>9158</v>
      </c>
      <c r="O334" s="19" t="s">
        <v>10072</v>
      </c>
      <c r="P334" s="14" t="s">
        <v>3498</v>
      </c>
      <c r="Q334" s="14">
        <v>1</v>
      </c>
    </row>
    <row r="335" spans="1:17">
      <c r="A335" s="14">
        <v>82543</v>
      </c>
      <c r="B335" s="14" t="s">
        <v>334</v>
      </c>
      <c r="C335" s="14" t="s">
        <v>41</v>
      </c>
      <c r="D335" s="19" t="s">
        <v>10342</v>
      </c>
      <c r="E335" s="15" t="str">
        <f>HYPERLINK("https://stat100.ameba.jp/tnk47/ratio20/illustrations/card/ill_82543_nabeshimanagako03.jpg?202008-i_prefecture_active_userxx", "■")</f>
        <v>■</v>
      </c>
      <c r="F335" s="14" t="s">
        <v>5491</v>
      </c>
      <c r="G335" s="14">
        <v>104890</v>
      </c>
      <c r="H335" s="14">
        <v>75984</v>
      </c>
      <c r="I335" s="14">
        <v>24</v>
      </c>
      <c r="J335" s="14" t="s">
        <v>10</v>
      </c>
      <c r="K335" s="14" t="s">
        <v>5493</v>
      </c>
      <c r="L335" s="14" t="s">
        <v>5494</v>
      </c>
      <c r="M335" s="14" t="s">
        <v>9158</v>
      </c>
      <c r="N335" s="14" t="s">
        <v>9158</v>
      </c>
      <c r="O335" s="19" t="s">
        <v>10080</v>
      </c>
      <c r="P335" s="14" t="s">
        <v>3705</v>
      </c>
      <c r="Q335" s="14">
        <v>1</v>
      </c>
    </row>
    <row r="336" spans="1:17">
      <c r="A336" s="14">
        <v>84643</v>
      </c>
      <c r="B336" s="14" t="s">
        <v>0</v>
      </c>
      <c r="C336" s="14" t="s">
        <v>203</v>
      </c>
      <c r="D336" s="20" t="s">
        <v>10605</v>
      </c>
      <c r="E336" s="15" t="str">
        <f>HYPERLINK("https://stat100.ameba.jp/tnk47/ratio20/illustrations/card/ill_84643_rikayaojo03.jpg?202008-i_prefecture_active_userxx", "■")</f>
        <v>■</v>
      </c>
      <c r="F336" s="14" t="s">
        <v>6853</v>
      </c>
      <c r="G336" s="14">
        <v>159674</v>
      </c>
      <c r="H336" s="14">
        <v>115656</v>
      </c>
      <c r="I336" s="14">
        <v>24</v>
      </c>
      <c r="J336" s="14" t="s">
        <v>315</v>
      </c>
      <c r="K336" s="14" t="s">
        <v>6852</v>
      </c>
      <c r="L336" s="14" t="s">
        <v>6851</v>
      </c>
      <c r="M336" s="14" t="s">
        <v>9158</v>
      </c>
      <c r="N336" s="14" t="s">
        <v>9158</v>
      </c>
      <c r="O336" s="19" t="s">
        <v>10082</v>
      </c>
      <c r="P336" s="14" t="s">
        <v>13124</v>
      </c>
      <c r="Q336" s="14">
        <v>1</v>
      </c>
    </row>
    <row r="337" spans="1:17">
      <c r="A337" s="14">
        <v>67103</v>
      </c>
      <c r="B337" s="14" t="s">
        <v>334</v>
      </c>
      <c r="C337" s="14" t="s">
        <v>154</v>
      </c>
      <c r="D337" s="20" t="s">
        <v>10253</v>
      </c>
      <c r="E337" s="15" t="str">
        <f>HYPERLINK("https://stat100.ameba.jp/tnk47/ratio20/illustrations/card/ill_67103_ankonabe03.jpg?202008-i_prefecture_active_userxx", "■")</f>
        <v>■</v>
      </c>
      <c r="F337" s="14" t="s">
        <v>1283</v>
      </c>
      <c r="G337" s="14">
        <v>91876</v>
      </c>
      <c r="H337" s="14">
        <v>126858</v>
      </c>
      <c r="I337" s="14">
        <v>24</v>
      </c>
      <c r="J337" s="14" t="s">
        <v>216</v>
      </c>
      <c r="K337" s="14" t="s">
        <v>1284</v>
      </c>
      <c r="L337" s="14" t="s">
        <v>13153</v>
      </c>
      <c r="M337" s="14" t="s">
        <v>9158</v>
      </c>
      <c r="N337" s="14" t="s">
        <v>9158</v>
      </c>
      <c r="O337" s="19" t="s">
        <v>4074</v>
      </c>
      <c r="P337" s="14" t="s">
        <v>3462</v>
      </c>
      <c r="Q337" s="14">
        <v>1</v>
      </c>
    </row>
    <row r="339" spans="1:17">
      <c r="A339" s="14" t="s">
        <v>14225</v>
      </c>
    </row>
    <row r="340" spans="1:17">
      <c r="A340" s="14" t="s">
        <v>14272</v>
      </c>
    </row>
    <row r="341" spans="1:17">
      <c r="A341" s="14" t="s">
        <v>5618</v>
      </c>
      <c r="B341" s="14" t="s">
        <v>52</v>
      </c>
      <c r="C341" s="14" t="s">
        <v>23</v>
      </c>
      <c r="D341" s="19" t="s">
        <v>665</v>
      </c>
      <c r="E341" s="15" t="str">
        <f>HYPERLINK("https://stat100.ameba.jp/tnk47/ratio20/illustrations/card/ill_63173_0_minazukikonakaiteruko03.jpg?202008-i_prefecture_active_userxx", "■")</f>
        <v>■</v>
      </c>
      <c r="F341" s="14" t="s">
        <v>1188</v>
      </c>
      <c r="G341" s="14">
        <v>216990</v>
      </c>
      <c r="H341" s="14">
        <v>233360</v>
      </c>
      <c r="I341" s="14">
        <v>25</v>
      </c>
      <c r="J341" s="14" t="s">
        <v>143</v>
      </c>
      <c r="K341" s="14" t="s">
        <v>1189</v>
      </c>
      <c r="L341" s="14" t="s">
        <v>1190</v>
      </c>
      <c r="M341" s="14" t="s">
        <v>9158</v>
      </c>
      <c r="N341" s="14" t="s">
        <v>9158</v>
      </c>
      <c r="O341" s="19" t="s">
        <v>10079</v>
      </c>
      <c r="P341" s="14" t="s">
        <v>3329</v>
      </c>
      <c r="Q341" s="14">
        <v>1</v>
      </c>
    </row>
    <row r="342" spans="1:17">
      <c r="A342" s="14">
        <v>83513</v>
      </c>
      <c r="B342" s="14" t="s">
        <v>334</v>
      </c>
      <c r="C342" s="14" t="s">
        <v>1</v>
      </c>
      <c r="D342" s="20" t="s">
        <v>10556</v>
      </c>
      <c r="E342" s="15" t="str">
        <f>HYPERLINK("https://stat100.ameba.jp/tnk47/ratio20/illustrations/card/ill_83513_kajuemmimuratsuru03.jpg?202008-i_prefecture_active_userxx", "■")</f>
        <v>■</v>
      </c>
      <c r="F342" s="14" t="s">
        <v>6603</v>
      </c>
      <c r="G342" s="14">
        <v>154562</v>
      </c>
      <c r="H342" s="14">
        <v>143714</v>
      </c>
      <c r="I342" s="14">
        <v>26</v>
      </c>
      <c r="J342" s="14" t="s">
        <v>143</v>
      </c>
      <c r="K342" s="14" t="s">
        <v>6601</v>
      </c>
      <c r="L342" s="14" t="s">
        <v>6600</v>
      </c>
      <c r="M342" s="14" t="s">
        <v>9158</v>
      </c>
      <c r="N342" s="14" t="s">
        <v>9158</v>
      </c>
      <c r="O342" s="19" t="s">
        <v>2951</v>
      </c>
      <c r="P342" s="14" t="s">
        <v>13122</v>
      </c>
      <c r="Q342" s="14">
        <v>1</v>
      </c>
    </row>
    <row r="343" spans="1:17">
      <c r="A343" s="14">
        <v>72193</v>
      </c>
      <c r="B343" s="14" t="s">
        <v>334</v>
      </c>
      <c r="C343" s="14" t="s">
        <v>165</v>
      </c>
      <c r="D343" s="19" t="s">
        <v>3112</v>
      </c>
      <c r="E343" s="15" t="str">
        <f>HYPERLINK("https://stat100.ameba.jp/tnk47/ratio20/illustrations/card/ill_72193_koinoborikomyokogo03.jpg?202008-i_prefecture_active_userxx", "■")</f>
        <v>■</v>
      </c>
      <c r="F343" s="14" t="s">
        <v>2539</v>
      </c>
      <c r="G343" s="14">
        <v>101558</v>
      </c>
      <c r="H343" s="14">
        <v>94390</v>
      </c>
      <c r="I343" s="14">
        <v>26</v>
      </c>
      <c r="J343" s="14" t="s">
        <v>10</v>
      </c>
      <c r="K343" s="14" t="s">
        <v>2540</v>
      </c>
      <c r="L343" s="14" t="s">
        <v>60</v>
      </c>
      <c r="M343" s="14" t="s">
        <v>9158</v>
      </c>
      <c r="N343" s="14" t="s">
        <v>9158</v>
      </c>
      <c r="O343" s="19" t="s">
        <v>10090</v>
      </c>
      <c r="P343" s="14" t="s">
        <v>3460</v>
      </c>
      <c r="Q343" s="14">
        <v>1</v>
      </c>
    </row>
    <row r="344" spans="1:17">
      <c r="A344" s="14">
        <v>62043</v>
      </c>
      <c r="B344" s="14" t="s">
        <v>0</v>
      </c>
      <c r="C344" s="14" t="s">
        <v>158</v>
      </c>
      <c r="D344" s="20" t="s">
        <v>10233</v>
      </c>
      <c r="E344" s="15" t="str">
        <f>HYPERLINK("https://stat100.ameba.jp/tnk47/ratio20/illustrations/card/ill_62043_niutsuhimenookami03.jpg?202008-i_prefecture_active_userxx", "■")</f>
        <v>■</v>
      </c>
      <c r="F344" s="14" t="s">
        <v>2022</v>
      </c>
      <c r="G344" s="14">
        <v>85962</v>
      </c>
      <c r="H344" s="14">
        <v>118684</v>
      </c>
      <c r="I344" s="14">
        <v>26</v>
      </c>
      <c r="J344" s="14" t="s">
        <v>169</v>
      </c>
      <c r="K344" s="14" t="s">
        <v>2023</v>
      </c>
      <c r="L344" s="14" t="s">
        <v>13144</v>
      </c>
      <c r="M344" s="14" t="s">
        <v>9158</v>
      </c>
      <c r="N344" s="14" t="s">
        <v>9158</v>
      </c>
      <c r="O344" s="19" t="s">
        <v>10093</v>
      </c>
      <c r="P344" s="14" t="s">
        <v>13145</v>
      </c>
      <c r="Q344" s="14">
        <v>1</v>
      </c>
    </row>
    <row r="346" spans="1:17">
      <c r="A346" s="14" t="s">
        <v>14273</v>
      </c>
    </row>
    <row r="347" spans="1:17">
      <c r="A347" s="14" t="s">
        <v>14274</v>
      </c>
    </row>
    <row r="348" spans="1:17">
      <c r="A348" s="14" t="s">
        <v>5615</v>
      </c>
      <c r="B348" s="14" t="s">
        <v>330</v>
      </c>
      <c r="C348" s="14" t="s">
        <v>206</v>
      </c>
      <c r="D348" s="20" t="s">
        <v>2814</v>
      </c>
      <c r="E348" s="15" t="str">
        <f>HYPERLINK("https://stat100.ameba.jp/tnk47/ratio20/illustrations/card/ill_57733_0_shogatsunisenjunanaamakusashiro03.jpg?202008-i_prefecture_active_userxx", "■")</f>
        <v>■</v>
      </c>
      <c r="F348" s="14" t="s">
        <v>2815</v>
      </c>
      <c r="G348" s="14">
        <v>133938</v>
      </c>
      <c r="H348" s="14">
        <v>150776</v>
      </c>
      <c r="I348" s="14">
        <v>24</v>
      </c>
      <c r="J348" s="14" t="s">
        <v>351</v>
      </c>
      <c r="K348" s="14" t="s">
        <v>2816</v>
      </c>
      <c r="L348" s="14" t="s">
        <v>2817</v>
      </c>
      <c r="M348" s="14" t="s">
        <v>9158</v>
      </c>
      <c r="N348" s="14" t="s">
        <v>9158</v>
      </c>
      <c r="O348" s="19" t="s">
        <v>10077</v>
      </c>
      <c r="P348" s="14" t="s">
        <v>3062</v>
      </c>
      <c r="Q348" s="14">
        <v>1</v>
      </c>
    </row>
    <row r="349" spans="1:17">
      <c r="A349" s="14" t="s">
        <v>6195</v>
      </c>
      <c r="B349" s="14" t="s">
        <v>52</v>
      </c>
      <c r="C349" s="14" t="s">
        <v>191</v>
      </c>
      <c r="D349" s="19" t="s">
        <v>10217</v>
      </c>
      <c r="E349" s="15" t="str">
        <f>HYPERLINK("https://stat100.ameba.jp/tnk47/ratio20/illustrations/card/ill_56493_0_poppukurisumasuikomakitsuno03.jpg?202008-i_prefecture_active_userxx", "■")</f>
        <v>■</v>
      </c>
      <c r="F349" s="14" t="s">
        <v>1769</v>
      </c>
      <c r="G349" s="14">
        <v>150776</v>
      </c>
      <c r="H349" s="14">
        <v>133938</v>
      </c>
      <c r="I349" s="14">
        <v>24</v>
      </c>
      <c r="J349" s="14" t="s">
        <v>77</v>
      </c>
      <c r="K349" s="14" t="s">
        <v>1770</v>
      </c>
      <c r="L349" s="14" t="s">
        <v>1771</v>
      </c>
      <c r="M349" s="14" t="s">
        <v>9158</v>
      </c>
      <c r="N349" s="14" t="s">
        <v>9158</v>
      </c>
      <c r="O349" s="19" t="s">
        <v>10120</v>
      </c>
      <c r="P349" s="14" t="s">
        <v>2724</v>
      </c>
      <c r="Q349" s="14">
        <v>1</v>
      </c>
    </row>
    <row r="350" spans="1:17">
      <c r="A350" s="14" t="s">
        <v>5612</v>
      </c>
      <c r="B350" s="14" t="s">
        <v>52</v>
      </c>
      <c r="C350" s="14" t="s">
        <v>165</v>
      </c>
      <c r="D350" s="20" t="s">
        <v>789</v>
      </c>
      <c r="E350" s="15" t="str">
        <f>HYPERLINK("https://stat100.ameba.jp/tnk47/ratio20/illustrations/card/ill_49193_0_onmyoudouabenoseimei03.jpg?202008-i_prefecture_active_userxx", "■")</f>
        <v>■</v>
      </c>
      <c r="F350" s="14" t="s">
        <v>1896</v>
      </c>
      <c r="G350" s="14">
        <v>133938</v>
      </c>
      <c r="H350" s="14">
        <v>150776</v>
      </c>
      <c r="I350" s="14">
        <v>24</v>
      </c>
      <c r="J350" s="14" t="s">
        <v>10</v>
      </c>
      <c r="K350" s="14" t="s">
        <v>1897</v>
      </c>
      <c r="L350" s="14" t="s">
        <v>1898</v>
      </c>
      <c r="M350" s="14" t="s">
        <v>9158</v>
      </c>
      <c r="N350" s="14" t="s">
        <v>9158</v>
      </c>
      <c r="O350" s="14" t="s">
        <v>9158</v>
      </c>
      <c r="P350" s="14" t="s">
        <v>9158</v>
      </c>
      <c r="Q350" s="14" t="s">
        <v>9158</v>
      </c>
    </row>
    <row r="351" spans="1:17">
      <c r="A351" s="14">
        <v>90633</v>
      </c>
      <c r="B351" s="14" t="s">
        <v>0</v>
      </c>
      <c r="C351" t="s">
        <v>14</v>
      </c>
      <c r="D351" s="14" t="s">
        <v>14242</v>
      </c>
      <c r="E351" s="15" t="str">
        <f>HYPERLINK("https://stat100.ameba.jp/tnk47/ratio20/illustrations/card/ill_90633_tamayohime03.jpg?202008-i_prefecture_active_userxx", "■")</f>
        <v>■</v>
      </c>
      <c r="F351" s="14" t="s">
        <v>14241</v>
      </c>
      <c r="G351" s="14">
        <v>94390</v>
      </c>
      <c r="H351" s="14">
        <v>101558</v>
      </c>
      <c r="I351" s="7">
        <v>26</v>
      </c>
      <c r="J351" s="14" t="s">
        <v>77</v>
      </c>
      <c r="K351" s="14" t="s">
        <v>14239</v>
      </c>
      <c r="L351" s="14" t="s">
        <v>12139</v>
      </c>
      <c r="M351" s="14" t="s">
        <v>9158</v>
      </c>
      <c r="N351" s="14" t="s">
        <v>9158</v>
      </c>
      <c r="O351" s="14" t="s">
        <v>9158</v>
      </c>
      <c r="P351" s="14" t="s">
        <v>9158</v>
      </c>
      <c r="Q351" s="14" t="s">
        <v>9158</v>
      </c>
    </row>
    <row r="352" spans="1:17">
      <c r="A352" s="14">
        <v>90643</v>
      </c>
      <c r="B352" s="14" t="s">
        <v>15</v>
      </c>
      <c r="C352" s="14" t="s">
        <v>23</v>
      </c>
      <c r="D352" s="14" t="s">
        <v>14246</v>
      </c>
      <c r="E352" s="15" t="str">
        <f>HYPERLINK("https://stat100.ameba.jp/tnk47/ratio20/illustrations/card/ill_90643_arabianbegoma03.jpg?202008-i_prefecture_active_userxx", "■")</f>
        <v>■</v>
      </c>
      <c r="F352" s="14" t="s">
        <v>14245</v>
      </c>
      <c r="G352" s="14">
        <v>77064</v>
      </c>
      <c r="H352" s="14">
        <v>69898</v>
      </c>
      <c r="I352" s="7">
        <v>26</v>
      </c>
      <c r="J352" s="14" t="s">
        <v>38</v>
      </c>
      <c r="K352" s="14" t="s">
        <v>14244</v>
      </c>
      <c r="L352" s="14" t="s">
        <v>3267</v>
      </c>
      <c r="M352" s="14" t="s">
        <v>9158</v>
      </c>
      <c r="N352" s="14" t="s">
        <v>9158</v>
      </c>
      <c r="O352" s="14" t="s">
        <v>9158</v>
      </c>
      <c r="P352" s="14" t="s">
        <v>9158</v>
      </c>
      <c r="Q352" s="14" t="s">
        <v>9158</v>
      </c>
    </row>
    <row r="353" spans="1:19">
      <c r="A353" s="14">
        <v>90653</v>
      </c>
      <c r="B353" s="14" t="s">
        <v>22</v>
      </c>
      <c r="C353" s="14" t="s">
        <v>1</v>
      </c>
      <c r="D353" s="14" t="s">
        <v>14250</v>
      </c>
      <c r="E353" s="15" t="str">
        <f>HYPERLINK("https://stat100.ameba.jp/tnk47/ratio20/illustrations/card/ill_90653_arabiannaitoakashirejina03.jpg?202008-i_prefecture_active_userxx", "■")</f>
        <v>■</v>
      </c>
      <c r="F353" s="14" t="s">
        <v>14249</v>
      </c>
      <c r="G353" s="14">
        <v>44948</v>
      </c>
      <c r="H353" s="14">
        <v>54058</v>
      </c>
      <c r="I353" s="7">
        <v>26</v>
      </c>
      <c r="J353" s="14" t="s">
        <v>77</v>
      </c>
      <c r="K353" s="14" t="s">
        <v>14248</v>
      </c>
      <c r="L353" s="14" t="s">
        <v>2424</v>
      </c>
      <c r="M353" s="14" t="s">
        <v>9158</v>
      </c>
      <c r="N353" s="14" t="s">
        <v>9158</v>
      </c>
      <c r="O353" s="14" t="s">
        <v>9158</v>
      </c>
      <c r="P353" s="14" t="s">
        <v>9158</v>
      </c>
      <c r="Q353" s="14" t="s">
        <v>9158</v>
      </c>
    </row>
    <row r="354" spans="1:19">
      <c r="A354" s="14">
        <v>90663</v>
      </c>
      <c r="B354" s="14" t="s">
        <v>22</v>
      </c>
      <c r="C354" s="14" t="s">
        <v>101</v>
      </c>
      <c r="D354" s="14" t="s">
        <v>14254</v>
      </c>
      <c r="E354" s="15" t="str">
        <f>HYPERLINK("https://stat100.ameba.jp/tnk47/ratio20/illustrations/card/ill_90663_oukyuusemimaru03.jpg?202008-i_prefecture_active_userxx", "■")</f>
        <v>■</v>
      </c>
      <c r="F354" s="14" t="s">
        <v>14253</v>
      </c>
      <c r="G354" s="14">
        <v>54058</v>
      </c>
      <c r="H354" s="14">
        <v>44948</v>
      </c>
      <c r="I354" s="7">
        <v>26</v>
      </c>
      <c r="J354" s="14" t="s">
        <v>16</v>
      </c>
      <c r="K354" s="14" t="s">
        <v>14252</v>
      </c>
      <c r="L354" s="14" t="s">
        <v>1115</v>
      </c>
      <c r="M354" s="14" t="s">
        <v>9158</v>
      </c>
      <c r="N354" s="14" t="s">
        <v>9158</v>
      </c>
      <c r="O354" s="14" t="s">
        <v>9158</v>
      </c>
      <c r="P354" s="14" t="s">
        <v>9158</v>
      </c>
      <c r="Q354" s="14" t="s">
        <v>9158</v>
      </c>
    </row>
    <row r="355" spans="1:19">
      <c r="E355" s="15"/>
      <c r="I355" s="7"/>
    </row>
    <row r="356" spans="1:19">
      <c r="A356" s="14" t="s">
        <v>14275</v>
      </c>
    </row>
    <row r="357" spans="1:19">
      <c r="A357" s="14" t="s">
        <v>14276</v>
      </c>
    </row>
    <row r="358" spans="1:19">
      <c r="A358" s="14" t="s">
        <v>5621</v>
      </c>
      <c r="B358" s="14" t="s">
        <v>330</v>
      </c>
      <c r="C358" s="14" t="s">
        <v>191</v>
      </c>
      <c r="D358" s="19" t="s">
        <v>2871</v>
      </c>
      <c r="E358" s="15" t="str">
        <f>HYPERLINK("https://stat100.ameba.jp/tnk47/ratio20/illustrations/card/ill_51973_0_kemonomizugikuroyuridensetsu03.jpg?202008-i_prefecture_active_userxx", "■")</f>
        <v>■</v>
      </c>
      <c r="F358" s="14" t="s">
        <v>2034</v>
      </c>
      <c r="G358" s="14">
        <v>169624</v>
      </c>
      <c r="H358" s="14">
        <v>150680</v>
      </c>
      <c r="I358" s="14">
        <v>27</v>
      </c>
      <c r="J358" s="14" t="s">
        <v>38</v>
      </c>
      <c r="K358" s="14" t="s">
        <v>2035</v>
      </c>
      <c r="L358" s="14" t="s">
        <v>2036</v>
      </c>
      <c r="M358" s="14" t="s">
        <v>9158</v>
      </c>
      <c r="N358" s="14" t="s">
        <v>9158</v>
      </c>
      <c r="O358" s="19" t="s">
        <v>10088</v>
      </c>
      <c r="P358" s="14" t="s">
        <v>13172</v>
      </c>
      <c r="Q358" s="14">
        <v>1</v>
      </c>
    </row>
    <row r="359" spans="1:19">
      <c r="A359" s="14" t="s">
        <v>5606</v>
      </c>
      <c r="B359" s="14" t="s">
        <v>52</v>
      </c>
      <c r="C359" s="14" t="s">
        <v>206</v>
      </c>
      <c r="D359" s="20" t="s">
        <v>2936</v>
      </c>
      <c r="E359" s="15" t="str">
        <f>HYPERLINK("https://stat100.ameba.jp/tnk47/ratio20/illustrations/card/ill_72233_0_koinoboriryugujin03.jpg?202008-i_prefecture_active_userxx", "■")</f>
        <v>■</v>
      </c>
      <c r="F359" s="14" t="s">
        <v>1012</v>
      </c>
      <c r="G359" s="14">
        <v>177111</v>
      </c>
      <c r="H359" s="14">
        <v>190501</v>
      </c>
      <c r="I359" s="14">
        <v>27</v>
      </c>
      <c r="J359" s="14" t="s">
        <v>44</v>
      </c>
      <c r="K359" s="14" t="s">
        <v>1013</v>
      </c>
      <c r="L359" s="14" t="s">
        <v>1014</v>
      </c>
      <c r="M359" s="14" t="s">
        <v>9158</v>
      </c>
      <c r="N359" s="14" t="s">
        <v>9158</v>
      </c>
      <c r="O359" s="19" t="s">
        <v>2940</v>
      </c>
      <c r="P359" s="14" t="s">
        <v>2941</v>
      </c>
      <c r="Q359" s="14">
        <v>2</v>
      </c>
    </row>
    <row r="360" spans="1:19">
      <c r="A360" s="14" t="s">
        <v>5622</v>
      </c>
      <c r="B360" s="14" t="s">
        <v>330</v>
      </c>
      <c r="C360" s="14" t="s">
        <v>335</v>
      </c>
      <c r="D360" s="19" t="s">
        <v>1043</v>
      </c>
      <c r="E360" s="15" t="str">
        <f>HYPERLINK("https://stat100.ameba.jp/tnk47/ratio20/illustrations/card/ill_49953_0_yushamarihime03.jpg?202008-i_prefecture_active_userxx", "■")</f>
        <v>■</v>
      </c>
      <c r="F360" s="14" t="s">
        <v>510</v>
      </c>
      <c r="G360" s="14">
        <v>169624</v>
      </c>
      <c r="H360" s="14">
        <v>150680</v>
      </c>
      <c r="I360" s="14">
        <v>27</v>
      </c>
      <c r="J360" s="14" t="s">
        <v>315</v>
      </c>
      <c r="K360" s="14" t="s">
        <v>511</v>
      </c>
      <c r="L360" s="14" t="s">
        <v>512</v>
      </c>
      <c r="M360" s="14" t="s">
        <v>9158</v>
      </c>
      <c r="N360" s="14" t="s">
        <v>9158</v>
      </c>
      <c r="O360" s="14" t="s">
        <v>9158</v>
      </c>
      <c r="P360" s="14" t="s">
        <v>9158</v>
      </c>
      <c r="Q360" s="14" t="s">
        <v>9158</v>
      </c>
    </row>
    <row r="361" spans="1:19">
      <c r="A361" s="14">
        <v>84053</v>
      </c>
      <c r="B361" s="14" t="s">
        <v>0</v>
      </c>
      <c r="C361" s="14" t="s">
        <v>14282</v>
      </c>
      <c r="D361" s="14" t="s">
        <v>14281</v>
      </c>
      <c r="E361" s="15" t="str">
        <f>HYPERLINK("https://stat100.ameba.jp/tnk47/ratio20/illustrations/card/ill_84053_yokaitaisenjamegami03.jpg?202008-i_prefecture_active_userxx", "■")</f>
        <v>■</v>
      </c>
      <c r="F361" s="14" t="s">
        <v>14280</v>
      </c>
      <c r="G361" s="14">
        <v>107147</v>
      </c>
      <c r="H361" s="14">
        <v>115257</v>
      </c>
      <c r="I361" s="14">
        <v>27</v>
      </c>
      <c r="J361" s="14" t="s">
        <v>14278</v>
      </c>
      <c r="K361" s="14" t="s">
        <v>14279</v>
      </c>
      <c r="L361" s="14" t="s">
        <v>14277</v>
      </c>
      <c r="M361" s="14" t="s">
        <v>9158</v>
      </c>
      <c r="N361" s="14" t="s">
        <v>9158</v>
      </c>
      <c r="O361" s="14" t="s">
        <v>9158</v>
      </c>
      <c r="P361" s="14" t="s">
        <v>9158</v>
      </c>
      <c r="Q361" s="14" t="s">
        <v>9158</v>
      </c>
      <c r="S361" s="14" t="s">
        <v>14313</v>
      </c>
    </row>
    <row r="362" spans="1:19">
      <c r="A362" s="14">
        <v>83693</v>
      </c>
      <c r="B362" s="14" t="s">
        <v>0</v>
      </c>
      <c r="C362" s="14" t="s">
        <v>14288</v>
      </c>
      <c r="D362" s="14" t="s">
        <v>14287</v>
      </c>
      <c r="E362" s="15" t="str">
        <f>HYPERLINK("https://stat100.ameba.jp/tnk47/ratio20/illustrations/card/ill_83693_usaginosatokunohisa03.jpg?202008-i_prefecture_active_userxx", "■")</f>
        <v>■</v>
      </c>
      <c r="F362" s="14" t="s">
        <v>14286</v>
      </c>
      <c r="G362" s="14">
        <v>98019</v>
      </c>
      <c r="H362" s="14">
        <v>105465</v>
      </c>
      <c r="I362" s="14">
        <v>27</v>
      </c>
      <c r="J362" s="14" t="s">
        <v>14285</v>
      </c>
      <c r="K362" s="14" t="s">
        <v>14284</v>
      </c>
      <c r="L362" s="14" t="s">
        <v>14283</v>
      </c>
      <c r="M362" s="14" t="s">
        <v>9158</v>
      </c>
      <c r="N362" s="14" t="s">
        <v>9158</v>
      </c>
      <c r="O362" s="14" t="s">
        <v>9158</v>
      </c>
      <c r="P362" s="14" t="s">
        <v>9158</v>
      </c>
      <c r="Q362" s="14" t="s">
        <v>9158</v>
      </c>
      <c r="S362" s="14" t="s">
        <v>14314</v>
      </c>
    </row>
    <row r="363" spans="1:19">
      <c r="A363" s="14">
        <v>83203</v>
      </c>
      <c r="B363" s="14" t="s">
        <v>0</v>
      </c>
      <c r="C363" s="14" t="s">
        <v>14294</v>
      </c>
      <c r="D363" s="14" t="s">
        <v>14293</v>
      </c>
      <c r="E363" s="15" t="str">
        <f>HYPERLINK("https://stat100.ameba.jp/tnk47/ratio20/illustrations/card/ill_83203_hanabishionamihime03.jpg?202008-i_prefecture_active_userxx", "■")</f>
        <v>■</v>
      </c>
      <c r="F363" s="14" t="s">
        <v>14292</v>
      </c>
      <c r="G363" s="14">
        <v>160507</v>
      </c>
      <c r="H363" s="14">
        <v>149240</v>
      </c>
      <c r="I363" s="14">
        <v>27</v>
      </c>
      <c r="J363" s="14" t="s">
        <v>14291</v>
      </c>
      <c r="K363" s="14" t="s">
        <v>14290</v>
      </c>
      <c r="L363" s="14" t="s">
        <v>14289</v>
      </c>
      <c r="M363" s="14" t="s">
        <v>9158</v>
      </c>
      <c r="N363" s="14" t="s">
        <v>9158</v>
      </c>
      <c r="O363" s="14" t="s">
        <v>9158</v>
      </c>
      <c r="P363" s="14" t="s">
        <v>9158</v>
      </c>
      <c r="Q363" s="14" t="s">
        <v>9158</v>
      </c>
      <c r="S363" s="14" t="s">
        <v>14315</v>
      </c>
    </row>
    <row r="364" spans="1:19">
      <c r="A364" s="14">
        <v>85683</v>
      </c>
      <c r="B364" s="14" t="s">
        <v>15</v>
      </c>
      <c r="C364" s="14" t="s">
        <v>14300</v>
      </c>
      <c r="D364" s="14" t="s">
        <v>14299</v>
      </c>
      <c r="E364" s="15" t="str">
        <f>HYPERLINK("https://stat100.ameba.jp/tnk47/ratio20/illustrations/card/ill_85683_enomotosumi03.jpg?202008-i_prefecture_active_userxx", "■")</f>
        <v>■</v>
      </c>
      <c r="F364" s="14" t="s">
        <v>14298</v>
      </c>
      <c r="G364" s="14">
        <v>68172</v>
      </c>
      <c r="H364" s="14">
        <v>61832</v>
      </c>
      <c r="I364" s="14">
        <v>23</v>
      </c>
      <c r="J364" s="14" t="s">
        <v>14297</v>
      </c>
      <c r="K364" s="14" t="s">
        <v>14296</v>
      </c>
      <c r="L364" s="14" t="s">
        <v>14295</v>
      </c>
      <c r="M364" s="14" t="s">
        <v>9158</v>
      </c>
      <c r="N364" s="14" t="s">
        <v>9158</v>
      </c>
      <c r="O364" s="14" t="s">
        <v>9158</v>
      </c>
      <c r="P364" s="14" t="s">
        <v>9158</v>
      </c>
      <c r="Q364" s="14" t="s">
        <v>9158</v>
      </c>
      <c r="S364" s="14" t="s">
        <v>14316</v>
      </c>
    </row>
    <row r="365" spans="1:19">
      <c r="A365" s="14">
        <v>81643</v>
      </c>
      <c r="B365" s="14" t="s">
        <v>15</v>
      </c>
      <c r="C365" s="14" t="s">
        <v>14306</v>
      </c>
      <c r="D365" s="14" t="s">
        <v>14305</v>
      </c>
      <c r="E365" s="15" t="str">
        <f>HYPERLINK("https://stat100.ameba.jp/tnk47/ratio20/illustrations/card/ill_81643_orurinokata03.jpg?202008-i_prefecture_active_userxx", "■")</f>
        <v>■</v>
      </c>
      <c r="F365" s="14" t="s">
        <v>14304</v>
      </c>
      <c r="G365" s="14">
        <v>68172</v>
      </c>
      <c r="H365" s="14">
        <v>61832</v>
      </c>
      <c r="I365" s="14">
        <v>23</v>
      </c>
      <c r="J365" s="14" t="s">
        <v>14303</v>
      </c>
      <c r="K365" s="14" t="s">
        <v>14302</v>
      </c>
      <c r="L365" s="14" t="s">
        <v>14301</v>
      </c>
      <c r="M365" s="14" t="s">
        <v>9158</v>
      </c>
      <c r="N365" s="14" t="s">
        <v>9158</v>
      </c>
      <c r="O365" s="14" t="s">
        <v>9158</v>
      </c>
      <c r="P365" s="14" t="s">
        <v>9158</v>
      </c>
      <c r="Q365" s="14" t="s">
        <v>9158</v>
      </c>
      <c r="S365" s="24" t="s">
        <v>14317</v>
      </c>
    </row>
    <row r="366" spans="1:19">
      <c r="A366" s="14">
        <v>82093</v>
      </c>
      <c r="B366" s="14" t="s">
        <v>15</v>
      </c>
      <c r="C366" s="14" t="s">
        <v>14312</v>
      </c>
      <c r="D366" s="14" t="s">
        <v>14311</v>
      </c>
      <c r="E366" s="15" t="str">
        <f>HYPERLINK("https://stat100.ameba.jp/tnk47/ratio20/illustrations/card/ill_82093_hisshokumanofudechan03.jpg?202008-i_prefecture_active_userxx", "■")</f>
        <v>■</v>
      </c>
      <c r="F366" s="14" t="s">
        <v>14310</v>
      </c>
      <c r="G366" s="14">
        <v>61832</v>
      </c>
      <c r="H366" s="14">
        <v>68172</v>
      </c>
      <c r="I366" s="14">
        <v>23</v>
      </c>
      <c r="J366" s="14" t="s">
        <v>14309</v>
      </c>
      <c r="K366" s="14" t="s">
        <v>14308</v>
      </c>
      <c r="L366" s="14" t="s">
        <v>14307</v>
      </c>
      <c r="M366" s="14" t="s">
        <v>9158</v>
      </c>
      <c r="N366" s="14" t="s">
        <v>9158</v>
      </c>
      <c r="O366" s="14" t="s">
        <v>9158</v>
      </c>
      <c r="P366" s="14" t="s">
        <v>9158</v>
      </c>
      <c r="Q366" s="14" t="s">
        <v>9158</v>
      </c>
      <c r="S366" s="14" t="s">
        <v>14318</v>
      </c>
    </row>
    <row r="368" spans="1:19">
      <c r="A368" s="14" t="s">
        <v>14319</v>
      </c>
    </row>
    <row r="369" spans="1:17">
      <c r="A369" s="14" t="s">
        <v>14320</v>
      </c>
    </row>
    <row r="370" spans="1:17">
      <c r="A370" s="14" t="s">
        <v>5623</v>
      </c>
      <c r="B370" s="14" t="s">
        <v>330</v>
      </c>
      <c r="C370" s="14" t="s">
        <v>165</v>
      </c>
      <c r="D370" s="19" t="s">
        <v>3146</v>
      </c>
      <c r="E370" s="15" t="str">
        <f>HYPERLINK("https://stat100.ameba.jp/tnk47/ratio20/illustrations/card/ill_65713_0_undokaionikirimaru03.jpg", "■")</f>
        <v>■</v>
      </c>
      <c r="F370" s="14" t="s">
        <v>535</v>
      </c>
      <c r="G370" s="14">
        <v>189209</v>
      </c>
      <c r="H370" s="14">
        <v>175911</v>
      </c>
      <c r="I370" s="14">
        <v>25</v>
      </c>
      <c r="J370" s="14" t="s">
        <v>320</v>
      </c>
      <c r="K370" s="14" t="s">
        <v>3147</v>
      </c>
      <c r="L370" s="14" t="s">
        <v>3148</v>
      </c>
      <c r="M370" s="14" t="s">
        <v>9158</v>
      </c>
      <c r="N370" s="14" t="s">
        <v>9158</v>
      </c>
      <c r="O370" s="19" t="s">
        <v>2869</v>
      </c>
      <c r="P370" s="14" t="s">
        <v>2870</v>
      </c>
      <c r="Q370" s="14">
        <v>1</v>
      </c>
    </row>
    <row r="371" spans="1:17">
      <c r="A371" s="7">
        <v>85043</v>
      </c>
      <c r="B371" s="7" t="s">
        <v>0</v>
      </c>
      <c r="C371" s="14" t="s">
        <v>209</v>
      </c>
      <c r="D371" s="19" t="s">
        <v>10752</v>
      </c>
      <c r="E371" s="15" t="str">
        <f>HYPERLINK("https://stat100.ameba.jp/tnk47/ratio20/illustrations/card/ill_85043_sutoroberireddo03.jpg?202007-i_prefecture_active_userx", "■")</f>
        <v>■</v>
      </c>
      <c r="F371" s="7" t="s">
        <v>7843</v>
      </c>
      <c r="G371" s="7">
        <v>137430</v>
      </c>
      <c r="H371" s="7">
        <v>99532</v>
      </c>
      <c r="I371" s="14">
        <v>26</v>
      </c>
      <c r="J371" s="7" t="s">
        <v>104</v>
      </c>
      <c r="K371" s="7" t="s">
        <v>7841</v>
      </c>
      <c r="L371" s="7" t="s">
        <v>2409</v>
      </c>
      <c r="M371" s="14" t="s">
        <v>9158</v>
      </c>
      <c r="N371" s="14" t="s">
        <v>9158</v>
      </c>
      <c r="O371" s="19" t="s">
        <v>10102</v>
      </c>
      <c r="P371" s="14" t="s">
        <v>3672</v>
      </c>
      <c r="Q371" s="14">
        <v>1</v>
      </c>
    </row>
    <row r="372" spans="1:17">
      <c r="A372" s="9">
        <v>73723</v>
      </c>
      <c r="B372" s="14" t="s">
        <v>334</v>
      </c>
      <c r="C372" s="14" t="s">
        <v>191</v>
      </c>
      <c r="D372" s="14" t="s">
        <v>3456</v>
      </c>
      <c r="E372" s="15" t="str">
        <f>HYPERLINK("https://stat100.ameba.jp/tnk47/ratio20/illustrations/card/ill_73723_umibirakitomoegozen03.jpg?202006-5-RELEASE-marathon-476xxx", "■")</f>
        <v>■</v>
      </c>
      <c r="F372" s="14" t="s">
        <v>3457</v>
      </c>
      <c r="G372" s="14">
        <v>154562</v>
      </c>
      <c r="H372" s="14">
        <v>143714</v>
      </c>
      <c r="I372" s="14">
        <v>26</v>
      </c>
      <c r="J372" s="14" t="s">
        <v>143</v>
      </c>
      <c r="K372" s="14" t="s">
        <v>3458</v>
      </c>
      <c r="L372" s="14" t="s">
        <v>3459</v>
      </c>
      <c r="M372" s="14" t="s">
        <v>9158</v>
      </c>
      <c r="N372" s="14" t="s">
        <v>9158</v>
      </c>
      <c r="O372" s="18" t="s">
        <v>10057</v>
      </c>
      <c r="P372" s="14" t="s">
        <v>3460</v>
      </c>
      <c r="Q372" s="14">
        <v>1</v>
      </c>
    </row>
    <row r="373" spans="1:17">
      <c r="A373" s="9">
        <v>86833</v>
      </c>
      <c r="B373" s="14" t="s">
        <v>0</v>
      </c>
      <c r="C373" s="9" t="s">
        <v>185</v>
      </c>
      <c r="D373" s="19" t="s">
        <v>12619</v>
      </c>
      <c r="E373" s="15" t="str">
        <f>HYPERLINK("https://stat100.ameba.jp/tnk47/ratio20/illustrations/card/ill_86833_chokonohidosankochan03.jpg?202002-i_prefecture_active_userxx", "■")</f>
        <v>■</v>
      </c>
      <c r="F373" s="9" t="s">
        <v>9335</v>
      </c>
      <c r="G373" s="9">
        <v>98066</v>
      </c>
      <c r="H373" s="9">
        <v>105426</v>
      </c>
      <c r="I373" s="14">
        <v>26</v>
      </c>
      <c r="J373" s="9" t="s">
        <v>229</v>
      </c>
      <c r="K373" s="9" t="s">
        <v>9334</v>
      </c>
      <c r="L373" s="9" t="s">
        <v>9333</v>
      </c>
      <c r="M373" s="14" t="s">
        <v>9158</v>
      </c>
      <c r="N373" s="14" t="s">
        <v>9158</v>
      </c>
      <c r="O373" s="19" t="s">
        <v>2752</v>
      </c>
      <c r="P373" s="14" t="s">
        <v>13123</v>
      </c>
      <c r="Q373" s="14">
        <v>1</v>
      </c>
    </row>
    <row r="375" spans="1:17">
      <c r="A375" s="14" t="s">
        <v>3916</v>
      </c>
    </row>
    <row r="376" spans="1:17">
      <c r="A376" s="14" t="s">
        <v>5801</v>
      </c>
    </row>
    <row r="377" spans="1:17">
      <c r="A377" s="14">
        <v>71013</v>
      </c>
      <c r="B377" s="14" t="s">
        <v>334</v>
      </c>
      <c r="C377" s="14" t="s">
        <v>154</v>
      </c>
      <c r="D377" s="19" t="s">
        <v>14680</v>
      </c>
      <c r="E377" s="15" t="str">
        <f>HYPERLINK("https://stat100.ameba.jp/tnk47/ratio20/illustrations/card/ill_71013_fujutsushisarashina03.jpg?202007-i_prefecture_active_userx", "■")</f>
        <v>■</v>
      </c>
      <c r="F377" s="14" t="s">
        <v>838</v>
      </c>
      <c r="G377" s="14">
        <v>108276</v>
      </c>
      <c r="H377" s="14">
        <v>116452</v>
      </c>
      <c r="I377" s="14">
        <v>27</v>
      </c>
      <c r="J377" s="14" t="s">
        <v>155</v>
      </c>
      <c r="K377" s="14" t="s">
        <v>1231</v>
      </c>
      <c r="L377" s="14" t="s">
        <v>13152</v>
      </c>
      <c r="M377" s="14" t="s">
        <v>9864</v>
      </c>
      <c r="N377" s="14" t="s">
        <v>9158</v>
      </c>
      <c r="O377" s="14" t="s">
        <v>9158</v>
      </c>
      <c r="P377" s="14" t="s">
        <v>9158</v>
      </c>
      <c r="Q377" s="14" t="s">
        <v>9158</v>
      </c>
    </row>
    <row r="378" spans="1:17">
      <c r="A378" s="14">
        <v>71023</v>
      </c>
      <c r="B378" s="14" t="s">
        <v>334</v>
      </c>
      <c r="C378" s="14" t="s">
        <v>158</v>
      </c>
      <c r="D378" s="19" t="s">
        <v>841</v>
      </c>
      <c r="E378" s="15" t="str">
        <f>HYPERLINK("https://stat100.ameba.jp/tnk47/ratio20/illustrations/card/ill_71023_ommyojiiroha03.jpg?202007-i_prefecture_active_userx", "■")</f>
        <v>■</v>
      </c>
      <c r="F378" s="14" t="s">
        <v>842</v>
      </c>
      <c r="G378" s="14">
        <v>108276</v>
      </c>
      <c r="H378" s="14">
        <v>116452</v>
      </c>
      <c r="I378" s="14">
        <v>27</v>
      </c>
      <c r="J378" s="14" t="s">
        <v>159</v>
      </c>
      <c r="K378" s="14" t="s">
        <v>1232</v>
      </c>
      <c r="L378" s="14" t="s">
        <v>1233</v>
      </c>
      <c r="M378" s="14" t="s">
        <v>9158</v>
      </c>
      <c r="N378" s="14" t="s">
        <v>9158</v>
      </c>
      <c r="O378" s="14" t="s">
        <v>9158</v>
      </c>
      <c r="P378" s="14" t="s">
        <v>9158</v>
      </c>
      <c r="Q378" s="14" t="s">
        <v>9158</v>
      </c>
    </row>
    <row r="379" spans="1:17">
      <c r="A379" s="14">
        <v>66053</v>
      </c>
      <c r="B379" s="14" t="s">
        <v>334</v>
      </c>
      <c r="C379" s="14" t="s">
        <v>205</v>
      </c>
      <c r="D379" s="19" t="s">
        <v>3046</v>
      </c>
      <c r="E379" s="15" t="str">
        <f>HYPERLINK("https://stat100.ameba.jp/tnk47/ratio20/illustrations/card/ill_66053_serebukushiyatamanokami03.jpg?202007-i_prefecture_active_userx", "■")</f>
        <v>■</v>
      </c>
      <c r="F379" s="14" t="s">
        <v>2265</v>
      </c>
      <c r="G379" s="14">
        <v>110129</v>
      </c>
      <c r="H379" s="14">
        <v>102386</v>
      </c>
      <c r="I379" s="14">
        <v>27</v>
      </c>
      <c r="J379" s="14" t="s">
        <v>44</v>
      </c>
      <c r="K379" s="14" t="s">
        <v>2266</v>
      </c>
      <c r="L379" s="14" t="s">
        <v>1860</v>
      </c>
      <c r="M379" s="14" t="s">
        <v>9158</v>
      </c>
      <c r="N379" s="14" t="s">
        <v>9158</v>
      </c>
      <c r="O379" s="14" t="s">
        <v>9158</v>
      </c>
      <c r="P379" s="14" t="s">
        <v>9158</v>
      </c>
      <c r="Q379" s="14" t="s">
        <v>9158</v>
      </c>
    </row>
    <row r="380" spans="1:17">
      <c r="A380" s="14">
        <v>65923</v>
      </c>
      <c r="B380" s="14" t="s">
        <v>334</v>
      </c>
      <c r="C380" s="14" t="s">
        <v>185</v>
      </c>
      <c r="D380" s="19" t="s">
        <v>10204</v>
      </c>
      <c r="E380" s="15" t="str">
        <f>HYPERLINK("https://stat100.ameba.jp/tnk47/ratio20/illustrations/card/ill_65923_arabianginko03.jpg?202007-i_prefecture_active_userx", "■")</f>
        <v>■</v>
      </c>
      <c r="F380" s="14" t="s">
        <v>4978</v>
      </c>
      <c r="G380" s="14">
        <v>112496</v>
      </c>
      <c r="H380" s="14">
        <v>104619</v>
      </c>
      <c r="I380" s="14">
        <v>27</v>
      </c>
      <c r="J380" s="14" t="s">
        <v>182</v>
      </c>
      <c r="K380" s="14" t="s">
        <v>3679</v>
      </c>
      <c r="L380" s="14" t="s">
        <v>13188</v>
      </c>
      <c r="M380" s="14" t="s">
        <v>9158</v>
      </c>
      <c r="N380" s="14" t="s">
        <v>9158</v>
      </c>
      <c r="O380" s="14" t="s">
        <v>9158</v>
      </c>
      <c r="P380" s="14" t="s">
        <v>9158</v>
      </c>
      <c r="Q380" s="14" t="s">
        <v>9158</v>
      </c>
    </row>
    <row r="381" spans="1:17">
      <c r="A381" s="14">
        <v>52863</v>
      </c>
      <c r="B381" s="14" t="s">
        <v>15</v>
      </c>
      <c r="C381" s="14" t="s">
        <v>191</v>
      </c>
      <c r="D381" s="19" t="s">
        <v>10516</v>
      </c>
      <c r="E381" s="15" t="str">
        <f>HYPERLINK("https://stat100.ameba.jp/tnk47/ratio20/illustrations/card/ill_52863_andoroidokingyonota03.jpg?202007-i_prefecture_active_userx", "■")</f>
        <v>■</v>
      </c>
      <c r="F381" s="14" t="s">
        <v>6409</v>
      </c>
      <c r="G381" s="14">
        <v>59144</v>
      </c>
      <c r="H381" s="14">
        <v>65208</v>
      </c>
      <c r="I381" s="14">
        <v>22</v>
      </c>
      <c r="J381" s="14" t="s">
        <v>38</v>
      </c>
      <c r="K381" s="14" t="s">
        <v>6407</v>
      </c>
      <c r="L381" s="14" t="s">
        <v>6406</v>
      </c>
      <c r="M381" s="14" t="s">
        <v>9158</v>
      </c>
      <c r="N381" s="14" t="s">
        <v>9158</v>
      </c>
      <c r="O381" s="14" t="s">
        <v>9158</v>
      </c>
      <c r="P381" s="14" t="s">
        <v>9158</v>
      </c>
      <c r="Q381" s="14" t="s">
        <v>9158</v>
      </c>
    </row>
    <row r="382" spans="1:17">
      <c r="A382" s="14">
        <v>51593</v>
      </c>
      <c r="B382" s="14" t="s">
        <v>15</v>
      </c>
      <c r="C382" s="14" t="s">
        <v>200</v>
      </c>
      <c r="D382" s="19" t="s">
        <v>10517</v>
      </c>
      <c r="E382" s="15" t="str">
        <f>HYPERLINK("https://stat100.ameba.jp/tnk47/ratio20/illustrations/card/ill_51593_kishuhondatadakatsu03.jpg?202007-i_prefecture_active_userx", "■")</f>
        <v>■</v>
      </c>
      <c r="F382" s="14" t="s">
        <v>6413</v>
      </c>
      <c r="G382" s="14">
        <v>59144</v>
      </c>
      <c r="H382" s="14">
        <v>65208</v>
      </c>
      <c r="I382" s="14">
        <v>22</v>
      </c>
      <c r="J382" s="14" t="s">
        <v>143</v>
      </c>
      <c r="K382" s="14" t="s">
        <v>6411</v>
      </c>
      <c r="L382" s="14" t="s">
        <v>6410</v>
      </c>
      <c r="M382" s="14" t="s">
        <v>9158</v>
      </c>
      <c r="N382" s="14" t="s">
        <v>9158</v>
      </c>
      <c r="O382" s="14" t="s">
        <v>9158</v>
      </c>
      <c r="P382" s="14" t="s">
        <v>9158</v>
      </c>
      <c r="Q382" s="14" t="s">
        <v>9158</v>
      </c>
    </row>
    <row r="383" spans="1:17">
      <c r="A383" s="14">
        <v>55403</v>
      </c>
      <c r="B383" s="14" t="s">
        <v>15</v>
      </c>
      <c r="C383" s="14" t="s">
        <v>165</v>
      </c>
      <c r="D383" s="19" t="s">
        <v>10518</v>
      </c>
      <c r="E383" s="15" t="str">
        <f>HYPERLINK("https://stat100.ameba.jp/tnk47/ratio20/illustrations/card/ill_55403_undokaikyogokumaria03.jpg?202007-i_prefecture_active_userx", "■")</f>
        <v>■</v>
      </c>
      <c r="F383" s="14" t="s">
        <v>6417</v>
      </c>
      <c r="G383" s="14">
        <v>65208</v>
      </c>
      <c r="H383" s="14">
        <v>59144</v>
      </c>
      <c r="I383" s="14">
        <v>22</v>
      </c>
      <c r="J383" s="14" t="s">
        <v>77</v>
      </c>
      <c r="K383" s="14" t="s">
        <v>6415</v>
      </c>
      <c r="L383" s="14" t="s">
        <v>6414</v>
      </c>
      <c r="M383" s="14" t="s">
        <v>9158</v>
      </c>
      <c r="N383" s="14" t="s">
        <v>9158</v>
      </c>
      <c r="O383" s="14" t="s">
        <v>9158</v>
      </c>
      <c r="P383" s="14" t="s">
        <v>9158</v>
      </c>
      <c r="Q383" s="14" t="s">
        <v>9158</v>
      </c>
    </row>
    <row r="384" spans="1:17">
      <c r="A384" s="14">
        <v>52973</v>
      </c>
      <c r="B384" s="14" t="s">
        <v>15</v>
      </c>
      <c r="C384" s="14" t="s">
        <v>206</v>
      </c>
      <c r="D384" s="19" t="s">
        <v>10519</v>
      </c>
      <c r="E384" s="15" t="str">
        <f>HYPERLINK("https://stat100.ameba.jp/tnk47/ratio20/illustrations/card/ill_52973_torampuamoronagu03.jpg?202007-i_prefecture_active_userx", "■")</f>
        <v>■</v>
      </c>
      <c r="F384" s="14" t="s">
        <v>6421</v>
      </c>
      <c r="G384" s="14">
        <v>65208</v>
      </c>
      <c r="H384" s="14">
        <v>59144</v>
      </c>
      <c r="I384" s="14">
        <v>22</v>
      </c>
      <c r="J384" s="14" t="s">
        <v>44</v>
      </c>
      <c r="K384" s="14" t="s">
        <v>6419</v>
      </c>
      <c r="L384" s="14" t="s">
        <v>6418</v>
      </c>
      <c r="M384" s="14" t="s">
        <v>9158</v>
      </c>
      <c r="N384" s="14" t="s">
        <v>9158</v>
      </c>
      <c r="O384" s="14" t="s">
        <v>9158</v>
      </c>
      <c r="P384" s="14" t="s">
        <v>9158</v>
      </c>
      <c r="Q384" s="14" t="s">
        <v>9158</v>
      </c>
    </row>
    <row r="386" spans="1:17">
      <c r="A386" s="14" t="s">
        <v>14321</v>
      </c>
    </row>
    <row r="387" spans="1:17">
      <c r="A387" s="14" t="s">
        <v>14322</v>
      </c>
    </row>
    <row r="388" spans="1:17">
      <c r="A388" s="14" t="s">
        <v>5620</v>
      </c>
      <c r="B388" s="14" t="s">
        <v>330</v>
      </c>
      <c r="C388" s="14" t="s">
        <v>206</v>
      </c>
      <c r="D388" s="19" t="s">
        <v>669</v>
      </c>
      <c r="E388" s="15" t="str">
        <f>HYPERLINK("https://stat100.ameba.jp/tnk47/ratio20/illustrations/card/ill_67173_0_yukemuriawamorichan03.jpg?202008-i_prefecture_active_userxx", "■")</f>
        <v>■</v>
      </c>
      <c r="F388" s="14" t="s">
        <v>670</v>
      </c>
      <c r="G388" s="14">
        <v>153666</v>
      </c>
      <c r="H388" s="14">
        <v>142864</v>
      </c>
      <c r="I388" s="14">
        <v>20</v>
      </c>
      <c r="J388" s="14" t="s">
        <v>283</v>
      </c>
      <c r="K388" s="14" t="s">
        <v>671</v>
      </c>
      <c r="L388" s="14" t="s">
        <v>672</v>
      </c>
      <c r="M388" s="14" t="s">
        <v>9158</v>
      </c>
      <c r="N388" s="14" t="s">
        <v>9158</v>
      </c>
      <c r="O388" s="6" t="s">
        <v>10061</v>
      </c>
      <c r="P388" s="14" t="s">
        <v>3455</v>
      </c>
      <c r="Q388" s="14">
        <v>1</v>
      </c>
    </row>
    <row r="389" spans="1:17">
      <c r="A389" s="14">
        <v>90693</v>
      </c>
      <c r="B389" s="14" t="s">
        <v>0</v>
      </c>
      <c r="C389" s="14" t="s">
        <v>14331</v>
      </c>
      <c r="D389" s="14" t="s">
        <v>14330</v>
      </c>
      <c r="E389" s="15" t="str">
        <f>HYPERLINK("https://stat100.ameba.jp/tnk47/ratio20/illustrations/card/ill_90693_hamabeshigaru03.jpg?202008-i_prefecture_active_userxx", "■")</f>
        <v>■</v>
      </c>
      <c r="F389" s="14" t="s">
        <v>14329</v>
      </c>
      <c r="G389" s="14">
        <v>130214</v>
      </c>
      <c r="H389" s="14">
        <v>73270</v>
      </c>
      <c r="I389" s="14">
        <v>27</v>
      </c>
      <c r="J389" s="14" t="s">
        <v>14285</v>
      </c>
      <c r="K389" s="14" t="s">
        <v>14328</v>
      </c>
      <c r="L389" s="14" t="s">
        <v>14327</v>
      </c>
      <c r="M389" s="14" t="s">
        <v>9158</v>
      </c>
      <c r="N389" s="14" t="s">
        <v>9158</v>
      </c>
      <c r="O389" s="14" t="s">
        <v>9158</v>
      </c>
      <c r="P389" s="14" t="s">
        <v>9158</v>
      </c>
      <c r="Q389" s="14" t="s">
        <v>9158</v>
      </c>
    </row>
    <row r="390" spans="1:17">
      <c r="A390" s="14">
        <v>90692</v>
      </c>
      <c r="B390" s="14" t="s">
        <v>0</v>
      </c>
      <c r="C390" s="14" t="s">
        <v>14331</v>
      </c>
      <c r="D390" s="14" t="s">
        <v>14330</v>
      </c>
      <c r="E390" s="15" t="str">
        <f>HYPERLINK("https://stat100.ameba.jp/tnk47/ratio20/illustrations/card/ill_90692_hamabeshigaru02.jpg?202008-i_prefecture_active_userxx", "■")</f>
        <v>■</v>
      </c>
      <c r="F390" s="14" t="s">
        <v>14329</v>
      </c>
      <c r="G390" s="14">
        <v>108378</v>
      </c>
      <c r="H390" s="14">
        <v>60982</v>
      </c>
      <c r="I390" s="14">
        <v>27</v>
      </c>
      <c r="J390" s="14" t="s">
        <v>14285</v>
      </c>
      <c r="K390" s="14" t="s">
        <v>14328</v>
      </c>
      <c r="L390" s="14" t="s">
        <v>14332</v>
      </c>
      <c r="M390" s="14" t="s">
        <v>9158</v>
      </c>
      <c r="N390" s="14" t="s">
        <v>9158</v>
      </c>
      <c r="O390" s="14" t="s">
        <v>9158</v>
      </c>
      <c r="P390" s="14" t="s">
        <v>9158</v>
      </c>
      <c r="Q390" s="14" t="s">
        <v>9158</v>
      </c>
    </row>
    <row r="391" spans="1:17">
      <c r="A391" s="14">
        <v>90691</v>
      </c>
      <c r="B391" s="14" t="s">
        <v>0</v>
      </c>
      <c r="C391" s="14" t="s">
        <v>14331</v>
      </c>
      <c r="D391" s="14" t="s">
        <v>14330</v>
      </c>
      <c r="E391" s="15" t="str">
        <f>HYPERLINK("https://stat100.ameba.jp/tnk47/ratio20/illustrations/card/ill_90691_hamabeshigaru01.jpg?202008-i_prefecture_active_userxx", "■")</f>
        <v>■</v>
      </c>
      <c r="F391" s="14" t="s">
        <v>14329</v>
      </c>
      <c r="G391" s="14">
        <v>83160</v>
      </c>
      <c r="H391" s="14">
        <v>46791</v>
      </c>
      <c r="I391" s="14">
        <v>27</v>
      </c>
      <c r="J391" s="14" t="s">
        <v>14285</v>
      </c>
      <c r="K391" s="14" t="s">
        <v>14328</v>
      </c>
      <c r="L391" s="14" t="s">
        <v>14333</v>
      </c>
      <c r="M391" s="14" t="s">
        <v>9158</v>
      </c>
      <c r="N391" s="14" t="s">
        <v>9158</v>
      </c>
      <c r="O391" s="14" t="s">
        <v>9158</v>
      </c>
      <c r="P391" s="14" t="s">
        <v>9158</v>
      </c>
      <c r="Q391" s="14" t="s">
        <v>9158</v>
      </c>
    </row>
    <row r="392" spans="1:17">
      <c r="A392" s="14">
        <v>90703</v>
      </c>
      <c r="B392" s="14" t="s">
        <v>0</v>
      </c>
      <c r="C392" s="14" t="s">
        <v>14300</v>
      </c>
      <c r="D392" s="14" t="s">
        <v>14337</v>
      </c>
      <c r="E392" s="15" t="str">
        <f>HYPERLINK("https://stat100.ameba.jp/tnk47/ratio20/illustrations/card/ill_90703_hamabeamupitorite03.jpg?202008-i_prefecture_active_userxx", "■")</f>
        <v>■</v>
      </c>
      <c r="F392" s="14" t="s">
        <v>14336</v>
      </c>
      <c r="G392" s="14">
        <v>136005</v>
      </c>
      <c r="H392" s="14">
        <v>76512</v>
      </c>
      <c r="I392" s="14">
        <v>27</v>
      </c>
      <c r="J392" s="14" t="s">
        <v>14278</v>
      </c>
      <c r="K392" s="14" t="s">
        <v>14335</v>
      </c>
      <c r="L392" s="14" t="s">
        <v>14334</v>
      </c>
      <c r="M392" s="14" t="s">
        <v>9158</v>
      </c>
      <c r="N392" s="14" t="s">
        <v>9158</v>
      </c>
      <c r="O392" s="14" t="s">
        <v>9158</v>
      </c>
      <c r="P392" s="14" t="s">
        <v>9158</v>
      </c>
      <c r="Q392" s="14" t="s">
        <v>9158</v>
      </c>
    </row>
    <row r="393" spans="1:17">
      <c r="A393" s="14">
        <v>90702</v>
      </c>
      <c r="B393" s="14" t="s">
        <v>0</v>
      </c>
      <c r="C393" s="14" t="s">
        <v>14300</v>
      </c>
      <c r="D393" s="14" t="s">
        <v>14337</v>
      </c>
      <c r="E393" s="15" t="str">
        <f>HYPERLINK("https://stat100.ameba.jp/tnk47/ratio20/illustrations/card/ill_90702_hamabeamupitorite02.jpg?202008-i_prefecture_active_userxx", "■")</f>
        <v>■</v>
      </c>
      <c r="F393" s="14" t="s">
        <v>14336</v>
      </c>
      <c r="G393" s="14">
        <v>113162</v>
      </c>
      <c r="H393" s="14">
        <v>63693</v>
      </c>
      <c r="I393" s="14">
        <v>27</v>
      </c>
      <c r="J393" s="14" t="s">
        <v>14278</v>
      </c>
      <c r="K393" s="14" t="s">
        <v>14335</v>
      </c>
      <c r="L393" s="14" t="s">
        <v>14338</v>
      </c>
      <c r="M393" s="14" t="s">
        <v>9158</v>
      </c>
      <c r="N393" s="14" t="s">
        <v>9158</v>
      </c>
      <c r="O393" s="14" t="s">
        <v>9158</v>
      </c>
      <c r="P393" s="14" t="s">
        <v>9158</v>
      </c>
      <c r="Q393" s="14" t="s">
        <v>9158</v>
      </c>
    </row>
    <row r="394" spans="1:17">
      <c r="A394" s="14">
        <v>90701</v>
      </c>
      <c r="B394" s="14" t="s">
        <v>0</v>
      </c>
      <c r="C394" s="14" t="s">
        <v>14300</v>
      </c>
      <c r="D394" s="14" t="s">
        <v>14337</v>
      </c>
      <c r="E394" s="15" t="str">
        <f>HYPERLINK("https://stat100.ameba.jp/tnk47/ratio20/illustrations/card/ill_90701_hamabeamupitorite01.jpg?202008-i_prefecture_active_userxx", "■")</f>
        <v>■</v>
      </c>
      <c r="F394" s="14" t="s">
        <v>14336</v>
      </c>
      <c r="G394" s="14">
        <v>86832</v>
      </c>
      <c r="H394" s="14">
        <v>48870</v>
      </c>
      <c r="I394" s="14">
        <v>27</v>
      </c>
      <c r="J394" s="14" t="s">
        <v>14278</v>
      </c>
      <c r="K394" s="14" t="s">
        <v>14335</v>
      </c>
      <c r="L394" s="14" t="s">
        <v>14339</v>
      </c>
      <c r="M394" s="14" t="s">
        <v>9158</v>
      </c>
      <c r="N394" s="14" t="s">
        <v>9158</v>
      </c>
      <c r="O394" s="14" t="s">
        <v>9158</v>
      </c>
      <c r="P394" s="14" t="s">
        <v>9158</v>
      </c>
      <c r="Q394" s="14" t="s">
        <v>9158</v>
      </c>
    </row>
    <row r="396" spans="1:17">
      <c r="A396" s="14" t="s">
        <v>14323</v>
      </c>
    </row>
    <row r="397" spans="1:17">
      <c r="A397" s="14" t="s">
        <v>14324</v>
      </c>
    </row>
    <row r="398" spans="1:17">
      <c r="A398" s="14" t="s">
        <v>6598</v>
      </c>
      <c r="B398" s="14" t="s">
        <v>330</v>
      </c>
      <c r="C398" s="14" t="s">
        <v>35</v>
      </c>
      <c r="D398" s="19" t="s">
        <v>10555</v>
      </c>
      <c r="E398" s="15" t="str">
        <f>HYPERLINK("https://stat100.ameba.jp/tnk47/ratio20/illustrations/card/ill_83553_0_kajuenamoronagu03.jpg?202008-i_prefecture_active_userxx", "■")</f>
        <v>■</v>
      </c>
      <c r="F398" s="14" t="s">
        <v>6597</v>
      </c>
      <c r="G398" s="14">
        <v>263165</v>
      </c>
      <c r="H398" s="14">
        <v>291184</v>
      </c>
      <c r="I398" s="14">
        <v>25</v>
      </c>
      <c r="J398" s="14" t="s">
        <v>44</v>
      </c>
      <c r="K398" s="14" t="s">
        <v>6595</v>
      </c>
      <c r="L398" s="14" t="s">
        <v>6594</v>
      </c>
      <c r="M398" s="14" t="s">
        <v>9158</v>
      </c>
      <c r="N398" s="14" t="s">
        <v>9158</v>
      </c>
      <c r="O398" s="19" t="s">
        <v>10125</v>
      </c>
      <c r="P398" s="14" t="s">
        <v>6599</v>
      </c>
      <c r="Q398" s="14">
        <v>1</v>
      </c>
    </row>
    <row r="399" spans="1:17">
      <c r="A399" s="14">
        <v>81313</v>
      </c>
      <c r="B399" s="14" t="s">
        <v>0</v>
      </c>
      <c r="C399" s="14" t="s">
        <v>154</v>
      </c>
      <c r="D399" s="20" t="s">
        <v>10511</v>
      </c>
      <c r="E399" s="15" t="str">
        <f>HYPERLINK("https://stat100.ameba.jp/tnk47/ratio20/illustrations/card/ill_81313_harihara03.jpg?202008-i_prefecture_active_userxx", "■")</f>
        <v>■</v>
      </c>
      <c r="F399" s="14" t="s">
        <v>4667</v>
      </c>
      <c r="G399" s="14">
        <v>159674</v>
      </c>
      <c r="H399" s="14">
        <v>115656</v>
      </c>
      <c r="I399" s="14">
        <v>24</v>
      </c>
      <c r="J399" s="14" t="s">
        <v>44</v>
      </c>
      <c r="K399" s="14" t="s">
        <v>4668</v>
      </c>
      <c r="L399" s="14" t="s">
        <v>4669</v>
      </c>
      <c r="M399" s="14" t="s">
        <v>9158</v>
      </c>
      <c r="N399" s="14" t="s">
        <v>9158</v>
      </c>
      <c r="O399" s="19" t="s">
        <v>10114</v>
      </c>
      <c r="P399" s="14" t="s">
        <v>3658</v>
      </c>
      <c r="Q399" s="14">
        <v>1</v>
      </c>
    </row>
    <row r="400" spans="1:17">
      <c r="A400" s="14">
        <v>73103</v>
      </c>
      <c r="B400" s="14" t="s">
        <v>334</v>
      </c>
      <c r="C400" s="14" t="s">
        <v>41</v>
      </c>
      <c r="D400" s="19" t="s">
        <v>10423</v>
      </c>
      <c r="E400" s="15" t="str">
        <f>HYPERLINK("https://stat100.ameba.jp/tnk47/ratio20/illustrations/card/ill_73103_nominookata03.jpg?202008-i_prefecture_active_userxx", "■")</f>
        <v>■</v>
      </c>
      <c r="F400" s="14" t="s">
        <v>2106</v>
      </c>
      <c r="G400" s="14">
        <v>75984</v>
      </c>
      <c r="H400" s="14">
        <v>104890</v>
      </c>
      <c r="I400" s="14">
        <v>24</v>
      </c>
      <c r="J400" s="14" t="s">
        <v>77</v>
      </c>
      <c r="K400" s="14" t="s">
        <v>2107</v>
      </c>
      <c r="L400" s="14" t="s">
        <v>969</v>
      </c>
      <c r="M400" s="14" t="s">
        <v>9158</v>
      </c>
      <c r="N400" s="14" t="s">
        <v>9158</v>
      </c>
      <c r="O400" s="19" t="s">
        <v>2752</v>
      </c>
      <c r="P400" s="14" t="s">
        <v>13173</v>
      </c>
      <c r="Q400" s="14">
        <v>1</v>
      </c>
    </row>
    <row r="401" spans="1:18">
      <c r="A401" s="14">
        <v>64043</v>
      </c>
      <c r="B401" s="14" t="s">
        <v>334</v>
      </c>
      <c r="C401" s="14" t="s">
        <v>209</v>
      </c>
      <c r="D401" s="20" t="s">
        <v>10262</v>
      </c>
      <c r="E401" s="15" t="str">
        <f>HYPERLINK("https://stat100.ameba.jp/tnk47/ratio20/illustrations/card/ill_64043_kegonnotaki03.jpg?202008-i_prefecture_active_userxx", "■")</f>
        <v>■</v>
      </c>
      <c r="F401" s="14" t="s">
        <v>759</v>
      </c>
      <c r="G401" s="14">
        <v>114160</v>
      </c>
      <c r="H401" s="14">
        <v>82694</v>
      </c>
      <c r="I401" s="14">
        <v>24</v>
      </c>
      <c r="J401" s="14" t="s">
        <v>229</v>
      </c>
      <c r="K401" s="14" t="s">
        <v>230</v>
      </c>
      <c r="L401" s="14" t="s">
        <v>13143</v>
      </c>
      <c r="M401" s="14" t="s">
        <v>9158</v>
      </c>
      <c r="N401" s="14" t="s">
        <v>9158</v>
      </c>
      <c r="O401" s="19" t="s">
        <v>10070</v>
      </c>
      <c r="P401" s="14" t="s">
        <v>3579</v>
      </c>
      <c r="Q401" s="14">
        <v>1</v>
      </c>
    </row>
    <row r="403" spans="1:18">
      <c r="A403" s="14" t="s">
        <v>13327</v>
      </c>
    </row>
    <row r="404" spans="1:18">
      <c r="A404" s="14" t="s">
        <v>14325</v>
      </c>
    </row>
    <row r="405" spans="1:18">
      <c r="A405" s="14">
        <v>83973</v>
      </c>
      <c r="B405" s="14" t="s">
        <v>334</v>
      </c>
      <c r="C405" s="14" t="s">
        <v>14</v>
      </c>
      <c r="D405" s="19" t="s">
        <v>10570</v>
      </c>
      <c r="E405" s="15" t="str">
        <f>HYPERLINK("https://stat100.ameba.jp/tnk47/ratio20/illustrations/card/ill_83973_nekokishiirurosu03.jpg?202008-i_prefecture_active_userxx", "■")</f>
        <v>■</v>
      </c>
      <c r="F405" s="14" t="s">
        <v>6706</v>
      </c>
      <c r="G405" s="14">
        <v>132922</v>
      </c>
      <c r="H405" s="14">
        <v>123583</v>
      </c>
      <c r="I405" s="14">
        <v>27</v>
      </c>
      <c r="J405" s="14" t="s">
        <v>229</v>
      </c>
      <c r="K405" s="14" t="s">
        <v>6707</v>
      </c>
      <c r="L405" s="14" t="s">
        <v>13202</v>
      </c>
      <c r="M405" s="14" t="s">
        <v>13130</v>
      </c>
      <c r="N405" s="14" t="s">
        <v>343</v>
      </c>
      <c r="O405" s="14" t="s">
        <v>9158</v>
      </c>
      <c r="P405" s="14" t="s">
        <v>9158</v>
      </c>
      <c r="Q405" s="14" t="s">
        <v>9158</v>
      </c>
      <c r="R405" s="14" t="s">
        <v>14748</v>
      </c>
    </row>
    <row r="406" spans="1:18">
      <c r="A406" s="14">
        <v>83972</v>
      </c>
      <c r="B406" s="14" t="s">
        <v>334</v>
      </c>
      <c r="C406" s="14" t="s">
        <v>14</v>
      </c>
      <c r="D406" s="19" t="s">
        <v>10570</v>
      </c>
      <c r="E406" s="15" t="str">
        <f>HYPERLINK("https://stat100.ameba.jp/tnk47/ratio20/illustrations/card/ill_83972_nekokishiirurosu02.jpg?202008-i_prefecture_active_userxx", "■")</f>
        <v>■</v>
      </c>
      <c r="F406" s="14" t="s">
        <v>6706</v>
      </c>
      <c r="G406" s="14">
        <v>111115</v>
      </c>
      <c r="H406" s="14">
        <v>102356</v>
      </c>
      <c r="I406" s="14">
        <v>27</v>
      </c>
      <c r="J406" s="14" t="s">
        <v>229</v>
      </c>
      <c r="K406" s="14" t="s">
        <v>6707</v>
      </c>
      <c r="L406" s="14" t="s">
        <v>13201</v>
      </c>
      <c r="M406" s="14" t="s">
        <v>13131</v>
      </c>
      <c r="N406" s="14" t="s">
        <v>251</v>
      </c>
      <c r="O406" s="14" t="s">
        <v>9158</v>
      </c>
      <c r="P406" s="14" t="s">
        <v>9158</v>
      </c>
      <c r="Q406" s="14" t="s">
        <v>9158</v>
      </c>
      <c r="R406" s="14" t="s">
        <v>14748</v>
      </c>
    </row>
    <row r="407" spans="1:18">
      <c r="A407" s="14">
        <v>83971</v>
      </c>
      <c r="B407" s="14" t="s">
        <v>0</v>
      </c>
      <c r="C407" s="14" t="s">
        <v>14</v>
      </c>
      <c r="D407" s="19" t="s">
        <v>10570</v>
      </c>
      <c r="E407" s="15" t="str">
        <f>HYPERLINK("https://stat100.ameba.jp/tnk47/ratio20/illustrations/card/ill_83971_nekokishiirurosu01.jpg?202008-i_prefecture_active_userxx", "■")</f>
        <v>■</v>
      </c>
      <c r="F407" s="14" t="s">
        <v>6706</v>
      </c>
      <c r="G407" s="14">
        <v>84834</v>
      </c>
      <c r="H407" s="14">
        <v>78975</v>
      </c>
      <c r="I407" s="14">
        <v>27</v>
      </c>
      <c r="J407" s="14" t="s">
        <v>229</v>
      </c>
      <c r="K407" s="14" t="s">
        <v>6707</v>
      </c>
      <c r="L407" s="14" t="s">
        <v>13201</v>
      </c>
      <c r="M407" s="14" t="s">
        <v>13131</v>
      </c>
      <c r="N407" s="14" t="s">
        <v>251</v>
      </c>
      <c r="O407" s="14" t="s">
        <v>9158</v>
      </c>
      <c r="P407" s="14" t="s">
        <v>9158</v>
      </c>
      <c r="Q407" s="14" t="s">
        <v>9158</v>
      </c>
      <c r="R407" s="14" t="s">
        <v>14748</v>
      </c>
    </row>
    <row r="408" spans="1:18">
      <c r="A408" s="14">
        <v>83983</v>
      </c>
      <c r="B408" s="14" t="s">
        <v>334</v>
      </c>
      <c r="C408" s="14" t="s">
        <v>23</v>
      </c>
      <c r="D408" s="19" t="s">
        <v>10571</v>
      </c>
      <c r="E408" s="15" t="str">
        <f>HYPERLINK("https://stat100.ameba.jp/tnk47/ratio20/illustrations/card/ill_83983_ryujinsui03.jpg?202008-i_prefecture_active_userxx", "■")</f>
        <v>■</v>
      </c>
      <c r="F408" s="14" t="s">
        <v>6708</v>
      </c>
      <c r="G408" s="14">
        <v>123583</v>
      </c>
      <c r="H408" s="14">
        <v>132922</v>
      </c>
      <c r="I408" s="14">
        <v>27</v>
      </c>
      <c r="J408" s="14" t="s">
        <v>169</v>
      </c>
      <c r="K408" s="14" t="s">
        <v>6710</v>
      </c>
      <c r="L408" s="14" t="s">
        <v>6721</v>
      </c>
      <c r="M408" s="14" t="s">
        <v>13130</v>
      </c>
      <c r="N408" s="14" t="s">
        <v>343</v>
      </c>
      <c r="O408" s="14" t="s">
        <v>9158</v>
      </c>
      <c r="P408" s="14" t="s">
        <v>9158</v>
      </c>
      <c r="Q408" s="14" t="s">
        <v>9158</v>
      </c>
      <c r="R408" s="14" t="s">
        <v>14748</v>
      </c>
    </row>
    <row r="409" spans="1:18">
      <c r="A409" s="14">
        <v>83993</v>
      </c>
      <c r="B409" s="14" t="s">
        <v>334</v>
      </c>
      <c r="C409" s="14" t="s">
        <v>101</v>
      </c>
      <c r="D409" s="19" t="s">
        <v>10572</v>
      </c>
      <c r="E409" s="15" t="str">
        <f>HYPERLINK("https://stat100.ameba.jp/tnk47/ratio20/illustrations/card/ill_83993_enjieruzuranotamagochan03.jpg?202008-i_prefecture_active_userxx", "■")</f>
        <v>■</v>
      </c>
      <c r="F409" s="14" t="s">
        <v>6722</v>
      </c>
      <c r="G409" s="14">
        <v>123583</v>
      </c>
      <c r="H409" s="14">
        <v>132922</v>
      </c>
      <c r="I409" s="14">
        <v>27</v>
      </c>
      <c r="J409" s="14" t="s">
        <v>216</v>
      </c>
      <c r="K409" s="14" t="s">
        <v>6723</v>
      </c>
      <c r="L409" s="14" t="s">
        <v>6724</v>
      </c>
      <c r="M409" s="14" t="s">
        <v>13130</v>
      </c>
      <c r="N409" s="14" t="s">
        <v>343</v>
      </c>
      <c r="O409" s="14" t="s">
        <v>9158</v>
      </c>
      <c r="P409" s="14" t="s">
        <v>9158</v>
      </c>
      <c r="Q409" s="14" t="s">
        <v>9158</v>
      </c>
      <c r="R409" s="14" t="s">
        <v>14748</v>
      </c>
    </row>
    <row r="410" spans="1:18">
      <c r="A410" s="14">
        <v>84003</v>
      </c>
      <c r="B410" s="14" t="s">
        <v>0</v>
      </c>
      <c r="C410" s="14" t="s">
        <v>96</v>
      </c>
      <c r="D410" s="19" t="s">
        <v>10573</v>
      </c>
      <c r="E410" s="15" t="str">
        <f>HYPERLINK("https://stat100.ameba.jp/tnk47/ratio20/illustrations/card/ill_84003_sukoropendora03.jpg?202008-i_prefecture_active_userxx", "■")</f>
        <v>■</v>
      </c>
      <c r="F410" s="14" t="s">
        <v>6725</v>
      </c>
      <c r="G410" s="14">
        <v>132922</v>
      </c>
      <c r="H410" s="14">
        <v>123583</v>
      </c>
      <c r="I410" s="14">
        <v>27</v>
      </c>
      <c r="J410" s="14" t="s">
        <v>182</v>
      </c>
      <c r="K410" s="14" t="s">
        <v>6727</v>
      </c>
      <c r="L410" s="14" t="s">
        <v>6728</v>
      </c>
      <c r="M410" s="14" t="s">
        <v>13130</v>
      </c>
      <c r="N410" s="14" t="s">
        <v>343</v>
      </c>
      <c r="O410" s="14" t="s">
        <v>9158</v>
      </c>
      <c r="P410" s="14" t="s">
        <v>9158</v>
      </c>
      <c r="Q410" s="14" t="s">
        <v>9158</v>
      </c>
      <c r="R410" s="14" t="s">
        <v>14748</v>
      </c>
    </row>
    <row r="411" spans="1:18">
      <c r="A411" s="14">
        <v>84013</v>
      </c>
      <c r="B411" s="14" t="s">
        <v>334</v>
      </c>
      <c r="C411" s="14" t="s">
        <v>205</v>
      </c>
      <c r="D411" s="19" t="s">
        <v>10574</v>
      </c>
      <c r="E411" s="15" t="str">
        <f>HYPERLINK("https://stat100.ameba.jp/tnk47/ratio20/illustrations/card/ill_84013_neikiddo03.jpg?202008-i_prefecture_active_userxx", "■")</f>
        <v>■</v>
      </c>
      <c r="F411" s="14" t="s">
        <v>6729</v>
      </c>
      <c r="G411" s="14">
        <v>123583</v>
      </c>
      <c r="H411" s="14">
        <v>132922</v>
      </c>
      <c r="I411" s="14">
        <v>27</v>
      </c>
      <c r="J411" s="14" t="s">
        <v>194</v>
      </c>
      <c r="K411" s="14" t="s">
        <v>6731</v>
      </c>
      <c r="L411" s="14" t="s">
        <v>6732</v>
      </c>
      <c r="M411" s="14" t="s">
        <v>13130</v>
      </c>
      <c r="N411" s="14" t="s">
        <v>343</v>
      </c>
      <c r="O411" s="14" t="s">
        <v>9158</v>
      </c>
      <c r="P411" s="14" t="s">
        <v>9158</v>
      </c>
      <c r="Q411" s="14" t="s">
        <v>9158</v>
      </c>
      <c r="R411" s="14" t="s">
        <v>14748</v>
      </c>
    </row>
    <row r="412" spans="1:18">
      <c r="A412" s="14">
        <v>76763</v>
      </c>
      <c r="B412" s="14" t="s">
        <v>334</v>
      </c>
      <c r="C412" s="14" t="s">
        <v>107</v>
      </c>
      <c r="D412" s="19" t="s">
        <v>10575</v>
      </c>
      <c r="E412" s="15" t="str">
        <f>HYPERLINK("https://stat100.ameba.jp/tnk47/ratio20/illustrations/card/ill_76763_monsutanabeshimakeiginni03.jpg?202008-i_prefecture_active_userxx", "■")</f>
        <v>■</v>
      </c>
      <c r="F412" s="14" t="s">
        <v>6733</v>
      </c>
      <c r="G412" s="14">
        <v>132922</v>
      </c>
      <c r="H412" s="14">
        <v>123583</v>
      </c>
      <c r="I412" s="14">
        <v>27</v>
      </c>
      <c r="J412" s="14" t="s">
        <v>187</v>
      </c>
      <c r="K412" s="14" t="s">
        <v>6735</v>
      </c>
      <c r="L412" s="14" t="s">
        <v>6736</v>
      </c>
      <c r="M412" s="14" t="s">
        <v>13130</v>
      </c>
      <c r="N412" s="14" t="s">
        <v>343</v>
      </c>
      <c r="O412" s="14" t="s">
        <v>9158</v>
      </c>
      <c r="P412" s="14" t="s">
        <v>9158</v>
      </c>
      <c r="Q412" s="14" t="s">
        <v>9158</v>
      </c>
      <c r="R412" s="14" t="s">
        <v>14748</v>
      </c>
    </row>
    <row r="414" spans="1:18">
      <c r="A414" s="14" t="s">
        <v>14340</v>
      </c>
    </row>
    <row r="415" spans="1:18">
      <c r="A415" s="14" t="s">
        <v>14341</v>
      </c>
    </row>
    <row r="416" spans="1:18">
      <c r="A416" s="9" t="s">
        <v>5650</v>
      </c>
      <c r="B416" s="14" t="s">
        <v>52</v>
      </c>
      <c r="C416" s="14" t="s">
        <v>200</v>
      </c>
      <c r="D416" s="14" t="s">
        <v>136</v>
      </c>
      <c r="E416" s="15" t="str">
        <f>HYPERLINK("https://stat100.ameba.jp/tnk47/ratio20/illustrations/card/ill_68033_0_kurisumasupateikandamyojin03.jpg?202008-i_prefecture_active_userxx", "■")</f>
        <v>■</v>
      </c>
      <c r="F416" s="14" t="s">
        <v>1871</v>
      </c>
      <c r="G416" s="14">
        <v>127162</v>
      </c>
      <c r="H416" s="14">
        <v>136788</v>
      </c>
      <c r="I416" s="14">
        <v>20</v>
      </c>
      <c r="J416" s="14" t="s">
        <v>44</v>
      </c>
      <c r="K416" s="14" t="s">
        <v>1872</v>
      </c>
      <c r="L416" s="14" t="s">
        <v>1873</v>
      </c>
      <c r="M416" s="14" t="s">
        <v>9158</v>
      </c>
      <c r="N416" s="14" t="s">
        <v>9158</v>
      </c>
      <c r="O416" s="9" t="s">
        <v>3482</v>
      </c>
      <c r="P416" s="14" t="s">
        <v>3483</v>
      </c>
      <c r="Q416" s="14">
        <v>2</v>
      </c>
    </row>
    <row r="417" spans="1:17">
      <c r="A417" s="14">
        <v>90713</v>
      </c>
      <c r="B417" s="14" t="s">
        <v>14345</v>
      </c>
      <c r="C417" s="14" t="s">
        <v>14306</v>
      </c>
      <c r="D417" s="14" t="s">
        <v>14349</v>
      </c>
      <c r="E417" s="15" t="str">
        <f>HYPERLINK("https://stat100.ameba.jp/tnk47/ratio20/illustrations/card/ill_90713_hamabenotosu03.jpg?202008-i_prefecture_active_userxx", "■")</f>
        <v>■</v>
      </c>
      <c r="F417" s="14" t="s">
        <v>14348</v>
      </c>
      <c r="G417" s="14">
        <v>73270</v>
      </c>
      <c r="H417" s="14">
        <v>130214</v>
      </c>
      <c r="I417" s="14">
        <v>27</v>
      </c>
      <c r="J417" s="14" t="s">
        <v>14303</v>
      </c>
      <c r="K417" s="14" t="s">
        <v>14347</v>
      </c>
      <c r="L417" s="14" t="s">
        <v>14346</v>
      </c>
      <c r="M417" s="14" t="s">
        <v>9158</v>
      </c>
      <c r="N417" s="14" t="s">
        <v>9158</v>
      </c>
      <c r="O417" s="14" t="s">
        <v>9158</v>
      </c>
      <c r="P417" s="14" t="s">
        <v>9158</v>
      </c>
      <c r="Q417" s="14" t="s">
        <v>9158</v>
      </c>
    </row>
    <row r="418" spans="1:17">
      <c r="A418" s="14">
        <v>90712</v>
      </c>
      <c r="B418" s="14" t="s">
        <v>14345</v>
      </c>
      <c r="C418" s="14" t="s">
        <v>14306</v>
      </c>
      <c r="D418" s="14" t="s">
        <v>14349</v>
      </c>
      <c r="E418" s="15" t="str">
        <f>HYPERLINK("https://stat100.ameba.jp/tnk47/ratio20/illustrations/card/ill_90712_hamabenotosu02.jpg?202008-i_prefecture_active_userxx", "■")</f>
        <v>■</v>
      </c>
      <c r="F418" s="14" t="s">
        <v>14348</v>
      </c>
      <c r="G418" s="14">
        <v>60982</v>
      </c>
      <c r="H418" s="14">
        <v>108378</v>
      </c>
      <c r="I418" s="14">
        <v>27</v>
      </c>
      <c r="J418" s="14" t="s">
        <v>14303</v>
      </c>
      <c r="K418" s="14" t="s">
        <v>14347</v>
      </c>
      <c r="L418" s="14" t="s">
        <v>14350</v>
      </c>
      <c r="M418" s="14" t="s">
        <v>9158</v>
      </c>
      <c r="N418" s="14" t="s">
        <v>9158</v>
      </c>
      <c r="O418" s="14" t="s">
        <v>9158</v>
      </c>
      <c r="P418" s="14" t="s">
        <v>9158</v>
      </c>
      <c r="Q418" s="14" t="s">
        <v>9158</v>
      </c>
    </row>
    <row r="419" spans="1:17">
      <c r="A419" s="14">
        <v>90711</v>
      </c>
      <c r="B419" s="14" t="s">
        <v>14345</v>
      </c>
      <c r="C419" s="14" t="s">
        <v>14306</v>
      </c>
      <c r="D419" s="14" t="s">
        <v>14349</v>
      </c>
      <c r="E419" s="15" t="str">
        <f>HYPERLINK("https://stat100.ameba.jp/tnk47/ratio20/illustrations/card/ill_90711_hamabenotosu01.jpg?202008-i_prefecture_active_userxx", "■")</f>
        <v>■</v>
      </c>
      <c r="F419" s="14" t="s">
        <v>14348</v>
      </c>
      <c r="G419" s="14">
        <v>46791</v>
      </c>
      <c r="H419" s="14">
        <v>83160</v>
      </c>
      <c r="I419" s="14">
        <v>27</v>
      </c>
      <c r="J419" s="14" t="s">
        <v>14303</v>
      </c>
      <c r="K419" s="14" t="s">
        <v>14347</v>
      </c>
      <c r="L419" s="14" t="s">
        <v>14351</v>
      </c>
      <c r="M419" s="14" t="s">
        <v>9158</v>
      </c>
      <c r="N419" s="14" t="s">
        <v>9158</v>
      </c>
      <c r="O419" s="14" t="s">
        <v>9158</v>
      </c>
      <c r="P419" s="14" t="s">
        <v>9158</v>
      </c>
      <c r="Q419" s="14" t="s">
        <v>9158</v>
      </c>
    </row>
    <row r="420" spans="1:17">
      <c r="A420" s="14">
        <v>90723</v>
      </c>
      <c r="B420" s="14" t="s">
        <v>14345</v>
      </c>
      <c r="C420" s="14" t="s">
        <v>14357</v>
      </c>
      <c r="D420" s="14" t="s">
        <v>14356</v>
      </c>
      <c r="E420" s="15" t="str">
        <f>HYPERLINK("https://stat100.ameba.jp/tnk47/ratio20/illustrations/card/ill_90723_hamabeyadokari03.jpg?202008-i_prefecture_active_userxx", "■")</f>
        <v>■</v>
      </c>
      <c r="F420" s="14" t="s">
        <v>14355</v>
      </c>
      <c r="G420" s="14">
        <v>111523</v>
      </c>
      <c r="H420" s="14">
        <v>198226</v>
      </c>
      <c r="I420" s="14">
        <v>27</v>
      </c>
      <c r="J420" s="14" t="s">
        <v>14354</v>
      </c>
      <c r="K420" s="14" t="s">
        <v>14353</v>
      </c>
      <c r="L420" s="14" t="s">
        <v>14352</v>
      </c>
      <c r="M420" s="14" t="s">
        <v>9158</v>
      </c>
      <c r="N420" s="14" t="s">
        <v>9158</v>
      </c>
      <c r="O420" s="14" t="s">
        <v>9158</v>
      </c>
      <c r="P420" s="14" t="s">
        <v>9158</v>
      </c>
      <c r="Q420" s="14" t="s">
        <v>9158</v>
      </c>
    </row>
    <row r="421" spans="1:17">
      <c r="A421" s="14">
        <v>90722</v>
      </c>
      <c r="B421" s="14" t="s">
        <v>14345</v>
      </c>
      <c r="C421" s="14" t="s">
        <v>14357</v>
      </c>
      <c r="D421" s="14" t="s">
        <v>14356</v>
      </c>
      <c r="E421" s="15" t="str">
        <f>HYPERLINK("https://stat100.ameba.jp/tnk47/ratio20/illustrations/card/ill_90722_hamabeyadokari02.jpg?202008-i_prefecture_active_userxx", "■")</f>
        <v>■</v>
      </c>
      <c r="F421" s="14" t="s">
        <v>14355</v>
      </c>
      <c r="G421" s="14">
        <v>92814</v>
      </c>
      <c r="H421" s="14">
        <v>164931</v>
      </c>
      <c r="I421" s="14">
        <v>27</v>
      </c>
      <c r="J421" s="14" t="s">
        <v>14354</v>
      </c>
      <c r="K421" s="14" t="s">
        <v>14353</v>
      </c>
      <c r="L421" s="14" t="s">
        <v>14358</v>
      </c>
      <c r="M421" s="14" t="s">
        <v>9158</v>
      </c>
      <c r="N421" s="14" t="s">
        <v>9158</v>
      </c>
      <c r="O421" s="14" t="s">
        <v>9158</v>
      </c>
      <c r="P421" s="14" t="s">
        <v>9158</v>
      </c>
      <c r="Q421" s="14" t="s">
        <v>9158</v>
      </c>
    </row>
    <row r="422" spans="1:17">
      <c r="A422" s="14">
        <v>90721</v>
      </c>
      <c r="B422" s="14" t="s">
        <v>14345</v>
      </c>
      <c r="C422" s="14" t="s">
        <v>14357</v>
      </c>
      <c r="D422" s="14" t="s">
        <v>14356</v>
      </c>
      <c r="E422" s="15" t="str">
        <f>HYPERLINK("https://stat100.ameba.jp/tnk47/ratio20/illustrations/card/ill_90721_hamabeyadokari01.jpg?202008-i_prefecture_active_userxx", "■")</f>
        <v>■</v>
      </c>
      <c r="F422" s="14" t="s">
        <v>14355</v>
      </c>
      <c r="G422" s="14">
        <v>71226</v>
      </c>
      <c r="H422" s="14">
        <v>126576</v>
      </c>
      <c r="I422" s="14">
        <v>27</v>
      </c>
      <c r="J422" s="14" t="s">
        <v>14354</v>
      </c>
      <c r="K422" s="14" t="s">
        <v>14353</v>
      </c>
      <c r="L422" s="14" t="s">
        <v>14359</v>
      </c>
      <c r="M422" s="14" t="s">
        <v>9158</v>
      </c>
      <c r="N422" s="14" t="s">
        <v>9158</v>
      </c>
      <c r="O422" s="14" t="s">
        <v>9158</v>
      </c>
      <c r="P422" s="14" t="s">
        <v>9158</v>
      </c>
      <c r="Q422" s="14" t="s">
        <v>9158</v>
      </c>
    </row>
    <row r="424" spans="1:17">
      <c r="A424" s="14" t="s">
        <v>14343</v>
      </c>
    </row>
    <row r="425" spans="1:17">
      <c r="A425" s="14" t="s">
        <v>14342</v>
      </c>
    </row>
    <row r="426" spans="1:17">
      <c r="A426" s="14" t="s">
        <v>14364</v>
      </c>
      <c r="B426" s="14" t="s">
        <v>14344</v>
      </c>
      <c r="C426" s="14" t="s">
        <v>14282</v>
      </c>
      <c r="D426" s="14" t="s">
        <v>14363</v>
      </c>
      <c r="E426" s="15" t="str">
        <f>HYPERLINK("https://stat100.ameba.jp/tnk47/ratio20/illustrations/card/ill_90843_0_tenkurokawanonushi03.jpg?202008-i_prefecture_active_userxx", "■")</f>
        <v>■</v>
      </c>
      <c r="F426" s="14" t="s">
        <v>14362</v>
      </c>
      <c r="G426" s="14">
        <v>464097</v>
      </c>
      <c r="H426" s="14">
        <v>419443</v>
      </c>
      <c r="I426" s="14">
        <v>35</v>
      </c>
      <c r="J426" s="14" t="s">
        <v>14309</v>
      </c>
      <c r="K426" s="14" t="s">
        <v>14361</v>
      </c>
      <c r="L426" s="14" t="s">
        <v>14360</v>
      </c>
      <c r="M426" s="14" t="s">
        <v>9158</v>
      </c>
      <c r="N426" s="14" t="s">
        <v>9158</v>
      </c>
      <c r="O426" s="14" t="s">
        <v>9158</v>
      </c>
      <c r="P426" s="14" t="s">
        <v>9158</v>
      </c>
      <c r="Q426" s="14" t="s">
        <v>9158</v>
      </c>
    </row>
    <row r="427" spans="1:17">
      <c r="A427" s="14" t="s">
        <v>12945</v>
      </c>
      <c r="B427" s="14" t="s">
        <v>117</v>
      </c>
      <c r="C427" s="14" t="s">
        <v>35</v>
      </c>
      <c r="D427" s="14" t="s">
        <v>12938</v>
      </c>
      <c r="E427" s="15" t="str">
        <f>HYPERLINK("https://stat100.ameba.jp/tnk47/ratio20/illustrations/card/ill_89523_0_tenkurondokai03.jpg?202008-i_prefecture_active_userxx", "■")</f>
        <v>■</v>
      </c>
      <c r="F427" s="14" t="s">
        <v>12941</v>
      </c>
      <c r="G427" s="14">
        <v>463507</v>
      </c>
      <c r="H427" s="14">
        <v>418941</v>
      </c>
      <c r="I427" s="14">
        <v>35</v>
      </c>
      <c r="J427" s="14" t="s">
        <v>143</v>
      </c>
      <c r="K427" s="14" t="s">
        <v>12943</v>
      </c>
      <c r="L427" s="14" t="s">
        <v>12944</v>
      </c>
      <c r="M427" s="14" t="s">
        <v>9158</v>
      </c>
      <c r="N427" s="14" t="s">
        <v>9158</v>
      </c>
      <c r="O427" s="14" t="s">
        <v>9158</v>
      </c>
      <c r="P427" s="14" t="s">
        <v>9158</v>
      </c>
      <c r="Q427" s="14" t="s">
        <v>9158</v>
      </c>
    </row>
    <row r="428" spans="1:17">
      <c r="A428" s="14" t="s">
        <v>12372</v>
      </c>
      <c r="B428" s="14" t="s">
        <v>117</v>
      </c>
      <c r="C428" s="14" t="s">
        <v>35</v>
      </c>
      <c r="D428" s="14" t="s">
        <v>12369</v>
      </c>
      <c r="E428" s="15" t="str">
        <f>HYPERLINK("https://stat100.ameba.jp/tnk47/ratio20/illustrations/card/ill_89543_0_tenkurokambammusume03.jpg?202008-i_prefecture_active_userxx", "■")</f>
        <v>■</v>
      </c>
      <c r="F428" s="14" t="s">
        <v>12374</v>
      </c>
      <c r="G428" s="14">
        <v>416548</v>
      </c>
      <c r="H428" s="14">
        <v>460942</v>
      </c>
      <c r="I428" s="14">
        <v>35</v>
      </c>
      <c r="J428" s="14" t="s">
        <v>44</v>
      </c>
      <c r="K428" s="14" t="s">
        <v>12375</v>
      </c>
      <c r="L428" s="14" t="s">
        <v>12376</v>
      </c>
      <c r="M428" s="14" t="s">
        <v>9158</v>
      </c>
      <c r="N428" s="14" t="s">
        <v>9158</v>
      </c>
      <c r="O428" s="14" t="s">
        <v>9158</v>
      </c>
      <c r="P428" s="14" t="s">
        <v>9158</v>
      </c>
      <c r="Q428" s="14" t="s">
        <v>9158</v>
      </c>
    </row>
    <row r="429" spans="1:17">
      <c r="A429" s="14" t="s">
        <v>14011</v>
      </c>
      <c r="B429" s="14" t="s">
        <v>117</v>
      </c>
      <c r="C429" s="14" t="s">
        <v>35</v>
      </c>
      <c r="D429" s="14" t="s">
        <v>14010</v>
      </c>
      <c r="E429" s="15" t="str">
        <f>HYPERLINK("https://stat100.ameba.jp/tnk47/ratio20/illustrations/card/ill_90163_0_tenkurofuaitazu03.jpg?202008-i_prefecture_active_userxx", "■")</f>
        <v>■</v>
      </c>
      <c r="F429" s="14" t="s">
        <v>14013</v>
      </c>
      <c r="G429" s="14">
        <v>418941</v>
      </c>
      <c r="H429" s="14">
        <v>463507</v>
      </c>
      <c r="I429" s="14">
        <v>35</v>
      </c>
      <c r="J429" s="14" t="s">
        <v>159</v>
      </c>
      <c r="K429" s="14" t="s">
        <v>14014</v>
      </c>
      <c r="L429" s="14" t="s">
        <v>14012</v>
      </c>
      <c r="M429" s="14" t="s">
        <v>9158</v>
      </c>
      <c r="N429" s="14" t="s">
        <v>9158</v>
      </c>
      <c r="O429" s="14" t="s">
        <v>9158</v>
      </c>
      <c r="P429" s="14" t="s">
        <v>9158</v>
      </c>
      <c r="Q429" s="14" t="s">
        <v>9158</v>
      </c>
    </row>
    <row r="430" spans="1:17">
      <c r="A430" s="9" t="s">
        <v>5606</v>
      </c>
      <c r="B430" s="14" t="s">
        <v>52</v>
      </c>
      <c r="C430" s="14" t="s">
        <v>206</v>
      </c>
      <c r="D430" s="14" t="s">
        <v>1011</v>
      </c>
      <c r="E430" s="15" t="str">
        <f>HYPERLINK("https://stat100.ameba.jp/tnk47/ratio20/illustrations/card/ill_72233_0_koinoboriryugujin03.jpg?202008-i_prefecture_active_userxx", "■")</f>
        <v>■</v>
      </c>
      <c r="F430" s="14" t="s">
        <v>1012</v>
      </c>
      <c r="G430" s="14">
        <v>144312</v>
      </c>
      <c r="H430" s="14">
        <v>155224</v>
      </c>
      <c r="I430" s="14">
        <v>22</v>
      </c>
      <c r="J430" s="14" t="s">
        <v>44</v>
      </c>
      <c r="K430" s="14" t="s">
        <v>1013</v>
      </c>
      <c r="L430" s="14" t="s">
        <v>1014</v>
      </c>
      <c r="M430" s="14" t="s">
        <v>9158</v>
      </c>
      <c r="N430" s="14" t="s">
        <v>9158</v>
      </c>
      <c r="O430" s="9" t="s">
        <v>3419</v>
      </c>
      <c r="P430" s="14" t="s">
        <v>3420</v>
      </c>
      <c r="Q430" s="14">
        <v>2</v>
      </c>
    </row>
    <row r="431" spans="1:17">
      <c r="A431" s="7">
        <v>73443</v>
      </c>
      <c r="B431" s="7" t="s">
        <v>0</v>
      </c>
      <c r="C431" s="7" t="s">
        <v>185</v>
      </c>
      <c r="D431" s="20" t="s">
        <v>10780</v>
      </c>
      <c r="E431" s="15" t="str">
        <f>HYPERLINK("https://stat100.ameba.jp/tnk47/ratio20/illustrations/card/ill_73443_kejonumadensetsu03.jpg?202008-i_prefecture_active_userxx", "■")</f>
        <v>■</v>
      </c>
      <c r="F431" s="7" t="s">
        <v>8077</v>
      </c>
      <c r="G431" s="7">
        <v>110126</v>
      </c>
      <c r="H431" s="7">
        <v>118656</v>
      </c>
      <c r="I431" s="7">
        <v>26</v>
      </c>
      <c r="J431" s="7" t="s">
        <v>155</v>
      </c>
      <c r="K431" s="7" t="s">
        <v>8076</v>
      </c>
      <c r="L431" s="7" t="s">
        <v>3696</v>
      </c>
      <c r="M431" s="14" t="s">
        <v>9158</v>
      </c>
      <c r="N431" s="14" t="s">
        <v>9158</v>
      </c>
      <c r="O431" s="14" t="s">
        <v>9158</v>
      </c>
      <c r="P431" s="14" t="s">
        <v>9158</v>
      </c>
      <c r="Q431" s="14" t="s">
        <v>9158</v>
      </c>
    </row>
    <row r="432" spans="1:17">
      <c r="A432" s="9">
        <v>68853</v>
      </c>
      <c r="B432" s="14" t="s">
        <v>334</v>
      </c>
      <c r="C432" s="14" t="s">
        <v>200</v>
      </c>
      <c r="D432" s="14" t="s">
        <v>4576</v>
      </c>
      <c r="E432" s="15" t="str">
        <f>HYPERLINK("https://stat100.ameba.jp/tnk47/ratio20/illustrations/card/ill_68853_karutateneiin03.jpg?202008-i_prefecture_active_userxx", "■")</f>
        <v>■</v>
      </c>
      <c r="F432" s="14" t="s">
        <v>4577</v>
      </c>
      <c r="G432" s="14">
        <v>94390</v>
      </c>
      <c r="H432" s="14">
        <v>101558</v>
      </c>
      <c r="I432" s="7">
        <v>26</v>
      </c>
      <c r="J432" s="14" t="s">
        <v>351</v>
      </c>
      <c r="K432" s="14" t="s">
        <v>4578</v>
      </c>
      <c r="L432" s="14" t="s">
        <v>2489</v>
      </c>
      <c r="M432" s="14" t="s">
        <v>9158</v>
      </c>
      <c r="N432" s="14" t="s">
        <v>9158</v>
      </c>
      <c r="O432" s="14" t="s">
        <v>9158</v>
      </c>
      <c r="P432" s="14" t="s">
        <v>9158</v>
      </c>
      <c r="Q432" s="14" t="s">
        <v>9158</v>
      </c>
    </row>
    <row r="433" spans="1:17">
      <c r="A433" s="14">
        <v>74253</v>
      </c>
      <c r="B433" s="14" t="s">
        <v>334</v>
      </c>
      <c r="C433" s="14" t="s">
        <v>191</v>
      </c>
      <c r="D433" s="19" t="s">
        <v>10679</v>
      </c>
      <c r="E433" s="15" t="str">
        <f>HYPERLINK("https://stat100.ameba.jp/tnk47/ratio20/illustrations/card/ill_74253_kanainoburu03.jpg?202008-i_prefecture_active_userxx", "■")</f>
        <v>■</v>
      </c>
      <c r="F433" s="14" t="s">
        <v>7310</v>
      </c>
      <c r="G433" s="14">
        <v>110126</v>
      </c>
      <c r="H433" s="14">
        <v>118446</v>
      </c>
      <c r="I433" s="7">
        <v>26</v>
      </c>
      <c r="J433" s="14" t="s">
        <v>16</v>
      </c>
      <c r="K433" s="14" t="s">
        <v>7309</v>
      </c>
      <c r="L433" s="14" t="s">
        <v>4739</v>
      </c>
      <c r="M433" s="14" t="s">
        <v>9158</v>
      </c>
      <c r="N433" s="14" t="s">
        <v>9158</v>
      </c>
      <c r="O433" s="14" t="s">
        <v>9158</v>
      </c>
      <c r="P433" s="14" t="s">
        <v>9158</v>
      </c>
      <c r="Q433" s="14" t="s">
        <v>9158</v>
      </c>
    </row>
    <row r="434" spans="1:17">
      <c r="A434" s="9">
        <v>87323</v>
      </c>
      <c r="B434" s="9" t="s">
        <v>0</v>
      </c>
      <c r="C434" s="9" t="s">
        <v>165</v>
      </c>
      <c r="D434" s="19" t="s">
        <v>10995</v>
      </c>
      <c r="E434" s="15" t="str">
        <f>HYPERLINK("https://stat100.ameba.jp/tnk47/ratio20/illustrations/card/ill_87323_takopakuidaorechan03.jpg?202008-i_prefecture_active_userxx", "■")</f>
        <v>■</v>
      </c>
      <c r="F434" s="9" t="s">
        <v>9830</v>
      </c>
      <c r="G434" s="9">
        <v>110126</v>
      </c>
      <c r="H434" s="9">
        <v>118446</v>
      </c>
      <c r="I434" s="9">
        <v>26</v>
      </c>
      <c r="J434" s="9" t="s">
        <v>229</v>
      </c>
      <c r="K434" s="9" t="s">
        <v>9829</v>
      </c>
      <c r="L434" s="9" t="s">
        <v>7427</v>
      </c>
      <c r="M434" s="14" t="s">
        <v>9158</v>
      </c>
      <c r="N434" s="14" t="s">
        <v>9158</v>
      </c>
      <c r="O434" s="14" t="s">
        <v>9158</v>
      </c>
      <c r="P434" s="14" t="s">
        <v>9158</v>
      </c>
      <c r="Q434" s="14" t="s">
        <v>9158</v>
      </c>
    </row>
    <row r="435" spans="1:17">
      <c r="A435" s="14">
        <v>78293</v>
      </c>
      <c r="B435" s="14" t="s">
        <v>0</v>
      </c>
      <c r="C435" s="14" t="s">
        <v>205</v>
      </c>
      <c r="D435" s="20" t="s">
        <v>10591</v>
      </c>
      <c r="E435" s="15" t="str">
        <f>HYPERLINK("https://stat100.ameba.jp/tnk47/ratio20/illustrations/card/ill_78293_yukinotaawaodori03.jpg?202008-i_prefecture_active_userxx", "■")</f>
        <v>■</v>
      </c>
      <c r="F435" s="14" t="s">
        <v>2416</v>
      </c>
      <c r="G435" s="14">
        <v>110126</v>
      </c>
      <c r="H435" s="14">
        <v>118446</v>
      </c>
      <c r="I435" s="14">
        <v>26</v>
      </c>
      <c r="J435" s="14" t="s">
        <v>229</v>
      </c>
      <c r="K435" s="14" t="s">
        <v>2417</v>
      </c>
      <c r="L435" s="14" t="s">
        <v>2137</v>
      </c>
      <c r="M435" s="14" t="s">
        <v>9158</v>
      </c>
      <c r="N435" s="14" t="s">
        <v>9158</v>
      </c>
      <c r="O435" s="14" t="s">
        <v>9158</v>
      </c>
      <c r="P435" s="14" t="s">
        <v>9158</v>
      </c>
      <c r="Q435" s="14" t="s">
        <v>9158</v>
      </c>
    </row>
    <row r="436" spans="1:17">
      <c r="A436" s="14">
        <v>60943</v>
      </c>
      <c r="B436" s="14" t="s">
        <v>334</v>
      </c>
      <c r="C436" s="14" t="s">
        <v>206</v>
      </c>
      <c r="D436" s="20" t="s">
        <v>10465</v>
      </c>
      <c r="E436" s="15" t="str">
        <f>HYPERLINK("https://stat100.ameba.jp/tnk47/ratio20/illustrations/card/ill_60943_sukurugarutenshoin03.jpg?202008-i_prefecture_active_userxx", "■")</f>
        <v>■</v>
      </c>
      <c r="F436" s="14" t="s">
        <v>3958</v>
      </c>
      <c r="G436" s="14">
        <v>94390</v>
      </c>
      <c r="H436" s="14">
        <v>101558</v>
      </c>
      <c r="I436" s="14">
        <v>26</v>
      </c>
      <c r="J436" s="14" t="s">
        <v>10</v>
      </c>
      <c r="K436" s="14" t="s">
        <v>3959</v>
      </c>
      <c r="L436" s="14" t="s">
        <v>12</v>
      </c>
      <c r="M436" s="14" t="s">
        <v>9158</v>
      </c>
      <c r="N436" s="14" t="s">
        <v>9158</v>
      </c>
      <c r="O436" s="14" t="s">
        <v>9158</v>
      </c>
      <c r="P436" s="14" t="s">
        <v>9158</v>
      </c>
      <c r="Q436" s="14" t="s">
        <v>9158</v>
      </c>
    </row>
    <row r="438" spans="1:17">
      <c r="A438" s="14" t="s">
        <v>14386</v>
      </c>
    </row>
    <row r="439" spans="1:17">
      <c r="A439" s="14" t="s">
        <v>14384</v>
      </c>
    </row>
    <row r="440" spans="1:17">
      <c r="A440" s="14" t="s">
        <v>5617</v>
      </c>
      <c r="B440" s="14" t="s">
        <v>330</v>
      </c>
      <c r="C440" s="14" t="s">
        <v>308</v>
      </c>
      <c r="D440" s="19" t="s">
        <v>385</v>
      </c>
      <c r="E440" s="15" t="str">
        <f>HYPERLINK("https://stat100.ameba.jp/tnk47/ratio20/illustrations/card/ill_59673_0_oheyashutendoji03.jpg?202008-i_prefecture_active_userxx", "■")</f>
        <v>■</v>
      </c>
      <c r="F440" s="14" t="s">
        <v>386</v>
      </c>
      <c r="G440" s="14">
        <v>168874</v>
      </c>
      <c r="H440" s="14">
        <v>181640</v>
      </c>
      <c r="I440" s="14">
        <v>24</v>
      </c>
      <c r="J440" s="14" t="s">
        <v>320</v>
      </c>
      <c r="K440" s="14" t="s">
        <v>387</v>
      </c>
      <c r="L440" s="14" t="s">
        <v>388</v>
      </c>
      <c r="M440" s="14" t="s">
        <v>9158</v>
      </c>
      <c r="N440" s="14" t="s">
        <v>9158</v>
      </c>
      <c r="O440" s="19" t="s">
        <v>10078</v>
      </c>
      <c r="P440" s="14" t="s">
        <v>3022</v>
      </c>
      <c r="Q440" s="14">
        <v>1</v>
      </c>
    </row>
    <row r="441" spans="1:17">
      <c r="A441" s="14" t="s">
        <v>5603</v>
      </c>
      <c r="B441" s="14" t="s">
        <v>330</v>
      </c>
      <c r="C441" s="14" t="s">
        <v>205</v>
      </c>
      <c r="D441" s="20" t="s">
        <v>611</v>
      </c>
      <c r="E441" s="15" t="str">
        <f>HYPERLINK("https://stat100.ameba.jp/tnk47/ratio20/illustrations/card/ill_61893_0_onikirishumiyamotomusashi03.jpg?202008-i_prefecture_active_userxx", "■")</f>
        <v>■</v>
      </c>
      <c r="F441" s="14" t="s">
        <v>612</v>
      </c>
      <c r="G441" s="14">
        <v>224026</v>
      </c>
      <c r="H441" s="14">
        <v>208310</v>
      </c>
      <c r="I441" s="14">
        <v>24</v>
      </c>
      <c r="J441" s="14" t="s">
        <v>310</v>
      </c>
      <c r="K441" s="14" t="s">
        <v>613</v>
      </c>
      <c r="L441" s="14" t="s">
        <v>312</v>
      </c>
      <c r="M441" s="14" t="s">
        <v>9158</v>
      </c>
      <c r="N441" s="14" t="s">
        <v>9158</v>
      </c>
      <c r="O441" s="19" t="s">
        <v>10071</v>
      </c>
      <c r="P441" s="14" t="s">
        <v>3253</v>
      </c>
      <c r="Q441" s="14">
        <v>1</v>
      </c>
    </row>
    <row r="442" spans="1:17">
      <c r="A442" s="14" t="s">
        <v>5897</v>
      </c>
      <c r="B442" s="14" t="s">
        <v>52</v>
      </c>
      <c r="C442" s="14" t="s">
        <v>23</v>
      </c>
      <c r="D442" s="20" t="s">
        <v>277</v>
      </c>
      <c r="E442" s="15" t="str">
        <f>HYPERLINK("https://stat100.ameba.jp/tnk47/ratio20/illustrations/card/ill_40913_0_reigyokudensetsufusehime03.jpg?202008-i_prefecture_active_userxx", "■")</f>
        <v>■</v>
      </c>
      <c r="F442" s="14" t="s">
        <v>955</v>
      </c>
      <c r="G442" s="14">
        <v>131538</v>
      </c>
      <c r="H442" s="14">
        <v>140448</v>
      </c>
      <c r="I442" s="14">
        <v>24</v>
      </c>
      <c r="J442" s="14" t="s">
        <v>38</v>
      </c>
      <c r="K442" s="14" t="s">
        <v>956</v>
      </c>
      <c r="L442" s="14" t="s">
        <v>957</v>
      </c>
      <c r="M442" s="14" t="s">
        <v>9158</v>
      </c>
      <c r="N442" s="14" t="s">
        <v>9158</v>
      </c>
      <c r="O442" s="14" t="s">
        <v>9158</v>
      </c>
      <c r="P442" s="14" t="s">
        <v>9158</v>
      </c>
      <c r="Q442" s="14" t="s">
        <v>9158</v>
      </c>
    </row>
    <row r="443" spans="1:17">
      <c r="A443" s="9">
        <v>52593</v>
      </c>
      <c r="B443" s="9" t="s">
        <v>334</v>
      </c>
      <c r="C443" s="9" t="s">
        <v>185</v>
      </c>
      <c r="D443" s="9" t="s">
        <v>10287</v>
      </c>
      <c r="E443" s="15" t="str">
        <f>HYPERLINK("https://stat100.ameba.jp/tnk47/ratio20/illustrations/card/ill_52593_sengokumibirakikitsunenohoju03.jpg?202008-i_prefecture_active_userxx", "■")</f>
        <v>■</v>
      </c>
      <c r="F443" s="9" t="s">
        <v>11192</v>
      </c>
      <c r="G443" s="9">
        <v>100214</v>
      </c>
      <c r="H443" s="9">
        <v>93172</v>
      </c>
      <c r="I443" s="9">
        <v>26</v>
      </c>
      <c r="J443" s="9" t="s">
        <v>274</v>
      </c>
      <c r="K443" s="9" t="s">
        <v>11193</v>
      </c>
      <c r="L443" s="9" t="s">
        <v>11194</v>
      </c>
      <c r="M443" s="14" t="s">
        <v>9158</v>
      </c>
      <c r="N443" s="14" t="s">
        <v>9158</v>
      </c>
      <c r="O443" s="9" t="s">
        <v>11195</v>
      </c>
      <c r="P443" s="9" t="s">
        <v>13124</v>
      </c>
      <c r="Q443" s="9">
        <v>1</v>
      </c>
    </row>
    <row r="444" spans="1:17">
      <c r="A444" s="9">
        <v>56293</v>
      </c>
      <c r="B444" s="14" t="s">
        <v>15</v>
      </c>
      <c r="C444" s="14" t="s">
        <v>101</v>
      </c>
      <c r="D444" s="14" t="s">
        <v>3805</v>
      </c>
      <c r="E444" s="15" t="str">
        <f>HYPERLINK("https://stat100.ameba.jp/tnk47/ratio20/illustrations/card/ill_56293_miritarimizugimizuhanome03.jpg?202008-i_prefecture_active_userxx", "■")</f>
        <v>■</v>
      </c>
      <c r="F444" s="14" t="s">
        <v>3806</v>
      </c>
      <c r="G444" s="14">
        <v>69898</v>
      </c>
      <c r="H444" s="14">
        <v>77064</v>
      </c>
      <c r="I444" s="9">
        <v>26</v>
      </c>
      <c r="J444" s="14" t="s">
        <v>44</v>
      </c>
      <c r="K444" s="14" t="s">
        <v>3807</v>
      </c>
      <c r="L444" s="14" t="s">
        <v>3808</v>
      </c>
      <c r="M444" s="14" t="s">
        <v>9158</v>
      </c>
      <c r="N444" s="14" t="s">
        <v>9158</v>
      </c>
      <c r="O444" s="14" t="s">
        <v>9158</v>
      </c>
      <c r="P444" s="14" t="s">
        <v>9158</v>
      </c>
      <c r="Q444" s="14" t="s">
        <v>9158</v>
      </c>
    </row>
    <row r="445" spans="1:17">
      <c r="A445" s="14">
        <v>58593</v>
      </c>
      <c r="B445" s="7" t="s">
        <v>22</v>
      </c>
      <c r="C445" s="14" t="s">
        <v>206</v>
      </c>
      <c r="D445" s="14" t="s">
        <v>14385</v>
      </c>
      <c r="E445" s="15" t="str">
        <f>HYPERLINK("https://stat100.ameba.jp/tnk47/ratio20/illustrations/card/ill_58593_shinseishishagaugau03.jpg?202008-i_prefecture_active_userxx", "■")</f>
        <v>■</v>
      </c>
      <c r="F445" s="14" t="s">
        <v>14391</v>
      </c>
      <c r="G445" s="14">
        <v>54058</v>
      </c>
      <c r="H445" s="14">
        <v>44948</v>
      </c>
      <c r="I445" s="9">
        <v>26</v>
      </c>
      <c r="J445" s="14" t="s">
        <v>14309</v>
      </c>
      <c r="K445" s="14" t="s">
        <v>14390</v>
      </c>
      <c r="L445" s="14" t="s">
        <v>14389</v>
      </c>
      <c r="M445" s="14" t="s">
        <v>9158</v>
      </c>
      <c r="N445" s="14" t="s">
        <v>9158</v>
      </c>
      <c r="O445" s="14" t="s">
        <v>9158</v>
      </c>
      <c r="P445" s="14" t="s">
        <v>9158</v>
      </c>
      <c r="Q445" s="14" t="s">
        <v>9158</v>
      </c>
    </row>
    <row r="446" spans="1:17">
      <c r="A446" s="7">
        <v>59293</v>
      </c>
      <c r="B446" s="7" t="s">
        <v>22</v>
      </c>
      <c r="C446" s="7" t="s">
        <v>200</v>
      </c>
      <c r="D446" s="19" t="s">
        <v>10795</v>
      </c>
      <c r="E446" s="15" t="str">
        <f>HYPERLINK("https://stat100.ameba.jp/tnk47/ratio20/illustrations/card/ill_59293_shinseitomusoyanoboken03.jpg?202008-i_prefecture_active_userxx", "■")</f>
        <v>■</v>
      </c>
      <c r="F446" s="7" t="s">
        <v>8233</v>
      </c>
      <c r="G446" s="7">
        <v>44948</v>
      </c>
      <c r="H446" s="7">
        <v>54058</v>
      </c>
      <c r="I446" s="9">
        <v>26</v>
      </c>
      <c r="J446" s="7" t="s">
        <v>155</v>
      </c>
      <c r="K446" s="7" t="s">
        <v>8232</v>
      </c>
      <c r="L446" s="7" t="s">
        <v>2015</v>
      </c>
      <c r="M446" s="14" t="s">
        <v>9158</v>
      </c>
      <c r="N446" s="14" t="s">
        <v>9158</v>
      </c>
      <c r="O446" s="14" t="s">
        <v>9158</v>
      </c>
      <c r="P446" s="14" t="s">
        <v>9158</v>
      </c>
      <c r="Q446" s="14" t="s">
        <v>9158</v>
      </c>
    </row>
    <row r="448" spans="1:17">
      <c r="A448" s="14" t="s">
        <v>14387</v>
      </c>
    </row>
    <row r="449" spans="1:17">
      <c r="A449" s="14" t="s">
        <v>14388</v>
      </c>
    </row>
    <row r="450" spans="1:17">
      <c r="A450" s="14" t="s">
        <v>6508</v>
      </c>
      <c r="B450" s="14" t="s">
        <v>330</v>
      </c>
      <c r="C450" s="14" t="s">
        <v>35</v>
      </c>
      <c r="D450" s="20" t="s">
        <v>10168</v>
      </c>
      <c r="E450" s="15" t="str">
        <f>HYPERLINK("https://stat100.ameba.jp/tnk47/ratio20/illustrations/card/ill_81783_0_denshagarukoteipenginchan03.jpg?202008-i_prefecture_active_userxx", "■")</f>
        <v>■</v>
      </c>
      <c r="F450" s="14" t="s">
        <v>4834</v>
      </c>
      <c r="G450" s="14">
        <v>313989</v>
      </c>
      <c r="H450" s="14">
        <v>283765</v>
      </c>
      <c r="I450" s="14">
        <v>27</v>
      </c>
      <c r="J450" s="14" t="s">
        <v>26</v>
      </c>
      <c r="K450" s="14" t="s">
        <v>4836</v>
      </c>
      <c r="L450" s="14" t="s">
        <v>1783</v>
      </c>
      <c r="M450" s="14" t="s">
        <v>9158</v>
      </c>
      <c r="N450" s="14" t="s">
        <v>9158</v>
      </c>
      <c r="O450" s="19" t="s">
        <v>10124</v>
      </c>
      <c r="P450" s="14" t="s">
        <v>4838</v>
      </c>
      <c r="Q450" s="14">
        <v>1</v>
      </c>
    </row>
    <row r="451" spans="1:17">
      <c r="A451" s="9" t="s">
        <v>6030</v>
      </c>
      <c r="B451" s="14" t="s">
        <v>330</v>
      </c>
      <c r="C451" s="14" t="s">
        <v>202</v>
      </c>
      <c r="D451" s="14" t="s">
        <v>3708</v>
      </c>
      <c r="E451" s="15" t="str">
        <f>HYPERLINK("https://stat100.ameba.jp/tnk47/ratio20/illustrations/card/ill_80023_0_hinamatsurikyogokumaria03.jpg?202008-i_prefecture_active_userxx", "■")</f>
        <v>■</v>
      </c>
      <c r="F451" s="14" t="s">
        <v>3709</v>
      </c>
      <c r="G451" s="14">
        <v>363858</v>
      </c>
      <c r="H451" s="14">
        <v>402625</v>
      </c>
      <c r="I451" s="14">
        <v>27</v>
      </c>
      <c r="J451" s="14" t="s">
        <v>26</v>
      </c>
      <c r="K451" s="14" t="s">
        <v>3710</v>
      </c>
      <c r="L451" s="14" t="s">
        <v>3711</v>
      </c>
      <c r="M451" s="14" t="s">
        <v>9158</v>
      </c>
      <c r="N451" s="14" t="s">
        <v>9158</v>
      </c>
      <c r="O451" s="9" t="s">
        <v>3712</v>
      </c>
      <c r="P451" s="14" t="s">
        <v>3713</v>
      </c>
      <c r="Q451" s="14">
        <v>1</v>
      </c>
    </row>
    <row r="452" spans="1:17">
      <c r="A452" s="14" t="s">
        <v>5604</v>
      </c>
      <c r="B452" s="14" t="s">
        <v>330</v>
      </c>
      <c r="C452" s="14" t="s">
        <v>206</v>
      </c>
      <c r="D452" s="19" t="s">
        <v>614</v>
      </c>
      <c r="E452" s="15" t="str">
        <f>HYPERLINK("https://stat100.ameba.jp/tnk47/ratio20/illustrations/card/ill_47263_0_oukyuuatsuhime03.jpg?202008-i_prefecture_active_userxx", "■")</f>
        <v>■</v>
      </c>
      <c r="F452" s="14" t="s">
        <v>615</v>
      </c>
      <c r="G452" s="14">
        <v>163342</v>
      </c>
      <c r="H452" s="14">
        <v>145100</v>
      </c>
      <c r="I452" s="14">
        <v>26</v>
      </c>
      <c r="J452" s="14" t="s">
        <v>315</v>
      </c>
      <c r="K452" s="14" t="s">
        <v>616</v>
      </c>
      <c r="L452" s="14" t="s">
        <v>617</v>
      </c>
      <c r="M452" s="14" t="s">
        <v>9158</v>
      </c>
      <c r="N452" s="14" t="s">
        <v>9158</v>
      </c>
      <c r="O452" s="14" t="s">
        <v>9158</v>
      </c>
      <c r="P452" s="14" t="s">
        <v>9158</v>
      </c>
      <c r="Q452" s="14" t="s">
        <v>9158</v>
      </c>
    </row>
    <row r="453" spans="1:17">
      <c r="A453" s="14">
        <v>77663</v>
      </c>
      <c r="B453" s="14" t="s">
        <v>334</v>
      </c>
      <c r="C453" s="14" t="s">
        <v>202</v>
      </c>
      <c r="D453" s="20" t="s">
        <v>10614</v>
      </c>
      <c r="E453" s="15" t="str">
        <f>HYPERLINK("https://stat100.ameba.jp/tnk47/ratio20/illustrations/card/ill_77663_deipuburu03.jpg?202008-i_prefecture_active_userxx", "■")</f>
        <v>■</v>
      </c>
      <c r="F453" s="14" t="s">
        <v>1573</v>
      </c>
      <c r="G453" s="14">
        <v>85492</v>
      </c>
      <c r="H453" s="14">
        <v>118000</v>
      </c>
      <c r="I453" s="14">
        <v>26</v>
      </c>
      <c r="J453" s="14" t="s">
        <v>414</v>
      </c>
      <c r="K453" s="14" t="s">
        <v>1574</v>
      </c>
      <c r="L453" s="14" t="s">
        <v>1575</v>
      </c>
      <c r="M453" s="14" t="s">
        <v>9158</v>
      </c>
      <c r="N453" s="14" t="s">
        <v>9158</v>
      </c>
      <c r="O453" s="19" t="s">
        <v>10117</v>
      </c>
      <c r="P453" s="14" t="s">
        <v>3625</v>
      </c>
      <c r="Q453" s="14">
        <v>1</v>
      </c>
    </row>
    <row r="454" spans="1:17">
      <c r="A454" s="14">
        <v>52083</v>
      </c>
      <c r="B454" s="14" t="s">
        <v>0</v>
      </c>
      <c r="C454" s="14" t="s">
        <v>158</v>
      </c>
      <c r="D454" s="20" t="s">
        <v>2913</v>
      </c>
      <c r="E454" s="15" t="str">
        <f>HYPERLINK("https://stat100.ameba.jp/tnk47/ratio20/illustrations/card/ill_52083_berubetto03.jpg?202008-i_prefecture_active_userxx", "■")</f>
        <v>■</v>
      </c>
      <c r="F454" s="14" t="s">
        <v>944</v>
      </c>
      <c r="G454" s="14">
        <v>89584</v>
      </c>
      <c r="H454" s="14">
        <v>123674</v>
      </c>
      <c r="I454" s="14">
        <v>26</v>
      </c>
      <c r="J454" s="14" t="s">
        <v>26</v>
      </c>
      <c r="K454" s="14" t="s">
        <v>1864</v>
      </c>
      <c r="L454" s="14" t="s">
        <v>1865</v>
      </c>
      <c r="M454" s="14" t="s">
        <v>9158</v>
      </c>
      <c r="N454" s="14" t="s">
        <v>9158</v>
      </c>
      <c r="O454" s="19" t="s">
        <v>2917</v>
      </c>
      <c r="P454" s="14" t="s">
        <v>2918</v>
      </c>
      <c r="Q454" s="14">
        <v>1</v>
      </c>
    </row>
    <row r="455" spans="1:17">
      <c r="A455" s="14">
        <v>84323</v>
      </c>
      <c r="B455" s="14" t="s">
        <v>0</v>
      </c>
      <c r="C455" s="14" t="s">
        <v>158</v>
      </c>
      <c r="D455" s="19" t="s">
        <v>10669</v>
      </c>
      <c r="E455" s="15" t="str">
        <f>HYPERLINK("https://stat100.ameba.jp/tnk47/ratio20/illustrations/card/ill_84323_kagizumebyakko03.jpg?202008-i_prefecture_active_userxx", "■")</f>
        <v>■</v>
      </c>
      <c r="F455" s="14" t="s">
        <v>7284</v>
      </c>
      <c r="G455" s="14">
        <v>132562</v>
      </c>
      <c r="H455" s="14">
        <v>96010</v>
      </c>
      <c r="I455" s="14">
        <v>26</v>
      </c>
      <c r="J455" s="14" t="s">
        <v>155</v>
      </c>
      <c r="K455" s="14" t="s">
        <v>7283</v>
      </c>
      <c r="L455" s="14" t="s">
        <v>7282</v>
      </c>
      <c r="M455" s="14" t="s">
        <v>9158</v>
      </c>
      <c r="N455" s="14" t="s">
        <v>9158</v>
      </c>
      <c r="O455" s="19" t="s">
        <v>10109</v>
      </c>
      <c r="P455" s="14" t="s">
        <v>3625</v>
      </c>
      <c r="Q455" s="14">
        <v>1</v>
      </c>
    </row>
    <row r="456" spans="1:17">
      <c r="A456" s="9">
        <v>71323</v>
      </c>
      <c r="B456" s="14" t="s">
        <v>0</v>
      </c>
      <c r="C456" s="14" t="s">
        <v>154</v>
      </c>
      <c r="D456" s="14" t="s">
        <v>1878</v>
      </c>
      <c r="E456" s="15" t="str">
        <f>HYPERLINK("https://stat100.ameba.jp/tnk47/ratio20/illustrations/card/ill_71323_kodanobu03.jpg?202008-i_prefecture_active_userxx", "■")</f>
        <v>■</v>
      </c>
      <c r="F456" s="14" t="s">
        <v>1879</v>
      </c>
      <c r="G456" s="14">
        <v>130000</v>
      </c>
      <c r="H456" s="14">
        <v>120874</v>
      </c>
      <c r="I456" s="14">
        <v>26</v>
      </c>
      <c r="J456" s="14" t="s">
        <v>16</v>
      </c>
      <c r="K456" s="14" t="s">
        <v>1880</v>
      </c>
      <c r="L456" s="14" t="s">
        <v>1881</v>
      </c>
      <c r="M456" s="14" t="s">
        <v>9158</v>
      </c>
      <c r="N456" s="14" t="s">
        <v>9158</v>
      </c>
      <c r="O456" s="17" t="s">
        <v>10055</v>
      </c>
      <c r="P456" s="14" t="s">
        <v>13124</v>
      </c>
      <c r="Q456" s="14">
        <v>1</v>
      </c>
    </row>
    <row r="457" spans="1:17">
      <c r="A457" s="9">
        <v>73913</v>
      </c>
      <c r="B457" s="14" t="s">
        <v>334</v>
      </c>
      <c r="C457" s="14" t="s">
        <v>154</v>
      </c>
      <c r="D457" s="14" t="s">
        <v>1206</v>
      </c>
      <c r="E457" s="15" t="str">
        <f>HYPERLINK("https://stat100.ameba.jp/tnk47/ratio20/illustrations/card/ill_73913_atsutajingu03.jpg?202008-i_prefecture_active_userxx", "■")</f>
        <v>■</v>
      </c>
      <c r="F457" s="14" t="s">
        <v>1207</v>
      </c>
      <c r="G457" s="14">
        <v>85962</v>
      </c>
      <c r="H457" s="14">
        <v>118684</v>
      </c>
      <c r="I457" s="14">
        <v>26</v>
      </c>
      <c r="J457" s="14" t="s">
        <v>44</v>
      </c>
      <c r="K457" s="14" t="s">
        <v>1208</v>
      </c>
      <c r="L457" s="14" t="s">
        <v>1209</v>
      </c>
      <c r="M457" s="14" t="s">
        <v>9158</v>
      </c>
      <c r="N457" s="14" t="s">
        <v>9158</v>
      </c>
      <c r="O457" s="17" t="s">
        <v>10053</v>
      </c>
      <c r="P457" s="14" t="s">
        <v>2822</v>
      </c>
      <c r="Q457" s="14">
        <v>1</v>
      </c>
    </row>
    <row r="458" spans="1:17">
      <c r="A458" s="14">
        <v>66353</v>
      </c>
      <c r="B458" s="14" t="s">
        <v>0</v>
      </c>
      <c r="C458" s="14" t="s">
        <v>41</v>
      </c>
      <c r="D458" s="14" t="s">
        <v>141</v>
      </c>
      <c r="E458" s="15" t="str">
        <f>HYPERLINK("https://stat100.ameba.jp/tnk47/ratio20/illustrations/card/ill_66353_kajiwaranyudotoan03.jpg?202008-i_prefecture_active_userxx", "■")</f>
        <v>■</v>
      </c>
      <c r="F458" s="14" t="s">
        <v>142</v>
      </c>
      <c r="G458" s="14">
        <v>172982</v>
      </c>
      <c r="H458" s="14">
        <v>125296</v>
      </c>
      <c r="I458" s="7">
        <v>26</v>
      </c>
      <c r="J458" s="14" t="s">
        <v>143</v>
      </c>
      <c r="K458" s="14" t="s">
        <v>144</v>
      </c>
      <c r="L458" s="14" t="s">
        <v>145</v>
      </c>
      <c r="M458" s="14" t="s">
        <v>9158</v>
      </c>
      <c r="N458" s="14" t="s">
        <v>9158</v>
      </c>
      <c r="O458" s="17" t="s">
        <v>10054</v>
      </c>
      <c r="P458" s="14" t="s">
        <v>3672</v>
      </c>
      <c r="Q458" s="14">
        <v>1</v>
      </c>
    </row>
    <row r="460" spans="1:17">
      <c r="A460" s="14" t="s">
        <v>14386</v>
      </c>
    </row>
    <row r="461" spans="1:17">
      <c r="A461" s="14" t="s">
        <v>14392</v>
      </c>
    </row>
    <row r="462" spans="1:17">
      <c r="A462" s="14" t="s">
        <v>5804</v>
      </c>
      <c r="B462" s="14" t="s">
        <v>52</v>
      </c>
      <c r="C462" s="14" t="s">
        <v>14</v>
      </c>
      <c r="D462" s="20" t="s">
        <v>3195</v>
      </c>
      <c r="E462" s="15" t="str">
        <f>HYPERLINK("https://stat100.ameba.jp/tnk47/ratio20/illustrations/card/ill_75393_0_resukuinotsukisamaniittausagi03.jpg?202008-i_prefecture_active_userxx", "■")</f>
        <v>■</v>
      </c>
      <c r="F462" s="14" t="s">
        <v>3248</v>
      </c>
      <c r="G462" s="14">
        <v>273368</v>
      </c>
      <c r="H462" s="14">
        <v>254160</v>
      </c>
      <c r="I462" s="14">
        <v>24</v>
      </c>
      <c r="J462" s="14" t="s">
        <v>26</v>
      </c>
      <c r="K462" s="14" t="s">
        <v>3249</v>
      </c>
      <c r="L462" s="14" t="s">
        <v>3250</v>
      </c>
      <c r="M462" s="14" t="s">
        <v>9158</v>
      </c>
      <c r="N462" s="14" t="s">
        <v>9158</v>
      </c>
      <c r="O462" s="19" t="s">
        <v>10101</v>
      </c>
      <c r="P462" s="14" t="s">
        <v>3251</v>
      </c>
      <c r="Q462" s="14">
        <v>2</v>
      </c>
    </row>
    <row r="463" spans="1:17">
      <c r="A463" s="14" t="s">
        <v>5901</v>
      </c>
      <c r="B463" s="14" t="s">
        <v>52</v>
      </c>
      <c r="C463" s="14" t="s">
        <v>101</v>
      </c>
      <c r="D463" s="20" t="s">
        <v>1426</v>
      </c>
      <c r="E463" s="15" t="str">
        <f>HYPERLINK("https://stat100.ameba.jp/tnk47/ratio20/illustrations/card/ill_64953_0_yukatatokugawayoshinobu03.jpg?202008-i_prefecture_active_userxx", "■")</f>
        <v>■</v>
      </c>
      <c r="F463" s="14" t="s">
        <v>2090</v>
      </c>
      <c r="G463" s="14">
        <v>149520</v>
      </c>
      <c r="H463" s="14">
        <v>160804</v>
      </c>
      <c r="I463" s="14">
        <v>24</v>
      </c>
      <c r="J463" s="14" t="s">
        <v>10</v>
      </c>
      <c r="K463" s="14" t="s">
        <v>2091</v>
      </c>
      <c r="L463" s="14" t="s">
        <v>2092</v>
      </c>
      <c r="M463" s="14" t="s">
        <v>9158</v>
      </c>
      <c r="N463" s="14" t="s">
        <v>9158</v>
      </c>
      <c r="O463" s="19" t="s">
        <v>2889</v>
      </c>
      <c r="P463" s="14" t="s">
        <v>2890</v>
      </c>
      <c r="Q463" s="14">
        <v>1</v>
      </c>
    </row>
    <row r="464" spans="1:17">
      <c r="A464" s="14" t="s">
        <v>5721</v>
      </c>
      <c r="B464" s="14" t="s">
        <v>52</v>
      </c>
      <c r="C464" s="14" t="s">
        <v>1</v>
      </c>
      <c r="D464" s="20" t="s">
        <v>513</v>
      </c>
      <c r="E464" s="15" t="str">
        <f>HYPERLINK("https://stat100.ameba.jp/tnk47/ratio20/illustrations/card/ill_44283_0_izumonokuni03.jpg?202008-i_prefecture_active_userxx", "■")</f>
        <v>■</v>
      </c>
      <c r="F464" s="14" t="s">
        <v>1716</v>
      </c>
      <c r="G464" s="14">
        <v>140448</v>
      </c>
      <c r="H464" s="14">
        <v>131538</v>
      </c>
      <c r="I464" s="14">
        <v>24</v>
      </c>
      <c r="J464" s="14" t="s">
        <v>16</v>
      </c>
      <c r="K464" s="14" t="s">
        <v>2254</v>
      </c>
      <c r="L464" s="14" t="s">
        <v>1718</v>
      </c>
      <c r="M464" s="14" t="s">
        <v>9158</v>
      </c>
      <c r="N464" s="14" t="s">
        <v>9158</v>
      </c>
      <c r="O464" s="14" t="s">
        <v>9158</v>
      </c>
      <c r="P464" s="14" t="s">
        <v>9158</v>
      </c>
      <c r="Q464" s="14" t="s">
        <v>9158</v>
      </c>
    </row>
    <row r="465" spans="1:17">
      <c r="A465" s="9">
        <v>55273</v>
      </c>
      <c r="B465" s="14" t="s">
        <v>0</v>
      </c>
      <c r="C465" s="14" t="s">
        <v>206</v>
      </c>
      <c r="D465" s="14" t="s">
        <v>4741</v>
      </c>
      <c r="E465" s="15" t="str">
        <f>HYPERLINK("https://stat100.ameba.jp/tnk47/ratio20/illustrations/card/ill_55273_harointachibanamuneshige03.jpg?202008-i_prefecture_active_userxx", "■")</f>
        <v>■</v>
      </c>
      <c r="F465" s="14" t="s">
        <v>4742</v>
      </c>
      <c r="G465" s="14">
        <v>93172</v>
      </c>
      <c r="H465" s="14">
        <v>154128</v>
      </c>
      <c r="I465" s="14">
        <v>26</v>
      </c>
      <c r="J465" s="14" t="s">
        <v>143</v>
      </c>
      <c r="K465" s="14" t="s">
        <v>4743</v>
      </c>
      <c r="L465" s="14" t="s">
        <v>4744</v>
      </c>
      <c r="M465" s="14" t="s">
        <v>9158</v>
      </c>
      <c r="N465" s="14" t="s">
        <v>9158</v>
      </c>
      <c r="O465" s="9" t="s">
        <v>4745</v>
      </c>
      <c r="P465" s="14" t="s">
        <v>13145</v>
      </c>
      <c r="Q465" s="14">
        <v>1</v>
      </c>
    </row>
    <row r="466" spans="1:17">
      <c r="A466" s="14">
        <v>50853</v>
      </c>
      <c r="B466" s="14" t="s">
        <v>15</v>
      </c>
      <c r="C466" s="14" t="s">
        <v>14306</v>
      </c>
      <c r="D466" s="14" t="s">
        <v>14400</v>
      </c>
      <c r="E466" s="15" t="str">
        <f>HYPERLINK("https://stat100.ameba.jp/tnk47/ratio20/illustrations/card/ill_50853_hanamizugiiwashichan03.jpg?202008-i_prefecture_active_userxx", "■")</f>
        <v>■</v>
      </c>
      <c r="F466" s="14" t="s">
        <v>14399</v>
      </c>
      <c r="G466" s="14">
        <v>77064</v>
      </c>
      <c r="H466" s="14">
        <v>69898</v>
      </c>
      <c r="I466" s="14">
        <v>26</v>
      </c>
      <c r="J466" s="14" t="s">
        <v>14354</v>
      </c>
      <c r="K466" s="14" t="s">
        <v>14398</v>
      </c>
      <c r="L466" s="14" t="s">
        <v>14397</v>
      </c>
      <c r="M466" s="14" t="s">
        <v>9158</v>
      </c>
      <c r="N466" s="14" t="s">
        <v>9158</v>
      </c>
      <c r="O466" s="14" t="s">
        <v>9158</v>
      </c>
      <c r="P466" s="14" t="s">
        <v>9158</v>
      </c>
      <c r="Q466" s="14" t="s">
        <v>9158</v>
      </c>
    </row>
    <row r="467" spans="1:17">
      <c r="A467" s="14">
        <v>54703</v>
      </c>
      <c r="B467" s="14" t="s">
        <v>22</v>
      </c>
      <c r="C467" s="14" t="s">
        <v>14300</v>
      </c>
      <c r="D467" s="14" t="s">
        <v>14396</v>
      </c>
      <c r="E467" s="15" t="str">
        <f>HYPERLINK("https://stat100.ameba.jp/tnk47/ratio20/illustrations/card/ill_54703_shinseitoyokebimenomikoto03.jpg?202008-i_prefecture_active_userxx", "■")</f>
        <v>■</v>
      </c>
      <c r="F467" s="14" t="s">
        <v>14395</v>
      </c>
      <c r="G467" s="14">
        <v>54058</v>
      </c>
      <c r="H467" s="14">
        <v>44948</v>
      </c>
      <c r="I467" s="14">
        <v>26</v>
      </c>
      <c r="J467" s="14" t="s">
        <v>14278</v>
      </c>
      <c r="K467" s="14" t="s">
        <v>14394</v>
      </c>
      <c r="L467" s="14" t="s">
        <v>14393</v>
      </c>
      <c r="M467" s="14" t="s">
        <v>9158</v>
      </c>
      <c r="N467" s="14" t="s">
        <v>9158</v>
      </c>
      <c r="O467" s="14" t="s">
        <v>9158</v>
      </c>
      <c r="P467" s="14" t="s">
        <v>9158</v>
      </c>
      <c r="Q467" s="14" t="s">
        <v>9158</v>
      </c>
    </row>
    <row r="468" spans="1:17">
      <c r="A468" s="14">
        <v>82633</v>
      </c>
      <c r="B468" s="14" t="s">
        <v>22</v>
      </c>
      <c r="C468" s="14" t="s">
        <v>1</v>
      </c>
      <c r="D468" s="19" t="s">
        <v>10356</v>
      </c>
      <c r="E468" s="15" t="str">
        <f>HYPERLINK("https://stat100.ameba.jp/tnk47/ratio20/illustrations/card/ill_82633_umimonogataritsuruhime03.jpg?202008-i_prefecture_active_userxx", "■")</f>
        <v>■</v>
      </c>
      <c r="F468" s="14" t="s">
        <v>5547</v>
      </c>
      <c r="G468" s="14">
        <v>44948</v>
      </c>
      <c r="H468" s="14">
        <v>54058</v>
      </c>
      <c r="I468" s="14">
        <v>26</v>
      </c>
      <c r="J468" s="14" t="s">
        <v>38</v>
      </c>
      <c r="K468" s="14" t="s">
        <v>5549</v>
      </c>
      <c r="L468" s="14" t="s">
        <v>2015</v>
      </c>
      <c r="M468" s="14" t="s">
        <v>9158</v>
      </c>
      <c r="N468" s="14" t="s">
        <v>9158</v>
      </c>
      <c r="O468" s="14" t="s">
        <v>9158</v>
      </c>
      <c r="P468" s="14" t="s">
        <v>9158</v>
      </c>
      <c r="Q468" s="14" t="s">
        <v>9158</v>
      </c>
    </row>
    <row r="470" spans="1:17">
      <c r="A470" s="14" t="s">
        <v>3916</v>
      </c>
    </row>
    <row r="471" spans="1:17">
      <c r="A471" s="14" t="s">
        <v>14401</v>
      </c>
    </row>
    <row r="472" spans="1:17">
      <c r="A472" s="14">
        <v>62203</v>
      </c>
      <c r="B472" s="14" t="s">
        <v>334</v>
      </c>
      <c r="C472" s="14" t="s">
        <v>154</v>
      </c>
      <c r="D472" s="20" t="s">
        <v>3039</v>
      </c>
      <c r="E472" s="15" t="str">
        <f>HYPERLINK("https://stat100.ameba.jp/tnk47/ratio20/illustrations/card/ill_62203_keishoimmasahime03.jpg?202008-i_prefecture_active_userxx", "■")</f>
        <v>■</v>
      </c>
      <c r="F472" s="14" t="s">
        <v>2261</v>
      </c>
      <c r="G472" s="14">
        <v>108276</v>
      </c>
      <c r="H472" s="14">
        <v>116452</v>
      </c>
      <c r="I472" s="14">
        <v>27</v>
      </c>
      <c r="J472" s="14" t="s">
        <v>77</v>
      </c>
      <c r="K472" s="14" t="s">
        <v>2262</v>
      </c>
      <c r="L472" s="14" t="s">
        <v>2263</v>
      </c>
      <c r="M472" s="14" t="s">
        <v>9158</v>
      </c>
      <c r="N472" s="14" t="s">
        <v>9158</v>
      </c>
      <c r="O472" s="14" t="s">
        <v>9158</v>
      </c>
      <c r="P472" s="14" t="s">
        <v>9158</v>
      </c>
      <c r="Q472" s="14" t="s">
        <v>9158</v>
      </c>
    </row>
    <row r="473" spans="1:17">
      <c r="A473" s="14">
        <v>69723</v>
      </c>
      <c r="B473" s="14" t="s">
        <v>334</v>
      </c>
      <c r="C473" s="14" t="s">
        <v>158</v>
      </c>
      <c r="D473" s="20" t="s">
        <v>3042</v>
      </c>
      <c r="E473" s="15" t="str">
        <f>HYPERLINK("https://stat100.ameba.jp/tnk47/ratio20/illustrations/card/ill_69723_nakaurajurian03.jpg?202008-i_prefecture_active_userxx", "■")</f>
        <v>■</v>
      </c>
      <c r="F473" s="14" t="s">
        <v>2257</v>
      </c>
      <c r="G473" s="14">
        <v>108276</v>
      </c>
      <c r="H473" s="14">
        <v>116452</v>
      </c>
      <c r="I473" s="14">
        <v>27</v>
      </c>
      <c r="J473" s="14" t="s">
        <v>173</v>
      </c>
      <c r="K473" s="14" t="s">
        <v>2258</v>
      </c>
      <c r="L473" s="14" t="s">
        <v>2259</v>
      </c>
      <c r="M473" s="14" t="s">
        <v>9158</v>
      </c>
      <c r="N473" s="14" t="s">
        <v>9158</v>
      </c>
      <c r="O473" s="14" t="s">
        <v>9158</v>
      </c>
      <c r="P473" s="14" t="s">
        <v>9158</v>
      </c>
      <c r="Q473" s="14" t="s">
        <v>9158</v>
      </c>
    </row>
    <row r="474" spans="1:17">
      <c r="A474" s="14">
        <v>76483</v>
      </c>
      <c r="B474" s="14" t="s">
        <v>334</v>
      </c>
      <c r="C474" s="14" t="s">
        <v>307</v>
      </c>
      <c r="D474" s="20" t="s">
        <v>589</v>
      </c>
      <c r="E474" s="15" t="str">
        <f>HYPERLINK("https://stat100.ameba.jp/tnk47/ratio20/illustrations/card/ill_76483_yukemurimizuhanome03.jpg?202008-i_prefecture_active_userxx", "■")</f>
        <v>■</v>
      </c>
      <c r="F474" s="14" t="s">
        <v>590</v>
      </c>
      <c r="G474" s="14">
        <v>110129</v>
      </c>
      <c r="H474" s="14">
        <v>102386</v>
      </c>
      <c r="I474" s="14">
        <v>27</v>
      </c>
      <c r="J474" s="14" t="s">
        <v>401</v>
      </c>
      <c r="K474" s="14" t="s">
        <v>591</v>
      </c>
      <c r="L474" s="14" t="s">
        <v>592</v>
      </c>
      <c r="M474" s="14" t="s">
        <v>9158</v>
      </c>
      <c r="N474" s="14" t="s">
        <v>9158</v>
      </c>
      <c r="O474" s="14" t="s">
        <v>9158</v>
      </c>
      <c r="P474" s="14" t="s">
        <v>9158</v>
      </c>
      <c r="Q474" s="14" t="s">
        <v>9158</v>
      </c>
    </row>
    <row r="475" spans="1:17">
      <c r="A475" s="14">
        <v>70023</v>
      </c>
      <c r="B475" s="14" t="s">
        <v>334</v>
      </c>
      <c r="C475" s="14" t="s">
        <v>344</v>
      </c>
      <c r="D475" s="20" t="s">
        <v>10230</v>
      </c>
      <c r="E475" s="15" t="str">
        <f>HYPERLINK("https://stat100.ameba.jp/tnk47/ratio20/illustrations/card/ill_70023_yukinoukokunabeshimanobakeneko03.jpg?202008-i_prefecture_active_userxx", "■")</f>
        <v>■</v>
      </c>
      <c r="F475" s="14" t="s">
        <v>769</v>
      </c>
      <c r="G475" s="14">
        <v>104619</v>
      </c>
      <c r="H475" s="14">
        <v>112496</v>
      </c>
      <c r="I475" s="14">
        <v>27</v>
      </c>
      <c r="J475" s="14" t="s">
        <v>320</v>
      </c>
      <c r="K475" s="14" t="s">
        <v>770</v>
      </c>
      <c r="L475" s="14" t="s">
        <v>771</v>
      </c>
      <c r="M475" s="14" t="s">
        <v>9158</v>
      </c>
      <c r="N475" s="14" t="s">
        <v>9158</v>
      </c>
      <c r="O475" s="14" t="s">
        <v>9158</v>
      </c>
      <c r="P475" s="14" t="s">
        <v>9158</v>
      </c>
      <c r="Q475" s="14" t="s">
        <v>9158</v>
      </c>
    </row>
    <row r="476" spans="1:17">
      <c r="A476" s="14">
        <v>52733</v>
      </c>
      <c r="B476" s="14" t="s">
        <v>15</v>
      </c>
      <c r="C476" s="14" t="s">
        <v>185</v>
      </c>
      <c r="D476" s="20" t="s">
        <v>10491</v>
      </c>
      <c r="E476" s="15" t="str">
        <f>HYPERLINK("https://stat100.ameba.jp/tnk47/ratio20/illustrations/card/ill_52733_sekkinambutsuruhime03.jpg?202008-i_prefecture_active_userxx", "■")</f>
        <v>■</v>
      </c>
      <c r="F476" s="14" t="s">
        <v>6246</v>
      </c>
      <c r="G476" s="14">
        <v>59144</v>
      </c>
      <c r="H476" s="14">
        <v>65208</v>
      </c>
      <c r="I476" s="14">
        <v>22</v>
      </c>
      <c r="J476" s="14" t="s">
        <v>77</v>
      </c>
      <c r="K476" s="14" t="s">
        <v>6248</v>
      </c>
      <c r="L476" s="14" t="s">
        <v>6249</v>
      </c>
      <c r="M476" s="14" t="s">
        <v>9158</v>
      </c>
      <c r="N476" s="14" t="s">
        <v>9158</v>
      </c>
      <c r="O476" s="14" t="s">
        <v>9158</v>
      </c>
      <c r="P476" s="14" t="s">
        <v>9158</v>
      </c>
      <c r="Q476" s="14" t="s">
        <v>9158</v>
      </c>
    </row>
    <row r="477" spans="1:17">
      <c r="A477" s="14">
        <v>54003</v>
      </c>
      <c r="B477" s="14" t="s">
        <v>15</v>
      </c>
      <c r="C477" s="14" t="s">
        <v>200</v>
      </c>
      <c r="D477" s="20" t="s">
        <v>10492</v>
      </c>
      <c r="E477" s="15" t="str">
        <f>HYPERLINK("https://stat100.ameba.jp/tnk47/ratio20/illustrations/card/ill_54003_seiryumegurihiguchiichiyo03.jpg?202008-i_prefecture_active_userxx", "■")</f>
        <v>■</v>
      </c>
      <c r="F477" s="14" t="s">
        <v>6250</v>
      </c>
      <c r="G477" s="14">
        <v>65208</v>
      </c>
      <c r="H477" s="14">
        <v>59144</v>
      </c>
      <c r="I477" s="14">
        <v>22</v>
      </c>
      <c r="J477" s="14" t="s">
        <v>10</v>
      </c>
      <c r="K477" s="14" t="s">
        <v>6252</v>
      </c>
      <c r="L477" s="14" t="s">
        <v>6253</v>
      </c>
      <c r="M477" s="14" t="s">
        <v>9158</v>
      </c>
      <c r="N477" s="14" t="s">
        <v>9158</v>
      </c>
      <c r="O477" s="14" t="s">
        <v>9158</v>
      </c>
      <c r="P477" s="14" t="s">
        <v>9158</v>
      </c>
      <c r="Q477" s="14" t="s">
        <v>9158</v>
      </c>
    </row>
    <row r="478" spans="1:17">
      <c r="A478" s="14">
        <v>51833</v>
      </c>
      <c r="B478" s="14" t="s">
        <v>15</v>
      </c>
      <c r="C478" s="14" t="s">
        <v>205</v>
      </c>
      <c r="D478" s="20" t="s">
        <v>10493</v>
      </c>
      <c r="E478" s="15" t="str">
        <f>HYPERLINK("https://stat100.ameba.jp/tnk47/ratio20/illustrations/card/ill_51833_jukimakitsuhikonomikoto03.jpg?202008-i_prefecture_active_userxx", "■")</f>
        <v>■</v>
      </c>
      <c r="F478" s="14" t="s">
        <v>6254</v>
      </c>
      <c r="G478" s="14">
        <v>65208</v>
      </c>
      <c r="H478" s="14">
        <v>59144</v>
      </c>
      <c r="I478" s="14">
        <v>22</v>
      </c>
      <c r="J478" s="14" t="s">
        <v>44</v>
      </c>
      <c r="K478" s="14" t="s">
        <v>6257</v>
      </c>
      <c r="L478" s="14" t="s">
        <v>6256</v>
      </c>
      <c r="M478" s="14" t="s">
        <v>9158</v>
      </c>
      <c r="N478" s="14" t="s">
        <v>9158</v>
      </c>
      <c r="O478" s="14" t="s">
        <v>9158</v>
      </c>
      <c r="P478" s="14" t="s">
        <v>9158</v>
      </c>
      <c r="Q478" s="14" t="s">
        <v>9158</v>
      </c>
    </row>
    <row r="479" spans="1:17">
      <c r="A479" s="14">
        <v>53203</v>
      </c>
      <c r="B479" s="14" t="s">
        <v>15</v>
      </c>
      <c r="C479" s="14" t="s">
        <v>165</v>
      </c>
      <c r="D479" s="20" t="s">
        <v>10494</v>
      </c>
      <c r="E479" s="15" t="str">
        <f>HYPERLINK("https://stat100.ameba.jp/tnk47/ratio20/illustrations/card/ill_53203_buruhawaichan03.jpg?202008-i_prefecture_active_userxx", "■")</f>
        <v>■</v>
      </c>
      <c r="F479" s="14" t="s">
        <v>6258</v>
      </c>
      <c r="G479" s="14">
        <v>59144</v>
      </c>
      <c r="H479" s="14">
        <v>65208</v>
      </c>
      <c r="I479" s="14">
        <v>22</v>
      </c>
      <c r="J479" s="14" t="s">
        <v>104</v>
      </c>
      <c r="K479" s="14" t="s">
        <v>6261</v>
      </c>
      <c r="L479" s="14" t="s">
        <v>6260</v>
      </c>
      <c r="M479" s="14" t="s">
        <v>9158</v>
      </c>
      <c r="N479" s="14" t="s">
        <v>9158</v>
      </c>
      <c r="O479" s="14" t="s">
        <v>9158</v>
      </c>
      <c r="P479" s="14" t="s">
        <v>9158</v>
      </c>
      <c r="Q479" s="14" t="s">
        <v>9158</v>
      </c>
    </row>
    <row r="481" spans="1:17">
      <c r="A481" s="14" t="s">
        <v>14402</v>
      </c>
    </row>
    <row r="482" spans="1:17">
      <c r="A482" s="14" t="s">
        <v>14404</v>
      </c>
    </row>
    <row r="483" spans="1:17">
      <c r="A483" s="14" t="s">
        <v>14403</v>
      </c>
    </row>
    <row r="484" spans="1:17">
      <c r="A484" s="14" t="s">
        <v>13442</v>
      </c>
      <c r="B484" s="7" t="s">
        <v>52</v>
      </c>
      <c r="C484" s="14" t="s">
        <v>202</v>
      </c>
      <c r="D484" s="18" t="s">
        <v>13441</v>
      </c>
      <c r="E484" s="15" t="str">
        <f>HYPERLINK("https://stat100.ameba.jp/tnk47/ratio20/illustrations/card/ill_90393_0_nangokubakansusanukiudonchan03.jpg?202008-i_prefecture_active_userxx", "■")</f>
        <v>■</v>
      </c>
      <c r="F484" s="14" t="s">
        <v>13443</v>
      </c>
      <c r="G484" s="14">
        <v>281517</v>
      </c>
      <c r="H484" s="14">
        <v>344095</v>
      </c>
      <c r="I484" s="7">
        <v>27</v>
      </c>
      <c r="J484" s="14" t="s">
        <v>104</v>
      </c>
      <c r="K484" s="14" t="s">
        <v>13444</v>
      </c>
      <c r="L484" s="14" t="s">
        <v>13445</v>
      </c>
      <c r="M484" s="14" t="s">
        <v>9158</v>
      </c>
      <c r="N484" s="14" t="s">
        <v>9158</v>
      </c>
      <c r="O484" s="6" t="s">
        <v>13446</v>
      </c>
      <c r="P484" s="7" t="s">
        <v>13447</v>
      </c>
      <c r="Q484" s="7">
        <v>1</v>
      </c>
    </row>
    <row r="485" spans="1:17">
      <c r="A485" s="14">
        <v>90793</v>
      </c>
      <c r="B485" s="14" t="s">
        <v>0</v>
      </c>
      <c r="C485" s="14" t="s">
        <v>14312</v>
      </c>
      <c r="D485" s="14" t="s">
        <v>14411</v>
      </c>
      <c r="E485" s="15" t="str">
        <f>HYPERLINK("https://stat100.ameba.jp/tnk47/ratio20/illustrations/card/ill_90793_suitsuzammaininko03.jpg?202008-i_prefecture_active_userxx", "■")</f>
        <v>■</v>
      </c>
      <c r="F485" s="14" t="s">
        <v>14410</v>
      </c>
      <c r="G485" s="14">
        <v>118568</v>
      </c>
      <c r="H485" s="14">
        <v>127507</v>
      </c>
      <c r="I485" s="7">
        <v>27</v>
      </c>
      <c r="J485" s="14" t="s">
        <v>14409</v>
      </c>
      <c r="K485" s="14" t="s">
        <v>14408</v>
      </c>
      <c r="L485" s="14" t="s">
        <v>14407</v>
      </c>
      <c r="M485" s="14" t="s">
        <v>9158</v>
      </c>
      <c r="N485" s="14" t="s">
        <v>9158</v>
      </c>
      <c r="O485" s="14" t="s">
        <v>9158</v>
      </c>
      <c r="P485" s="14" t="s">
        <v>9158</v>
      </c>
      <c r="Q485" s="14" t="s">
        <v>9158</v>
      </c>
    </row>
    <row r="486" spans="1:17">
      <c r="A486" s="14">
        <v>90803</v>
      </c>
      <c r="B486" s="14" t="s">
        <v>0</v>
      </c>
      <c r="C486" s="14" t="s">
        <v>14357</v>
      </c>
      <c r="D486" s="14" t="s">
        <v>14415</v>
      </c>
      <c r="E486" s="15" t="str">
        <f>HYPERLINK("https://stat100.ameba.jp/tnk47/ratio20/illustrations/card/ill_90803_natsumatsurijingukogo03.jpg?202008-i_prefecture_active_userxx", "■")</f>
        <v>■</v>
      </c>
      <c r="F486" s="14" t="s">
        <v>14414</v>
      </c>
      <c r="G486" s="14">
        <v>105465</v>
      </c>
      <c r="H486" s="14">
        <v>98019</v>
      </c>
      <c r="I486" s="7">
        <v>27</v>
      </c>
      <c r="J486" s="14" t="s">
        <v>14285</v>
      </c>
      <c r="K486" s="14" t="s">
        <v>14413</v>
      </c>
      <c r="L486" s="14" t="s">
        <v>14412</v>
      </c>
      <c r="M486" s="14" t="s">
        <v>9158</v>
      </c>
      <c r="N486" s="14" t="s">
        <v>9158</v>
      </c>
      <c r="O486" s="14" t="s">
        <v>9158</v>
      </c>
      <c r="P486" s="14" t="s">
        <v>9158</v>
      </c>
      <c r="Q486" s="14" t="s">
        <v>9158</v>
      </c>
    </row>
    <row r="487" spans="1:17">
      <c r="A487" s="14">
        <v>90813</v>
      </c>
      <c r="B487" s="14" t="s">
        <v>15</v>
      </c>
      <c r="C487" s="14" t="s">
        <v>14300</v>
      </c>
      <c r="D487" s="14" t="s">
        <v>14419</v>
      </c>
      <c r="E487" s="15" t="str">
        <f>HYPERLINK("https://stat100.ameba.jp/tnk47/ratio20/illustrations/card/ill_90813_meidohinotomiko03.jpg?202008-i_prefecture_active_userxx", "■")</f>
        <v>■</v>
      </c>
      <c r="F487" s="14" t="s">
        <v>14418</v>
      </c>
      <c r="G487" s="14">
        <v>72586</v>
      </c>
      <c r="H487" s="14">
        <v>80028</v>
      </c>
      <c r="I487" s="7">
        <v>27</v>
      </c>
      <c r="J487" s="14" t="s">
        <v>14303</v>
      </c>
      <c r="K487" s="14" t="s">
        <v>14417</v>
      </c>
      <c r="L487" s="14" t="s">
        <v>14416</v>
      </c>
      <c r="M487" s="14" t="s">
        <v>9158</v>
      </c>
      <c r="N487" s="14" t="s">
        <v>9158</v>
      </c>
      <c r="O487" s="14" t="s">
        <v>9158</v>
      </c>
      <c r="P487" s="14" t="s">
        <v>9158</v>
      </c>
      <c r="Q487" s="14" t="s">
        <v>9158</v>
      </c>
    </row>
    <row r="488" spans="1:17">
      <c r="A488" s="14">
        <v>90823</v>
      </c>
      <c r="B488" s="14" t="s">
        <v>14405</v>
      </c>
      <c r="C488" s="14" t="s">
        <v>14306</v>
      </c>
      <c r="D488" s="14" t="s">
        <v>14423</v>
      </c>
      <c r="E488" s="15" t="str">
        <f>HYPERLINK("https://stat100.ameba.jp/tnk47/ratio20/illustrations/card/ill_90823_korakufumakotaro03.jpg?202008-i_prefecture_active_userxx", "■")</f>
        <v>■</v>
      </c>
      <c r="F488" s="14" t="s">
        <v>14422</v>
      </c>
      <c r="G488" s="14">
        <v>56138</v>
      </c>
      <c r="H488" s="14">
        <v>46676</v>
      </c>
      <c r="I488" s="7">
        <v>27</v>
      </c>
      <c r="J488" s="14" t="s">
        <v>14297</v>
      </c>
      <c r="K488" s="14" t="s">
        <v>14421</v>
      </c>
      <c r="L488" s="14" t="s">
        <v>14420</v>
      </c>
      <c r="M488" s="14" t="s">
        <v>9158</v>
      </c>
      <c r="N488" s="14" t="s">
        <v>9158</v>
      </c>
      <c r="O488" s="14" t="s">
        <v>9158</v>
      </c>
      <c r="P488" s="14" t="s">
        <v>9158</v>
      </c>
      <c r="Q488" s="14" t="s">
        <v>9158</v>
      </c>
    </row>
    <row r="489" spans="1:17">
      <c r="A489" s="14">
        <v>90833</v>
      </c>
      <c r="B489" s="14" t="s">
        <v>14405</v>
      </c>
      <c r="C489" s="14" t="s">
        <v>14428</v>
      </c>
      <c r="D489" s="14" t="s">
        <v>14427</v>
      </c>
      <c r="E489" s="15" t="str">
        <f>HYPERLINK("https://stat100.ameba.jp/tnk47/ratio20/illustrations/card/ill_90833_yubarimeronsan03.jpg?202008-i_prefecture_active_userxx", "■")</f>
        <v>■</v>
      </c>
      <c r="F489" s="14" t="s">
        <v>14426</v>
      </c>
      <c r="G489" s="14">
        <v>46676</v>
      </c>
      <c r="H489" s="14">
        <v>56138</v>
      </c>
      <c r="I489" s="7">
        <v>27</v>
      </c>
      <c r="J489" s="14" t="s">
        <v>14354</v>
      </c>
      <c r="K489" s="14" t="s">
        <v>14425</v>
      </c>
      <c r="L489" s="14" t="s">
        <v>14424</v>
      </c>
      <c r="M489" s="14" t="s">
        <v>9158</v>
      </c>
      <c r="N489" s="14" t="s">
        <v>9158</v>
      </c>
      <c r="O489" s="14" t="s">
        <v>9158</v>
      </c>
      <c r="P489" s="14" t="s">
        <v>9158</v>
      </c>
      <c r="Q489" s="14" t="s">
        <v>9158</v>
      </c>
    </row>
    <row r="491" spans="1:17">
      <c r="A491" s="14" t="s">
        <v>204</v>
      </c>
      <c r="D491" s="7"/>
    </row>
    <row r="492" spans="1:17">
      <c r="A492" s="14" t="s">
        <v>14406</v>
      </c>
      <c r="D492" s="7"/>
    </row>
    <row r="493" spans="1:17">
      <c r="A493" s="14" t="s">
        <v>5843</v>
      </c>
      <c r="B493" s="14" t="s">
        <v>52</v>
      </c>
      <c r="C493" s="14" t="s">
        <v>202</v>
      </c>
      <c r="D493" s="19" t="s">
        <v>10291</v>
      </c>
      <c r="E493" s="15" t="str">
        <f>HYPERLINK("https://stat100.ameba.jp/tnk47/ratio20/illustrations/card/ill_77963_0_kurisumasudaisakusentakiyashahime03.jpg?202008-i_prefecture_active_userxx", "■")</f>
        <v>■</v>
      </c>
      <c r="F493" s="14" t="s">
        <v>2127</v>
      </c>
      <c r="G493" s="14">
        <v>270184</v>
      </c>
      <c r="H493" s="14">
        <v>244188</v>
      </c>
      <c r="I493" s="14">
        <v>22</v>
      </c>
      <c r="J493" s="14" t="s">
        <v>77</v>
      </c>
      <c r="K493" s="14" t="s">
        <v>2128</v>
      </c>
      <c r="L493" s="14" t="s">
        <v>2129</v>
      </c>
      <c r="M493" s="14" t="s">
        <v>9158</v>
      </c>
      <c r="N493" s="14" t="s">
        <v>9158</v>
      </c>
      <c r="O493" s="19" t="s">
        <v>10107</v>
      </c>
      <c r="P493" s="14" t="s">
        <v>3589</v>
      </c>
      <c r="Q493" s="14">
        <v>2</v>
      </c>
    </row>
    <row r="494" spans="1:17">
      <c r="A494" s="14" t="s">
        <v>5607</v>
      </c>
      <c r="B494" s="14" t="s">
        <v>330</v>
      </c>
      <c r="C494" s="14" t="s">
        <v>200</v>
      </c>
      <c r="D494" s="19" t="s">
        <v>421</v>
      </c>
      <c r="E494" s="15" t="str">
        <f>HYPERLINK("https://stat100.ameba.jp/tnk47/ratio20/illustrations/card/ill_58853_0_setsubumpanikkuhiratsukaraicho03.jpg?202008-i_prefecture_active_userxx", "■")</f>
        <v>■</v>
      </c>
      <c r="F494" s="14" t="s">
        <v>1040</v>
      </c>
      <c r="G494" s="14">
        <v>138212</v>
      </c>
      <c r="H494" s="14">
        <v>122776</v>
      </c>
      <c r="I494" s="14">
        <v>22</v>
      </c>
      <c r="J494" s="14" t="s">
        <v>16</v>
      </c>
      <c r="K494" s="14" t="s">
        <v>1041</v>
      </c>
      <c r="L494" s="14" t="s">
        <v>1042</v>
      </c>
      <c r="M494" s="14" t="s">
        <v>9158</v>
      </c>
      <c r="N494" s="14" t="s">
        <v>9158</v>
      </c>
      <c r="O494" s="6" t="s">
        <v>10059</v>
      </c>
      <c r="P494" s="14" t="s">
        <v>2870</v>
      </c>
      <c r="Q494" s="14">
        <v>1</v>
      </c>
    </row>
    <row r="495" spans="1:17">
      <c r="A495" s="14" t="s">
        <v>5604</v>
      </c>
      <c r="B495" s="14" t="s">
        <v>330</v>
      </c>
      <c r="C495" s="14" t="s">
        <v>206</v>
      </c>
      <c r="D495" s="19" t="s">
        <v>614</v>
      </c>
      <c r="E495" s="15" t="str">
        <f>HYPERLINK("https://stat100.ameba.jp/tnk47/ratio20/illustrations/card/ill_47263_0_oukyuuatsuhime03.jpg?202008-i_prefecture_active_userxx", "■")</f>
        <v>■</v>
      </c>
      <c r="F495" s="14" t="s">
        <v>615</v>
      </c>
      <c r="G495" s="14">
        <v>138212</v>
      </c>
      <c r="H495" s="14">
        <v>122776</v>
      </c>
      <c r="I495" s="14">
        <v>22</v>
      </c>
      <c r="J495" s="14" t="s">
        <v>315</v>
      </c>
      <c r="K495" s="14" t="s">
        <v>616</v>
      </c>
      <c r="L495" s="14" t="s">
        <v>617</v>
      </c>
      <c r="M495" s="14" t="s">
        <v>9158</v>
      </c>
      <c r="N495" s="14" t="s">
        <v>9158</v>
      </c>
      <c r="O495" s="14" t="s">
        <v>9158</v>
      </c>
      <c r="P495" s="14" t="s">
        <v>9158</v>
      </c>
      <c r="Q495" s="14" t="s">
        <v>9158</v>
      </c>
    </row>
    <row r="496" spans="1:17">
      <c r="A496" s="14">
        <v>85883</v>
      </c>
      <c r="B496" s="14" t="s">
        <v>334</v>
      </c>
      <c r="C496" s="14" t="s">
        <v>206</v>
      </c>
      <c r="D496" s="20" t="s">
        <v>10866</v>
      </c>
      <c r="E496" s="15" t="str">
        <f>HYPERLINK("https://stat100.ameba.jp/tnk47/ratio20/illustrations/card/ill_85883_omochapapettomasuta03.jpg?202008-i_prefecture_active_userxx", "■")</f>
        <v>■</v>
      </c>
      <c r="F496" s="14" t="s">
        <v>8718</v>
      </c>
      <c r="G496" s="14">
        <v>130214</v>
      </c>
      <c r="H496" s="14">
        <v>73270</v>
      </c>
      <c r="I496" s="14">
        <v>27</v>
      </c>
      <c r="J496" s="14" t="s">
        <v>10</v>
      </c>
      <c r="K496" s="14" t="s">
        <v>8717</v>
      </c>
      <c r="L496" s="14" t="s">
        <v>60</v>
      </c>
      <c r="M496" s="14" t="s">
        <v>9158</v>
      </c>
      <c r="N496" s="14" t="s">
        <v>9158</v>
      </c>
      <c r="O496" s="14" t="s">
        <v>9158</v>
      </c>
      <c r="P496" s="14" t="s">
        <v>9158</v>
      </c>
      <c r="Q496" s="14" t="s">
        <v>9158</v>
      </c>
    </row>
    <row r="497" spans="1:17">
      <c r="A497" s="9">
        <v>53033</v>
      </c>
      <c r="B497" s="14" t="s">
        <v>334</v>
      </c>
      <c r="C497" s="14" t="s">
        <v>205</v>
      </c>
      <c r="D497" s="14" t="s">
        <v>2227</v>
      </c>
      <c r="E497" s="15" t="str">
        <f>HYPERLINK("https://stat100.ameba.jp/tnk47/ratio20/illustrations/card/ill_53033_sogomasayasu03.jpg?202008-i_prefecture_active_userxx", "■")</f>
        <v>■</v>
      </c>
      <c r="F497" s="14" t="s">
        <v>2228</v>
      </c>
      <c r="G497" s="14">
        <v>160055</v>
      </c>
      <c r="H497" s="14">
        <v>96756</v>
      </c>
      <c r="I497" s="14">
        <v>27</v>
      </c>
      <c r="J497" s="14" t="s">
        <v>143</v>
      </c>
      <c r="K497" s="14" t="s">
        <v>2229</v>
      </c>
      <c r="L497" s="14" t="s">
        <v>2230</v>
      </c>
      <c r="M497" s="14" t="s">
        <v>9158</v>
      </c>
      <c r="N497" s="14" t="s">
        <v>9158</v>
      </c>
      <c r="O497" s="14" t="s">
        <v>9158</v>
      </c>
      <c r="P497" s="14" t="s">
        <v>9158</v>
      </c>
      <c r="Q497" s="14" t="s">
        <v>9158</v>
      </c>
    </row>
    <row r="498" spans="1:17">
      <c r="A498" s="9">
        <v>87893</v>
      </c>
      <c r="B498" s="9" t="s">
        <v>0</v>
      </c>
      <c r="C498" s="9" t="s">
        <v>191</v>
      </c>
      <c r="D498" s="9" t="s">
        <v>11525</v>
      </c>
      <c r="E498" s="15" t="str">
        <f>HYPERLINK("https://stat100.ameba.jp/tnk47/ratio20/illustrations/card/ill_87893_ginyushijinoreiria03.jpg?202008-i_prefecture_active_userxx", "■")</f>
        <v>■</v>
      </c>
      <c r="F498" s="9" t="s">
        <v>11526</v>
      </c>
      <c r="G498" s="9">
        <v>110129</v>
      </c>
      <c r="H498" s="9">
        <v>102386</v>
      </c>
      <c r="I498" s="9">
        <v>27</v>
      </c>
      <c r="J498" s="9" t="s">
        <v>169</v>
      </c>
      <c r="K498" s="9" t="s">
        <v>11527</v>
      </c>
      <c r="L498" s="9" t="s">
        <v>13219</v>
      </c>
      <c r="M498" s="14" t="s">
        <v>9158</v>
      </c>
      <c r="N498" s="14" t="s">
        <v>9158</v>
      </c>
      <c r="O498" s="14" t="s">
        <v>9158</v>
      </c>
      <c r="P498" s="14" t="s">
        <v>9158</v>
      </c>
      <c r="Q498" s="14" t="s">
        <v>9158</v>
      </c>
    </row>
    <row r="500" spans="1:17">
      <c r="A500" s="14" t="s">
        <v>14323</v>
      </c>
    </row>
    <row r="501" spans="1:17">
      <c r="A501" s="14" t="s">
        <v>14429</v>
      </c>
    </row>
    <row r="502" spans="1:17">
      <c r="A502" s="14" t="s">
        <v>5601</v>
      </c>
      <c r="B502" s="14" t="s">
        <v>330</v>
      </c>
      <c r="C502" s="14" t="s">
        <v>35</v>
      </c>
      <c r="D502" s="20" t="s">
        <v>10318</v>
      </c>
      <c r="E502" s="15" t="str">
        <f>HYPERLINK("https://stat100.ameba.jp/tnk47/ratio20/illustrations/card/ill_82423_0_bikinigarukishi03.jpg?202008-i_prefecture_active_userxx", "■")</f>
        <v>■</v>
      </c>
      <c r="F502" s="14" t="s">
        <v>5391</v>
      </c>
      <c r="G502" s="14">
        <v>302708</v>
      </c>
      <c r="H502" s="14">
        <v>273591</v>
      </c>
      <c r="I502" s="14">
        <v>25</v>
      </c>
      <c r="J502" s="14" t="s">
        <v>77</v>
      </c>
      <c r="K502" s="14" t="s">
        <v>5392</v>
      </c>
      <c r="L502" s="14" t="s">
        <v>5393</v>
      </c>
      <c r="M502" s="14" t="s">
        <v>9158</v>
      </c>
      <c r="N502" s="14" t="s">
        <v>9158</v>
      </c>
      <c r="O502" s="19" t="s">
        <v>10069</v>
      </c>
      <c r="P502" s="14" t="s">
        <v>5394</v>
      </c>
      <c r="Q502" s="14">
        <v>1</v>
      </c>
    </row>
    <row r="503" spans="1:17">
      <c r="A503" s="14">
        <v>85363</v>
      </c>
      <c r="B503" s="14" t="s">
        <v>0</v>
      </c>
      <c r="C503" s="14" t="s">
        <v>158</v>
      </c>
      <c r="D503" s="19" t="s">
        <v>10708</v>
      </c>
      <c r="E503" s="15" t="str">
        <f>HYPERLINK("https://stat100.ameba.jp/tnk47/ratio20/illustrations/card/ill_85363_sukarunetaisa03.jpg?202008-i_prefecture_active_userxx", "■")</f>
        <v>■</v>
      </c>
      <c r="F503" s="14" t="s">
        <v>7506</v>
      </c>
      <c r="G503" s="14">
        <v>115656</v>
      </c>
      <c r="H503" s="14">
        <v>159674</v>
      </c>
      <c r="I503" s="14">
        <v>24</v>
      </c>
      <c r="J503" s="14" t="s">
        <v>143</v>
      </c>
      <c r="K503" s="14" t="s">
        <v>7504</v>
      </c>
      <c r="L503" s="14" t="s">
        <v>1148</v>
      </c>
      <c r="M503" s="14" t="s">
        <v>9158</v>
      </c>
      <c r="N503" s="14" t="s">
        <v>9158</v>
      </c>
      <c r="O503" s="19" t="s">
        <v>10106</v>
      </c>
      <c r="P503" s="14" t="s">
        <v>3330</v>
      </c>
      <c r="Q503" s="14">
        <v>2</v>
      </c>
    </row>
    <row r="504" spans="1:17">
      <c r="A504" s="14">
        <v>84653</v>
      </c>
      <c r="B504" s="14" t="s">
        <v>334</v>
      </c>
      <c r="C504" s="14" t="s">
        <v>209</v>
      </c>
      <c r="D504" s="20" t="s">
        <v>10626</v>
      </c>
      <c r="E504" s="15" t="str">
        <f>HYPERLINK("https://stat100.ameba.jp/tnk47/ratio20/illustrations/card/ill_84653_soru03.jpg?202008-i_prefecture_active_userxx", "■")</f>
        <v>■</v>
      </c>
      <c r="F504" s="14" t="s">
        <v>6954</v>
      </c>
      <c r="G504" s="14">
        <v>75984</v>
      </c>
      <c r="H504" s="14">
        <v>104890</v>
      </c>
      <c r="I504" s="14">
        <v>24</v>
      </c>
      <c r="J504" s="14" t="s">
        <v>44</v>
      </c>
      <c r="K504" s="14" t="s">
        <v>6956</v>
      </c>
      <c r="L504" s="14" t="s">
        <v>3652</v>
      </c>
      <c r="M504" s="14" t="s">
        <v>9158</v>
      </c>
      <c r="N504" s="14" t="s">
        <v>9158</v>
      </c>
      <c r="O504" s="19" t="s">
        <v>10103</v>
      </c>
      <c r="P504" s="14" t="s">
        <v>3897</v>
      </c>
      <c r="Q504" s="14">
        <v>1</v>
      </c>
    </row>
    <row r="505" spans="1:17">
      <c r="A505" s="14">
        <v>84633</v>
      </c>
      <c r="B505" s="14" t="s">
        <v>334</v>
      </c>
      <c r="C505" s="14" t="s">
        <v>154</v>
      </c>
      <c r="D505" s="19" t="s">
        <v>10586</v>
      </c>
      <c r="E505" s="15" t="str">
        <f>HYPERLINK("https://stat100.ameba.jp/tnk47/ratio20/illustrations/card/ill_84633_akubishoppu03.jpg?202008-i_prefecture_active_userxx", "■")</f>
        <v>■</v>
      </c>
      <c r="F505" s="14" t="s">
        <v>6762</v>
      </c>
      <c r="G505" s="14">
        <v>104890</v>
      </c>
      <c r="H505" s="14">
        <v>75984</v>
      </c>
      <c r="I505" s="14">
        <v>24</v>
      </c>
      <c r="J505" s="14" t="s">
        <v>10</v>
      </c>
      <c r="K505" s="14" t="s">
        <v>6764</v>
      </c>
      <c r="L505" s="14" t="s">
        <v>6763</v>
      </c>
      <c r="M505" s="14" t="s">
        <v>9158</v>
      </c>
      <c r="N505" s="14" t="s">
        <v>9158</v>
      </c>
      <c r="O505" s="19" t="s">
        <v>10090</v>
      </c>
      <c r="P505" s="14" t="s">
        <v>3460</v>
      </c>
      <c r="Q505" s="14">
        <v>1</v>
      </c>
    </row>
    <row r="507" spans="1:17">
      <c r="A507" s="14" t="s">
        <v>14319</v>
      </c>
    </row>
    <row r="508" spans="1:17">
      <c r="A508" s="14" t="s">
        <v>14430</v>
      </c>
    </row>
    <row r="509" spans="1:17">
      <c r="A509" s="9" t="s">
        <v>5822</v>
      </c>
      <c r="B509" s="14" t="s">
        <v>330</v>
      </c>
      <c r="C509" s="14" t="s">
        <v>191</v>
      </c>
      <c r="D509" s="14" t="s">
        <v>898</v>
      </c>
      <c r="E509" s="15" t="str">
        <f>HYPERLINK("https://stat100.ameba.jp/tnk47/ratio20/illustrations/card/ill_71403_0_ohanamisanadayukimura03.jpg?202008-i_prefecture_active_userxx", "■")</f>
        <v>■</v>
      </c>
      <c r="F509" s="14" t="s">
        <v>309</v>
      </c>
      <c r="G509" s="14">
        <v>233360</v>
      </c>
      <c r="H509" s="14">
        <v>216990</v>
      </c>
      <c r="I509" s="14">
        <v>25</v>
      </c>
      <c r="J509" s="14" t="s">
        <v>310</v>
      </c>
      <c r="K509" s="14" t="s">
        <v>311</v>
      </c>
      <c r="L509" s="14" t="s">
        <v>312</v>
      </c>
      <c r="M509" s="14" t="s">
        <v>9158</v>
      </c>
      <c r="N509" s="14" t="s">
        <v>9158</v>
      </c>
      <c r="O509" s="17" t="s">
        <v>10060</v>
      </c>
      <c r="P509" s="14" t="s">
        <v>3418</v>
      </c>
      <c r="Q509" s="14">
        <v>2</v>
      </c>
    </row>
    <row r="510" spans="1:17">
      <c r="A510" s="14">
        <v>84863</v>
      </c>
      <c r="B510" s="14" t="s">
        <v>0</v>
      </c>
      <c r="C510" s="14" t="s">
        <v>200</v>
      </c>
      <c r="D510" s="19" t="s">
        <v>10742</v>
      </c>
      <c r="E510" s="15" t="str">
        <f>HYPERLINK("https://stat100.ameba.jp/tnk47/ratio20/illustrations/card/ill_84863_onsengaiarisubekon03.jpg?202008-i_prefecture_active_userxx", "■")</f>
        <v>■</v>
      </c>
      <c r="F510" s="14" t="s">
        <v>7796</v>
      </c>
      <c r="G510" s="14">
        <v>105426</v>
      </c>
      <c r="H510" s="14">
        <v>98066</v>
      </c>
      <c r="I510" s="14">
        <v>26</v>
      </c>
      <c r="J510" s="14" t="s">
        <v>159</v>
      </c>
      <c r="K510" s="14" t="s">
        <v>7795</v>
      </c>
      <c r="L510" s="14" t="s">
        <v>7794</v>
      </c>
      <c r="M510" s="14" t="s">
        <v>9158</v>
      </c>
      <c r="N510" s="14" t="s">
        <v>9158</v>
      </c>
      <c r="O510" s="19" t="s">
        <v>2951</v>
      </c>
      <c r="P510" s="14" t="s">
        <v>13122</v>
      </c>
      <c r="Q510" s="14">
        <v>1</v>
      </c>
    </row>
    <row r="511" spans="1:17">
      <c r="A511" s="9">
        <v>68723</v>
      </c>
      <c r="B511" s="14" t="s">
        <v>334</v>
      </c>
      <c r="C511" s="14" t="s">
        <v>185</v>
      </c>
      <c r="D511" s="14" t="s">
        <v>226</v>
      </c>
      <c r="E511" s="15" t="str">
        <f>HYPERLINK("https://stat100.ameba.jp/tnk47/ratio20/illustrations/card/ill_68723_gantanfukuhime03.jpg?202008-i_prefecture_active_userxx", "■")</f>
        <v>■</v>
      </c>
      <c r="F511" s="14" t="s">
        <v>758</v>
      </c>
      <c r="G511" s="14">
        <v>94390</v>
      </c>
      <c r="H511" s="14">
        <v>101558</v>
      </c>
      <c r="I511" s="14">
        <v>26</v>
      </c>
      <c r="J511" s="14" t="s">
        <v>187</v>
      </c>
      <c r="K511" s="14" t="s">
        <v>227</v>
      </c>
      <c r="L511" s="14" t="s">
        <v>13142</v>
      </c>
      <c r="M511" s="14" t="s">
        <v>9158</v>
      </c>
      <c r="N511" s="14" t="s">
        <v>9158</v>
      </c>
      <c r="O511" s="17" t="s">
        <v>10053</v>
      </c>
      <c r="P511" s="14" t="s">
        <v>3592</v>
      </c>
      <c r="Q511" s="14">
        <v>1</v>
      </c>
    </row>
    <row r="512" spans="1:17">
      <c r="A512" s="14">
        <v>56443</v>
      </c>
      <c r="B512" s="14" t="s">
        <v>0</v>
      </c>
      <c r="C512" s="14" t="s">
        <v>205</v>
      </c>
      <c r="D512" s="20" t="s">
        <v>10314</v>
      </c>
      <c r="E512" s="15" t="str">
        <f>HYPERLINK("https://stat100.ameba.jp/tnk47/ratio20/illustrations/card/ill_56443_poppukurisumasuizumonokuni03.jpg?202008-i_prefecture_active_userxx", "■")</f>
        <v>■</v>
      </c>
      <c r="F512" s="14" t="s">
        <v>1151</v>
      </c>
      <c r="G512" s="14">
        <v>93172</v>
      </c>
      <c r="H512" s="14">
        <v>100214</v>
      </c>
      <c r="I512" s="14">
        <v>26</v>
      </c>
      <c r="J512" s="14" t="s">
        <v>10</v>
      </c>
      <c r="K512" s="14" t="s">
        <v>1152</v>
      </c>
      <c r="L512" s="14" t="s">
        <v>1153</v>
      </c>
      <c r="M512" s="14" t="s">
        <v>9158</v>
      </c>
      <c r="N512" s="14" t="s">
        <v>9158</v>
      </c>
      <c r="O512" s="19" t="s">
        <v>10119</v>
      </c>
      <c r="P512" s="14" t="s">
        <v>3662</v>
      </c>
      <c r="Q512" s="14">
        <v>1</v>
      </c>
    </row>
    <row r="514" spans="1:18">
      <c r="A514" s="14" t="s">
        <v>14433</v>
      </c>
    </row>
    <row r="515" spans="1:18">
      <c r="A515" s="14" t="s">
        <v>14432</v>
      </c>
    </row>
    <row r="516" spans="1:18">
      <c r="A516" s="14" t="s">
        <v>5621</v>
      </c>
      <c r="B516" s="14" t="s">
        <v>330</v>
      </c>
      <c r="C516" s="14" t="s">
        <v>191</v>
      </c>
      <c r="D516" s="19" t="s">
        <v>2871</v>
      </c>
      <c r="E516" s="15" t="str">
        <f>HYPERLINK("https://stat100.ameba.jp/tnk47/ratio20/illustrations/card/ill_51973_0_kemonomizugikuroyuridensetsu03.jpg?20200727-m_blacklist", "■")</f>
        <v>■</v>
      </c>
      <c r="F516" s="14" t="s">
        <v>2034</v>
      </c>
      <c r="G516" s="14">
        <v>150776</v>
      </c>
      <c r="H516" s="14">
        <v>133938</v>
      </c>
      <c r="I516" s="14">
        <v>24</v>
      </c>
      <c r="J516" s="14" t="s">
        <v>38</v>
      </c>
      <c r="K516" s="14" t="s">
        <v>2035</v>
      </c>
      <c r="L516" s="14" t="s">
        <v>2036</v>
      </c>
      <c r="M516" s="14" t="s">
        <v>9158</v>
      </c>
      <c r="N516" s="14" t="s">
        <v>9158</v>
      </c>
      <c r="O516" s="19" t="s">
        <v>10088</v>
      </c>
      <c r="P516" s="14" t="s">
        <v>13172</v>
      </c>
      <c r="Q516" s="14">
        <v>1</v>
      </c>
    </row>
    <row r="517" spans="1:18">
      <c r="A517" s="14" t="s">
        <v>5725</v>
      </c>
      <c r="B517" s="14" t="s">
        <v>52</v>
      </c>
      <c r="C517" s="14" t="s">
        <v>107</v>
      </c>
      <c r="D517" s="19" t="s">
        <v>543</v>
      </c>
      <c r="E517" s="15" t="str">
        <f>HYPERLINK("https://stat100.ameba.jp/tnk47/ratio20/illustrations/card/ill_52693_0_sengokumibirakiyanagiharabyakuren03.jpg?20200727-m_blacklist", "■")</f>
        <v>■</v>
      </c>
      <c r="F517" s="14" t="s">
        <v>1246</v>
      </c>
      <c r="G517" s="14">
        <v>133938</v>
      </c>
      <c r="H517" s="14">
        <v>150776</v>
      </c>
      <c r="I517" s="14">
        <v>24</v>
      </c>
      <c r="J517" s="14" t="s">
        <v>16</v>
      </c>
      <c r="K517" s="14" t="s">
        <v>1247</v>
      </c>
      <c r="L517" s="14" t="s">
        <v>1248</v>
      </c>
      <c r="M517" s="14" t="s">
        <v>9158</v>
      </c>
      <c r="N517" s="14" t="s">
        <v>9158</v>
      </c>
      <c r="O517" s="19" t="s">
        <v>2886</v>
      </c>
      <c r="P517" s="14" t="s">
        <v>3304</v>
      </c>
      <c r="Q517" s="14">
        <v>1</v>
      </c>
    </row>
    <row r="518" spans="1:18">
      <c r="A518" s="14" t="s">
        <v>5608</v>
      </c>
      <c r="B518" s="14" t="s">
        <v>52</v>
      </c>
      <c r="C518" s="14" t="s">
        <v>96</v>
      </c>
      <c r="D518" s="19" t="s">
        <v>634</v>
      </c>
      <c r="E518" s="15" t="str">
        <f>HYPERLINK("https://stat100.ameba.jp/tnk47/ratio20/illustrations/card/ill_40963_0_makami03.jpg?20200727-m_blacklist", "■")</f>
        <v>■</v>
      </c>
      <c r="F518" s="14" t="s">
        <v>2038</v>
      </c>
      <c r="G518" s="14">
        <v>140448</v>
      </c>
      <c r="H518" s="14">
        <v>131538</v>
      </c>
      <c r="I518" s="14">
        <v>24</v>
      </c>
      <c r="J518" s="14" t="s">
        <v>44</v>
      </c>
      <c r="K518" s="14" t="s">
        <v>2039</v>
      </c>
      <c r="L518" s="14" t="s">
        <v>2040</v>
      </c>
      <c r="M518" s="14" t="s">
        <v>9158</v>
      </c>
      <c r="N518" s="14" t="s">
        <v>9158</v>
      </c>
      <c r="O518" s="14" t="s">
        <v>9158</v>
      </c>
      <c r="P518" s="14" t="s">
        <v>9158</v>
      </c>
      <c r="Q518" s="14" t="s">
        <v>9158</v>
      </c>
    </row>
    <row r="519" spans="1:18">
      <c r="A519" s="14">
        <v>90793</v>
      </c>
      <c r="B519" s="14" t="s">
        <v>0</v>
      </c>
      <c r="C519" s="14" t="s">
        <v>14312</v>
      </c>
      <c r="D519" s="14" t="s">
        <v>14411</v>
      </c>
      <c r="E519" s="15" t="str">
        <f>HYPERLINK("https://stat100.ameba.jp/tnk47/ratio20/illustrations/card/ill_90793_suitsuzammaininko03.jpg?20200727-m_blacklist", "■")</f>
        <v>■</v>
      </c>
      <c r="F519" s="14" t="s">
        <v>14410</v>
      </c>
      <c r="G519" s="14">
        <v>114176</v>
      </c>
      <c r="H519" s="14">
        <v>122786</v>
      </c>
      <c r="I519" s="7">
        <v>26</v>
      </c>
      <c r="J519" s="14" t="s">
        <v>14409</v>
      </c>
      <c r="K519" s="14" t="s">
        <v>14408</v>
      </c>
      <c r="L519" s="14" t="s">
        <v>14407</v>
      </c>
      <c r="M519" s="14" t="s">
        <v>9158</v>
      </c>
      <c r="N519" s="14" t="s">
        <v>9158</v>
      </c>
      <c r="O519" s="14" t="s">
        <v>9158</v>
      </c>
      <c r="P519" s="14" t="s">
        <v>9158</v>
      </c>
      <c r="Q519" s="14" t="s">
        <v>9158</v>
      </c>
    </row>
    <row r="520" spans="1:18">
      <c r="A520" s="14">
        <v>90813</v>
      </c>
      <c r="B520" s="14" t="s">
        <v>15</v>
      </c>
      <c r="C520" s="14" t="s">
        <v>14300</v>
      </c>
      <c r="D520" s="14" t="s">
        <v>14419</v>
      </c>
      <c r="E520" s="15" t="str">
        <f>HYPERLINK("https://stat100.ameba.jp/tnk47/ratio20/illustrations/card/ill_90813_meidohinotomiko03.jpg?20200727-m_blacklist", "■")</f>
        <v>■</v>
      </c>
      <c r="F520" s="14" t="s">
        <v>14418</v>
      </c>
      <c r="G520" s="14">
        <v>69898</v>
      </c>
      <c r="H520" s="14">
        <v>77064</v>
      </c>
      <c r="I520" s="7">
        <v>26</v>
      </c>
      <c r="J520" s="14" t="s">
        <v>14303</v>
      </c>
      <c r="K520" s="14" t="s">
        <v>14417</v>
      </c>
      <c r="L520" s="14" t="s">
        <v>14416</v>
      </c>
      <c r="M520" s="14" t="s">
        <v>9158</v>
      </c>
      <c r="N520" s="14" t="s">
        <v>9158</v>
      </c>
      <c r="O520" s="14" t="s">
        <v>9158</v>
      </c>
      <c r="P520" s="14" t="s">
        <v>9158</v>
      </c>
      <c r="Q520" s="14" t="s">
        <v>9158</v>
      </c>
    </row>
    <row r="521" spans="1:18">
      <c r="A521" s="14">
        <v>90823</v>
      </c>
      <c r="B521" s="14" t="s">
        <v>14405</v>
      </c>
      <c r="C521" s="14" t="s">
        <v>14306</v>
      </c>
      <c r="D521" s="14" t="s">
        <v>14423</v>
      </c>
      <c r="E521" s="15" t="str">
        <f>HYPERLINK("https://stat100.ameba.jp/tnk47/ratio20/illustrations/card/ill_90823_korakufumakotaro03.jpg?20200727-m_blacklist", "■")</f>
        <v>■</v>
      </c>
      <c r="F521" s="14" t="s">
        <v>14422</v>
      </c>
      <c r="G521" s="14">
        <v>54058</v>
      </c>
      <c r="H521" s="14">
        <v>44948</v>
      </c>
      <c r="I521" s="7">
        <v>26</v>
      </c>
      <c r="J521" s="14" t="s">
        <v>14297</v>
      </c>
      <c r="K521" s="14" t="s">
        <v>14421</v>
      </c>
      <c r="L521" s="14" t="s">
        <v>14420</v>
      </c>
      <c r="M521" s="14" t="s">
        <v>9158</v>
      </c>
      <c r="N521" s="14" t="s">
        <v>9158</v>
      </c>
      <c r="O521" s="14" t="s">
        <v>9158</v>
      </c>
      <c r="P521" s="14" t="s">
        <v>9158</v>
      </c>
      <c r="Q521" s="14" t="s">
        <v>9158</v>
      </c>
    </row>
    <row r="522" spans="1:18">
      <c r="A522" s="14">
        <v>90833</v>
      </c>
      <c r="B522" s="14" t="s">
        <v>14405</v>
      </c>
      <c r="C522" s="14" t="s">
        <v>14428</v>
      </c>
      <c r="D522" s="14" t="s">
        <v>14427</v>
      </c>
      <c r="E522" s="15" t="str">
        <f>HYPERLINK("https://stat100.ameba.jp/tnk47/ratio20/illustrations/card/ill_90833_yubarimeronsan03.jpg?20200727-m_blacklist", "■")</f>
        <v>■</v>
      </c>
      <c r="F522" s="14" t="s">
        <v>14426</v>
      </c>
      <c r="G522" s="14">
        <v>44948</v>
      </c>
      <c r="H522" s="14">
        <v>54058</v>
      </c>
      <c r="I522" s="7">
        <v>26</v>
      </c>
      <c r="J522" s="14" t="s">
        <v>14354</v>
      </c>
      <c r="K522" s="14" t="s">
        <v>14425</v>
      </c>
      <c r="L522" s="14" t="s">
        <v>14424</v>
      </c>
      <c r="M522" s="14" t="s">
        <v>9158</v>
      </c>
      <c r="N522" s="14" t="s">
        <v>9158</v>
      </c>
      <c r="O522" s="14" t="s">
        <v>9158</v>
      </c>
      <c r="P522" s="14" t="s">
        <v>9158</v>
      </c>
      <c r="Q522" s="14" t="s">
        <v>9158</v>
      </c>
    </row>
    <row r="523" spans="1:18">
      <c r="E523" s="15"/>
      <c r="I523" s="7"/>
    </row>
    <row r="524" spans="1:18">
      <c r="A524" s="14" t="s">
        <v>13327</v>
      </c>
    </row>
    <row r="525" spans="1:18">
      <c r="A525" s="14" t="s">
        <v>14431</v>
      </c>
    </row>
    <row r="526" spans="1:18">
      <c r="A526" s="14">
        <v>82213</v>
      </c>
      <c r="B526" s="14" t="s">
        <v>0</v>
      </c>
      <c r="C526" s="14" t="s">
        <v>185</v>
      </c>
      <c r="D526" s="19" t="s">
        <v>10185</v>
      </c>
      <c r="E526" s="15" t="str">
        <f>HYPERLINK("https://stat100.ameba.jp/tnk47/ratio20/illustrations/card/ill_82213_tatarimokke03.jpg?20200727-m_blacklist", "■")</f>
        <v>■</v>
      </c>
      <c r="F526" s="14" t="s">
        <v>4935</v>
      </c>
      <c r="G526" s="14">
        <v>123583</v>
      </c>
      <c r="H526" s="14">
        <v>132922</v>
      </c>
      <c r="I526" s="7">
        <v>27</v>
      </c>
      <c r="J526" s="14" t="s">
        <v>182</v>
      </c>
      <c r="K526" s="14" t="s">
        <v>4937</v>
      </c>
      <c r="L526" s="14" t="s">
        <v>13191</v>
      </c>
      <c r="M526" s="14" t="s">
        <v>13130</v>
      </c>
      <c r="N526" s="14" t="s">
        <v>343</v>
      </c>
      <c r="O526" s="14" t="s">
        <v>9158</v>
      </c>
      <c r="P526" s="14" t="s">
        <v>9158</v>
      </c>
      <c r="Q526" s="14" t="s">
        <v>9158</v>
      </c>
      <c r="R526" s="14" t="s">
        <v>14748</v>
      </c>
    </row>
    <row r="527" spans="1:18">
      <c r="A527" s="14">
        <v>82212</v>
      </c>
      <c r="B527" s="14" t="s">
        <v>334</v>
      </c>
      <c r="C527" s="14" t="s">
        <v>185</v>
      </c>
      <c r="D527" s="19" t="s">
        <v>10185</v>
      </c>
      <c r="E527" s="15" t="str">
        <f>HYPERLINK("https://stat100.ameba.jp/tnk47/ratio20/illustrations/card/ill_82212_tatarimokke02.jpg?20200727-m_blacklist", "■")</f>
        <v>■</v>
      </c>
      <c r="F527" s="14" t="s">
        <v>4935</v>
      </c>
      <c r="G527" s="14">
        <v>102356</v>
      </c>
      <c r="H527" s="14">
        <v>111115</v>
      </c>
      <c r="I527" s="7">
        <v>27</v>
      </c>
      <c r="J527" s="14" t="s">
        <v>182</v>
      </c>
      <c r="K527" s="14" t="s">
        <v>4937</v>
      </c>
      <c r="L527" s="14" t="s">
        <v>13191</v>
      </c>
      <c r="M527" s="14" t="s">
        <v>13131</v>
      </c>
      <c r="N527" s="14" t="s">
        <v>251</v>
      </c>
      <c r="O527" s="14" t="s">
        <v>9158</v>
      </c>
      <c r="P527" s="14" t="s">
        <v>9158</v>
      </c>
      <c r="Q527" s="14" t="s">
        <v>9158</v>
      </c>
      <c r="R527" s="14" t="s">
        <v>14748</v>
      </c>
    </row>
    <row r="528" spans="1:18">
      <c r="A528" s="14">
        <v>82211</v>
      </c>
      <c r="B528" s="14" t="s">
        <v>0</v>
      </c>
      <c r="C528" s="14" t="s">
        <v>185</v>
      </c>
      <c r="D528" s="19" t="s">
        <v>10185</v>
      </c>
      <c r="E528" s="15" t="str">
        <f>HYPERLINK("https://stat100.ameba.jp/tnk47/ratio20/illustrations/card/ill_82211_tatarimokke01.jpg?20200727-m_blacklist", "■")</f>
        <v>■</v>
      </c>
      <c r="F528" s="14" t="s">
        <v>4935</v>
      </c>
      <c r="G528" s="14">
        <v>78975</v>
      </c>
      <c r="H528" s="14">
        <v>84834</v>
      </c>
      <c r="I528" s="7">
        <v>27</v>
      </c>
      <c r="J528" s="14" t="s">
        <v>182</v>
      </c>
      <c r="K528" s="14" t="s">
        <v>4937</v>
      </c>
      <c r="L528" s="14" t="s">
        <v>13191</v>
      </c>
      <c r="M528" s="14" t="s">
        <v>13131</v>
      </c>
      <c r="N528" s="14" t="s">
        <v>251</v>
      </c>
      <c r="O528" s="14" t="s">
        <v>9158</v>
      </c>
      <c r="P528" s="14" t="s">
        <v>9158</v>
      </c>
      <c r="Q528" s="14" t="s">
        <v>9158</v>
      </c>
      <c r="R528" s="14" t="s">
        <v>14748</v>
      </c>
    </row>
    <row r="529" spans="1:18">
      <c r="A529" s="14">
        <v>82223</v>
      </c>
      <c r="B529" s="14" t="s">
        <v>334</v>
      </c>
      <c r="C529" s="14" t="s">
        <v>200</v>
      </c>
      <c r="D529" s="19" t="s">
        <v>10186</v>
      </c>
      <c r="E529" s="15" t="str">
        <f>HYPERLINK("https://stat100.ameba.jp/tnk47/ratio20/illustrations/card/ill_82223_oyayubihime03.jpg?20200727-m_blacklist", "■")</f>
        <v>■</v>
      </c>
      <c r="F529" s="14" t="s">
        <v>4931</v>
      </c>
      <c r="G529" s="14">
        <v>132922</v>
      </c>
      <c r="H529" s="14">
        <v>123583</v>
      </c>
      <c r="I529" s="7">
        <v>27</v>
      </c>
      <c r="J529" s="14" t="s">
        <v>155</v>
      </c>
      <c r="K529" s="14" t="s">
        <v>4933</v>
      </c>
      <c r="L529" s="14" t="s">
        <v>4934</v>
      </c>
      <c r="M529" s="14" t="s">
        <v>13130</v>
      </c>
      <c r="N529" s="14" t="s">
        <v>343</v>
      </c>
      <c r="O529" s="14" t="s">
        <v>9158</v>
      </c>
      <c r="P529" s="14" t="s">
        <v>9158</v>
      </c>
      <c r="Q529" s="14" t="s">
        <v>9158</v>
      </c>
      <c r="R529" s="14" t="s">
        <v>14748</v>
      </c>
    </row>
    <row r="530" spans="1:18">
      <c r="A530" s="14">
        <v>82233</v>
      </c>
      <c r="B530" s="14" t="s">
        <v>334</v>
      </c>
      <c r="C530" s="14" t="s">
        <v>191</v>
      </c>
      <c r="D530" s="19" t="s">
        <v>10187</v>
      </c>
      <c r="E530" s="15" t="str">
        <f>HYPERLINK("https://stat100.ameba.jp/tnk47/ratio20/illustrations/card/ill_82233_iseokiku03.jpg?20200727-m_blacklist", "■")</f>
        <v>■</v>
      </c>
      <c r="F530" s="14" t="s">
        <v>4924</v>
      </c>
      <c r="G530" s="14">
        <v>132922</v>
      </c>
      <c r="H530" s="14">
        <v>123583</v>
      </c>
      <c r="I530" s="7">
        <v>27</v>
      </c>
      <c r="J530" s="14" t="s">
        <v>187</v>
      </c>
      <c r="K530" s="14" t="s">
        <v>4926</v>
      </c>
      <c r="L530" s="14" t="s">
        <v>4930</v>
      </c>
      <c r="M530" s="14" t="s">
        <v>13130</v>
      </c>
      <c r="N530" s="14" t="s">
        <v>343</v>
      </c>
      <c r="O530" s="14" t="s">
        <v>9158</v>
      </c>
      <c r="P530" s="14" t="s">
        <v>9158</v>
      </c>
      <c r="Q530" s="14" t="s">
        <v>9158</v>
      </c>
      <c r="R530" s="14" t="s">
        <v>14748</v>
      </c>
    </row>
    <row r="531" spans="1:18">
      <c r="A531" s="14">
        <v>82243</v>
      </c>
      <c r="B531" s="14" t="s">
        <v>0</v>
      </c>
      <c r="C531" s="14" t="s">
        <v>165</v>
      </c>
      <c r="D531" s="19" t="s">
        <v>10188</v>
      </c>
      <c r="E531" s="15" t="str">
        <f>HYPERLINK("https://stat100.ameba.jp/tnk47/ratio20/illustrations/card/ill_82243_nanohana03.jpg?20200727-m_blacklist", "■")</f>
        <v>■</v>
      </c>
      <c r="F531" s="14" t="s">
        <v>4921</v>
      </c>
      <c r="G531" s="14">
        <v>132922</v>
      </c>
      <c r="H531" s="14">
        <v>123583</v>
      </c>
      <c r="I531" s="7">
        <v>27</v>
      </c>
      <c r="J531" s="14" t="s">
        <v>229</v>
      </c>
      <c r="K531" s="14" t="s">
        <v>4923</v>
      </c>
      <c r="L531" s="14" t="s">
        <v>4929</v>
      </c>
      <c r="M531" s="14" t="s">
        <v>13130</v>
      </c>
      <c r="N531" s="14" t="s">
        <v>343</v>
      </c>
      <c r="O531" s="14" t="s">
        <v>9158</v>
      </c>
      <c r="P531" s="14" t="s">
        <v>9158</v>
      </c>
      <c r="Q531" s="14" t="s">
        <v>9158</v>
      </c>
      <c r="R531" s="14" t="s">
        <v>14748</v>
      </c>
    </row>
    <row r="532" spans="1:18">
      <c r="A532" s="14">
        <v>82253</v>
      </c>
      <c r="B532" s="14" t="s">
        <v>334</v>
      </c>
      <c r="C532" s="14" t="s">
        <v>205</v>
      </c>
      <c r="D532" s="19" t="s">
        <v>10189</v>
      </c>
      <c r="E532" s="15" t="str">
        <f>HYPERLINK("https://stat100.ameba.jp/tnk47/ratio20/illustrations/card/ill_82253_ajisaikyogokuichiko03.jpg?20200727-m_blacklist", "■")</f>
        <v>■</v>
      </c>
      <c r="F532" s="14" t="s">
        <v>4920</v>
      </c>
      <c r="G532" s="14">
        <v>123583</v>
      </c>
      <c r="H532" s="14">
        <v>132922</v>
      </c>
      <c r="I532" s="7">
        <v>27</v>
      </c>
      <c r="J532" s="14" t="s">
        <v>159</v>
      </c>
      <c r="K532" s="14" t="s">
        <v>4919</v>
      </c>
      <c r="L532" s="14" t="s">
        <v>4927</v>
      </c>
      <c r="M532" s="14" t="s">
        <v>13130</v>
      </c>
      <c r="N532" s="14" t="s">
        <v>343</v>
      </c>
      <c r="O532" s="14" t="s">
        <v>9158</v>
      </c>
      <c r="P532" s="14" t="s">
        <v>9158</v>
      </c>
      <c r="Q532" s="14" t="s">
        <v>9158</v>
      </c>
      <c r="R532" s="14" t="s">
        <v>14748</v>
      </c>
    </row>
    <row r="533" spans="1:18">
      <c r="A533" s="14">
        <v>82263</v>
      </c>
      <c r="B533" s="14" t="s">
        <v>334</v>
      </c>
      <c r="C533" s="14" t="s">
        <v>206</v>
      </c>
      <c r="D533" s="19" t="s">
        <v>10190</v>
      </c>
      <c r="E533" s="15" t="str">
        <f>HYPERLINK("https://stat100.ameba.jp/tnk47/ratio20/illustrations/card/ill_82263_euterupe03.jpg?20200727-m_blacklist", "■")</f>
        <v>■</v>
      </c>
      <c r="F533" s="14" t="s">
        <v>4915</v>
      </c>
      <c r="G533" s="14">
        <v>123583</v>
      </c>
      <c r="H533" s="14">
        <v>132922</v>
      </c>
      <c r="I533" s="7">
        <v>27</v>
      </c>
      <c r="J533" s="14" t="s">
        <v>169</v>
      </c>
      <c r="K533" s="14" t="s">
        <v>4917</v>
      </c>
      <c r="L533" s="14" t="s">
        <v>4928</v>
      </c>
      <c r="M533" s="14" t="s">
        <v>13130</v>
      </c>
      <c r="N533" s="14" t="s">
        <v>343</v>
      </c>
      <c r="O533" s="14" t="s">
        <v>9158</v>
      </c>
      <c r="P533" s="14" t="s">
        <v>9158</v>
      </c>
      <c r="Q533" s="14" t="s">
        <v>9158</v>
      </c>
      <c r="R533" s="14" t="s">
        <v>14748</v>
      </c>
    </row>
    <row r="535" spans="1:18">
      <c r="A535" s="14" t="s">
        <v>14435</v>
      </c>
    </row>
    <row r="536" spans="1:18">
      <c r="A536" s="14" t="s">
        <v>14436</v>
      </c>
    </row>
    <row r="537" spans="1:18">
      <c r="A537" s="14" t="s">
        <v>5891</v>
      </c>
      <c r="B537" s="14" t="s">
        <v>330</v>
      </c>
      <c r="C537" s="14" t="s">
        <v>202</v>
      </c>
      <c r="D537" s="19" t="s">
        <v>1999</v>
      </c>
      <c r="E537" s="15" t="str">
        <f>HYPERLINK("https://stat100.ameba.jp/tnk47/ratio20/illustrations/card/ill_77173_0_yukemuritomoegozen03.jpg?202008-5-RELEASE-marathon-486", "■")</f>
        <v>■</v>
      </c>
      <c r="F537" s="14" t="s">
        <v>1372</v>
      </c>
      <c r="G537" s="14">
        <v>220536</v>
      </c>
      <c r="H537" s="14">
        <v>244008</v>
      </c>
      <c r="I537" s="14">
        <v>22</v>
      </c>
      <c r="J537" s="14" t="s">
        <v>310</v>
      </c>
      <c r="K537" s="14" t="s">
        <v>1373</v>
      </c>
      <c r="L537" s="14" t="s">
        <v>1374</v>
      </c>
      <c r="M537" s="14" t="s">
        <v>9158</v>
      </c>
      <c r="N537" s="14" t="s">
        <v>9158</v>
      </c>
      <c r="O537" s="19" t="s">
        <v>4067</v>
      </c>
      <c r="P537" s="14" t="s">
        <v>3879</v>
      </c>
      <c r="Q537" s="14">
        <v>2</v>
      </c>
    </row>
    <row r="538" spans="1:18">
      <c r="A538" s="14" t="s">
        <v>5617</v>
      </c>
      <c r="B538" s="14" t="s">
        <v>330</v>
      </c>
      <c r="C538" s="14" t="s">
        <v>308</v>
      </c>
      <c r="D538" s="19" t="s">
        <v>385</v>
      </c>
      <c r="E538" s="15" t="str">
        <f>HYPERLINK("https://stat100.ameba.jp/tnk47/ratio20/illustrations/card/ill_59673_0_oheyashutendoji03.jpg?202008-5-RELEASE-marathon-486", "■")</f>
        <v>■</v>
      </c>
      <c r="F538" s="14" t="s">
        <v>386</v>
      </c>
      <c r="G538" s="14">
        <v>154800</v>
      </c>
      <c r="H538" s="14">
        <v>166504</v>
      </c>
      <c r="I538" s="14">
        <v>22</v>
      </c>
      <c r="J538" s="14" t="s">
        <v>320</v>
      </c>
      <c r="K538" s="14" t="s">
        <v>387</v>
      </c>
      <c r="L538" s="14" t="s">
        <v>388</v>
      </c>
      <c r="M538" s="14" t="s">
        <v>9158</v>
      </c>
      <c r="N538" s="14" t="s">
        <v>9158</v>
      </c>
      <c r="O538" s="19" t="s">
        <v>10078</v>
      </c>
      <c r="P538" s="14" t="s">
        <v>3022</v>
      </c>
      <c r="Q538" s="14">
        <v>1</v>
      </c>
    </row>
    <row r="539" spans="1:18">
      <c r="A539" s="14" t="s">
        <v>6132</v>
      </c>
      <c r="B539" s="14" t="s">
        <v>330</v>
      </c>
      <c r="C539" s="14" t="s">
        <v>205</v>
      </c>
      <c r="D539" s="19" t="s">
        <v>702</v>
      </c>
      <c r="E539" s="15" t="str">
        <f>HYPERLINK("https://stat100.ameba.jp/tnk47/ratio20/illustrations/card/ill_50693_0_hanamizugimimuratsuru03.jpg?202008-5-RELEASE-marathon-486", "■")</f>
        <v>■</v>
      </c>
      <c r="F539" s="14" t="s">
        <v>703</v>
      </c>
      <c r="G539" s="14">
        <v>122776</v>
      </c>
      <c r="H539" s="14">
        <v>138212</v>
      </c>
      <c r="I539" s="14">
        <v>22</v>
      </c>
      <c r="J539" s="14" t="s">
        <v>310</v>
      </c>
      <c r="K539" s="14" t="s">
        <v>704</v>
      </c>
      <c r="L539" s="14" t="s">
        <v>705</v>
      </c>
      <c r="M539" s="14" t="s">
        <v>9158</v>
      </c>
      <c r="N539" s="14" t="s">
        <v>9158</v>
      </c>
      <c r="O539" s="9" t="s">
        <v>9158</v>
      </c>
      <c r="P539" s="14" t="s">
        <v>9158</v>
      </c>
      <c r="Q539" s="14" t="s">
        <v>9158</v>
      </c>
    </row>
    <row r="540" spans="1:18">
      <c r="A540" s="9">
        <v>81003</v>
      </c>
      <c r="B540" s="14" t="s">
        <v>334</v>
      </c>
      <c r="C540" s="14" t="s">
        <v>200</v>
      </c>
      <c r="D540" s="14" t="s">
        <v>4426</v>
      </c>
      <c r="E540" s="15" t="str">
        <f>HYPERLINK("https://stat100.ameba.jp/tnk47/ratio20/illustrations/card/ill_81003_furudenshago03.jpg?202008-5-RELEASE-marathon-486", "■")</f>
        <v>■</v>
      </c>
      <c r="F540" s="14" t="s">
        <v>4427</v>
      </c>
      <c r="G540" s="14">
        <v>73270</v>
      </c>
      <c r="H540" s="14">
        <v>130214</v>
      </c>
      <c r="I540" s="14">
        <v>27</v>
      </c>
      <c r="J540" s="14" t="s">
        <v>187</v>
      </c>
      <c r="K540" s="14" t="s">
        <v>4428</v>
      </c>
      <c r="L540" s="14" t="s">
        <v>969</v>
      </c>
      <c r="M540" s="14" t="s">
        <v>9158</v>
      </c>
      <c r="N540" s="14" t="s">
        <v>9158</v>
      </c>
      <c r="O540" s="14" t="s">
        <v>9158</v>
      </c>
      <c r="P540" s="14" t="s">
        <v>9158</v>
      </c>
      <c r="Q540" s="14" t="s">
        <v>9158</v>
      </c>
    </row>
    <row r="541" spans="1:18">
      <c r="A541" s="9">
        <v>79153</v>
      </c>
      <c r="B541" s="14" t="s">
        <v>334</v>
      </c>
      <c r="C541" s="14" t="s">
        <v>205</v>
      </c>
      <c r="D541" s="14" t="s">
        <v>3305</v>
      </c>
      <c r="E541" s="15" t="str">
        <f>HYPERLINK("https://stat100.ameba.jp/tnk47/ratio20/illustrations/card/ill_79153_karutafutaoijimanoyamanokami03.jpg?202008-5-RELEASE-marathon-486", "■")</f>
        <v>■</v>
      </c>
      <c r="F541" s="14" t="s">
        <v>3306</v>
      </c>
      <c r="G541" s="14">
        <v>76512</v>
      </c>
      <c r="H541" s="14">
        <v>136005</v>
      </c>
      <c r="I541" s="14">
        <v>27</v>
      </c>
      <c r="J541" s="14" t="s">
        <v>44</v>
      </c>
      <c r="K541" s="14" t="s">
        <v>3307</v>
      </c>
      <c r="L541" s="14" t="s">
        <v>1209</v>
      </c>
      <c r="M541" s="14" t="s">
        <v>9158</v>
      </c>
      <c r="N541" s="14" t="s">
        <v>9158</v>
      </c>
      <c r="O541" s="14" t="s">
        <v>9158</v>
      </c>
      <c r="P541" s="14" t="s">
        <v>9158</v>
      </c>
      <c r="Q541" s="14" t="s">
        <v>9158</v>
      </c>
    </row>
    <row r="542" spans="1:18">
      <c r="A542" s="9">
        <v>70663</v>
      </c>
      <c r="B542" s="14" t="s">
        <v>334</v>
      </c>
      <c r="C542" s="14" t="s">
        <v>185</v>
      </c>
      <c r="D542" s="14" t="s">
        <v>4701</v>
      </c>
      <c r="E542" s="15" t="str">
        <f>HYPERLINK("https://stat100.ameba.jp/tnk47/ratio20/illustrations/card/ill_70663_shitsujikissanagasawarosetsu03.jpg?202008-5-RELEASE-marathon-486", "■")</f>
        <v>■</v>
      </c>
      <c r="F542" s="14" t="s">
        <v>4702</v>
      </c>
      <c r="G542" s="14">
        <v>98019</v>
      </c>
      <c r="H542" s="14">
        <v>105465</v>
      </c>
      <c r="I542" s="14">
        <v>27</v>
      </c>
      <c r="J542" s="14" t="s">
        <v>10</v>
      </c>
      <c r="K542" s="14" t="s">
        <v>4703</v>
      </c>
      <c r="L542" s="14" t="s">
        <v>2057</v>
      </c>
      <c r="M542" s="14" t="s">
        <v>9158</v>
      </c>
      <c r="N542" s="14" t="s">
        <v>9158</v>
      </c>
      <c r="O542" s="14" t="s">
        <v>9158</v>
      </c>
      <c r="P542" s="14" t="s">
        <v>9158</v>
      </c>
      <c r="Q542" s="14" t="s">
        <v>9158</v>
      </c>
    </row>
    <row r="544" spans="1:18">
      <c r="A544" s="14" t="s">
        <v>14437</v>
      </c>
    </row>
    <row r="545" spans="1:17">
      <c r="A545" s="14" t="s">
        <v>14438</v>
      </c>
    </row>
    <row r="546" spans="1:17">
      <c r="A546" s="14" t="s">
        <v>5734</v>
      </c>
      <c r="B546" s="14" t="s">
        <v>330</v>
      </c>
      <c r="C546" s="14" t="s">
        <v>202</v>
      </c>
      <c r="D546" s="20" t="s">
        <v>1497</v>
      </c>
      <c r="E546" s="15" t="str">
        <f>HYPERLINK("https://stat100.ameba.jp/tnk47/ratio20/illustrations/card/ill_74593_0_natsuyuenchikoshihikari03.jpg?202008-5-RELEASE-marathon-486", "■")</f>
        <v>■</v>
      </c>
      <c r="F546" s="14" t="s">
        <v>1498</v>
      </c>
      <c r="G546" s="14">
        <v>259994</v>
      </c>
      <c r="H546" s="14">
        <v>241708</v>
      </c>
      <c r="I546" s="14">
        <v>24</v>
      </c>
      <c r="J546" s="14" t="s">
        <v>283</v>
      </c>
      <c r="K546" s="14" t="s">
        <v>1499</v>
      </c>
      <c r="L546" s="14" t="s">
        <v>1500</v>
      </c>
      <c r="M546" s="14" t="s">
        <v>9158</v>
      </c>
      <c r="N546" s="14" t="s">
        <v>9158</v>
      </c>
      <c r="O546" s="19" t="s">
        <v>2731</v>
      </c>
      <c r="P546" s="14" t="s">
        <v>2732</v>
      </c>
      <c r="Q546" s="14">
        <v>1</v>
      </c>
    </row>
    <row r="547" spans="1:17">
      <c r="A547" s="14" t="s">
        <v>5618</v>
      </c>
      <c r="B547" s="14" t="s">
        <v>52</v>
      </c>
      <c r="C547" s="14" t="s">
        <v>23</v>
      </c>
      <c r="D547" s="19" t="s">
        <v>665</v>
      </c>
      <c r="E547" s="15" t="str">
        <f>HYPERLINK("https://stat100.ameba.jp/tnk47/ratio20/illustrations/card/ill_63173_0_minazukikonakaiteruko03.jpg?202008-5-RELEASE-marathon-486", "■")</f>
        <v>■</v>
      </c>
      <c r="F547" s="14" t="s">
        <v>1188</v>
      </c>
      <c r="G547" s="14">
        <v>208310</v>
      </c>
      <c r="H547" s="14">
        <v>224026</v>
      </c>
      <c r="I547" s="14">
        <v>24</v>
      </c>
      <c r="J547" s="14" t="s">
        <v>143</v>
      </c>
      <c r="K547" s="14" t="s">
        <v>1189</v>
      </c>
      <c r="L547" s="14" t="s">
        <v>1190</v>
      </c>
      <c r="M547" s="14" t="s">
        <v>9158</v>
      </c>
      <c r="N547" s="14" t="s">
        <v>9158</v>
      </c>
      <c r="O547" s="19" t="s">
        <v>10079</v>
      </c>
      <c r="P547" s="14" t="s">
        <v>3329</v>
      </c>
      <c r="Q547" s="14">
        <v>1</v>
      </c>
    </row>
    <row r="548" spans="1:17">
      <c r="A548" s="14" t="s">
        <v>5622</v>
      </c>
      <c r="B548" s="14" t="s">
        <v>330</v>
      </c>
      <c r="C548" s="14" t="s">
        <v>335</v>
      </c>
      <c r="D548" s="19" t="s">
        <v>1043</v>
      </c>
      <c r="E548" s="15" t="str">
        <f>HYPERLINK("https://stat100.ameba.jp/tnk47/ratio20/illustrations/card/ill_49953_0_yushamarihime03.jpg?202008-5-RELEASE-marathon-486", "■")</f>
        <v>■</v>
      </c>
      <c r="F548" s="14" t="s">
        <v>510</v>
      </c>
      <c r="G548" s="14">
        <v>150776</v>
      </c>
      <c r="H548" s="14">
        <v>133938</v>
      </c>
      <c r="I548" s="14">
        <v>24</v>
      </c>
      <c r="J548" s="14" t="s">
        <v>315</v>
      </c>
      <c r="K548" s="14" t="s">
        <v>511</v>
      </c>
      <c r="L548" s="14" t="s">
        <v>512</v>
      </c>
      <c r="M548" s="14" t="s">
        <v>9158</v>
      </c>
      <c r="N548" s="14" t="s">
        <v>9158</v>
      </c>
      <c r="O548" s="14" t="s">
        <v>9158</v>
      </c>
      <c r="P548" s="14" t="s">
        <v>9158</v>
      </c>
      <c r="Q548" s="14" t="s">
        <v>9158</v>
      </c>
    </row>
    <row r="549" spans="1:17">
      <c r="A549" s="14">
        <v>90803</v>
      </c>
      <c r="B549" s="14" t="s">
        <v>0</v>
      </c>
      <c r="C549" s="14" t="s">
        <v>14357</v>
      </c>
      <c r="D549" s="14" t="s">
        <v>14415</v>
      </c>
      <c r="E549" s="15" t="str">
        <f>HYPERLINK("https://stat100.ameba.jp/tnk47/ratio20/illustrations/card/ill_90803_natsumatsurijingukogo03.jpg?202008-5-RELEASE-marathon-486", "■")</f>
        <v>■</v>
      </c>
      <c r="F549" s="14" t="s">
        <v>14414</v>
      </c>
      <c r="G549" s="14">
        <v>101558</v>
      </c>
      <c r="H549" s="14">
        <v>94390</v>
      </c>
      <c r="I549" s="7">
        <v>26</v>
      </c>
      <c r="J549" s="14" t="s">
        <v>14285</v>
      </c>
      <c r="K549" s="14" t="s">
        <v>14413</v>
      </c>
      <c r="L549" s="14" t="s">
        <v>14412</v>
      </c>
      <c r="M549" s="14" t="s">
        <v>9158</v>
      </c>
      <c r="N549" s="14" t="s">
        <v>9158</v>
      </c>
      <c r="O549" s="14" t="s">
        <v>9158</v>
      </c>
      <c r="P549" s="14" t="s">
        <v>9158</v>
      </c>
      <c r="Q549" s="14" t="s">
        <v>9158</v>
      </c>
    </row>
    <row r="550" spans="1:17">
      <c r="A550" s="14">
        <v>90813</v>
      </c>
      <c r="B550" s="14" t="s">
        <v>15</v>
      </c>
      <c r="C550" s="14" t="s">
        <v>14300</v>
      </c>
      <c r="D550" s="14" t="s">
        <v>14419</v>
      </c>
      <c r="E550" s="15" t="str">
        <f>HYPERLINK("https://stat100.ameba.jp/tnk47/ratio20/illustrations/card/ill_90813_meidohinotomiko03.jpg?202008-5-RELEASE-marathon-486", "■")</f>
        <v>■</v>
      </c>
      <c r="F550" s="14" t="s">
        <v>14418</v>
      </c>
      <c r="G550" s="14">
        <v>69898</v>
      </c>
      <c r="H550" s="14">
        <v>77064</v>
      </c>
      <c r="I550" s="7">
        <v>26</v>
      </c>
      <c r="J550" s="14" t="s">
        <v>14303</v>
      </c>
      <c r="K550" s="14" t="s">
        <v>14417</v>
      </c>
      <c r="L550" s="14" t="s">
        <v>14416</v>
      </c>
      <c r="M550" s="14" t="s">
        <v>9158</v>
      </c>
      <c r="N550" s="14" t="s">
        <v>9158</v>
      </c>
      <c r="O550" s="14" t="s">
        <v>9158</v>
      </c>
      <c r="P550" s="14" t="s">
        <v>9158</v>
      </c>
      <c r="Q550" s="14" t="s">
        <v>9158</v>
      </c>
    </row>
    <row r="551" spans="1:17">
      <c r="A551" s="14">
        <v>90823</v>
      </c>
      <c r="B551" s="14" t="s">
        <v>14405</v>
      </c>
      <c r="C551" s="14" t="s">
        <v>14306</v>
      </c>
      <c r="D551" s="14" t="s">
        <v>14423</v>
      </c>
      <c r="E551" s="15" t="str">
        <f>HYPERLINK("https://stat100.ameba.jp/tnk47/ratio20/illustrations/card/ill_90823_korakufumakotaro03.jpg?202008-5-RELEASE-marathon-486", "■")</f>
        <v>■</v>
      </c>
      <c r="F551" s="14" t="s">
        <v>14422</v>
      </c>
      <c r="G551" s="14">
        <v>54058</v>
      </c>
      <c r="H551" s="14">
        <v>44948</v>
      </c>
      <c r="I551" s="7">
        <v>26</v>
      </c>
      <c r="J551" s="14" t="s">
        <v>14297</v>
      </c>
      <c r="K551" s="14" t="s">
        <v>14421</v>
      </c>
      <c r="L551" s="14" t="s">
        <v>14420</v>
      </c>
      <c r="M551" s="14" t="s">
        <v>9158</v>
      </c>
      <c r="N551" s="14" t="s">
        <v>9158</v>
      </c>
      <c r="O551" s="14" t="s">
        <v>9158</v>
      </c>
      <c r="P551" s="14" t="s">
        <v>9158</v>
      </c>
      <c r="Q551" s="14" t="s">
        <v>9158</v>
      </c>
    </row>
    <row r="552" spans="1:17">
      <c r="A552" s="14">
        <v>90833</v>
      </c>
      <c r="B552" s="14" t="s">
        <v>14405</v>
      </c>
      <c r="C552" s="14" t="s">
        <v>14428</v>
      </c>
      <c r="D552" s="14" t="s">
        <v>14427</v>
      </c>
      <c r="E552" s="15" t="str">
        <f>HYPERLINK("https://stat100.ameba.jp/tnk47/ratio20/illustrations/card/ill_90833_yubarimeronsan03.jpg?202008-5-RELEASE-marathon-486", "■")</f>
        <v>■</v>
      </c>
      <c r="F552" s="14" t="s">
        <v>14426</v>
      </c>
      <c r="G552" s="14">
        <v>44948</v>
      </c>
      <c r="H552" s="14">
        <v>54058</v>
      </c>
      <c r="I552" s="7">
        <v>26</v>
      </c>
      <c r="J552" s="14" t="s">
        <v>14354</v>
      </c>
      <c r="K552" s="14" t="s">
        <v>14425</v>
      </c>
      <c r="L552" s="14" t="s">
        <v>14424</v>
      </c>
      <c r="M552" s="14" t="s">
        <v>9158</v>
      </c>
      <c r="N552" s="14" t="s">
        <v>9158</v>
      </c>
      <c r="O552" s="14" t="s">
        <v>9158</v>
      </c>
      <c r="P552" s="14" t="s">
        <v>9158</v>
      </c>
      <c r="Q552" s="14" t="s">
        <v>9158</v>
      </c>
    </row>
    <row r="554" spans="1:17">
      <c r="A554" s="14" t="s">
        <v>14387</v>
      </c>
    </row>
    <row r="555" spans="1:17">
      <c r="A555" s="14" t="s">
        <v>14439</v>
      </c>
    </row>
    <row r="556" spans="1:17">
      <c r="A556" s="7" t="s">
        <v>8437</v>
      </c>
      <c r="B556" s="7" t="s">
        <v>52</v>
      </c>
      <c r="C556" s="7" t="s">
        <v>202</v>
      </c>
      <c r="D556" s="20" t="s">
        <v>10806</v>
      </c>
      <c r="E556" s="15" t="str">
        <f>HYPERLINK("https://stat100.ameba.jp/tnk47/ratio20/illustrations/card/ill_85523_0_seitankuronikurukusumotoine03.jpg?202008-5-RELEASE-marathon-486", "■")</f>
        <v>■</v>
      </c>
      <c r="F556" s="7" t="s">
        <v>8440</v>
      </c>
      <c r="G556" s="7">
        <v>327089</v>
      </c>
      <c r="H556" s="7">
        <v>295640</v>
      </c>
      <c r="I556" s="7">
        <v>27</v>
      </c>
      <c r="J556" s="14" t="s">
        <v>77</v>
      </c>
      <c r="K556" s="7" t="s">
        <v>8446</v>
      </c>
      <c r="L556" s="7" t="s">
        <v>8439</v>
      </c>
      <c r="M556" s="14" t="s">
        <v>9158</v>
      </c>
      <c r="N556" s="14" t="s">
        <v>9158</v>
      </c>
      <c r="O556" s="19" t="s">
        <v>10133</v>
      </c>
      <c r="P556" s="7" t="s">
        <v>8441</v>
      </c>
      <c r="Q556" s="7">
        <v>1</v>
      </c>
    </row>
    <row r="557" spans="1:17">
      <c r="A557" s="14" t="s">
        <v>5619</v>
      </c>
      <c r="B557" s="14" t="s">
        <v>330</v>
      </c>
      <c r="C557" s="14" t="s">
        <v>202</v>
      </c>
      <c r="D557" s="19" t="s">
        <v>10348</v>
      </c>
      <c r="E557" s="15" t="str">
        <f>HYPERLINK("https://stat100.ameba.jp/tnk47/ratio20/illustrations/card/ill_81183_0_shinryokunokisetsuamaterasu03.jpg?202008-5-RELEASE-marathon-486", "■")</f>
        <v>■</v>
      </c>
      <c r="F557" s="14" t="s">
        <v>4505</v>
      </c>
      <c r="G557" s="14">
        <v>283637</v>
      </c>
      <c r="H557" s="14">
        <v>313857</v>
      </c>
      <c r="I557" s="14">
        <v>27</v>
      </c>
      <c r="J557" s="14" t="s">
        <v>44</v>
      </c>
      <c r="K557" s="14" t="s">
        <v>4506</v>
      </c>
      <c r="L557" s="14" t="s">
        <v>4507</v>
      </c>
      <c r="M557" s="14" t="s">
        <v>9158</v>
      </c>
      <c r="N557" s="14" t="s">
        <v>9158</v>
      </c>
      <c r="O557" s="19" t="s">
        <v>10083</v>
      </c>
      <c r="P557" s="14" t="s">
        <v>4509</v>
      </c>
      <c r="Q557" s="14">
        <v>0</v>
      </c>
    </row>
    <row r="558" spans="1:17">
      <c r="A558" s="14" t="s">
        <v>5612</v>
      </c>
      <c r="B558" s="14" t="s">
        <v>52</v>
      </c>
      <c r="C558" s="14" t="s">
        <v>165</v>
      </c>
      <c r="D558" s="19" t="s">
        <v>789</v>
      </c>
      <c r="E558" s="15" t="str">
        <f>HYPERLINK("https://stat100.ameba.jp/tnk47/ratio20/illustrations/card/ill_49193_0_onmyoudouabenoseimei03.jpg?202008-5-RELEASE-marathon-486", "■")</f>
        <v>■</v>
      </c>
      <c r="F558" s="14" t="s">
        <v>1896</v>
      </c>
      <c r="G558" s="14">
        <v>145100</v>
      </c>
      <c r="H558" s="14">
        <v>163342</v>
      </c>
      <c r="I558" s="14">
        <v>26</v>
      </c>
      <c r="J558" s="14" t="s">
        <v>10</v>
      </c>
      <c r="K558" s="14" t="s">
        <v>1897</v>
      </c>
      <c r="L558" s="14" t="s">
        <v>1898</v>
      </c>
      <c r="M558" s="14" t="s">
        <v>9158</v>
      </c>
      <c r="N558" s="14" t="s">
        <v>9158</v>
      </c>
      <c r="O558" s="14" t="s">
        <v>9158</v>
      </c>
      <c r="P558" s="14" t="s">
        <v>9158</v>
      </c>
      <c r="Q558" s="14" t="s">
        <v>9158</v>
      </c>
    </row>
    <row r="559" spans="1:17">
      <c r="A559" s="14">
        <v>76803</v>
      </c>
      <c r="B559" s="14" t="s">
        <v>334</v>
      </c>
      <c r="C559" s="14" t="s">
        <v>202</v>
      </c>
      <c r="D559" s="19" t="s">
        <v>673</v>
      </c>
      <c r="E559" s="15" t="str">
        <f>HYPERLINK("https://stat100.ameba.jp/tnk47/ratio20/illustrations/card/ill_76803_monsutakujirachan03.jpg?202008-5-RELEASE-marathon-486", "■")</f>
        <v>■</v>
      </c>
      <c r="F559" s="14" t="s">
        <v>674</v>
      </c>
      <c r="G559" s="14">
        <v>172982</v>
      </c>
      <c r="H559" s="14">
        <v>125296</v>
      </c>
      <c r="I559" s="14">
        <v>26</v>
      </c>
      <c r="J559" s="14" t="s">
        <v>283</v>
      </c>
      <c r="K559" s="14" t="s">
        <v>675</v>
      </c>
      <c r="L559" s="14" t="s">
        <v>435</v>
      </c>
      <c r="M559" s="14" t="s">
        <v>9158</v>
      </c>
      <c r="N559" s="14" t="s">
        <v>9158</v>
      </c>
      <c r="O559" s="19" t="s">
        <v>3165</v>
      </c>
      <c r="P559" s="14" t="s">
        <v>13139</v>
      </c>
      <c r="Q559" s="14">
        <v>1</v>
      </c>
    </row>
    <row r="560" spans="1:17">
      <c r="A560" s="14">
        <v>77673</v>
      </c>
      <c r="B560" s="14" t="s">
        <v>334</v>
      </c>
      <c r="C560" s="14" t="s">
        <v>158</v>
      </c>
      <c r="D560" s="19" t="s">
        <v>10270</v>
      </c>
      <c r="E560" s="15" t="str">
        <f>HYPERLINK("https://stat100.ameba.jp/tnk47/ratio20/illustrations/card/ill_77673_ryunochoji03.jpg?202008-5-RELEASE-marathon-486", "■")</f>
        <v>■</v>
      </c>
      <c r="F560" s="14" t="s">
        <v>1777</v>
      </c>
      <c r="G560" s="14">
        <v>121240</v>
      </c>
      <c r="H560" s="14">
        <v>87834</v>
      </c>
      <c r="I560" s="14">
        <v>26</v>
      </c>
      <c r="J560" s="14" t="s">
        <v>73</v>
      </c>
      <c r="K560" s="14" t="s">
        <v>1778</v>
      </c>
      <c r="L560" s="14" t="s">
        <v>1779</v>
      </c>
      <c r="M560" s="14" t="s">
        <v>9158</v>
      </c>
      <c r="N560" s="14" t="s">
        <v>9158</v>
      </c>
      <c r="O560" s="19" t="s">
        <v>10090</v>
      </c>
      <c r="P560" s="14" t="s">
        <v>3460</v>
      </c>
      <c r="Q560" s="14">
        <v>1</v>
      </c>
    </row>
    <row r="561" spans="1:17">
      <c r="A561" s="14">
        <v>79513</v>
      </c>
      <c r="B561" s="14" t="s">
        <v>334</v>
      </c>
      <c r="C561" s="14" t="s">
        <v>209</v>
      </c>
      <c r="D561" s="19" t="s">
        <v>10404</v>
      </c>
      <c r="E561" s="15" t="str">
        <f>HYPERLINK("https://stat100.ameba.jp/tnk47/ratio20/illustrations/card/ill_79513_suzafuonia03.jpg?202008-5-RELEASE-marathon-486", "■")</f>
        <v>■</v>
      </c>
      <c r="F561" s="14" t="s">
        <v>3529</v>
      </c>
      <c r="G561" s="14">
        <v>82318</v>
      </c>
      <c r="H561" s="14">
        <v>113630</v>
      </c>
      <c r="I561" s="14">
        <v>26</v>
      </c>
      <c r="J561" s="14" t="s">
        <v>10</v>
      </c>
      <c r="K561" s="14" t="s">
        <v>3532</v>
      </c>
      <c r="L561" s="14" t="s">
        <v>12</v>
      </c>
      <c r="M561" s="14" t="s">
        <v>9158</v>
      </c>
      <c r="N561" s="14" t="s">
        <v>9158</v>
      </c>
      <c r="O561" s="19" t="s">
        <v>2917</v>
      </c>
      <c r="P561" s="14" t="s">
        <v>3531</v>
      </c>
      <c r="Q561" s="14">
        <v>1</v>
      </c>
    </row>
    <row r="562" spans="1:17">
      <c r="A562" s="7">
        <v>85653</v>
      </c>
      <c r="B562" s="7" t="s">
        <v>0</v>
      </c>
      <c r="C562" s="14" t="s">
        <v>158</v>
      </c>
      <c r="D562" s="20" t="s">
        <v>10846</v>
      </c>
      <c r="E562" s="15" t="str">
        <f>HYPERLINK("https://stat100.ameba.jp/tnk47/ratio20/illustrations/card/ill_85653_onashiefumizuno03.jpg?202008-5-RELEASE-marathon-486", "■")</f>
        <v>■</v>
      </c>
      <c r="F562" s="7" t="s">
        <v>8587</v>
      </c>
      <c r="G562" s="7">
        <v>99532</v>
      </c>
      <c r="H562" s="7">
        <v>137430</v>
      </c>
      <c r="I562" s="7">
        <v>26</v>
      </c>
      <c r="J562" s="7" t="s">
        <v>216</v>
      </c>
      <c r="K562" s="7" t="s">
        <v>8586</v>
      </c>
      <c r="L562" s="7" t="s">
        <v>131</v>
      </c>
      <c r="M562" s="14" t="s">
        <v>9158</v>
      </c>
      <c r="N562" s="14" t="s">
        <v>9158</v>
      </c>
      <c r="O562" s="19" t="s">
        <v>4074</v>
      </c>
      <c r="P562" s="14" t="s">
        <v>3462</v>
      </c>
      <c r="Q562" s="14">
        <v>1</v>
      </c>
    </row>
    <row r="563" spans="1:17">
      <c r="A563" s="14">
        <v>75873</v>
      </c>
      <c r="B563" s="14" t="s">
        <v>334</v>
      </c>
      <c r="C563" s="14" t="s">
        <v>209</v>
      </c>
      <c r="D563" s="19" t="s">
        <v>10221</v>
      </c>
      <c r="E563" s="15" t="str">
        <f>HYPERLINK("https://stat100.ameba.jp/tnk47/ratio20/illustrations/card/ill_75873_harajukuroriitachan03.jpg?202008-5-RELEASE-marathon-486", "■")</f>
        <v>■</v>
      </c>
      <c r="F563" s="14" t="s">
        <v>1945</v>
      </c>
      <c r="G563" s="14">
        <v>114176</v>
      </c>
      <c r="H563" s="14">
        <v>122786</v>
      </c>
      <c r="I563" s="14">
        <v>26</v>
      </c>
      <c r="J563" s="14" t="s">
        <v>26</v>
      </c>
      <c r="K563" s="14" t="s">
        <v>1946</v>
      </c>
      <c r="L563" s="14" t="s">
        <v>1947</v>
      </c>
      <c r="M563" s="14" t="s">
        <v>9158</v>
      </c>
      <c r="N563" s="14" t="s">
        <v>9158</v>
      </c>
      <c r="O563" s="19" t="s">
        <v>2752</v>
      </c>
      <c r="P563" s="14" t="s">
        <v>13123</v>
      </c>
      <c r="Q563" s="14">
        <v>1</v>
      </c>
    </row>
    <row r="564" spans="1:17">
      <c r="A564" s="14">
        <v>76793</v>
      </c>
      <c r="B564" s="14" t="s">
        <v>334</v>
      </c>
      <c r="C564" s="14" t="s">
        <v>268</v>
      </c>
      <c r="D564" s="20" t="s">
        <v>425</v>
      </c>
      <c r="E564" s="15" t="str">
        <f>HYPERLINK("https://stat100.ameba.jp/tnk47/ratio20/illustrations/card/ill_76793_monsutatamatebako03.jpg?202008-5-RELEASE-marathon-486", "■")</f>
        <v>■</v>
      </c>
      <c r="F564" s="14" t="s">
        <v>426</v>
      </c>
      <c r="G564" s="14">
        <v>118000</v>
      </c>
      <c r="H564" s="14">
        <v>85492</v>
      </c>
      <c r="I564" s="14">
        <v>26</v>
      </c>
      <c r="J564" s="14" t="s">
        <v>274</v>
      </c>
      <c r="K564" s="14" t="s">
        <v>427</v>
      </c>
      <c r="L564" s="14" t="s">
        <v>428</v>
      </c>
      <c r="M564" s="14" t="s">
        <v>9158</v>
      </c>
      <c r="N564" s="14" t="s">
        <v>9158</v>
      </c>
      <c r="O564" s="19" t="s">
        <v>3037</v>
      </c>
      <c r="P564" s="14" t="s">
        <v>13128</v>
      </c>
      <c r="Q564" s="14">
        <v>1</v>
      </c>
    </row>
    <row r="566" spans="1:17">
      <c r="A566" s="14" t="s">
        <v>14323</v>
      </c>
    </row>
    <row r="567" spans="1:17">
      <c r="A567" s="14" t="s">
        <v>14440</v>
      </c>
    </row>
    <row r="568" spans="1:17">
      <c r="A568" s="14" t="s">
        <v>5891</v>
      </c>
      <c r="B568" s="14" t="s">
        <v>330</v>
      </c>
      <c r="C568" s="14" t="s">
        <v>202</v>
      </c>
      <c r="D568" s="20" t="s">
        <v>1371</v>
      </c>
      <c r="E568" s="15" t="str">
        <f>HYPERLINK("https://stat100.ameba.jp/tnk47/ratio20/illustrations/card/ill_77173_0_yukemuritomoegozen03.jpg?202008-5-RELEASE-marathon-486x", "■")</f>
        <v>■</v>
      </c>
      <c r="F568" s="14" t="s">
        <v>1372</v>
      </c>
      <c r="G568" s="14">
        <v>250610</v>
      </c>
      <c r="H568" s="14">
        <v>277283</v>
      </c>
      <c r="I568" s="14">
        <v>25</v>
      </c>
      <c r="J568" s="14" t="s">
        <v>310</v>
      </c>
      <c r="K568" s="14" t="s">
        <v>1373</v>
      </c>
      <c r="L568" s="14" t="s">
        <v>1374</v>
      </c>
      <c r="M568" s="14" t="s">
        <v>9158</v>
      </c>
      <c r="N568" s="14" t="s">
        <v>9158</v>
      </c>
      <c r="O568" s="19" t="s">
        <v>4067</v>
      </c>
      <c r="P568" s="14" t="s">
        <v>3879</v>
      </c>
      <c r="Q568" s="14">
        <v>2</v>
      </c>
    </row>
    <row r="569" spans="1:17">
      <c r="A569" s="16">
        <v>75853</v>
      </c>
      <c r="B569" s="14" t="s">
        <v>334</v>
      </c>
      <c r="C569" s="14" t="s">
        <v>41</v>
      </c>
      <c r="D569" s="19" t="s">
        <v>10224</v>
      </c>
      <c r="E569" s="15" t="str">
        <f>HYPERLINK("https://stat100.ameba.jp/tnk47/ratio20/illustrations/card/ill_75853_moruganoyuki03.jpg?202008-5-RELEASE-marathon-486x", "■")</f>
        <v>■</v>
      </c>
      <c r="F569" s="14" t="s">
        <v>5106</v>
      </c>
      <c r="G569" s="14">
        <v>120000</v>
      </c>
      <c r="H569" s="14">
        <v>111576</v>
      </c>
      <c r="I569" s="14">
        <v>24</v>
      </c>
      <c r="J569" s="14" t="s">
        <v>16</v>
      </c>
      <c r="K569" s="14" t="s">
        <v>5108</v>
      </c>
      <c r="L569" s="14" t="s">
        <v>1881</v>
      </c>
      <c r="M569" s="14" t="s">
        <v>9158</v>
      </c>
      <c r="N569" s="14" t="s">
        <v>9158</v>
      </c>
      <c r="O569" s="7" t="s">
        <v>3578</v>
      </c>
      <c r="P569" s="14" t="s">
        <v>3579</v>
      </c>
      <c r="Q569" s="14">
        <v>1</v>
      </c>
    </row>
    <row r="570" spans="1:17">
      <c r="A570" s="14">
        <v>78133</v>
      </c>
      <c r="B570" s="14" t="s">
        <v>0</v>
      </c>
      <c r="C570" s="14" t="s">
        <v>154</v>
      </c>
      <c r="D570" s="20" t="s">
        <v>10313</v>
      </c>
      <c r="E570" s="15" t="str">
        <f>HYPERLINK("https://stat100.ameba.jp/tnk47/ratio20/illustrations/card/ill_78133_akazukin03.jpg?202008-5-RELEASE-marathon-486x", "■")</f>
        <v>■</v>
      </c>
      <c r="F570" s="14" t="s">
        <v>2202</v>
      </c>
      <c r="G570" s="14">
        <v>88706</v>
      </c>
      <c r="H570" s="14">
        <v>122476</v>
      </c>
      <c r="I570" s="14">
        <v>24</v>
      </c>
      <c r="J570" s="14" t="s">
        <v>38</v>
      </c>
      <c r="K570" s="14" t="s">
        <v>2203</v>
      </c>
      <c r="L570" s="14" t="s">
        <v>2204</v>
      </c>
      <c r="M570" s="14" t="s">
        <v>9158</v>
      </c>
      <c r="N570" s="14" t="s">
        <v>9158</v>
      </c>
      <c r="O570" s="19" t="s">
        <v>2917</v>
      </c>
      <c r="P570" s="14" t="s">
        <v>3531</v>
      </c>
      <c r="Q570" s="14">
        <v>1</v>
      </c>
    </row>
    <row r="571" spans="1:17">
      <c r="A571" s="14">
        <v>68693</v>
      </c>
      <c r="B571" s="14" t="s">
        <v>334</v>
      </c>
      <c r="C571" s="14" t="s">
        <v>154</v>
      </c>
      <c r="D571" s="20" t="s">
        <v>10232</v>
      </c>
      <c r="E571" s="15" t="str">
        <f>HYPERLINK("https://stat100.ameba.jp/tnk47/ratio20/illustrations/card/ill_68693_mayoiga03.jpg?202008-5-RELEASE-marathon-486x", "■")</f>
        <v>■</v>
      </c>
      <c r="F571" s="14" t="s">
        <v>3466</v>
      </c>
      <c r="G571" s="14">
        <v>126858</v>
      </c>
      <c r="H571" s="14">
        <v>91876</v>
      </c>
      <c r="I571" s="14">
        <v>24</v>
      </c>
      <c r="J571" s="14" t="s">
        <v>73</v>
      </c>
      <c r="K571" s="14" t="s">
        <v>3467</v>
      </c>
      <c r="L571" s="14" t="s">
        <v>3468</v>
      </c>
      <c r="M571" s="14" t="s">
        <v>9158</v>
      </c>
      <c r="N571" s="14" t="s">
        <v>9158</v>
      </c>
      <c r="O571" s="19" t="s">
        <v>3037</v>
      </c>
      <c r="P571" s="14" t="s">
        <v>13128</v>
      </c>
      <c r="Q571" s="14">
        <v>1</v>
      </c>
    </row>
    <row r="573" spans="1:17">
      <c r="A573" s="14" t="s">
        <v>14319</v>
      </c>
    </row>
    <row r="574" spans="1:17">
      <c r="A574" s="14" t="s">
        <v>14441</v>
      </c>
    </row>
    <row r="575" spans="1:17">
      <c r="A575" s="14" t="s">
        <v>5650</v>
      </c>
      <c r="B575" s="14" t="s">
        <v>52</v>
      </c>
      <c r="C575" s="14" t="s">
        <v>23</v>
      </c>
      <c r="D575" s="20" t="s">
        <v>809</v>
      </c>
      <c r="E575" s="15" t="str">
        <f>HYPERLINK("https://stat100.ameba.jp/tnk47/ratio20/illustrations/card/ill_68033_0_kurisumasupateikandamyojin03.jpg?202008-5-RELEASE-marathon-486x", "■")</f>
        <v>■</v>
      </c>
      <c r="F575" s="14" t="s">
        <v>1871</v>
      </c>
      <c r="G575" s="14">
        <v>158951</v>
      </c>
      <c r="H575" s="14">
        <v>170984</v>
      </c>
      <c r="I575" s="14">
        <v>25</v>
      </c>
      <c r="J575" s="14" t="s">
        <v>44</v>
      </c>
      <c r="K575" s="14" t="s">
        <v>1872</v>
      </c>
      <c r="L575" s="14" t="s">
        <v>1873</v>
      </c>
      <c r="M575" s="14" t="s">
        <v>9158</v>
      </c>
      <c r="N575" s="14" t="s">
        <v>9158</v>
      </c>
      <c r="O575" s="19" t="s">
        <v>2997</v>
      </c>
      <c r="P575" s="14" t="s">
        <v>3483</v>
      </c>
      <c r="Q575" s="14">
        <v>2</v>
      </c>
    </row>
    <row r="576" spans="1:17">
      <c r="A576" s="14">
        <v>88323</v>
      </c>
      <c r="B576" s="14" t="s">
        <v>0</v>
      </c>
      <c r="C576" s="14" t="s">
        <v>205</v>
      </c>
      <c r="D576" s="18" t="s">
        <v>12019</v>
      </c>
      <c r="E576" s="15" t="str">
        <f>HYPERLINK("https://stat100.ameba.jp/tnk47/ratio20/illustrations/card/ill_88323_hanamibakedanuki03.jpg?202008-5-RELEASE-marathon-486x", "■")</f>
        <v>■</v>
      </c>
      <c r="F576" s="14" t="s">
        <v>12020</v>
      </c>
      <c r="G576" s="14">
        <v>100744</v>
      </c>
      <c r="H576" s="14">
        <v>108330</v>
      </c>
      <c r="I576" s="14">
        <v>26</v>
      </c>
      <c r="J576" s="14" t="s">
        <v>73</v>
      </c>
      <c r="K576" s="14" t="s">
        <v>12021</v>
      </c>
      <c r="L576" s="14" t="s">
        <v>12022</v>
      </c>
      <c r="M576" s="14" t="s">
        <v>9158</v>
      </c>
      <c r="N576" s="14" t="s">
        <v>9158</v>
      </c>
      <c r="O576" s="6" t="s">
        <v>10064</v>
      </c>
      <c r="P576" s="7" t="s">
        <v>13150</v>
      </c>
      <c r="Q576" s="7">
        <v>1</v>
      </c>
    </row>
    <row r="577" spans="1:18">
      <c r="A577" s="14">
        <v>86223</v>
      </c>
      <c r="B577" s="14" t="s">
        <v>0</v>
      </c>
      <c r="C577" s="14" t="s">
        <v>191</v>
      </c>
      <c r="D577" s="20" t="s">
        <v>10881</v>
      </c>
      <c r="E577" s="15" t="str">
        <f>HYPERLINK("https://stat100.ameba.jp/tnk47/ratio20/illustrations/card/ill_86223_oshogatsumiyoshino03.jpg?202008-5-RELEASE-marathon-486x", "■")</f>
        <v>■</v>
      </c>
      <c r="F577" s="14" t="s">
        <v>8871</v>
      </c>
      <c r="G577" s="14">
        <v>94390</v>
      </c>
      <c r="H577" s="14">
        <v>101558</v>
      </c>
      <c r="I577" s="14">
        <v>26</v>
      </c>
      <c r="J577" s="14" t="s">
        <v>187</v>
      </c>
      <c r="K577" s="14" t="s">
        <v>8845</v>
      </c>
      <c r="L577" s="14" t="s">
        <v>13212</v>
      </c>
      <c r="M577" s="14" t="s">
        <v>9158</v>
      </c>
      <c r="N577" s="14" t="s">
        <v>9158</v>
      </c>
      <c r="O577" s="19" t="s">
        <v>10119</v>
      </c>
      <c r="P577" s="14" t="s">
        <v>3662</v>
      </c>
      <c r="Q577" s="14">
        <v>1</v>
      </c>
    </row>
    <row r="578" spans="1:18">
      <c r="A578" s="14">
        <v>74553</v>
      </c>
      <c r="B578" s="14" t="s">
        <v>0</v>
      </c>
      <c r="C578" s="14" t="s">
        <v>107</v>
      </c>
      <c r="D578" s="19" t="s">
        <v>10389</v>
      </c>
      <c r="E578" s="15" t="str">
        <f>HYPERLINK("https://stat100.ameba.jp/tnk47/ratio20/illustrations/card/ill_74553_natsuyuenchikusumotoine03.jpg?202008-5-RELEASE-marathon-486x", "■")</f>
        <v>■</v>
      </c>
      <c r="F578" s="14" t="s">
        <v>4109</v>
      </c>
      <c r="G578" s="14">
        <v>105426</v>
      </c>
      <c r="H578" s="14">
        <v>98066</v>
      </c>
      <c r="I578" s="14">
        <v>26</v>
      </c>
      <c r="J578" s="14" t="s">
        <v>16</v>
      </c>
      <c r="K578" s="14" t="s">
        <v>4110</v>
      </c>
      <c r="L578" s="14" t="s">
        <v>1149</v>
      </c>
      <c r="M578" s="14" t="s">
        <v>9158</v>
      </c>
      <c r="N578" s="14" t="s">
        <v>9158</v>
      </c>
      <c r="O578" s="19" t="s">
        <v>10090</v>
      </c>
      <c r="P578" s="14" t="s">
        <v>3460</v>
      </c>
      <c r="Q578" s="14">
        <v>1</v>
      </c>
    </row>
    <row r="580" spans="1:18">
      <c r="A580" s="14" t="s">
        <v>14079</v>
      </c>
    </row>
    <row r="581" spans="1:18">
      <c r="A581" s="14" t="s">
        <v>5954</v>
      </c>
    </row>
    <row r="582" spans="1:18">
      <c r="A582" s="14">
        <v>87735</v>
      </c>
      <c r="B582" s="14" t="s">
        <v>0</v>
      </c>
      <c r="C582" s="14" t="s">
        <v>202</v>
      </c>
      <c r="D582" s="14" t="s">
        <v>14110</v>
      </c>
      <c r="E582" s="15" t="str">
        <f>HYPERLINK("https://stat100.ameba.jp/tnk47/ratio20/illustrations/card/ill_87735_seikasodatsusemmizutakisan05.jpg?202008-5-RELEASE-marathon-486x", "■")</f>
        <v>■</v>
      </c>
      <c r="F582" s="14" t="s">
        <v>14115</v>
      </c>
      <c r="G582" s="14">
        <v>156089</v>
      </c>
      <c r="H582" s="14">
        <v>112999</v>
      </c>
      <c r="I582" s="7">
        <v>27</v>
      </c>
      <c r="J582" s="14" t="s">
        <v>13869</v>
      </c>
      <c r="K582" s="14" t="s">
        <v>14114</v>
      </c>
      <c r="L582" s="14" t="s">
        <v>14113</v>
      </c>
      <c r="M582" s="14" t="s">
        <v>9158</v>
      </c>
      <c r="N582" s="14" t="s">
        <v>9158</v>
      </c>
      <c r="O582" s="14" t="s">
        <v>9158</v>
      </c>
      <c r="P582" s="14" t="s">
        <v>9158</v>
      </c>
      <c r="Q582" s="14" t="s">
        <v>9158</v>
      </c>
      <c r="R582" s="14" t="s">
        <v>174</v>
      </c>
    </row>
    <row r="583" spans="1:18">
      <c r="A583" s="14">
        <v>87733</v>
      </c>
      <c r="B583" s="14" t="s">
        <v>15</v>
      </c>
      <c r="C583" s="14" t="s">
        <v>158</v>
      </c>
      <c r="D583" s="14" t="s">
        <v>14110</v>
      </c>
      <c r="E583" s="15" t="str">
        <f>HYPERLINK("https://stat100.ameba.jp/tnk47/ratio20/illustrations/card/ill_87733_seikasodatsusemmizutakisan03.jpg?202008-5-RELEASE-marathon-486x", "■")</f>
        <v>■</v>
      </c>
      <c r="F583" s="14" t="s">
        <v>14115</v>
      </c>
      <c r="G583" s="14">
        <v>112787</v>
      </c>
      <c r="H583" s="14">
        <v>81668</v>
      </c>
      <c r="I583" s="14">
        <v>27</v>
      </c>
      <c r="J583" s="14" t="s">
        <v>13869</v>
      </c>
      <c r="K583" s="14" t="s">
        <v>14114</v>
      </c>
      <c r="L583" s="14" t="s">
        <v>14116</v>
      </c>
      <c r="M583" s="14" t="s">
        <v>9158</v>
      </c>
      <c r="N583" s="14" t="s">
        <v>9158</v>
      </c>
      <c r="O583" s="14" t="s">
        <v>9158</v>
      </c>
      <c r="P583" s="14" t="s">
        <v>9158</v>
      </c>
      <c r="Q583" s="14" t="s">
        <v>9158</v>
      </c>
      <c r="R583" s="14" t="s">
        <v>175</v>
      </c>
    </row>
    <row r="584" spans="1:18">
      <c r="A584" s="14">
        <v>87731</v>
      </c>
      <c r="B584" s="14" t="s">
        <v>15</v>
      </c>
      <c r="C584" s="14" t="s">
        <v>203</v>
      </c>
      <c r="D584" s="14" t="s">
        <v>14110</v>
      </c>
      <c r="E584" s="15" t="str">
        <f>HYPERLINK("https://stat100.ameba.jp/tnk47/ratio20/illustrations/card/ill_87731_seikasodatsusemmizutakisan01.jpg?202008-5-RELEASE-marathon-486x", "■")</f>
        <v>■</v>
      </c>
      <c r="F584" s="14" t="s">
        <v>14115</v>
      </c>
      <c r="G584" s="14">
        <v>65421</v>
      </c>
      <c r="H584" s="14">
        <v>47358</v>
      </c>
      <c r="I584" s="7">
        <v>27</v>
      </c>
      <c r="J584" s="14" t="s">
        <v>13869</v>
      </c>
      <c r="K584" s="14" t="s">
        <v>14114</v>
      </c>
      <c r="L584" s="14" t="s">
        <v>14117</v>
      </c>
      <c r="M584" s="14" t="s">
        <v>9158</v>
      </c>
      <c r="N584" s="14" t="s">
        <v>9158</v>
      </c>
      <c r="O584" s="14" t="s">
        <v>9158</v>
      </c>
      <c r="P584" s="14" t="s">
        <v>9158</v>
      </c>
      <c r="Q584" s="14" t="s">
        <v>9158</v>
      </c>
      <c r="R584" s="14" t="s">
        <v>176</v>
      </c>
    </row>
    <row r="585" spans="1:18">
      <c r="A585" s="14">
        <v>78825</v>
      </c>
      <c r="B585" s="14" t="s">
        <v>0</v>
      </c>
      <c r="C585" s="14" t="s">
        <v>202</v>
      </c>
      <c r="D585" s="14" t="s">
        <v>14111</v>
      </c>
      <c r="E585" s="15" t="str">
        <f>HYPERLINK("https://stat100.ameba.jp/tnk47/ratio20/illustrations/card/ill_78825_waishatsuononokomachi05.jpg?202008-5-RELEASE-marathon-486x", "■")</f>
        <v>■</v>
      </c>
      <c r="F585" s="14" t="s">
        <v>14120</v>
      </c>
      <c r="G585" s="14">
        <v>126936</v>
      </c>
      <c r="H585" s="14">
        <v>91905</v>
      </c>
      <c r="I585" s="14">
        <v>27</v>
      </c>
      <c r="J585" s="14" t="s">
        <v>13900</v>
      </c>
      <c r="K585" s="14" t="s">
        <v>14119</v>
      </c>
      <c r="L585" s="14" t="s">
        <v>14118</v>
      </c>
      <c r="M585" s="14" t="s">
        <v>9158</v>
      </c>
      <c r="N585" s="14" t="s">
        <v>9158</v>
      </c>
      <c r="O585" s="14" t="s">
        <v>9158</v>
      </c>
      <c r="P585" s="14" t="s">
        <v>9158</v>
      </c>
      <c r="Q585" s="14" t="s">
        <v>9158</v>
      </c>
      <c r="R585" s="14" t="s">
        <v>174</v>
      </c>
    </row>
    <row r="586" spans="1:18">
      <c r="A586" s="14">
        <v>78823</v>
      </c>
      <c r="B586" s="14" t="s">
        <v>15</v>
      </c>
      <c r="C586" s="14" t="s">
        <v>209</v>
      </c>
      <c r="D586" s="14" t="s">
        <v>14111</v>
      </c>
      <c r="E586" s="15" t="str">
        <f>HYPERLINK("https://stat100.ameba.jp/tnk47/ratio20/illustrations/card/ill_78823_waishatsuononokomachi03.jpg?202008-5-RELEASE-marathon-486x", "■")</f>
        <v>■</v>
      </c>
      <c r="F586" s="14" t="s">
        <v>14120</v>
      </c>
      <c r="G586" s="14">
        <v>93515</v>
      </c>
      <c r="H586" s="14">
        <v>67709</v>
      </c>
      <c r="I586" s="7">
        <v>27</v>
      </c>
      <c r="J586" s="14" t="s">
        <v>13900</v>
      </c>
      <c r="K586" s="14" t="s">
        <v>14119</v>
      </c>
      <c r="L586" s="14" t="s">
        <v>14121</v>
      </c>
      <c r="M586" s="14" t="s">
        <v>9158</v>
      </c>
      <c r="N586" s="14" t="s">
        <v>9158</v>
      </c>
      <c r="O586" s="14" t="s">
        <v>9158</v>
      </c>
      <c r="P586" s="14" t="s">
        <v>9158</v>
      </c>
      <c r="Q586" s="14" t="s">
        <v>9158</v>
      </c>
      <c r="R586" s="14" t="s">
        <v>175</v>
      </c>
    </row>
    <row r="587" spans="1:18">
      <c r="A587" s="14">
        <v>78821</v>
      </c>
      <c r="B587" s="14" t="s">
        <v>15</v>
      </c>
      <c r="C587" s="14" t="s">
        <v>209</v>
      </c>
      <c r="D587" s="14" t="s">
        <v>14111</v>
      </c>
      <c r="E587" s="15" t="str">
        <f>HYPERLINK("https://stat100.ameba.jp/tnk47/ratio20/illustrations/card/ill_78821_waishatsuononokomachi01.jpg?202008-5-RELEASE-marathon-486x", "■")</f>
        <v>■</v>
      </c>
      <c r="F587" s="14" t="s">
        <v>14120</v>
      </c>
      <c r="G587" s="14">
        <v>59481</v>
      </c>
      <c r="H587" s="14">
        <v>43065</v>
      </c>
      <c r="I587" s="14">
        <v>27</v>
      </c>
      <c r="J587" s="14" t="s">
        <v>13900</v>
      </c>
      <c r="K587" s="14" t="s">
        <v>14119</v>
      </c>
      <c r="L587" s="14" t="s">
        <v>14122</v>
      </c>
      <c r="M587" s="14" t="s">
        <v>9158</v>
      </c>
      <c r="N587" s="14" t="s">
        <v>9158</v>
      </c>
      <c r="O587" s="14" t="s">
        <v>9158</v>
      </c>
      <c r="P587" s="14" t="s">
        <v>9158</v>
      </c>
      <c r="Q587" s="14" t="s">
        <v>9158</v>
      </c>
      <c r="R587" s="14" t="s">
        <v>176</v>
      </c>
    </row>
    <row r="588" spans="1:18">
      <c r="A588" s="14">
        <v>84315</v>
      </c>
      <c r="B588" s="14" t="s">
        <v>0</v>
      </c>
      <c r="C588" s="14" t="s">
        <v>202</v>
      </c>
      <c r="D588" s="14" t="s">
        <v>14112</v>
      </c>
      <c r="E588" s="15" t="str">
        <f>HYPERLINK("https://stat100.ameba.jp/tnk47/ratio20/illustrations/card/ill_84315_koinuru05.jpg?202008-5-RELEASE-marathon-486x", "■")</f>
        <v>■</v>
      </c>
      <c r="F588" s="14" t="s">
        <v>14125</v>
      </c>
      <c r="G588" s="14">
        <v>95431</v>
      </c>
      <c r="H588" s="14">
        <v>131805</v>
      </c>
      <c r="I588" s="7">
        <v>27</v>
      </c>
      <c r="J588" s="14" t="s">
        <v>13847</v>
      </c>
      <c r="K588" s="14" t="s">
        <v>14124</v>
      </c>
      <c r="L588" s="14" t="s">
        <v>14123</v>
      </c>
      <c r="M588" s="14" t="s">
        <v>9158</v>
      </c>
      <c r="N588" s="14" t="s">
        <v>9158</v>
      </c>
      <c r="O588" s="14" t="s">
        <v>9158</v>
      </c>
      <c r="P588" s="14" t="s">
        <v>9158</v>
      </c>
      <c r="Q588" s="14" t="s">
        <v>9158</v>
      </c>
      <c r="R588" s="14" t="s">
        <v>174</v>
      </c>
    </row>
    <row r="589" spans="1:18">
      <c r="A589" s="14">
        <v>84313</v>
      </c>
      <c r="B589" s="14" t="s">
        <v>15</v>
      </c>
      <c r="C589" s="14" t="s">
        <v>158</v>
      </c>
      <c r="D589" s="14" t="s">
        <v>14112</v>
      </c>
      <c r="E589" s="15" t="str">
        <f>HYPERLINK("https://stat100.ameba.jp/tnk47/ratio20/illustrations/card/ill_84313_koinuru03.jpg?202008-5-RELEASE-marathon-486x", "■")</f>
        <v>■</v>
      </c>
      <c r="F589" s="14" t="s">
        <v>14125</v>
      </c>
      <c r="G589" s="14">
        <v>70303</v>
      </c>
      <c r="H589" s="14">
        <v>97110</v>
      </c>
      <c r="I589" s="14">
        <v>27</v>
      </c>
      <c r="J589" s="14" t="s">
        <v>13847</v>
      </c>
      <c r="K589" s="14" t="s">
        <v>14124</v>
      </c>
      <c r="L589" s="14" t="s">
        <v>14126</v>
      </c>
      <c r="M589" s="14" t="s">
        <v>9158</v>
      </c>
      <c r="N589" s="14" t="s">
        <v>9158</v>
      </c>
      <c r="O589" s="14" t="s">
        <v>9158</v>
      </c>
      <c r="P589" s="14" t="s">
        <v>9158</v>
      </c>
      <c r="Q589" s="14" t="s">
        <v>9158</v>
      </c>
      <c r="R589" s="14" t="s">
        <v>175</v>
      </c>
    </row>
    <row r="590" spans="1:18">
      <c r="A590" s="14">
        <v>84311</v>
      </c>
      <c r="B590" s="14" t="s">
        <v>15</v>
      </c>
      <c r="C590" s="14" t="s">
        <v>203</v>
      </c>
      <c r="D590" s="14" t="s">
        <v>14112</v>
      </c>
      <c r="E590" s="15" t="str">
        <f>HYPERLINK("https://stat100.ameba.jp/tnk47/ratio20/illustrations/card/ill_84311_koinuru01.jpg?202008-5-RELEASE-marathon-486x", "■")</f>
        <v>■</v>
      </c>
      <c r="F590" s="14" t="s">
        <v>14125</v>
      </c>
      <c r="G590" s="14">
        <v>44739</v>
      </c>
      <c r="H590" s="14">
        <v>61776</v>
      </c>
      <c r="I590" s="7">
        <v>27</v>
      </c>
      <c r="J590" s="14" t="s">
        <v>13847</v>
      </c>
      <c r="K590" s="14" t="s">
        <v>14124</v>
      </c>
      <c r="L590" s="14" t="s">
        <v>14127</v>
      </c>
      <c r="M590" s="14" t="s">
        <v>9158</v>
      </c>
      <c r="N590" s="14" t="s">
        <v>9158</v>
      </c>
      <c r="O590" s="14" t="s">
        <v>9158</v>
      </c>
      <c r="P590" s="14" t="s">
        <v>9158</v>
      </c>
      <c r="Q590" s="14" t="s">
        <v>9158</v>
      </c>
      <c r="R590" s="14" t="s">
        <v>176</v>
      </c>
    </row>
  </sheetData>
  <phoneticPr fontId="1"/>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FF353-7163-4547-AFD2-39CD86E2A9D7}">
  <dimension ref="A1:S602"/>
  <sheetViews>
    <sheetView zoomScale="55" zoomScaleNormal="55" workbookViewId="0">
      <pane ySplit="1" topLeftCell="A415" activePane="bottomLeft" state="frozen"/>
      <selection activeCell="Q158" sqref="A158:Q158"/>
      <selection pane="bottomLeft" activeCell="D428" sqref="D428"/>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13450</v>
      </c>
    </row>
    <row r="4" spans="1:19">
      <c r="A4" s="14" t="s">
        <v>13481</v>
      </c>
    </row>
    <row r="5" spans="1:19">
      <c r="A5" s="14" t="s">
        <v>13482</v>
      </c>
    </row>
    <row r="6" spans="1:19">
      <c r="A6" s="14" t="s">
        <v>13435</v>
      </c>
      <c r="B6" s="7" t="s">
        <v>52</v>
      </c>
      <c r="C6" s="14" t="s">
        <v>202</v>
      </c>
      <c r="D6" s="18" t="s">
        <v>13434</v>
      </c>
      <c r="E6" s="15" t="str">
        <f>HYPERLINK("https://stat100.ameba.jp/tnk47/ratio20/illustrations/card/ill_91073_0_mizugiaidorusarukanigassen03.jpg?202008-5-RELEASE-marathon-486x", "■")</f>
        <v>■</v>
      </c>
      <c r="F6" s="14" t="s">
        <v>13436</v>
      </c>
      <c r="G6" s="14">
        <v>358719</v>
      </c>
      <c r="H6" s="14">
        <v>324206</v>
      </c>
      <c r="I6" s="7">
        <v>31</v>
      </c>
      <c r="J6" s="14" t="s">
        <v>38</v>
      </c>
      <c r="K6" s="14" t="s">
        <v>13437</v>
      </c>
      <c r="L6" s="14" t="s">
        <v>13438</v>
      </c>
      <c r="M6" s="14" t="s">
        <v>9158</v>
      </c>
      <c r="N6" s="14" t="s">
        <v>9158</v>
      </c>
      <c r="O6" s="6" t="s">
        <v>13439</v>
      </c>
      <c r="P6" s="7" t="s">
        <v>13440</v>
      </c>
      <c r="Q6" s="7">
        <v>1</v>
      </c>
    </row>
    <row r="7" spans="1:19">
      <c r="A7" s="14">
        <v>91013</v>
      </c>
      <c r="B7" s="14" t="s">
        <v>0</v>
      </c>
      <c r="C7" s="14" t="s">
        <v>14</v>
      </c>
      <c r="D7" s="18" t="s">
        <v>13451</v>
      </c>
      <c r="E7" s="15" t="str">
        <f>HYPERLINK("https://stat100.ameba.jp/tnk47/ratio20/illustrations/card/ill_91013_mizugiaidorusakurambochan03.jpg?202008-5-RELEASE-marathon-486x", "■")</f>
        <v>■</v>
      </c>
      <c r="F7" s="14" t="s">
        <v>13452</v>
      </c>
      <c r="G7" s="14">
        <v>127507</v>
      </c>
      <c r="H7" s="14">
        <v>118568</v>
      </c>
      <c r="I7" s="14">
        <v>27</v>
      </c>
      <c r="J7" s="14" t="s">
        <v>104</v>
      </c>
      <c r="K7" s="14" t="s">
        <v>13454</v>
      </c>
      <c r="L7" s="14" t="s">
        <v>12340</v>
      </c>
      <c r="M7" s="14" t="s">
        <v>9158</v>
      </c>
      <c r="N7" s="14" t="s">
        <v>9158</v>
      </c>
      <c r="O7" s="6" t="s">
        <v>3768</v>
      </c>
      <c r="P7" s="7" t="s">
        <v>13453</v>
      </c>
      <c r="Q7" s="7">
        <v>1</v>
      </c>
    </row>
    <row r="8" spans="1:19">
      <c r="A8" s="14">
        <v>91023</v>
      </c>
      <c r="B8" s="14" t="s">
        <v>0</v>
      </c>
      <c r="C8" s="14" t="s">
        <v>101</v>
      </c>
      <c r="D8" s="18" t="s">
        <v>13455</v>
      </c>
      <c r="E8" s="15" t="str">
        <f>HYPERLINK("https://stat100.ameba.jp/tnk47/ratio20/illustrations/card/ill_91023_mizugiaidoruhangakugozen03.jpg?202008-5-RELEASE-marathon-486x", "■")</f>
        <v>■</v>
      </c>
      <c r="F8" s="14" t="s">
        <v>13456</v>
      </c>
      <c r="G8" s="14">
        <v>149240</v>
      </c>
      <c r="H8" s="14">
        <v>160507</v>
      </c>
      <c r="I8" s="14">
        <v>27</v>
      </c>
      <c r="J8" s="14" t="s">
        <v>143</v>
      </c>
      <c r="K8" s="14" t="s">
        <v>13457</v>
      </c>
      <c r="L8" s="14" t="s">
        <v>12026</v>
      </c>
      <c r="M8" s="14" t="s">
        <v>2138</v>
      </c>
      <c r="N8" s="14" t="s">
        <v>2139</v>
      </c>
      <c r="O8" s="14" t="s">
        <v>9158</v>
      </c>
      <c r="P8" s="14" t="s">
        <v>9158</v>
      </c>
      <c r="Q8" s="14" t="s">
        <v>9158</v>
      </c>
      <c r="R8" s="14" t="s">
        <v>13120</v>
      </c>
    </row>
    <row r="9" spans="1:19">
      <c r="A9" s="14">
        <v>91033</v>
      </c>
      <c r="B9" s="14" t="s">
        <v>0</v>
      </c>
      <c r="C9" s="14" t="s">
        <v>1</v>
      </c>
      <c r="D9" s="18" t="s">
        <v>13458</v>
      </c>
      <c r="E9" s="15" t="str">
        <f>HYPERLINK("https://stat100.ameba.jp/tnk47/ratio20/illustrations/card/ill_91033_mizugiaidorukendama03.jpg?202008-5-RELEASE-marathon-486x", "■")</f>
        <v>■</v>
      </c>
      <c r="F9" s="14" t="s">
        <v>13459</v>
      </c>
      <c r="G9" s="14">
        <v>127507</v>
      </c>
      <c r="H9" s="14">
        <v>118568</v>
      </c>
      <c r="I9" s="14">
        <v>27</v>
      </c>
      <c r="J9" s="14" t="s">
        <v>38</v>
      </c>
      <c r="K9" s="14" t="s">
        <v>13461</v>
      </c>
      <c r="L9" s="14" t="s">
        <v>13460</v>
      </c>
      <c r="M9" s="14" t="s">
        <v>2138</v>
      </c>
      <c r="N9" s="14" t="s">
        <v>2139</v>
      </c>
      <c r="O9" s="14" t="s">
        <v>9158</v>
      </c>
      <c r="P9" s="14" t="s">
        <v>9158</v>
      </c>
      <c r="Q9" s="14" t="s">
        <v>9158</v>
      </c>
      <c r="R9" s="14" t="s">
        <v>13120</v>
      </c>
    </row>
    <row r="10" spans="1:19">
      <c r="A10" s="14">
        <v>91043</v>
      </c>
      <c r="B10" s="14" t="s">
        <v>15</v>
      </c>
      <c r="C10" s="14" t="s">
        <v>23</v>
      </c>
      <c r="D10" s="18" t="s">
        <v>13462</v>
      </c>
      <c r="E10" s="15" t="str">
        <f>HYPERLINK("https://stat100.ameba.jp/tnk47/ratio20/illustrations/card/ill_91043_aidorutochiotomechan03.jpg?202008-5-RELEASE-marathon-486x", "■")</f>
        <v>■</v>
      </c>
      <c r="F10" s="14" t="s">
        <v>13463</v>
      </c>
      <c r="G10" s="14">
        <v>69898</v>
      </c>
      <c r="H10" s="14">
        <v>77064</v>
      </c>
      <c r="I10" s="14">
        <v>26</v>
      </c>
      <c r="J10" s="14" t="s">
        <v>104</v>
      </c>
      <c r="K10" s="14" t="s">
        <v>13464</v>
      </c>
      <c r="L10" s="14" t="s">
        <v>2154</v>
      </c>
      <c r="M10" s="14" t="s">
        <v>9158</v>
      </c>
      <c r="N10" s="14" t="s">
        <v>9158</v>
      </c>
      <c r="O10" s="14" t="s">
        <v>9158</v>
      </c>
      <c r="P10" s="14" t="s">
        <v>9158</v>
      </c>
      <c r="Q10" s="14" t="s">
        <v>9158</v>
      </c>
    </row>
    <row r="11" spans="1:19">
      <c r="A11" s="14">
        <v>91053</v>
      </c>
      <c r="B11" s="14" t="s">
        <v>15</v>
      </c>
      <c r="C11" s="14" t="s">
        <v>96</v>
      </c>
      <c r="D11" s="18" t="s">
        <v>13465</v>
      </c>
      <c r="E11" s="15" t="str">
        <f>HYPERLINK("https://stat100.ameba.jp/tnk47/ratio20/illustrations/card/ill_91053_tomokazuki03.jpg?202008-5-RELEASE-marathon-486x", "■")</f>
        <v>■</v>
      </c>
      <c r="F11" s="14" t="s">
        <v>13466</v>
      </c>
      <c r="G11" s="14">
        <v>77064</v>
      </c>
      <c r="H11" s="14">
        <v>69898</v>
      </c>
      <c r="I11" s="14">
        <v>26</v>
      </c>
      <c r="J11" s="14" t="s">
        <v>73</v>
      </c>
      <c r="K11" s="14" t="s">
        <v>13467</v>
      </c>
      <c r="L11" s="14" t="s">
        <v>2150</v>
      </c>
      <c r="M11" s="14" t="s">
        <v>9158</v>
      </c>
      <c r="N11" s="14" t="s">
        <v>9158</v>
      </c>
      <c r="O11" s="14" t="s">
        <v>9158</v>
      </c>
      <c r="P11" s="14" t="s">
        <v>9158</v>
      </c>
      <c r="Q11" s="14" t="s">
        <v>9158</v>
      </c>
    </row>
    <row r="12" spans="1:19">
      <c r="A12" s="14">
        <v>91063</v>
      </c>
      <c r="B12" s="14" t="s">
        <v>15</v>
      </c>
      <c r="C12" s="14" t="s">
        <v>107</v>
      </c>
      <c r="D12" s="18" t="s">
        <v>13468</v>
      </c>
      <c r="E12" s="15" t="str">
        <f>HYPERLINK("https://stat100.ameba.jp/tnk47/ratio20/illustrations/card/ill_91063_hanamizugiryuguneko03.jpg?202008-5-RELEASE-marathon-486x", "■")</f>
        <v>■</v>
      </c>
      <c r="F12" s="14" t="s">
        <v>13469</v>
      </c>
      <c r="G12" s="14">
        <v>69898</v>
      </c>
      <c r="H12" s="14">
        <v>77064</v>
      </c>
      <c r="I12" s="14">
        <v>26</v>
      </c>
      <c r="J12" s="14" t="s">
        <v>38</v>
      </c>
      <c r="K12" s="14" t="s">
        <v>13470</v>
      </c>
      <c r="L12" s="14" t="s">
        <v>5922</v>
      </c>
      <c r="M12" s="14" t="s">
        <v>9158</v>
      </c>
      <c r="N12" s="14" t="s">
        <v>9158</v>
      </c>
      <c r="O12" s="14" t="s">
        <v>9158</v>
      </c>
      <c r="P12" s="14" t="s">
        <v>9158</v>
      </c>
      <c r="Q12" s="14" t="s">
        <v>9158</v>
      </c>
    </row>
    <row r="13" spans="1:19">
      <c r="A13" s="14">
        <v>91083</v>
      </c>
      <c r="B13" s="14" t="s">
        <v>22</v>
      </c>
      <c r="C13" s="14" t="s">
        <v>1</v>
      </c>
      <c r="D13" s="18" t="s">
        <v>13471</v>
      </c>
      <c r="E13" s="15" t="str">
        <f>HYPERLINK("https://stat100.ameba.jp/tnk47/ratio20/illustrations/card/ill_91083_umibirakifugusashichan03.jpg?202008-5-RELEASE-marathon-486x", "■")</f>
        <v>■</v>
      </c>
      <c r="F13" s="14" t="s">
        <v>13472</v>
      </c>
      <c r="G13" s="14">
        <v>38032</v>
      </c>
      <c r="H13" s="14">
        <v>45742</v>
      </c>
      <c r="I13" s="14">
        <v>22</v>
      </c>
      <c r="J13" s="14" t="s">
        <v>104</v>
      </c>
      <c r="K13" s="14" t="s">
        <v>13473</v>
      </c>
      <c r="L13" s="14" t="s">
        <v>8875</v>
      </c>
      <c r="M13" s="14" t="s">
        <v>9158</v>
      </c>
      <c r="N13" s="14" t="s">
        <v>9158</v>
      </c>
      <c r="O13" s="14" t="s">
        <v>9158</v>
      </c>
      <c r="P13" s="14" t="s">
        <v>9158</v>
      </c>
      <c r="Q13" s="14" t="s">
        <v>9158</v>
      </c>
    </row>
    <row r="14" spans="1:19">
      <c r="A14" s="14">
        <v>91093</v>
      </c>
      <c r="B14" s="14" t="s">
        <v>22</v>
      </c>
      <c r="C14" s="14" t="s">
        <v>101</v>
      </c>
      <c r="D14" s="18" t="s">
        <v>13474</v>
      </c>
      <c r="E14" s="15" t="str">
        <f>HYPERLINK("https://stat100.ameba.jp/tnk47/ratio20/illustrations/card/ill_91093_sengokumibirakishikkenken03.jpg?202008-5-RELEASE-marathon-486x", "■")</f>
        <v>■</v>
      </c>
      <c r="F14" s="14" t="s">
        <v>13475</v>
      </c>
      <c r="G14" s="14">
        <v>45742</v>
      </c>
      <c r="H14" s="14">
        <v>38032</v>
      </c>
      <c r="I14" s="14">
        <v>22</v>
      </c>
      <c r="J14" s="14" t="s">
        <v>73</v>
      </c>
      <c r="K14" s="14" t="s">
        <v>13476</v>
      </c>
      <c r="L14" s="14" t="s">
        <v>5412</v>
      </c>
      <c r="M14" s="14" t="s">
        <v>9158</v>
      </c>
      <c r="N14" s="14" t="s">
        <v>9158</v>
      </c>
      <c r="O14" s="14" t="s">
        <v>9158</v>
      </c>
      <c r="P14" s="14" t="s">
        <v>9158</v>
      </c>
      <c r="Q14" s="14" t="s">
        <v>9158</v>
      </c>
    </row>
    <row r="15" spans="1:19">
      <c r="A15" s="14">
        <v>91103</v>
      </c>
      <c r="B15" s="14" t="s">
        <v>30</v>
      </c>
      <c r="C15" s="14" t="s">
        <v>13708</v>
      </c>
      <c r="D15" s="18" t="s">
        <v>13707</v>
      </c>
      <c r="E15" s="15" t="str">
        <f>HYPERLINK("https://stat100.ameba.jp/tnk47/ratio20/illustrations/card/ill_91103_umibirakiyozenin03.jpg?202008-5-RELEASE-marathon-486x", "■")</f>
        <v>■</v>
      </c>
      <c r="F15" s="14" t="s">
        <v>13711</v>
      </c>
      <c r="G15" s="7" t="s">
        <v>12934</v>
      </c>
      <c r="H15" s="7" t="s">
        <v>12934</v>
      </c>
      <c r="I15" s="14">
        <v>19</v>
      </c>
      <c r="J15" s="14" t="s">
        <v>13683</v>
      </c>
      <c r="K15" s="7" t="s">
        <v>12934</v>
      </c>
      <c r="L15" s="7" t="s">
        <v>12934</v>
      </c>
      <c r="M15" s="14" t="s">
        <v>9158</v>
      </c>
      <c r="N15" s="14" t="s">
        <v>9158</v>
      </c>
      <c r="O15" s="14" t="s">
        <v>9158</v>
      </c>
      <c r="P15" s="14" t="s">
        <v>9158</v>
      </c>
      <c r="Q15" s="14" t="s">
        <v>9158</v>
      </c>
    </row>
    <row r="16" spans="1:19">
      <c r="A16" s="14">
        <v>91113</v>
      </c>
      <c r="B16" s="14" t="s">
        <v>30</v>
      </c>
      <c r="C16" s="14" t="s">
        <v>13704</v>
      </c>
      <c r="D16" s="18" t="s">
        <v>13709</v>
      </c>
      <c r="E16" s="15" t="str">
        <f>HYPERLINK("https://stat100.ameba.jp/tnk47/ratio20/illustrations/card/ill_91113_hanamizugikamejuhime03.jpg?202008-5-RELEASE-marathon-486x", "■")</f>
        <v>■</v>
      </c>
      <c r="F16" s="14" t="s">
        <v>13712</v>
      </c>
      <c r="G16" s="7" t="s">
        <v>12934</v>
      </c>
      <c r="H16" s="7" t="s">
        <v>12934</v>
      </c>
      <c r="I16" s="14">
        <v>19</v>
      </c>
      <c r="J16" s="14" t="s">
        <v>13683</v>
      </c>
      <c r="K16" s="7" t="s">
        <v>12934</v>
      </c>
      <c r="L16" s="7" t="s">
        <v>12934</v>
      </c>
      <c r="M16" s="14" t="s">
        <v>9158</v>
      </c>
      <c r="N16" s="14" t="s">
        <v>9158</v>
      </c>
      <c r="O16" s="14" t="s">
        <v>9158</v>
      </c>
      <c r="P16" s="14" t="s">
        <v>9158</v>
      </c>
      <c r="Q16" s="14" t="s">
        <v>9158</v>
      </c>
    </row>
    <row r="17" spans="1:18">
      <c r="D17" s="7"/>
    </row>
    <row r="18" spans="1:18">
      <c r="A18" t="s">
        <v>13483</v>
      </c>
      <c r="B18"/>
      <c r="C18"/>
      <c r="D18"/>
      <c r="E18"/>
      <c r="F18"/>
      <c r="G18"/>
      <c r="H18"/>
      <c r="I18"/>
      <c r="J18"/>
      <c r="K18"/>
      <c r="L18"/>
      <c r="M18"/>
      <c r="N18"/>
      <c r="O18"/>
      <c r="P18"/>
      <c r="Q18"/>
      <c r="R18"/>
    </row>
    <row r="19" spans="1:18">
      <c r="A19" t="s">
        <v>6017</v>
      </c>
      <c r="B19"/>
      <c r="C19"/>
      <c r="D19"/>
      <c r="E19"/>
      <c r="F19"/>
      <c r="G19"/>
      <c r="H19"/>
      <c r="I19"/>
      <c r="J19"/>
      <c r="K19"/>
      <c r="L19"/>
      <c r="M19"/>
      <c r="N19"/>
      <c r="O19"/>
      <c r="P19"/>
      <c r="Q19"/>
      <c r="R19"/>
    </row>
    <row r="20" spans="1:18">
      <c r="A20" s="14">
        <v>91165</v>
      </c>
      <c r="B20" s="14" t="s">
        <v>334</v>
      </c>
      <c r="C20" s="14" t="s">
        <v>35</v>
      </c>
      <c r="D20" s="14" t="s">
        <v>13425</v>
      </c>
      <c r="E20" s="15" t="str">
        <f>HYPERLINK("https://stat100.ameba.jp/tnk47/ratio20/illustrations/card/ill_91165_mizugimanejayukioni05.jpg?202008-5-RELEASE-marathon-486x", "■")</f>
        <v>■</v>
      </c>
      <c r="F20" s="14" t="s">
        <v>13433</v>
      </c>
      <c r="G20" s="14">
        <v>139208</v>
      </c>
      <c r="H20" s="14">
        <v>100785</v>
      </c>
      <c r="I20" s="14">
        <v>27</v>
      </c>
      <c r="J20" s="14" t="s">
        <v>38</v>
      </c>
      <c r="K20" s="14" t="s">
        <v>13426</v>
      </c>
      <c r="L20" s="14" t="s">
        <v>13427</v>
      </c>
      <c r="M20" s="14" t="s">
        <v>9158</v>
      </c>
      <c r="N20" s="14" t="s">
        <v>9158</v>
      </c>
      <c r="O20" s="14" t="s">
        <v>9158</v>
      </c>
      <c r="P20" s="14" t="s">
        <v>9158</v>
      </c>
      <c r="Q20" s="14" t="s">
        <v>9158</v>
      </c>
      <c r="R20" s="14" t="s">
        <v>174</v>
      </c>
    </row>
    <row r="21" spans="1:18">
      <c r="A21" s="14">
        <v>91163</v>
      </c>
      <c r="B21" s="14" t="s">
        <v>15</v>
      </c>
      <c r="C21" s="14" t="s">
        <v>13428</v>
      </c>
      <c r="D21" s="14" t="s">
        <v>13425</v>
      </c>
      <c r="E21" s="15" t="str">
        <f>HYPERLINK("https://stat100.ameba.jp/tnk47/ratio20/illustrations/card/ill_91163_mizugimanejayukioni03.jpg?202008-5-RELEASE-marathon-486x", "■")</f>
        <v>■</v>
      </c>
      <c r="F21" s="14" t="s">
        <v>13433</v>
      </c>
      <c r="G21" s="14">
        <v>102529</v>
      </c>
      <c r="H21" s="14">
        <v>74253</v>
      </c>
      <c r="I21" s="14">
        <v>27</v>
      </c>
      <c r="J21" s="14" t="s">
        <v>38</v>
      </c>
      <c r="K21" s="14" t="s">
        <v>13426</v>
      </c>
      <c r="L21" s="14" t="s">
        <v>13429</v>
      </c>
      <c r="M21" s="14" t="s">
        <v>9158</v>
      </c>
      <c r="N21" s="14" t="s">
        <v>9158</v>
      </c>
      <c r="O21" s="14" t="s">
        <v>9158</v>
      </c>
      <c r="P21" s="14" t="s">
        <v>9158</v>
      </c>
      <c r="Q21" s="14" t="s">
        <v>9158</v>
      </c>
      <c r="R21" s="14" t="s">
        <v>175</v>
      </c>
    </row>
    <row r="22" spans="1:18">
      <c r="A22" s="14">
        <v>91161</v>
      </c>
      <c r="B22" s="14" t="s">
        <v>15</v>
      </c>
      <c r="C22" s="14" t="s">
        <v>13428</v>
      </c>
      <c r="D22" s="14" t="s">
        <v>13425</v>
      </c>
      <c r="E22" s="15" t="str">
        <f>HYPERLINK("https://stat100.ameba.jp/tnk47/ratio20/illustrations/card/ill_91161_mizugimanejayukioni01.jpg?202008-5-RELEASE-marathon-486x", "■")</f>
        <v>■</v>
      </c>
      <c r="F22" s="14" t="s">
        <v>13433</v>
      </c>
      <c r="G22" s="14">
        <v>65232</v>
      </c>
      <c r="H22" s="14">
        <v>47223</v>
      </c>
      <c r="I22" s="14">
        <v>27</v>
      </c>
      <c r="J22" s="14" t="s">
        <v>38</v>
      </c>
      <c r="K22" s="14" t="s">
        <v>13426</v>
      </c>
      <c r="L22" s="14" t="s">
        <v>13430</v>
      </c>
      <c r="M22" s="14" t="s">
        <v>9158</v>
      </c>
      <c r="N22" s="14" t="s">
        <v>9158</v>
      </c>
      <c r="O22" s="14" t="s">
        <v>9158</v>
      </c>
      <c r="P22" s="14" t="s">
        <v>9158</v>
      </c>
      <c r="Q22" s="14" t="s">
        <v>9158</v>
      </c>
      <c r="R22" s="14" t="s">
        <v>176</v>
      </c>
    </row>
    <row r="23" spans="1:18">
      <c r="A23"/>
      <c r="B23"/>
      <c r="C23"/>
      <c r="D23"/>
      <c r="E23"/>
      <c r="F23"/>
      <c r="G23"/>
      <c r="H23"/>
      <c r="I23"/>
      <c r="J23"/>
      <c r="K23"/>
      <c r="L23"/>
      <c r="M23"/>
      <c r="N23"/>
      <c r="O23"/>
      <c r="P23"/>
      <c r="Q23"/>
      <c r="R23"/>
    </row>
    <row r="24" spans="1:18">
      <c r="A24" t="s">
        <v>13431</v>
      </c>
      <c r="B24"/>
      <c r="C24"/>
      <c r="D24"/>
      <c r="E24"/>
      <c r="F24"/>
      <c r="G24"/>
      <c r="H24"/>
      <c r="I24"/>
      <c r="J24"/>
      <c r="K24"/>
      <c r="L24"/>
      <c r="M24"/>
      <c r="N24"/>
      <c r="O24"/>
      <c r="P24"/>
      <c r="Q24"/>
      <c r="R24"/>
    </row>
    <row r="25" spans="1:18">
      <c r="A25" t="s">
        <v>13432</v>
      </c>
      <c r="B25"/>
      <c r="C25"/>
      <c r="D25"/>
      <c r="E25"/>
      <c r="F25"/>
      <c r="G25"/>
      <c r="H25"/>
      <c r="I25"/>
      <c r="J25"/>
      <c r="K25"/>
      <c r="L25"/>
      <c r="M25"/>
      <c r="N25"/>
      <c r="O25"/>
      <c r="P25"/>
      <c r="Q25"/>
      <c r="R25"/>
    </row>
    <row r="26" spans="1:18">
      <c r="A26" s="14" t="s">
        <v>7789</v>
      </c>
      <c r="B26" s="14" t="s">
        <v>52</v>
      </c>
      <c r="C26" s="14" t="s">
        <v>202</v>
      </c>
      <c r="D26" s="19" t="s">
        <v>10741</v>
      </c>
      <c r="E26" s="15" t="str">
        <f>HYPERLINK("https://stat100.ameba.jp/tnk47/ratio20/illustrations/card/ill_84923_0_onsengainansosatomihakkenden03.jpg?202008-5-RELEASE-marathon-486x", "■")</f>
        <v>■</v>
      </c>
      <c r="F26" s="14" t="s">
        <v>7792</v>
      </c>
      <c r="G26" s="14">
        <v>311915</v>
      </c>
      <c r="H26" s="14">
        <v>345111</v>
      </c>
      <c r="I26" s="14">
        <v>27</v>
      </c>
      <c r="J26" s="14" t="s">
        <v>155</v>
      </c>
      <c r="K26" s="14" t="s">
        <v>7791</v>
      </c>
      <c r="L26" s="14" t="s">
        <v>7790</v>
      </c>
      <c r="M26" s="14" t="s">
        <v>9158</v>
      </c>
      <c r="N26" s="14" t="s">
        <v>9158</v>
      </c>
      <c r="O26" s="19" t="s">
        <v>10131</v>
      </c>
      <c r="P26" s="14" t="s">
        <v>7793</v>
      </c>
      <c r="Q26" s="14">
        <v>0</v>
      </c>
      <c r="R26"/>
    </row>
    <row r="27" spans="1:18">
      <c r="A27" s="9" t="s">
        <v>9325</v>
      </c>
      <c r="B27" s="7" t="s">
        <v>52</v>
      </c>
      <c r="C27" s="9" t="s">
        <v>202</v>
      </c>
      <c r="D27" s="19" t="s">
        <v>10947</v>
      </c>
      <c r="E27" s="15" t="str">
        <f>HYPERLINK("https://stat100.ameba.jp/tnk47/ratio20/illustrations/card/ill_86893_0_chokonohisukeban03.jpg?202008-5-RELEASE-marathon-486x", "■")</f>
        <v>■</v>
      </c>
      <c r="F27" s="14" t="s">
        <v>9332</v>
      </c>
      <c r="G27" s="9">
        <v>351727</v>
      </c>
      <c r="H27" s="9">
        <v>317873</v>
      </c>
      <c r="I27" s="7">
        <v>27</v>
      </c>
      <c r="J27" s="9" t="s">
        <v>187</v>
      </c>
      <c r="K27" s="14" t="s">
        <v>9330</v>
      </c>
      <c r="L27" s="14" t="s">
        <v>9331</v>
      </c>
      <c r="M27" s="14" t="s">
        <v>9158</v>
      </c>
      <c r="N27" s="14" t="s">
        <v>9158</v>
      </c>
      <c r="O27" s="19" t="s">
        <v>10136</v>
      </c>
      <c r="P27" s="7" t="s">
        <v>9324</v>
      </c>
      <c r="Q27" s="7">
        <v>1</v>
      </c>
      <c r="R27"/>
    </row>
    <row r="28" spans="1:18">
      <c r="A28" s="14" t="s">
        <v>6508</v>
      </c>
      <c r="B28" s="14" t="s">
        <v>330</v>
      </c>
      <c r="C28" s="14" t="s">
        <v>35</v>
      </c>
      <c r="D28" s="20" t="s">
        <v>10168</v>
      </c>
      <c r="E28" s="15" t="str">
        <f>HYPERLINK("https://stat100.ameba.jp/tnk47/ratio20/illustrations/card/ill_81783_0_denshagarukoteipenginchan03.jpg?202008-5-RELEASE-marathon-486x", "■")</f>
        <v>■</v>
      </c>
      <c r="F28" s="14" t="s">
        <v>4834</v>
      </c>
      <c r="G28" s="14">
        <v>313989</v>
      </c>
      <c r="H28" s="14">
        <v>283765</v>
      </c>
      <c r="I28" s="14">
        <v>27</v>
      </c>
      <c r="J28" s="14" t="s">
        <v>26</v>
      </c>
      <c r="K28" s="14" t="s">
        <v>4836</v>
      </c>
      <c r="L28" s="14" t="s">
        <v>1783</v>
      </c>
      <c r="M28" s="14" t="s">
        <v>9158</v>
      </c>
      <c r="N28" s="14" t="s">
        <v>9158</v>
      </c>
      <c r="O28" s="19" t="s">
        <v>10124</v>
      </c>
      <c r="P28" s="14" t="s">
        <v>4838</v>
      </c>
      <c r="Q28" s="14">
        <v>1</v>
      </c>
      <c r="R28"/>
    </row>
    <row r="29" spans="1:18">
      <c r="A29" s="14" t="s">
        <v>5963</v>
      </c>
      <c r="B29" s="14" t="s">
        <v>330</v>
      </c>
      <c r="C29" s="14" t="s">
        <v>35</v>
      </c>
      <c r="D29" s="19" t="s">
        <v>10438</v>
      </c>
      <c r="E29" s="15" t="str">
        <f>HYPERLINK("https://stat100.ameba.jp/tnk47/ratio20/illustrations/card/ill_82963_0_yukatamatsuritomokazuki03.jpg?202008-5-RELEASE-marathon-486x", "■")</f>
        <v>■</v>
      </c>
      <c r="F29" s="14" t="s">
        <v>5964</v>
      </c>
      <c r="G29" s="14">
        <v>321625</v>
      </c>
      <c r="H29" s="14">
        <v>355871</v>
      </c>
      <c r="I29" s="14">
        <v>27</v>
      </c>
      <c r="J29" s="14" t="s">
        <v>73</v>
      </c>
      <c r="K29" s="14" t="s">
        <v>5966</v>
      </c>
      <c r="L29" s="14" t="s">
        <v>5967</v>
      </c>
      <c r="M29" s="14" t="s">
        <v>9158</v>
      </c>
      <c r="N29" s="14" t="s">
        <v>9158</v>
      </c>
      <c r="O29" s="19" t="s">
        <v>10115</v>
      </c>
      <c r="P29" s="14" t="s">
        <v>5968</v>
      </c>
      <c r="Q29" s="14">
        <v>1</v>
      </c>
      <c r="R29"/>
    </row>
    <row r="30" spans="1:18">
      <c r="A30" s="7" t="s">
        <v>8437</v>
      </c>
      <c r="B30" s="7" t="s">
        <v>52</v>
      </c>
      <c r="C30" s="7" t="s">
        <v>202</v>
      </c>
      <c r="D30" s="20" t="s">
        <v>10806</v>
      </c>
      <c r="E30" s="15" t="str">
        <f>HYPERLINK("https://stat100.ameba.jp/tnk47/ratio20/illustrations/card/ill_85523_0_seitankuronikurukusumotoine03.jpg?202008-5-RELEASE-marathon-486x", "■")</f>
        <v>■</v>
      </c>
      <c r="F30" s="7" t="s">
        <v>8440</v>
      </c>
      <c r="G30" s="7">
        <v>327089</v>
      </c>
      <c r="H30" s="7">
        <v>295640</v>
      </c>
      <c r="I30" s="7">
        <v>27</v>
      </c>
      <c r="J30" s="14" t="s">
        <v>77</v>
      </c>
      <c r="K30" s="7" t="s">
        <v>8446</v>
      </c>
      <c r="L30" s="7" t="s">
        <v>8439</v>
      </c>
      <c r="M30" s="14" t="s">
        <v>9158</v>
      </c>
      <c r="N30" s="14" t="s">
        <v>9158</v>
      </c>
      <c r="O30" s="19" t="s">
        <v>10133</v>
      </c>
      <c r="P30" s="7" t="s">
        <v>8441</v>
      </c>
      <c r="Q30" s="7">
        <v>1</v>
      </c>
      <c r="R30"/>
    </row>
    <row r="31" spans="1:18">
      <c r="A31" s="9">
        <v>80093</v>
      </c>
      <c r="B31" s="9" t="s">
        <v>0</v>
      </c>
      <c r="C31" s="9" t="s">
        <v>185</v>
      </c>
      <c r="D31" s="19" t="s">
        <v>3771</v>
      </c>
      <c r="E31" s="15" t="str">
        <f>HYPERLINK("https://stat100.ameba.jp/tnk47/ratio20/illustrations/card/ill_80093_kafunshuraijakotsumusume03.jpg?202008-5-RELEASE-marathon-486x", "■")</f>
        <v>■</v>
      </c>
      <c r="F31" s="9" t="s">
        <v>3772</v>
      </c>
      <c r="G31" s="9">
        <v>104619</v>
      </c>
      <c r="H31" s="9">
        <v>112496</v>
      </c>
      <c r="I31" s="14">
        <v>27</v>
      </c>
      <c r="J31" s="9" t="s">
        <v>182</v>
      </c>
      <c r="K31" s="9" t="s">
        <v>3773</v>
      </c>
      <c r="L31" s="9" t="s">
        <v>2007</v>
      </c>
      <c r="M31" s="14" t="s">
        <v>9158</v>
      </c>
      <c r="N31" s="14" t="s">
        <v>9158</v>
      </c>
      <c r="O31" s="14" t="s">
        <v>9158</v>
      </c>
      <c r="P31" s="14" t="s">
        <v>9158</v>
      </c>
      <c r="Q31" s="14" t="s">
        <v>9158</v>
      </c>
      <c r="R31"/>
    </row>
    <row r="32" spans="1:18">
      <c r="A32" s="9">
        <v>79593</v>
      </c>
      <c r="B32" s="9" t="s">
        <v>0</v>
      </c>
      <c r="C32" s="9" t="s">
        <v>200</v>
      </c>
      <c r="D32" s="19" t="s">
        <v>14600</v>
      </c>
      <c r="E32" s="15" t="str">
        <f>HYPERLINK("https://stat100.ameba.jp/tnk47/ratio20/illustrations/card/ill_79593_nabepateihonoikazuchinookami03.jpg?202008-5-RELEASE-marathon-486x", "■")</f>
        <v>■</v>
      </c>
      <c r="F32" s="9" t="s">
        <v>3572</v>
      </c>
      <c r="G32" s="9">
        <v>102386</v>
      </c>
      <c r="H32" s="9">
        <v>110129</v>
      </c>
      <c r="I32" s="14">
        <v>27</v>
      </c>
      <c r="J32" s="9" t="s">
        <v>169</v>
      </c>
      <c r="K32" s="9" t="s">
        <v>3573</v>
      </c>
      <c r="L32" s="9" t="s">
        <v>1209</v>
      </c>
      <c r="M32" s="14" t="s">
        <v>9158</v>
      </c>
      <c r="N32" s="14" t="s">
        <v>9158</v>
      </c>
      <c r="O32" s="14" t="s">
        <v>9158</v>
      </c>
      <c r="P32" s="14" t="s">
        <v>9158</v>
      </c>
      <c r="Q32" s="14" t="s">
        <v>9158</v>
      </c>
      <c r="R32" s="9"/>
    </row>
    <row r="33" spans="1:18">
      <c r="A33" s="14">
        <v>79443</v>
      </c>
      <c r="B33" s="14" t="s">
        <v>334</v>
      </c>
      <c r="C33" s="14" t="s">
        <v>191</v>
      </c>
      <c r="D33" s="19" t="s">
        <v>14601</v>
      </c>
      <c r="E33" s="15" t="str">
        <f>HYPERLINK("https://stat100.ameba.jp/tnk47/ratio20/illustrations/card/ill_79443_shogitanukinongaeshi03.jpg?202008-5-RELEASE-marathon-486x", "■")</f>
        <v>■</v>
      </c>
      <c r="F33" s="14" t="s">
        <v>3537</v>
      </c>
      <c r="G33" s="14">
        <v>114362</v>
      </c>
      <c r="H33" s="14">
        <v>123220</v>
      </c>
      <c r="I33" s="14">
        <v>27</v>
      </c>
      <c r="J33" s="14" t="s">
        <v>38</v>
      </c>
      <c r="K33" s="14" t="s">
        <v>3538</v>
      </c>
      <c r="L33" s="14" t="s">
        <v>3539</v>
      </c>
      <c r="M33" s="14" t="s">
        <v>9158</v>
      </c>
      <c r="N33" s="14" t="s">
        <v>9158</v>
      </c>
      <c r="O33" s="14" t="s">
        <v>9158</v>
      </c>
      <c r="P33" s="14" t="s">
        <v>9158</v>
      </c>
      <c r="Q33" s="14" t="s">
        <v>9158</v>
      </c>
      <c r="R33"/>
    </row>
    <row r="34" spans="1:18">
      <c r="A34" s="14">
        <v>80823</v>
      </c>
      <c r="B34" s="14" t="s">
        <v>334</v>
      </c>
      <c r="C34" s="14" t="s">
        <v>96</v>
      </c>
      <c r="D34" s="19" t="s">
        <v>14602</v>
      </c>
      <c r="E34" s="15" t="str">
        <f>HYPERLINK("https://stat100.ameba.jp/tnk47/ratio20/illustrations/card/ill_80823_utatanekitanokata03.jpg?202008-5-RELEASE-marathon-486x", "■")</f>
        <v>■</v>
      </c>
      <c r="F34" s="14" t="s">
        <v>4268</v>
      </c>
      <c r="G34" s="14">
        <v>149240</v>
      </c>
      <c r="H34" s="14">
        <v>160507</v>
      </c>
      <c r="I34" s="7">
        <v>27</v>
      </c>
      <c r="J34" s="14" t="s">
        <v>143</v>
      </c>
      <c r="K34" s="14" t="s">
        <v>4269</v>
      </c>
      <c r="L34" s="14" t="s">
        <v>1148</v>
      </c>
      <c r="M34" s="14" t="s">
        <v>9158</v>
      </c>
      <c r="N34" s="14" t="s">
        <v>9158</v>
      </c>
      <c r="O34" s="14" t="s">
        <v>9158</v>
      </c>
      <c r="P34" s="14" t="s">
        <v>9158</v>
      </c>
      <c r="Q34" s="14" t="s">
        <v>9158</v>
      </c>
      <c r="R34"/>
    </row>
    <row r="35" spans="1:18">
      <c r="A35" s="7">
        <v>85183</v>
      </c>
      <c r="B35" s="7" t="s">
        <v>0</v>
      </c>
      <c r="C35" s="7" t="s">
        <v>205</v>
      </c>
      <c r="D35" s="19" t="s">
        <v>14603</v>
      </c>
      <c r="E35" s="15" t="str">
        <f>HYPERLINK("https://stat100.ameba.jp/tnk47/ratio20/illustrations/card/ill_85183_meikokoizumiyakumo03.jpg?202008-5-RELEASE-marathon-486x", "■")</f>
        <v>■</v>
      </c>
      <c r="F35" s="7" t="s">
        <v>8025</v>
      </c>
      <c r="G35" s="14">
        <v>101837</v>
      </c>
      <c r="H35" s="14">
        <v>109481</v>
      </c>
      <c r="I35" s="9">
        <v>27</v>
      </c>
      <c r="J35" s="7" t="s">
        <v>159</v>
      </c>
      <c r="K35" s="7" t="s">
        <v>1993</v>
      </c>
      <c r="L35" s="7" t="s">
        <v>7332</v>
      </c>
      <c r="M35" s="14" t="s">
        <v>9158</v>
      </c>
      <c r="N35" s="14" t="s">
        <v>9158</v>
      </c>
      <c r="O35" s="14" t="s">
        <v>9158</v>
      </c>
      <c r="P35" s="14" t="s">
        <v>9158</v>
      </c>
      <c r="Q35" s="14" t="s">
        <v>9158</v>
      </c>
      <c r="R35"/>
    </row>
    <row r="36" spans="1:18">
      <c r="A36" s="9">
        <v>79093</v>
      </c>
      <c r="B36" s="14" t="s">
        <v>334</v>
      </c>
      <c r="C36" s="14" t="s">
        <v>206</v>
      </c>
      <c r="D36" s="14" t="s">
        <v>3394</v>
      </c>
      <c r="E36" s="15" t="str">
        <f>HYPERLINK("https://stat100.ameba.jp/tnk47/ratio20/illustrations/card/ill_79093_shinnenongakukaihakatabijin03.jpg?202008-5-RELEASE-marathon-486x", "■")</f>
        <v>■</v>
      </c>
      <c r="F36" s="14" t="s">
        <v>3395</v>
      </c>
      <c r="G36" s="14">
        <v>114362</v>
      </c>
      <c r="H36" s="14">
        <v>123002</v>
      </c>
      <c r="I36" s="14">
        <v>27</v>
      </c>
      <c r="J36" s="14" t="s">
        <v>26</v>
      </c>
      <c r="K36" s="14" t="s">
        <v>3396</v>
      </c>
      <c r="L36" s="14" t="s">
        <v>2137</v>
      </c>
      <c r="M36" s="14" t="s">
        <v>9158</v>
      </c>
      <c r="N36" s="14" t="s">
        <v>9158</v>
      </c>
      <c r="O36" s="14" t="s">
        <v>9158</v>
      </c>
      <c r="P36" s="14" t="s">
        <v>9158</v>
      </c>
      <c r="Q36" s="14" t="s">
        <v>9158</v>
      </c>
      <c r="R36"/>
    </row>
    <row r="37" spans="1:18">
      <c r="A37"/>
      <c r="B37"/>
      <c r="C37"/>
      <c r="D37"/>
      <c r="E37"/>
      <c r="F37"/>
      <c r="J37"/>
      <c r="K37"/>
      <c r="L37"/>
      <c r="M37"/>
      <c r="N37"/>
      <c r="O37"/>
      <c r="P37"/>
      <c r="Q37"/>
      <c r="R37"/>
    </row>
    <row r="38" spans="1:18">
      <c r="A38" t="s">
        <v>3785</v>
      </c>
      <c r="B38"/>
      <c r="C38"/>
      <c r="D38"/>
      <c r="E38"/>
      <c r="F38"/>
      <c r="J38"/>
      <c r="K38"/>
      <c r="L38"/>
      <c r="M38"/>
      <c r="N38"/>
      <c r="O38"/>
      <c r="P38"/>
      <c r="Q38"/>
      <c r="R38"/>
    </row>
    <row r="39" spans="1:18">
      <c r="A39" t="s">
        <v>6026</v>
      </c>
      <c r="B39"/>
      <c r="C39"/>
      <c r="D39"/>
      <c r="E39"/>
      <c r="F39"/>
      <c r="G39"/>
      <c r="H39"/>
      <c r="I39"/>
      <c r="J39"/>
      <c r="K39"/>
      <c r="L39"/>
      <c r="M39"/>
      <c r="N39"/>
      <c r="O39"/>
      <c r="P39"/>
      <c r="Q39"/>
      <c r="R39"/>
    </row>
    <row r="40" spans="1:18">
      <c r="A40" s="14" t="s">
        <v>5804</v>
      </c>
      <c r="B40" s="14" t="s">
        <v>52</v>
      </c>
      <c r="C40" s="14" t="s">
        <v>14</v>
      </c>
      <c r="D40" s="19" t="s">
        <v>3195</v>
      </c>
      <c r="E40" s="15" t="str">
        <f>HYPERLINK("https://stat100.ameba.jp/tnk47/ratio20/illustrations/card/ill_75393_0_resukuinotsukisamaniittausagi03.jpg?202008-5-RELEASE-marathon-486x", "■")</f>
        <v>■</v>
      </c>
      <c r="F40" s="14" t="s">
        <v>3248</v>
      </c>
      <c r="G40" s="14">
        <v>250588</v>
      </c>
      <c r="H40" s="14">
        <v>232980</v>
      </c>
      <c r="I40" s="14">
        <v>22</v>
      </c>
      <c r="J40" s="14" t="s">
        <v>26</v>
      </c>
      <c r="K40" s="14" t="s">
        <v>3249</v>
      </c>
      <c r="L40" s="14" t="s">
        <v>3250</v>
      </c>
      <c r="M40" s="14" t="s">
        <v>9158</v>
      </c>
      <c r="N40" s="14" t="s">
        <v>9158</v>
      </c>
      <c r="O40" s="19" t="s">
        <v>10101</v>
      </c>
      <c r="P40" s="14" t="s">
        <v>3251</v>
      </c>
      <c r="Q40" s="14">
        <v>2</v>
      </c>
      <c r="R40"/>
    </row>
    <row r="41" spans="1:18">
      <c r="A41" s="14" t="s">
        <v>5848</v>
      </c>
      <c r="B41" s="14" t="s">
        <v>330</v>
      </c>
      <c r="C41" s="14" t="s">
        <v>200</v>
      </c>
      <c r="D41" s="19" t="s">
        <v>3160</v>
      </c>
      <c r="E41" s="15" t="str">
        <f>HYPERLINK("https://stat100.ameba.jp/tnk47/ratio20/illustrations/card/ill_72963_0_amenohanayomehiguchiichiyo03.jpg?202008-5-RELEASE-marathon-486x", "■")</f>
        <v>■</v>
      </c>
      <c r="F41" s="14" t="s">
        <v>1139</v>
      </c>
      <c r="G41" s="14">
        <v>147404</v>
      </c>
      <c r="H41" s="14">
        <v>137060</v>
      </c>
      <c r="I41" s="14">
        <v>22</v>
      </c>
      <c r="J41" s="14" t="s">
        <v>10</v>
      </c>
      <c r="K41" s="14" t="s">
        <v>1140</v>
      </c>
      <c r="L41" s="14" t="s">
        <v>1141</v>
      </c>
      <c r="M41" s="14" t="s">
        <v>9158</v>
      </c>
      <c r="N41" s="14" t="s">
        <v>9158</v>
      </c>
      <c r="O41" s="19" t="s">
        <v>3162</v>
      </c>
      <c r="P41" s="14" t="s">
        <v>3163</v>
      </c>
      <c r="Q41" s="14">
        <v>1</v>
      </c>
      <c r="R41"/>
    </row>
    <row r="42" spans="1:18">
      <c r="A42" s="14" t="s">
        <v>5608</v>
      </c>
      <c r="B42" s="14" t="s">
        <v>52</v>
      </c>
      <c r="C42" s="14" t="s">
        <v>96</v>
      </c>
      <c r="D42" s="20" t="s">
        <v>634</v>
      </c>
      <c r="E42" s="15" t="str">
        <f>HYPERLINK("https://stat100.ameba.jp/tnk47/ratio20/illustrations/card/ill_40963_0_makami03.jpg?202008-5-RELEASE-marathon-486x", "■")</f>
        <v>■</v>
      </c>
      <c r="F42" s="14" t="s">
        <v>2038</v>
      </c>
      <c r="G42" s="14">
        <v>128744</v>
      </c>
      <c r="H42" s="14">
        <v>120576</v>
      </c>
      <c r="I42" s="14">
        <v>22</v>
      </c>
      <c r="J42" s="14" t="s">
        <v>44</v>
      </c>
      <c r="K42" s="14" t="s">
        <v>2039</v>
      </c>
      <c r="L42" s="14" t="s">
        <v>2040</v>
      </c>
      <c r="M42" s="14" t="s">
        <v>9158</v>
      </c>
      <c r="N42" s="14" t="s">
        <v>9158</v>
      </c>
      <c r="O42" s="14" t="s">
        <v>9158</v>
      </c>
      <c r="P42" s="14" t="s">
        <v>9158</v>
      </c>
      <c r="Q42" s="14" t="s">
        <v>9158</v>
      </c>
      <c r="R42"/>
    </row>
    <row r="43" spans="1:18">
      <c r="A43" s="9">
        <v>81563</v>
      </c>
      <c r="B43" s="14" t="s">
        <v>334</v>
      </c>
      <c r="C43" s="14" t="s">
        <v>14</v>
      </c>
      <c r="D43" s="14" t="s">
        <v>4748</v>
      </c>
      <c r="E43" s="15" t="str">
        <f>HYPERLINK("https://stat100.ameba.jp/tnk47/ratio20/illustrations/card/ill_81563_kyamerajoshisankichioni03.jpg?202008-5-RELEASE-marathon-486x", "■")</f>
        <v>■</v>
      </c>
      <c r="F43" s="14" t="s">
        <v>4749</v>
      </c>
      <c r="G43" s="14">
        <v>138925</v>
      </c>
      <c r="H43" s="14">
        <v>78190</v>
      </c>
      <c r="I43" s="14">
        <v>27</v>
      </c>
      <c r="J43" s="14" t="s">
        <v>73</v>
      </c>
      <c r="K43" s="14" t="s">
        <v>4750</v>
      </c>
      <c r="L43" s="14" t="s">
        <v>3518</v>
      </c>
      <c r="M43" s="14" t="s">
        <v>9158</v>
      </c>
      <c r="N43" s="14" t="s">
        <v>9158</v>
      </c>
      <c r="O43" s="14" t="s">
        <v>9158</v>
      </c>
      <c r="P43" s="14" t="s">
        <v>9158</v>
      </c>
      <c r="Q43" s="14" t="s">
        <v>9158</v>
      </c>
      <c r="R43"/>
    </row>
    <row r="44" spans="1:18">
      <c r="A44" s="14">
        <v>85243</v>
      </c>
      <c r="B44" s="14" t="s">
        <v>334</v>
      </c>
      <c r="C44" s="14" t="s">
        <v>200</v>
      </c>
      <c r="D44" s="19" t="s">
        <v>10790</v>
      </c>
      <c r="E44" s="15" t="str">
        <f>HYPERLINK("https://stat100.ameba.jp/tnk47/ratio20/illustrations/card/ill_85243_daikokaijidaikonjikihime03.jpg?202008-5-RELEASE-marathon-486x", "■")</f>
        <v>■</v>
      </c>
      <c r="F44" s="14" t="s">
        <v>8159</v>
      </c>
      <c r="G44" s="14">
        <v>122539</v>
      </c>
      <c r="H44" s="14">
        <v>88781</v>
      </c>
      <c r="I44" s="14">
        <v>27</v>
      </c>
      <c r="J44" s="14" t="s">
        <v>155</v>
      </c>
      <c r="K44" s="14" t="s">
        <v>8158</v>
      </c>
      <c r="L44" s="14" t="s">
        <v>8157</v>
      </c>
      <c r="M44" s="14" t="s">
        <v>9158</v>
      </c>
      <c r="N44" s="14" t="s">
        <v>9158</v>
      </c>
      <c r="O44" s="14" t="s">
        <v>9158</v>
      </c>
      <c r="P44" s="14" t="s">
        <v>9158</v>
      </c>
      <c r="Q44" s="14" t="s">
        <v>9158</v>
      </c>
      <c r="R44"/>
    </row>
    <row r="45" spans="1:18">
      <c r="A45" s="9">
        <v>87103</v>
      </c>
      <c r="B45" s="9" t="s">
        <v>0</v>
      </c>
      <c r="C45" s="9" t="s">
        <v>165</v>
      </c>
      <c r="D45" s="19" t="s">
        <v>10968</v>
      </c>
      <c r="E45" s="15" t="str">
        <f>HYPERLINK("https://stat100.ameba.jp/tnk47/ratio20/illustrations/card/ill_87103_monsutanakisawame03.jpg?202008-5-RELEASE-marathon-486x", "■")</f>
        <v>■</v>
      </c>
      <c r="F45" s="9" t="s">
        <v>9411</v>
      </c>
      <c r="G45" s="9">
        <v>110129</v>
      </c>
      <c r="H45" s="9">
        <v>102386</v>
      </c>
      <c r="I45" s="14">
        <v>27</v>
      </c>
      <c r="J45" s="9" t="s">
        <v>169</v>
      </c>
      <c r="K45" s="9" t="s">
        <v>9410</v>
      </c>
      <c r="L45" s="9" t="s">
        <v>7243</v>
      </c>
      <c r="M45" s="14" t="s">
        <v>9158</v>
      </c>
      <c r="N45" s="14" t="s">
        <v>9158</v>
      </c>
      <c r="O45" s="14" t="s">
        <v>9158</v>
      </c>
      <c r="P45" s="14" t="s">
        <v>9158</v>
      </c>
      <c r="Q45" s="14" t="s">
        <v>9158</v>
      </c>
      <c r="R45"/>
    </row>
    <row r="47" spans="1:18">
      <c r="A47" s="14" t="s">
        <v>13558</v>
      </c>
    </row>
    <row r="48" spans="1:18">
      <c r="A48" s="14" t="s">
        <v>13559</v>
      </c>
    </row>
    <row r="49" spans="1:18">
      <c r="A49" s="14" t="s">
        <v>6905</v>
      </c>
      <c r="B49" s="14" t="s">
        <v>330</v>
      </c>
      <c r="C49" s="14" t="s">
        <v>35</v>
      </c>
      <c r="D49" s="19" t="s">
        <v>4161</v>
      </c>
      <c r="E49" s="15" t="str">
        <f>HYPERLINK("https://stat100.ameba.jp/tnk47/ratio20/illustrations/card/ill_80623_0_ohanamigurampingutominushihime03.jpg?202008-5-RELEASE-marathon-486xx", "■")</f>
        <v>■</v>
      </c>
      <c r="F49" s="14" t="s">
        <v>4162</v>
      </c>
      <c r="G49" s="14">
        <v>301326</v>
      </c>
      <c r="H49" s="14">
        <v>272366</v>
      </c>
      <c r="I49" s="14">
        <v>25</v>
      </c>
      <c r="J49" s="14" t="s">
        <v>44</v>
      </c>
      <c r="K49" s="14" t="s">
        <v>4163</v>
      </c>
      <c r="L49" s="14" t="s">
        <v>4164</v>
      </c>
      <c r="M49" s="14" t="s">
        <v>9158</v>
      </c>
      <c r="N49" s="14" t="s">
        <v>9158</v>
      </c>
      <c r="O49" s="19" t="s">
        <v>10126</v>
      </c>
      <c r="P49" s="14" t="s">
        <v>4166</v>
      </c>
      <c r="Q49" s="14">
        <v>1</v>
      </c>
    </row>
    <row r="50" spans="1:18">
      <c r="A50" s="14">
        <v>81023</v>
      </c>
      <c r="B50" s="14" t="s">
        <v>334</v>
      </c>
      <c r="C50" s="14" t="s">
        <v>41</v>
      </c>
      <c r="D50" s="19" t="s">
        <v>10274</v>
      </c>
      <c r="E50" s="15" t="str">
        <f>HYPERLINK("https://stat100.ameba.jp/tnk47/ratio20/illustrations/card/ill_81023_momonokenki03.jpg?202008-5-RELEASE-marathon-486xx", "■")</f>
        <v>■</v>
      </c>
      <c r="F50" s="14" t="s">
        <v>4088</v>
      </c>
      <c r="G50" s="14">
        <v>126858</v>
      </c>
      <c r="H50" s="14">
        <v>91876</v>
      </c>
      <c r="I50" s="14">
        <v>24</v>
      </c>
      <c r="J50" s="14" t="s">
        <v>143</v>
      </c>
      <c r="K50" s="14" t="s">
        <v>4089</v>
      </c>
      <c r="L50" s="14" t="s">
        <v>2049</v>
      </c>
      <c r="M50" s="14" t="s">
        <v>9158</v>
      </c>
      <c r="N50" s="14" t="s">
        <v>9158</v>
      </c>
      <c r="O50" s="19" t="s">
        <v>10096</v>
      </c>
      <c r="P50" s="14" t="s">
        <v>3245</v>
      </c>
      <c r="Q50" s="14">
        <v>1</v>
      </c>
    </row>
    <row r="51" spans="1:18">
      <c r="A51" s="14">
        <v>84663</v>
      </c>
      <c r="B51" s="14" t="s">
        <v>334</v>
      </c>
      <c r="C51" s="14" t="s">
        <v>158</v>
      </c>
      <c r="D51" s="20" t="s">
        <v>10648</v>
      </c>
      <c r="E51" s="15" t="str">
        <f>HYPERLINK("https://stat100.ameba.jp/tnk47/ratio20/illustrations/card/ill_84663_juwannonefuerufuito03.jpg?202008-5-RELEASE-marathon-486xx", "■")</f>
        <v>■</v>
      </c>
      <c r="F51" s="14" t="s">
        <v>7095</v>
      </c>
      <c r="G51" s="14">
        <v>81078</v>
      </c>
      <c r="H51" s="14">
        <v>111914</v>
      </c>
      <c r="I51" s="14">
        <v>24</v>
      </c>
      <c r="J51" s="14" t="s">
        <v>182</v>
      </c>
      <c r="K51" s="14" t="s">
        <v>7094</v>
      </c>
      <c r="L51" s="14" t="s">
        <v>7093</v>
      </c>
      <c r="M51" s="14" t="s">
        <v>9158</v>
      </c>
      <c r="N51" s="14" t="s">
        <v>9158</v>
      </c>
      <c r="O51" s="19" t="s">
        <v>10091</v>
      </c>
      <c r="P51" s="14" t="s">
        <v>3670</v>
      </c>
      <c r="Q51" s="14">
        <v>1</v>
      </c>
    </row>
    <row r="52" spans="1:18">
      <c r="A52" s="16">
        <v>73093</v>
      </c>
      <c r="B52" s="14" t="s">
        <v>334</v>
      </c>
      <c r="C52" s="14" t="s">
        <v>154</v>
      </c>
      <c r="D52" s="19" t="s">
        <v>433</v>
      </c>
      <c r="E52" s="15" t="str">
        <f>HYPERLINK("https://stat100.ameba.jp/tnk47/ratio20/illustrations/card/ill_73093_aisukurinchan03.jpg?202008-5-RELEASE-marathon-486xx", "■")</f>
        <v>■</v>
      </c>
      <c r="F52" s="14" t="s">
        <v>433</v>
      </c>
      <c r="G52" s="14">
        <v>159674</v>
      </c>
      <c r="H52" s="14">
        <v>115656</v>
      </c>
      <c r="I52" s="14">
        <v>24</v>
      </c>
      <c r="J52" s="14" t="s">
        <v>283</v>
      </c>
      <c r="K52" s="14" t="s">
        <v>434</v>
      </c>
      <c r="L52" s="14" t="s">
        <v>435</v>
      </c>
      <c r="M52" s="14" t="s">
        <v>9158</v>
      </c>
      <c r="N52" s="14" t="s">
        <v>9158</v>
      </c>
      <c r="O52" s="7" t="s">
        <v>2741</v>
      </c>
      <c r="P52" s="14" t="s">
        <v>2742</v>
      </c>
      <c r="Q52" s="14">
        <v>1</v>
      </c>
    </row>
    <row r="54" spans="1:18">
      <c r="A54" s="14" t="s">
        <v>13327</v>
      </c>
    </row>
    <row r="55" spans="1:18">
      <c r="A55" s="14" t="s">
        <v>6029</v>
      </c>
    </row>
    <row r="56" spans="1:18">
      <c r="A56" s="14">
        <v>90183</v>
      </c>
      <c r="B56" s="14" t="s">
        <v>0</v>
      </c>
      <c r="C56" s="14" t="s">
        <v>335</v>
      </c>
      <c r="D56" s="14" t="s">
        <v>13264</v>
      </c>
      <c r="E56" s="15" t="str">
        <f>HYPERLINK("https://stat100.ameba.jp/tnk47/ratio20/illustrations/card/ill_90183_shinsetsunojou03.jpg?202008-5-RELEASE-marathon-486xx", "■")</f>
        <v>■</v>
      </c>
      <c r="F56" s="14" t="s">
        <v>13267</v>
      </c>
      <c r="G56" s="14">
        <v>123583</v>
      </c>
      <c r="H56" s="14">
        <v>132922</v>
      </c>
      <c r="I56" s="14">
        <v>27</v>
      </c>
      <c r="J56" s="14" t="s">
        <v>44</v>
      </c>
      <c r="K56" s="14" t="s">
        <v>13266</v>
      </c>
      <c r="L56" s="14" t="s">
        <v>13272</v>
      </c>
      <c r="M56" s="14" t="s">
        <v>2138</v>
      </c>
      <c r="N56" s="14" t="s">
        <v>2139</v>
      </c>
      <c r="O56" s="14" t="s">
        <v>9158</v>
      </c>
      <c r="P56" s="14" t="s">
        <v>9158</v>
      </c>
      <c r="Q56" s="14" t="s">
        <v>9158</v>
      </c>
      <c r="R56" s="14" t="s">
        <v>14748</v>
      </c>
    </row>
    <row r="57" spans="1:18">
      <c r="A57" s="14">
        <v>90182</v>
      </c>
      <c r="B57" s="14" t="s">
        <v>0</v>
      </c>
      <c r="C57" s="14" t="s">
        <v>335</v>
      </c>
      <c r="D57" s="14" t="s">
        <v>13264</v>
      </c>
      <c r="E57" s="15" t="str">
        <f>HYPERLINK("https://stat100.ameba.jp/tnk47/ratio20/illustrations/card/ill_90182_shinsetsunojou02.jpg?202008-5-RELEASE-marathon-486xx", "■")</f>
        <v>■</v>
      </c>
      <c r="F57" s="14" t="s">
        <v>13267</v>
      </c>
      <c r="G57" s="14">
        <v>102356</v>
      </c>
      <c r="H57" s="14">
        <v>111115</v>
      </c>
      <c r="I57" s="14">
        <v>27</v>
      </c>
      <c r="J57" s="14" t="s">
        <v>44</v>
      </c>
      <c r="K57" s="14" t="s">
        <v>13266</v>
      </c>
      <c r="L57" s="14" t="s">
        <v>13272</v>
      </c>
      <c r="M57" s="14" t="s">
        <v>13270</v>
      </c>
      <c r="N57" s="14" t="s">
        <v>13271</v>
      </c>
      <c r="O57" s="14" t="s">
        <v>9158</v>
      </c>
      <c r="P57" s="14" t="s">
        <v>9158</v>
      </c>
      <c r="Q57" s="14" t="s">
        <v>9158</v>
      </c>
      <c r="R57" s="14" t="s">
        <v>14748</v>
      </c>
    </row>
    <row r="58" spans="1:18">
      <c r="A58" s="14">
        <v>90181</v>
      </c>
      <c r="B58" s="14" t="s">
        <v>0</v>
      </c>
      <c r="C58" s="14" t="s">
        <v>335</v>
      </c>
      <c r="D58" s="14" t="s">
        <v>13264</v>
      </c>
      <c r="E58" s="15" t="str">
        <f>HYPERLINK("https://stat100.ameba.jp/tnk47/ratio20/illustrations/card/ill_90181_shinsetsunojou01.jpg?202008-5-RELEASE-marathon-486xx", "■")</f>
        <v>■</v>
      </c>
      <c r="F58" s="14" t="s">
        <v>13267</v>
      </c>
      <c r="G58" s="14">
        <v>78975</v>
      </c>
      <c r="H58" s="14">
        <v>84834</v>
      </c>
      <c r="I58" s="14">
        <v>27</v>
      </c>
      <c r="J58" s="14" t="s">
        <v>44</v>
      </c>
      <c r="K58" s="14" t="s">
        <v>13266</v>
      </c>
      <c r="L58" s="14" t="s">
        <v>13272</v>
      </c>
      <c r="M58" s="14" t="s">
        <v>13270</v>
      </c>
      <c r="N58" s="14" t="s">
        <v>13271</v>
      </c>
      <c r="O58" s="14" t="s">
        <v>9158</v>
      </c>
      <c r="P58" s="14" t="s">
        <v>9158</v>
      </c>
      <c r="Q58" s="14" t="s">
        <v>9158</v>
      </c>
      <c r="R58" s="14" t="s">
        <v>14748</v>
      </c>
    </row>
    <row r="59" spans="1:18">
      <c r="A59" s="14">
        <v>90193</v>
      </c>
      <c r="B59" s="14" t="s">
        <v>0</v>
      </c>
      <c r="C59" s="14" t="s">
        <v>200</v>
      </c>
      <c r="D59" s="14" t="s">
        <v>13273</v>
      </c>
      <c r="E59" s="15" t="str">
        <f>HYPERLINK("https://stat100.ameba.jp/tnk47/ratio20/illustrations/card/ill_90193_puchidebirubani03.jpg?202008-5-RELEASE-marathon-486xx", "■")</f>
        <v>■</v>
      </c>
      <c r="F59" s="14" t="s">
        <v>13274</v>
      </c>
      <c r="G59" s="14">
        <v>123583</v>
      </c>
      <c r="H59" s="14">
        <v>132922</v>
      </c>
      <c r="I59" s="14">
        <v>27</v>
      </c>
      <c r="J59" s="14" t="s">
        <v>73</v>
      </c>
      <c r="K59" s="14" t="s">
        <v>13277</v>
      </c>
      <c r="L59" s="14" t="s">
        <v>13276</v>
      </c>
      <c r="M59" s="14" t="s">
        <v>2138</v>
      </c>
      <c r="N59" s="14" t="s">
        <v>2139</v>
      </c>
      <c r="O59" s="14" t="s">
        <v>9158</v>
      </c>
      <c r="P59" s="14" t="s">
        <v>9158</v>
      </c>
      <c r="Q59" s="14" t="s">
        <v>9158</v>
      </c>
      <c r="R59" s="14" t="s">
        <v>14748</v>
      </c>
    </row>
    <row r="60" spans="1:18">
      <c r="A60" s="14">
        <v>90203</v>
      </c>
      <c r="B60" s="14" t="s">
        <v>0</v>
      </c>
      <c r="C60" s="14" t="s">
        <v>307</v>
      </c>
      <c r="D60" s="14" t="s">
        <v>13278</v>
      </c>
      <c r="E60" s="15" t="str">
        <f>HYPERLINK("https://stat100.ameba.jp/tnk47/ratio20/illustrations/card/ill_90203_kyuteigakademeru03.jpg?202008-5-RELEASE-marathon-486xx", "■")</f>
        <v>■</v>
      </c>
      <c r="F60" s="14" t="s">
        <v>13279</v>
      </c>
      <c r="G60" s="14">
        <v>123583</v>
      </c>
      <c r="H60" s="14">
        <v>132922</v>
      </c>
      <c r="I60" s="14">
        <v>27</v>
      </c>
      <c r="J60" s="14" t="s">
        <v>10</v>
      </c>
      <c r="K60" s="14" t="s">
        <v>13281</v>
      </c>
      <c r="L60" s="14" t="s">
        <v>13282</v>
      </c>
      <c r="M60" s="14" t="s">
        <v>2138</v>
      </c>
      <c r="N60" s="14" t="s">
        <v>2139</v>
      </c>
      <c r="O60" s="14" t="s">
        <v>9158</v>
      </c>
      <c r="P60" s="14" t="s">
        <v>9158</v>
      </c>
      <c r="Q60" s="14" t="s">
        <v>9158</v>
      </c>
      <c r="R60" s="14" t="s">
        <v>14748</v>
      </c>
    </row>
    <row r="61" spans="1:18">
      <c r="A61" s="14">
        <v>90213</v>
      </c>
      <c r="B61" s="14" t="s">
        <v>0</v>
      </c>
      <c r="C61" s="14" t="s">
        <v>165</v>
      </c>
      <c r="D61" s="14" t="s">
        <v>13283</v>
      </c>
      <c r="E61" s="15" t="str">
        <f>HYPERLINK("https://stat100.ameba.jp/tnk47/ratio20/illustrations/card/ill_90213_kenkyushinomaruyo03.jpg?202008-5-RELEASE-marathon-486xx", "■")</f>
        <v>■</v>
      </c>
      <c r="F61" s="14" t="s">
        <v>13284</v>
      </c>
      <c r="G61" s="14">
        <v>132922</v>
      </c>
      <c r="H61" s="14">
        <v>123583</v>
      </c>
      <c r="I61" s="14">
        <v>27</v>
      </c>
      <c r="J61" s="14" t="s">
        <v>16</v>
      </c>
      <c r="K61" s="14" t="s">
        <v>13286</v>
      </c>
      <c r="L61" s="14" t="s">
        <v>13287</v>
      </c>
      <c r="M61" s="14" t="s">
        <v>2138</v>
      </c>
      <c r="N61" s="14" t="s">
        <v>2139</v>
      </c>
      <c r="O61" s="14" t="s">
        <v>9158</v>
      </c>
      <c r="P61" s="14" t="s">
        <v>9158</v>
      </c>
      <c r="Q61" s="14" t="s">
        <v>9158</v>
      </c>
      <c r="R61" s="14" t="s">
        <v>14748</v>
      </c>
    </row>
    <row r="62" spans="1:18">
      <c r="A62" s="14">
        <v>90223</v>
      </c>
      <c r="B62" s="14" t="s">
        <v>0</v>
      </c>
      <c r="C62" s="9" t="s">
        <v>205</v>
      </c>
      <c r="D62" s="14" t="s">
        <v>13288</v>
      </c>
      <c r="E62" s="15" t="str">
        <f>HYPERLINK("https://stat100.ameba.jp/tnk47/ratio20/illustrations/card/ill_90223_karunepurinshipe03.jpg?202008-5-RELEASE-marathon-486xx", "■")</f>
        <v>■</v>
      </c>
      <c r="F62" s="14" t="s">
        <v>13289</v>
      </c>
      <c r="G62" s="14">
        <v>132922</v>
      </c>
      <c r="H62" s="14">
        <v>123583</v>
      </c>
      <c r="I62" s="14">
        <v>27</v>
      </c>
      <c r="J62" s="14" t="s">
        <v>104</v>
      </c>
      <c r="K62" s="14" t="s">
        <v>13291</v>
      </c>
      <c r="L62" s="14" t="s">
        <v>13292</v>
      </c>
      <c r="M62" s="14" t="s">
        <v>2138</v>
      </c>
      <c r="N62" s="14" t="s">
        <v>2139</v>
      </c>
      <c r="O62" s="14" t="s">
        <v>9158</v>
      </c>
      <c r="P62" s="14" t="s">
        <v>9158</v>
      </c>
      <c r="Q62" s="14" t="s">
        <v>9158</v>
      </c>
      <c r="R62" s="14" t="s">
        <v>14748</v>
      </c>
    </row>
    <row r="63" spans="1:18">
      <c r="A63" s="14">
        <v>90233</v>
      </c>
      <c r="B63" s="14" t="s">
        <v>0</v>
      </c>
      <c r="C63" s="14" t="s">
        <v>206</v>
      </c>
      <c r="D63" s="14" t="s">
        <v>13293</v>
      </c>
      <c r="E63" s="15" t="str">
        <f>HYPERLINK("https://stat100.ameba.jp/tnk47/ratio20/illustrations/card/ill_90233_kakutokafuante03.jpg?202008-5-RELEASE-marathon-486xx", "■")</f>
        <v>■</v>
      </c>
      <c r="F63" s="14" t="s">
        <v>13294</v>
      </c>
      <c r="G63" s="14">
        <v>132922</v>
      </c>
      <c r="H63" s="14">
        <v>123583</v>
      </c>
      <c r="I63" s="14">
        <v>27</v>
      </c>
      <c r="J63" s="14" t="s">
        <v>143</v>
      </c>
      <c r="K63" s="14" t="s">
        <v>13296</v>
      </c>
      <c r="L63" s="14" t="s">
        <v>13297</v>
      </c>
      <c r="M63" s="14" t="s">
        <v>2138</v>
      </c>
      <c r="N63" s="14" t="s">
        <v>2139</v>
      </c>
      <c r="O63" s="14" t="s">
        <v>9158</v>
      </c>
      <c r="P63" s="14" t="s">
        <v>9158</v>
      </c>
      <c r="Q63" s="14" t="s">
        <v>9158</v>
      </c>
      <c r="R63" s="14" t="s">
        <v>14748</v>
      </c>
    </row>
    <row r="65" spans="1:17">
      <c r="A65" s="14" t="s">
        <v>13563</v>
      </c>
    </row>
    <row r="66" spans="1:17">
      <c r="A66" s="14" t="s">
        <v>13564</v>
      </c>
    </row>
    <row r="67" spans="1:17">
      <c r="A67" s="14" t="s">
        <v>13565</v>
      </c>
    </row>
    <row r="68" spans="1:17">
      <c r="A68" s="14" t="s">
        <v>13435</v>
      </c>
      <c r="B68" s="7" t="s">
        <v>52</v>
      </c>
      <c r="C68" s="14" t="s">
        <v>202</v>
      </c>
      <c r="D68" s="18" t="s">
        <v>13434</v>
      </c>
      <c r="E68" s="15" t="str">
        <f>HYPERLINK("https://stat100.ameba.jp/tnk47/ratio20/illustrations/card/ill_91073_0_mizugiaidorusarukanigassen03.jpg?202008-5-RELEASE-marathon-486xx", "■")</f>
        <v>■</v>
      </c>
      <c r="F68" s="14" t="s">
        <v>13436</v>
      </c>
      <c r="G68" s="14">
        <v>312433</v>
      </c>
      <c r="H68" s="14">
        <v>282374</v>
      </c>
      <c r="I68" s="7">
        <v>27</v>
      </c>
      <c r="J68" s="14" t="s">
        <v>38</v>
      </c>
      <c r="K68" s="14" t="s">
        <v>13437</v>
      </c>
      <c r="L68" s="14" t="s">
        <v>13438</v>
      </c>
      <c r="M68" s="14" t="s">
        <v>9158</v>
      </c>
      <c r="N68" s="14" t="s">
        <v>9158</v>
      </c>
      <c r="O68" s="6" t="s">
        <v>13439</v>
      </c>
      <c r="P68" s="7" t="s">
        <v>13440</v>
      </c>
      <c r="Q68" s="7">
        <v>1</v>
      </c>
    </row>
    <row r="69" spans="1:17">
      <c r="A69" s="14">
        <v>91123</v>
      </c>
      <c r="B69" s="14" t="s">
        <v>13568</v>
      </c>
      <c r="C69" s="14" t="s">
        <v>13567</v>
      </c>
      <c r="D69" s="14" t="s">
        <v>13566</v>
      </c>
      <c r="E69" s="15" t="str">
        <f>HYPERLINK("https://stat100.ameba.jp/tnk47/ratio20/illustrations/card/ill_91123_mizugiaidorunurikabe03.jpg?202008-5-RELEASE-marathon-486xx", "■")</f>
        <v>■</v>
      </c>
      <c r="F69" s="14" t="s">
        <v>13569</v>
      </c>
      <c r="G69" s="14">
        <v>149240</v>
      </c>
      <c r="H69" s="14">
        <v>160507</v>
      </c>
      <c r="I69" s="7">
        <v>27</v>
      </c>
      <c r="J69" s="14" t="s">
        <v>13570</v>
      </c>
      <c r="K69" s="14" t="s">
        <v>13571</v>
      </c>
      <c r="L69" s="14" t="s">
        <v>13572</v>
      </c>
      <c r="M69" s="14" t="s">
        <v>9158</v>
      </c>
      <c r="N69" s="14" t="s">
        <v>9158</v>
      </c>
      <c r="O69" s="14" t="s">
        <v>9158</v>
      </c>
      <c r="P69" s="14" t="s">
        <v>9158</v>
      </c>
      <c r="Q69" s="14" t="s">
        <v>9158</v>
      </c>
    </row>
    <row r="70" spans="1:17">
      <c r="A70" s="14">
        <v>91133</v>
      </c>
      <c r="B70" s="14" t="s">
        <v>13573</v>
      </c>
      <c r="C70" s="14" t="s">
        <v>13576</v>
      </c>
      <c r="D70" s="14" t="s">
        <v>13575</v>
      </c>
      <c r="E70" s="15" t="str">
        <f>HYPERLINK("https://stat100.ameba.jp/tnk47/ratio20/illustrations/card/ill_91133_setonaikaikadomurakamisuigun03.jpg?202008-5-RELEASE-marathon-486xx", "■")</f>
        <v>■</v>
      </c>
      <c r="F70" s="14" t="s">
        <v>13577</v>
      </c>
      <c r="G70" s="14">
        <v>80028</v>
      </c>
      <c r="H70" s="14">
        <v>72586</v>
      </c>
      <c r="I70" s="7">
        <v>27</v>
      </c>
      <c r="J70" s="14" t="s">
        <v>13578</v>
      </c>
      <c r="K70" s="14" t="s">
        <v>13579</v>
      </c>
      <c r="L70" s="14" t="s">
        <v>13580</v>
      </c>
      <c r="M70" s="14" t="s">
        <v>9158</v>
      </c>
      <c r="N70" s="14" t="s">
        <v>9158</v>
      </c>
      <c r="O70" s="14" t="s">
        <v>9158</v>
      </c>
      <c r="P70" s="14" t="s">
        <v>9158</v>
      </c>
      <c r="Q70" s="14" t="s">
        <v>9158</v>
      </c>
    </row>
    <row r="71" spans="1:17">
      <c r="A71" s="14">
        <v>91143</v>
      </c>
      <c r="B71" s="14" t="s">
        <v>13574</v>
      </c>
      <c r="C71" s="14" t="s">
        <v>13582</v>
      </c>
      <c r="D71" s="14" t="s">
        <v>13581</v>
      </c>
      <c r="E71" s="15" t="str">
        <f>HYPERLINK("https://stat100.ameba.jp/tnk47/ratio20/illustrations/card/ill_91143_umibirakiakibameido03.jpg?202008-5-RELEASE-marathon-486xx", "■")</f>
        <v>■</v>
      </c>
      <c r="F71" s="14" t="s">
        <v>13583</v>
      </c>
      <c r="G71" s="14">
        <v>46676</v>
      </c>
      <c r="H71" s="14">
        <v>56138</v>
      </c>
      <c r="I71" s="7">
        <v>27</v>
      </c>
      <c r="J71" s="14" t="s">
        <v>13578</v>
      </c>
      <c r="K71" s="14" t="s">
        <v>13584</v>
      </c>
      <c r="L71" s="14" t="s">
        <v>13585</v>
      </c>
      <c r="M71" s="14" t="s">
        <v>9158</v>
      </c>
      <c r="N71" s="14" t="s">
        <v>9158</v>
      </c>
      <c r="O71" s="14" t="s">
        <v>9158</v>
      </c>
      <c r="P71" s="14" t="s">
        <v>9158</v>
      </c>
      <c r="Q71" s="14" t="s">
        <v>9158</v>
      </c>
    </row>
    <row r="72" spans="1:17">
      <c r="A72" s="14">
        <v>91153</v>
      </c>
      <c r="B72" s="14" t="s">
        <v>13574</v>
      </c>
      <c r="C72" s="14" t="s">
        <v>13587</v>
      </c>
      <c r="D72" s="14" t="s">
        <v>13586</v>
      </c>
      <c r="E72" s="15" t="str">
        <f>HYPERLINK("https://stat100.ameba.jp/tnk47/ratio20/illustrations/card/ill_91153_iyaya03.jpg?202008-5-RELEASE-marathon-486xx", "■")</f>
        <v>■</v>
      </c>
      <c r="F72" s="14" t="s">
        <v>13588</v>
      </c>
      <c r="G72" s="14">
        <v>56138</v>
      </c>
      <c r="H72" s="14">
        <v>46676</v>
      </c>
      <c r="I72" s="7">
        <v>27</v>
      </c>
      <c r="J72" s="14" t="s">
        <v>13570</v>
      </c>
      <c r="K72" s="14" t="s">
        <v>13589</v>
      </c>
      <c r="L72" s="14" t="s">
        <v>13590</v>
      </c>
      <c r="M72" s="14" t="s">
        <v>9158</v>
      </c>
      <c r="N72" s="14" t="s">
        <v>9158</v>
      </c>
      <c r="O72" s="14" t="s">
        <v>9158</v>
      </c>
      <c r="P72" s="14" t="s">
        <v>9158</v>
      </c>
      <c r="Q72" s="14" t="s">
        <v>9158</v>
      </c>
    </row>
    <row r="74" spans="1:17">
      <c r="A74" s="14" t="s">
        <v>13591</v>
      </c>
    </row>
    <row r="75" spans="1:17">
      <c r="A75" s="14" t="s">
        <v>13592</v>
      </c>
    </row>
    <row r="76" spans="1:17">
      <c r="A76" s="14" t="s">
        <v>5787</v>
      </c>
      <c r="B76" s="14" t="s">
        <v>330</v>
      </c>
      <c r="C76" s="14" t="s">
        <v>270</v>
      </c>
      <c r="D76" s="19" t="s">
        <v>331</v>
      </c>
      <c r="E76" s="15" t="str">
        <f>HYPERLINK("https://stat100.ameba.jp/tnk47/ratio20/illustrations/card/ill_76303_0_haroinkaguya03.jpg?202008-5-RELEASE-marathon-486xx", "■")</f>
        <v>■</v>
      </c>
      <c r="F76" s="14" t="s">
        <v>332</v>
      </c>
      <c r="G76" s="14">
        <v>297513</v>
      </c>
      <c r="H76" s="14">
        <v>276589</v>
      </c>
      <c r="I76" s="14">
        <v>25</v>
      </c>
      <c r="J76" s="14" t="s">
        <v>274</v>
      </c>
      <c r="K76" s="14" t="s">
        <v>333</v>
      </c>
      <c r="L76" s="14" t="s">
        <v>276</v>
      </c>
      <c r="M76" s="14" t="s">
        <v>9158</v>
      </c>
      <c r="N76" s="14" t="s">
        <v>9158</v>
      </c>
      <c r="O76" s="19" t="s">
        <v>2976</v>
      </c>
      <c r="P76" s="14" t="s">
        <v>2724</v>
      </c>
      <c r="Q76" s="14">
        <v>1</v>
      </c>
    </row>
    <row r="77" spans="1:17">
      <c r="A77" s="14">
        <v>63283</v>
      </c>
      <c r="B77" s="14" t="s">
        <v>334</v>
      </c>
      <c r="C77" s="14" t="s">
        <v>209</v>
      </c>
      <c r="D77" s="19" t="s">
        <v>327</v>
      </c>
      <c r="E77" s="15" t="str">
        <f>HYPERLINK("https://stat100.ameba.jp/tnk47/ratio20/illustrations/card/ill_63283_mizuyokanchan03.jpg?202008-5-RELEASE-marathon-486xx", "■")</f>
        <v>■</v>
      </c>
      <c r="F77" s="14" t="s">
        <v>327</v>
      </c>
      <c r="G77" s="14">
        <v>122786</v>
      </c>
      <c r="H77" s="14">
        <v>114176</v>
      </c>
      <c r="I77" s="14">
        <v>26</v>
      </c>
      <c r="J77" s="14" t="s">
        <v>283</v>
      </c>
      <c r="K77" s="14" t="s">
        <v>328</v>
      </c>
      <c r="L77" s="14" t="s">
        <v>329</v>
      </c>
      <c r="M77" s="14" t="s">
        <v>9158</v>
      </c>
      <c r="N77" s="14" t="s">
        <v>9158</v>
      </c>
      <c r="O77" s="19" t="s">
        <v>10084</v>
      </c>
      <c r="P77" s="14" t="s">
        <v>3563</v>
      </c>
      <c r="Q77" s="14">
        <v>1</v>
      </c>
    </row>
    <row r="78" spans="1:17">
      <c r="A78" s="14">
        <v>69513</v>
      </c>
      <c r="B78" s="14" t="s">
        <v>0</v>
      </c>
      <c r="C78" s="14" t="s">
        <v>158</v>
      </c>
      <c r="D78" s="19" t="s">
        <v>10265</v>
      </c>
      <c r="E78" s="15" t="str">
        <f>HYPERLINK("https://stat100.ameba.jp/tnk47/ratio20/illustrations/card/ill_69513_somedononokisaki03.jpg?202008-5-RELEASE-marathon-486xx", "■")</f>
        <v>■</v>
      </c>
      <c r="F78" s="14" t="s">
        <v>3674</v>
      </c>
      <c r="G78" s="14">
        <v>85962</v>
      </c>
      <c r="H78" s="14">
        <v>118684</v>
      </c>
      <c r="I78" s="14">
        <v>26</v>
      </c>
      <c r="J78" s="14" t="s">
        <v>187</v>
      </c>
      <c r="K78" s="14" t="s">
        <v>3675</v>
      </c>
      <c r="L78" s="14" t="s">
        <v>13187</v>
      </c>
      <c r="M78" s="14" t="s">
        <v>9158</v>
      </c>
      <c r="N78" s="14" t="s">
        <v>9158</v>
      </c>
      <c r="O78" s="19" t="s">
        <v>2752</v>
      </c>
      <c r="P78" s="14" t="s">
        <v>13173</v>
      </c>
      <c r="Q78" s="14">
        <v>1</v>
      </c>
    </row>
    <row r="79" spans="1:17">
      <c r="A79" s="9">
        <v>67953</v>
      </c>
      <c r="B79" s="14" t="s">
        <v>334</v>
      </c>
      <c r="C79" s="14" t="s">
        <v>209</v>
      </c>
      <c r="D79" s="14" t="s">
        <v>2486</v>
      </c>
      <c r="E79" s="15" t="str">
        <f>HYPERLINK("https://stat100.ameba.jp/tnk47/ratio20/illustrations/card/ill_67953_kutaniyaki03.jpg?202008-5-RELEASE-marathon-486xx", "■")</f>
        <v>■</v>
      </c>
      <c r="F79" s="14" t="s">
        <v>2487</v>
      </c>
      <c r="G79" s="14">
        <v>85492</v>
      </c>
      <c r="H79" s="14">
        <v>118000</v>
      </c>
      <c r="I79" s="14">
        <v>26</v>
      </c>
      <c r="J79" s="14" t="s">
        <v>26</v>
      </c>
      <c r="K79" s="14" t="s">
        <v>2488</v>
      </c>
      <c r="L79" s="14" t="s">
        <v>2489</v>
      </c>
      <c r="M79" s="14" t="s">
        <v>9158</v>
      </c>
      <c r="N79" s="14" t="s">
        <v>9158</v>
      </c>
      <c r="O79" s="17" t="s">
        <v>10053</v>
      </c>
      <c r="P79" s="14" t="s">
        <v>3592</v>
      </c>
      <c r="Q79" s="14">
        <v>1</v>
      </c>
    </row>
    <row r="81" spans="1:17">
      <c r="A81" s="14" t="s">
        <v>13593</v>
      </c>
    </row>
    <row r="82" spans="1:17">
      <c r="A82" s="14" t="s">
        <v>13594</v>
      </c>
    </row>
    <row r="83" spans="1:17">
      <c r="A83" s="14" t="s">
        <v>5609</v>
      </c>
      <c r="B83" s="14" t="s">
        <v>52</v>
      </c>
      <c r="C83" s="14" t="s">
        <v>200</v>
      </c>
      <c r="D83" s="19" t="s">
        <v>389</v>
      </c>
      <c r="E83" s="15" t="str">
        <f>HYPERLINK("https://stat100.ameba.jp/tnk47/ratio20/illustrations/card/ill_53753_0_natsumatsuritokugawaieyasu03.jpg?202008-5-RELEASE-marathon-486xx", "■")</f>
        <v>■</v>
      </c>
      <c r="F83" s="14" t="s">
        <v>902</v>
      </c>
      <c r="G83" s="14">
        <v>150776</v>
      </c>
      <c r="H83" s="14">
        <v>133938</v>
      </c>
      <c r="I83" s="14">
        <v>24</v>
      </c>
      <c r="J83" s="14" t="s">
        <v>194</v>
      </c>
      <c r="K83" s="14" t="s">
        <v>1714</v>
      </c>
      <c r="L83" s="14" t="s">
        <v>904</v>
      </c>
      <c r="M83" s="14" t="s">
        <v>9158</v>
      </c>
      <c r="N83" s="14" t="s">
        <v>9158</v>
      </c>
      <c r="O83" s="19" t="s">
        <v>10076</v>
      </c>
      <c r="P83" s="14" t="s">
        <v>13121</v>
      </c>
      <c r="Q83" s="14">
        <v>1</v>
      </c>
    </row>
    <row r="84" spans="1:17">
      <c r="A84" s="14" t="s">
        <v>5602</v>
      </c>
      <c r="B84" s="14" t="s">
        <v>52</v>
      </c>
      <c r="C84" s="14" t="s">
        <v>14</v>
      </c>
      <c r="D84" s="19" t="s">
        <v>813</v>
      </c>
      <c r="E84" s="15" t="str">
        <f>HYPERLINK("https://stat100.ameba.jp/tnk47/ratio20/illustrations/card/ill_55313_0_haroinononokomachi03.jpg?202008-5-RELEASE-marathon-486xx", "■")</f>
        <v>■</v>
      </c>
      <c r="F84" s="14" t="s">
        <v>2094</v>
      </c>
      <c r="G84" s="14">
        <v>150776</v>
      </c>
      <c r="H84" s="14">
        <v>133938</v>
      </c>
      <c r="I84" s="14">
        <v>24</v>
      </c>
      <c r="J84" s="14" t="s">
        <v>10</v>
      </c>
      <c r="K84" s="14" t="s">
        <v>2095</v>
      </c>
      <c r="L84" s="14" t="s">
        <v>2096</v>
      </c>
      <c r="M84" s="14" t="s">
        <v>9158</v>
      </c>
      <c r="N84" s="14" t="s">
        <v>9158</v>
      </c>
      <c r="O84" s="19" t="s">
        <v>2733</v>
      </c>
      <c r="P84" s="14" t="s">
        <v>2734</v>
      </c>
      <c r="Q84" s="14">
        <v>1</v>
      </c>
    </row>
    <row r="85" spans="1:17">
      <c r="A85" s="14" t="s">
        <v>5612</v>
      </c>
      <c r="B85" s="14" t="s">
        <v>52</v>
      </c>
      <c r="C85" s="14" t="s">
        <v>165</v>
      </c>
      <c r="D85" s="19" t="s">
        <v>789</v>
      </c>
      <c r="E85" s="15" t="str">
        <f>HYPERLINK("https://stat100.ameba.jp/tnk47/ratio20/illustrations/card/ill_49193_0_onmyoudouabenoseimei03.jpg?202008-5-RELEASE-marathon-486xx", "■")</f>
        <v>■</v>
      </c>
      <c r="F85" s="14" t="s">
        <v>1896</v>
      </c>
      <c r="G85" s="14">
        <v>133938</v>
      </c>
      <c r="H85" s="14">
        <v>150776</v>
      </c>
      <c r="I85" s="14">
        <v>24</v>
      </c>
      <c r="J85" s="14" t="s">
        <v>10</v>
      </c>
      <c r="K85" s="14" t="s">
        <v>1897</v>
      </c>
      <c r="L85" s="14" t="s">
        <v>1898</v>
      </c>
      <c r="M85" s="14" t="s">
        <v>9158</v>
      </c>
      <c r="N85" s="14" t="s">
        <v>9158</v>
      </c>
      <c r="O85" s="14" t="s">
        <v>9158</v>
      </c>
      <c r="P85" s="14" t="s">
        <v>9158</v>
      </c>
      <c r="Q85" s="14" t="s">
        <v>9158</v>
      </c>
    </row>
    <row r="86" spans="1:17">
      <c r="A86" s="14">
        <v>91123</v>
      </c>
      <c r="B86" s="14" t="s">
        <v>13568</v>
      </c>
      <c r="C86" s="14" t="s">
        <v>13567</v>
      </c>
      <c r="D86" s="14" t="s">
        <v>13566</v>
      </c>
      <c r="E86" s="15" t="str">
        <f>HYPERLINK("https://stat100.ameba.jp/tnk47/ratio20/illustrations/card/ill_91123_mizugiaidorunurikabe03.jpg?202008-5-RELEASE-marathon-486xx", "■")</f>
        <v>■</v>
      </c>
      <c r="F86" s="14" t="s">
        <v>13569</v>
      </c>
      <c r="G86" s="14">
        <v>143714</v>
      </c>
      <c r="H86" s="14">
        <v>154562</v>
      </c>
      <c r="I86" s="7">
        <v>26</v>
      </c>
      <c r="J86" s="14" t="s">
        <v>13570</v>
      </c>
      <c r="K86" s="14" t="s">
        <v>13571</v>
      </c>
      <c r="L86" s="14" t="s">
        <v>13572</v>
      </c>
      <c r="M86" s="14" t="s">
        <v>9158</v>
      </c>
      <c r="N86" s="14" t="s">
        <v>9158</v>
      </c>
      <c r="O86" s="14" t="s">
        <v>9158</v>
      </c>
      <c r="P86" s="14" t="s">
        <v>9158</v>
      </c>
      <c r="Q86" s="14" t="s">
        <v>9158</v>
      </c>
    </row>
    <row r="87" spans="1:17">
      <c r="A87" s="14">
        <v>91133</v>
      </c>
      <c r="B87" s="14" t="s">
        <v>13573</v>
      </c>
      <c r="C87" s="14" t="s">
        <v>13576</v>
      </c>
      <c r="D87" s="14" t="s">
        <v>13575</v>
      </c>
      <c r="E87" s="15" t="str">
        <f>HYPERLINK("https://stat100.ameba.jp/tnk47/ratio20/illustrations/card/ill_91133_setonaikaikadomurakamisuigun03.jpg?202008-5-RELEASE-marathon-486xx", "■")</f>
        <v>■</v>
      </c>
      <c r="F87" s="14" t="s">
        <v>13577</v>
      </c>
      <c r="G87" s="14">
        <v>77064</v>
      </c>
      <c r="H87" s="14">
        <v>69898</v>
      </c>
      <c r="I87" s="7">
        <v>26</v>
      </c>
      <c r="J87" s="14" t="s">
        <v>13578</v>
      </c>
      <c r="K87" s="14" t="s">
        <v>13579</v>
      </c>
      <c r="L87" s="14" t="s">
        <v>13580</v>
      </c>
      <c r="M87" s="14" t="s">
        <v>9158</v>
      </c>
      <c r="N87" s="14" t="s">
        <v>9158</v>
      </c>
      <c r="O87" s="14" t="s">
        <v>9158</v>
      </c>
      <c r="P87" s="14" t="s">
        <v>9158</v>
      </c>
      <c r="Q87" s="14" t="s">
        <v>9158</v>
      </c>
    </row>
    <row r="88" spans="1:17">
      <c r="A88" s="14">
        <v>91143</v>
      </c>
      <c r="B88" s="14" t="s">
        <v>13574</v>
      </c>
      <c r="C88" s="14" t="s">
        <v>13582</v>
      </c>
      <c r="D88" s="14" t="s">
        <v>13581</v>
      </c>
      <c r="E88" s="15" t="str">
        <f>HYPERLINK("https://stat100.ameba.jp/tnk47/ratio20/illustrations/card/ill_91143_umibirakiakibameido03.jpg?202008-5-RELEASE-marathon-486xx", "■")</f>
        <v>■</v>
      </c>
      <c r="F88" s="14" t="s">
        <v>13583</v>
      </c>
      <c r="G88" s="14">
        <v>44948</v>
      </c>
      <c r="H88" s="14">
        <v>54058</v>
      </c>
      <c r="I88" s="7">
        <v>26</v>
      </c>
      <c r="J88" s="14" t="s">
        <v>13578</v>
      </c>
      <c r="K88" s="14" t="s">
        <v>13584</v>
      </c>
      <c r="L88" s="14" t="s">
        <v>13585</v>
      </c>
      <c r="M88" s="14" t="s">
        <v>9158</v>
      </c>
      <c r="N88" s="14" t="s">
        <v>9158</v>
      </c>
      <c r="O88" s="14" t="s">
        <v>9158</v>
      </c>
      <c r="P88" s="14" t="s">
        <v>9158</v>
      </c>
      <c r="Q88" s="14" t="s">
        <v>9158</v>
      </c>
    </row>
    <row r="89" spans="1:17">
      <c r="A89" s="14">
        <v>91153</v>
      </c>
      <c r="B89" s="14" t="s">
        <v>13574</v>
      </c>
      <c r="C89" s="14" t="s">
        <v>13587</v>
      </c>
      <c r="D89" s="14" t="s">
        <v>13586</v>
      </c>
      <c r="E89" s="15" t="str">
        <f>HYPERLINK("https://stat100.ameba.jp/tnk47/ratio20/illustrations/card/ill_91153_iyaya03.jpg?202008-5-RELEASE-marathon-486xx", "■")</f>
        <v>■</v>
      </c>
      <c r="F89" s="14" t="s">
        <v>13588</v>
      </c>
      <c r="G89" s="14">
        <v>54058</v>
      </c>
      <c r="H89" s="14">
        <v>44948</v>
      </c>
      <c r="I89" s="7">
        <v>26</v>
      </c>
      <c r="J89" s="14" t="s">
        <v>13570</v>
      </c>
      <c r="K89" s="14" t="s">
        <v>13589</v>
      </c>
      <c r="L89" s="14" t="s">
        <v>13590</v>
      </c>
      <c r="M89" s="14" t="s">
        <v>9158</v>
      </c>
      <c r="N89" s="14" t="s">
        <v>9158</v>
      </c>
      <c r="O89" s="14" t="s">
        <v>9158</v>
      </c>
      <c r="P89" s="14" t="s">
        <v>9158</v>
      </c>
      <c r="Q89" s="14" t="s">
        <v>9158</v>
      </c>
    </row>
    <row r="91" spans="1:17">
      <c r="A91" s="14" t="s">
        <v>13595</v>
      </c>
    </row>
    <row r="92" spans="1:17">
      <c r="A92" s="14" t="s">
        <v>13596</v>
      </c>
    </row>
    <row r="93" spans="1:17">
      <c r="A93" s="14" t="s">
        <v>12809</v>
      </c>
      <c r="B93" s="14" t="s">
        <v>117</v>
      </c>
      <c r="C93" s="14" t="s">
        <v>35</v>
      </c>
      <c r="D93" s="14" t="s">
        <v>12807</v>
      </c>
      <c r="E93" s="15" t="str">
        <f>HYPERLINK("https://stat100.ameba.jp/tnk47/ratio20/illustrations/card/ill_90173_0_yurakunekomusume03.jpg?202008-5-RELEASE-marathon-486xx", "■")</f>
        <v>■</v>
      </c>
      <c r="F93" s="14" t="s">
        <v>12810</v>
      </c>
      <c r="G93" s="14">
        <v>358280</v>
      </c>
      <c r="H93" s="14">
        <v>323852</v>
      </c>
      <c r="I93" s="14">
        <v>30</v>
      </c>
      <c r="J93" s="14" t="s">
        <v>38</v>
      </c>
      <c r="K93" s="14" t="s">
        <v>12812</v>
      </c>
      <c r="L93" s="14" t="s">
        <v>12813</v>
      </c>
      <c r="M93" s="14" t="s">
        <v>9158</v>
      </c>
      <c r="N93" s="14" t="s">
        <v>9158</v>
      </c>
      <c r="O93" s="14" t="s">
        <v>12805</v>
      </c>
      <c r="P93" s="14" t="s">
        <v>3491</v>
      </c>
      <c r="Q93" s="14">
        <v>1</v>
      </c>
    </row>
    <row r="94" spans="1:17">
      <c r="A94" s="14">
        <v>71333</v>
      </c>
      <c r="B94" s="14" t="s">
        <v>0</v>
      </c>
      <c r="C94" s="14" t="s">
        <v>41</v>
      </c>
      <c r="D94" s="19" t="s">
        <v>10256</v>
      </c>
      <c r="E94" s="15" t="str">
        <f>HYPERLINK("https://stat100.ameba.jp/tnk47/ratio20/illustrations/card/ill_71333_fujiwaranokamatari03.jpg?202008-5-RELEASE-marathon-486xx", "■")</f>
        <v>■</v>
      </c>
      <c r="F94" s="14" t="s">
        <v>58</v>
      </c>
      <c r="G94" s="14">
        <v>113630</v>
      </c>
      <c r="H94" s="14">
        <v>82318</v>
      </c>
      <c r="I94" s="14">
        <v>26</v>
      </c>
      <c r="J94" s="14" t="s">
        <v>10</v>
      </c>
      <c r="K94" s="14" t="s">
        <v>59</v>
      </c>
      <c r="L94" s="14" t="s">
        <v>60</v>
      </c>
      <c r="M94" s="14" t="s">
        <v>9158</v>
      </c>
      <c r="N94" s="14" t="s">
        <v>9158</v>
      </c>
      <c r="O94" s="19" t="s">
        <v>10098</v>
      </c>
      <c r="P94" s="14" t="s">
        <v>3491</v>
      </c>
      <c r="Q94" s="14">
        <v>1</v>
      </c>
    </row>
    <row r="95" spans="1:17">
      <c r="A95" s="14">
        <v>75083</v>
      </c>
      <c r="B95" s="14" t="s">
        <v>334</v>
      </c>
      <c r="C95" s="14" t="s">
        <v>209</v>
      </c>
      <c r="D95" s="19" t="s">
        <v>10401</v>
      </c>
      <c r="E95" s="15" t="str">
        <f>HYPERLINK("https://stat100.ameba.jp/tnk47/ratio20/illustrations/card/ill_75083_sukumizuhanakosan03.jpg?202008-5-RELEASE-marathon-486xx", "■")</f>
        <v>■</v>
      </c>
      <c r="F95" s="14" t="s">
        <v>1020</v>
      </c>
      <c r="G95" s="14">
        <v>121240</v>
      </c>
      <c r="H95" s="14">
        <v>87834</v>
      </c>
      <c r="I95" s="14">
        <v>26</v>
      </c>
      <c r="J95" s="14" t="s">
        <v>73</v>
      </c>
      <c r="K95" s="14" t="s">
        <v>1021</v>
      </c>
      <c r="L95" s="14" t="s">
        <v>1022</v>
      </c>
      <c r="M95" s="14" t="s">
        <v>9158</v>
      </c>
      <c r="N95" s="14" t="s">
        <v>9158</v>
      </c>
      <c r="O95" s="19" t="s">
        <v>10105</v>
      </c>
      <c r="P95" s="14" t="s">
        <v>3416</v>
      </c>
      <c r="Q95" s="14">
        <v>1</v>
      </c>
    </row>
    <row r="96" spans="1:17">
      <c r="A96" s="14">
        <v>80743</v>
      </c>
      <c r="B96" s="14" t="s">
        <v>0</v>
      </c>
      <c r="C96" s="14" t="s">
        <v>209</v>
      </c>
      <c r="D96" s="20" t="s">
        <v>10414</v>
      </c>
      <c r="E96" s="15" t="str">
        <f>HYPERLINK("https://stat100.ameba.jp/tnk47/ratio20/illustrations/card/ill_80743_senseijutsushi03.jpg?202008-5-RELEASE-marathon-486xx", "■")</f>
        <v>■</v>
      </c>
      <c r="F96" s="14" t="s">
        <v>4249</v>
      </c>
      <c r="G96" s="14">
        <v>82318</v>
      </c>
      <c r="H96" s="14">
        <v>113630</v>
      </c>
      <c r="I96" s="14">
        <v>26</v>
      </c>
      <c r="J96" s="14" t="s">
        <v>16</v>
      </c>
      <c r="K96" s="14" t="s">
        <v>4250</v>
      </c>
      <c r="L96" s="14" t="s">
        <v>4251</v>
      </c>
      <c r="M96" s="14" t="s">
        <v>9158</v>
      </c>
      <c r="N96" s="14" t="s">
        <v>9158</v>
      </c>
      <c r="O96" s="19" t="s">
        <v>10109</v>
      </c>
      <c r="P96" s="14" t="s">
        <v>3625</v>
      </c>
      <c r="Q96" s="14">
        <v>1</v>
      </c>
    </row>
    <row r="97" spans="1:17">
      <c r="A97" s="14">
        <v>69503</v>
      </c>
      <c r="B97" s="14" t="s">
        <v>0</v>
      </c>
      <c r="C97" s="14" t="s">
        <v>47</v>
      </c>
      <c r="D97" s="14" t="s">
        <v>65</v>
      </c>
      <c r="E97" s="15" t="str">
        <f>HYPERLINK("https://stat100.ameba.jp/tnk47/ratio20/illustrations/card/ill_69503_azusayumi03.jpg?202008-5-RELEASE-marathon-486xx", "■")</f>
        <v>■</v>
      </c>
      <c r="F97" s="14" t="s">
        <v>66</v>
      </c>
      <c r="G97" s="14">
        <v>118000</v>
      </c>
      <c r="H97" s="14">
        <v>85492</v>
      </c>
      <c r="I97" s="14">
        <v>26</v>
      </c>
      <c r="J97" s="14" t="s">
        <v>38</v>
      </c>
      <c r="K97" s="14" t="s">
        <v>67</v>
      </c>
      <c r="L97" s="14" t="s">
        <v>68</v>
      </c>
      <c r="M97" s="14" t="s">
        <v>9158</v>
      </c>
      <c r="N97" s="14" t="s">
        <v>9158</v>
      </c>
      <c r="O97" s="7" t="s">
        <v>2951</v>
      </c>
      <c r="P97" s="14" t="s">
        <v>13122</v>
      </c>
      <c r="Q97" s="14">
        <v>1</v>
      </c>
    </row>
    <row r="98" spans="1:17">
      <c r="A98" s="14">
        <v>80163</v>
      </c>
      <c r="B98" s="14" t="s">
        <v>334</v>
      </c>
      <c r="C98" s="14" t="s">
        <v>158</v>
      </c>
      <c r="D98" s="19" t="s">
        <v>10391</v>
      </c>
      <c r="E98" s="15" t="str">
        <f>HYPERLINK("https://stat100.ameba.jp/tnk47/ratio20/illustrations/card/ill_80163_kuronosu03.jpg?202008-5-RELEASE-marathon-486xx", "■")</f>
        <v>■</v>
      </c>
      <c r="F98" s="14" t="s">
        <v>3766</v>
      </c>
      <c r="G98" s="14">
        <v>85962</v>
      </c>
      <c r="H98" s="14">
        <v>118684</v>
      </c>
      <c r="I98" s="14">
        <v>26</v>
      </c>
      <c r="J98" s="14" t="s">
        <v>44</v>
      </c>
      <c r="K98" s="14" t="s">
        <v>3767</v>
      </c>
      <c r="L98" s="14" t="s">
        <v>1209</v>
      </c>
      <c r="M98" s="14" t="s">
        <v>9158</v>
      </c>
      <c r="N98" s="14" t="s">
        <v>9158</v>
      </c>
      <c r="O98" s="19" t="s">
        <v>2752</v>
      </c>
      <c r="P98" s="14" t="s">
        <v>13123</v>
      </c>
      <c r="Q98" s="14">
        <v>1</v>
      </c>
    </row>
    <row r="99" spans="1:17">
      <c r="A99" s="14">
        <v>79523</v>
      </c>
      <c r="B99" s="14" t="s">
        <v>0</v>
      </c>
      <c r="C99" s="14" t="s">
        <v>203</v>
      </c>
      <c r="D99" s="20" t="s">
        <v>10309</v>
      </c>
      <c r="E99" s="15" t="str">
        <f>HYPERLINK("https://stat100.ameba.jp/tnk47/ratio20/illustrations/card/ill_79523_shikyokunoashurato03.jpg?202008-5-RELEASE-marathon-486xx", "■")</f>
        <v>■</v>
      </c>
      <c r="F99" s="14" t="s">
        <v>3590</v>
      </c>
      <c r="G99" s="14">
        <v>82318</v>
      </c>
      <c r="H99" s="14">
        <v>113630</v>
      </c>
      <c r="I99" s="14">
        <v>26</v>
      </c>
      <c r="J99" s="14" t="s">
        <v>77</v>
      </c>
      <c r="K99" s="14" t="s">
        <v>3591</v>
      </c>
      <c r="L99" s="14" t="s">
        <v>1955</v>
      </c>
      <c r="M99" s="14" t="s">
        <v>9158</v>
      </c>
      <c r="N99" s="14" t="s">
        <v>9158</v>
      </c>
      <c r="O99" s="19" t="s">
        <v>10074</v>
      </c>
      <c r="P99" s="14" t="s">
        <v>3592</v>
      </c>
      <c r="Q99" s="14">
        <v>1</v>
      </c>
    </row>
    <row r="101" spans="1:17">
      <c r="A101" s="14" t="s">
        <v>13560</v>
      </c>
    </row>
    <row r="102" spans="1:17">
      <c r="A102" s="14" t="s">
        <v>13597</v>
      </c>
    </row>
    <row r="103" spans="1:17">
      <c r="A103" s="14" t="s">
        <v>7150</v>
      </c>
      <c r="B103" s="14" t="s">
        <v>52</v>
      </c>
      <c r="C103" s="14" t="s">
        <v>202</v>
      </c>
      <c r="D103" s="19" t="s">
        <v>10656</v>
      </c>
      <c r="E103" s="15" t="str">
        <f>HYPERLINK("https://stat100.ameba.jp/tnk47/ratio20/illustrations/card/ill_84203_0_tarottofujiwaranoshoshi03.jpg?202008-5-RELEASE-marathon-486xx", "■")</f>
        <v>■</v>
      </c>
      <c r="F103" s="14" t="s">
        <v>7153</v>
      </c>
      <c r="G103" s="14">
        <v>367968</v>
      </c>
      <c r="H103" s="14">
        <v>332590</v>
      </c>
      <c r="I103" s="14">
        <v>25</v>
      </c>
      <c r="J103" s="14" t="s">
        <v>10</v>
      </c>
      <c r="K103" s="14" t="s">
        <v>7152</v>
      </c>
      <c r="L103" s="14" t="s">
        <v>7151</v>
      </c>
      <c r="M103" s="14" t="s">
        <v>9158</v>
      </c>
      <c r="N103" s="14" t="s">
        <v>9158</v>
      </c>
      <c r="O103" s="19" t="s">
        <v>10128</v>
      </c>
      <c r="P103" s="14" t="s">
        <v>7154</v>
      </c>
      <c r="Q103" s="14">
        <v>1</v>
      </c>
    </row>
    <row r="104" spans="1:17">
      <c r="A104" s="14">
        <v>81903</v>
      </c>
      <c r="B104" s="14" t="s">
        <v>334</v>
      </c>
      <c r="C104" s="14" t="s">
        <v>47</v>
      </c>
      <c r="D104" s="19" t="s">
        <v>10200</v>
      </c>
      <c r="E104" s="15" t="str">
        <f>HYPERLINK("https://stat100.ameba.jp/tnk47/ratio20/illustrations/card/ill_81903_kiryuhimeiren03.jpg?202008-5-RELEASE-marathon-486xx", "■")</f>
        <v>■</v>
      </c>
      <c r="F104" s="14" t="s">
        <v>4983</v>
      </c>
      <c r="G104" s="14">
        <v>79348</v>
      </c>
      <c r="H104" s="14">
        <v>109554</v>
      </c>
      <c r="I104" s="14">
        <v>24</v>
      </c>
      <c r="J104" s="14" t="s">
        <v>77</v>
      </c>
      <c r="K104" s="14" t="s">
        <v>4985</v>
      </c>
      <c r="L104" s="14" t="s">
        <v>4986</v>
      </c>
      <c r="M104" s="14" t="s">
        <v>9158</v>
      </c>
      <c r="N104" s="14" t="s">
        <v>9158</v>
      </c>
      <c r="O104" s="19" t="s">
        <v>10112</v>
      </c>
      <c r="P104" s="14" t="s">
        <v>13150</v>
      </c>
      <c r="Q104" s="14">
        <v>1</v>
      </c>
    </row>
    <row r="105" spans="1:17">
      <c r="A105" s="14">
        <v>83093</v>
      </c>
      <c r="B105" s="14" t="s">
        <v>0</v>
      </c>
      <c r="C105" s="14" t="s">
        <v>158</v>
      </c>
      <c r="D105" s="19" t="s">
        <v>10490</v>
      </c>
      <c r="E105" s="15" t="str">
        <f>HYPERLINK("https://stat100.ameba.jp/tnk47/ratio20/illustrations/card/ill_83093_yusuraume03.jpg?202008-5-RELEASE-marathon-486xx", "■")</f>
        <v>■</v>
      </c>
      <c r="F105" s="14" t="s">
        <v>6267</v>
      </c>
      <c r="G105" s="14">
        <v>126858</v>
      </c>
      <c r="H105" s="14">
        <v>91876</v>
      </c>
      <c r="I105" s="14">
        <v>24</v>
      </c>
      <c r="J105" s="14" t="s">
        <v>104</v>
      </c>
      <c r="K105" s="14" t="s">
        <v>6266</v>
      </c>
      <c r="L105" s="14" t="s">
        <v>2409</v>
      </c>
      <c r="M105" s="14" t="s">
        <v>9158</v>
      </c>
      <c r="N105" s="14" t="s">
        <v>9158</v>
      </c>
      <c r="O105" s="19" t="s">
        <v>10090</v>
      </c>
      <c r="P105" s="14" t="s">
        <v>3460</v>
      </c>
      <c r="Q105" s="14">
        <v>1</v>
      </c>
    </row>
    <row r="106" spans="1:17">
      <c r="A106" s="14">
        <v>75053</v>
      </c>
      <c r="B106" s="14" t="s">
        <v>334</v>
      </c>
      <c r="C106" s="14" t="s">
        <v>47</v>
      </c>
      <c r="D106" s="19" t="s">
        <v>10366</v>
      </c>
      <c r="E106" s="15" t="str">
        <f>HYPERLINK("https://stat100.ameba.jp/tnk47/ratio20/illustrations/card/ill_75053_goshikinuma03.jpg?202008-5-RELEASE-marathon-486xx", "■")</f>
        <v>■</v>
      </c>
      <c r="F106" s="14" t="s">
        <v>5644</v>
      </c>
      <c r="G106" s="14">
        <v>88624</v>
      </c>
      <c r="H106" s="14">
        <v>122366</v>
      </c>
      <c r="I106" s="14">
        <v>24</v>
      </c>
      <c r="J106" s="14" t="s">
        <v>26</v>
      </c>
      <c r="K106" s="14" t="s">
        <v>5646</v>
      </c>
      <c r="L106" s="14" t="s">
        <v>2137</v>
      </c>
      <c r="M106" s="14" t="s">
        <v>9158</v>
      </c>
      <c r="N106" s="14" t="s">
        <v>9158</v>
      </c>
      <c r="O106" s="19" t="s">
        <v>10093</v>
      </c>
      <c r="P106" s="14" t="s">
        <v>13145</v>
      </c>
      <c r="Q106" s="14">
        <v>1</v>
      </c>
    </row>
    <row r="108" spans="1:17">
      <c r="A108" s="14" t="s">
        <v>13598</v>
      </c>
    </row>
    <row r="109" spans="1:17">
      <c r="A109" s="14" t="s">
        <v>13599</v>
      </c>
    </row>
    <row r="110" spans="1:17">
      <c r="A110" s="14">
        <v>84733</v>
      </c>
      <c r="B110" s="14" t="s">
        <v>0</v>
      </c>
      <c r="C110" s="14" t="s">
        <v>154</v>
      </c>
      <c r="D110" s="19" t="s">
        <v>10677</v>
      </c>
      <c r="E110" s="15" t="str">
        <f>HYPERLINK("https://stat100.ameba.jp/tnk47/ratio20/illustrations/card/ill_84733_madadoru03.jpg?202008-5-RELEASE-marathon-486xx", "■")</f>
        <v>■</v>
      </c>
      <c r="F110" s="14" t="s">
        <v>7293</v>
      </c>
      <c r="G110" s="14">
        <v>116452</v>
      </c>
      <c r="H110" s="14">
        <v>108276</v>
      </c>
      <c r="I110" s="14">
        <v>27</v>
      </c>
      <c r="J110" s="14" t="s">
        <v>182</v>
      </c>
      <c r="K110" s="14" t="s">
        <v>7296</v>
      </c>
      <c r="L110" s="14" t="s">
        <v>7295</v>
      </c>
      <c r="M110" s="14" t="s">
        <v>9158</v>
      </c>
      <c r="N110" s="14" t="s">
        <v>9158</v>
      </c>
      <c r="O110" s="14" t="s">
        <v>9158</v>
      </c>
      <c r="P110" s="14" t="s">
        <v>9158</v>
      </c>
      <c r="Q110" s="14" t="s">
        <v>9158</v>
      </c>
    </row>
    <row r="111" spans="1:17">
      <c r="A111" s="14">
        <v>84743</v>
      </c>
      <c r="B111" s="14" t="s">
        <v>0</v>
      </c>
      <c r="C111" s="14" t="s">
        <v>158</v>
      </c>
      <c r="D111" s="19" t="s">
        <v>10678</v>
      </c>
      <c r="E111" s="15" t="str">
        <f>HYPERLINK("https://stat100.ameba.jp/tnk47/ratio20/illustrations/card/ill_84743_rinnenonyumpe03.jpg?202008-5-RELEASE-marathon-486xx", "■")</f>
        <v>■</v>
      </c>
      <c r="F111" s="14" t="s">
        <v>7294</v>
      </c>
      <c r="G111" s="14">
        <v>116452</v>
      </c>
      <c r="H111" s="14">
        <v>108276</v>
      </c>
      <c r="I111" s="14">
        <v>27</v>
      </c>
      <c r="J111" s="14" t="s">
        <v>169</v>
      </c>
      <c r="K111" s="14" t="s">
        <v>7297</v>
      </c>
      <c r="L111" s="14" t="s">
        <v>7298</v>
      </c>
      <c r="M111" s="14" t="s">
        <v>9158</v>
      </c>
      <c r="N111" s="14" t="s">
        <v>9158</v>
      </c>
      <c r="O111" s="14" t="s">
        <v>9158</v>
      </c>
      <c r="P111" s="14" t="s">
        <v>9158</v>
      </c>
      <c r="Q111" s="14" t="s">
        <v>9158</v>
      </c>
    </row>
    <row r="112" spans="1:17">
      <c r="A112" s="14">
        <v>69883</v>
      </c>
      <c r="B112" s="14" t="s">
        <v>334</v>
      </c>
      <c r="C112" s="14" t="s">
        <v>185</v>
      </c>
      <c r="D112" s="19" t="s">
        <v>10293</v>
      </c>
      <c r="E112" s="15" t="str">
        <f>HYPERLINK("https://stat100.ameba.jp/tnk47/ratio20/illustrations/card/ill_69883_kyupiddotominushihime03.jpg?202008-5-RELEASE-marathon-486xx", "■")</f>
        <v>■</v>
      </c>
      <c r="F112" s="14" t="s">
        <v>4142</v>
      </c>
      <c r="G112" s="14">
        <v>102386</v>
      </c>
      <c r="H112" s="14">
        <v>110129</v>
      </c>
      <c r="I112" s="14">
        <v>27</v>
      </c>
      <c r="J112" s="14" t="s">
        <v>169</v>
      </c>
      <c r="K112" s="14" t="s">
        <v>4143</v>
      </c>
      <c r="L112" s="14" t="s">
        <v>13190</v>
      </c>
      <c r="M112" s="14" t="s">
        <v>9158</v>
      </c>
      <c r="N112" s="14" t="s">
        <v>9158</v>
      </c>
      <c r="O112" s="14" t="s">
        <v>9158</v>
      </c>
      <c r="P112" s="14" t="s">
        <v>9158</v>
      </c>
      <c r="Q112" s="14" t="s">
        <v>9158</v>
      </c>
    </row>
    <row r="113" spans="1:17">
      <c r="A113" s="9">
        <v>67243</v>
      </c>
      <c r="B113" s="14" t="s">
        <v>334</v>
      </c>
      <c r="C113" s="9" t="s">
        <v>205</v>
      </c>
      <c r="D113" s="20" t="s">
        <v>10199</v>
      </c>
      <c r="E113" s="15" t="str">
        <f>HYPERLINK("https://stat100.ameba.jp/tnk47/ratio20/illustrations/card/ill_67243_onsenyadomoryo03.jpg?202008-5-RELEASE-marathon-486xx", "■")</f>
        <v>■</v>
      </c>
      <c r="F113" s="9" t="s">
        <v>3638</v>
      </c>
      <c r="G113" s="9">
        <v>104619</v>
      </c>
      <c r="H113" s="9">
        <v>112496</v>
      </c>
      <c r="I113" s="14">
        <v>27</v>
      </c>
      <c r="J113" s="9" t="s">
        <v>182</v>
      </c>
      <c r="K113" s="9" t="s">
        <v>3639</v>
      </c>
      <c r="L113" s="9" t="s">
        <v>3640</v>
      </c>
      <c r="M113" s="14" t="s">
        <v>9158</v>
      </c>
      <c r="N113" s="14" t="s">
        <v>9158</v>
      </c>
      <c r="O113" s="14" t="s">
        <v>9158</v>
      </c>
      <c r="P113" s="14" t="s">
        <v>9158</v>
      </c>
      <c r="Q113" s="14" t="s">
        <v>9158</v>
      </c>
    </row>
    <row r="114" spans="1:17">
      <c r="A114" s="14">
        <v>52973</v>
      </c>
      <c r="B114" s="14" t="s">
        <v>15</v>
      </c>
      <c r="C114" s="14" t="s">
        <v>206</v>
      </c>
      <c r="D114" s="19" t="s">
        <v>10519</v>
      </c>
      <c r="E114" s="15" t="str">
        <f>HYPERLINK("https://stat100.ameba.jp/tnk47/ratio20/illustrations/card/ill_52973_torampuamoronagu03.jpg?202008-5-RELEASE-marathon-486xx", "■")</f>
        <v>■</v>
      </c>
      <c r="F114" s="14" t="s">
        <v>6421</v>
      </c>
      <c r="G114" s="14">
        <v>65208</v>
      </c>
      <c r="H114" s="14">
        <v>59144</v>
      </c>
      <c r="I114" s="14">
        <v>22</v>
      </c>
      <c r="J114" s="14" t="s">
        <v>44</v>
      </c>
      <c r="K114" s="14" t="s">
        <v>6419</v>
      </c>
      <c r="L114" s="14" t="s">
        <v>6418</v>
      </c>
      <c r="M114" s="14" t="s">
        <v>9158</v>
      </c>
      <c r="N114" s="14" t="s">
        <v>9158</v>
      </c>
      <c r="O114" s="14" t="s">
        <v>9158</v>
      </c>
      <c r="P114" s="14" t="s">
        <v>9158</v>
      </c>
      <c r="Q114" s="14" t="s">
        <v>9158</v>
      </c>
    </row>
    <row r="115" spans="1:17">
      <c r="A115" s="14">
        <v>52333</v>
      </c>
      <c r="B115" s="14" t="s">
        <v>15</v>
      </c>
      <c r="C115" s="14" t="s">
        <v>200</v>
      </c>
      <c r="D115" s="19" t="s">
        <v>10537</v>
      </c>
      <c r="E115" s="15" t="str">
        <f>HYPERLINK("https://stat100.ameba.jp/tnk47/ratio20/illustrations/card/ill_52333_chichibuyomatsuri03.jpg?202008-5-RELEASE-marathon-486xx", "■")</f>
        <v>■</v>
      </c>
      <c r="F115" s="14" t="s">
        <v>3614</v>
      </c>
      <c r="G115" s="14">
        <v>65208</v>
      </c>
      <c r="H115" s="14">
        <v>59144</v>
      </c>
      <c r="I115" s="14">
        <v>22</v>
      </c>
      <c r="J115" s="14" t="s">
        <v>38</v>
      </c>
      <c r="K115" s="14" t="s">
        <v>3615</v>
      </c>
      <c r="L115" s="14" t="s">
        <v>3616</v>
      </c>
      <c r="M115" s="14" t="s">
        <v>9158</v>
      </c>
      <c r="N115" s="14" t="s">
        <v>9158</v>
      </c>
      <c r="O115" s="14" t="s">
        <v>9158</v>
      </c>
      <c r="P115" s="14" t="s">
        <v>9158</v>
      </c>
      <c r="Q115" s="14" t="s">
        <v>9158</v>
      </c>
    </row>
    <row r="116" spans="1:17">
      <c r="A116" s="14">
        <v>51913</v>
      </c>
      <c r="B116" s="14" t="s">
        <v>15</v>
      </c>
      <c r="C116" s="14" t="s">
        <v>191</v>
      </c>
      <c r="D116" s="19" t="s">
        <v>10538</v>
      </c>
      <c r="E116" s="15" t="str">
        <f>HYPERLINK("https://stat100.ameba.jp/tnk47/ratio20/illustrations/card/ill_51913_kemonomizugihamahime03.jpg?202008-5-RELEASE-marathon-486xx", "■")</f>
        <v>■</v>
      </c>
      <c r="F116" s="14" t="s">
        <v>6501</v>
      </c>
      <c r="G116" s="14">
        <v>59144</v>
      </c>
      <c r="H116" s="14">
        <v>65208</v>
      </c>
      <c r="I116" s="14">
        <v>22</v>
      </c>
      <c r="J116" s="14" t="s">
        <v>182</v>
      </c>
      <c r="K116" s="14" t="s">
        <v>6500</v>
      </c>
      <c r="L116" s="14" t="s">
        <v>6499</v>
      </c>
      <c r="M116" s="14" t="s">
        <v>9158</v>
      </c>
      <c r="N116" s="14" t="s">
        <v>9158</v>
      </c>
      <c r="O116" s="14" t="s">
        <v>9158</v>
      </c>
      <c r="P116" s="14" t="s">
        <v>9158</v>
      </c>
      <c r="Q116" s="14" t="s">
        <v>9158</v>
      </c>
    </row>
    <row r="117" spans="1:17">
      <c r="A117" s="14">
        <v>53203</v>
      </c>
      <c r="B117" s="14" t="s">
        <v>15</v>
      </c>
      <c r="C117" s="14" t="s">
        <v>165</v>
      </c>
      <c r="D117" s="20" t="s">
        <v>10494</v>
      </c>
      <c r="E117" s="15" t="str">
        <f>HYPERLINK("https://stat100.ameba.jp/tnk47/ratio20/illustrations/card/ill_53203_buruhawaichan03.jpg?202008-5-RELEASE-marathon-486xx", "■")</f>
        <v>■</v>
      </c>
      <c r="F117" s="14" t="s">
        <v>6258</v>
      </c>
      <c r="G117" s="14">
        <v>59144</v>
      </c>
      <c r="H117" s="14">
        <v>65208</v>
      </c>
      <c r="I117" s="14">
        <v>22</v>
      </c>
      <c r="J117" s="14" t="s">
        <v>104</v>
      </c>
      <c r="K117" s="14" t="s">
        <v>6261</v>
      </c>
      <c r="L117" s="14" t="s">
        <v>6260</v>
      </c>
      <c r="M117" s="14" t="s">
        <v>9158</v>
      </c>
      <c r="N117" s="14" t="s">
        <v>9158</v>
      </c>
      <c r="O117" s="14" t="s">
        <v>9158</v>
      </c>
      <c r="P117" s="14" t="s">
        <v>9158</v>
      </c>
      <c r="Q117" s="14" t="s">
        <v>9158</v>
      </c>
    </row>
    <row r="119" spans="1:17">
      <c r="A119" s="14" t="s">
        <v>13600</v>
      </c>
    </row>
    <row r="120" spans="1:17">
      <c r="A120" s="14" t="s">
        <v>13601</v>
      </c>
    </row>
    <row r="121" spans="1:17">
      <c r="A121" s="14" t="s">
        <v>13602</v>
      </c>
    </row>
    <row r="122" spans="1:17">
      <c r="A122" s="7" t="s">
        <v>8839</v>
      </c>
      <c r="B122" s="7" t="s">
        <v>52</v>
      </c>
      <c r="C122" s="7" t="s">
        <v>202</v>
      </c>
      <c r="D122" s="20" t="s">
        <v>10880</v>
      </c>
      <c r="E122" s="15" t="str">
        <f>HYPERLINK("https://stat100.ameba.jp/tnk47/ratio20/illustrations/card/ill_86273_0_oshogatsuniijimayae03.jpg?202008-5-RELEASE-marathon-486xx", "■")</f>
        <v>■</v>
      </c>
      <c r="F122" s="7" t="s">
        <v>8838</v>
      </c>
      <c r="G122" s="7">
        <v>285346</v>
      </c>
      <c r="H122" s="7">
        <v>327865</v>
      </c>
      <c r="I122" s="7">
        <v>26</v>
      </c>
      <c r="J122" s="14" t="s">
        <v>173</v>
      </c>
      <c r="K122" s="7" t="s">
        <v>8837</v>
      </c>
      <c r="L122" s="7" t="s">
        <v>13211</v>
      </c>
      <c r="M122" s="14" t="s">
        <v>9158</v>
      </c>
      <c r="N122" s="14" t="s">
        <v>9158</v>
      </c>
      <c r="O122" s="19" t="s">
        <v>10134</v>
      </c>
      <c r="P122" s="7" t="s">
        <v>8870</v>
      </c>
      <c r="Q122" s="7">
        <v>1</v>
      </c>
    </row>
    <row r="123" spans="1:17">
      <c r="A123" s="9" t="s">
        <v>5891</v>
      </c>
      <c r="B123" s="14" t="s">
        <v>330</v>
      </c>
      <c r="C123" s="14" t="s">
        <v>202</v>
      </c>
      <c r="D123" s="14" t="s">
        <v>1999</v>
      </c>
      <c r="E123" s="15" t="str">
        <f>HYPERLINK("https://stat100.ameba.jp/tnk47/ratio20/illustrations/card/ill_77173_0_yukemuritomoegozen03.jpg?202008-5-RELEASE-marathon-486xx", "■")</f>
        <v>■</v>
      </c>
      <c r="F123" s="14" t="s">
        <v>1372</v>
      </c>
      <c r="G123" s="14">
        <v>260634</v>
      </c>
      <c r="H123" s="14">
        <v>288374</v>
      </c>
      <c r="I123" s="14">
        <v>26</v>
      </c>
      <c r="J123" s="14" t="s">
        <v>194</v>
      </c>
      <c r="K123" s="14" t="s">
        <v>1373</v>
      </c>
      <c r="L123" s="14" t="s">
        <v>1374</v>
      </c>
      <c r="M123" s="14" t="s">
        <v>9158</v>
      </c>
      <c r="N123" s="14" t="s">
        <v>9158</v>
      </c>
      <c r="O123" s="9" t="s">
        <v>3878</v>
      </c>
      <c r="P123" s="14" t="s">
        <v>3879</v>
      </c>
      <c r="Q123" s="14">
        <v>2</v>
      </c>
    </row>
    <row r="124" spans="1:17">
      <c r="A124" s="14" t="s">
        <v>5734</v>
      </c>
      <c r="B124" s="14" t="s">
        <v>330</v>
      </c>
      <c r="C124" s="14" t="s">
        <v>202</v>
      </c>
      <c r="D124" s="20" t="s">
        <v>1497</v>
      </c>
      <c r="E124" s="15" t="str">
        <f>HYPERLINK("https://stat100.ameba.jp/tnk47/ratio20/illustrations/card/ill_74593_0_natsuyuenchikoshihikari03.jpg?202008-5-RELEASE-marathon-486xx", "■")</f>
        <v>■</v>
      </c>
      <c r="F124" s="14" t="s">
        <v>1498</v>
      </c>
      <c r="G124" s="14">
        <v>281662</v>
      </c>
      <c r="H124" s="14">
        <v>261852</v>
      </c>
      <c r="I124" s="14">
        <v>26</v>
      </c>
      <c r="J124" s="14" t="s">
        <v>283</v>
      </c>
      <c r="K124" s="14" t="s">
        <v>1499</v>
      </c>
      <c r="L124" s="14" t="s">
        <v>1500</v>
      </c>
      <c r="M124" s="14" t="s">
        <v>9158</v>
      </c>
      <c r="N124" s="14" t="s">
        <v>9158</v>
      </c>
      <c r="O124" s="19" t="s">
        <v>2731</v>
      </c>
      <c r="P124" s="14" t="s">
        <v>2732</v>
      </c>
      <c r="Q124" s="14">
        <v>1</v>
      </c>
    </row>
    <row r="125" spans="1:17">
      <c r="A125" s="9">
        <v>68103</v>
      </c>
      <c r="B125" s="14" t="s">
        <v>0</v>
      </c>
      <c r="C125" s="14" t="s">
        <v>185</v>
      </c>
      <c r="D125" s="14" t="s">
        <v>1928</v>
      </c>
      <c r="E125" s="15" t="str">
        <f>HYPERLINK("https://stat100.ameba.jp/tnk47/ratio20/illustrations/card/ill_68103_roritairohahime03.jpg?202008-5-RELEASE-marathon-486xx", "■")</f>
        <v>■</v>
      </c>
      <c r="F125" s="14" t="s">
        <v>1929</v>
      </c>
      <c r="G125" s="14">
        <v>94390</v>
      </c>
      <c r="H125" s="14">
        <v>101558</v>
      </c>
      <c r="I125" s="14">
        <v>26</v>
      </c>
      <c r="J125" s="14" t="s">
        <v>77</v>
      </c>
      <c r="K125" s="14" t="s">
        <v>1930</v>
      </c>
      <c r="L125" s="14" t="s">
        <v>969</v>
      </c>
      <c r="M125" s="14" t="s">
        <v>9158</v>
      </c>
      <c r="N125" s="14" t="s">
        <v>9158</v>
      </c>
      <c r="O125" s="14" t="s">
        <v>9158</v>
      </c>
      <c r="P125" s="14" t="s">
        <v>9158</v>
      </c>
      <c r="Q125" s="14" t="s">
        <v>9158</v>
      </c>
    </row>
    <row r="126" spans="1:17">
      <c r="A126" s="9">
        <v>87093</v>
      </c>
      <c r="B126" s="9" t="s">
        <v>0</v>
      </c>
      <c r="C126" s="9" t="s">
        <v>200</v>
      </c>
      <c r="D126" s="19" t="s">
        <v>10967</v>
      </c>
      <c r="E126" s="15" t="str">
        <f>HYPERLINK("https://stat100.ameba.jp/tnk47/ratio20/illustrations/card/ill_87093_togijosesutasu03.jpg?202008-5-RELEASE-marathon-486xx", "■")</f>
        <v>■</v>
      </c>
      <c r="F126" s="9" t="s">
        <v>9408</v>
      </c>
      <c r="G126" s="9">
        <v>118446</v>
      </c>
      <c r="H126" s="9">
        <v>110126</v>
      </c>
      <c r="I126" s="9">
        <v>26</v>
      </c>
      <c r="J126" s="9" t="s">
        <v>155</v>
      </c>
      <c r="K126" s="9" t="s">
        <v>9407</v>
      </c>
      <c r="L126" s="9" t="s">
        <v>7847</v>
      </c>
      <c r="M126" s="14" t="s">
        <v>9158</v>
      </c>
      <c r="N126" s="14" t="s">
        <v>9158</v>
      </c>
      <c r="O126" s="14" t="s">
        <v>9158</v>
      </c>
      <c r="P126" s="14" t="s">
        <v>9158</v>
      </c>
      <c r="Q126" s="14" t="s">
        <v>9158</v>
      </c>
    </row>
    <row r="127" spans="1:17">
      <c r="A127" s="14">
        <v>65173</v>
      </c>
      <c r="B127" s="14" t="s">
        <v>0</v>
      </c>
      <c r="C127" s="14" t="s">
        <v>191</v>
      </c>
      <c r="D127" s="20" t="s">
        <v>10503</v>
      </c>
      <c r="E127" s="15" t="str">
        <f>HYPERLINK("https://stat100.ameba.jp/tnk47/ratio20/illustrations/card/ill_65173_kimodameshihorahamahime03.jpg?202008-5-RELEASE-marathon-486xx", "■")</f>
        <v>■</v>
      </c>
      <c r="F127" s="14" t="s">
        <v>3565</v>
      </c>
      <c r="G127" s="14">
        <v>100744</v>
      </c>
      <c r="H127" s="14">
        <v>108330</v>
      </c>
      <c r="I127" s="14">
        <v>26</v>
      </c>
      <c r="J127" s="14" t="s">
        <v>182</v>
      </c>
      <c r="K127" s="14" t="s">
        <v>3566</v>
      </c>
      <c r="L127" s="14" t="s">
        <v>13185</v>
      </c>
      <c r="M127" s="14" t="s">
        <v>9158</v>
      </c>
      <c r="N127" s="14" t="s">
        <v>9158</v>
      </c>
      <c r="O127" s="14" t="s">
        <v>9158</v>
      </c>
      <c r="P127" s="14" t="s">
        <v>9158</v>
      </c>
      <c r="Q127" s="14" t="s">
        <v>9158</v>
      </c>
    </row>
    <row r="128" spans="1:17">
      <c r="A128" s="9">
        <v>87833</v>
      </c>
      <c r="B128" s="9" t="s">
        <v>0</v>
      </c>
      <c r="C128" s="9" t="s">
        <v>165</v>
      </c>
      <c r="D128" s="9" t="s">
        <v>11592</v>
      </c>
      <c r="E128" s="15" t="str">
        <f>HYPERLINK("https://stat100.ameba.jp/tnk47/ratio20/illustrations/card/ill_87833_howaitodepateishieru03.jpg?202008-5-RELEASE-marathon-486xx", "■")</f>
        <v>■</v>
      </c>
      <c r="F128" s="9" t="s">
        <v>11593</v>
      </c>
      <c r="G128" s="9">
        <v>154562</v>
      </c>
      <c r="H128" s="9">
        <v>143714</v>
      </c>
      <c r="I128" s="9">
        <v>26</v>
      </c>
      <c r="J128" s="9" t="s">
        <v>216</v>
      </c>
      <c r="K128" s="9" t="s">
        <v>11594</v>
      </c>
      <c r="L128" s="9" t="s">
        <v>13230</v>
      </c>
      <c r="M128" s="14" t="s">
        <v>9158</v>
      </c>
      <c r="N128" s="14" t="s">
        <v>9158</v>
      </c>
      <c r="O128" s="14" t="s">
        <v>9158</v>
      </c>
      <c r="P128" s="14" t="s">
        <v>9158</v>
      </c>
      <c r="Q128" s="14" t="s">
        <v>9158</v>
      </c>
    </row>
    <row r="129" spans="1:18">
      <c r="A129" s="14">
        <v>83353</v>
      </c>
      <c r="B129" s="14" t="s">
        <v>0</v>
      </c>
      <c r="C129" s="14" t="s">
        <v>267</v>
      </c>
      <c r="D129" s="19" t="s">
        <v>10532</v>
      </c>
      <c r="E129" s="15" t="str">
        <f>HYPERLINK("https://stat100.ameba.jp/tnk47/ratio20/illustrations/card/ill_83353_kunoichikumanofudechan03.jpg?202008-5-RELEASE-marathon-486xx", "■")</f>
        <v>■</v>
      </c>
      <c r="F129" s="14" t="s">
        <v>6475</v>
      </c>
      <c r="G129" s="14">
        <v>118446</v>
      </c>
      <c r="H129" s="14">
        <v>110126</v>
      </c>
      <c r="I129" s="14">
        <v>26</v>
      </c>
      <c r="J129" s="14" t="s">
        <v>229</v>
      </c>
      <c r="K129" s="14" t="s">
        <v>6474</v>
      </c>
      <c r="L129" s="14" t="s">
        <v>6473</v>
      </c>
      <c r="M129" s="14" t="s">
        <v>9158</v>
      </c>
      <c r="N129" s="14" t="s">
        <v>9158</v>
      </c>
      <c r="O129" s="14" t="s">
        <v>9158</v>
      </c>
      <c r="P129" s="14" t="s">
        <v>9158</v>
      </c>
      <c r="Q129" s="14" t="s">
        <v>9158</v>
      </c>
    </row>
    <row r="130" spans="1:18">
      <c r="A130" s="9">
        <v>74143</v>
      </c>
      <c r="B130" s="9" t="s">
        <v>0</v>
      </c>
      <c r="C130" s="9" t="s">
        <v>206</v>
      </c>
      <c r="D130" s="19" t="s">
        <v>10980</v>
      </c>
      <c r="E130" s="15" t="str">
        <f>HYPERLINK("https://stat100.ameba.jp/tnk47/ratio20/illustrations/card/ill_74143_sasagitsune03.jpg?202008-5-RELEASE-marathon-486xx", "■")</f>
        <v>■</v>
      </c>
      <c r="F130" s="9" t="s">
        <v>4605</v>
      </c>
      <c r="G130" s="9">
        <v>110126</v>
      </c>
      <c r="H130" s="9">
        <v>118656</v>
      </c>
      <c r="I130" s="9">
        <v>26</v>
      </c>
      <c r="J130" s="9" t="s">
        <v>155</v>
      </c>
      <c r="K130" s="9" t="s">
        <v>4606</v>
      </c>
      <c r="L130" s="9" t="s">
        <v>1934</v>
      </c>
      <c r="M130" s="14" t="s">
        <v>9158</v>
      </c>
      <c r="N130" s="14" t="s">
        <v>9158</v>
      </c>
      <c r="O130" s="14" t="s">
        <v>9158</v>
      </c>
      <c r="P130" s="14" t="s">
        <v>9158</v>
      </c>
      <c r="Q130" s="14" t="s">
        <v>9158</v>
      </c>
    </row>
    <row r="132" spans="1:18">
      <c r="A132" s="14" t="s">
        <v>13327</v>
      </c>
    </row>
    <row r="133" spans="1:18">
      <c r="A133" s="14" t="s">
        <v>13603</v>
      </c>
    </row>
    <row r="134" spans="1:18">
      <c r="A134" s="14">
        <v>88153</v>
      </c>
      <c r="B134" s="14" t="s">
        <v>334</v>
      </c>
      <c r="C134" s="14" t="s">
        <v>14</v>
      </c>
      <c r="D134" s="6" t="s">
        <v>10011</v>
      </c>
      <c r="E134" s="15" t="str">
        <f>HYPERLINK("https://stat100.ameba.jp/tnk47/ratio20/illustrations/card/ill_88153_sunofueari03.jpg?202008-5-RELEASE-marathon-486xx", "■")</f>
        <v>■</v>
      </c>
      <c r="F134" s="14" t="s">
        <v>9960</v>
      </c>
      <c r="G134" s="14">
        <v>132922</v>
      </c>
      <c r="H134" s="14">
        <v>123583</v>
      </c>
      <c r="I134" s="14">
        <v>27</v>
      </c>
      <c r="J134" s="14" t="s">
        <v>169</v>
      </c>
      <c r="K134" s="14" t="s">
        <v>9961</v>
      </c>
      <c r="L134" s="14" t="s">
        <v>9962</v>
      </c>
      <c r="M134" s="14" t="s">
        <v>13130</v>
      </c>
      <c r="N134" s="14" t="s">
        <v>343</v>
      </c>
      <c r="O134" s="14" t="s">
        <v>9158</v>
      </c>
      <c r="P134" s="14" t="s">
        <v>9158</v>
      </c>
      <c r="Q134" s="14" t="s">
        <v>9158</v>
      </c>
      <c r="R134" s="14" t="s">
        <v>14748</v>
      </c>
    </row>
    <row r="135" spans="1:18">
      <c r="A135" s="14">
        <v>88152</v>
      </c>
      <c r="B135" s="14" t="s">
        <v>334</v>
      </c>
      <c r="C135" s="14" t="s">
        <v>14</v>
      </c>
      <c r="D135" s="6" t="s">
        <v>10011</v>
      </c>
      <c r="E135" s="15" t="str">
        <f>HYPERLINK("https://stat100.ameba.jp/tnk47/ratio20/illustrations/card/ill_88152_sunofueari02.jpg?202008-5-RELEASE-marathon-486xx", "■")</f>
        <v>■</v>
      </c>
      <c r="F135" s="14" t="s">
        <v>9960</v>
      </c>
      <c r="G135" s="14">
        <v>111115</v>
      </c>
      <c r="H135" s="14">
        <v>102356</v>
      </c>
      <c r="I135" s="14">
        <v>27</v>
      </c>
      <c r="J135" s="14" t="s">
        <v>169</v>
      </c>
      <c r="K135" s="14" t="s">
        <v>9961</v>
      </c>
      <c r="L135" s="14" t="s">
        <v>9962</v>
      </c>
      <c r="M135" s="14" t="s">
        <v>13131</v>
      </c>
      <c r="N135" s="14" t="s">
        <v>251</v>
      </c>
      <c r="O135" s="14" t="s">
        <v>9158</v>
      </c>
      <c r="P135" s="14" t="s">
        <v>9158</v>
      </c>
      <c r="Q135" s="14" t="s">
        <v>9158</v>
      </c>
      <c r="R135" s="14" t="s">
        <v>14748</v>
      </c>
    </row>
    <row r="136" spans="1:18">
      <c r="A136" s="14">
        <v>88151</v>
      </c>
      <c r="B136" s="14" t="s">
        <v>0</v>
      </c>
      <c r="C136" s="14" t="s">
        <v>14</v>
      </c>
      <c r="D136" s="6" t="s">
        <v>10011</v>
      </c>
      <c r="E136" s="15" t="str">
        <f>HYPERLINK("https://stat100.ameba.jp/tnk47/ratio20/illustrations/card/ill_88151_sunofueari01.jpg?202008-5-RELEASE-marathon-486xx", "■")</f>
        <v>■</v>
      </c>
      <c r="F136" s="14" t="s">
        <v>9960</v>
      </c>
      <c r="G136" s="14">
        <v>84834</v>
      </c>
      <c r="H136" s="14">
        <v>78975</v>
      </c>
      <c r="I136" s="14">
        <v>27</v>
      </c>
      <c r="J136" s="14" t="s">
        <v>169</v>
      </c>
      <c r="K136" s="14" t="s">
        <v>9961</v>
      </c>
      <c r="L136" s="14" t="s">
        <v>9962</v>
      </c>
      <c r="M136" s="14" t="s">
        <v>13131</v>
      </c>
      <c r="N136" s="14" t="s">
        <v>251</v>
      </c>
      <c r="O136" s="14" t="s">
        <v>9158</v>
      </c>
      <c r="P136" s="14" t="s">
        <v>9158</v>
      </c>
      <c r="Q136" s="14" t="s">
        <v>9158</v>
      </c>
      <c r="R136" s="14" t="s">
        <v>14748</v>
      </c>
    </row>
    <row r="137" spans="1:18">
      <c r="A137" s="14">
        <v>88163</v>
      </c>
      <c r="B137" s="14" t="s">
        <v>334</v>
      </c>
      <c r="C137" s="14" t="s">
        <v>23</v>
      </c>
      <c r="D137" s="6" t="s">
        <v>10012</v>
      </c>
      <c r="E137" s="15" t="str">
        <f>HYPERLINK("https://stat100.ameba.jp/tnk47/ratio20/illustrations/card/ill_88163_shitsujitanteimagi03.jpg?202008-5-RELEASE-marathon-486xx", "■")</f>
        <v>■</v>
      </c>
      <c r="F137" s="14" t="s">
        <v>9963</v>
      </c>
      <c r="G137" s="14">
        <v>132922</v>
      </c>
      <c r="H137" s="14">
        <v>123583</v>
      </c>
      <c r="I137" s="14">
        <v>27</v>
      </c>
      <c r="J137" s="14" t="s">
        <v>159</v>
      </c>
      <c r="K137" s="14" t="s">
        <v>9964</v>
      </c>
      <c r="L137" s="14" t="s">
        <v>9965</v>
      </c>
      <c r="M137" s="14" t="s">
        <v>13130</v>
      </c>
      <c r="N137" s="14" t="s">
        <v>343</v>
      </c>
      <c r="O137" s="14" t="s">
        <v>9158</v>
      </c>
      <c r="P137" s="14" t="s">
        <v>9158</v>
      </c>
      <c r="Q137" s="14" t="s">
        <v>9158</v>
      </c>
      <c r="R137" s="14" t="s">
        <v>14748</v>
      </c>
    </row>
    <row r="138" spans="1:18">
      <c r="A138" s="14">
        <v>88173</v>
      </c>
      <c r="B138" s="14" t="s">
        <v>334</v>
      </c>
      <c r="C138" s="14" t="s">
        <v>101</v>
      </c>
      <c r="D138" s="6" t="s">
        <v>10013</v>
      </c>
      <c r="E138" s="15" t="str">
        <f>HYPERLINK("https://stat100.ameba.jp/tnk47/ratio20/illustrations/card/ill_88173_pichipurinsesu03.jpg?202008-5-RELEASE-marathon-486xx", "■")</f>
        <v>■</v>
      </c>
      <c r="F138" s="14" t="s">
        <v>9966</v>
      </c>
      <c r="G138" s="14">
        <v>123583</v>
      </c>
      <c r="H138" s="14">
        <v>132922</v>
      </c>
      <c r="I138" s="14">
        <v>27</v>
      </c>
      <c r="J138" s="14" t="s">
        <v>187</v>
      </c>
      <c r="K138" s="14" t="s">
        <v>9967</v>
      </c>
      <c r="L138" s="14" t="s">
        <v>9968</v>
      </c>
      <c r="M138" s="14" t="s">
        <v>13130</v>
      </c>
      <c r="N138" s="14" t="s">
        <v>343</v>
      </c>
      <c r="O138" s="14" t="s">
        <v>9158</v>
      </c>
      <c r="P138" s="14" t="s">
        <v>9158</v>
      </c>
      <c r="Q138" s="14" t="s">
        <v>9158</v>
      </c>
      <c r="R138" s="14" t="s">
        <v>14748</v>
      </c>
    </row>
    <row r="139" spans="1:18">
      <c r="A139" s="14">
        <v>88183</v>
      </c>
      <c r="B139" s="14" t="s">
        <v>0</v>
      </c>
      <c r="C139" s="14" t="s">
        <v>96</v>
      </c>
      <c r="D139" s="6" t="s">
        <v>10014</v>
      </c>
      <c r="E139" s="15" t="str">
        <f>HYPERLINK("https://stat100.ameba.jp/tnk47/ratio20/illustrations/card/ill_88183_saikiringugaru03.jpg?202008-5-RELEASE-marathon-486xx", "■")</f>
        <v>■</v>
      </c>
      <c r="F139" s="14" t="s">
        <v>9969</v>
      </c>
      <c r="G139" s="14">
        <v>123583</v>
      </c>
      <c r="H139" s="14">
        <v>132922</v>
      </c>
      <c r="I139" s="14">
        <v>27</v>
      </c>
      <c r="J139" s="14" t="s">
        <v>182</v>
      </c>
      <c r="K139" s="14" t="s">
        <v>9970</v>
      </c>
      <c r="L139" s="14" t="s">
        <v>9971</v>
      </c>
      <c r="M139" s="14" t="s">
        <v>13130</v>
      </c>
      <c r="N139" s="14" t="s">
        <v>343</v>
      </c>
      <c r="O139" s="14" t="s">
        <v>9158</v>
      </c>
      <c r="P139" s="14" t="s">
        <v>9158</v>
      </c>
      <c r="Q139" s="14" t="s">
        <v>9158</v>
      </c>
      <c r="R139" s="14" t="s">
        <v>14748</v>
      </c>
    </row>
    <row r="140" spans="1:18">
      <c r="A140" s="14">
        <v>88193</v>
      </c>
      <c r="B140" s="14" t="s">
        <v>334</v>
      </c>
      <c r="C140" s="14" t="s">
        <v>205</v>
      </c>
      <c r="D140" s="6" t="s">
        <v>10015</v>
      </c>
      <c r="E140" s="15" t="str">
        <f>HYPERLINK("https://stat100.ameba.jp/tnk47/ratio20/illustrations/card/ill_88193_sakasunomajo03.jpg?202008-5-RELEASE-marathon-486xx", "■")</f>
        <v>■</v>
      </c>
      <c r="F140" s="14" t="s">
        <v>9972</v>
      </c>
      <c r="G140" s="14">
        <v>123583</v>
      </c>
      <c r="H140" s="14">
        <v>132922</v>
      </c>
      <c r="I140" s="14">
        <v>27</v>
      </c>
      <c r="J140" s="14" t="s">
        <v>155</v>
      </c>
      <c r="K140" s="14" t="s">
        <v>9977</v>
      </c>
      <c r="L140" s="14" t="s">
        <v>9973</v>
      </c>
      <c r="M140" s="14" t="s">
        <v>13130</v>
      </c>
      <c r="N140" s="14" t="s">
        <v>343</v>
      </c>
      <c r="O140" s="14" t="s">
        <v>9158</v>
      </c>
      <c r="P140" s="14" t="s">
        <v>9158</v>
      </c>
      <c r="Q140" s="14" t="s">
        <v>9158</v>
      </c>
      <c r="R140" s="14" t="s">
        <v>14748</v>
      </c>
    </row>
    <row r="141" spans="1:18">
      <c r="A141" s="14">
        <v>88203</v>
      </c>
      <c r="B141" s="14" t="s">
        <v>334</v>
      </c>
      <c r="C141" s="14" t="s">
        <v>107</v>
      </c>
      <c r="D141" s="6" t="s">
        <v>10016</v>
      </c>
      <c r="E141" s="15" t="str">
        <f>HYPERLINK("https://stat100.ameba.jp/tnk47/ratio20/illustrations/card/ill_88203_soingumasuta03.jpg?202008-5-RELEASE-marathon-486xx", "■")</f>
        <v>■</v>
      </c>
      <c r="F141" s="14" t="s">
        <v>9976</v>
      </c>
      <c r="G141" s="14">
        <v>132922</v>
      </c>
      <c r="H141" s="14">
        <v>123583</v>
      </c>
      <c r="I141" s="14">
        <v>27</v>
      </c>
      <c r="J141" s="14" t="s">
        <v>173</v>
      </c>
      <c r="K141" s="14" t="s">
        <v>9974</v>
      </c>
      <c r="L141" s="14" t="s">
        <v>9975</v>
      </c>
      <c r="M141" s="14" t="s">
        <v>13130</v>
      </c>
      <c r="N141" s="14" t="s">
        <v>343</v>
      </c>
      <c r="O141" s="14" t="s">
        <v>9158</v>
      </c>
      <c r="P141" s="14" t="s">
        <v>9158</v>
      </c>
      <c r="Q141" s="14" t="s">
        <v>9158</v>
      </c>
      <c r="R141" s="14" t="s">
        <v>14748</v>
      </c>
    </row>
    <row r="143" spans="1:18">
      <c r="A143" s="14" t="s">
        <v>13604</v>
      </c>
    </row>
    <row r="144" spans="1:18">
      <c r="A144" s="14" t="s">
        <v>13605</v>
      </c>
    </row>
    <row r="145" spans="1:17">
      <c r="A145" s="14" t="s">
        <v>13606</v>
      </c>
    </row>
    <row r="146" spans="1:17">
      <c r="A146" s="14" t="s">
        <v>13435</v>
      </c>
      <c r="B146" s="7" t="s">
        <v>52</v>
      </c>
      <c r="C146" s="14" t="s">
        <v>202</v>
      </c>
      <c r="D146" s="18" t="s">
        <v>13434</v>
      </c>
      <c r="E146" s="15" t="str">
        <f>HYPERLINK("https://stat100.ameba.jp/tnk47/ratio20/illustrations/card/ill_91073_0_mizugiaidorusarukanigassen03.jpg?202008-5-RELEASE-marathon-486xx", "■")</f>
        <v>■</v>
      </c>
      <c r="F146" s="14" t="s">
        <v>13436</v>
      </c>
      <c r="G146" s="14">
        <v>312433</v>
      </c>
      <c r="H146" s="14">
        <v>282374</v>
      </c>
      <c r="I146" s="7">
        <v>27</v>
      </c>
      <c r="J146" s="14" t="s">
        <v>38</v>
      </c>
      <c r="K146" s="14" t="s">
        <v>13437</v>
      </c>
      <c r="L146" s="14" t="s">
        <v>13438</v>
      </c>
      <c r="M146" s="14" t="s">
        <v>9158</v>
      </c>
      <c r="N146" s="14" t="s">
        <v>9158</v>
      </c>
      <c r="O146" s="6" t="s">
        <v>13439</v>
      </c>
      <c r="P146" s="7" t="s">
        <v>13440</v>
      </c>
      <c r="Q146" s="7">
        <v>1</v>
      </c>
    </row>
    <row r="147" spans="1:17">
      <c r="A147" s="14">
        <v>91253</v>
      </c>
      <c r="B147" s="14" t="s">
        <v>13568</v>
      </c>
      <c r="C147" s="14" t="s">
        <v>13608</v>
      </c>
      <c r="D147" s="14" t="s">
        <v>13607</v>
      </c>
      <c r="E147" s="15" t="str">
        <f>HYPERLINK("https://stat100.ameba.jp/tnk47/ratio20/illustrations/card/ill_91253_rumisu03.jpg?202008-5-RELEASE-marathon-486xx", "■")</f>
        <v>■</v>
      </c>
      <c r="F147" s="14" t="s">
        <v>13609</v>
      </c>
      <c r="G147" s="14">
        <v>98019</v>
      </c>
      <c r="H147" s="14">
        <v>105465</v>
      </c>
      <c r="I147" s="7">
        <v>27</v>
      </c>
      <c r="J147" s="14" t="s">
        <v>13610</v>
      </c>
      <c r="K147" s="14" t="s">
        <v>13611</v>
      </c>
      <c r="L147" s="14" t="s">
        <v>13612</v>
      </c>
      <c r="M147" s="14" t="s">
        <v>9158</v>
      </c>
      <c r="N147" s="14" t="s">
        <v>9158</v>
      </c>
      <c r="O147" s="14" t="s">
        <v>9158</v>
      </c>
      <c r="P147" s="14" t="s">
        <v>9158</v>
      </c>
      <c r="Q147" s="14" t="s">
        <v>9158</v>
      </c>
    </row>
    <row r="148" spans="1:17">
      <c r="A148" s="14">
        <v>91263</v>
      </c>
      <c r="B148" s="14" t="s">
        <v>13568</v>
      </c>
      <c r="C148" s="14" t="s">
        <v>13582</v>
      </c>
      <c r="D148" s="14" t="s">
        <v>13613</v>
      </c>
      <c r="E148" s="15" t="str">
        <f>HYPERLINK("https://stat100.ameba.jp/tnk47/ratio20/illustrations/card/ill_91263_toriimototada03.jpg?202008-5-RELEASE-marathon-486xx", "■")</f>
        <v>■</v>
      </c>
      <c r="F148" s="14" t="s">
        <v>13614</v>
      </c>
      <c r="G148" s="14">
        <v>149240</v>
      </c>
      <c r="H148" s="14">
        <v>160507</v>
      </c>
      <c r="I148" s="7">
        <v>27</v>
      </c>
      <c r="J148" s="14" t="s">
        <v>13615</v>
      </c>
      <c r="K148" s="14" t="s">
        <v>13616</v>
      </c>
      <c r="L148" s="14" t="s">
        <v>13617</v>
      </c>
      <c r="M148" s="14" t="s">
        <v>9158</v>
      </c>
      <c r="N148" s="14" t="s">
        <v>9158</v>
      </c>
      <c r="O148" s="14" t="s">
        <v>9158</v>
      </c>
      <c r="P148" s="14" t="s">
        <v>9158</v>
      </c>
      <c r="Q148" s="14" t="s">
        <v>9158</v>
      </c>
    </row>
    <row r="149" spans="1:17">
      <c r="A149" s="14">
        <v>91273</v>
      </c>
      <c r="B149" s="14" t="s">
        <v>13573</v>
      </c>
      <c r="C149" s="14" t="s">
        <v>13619</v>
      </c>
      <c r="D149" s="14" t="s">
        <v>13618</v>
      </c>
      <c r="E149" s="15" t="str">
        <f>HYPERLINK("https://stat100.ameba.jp/tnk47/ratio20/illustrations/card/ill_91273_sendaisutendogurasu03.jpg?202008-5-RELEASE-marathon-486xx", "■")</f>
        <v>■</v>
      </c>
      <c r="F149" s="14" t="s">
        <v>13620</v>
      </c>
      <c r="G149" s="14">
        <v>80028</v>
      </c>
      <c r="H149" s="14">
        <v>72586</v>
      </c>
      <c r="I149" s="7">
        <v>27</v>
      </c>
      <c r="J149" s="14" t="s">
        <v>13578</v>
      </c>
      <c r="K149" s="14" t="s">
        <v>13621</v>
      </c>
      <c r="L149" s="14" t="s">
        <v>13580</v>
      </c>
      <c r="M149" s="14" t="s">
        <v>9158</v>
      </c>
      <c r="N149" s="14" t="s">
        <v>9158</v>
      </c>
      <c r="O149" s="14" t="s">
        <v>9158</v>
      </c>
      <c r="P149" s="14" t="s">
        <v>9158</v>
      </c>
      <c r="Q149" s="14" t="s">
        <v>9158</v>
      </c>
    </row>
    <row r="150" spans="1:17">
      <c r="A150" s="14">
        <v>91283</v>
      </c>
      <c r="B150" s="14" t="s">
        <v>13574</v>
      </c>
      <c r="C150" s="14" t="s">
        <v>13567</v>
      </c>
      <c r="D150" s="14" t="s">
        <v>13622</v>
      </c>
      <c r="E150" s="15" t="str">
        <f>HYPERLINK("https://stat100.ameba.jp/tnk47/ratio20/illustrations/card/ill_91283_amakusashirou03.jpg?202008-5-RELEASE-marathon-486xx", "■")</f>
        <v>■</v>
      </c>
      <c r="F150" s="14" t="s">
        <v>13623</v>
      </c>
      <c r="G150" s="14">
        <v>46676</v>
      </c>
      <c r="H150" s="14">
        <v>56138</v>
      </c>
      <c r="I150" s="7">
        <v>27</v>
      </c>
      <c r="J150" s="14" t="s">
        <v>13625</v>
      </c>
      <c r="K150" s="14" t="s">
        <v>13624</v>
      </c>
      <c r="L150" s="14" t="s">
        <v>13626</v>
      </c>
      <c r="M150" s="14" t="s">
        <v>9158</v>
      </c>
      <c r="N150" s="14" t="s">
        <v>9158</v>
      </c>
      <c r="O150" s="14" t="s">
        <v>9158</v>
      </c>
      <c r="P150" s="14" t="s">
        <v>9158</v>
      </c>
      <c r="Q150" s="14" t="s">
        <v>9158</v>
      </c>
    </row>
    <row r="151" spans="1:17">
      <c r="A151" s="14">
        <v>91293</v>
      </c>
      <c r="B151" s="14" t="s">
        <v>13574</v>
      </c>
      <c r="C151" s="14" t="s">
        <v>13628</v>
      </c>
      <c r="D151" s="14" t="s">
        <v>13627</v>
      </c>
      <c r="E151" s="15" t="str">
        <f>HYPERLINK("https://stat100.ameba.jp/tnk47/ratio20/illustrations/card/ill_91293_chiseihataigensessai03.jpg?202008-5-RELEASE-marathon-486xx", "■")</f>
        <v>■</v>
      </c>
      <c r="F151" s="14" t="s">
        <v>13629</v>
      </c>
      <c r="G151" s="14">
        <v>56138</v>
      </c>
      <c r="H151" s="14">
        <v>46676</v>
      </c>
      <c r="I151" s="7">
        <v>27</v>
      </c>
      <c r="J151" s="14" t="s">
        <v>13630</v>
      </c>
      <c r="K151" s="14" t="s">
        <v>13631</v>
      </c>
      <c r="L151" s="14" t="s">
        <v>13632</v>
      </c>
      <c r="M151" s="14" t="s">
        <v>9158</v>
      </c>
      <c r="N151" s="14" t="s">
        <v>9158</v>
      </c>
      <c r="O151" s="14" t="s">
        <v>9158</v>
      </c>
      <c r="P151" s="14" t="s">
        <v>9158</v>
      </c>
      <c r="Q151" s="14" t="s">
        <v>9158</v>
      </c>
    </row>
    <row r="153" spans="1:17">
      <c r="A153" s="14" t="s">
        <v>3905</v>
      </c>
    </row>
    <row r="154" spans="1:17">
      <c r="A154" s="14" t="s">
        <v>13633</v>
      </c>
    </row>
    <row r="155" spans="1:17">
      <c r="A155" s="14" t="s">
        <v>5733</v>
      </c>
      <c r="B155" s="14" t="s">
        <v>330</v>
      </c>
      <c r="C155" s="14" t="s">
        <v>202</v>
      </c>
      <c r="D155" s="19" t="s">
        <v>2744</v>
      </c>
      <c r="E155" s="15" t="str">
        <f>HYPERLINK("https://stat100.ameba.jp/tnk47/ratio20/illustrations/card/ill_78693_0_kyupittokoinomikoto03.jpg?202008-5-RELEASE-marathon-486xx", "■")</f>
        <v>■</v>
      </c>
      <c r="F155" s="14" t="s">
        <v>2745</v>
      </c>
      <c r="G155" s="14">
        <v>230556</v>
      </c>
      <c r="H155" s="14">
        <v>255104</v>
      </c>
      <c r="I155" s="14">
        <v>22</v>
      </c>
      <c r="J155" s="14" t="s">
        <v>274</v>
      </c>
      <c r="K155" s="14" t="s">
        <v>2746</v>
      </c>
      <c r="L155" s="14" t="s">
        <v>2747</v>
      </c>
      <c r="M155" s="14" t="s">
        <v>9158</v>
      </c>
      <c r="N155" s="14" t="s">
        <v>9158</v>
      </c>
      <c r="O155" s="19" t="s">
        <v>10097</v>
      </c>
      <c r="P155" s="14" t="s">
        <v>2748</v>
      </c>
      <c r="Q155" s="14">
        <v>1</v>
      </c>
    </row>
    <row r="156" spans="1:17">
      <c r="A156" s="14" t="s">
        <v>5624</v>
      </c>
      <c r="B156" s="14" t="s">
        <v>52</v>
      </c>
      <c r="C156" s="14" t="s">
        <v>101</v>
      </c>
      <c r="D156" s="19" t="s">
        <v>1426</v>
      </c>
      <c r="E156" s="15" t="str">
        <f>HYPERLINK("https://stat100.ameba.jp/tnk47/ratio20/illustrations/card/ill_64953_0_yukatatokugawayoshinobu03.jpg?202008-5-RELEASE-marathon-486xx", "■")</f>
        <v>■</v>
      </c>
      <c r="F156" s="14" t="s">
        <v>2090</v>
      </c>
      <c r="G156" s="14">
        <v>137060</v>
      </c>
      <c r="H156" s="14">
        <v>147404</v>
      </c>
      <c r="I156" s="14">
        <v>22</v>
      </c>
      <c r="J156" s="14" t="s">
        <v>10</v>
      </c>
      <c r="K156" s="14" t="s">
        <v>2091</v>
      </c>
      <c r="L156" s="14" t="s">
        <v>2092</v>
      </c>
      <c r="M156" s="14" t="s">
        <v>9158</v>
      </c>
      <c r="N156" s="14" t="s">
        <v>9158</v>
      </c>
      <c r="O156" s="19" t="s">
        <v>2889</v>
      </c>
      <c r="P156" s="14" t="s">
        <v>2890</v>
      </c>
      <c r="Q156" s="14">
        <v>1</v>
      </c>
    </row>
    <row r="157" spans="1:17">
      <c r="A157" s="9" t="s">
        <v>5612</v>
      </c>
      <c r="B157" s="14" t="s">
        <v>330</v>
      </c>
      <c r="C157" s="14" t="s">
        <v>165</v>
      </c>
      <c r="D157" s="14" t="s">
        <v>789</v>
      </c>
      <c r="E157" s="15" t="str">
        <f>HYPERLINK("https://stat100.ameba.jp/tnk47/ratio20/illustrations/card/ill_49193_0_onmyoudouabenoseimei03.jpg?202008-5-RELEASE-marathon-486xx", "■")</f>
        <v>■</v>
      </c>
      <c r="F157" s="14" t="s">
        <v>790</v>
      </c>
      <c r="G157" s="14">
        <v>122776</v>
      </c>
      <c r="H157" s="14">
        <v>138212</v>
      </c>
      <c r="I157" s="14">
        <v>22</v>
      </c>
      <c r="J157" s="14" t="s">
        <v>351</v>
      </c>
      <c r="K157" s="14" t="s">
        <v>791</v>
      </c>
      <c r="L157" s="14" t="s">
        <v>792</v>
      </c>
      <c r="M157" s="14" t="s">
        <v>9158</v>
      </c>
      <c r="N157" s="14" t="s">
        <v>9158</v>
      </c>
      <c r="O157" s="14" t="s">
        <v>9158</v>
      </c>
      <c r="P157" s="14" t="s">
        <v>9158</v>
      </c>
      <c r="Q157" s="14" t="s">
        <v>9158</v>
      </c>
    </row>
    <row r="158" spans="1:17">
      <c r="A158" s="14">
        <v>88713</v>
      </c>
      <c r="B158" s="14" t="s">
        <v>334</v>
      </c>
      <c r="C158" s="14" t="s">
        <v>1</v>
      </c>
      <c r="D158" s="14" t="s">
        <v>12352</v>
      </c>
      <c r="E158" s="15" t="str">
        <f>HYPERLINK("https://stat100.ameba.jp/tnk47/ratio20/illustrations/card/ill_88713_pammatsurifuigunattsu03.jpg?202008-5-RELEASE-marathon-486xx", "■")</f>
        <v>■</v>
      </c>
      <c r="F158" s="14" t="s">
        <v>12354</v>
      </c>
      <c r="G158" s="14">
        <v>111523</v>
      </c>
      <c r="H158" s="14">
        <v>198226</v>
      </c>
      <c r="I158" s="14">
        <v>27</v>
      </c>
      <c r="J158" s="14" t="s">
        <v>104</v>
      </c>
      <c r="K158" s="14" t="s">
        <v>12355</v>
      </c>
      <c r="L158" s="14" t="s">
        <v>12356</v>
      </c>
      <c r="M158" s="14" t="s">
        <v>9158</v>
      </c>
      <c r="N158" s="14" t="s">
        <v>9158</v>
      </c>
      <c r="O158" s="14" t="s">
        <v>9158</v>
      </c>
      <c r="P158" s="14" t="s">
        <v>9158</v>
      </c>
      <c r="Q158" s="14" t="s">
        <v>9158</v>
      </c>
    </row>
    <row r="159" spans="1:17">
      <c r="A159" s="14">
        <v>85273</v>
      </c>
      <c r="B159" s="14" t="s">
        <v>0</v>
      </c>
      <c r="C159" s="14" t="s">
        <v>191</v>
      </c>
      <c r="D159" s="19" t="s">
        <v>10793</v>
      </c>
      <c r="E159" s="15" t="str">
        <f>HYPERLINK("https://stat100.ameba.jp/tnk47/ratio20/illustrations/card/ill_85273_rikuriru03.jpg?202008-5-RELEASE-marathon-486xx", "■")</f>
        <v>■</v>
      </c>
      <c r="F159" s="14" t="s">
        <v>8192</v>
      </c>
      <c r="G159" s="14">
        <v>73270</v>
      </c>
      <c r="H159" s="14">
        <v>130214</v>
      </c>
      <c r="I159" s="14">
        <v>27</v>
      </c>
      <c r="J159" s="14" t="s">
        <v>315</v>
      </c>
      <c r="K159" s="14" t="s">
        <v>8191</v>
      </c>
      <c r="L159" s="14" t="s">
        <v>7158</v>
      </c>
      <c r="M159" s="14" t="s">
        <v>9158</v>
      </c>
      <c r="N159" s="14" t="s">
        <v>9158</v>
      </c>
      <c r="O159" s="14" t="s">
        <v>9158</v>
      </c>
      <c r="P159" s="14" t="s">
        <v>9158</v>
      </c>
      <c r="Q159" s="14" t="s">
        <v>9158</v>
      </c>
    </row>
    <row r="160" spans="1:17">
      <c r="A160" s="14">
        <v>88793</v>
      </c>
      <c r="B160" s="14" t="s">
        <v>0</v>
      </c>
      <c r="C160" s="14" t="s">
        <v>107</v>
      </c>
      <c r="D160" s="14" t="s">
        <v>12404</v>
      </c>
      <c r="E160" s="15" t="str">
        <f>HYPERLINK("https://stat100.ameba.jp/tnk47/ratio20/illustrations/card/ill_88793_ichigogariyakushimachan03.jpg?202008-5-RELEASE-marathon-486xx", "■")</f>
        <v>■</v>
      </c>
      <c r="F160" s="14" t="s">
        <v>12412</v>
      </c>
      <c r="G160" s="14">
        <v>114362</v>
      </c>
      <c r="H160" s="14">
        <v>123002</v>
      </c>
      <c r="I160" s="14">
        <v>27</v>
      </c>
      <c r="J160" s="14" t="s">
        <v>26</v>
      </c>
      <c r="K160" s="14" t="s">
        <v>12411</v>
      </c>
      <c r="L160" s="14" t="s">
        <v>2489</v>
      </c>
      <c r="M160" s="14" t="s">
        <v>9158</v>
      </c>
      <c r="N160" s="14" t="s">
        <v>9158</v>
      </c>
      <c r="O160" s="14" t="s">
        <v>9158</v>
      </c>
      <c r="P160" s="14" t="s">
        <v>9158</v>
      </c>
      <c r="Q160" s="14" t="s">
        <v>9158</v>
      </c>
    </row>
    <row r="162" spans="1:18">
      <c r="A162" s="14" t="s">
        <v>13634</v>
      </c>
    </row>
    <row r="163" spans="1:18">
      <c r="A163" s="14" t="s">
        <v>13635</v>
      </c>
    </row>
    <row r="164" spans="1:18">
      <c r="A164" s="14">
        <v>91175</v>
      </c>
      <c r="B164" s="14" t="s">
        <v>334</v>
      </c>
      <c r="C164" s="14" t="s">
        <v>13638</v>
      </c>
      <c r="D164" s="14" t="s">
        <v>13636</v>
      </c>
      <c r="E164" s="15" t="str">
        <f>HYPERLINK("https://stat100.ameba.jp/tnk47/ratio20/illustrations/card/ill_91175_mieshatsu05.jpg?202008-5-RELEASE-marathon-486xx", "■")</f>
        <v>■</v>
      </c>
      <c r="F164" s="14" t="s">
        <v>13637</v>
      </c>
      <c r="G164" s="14">
        <v>132583</v>
      </c>
      <c r="H164" s="14">
        <v>95988</v>
      </c>
      <c r="I164" s="14">
        <v>27</v>
      </c>
      <c r="J164" s="14" t="s">
        <v>13639</v>
      </c>
      <c r="K164" s="14" t="s">
        <v>13640</v>
      </c>
      <c r="L164" s="14" t="s">
        <v>13641</v>
      </c>
      <c r="M164" s="14" t="s">
        <v>9158</v>
      </c>
      <c r="N164" s="14" t="s">
        <v>9158</v>
      </c>
      <c r="O164" s="14" t="s">
        <v>9158</v>
      </c>
      <c r="P164" s="14" t="s">
        <v>9158</v>
      </c>
      <c r="Q164" s="14" t="s">
        <v>9158</v>
      </c>
      <c r="R164" s="14" t="s">
        <v>174</v>
      </c>
    </row>
    <row r="165" spans="1:18">
      <c r="A165" s="14">
        <v>91173</v>
      </c>
      <c r="B165" s="14" t="s">
        <v>15</v>
      </c>
      <c r="C165" s="14" t="s">
        <v>13642</v>
      </c>
      <c r="D165" s="14" t="s">
        <v>13636</v>
      </c>
      <c r="E165" s="15" t="str">
        <f>HYPERLINK("https://stat100.ameba.jp/tnk47/ratio20/illustrations/card/ill_91173_mieshatsu03.jpg?202008-5-RELEASE-marathon-486xx", "■")</f>
        <v>■</v>
      </c>
      <c r="F165" s="14" t="s">
        <v>13637</v>
      </c>
      <c r="G165" s="14">
        <v>97665</v>
      </c>
      <c r="H165" s="14">
        <v>70724</v>
      </c>
      <c r="I165" s="14">
        <v>27</v>
      </c>
      <c r="J165" s="14" t="s">
        <v>13639</v>
      </c>
      <c r="K165" s="14" t="s">
        <v>13640</v>
      </c>
      <c r="L165" s="14" t="s">
        <v>13644</v>
      </c>
      <c r="M165" s="14" t="s">
        <v>9158</v>
      </c>
      <c r="N165" s="14" t="s">
        <v>9158</v>
      </c>
      <c r="O165" s="14" t="s">
        <v>9158</v>
      </c>
      <c r="P165" s="14" t="s">
        <v>9158</v>
      </c>
      <c r="Q165" s="14" t="s">
        <v>9158</v>
      </c>
      <c r="R165" s="14" t="s">
        <v>175</v>
      </c>
    </row>
    <row r="166" spans="1:18">
      <c r="A166" s="14">
        <v>91171</v>
      </c>
      <c r="B166" s="14" t="s">
        <v>15</v>
      </c>
      <c r="C166" s="14" t="s">
        <v>13642</v>
      </c>
      <c r="D166" s="14" t="s">
        <v>13636</v>
      </c>
      <c r="E166" s="15" t="str">
        <f>HYPERLINK("https://stat100.ameba.jp/tnk47/ratio20/illustrations/card/ill_91171_mieshatsu01.jpg?202008-5-RELEASE-marathon-486xx", "■")</f>
        <v>■</v>
      </c>
      <c r="F166" s="14" t="s">
        <v>13637</v>
      </c>
      <c r="G166" s="14">
        <v>62127</v>
      </c>
      <c r="H166" s="14">
        <v>44982</v>
      </c>
      <c r="I166" s="14">
        <v>27</v>
      </c>
      <c r="J166" s="14" t="s">
        <v>13639</v>
      </c>
      <c r="K166" s="14" t="s">
        <v>13640</v>
      </c>
      <c r="L166" s="14" t="s">
        <v>13643</v>
      </c>
      <c r="M166" s="14" t="s">
        <v>9158</v>
      </c>
      <c r="N166" s="14" t="s">
        <v>9158</v>
      </c>
      <c r="O166" s="14" t="s">
        <v>9158</v>
      </c>
      <c r="P166" s="14" t="s">
        <v>9158</v>
      </c>
      <c r="Q166" s="14" t="s">
        <v>9158</v>
      </c>
      <c r="R166" s="14" t="s">
        <v>176</v>
      </c>
    </row>
    <row r="168" spans="1:18">
      <c r="A168" s="14" t="s">
        <v>13591</v>
      </c>
    </row>
    <row r="169" spans="1:18">
      <c r="A169" s="14" t="s">
        <v>13645</v>
      </c>
    </row>
    <row r="170" spans="1:18">
      <c r="A170" s="14" t="s">
        <v>5607</v>
      </c>
      <c r="B170" s="14" t="s">
        <v>330</v>
      </c>
      <c r="C170" s="14" t="s">
        <v>200</v>
      </c>
      <c r="D170" s="20" t="s">
        <v>421</v>
      </c>
      <c r="E170" s="15" t="str">
        <f>HYPERLINK("https://stat100.ameba.jp/tnk47/ratio20/illustrations/card/ill_58853_0_setsubumpanikkuhiratsukaraicho03.jpg?202008-5-RELEASE-marathon-486xx", "■")</f>
        <v>■</v>
      </c>
      <c r="F170" s="14" t="s">
        <v>1040</v>
      </c>
      <c r="G170" s="14">
        <v>157060</v>
      </c>
      <c r="H170" s="14">
        <v>139520</v>
      </c>
      <c r="I170" s="14">
        <v>25</v>
      </c>
      <c r="J170" s="14" t="s">
        <v>16</v>
      </c>
      <c r="K170" s="14" t="s">
        <v>1041</v>
      </c>
      <c r="L170" s="14" t="s">
        <v>1042</v>
      </c>
      <c r="M170" s="14" t="s">
        <v>9158</v>
      </c>
      <c r="N170" s="14" t="s">
        <v>9158</v>
      </c>
      <c r="O170" s="19" t="s">
        <v>10075</v>
      </c>
      <c r="P170" s="14" t="s">
        <v>2870</v>
      </c>
      <c r="Q170" s="14">
        <v>1</v>
      </c>
    </row>
    <row r="171" spans="1:18">
      <c r="A171" s="14">
        <v>81743</v>
      </c>
      <c r="B171" s="14" t="s">
        <v>334</v>
      </c>
      <c r="C171" s="14" t="s">
        <v>107</v>
      </c>
      <c r="D171" s="19" t="s">
        <v>10171</v>
      </c>
      <c r="E171" s="15" t="str">
        <f>HYPERLINK("https://stat100.ameba.jp/tnk47/ratio20/illustrations/card/ill_81743_denshagarusakyogabashinohebi03.jpg?202008-5-RELEASE-marathon-486xx", "■")</f>
        <v>■</v>
      </c>
      <c r="F171" s="14" t="s">
        <v>4853</v>
      </c>
      <c r="G171" s="14">
        <v>118656</v>
      </c>
      <c r="H171" s="14">
        <v>110126</v>
      </c>
      <c r="I171" s="14">
        <v>26</v>
      </c>
      <c r="J171" s="14" t="s">
        <v>38</v>
      </c>
      <c r="K171" s="14" t="s">
        <v>4855</v>
      </c>
      <c r="L171" s="14" t="s">
        <v>4856</v>
      </c>
      <c r="M171" s="14" t="s">
        <v>9158</v>
      </c>
      <c r="N171" s="14" t="s">
        <v>9158</v>
      </c>
      <c r="O171" s="19" t="s">
        <v>10091</v>
      </c>
      <c r="P171" s="14" t="s">
        <v>3670</v>
      </c>
      <c r="Q171" s="14">
        <v>1</v>
      </c>
    </row>
    <row r="172" spans="1:18">
      <c r="A172" s="14">
        <v>78873</v>
      </c>
      <c r="B172" s="14" t="s">
        <v>334</v>
      </c>
      <c r="C172" s="14" t="s">
        <v>209</v>
      </c>
      <c r="D172" s="19" t="s">
        <v>2818</v>
      </c>
      <c r="E172" s="15" t="str">
        <f>HYPERLINK("https://stat100.ameba.jp/tnk47/ratio20/illustrations/card/ill_78873_furutsutomato03.jpg?202008-5-RELEASE-marathon-486xx", "■")</f>
        <v>■</v>
      </c>
      <c r="F172" s="14" t="s">
        <v>2819</v>
      </c>
      <c r="G172" s="14">
        <v>99532</v>
      </c>
      <c r="H172" s="14">
        <v>137430</v>
      </c>
      <c r="I172" s="14">
        <v>26</v>
      </c>
      <c r="J172" s="14" t="s">
        <v>283</v>
      </c>
      <c r="K172" s="14" t="s">
        <v>2820</v>
      </c>
      <c r="L172" s="14" t="s">
        <v>2821</v>
      </c>
      <c r="M172" s="14" t="s">
        <v>9158</v>
      </c>
      <c r="N172" s="14" t="s">
        <v>9158</v>
      </c>
      <c r="O172" s="19" t="s">
        <v>10074</v>
      </c>
      <c r="P172" s="14" t="s">
        <v>2822</v>
      </c>
      <c r="Q172" s="14">
        <v>1</v>
      </c>
    </row>
    <row r="173" spans="1:18">
      <c r="A173" s="14">
        <v>67993</v>
      </c>
      <c r="B173" s="14" t="s">
        <v>334</v>
      </c>
      <c r="C173" s="14" t="s">
        <v>205</v>
      </c>
      <c r="D173" s="6" t="s">
        <v>2546</v>
      </c>
      <c r="E173" s="15" t="str">
        <f>HYPERLINK("https://stat100.ameba.jp/tnk47/ratio20/illustrations/card/ill_67993_kurisumasupateikanekomisuzu03.jpg?202008-5-RELEASE-marathon-486xx", "■")</f>
        <v>■</v>
      </c>
      <c r="F173" s="14" t="s">
        <v>1286</v>
      </c>
      <c r="G173" s="14">
        <v>101558</v>
      </c>
      <c r="H173" s="14">
        <v>94390</v>
      </c>
      <c r="I173" s="14">
        <v>26</v>
      </c>
      <c r="J173" s="14" t="s">
        <v>10</v>
      </c>
      <c r="K173" s="14" t="s">
        <v>2547</v>
      </c>
      <c r="L173" s="14" t="s">
        <v>2548</v>
      </c>
      <c r="M173" s="14" t="s">
        <v>9158</v>
      </c>
      <c r="N173" s="14" t="s">
        <v>9158</v>
      </c>
      <c r="O173" s="6" t="s">
        <v>10025</v>
      </c>
      <c r="P173" s="14" t="s">
        <v>3701</v>
      </c>
      <c r="Q173" s="14">
        <v>1</v>
      </c>
    </row>
    <row r="175" spans="1:18">
      <c r="A175" s="14" t="s">
        <v>13654</v>
      </c>
    </row>
    <row r="176" spans="1:18">
      <c r="A176" s="14" t="s">
        <v>13646</v>
      </c>
    </row>
    <row r="177" spans="1:17">
      <c r="A177" s="14" t="s">
        <v>5603</v>
      </c>
      <c r="B177" s="14" t="s">
        <v>330</v>
      </c>
      <c r="C177" s="14" t="s">
        <v>205</v>
      </c>
      <c r="D177" s="20" t="s">
        <v>611</v>
      </c>
      <c r="E177" s="15" t="str">
        <f>HYPERLINK("https://stat100.ameba.jp/tnk47/ratio20/illustrations/card/ill_61893_0_onikirishumiyamotomusashi03.jpg?202008-5-RELEASE-marathon-486xx", "■")</f>
        <v>■</v>
      </c>
      <c r="F177" s="14" t="s">
        <v>612</v>
      </c>
      <c r="G177" s="14">
        <v>224026</v>
      </c>
      <c r="H177" s="14">
        <v>208310</v>
      </c>
      <c r="I177" s="14">
        <v>24</v>
      </c>
      <c r="J177" s="14" t="s">
        <v>310</v>
      </c>
      <c r="K177" s="14" t="s">
        <v>613</v>
      </c>
      <c r="L177" s="14" t="s">
        <v>312</v>
      </c>
      <c r="M177" s="14" t="s">
        <v>9158</v>
      </c>
      <c r="N177" s="14" t="s">
        <v>9158</v>
      </c>
      <c r="O177" s="19" t="s">
        <v>10071</v>
      </c>
      <c r="P177" s="14" t="s">
        <v>3253</v>
      </c>
      <c r="Q177" s="14">
        <v>1</v>
      </c>
    </row>
    <row r="178" spans="1:17">
      <c r="A178" s="14" t="s">
        <v>5606</v>
      </c>
      <c r="B178" s="14" t="s">
        <v>52</v>
      </c>
      <c r="C178" s="14" t="s">
        <v>206</v>
      </c>
      <c r="D178" s="19" t="s">
        <v>2936</v>
      </c>
      <c r="E178" s="15" t="str">
        <f>HYPERLINK("https://stat100.ameba.jp/tnk47/ratio20/illustrations/card/ill_72233_0_koinoboriryugujin03.jpg?202008-5-RELEASE-marathon-486xx", "■")</f>
        <v>■</v>
      </c>
      <c r="F178" s="14" t="s">
        <v>1012</v>
      </c>
      <c r="G178" s="14">
        <v>157432</v>
      </c>
      <c r="H178" s="14">
        <v>169334</v>
      </c>
      <c r="I178" s="14">
        <v>24</v>
      </c>
      <c r="J178" s="14" t="s">
        <v>44</v>
      </c>
      <c r="K178" s="14" t="s">
        <v>1013</v>
      </c>
      <c r="L178" s="14" t="s">
        <v>1014</v>
      </c>
      <c r="M178" s="14" t="s">
        <v>9158</v>
      </c>
      <c r="N178" s="14" t="s">
        <v>9158</v>
      </c>
      <c r="O178" s="19" t="s">
        <v>2940</v>
      </c>
      <c r="P178" s="14" t="s">
        <v>2941</v>
      </c>
      <c r="Q178" s="14">
        <v>2</v>
      </c>
    </row>
    <row r="179" spans="1:17">
      <c r="A179" s="14" t="s">
        <v>5830</v>
      </c>
      <c r="B179" s="14" t="s">
        <v>330</v>
      </c>
      <c r="C179" s="14" t="s">
        <v>191</v>
      </c>
      <c r="D179" s="19" t="s">
        <v>793</v>
      </c>
      <c r="E179" s="15" t="str">
        <f>HYPERLINK("https://stat100.ameba.jp/tnk47/ratio20/illustrations/card/ill_39933_0_reihiiinaotora03.jpg?202008-5-RELEASE-marathon-486xx", "■")</f>
        <v>■</v>
      </c>
      <c r="F179" s="14" t="s">
        <v>794</v>
      </c>
      <c r="G179" s="14">
        <v>131538</v>
      </c>
      <c r="H179" s="14">
        <v>140448</v>
      </c>
      <c r="I179" s="14">
        <v>24</v>
      </c>
      <c r="J179" s="14" t="s">
        <v>315</v>
      </c>
      <c r="K179" s="14" t="s">
        <v>795</v>
      </c>
      <c r="L179" s="14" t="s">
        <v>796</v>
      </c>
      <c r="M179" s="14" t="s">
        <v>9158</v>
      </c>
      <c r="N179" s="14" t="s">
        <v>9158</v>
      </c>
      <c r="O179" s="14" t="s">
        <v>9158</v>
      </c>
      <c r="P179" s="14" t="s">
        <v>9158</v>
      </c>
      <c r="Q179" s="14" t="s">
        <v>9158</v>
      </c>
    </row>
    <row r="180" spans="1:17">
      <c r="A180" s="14">
        <v>91253</v>
      </c>
      <c r="B180" s="14" t="s">
        <v>13568</v>
      </c>
      <c r="C180" s="14" t="s">
        <v>13608</v>
      </c>
      <c r="D180" s="14" t="s">
        <v>13607</v>
      </c>
      <c r="E180" s="15" t="str">
        <f>HYPERLINK("https://stat100.ameba.jp/tnk47/ratio20/illustrations/card/ill_91253_rumisu03.jpg?202008-5-RELEASE-marathon-486xx", "■")</f>
        <v>■</v>
      </c>
      <c r="F180" s="14" t="s">
        <v>13609</v>
      </c>
      <c r="G180" s="14">
        <v>94390</v>
      </c>
      <c r="H180" s="14">
        <v>101558</v>
      </c>
      <c r="I180" s="7">
        <v>26</v>
      </c>
      <c r="J180" s="14" t="s">
        <v>13610</v>
      </c>
      <c r="K180" s="14" t="s">
        <v>13611</v>
      </c>
      <c r="L180" s="14" t="s">
        <v>13612</v>
      </c>
      <c r="M180" s="14" t="s">
        <v>9158</v>
      </c>
      <c r="N180" s="14" t="s">
        <v>9158</v>
      </c>
      <c r="O180" s="14" t="s">
        <v>9158</v>
      </c>
      <c r="P180" s="14" t="s">
        <v>9158</v>
      </c>
      <c r="Q180" s="14" t="s">
        <v>9158</v>
      </c>
    </row>
    <row r="181" spans="1:17">
      <c r="A181" s="14">
        <v>91273</v>
      </c>
      <c r="B181" s="14" t="s">
        <v>13573</v>
      </c>
      <c r="C181" s="14" t="s">
        <v>13619</v>
      </c>
      <c r="D181" s="14" t="s">
        <v>13618</v>
      </c>
      <c r="E181" s="15" t="str">
        <f>HYPERLINK("https://stat100.ameba.jp/tnk47/ratio20/illustrations/card/ill_91273_sendaisutendogurasu03.jpg?202008-5-RELEASE-marathon-486xx", "■")</f>
        <v>■</v>
      </c>
      <c r="F181" s="14" t="s">
        <v>13620</v>
      </c>
      <c r="G181" s="14">
        <v>77064</v>
      </c>
      <c r="H181" s="14">
        <v>69898</v>
      </c>
      <c r="I181" s="7">
        <v>26</v>
      </c>
      <c r="J181" s="14" t="s">
        <v>13578</v>
      </c>
      <c r="K181" s="14" t="s">
        <v>13621</v>
      </c>
      <c r="L181" s="14" t="s">
        <v>13580</v>
      </c>
      <c r="M181" s="14" t="s">
        <v>9158</v>
      </c>
      <c r="N181" s="14" t="s">
        <v>9158</v>
      </c>
      <c r="O181" s="14" t="s">
        <v>9158</v>
      </c>
      <c r="P181" s="14" t="s">
        <v>9158</v>
      </c>
      <c r="Q181" s="14" t="s">
        <v>9158</v>
      </c>
    </row>
    <row r="182" spans="1:17">
      <c r="A182" s="14">
        <v>91283</v>
      </c>
      <c r="B182" s="14" t="s">
        <v>13574</v>
      </c>
      <c r="C182" s="14" t="s">
        <v>13567</v>
      </c>
      <c r="D182" s="14" t="s">
        <v>13622</v>
      </c>
      <c r="E182" s="15" t="str">
        <f>HYPERLINK("https://stat100.ameba.jp/tnk47/ratio20/illustrations/card/ill_91283_amakusashirou03.jpg?202008-5-RELEASE-marathon-486xx", "■")</f>
        <v>■</v>
      </c>
      <c r="F182" s="14" t="s">
        <v>13623</v>
      </c>
      <c r="G182" s="14">
        <v>44948</v>
      </c>
      <c r="H182" s="14">
        <v>54058</v>
      </c>
      <c r="I182" s="7">
        <v>26</v>
      </c>
      <c r="J182" s="14" t="s">
        <v>13625</v>
      </c>
      <c r="K182" s="14" t="s">
        <v>13624</v>
      </c>
      <c r="L182" s="14" t="s">
        <v>13626</v>
      </c>
      <c r="M182" s="14" t="s">
        <v>9158</v>
      </c>
      <c r="N182" s="14" t="s">
        <v>9158</v>
      </c>
      <c r="O182" s="14" t="s">
        <v>9158</v>
      </c>
      <c r="P182" s="14" t="s">
        <v>9158</v>
      </c>
      <c r="Q182" s="14" t="s">
        <v>9158</v>
      </c>
    </row>
    <row r="183" spans="1:17">
      <c r="A183" s="14">
        <v>91293</v>
      </c>
      <c r="B183" s="14" t="s">
        <v>13574</v>
      </c>
      <c r="C183" s="14" t="s">
        <v>13628</v>
      </c>
      <c r="D183" s="14" t="s">
        <v>13627</v>
      </c>
      <c r="E183" s="15" t="str">
        <f>HYPERLINK("https://stat100.ameba.jp/tnk47/ratio20/illustrations/card/ill_91293_chiseihataigensessai03.jpg?202008-5-RELEASE-marathon-486xx", "■")</f>
        <v>■</v>
      </c>
      <c r="F183" s="14" t="s">
        <v>13629</v>
      </c>
      <c r="G183" s="14">
        <v>54058</v>
      </c>
      <c r="H183" s="14">
        <v>44948</v>
      </c>
      <c r="I183" s="7">
        <v>26</v>
      </c>
      <c r="J183" s="14" t="s">
        <v>13630</v>
      </c>
      <c r="K183" s="14" t="s">
        <v>13631</v>
      </c>
      <c r="L183" s="14" t="s">
        <v>13632</v>
      </c>
      <c r="M183" s="14" t="s">
        <v>9158</v>
      </c>
      <c r="N183" s="14" t="s">
        <v>9158</v>
      </c>
      <c r="O183" s="14" t="s">
        <v>9158</v>
      </c>
      <c r="P183" s="14" t="s">
        <v>9158</v>
      </c>
      <c r="Q183" s="14" t="s">
        <v>9158</v>
      </c>
    </row>
    <row r="185" spans="1:17">
      <c r="A185" s="14" t="s">
        <v>13595</v>
      </c>
    </row>
    <row r="186" spans="1:17">
      <c r="A186" s="14" t="s">
        <v>13647</v>
      </c>
    </row>
    <row r="187" spans="1:17">
      <c r="A187" s="9" t="s">
        <v>9891</v>
      </c>
      <c r="B187" s="7" t="s">
        <v>52</v>
      </c>
      <c r="C187" s="9" t="s">
        <v>202</v>
      </c>
      <c r="D187" s="6" t="s">
        <v>9978</v>
      </c>
      <c r="E187" s="15" t="str">
        <f>HYPERLINK("https://stat100.ameba.jp/tnk47/ratio20/illustrations/card/ill_87643_0_oendanotohime03.jpg?202008-5-RELEASE-marathon-486xx", "■")</f>
        <v>■</v>
      </c>
      <c r="F187" s="14" t="s">
        <v>9928</v>
      </c>
      <c r="G187" s="9">
        <v>281156</v>
      </c>
      <c r="H187" s="9">
        <v>343608</v>
      </c>
      <c r="I187" s="7">
        <v>27</v>
      </c>
      <c r="J187" s="9" t="s">
        <v>155</v>
      </c>
      <c r="K187" s="14" t="s">
        <v>9932</v>
      </c>
      <c r="L187" s="14" t="s">
        <v>9933</v>
      </c>
      <c r="M187" s="14" t="s">
        <v>9158</v>
      </c>
      <c r="N187" s="14" t="s">
        <v>9158</v>
      </c>
      <c r="O187" s="6" t="s">
        <v>9989</v>
      </c>
      <c r="P187" s="7" t="s">
        <v>9944</v>
      </c>
      <c r="Q187" s="7">
        <v>1</v>
      </c>
    </row>
    <row r="188" spans="1:17">
      <c r="A188" s="14" t="s">
        <v>5605</v>
      </c>
      <c r="B188" s="14" t="s">
        <v>52</v>
      </c>
      <c r="C188" s="14" t="s">
        <v>202</v>
      </c>
      <c r="D188" s="19" t="s">
        <v>10332</v>
      </c>
      <c r="E188" s="15" t="str">
        <f>HYPERLINK("https://stat100.ameba.jp/tnk47/ratio20/illustrations/card/ill_79373_0_hommeichokotennyohime03.jpg?202008-5-RELEASE-marathon-486xx", "■")</f>
        <v>■</v>
      </c>
      <c r="F188" s="14" t="s">
        <v>3495</v>
      </c>
      <c r="G188" s="14">
        <v>333862</v>
      </c>
      <c r="H188" s="14">
        <v>301759</v>
      </c>
      <c r="I188" s="14">
        <v>27</v>
      </c>
      <c r="J188" s="14" t="s">
        <v>104</v>
      </c>
      <c r="K188" s="14" t="s">
        <v>3496</v>
      </c>
      <c r="L188" s="14" t="s">
        <v>3497</v>
      </c>
      <c r="M188" s="14" t="s">
        <v>9158</v>
      </c>
      <c r="N188" s="14" t="s">
        <v>9158</v>
      </c>
      <c r="O188" s="19" t="s">
        <v>10072</v>
      </c>
      <c r="P188" s="14" t="s">
        <v>3498</v>
      </c>
      <c r="Q188" s="14">
        <v>1</v>
      </c>
    </row>
    <row r="189" spans="1:17">
      <c r="A189" s="9" t="s">
        <v>5622</v>
      </c>
      <c r="B189" s="14" t="s">
        <v>330</v>
      </c>
      <c r="C189" s="14" t="s">
        <v>335</v>
      </c>
      <c r="D189" s="14" t="s">
        <v>509</v>
      </c>
      <c r="E189" s="15" t="str">
        <f>HYPERLINK("https://stat100.ameba.jp/tnk47/ratio20/illustrations/card/ill_49953_0_yushamarihime03.jpg?202008-5-RELEASE-marathon-486xx", "■")</f>
        <v>■</v>
      </c>
      <c r="F189" s="14" t="s">
        <v>510</v>
      </c>
      <c r="G189" s="14">
        <v>163342</v>
      </c>
      <c r="H189" s="14">
        <v>145100</v>
      </c>
      <c r="I189" s="14">
        <v>26</v>
      </c>
      <c r="J189" s="14" t="s">
        <v>315</v>
      </c>
      <c r="K189" s="14" t="s">
        <v>511</v>
      </c>
      <c r="L189" s="14" t="s">
        <v>512</v>
      </c>
      <c r="M189" s="14" t="s">
        <v>9158</v>
      </c>
      <c r="N189" s="14" t="s">
        <v>9158</v>
      </c>
      <c r="O189" s="14" t="s">
        <v>9158</v>
      </c>
      <c r="P189" s="14" t="s">
        <v>9158</v>
      </c>
      <c r="Q189" s="14" t="s">
        <v>9158</v>
      </c>
    </row>
    <row r="190" spans="1:17">
      <c r="A190" s="14">
        <v>65643</v>
      </c>
      <c r="B190" s="14" t="s">
        <v>0</v>
      </c>
      <c r="C190" s="14" t="s">
        <v>209</v>
      </c>
      <c r="D190" s="20" t="s">
        <v>1681</v>
      </c>
      <c r="E190" s="15" t="str">
        <f>HYPERLINK("https://stat100.ameba.jp/tnk47/ratio20/illustrations/card/ill_65643_shitompekamui03.jpg?202008-5-RELEASE-marathon-486xx", "■")</f>
        <v>■</v>
      </c>
      <c r="F190" s="14" t="s">
        <v>1250</v>
      </c>
      <c r="G190" s="14">
        <v>85962</v>
      </c>
      <c r="H190" s="14">
        <v>118684</v>
      </c>
      <c r="I190" s="14">
        <v>26</v>
      </c>
      <c r="J190" s="14" t="s">
        <v>44</v>
      </c>
      <c r="K190" s="14" t="s">
        <v>1251</v>
      </c>
      <c r="L190" s="14" t="s">
        <v>1252</v>
      </c>
      <c r="M190" s="14" t="s">
        <v>9158</v>
      </c>
      <c r="N190" s="14" t="s">
        <v>9158</v>
      </c>
      <c r="O190" s="19" t="s">
        <v>10096</v>
      </c>
      <c r="P190" s="14" t="s">
        <v>3245</v>
      </c>
      <c r="Q190" s="14">
        <v>1</v>
      </c>
    </row>
    <row r="191" spans="1:17">
      <c r="A191" s="14">
        <v>66363</v>
      </c>
      <c r="B191" s="14" t="s">
        <v>334</v>
      </c>
      <c r="C191" s="14" t="s">
        <v>158</v>
      </c>
      <c r="D191" s="19" t="s">
        <v>2910</v>
      </c>
      <c r="E191" s="15" t="str">
        <f>HYPERLINK("https://stat100.ameba.jp/tnk47/ratio20/illustrations/card/ill_66363_iharasaikaku03.jpg?202008-5-RELEASE-marathon-486xx", "■")</f>
        <v>■</v>
      </c>
      <c r="F191" s="14" t="s">
        <v>122</v>
      </c>
      <c r="G191" s="9">
        <v>85492</v>
      </c>
      <c r="H191" s="9">
        <v>118000</v>
      </c>
      <c r="I191" s="14">
        <v>26</v>
      </c>
      <c r="J191" s="14" t="s">
        <v>414</v>
      </c>
      <c r="K191" s="14" t="s">
        <v>2911</v>
      </c>
      <c r="L191" s="14" t="s">
        <v>1575</v>
      </c>
      <c r="M191" s="14" t="s">
        <v>9158</v>
      </c>
      <c r="N191" s="14" t="s">
        <v>9158</v>
      </c>
      <c r="O191" s="19" t="s">
        <v>10074</v>
      </c>
      <c r="P191" s="14" t="s">
        <v>2822</v>
      </c>
      <c r="Q191" s="14">
        <v>1</v>
      </c>
    </row>
    <row r="192" spans="1:17">
      <c r="A192" s="14">
        <v>84643</v>
      </c>
      <c r="B192" s="14" t="s">
        <v>0</v>
      </c>
      <c r="C192" s="14" t="s">
        <v>203</v>
      </c>
      <c r="D192" s="20" t="s">
        <v>10605</v>
      </c>
      <c r="E192" s="15" t="str">
        <f>HYPERLINK("https://stat100.ameba.jp/tnk47/ratio20/illustrations/card/ill_84643_rikayaojo03.jpg?202008-5-RELEASE-marathon-486xx", "■")</f>
        <v>■</v>
      </c>
      <c r="F192" s="14" t="s">
        <v>6853</v>
      </c>
      <c r="G192" s="14">
        <v>172982</v>
      </c>
      <c r="H192" s="14">
        <v>125296</v>
      </c>
      <c r="I192" s="14">
        <v>26</v>
      </c>
      <c r="J192" s="14" t="s">
        <v>315</v>
      </c>
      <c r="K192" s="14" t="s">
        <v>6852</v>
      </c>
      <c r="L192" s="14" t="s">
        <v>6851</v>
      </c>
      <c r="M192" s="14" t="s">
        <v>9158</v>
      </c>
      <c r="N192" s="14" t="s">
        <v>9158</v>
      </c>
      <c r="O192" s="19" t="s">
        <v>10082</v>
      </c>
      <c r="P192" s="14" t="s">
        <v>13124</v>
      </c>
      <c r="Q192" s="14">
        <v>1</v>
      </c>
    </row>
    <row r="193" spans="1:17">
      <c r="A193" s="7">
        <v>85643</v>
      </c>
      <c r="B193" s="7" t="s">
        <v>0</v>
      </c>
      <c r="C193" s="7" t="s">
        <v>154</v>
      </c>
      <c r="D193" s="20" t="s">
        <v>10828</v>
      </c>
      <c r="E193" s="15" t="str">
        <f>HYPERLINK("https://stat100.ameba.jp/tnk47/ratio20/illustrations/card/ill_85643_hosekisho03.jpg?202008-5-RELEASE-marathon-486xx", "■")</f>
        <v>■</v>
      </c>
      <c r="F193" s="7" t="s">
        <v>8420</v>
      </c>
      <c r="G193" s="7">
        <v>113630</v>
      </c>
      <c r="H193" s="7">
        <v>82318</v>
      </c>
      <c r="I193" s="14">
        <v>26</v>
      </c>
      <c r="J193" s="7" t="s">
        <v>26</v>
      </c>
      <c r="K193" s="7" t="s">
        <v>8418</v>
      </c>
      <c r="L193" s="7" t="s">
        <v>3260</v>
      </c>
      <c r="M193" s="14" t="s">
        <v>9158</v>
      </c>
      <c r="N193" s="14" t="s">
        <v>9158</v>
      </c>
      <c r="O193" s="19" t="s">
        <v>10091</v>
      </c>
      <c r="P193" s="7" t="s">
        <v>3670</v>
      </c>
      <c r="Q193" s="7">
        <v>1</v>
      </c>
    </row>
    <row r="194" spans="1:17">
      <c r="A194" s="14">
        <v>70373</v>
      </c>
      <c r="B194" s="14" t="s">
        <v>334</v>
      </c>
      <c r="C194" s="14" t="s">
        <v>209</v>
      </c>
      <c r="D194" s="20" t="s">
        <v>10226</v>
      </c>
      <c r="E194" s="15" t="str">
        <f>HYPERLINK("https://stat100.ameba.jp/tnk47/ratio20/illustrations/card/ill_70373_amanoyasukage03.jpg?202008-5-RELEASE-marathon-486xx", "■")</f>
        <v>■</v>
      </c>
      <c r="F194" s="14" t="s">
        <v>2617</v>
      </c>
      <c r="G194" s="14">
        <v>134306</v>
      </c>
      <c r="H194" s="14">
        <v>144446</v>
      </c>
      <c r="I194" s="14">
        <v>26</v>
      </c>
      <c r="J194" s="14" t="s">
        <v>143</v>
      </c>
      <c r="K194" s="14" t="s">
        <v>2618</v>
      </c>
      <c r="L194" s="14" t="s">
        <v>2619</v>
      </c>
      <c r="M194" s="14" t="s">
        <v>9158</v>
      </c>
      <c r="N194" s="14" t="s">
        <v>9158</v>
      </c>
      <c r="O194" s="19" t="s">
        <v>10081</v>
      </c>
      <c r="P194" s="14" t="s">
        <v>4146</v>
      </c>
      <c r="Q194" s="14">
        <v>1</v>
      </c>
    </row>
    <row r="195" spans="1:17">
      <c r="A195" s="14">
        <v>62473</v>
      </c>
      <c r="B195" s="14" t="s">
        <v>334</v>
      </c>
      <c r="C195" s="14" t="s">
        <v>203</v>
      </c>
      <c r="D195" s="20" t="s">
        <v>2834</v>
      </c>
      <c r="E195" s="15" t="str">
        <f>HYPERLINK("https://stat100.ameba.jp/tnk47/ratio20/illustrations/card/ill_62473_kokuriko03.jpg?202008-5-RELEASE-marathon-486xx", "■")</f>
        <v>■</v>
      </c>
      <c r="F195" s="14" t="s">
        <v>2835</v>
      </c>
      <c r="G195" s="14">
        <v>118684</v>
      </c>
      <c r="H195" s="14">
        <v>85962</v>
      </c>
      <c r="I195" s="14">
        <v>26</v>
      </c>
      <c r="J195" s="14" t="s">
        <v>401</v>
      </c>
      <c r="K195" s="14" t="s">
        <v>2836</v>
      </c>
      <c r="L195" s="14" t="s">
        <v>2837</v>
      </c>
      <c r="M195" s="14" t="s">
        <v>9158</v>
      </c>
      <c r="N195" s="14" t="s">
        <v>9158</v>
      </c>
      <c r="O195" s="19" t="s">
        <v>2838</v>
      </c>
      <c r="P195" s="14" t="s">
        <v>2839</v>
      </c>
      <c r="Q195" s="14">
        <v>1</v>
      </c>
    </row>
    <row r="197" spans="1:17">
      <c r="A197" s="14" t="s">
        <v>13560</v>
      </c>
    </row>
    <row r="198" spans="1:17">
      <c r="A198" s="14" t="s">
        <v>13648</v>
      </c>
    </row>
    <row r="199" spans="1:17">
      <c r="A199" s="14" t="s">
        <v>6598</v>
      </c>
      <c r="B199" s="14" t="s">
        <v>330</v>
      </c>
      <c r="C199" s="14" t="s">
        <v>35</v>
      </c>
      <c r="D199" s="19" t="s">
        <v>10555</v>
      </c>
      <c r="E199" s="15" t="str">
        <f>HYPERLINK("https://stat100.ameba.jp/tnk47/ratio20/illustrations/card/ill_83553_0_kajuenamoronagu03.jpg?202008-5-RELEASE-marathon-486xx", "■")</f>
        <v>■</v>
      </c>
      <c r="F199" s="14" t="s">
        <v>6597</v>
      </c>
      <c r="G199" s="14">
        <v>263165</v>
      </c>
      <c r="H199" s="14">
        <v>291184</v>
      </c>
      <c r="I199" s="14">
        <v>25</v>
      </c>
      <c r="J199" s="14" t="s">
        <v>44</v>
      </c>
      <c r="K199" s="14" t="s">
        <v>6595</v>
      </c>
      <c r="L199" s="14" t="s">
        <v>6594</v>
      </c>
      <c r="M199" s="14" t="s">
        <v>9158</v>
      </c>
      <c r="N199" s="14" t="s">
        <v>9158</v>
      </c>
      <c r="O199" s="19" t="s">
        <v>10125</v>
      </c>
      <c r="P199" s="14" t="s">
        <v>6599</v>
      </c>
      <c r="Q199" s="14">
        <v>1</v>
      </c>
    </row>
    <row r="200" spans="1:17">
      <c r="A200" s="14">
        <v>82543</v>
      </c>
      <c r="B200" s="14" t="s">
        <v>334</v>
      </c>
      <c r="C200" s="14" t="s">
        <v>41</v>
      </c>
      <c r="D200" s="19" t="s">
        <v>10342</v>
      </c>
      <c r="E200" s="15" t="str">
        <f>HYPERLINK("https://stat100.ameba.jp/tnk47/ratio20/illustrations/card/ill_82543_nabeshimanagako03.jpg?202008-5-RELEASE-marathon-486xx", "■")</f>
        <v>■</v>
      </c>
      <c r="F200" s="14" t="s">
        <v>5491</v>
      </c>
      <c r="G200" s="14">
        <v>104890</v>
      </c>
      <c r="H200" s="14">
        <v>75984</v>
      </c>
      <c r="I200" s="14">
        <v>24</v>
      </c>
      <c r="J200" s="14" t="s">
        <v>10</v>
      </c>
      <c r="K200" s="14" t="s">
        <v>5493</v>
      </c>
      <c r="L200" s="14" t="s">
        <v>5494</v>
      </c>
      <c r="M200" s="14" t="s">
        <v>9158</v>
      </c>
      <c r="N200" s="14" t="s">
        <v>9158</v>
      </c>
      <c r="O200" s="19" t="s">
        <v>10080</v>
      </c>
      <c r="P200" s="14" t="s">
        <v>3705</v>
      </c>
      <c r="Q200" s="14">
        <v>1</v>
      </c>
    </row>
    <row r="201" spans="1:17">
      <c r="A201" s="9">
        <v>81303</v>
      </c>
      <c r="B201" s="14" t="s">
        <v>334</v>
      </c>
      <c r="C201" s="14" t="s">
        <v>41</v>
      </c>
      <c r="D201" s="14" t="s">
        <v>4580</v>
      </c>
      <c r="E201" s="15" t="str">
        <f>HYPERLINK("https://stat100.ameba.jp/tnk47/ratio20/illustrations/card/ill_81303_suteirukuin03.jpg?202008-5-RELEASE-marathon-486xx", "■")</f>
        <v>■</v>
      </c>
      <c r="F201" s="14" t="s">
        <v>4581</v>
      </c>
      <c r="G201" s="14">
        <v>115656</v>
      </c>
      <c r="H201" s="14">
        <v>159674</v>
      </c>
      <c r="I201" s="14">
        <v>24</v>
      </c>
      <c r="J201" s="14" t="s">
        <v>104</v>
      </c>
      <c r="K201" s="14" t="s">
        <v>4582</v>
      </c>
      <c r="L201" s="14" t="s">
        <v>2304</v>
      </c>
      <c r="M201" s="14" t="s">
        <v>9158</v>
      </c>
      <c r="N201" s="14" t="s">
        <v>9158</v>
      </c>
      <c r="O201" s="9" t="s">
        <v>4583</v>
      </c>
      <c r="P201" s="14" t="s">
        <v>4584</v>
      </c>
      <c r="Q201" s="14">
        <v>1</v>
      </c>
    </row>
    <row r="202" spans="1:17">
      <c r="A202" s="14">
        <v>78123</v>
      </c>
      <c r="B202" s="14" t="s">
        <v>334</v>
      </c>
      <c r="C202" s="14" t="s">
        <v>209</v>
      </c>
      <c r="D202" s="6" t="s">
        <v>10010</v>
      </c>
      <c r="E202" s="15" t="str">
        <f>HYPERLINK("https://stat100.ameba.jp/tnk47/ratio20/illustrations/card/ill_78123_madannoteirusorushieru03.jpg?202008-5-RELEASE-marathon-486xx", "■")</f>
        <v>■</v>
      </c>
      <c r="F202" s="14" t="s">
        <v>3024</v>
      </c>
      <c r="G202" s="14">
        <v>159674</v>
      </c>
      <c r="H202" s="14">
        <v>115656</v>
      </c>
      <c r="I202" s="14">
        <v>24</v>
      </c>
      <c r="J202" s="14" t="s">
        <v>310</v>
      </c>
      <c r="K202" s="14" t="s">
        <v>3025</v>
      </c>
      <c r="L202" s="14" t="s">
        <v>443</v>
      </c>
      <c r="M202" s="14" t="s">
        <v>9158</v>
      </c>
      <c r="N202" s="14" t="s">
        <v>9158</v>
      </c>
      <c r="O202" s="17" t="s">
        <v>3414</v>
      </c>
      <c r="P202" s="14" t="s">
        <v>13122</v>
      </c>
      <c r="Q202" s="14">
        <v>1</v>
      </c>
    </row>
    <row r="204" spans="1:17">
      <c r="A204" s="14" t="s">
        <v>13649</v>
      </c>
    </row>
    <row r="205" spans="1:17">
      <c r="A205" s="14" t="s">
        <v>13650</v>
      </c>
    </row>
    <row r="206" spans="1:17">
      <c r="A206" s="14" t="s">
        <v>5804</v>
      </c>
      <c r="B206" s="14" t="s">
        <v>52</v>
      </c>
      <c r="C206" s="14" t="s">
        <v>14</v>
      </c>
      <c r="D206" s="19" t="s">
        <v>3195</v>
      </c>
      <c r="E206" s="15" t="str">
        <f>HYPERLINK("https://stat100.ameba.jp/tnk47/ratio20/illustrations/card/ill_75393_0_resukuinotsukisamaniittausagi03.jpg?202008-5-RELEASE-marathon-486xx", "■")</f>
        <v>■</v>
      </c>
      <c r="F206" s="14" t="s">
        <v>3248</v>
      </c>
      <c r="G206" s="14">
        <v>250588</v>
      </c>
      <c r="H206" s="14">
        <v>232980</v>
      </c>
      <c r="I206" s="14">
        <v>22</v>
      </c>
      <c r="J206" s="14" t="s">
        <v>26</v>
      </c>
      <c r="K206" s="14" t="s">
        <v>3249</v>
      </c>
      <c r="L206" s="14" t="s">
        <v>3250</v>
      </c>
      <c r="M206" s="14" t="s">
        <v>9158</v>
      </c>
      <c r="N206" s="14" t="s">
        <v>9158</v>
      </c>
      <c r="O206" s="19" t="s">
        <v>10101</v>
      </c>
      <c r="P206" s="14" t="s">
        <v>3251</v>
      </c>
      <c r="Q206" s="14">
        <v>2</v>
      </c>
    </row>
    <row r="207" spans="1:17">
      <c r="A207" s="14" t="s">
        <v>5848</v>
      </c>
      <c r="B207" s="14" t="s">
        <v>330</v>
      </c>
      <c r="C207" s="14" t="s">
        <v>200</v>
      </c>
      <c r="D207" s="19" t="s">
        <v>3160</v>
      </c>
      <c r="E207" s="15" t="str">
        <f>HYPERLINK("https://stat100.ameba.jp/tnk47/ratio20/illustrations/card/ill_72963_0_amenohanayomehiguchiichiyo03.jpg?202008-5-RELEASE-marathon-486xx", "■")</f>
        <v>■</v>
      </c>
      <c r="F207" s="14" t="s">
        <v>1139</v>
      </c>
      <c r="G207" s="14">
        <v>147404</v>
      </c>
      <c r="H207" s="14">
        <v>137060</v>
      </c>
      <c r="I207" s="14">
        <v>22</v>
      </c>
      <c r="J207" s="14" t="s">
        <v>10</v>
      </c>
      <c r="K207" s="14" t="s">
        <v>1140</v>
      </c>
      <c r="L207" s="14" t="s">
        <v>1141</v>
      </c>
      <c r="M207" s="14" t="s">
        <v>9158</v>
      </c>
      <c r="N207" s="14" t="s">
        <v>9158</v>
      </c>
      <c r="O207" s="19" t="s">
        <v>3162</v>
      </c>
      <c r="P207" s="14" t="s">
        <v>3163</v>
      </c>
      <c r="Q207" s="14">
        <v>1</v>
      </c>
    </row>
    <row r="208" spans="1:17">
      <c r="A208" s="14" t="s">
        <v>5608</v>
      </c>
      <c r="B208" s="14" t="s">
        <v>52</v>
      </c>
      <c r="C208" s="14" t="s">
        <v>96</v>
      </c>
      <c r="D208" s="20" t="s">
        <v>634</v>
      </c>
      <c r="E208" s="15" t="str">
        <f>HYPERLINK("https://stat100.ameba.jp/tnk47/ratio20/illustrations/card/ill_40963_0_makami03.jpg?202008-5-RELEASE-marathon-486xx", "■")</f>
        <v>■</v>
      </c>
      <c r="F208" s="14" t="s">
        <v>2038</v>
      </c>
      <c r="G208" s="14">
        <v>128744</v>
      </c>
      <c r="H208" s="14">
        <v>120576</v>
      </c>
      <c r="I208" s="14">
        <v>22</v>
      </c>
      <c r="J208" s="14" t="s">
        <v>44</v>
      </c>
      <c r="K208" s="14" t="s">
        <v>2039</v>
      </c>
      <c r="L208" s="14" t="s">
        <v>2040</v>
      </c>
      <c r="M208" s="14" t="s">
        <v>9158</v>
      </c>
      <c r="N208" s="14" t="s">
        <v>9158</v>
      </c>
      <c r="O208" s="14" t="s">
        <v>9158</v>
      </c>
      <c r="P208" s="14" t="s">
        <v>9158</v>
      </c>
      <c r="Q208" s="14" t="s">
        <v>9158</v>
      </c>
    </row>
    <row r="209" spans="1:17">
      <c r="A209" s="9">
        <v>87963</v>
      </c>
      <c r="B209" s="14" t="s">
        <v>334</v>
      </c>
      <c r="C209" s="9" t="s">
        <v>205</v>
      </c>
      <c r="D209" s="9" t="s">
        <v>11904</v>
      </c>
      <c r="E209" s="15" t="str">
        <f>HYPERLINK("https://stat100.ameba.jp/tnk47/ratio20/illustrations/card/ill_87963_mafuiaakkaekka03.jpg?202008-5-RELEASE-marathon-486xx", "■")</f>
        <v>■</v>
      </c>
      <c r="F209" s="9" t="s">
        <v>11902</v>
      </c>
      <c r="G209" s="9">
        <v>136005</v>
      </c>
      <c r="H209" s="9">
        <v>76512</v>
      </c>
      <c r="I209" s="14">
        <v>27</v>
      </c>
      <c r="J209" s="9" t="s">
        <v>169</v>
      </c>
      <c r="K209" s="9" t="s">
        <v>11903</v>
      </c>
      <c r="L209" s="9" t="s">
        <v>13148</v>
      </c>
      <c r="M209" s="14" t="s">
        <v>9158</v>
      </c>
      <c r="N209" s="14" t="s">
        <v>9158</v>
      </c>
      <c r="O209" s="14" t="s">
        <v>9158</v>
      </c>
      <c r="P209" s="14" t="s">
        <v>9158</v>
      </c>
      <c r="Q209" s="14" t="s">
        <v>9158</v>
      </c>
    </row>
    <row r="210" spans="1:17">
      <c r="A210" s="9">
        <v>68383</v>
      </c>
      <c r="B210" s="14" t="s">
        <v>334</v>
      </c>
      <c r="C210" s="14" t="s">
        <v>206</v>
      </c>
      <c r="D210" s="14" t="s">
        <v>2223</v>
      </c>
      <c r="E210" s="15" t="str">
        <f>HYPERLINK("https://stat100.ameba.jp/tnk47/ratio20/illustrations/card/ill_68383_amudosukiasu03.jpg?202008-5-RELEASE-marathon-486xx", "■")</f>
        <v>■</v>
      </c>
      <c r="F210" s="14" t="s">
        <v>2224</v>
      </c>
      <c r="G210" s="14">
        <v>198226</v>
      </c>
      <c r="H210" s="14">
        <v>111523</v>
      </c>
      <c r="I210" s="14">
        <v>27</v>
      </c>
      <c r="J210" s="14" t="s">
        <v>73</v>
      </c>
      <c r="K210" s="14" t="s">
        <v>2225</v>
      </c>
      <c r="L210" s="14" t="s">
        <v>2226</v>
      </c>
      <c r="M210" s="14" t="s">
        <v>9158</v>
      </c>
      <c r="N210" s="14" t="s">
        <v>9158</v>
      </c>
      <c r="O210" s="14" t="s">
        <v>9158</v>
      </c>
      <c r="P210" s="14" t="s">
        <v>9158</v>
      </c>
      <c r="Q210" s="14" t="s">
        <v>9158</v>
      </c>
    </row>
    <row r="211" spans="1:17">
      <c r="A211" s="7">
        <v>65773</v>
      </c>
      <c r="B211" s="14" t="s">
        <v>334</v>
      </c>
      <c r="C211" s="14" t="s">
        <v>191</v>
      </c>
      <c r="D211" s="20" t="s">
        <v>10843</v>
      </c>
      <c r="E211" s="15" t="str">
        <f>HYPERLINK("https://stat100.ameba.jp/tnk47/ratio20/illustrations/card/ill_65773_kitsunenoyomeiri03.jpg?202008-5-RELEASE-marathon-486xx", "■")</f>
        <v>■</v>
      </c>
      <c r="F211" s="14" t="s">
        <v>8545</v>
      </c>
      <c r="G211" s="14">
        <v>123220</v>
      </c>
      <c r="H211" s="14">
        <v>114362</v>
      </c>
      <c r="I211" s="14">
        <v>27</v>
      </c>
      <c r="J211" s="14" t="s">
        <v>155</v>
      </c>
      <c r="K211" s="14" t="s">
        <v>8547</v>
      </c>
      <c r="L211" s="14" t="s">
        <v>1416</v>
      </c>
      <c r="M211" s="14" t="s">
        <v>9158</v>
      </c>
      <c r="N211" s="14" t="s">
        <v>9158</v>
      </c>
      <c r="O211" s="14" t="s">
        <v>9158</v>
      </c>
      <c r="P211" s="14" t="s">
        <v>9158</v>
      </c>
      <c r="Q211" s="14" t="s">
        <v>9158</v>
      </c>
    </row>
    <row r="213" spans="1:17">
      <c r="A213" s="14" t="s">
        <v>13598</v>
      </c>
    </row>
    <row r="214" spans="1:17">
      <c r="A214" s="14" t="s">
        <v>13651</v>
      </c>
    </row>
    <row r="215" spans="1:17">
      <c r="A215" s="14">
        <v>76103</v>
      </c>
      <c r="B215" s="14" t="s">
        <v>334</v>
      </c>
      <c r="C215" s="14" t="s">
        <v>154</v>
      </c>
      <c r="D215" s="19" t="s">
        <v>570</v>
      </c>
      <c r="E215" s="15" t="str">
        <f>HYPERLINK("https://stat100.ameba.jp/tnk47/ratio20/illustrations/card/ill_76103_shibuaji03.jpg?202008-5-RELEASE-marathon-486xx", "■")</f>
        <v>■</v>
      </c>
      <c r="F215" s="14" t="s">
        <v>1122</v>
      </c>
      <c r="G215" s="14">
        <v>116452</v>
      </c>
      <c r="H215" s="14">
        <v>108276</v>
      </c>
      <c r="I215" s="14">
        <v>27</v>
      </c>
      <c r="J215" s="14" t="s">
        <v>143</v>
      </c>
      <c r="K215" s="14" t="s">
        <v>1123</v>
      </c>
      <c r="L215" s="14" t="s">
        <v>1124</v>
      </c>
      <c r="M215" s="14" t="s">
        <v>9158</v>
      </c>
      <c r="N215" s="14" t="s">
        <v>9158</v>
      </c>
      <c r="O215" s="14" t="s">
        <v>9158</v>
      </c>
      <c r="P215" s="14" t="s">
        <v>9158</v>
      </c>
      <c r="Q215" s="14" t="s">
        <v>9158</v>
      </c>
    </row>
    <row r="216" spans="1:17">
      <c r="A216" s="14">
        <v>76113</v>
      </c>
      <c r="B216" s="14" t="s">
        <v>334</v>
      </c>
      <c r="C216" s="14" t="s">
        <v>158</v>
      </c>
      <c r="D216" s="19" t="s">
        <v>10268</v>
      </c>
      <c r="E216" s="15" t="str">
        <f>HYPERLINK("https://stat100.ameba.jp/tnk47/ratio20/illustrations/card/ill_76113_jannudaruku03.jpg?202008-5-RELEASE-marathon-486xx", "■")</f>
        <v>■</v>
      </c>
      <c r="F216" s="14" t="s">
        <v>1126</v>
      </c>
      <c r="G216" s="14">
        <v>116452</v>
      </c>
      <c r="H216" s="14">
        <v>108276</v>
      </c>
      <c r="I216" s="14">
        <v>27</v>
      </c>
      <c r="J216" s="14" t="s">
        <v>10</v>
      </c>
      <c r="K216" s="14" t="s">
        <v>1127</v>
      </c>
      <c r="L216" s="14" t="s">
        <v>1128</v>
      </c>
      <c r="M216" s="14" t="s">
        <v>9158</v>
      </c>
      <c r="N216" s="14" t="s">
        <v>9158</v>
      </c>
      <c r="O216" s="14" t="s">
        <v>9158</v>
      </c>
      <c r="P216" s="14" t="s">
        <v>9158</v>
      </c>
      <c r="Q216" s="14" t="s">
        <v>9158</v>
      </c>
    </row>
    <row r="217" spans="1:17">
      <c r="A217" s="14">
        <v>63323</v>
      </c>
      <c r="B217" s="14" t="s">
        <v>0</v>
      </c>
      <c r="C217" s="14" t="s">
        <v>200</v>
      </c>
      <c r="D217" s="19" t="s">
        <v>10269</v>
      </c>
      <c r="E217" s="15" t="str">
        <f>HYPERLINK("https://stat100.ameba.jp/tnk47/ratio20/illustrations/card/ill_63323_ajisaikushinadahime03.jpg?202008-5-RELEASE-marathon-486xx", "■")</f>
        <v>■</v>
      </c>
      <c r="F217" s="14" t="s">
        <v>3583</v>
      </c>
      <c r="G217" s="14">
        <v>102386</v>
      </c>
      <c r="H217" s="14">
        <v>110129</v>
      </c>
      <c r="I217" s="14">
        <v>27</v>
      </c>
      <c r="J217" s="14" t="s">
        <v>44</v>
      </c>
      <c r="K217" s="14" t="s">
        <v>3584</v>
      </c>
      <c r="L217" s="14" t="s">
        <v>2400</v>
      </c>
      <c r="M217" s="14" t="s">
        <v>9158</v>
      </c>
      <c r="N217" s="14" t="s">
        <v>9158</v>
      </c>
      <c r="O217" s="14" t="s">
        <v>9158</v>
      </c>
      <c r="P217" s="14" t="s">
        <v>9158</v>
      </c>
      <c r="Q217" s="14" t="s">
        <v>9158</v>
      </c>
    </row>
    <row r="218" spans="1:17">
      <c r="A218" s="14">
        <v>59863</v>
      </c>
      <c r="B218" s="14" t="s">
        <v>334</v>
      </c>
      <c r="C218" s="14" t="s">
        <v>165</v>
      </c>
      <c r="D218" s="19" t="s">
        <v>318</v>
      </c>
      <c r="E218" s="15" t="str">
        <f>HYPERLINK("https://stat100.ameba.jp/tnk47/ratio20/illustrations/card/ill_59863_yoseiichimokuren03.jpg?202008-5-RELEASE-marathon-486xx", "■")</f>
        <v>■</v>
      </c>
      <c r="F218" s="14" t="s">
        <v>319</v>
      </c>
      <c r="G218" s="14">
        <v>112496</v>
      </c>
      <c r="H218" s="14">
        <v>104619</v>
      </c>
      <c r="I218" s="14">
        <v>27</v>
      </c>
      <c r="J218" s="14" t="s">
        <v>320</v>
      </c>
      <c r="K218" s="14" t="s">
        <v>321</v>
      </c>
      <c r="L218" s="14" t="s">
        <v>322</v>
      </c>
      <c r="M218" s="14" t="s">
        <v>9158</v>
      </c>
      <c r="N218" s="14" t="s">
        <v>9158</v>
      </c>
      <c r="O218" s="14" t="s">
        <v>9158</v>
      </c>
      <c r="P218" s="14" t="s">
        <v>9158</v>
      </c>
      <c r="Q218" s="14" t="s">
        <v>9158</v>
      </c>
    </row>
    <row r="219" spans="1:17">
      <c r="A219" s="14">
        <v>51823</v>
      </c>
      <c r="B219" s="14" t="s">
        <v>15</v>
      </c>
      <c r="C219" s="14" t="s">
        <v>101</v>
      </c>
      <c r="D219" s="19" t="s">
        <v>10587</v>
      </c>
      <c r="E219" s="15" t="str">
        <f>HYPERLINK("https://stat100.ameba.jp/tnk47/ratio20/illustrations/card/ill_51823_jukimatsu03.jpg?202008-5-RELEASE-marathon-486xx", "■")</f>
        <v>■</v>
      </c>
      <c r="F219" s="14" t="s">
        <v>6742</v>
      </c>
      <c r="G219" s="14">
        <v>72586</v>
      </c>
      <c r="H219" s="14">
        <v>80028</v>
      </c>
      <c r="I219" s="14">
        <v>27</v>
      </c>
      <c r="J219" s="14" t="s">
        <v>77</v>
      </c>
      <c r="K219" s="14" t="s">
        <v>6743</v>
      </c>
      <c r="L219" s="14" t="s">
        <v>6744</v>
      </c>
      <c r="M219" s="14" t="s">
        <v>9158</v>
      </c>
      <c r="N219" s="14" t="s">
        <v>9158</v>
      </c>
      <c r="O219" s="14" t="s">
        <v>9158</v>
      </c>
      <c r="P219" s="14" t="s">
        <v>9158</v>
      </c>
      <c r="Q219" s="14" t="s">
        <v>9158</v>
      </c>
    </row>
    <row r="220" spans="1:17">
      <c r="A220" s="14">
        <v>51773</v>
      </c>
      <c r="B220" s="14" t="s">
        <v>15</v>
      </c>
      <c r="C220" s="14" t="s">
        <v>205</v>
      </c>
      <c r="D220" s="19" t="s">
        <v>10588</v>
      </c>
      <c r="E220" s="15" t="str">
        <f>HYPERLINK("https://stat100.ameba.jp/tnk47/ratio20/illustrations/card/ill_51773_kawaasobikanekomisuzu03.jpg?202008-5-RELEASE-marathon-486xx", "■")</f>
        <v>■</v>
      </c>
      <c r="F220" s="14" t="s">
        <v>6747</v>
      </c>
      <c r="G220" s="14">
        <v>80028</v>
      </c>
      <c r="H220" s="14">
        <v>72586</v>
      </c>
      <c r="I220" s="14">
        <v>27</v>
      </c>
      <c r="J220" s="14" t="s">
        <v>10</v>
      </c>
      <c r="K220" s="14" t="s">
        <v>6746</v>
      </c>
      <c r="L220" s="14" t="s">
        <v>6745</v>
      </c>
      <c r="M220" s="14" t="s">
        <v>9158</v>
      </c>
      <c r="N220" s="14" t="s">
        <v>9158</v>
      </c>
      <c r="O220" s="14" t="s">
        <v>9158</v>
      </c>
      <c r="P220" s="14" t="s">
        <v>9158</v>
      </c>
      <c r="Q220" s="14" t="s">
        <v>9158</v>
      </c>
    </row>
    <row r="221" spans="1:17">
      <c r="A221" s="14">
        <v>51733</v>
      </c>
      <c r="B221" s="14" t="s">
        <v>15</v>
      </c>
      <c r="C221" s="14" t="s">
        <v>185</v>
      </c>
      <c r="D221" s="19" t="s">
        <v>10589</v>
      </c>
      <c r="E221" s="15" t="str">
        <f>HYPERLINK("https://stat100.ameba.jp/tnk47/ratio20/illustrations/card/ill_51733_ekusoshisutopoiyampe03.jpg?202008-5-RELEASE-marathon-486xx", "■")</f>
        <v>■</v>
      </c>
      <c r="F221" s="14" t="s">
        <v>6750</v>
      </c>
      <c r="G221" s="14">
        <v>72586</v>
      </c>
      <c r="H221" s="14">
        <v>80028</v>
      </c>
      <c r="I221" s="14">
        <v>27</v>
      </c>
      <c r="J221" s="14" t="s">
        <v>274</v>
      </c>
      <c r="K221" s="14" t="s">
        <v>6749</v>
      </c>
      <c r="L221" s="14" t="s">
        <v>6748</v>
      </c>
      <c r="M221" s="14" t="s">
        <v>9158</v>
      </c>
      <c r="N221" s="14" t="s">
        <v>9158</v>
      </c>
      <c r="O221" s="14" t="s">
        <v>9158</v>
      </c>
      <c r="P221" s="14" t="s">
        <v>9158</v>
      </c>
      <c r="Q221" s="14" t="s">
        <v>9158</v>
      </c>
    </row>
    <row r="222" spans="1:17">
      <c r="A222" s="14">
        <v>55743</v>
      </c>
      <c r="B222" s="14" t="s">
        <v>15</v>
      </c>
      <c r="C222" s="14" t="s">
        <v>96</v>
      </c>
      <c r="D222" s="19" t="s">
        <v>10590</v>
      </c>
      <c r="E222" s="15" t="str">
        <f>HYPERLINK("https://stat100.ameba.jp/tnk47/ratio20/illustrations/card/ill_55743_nankoume03.jpg?202008-5-RELEASE-marathon-486xx", "■")</f>
        <v>■</v>
      </c>
      <c r="F222" s="14" t="s">
        <v>4308</v>
      </c>
      <c r="G222" s="14">
        <v>72586</v>
      </c>
      <c r="H222" s="14">
        <v>80028</v>
      </c>
      <c r="I222" s="14">
        <v>27</v>
      </c>
      <c r="J222" s="14" t="s">
        <v>216</v>
      </c>
      <c r="K222" s="14" t="s">
        <v>4310</v>
      </c>
      <c r="L222" s="14" t="s">
        <v>4311</v>
      </c>
      <c r="M222" s="14" t="s">
        <v>9158</v>
      </c>
      <c r="N222" s="14" t="s">
        <v>9158</v>
      </c>
      <c r="O222" s="14" t="s">
        <v>9158</v>
      </c>
      <c r="P222" s="14" t="s">
        <v>9158</v>
      </c>
      <c r="Q222" s="14" t="s">
        <v>9158</v>
      </c>
    </row>
    <row r="224" spans="1:17">
      <c r="A224" s="14" t="s">
        <v>13653</v>
      </c>
    </row>
    <row r="225" spans="1:18">
      <c r="A225" s="14" t="s">
        <v>13652</v>
      </c>
    </row>
    <row r="226" spans="1:18">
      <c r="A226" s="14" t="s">
        <v>6195</v>
      </c>
      <c r="B226" s="14" t="s">
        <v>52</v>
      </c>
      <c r="C226" s="14" t="s">
        <v>191</v>
      </c>
      <c r="D226" s="19" t="s">
        <v>10217</v>
      </c>
      <c r="E226" s="15" t="str">
        <f>HYPERLINK("https://stat100.ameba.jp/tnk47/ratio20/illustrations/card/ill_56493_0_poppukurisumasuikomakitsuno03.jpg?202008-5-RELEASE-marathon-486xx", "■")</f>
        <v>■</v>
      </c>
      <c r="F226" s="14" t="s">
        <v>1769</v>
      </c>
      <c r="G226" s="14">
        <v>150776</v>
      </c>
      <c r="H226" s="14">
        <v>133938</v>
      </c>
      <c r="I226" s="14">
        <v>24</v>
      </c>
      <c r="J226" s="14" t="s">
        <v>77</v>
      </c>
      <c r="K226" s="14" t="s">
        <v>1770</v>
      </c>
      <c r="L226" s="14" t="s">
        <v>1771</v>
      </c>
      <c r="M226" s="14" t="s">
        <v>9158</v>
      </c>
      <c r="N226" s="14" t="s">
        <v>9158</v>
      </c>
      <c r="O226" s="19" t="s">
        <v>10120</v>
      </c>
      <c r="P226" s="14" t="s">
        <v>2724</v>
      </c>
      <c r="Q226" s="14">
        <v>1</v>
      </c>
    </row>
    <row r="227" spans="1:18">
      <c r="A227" s="14" t="s">
        <v>5778</v>
      </c>
      <c r="B227" s="14" t="s">
        <v>330</v>
      </c>
      <c r="C227" s="14" t="s">
        <v>205</v>
      </c>
      <c r="D227" s="19" t="s">
        <v>272</v>
      </c>
      <c r="E227" s="15" t="str">
        <f>HYPERLINK("https://stat100.ameba.jp/tnk47/ratio20/illustrations/card/ill_68783_0_gantammomotaro03.jpg?202008-5-RELEASE-marathon-486xx", "■")</f>
        <v>■</v>
      </c>
      <c r="F227" s="14" t="s">
        <v>273</v>
      </c>
      <c r="G227" s="14">
        <v>164144</v>
      </c>
      <c r="H227" s="14">
        <v>152594</v>
      </c>
      <c r="I227" s="14">
        <v>24</v>
      </c>
      <c r="J227" s="14" t="s">
        <v>274</v>
      </c>
      <c r="K227" s="14" t="s">
        <v>275</v>
      </c>
      <c r="L227" s="14" t="s">
        <v>276</v>
      </c>
      <c r="M227" s="14" t="s">
        <v>9158</v>
      </c>
      <c r="N227" s="14" t="s">
        <v>9158</v>
      </c>
      <c r="O227" s="19" t="s">
        <v>10099</v>
      </c>
      <c r="P227" s="14" t="s">
        <v>3085</v>
      </c>
      <c r="Q227" s="14">
        <v>1</v>
      </c>
    </row>
    <row r="228" spans="1:18">
      <c r="A228" s="14" t="s">
        <v>5616</v>
      </c>
      <c r="B228" s="14" t="s">
        <v>52</v>
      </c>
      <c r="C228" s="14" t="s">
        <v>14</v>
      </c>
      <c r="D228" s="19" t="s">
        <v>638</v>
      </c>
      <c r="E228" s="15" t="str">
        <f>HYPERLINK("https://stat100.ameba.jp/tnk47/ratio20/illustrations/card/ill_44253_0_dokuganryudatemasamune03.jpg?202008-5-RELEASE-marathon-486xx", "■")</f>
        <v>■</v>
      </c>
      <c r="F228" s="14" t="s">
        <v>1181</v>
      </c>
      <c r="G228" s="14">
        <v>131538</v>
      </c>
      <c r="H228" s="14">
        <v>140448</v>
      </c>
      <c r="I228" s="14">
        <v>24</v>
      </c>
      <c r="J228" s="14" t="s">
        <v>143</v>
      </c>
      <c r="K228" s="14" t="s">
        <v>1182</v>
      </c>
      <c r="L228" s="14" t="s">
        <v>1183</v>
      </c>
      <c r="M228" s="14" t="s">
        <v>9158</v>
      </c>
      <c r="N228" s="14" t="s">
        <v>9158</v>
      </c>
      <c r="O228" s="14" t="s">
        <v>9158</v>
      </c>
      <c r="P228" s="14" t="s">
        <v>9158</v>
      </c>
      <c r="Q228" s="14" t="s">
        <v>9158</v>
      </c>
    </row>
    <row r="229" spans="1:18">
      <c r="A229" s="14">
        <v>91263</v>
      </c>
      <c r="B229" s="14" t="s">
        <v>13568</v>
      </c>
      <c r="C229" s="14" t="s">
        <v>13582</v>
      </c>
      <c r="D229" s="14" t="s">
        <v>13613</v>
      </c>
      <c r="E229" s="15" t="str">
        <f>HYPERLINK("https://stat100.ameba.jp/tnk47/ratio20/illustrations/card/ill_91263_toriimototada03.jpg?202008-5-RELEASE-marathon-486xx", "■")</f>
        <v>■</v>
      </c>
      <c r="F229" s="14" t="s">
        <v>13614</v>
      </c>
      <c r="G229" s="14">
        <v>143714</v>
      </c>
      <c r="H229" s="14">
        <v>154562</v>
      </c>
      <c r="I229" s="7">
        <v>26</v>
      </c>
      <c r="J229" s="14" t="s">
        <v>13615</v>
      </c>
      <c r="K229" s="14" t="s">
        <v>13616</v>
      </c>
      <c r="L229" s="14" t="s">
        <v>13617</v>
      </c>
      <c r="M229" s="14" t="s">
        <v>9158</v>
      </c>
      <c r="N229" s="14" t="s">
        <v>9158</v>
      </c>
      <c r="O229" s="14" t="s">
        <v>9158</v>
      </c>
      <c r="P229" s="14" t="s">
        <v>9158</v>
      </c>
      <c r="Q229" s="14" t="s">
        <v>9158</v>
      </c>
    </row>
    <row r="230" spans="1:18">
      <c r="A230" s="14">
        <v>91273</v>
      </c>
      <c r="B230" s="14" t="s">
        <v>13573</v>
      </c>
      <c r="C230" s="14" t="s">
        <v>13619</v>
      </c>
      <c r="D230" s="14" t="s">
        <v>13618</v>
      </c>
      <c r="E230" s="15" t="str">
        <f>HYPERLINK("https://stat100.ameba.jp/tnk47/ratio20/illustrations/card/ill_91273_sendaisutendogurasu03.jpg?202008-5-RELEASE-marathon-486xx", "■")</f>
        <v>■</v>
      </c>
      <c r="F230" s="14" t="s">
        <v>13620</v>
      </c>
      <c r="G230" s="14">
        <v>77064</v>
      </c>
      <c r="H230" s="14">
        <v>69898</v>
      </c>
      <c r="I230" s="7">
        <v>26</v>
      </c>
      <c r="J230" s="14" t="s">
        <v>13578</v>
      </c>
      <c r="K230" s="14" t="s">
        <v>13621</v>
      </c>
      <c r="L230" s="14" t="s">
        <v>13580</v>
      </c>
      <c r="M230" s="14" t="s">
        <v>9158</v>
      </c>
      <c r="N230" s="14" t="s">
        <v>9158</v>
      </c>
      <c r="O230" s="14" t="s">
        <v>9158</v>
      </c>
      <c r="P230" s="14" t="s">
        <v>9158</v>
      </c>
      <c r="Q230" s="14" t="s">
        <v>9158</v>
      </c>
    </row>
    <row r="231" spans="1:18">
      <c r="A231" s="14">
        <v>91283</v>
      </c>
      <c r="B231" s="14" t="s">
        <v>13574</v>
      </c>
      <c r="C231" s="14" t="s">
        <v>13567</v>
      </c>
      <c r="D231" s="14" t="s">
        <v>13622</v>
      </c>
      <c r="E231" s="15" t="str">
        <f>HYPERLINK("https://stat100.ameba.jp/tnk47/ratio20/illustrations/card/ill_91283_amakusashirou03.jpg?202008-5-RELEASE-marathon-486xx", "■")</f>
        <v>■</v>
      </c>
      <c r="F231" s="14" t="s">
        <v>13623</v>
      </c>
      <c r="G231" s="14">
        <v>44948</v>
      </c>
      <c r="H231" s="14">
        <v>54058</v>
      </c>
      <c r="I231" s="7">
        <v>26</v>
      </c>
      <c r="J231" s="14" t="s">
        <v>13625</v>
      </c>
      <c r="K231" s="14" t="s">
        <v>13624</v>
      </c>
      <c r="L231" s="14" t="s">
        <v>13626</v>
      </c>
      <c r="M231" s="14" t="s">
        <v>9158</v>
      </c>
      <c r="N231" s="14" t="s">
        <v>9158</v>
      </c>
      <c r="O231" s="14" t="s">
        <v>9158</v>
      </c>
      <c r="P231" s="14" t="s">
        <v>9158</v>
      </c>
      <c r="Q231" s="14" t="s">
        <v>9158</v>
      </c>
    </row>
    <row r="232" spans="1:18">
      <c r="A232" s="14">
        <v>91293</v>
      </c>
      <c r="B232" s="14" t="s">
        <v>13574</v>
      </c>
      <c r="C232" s="14" t="s">
        <v>13628</v>
      </c>
      <c r="D232" s="14" t="s">
        <v>13627</v>
      </c>
      <c r="E232" s="15" t="str">
        <f>HYPERLINK("https://stat100.ameba.jp/tnk47/ratio20/illustrations/card/ill_91293_chiseihataigensessai03.jpg?202008-5-RELEASE-marathon-486xx", "■")</f>
        <v>■</v>
      </c>
      <c r="F232" s="14" t="s">
        <v>13629</v>
      </c>
      <c r="G232" s="14">
        <v>54058</v>
      </c>
      <c r="H232" s="14">
        <v>44948</v>
      </c>
      <c r="I232" s="7">
        <v>26</v>
      </c>
      <c r="J232" s="14" t="s">
        <v>13630</v>
      </c>
      <c r="K232" s="14" t="s">
        <v>13631</v>
      </c>
      <c r="L232" s="14" t="s">
        <v>13632</v>
      </c>
      <c r="M232" s="14" t="s">
        <v>9158</v>
      </c>
      <c r="N232" s="14" t="s">
        <v>9158</v>
      </c>
      <c r="O232" s="14" t="s">
        <v>9158</v>
      </c>
      <c r="P232" s="14" t="s">
        <v>9158</v>
      </c>
      <c r="Q232" s="14" t="s">
        <v>9158</v>
      </c>
    </row>
    <row r="234" spans="1:18">
      <c r="A234" s="7" t="s">
        <v>13327</v>
      </c>
      <c r="B234" s="7"/>
      <c r="C234" s="7"/>
      <c r="D234" s="7"/>
      <c r="E234" s="7"/>
      <c r="F234" s="7"/>
      <c r="G234" s="7"/>
      <c r="H234" s="7"/>
      <c r="I234" s="7"/>
      <c r="J234" s="7"/>
      <c r="K234" s="7"/>
      <c r="L234" s="7"/>
      <c r="M234" s="7"/>
      <c r="N234" s="7"/>
      <c r="O234" s="7"/>
      <c r="P234" s="7"/>
      <c r="Q234" s="7"/>
      <c r="R234" s="7"/>
    </row>
    <row r="235" spans="1:18">
      <c r="A235" s="7" t="s">
        <v>13655</v>
      </c>
      <c r="B235" s="7"/>
      <c r="C235" s="7"/>
      <c r="D235" s="7"/>
      <c r="E235" s="7"/>
      <c r="F235" s="7"/>
      <c r="G235" s="7"/>
      <c r="H235" s="7"/>
      <c r="I235" s="7"/>
      <c r="J235" s="7"/>
      <c r="K235" s="7"/>
      <c r="L235" s="7"/>
      <c r="M235" s="7"/>
      <c r="N235" s="7"/>
      <c r="O235" s="7"/>
      <c r="P235" s="7"/>
      <c r="Q235" s="7"/>
      <c r="R235" s="7"/>
    </row>
    <row r="236" spans="1:18">
      <c r="A236" s="14">
        <v>86063</v>
      </c>
      <c r="B236" s="14" t="s">
        <v>334</v>
      </c>
      <c r="C236" s="14" t="s">
        <v>14</v>
      </c>
      <c r="D236" s="19" t="s">
        <v>10818</v>
      </c>
      <c r="E236" s="15" t="str">
        <f>HYPERLINK("https://stat100.ameba.jp/tnk47/ratio20/illustrations/card/ill_86063_uotchimeika03.jpg?202008-5-RELEASE-marathon-486xx", "■")</f>
        <v>■</v>
      </c>
      <c r="F236" s="14" t="s">
        <v>8368</v>
      </c>
      <c r="G236" s="14">
        <v>123583</v>
      </c>
      <c r="H236" s="14">
        <v>132922</v>
      </c>
      <c r="I236" s="14">
        <v>27</v>
      </c>
      <c r="J236" s="14" t="s">
        <v>173</v>
      </c>
      <c r="K236" s="14" t="s">
        <v>8367</v>
      </c>
      <c r="L236" s="14" t="s">
        <v>8366</v>
      </c>
      <c r="M236" s="14" t="s">
        <v>13130</v>
      </c>
      <c r="N236" s="14" t="s">
        <v>343</v>
      </c>
      <c r="O236" s="14" t="s">
        <v>9158</v>
      </c>
      <c r="P236" s="14" t="s">
        <v>9158</v>
      </c>
      <c r="Q236" s="14" t="s">
        <v>9158</v>
      </c>
      <c r="R236" s="14" t="s">
        <v>14748</v>
      </c>
    </row>
    <row r="237" spans="1:18">
      <c r="A237" s="14">
        <v>86062</v>
      </c>
      <c r="B237" s="14" t="s">
        <v>334</v>
      </c>
      <c r="C237" s="14" t="s">
        <v>14</v>
      </c>
      <c r="D237" s="19" t="s">
        <v>10818</v>
      </c>
      <c r="E237" s="15" t="str">
        <f>HYPERLINK("https://stat100.ameba.jp/tnk47/ratio20/illustrations/card/ill_86062_uotchimeika02.jpg?202008-5-RELEASE-marathon-486xx", "■")</f>
        <v>■</v>
      </c>
      <c r="F237" s="14" t="s">
        <v>8368</v>
      </c>
      <c r="G237" s="14">
        <v>102356</v>
      </c>
      <c r="H237" s="14">
        <v>111115</v>
      </c>
      <c r="I237" s="14">
        <v>27</v>
      </c>
      <c r="J237" s="14" t="s">
        <v>173</v>
      </c>
      <c r="K237" s="14" t="s">
        <v>8367</v>
      </c>
      <c r="L237" s="14" t="s">
        <v>8366</v>
      </c>
      <c r="M237" s="14" t="s">
        <v>13131</v>
      </c>
      <c r="N237" s="14" t="s">
        <v>251</v>
      </c>
      <c r="O237" s="14" t="s">
        <v>9158</v>
      </c>
      <c r="P237" s="14" t="s">
        <v>9158</v>
      </c>
      <c r="Q237" s="14" t="s">
        <v>9158</v>
      </c>
      <c r="R237" s="14" t="s">
        <v>14748</v>
      </c>
    </row>
    <row r="238" spans="1:18">
      <c r="A238" s="14">
        <v>86061</v>
      </c>
      <c r="B238" s="14" t="s">
        <v>0</v>
      </c>
      <c r="C238" s="14" t="s">
        <v>14</v>
      </c>
      <c r="D238" s="19" t="s">
        <v>10818</v>
      </c>
      <c r="E238" s="15" t="str">
        <f>HYPERLINK("https://stat100.ameba.jp/tnk47/ratio20/illustrations/card/ill_86061_uotchimeika01.jpg?202008-5-RELEASE-marathon-486xx", "■")</f>
        <v>■</v>
      </c>
      <c r="F238" s="14" t="s">
        <v>8368</v>
      </c>
      <c r="G238" s="14">
        <v>78975</v>
      </c>
      <c r="H238" s="14">
        <v>84834</v>
      </c>
      <c r="I238" s="14">
        <v>27</v>
      </c>
      <c r="J238" s="14" t="s">
        <v>173</v>
      </c>
      <c r="K238" s="14" t="s">
        <v>8367</v>
      </c>
      <c r="L238" s="14" t="s">
        <v>8366</v>
      </c>
      <c r="M238" s="14" t="s">
        <v>13131</v>
      </c>
      <c r="N238" s="14" t="s">
        <v>251</v>
      </c>
      <c r="O238" s="14" t="s">
        <v>9158</v>
      </c>
      <c r="P238" s="14" t="s">
        <v>9158</v>
      </c>
      <c r="Q238" s="14" t="s">
        <v>9158</v>
      </c>
      <c r="R238" s="14" t="s">
        <v>14748</v>
      </c>
    </row>
    <row r="239" spans="1:18">
      <c r="A239" s="14">
        <v>86073</v>
      </c>
      <c r="B239" s="14" t="s">
        <v>334</v>
      </c>
      <c r="C239" s="14" t="s">
        <v>23</v>
      </c>
      <c r="D239" s="19" t="s">
        <v>10819</v>
      </c>
      <c r="E239" s="15" t="str">
        <f>HYPERLINK("https://stat100.ameba.jp/tnk47/ratio20/illustrations/card/ill_86073_maddohatta03.jpg?202008-5-RELEASE-marathon-486xx", "■")</f>
        <v>■</v>
      </c>
      <c r="F239" s="14" t="s">
        <v>8371</v>
      </c>
      <c r="G239" s="14">
        <v>123583</v>
      </c>
      <c r="H239" s="14">
        <v>132922</v>
      </c>
      <c r="I239" s="14">
        <v>27</v>
      </c>
      <c r="J239" s="14" t="s">
        <v>155</v>
      </c>
      <c r="K239" s="14" t="s">
        <v>8370</v>
      </c>
      <c r="L239" s="14" t="s">
        <v>8369</v>
      </c>
      <c r="M239" s="14" t="s">
        <v>13130</v>
      </c>
      <c r="N239" s="14" t="s">
        <v>343</v>
      </c>
      <c r="O239" s="14" t="s">
        <v>9158</v>
      </c>
      <c r="P239" s="14" t="s">
        <v>9158</v>
      </c>
      <c r="Q239" s="14" t="s">
        <v>9158</v>
      </c>
      <c r="R239" s="14" t="s">
        <v>14748</v>
      </c>
    </row>
    <row r="240" spans="1:18">
      <c r="A240" s="14">
        <v>86083</v>
      </c>
      <c r="B240" s="14" t="s">
        <v>334</v>
      </c>
      <c r="C240" s="14" t="s">
        <v>101</v>
      </c>
      <c r="D240" s="19" t="s">
        <v>10820</v>
      </c>
      <c r="E240" s="15" t="str">
        <f>HYPERLINK("https://stat100.ameba.jp/tnk47/ratio20/illustrations/card/ill_86083_keieinochojomeruro03.jpg?202008-5-RELEASE-marathon-486xx", "■")</f>
        <v>■</v>
      </c>
      <c r="F240" s="14" t="s">
        <v>8375</v>
      </c>
      <c r="G240" s="14">
        <v>132922</v>
      </c>
      <c r="H240" s="14">
        <v>123583</v>
      </c>
      <c r="I240" s="14">
        <v>27</v>
      </c>
      <c r="J240" s="14" t="s">
        <v>229</v>
      </c>
      <c r="K240" s="14" t="s">
        <v>8374</v>
      </c>
      <c r="L240" s="14" t="s">
        <v>8373</v>
      </c>
      <c r="M240" s="14" t="s">
        <v>13130</v>
      </c>
      <c r="N240" s="14" t="s">
        <v>343</v>
      </c>
      <c r="O240" s="14" t="s">
        <v>9158</v>
      </c>
      <c r="P240" s="14" t="s">
        <v>9158</v>
      </c>
      <c r="Q240" s="14" t="s">
        <v>9158</v>
      </c>
      <c r="R240" s="14" t="s">
        <v>14748</v>
      </c>
    </row>
    <row r="241" spans="1:18">
      <c r="A241" s="14">
        <v>86093</v>
      </c>
      <c r="B241" s="14" t="s">
        <v>0</v>
      </c>
      <c r="C241" s="14" t="s">
        <v>96</v>
      </c>
      <c r="D241" s="19" t="s">
        <v>10821</v>
      </c>
      <c r="E241" s="15" t="str">
        <f>HYPERLINK("https://stat100.ameba.jp/tnk47/ratio20/illustrations/card/ill_86093_minamotonoyoshimitsu03.jpg?202008-5-RELEASE-marathon-486xx", "■")</f>
        <v>■</v>
      </c>
      <c r="F241" s="14" t="s">
        <v>8379</v>
      </c>
      <c r="G241" s="14">
        <v>132922</v>
      </c>
      <c r="H241" s="14">
        <v>123583</v>
      </c>
      <c r="I241" s="14">
        <v>27</v>
      </c>
      <c r="J241" s="14" t="s">
        <v>194</v>
      </c>
      <c r="K241" s="14" t="s">
        <v>8377</v>
      </c>
      <c r="L241" s="14" t="s">
        <v>8376</v>
      </c>
      <c r="M241" s="14" t="s">
        <v>13130</v>
      </c>
      <c r="N241" s="14" t="s">
        <v>343</v>
      </c>
      <c r="O241" s="14" t="s">
        <v>9158</v>
      </c>
      <c r="P241" s="14" t="s">
        <v>9158</v>
      </c>
      <c r="Q241" s="14" t="s">
        <v>9158</v>
      </c>
      <c r="R241" s="14" t="s">
        <v>14748</v>
      </c>
    </row>
    <row r="242" spans="1:18">
      <c r="A242" s="14">
        <v>86103</v>
      </c>
      <c r="B242" s="14" t="s">
        <v>334</v>
      </c>
      <c r="C242" s="14" t="s">
        <v>205</v>
      </c>
      <c r="D242" s="19" t="s">
        <v>10822</v>
      </c>
      <c r="E242" s="15" t="str">
        <f>HYPERLINK("https://stat100.ameba.jp/tnk47/ratio20/illustrations/card/ill_86103_omatsudaimyojin03.jpg?202008-5-RELEASE-marathon-486xx", "■")</f>
        <v>■</v>
      </c>
      <c r="F242" s="14" t="s">
        <v>8383</v>
      </c>
      <c r="G242" s="14">
        <v>132922</v>
      </c>
      <c r="H242" s="14">
        <v>123583</v>
      </c>
      <c r="I242" s="14">
        <v>27</v>
      </c>
      <c r="J242" s="14" t="s">
        <v>169</v>
      </c>
      <c r="K242" s="14" t="s">
        <v>8381</v>
      </c>
      <c r="L242" s="14" t="s">
        <v>8380</v>
      </c>
      <c r="M242" s="14" t="s">
        <v>13130</v>
      </c>
      <c r="N242" s="14" t="s">
        <v>343</v>
      </c>
      <c r="O242" s="14" t="s">
        <v>9158</v>
      </c>
      <c r="P242" s="14" t="s">
        <v>9158</v>
      </c>
      <c r="Q242" s="14" t="s">
        <v>9158</v>
      </c>
      <c r="R242" s="14" t="s">
        <v>14748</v>
      </c>
    </row>
    <row r="243" spans="1:18">
      <c r="A243" s="14">
        <v>86113</v>
      </c>
      <c r="B243" s="14" t="s">
        <v>334</v>
      </c>
      <c r="C243" s="14" t="s">
        <v>107</v>
      </c>
      <c r="D243" s="19" t="s">
        <v>10823</v>
      </c>
      <c r="E243" s="15" t="str">
        <f>HYPERLINK("https://stat100.ameba.jp/tnk47/ratio20/illustrations/card/ill_86113_yuno03.jpg?202008-5-RELEASE-marathon-486xx", "■")</f>
        <v>■</v>
      </c>
      <c r="F243" s="14" t="s">
        <v>8387</v>
      </c>
      <c r="G243" s="14">
        <v>123583</v>
      </c>
      <c r="H243" s="14">
        <v>132922</v>
      </c>
      <c r="I243" s="14">
        <v>27</v>
      </c>
      <c r="J243" s="14" t="s">
        <v>159</v>
      </c>
      <c r="K243" s="14" t="s">
        <v>8385</v>
      </c>
      <c r="L243" s="14" t="s">
        <v>8384</v>
      </c>
      <c r="M243" s="14" t="s">
        <v>13130</v>
      </c>
      <c r="N243" s="14" t="s">
        <v>343</v>
      </c>
      <c r="O243" s="14" t="s">
        <v>9158</v>
      </c>
      <c r="P243" s="14" t="s">
        <v>9158</v>
      </c>
      <c r="Q243" s="14" t="s">
        <v>9158</v>
      </c>
      <c r="R243" s="14" t="s">
        <v>14748</v>
      </c>
    </row>
    <row r="245" spans="1:18">
      <c r="A245" s="14" t="s">
        <v>13477</v>
      </c>
    </row>
    <row r="246" spans="1:18">
      <c r="A246" s="14" t="s">
        <v>13478</v>
      </c>
    </row>
    <row r="247" spans="1:18">
      <c r="A247" s="14" t="s">
        <v>5642</v>
      </c>
      <c r="B247" s="14" t="s">
        <v>330</v>
      </c>
      <c r="C247" s="14" t="s">
        <v>185</v>
      </c>
      <c r="D247" s="20" t="s">
        <v>3086</v>
      </c>
      <c r="E247" s="15" t="str">
        <f>HYPERLINK("https://stat100.ameba.jp/tnk47/ratio20/illustrations/card/ill_69593_0_setsubunyukionna03.jpg?202008-5-RELEASE-marathon-486xx", "■")</f>
        <v>■</v>
      </c>
      <c r="F247" s="14" t="s">
        <v>3087</v>
      </c>
      <c r="G247" s="14">
        <v>178578</v>
      </c>
      <c r="H247" s="14">
        <v>192083</v>
      </c>
      <c r="I247" s="14">
        <v>25</v>
      </c>
      <c r="J247" s="14" t="s">
        <v>320</v>
      </c>
      <c r="K247" s="14" t="s">
        <v>3088</v>
      </c>
      <c r="L247" s="14" t="s">
        <v>3089</v>
      </c>
      <c r="M247" s="14" t="s">
        <v>9158</v>
      </c>
      <c r="N247" s="14" t="s">
        <v>9158</v>
      </c>
      <c r="O247" s="19" t="s">
        <v>3090</v>
      </c>
      <c r="P247" s="14" t="s">
        <v>3091</v>
      </c>
      <c r="Q247" s="14">
        <v>2</v>
      </c>
    </row>
    <row r="248" spans="1:18">
      <c r="A248" s="14">
        <v>80573</v>
      </c>
      <c r="B248" s="14" t="s">
        <v>334</v>
      </c>
      <c r="C248" s="14" t="s">
        <v>165</v>
      </c>
      <c r="D248" s="20" t="s">
        <v>10301</v>
      </c>
      <c r="E248" s="15" t="str">
        <f>HYPERLINK("https://stat100.ameba.jp/tnk47/ratio20/illustrations/card/ill_80573_ohanamigurampingusotorihime03.jpg?202008-5-RELEASE-marathon-486xx", "■")</f>
        <v>■</v>
      </c>
      <c r="F248" s="14" t="s">
        <v>4176</v>
      </c>
      <c r="G248" s="14">
        <v>118656</v>
      </c>
      <c r="H248" s="14">
        <v>110126</v>
      </c>
      <c r="I248" s="14">
        <v>26</v>
      </c>
      <c r="J248" s="14" t="s">
        <v>38</v>
      </c>
      <c r="K248" s="14" t="s">
        <v>4177</v>
      </c>
      <c r="L248" s="14" t="s">
        <v>4178</v>
      </c>
      <c r="M248" s="14" t="s">
        <v>9158</v>
      </c>
      <c r="N248" s="14" t="s">
        <v>9158</v>
      </c>
      <c r="O248" s="19" t="s">
        <v>10119</v>
      </c>
      <c r="P248" s="14" t="s">
        <v>3662</v>
      </c>
      <c r="Q248" s="14">
        <v>1</v>
      </c>
    </row>
    <row r="249" spans="1:18">
      <c r="A249" s="14">
        <v>82373</v>
      </c>
      <c r="B249" s="14" t="s">
        <v>334</v>
      </c>
      <c r="C249" s="14" t="s">
        <v>191</v>
      </c>
      <c r="D249" s="6" t="s">
        <v>10020</v>
      </c>
      <c r="E249" s="15" t="str">
        <f>HYPERLINK("https://stat100.ameba.jp/tnk47/ratio20/illustrations/card/ill_82373_bikinigaruyasharyujin03.jpg?202008-5-RELEASE-marathon-486xx", "■")</f>
        <v>■</v>
      </c>
      <c r="F249" s="14" t="s">
        <v>5397</v>
      </c>
      <c r="G249" s="14">
        <v>106050</v>
      </c>
      <c r="H249" s="14">
        <v>98594</v>
      </c>
      <c r="I249" s="14">
        <v>26</v>
      </c>
      <c r="J249" s="14" t="s">
        <v>44</v>
      </c>
      <c r="K249" s="14" t="s">
        <v>5398</v>
      </c>
      <c r="L249" s="14" t="s">
        <v>3356</v>
      </c>
      <c r="M249" s="14" t="s">
        <v>9158</v>
      </c>
      <c r="N249" s="14" t="s">
        <v>9158</v>
      </c>
      <c r="O249" s="6" t="s">
        <v>3578</v>
      </c>
      <c r="P249" s="14" t="s">
        <v>3579</v>
      </c>
      <c r="Q249" s="14">
        <v>1</v>
      </c>
    </row>
    <row r="250" spans="1:18">
      <c r="A250" s="14">
        <v>75333</v>
      </c>
      <c r="B250" s="14" t="s">
        <v>334</v>
      </c>
      <c r="C250" s="14" t="s">
        <v>200</v>
      </c>
      <c r="D250" s="19" t="s">
        <v>3206</v>
      </c>
      <c r="E250" s="15" t="str">
        <f>HYPERLINK("https://stat100.ameba.jp/tnk47/ratio20/illustrations/card/ill_75333_resukuintamamonomae03.jpg?202008-5-RELEASE-marathon-486xx", "■")</f>
        <v>■</v>
      </c>
      <c r="F250" s="14" t="s">
        <v>3207</v>
      </c>
      <c r="G250" s="14">
        <v>100744</v>
      </c>
      <c r="H250" s="14">
        <v>108330</v>
      </c>
      <c r="I250" s="14">
        <v>26</v>
      </c>
      <c r="J250" s="14" t="s">
        <v>320</v>
      </c>
      <c r="K250" s="14" t="s">
        <v>3208</v>
      </c>
      <c r="L250" s="14" t="s">
        <v>3209</v>
      </c>
      <c r="M250" s="14" t="s">
        <v>9158</v>
      </c>
      <c r="N250" s="14" t="s">
        <v>9158</v>
      </c>
      <c r="O250" s="19" t="s">
        <v>10074</v>
      </c>
      <c r="P250" s="14" t="s">
        <v>2822</v>
      </c>
      <c r="Q250" s="14">
        <v>1</v>
      </c>
    </row>
    <row r="252" spans="1:18">
      <c r="A252" s="14" t="s">
        <v>13479</v>
      </c>
    </row>
    <row r="253" spans="1:18">
      <c r="A253" s="14" t="s">
        <v>13480</v>
      </c>
    </row>
    <row r="254" spans="1:18">
      <c r="A254" s="14" t="s">
        <v>5733</v>
      </c>
      <c r="B254" s="14" t="s">
        <v>330</v>
      </c>
      <c r="C254" s="14" t="s">
        <v>202</v>
      </c>
      <c r="D254" s="19" t="s">
        <v>2744</v>
      </c>
      <c r="E254" s="15" t="str">
        <f>HYPERLINK("https://stat100.ameba.jp/tnk47/ratio20/illustrations/card/ill_78693_0_kyupittokoinomikoto03.jpg?202008-5-RELEASE-marathon-486xx", "■")</f>
        <v>■</v>
      </c>
      <c r="F254" s="14" t="s">
        <v>2745</v>
      </c>
      <c r="G254" s="14">
        <v>230556</v>
      </c>
      <c r="H254" s="14">
        <v>255104</v>
      </c>
      <c r="I254" s="14">
        <v>22</v>
      </c>
      <c r="J254" s="14" t="s">
        <v>274</v>
      </c>
      <c r="K254" s="14" t="s">
        <v>2746</v>
      </c>
      <c r="L254" s="14" t="s">
        <v>2747</v>
      </c>
      <c r="M254" s="14" t="s">
        <v>9158</v>
      </c>
      <c r="N254" s="14" t="s">
        <v>9158</v>
      </c>
      <c r="O254" s="19" t="s">
        <v>10097</v>
      </c>
      <c r="P254" s="14" t="s">
        <v>2748</v>
      </c>
      <c r="Q254" s="14">
        <v>1</v>
      </c>
    </row>
    <row r="255" spans="1:18">
      <c r="A255" s="14" t="s">
        <v>5624</v>
      </c>
      <c r="B255" s="14" t="s">
        <v>52</v>
      </c>
      <c r="C255" s="14" t="s">
        <v>101</v>
      </c>
      <c r="D255" s="19" t="s">
        <v>1426</v>
      </c>
      <c r="E255" s="15" t="str">
        <f>HYPERLINK("https://stat100.ameba.jp/tnk47/ratio20/illustrations/card/ill_64953_0_yukatatokugawayoshinobu03.jpg?202008-5-RELEASE-marathon-486xx", "■")</f>
        <v>■</v>
      </c>
      <c r="F255" s="14" t="s">
        <v>2090</v>
      </c>
      <c r="G255" s="14">
        <v>137060</v>
      </c>
      <c r="H255" s="14">
        <v>147404</v>
      </c>
      <c r="I255" s="14">
        <v>22</v>
      </c>
      <c r="J255" s="14" t="s">
        <v>10</v>
      </c>
      <c r="K255" s="14" t="s">
        <v>2091</v>
      </c>
      <c r="L255" s="14" t="s">
        <v>2092</v>
      </c>
      <c r="M255" s="14" t="s">
        <v>9158</v>
      </c>
      <c r="N255" s="14" t="s">
        <v>9158</v>
      </c>
      <c r="O255" s="19" t="s">
        <v>2889</v>
      </c>
      <c r="P255" s="14" t="s">
        <v>2890</v>
      </c>
      <c r="Q255" s="14">
        <v>1</v>
      </c>
    </row>
    <row r="256" spans="1:18">
      <c r="A256" s="9" t="s">
        <v>5612</v>
      </c>
      <c r="B256" s="14" t="s">
        <v>330</v>
      </c>
      <c r="C256" s="14" t="s">
        <v>165</v>
      </c>
      <c r="D256" s="14" t="s">
        <v>789</v>
      </c>
      <c r="E256" s="15" t="str">
        <f>HYPERLINK("https://stat100.ameba.jp/tnk47/ratio20/illustrations/card/ill_49193_0_onmyoudouabenoseimei03.jpg?202008-5-RELEASE-marathon-486xx", "■")</f>
        <v>■</v>
      </c>
      <c r="F256" s="14" t="s">
        <v>790</v>
      </c>
      <c r="G256" s="14">
        <v>122776</v>
      </c>
      <c r="H256" s="14">
        <v>138212</v>
      </c>
      <c r="I256" s="14">
        <v>22</v>
      </c>
      <c r="J256" s="14" t="s">
        <v>351</v>
      </c>
      <c r="K256" s="14" t="s">
        <v>791</v>
      </c>
      <c r="L256" s="14" t="s">
        <v>792</v>
      </c>
      <c r="M256" s="14" t="s">
        <v>9158</v>
      </c>
      <c r="N256" s="14" t="s">
        <v>9158</v>
      </c>
      <c r="O256" s="14" t="s">
        <v>9158</v>
      </c>
      <c r="P256" s="14" t="s">
        <v>9158</v>
      </c>
      <c r="Q256" s="14" t="s">
        <v>9158</v>
      </c>
    </row>
    <row r="257" spans="1:17">
      <c r="A257" s="14">
        <v>84523</v>
      </c>
      <c r="B257" s="14" t="s">
        <v>0</v>
      </c>
      <c r="C257" s="14" t="s">
        <v>165</v>
      </c>
      <c r="D257" s="19" t="s">
        <v>10720</v>
      </c>
      <c r="E257" s="15" t="str">
        <f>HYPERLINK("https://stat100.ameba.jp/tnk47/ratio20/illustrations/card/ill_84523_haroinhoihoibi03.jpg?202008-5-RELEASE-marathon-486xx", "■")</f>
        <v>■</v>
      </c>
      <c r="F257" s="14" t="s">
        <v>7580</v>
      </c>
      <c r="G257" s="14">
        <v>111523</v>
      </c>
      <c r="H257" s="14">
        <v>198226</v>
      </c>
      <c r="I257" s="14">
        <v>27</v>
      </c>
      <c r="J257" s="14" t="s">
        <v>320</v>
      </c>
      <c r="K257" s="14" t="s">
        <v>7579</v>
      </c>
      <c r="L257" s="14" t="s">
        <v>7578</v>
      </c>
      <c r="M257" s="14" t="s">
        <v>9158</v>
      </c>
      <c r="N257" s="14" t="s">
        <v>9158</v>
      </c>
      <c r="O257" s="14" t="s">
        <v>9158</v>
      </c>
      <c r="P257" s="14" t="s">
        <v>9158</v>
      </c>
      <c r="Q257" s="14" t="s">
        <v>9158</v>
      </c>
    </row>
    <row r="258" spans="1:17">
      <c r="A258" s="14">
        <v>83273</v>
      </c>
      <c r="B258" s="14" t="s">
        <v>334</v>
      </c>
      <c r="C258" s="14" t="s">
        <v>14</v>
      </c>
      <c r="D258" s="19" t="s">
        <v>10522</v>
      </c>
      <c r="E258" s="15" t="str">
        <f>HYPERLINK("https://stat100.ameba.jp/tnk47/ratio20/illustrations/card/ill_83273_suikawariebinarin03.jpg?202008-5-RELEASE-marathon-486xx", "■")</f>
        <v>■</v>
      </c>
      <c r="F258" s="14" t="s">
        <v>6443</v>
      </c>
      <c r="G258" s="14">
        <v>76091</v>
      </c>
      <c r="H258" s="14">
        <v>135229</v>
      </c>
      <c r="I258" s="14">
        <v>27</v>
      </c>
      <c r="J258" s="14" t="s">
        <v>16</v>
      </c>
      <c r="K258" s="14" t="s">
        <v>6441</v>
      </c>
      <c r="L258" s="14" t="s">
        <v>124</v>
      </c>
      <c r="M258" s="14" t="s">
        <v>9158</v>
      </c>
      <c r="N258" s="14" t="s">
        <v>9158</v>
      </c>
      <c r="O258" s="14" t="s">
        <v>9158</v>
      </c>
      <c r="P258" s="14" t="s">
        <v>9158</v>
      </c>
      <c r="Q258" s="14" t="s">
        <v>9158</v>
      </c>
    </row>
    <row r="259" spans="1:17">
      <c r="A259" s="9">
        <v>74773</v>
      </c>
      <c r="B259" s="14" t="s">
        <v>334</v>
      </c>
      <c r="C259" s="14" t="s">
        <v>200</v>
      </c>
      <c r="D259" s="14" t="s">
        <v>2735</v>
      </c>
      <c r="E259" s="15" t="str">
        <f>HYPERLINK("https://stat100.ameba.jp/tnk47/ratio20/illustrations/card/ill_74773_natsumatsurinasunoyoichi03.jpg?202008-5-RELEASE-marathon-486xx", "■")</f>
        <v>■</v>
      </c>
      <c r="F259" s="14" t="s">
        <v>2736</v>
      </c>
      <c r="G259" s="14">
        <v>149240</v>
      </c>
      <c r="H259" s="14">
        <v>160507</v>
      </c>
      <c r="I259" s="14">
        <v>27</v>
      </c>
      <c r="J259" s="14" t="s">
        <v>310</v>
      </c>
      <c r="K259" s="14" t="s">
        <v>2737</v>
      </c>
      <c r="L259" s="14" t="s">
        <v>407</v>
      </c>
      <c r="M259" s="14" t="s">
        <v>9158</v>
      </c>
      <c r="N259" s="14" t="s">
        <v>9158</v>
      </c>
      <c r="O259" s="14" t="s">
        <v>9158</v>
      </c>
      <c r="P259" s="14" t="s">
        <v>9158</v>
      </c>
      <c r="Q259" s="14" t="s">
        <v>9158</v>
      </c>
    </row>
    <row r="261" spans="1:17">
      <c r="A261" s="14" t="s">
        <v>13485</v>
      </c>
    </row>
    <row r="262" spans="1:17">
      <c r="A262" s="14" t="s">
        <v>13487</v>
      </c>
    </row>
    <row r="263" spans="1:17">
      <c r="A263" s="14" t="s">
        <v>13486</v>
      </c>
    </row>
    <row r="264" spans="1:17">
      <c r="A264" s="14" t="s">
        <v>13435</v>
      </c>
      <c r="B264" s="7" t="s">
        <v>52</v>
      </c>
      <c r="C264" s="14" t="s">
        <v>202</v>
      </c>
      <c r="D264" s="18" t="s">
        <v>13434</v>
      </c>
      <c r="E264" s="15" t="str">
        <f>HYPERLINK("https://stat100.ameba.jp/tnk47/ratio20/illustrations/card/ill_91073_0_mizugiaidorusarukanigassen03.jpg?202008-5-RELEASE-marathon-486xxx", "■")</f>
        <v>■</v>
      </c>
      <c r="F264" s="14" t="s">
        <v>13436</v>
      </c>
      <c r="G264" s="14">
        <v>312433</v>
      </c>
      <c r="H264" s="14">
        <v>282374</v>
      </c>
      <c r="I264" s="7">
        <v>27</v>
      </c>
      <c r="J264" s="14" t="s">
        <v>38</v>
      </c>
      <c r="K264" s="14" t="s">
        <v>13437</v>
      </c>
      <c r="L264" s="14" t="s">
        <v>13438</v>
      </c>
      <c r="M264" s="14" t="s">
        <v>9158</v>
      </c>
      <c r="N264" s="14" t="s">
        <v>9158</v>
      </c>
      <c r="O264" s="6" t="s">
        <v>13439</v>
      </c>
      <c r="P264" s="7" t="s">
        <v>13440</v>
      </c>
      <c r="Q264" s="7">
        <v>1</v>
      </c>
    </row>
    <row r="265" spans="1:17">
      <c r="A265" s="14">
        <v>91313</v>
      </c>
      <c r="B265" s="14" t="s">
        <v>334</v>
      </c>
      <c r="C265" s="14" t="s">
        <v>13493</v>
      </c>
      <c r="D265" s="14" t="s">
        <v>13488</v>
      </c>
      <c r="E265" s="15" t="str">
        <f>HYPERLINK("https://stat100.ameba.jp/tnk47/ratio20/illustrations/card/ill_91313_miruhie03.jpg?202008-5-RELEASE-marathon-486xxx", "■")</f>
        <v>■</v>
      </c>
      <c r="F265" s="14" t="s">
        <v>13492</v>
      </c>
      <c r="G265" s="14">
        <v>105465</v>
      </c>
      <c r="H265" s="14">
        <v>98019</v>
      </c>
      <c r="I265" s="7">
        <v>27</v>
      </c>
      <c r="J265" s="14" t="s">
        <v>13489</v>
      </c>
      <c r="K265" s="14" t="s">
        <v>13490</v>
      </c>
      <c r="L265" s="14" t="s">
        <v>13491</v>
      </c>
      <c r="M265" s="14" t="s">
        <v>9158</v>
      </c>
      <c r="N265" s="14" t="s">
        <v>9158</v>
      </c>
      <c r="O265" s="14" t="s">
        <v>9158</v>
      </c>
      <c r="P265" s="14" t="s">
        <v>9158</v>
      </c>
      <c r="Q265" s="14" t="s">
        <v>9158</v>
      </c>
    </row>
    <row r="266" spans="1:17">
      <c r="A266" s="14">
        <v>91323</v>
      </c>
      <c r="B266" s="14" t="s">
        <v>334</v>
      </c>
      <c r="C266" s="14" t="s">
        <v>13495</v>
      </c>
      <c r="D266" s="14" t="s">
        <v>13494</v>
      </c>
      <c r="E266" s="15" t="str">
        <f>HYPERLINK("https://stat100.ameba.jp/tnk47/ratio20/illustrations/card/ill_91323_nagahime03.jpg?202008-5-RELEASE-marathon-486xxx", "■")</f>
        <v>■</v>
      </c>
      <c r="F266" s="14" t="s">
        <v>13496</v>
      </c>
      <c r="G266" s="14">
        <v>98019</v>
      </c>
      <c r="H266" s="14">
        <v>105465</v>
      </c>
      <c r="I266" s="7">
        <v>27</v>
      </c>
      <c r="J266" s="14" t="s">
        <v>13489</v>
      </c>
      <c r="K266" s="14" t="s">
        <v>13497</v>
      </c>
      <c r="L266" s="14" t="s">
        <v>13498</v>
      </c>
      <c r="M266" s="14" t="s">
        <v>9158</v>
      </c>
      <c r="N266" s="14" t="s">
        <v>9158</v>
      </c>
      <c r="O266" s="14" t="s">
        <v>9158</v>
      </c>
      <c r="P266" s="14" t="s">
        <v>9158</v>
      </c>
      <c r="Q266" s="14" t="s">
        <v>9158</v>
      </c>
    </row>
    <row r="267" spans="1:17">
      <c r="A267" s="14">
        <v>91333</v>
      </c>
      <c r="B267" s="14" t="s">
        <v>13499</v>
      </c>
      <c r="C267" s="14" t="s">
        <v>13503</v>
      </c>
      <c r="D267" s="14" t="s">
        <v>13501</v>
      </c>
      <c r="E267" s="15" t="str">
        <f>HYPERLINK("https://stat100.ameba.jp/tnk47/ratio20/illustrations/card/ill_91333_minazukikombara03.jpg?202008-5-RELEASE-marathon-486xxx", "■")</f>
        <v>■</v>
      </c>
      <c r="F267" s="14" t="s">
        <v>13502</v>
      </c>
      <c r="G267" s="14">
        <v>80028</v>
      </c>
      <c r="H267" s="14">
        <v>72586</v>
      </c>
      <c r="I267" s="7">
        <v>27</v>
      </c>
      <c r="J267" s="14" t="s">
        <v>13504</v>
      </c>
      <c r="K267" s="14" t="s">
        <v>13505</v>
      </c>
      <c r="L267" s="14" t="s">
        <v>13506</v>
      </c>
      <c r="M267" s="14" t="s">
        <v>9158</v>
      </c>
      <c r="N267" s="14" t="s">
        <v>9158</v>
      </c>
      <c r="O267" s="14" t="s">
        <v>9158</v>
      </c>
      <c r="P267" s="14" t="s">
        <v>9158</v>
      </c>
      <c r="Q267" s="14" t="s">
        <v>9158</v>
      </c>
    </row>
    <row r="268" spans="1:17">
      <c r="A268" s="14">
        <v>91343</v>
      </c>
      <c r="B268" s="14" t="s">
        <v>13500</v>
      </c>
      <c r="C268" s="14" t="s">
        <v>13508</v>
      </c>
      <c r="D268" s="14" t="s">
        <v>13507</v>
      </c>
      <c r="E268" s="15" t="str">
        <f>HYPERLINK("https://stat100.ameba.jp/tnk47/ratio20/illustrations/card/ill_91343_gokuhimesentoin03.jpg?202008-5-RELEASE-marathon-486xxx", "■")</f>
        <v>■</v>
      </c>
      <c r="F268" s="14" t="s">
        <v>13509</v>
      </c>
      <c r="G268" s="14">
        <v>46676</v>
      </c>
      <c r="H268" s="14">
        <v>56138</v>
      </c>
      <c r="I268" s="7">
        <v>27</v>
      </c>
      <c r="J268" s="14" t="s">
        <v>13489</v>
      </c>
      <c r="K268" s="14" t="s">
        <v>13510</v>
      </c>
      <c r="L268" s="14" t="s">
        <v>13511</v>
      </c>
      <c r="M268" s="14" t="s">
        <v>9158</v>
      </c>
      <c r="N268" s="14" t="s">
        <v>9158</v>
      </c>
      <c r="O268" s="14" t="s">
        <v>9158</v>
      </c>
      <c r="P268" s="14" t="s">
        <v>9158</v>
      </c>
      <c r="Q268" s="14" t="s">
        <v>9158</v>
      </c>
    </row>
    <row r="269" spans="1:17">
      <c r="A269" s="14">
        <v>91353</v>
      </c>
      <c r="B269" s="14" t="s">
        <v>13500</v>
      </c>
      <c r="C269" s="14" t="s">
        <v>13513</v>
      </c>
      <c r="D269" s="14" t="s">
        <v>13512</v>
      </c>
      <c r="E269" s="15" t="str">
        <f>HYPERLINK("https://stat100.ameba.jp/tnk47/ratio20/illustrations/card/ill_91353_bijinsotorihime03.jpg?202008-5-RELEASE-marathon-486xxx", "■")</f>
        <v>■</v>
      </c>
      <c r="F269" s="14" t="s">
        <v>13514</v>
      </c>
      <c r="G269" s="14">
        <v>56138</v>
      </c>
      <c r="H269" s="14">
        <v>46676</v>
      </c>
      <c r="I269" s="7">
        <v>27</v>
      </c>
      <c r="J269" s="14" t="s">
        <v>13515</v>
      </c>
      <c r="K269" s="14" t="s">
        <v>13516</v>
      </c>
      <c r="L269" s="14" t="s">
        <v>13517</v>
      </c>
      <c r="M269" s="14" t="s">
        <v>9158</v>
      </c>
      <c r="N269" s="14" t="s">
        <v>9158</v>
      </c>
      <c r="O269" s="14" t="s">
        <v>9158</v>
      </c>
      <c r="P269" s="14" t="s">
        <v>9158</v>
      </c>
      <c r="Q269" s="14" t="s">
        <v>9158</v>
      </c>
    </row>
    <row r="271" spans="1:17">
      <c r="A271" s="14" t="s">
        <v>13518</v>
      </c>
    </row>
    <row r="272" spans="1:17">
      <c r="A272" s="14" t="s">
        <v>13519</v>
      </c>
    </row>
    <row r="273" spans="1:19">
      <c r="A273" s="14" t="s">
        <v>5963</v>
      </c>
      <c r="B273" s="14" t="s">
        <v>330</v>
      </c>
      <c r="C273" s="14" t="s">
        <v>35</v>
      </c>
      <c r="D273" s="19" t="s">
        <v>10438</v>
      </c>
      <c r="E273" s="15" t="str">
        <f>HYPERLINK("https://stat100.ameba.jp/tnk47/ratio20/illustrations/card/ill_82963_0_yukatamatsuritomokazuki03.jpg?202008-5-RELEASE-marathon-486xxx", "■")</f>
        <v>■</v>
      </c>
      <c r="F273" s="14" t="s">
        <v>5964</v>
      </c>
      <c r="G273" s="14">
        <v>297801</v>
      </c>
      <c r="H273" s="14">
        <v>329511</v>
      </c>
      <c r="I273" s="14">
        <v>25</v>
      </c>
      <c r="J273" s="14" t="s">
        <v>73</v>
      </c>
      <c r="K273" s="14" t="s">
        <v>5966</v>
      </c>
      <c r="L273" s="14" t="s">
        <v>5967</v>
      </c>
      <c r="M273" s="14" t="s">
        <v>9158</v>
      </c>
      <c r="N273" s="14" t="s">
        <v>9158</v>
      </c>
      <c r="O273" s="19" t="s">
        <v>10115</v>
      </c>
      <c r="P273" s="14" t="s">
        <v>5968</v>
      </c>
      <c r="Q273" s="14">
        <v>1</v>
      </c>
    </row>
    <row r="274" spans="1:19">
      <c r="A274" s="14">
        <v>77663</v>
      </c>
      <c r="B274" s="14" t="s">
        <v>334</v>
      </c>
      <c r="C274" s="14" t="s">
        <v>202</v>
      </c>
      <c r="D274" s="19" t="s">
        <v>10614</v>
      </c>
      <c r="E274" s="15" t="str">
        <f>HYPERLINK("https://stat100.ameba.jp/tnk47/ratio20/illustrations/card/ill_77663_deipuburu03.jpg?202008-5-RELEASE-marathon-486xxx", "■")</f>
        <v>■</v>
      </c>
      <c r="F274" s="14" t="s">
        <v>1573</v>
      </c>
      <c r="G274" s="14">
        <v>78916</v>
      </c>
      <c r="H274" s="14">
        <v>108924</v>
      </c>
      <c r="I274" s="14">
        <v>24</v>
      </c>
      <c r="J274" s="14" t="s">
        <v>414</v>
      </c>
      <c r="K274" s="14" t="s">
        <v>1574</v>
      </c>
      <c r="L274" s="14" t="s">
        <v>1575</v>
      </c>
      <c r="M274" s="14" t="s">
        <v>9158</v>
      </c>
      <c r="N274" s="14" t="s">
        <v>9158</v>
      </c>
      <c r="O274" s="19" t="s">
        <v>10117</v>
      </c>
      <c r="P274" s="14" t="s">
        <v>3625</v>
      </c>
      <c r="Q274" s="14">
        <v>1</v>
      </c>
    </row>
    <row r="275" spans="1:19">
      <c r="A275" s="14">
        <v>83393</v>
      </c>
      <c r="B275" s="14" t="s">
        <v>334</v>
      </c>
      <c r="C275" s="14" t="s">
        <v>209</v>
      </c>
      <c r="D275" s="20" t="s">
        <v>10381</v>
      </c>
      <c r="E275" s="15" t="str">
        <f>HYPERLINK("https://stat100.ameba.jp/tnk47/ratio20/illustrations/card/ill_83393_rito03.jpg?202008-5-RELEASE-marathon-486xxx", "■")</f>
        <v>■</v>
      </c>
      <c r="F275" s="14" t="s">
        <v>5735</v>
      </c>
      <c r="G275" s="14">
        <v>122476</v>
      </c>
      <c r="H275" s="14">
        <v>88706</v>
      </c>
      <c r="I275" s="14">
        <v>24</v>
      </c>
      <c r="J275" s="14" t="s">
        <v>38</v>
      </c>
      <c r="K275" s="14" t="s">
        <v>5738</v>
      </c>
      <c r="L275" s="14" t="s">
        <v>5400</v>
      </c>
      <c r="M275" s="14" t="s">
        <v>9158</v>
      </c>
      <c r="N275" s="14" t="s">
        <v>9158</v>
      </c>
      <c r="O275" s="19" t="s">
        <v>10098</v>
      </c>
      <c r="P275" s="14" t="s">
        <v>3491</v>
      </c>
      <c r="Q275" s="14">
        <v>1</v>
      </c>
    </row>
    <row r="276" spans="1:19">
      <c r="A276" s="14">
        <v>77673</v>
      </c>
      <c r="B276" s="14" t="s">
        <v>334</v>
      </c>
      <c r="C276" s="14" t="s">
        <v>158</v>
      </c>
      <c r="D276" s="20" t="s">
        <v>10270</v>
      </c>
      <c r="E276" s="15" t="str">
        <f>HYPERLINK("https://stat100.ameba.jp/tnk47/ratio20/illustrations/card/ill_77673_ryunochoji03.jpg?202008-5-RELEASE-marathon-486xxx", "■")</f>
        <v>■</v>
      </c>
      <c r="F276" s="14" t="s">
        <v>1777</v>
      </c>
      <c r="G276" s="14">
        <v>111914</v>
      </c>
      <c r="H276" s="14">
        <v>81078</v>
      </c>
      <c r="I276" s="14">
        <v>24</v>
      </c>
      <c r="J276" s="14" t="s">
        <v>73</v>
      </c>
      <c r="K276" s="14" t="s">
        <v>1778</v>
      </c>
      <c r="L276" s="14" t="s">
        <v>1779</v>
      </c>
      <c r="M276" s="14" t="s">
        <v>9158</v>
      </c>
      <c r="N276" s="14" t="s">
        <v>9158</v>
      </c>
      <c r="O276" s="19" t="s">
        <v>10090</v>
      </c>
      <c r="P276" s="14" t="s">
        <v>3460</v>
      </c>
      <c r="Q276" s="14">
        <v>1</v>
      </c>
    </row>
    <row r="278" spans="1:19">
      <c r="A278" s="14" t="s">
        <v>13520</v>
      </c>
    </row>
    <row r="279" spans="1:19">
      <c r="A279" s="14" t="s">
        <v>13521</v>
      </c>
    </row>
    <row r="280" spans="1:19">
      <c r="A280" s="14">
        <v>91185</v>
      </c>
      <c r="B280" s="14" t="s">
        <v>334</v>
      </c>
      <c r="C280" s="14" t="s">
        <v>35</v>
      </c>
      <c r="D280" s="14" t="s">
        <v>13522</v>
      </c>
      <c r="E280" s="15" t="str">
        <f>HYPERLINK("https://stat100.ameba.jp/tnk47/ratio20/illustrations/card/ill_91185_buaruneru05.jpg?202008-5-RELEASE-marathon-486xxx", "■")</f>
        <v>■</v>
      </c>
      <c r="F280" s="14" t="s">
        <v>13523</v>
      </c>
      <c r="G280" s="14">
        <v>139899</v>
      </c>
      <c r="H280" s="14">
        <v>193214</v>
      </c>
      <c r="I280" s="14">
        <v>27</v>
      </c>
      <c r="J280" s="14" t="s">
        <v>13524</v>
      </c>
      <c r="K280" s="14" t="s">
        <v>13525</v>
      </c>
      <c r="L280" s="14" t="s">
        <v>13526</v>
      </c>
      <c r="M280" s="14" t="s">
        <v>9158</v>
      </c>
      <c r="N280" s="14" t="s">
        <v>9158</v>
      </c>
      <c r="O280" s="14" t="s">
        <v>9158</v>
      </c>
      <c r="P280" s="14" t="s">
        <v>9158</v>
      </c>
      <c r="Q280" s="14" t="s">
        <v>9158</v>
      </c>
      <c r="R280" s="14" t="s">
        <v>174</v>
      </c>
    </row>
    <row r="281" spans="1:19">
      <c r="A281" s="14">
        <v>91183</v>
      </c>
      <c r="B281" s="14" t="s">
        <v>15</v>
      </c>
      <c r="C281" s="14" t="s">
        <v>13428</v>
      </c>
      <c r="D281" s="14" t="s">
        <v>13522</v>
      </c>
      <c r="E281" s="15" t="str">
        <f>HYPERLINK("https://stat100.ameba.jp/tnk47/ratio20/illustrations/card/ill_91183_buaruneru03.jpg?202008-5-RELEASE-marathon-486xxx", "■")</f>
        <v>■</v>
      </c>
      <c r="F281" s="14" t="s">
        <v>13523</v>
      </c>
      <c r="G281" s="14">
        <v>103074</v>
      </c>
      <c r="H281" s="14">
        <v>142358</v>
      </c>
      <c r="I281" s="14">
        <v>27</v>
      </c>
      <c r="J281" s="14" t="s">
        <v>13524</v>
      </c>
      <c r="K281" s="14" t="s">
        <v>13525</v>
      </c>
      <c r="L281" s="14" t="s">
        <v>13527</v>
      </c>
      <c r="M281" s="14" t="s">
        <v>9158</v>
      </c>
      <c r="N281" s="14" t="s">
        <v>9158</v>
      </c>
      <c r="O281" s="14" t="s">
        <v>9158</v>
      </c>
      <c r="P281" s="14" t="s">
        <v>9158</v>
      </c>
      <c r="Q281" s="14" t="s">
        <v>9158</v>
      </c>
      <c r="R281" s="14" t="s">
        <v>175</v>
      </c>
    </row>
    <row r="282" spans="1:19">
      <c r="A282" s="14">
        <v>91181</v>
      </c>
      <c r="B282" s="14" t="s">
        <v>15</v>
      </c>
      <c r="C282" s="14" t="s">
        <v>13428</v>
      </c>
      <c r="D282" s="14" t="s">
        <v>13522</v>
      </c>
      <c r="E282" s="15" t="str">
        <f>HYPERLINK("https://stat100.ameba.jp/tnk47/ratio20/illustrations/card/ill_91181_buaruneru01.jpg?202008-5-RELEASE-marathon-486xxx", "■")</f>
        <v>■</v>
      </c>
      <c r="F282" s="14" t="s">
        <v>13523</v>
      </c>
      <c r="G282" s="14">
        <v>65583</v>
      </c>
      <c r="H282" s="14">
        <v>90558</v>
      </c>
      <c r="I282" s="14">
        <v>27</v>
      </c>
      <c r="J282" s="14" t="s">
        <v>13524</v>
      </c>
      <c r="K282" s="14" t="s">
        <v>13525</v>
      </c>
      <c r="L282" s="14" t="s">
        <v>13528</v>
      </c>
      <c r="M282" s="14" t="s">
        <v>9158</v>
      </c>
      <c r="N282" s="14" t="s">
        <v>9158</v>
      </c>
      <c r="O282" s="14" t="s">
        <v>9158</v>
      </c>
      <c r="P282" s="14" t="s">
        <v>9158</v>
      </c>
      <c r="Q282" s="14" t="s">
        <v>9158</v>
      </c>
      <c r="R282" s="14" t="s">
        <v>176</v>
      </c>
    </row>
    <row r="284" spans="1:19">
      <c r="A284" s="14" t="s">
        <v>13530</v>
      </c>
    </row>
    <row r="285" spans="1:19">
      <c r="A285" s="14" t="s">
        <v>13529</v>
      </c>
    </row>
    <row r="286" spans="1:19">
      <c r="A286" s="14">
        <v>74423</v>
      </c>
      <c r="B286" s="14" t="s">
        <v>334</v>
      </c>
      <c r="C286" s="14" t="s">
        <v>13531</v>
      </c>
      <c r="D286" s="14" t="s">
        <v>11800</v>
      </c>
      <c r="E286" s="15" t="str">
        <f>HYPERLINK("https://stat100.ameba.jp/tnk47/ratio20/illustrations/card/ill_74423_kainanhoshi03.jpg?202008-5-RELEASE-marathon-486xxx", "■")</f>
        <v>■</v>
      </c>
      <c r="F286" s="14" t="s">
        <v>13532</v>
      </c>
      <c r="G286" s="14">
        <v>108330</v>
      </c>
      <c r="H286" s="14">
        <v>100744</v>
      </c>
      <c r="I286" s="14">
        <v>26</v>
      </c>
      <c r="J286" s="14" t="s">
        <v>13533</v>
      </c>
      <c r="K286" s="14" t="s">
        <v>13534</v>
      </c>
      <c r="L286" s="14" t="s">
        <v>13535</v>
      </c>
      <c r="M286" s="14" t="s">
        <v>9158</v>
      </c>
      <c r="N286" s="14" t="s">
        <v>9158</v>
      </c>
      <c r="O286" s="14" t="s">
        <v>9158</v>
      </c>
      <c r="P286" s="14" t="s">
        <v>9158</v>
      </c>
      <c r="Q286" s="14" t="s">
        <v>9158</v>
      </c>
      <c r="S286" s="14" t="s">
        <v>13760</v>
      </c>
    </row>
    <row r="287" spans="1:19">
      <c r="A287" s="9">
        <v>65853</v>
      </c>
      <c r="B287" s="14" t="s">
        <v>334</v>
      </c>
      <c r="C287" s="14" t="s">
        <v>107</v>
      </c>
      <c r="D287" s="14" t="s">
        <v>4366</v>
      </c>
      <c r="E287" s="15" t="str">
        <f>HYPERLINK("https://stat100.ameba.jp/tnk47/ratio20/illustrations/card/ill_65853_jokyusugitahisajo03.jpg?202008-5-RELEASE-marathon-486xxx", "■")</f>
        <v>■</v>
      </c>
      <c r="F287" s="14" t="s">
        <v>4367</v>
      </c>
      <c r="G287" s="14">
        <v>98066</v>
      </c>
      <c r="H287" s="14">
        <v>105426</v>
      </c>
      <c r="I287" s="14">
        <v>26</v>
      </c>
      <c r="J287" s="14" t="s">
        <v>414</v>
      </c>
      <c r="K287" s="14" t="s">
        <v>4368</v>
      </c>
      <c r="L287" s="14" t="s">
        <v>1997</v>
      </c>
      <c r="M287" s="14" t="s">
        <v>9158</v>
      </c>
      <c r="N287" s="14" t="s">
        <v>9158</v>
      </c>
      <c r="O287" s="14" t="s">
        <v>9158</v>
      </c>
      <c r="P287" s="14" t="s">
        <v>9158</v>
      </c>
      <c r="Q287" s="14" t="s">
        <v>9158</v>
      </c>
    </row>
    <row r="288" spans="1:19">
      <c r="A288" s="14">
        <v>84403</v>
      </c>
      <c r="B288" s="14" t="s">
        <v>0</v>
      </c>
      <c r="C288" s="14" t="s">
        <v>205</v>
      </c>
      <c r="D288" s="19" t="s">
        <v>13761</v>
      </c>
      <c r="E288" s="15" t="str">
        <f>HYPERLINK("https://stat100.ameba.jp/tnk47/ratio20/illustrations/card/ill_84403_dokushonokisetsuheikegani03.jpg?202008-5-RELEASE-marathon-486xxx", "■")</f>
        <v>■</v>
      </c>
      <c r="F288" s="14" t="s">
        <v>7329</v>
      </c>
      <c r="G288" s="14">
        <v>108330</v>
      </c>
      <c r="H288" s="14">
        <v>100744</v>
      </c>
      <c r="I288" s="14">
        <v>26</v>
      </c>
      <c r="J288" s="14" t="s">
        <v>73</v>
      </c>
      <c r="K288" s="14" t="s">
        <v>7328</v>
      </c>
      <c r="L288" s="14" t="s">
        <v>7327</v>
      </c>
      <c r="M288" s="14" t="s">
        <v>9158</v>
      </c>
      <c r="N288" s="14" t="s">
        <v>9158</v>
      </c>
      <c r="O288" s="14" t="s">
        <v>9158</v>
      </c>
      <c r="P288" s="14" t="s">
        <v>9158</v>
      </c>
      <c r="Q288" s="14" t="s">
        <v>9158</v>
      </c>
    </row>
    <row r="289" spans="1:17">
      <c r="A289" s="14">
        <v>47553</v>
      </c>
      <c r="B289" s="14" t="s">
        <v>15</v>
      </c>
      <c r="C289" s="14" t="s">
        <v>13537</v>
      </c>
      <c r="D289" s="14" t="s">
        <v>13536</v>
      </c>
      <c r="E289" s="15" t="str">
        <f>HYPERLINK("https://stat100.ameba.jp/tnk47/ratio20/illustrations/card/ill_47553_hebimetashutendouji03.jpg?202008-5-RELEASE-marathon-486xxx", "■")</f>
        <v>■</v>
      </c>
      <c r="F289" s="14" t="s">
        <v>13538</v>
      </c>
      <c r="G289" s="14">
        <v>51078</v>
      </c>
      <c r="H289" s="14">
        <v>56316</v>
      </c>
      <c r="I289" s="14">
        <v>19</v>
      </c>
      <c r="J289" s="14" t="s">
        <v>13533</v>
      </c>
      <c r="K289" s="14" t="s">
        <v>13539</v>
      </c>
      <c r="L289" s="14" t="s">
        <v>13540</v>
      </c>
      <c r="M289" s="14" t="s">
        <v>9158</v>
      </c>
      <c r="N289" s="14" t="s">
        <v>9158</v>
      </c>
      <c r="O289" s="14" t="s">
        <v>9158</v>
      </c>
      <c r="P289" s="14" t="s">
        <v>9158</v>
      </c>
      <c r="Q289" s="14" t="s">
        <v>9158</v>
      </c>
    </row>
    <row r="290" spans="1:17">
      <c r="A290" s="14">
        <v>59753</v>
      </c>
      <c r="B290" s="14" t="s">
        <v>15</v>
      </c>
      <c r="C290" s="14" t="s">
        <v>185</v>
      </c>
      <c r="D290" s="19" t="s">
        <v>10633</v>
      </c>
      <c r="E290" s="15" t="str">
        <f>HYPERLINK("https://stat100.ameba.jp/tnk47/ratio20/illustrations/card/ill_59753_kaitopoiyampe03.jpg?202008-5-RELEASE-marathon-486xxx", "■")</f>
        <v>■</v>
      </c>
      <c r="F290" s="14" t="s">
        <v>7015</v>
      </c>
      <c r="G290" s="14">
        <v>56316</v>
      </c>
      <c r="H290" s="14">
        <v>51078</v>
      </c>
      <c r="I290" s="14">
        <v>19</v>
      </c>
      <c r="J290" s="14" t="s">
        <v>38</v>
      </c>
      <c r="K290" s="14" t="s">
        <v>7014</v>
      </c>
      <c r="L290" s="14" t="s">
        <v>3267</v>
      </c>
      <c r="M290" s="14" t="s">
        <v>9158</v>
      </c>
      <c r="N290" s="14" t="s">
        <v>9158</v>
      </c>
      <c r="O290" s="14" t="s">
        <v>9158</v>
      </c>
      <c r="P290" s="14" t="s">
        <v>9158</v>
      </c>
      <c r="Q290" s="14" t="s">
        <v>9158</v>
      </c>
    </row>
    <row r="291" spans="1:17">
      <c r="A291" s="9">
        <v>56623</v>
      </c>
      <c r="B291" s="14" t="s">
        <v>15</v>
      </c>
      <c r="C291" s="14" t="s">
        <v>23</v>
      </c>
      <c r="D291" s="14" t="s">
        <v>3801</v>
      </c>
      <c r="E291" s="15" t="str">
        <f>HYPERLINK("https://stat100.ameba.jp/tnk47/ratio20/illustrations/card/ill_56623_genjuarisu%E3%83%BBbekon03.jpg?202008-5-RELEASE-marathon-486xxx", "■")</f>
        <v>■</v>
      </c>
      <c r="F291" s="14" t="s">
        <v>3802</v>
      </c>
      <c r="G291" s="14">
        <v>51078</v>
      </c>
      <c r="H291" s="14">
        <v>56316</v>
      </c>
      <c r="I291" s="14">
        <v>19</v>
      </c>
      <c r="J291" s="14" t="s">
        <v>16</v>
      </c>
      <c r="K291" s="14" t="s">
        <v>3803</v>
      </c>
      <c r="L291" s="14" t="s">
        <v>3804</v>
      </c>
      <c r="M291" s="14" t="s">
        <v>9158</v>
      </c>
      <c r="N291" s="14" t="s">
        <v>9158</v>
      </c>
      <c r="O291" s="14" t="s">
        <v>9158</v>
      </c>
      <c r="P291" s="14" t="s">
        <v>9158</v>
      </c>
      <c r="Q291" s="14" t="s">
        <v>9158</v>
      </c>
    </row>
    <row r="293" spans="1:17">
      <c r="A293" s="14" t="s">
        <v>13541</v>
      </c>
    </row>
    <row r="294" spans="1:17">
      <c r="A294" s="14" t="s">
        <v>13542</v>
      </c>
    </row>
    <row r="295" spans="1:17">
      <c r="A295" s="14" t="s">
        <v>13543</v>
      </c>
    </row>
    <row r="296" spans="1:17">
      <c r="A296" s="14" t="s">
        <v>13547</v>
      </c>
      <c r="B296" s="14" t="s">
        <v>13544</v>
      </c>
      <c r="C296" s="14" t="s">
        <v>13546</v>
      </c>
      <c r="D296" s="14" t="s">
        <v>13545</v>
      </c>
      <c r="E296" s="15" t="str">
        <f>HYPERLINK("https://stat100.ameba.jp/tnk47/ratio20/illustrations/card/ill_92163_0_jinraisanki03.jpg?202008-5-RELEASE-marathon-486xxx", "■")</f>
        <v>■</v>
      </c>
      <c r="F296" s="14" t="s">
        <v>13548</v>
      </c>
      <c r="G296" s="14">
        <v>358638</v>
      </c>
      <c r="H296" s="14">
        <v>324106</v>
      </c>
      <c r="I296" s="14">
        <v>30</v>
      </c>
      <c r="J296" s="14" t="s">
        <v>13549</v>
      </c>
      <c r="K296" s="14" t="s">
        <v>13550</v>
      </c>
      <c r="L296" s="14" t="s">
        <v>13551</v>
      </c>
      <c r="M296" s="14" t="s">
        <v>9158</v>
      </c>
      <c r="N296" s="14" t="s">
        <v>9158</v>
      </c>
      <c r="O296" s="14" t="s">
        <v>13552</v>
      </c>
      <c r="P296" s="14" t="s">
        <v>13553</v>
      </c>
      <c r="Q296" s="14">
        <v>1</v>
      </c>
    </row>
    <row r="297" spans="1:17">
      <c r="A297" s="9">
        <v>87333</v>
      </c>
      <c r="B297" s="9" t="s">
        <v>0</v>
      </c>
      <c r="C297" s="9" t="s">
        <v>185</v>
      </c>
      <c r="D297" s="19" t="s">
        <v>10996</v>
      </c>
      <c r="E297" s="15" t="str">
        <f>HYPERLINK("https://stat100.ameba.jp/tnk47/ratio20/illustrations/card/ill_87333_sammadon03.jpg?202008-5-RELEASE-marathon-486xxx", "■")</f>
        <v>■</v>
      </c>
      <c r="F297" s="9" t="s">
        <v>9827</v>
      </c>
      <c r="G297" s="9">
        <v>149240</v>
      </c>
      <c r="H297" s="9">
        <v>160507</v>
      </c>
      <c r="I297" s="9">
        <v>27</v>
      </c>
      <c r="J297" s="9" t="s">
        <v>216</v>
      </c>
      <c r="K297" s="9" t="s">
        <v>9826</v>
      </c>
      <c r="L297" s="9" t="s">
        <v>2304</v>
      </c>
      <c r="M297" s="14" t="s">
        <v>9158</v>
      </c>
      <c r="N297" s="14" t="s">
        <v>9158</v>
      </c>
      <c r="O297" s="14" t="s">
        <v>9158</v>
      </c>
      <c r="P297" s="14" t="s">
        <v>9158</v>
      </c>
      <c r="Q297" s="14" t="s">
        <v>9158</v>
      </c>
    </row>
    <row r="298" spans="1:17">
      <c r="A298" s="7">
        <v>85953</v>
      </c>
      <c r="B298" s="7" t="s">
        <v>0</v>
      </c>
      <c r="C298" s="7" t="s">
        <v>200</v>
      </c>
      <c r="D298" s="20" t="s">
        <v>10872</v>
      </c>
      <c r="E298" s="15" t="str">
        <f>HYPERLINK("https://stat100.ameba.jp/tnk47/ratio20/illustrations/card/ill_85953_toshikoshitakiyashahime03.jpg?202008-5-RELEASE-marathon-486xxx", "■")</f>
        <v>■</v>
      </c>
      <c r="F298" s="7" t="s">
        <v>8787</v>
      </c>
      <c r="G298" s="7">
        <v>98019</v>
      </c>
      <c r="H298" s="7">
        <v>105465</v>
      </c>
      <c r="I298" s="9">
        <v>27</v>
      </c>
      <c r="J298" s="14" t="s">
        <v>77</v>
      </c>
      <c r="K298" s="7" t="s">
        <v>8786</v>
      </c>
      <c r="L298" s="7" t="s">
        <v>7158</v>
      </c>
      <c r="M298" s="14" t="s">
        <v>9158</v>
      </c>
      <c r="N298" s="14" t="s">
        <v>9158</v>
      </c>
      <c r="O298" s="14" t="s">
        <v>9158</v>
      </c>
      <c r="P298" s="14" t="s">
        <v>9158</v>
      </c>
      <c r="Q298" s="14" t="s">
        <v>9158</v>
      </c>
    </row>
    <row r="299" spans="1:17">
      <c r="A299" s="14">
        <v>84703</v>
      </c>
      <c r="B299" s="14" t="s">
        <v>0</v>
      </c>
      <c r="C299" s="14" t="s">
        <v>191</v>
      </c>
      <c r="D299" s="19" t="s">
        <v>10683</v>
      </c>
      <c r="E299" s="15" t="str">
        <f>HYPERLINK("https://stat100.ameba.jp/tnk47/ratio20/illustrations/card/ill_84703_ikegamishuho03.jpg?202008-5-RELEASE-marathon-486xxx", "■")</f>
        <v>■</v>
      </c>
      <c r="F299" s="14" t="s">
        <v>7334</v>
      </c>
      <c r="G299" s="14">
        <v>101837</v>
      </c>
      <c r="H299" s="14">
        <v>109481</v>
      </c>
      <c r="I299" s="9">
        <v>27</v>
      </c>
      <c r="J299" s="14" t="s">
        <v>16</v>
      </c>
      <c r="K299" s="14" t="s">
        <v>4448</v>
      </c>
      <c r="L299" s="14" t="s">
        <v>7332</v>
      </c>
      <c r="M299" s="14" t="s">
        <v>9158</v>
      </c>
      <c r="N299" s="14" t="s">
        <v>9158</v>
      </c>
      <c r="O299" s="14" t="s">
        <v>9158</v>
      </c>
      <c r="P299" s="14" t="s">
        <v>9158</v>
      </c>
      <c r="Q299" s="14" t="s">
        <v>9158</v>
      </c>
    </row>
    <row r="300" spans="1:17">
      <c r="A300" s="14">
        <v>83963</v>
      </c>
      <c r="B300" s="14" t="s">
        <v>0</v>
      </c>
      <c r="C300" s="14" t="s">
        <v>165</v>
      </c>
      <c r="D300" s="19" t="s">
        <v>10496</v>
      </c>
      <c r="E300" s="15" t="str">
        <f>HYPERLINK("https://stat100.ameba.jp/tnk47/ratio20/illustrations/card/ill_83963_natsumatsurikaguya03.jpg?202008-5-RELEASE-marathon-486xxx", "■")</f>
        <v>■</v>
      </c>
      <c r="F300" s="14" t="s">
        <v>6286</v>
      </c>
      <c r="G300" s="14">
        <v>114362</v>
      </c>
      <c r="H300" s="14">
        <v>123220</v>
      </c>
      <c r="I300" s="9">
        <v>27</v>
      </c>
      <c r="J300" s="14" t="s">
        <v>38</v>
      </c>
      <c r="K300" s="14" t="s">
        <v>6289</v>
      </c>
      <c r="L300" s="14" t="s">
        <v>2204</v>
      </c>
      <c r="M300" s="14" t="s">
        <v>9158</v>
      </c>
      <c r="N300" s="14" t="s">
        <v>9158</v>
      </c>
      <c r="O300" s="14" t="s">
        <v>9158</v>
      </c>
      <c r="P300" s="14" t="s">
        <v>9158</v>
      </c>
      <c r="Q300" s="14" t="s">
        <v>9158</v>
      </c>
    </row>
    <row r="301" spans="1:17">
      <c r="A301" s="9">
        <v>87693</v>
      </c>
      <c r="B301" s="9" t="s">
        <v>0</v>
      </c>
      <c r="C301" s="9" t="s">
        <v>205</v>
      </c>
      <c r="D301" s="9" t="s">
        <v>10039</v>
      </c>
      <c r="E301" s="15" t="str">
        <f>HYPERLINK("https://stat100.ameba.jp/tnk47/ratio20/illustrations/card/ill_87693_seikasodatsusenizumotaisha03.jpg?202008-5-RELEASE-marathon-486xxx", "■")</f>
        <v>■</v>
      </c>
      <c r="F301" s="9" t="s">
        <v>10040</v>
      </c>
      <c r="G301" s="9">
        <v>114362</v>
      </c>
      <c r="H301" s="9">
        <v>123002</v>
      </c>
      <c r="I301" s="9">
        <v>27</v>
      </c>
      <c r="J301" s="9" t="s">
        <v>229</v>
      </c>
      <c r="K301" s="9" t="s">
        <v>10041</v>
      </c>
      <c r="L301" s="9" t="s">
        <v>13215</v>
      </c>
      <c r="M301" s="14" t="s">
        <v>9158</v>
      </c>
      <c r="N301" s="14" t="s">
        <v>9158</v>
      </c>
      <c r="O301" s="7" t="s">
        <v>9158</v>
      </c>
      <c r="P301" s="14" t="s">
        <v>9158</v>
      </c>
      <c r="Q301" s="14" t="s">
        <v>9158</v>
      </c>
    </row>
    <row r="302" spans="1:17">
      <c r="A302" s="14">
        <v>82613</v>
      </c>
      <c r="B302" s="14" t="s">
        <v>0</v>
      </c>
      <c r="C302" s="14" t="s">
        <v>107</v>
      </c>
      <c r="D302" s="19" t="s">
        <v>10354</v>
      </c>
      <c r="E302" s="15" t="str">
        <f>HYPERLINK("https://stat100.ameba.jp/tnk47/ratio20/illustrations/card/ill_82613_hyokanokisetsumyorinni03.jpg?202008-5-RELEASE-marathon-486xxx", "■")</f>
        <v>■</v>
      </c>
      <c r="F302" s="14" t="s">
        <v>5538</v>
      </c>
      <c r="G302" s="14">
        <v>149240</v>
      </c>
      <c r="H302" s="14">
        <v>160507</v>
      </c>
      <c r="I302" s="9">
        <v>27</v>
      </c>
      <c r="J302" s="14" t="s">
        <v>143</v>
      </c>
      <c r="K302" s="14" t="s">
        <v>5540</v>
      </c>
      <c r="L302" s="14" t="s">
        <v>5541</v>
      </c>
      <c r="M302" s="14" t="s">
        <v>9158</v>
      </c>
      <c r="N302" s="14" t="s">
        <v>9158</v>
      </c>
      <c r="O302" s="14" t="s">
        <v>9158</v>
      </c>
      <c r="P302" s="14" t="s">
        <v>9158</v>
      </c>
      <c r="Q302" s="14" t="s">
        <v>9158</v>
      </c>
    </row>
    <row r="304" spans="1:17">
      <c r="A304" s="14" t="s">
        <v>13554</v>
      </c>
    </row>
    <row r="305" spans="1:17">
      <c r="A305" s="14" t="s">
        <v>13555</v>
      </c>
    </row>
    <row r="306" spans="1:17">
      <c r="A306" s="14" t="s">
        <v>5725</v>
      </c>
      <c r="B306" s="14" t="s">
        <v>52</v>
      </c>
      <c r="C306" s="14" t="s">
        <v>107</v>
      </c>
      <c r="D306" s="19" t="s">
        <v>543</v>
      </c>
      <c r="E306" s="15" t="str">
        <f>HYPERLINK("https://stat100.ameba.jp/tnk47/ratio20/illustrations/card/ill_52693_0_sengokumibirakiyanagiharabyakuren03.jpg?202008-5-RELEASE-marathon-486xxx", "■")</f>
        <v>■</v>
      </c>
      <c r="F306" s="14" t="s">
        <v>1246</v>
      </c>
      <c r="G306" s="14">
        <v>133938</v>
      </c>
      <c r="H306" s="14">
        <v>150776</v>
      </c>
      <c r="I306" s="14">
        <v>24</v>
      </c>
      <c r="J306" s="14" t="s">
        <v>16</v>
      </c>
      <c r="K306" s="14" t="s">
        <v>1247</v>
      </c>
      <c r="L306" s="14" t="s">
        <v>1248</v>
      </c>
      <c r="M306" s="14" t="s">
        <v>9158</v>
      </c>
      <c r="N306" s="14" t="s">
        <v>9158</v>
      </c>
      <c r="O306" s="19" t="s">
        <v>2886</v>
      </c>
      <c r="P306" s="14" t="s">
        <v>3304</v>
      </c>
      <c r="Q306" s="14">
        <v>1</v>
      </c>
    </row>
    <row r="307" spans="1:17">
      <c r="A307" s="14" t="s">
        <v>5719</v>
      </c>
      <c r="B307" s="14" t="s">
        <v>52</v>
      </c>
      <c r="C307" s="14" t="s">
        <v>165</v>
      </c>
      <c r="D307" s="20" t="s">
        <v>10379</v>
      </c>
      <c r="E307" s="15" t="str">
        <f>HYPERLINK("https://stat100.ameba.jp/tnk47/ratio20/illustrations/card/ill_54523_0_yonshunennionohime03.jpg?202008-5-RELEASE-marathon-486xxx", "■")</f>
        <v>■</v>
      </c>
      <c r="F307" s="14" t="s">
        <v>1773</v>
      </c>
      <c r="G307" s="14">
        <v>133938</v>
      </c>
      <c r="H307" s="14">
        <v>150776</v>
      </c>
      <c r="I307" s="14">
        <v>24</v>
      </c>
      <c r="J307" s="14" t="s">
        <v>38</v>
      </c>
      <c r="K307" s="14" t="s">
        <v>1774</v>
      </c>
      <c r="L307" s="14" t="s">
        <v>1775</v>
      </c>
      <c r="M307" s="14" t="s">
        <v>9158</v>
      </c>
      <c r="N307" s="14" t="s">
        <v>9158</v>
      </c>
      <c r="O307" s="19" t="s">
        <v>10094</v>
      </c>
      <c r="P307" s="14" t="s">
        <v>13168</v>
      </c>
      <c r="Q307" s="14">
        <v>1</v>
      </c>
    </row>
    <row r="308" spans="1:17">
      <c r="A308" s="14" t="s">
        <v>5625</v>
      </c>
      <c r="B308" s="14" t="s">
        <v>330</v>
      </c>
      <c r="C308" s="14" t="s">
        <v>200</v>
      </c>
      <c r="D308" s="20" t="s">
        <v>630</v>
      </c>
      <c r="E308" s="15" t="str">
        <f>HYPERLINK("https://stat100.ameba.jp/tnk47/ratio20/illustrations/card/ill_48283_0_kyuubitamamonomae03.jpg?202008-5-RELEASE-marathon-486xxx", "■")</f>
        <v>■</v>
      </c>
      <c r="F308" s="14" t="s">
        <v>631</v>
      </c>
      <c r="G308" s="14">
        <v>150776</v>
      </c>
      <c r="H308" s="14">
        <v>133938</v>
      </c>
      <c r="I308" s="14">
        <v>24</v>
      </c>
      <c r="J308" s="14" t="s">
        <v>320</v>
      </c>
      <c r="K308" s="14" t="s">
        <v>632</v>
      </c>
      <c r="L308" s="14" t="s">
        <v>633</v>
      </c>
      <c r="M308" s="14" t="s">
        <v>9158</v>
      </c>
      <c r="N308" s="14" t="s">
        <v>9158</v>
      </c>
      <c r="O308" s="14" t="s">
        <v>9158</v>
      </c>
      <c r="P308" s="14" t="s">
        <v>9158</v>
      </c>
      <c r="Q308" s="14" t="s">
        <v>9158</v>
      </c>
    </row>
    <row r="309" spans="1:17">
      <c r="A309" s="14">
        <v>91313</v>
      </c>
      <c r="B309" s="14" t="s">
        <v>334</v>
      </c>
      <c r="C309" s="14" t="s">
        <v>1</v>
      </c>
      <c r="D309" s="14" t="s">
        <v>13488</v>
      </c>
      <c r="E309" s="15" t="str">
        <f>HYPERLINK("https://stat100.ameba.jp/tnk47/ratio20/illustrations/card/ill_91313_miruhie03.jpg?202008-5-RELEASE-marathon-486xxx", "■")</f>
        <v>■</v>
      </c>
      <c r="F309" s="14" t="s">
        <v>13492</v>
      </c>
      <c r="G309" s="14">
        <v>101558</v>
      </c>
      <c r="H309" s="14">
        <v>94390</v>
      </c>
      <c r="I309" s="7">
        <v>26</v>
      </c>
      <c r="J309" s="14" t="s">
        <v>77</v>
      </c>
      <c r="K309" s="14" t="s">
        <v>13490</v>
      </c>
      <c r="L309" s="14" t="s">
        <v>13491</v>
      </c>
      <c r="M309" s="14" t="s">
        <v>9158</v>
      </c>
      <c r="N309" s="14" t="s">
        <v>9158</v>
      </c>
      <c r="O309" s="14" t="s">
        <v>9158</v>
      </c>
      <c r="P309" s="14" t="s">
        <v>9158</v>
      </c>
      <c r="Q309" s="14" t="s">
        <v>9158</v>
      </c>
    </row>
    <row r="310" spans="1:17">
      <c r="A310" s="14">
        <v>91333</v>
      </c>
      <c r="B310" s="14" t="s">
        <v>15</v>
      </c>
      <c r="C310" s="14" t="s">
        <v>23</v>
      </c>
      <c r="D310" s="14" t="s">
        <v>13501</v>
      </c>
      <c r="E310" s="15" t="str">
        <f>HYPERLINK("https://stat100.ameba.jp/tnk47/ratio20/illustrations/card/ill_91333_minazukikombara03.jpg?202008-5-RELEASE-marathon-486xxx", "■")</f>
        <v>■</v>
      </c>
      <c r="F310" s="14" t="s">
        <v>13502</v>
      </c>
      <c r="G310" s="14">
        <v>77064</v>
      </c>
      <c r="H310" s="14">
        <v>69898</v>
      </c>
      <c r="I310" s="7">
        <v>26</v>
      </c>
      <c r="J310" s="14" t="s">
        <v>26</v>
      </c>
      <c r="K310" s="14" t="s">
        <v>3382</v>
      </c>
      <c r="L310" s="14" t="s">
        <v>2011</v>
      </c>
      <c r="M310" s="14" t="s">
        <v>9158</v>
      </c>
      <c r="N310" s="14" t="s">
        <v>9158</v>
      </c>
      <c r="O310" s="14" t="s">
        <v>9158</v>
      </c>
      <c r="P310" s="14" t="s">
        <v>9158</v>
      </c>
      <c r="Q310" s="14" t="s">
        <v>9158</v>
      </c>
    </row>
    <row r="311" spans="1:17">
      <c r="A311" s="14">
        <v>91343</v>
      </c>
      <c r="B311" s="14" t="s">
        <v>22</v>
      </c>
      <c r="C311" s="14" t="s">
        <v>14</v>
      </c>
      <c r="D311" s="14" t="s">
        <v>13507</v>
      </c>
      <c r="E311" s="15" t="str">
        <f>HYPERLINK("https://stat100.ameba.jp/tnk47/ratio20/illustrations/card/ill_91343_gokuhimesentoin03.jpg?202008-5-RELEASE-marathon-486xxx", "■")</f>
        <v>■</v>
      </c>
      <c r="F311" s="14" t="s">
        <v>13509</v>
      </c>
      <c r="G311" s="14">
        <v>44948</v>
      </c>
      <c r="H311" s="14">
        <v>54058</v>
      </c>
      <c r="I311" s="7">
        <v>26</v>
      </c>
      <c r="J311" s="14" t="s">
        <v>77</v>
      </c>
      <c r="K311" s="14" t="s">
        <v>13510</v>
      </c>
      <c r="L311" s="14" t="s">
        <v>2424</v>
      </c>
      <c r="M311" s="14" t="s">
        <v>9158</v>
      </c>
      <c r="N311" s="14" t="s">
        <v>9158</v>
      </c>
      <c r="O311" s="14" t="s">
        <v>9158</v>
      </c>
      <c r="P311" s="14" t="s">
        <v>9158</v>
      </c>
      <c r="Q311" s="14" t="s">
        <v>9158</v>
      </c>
    </row>
    <row r="312" spans="1:17">
      <c r="A312" s="14">
        <v>91353</v>
      </c>
      <c r="B312" s="14" t="s">
        <v>22</v>
      </c>
      <c r="C312" s="14" t="s">
        <v>96</v>
      </c>
      <c r="D312" s="14" t="s">
        <v>13512</v>
      </c>
      <c r="E312" s="15" t="str">
        <f>HYPERLINK("https://stat100.ameba.jp/tnk47/ratio20/illustrations/card/ill_91353_bijinsotorihime03.jpg?202008-5-RELEASE-marathon-486xxx", "■")</f>
        <v>■</v>
      </c>
      <c r="F312" s="14" t="s">
        <v>13514</v>
      </c>
      <c r="G312" s="14">
        <v>54058</v>
      </c>
      <c r="H312" s="14">
        <v>44948</v>
      </c>
      <c r="I312" s="7">
        <v>26</v>
      </c>
      <c r="J312" s="14" t="s">
        <v>38</v>
      </c>
      <c r="K312" s="14" t="s">
        <v>13516</v>
      </c>
      <c r="L312" s="14" t="s">
        <v>7248</v>
      </c>
      <c r="M312" s="14" t="s">
        <v>9158</v>
      </c>
      <c r="N312" s="14" t="s">
        <v>9158</v>
      </c>
      <c r="O312" s="14" t="s">
        <v>9158</v>
      </c>
      <c r="P312" s="14" t="s">
        <v>9158</v>
      </c>
      <c r="Q312" s="14" t="s">
        <v>9158</v>
      </c>
    </row>
    <row r="314" spans="1:17">
      <c r="A314" s="14" t="s">
        <v>13556</v>
      </c>
    </row>
    <row r="315" spans="1:17">
      <c r="A315" s="14" t="s">
        <v>13557</v>
      </c>
    </row>
    <row r="316" spans="1:17">
      <c r="A316" s="14" t="s">
        <v>5804</v>
      </c>
      <c r="B316" s="14" t="s">
        <v>52</v>
      </c>
      <c r="C316" s="14" t="s">
        <v>14</v>
      </c>
      <c r="D316" s="19" t="s">
        <v>3195</v>
      </c>
      <c r="E316" s="15" t="str">
        <f>HYPERLINK("https://stat100.ameba.jp/tnk47/ratio20/illustrations/card/ill_75393_0_resukuinotsukisamaniittausagi03.jpg?202008-5-RELEASE-marathon-486xxx", "■")</f>
        <v>■</v>
      </c>
      <c r="F316" s="14" t="s">
        <v>3248</v>
      </c>
      <c r="G316" s="14">
        <v>250588</v>
      </c>
      <c r="H316" s="14">
        <v>232980</v>
      </c>
      <c r="I316" s="14">
        <v>22</v>
      </c>
      <c r="J316" s="14" t="s">
        <v>26</v>
      </c>
      <c r="K316" s="14" t="s">
        <v>3249</v>
      </c>
      <c r="L316" s="14" t="s">
        <v>3250</v>
      </c>
      <c r="M316" s="14" t="s">
        <v>9158</v>
      </c>
      <c r="N316" s="14" t="s">
        <v>9158</v>
      </c>
      <c r="O316" s="19" t="s">
        <v>10101</v>
      </c>
      <c r="P316" s="14" t="s">
        <v>3251</v>
      </c>
      <c r="Q316" s="14">
        <v>2</v>
      </c>
    </row>
    <row r="317" spans="1:17">
      <c r="A317" s="14" t="s">
        <v>5848</v>
      </c>
      <c r="B317" s="14" t="s">
        <v>330</v>
      </c>
      <c r="C317" s="14" t="s">
        <v>200</v>
      </c>
      <c r="D317" s="19" t="s">
        <v>3160</v>
      </c>
      <c r="E317" s="15" t="str">
        <f>HYPERLINK("https://stat100.ameba.jp/tnk47/ratio20/illustrations/card/ill_72963_0_amenohanayomehiguchiichiyo03.jpg?202008-5-RELEASE-marathon-486xxx", "■")</f>
        <v>■</v>
      </c>
      <c r="F317" s="14" t="s">
        <v>1139</v>
      </c>
      <c r="G317" s="14">
        <v>147404</v>
      </c>
      <c r="H317" s="14">
        <v>137060</v>
      </c>
      <c r="I317" s="14">
        <v>22</v>
      </c>
      <c r="J317" s="14" t="s">
        <v>10</v>
      </c>
      <c r="K317" s="14" t="s">
        <v>1140</v>
      </c>
      <c r="L317" s="14" t="s">
        <v>1141</v>
      </c>
      <c r="M317" s="14" t="s">
        <v>9158</v>
      </c>
      <c r="N317" s="14" t="s">
        <v>9158</v>
      </c>
      <c r="O317" s="19" t="s">
        <v>3162</v>
      </c>
      <c r="P317" s="14" t="s">
        <v>3163</v>
      </c>
      <c r="Q317" s="14">
        <v>1</v>
      </c>
    </row>
    <row r="318" spans="1:17">
      <c r="A318" s="14" t="s">
        <v>5608</v>
      </c>
      <c r="B318" s="14" t="s">
        <v>52</v>
      </c>
      <c r="C318" s="14" t="s">
        <v>96</v>
      </c>
      <c r="D318" s="20" t="s">
        <v>634</v>
      </c>
      <c r="E318" s="15" t="str">
        <f>HYPERLINK("https://stat100.ameba.jp/tnk47/ratio20/illustrations/card/ill_40963_0_makami03.jpg?202008-5-RELEASE-marathon-486xxx", "■")</f>
        <v>■</v>
      </c>
      <c r="F318" s="14" t="s">
        <v>2038</v>
      </c>
      <c r="G318" s="14">
        <v>128744</v>
      </c>
      <c r="H318" s="14">
        <v>120576</v>
      </c>
      <c r="I318" s="14">
        <v>22</v>
      </c>
      <c r="J318" s="14" t="s">
        <v>44</v>
      </c>
      <c r="K318" s="14" t="s">
        <v>2039</v>
      </c>
      <c r="L318" s="14" t="s">
        <v>2040</v>
      </c>
      <c r="M318" s="14" t="s">
        <v>9158</v>
      </c>
      <c r="N318" s="14" t="s">
        <v>9158</v>
      </c>
      <c r="O318" s="14" t="s">
        <v>9158</v>
      </c>
      <c r="P318" s="14" t="s">
        <v>9158</v>
      </c>
      <c r="Q318" s="14" t="s">
        <v>9158</v>
      </c>
    </row>
    <row r="319" spans="1:17">
      <c r="A319" s="9">
        <v>87973</v>
      </c>
      <c r="B319" s="14" t="s">
        <v>334</v>
      </c>
      <c r="C319" s="9" t="s">
        <v>200</v>
      </c>
      <c r="D319" s="9" t="s">
        <v>11905</v>
      </c>
      <c r="E319" s="15" t="str">
        <f>HYPERLINK("https://stat100.ameba.jp/tnk47/ratio20/illustrations/card/ill_87973_mafuiaerisu03.jpg?202008-5-RELEASE-marathon-486xxx", "■")</f>
        <v>■</v>
      </c>
      <c r="F319" s="9" t="s">
        <v>11906</v>
      </c>
      <c r="G319" s="9">
        <v>135229</v>
      </c>
      <c r="H319" s="9">
        <v>76091</v>
      </c>
      <c r="I319" s="14">
        <v>27</v>
      </c>
      <c r="J319" s="9" t="s">
        <v>159</v>
      </c>
      <c r="K319" s="9" t="s">
        <v>11907</v>
      </c>
      <c r="L319" s="9" t="s">
        <v>13247</v>
      </c>
      <c r="M319" s="14" t="s">
        <v>9158</v>
      </c>
      <c r="N319" s="14" t="s">
        <v>9158</v>
      </c>
      <c r="O319" s="14" t="s">
        <v>9158</v>
      </c>
      <c r="P319" s="14" t="s">
        <v>9158</v>
      </c>
      <c r="Q319" s="14" t="s">
        <v>9158</v>
      </c>
    </row>
    <row r="320" spans="1:17">
      <c r="A320" s="9">
        <v>76633</v>
      </c>
      <c r="B320" s="14" t="s">
        <v>334</v>
      </c>
      <c r="C320" s="14" t="s">
        <v>165</v>
      </c>
      <c r="D320" s="14" t="s">
        <v>909</v>
      </c>
      <c r="E320" s="15" t="str">
        <f>HYPERLINK("https://stat100.ameba.jp/tnk47/ratio20/illustrations/card/ill_76633_terazawahirotaka03.jpg?202008-5-RELEASE-marathon-486xxx", "■")</f>
        <v>■</v>
      </c>
      <c r="F320" s="14" t="s">
        <v>910</v>
      </c>
      <c r="G320" s="14">
        <v>130214</v>
      </c>
      <c r="H320" s="14">
        <v>73270</v>
      </c>
      <c r="I320" s="14">
        <v>27</v>
      </c>
      <c r="J320" s="14" t="s">
        <v>143</v>
      </c>
      <c r="K320" s="14" t="s">
        <v>911</v>
      </c>
      <c r="L320" s="14" t="s">
        <v>912</v>
      </c>
      <c r="M320" s="14" t="s">
        <v>9158</v>
      </c>
      <c r="N320" s="14" t="s">
        <v>9158</v>
      </c>
      <c r="O320" s="14" t="s">
        <v>9158</v>
      </c>
      <c r="P320" s="14" t="s">
        <v>9158</v>
      </c>
      <c r="Q320" s="14" t="s">
        <v>9158</v>
      </c>
    </row>
    <row r="321" spans="1:17">
      <c r="A321" s="9">
        <v>77243</v>
      </c>
      <c r="B321" s="14" t="s">
        <v>334</v>
      </c>
      <c r="C321" s="14" t="s">
        <v>185</v>
      </c>
      <c r="D321" s="14" t="s">
        <v>3880</v>
      </c>
      <c r="E321" s="15" t="str">
        <f>HYPERLINK("https://stat100.ameba.jp/tnk47/ratio20/illustrations/card/ill_77243_seikimatsuniijimayae03.jpg?202008-5-RELEASE-marathon-486xxx", "■")</f>
        <v>■</v>
      </c>
      <c r="F321" s="14" t="s">
        <v>1436</v>
      </c>
      <c r="G321" s="14">
        <v>105465</v>
      </c>
      <c r="H321" s="14">
        <v>98019</v>
      </c>
      <c r="I321" s="14">
        <v>27</v>
      </c>
      <c r="J321" s="14" t="s">
        <v>351</v>
      </c>
      <c r="K321" s="14" t="s">
        <v>1437</v>
      </c>
      <c r="L321" s="14" t="s">
        <v>1438</v>
      </c>
      <c r="M321" s="14" t="s">
        <v>9158</v>
      </c>
      <c r="N321" s="14" t="s">
        <v>9158</v>
      </c>
      <c r="O321" s="14" t="s">
        <v>9158</v>
      </c>
      <c r="P321" s="14" t="s">
        <v>9158</v>
      </c>
      <c r="Q321" s="14" t="s">
        <v>9158</v>
      </c>
    </row>
    <row r="323" spans="1:17">
      <c r="A323" s="14" t="s">
        <v>13560</v>
      </c>
    </row>
    <row r="324" spans="1:17">
      <c r="A324" s="14" t="s">
        <v>13561</v>
      </c>
    </row>
    <row r="325" spans="1:17">
      <c r="A325" s="14" t="s">
        <v>5619</v>
      </c>
      <c r="B325" s="14" t="s">
        <v>330</v>
      </c>
      <c r="C325" s="14" t="s">
        <v>202</v>
      </c>
      <c r="D325" s="20" t="s">
        <v>10348</v>
      </c>
      <c r="E325" s="15" t="str">
        <f>HYPERLINK("https://stat100.ameba.jp/tnk47/ratio20/illustrations/card/ill_81183_0_shinryokunokisetsuamaterasu03.jpg?202008-5-RELEASE-marathon-486xxx", "■")</f>
        <v>■</v>
      </c>
      <c r="F325" s="14" t="s">
        <v>4505</v>
      </c>
      <c r="G325" s="14">
        <v>262627</v>
      </c>
      <c r="H325" s="14">
        <v>290607</v>
      </c>
      <c r="I325" s="14">
        <v>25</v>
      </c>
      <c r="J325" s="14" t="s">
        <v>44</v>
      </c>
      <c r="K325" s="14" t="s">
        <v>4506</v>
      </c>
      <c r="L325" s="14" t="s">
        <v>4507</v>
      </c>
      <c r="M325" s="14" t="s">
        <v>9158</v>
      </c>
      <c r="N325" s="14" t="s">
        <v>9158</v>
      </c>
      <c r="O325" s="19" t="s">
        <v>10083</v>
      </c>
      <c r="P325" s="14" t="s">
        <v>4509</v>
      </c>
      <c r="Q325" s="14">
        <v>0</v>
      </c>
    </row>
    <row r="326" spans="1:17">
      <c r="A326" s="14">
        <v>78143</v>
      </c>
      <c r="B326" s="14" t="s">
        <v>334</v>
      </c>
      <c r="C326" s="14" t="s">
        <v>203</v>
      </c>
      <c r="D326" s="19" t="s">
        <v>10285</v>
      </c>
      <c r="E326" s="15" t="str">
        <f>HYPERLINK("https://stat100.ameba.jp/tnk47/ratio20/illustrations/card/ill_78143_kanibarukuin03.jpg?202008-5-RELEASE-marathon-486xxx", "■")</f>
        <v>■</v>
      </c>
      <c r="F326" s="14" t="s">
        <v>2687</v>
      </c>
      <c r="G326" s="14">
        <v>88624</v>
      </c>
      <c r="H326" s="14">
        <v>122366</v>
      </c>
      <c r="I326" s="14">
        <v>24</v>
      </c>
      <c r="J326" s="14" t="s">
        <v>26</v>
      </c>
      <c r="K326" s="14" t="s">
        <v>2688</v>
      </c>
      <c r="L326" s="14" t="s">
        <v>2137</v>
      </c>
      <c r="M326" s="14" t="s">
        <v>9158</v>
      </c>
      <c r="N326" s="14" t="s">
        <v>9158</v>
      </c>
      <c r="O326" s="19" t="s">
        <v>10103</v>
      </c>
      <c r="P326" s="14" t="s">
        <v>3897</v>
      </c>
      <c r="Q326" s="14">
        <v>1</v>
      </c>
    </row>
    <row r="327" spans="1:17">
      <c r="A327" s="14">
        <v>81313</v>
      </c>
      <c r="B327" s="14" t="s">
        <v>0</v>
      </c>
      <c r="C327" s="14" t="s">
        <v>154</v>
      </c>
      <c r="D327" s="20" t="s">
        <v>10511</v>
      </c>
      <c r="E327" s="15" t="str">
        <f>HYPERLINK("https://stat100.ameba.jp/tnk47/ratio20/illustrations/card/ill_81313_harihara03.jpg?202008-5-RELEASE-marathon-486xxx", "■")</f>
        <v>■</v>
      </c>
      <c r="F327" s="14" t="s">
        <v>4667</v>
      </c>
      <c r="G327" s="14">
        <v>159674</v>
      </c>
      <c r="H327" s="14">
        <v>115656</v>
      </c>
      <c r="I327" s="14">
        <v>24</v>
      </c>
      <c r="J327" s="14" t="s">
        <v>44</v>
      </c>
      <c r="K327" s="14" t="s">
        <v>4668</v>
      </c>
      <c r="L327" s="14" t="s">
        <v>4669</v>
      </c>
      <c r="M327" s="14" t="s">
        <v>9158</v>
      </c>
      <c r="N327" s="14" t="s">
        <v>9158</v>
      </c>
      <c r="O327" s="19" t="s">
        <v>10114</v>
      </c>
      <c r="P327" s="14" t="s">
        <v>3658</v>
      </c>
      <c r="Q327" s="14">
        <v>1</v>
      </c>
    </row>
    <row r="328" spans="1:17">
      <c r="A328" s="14">
        <v>73893</v>
      </c>
      <c r="B328" s="14" t="s">
        <v>334</v>
      </c>
      <c r="C328" s="14" t="s">
        <v>203</v>
      </c>
      <c r="D328" s="20" t="s">
        <v>10388</v>
      </c>
      <c r="E328" s="15" t="str">
        <f>HYPERLINK("https://stat100.ameba.jp/tnk47/ratio20/illustrations/card/ill_73893_kurohachidaimyojintookami03.jpg?202008-5-RELEASE-marathon-486xxx", "■")</f>
        <v>■</v>
      </c>
      <c r="F328" s="14" t="s">
        <v>685</v>
      </c>
      <c r="G328" s="14">
        <v>122476</v>
      </c>
      <c r="H328" s="14">
        <v>88706</v>
      </c>
      <c r="I328" s="14">
        <v>24</v>
      </c>
      <c r="J328" s="14" t="s">
        <v>274</v>
      </c>
      <c r="K328" s="14" t="s">
        <v>686</v>
      </c>
      <c r="L328" s="14" t="s">
        <v>428</v>
      </c>
      <c r="M328" s="14" t="s">
        <v>9158</v>
      </c>
      <c r="N328" s="14" t="s">
        <v>9158</v>
      </c>
      <c r="O328" s="19" t="s">
        <v>10100</v>
      </c>
      <c r="P328" s="14" t="s">
        <v>3810</v>
      </c>
      <c r="Q328" s="14">
        <v>1</v>
      </c>
    </row>
    <row r="330" spans="1:17">
      <c r="A330" s="14" t="s">
        <v>3916</v>
      </c>
    </row>
    <row r="331" spans="1:17">
      <c r="A331" s="14" t="s">
        <v>13562</v>
      </c>
    </row>
    <row r="332" spans="1:17">
      <c r="A332" s="14">
        <v>62203</v>
      </c>
      <c r="B332" s="14" t="s">
        <v>334</v>
      </c>
      <c r="C332" s="14" t="s">
        <v>154</v>
      </c>
      <c r="D332" s="20" t="s">
        <v>14914</v>
      </c>
      <c r="E332" s="15" t="str">
        <f>HYPERLINK("https://stat100.ameba.jp/tnk47/ratio20/illustrations/card/ill_62203_keishoimmasahime03.jpg?202008-5-RELEASE-marathon-486xxx", "■")</f>
        <v>■</v>
      </c>
      <c r="F332" s="14" t="s">
        <v>2261</v>
      </c>
      <c r="G332" s="14">
        <v>108276</v>
      </c>
      <c r="H332" s="14">
        <v>116452</v>
      </c>
      <c r="I332" s="14">
        <v>27</v>
      </c>
      <c r="J332" s="14" t="s">
        <v>77</v>
      </c>
      <c r="K332" s="14" t="s">
        <v>2262</v>
      </c>
      <c r="L332" s="14" t="s">
        <v>2263</v>
      </c>
      <c r="M332" s="14" t="s">
        <v>9158</v>
      </c>
      <c r="N332" s="14" t="s">
        <v>9158</v>
      </c>
      <c r="O332" s="14" t="s">
        <v>9158</v>
      </c>
      <c r="P332" s="14" t="s">
        <v>9158</v>
      </c>
      <c r="Q332" s="14" t="s">
        <v>9158</v>
      </c>
    </row>
    <row r="333" spans="1:17">
      <c r="A333" s="14">
        <v>69723</v>
      </c>
      <c r="B333" s="14" t="s">
        <v>334</v>
      </c>
      <c r="C333" s="14" t="s">
        <v>158</v>
      </c>
      <c r="D333" s="20" t="s">
        <v>3042</v>
      </c>
      <c r="E333" s="15" t="str">
        <f>HYPERLINK("https://stat100.ameba.jp/tnk47/ratio20/illustrations/card/ill_69723_nakaurajurian03.jpg?202008-5-RELEASE-marathon-486xxx", "■")</f>
        <v>■</v>
      </c>
      <c r="F333" s="14" t="s">
        <v>2257</v>
      </c>
      <c r="G333" s="14">
        <v>108276</v>
      </c>
      <c r="H333" s="14">
        <v>116452</v>
      </c>
      <c r="I333" s="14">
        <v>27</v>
      </c>
      <c r="J333" s="14" t="s">
        <v>173</v>
      </c>
      <c r="K333" s="14" t="s">
        <v>2258</v>
      </c>
      <c r="L333" s="14" t="s">
        <v>2259</v>
      </c>
      <c r="M333" s="14" t="s">
        <v>9158</v>
      </c>
      <c r="N333" s="14" t="s">
        <v>9158</v>
      </c>
      <c r="O333" s="14" t="s">
        <v>9158</v>
      </c>
      <c r="P333" s="14" t="s">
        <v>9158</v>
      </c>
      <c r="Q333" s="14" t="s">
        <v>9158</v>
      </c>
    </row>
    <row r="334" spans="1:17">
      <c r="A334" s="14">
        <v>76483</v>
      </c>
      <c r="B334" s="14" t="s">
        <v>334</v>
      </c>
      <c r="C334" s="14" t="s">
        <v>307</v>
      </c>
      <c r="D334" s="20" t="s">
        <v>589</v>
      </c>
      <c r="E334" s="15" t="str">
        <f>HYPERLINK("https://stat100.ameba.jp/tnk47/ratio20/illustrations/card/ill_76483_yukemurimizuhanome03.jpg?202008-5-RELEASE-marathon-486xxx", "■")</f>
        <v>■</v>
      </c>
      <c r="F334" s="14" t="s">
        <v>590</v>
      </c>
      <c r="G334" s="14">
        <v>110129</v>
      </c>
      <c r="H334" s="14">
        <v>102386</v>
      </c>
      <c r="I334" s="14">
        <v>27</v>
      </c>
      <c r="J334" s="14" t="s">
        <v>401</v>
      </c>
      <c r="K334" s="14" t="s">
        <v>591</v>
      </c>
      <c r="L334" s="14" t="s">
        <v>592</v>
      </c>
      <c r="M334" s="14" t="s">
        <v>9158</v>
      </c>
      <c r="N334" s="14" t="s">
        <v>9158</v>
      </c>
      <c r="O334" s="14" t="s">
        <v>9158</v>
      </c>
      <c r="P334" s="14" t="s">
        <v>9158</v>
      </c>
      <c r="Q334" s="14" t="s">
        <v>9158</v>
      </c>
    </row>
    <row r="335" spans="1:17">
      <c r="A335" s="14">
        <v>70023</v>
      </c>
      <c r="B335" s="14" t="s">
        <v>334</v>
      </c>
      <c r="C335" s="14" t="s">
        <v>344</v>
      </c>
      <c r="D335" s="20" t="s">
        <v>10230</v>
      </c>
      <c r="E335" s="15" t="str">
        <f>HYPERLINK("https://stat100.ameba.jp/tnk47/ratio20/illustrations/card/ill_70023_yukinoukokunabeshimanobakeneko03.jpg?202008-5-RELEASE-marathon-486xxx", "■")</f>
        <v>■</v>
      </c>
      <c r="F335" s="14" t="s">
        <v>769</v>
      </c>
      <c r="G335" s="14">
        <v>104619</v>
      </c>
      <c r="H335" s="14">
        <v>112496</v>
      </c>
      <c r="I335" s="14">
        <v>27</v>
      </c>
      <c r="J335" s="14" t="s">
        <v>320</v>
      </c>
      <c r="K335" s="14" t="s">
        <v>770</v>
      </c>
      <c r="L335" s="14" t="s">
        <v>771</v>
      </c>
      <c r="M335" s="14" t="s">
        <v>9158</v>
      </c>
      <c r="N335" s="14" t="s">
        <v>9158</v>
      </c>
      <c r="O335" s="14" t="s">
        <v>9158</v>
      </c>
      <c r="P335" s="14" t="s">
        <v>9158</v>
      </c>
      <c r="Q335" s="14" t="s">
        <v>9158</v>
      </c>
    </row>
    <row r="336" spans="1:17">
      <c r="A336" s="14">
        <v>52733</v>
      </c>
      <c r="B336" s="14" t="s">
        <v>15</v>
      </c>
      <c r="C336" s="14" t="s">
        <v>185</v>
      </c>
      <c r="D336" s="20" t="s">
        <v>10491</v>
      </c>
      <c r="E336" s="15" t="str">
        <f>HYPERLINK("https://stat100.ameba.jp/tnk47/ratio20/illustrations/card/ill_52733_sekkinambutsuruhime03.jpg?202008-5-RELEASE-marathon-486xxx", "■")</f>
        <v>■</v>
      </c>
      <c r="F336" s="14" t="s">
        <v>6246</v>
      </c>
      <c r="G336" s="14">
        <v>59144</v>
      </c>
      <c r="H336" s="14">
        <v>65208</v>
      </c>
      <c r="I336" s="14">
        <v>22</v>
      </c>
      <c r="J336" s="14" t="s">
        <v>77</v>
      </c>
      <c r="K336" s="14" t="s">
        <v>6248</v>
      </c>
      <c r="L336" s="14" t="s">
        <v>6249</v>
      </c>
      <c r="M336" s="14" t="s">
        <v>9158</v>
      </c>
      <c r="N336" s="14" t="s">
        <v>9158</v>
      </c>
      <c r="O336" s="14" t="s">
        <v>9158</v>
      </c>
      <c r="P336" s="14" t="s">
        <v>9158</v>
      </c>
      <c r="Q336" s="14" t="s">
        <v>9158</v>
      </c>
    </row>
    <row r="337" spans="1:18">
      <c r="A337" s="14">
        <v>54003</v>
      </c>
      <c r="B337" s="14" t="s">
        <v>15</v>
      </c>
      <c r="C337" s="14" t="s">
        <v>200</v>
      </c>
      <c r="D337" s="20" t="s">
        <v>10492</v>
      </c>
      <c r="E337" s="15" t="str">
        <f>HYPERLINK("https://stat100.ameba.jp/tnk47/ratio20/illustrations/card/ill_54003_seiryumegurihiguchiichiyo03.jpg?202008-5-RELEASE-marathon-486xxx", "■")</f>
        <v>■</v>
      </c>
      <c r="F337" s="14" t="s">
        <v>6250</v>
      </c>
      <c r="G337" s="14">
        <v>65208</v>
      </c>
      <c r="H337" s="14">
        <v>59144</v>
      </c>
      <c r="I337" s="14">
        <v>22</v>
      </c>
      <c r="J337" s="14" t="s">
        <v>10</v>
      </c>
      <c r="K337" s="14" t="s">
        <v>6252</v>
      </c>
      <c r="L337" s="14" t="s">
        <v>6253</v>
      </c>
      <c r="M337" s="14" t="s">
        <v>9158</v>
      </c>
      <c r="N337" s="14" t="s">
        <v>9158</v>
      </c>
      <c r="O337" s="14" t="s">
        <v>9158</v>
      </c>
      <c r="P337" s="14" t="s">
        <v>9158</v>
      </c>
      <c r="Q337" s="14" t="s">
        <v>9158</v>
      </c>
    </row>
    <row r="338" spans="1:18">
      <c r="A338" s="14">
        <v>51833</v>
      </c>
      <c r="B338" s="14" t="s">
        <v>15</v>
      </c>
      <c r="C338" s="14" t="s">
        <v>205</v>
      </c>
      <c r="D338" s="20" t="s">
        <v>10493</v>
      </c>
      <c r="E338" s="15" t="str">
        <f>HYPERLINK("https://stat100.ameba.jp/tnk47/ratio20/illustrations/card/ill_51833_jukimakitsuhikonomikoto03.jpg?202008-5-RELEASE-marathon-486xxx", "■")</f>
        <v>■</v>
      </c>
      <c r="F338" s="14" t="s">
        <v>6254</v>
      </c>
      <c r="G338" s="14">
        <v>65208</v>
      </c>
      <c r="H338" s="14">
        <v>59144</v>
      </c>
      <c r="I338" s="14">
        <v>22</v>
      </c>
      <c r="J338" s="14" t="s">
        <v>44</v>
      </c>
      <c r="K338" s="14" t="s">
        <v>6257</v>
      </c>
      <c r="L338" s="14" t="s">
        <v>6256</v>
      </c>
      <c r="M338" s="14" t="s">
        <v>9158</v>
      </c>
      <c r="N338" s="14" t="s">
        <v>9158</v>
      </c>
      <c r="O338" s="14" t="s">
        <v>9158</v>
      </c>
      <c r="P338" s="14" t="s">
        <v>9158</v>
      </c>
      <c r="Q338" s="14" t="s">
        <v>9158</v>
      </c>
    </row>
    <row r="339" spans="1:18">
      <c r="A339" s="14">
        <v>53203</v>
      </c>
      <c r="B339" s="14" t="s">
        <v>15</v>
      </c>
      <c r="C339" s="14" t="s">
        <v>165</v>
      </c>
      <c r="D339" s="20" t="s">
        <v>10494</v>
      </c>
      <c r="E339" s="15" t="str">
        <f>HYPERLINK("https://stat100.ameba.jp/tnk47/ratio20/illustrations/card/ill_53203_buruhawaichan03.jpg?202008-5-RELEASE-marathon-486xxx", "■")</f>
        <v>■</v>
      </c>
      <c r="F339" s="14" t="s">
        <v>6258</v>
      </c>
      <c r="G339" s="14">
        <v>59144</v>
      </c>
      <c r="H339" s="14">
        <v>65208</v>
      </c>
      <c r="I339" s="14">
        <v>22</v>
      </c>
      <c r="J339" s="14" t="s">
        <v>104</v>
      </c>
      <c r="K339" s="14" t="s">
        <v>6261</v>
      </c>
      <c r="L339" s="14" t="s">
        <v>6260</v>
      </c>
      <c r="M339" s="14" t="s">
        <v>9158</v>
      </c>
      <c r="N339" s="14" t="s">
        <v>9158</v>
      </c>
      <c r="O339" s="14" t="s">
        <v>9158</v>
      </c>
      <c r="P339" s="14" t="s">
        <v>9158</v>
      </c>
      <c r="Q339" s="14" t="s">
        <v>9158</v>
      </c>
    </row>
    <row r="341" spans="1:18">
      <c r="A341" s="14" t="s">
        <v>13713</v>
      </c>
    </row>
    <row r="342" spans="1:18">
      <c r="A342" s="14" t="s">
        <v>13714</v>
      </c>
    </row>
    <row r="343" spans="1:18">
      <c r="A343" s="14" t="s">
        <v>5620</v>
      </c>
      <c r="B343" s="14" t="s">
        <v>52</v>
      </c>
      <c r="C343" s="14" t="s">
        <v>344</v>
      </c>
      <c r="D343" s="19" t="s">
        <v>669</v>
      </c>
      <c r="E343" s="15" t="str">
        <f>HYPERLINK("https://stat100.ameba.jp/tnk47/ratio20/illustrations/card/ill_67173_0_yukemuriawamorichan03.jpg?202009-i_prefecture_active_user", "■")</f>
        <v>■</v>
      </c>
      <c r="F343" s="14" t="s">
        <v>2043</v>
      </c>
      <c r="G343" s="14">
        <v>192083</v>
      </c>
      <c r="H343" s="14">
        <v>178578</v>
      </c>
      <c r="I343" s="14">
        <v>25</v>
      </c>
      <c r="J343" s="14" t="s">
        <v>104</v>
      </c>
      <c r="K343" s="14" t="s">
        <v>2044</v>
      </c>
      <c r="L343" s="14" t="s">
        <v>2045</v>
      </c>
      <c r="M343" s="14" t="s">
        <v>9158</v>
      </c>
      <c r="N343" s="14" t="s">
        <v>9158</v>
      </c>
      <c r="O343" s="19" t="s">
        <v>10087</v>
      </c>
      <c r="P343" s="14" t="s">
        <v>3455</v>
      </c>
      <c r="Q343" s="14">
        <v>1</v>
      </c>
    </row>
    <row r="344" spans="1:18">
      <c r="A344" s="14">
        <v>88323</v>
      </c>
      <c r="B344" s="14" t="s">
        <v>0</v>
      </c>
      <c r="C344" s="14" t="s">
        <v>205</v>
      </c>
      <c r="D344" s="18" t="s">
        <v>12019</v>
      </c>
      <c r="E344" s="15" t="str">
        <f>HYPERLINK("https://stat100.ameba.jp/tnk47/ratio20/illustrations/card/ill_88323_hanamibakedanuki03.jpg?202009-i_prefecture_active_user", "■")</f>
        <v>■</v>
      </c>
      <c r="F344" s="14" t="s">
        <v>12020</v>
      </c>
      <c r="G344" s="14">
        <v>100744</v>
      </c>
      <c r="H344" s="14">
        <v>108330</v>
      </c>
      <c r="I344" s="14">
        <v>26</v>
      </c>
      <c r="J344" s="14" t="s">
        <v>73</v>
      </c>
      <c r="K344" s="14" t="s">
        <v>12021</v>
      </c>
      <c r="L344" s="14" t="s">
        <v>12022</v>
      </c>
      <c r="M344" s="14" t="s">
        <v>9158</v>
      </c>
      <c r="N344" s="14" t="s">
        <v>9158</v>
      </c>
      <c r="O344" s="6" t="s">
        <v>10064</v>
      </c>
      <c r="P344" s="7" t="s">
        <v>13150</v>
      </c>
      <c r="Q344" s="7">
        <v>1</v>
      </c>
    </row>
    <row r="345" spans="1:18">
      <c r="A345" s="14">
        <v>77903</v>
      </c>
      <c r="B345" s="14" t="s">
        <v>0</v>
      </c>
      <c r="C345" s="14" t="s">
        <v>185</v>
      </c>
      <c r="D345" s="20" t="s">
        <v>10405</v>
      </c>
      <c r="E345" s="15" t="str">
        <f>HYPERLINK("https://stat100.ameba.jp/tnk47/ratio20/illustrations/card/ill_77903_kurisumasudaisakusendongurikorokoro03.jpg?202009-i_prefecture_active_user", "■")</f>
        <v>■</v>
      </c>
      <c r="F345" s="14" t="s">
        <v>2131</v>
      </c>
      <c r="G345" s="14">
        <v>118656</v>
      </c>
      <c r="H345" s="14">
        <v>110126</v>
      </c>
      <c r="I345" s="14">
        <v>26</v>
      </c>
      <c r="J345" s="14" t="s">
        <v>38</v>
      </c>
      <c r="K345" s="14" t="s">
        <v>2132</v>
      </c>
      <c r="L345" s="14" t="s">
        <v>2133</v>
      </c>
      <c r="M345" s="14" t="s">
        <v>9158</v>
      </c>
      <c r="N345" s="14" t="s">
        <v>9158</v>
      </c>
      <c r="O345" s="19" t="s">
        <v>10090</v>
      </c>
      <c r="P345" s="14" t="s">
        <v>3460</v>
      </c>
      <c r="Q345" s="14">
        <v>1</v>
      </c>
    </row>
    <row r="346" spans="1:18">
      <c r="A346" s="14">
        <v>84863</v>
      </c>
      <c r="B346" s="14" t="s">
        <v>0</v>
      </c>
      <c r="C346" s="14" t="s">
        <v>200</v>
      </c>
      <c r="D346" s="19" t="s">
        <v>10742</v>
      </c>
      <c r="E346" s="15" t="str">
        <f>HYPERLINK("https://stat100.ameba.jp/tnk47/ratio20/illustrations/card/ill_84863_onsengaiarisubekon03.jpg?202009-i_prefecture_active_user", "■")</f>
        <v>■</v>
      </c>
      <c r="F346" s="14" t="s">
        <v>7796</v>
      </c>
      <c r="G346" s="14">
        <v>105426</v>
      </c>
      <c r="H346" s="14">
        <v>98066</v>
      </c>
      <c r="I346" s="14">
        <v>26</v>
      </c>
      <c r="J346" s="14" t="s">
        <v>159</v>
      </c>
      <c r="K346" s="14" t="s">
        <v>7795</v>
      </c>
      <c r="L346" s="14" t="s">
        <v>7794</v>
      </c>
      <c r="M346" s="14" t="s">
        <v>9158</v>
      </c>
      <c r="N346" s="14" t="s">
        <v>9158</v>
      </c>
      <c r="O346" s="19" t="s">
        <v>2951</v>
      </c>
      <c r="P346" s="14" t="s">
        <v>13122</v>
      </c>
      <c r="Q346" s="14">
        <v>1</v>
      </c>
    </row>
    <row r="348" spans="1:18">
      <c r="A348" s="14" t="s">
        <v>13327</v>
      </c>
    </row>
    <row r="349" spans="1:18">
      <c r="A349" s="14" t="s">
        <v>13715</v>
      </c>
    </row>
    <row r="350" spans="1:18">
      <c r="A350" s="14">
        <v>83973</v>
      </c>
      <c r="B350" s="14" t="s">
        <v>334</v>
      </c>
      <c r="C350" s="14" t="s">
        <v>14</v>
      </c>
      <c r="D350" s="19" t="s">
        <v>10570</v>
      </c>
      <c r="E350" s="15" t="str">
        <f>HYPERLINK("https://stat100.ameba.jp/tnk47/ratio20/illustrations/card/ill_83973_nekokishiirurosu03.jpg?202009-i_prefecture_active_user", "■")</f>
        <v>■</v>
      </c>
      <c r="F350" s="14" t="s">
        <v>6706</v>
      </c>
      <c r="G350" s="14">
        <v>132922</v>
      </c>
      <c r="H350" s="14">
        <v>123583</v>
      </c>
      <c r="I350" s="14">
        <v>27</v>
      </c>
      <c r="J350" s="14" t="s">
        <v>229</v>
      </c>
      <c r="K350" s="14" t="s">
        <v>6707</v>
      </c>
      <c r="L350" s="14" t="s">
        <v>13202</v>
      </c>
      <c r="M350" s="14" t="s">
        <v>13130</v>
      </c>
      <c r="N350" s="14" t="s">
        <v>343</v>
      </c>
      <c r="O350" s="14" t="s">
        <v>9158</v>
      </c>
      <c r="P350" s="14" t="s">
        <v>9158</v>
      </c>
      <c r="Q350" s="14" t="s">
        <v>9158</v>
      </c>
      <c r="R350" s="14" t="s">
        <v>14748</v>
      </c>
    </row>
    <row r="351" spans="1:18">
      <c r="A351" s="14">
        <v>83972</v>
      </c>
      <c r="B351" s="14" t="s">
        <v>334</v>
      </c>
      <c r="C351" s="14" t="s">
        <v>14</v>
      </c>
      <c r="D351" s="19" t="s">
        <v>10570</v>
      </c>
      <c r="E351" s="15" t="str">
        <f>HYPERLINK("https://stat100.ameba.jp/tnk47/ratio20/illustrations/card/ill_83972_nekokishiirurosu02.jpg?202009-i_prefecture_active_user", "■")</f>
        <v>■</v>
      </c>
      <c r="F351" s="14" t="s">
        <v>6706</v>
      </c>
      <c r="G351" s="14">
        <v>111115</v>
      </c>
      <c r="H351" s="14">
        <v>102356</v>
      </c>
      <c r="I351" s="14">
        <v>27</v>
      </c>
      <c r="J351" s="14" t="s">
        <v>229</v>
      </c>
      <c r="K351" s="14" t="s">
        <v>6707</v>
      </c>
      <c r="L351" s="14" t="s">
        <v>13201</v>
      </c>
      <c r="M351" s="14" t="s">
        <v>13131</v>
      </c>
      <c r="N351" s="14" t="s">
        <v>251</v>
      </c>
      <c r="O351" s="14" t="s">
        <v>9158</v>
      </c>
      <c r="P351" s="14" t="s">
        <v>9158</v>
      </c>
      <c r="Q351" s="14" t="s">
        <v>9158</v>
      </c>
      <c r="R351" s="14" t="s">
        <v>14748</v>
      </c>
    </row>
    <row r="352" spans="1:18">
      <c r="A352" s="14">
        <v>83971</v>
      </c>
      <c r="B352" s="14" t="s">
        <v>0</v>
      </c>
      <c r="C352" s="14" t="s">
        <v>14</v>
      </c>
      <c r="D352" s="19" t="s">
        <v>10570</v>
      </c>
      <c r="E352" s="15" t="str">
        <f>HYPERLINK("https://stat100.ameba.jp/tnk47/ratio20/illustrations/card/ill_83971_nekokishiirurosu01.jpg?202009-i_prefecture_active_user", "■")</f>
        <v>■</v>
      </c>
      <c r="F352" s="14" t="s">
        <v>6706</v>
      </c>
      <c r="G352" s="14">
        <v>84834</v>
      </c>
      <c r="H352" s="14">
        <v>78975</v>
      </c>
      <c r="I352" s="14">
        <v>27</v>
      </c>
      <c r="J352" s="14" t="s">
        <v>229</v>
      </c>
      <c r="K352" s="14" t="s">
        <v>6707</v>
      </c>
      <c r="L352" s="14" t="s">
        <v>13201</v>
      </c>
      <c r="M352" s="14" t="s">
        <v>13131</v>
      </c>
      <c r="N352" s="14" t="s">
        <v>251</v>
      </c>
      <c r="O352" s="14" t="s">
        <v>9158</v>
      </c>
      <c r="P352" s="14" t="s">
        <v>9158</v>
      </c>
      <c r="Q352" s="14" t="s">
        <v>9158</v>
      </c>
      <c r="R352" s="14" t="s">
        <v>14748</v>
      </c>
    </row>
    <row r="353" spans="1:18">
      <c r="A353" s="14">
        <v>83983</v>
      </c>
      <c r="B353" s="14" t="s">
        <v>334</v>
      </c>
      <c r="C353" s="14" t="s">
        <v>23</v>
      </c>
      <c r="D353" s="19" t="s">
        <v>10571</v>
      </c>
      <c r="E353" s="15" t="str">
        <f>HYPERLINK("https://stat100.ameba.jp/tnk47/ratio20/illustrations/card/ill_83983_ryujinsui03.jpg?202009-i_prefecture_active_user", "■")</f>
        <v>■</v>
      </c>
      <c r="F353" s="14" t="s">
        <v>6708</v>
      </c>
      <c r="G353" s="14">
        <v>123583</v>
      </c>
      <c r="H353" s="14">
        <v>132922</v>
      </c>
      <c r="I353" s="14">
        <v>27</v>
      </c>
      <c r="J353" s="14" t="s">
        <v>169</v>
      </c>
      <c r="K353" s="14" t="s">
        <v>6710</v>
      </c>
      <c r="L353" s="14" t="s">
        <v>6721</v>
      </c>
      <c r="M353" s="14" t="s">
        <v>13130</v>
      </c>
      <c r="N353" s="14" t="s">
        <v>343</v>
      </c>
      <c r="O353" s="14" t="s">
        <v>9158</v>
      </c>
      <c r="P353" s="14" t="s">
        <v>9158</v>
      </c>
      <c r="Q353" s="14" t="s">
        <v>9158</v>
      </c>
      <c r="R353" s="14" t="s">
        <v>14748</v>
      </c>
    </row>
    <row r="354" spans="1:18">
      <c r="A354" s="14">
        <v>83993</v>
      </c>
      <c r="B354" s="14" t="s">
        <v>334</v>
      </c>
      <c r="C354" s="14" t="s">
        <v>101</v>
      </c>
      <c r="D354" s="19" t="s">
        <v>10572</v>
      </c>
      <c r="E354" s="15" t="str">
        <f>HYPERLINK("https://stat100.ameba.jp/tnk47/ratio20/illustrations/card/ill_83993_enjieruzuranotamagochan03.jpg?202009-i_prefecture_active_user", "■")</f>
        <v>■</v>
      </c>
      <c r="F354" s="14" t="s">
        <v>6722</v>
      </c>
      <c r="G354" s="14">
        <v>123583</v>
      </c>
      <c r="H354" s="14">
        <v>132922</v>
      </c>
      <c r="I354" s="14">
        <v>27</v>
      </c>
      <c r="J354" s="14" t="s">
        <v>216</v>
      </c>
      <c r="K354" s="14" t="s">
        <v>6723</v>
      </c>
      <c r="L354" s="14" t="s">
        <v>6724</v>
      </c>
      <c r="M354" s="14" t="s">
        <v>13130</v>
      </c>
      <c r="N354" s="14" t="s">
        <v>343</v>
      </c>
      <c r="O354" s="14" t="s">
        <v>9158</v>
      </c>
      <c r="P354" s="14" t="s">
        <v>9158</v>
      </c>
      <c r="Q354" s="14" t="s">
        <v>9158</v>
      </c>
      <c r="R354" s="14" t="s">
        <v>14748</v>
      </c>
    </row>
    <row r="355" spans="1:18">
      <c r="A355" s="14">
        <v>84003</v>
      </c>
      <c r="B355" s="14" t="s">
        <v>0</v>
      </c>
      <c r="C355" s="14" t="s">
        <v>96</v>
      </c>
      <c r="D355" s="19" t="s">
        <v>10573</v>
      </c>
      <c r="E355" s="15" t="str">
        <f>HYPERLINK("https://stat100.ameba.jp/tnk47/ratio20/illustrations/card/ill_84003_sukoropendora03.jpg?202009-i_prefecture_active_user", "■")</f>
        <v>■</v>
      </c>
      <c r="F355" s="14" t="s">
        <v>6725</v>
      </c>
      <c r="G355" s="14">
        <v>132922</v>
      </c>
      <c r="H355" s="14">
        <v>123583</v>
      </c>
      <c r="I355" s="14">
        <v>27</v>
      </c>
      <c r="J355" s="14" t="s">
        <v>182</v>
      </c>
      <c r="K355" s="14" t="s">
        <v>6727</v>
      </c>
      <c r="L355" s="14" t="s">
        <v>6728</v>
      </c>
      <c r="M355" s="14" t="s">
        <v>13130</v>
      </c>
      <c r="N355" s="14" t="s">
        <v>343</v>
      </c>
      <c r="O355" s="14" t="s">
        <v>9158</v>
      </c>
      <c r="P355" s="14" t="s">
        <v>9158</v>
      </c>
      <c r="Q355" s="14" t="s">
        <v>9158</v>
      </c>
      <c r="R355" s="14" t="s">
        <v>14748</v>
      </c>
    </row>
    <row r="356" spans="1:18">
      <c r="A356" s="14">
        <v>84013</v>
      </c>
      <c r="B356" s="14" t="s">
        <v>334</v>
      </c>
      <c r="C356" s="14" t="s">
        <v>205</v>
      </c>
      <c r="D356" s="19" t="s">
        <v>10574</v>
      </c>
      <c r="E356" s="15" t="str">
        <f>HYPERLINK("https://stat100.ameba.jp/tnk47/ratio20/illustrations/card/ill_84013_neikiddo03.jpg?202009-i_prefecture_active_user", "■")</f>
        <v>■</v>
      </c>
      <c r="F356" s="14" t="s">
        <v>6729</v>
      </c>
      <c r="G356" s="14">
        <v>123583</v>
      </c>
      <c r="H356" s="14">
        <v>132922</v>
      </c>
      <c r="I356" s="14">
        <v>27</v>
      </c>
      <c r="J356" s="14" t="s">
        <v>194</v>
      </c>
      <c r="K356" s="14" t="s">
        <v>6731</v>
      </c>
      <c r="L356" s="14" t="s">
        <v>6732</v>
      </c>
      <c r="M356" s="14" t="s">
        <v>13130</v>
      </c>
      <c r="N356" s="14" t="s">
        <v>343</v>
      </c>
      <c r="O356" s="14" t="s">
        <v>9158</v>
      </c>
      <c r="P356" s="14" t="s">
        <v>9158</v>
      </c>
      <c r="Q356" s="14" t="s">
        <v>9158</v>
      </c>
      <c r="R356" s="14" t="s">
        <v>14748</v>
      </c>
    </row>
    <row r="357" spans="1:18">
      <c r="A357" s="14">
        <v>76763</v>
      </c>
      <c r="B357" s="14" t="s">
        <v>334</v>
      </c>
      <c r="C357" s="14" t="s">
        <v>107</v>
      </c>
      <c r="D357" s="19" t="s">
        <v>10575</v>
      </c>
      <c r="E357" s="15" t="str">
        <f>HYPERLINK("https://stat100.ameba.jp/tnk47/ratio20/illustrations/card/ill_76763_monsutanabeshimakeiginni03.jpg?202009-i_prefecture_active_user", "■")</f>
        <v>■</v>
      </c>
      <c r="F357" s="14" t="s">
        <v>6733</v>
      </c>
      <c r="G357" s="14">
        <v>132922</v>
      </c>
      <c r="H357" s="14">
        <v>123583</v>
      </c>
      <c r="I357" s="14">
        <v>27</v>
      </c>
      <c r="J357" s="14" t="s">
        <v>187</v>
      </c>
      <c r="K357" s="14" t="s">
        <v>6735</v>
      </c>
      <c r="L357" s="14" t="s">
        <v>6736</v>
      </c>
      <c r="M357" s="14" t="s">
        <v>13130</v>
      </c>
      <c r="N357" s="14" t="s">
        <v>343</v>
      </c>
      <c r="O357" s="14" t="s">
        <v>9158</v>
      </c>
      <c r="P357" s="14" t="s">
        <v>9158</v>
      </c>
      <c r="Q357" s="14" t="s">
        <v>9158</v>
      </c>
      <c r="R357" s="14" t="s">
        <v>14748</v>
      </c>
    </row>
    <row r="359" spans="1:18">
      <c r="A359" s="14" t="s">
        <v>1711</v>
      </c>
    </row>
    <row r="360" spans="1:18">
      <c r="A360" s="14" t="s">
        <v>13716</v>
      </c>
    </row>
    <row r="361" spans="1:18">
      <c r="A361" s="14" t="s">
        <v>5650</v>
      </c>
      <c r="B361" s="14" t="s">
        <v>52</v>
      </c>
      <c r="C361" s="14" t="s">
        <v>23</v>
      </c>
      <c r="D361" s="19" t="s">
        <v>13719</v>
      </c>
      <c r="E361" s="15" t="str">
        <f>HYPERLINK("https://stat100.ameba.jp/tnk47/ratio20/illustrations/card/ill_68033_0_kurisumasupateikandamyojin03.jpg?202009-i_prefecture_active_user", "■")</f>
        <v>■</v>
      </c>
      <c r="F361" s="14" t="s">
        <v>1871</v>
      </c>
      <c r="G361" s="14">
        <v>152594</v>
      </c>
      <c r="H361" s="14">
        <v>164144</v>
      </c>
      <c r="I361" s="14">
        <v>24</v>
      </c>
      <c r="J361" s="14" t="s">
        <v>44</v>
      </c>
      <c r="K361" s="14" t="s">
        <v>1872</v>
      </c>
      <c r="L361" s="14" t="s">
        <v>1873</v>
      </c>
      <c r="M361" s="14" t="s">
        <v>9158</v>
      </c>
      <c r="N361" s="14" t="s">
        <v>9158</v>
      </c>
      <c r="O361" s="19" t="s">
        <v>2997</v>
      </c>
      <c r="P361" s="14" t="s">
        <v>3483</v>
      </c>
      <c r="Q361" s="14">
        <v>2</v>
      </c>
    </row>
    <row r="362" spans="1:18">
      <c r="A362" s="14" t="s">
        <v>5899</v>
      </c>
      <c r="B362" s="14" t="s">
        <v>330</v>
      </c>
      <c r="C362" s="14" t="s">
        <v>205</v>
      </c>
      <c r="D362" s="20" t="s">
        <v>1559</v>
      </c>
      <c r="E362" s="15" t="str">
        <f>HYPERLINK("https://stat100.ameba.jp/tnk47/ratio20/illustrations/card/ill_73773_0_umibirakiinugamigyobu03.jpg?202009-i_prefecture_active_user", "■")</f>
        <v>■</v>
      </c>
      <c r="F362" s="14" t="s">
        <v>935</v>
      </c>
      <c r="G362" s="14">
        <v>208256</v>
      </c>
      <c r="H362" s="14">
        <v>224000</v>
      </c>
      <c r="I362" s="14">
        <v>24</v>
      </c>
      <c r="J362" s="14" t="s">
        <v>182</v>
      </c>
      <c r="K362" s="14" t="s">
        <v>936</v>
      </c>
      <c r="L362" s="14" t="s">
        <v>13147</v>
      </c>
      <c r="M362" s="14" t="s">
        <v>9158</v>
      </c>
      <c r="N362" s="14" t="s">
        <v>9158</v>
      </c>
      <c r="O362" s="19" t="s">
        <v>2978</v>
      </c>
      <c r="P362" s="14" t="s">
        <v>2979</v>
      </c>
      <c r="Q362" s="14">
        <v>2</v>
      </c>
    </row>
    <row r="363" spans="1:18">
      <c r="A363" s="14" t="s">
        <v>5902</v>
      </c>
      <c r="B363" s="14" t="s">
        <v>330</v>
      </c>
      <c r="C363" s="14" t="s">
        <v>206</v>
      </c>
      <c r="D363" s="19" t="s">
        <v>483</v>
      </c>
      <c r="E363" s="15" t="str">
        <f>HYPERLINK("https://stat100.ameba.jp/tnk47/ratio20/illustrations/card/ill_40343_0_heshikirihasebekurodakambe03.jpg?202009-i_prefecture_active_user", "■")</f>
        <v>■</v>
      </c>
      <c r="F363" s="14" t="s">
        <v>906</v>
      </c>
      <c r="G363" s="14">
        <v>140448</v>
      </c>
      <c r="H363" s="14">
        <v>131538</v>
      </c>
      <c r="I363" s="14">
        <v>24</v>
      </c>
      <c r="J363" s="14" t="s">
        <v>16</v>
      </c>
      <c r="K363" s="14" t="s">
        <v>907</v>
      </c>
      <c r="L363" s="14" t="s">
        <v>908</v>
      </c>
      <c r="M363" s="14" t="s">
        <v>9158</v>
      </c>
      <c r="N363" s="14" t="s">
        <v>9158</v>
      </c>
      <c r="O363" s="14" t="s">
        <v>9158</v>
      </c>
      <c r="P363" s="14" t="s">
        <v>9158</v>
      </c>
      <c r="Q363" s="14" t="s">
        <v>9158</v>
      </c>
    </row>
    <row r="364" spans="1:18">
      <c r="A364" s="14">
        <v>91323</v>
      </c>
      <c r="B364" s="14" t="s">
        <v>334</v>
      </c>
      <c r="C364" s="14" t="s">
        <v>101</v>
      </c>
      <c r="D364" s="14" t="s">
        <v>13494</v>
      </c>
      <c r="E364" s="15" t="str">
        <f>HYPERLINK("https://stat100.ameba.jp/tnk47/ratio20/illustrations/card/ill_91323_nagahime03.jpg?202009-i_prefecture_active_user", "■")</f>
        <v>■</v>
      </c>
      <c r="F364" s="14" t="s">
        <v>13496</v>
      </c>
      <c r="G364" s="14">
        <v>94390</v>
      </c>
      <c r="H364" s="14">
        <v>101558</v>
      </c>
      <c r="I364" s="7">
        <v>26</v>
      </c>
      <c r="J364" s="14" t="s">
        <v>77</v>
      </c>
      <c r="K364" s="14" t="s">
        <v>13497</v>
      </c>
      <c r="L364" s="14" t="s">
        <v>12139</v>
      </c>
      <c r="M364" s="14" t="s">
        <v>9158</v>
      </c>
      <c r="N364" s="14" t="s">
        <v>9158</v>
      </c>
      <c r="O364" s="14" t="s">
        <v>9158</v>
      </c>
      <c r="P364" s="14" t="s">
        <v>9158</v>
      </c>
      <c r="Q364" s="14" t="s">
        <v>9158</v>
      </c>
    </row>
    <row r="365" spans="1:18">
      <c r="A365" s="14">
        <v>91333</v>
      </c>
      <c r="B365" s="14" t="s">
        <v>15</v>
      </c>
      <c r="C365" s="14" t="s">
        <v>23</v>
      </c>
      <c r="D365" s="14" t="s">
        <v>13501</v>
      </c>
      <c r="E365" s="15" t="str">
        <f>HYPERLINK("https://stat100.ameba.jp/tnk47/ratio20/illustrations/card/ill_91333_minazukikombara03.jpg?202009-i_prefecture_active_user", "■")</f>
        <v>■</v>
      </c>
      <c r="F365" s="14" t="s">
        <v>13502</v>
      </c>
      <c r="G365" s="14">
        <v>77064</v>
      </c>
      <c r="H365" s="14">
        <v>69898</v>
      </c>
      <c r="I365" s="7">
        <v>26</v>
      </c>
      <c r="J365" s="14" t="s">
        <v>26</v>
      </c>
      <c r="K365" s="14" t="s">
        <v>3382</v>
      </c>
      <c r="L365" s="14" t="s">
        <v>2011</v>
      </c>
      <c r="M365" s="14" t="s">
        <v>9158</v>
      </c>
      <c r="N365" s="14" t="s">
        <v>9158</v>
      </c>
      <c r="O365" s="14" t="s">
        <v>9158</v>
      </c>
      <c r="P365" s="14" t="s">
        <v>9158</v>
      </c>
      <c r="Q365" s="14" t="s">
        <v>9158</v>
      </c>
    </row>
    <row r="366" spans="1:18">
      <c r="A366" s="14">
        <v>91343</v>
      </c>
      <c r="B366" s="14" t="s">
        <v>22</v>
      </c>
      <c r="C366" s="14" t="s">
        <v>14</v>
      </c>
      <c r="D366" s="14" t="s">
        <v>13507</v>
      </c>
      <c r="E366" s="15" t="str">
        <f>HYPERLINK("https://stat100.ameba.jp/tnk47/ratio20/illustrations/card/ill_91343_gokuhimesentoin03.jpg?202009-i_prefecture_active_user", "■")</f>
        <v>■</v>
      </c>
      <c r="F366" s="14" t="s">
        <v>13509</v>
      </c>
      <c r="G366" s="14">
        <v>44948</v>
      </c>
      <c r="H366" s="14">
        <v>54058</v>
      </c>
      <c r="I366" s="7">
        <v>26</v>
      </c>
      <c r="J366" s="14" t="s">
        <v>77</v>
      </c>
      <c r="K366" s="14" t="s">
        <v>13510</v>
      </c>
      <c r="L366" s="14" t="s">
        <v>2424</v>
      </c>
      <c r="M366" s="14" t="s">
        <v>9158</v>
      </c>
      <c r="N366" s="14" t="s">
        <v>9158</v>
      </c>
      <c r="O366" s="14" t="s">
        <v>9158</v>
      </c>
      <c r="P366" s="14" t="s">
        <v>9158</v>
      </c>
      <c r="Q366" s="14" t="s">
        <v>9158</v>
      </c>
    </row>
    <row r="367" spans="1:18">
      <c r="A367" s="14">
        <v>91353</v>
      </c>
      <c r="B367" s="14" t="s">
        <v>22</v>
      </c>
      <c r="C367" s="14" t="s">
        <v>96</v>
      </c>
      <c r="D367" s="14" t="s">
        <v>13512</v>
      </c>
      <c r="E367" s="15" t="str">
        <f>HYPERLINK("https://stat100.ameba.jp/tnk47/ratio20/illustrations/card/ill_91353_bijinsotorihime03.jpg?202009-i_prefecture_active_user", "■")</f>
        <v>■</v>
      </c>
      <c r="F367" s="14" t="s">
        <v>13514</v>
      </c>
      <c r="G367" s="14">
        <v>54058</v>
      </c>
      <c r="H367" s="14">
        <v>44948</v>
      </c>
      <c r="I367" s="7">
        <v>26</v>
      </c>
      <c r="J367" s="14" t="s">
        <v>38</v>
      </c>
      <c r="K367" s="14" t="s">
        <v>13516</v>
      </c>
      <c r="L367" s="14" t="s">
        <v>7248</v>
      </c>
      <c r="M367" s="14" t="s">
        <v>9158</v>
      </c>
      <c r="N367" s="14" t="s">
        <v>9158</v>
      </c>
      <c r="O367" s="14" t="s">
        <v>9158</v>
      </c>
      <c r="P367" s="14" t="s">
        <v>9158</v>
      </c>
      <c r="Q367" s="14" t="s">
        <v>9158</v>
      </c>
    </row>
    <row r="369" spans="1:19">
      <c r="A369" s="14" t="s">
        <v>13717</v>
      </c>
    </row>
    <row r="370" spans="1:19">
      <c r="A370" s="14" t="s">
        <v>13718</v>
      </c>
    </row>
    <row r="371" spans="1:19">
      <c r="A371" s="14" t="s">
        <v>5618</v>
      </c>
      <c r="B371" s="14" t="s">
        <v>330</v>
      </c>
      <c r="C371" s="14" t="s">
        <v>200</v>
      </c>
      <c r="D371" s="20" t="s">
        <v>665</v>
      </c>
      <c r="E371" s="15" t="str">
        <f>HYPERLINK("https://stat100.ameba.jp/tnk47/ratio20/illustrations/card/ill_63173_0_minazukikonakaiteruko03.jpg?202009-i_prefecture_active_user", "■")</f>
        <v>■</v>
      </c>
      <c r="F371" s="14" t="s">
        <v>666</v>
      </c>
      <c r="G371" s="14">
        <v>234350</v>
      </c>
      <c r="H371" s="14">
        <v>252030</v>
      </c>
      <c r="I371" s="14">
        <v>27</v>
      </c>
      <c r="J371" s="14" t="s">
        <v>310</v>
      </c>
      <c r="K371" s="14" t="s">
        <v>667</v>
      </c>
      <c r="L371" s="14" t="s">
        <v>668</v>
      </c>
      <c r="M371" s="14" t="s">
        <v>9158</v>
      </c>
      <c r="N371" s="14" t="s">
        <v>9158</v>
      </c>
      <c r="O371" s="19" t="s">
        <v>10079</v>
      </c>
      <c r="P371" s="14" t="s">
        <v>3329</v>
      </c>
      <c r="Q371" s="14">
        <v>1</v>
      </c>
    </row>
    <row r="372" spans="1:19">
      <c r="A372" s="14" t="s">
        <v>5617</v>
      </c>
      <c r="B372" s="14" t="s">
        <v>330</v>
      </c>
      <c r="C372" s="14" t="s">
        <v>308</v>
      </c>
      <c r="D372" s="19" t="s">
        <v>385</v>
      </c>
      <c r="E372" s="15" t="str">
        <f>HYPERLINK("https://stat100.ameba.jp/tnk47/ratio20/illustrations/card/ill_59673_0_oheyashutendoji03.jpg?202009-i_prefecture_active_user", "■")</f>
        <v>■</v>
      </c>
      <c r="F372" s="14" t="s">
        <v>386</v>
      </c>
      <c r="G372" s="14">
        <v>189983</v>
      </c>
      <c r="H372" s="14">
        <v>204345</v>
      </c>
      <c r="I372" s="14">
        <v>27</v>
      </c>
      <c r="J372" s="14" t="s">
        <v>320</v>
      </c>
      <c r="K372" s="14" t="s">
        <v>387</v>
      </c>
      <c r="L372" s="14" t="s">
        <v>388</v>
      </c>
      <c r="M372" s="14" t="s">
        <v>9158</v>
      </c>
      <c r="N372" s="14" t="s">
        <v>9158</v>
      </c>
      <c r="O372" s="19" t="s">
        <v>10078</v>
      </c>
      <c r="P372" s="14" t="s">
        <v>3022</v>
      </c>
      <c r="Q372" s="14">
        <v>1</v>
      </c>
    </row>
    <row r="373" spans="1:19">
      <c r="A373" s="14" t="s">
        <v>5721</v>
      </c>
      <c r="B373" s="14" t="s">
        <v>52</v>
      </c>
      <c r="C373" s="14" t="s">
        <v>1</v>
      </c>
      <c r="D373" s="19" t="s">
        <v>513</v>
      </c>
      <c r="E373" s="15" t="str">
        <f>HYPERLINK("https://stat100.ameba.jp/tnk47/ratio20/illustrations/card/ill_44283_0_izumonokuni03.jpg?202009-i_prefecture_active_user", "■")</f>
        <v>■</v>
      </c>
      <c r="F373" s="14" t="s">
        <v>1716</v>
      </c>
      <c r="G373" s="14">
        <v>158004</v>
      </c>
      <c r="H373" s="14">
        <v>147980</v>
      </c>
      <c r="I373" s="14">
        <v>27</v>
      </c>
      <c r="J373" s="14" t="s">
        <v>16</v>
      </c>
      <c r="K373" s="14" t="s">
        <v>2254</v>
      </c>
      <c r="L373" s="14" t="s">
        <v>1718</v>
      </c>
      <c r="M373" s="14" t="s">
        <v>9158</v>
      </c>
      <c r="N373" s="14" t="s">
        <v>9158</v>
      </c>
      <c r="O373" s="14" t="s">
        <v>9158</v>
      </c>
      <c r="P373" s="14" t="s">
        <v>9158</v>
      </c>
      <c r="Q373" s="14" t="s">
        <v>9158</v>
      </c>
    </row>
    <row r="374" spans="1:19">
      <c r="A374" s="14">
        <v>85373</v>
      </c>
      <c r="B374" s="14" t="s">
        <v>334</v>
      </c>
      <c r="C374" s="14" t="s">
        <v>13721</v>
      </c>
      <c r="D374" s="14" t="s">
        <v>13720</v>
      </c>
      <c r="E374" s="15" t="str">
        <f>HYPERLINK("https://stat100.ameba.jp/tnk47/ratio20/illustrations/card/ill_85373_kurisumasuohitokagehana03.jpg?202009-i_prefecture_active_user", "■")</f>
        <v>■</v>
      </c>
      <c r="F374" s="14" t="s">
        <v>13722</v>
      </c>
      <c r="G374" s="14">
        <v>128737</v>
      </c>
      <c r="H374" s="14">
        <v>119672</v>
      </c>
      <c r="I374" s="14">
        <v>27</v>
      </c>
      <c r="J374" s="14" t="s">
        <v>13725</v>
      </c>
      <c r="K374" s="14" t="s">
        <v>13724</v>
      </c>
      <c r="L374" s="14" t="s">
        <v>13723</v>
      </c>
      <c r="M374" s="14" t="s">
        <v>9158</v>
      </c>
      <c r="N374" s="14" t="s">
        <v>9158</v>
      </c>
      <c r="O374" s="14" t="s">
        <v>9158</v>
      </c>
      <c r="P374" s="14" t="s">
        <v>9158</v>
      </c>
      <c r="Q374" s="14" t="s">
        <v>9158</v>
      </c>
      <c r="S374" s="14" t="s">
        <v>13754</v>
      </c>
    </row>
    <row r="375" spans="1:19">
      <c r="A375" s="14">
        <v>83293</v>
      </c>
      <c r="B375" s="14" t="s">
        <v>334</v>
      </c>
      <c r="C375" s="14" t="s">
        <v>13727</v>
      </c>
      <c r="D375" s="14" t="s">
        <v>13726</v>
      </c>
      <c r="E375" s="15" t="str">
        <f>HYPERLINK("https://stat100.ameba.jp/tnk47/ratio20/illustrations/card/ill_83293_kunoichibasubaga03.jpg?202009-i_prefecture_active_user", "■")</f>
        <v>■</v>
      </c>
      <c r="F375" s="14" t="s">
        <v>13728</v>
      </c>
      <c r="G375" s="14">
        <v>118568</v>
      </c>
      <c r="H375" s="14">
        <v>127507</v>
      </c>
      <c r="I375" s="14">
        <v>27</v>
      </c>
      <c r="J375" s="14" t="s">
        <v>13731</v>
      </c>
      <c r="K375" s="14" t="s">
        <v>13730</v>
      </c>
      <c r="L375" s="14" t="s">
        <v>13729</v>
      </c>
      <c r="M375" s="14" t="s">
        <v>9158</v>
      </c>
      <c r="N375" s="14" t="s">
        <v>9158</v>
      </c>
      <c r="O375" s="14" t="s">
        <v>9158</v>
      </c>
      <c r="P375" s="14" t="s">
        <v>9158</v>
      </c>
      <c r="Q375" s="14" t="s">
        <v>9158</v>
      </c>
      <c r="S375" s="14" t="s">
        <v>13755</v>
      </c>
    </row>
    <row r="376" spans="1:19">
      <c r="A376" s="14">
        <v>83873</v>
      </c>
      <c r="B376" s="14" t="s">
        <v>334</v>
      </c>
      <c r="C376" s="14" t="s">
        <v>13737</v>
      </c>
      <c r="D376" s="14" t="s">
        <v>13736</v>
      </c>
      <c r="E376" s="15" t="str">
        <f>HYPERLINK("https://stat100.ameba.jp/tnk47/ratio20/illustrations/card/ill_83873_manekinekoaputoruyamupeuenyuku03.jpg?202009-i_prefecture_active_user", "■")</f>
        <v>■</v>
      </c>
      <c r="F376" s="14" t="s">
        <v>13735</v>
      </c>
      <c r="G376" s="14">
        <v>104619</v>
      </c>
      <c r="H376" s="14">
        <v>112496</v>
      </c>
      <c r="I376" s="14">
        <v>27</v>
      </c>
      <c r="J376" s="14" t="s">
        <v>13734</v>
      </c>
      <c r="K376" s="14" t="s">
        <v>13733</v>
      </c>
      <c r="L376" s="14" t="s">
        <v>13732</v>
      </c>
      <c r="M376" s="14" t="s">
        <v>9158</v>
      </c>
      <c r="N376" s="14" t="s">
        <v>9158</v>
      </c>
      <c r="O376" s="14" t="s">
        <v>9158</v>
      </c>
      <c r="P376" s="14" t="s">
        <v>9158</v>
      </c>
      <c r="Q376" s="14" t="s">
        <v>9158</v>
      </c>
      <c r="S376" s="14" t="s">
        <v>13756</v>
      </c>
    </row>
    <row r="377" spans="1:19">
      <c r="A377" s="14">
        <v>87513</v>
      </c>
      <c r="B377" s="14" t="s">
        <v>15</v>
      </c>
      <c r="C377" s="14" t="s">
        <v>13742</v>
      </c>
      <c r="D377" s="14" t="s">
        <v>13741</v>
      </c>
      <c r="E377" s="15" t="str">
        <f>HYPERLINK("https://stat100.ameba.jp/tnk47/ratio20/illustrations/card/ill_87513_kurabufuraribi03.jpg?202009-i_prefecture_active_user", "■")</f>
        <v>■</v>
      </c>
      <c r="F377" s="14" t="s">
        <v>13740</v>
      </c>
      <c r="G377" s="14">
        <v>71136</v>
      </c>
      <c r="H377" s="14">
        <v>64520</v>
      </c>
      <c r="I377" s="14">
        <v>24</v>
      </c>
      <c r="J377" s="14" t="s">
        <v>13734</v>
      </c>
      <c r="K377" s="14" t="s">
        <v>13739</v>
      </c>
      <c r="L377" s="14" t="s">
        <v>13738</v>
      </c>
      <c r="M377" s="14" t="s">
        <v>9158</v>
      </c>
      <c r="N377" s="14" t="s">
        <v>9158</v>
      </c>
      <c r="O377" s="14" t="s">
        <v>9158</v>
      </c>
      <c r="P377" s="14" t="s">
        <v>9158</v>
      </c>
      <c r="Q377" s="14" t="s">
        <v>9158</v>
      </c>
      <c r="S377" s="14" t="s">
        <v>13757</v>
      </c>
    </row>
    <row r="378" spans="1:19">
      <c r="A378" s="14">
        <v>80483</v>
      </c>
      <c r="B378" s="14" t="s">
        <v>15</v>
      </c>
      <c r="C378" s="14" t="s">
        <v>13748</v>
      </c>
      <c r="D378" s="14" t="s">
        <v>13747</v>
      </c>
      <c r="E378" s="15" t="str">
        <f>HYPERLINK("https://stat100.ameba.jp/tnk47/ratio20/illustrations/card/ill_80483_yamanouenokura03.jpg?202009-i_prefecture_active_user", "■")</f>
        <v>■</v>
      </c>
      <c r="F378" s="14" t="s">
        <v>13746</v>
      </c>
      <c r="G378" s="14">
        <v>71136</v>
      </c>
      <c r="H378" s="14">
        <v>64520</v>
      </c>
      <c r="I378" s="14">
        <v>24</v>
      </c>
      <c r="J378" s="14" t="s">
        <v>13745</v>
      </c>
      <c r="K378" s="14" t="s">
        <v>13744</v>
      </c>
      <c r="L378" s="14" t="s">
        <v>13743</v>
      </c>
      <c r="M378" s="14" t="s">
        <v>9158</v>
      </c>
      <c r="N378" s="14" t="s">
        <v>9158</v>
      </c>
      <c r="O378" s="14" t="s">
        <v>9158</v>
      </c>
      <c r="P378" s="14" t="s">
        <v>9158</v>
      </c>
      <c r="Q378" s="14" t="s">
        <v>9158</v>
      </c>
      <c r="S378" s="14" t="s">
        <v>13758</v>
      </c>
    </row>
    <row r="379" spans="1:19">
      <c r="A379" s="14">
        <v>85383</v>
      </c>
      <c r="B379" s="14" t="s">
        <v>15</v>
      </c>
      <c r="C379" s="14" t="s">
        <v>13753</v>
      </c>
      <c r="D379" s="14" t="s">
        <v>13752</v>
      </c>
      <c r="E379" s="15" t="str">
        <f>HYPERLINK("https://stat100.ameba.jp/tnk47/ratio20/illustrations/card/ill_85383_genjusodehagi03.jpg?202009-i_prefecture_active_user", "■")</f>
        <v>■</v>
      </c>
      <c r="F379" s="14" t="s">
        <v>13751</v>
      </c>
      <c r="G379" s="14">
        <v>64520</v>
      </c>
      <c r="H379" s="14">
        <v>71136</v>
      </c>
      <c r="I379" s="14">
        <v>24</v>
      </c>
      <c r="J379" s="14" t="s">
        <v>13725</v>
      </c>
      <c r="K379" s="14" t="s">
        <v>13750</v>
      </c>
      <c r="L379" s="14" t="s">
        <v>13749</v>
      </c>
      <c r="M379" s="14" t="s">
        <v>9158</v>
      </c>
      <c r="N379" s="14" t="s">
        <v>9158</v>
      </c>
      <c r="O379" s="14" t="s">
        <v>9158</v>
      </c>
      <c r="P379" s="14" t="s">
        <v>9158</v>
      </c>
      <c r="Q379" s="14" t="s">
        <v>9158</v>
      </c>
      <c r="S379" s="14" t="s">
        <v>13759</v>
      </c>
    </row>
    <row r="381" spans="1:19">
      <c r="A381" s="14" t="s">
        <v>13837</v>
      </c>
    </row>
    <row r="382" spans="1:19">
      <c r="A382" s="14" t="s">
        <v>14064</v>
      </c>
    </row>
    <row r="383" spans="1:19">
      <c r="A383" s="9" t="s">
        <v>5822</v>
      </c>
      <c r="B383" s="14" t="s">
        <v>330</v>
      </c>
      <c r="C383" s="14" t="s">
        <v>191</v>
      </c>
      <c r="D383" s="14" t="s">
        <v>898</v>
      </c>
      <c r="E383" s="15" t="str">
        <f>HYPERLINK("https://stat100.ameba.jp/tnk47/ratio20/illustrations/card/ill_71403_0_ohanamisanadayukimura03.jpg?202009-i_prefecture_active_user", "■")</f>
        <v>■</v>
      </c>
      <c r="F383" s="14" t="s">
        <v>309</v>
      </c>
      <c r="G383" s="14">
        <v>233360</v>
      </c>
      <c r="H383" s="14">
        <v>216990</v>
      </c>
      <c r="I383" s="14">
        <v>25</v>
      </c>
      <c r="J383" s="14" t="s">
        <v>310</v>
      </c>
      <c r="K383" s="14" t="s">
        <v>311</v>
      </c>
      <c r="L383" s="14" t="s">
        <v>312</v>
      </c>
      <c r="M383" s="14" t="s">
        <v>9158</v>
      </c>
      <c r="N383" s="14" t="s">
        <v>9158</v>
      </c>
      <c r="O383" s="17" t="s">
        <v>10060</v>
      </c>
      <c r="P383" s="14" t="s">
        <v>3418</v>
      </c>
      <c r="Q383" s="14">
        <v>2</v>
      </c>
    </row>
    <row r="384" spans="1:19">
      <c r="A384" s="14">
        <v>84153</v>
      </c>
      <c r="B384" s="14" t="s">
        <v>0</v>
      </c>
      <c r="C384" s="14" t="s">
        <v>165</v>
      </c>
      <c r="D384" s="20" t="s">
        <v>14065</v>
      </c>
      <c r="E384" s="15" t="str">
        <f>HYPERLINK("https://stat100.ameba.jp/tnk47/ratio20/illustrations/card/ill_84153_tarottotoyotomihideyori03.jpg?202009-i_prefecture_active_user", "■")</f>
        <v>■</v>
      </c>
      <c r="F384" s="14" t="s">
        <v>7155</v>
      </c>
      <c r="G384" s="14">
        <v>154562</v>
      </c>
      <c r="H384" s="14">
        <v>143714</v>
      </c>
      <c r="I384" s="14">
        <v>26</v>
      </c>
      <c r="J384" s="14" t="s">
        <v>143</v>
      </c>
      <c r="K384" s="14" t="s">
        <v>7156</v>
      </c>
      <c r="L384" s="14" t="s">
        <v>145</v>
      </c>
      <c r="M384" s="14" t="s">
        <v>9158</v>
      </c>
      <c r="N384" s="14" t="s">
        <v>9158</v>
      </c>
      <c r="O384" s="19" t="s">
        <v>10090</v>
      </c>
      <c r="P384" s="14" t="s">
        <v>3460</v>
      </c>
      <c r="Q384" s="14">
        <v>1</v>
      </c>
    </row>
    <row r="385" spans="1:17">
      <c r="A385" s="14">
        <v>75893</v>
      </c>
      <c r="B385" s="14" t="s">
        <v>0</v>
      </c>
      <c r="C385" s="14" t="s">
        <v>158</v>
      </c>
      <c r="D385" s="19" t="s">
        <v>3095</v>
      </c>
      <c r="E385" s="15" t="str">
        <f>HYPERLINK("https://stat100.ameba.jp/tnk47/ratio20/illustrations/card/ill_75893_hamamatsutakuni03.jpg?202009-i_prefecture_active_user", "■")</f>
        <v>■</v>
      </c>
      <c r="F385" s="14" t="s">
        <v>3594</v>
      </c>
      <c r="G385" s="14">
        <v>118000</v>
      </c>
      <c r="H385" s="14">
        <v>85492</v>
      </c>
      <c r="I385" s="14">
        <v>26</v>
      </c>
      <c r="J385" s="14" t="s">
        <v>16</v>
      </c>
      <c r="K385" s="14" t="s">
        <v>3595</v>
      </c>
      <c r="L385" s="14" t="s">
        <v>920</v>
      </c>
      <c r="M385" s="14" t="s">
        <v>9158</v>
      </c>
      <c r="N385" s="14" t="s">
        <v>9158</v>
      </c>
      <c r="O385" s="19" t="s">
        <v>3037</v>
      </c>
      <c r="P385" s="14" t="s">
        <v>13128</v>
      </c>
      <c r="Q385" s="14">
        <v>1</v>
      </c>
    </row>
    <row r="386" spans="1:17">
      <c r="A386" s="14">
        <v>70843</v>
      </c>
      <c r="B386" s="14" t="s">
        <v>334</v>
      </c>
      <c r="C386" s="14" t="s">
        <v>268</v>
      </c>
      <c r="D386" s="20" t="s">
        <v>10651</v>
      </c>
      <c r="E386" s="15" t="str">
        <f>HYPERLINK("https://stat100.ameba.jp/tnk47/ratio20/illustrations/card/ill_70843_indoshinwakurionechan03.jpg?202009-i_prefecture_active_user", "■")</f>
        <v>■</v>
      </c>
      <c r="F386" s="14" t="s">
        <v>856</v>
      </c>
      <c r="G386" s="14">
        <v>110126</v>
      </c>
      <c r="H386" s="14">
        <v>118446</v>
      </c>
      <c r="I386" s="14">
        <v>26</v>
      </c>
      <c r="J386" s="14" t="s">
        <v>369</v>
      </c>
      <c r="K386" s="14" t="s">
        <v>857</v>
      </c>
      <c r="L386" s="14" t="s">
        <v>496</v>
      </c>
      <c r="M386" s="14" t="s">
        <v>9158</v>
      </c>
      <c r="N386" s="14" t="s">
        <v>9158</v>
      </c>
      <c r="O386" s="19" t="s">
        <v>10074</v>
      </c>
      <c r="P386" s="14" t="s">
        <v>3592</v>
      </c>
      <c r="Q386" s="14">
        <v>1</v>
      </c>
    </row>
    <row r="388" spans="1:17">
      <c r="A388" s="14" t="s">
        <v>13912</v>
      </c>
    </row>
    <row r="389" spans="1:17">
      <c r="A389" s="14" t="s">
        <v>14066</v>
      </c>
    </row>
    <row r="390" spans="1:17">
      <c r="A390" s="9" t="s">
        <v>11574</v>
      </c>
      <c r="B390" s="9" t="s">
        <v>117</v>
      </c>
      <c r="C390" s="9" t="s">
        <v>202</v>
      </c>
      <c r="D390" s="9" t="s">
        <v>11568</v>
      </c>
      <c r="E390" s="15" t="str">
        <f>HYPERLINK("https://stat100.ameba.jp/tnk47/ratio20/illustrations/card/ill_88133_0_henreisankammi03.jpg?202009-i_prefecture_active_user", "■")</f>
        <v>■</v>
      </c>
      <c r="F390" s="9" t="s">
        <v>11573</v>
      </c>
      <c r="G390" s="9">
        <v>357990</v>
      </c>
      <c r="H390" s="9">
        <v>323564</v>
      </c>
      <c r="I390" s="9">
        <v>30</v>
      </c>
      <c r="J390" s="9" t="s">
        <v>216</v>
      </c>
      <c r="K390" s="9" t="s">
        <v>11570</v>
      </c>
      <c r="L390" s="9" t="s">
        <v>13227</v>
      </c>
      <c r="M390" s="14" t="s">
        <v>9158</v>
      </c>
      <c r="N390" s="14" t="s">
        <v>9158</v>
      </c>
      <c r="O390" s="9" t="s">
        <v>11571</v>
      </c>
      <c r="P390" s="9" t="s">
        <v>11572</v>
      </c>
      <c r="Q390" s="9">
        <v>1</v>
      </c>
    </row>
    <row r="391" spans="1:17">
      <c r="A391" s="14">
        <v>84653</v>
      </c>
      <c r="B391" s="14" t="s">
        <v>334</v>
      </c>
      <c r="C391" s="14" t="s">
        <v>209</v>
      </c>
      <c r="D391" s="20" t="s">
        <v>10626</v>
      </c>
      <c r="E391" s="15" t="str">
        <f>HYPERLINK("https://stat100.ameba.jp/tnk47/ratio20/illustrations/card/ill_84653_soru03.jpg?202009-i_prefecture_active_user", "■")</f>
        <v>■</v>
      </c>
      <c r="F391" s="14" t="s">
        <v>6954</v>
      </c>
      <c r="G391" s="14">
        <v>82318</v>
      </c>
      <c r="H391" s="14">
        <v>113630</v>
      </c>
      <c r="I391" s="14">
        <v>26</v>
      </c>
      <c r="J391" s="14" t="s">
        <v>44</v>
      </c>
      <c r="K391" s="14" t="s">
        <v>6956</v>
      </c>
      <c r="L391" s="14" t="s">
        <v>3652</v>
      </c>
      <c r="M391" s="14" t="s">
        <v>9158</v>
      </c>
      <c r="N391" s="14" t="s">
        <v>9158</v>
      </c>
      <c r="O391" s="19" t="s">
        <v>10103</v>
      </c>
      <c r="P391" s="14" t="s">
        <v>3897</v>
      </c>
      <c r="Q391" s="14">
        <v>1</v>
      </c>
    </row>
    <row r="392" spans="1:17">
      <c r="A392" s="14">
        <v>81023</v>
      </c>
      <c r="B392" s="14" t="s">
        <v>334</v>
      </c>
      <c r="C392" s="14" t="s">
        <v>41</v>
      </c>
      <c r="D392" s="19" t="s">
        <v>10274</v>
      </c>
      <c r="E392" s="15" t="str">
        <f>HYPERLINK("https://stat100.ameba.jp/tnk47/ratio20/illustrations/card/ill_81023_momonokenki03.jpg?202009-i_prefecture_active_user", "■")</f>
        <v>■</v>
      </c>
      <c r="F392" s="14" t="s">
        <v>4088</v>
      </c>
      <c r="G392" s="14">
        <v>137430</v>
      </c>
      <c r="H392" s="14">
        <v>99532</v>
      </c>
      <c r="I392" s="14">
        <v>26</v>
      </c>
      <c r="J392" s="14" t="s">
        <v>143</v>
      </c>
      <c r="K392" s="14" t="s">
        <v>4089</v>
      </c>
      <c r="L392" s="14" t="s">
        <v>2049</v>
      </c>
      <c r="M392" s="14" t="s">
        <v>9158</v>
      </c>
      <c r="N392" s="14" t="s">
        <v>9158</v>
      </c>
      <c r="O392" s="19" t="s">
        <v>10096</v>
      </c>
      <c r="P392" s="14" t="s">
        <v>3245</v>
      </c>
      <c r="Q392" s="14">
        <v>1</v>
      </c>
    </row>
    <row r="393" spans="1:17">
      <c r="A393" s="16">
        <v>75853</v>
      </c>
      <c r="B393" s="14" t="s">
        <v>334</v>
      </c>
      <c r="C393" s="14" t="s">
        <v>41</v>
      </c>
      <c r="D393" s="19" t="s">
        <v>10224</v>
      </c>
      <c r="E393" s="15" t="str">
        <f>HYPERLINK("https://stat100.ameba.jp/tnk47/ratio20/illustrations/card/ill_75853_moruganoyuki03.jpg?202009-i_prefecture_active_user", "■")</f>
        <v>■</v>
      </c>
      <c r="F393" s="14" t="s">
        <v>5106</v>
      </c>
      <c r="G393" s="14">
        <v>130000</v>
      </c>
      <c r="H393" s="14">
        <v>120874</v>
      </c>
      <c r="I393" s="14">
        <v>26</v>
      </c>
      <c r="J393" s="14" t="s">
        <v>16</v>
      </c>
      <c r="K393" s="14" t="s">
        <v>5108</v>
      </c>
      <c r="L393" s="14" t="s">
        <v>1881</v>
      </c>
      <c r="M393" s="14" t="s">
        <v>9158</v>
      </c>
      <c r="N393" s="14" t="s">
        <v>9158</v>
      </c>
      <c r="O393" s="7" t="s">
        <v>3578</v>
      </c>
      <c r="P393" s="14" t="s">
        <v>3579</v>
      </c>
      <c r="Q393" s="14">
        <v>1</v>
      </c>
    </row>
    <row r="394" spans="1:17">
      <c r="A394" s="14">
        <v>84633</v>
      </c>
      <c r="B394" s="14" t="s">
        <v>334</v>
      </c>
      <c r="C394" s="14" t="s">
        <v>154</v>
      </c>
      <c r="D394" s="20" t="s">
        <v>10586</v>
      </c>
      <c r="E394" s="15" t="str">
        <f>HYPERLINK("https://stat100.ameba.jp/tnk47/ratio20/illustrations/card/ill_84633_akubishoppu03.jpg?202009-i_prefecture_active_user", "■")</f>
        <v>■</v>
      </c>
      <c r="F394" s="14" t="s">
        <v>6762</v>
      </c>
      <c r="G394" s="14">
        <v>113630</v>
      </c>
      <c r="H394" s="14">
        <v>82318</v>
      </c>
      <c r="I394" s="14">
        <v>26</v>
      </c>
      <c r="J394" s="14" t="s">
        <v>10</v>
      </c>
      <c r="K394" s="14" t="s">
        <v>6764</v>
      </c>
      <c r="L394" s="14" t="s">
        <v>6763</v>
      </c>
      <c r="M394" s="14" t="s">
        <v>9158</v>
      </c>
      <c r="N394" s="14" t="s">
        <v>9158</v>
      </c>
      <c r="O394" s="19" t="s">
        <v>10090</v>
      </c>
      <c r="P394" s="14" t="s">
        <v>3460</v>
      </c>
      <c r="Q394" s="14">
        <v>1</v>
      </c>
    </row>
    <row r="395" spans="1:17">
      <c r="A395" s="14">
        <v>80173</v>
      </c>
      <c r="B395" s="14" t="s">
        <v>334</v>
      </c>
      <c r="C395" s="14" t="s">
        <v>47</v>
      </c>
      <c r="D395" s="20" t="s">
        <v>10390</v>
      </c>
      <c r="E395" s="15" t="str">
        <f>HYPERLINK("https://stat100.ameba.jp/tnk47/ratio20/illustrations/card/ill_80173_jusomedeia03.jpg?202009-i_prefecture_active_user", "■")</f>
        <v>■</v>
      </c>
      <c r="F395" s="14" t="s">
        <v>3914</v>
      </c>
      <c r="G395" s="14">
        <v>99532</v>
      </c>
      <c r="H395" s="14">
        <v>137430</v>
      </c>
      <c r="I395" s="14">
        <v>26</v>
      </c>
      <c r="J395" s="14" t="s">
        <v>73</v>
      </c>
      <c r="K395" s="14" t="s">
        <v>3915</v>
      </c>
      <c r="L395" s="14" t="s">
        <v>1033</v>
      </c>
      <c r="M395" s="14" t="s">
        <v>9158</v>
      </c>
      <c r="N395" s="14" t="s">
        <v>9158</v>
      </c>
      <c r="O395" s="19" t="s">
        <v>10074</v>
      </c>
      <c r="P395" s="14" t="s">
        <v>3592</v>
      </c>
      <c r="Q395" s="14">
        <v>1</v>
      </c>
    </row>
    <row r="396" spans="1:17">
      <c r="A396" s="9">
        <v>73103</v>
      </c>
      <c r="B396" s="14" t="s">
        <v>334</v>
      </c>
      <c r="C396" s="14" t="s">
        <v>41</v>
      </c>
      <c r="D396" s="14" t="s">
        <v>2105</v>
      </c>
      <c r="E396" s="15" t="str">
        <f>HYPERLINK("https://stat100.ameba.jp/tnk47/ratio20/illustrations/card/ill_73103_nominookata03.jpg?202009-i_prefecture_active_user", "■")</f>
        <v>■</v>
      </c>
      <c r="F396" s="14" t="s">
        <v>2106</v>
      </c>
      <c r="G396" s="14">
        <v>82318</v>
      </c>
      <c r="H396" s="14">
        <v>113630</v>
      </c>
      <c r="I396" s="14">
        <v>26</v>
      </c>
      <c r="J396" s="14" t="s">
        <v>77</v>
      </c>
      <c r="K396" s="14" t="s">
        <v>2107</v>
      </c>
      <c r="L396" s="14" t="s">
        <v>969</v>
      </c>
      <c r="M396" s="14" t="s">
        <v>9158</v>
      </c>
      <c r="N396" s="14" t="s">
        <v>9158</v>
      </c>
      <c r="O396" s="9" t="s">
        <v>2717</v>
      </c>
      <c r="P396" s="14" t="s">
        <v>13173</v>
      </c>
      <c r="Q396" s="14">
        <v>1</v>
      </c>
    </row>
    <row r="398" spans="1:17">
      <c r="A398" s="14" t="s">
        <v>14128</v>
      </c>
    </row>
    <row r="399" spans="1:17">
      <c r="A399" s="14" t="s">
        <v>14129</v>
      </c>
    </row>
    <row r="400" spans="1:17">
      <c r="A400" s="14" t="s">
        <v>5778</v>
      </c>
      <c r="B400" s="14" t="s">
        <v>52</v>
      </c>
      <c r="C400" s="14" t="s">
        <v>205</v>
      </c>
      <c r="D400" s="19" t="s">
        <v>272</v>
      </c>
      <c r="E400" s="15" t="str">
        <f>HYPERLINK("https://stat100.ameba.jp/tnk47/ratio20/illustrations/card/ill_68783_0_gantammomotaro03.jpg?202009-i_prefecture_active_user", "■")</f>
        <v>■</v>
      </c>
      <c r="F400" s="14" t="s">
        <v>2273</v>
      </c>
      <c r="G400" s="14">
        <v>136788</v>
      </c>
      <c r="H400" s="14">
        <v>127162</v>
      </c>
      <c r="I400" s="14">
        <v>20</v>
      </c>
      <c r="J400" s="14" t="s">
        <v>155</v>
      </c>
      <c r="K400" s="14" t="s">
        <v>2274</v>
      </c>
      <c r="L400" s="14" t="s">
        <v>13174</v>
      </c>
      <c r="M400" s="14" t="s">
        <v>9158</v>
      </c>
      <c r="N400" s="14" t="s">
        <v>9158</v>
      </c>
      <c r="O400" s="6" t="s">
        <v>9992</v>
      </c>
      <c r="P400" s="14" t="s">
        <v>3451</v>
      </c>
      <c r="Q400" s="14">
        <v>1</v>
      </c>
    </row>
    <row r="401" spans="1:17">
      <c r="A401" s="14">
        <v>91383</v>
      </c>
      <c r="B401" s="14" t="s">
        <v>334</v>
      </c>
      <c r="C401" s="14" t="s">
        <v>14133</v>
      </c>
      <c r="D401" s="14" t="s">
        <v>14132</v>
      </c>
      <c r="E401" s="15" t="str">
        <f>HYPERLINK("https://stat100.ameba.jp/tnk47/ratio20/illustrations/card/ill_91383_ganga03.jpg?202009-i_prefecture_active_user", "■")</f>
        <v>■</v>
      </c>
      <c r="F401" s="14" t="s">
        <v>14134</v>
      </c>
      <c r="G401" s="14">
        <v>130214</v>
      </c>
      <c r="H401" s="14">
        <v>73270</v>
      </c>
      <c r="I401" s="14">
        <v>27</v>
      </c>
      <c r="J401" s="14" t="s">
        <v>14137</v>
      </c>
      <c r="K401" s="14" t="s">
        <v>14136</v>
      </c>
      <c r="L401" s="14" t="s">
        <v>14135</v>
      </c>
      <c r="M401" s="14" t="s">
        <v>9158</v>
      </c>
      <c r="N401" s="14" t="s">
        <v>9158</v>
      </c>
      <c r="O401" s="14" t="s">
        <v>9158</v>
      </c>
      <c r="P401" s="14" t="s">
        <v>9158</v>
      </c>
      <c r="Q401" s="14" t="s">
        <v>9158</v>
      </c>
    </row>
    <row r="402" spans="1:17">
      <c r="A402" s="14">
        <v>91382</v>
      </c>
      <c r="B402" s="14" t="s">
        <v>334</v>
      </c>
      <c r="C402" s="14" t="s">
        <v>14133</v>
      </c>
      <c r="D402" s="14" t="s">
        <v>14132</v>
      </c>
      <c r="E402" s="15" t="str">
        <f>HYPERLINK("https://stat100.ameba.jp/tnk47/ratio20/illustrations/card/ill_91382_ganga02.jpg?202009-i_prefecture_active_user", "■")</f>
        <v>■</v>
      </c>
      <c r="F402" s="14" t="s">
        <v>14134</v>
      </c>
      <c r="G402" s="14">
        <v>108378</v>
      </c>
      <c r="H402" s="14">
        <v>60982</v>
      </c>
      <c r="I402" s="14">
        <v>27</v>
      </c>
      <c r="J402" s="14" t="s">
        <v>14137</v>
      </c>
      <c r="K402" s="14" t="s">
        <v>14136</v>
      </c>
      <c r="L402" s="14" t="s">
        <v>14138</v>
      </c>
      <c r="M402" s="14" t="s">
        <v>9158</v>
      </c>
      <c r="N402" s="14" t="s">
        <v>9158</v>
      </c>
      <c r="O402" s="14" t="s">
        <v>9158</v>
      </c>
      <c r="P402" s="14" t="s">
        <v>9158</v>
      </c>
      <c r="Q402" s="14" t="s">
        <v>9158</v>
      </c>
    </row>
    <row r="403" spans="1:17">
      <c r="A403" s="14">
        <v>91381</v>
      </c>
      <c r="B403" s="14" t="s">
        <v>334</v>
      </c>
      <c r="C403" s="14" t="s">
        <v>14133</v>
      </c>
      <c r="D403" s="14" t="s">
        <v>14132</v>
      </c>
      <c r="E403" s="15" t="str">
        <f>HYPERLINK("https://stat100.ameba.jp/tnk47/ratio20/illustrations/card/ill_91381_ganga01.jpg?202009-i_prefecture_active_user", "■")</f>
        <v>■</v>
      </c>
      <c r="F403" s="14" t="s">
        <v>14134</v>
      </c>
      <c r="G403" s="14">
        <v>83160</v>
      </c>
      <c r="H403" s="14">
        <v>46791</v>
      </c>
      <c r="I403" s="14">
        <v>27</v>
      </c>
      <c r="J403" s="14" t="s">
        <v>14137</v>
      </c>
      <c r="K403" s="14" t="s">
        <v>14136</v>
      </c>
      <c r="L403" s="14" t="s">
        <v>14139</v>
      </c>
      <c r="M403" s="14" t="s">
        <v>9158</v>
      </c>
      <c r="N403" s="14" t="s">
        <v>9158</v>
      </c>
      <c r="O403" s="14" t="s">
        <v>9158</v>
      </c>
      <c r="P403" s="14" t="s">
        <v>9158</v>
      </c>
      <c r="Q403" s="14" t="s">
        <v>9158</v>
      </c>
    </row>
    <row r="404" spans="1:17">
      <c r="A404" s="14">
        <v>91393</v>
      </c>
      <c r="B404" s="14" t="s">
        <v>334</v>
      </c>
      <c r="C404" s="14" t="s">
        <v>14145</v>
      </c>
      <c r="D404" s="14" t="s">
        <v>14144</v>
      </c>
      <c r="E404" s="15" t="str">
        <f>HYPERLINK("https://stat100.ameba.jp/tnk47/ratio20/illustrations/card/ill_91393_toriton03.jpg?202009-i_prefecture_active_user", "■")</f>
        <v>■</v>
      </c>
      <c r="F404" s="14" t="s">
        <v>14143</v>
      </c>
      <c r="G404" s="14">
        <v>151887</v>
      </c>
      <c r="H404" s="14">
        <v>85477</v>
      </c>
      <c r="I404" s="14">
        <v>27</v>
      </c>
      <c r="J404" s="14" t="s">
        <v>14142</v>
      </c>
      <c r="K404" s="14" t="s">
        <v>14141</v>
      </c>
      <c r="L404" s="14" t="s">
        <v>14140</v>
      </c>
      <c r="M404" s="14" t="s">
        <v>9158</v>
      </c>
      <c r="N404" s="14" t="s">
        <v>9158</v>
      </c>
      <c r="O404" s="14" t="s">
        <v>9158</v>
      </c>
      <c r="P404" s="14" t="s">
        <v>9158</v>
      </c>
      <c r="Q404" s="14" t="s">
        <v>9158</v>
      </c>
    </row>
    <row r="405" spans="1:17">
      <c r="A405" s="14">
        <v>91392</v>
      </c>
      <c r="B405" s="14" t="s">
        <v>334</v>
      </c>
      <c r="C405" s="14" t="s">
        <v>14145</v>
      </c>
      <c r="D405" s="14" t="s">
        <v>14144</v>
      </c>
      <c r="E405" s="15" t="str">
        <f>HYPERLINK("https://stat100.ameba.jp/tnk47/ratio20/illustrations/card/ill_91392_toriton02.jpg?202009-i_prefecture_active_user", "■")</f>
        <v>■</v>
      </c>
      <c r="F405" s="14" t="s">
        <v>14143</v>
      </c>
      <c r="G405" s="14">
        <v>126424</v>
      </c>
      <c r="H405" s="14">
        <v>71122</v>
      </c>
      <c r="I405" s="14">
        <v>27</v>
      </c>
      <c r="J405" s="14" t="s">
        <v>14142</v>
      </c>
      <c r="K405" s="14" t="s">
        <v>14141</v>
      </c>
      <c r="L405" s="14" t="s">
        <v>14146</v>
      </c>
      <c r="M405" s="14" t="s">
        <v>9158</v>
      </c>
      <c r="N405" s="14" t="s">
        <v>9158</v>
      </c>
      <c r="O405" s="14" t="s">
        <v>9158</v>
      </c>
      <c r="P405" s="14" t="s">
        <v>9158</v>
      </c>
      <c r="Q405" s="14" t="s">
        <v>9158</v>
      </c>
    </row>
    <row r="406" spans="1:17">
      <c r="A406" s="14">
        <v>91391</v>
      </c>
      <c r="B406" s="14" t="s">
        <v>334</v>
      </c>
      <c r="C406" s="14" t="s">
        <v>14145</v>
      </c>
      <c r="D406" s="14" t="s">
        <v>14144</v>
      </c>
      <c r="E406" s="15" t="str">
        <f>HYPERLINK("https://stat100.ameba.jp/tnk47/ratio20/illustrations/card/ill_91391_toriton01.jpg?202009-i_prefecture_active_user", "■")</f>
        <v>■</v>
      </c>
      <c r="F406" s="14" t="s">
        <v>14143</v>
      </c>
      <c r="G406" s="14">
        <v>96984</v>
      </c>
      <c r="H406" s="14">
        <v>54567</v>
      </c>
      <c r="I406" s="14">
        <v>27</v>
      </c>
      <c r="J406" s="14" t="s">
        <v>14142</v>
      </c>
      <c r="K406" s="14" t="s">
        <v>14141</v>
      </c>
      <c r="L406" s="14" t="s">
        <v>14147</v>
      </c>
      <c r="M406" s="14" t="s">
        <v>9158</v>
      </c>
      <c r="N406" s="14" t="s">
        <v>9158</v>
      </c>
      <c r="O406" s="14" t="s">
        <v>9158</v>
      </c>
      <c r="P406" s="14" t="s">
        <v>9158</v>
      </c>
      <c r="Q406" s="14" t="s">
        <v>9158</v>
      </c>
    </row>
    <row r="408" spans="1:17">
      <c r="A408" s="14" t="s">
        <v>14130</v>
      </c>
    </row>
    <row r="409" spans="1:17">
      <c r="A409" s="14" t="s">
        <v>14131</v>
      </c>
    </row>
    <row r="410" spans="1:17">
      <c r="A410" s="14" t="s">
        <v>5733</v>
      </c>
      <c r="B410" s="14" t="s">
        <v>330</v>
      </c>
      <c r="C410" s="14" t="s">
        <v>202</v>
      </c>
      <c r="D410" s="19" t="s">
        <v>2744</v>
      </c>
      <c r="E410" s="15" t="str">
        <f>HYPERLINK("https://stat100.ameba.jp/tnk47/ratio20/illustrations/card/ill_78693_0_kyupittokoinomikoto03.jpg?202009-i_prefecture_active_user", "■")</f>
        <v>■</v>
      </c>
      <c r="F410" s="14" t="s">
        <v>2745</v>
      </c>
      <c r="G410" s="14">
        <v>261996</v>
      </c>
      <c r="H410" s="14">
        <v>289889</v>
      </c>
      <c r="I410" s="14">
        <v>25</v>
      </c>
      <c r="J410" s="14" t="s">
        <v>274</v>
      </c>
      <c r="K410" s="14" t="s">
        <v>2746</v>
      </c>
      <c r="L410" s="14" t="s">
        <v>2747</v>
      </c>
      <c r="M410" s="14" t="s">
        <v>9158</v>
      </c>
      <c r="N410" s="14" t="s">
        <v>9158</v>
      </c>
      <c r="O410" s="19" t="s">
        <v>10097</v>
      </c>
      <c r="P410" s="14" t="s">
        <v>2748</v>
      </c>
      <c r="Q410" s="14">
        <v>1</v>
      </c>
    </row>
    <row r="411" spans="1:17">
      <c r="A411" s="14">
        <v>83083</v>
      </c>
      <c r="B411" s="14" t="s">
        <v>0</v>
      </c>
      <c r="C411" s="14" t="s">
        <v>209</v>
      </c>
      <c r="D411" s="19" t="s">
        <v>10469</v>
      </c>
      <c r="E411" s="15" t="str">
        <f>HYPERLINK("https://stat100.ameba.jp/tnk47/ratio20/illustrations/card/ill_83083_burakkukingu03.jpg?202009-i_prefecture_active_user", "■")</f>
        <v>■</v>
      </c>
      <c r="F411" s="14" t="s">
        <v>6093</v>
      </c>
      <c r="G411" s="14">
        <v>115656</v>
      </c>
      <c r="H411" s="14">
        <v>159674</v>
      </c>
      <c r="I411" s="14">
        <v>24</v>
      </c>
      <c r="J411" s="14" t="s">
        <v>194</v>
      </c>
      <c r="K411" s="14" t="s">
        <v>6095</v>
      </c>
      <c r="L411" s="14" t="s">
        <v>1148</v>
      </c>
      <c r="M411" s="14" t="s">
        <v>9158</v>
      </c>
      <c r="N411" s="14" t="s">
        <v>9158</v>
      </c>
      <c r="O411" s="19" t="s">
        <v>10117</v>
      </c>
      <c r="P411" s="14" t="s">
        <v>3625</v>
      </c>
      <c r="Q411" s="14">
        <v>1</v>
      </c>
    </row>
    <row r="412" spans="1:17">
      <c r="A412" s="7">
        <v>85653</v>
      </c>
      <c r="B412" s="7" t="s">
        <v>0</v>
      </c>
      <c r="C412" s="14" t="s">
        <v>158</v>
      </c>
      <c r="D412" s="20" t="s">
        <v>10846</v>
      </c>
      <c r="E412" s="15" t="str">
        <f>HYPERLINK("https://stat100.ameba.jp/tnk47/ratio20/illustrations/card/ill_85653_onashiefumizuno03.jpg?202009-i_prefecture_active_user", "■")</f>
        <v>■</v>
      </c>
      <c r="F412" s="7" t="s">
        <v>8587</v>
      </c>
      <c r="G412" s="7">
        <v>91876</v>
      </c>
      <c r="H412" s="7">
        <v>126858</v>
      </c>
      <c r="I412" s="7">
        <v>24</v>
      </c>
      <c r="J412" s="7" t="s">
        <v>216</v>
      </c>
      <c r="K412" s="7" t="s">
        <v>8586</v>
      </c>
      <c r="L412" s="7" t="s">
        <v>131</v>
      </c>
      <c r="M412" s="14" t="s">
        <v>9158</v>
      </c>
      <c r="N412" s="14" t="s">
        <v>9158</v>
      </c>
      <c r="O412" s="19" t="s">
        <v>4074</v>
      </c>
      <c r="P412" s="14" t="s">
        <v>3462</v>
      </c>
      <c r="Q412" s="14">
        <v>1</v>
      </c>
    </row>
    <row r="413" spans="1:17">
      <c r="A413" s="14">
        <v>67643</v>
      </c>
      <c r="B413" s="14" t="s">
        <v>334</v>
      </c>
      <c r="C413" s="14" t="s">
        <v>209</v>
      </c>
      <c r="D413" s="19" t="s">
        <v>3033</v>
      </c>
      <c r="E413" s="15" t="str">
        <f>HYPERLINK("https://stat100.ameba.jp/tnk47/ratio20/illustrations/card/ill_67643_edokarakamichan03.jpg?202009-i_prefecture_active_user", "■")</f>
        <v>■</v>
      </c>
      <c r="F413" s="6" t="s">
        <v>1196</v>
      </c>
      <c r="G413" s="14">
        <v>113338</v>
      </c>
      <c r="H413" s="14">
        <v>105394</v>
      </c>
      <c r="I413" s="14">
        <v>24</v>
      </c>
      <c r="J413" s="14" t="s">
        <v>26</v>
      </c>
      <c r="K413" s="14" t="s">
        <v>1197</v>
      </c>
      <c r="L413" s="14" t="s">
        <v>1198</v>
      </c>
      <c r="M413" s="14" t="s">
        <v>9158</v>
      </c>
      <c r="N413" s="14" t="s">
        <v>9158</v>
      </c>
      <c r="O413" s="19" t="s">
        <v>3037</v>
      </c>
      <c r="P413" s="14" t="s">
        <v>13128</v>
      </c>
      <c r="Q413" s="14">
        <v>1</v>
      </c>
    </row>
    <row r="415" spans="1:17">
      <c r="A415" s="14" t="s">
        <v>14340</v>
      </c>
    </row>
    <row r="416" spans="1:17">
      <c r="A416" s="14" t="s">
        <v>14365</v>
      </c>
    </row>
    <row r="417" spans="1:17">
      <c r="A417" s="9" t="s">
        <v>5650</v>
      </c>
      <c r="B417" s="14" t="s">
        <v>52</v>
      </c>
      <c r="C417" s="14" t="s">
        <v>200</v>
      </c>
      <c r="D417" s="14" t="s">
        <v>136</v>
      </c>
      <c r="E417" s="15" t="str">
        <f>HYPERLINK("https://stat100.ameba.jp/tnk47/ratio20/illustrations/card/ill_68033_0_kurisumasupateikandamyojin03.jpg?202009-i_prefecture_active_user", "■")</f>
        <v>■</v>
      </c>
      <c r="F417" s="14" t="s">
        <v>1871</v>
      </c>
      <c r="G417" s="14">
        <v>127162</v>
      </c>
      <c r="H417" s="14">
        <v>136788</v>
      </c>
      <c r="I417" s="14">
        <v>20</v>
      </c>
      <c r="J417" s="14" t="s">
        <v>44</v>
      </c>
      <c r="K417" s="14" t="s">
        <v>1872</v>
      </c>
      <c r="L417" s="14" t="s">
        <v>1873</v>
      </c>
      <c r="M417" s="14" t="s">
        <v>9158</v>
      </c>
      <c r="N417" s="14" t="s">
        <v>9158</v>
      </c>
      <c r="O417" s="9" t="s">
        <v>3482</v>
      </c>
      <c r="P417" s="14" t="s">
        <v>3483</v>
      </c>
      <c r="Q417" s="14">
        <v>2</v>
      </c>
    </row>
    <row r="418" spans="1:17">
      <c r="A418" s="14">
        <v>91403</v>
      </c>
      <c r="B418" s="14" t="s">
        <v>14345</v>
      </c>
      <c r="C418" s="14" t="s">
        <v>14300</v>
      </c>
      <c r="D418" s="14" t="s">
        <v>14367</v>
      </c>
      <c r="E418" s="15" t="str">
        <f>HYPERLINK("https://stat100.ameba.jp/tnk47/ratio20/illustrations/card/ill_91403_manananmakuriru03.jpg?202009-i_prefecture_active_user", "■")</f>
        <v>■</v>
      </c>
      <c r="F418" s="14" t="s">
        <v>14371</v>
      </c>
      <c r="G418" s="14">
        <v>111523</v>
      </c>
      <c r="H418" s="14">
        <v>198226</v>
      </c>
      <c r="I418" s="14">
        <v>27</v>
      </c>
      <c r="J418" s="14" t="s">
        <v>14285</v>
      </c>
      <c r="K418" s="14" t="s">
        <v>14370</v>
      </c>
      <c r="L418" s="14" t="s">
        <v>14369</v>
      </c>
      <c r="M418" s="14" t="s">
        <v>9158</v>
      </c>
      <c r="N418" s="14" t="s">
        <v>9158</v>
      </c>
      <c r="O418" s="14" t="s">
        <v>9158</v>
      </c>
      <c r="P418" s="14" t="s">
        <v>9158</v>
      </c>
      <c r="Q418" s="14" t="s">
        <v>9158</v>
      </c>
    </row>
    <row r="419" spans="1:17">
      <c r="A419" s="14">
        <v>91402</v>
      </c>
      <c r="B419" s="14" t="s">
        <v>14345</v>
      </c>
      <c r="C419" s="14" t="s">
        <v>14300</v>
      </c>
      <c r="D419" s="14" t="s">
        <v>14367</v>
      </c>
      <c r="E419" s="15" t="str">
        <f>HYPERLINK("https://stat100.ameba.jp/tnk47/ratio20/illustrations/card/ill_91402_manananmakuriru02.jpg?202009-i_prefecture_active_user", "■")</f>
        <v>■</v>
      </c>
      <c r="F419" s="14" t="s">
        <v>14371</v>
      </c>
      <c r="G419" s="14">
        <v>92814</v>
      </c>
      <c r="H419" s="14">
        <v>164931</v>
      </c>
      <c r="I419" s="14">
        <v>27</v>
      </c>
      <c r="J419" s="14" t="s">
        <v>14285</v>
      </c>
      <c r="K419" s="14" t="s">
        <v>14370</v>
      </c>
      <c r="L419" s="14" t="s">
        <v>14372</v>
      </c>
      <c r="M419" s="14" t="s">
        <v>9158</v>
      </c>
      <c r="N419" s="14" t="s">
        <v>9158</v>
      </c>
      <c r="O419" s="14" t="s">
        <v>9158</v>
      </c>
      <c r="P419" s="14" t="s">
        <v>9158</v>
      </c>
      <c r="Q419" s="14" t="s">
        <v>9158</v>
      </c>
    </row>
    <row r="420" spans="1:17">
      <c r="A420" s="14">
        <v>91401</v>
      </c>
      <c r="B420" s="14" t="s">
        <v>14345</v>
      </c>
      <c r="C420" s="14" t="s">
        <v>14300</v>
      </c>
      <c r="D420" s="14" t="s">
        <v>14367</v>
      </c>
      <c r="E420" s="15" t="str">
        <f>HYPERLINK("https://stat100.ameba.jp/tnk47/ratio20/illustrations/card/ill_91401_manananmakuriru01.jpg?202009-i_prefecture_active_user", "■")</f>
        <v>■</v>
      </c>
      <c r="F420" s="14" t="s">
        <v>14371</v>
      </c>
      <c r="G420" s="14">
        <v>71226</v>
      </c>
      <c r="H420" s="14">
        <v>126576</v>
      </c>
      <c r="I420" s="14">
        <v>27</v>
      </c>
      <c r="J420" s="14" t="s">
        <v>14285</v>
      </c>
      <c r="K420" s="14" t="s">
        <v>14370</v>
      </c>
      <c r="L420" s="14" t="s">
        <v>14373</v>
      </c>
      <c r="M420" s="14" t="s">
        <v>9158</v>
      </c>
      <c r="N420" s="14" t="s">
        <v>9158</v>
      </c>
      <c r="O420" s="14" t="s">
        <v>9158</v>
      </c>
      <c r="P420" s="14" t="s">
        <v>9158</v>
      </c>
      <c r="Q420" s="14" t="s">
        <v>9158</v>
      </c>
    </row>
    <row r="421" spans="1:17">
      <c r="A421" s="14">
        <v>91413</v>
      </c>
      <c r="B421" s="14" t="s">
        <v>14345</v>
      </c>
      <c r="C421" s="14" t="s">
        <v>14312</v>
      </c>
      <c r="D421" s="14" t="s">
        <v>14368</v>
      </c>
      <c r="E421" s="15" t="str">
        <f>HYPERLINK("https://stat100.ameba.jp/tnk47/ratio20/illustrations/card/ill_91413_poseidon03.jpg?202009-i_prefecture_active_user", "■")</f>
        <v>■</v>
      </c>
      <c r="F421" s="14" t="s">
        <v>14376</v>
      </c>
      <c r="G421" s="14">
        <v>76512</v>
      </c>
      <c r="H421" s="14">
        <v>136005</v>
      </c>
      <c r="I421" s="14">
        <v>27</v>
      </c>
      <c r="J421" s="14" t="s">
        <v>14278</v>
      </c>
      <c r="K421" s="14" t="s">
        <v>14375</v>
      </c>
      <c r="L421" s="14" t="s">
        <v>14374</v>
      </c>
      <c r="M421" s="14" t="s">
        <v>9158</v>
      </c>
      <c r="N421" s="14" t="s">
        <v>9158</v>
      </c>
      <c r="O421" s="14" t="s">
        <v>9158</v>
      </c>
      <c r="P421" s="14" t="s">
        <v>9158</v>
      </c>
      <c r="Q421" s="14" t="s">
        <v>9158</v>
      </c>
    </row>
    <row r="422" spans="1:17">
      <c r="A422" s="14">
        <v>91412</v>
      </c>
      <c r="B422" s="14" t="s">
        <v>14345</v>
      </c>
      <c r="C422" s="14" t="s">
        <v>14312</v>
      </c>
      <c r="D422" s="14" t="s">
        <v>14368</v>
      </c>
      <c r="E422" s="15" t="str">
        <f>HYPERLINK("https://stat100.ameba.jp/tnk47/ratio20/illustrations/card/ill_91412_poseidon02.jpg?202009-i_prefecture_active_user", "■")</f>
        <v>■</v>
      </c>
      <c r="F422" s="14" t="s">
        <v>14376</v>
      </c>
      <c r="G422" s="14">
        <v>63693</v>
      </c>
      <c r="H422" s="14">
        <v>113162</v>
      </c>
      <c r="I422" s="14">
        <v>27</v>
      </c>
      <c r="J422" s="14" t="s">
        <v>14278</v>
      </c>
      <c r="K422" s="14" t="s">
        <v>14375</v>
      </c>
      <c r="L422" s="14" t="s">
        <v>14377</v>
      </c>
      <c r="M422" s="14" t="s">
        <v>9158</v>
      </c>
      <c r="N422" s="14" t="s">
        <v>9158</v>
      </c>
      <c r="O422" s="14" t="s">
        <v>9158</v>
      </c>
      <c r="P422" s="14" t="s">
        <v>9158</v>
      </c>
      <c r="Q422" s="14" t="s">
        <v>9158</v>
      </c>
    </row>
    <row r="423" spans="1:17">
      <c r="A423" s="14">
        <v>91411</v>
      </c>
      <c r="B423" s="14" t="s">
        <v>14345</v>
      </c>
      <c r="C423" s="14" t="s">
        <v>14312</v>
      </c>
      <c r="D423" s="14" t="s">
        <v>14368</v>
      </c>
      <c r="E423" s="15" t="str">
        <f>HYPERLINK("https://stat100.ameba.jp/tnk47/ratio20/illustrations/card/ill_91411_poseidon01.jpg?202009-i_prefecture_active_user", "■")</f>
        <v>■</v>
      </c>
      <c r="F423" s="14" t="s">
        <v>14376</v>
      </c>
      <c r="G423" s="14">
        <v>48870</v>
      </c>
      <c r="H423" s="14">
        <v>86832</v>
      </c>
      <c r="I423" s="14">
        <v>27</v>
      </c>
      <c r="J423" s="14" t="s">
        <v>14278</v>
      </c>
      <c r="K423" s="14" t="s">
        <v>14375</v>
      </c>
      <c r="L423" s="14" t="s">
        <v>14378</v>
      </c>
      <c r="M423" s="14" t="s">
        <v>9158</v>
      </c>
      <c r="N423" s="14" t="s">
        <v>9158</v>
      </c>
      <c r="O423" s="14" t="s">
        <v>9158</v>
      </c>
      <c r="P423" s="14" t="s">
        <v>9158</v>
      </c>
      <c r="Q423" s="14" t="s">
        <v>9158</v>
      </c>
    </row>
    <row r="425" spans="1:17">
      <c r="A425" s="14" t="s">
        <v>14343</v>
      </c>
    </row>
    <row r="426" spans="1:17">
      <c r="A426" s="14" t="s">
        <v>14366</v>
      </c>
    </row>
    <row r="427" spans="1:17">
      <c r="A427" s="14" t="s">
        <v>18552</v>
      </c>
    </row>
    <row r="428" spans="1:17">
      <c r="A428" s="14" t="s">
        <v>14383</v>
      </c>
      <c r="B428" s="14" t="s">
        <v>14344</v>
      </c>
      <c r="C428" s="14" t="s">
        <v>14282</v>
      </c>
      <c r="D428" s="14" t="s">
        <v>14382</v>
      </c>
      <c r="E428" s="15" t="str">
        <f>HYPERLINK("https://stat100.ameba.jp/tnk47/ratio20/illustrations/card/ill_91533_0_tenkuronatsuironotome03.jpg?202009-i_prefecture_active_user", "■")</f>
        <v>■</v>
      </c>
      <c r="F428" s="14" t="s">
        <v>14381</v>
      </c>
      <c r="G428" s="14">
        <v>420154</v>
      </c>
      <c r="H428" s="14">
        <v>464851</v>
      </c>
      <c r="I428" s="14">
        <v>35</v>
      </c>
      <c r="J428" s="14" t="s">
        <v>14354</v>
      </c>
      <c r="K428" s="14" t="s">
        <v>14380</v>
      </c>
      <c r="L428" s="14" t="s">
        <v>14379</v>
      </c>
      <c r="M428" s="14" t="s">
        <v>9158</v>
      </c>
      <c r="N428" s="14" t="s">
        <v>9158</v>
      </c>
      <c r="O428" s="14" t="s">
        <v>9158</v>
      </c>
      <c r="P428" s="14" t="s">
        <v>9158</v>
      </c>
      <c r="Q428" s="14" t="s">
        <v>9158</v>
      </c>
    </row>
    <row r="429" spans="1:17">
      <c r="A429" s="14" t="s">
        <v>12945</v>
      </c>
      <c r="B429" s="14" t="s">
        <v>117</v>
      </c>
      <c r="C429" s="14" t="s">
        <v>35</v>
      </c>
      <c r="D429" s="14" t="s">
        <v>12938</v>
      </c>
      <c r="E429" s="15" t="str">
        <f>HYPERLINK("https://stat100.ameba.jp/tnk47/ratio20/illustrations/card/ill_89523_0_tenkurondokai03.jpg?202009-i_prefecture_active_user", "■")</f>
        <v>■</v>
      </c>
      <c r="F429" s="14" t="s">
        <v>12941</v>
      </c>
      <c r="G429" s="14">
        <v>463507</v>
      </c>
      <c r="H429" s="14">
        <v>418941</v>
      </c>
      <c r="I429" s="14">
        <v>35</v>
      </c>
      <c r="J429" s="14" t="s">
        <v>143</v>
      </c>
      <c r="K429" s="14" t="s">
        <v>12943</v>
      </c>
      <c r="L429" s="14" t="s">
        <v>12944</v>
      </c>
      <c r="M429" s="14" t="s">
        <v>9158</v>
      </c>
      <c r="N429" s="14" t="s">
        <v>9158</v>
      </c>
      <c r="O429" s="14" t="s">
        <v>9158</v>
      </c>
      <c r="P429" s="14" t="s">
        <v>9158</v>
      </c>
      <c r="Q429" s="14" t="s">
        <v>9158</v>
      </c>
    </row>
    <row r="430" spans="1:17">
      <c r="A430" s="14" t="s">
        <v>14011</v>
      </c>
      <c r="B430" s="14" t="s">
        <v>117</v>
      </c>
      <c r="C430" s="14" t="s">
        <v>35</v>
      </c>
      <c r="D430" s="14" t="s">
        <v>14010</v>
      </c>
      <c r="E430" s="15" t="str">
        <f>HYPERLINK("https://stat100.ameba.jp/tnk47/ratio20/illustrations/card/ill_90163_0_tenkurofuaitazu03.jpg?202009-i_prefecture_active_user", "■")</f>
        <v>■</v>
      </c>
      <c r="F430" s="14" t="s">
        <v>14013</v>
      </c>
      <c r="G430" s="14">
        <v>418941</v>
      </c>
      <c r="H430" s="14">
        <v>463507</v>
      </c>
      <c r="I430" s="14">
        <v>35</v>
      </c>
      <c r="J430" s="14" t="s">
        <v>159</v>
      </c>
      <c r="K430" s="14" t="s">
        <v>14014</v>
      </c>
      <c r="L430" s="14" t="s">
        <v>14012</v>
      </c>
      <c r="M430" s="14" t="s">
        <v>9158</v>
      </c>
      <c r="N430" s="14" t="s">
        <v>9158</v>
      </c>
      <c r="O430" s="14" t="s">
        <v>9158</v>
      </c>
      <c r="P430" s="14" t="s">
        <v>9158</v>
      </c>
      <c r="Q430" s="14" t="s">
        <v>9158</v>
      </c>
    </row>
    <row r="431" spans="1:17">
      <c r="A431" s="14" t="s">
        <v>14364</v>
      </c>
      <c r="B431" s="14" t="s">
        <v>14344</v>
      </c>
      <c r="C431" s="14" t="s">
        <v>14282</v>
      </c>
      <c r="D431" s="14" t="s">
        <v>14363</v>
      </c>
      <c r="E431" s="15" t="str">
        <f>HYPERLINK("https://stat100.ameba.jp/tnk47/ratio20/illustrations/card/ill_90843_0_tenkurokawanonushi03.jpg?202009-i_prefecture_active_user", "■")</f>
        <v>■</v>
      </c>
      <c r="F431" s="14" t="s">
        <v>14362</v>
      </c>
      <c r="G431" s="14">
        <v>464097</v>
      </c>
      <c r="H431" s="14">
        <v>419443</v>
      </c>
      <c r="I431" s="14">
        <v>35</v>
      </c>
      <c r="J431" s="14" t="s">
        <v>14309</v>
      </c>
      <c r="K431" s="14" t="s">
        <v>14361</v>
      </c>
      <c r="L431" s="14" t="s">
        <v>14360</v>
      </c>
      <c r="M431" s="14" t="s">
        <v>9158</v>
      </c>
      <c r="N431" s="14" t="s">
        <v>9158</v>
      </c>
      <c r="O431" s="14" t="s">
        <v>9158</v>
      </c>
      <c r="P431" s="14" t="s">
        <v>9158</v>
      </c>
      <c r="Q431" s="14" t="s">
        <v>9158</v>
      </c>
    </row>
    <row r="432" spans="1:17">
      <c r="A432" s="14" t="s">
        <v>5804</v>
      </c>
      <c r="B432" s="14" t="s">
        <v>52</v>
      </c>
      <c r="C432" s="14" t="s">
        <v>14</v>
      </c>
      <c r="D432" s="19" t="s">
        <v>3195</v>
      </c>
      <c r="E432" s="15" t="str">
        <f>HYPERLINK("https://stat100.ameba.jp/tnk47/ratio20/illustrations/card/ill_75393_0_resukuinotsukisamaniittausagi03.jpg?202009-i_prefecture_active_user", "■")</f>
        <v>■</v>
      </c>
      <c r="F432" s="14" t="s">
        <v>3248</v>
      </c>
      <c r="G432" s="14">
        <v>250588</v>
      </c>
      <c r="H432" s="14">
        <v>232980</v>
      </c>
      <c r="I432" s="14">
        <v>22</v>
      </c>
      <c r="J432" s="14" t="s">
        <v>26</v>
      </c>
      <c r="K432" s="14" t="s">
        <v>3249</v>
      </c>
      <c r="L432" s="14" t="s">
        <v>3250</v>
      </c>
      <c r="M432" s="14" t="s">
        <v>9158</v>
      </c>
      <c r="N432" s="14" t="s">
        <v>9158</v>
      </c>
      <c r="O432" s="19" t="s">
        <v>10101</v>
      </c>
      <c r="P432" s="14" t="s">
        <v>3251</v>
      </c>
      <c r="Q432" s="14">
        <v>2</v>
      </c>
    </row>
    <row r="433" spans="1:17">
      <c r="A433" s="14">
        <v>84713</v>
      </c>
      <c r="B433" s="14" t="s">
        <v>334</v>
      </c>
      <c r="C433" s="14" t="s">
        <v>185</v>
      </c>
      <c r="D433" s="20" t="s">
        <v>10696</v>
      </c>
      <c r="E433" s="15" t="str">
        <f>HYPERLINK("https://stat100.ameba.jp/tnk47/ratio20/illustrations/card/ill_84713_shogiyodabenzo03.jpg?202009-i_prefecture_active_user", "■")</f>
        <v>■</v>
      </c>
      <c r="F433" s="14" t="s">
        <v>7432</v>
      </c>
      <c r="G433" s="14">
        <v>101558</v>
      </c>
      <c r="H433" s="14">
        <v>94390</v>
      </c>
      <c r="I433" s="14">
        <v>26</v>
      </c>
      <c r="J433" s="14" t="s">
        <v>10</v>
      </c>
      <c r="K433" s="14" t="s">
        <v>4765</v>
      </c>
      <c r="L433" s="14" t="s">
        <v>4347</v>
      </c>
      <c r="M433" s="14" t="s">
        <v>9158</v>
      </c>
      <c r="N433" s="14" t="s">
        <v>9158</v>
      </c>
      <c r="O433" s="14" t="s">
        <v>9158</v>
      </c>
      <c r="P433" s="14" t="s">
        <v>9158</v>
      </c>
      <c r="Q433" s="14" t="s">
        <v>9158</v>
      </c>
    </row>
    <row r="434" spans="1:17">
      <c r="A434" s="14">
        <v>84253</v>
      </c>
      <c r="B434" s="14" t="s">
        <v>0</v>
      </c>
      <c r="C434" s="14" t="s">
        <v>200</v>
      </c>
      <c r="D434" s="19" t="s">
        <v>10670</v>
      </c>
      <c r="E434" s="15" t="str">
        <f>HYPERLINK("https://stat100.ameba.jp/tnk47/ratio20/illustrations/card/ill_84253_yokaitaisenkushinadahime03.jpg?202009-i_prefecture_active_user", "■")</f>
        <v>■</v>
      </c>
      <c r="F434" s="14" t="s">
        <v>7240</v>
      </c>
      <c r="G434" s="14">
        <v>106050</v>
      </c>
      <c r="H434" s="14">
        <v>98594</v>
      </c>
      <c r="I434" s="14">
        <v>26</v>
      </c>
      <c r="J434" s="14" t="s">
        <v>44</v>
      </c>
      <c r="K434" s="14" t="s">
        <v>7242</v>
      </c>
      <c r="L434" s="14" t="s">
        <v>7243</v>
      </c>
      <c r="M434" s="14" t="s">
        <v>9158</v>
      </c>
      <c r="N434" s="14" t="s">
        <v>9158</v>
      </c>
      <c r="O434" s="14" t="s">
        <v>9158</v>
      </c>
      <c r="P434" s="14" t="s">
        <v>9158</v>
      </c>
      <c r="Q434" s="14" t="s">
        <v>9158</v>
      </c>
    </row>
    <row r="435" spans="1:17">
      <c r="A435" s="7">
        <v>81983</v>
      </c>
      <c r="B435" s="7" t="s">
        <v>0</v>
      </c>
      <c r="C435" s="7" t="s">
        <v>191</v>
      </c>
      <c r="D435" s="19" t="s">
        <v>10206</v>
      </c>
      <c r="E435" s="15" t="str">
        <f>HYPERLINK("https://stat100.ameba.jp/tnk47/ratio20/illustrations/card/ill_81983_otenkinonesammatsushitaotome03.jpg?202009-i_prefecture_active_user", "■")</f>
        <v>■</v>
      </c>
      <c r="F435" s="7" t="s">
        <v>5022</v>
      </c>
      <c r="G435" s="7">
        <v>101558</v>
      </c>
      <c r="H435" s="7">
        <v>94390</v>
      </c>
      <c r="I435" s="7">
        <v>26</v>
      </c>
      <c r="J435" s="7" t="s">
        <v>187</v>
      </c>
      <c r="K435" s="7" t="s">
        <v>5024</v>
      </c>
      <c r="L435" s="7" t="s">
        <v>4678</v>
      </c>
      <c r="M435" s="14" t="s">
        <v>9158</v>
      </c>
      <c r="N435" s="14" t="s">
        <v>9158</v>
      </c>
      <c r="O435" s="14" t="s">
        <v>9158</v>
      </c>
      <c r="P435" s="14" t="s">
        <v>9158</v>
      </c>
      <c r="Q435" s="14" t="s">
        <v>9158</v>
      </c>
    </row>
    <row r="436" spans="1:17">
      <c r="A436" s="7">
        <v>84973</v>
      </c>
      <c r="B436" s="7" t="s">
        <v>0</v>
      </c>
      <c r="C436" s="14" t="s">
        <v>308</v>
      </c>
      <c r="D436" s="19" t="s">
        <v>10753</v>
      </c>
      <c r="E436" s="15" t="str">
        <f>HYPERLINK("https://stat100.ameba.jp/tnk47/ratio20/illustrations/card/ill_84973_yukimomijiuchidenokozuchi03.jpg?202009-i_prefecture_active_user", "■")</f>
        <v>■</v>
      </c>
      <c r="F436" s="7" t="s">
        <v>7849</v>
      </c>
      <c r="G436" s="7">
        <v>118446</v>
      </c>
      <c r="H436" s="7">
        <v>110126</v>
      </c>
      <c r="I436" s="7">
        <v>26</v>
      </c>
      <c r="J436" s="14" t="s">
        <v>38</v>
      </c>
      <c r="K436" s="7" t="s">
        <v>7848</v>
      </c>
      <c r="L436" s="7" t="s">
        <v>7847</v>
      </c>
      <c r="M436" s="14" t="s">
        <v>9158</v>
      </c>
      <c r="N436" s="14" t="s">
        <v>9158</v>
      </c>
      <c r="O436" s="14" t="s">
        <v>9158</v>
      </c>
      <c r="P436" s="14" t="s">
        <v>9158</v>
      </c>
      <c r="Q436" s="14" t="s">
        <v>9158</v>
      </c>
    </row>
    <row r="437" spans="1:17">
      <c r="A437" s="14">
        <v>88633</v>
      </c>
      <c r="B437" s="14" t="s">
        <v>0</v>
      </c>
      <c r="C437" s="14" t="s">
        <v>205</v>
      </c>
      <c r="D437" s="14" t="s">
        <v>12209</v>
      </c>
      <c r="E437" s="15" t="str">
        <f>HYPERLINK("https://stat100.ameba.jp/tnk47/ratio20/illustrations/card/ill_88633_obentonekodanuki03.jpg?202009-i_prefecture_active_user", "■")</f>
        <v>■</v>
      </c>
      <c r="F437" s="14" t="s">
        <v>12210</v>
      </c>
      <c r="G437" s="14">
        <v>108330</v>
      </c>
      <c r="H437" s="14">
        <v>100744</v>
      </c>
      <c r="I437" s="14">
        <v>26</v>
      </c>
      <c r="J437" s="14" t="s">
        <v>73</v>
      </c>
      <c r="K437" s="14" t="s">
        <v>12212</v>
      </c>
      <c r="L437" s="14" t="s">
        <v>12211</v>
      </c>
      <c r="M437" s="14" t="s">
        <v>9158</v>
      </c>
      <c r="N437" s="14" t="s">
        <v>9158</v>
      </c>
      <c r="O437" s="14" t="s">
        <v>9158</v>
      </c>
      <c r="P437" s="14" t="s">
        <v>9158</v>
      </c>
      <c r="Q437" s="14" t="s">
        <v>9158</v>
      </c>
    </row>
    <row r="438" spans="1:17">
      <c r="A438" s="14">
        <v>84723</v>
      </c>
      <c r="B438" s="14" t="s">
        <v>0</v>
      </c>
      <c r="C438" s="14" t="s">
        <v>206</v>
      </c>
      <c r="D438" s="19" t="s">
        <v>10728</v>
      </c>
      <c r="E438" s="15" t="str">
        <f>HYPERLINK("https://stat100.ameba.jp/tnk47/ratio20/illustrations/card/ill_84723_undokairyuguneko03.jpg?202009-i_prefecture_active_user", "■")</f>
        <v>■</v>
      </c>
      <c r="F438" s="14" t="s">
        <v>7684</v>
      </c>
      <c r="G438" s="14">
        <v>118656</v>
      </c>
      <c r="H438" s="14">
        <v>118656</v>
      </c>
      <c r="I438" s="14">
        <v>26</v>
      </c>
      <c r="J438" s="14" t="s">
        <v>155</v>
      </c>
      <c r="K438" s="14" t="s">
        <v>7683</v>
      </c>
      <c r="L438" s="14" t="s">
        <v>7682</v>
      </c>
      <c r="M438" s="14" t="s">
        <v>9158</v>
      </c>
      <c r="N438" s="14" t="s">
        <v>9158</v>
      </c>
      <c r="O438" s="14" t="s">
        <v>9158</v>
      </c>
      <c r="P438" s="14" t="s">
        <v>9158</v>
      </c>
      <c r="Q438" s="14" t="s">
        <v>9158</v>
      </c>
    </row>
    <row r="440" spans="1:17">
      <c r="A440" s="14" t="s">
        <v>14386</v>
      </c>
    </row>
    <row r="441" spans="1:17">
      <c r="A441" s="14" t="s">
        <v>14444</v>
      </c>
    </row>
    <row r="442" spans="1:17">
      <c r="A442" s="14" t="s">
        <v>5623</v>
      </c>
      <c r="B442" s="14" t="s">
        <v>330</v>
      </c>
      <c r="C442" s="14" t="s">
        <v>165</v>
      </c>
      <c r="D442" s="19" t="s">
        <v>3146</v>
      </c>
      <c r="E442" s="15" t="str">
        <f>HYPERLINK("https://stat100.ameba.jp/tnk47/ratio20/illustrations/card/ill_65713_0_undokaionikirimaru03.jpg?202009-i_prefecture_active_user", "■")</f>
        <v>■</v>
      </c>
      <c r="F442" s="14" t="s">
        <v>535</v>
      </c>
      <c r="G442" s="14">
        <v>181640</v>
      </c>
      <c r="H442" s="14">
        <v>168874</v>
      </c>
      <c r="I442" s="14">
        <v>24</v>
      </c>
      <c r="J442" s="14" t="s">
        <v>320</v>
      </c>
      <c r="K442" s="14" t="s">
        <v>3147</v>
      </c>
      <c r="L442" s="14" t="s">
        <v>3148</v>
      </c>
      <c r="M442" s="14" t="s">
        <v>9158</v>
      </c>
      <c r="N442" s="14" t="s">
        <v>9158</v>
      </c>
      <c r="O442" s="19" t="s">
        <v>2869</v>
      </c>
      <c r="P442" s="14" t="s">
        <v>2870</v>
      </c>
      <c r="Q442" s="14">
        <v>1</v>
      </c>
    </row>
    <row r="443" spans="1:17">
      <c r="A443" s="14" t="s">
        <v>5901</v>
      </c>
      <c r="B443" s="14" t="s">
        <v>52</v>
      </c>
      <c r="C443" s="14" t="s">
        <v>101</v>
      </c>
      <c r="D443" s="19" t="s">
        <v>1426</v>
      </c>
      <c r="E443" s="15" t="str">
        <f>HYPERLINK("https://stat100.ameba.jp/tnk47/ratio20/illustrations/card/ill_64953_0_yukatatokugawayoshinobu03.jpg?202009-i_prefecture_active_user", "■")</f>
        <v>■</v>
      </c>
      <c r="F443" s="14" t="s">
        <v>2090</v>
      </c>
      <c r="G443" s="14">
        <v>149520</v>
      </c>
      <c r="H443" s="14">
        <v>160804</v>
      </c>
      <c r="I443" s="14">
        <v>24</v>
      </c>
      <c r="J443" s="14" t="s">
        <v>10</v>
      </c>
      <c r="K443" s="14" t="s">
        <v>2091</v>
      </c>
      <c r="L443" s="14" t="s">
        <v>2092</v>
      </c>
      <c r="M443" s="14" t="s">
        <v>9158</v>
      </c>
      <c r="N443" s="14" t="s">
        <v>9158</v>
      </c>
      <c r="O443" s="19" t="s">
        <v>2889</v>
      </c>
      <c r="P443" s="14" t="s">
        <v>2890</v>
      </c>
      <c r="Q443" s="14">
        <v>1</v>
      </c>
    </row>
    <row r="444" spans="1:17">
      <c r="A444" s="14" t="s">
        <v>5897</v>
      </c>
      <c r="B444" s="14" t="s">
        <v>52</v>
      </c>
      <c r="C444" s="14" t="s">
        <v>23</v>
      </c>
      <c r="D444" s="19" t="s">
        <v>277</v>
      </c>
      <c r="E444" s="15" t="str">
        <f>HYPERLINK("https://stat100.ameba.jp/tnk47/ratio20/illustrations/card/ill_40913_0_reigyokudensetsufusehime03.jpg?202009-i_prefecture_active_user", "■")</f>
        <v>■</v>
      </c>
      <c r="F444" s="14" t="s">
        <v>955</v>
      </c>
      <c r="G444" s="14">
        <v>131538</v>
      </c>
      <c r="H444" s="14">
        <v>140448</v>
      </c>
      <c r="I444" s="14">
        <v>24</v>
      </c>
      <c r="J444" s="14" t="s">
        <v>38</v>
      </c>
      <c r="K444" s="14" t="s">
        <v>956</v>
      </c>
      <c r="L444" s="14" t="s">
        <v>957</v>
      </c>
      <c r="M444" s="14" t="s">
        <v>9158</v>
      </c>
      <c r="N444" s="14" t="s">
        <v>9158</v>
      </c>
      <c r="O444" s="14" t="s">
        <v>9158</v>
      </c>
      <c r="P444" s="14" t="s">
        <v>9158</v>
      </c>
      <c r="Q444" s="14" t="s">
        <v>9158</v>
      </c>
    </row>
    <row r="445" spans="1:17">
      <c r="A445" s="7">
        <v>59423</v>
      </c>
      <c r="B445" s="14" t="s">
        <v>334</v>
      </c>
      <c r="C445" s="14" t="s">
        <v>209</v>
      </c>
      <c r="D445" s="19" t="s">
        <v>10286</v>
      </c>
      <c r="E445" s="15" t="str">
        <f>HYPERLINK("https://stat100.ameba.jp/tnk47/ratio20/illustrations/card/ill_59423_yuishosetsu03.jpg?202009-i_prefecture_active_user", "■")</f>
        <v>■</v>
      </c>
      <c r="F445" s="14" t="s">
        <v>1143</v>
      </c>
      <c r="G445" s="14">
        <v>118000</v>
      </c>
      <c r="H445" s="14">
        <v>85492</v>
      </c>
      <c r="I445" s="14">
        <v>26</v>
      </c>
      <c r="J445" s="14" t="s">
        <v>16</v>
      </c>
      <c r="K445" s="14" t="s">
        <v>1144</v>
      </c>
      <c r="L445" s="14" t="s">
        <v>1149</v>
      </c>
      <c r="M445" s="14" t="s">
        <v>9158</v>
      </c>
      <c r="N445" s="14" t="s">
        <v>9158</v>
      </c>
      <c r="O445" s="19" t="s">
        <v>2951</v>
      </c>
      <c r="P445" s="14" t="s">
        <v>13122</v>
      </c>
      <c r="Q445" s="14">
        <v>1</v>
      </c>
    </row>
    <row r="446" spans="1:17">
      <c r="A446" s="9">
        <v>77253</v>
      </c>
      <c r="B446" s="14" t="s">
        <v>348</v>
      </c>
      <c r="C446" s="14" t="s">
        <v>205</v>
      </c>
      <c r="D446" s="14" t="s">
        <v>1439</v>
      </c>
      <c r="E446" s="15" t="str">
        <f>HYPERLINK("https://stat100.ameba.jp/tnk47/ratio20/illustrations/card/ill_77253_korakuoribuchan03.jpg?202009-i_prefecture_active_user", "■")</f>
        <v>■</v>
      </c>
      <c r="F446" s="14" t="s">
        <v>1440</v>
      </c>
      <c r="G446" s="14">
        <v>69898</v>
      </c>
      <c r="H446" s="14">
        <v>77064</v>
      </c>
      <c r="I446" s="14">
        <v>26</v>
      </c>
      <c r="J446" s="14" t="s">
        <v>283</v>
      </c>
      <c r="K446" s="14" t="s">
        <v>1441</v>
      </c>
      <c r="L446" s="14" t="s">
        <v>1442</v>
      </c>
      <c r="M446" s="14" t="s">
        <v>9158</v>
      </c>
      <c r="N446" s="14" t="s">
        <v>9158</v>
      </c>
      <c r="O446" s="14" t="s">
        <v>9158</v>
      </c>
      <c r="P446" s="14" t="s">
        <v>9158</v>
      </c>
      <c r="Q446" s="14" t="s">
        <v>9158</v>
      </c>
    </row>
    <row r="447" spans="1:17">
      <c r="A447" s="14">
        <v>74273</v>
      </c>
      <c r="B447" s="14" t="s">
        <v>14405</v>
      </c>
      <c r="C447" s="14" t="s">
        <v>206</v>
      </c>
      <c r="D447" s="14" t="s">
        <v>14442</v>
      </c>
      <c r="E447" s="15" t="str">
        <f>HYPERLINK("https://stat100.ameba.jp/tnk47/ratio20/illustrations/card/ill_74273_mizudeppo03.jpg?202009-i_prefecture_active_user", "■")</f>
        <v>■</v>
      </c>
      <c r="F447" s="14" t="s">
        <v>14449</v>
      </c>
      <c r="G447" s="14">
        <v>44948</v>
      </c>
      <c r="H447" s="14">
        <v>54058</v>
      </c>
      <c r="I447" s="14">
        <v>26</v>
      </c>
      <c r="J447" s="14" t="s">
        <v>14448</v>
      </c>
      <c r="K447" s="14" t="s">
        <v>14447</v>
      </c>
      <c r="L447" s="14" t="s">
        <v>14446</v>
      </c>
      <c r="M447" s="14" t="s">
        <v>9158</v>
      </c>
      <c r="N447" s="14" t="s">
        <v>9158</v>
      </c>
      <c r="O447" s="14" t="s">
        <v>9158</v>
      </c>
      <c r="P447" s="14" t="s">
        <v>9158</v>
      </c>
      <c r="Q447" s="14" t="s">
        <v>9158</v>
      </c>
    </row>
    <row r="448" spans="1:17">
      <c r="A448" s="14">
        <v>60833</v>
      </c>
      <c r="B448" s="14" t="s">
        <v>14405</v>
      </c>
      <c r="C448" s="14" t="s">
        <v>185</v>
      </c>
      <c r="D448" s="14" t="s">
        <v>14443</v>
      </c>
      <c r="E448" s="15" t="str">
        <f>HYPERLINK("https://stat100.ameba.jp/tnk47/ratio20/illustrations/card/ill_60833_shinseinihonzariganichan03.jpg?202009-i_prefecture_active_user", "■")</f>
        <v>■</v>
      </c>
      <c r="F448" s="14" t="s">
        <v>14452</v>
      </c>
      <c r="G448" s="14">
        <v>54058</v>
      </c>
      <c r="H448" s="14">
        <v>44948</v>
      </c>
      <c r="I448" s="14">
        <v>26</v>
      </c>
      <c r="J448" s="14" t="s">
        <v>14309</v>
      </c>
      <c r="K448" s="14" t="s">
        <v>14451</v>
      </c>
      <c r="L448" s="14" t="s">
        <v>14450</v>
      </c>
      <c r="M448" s="14" t="s">
        <v>9158</v>
      </c>
      <c r="N448" s="14" t="s">
        <v>9158</v>
      </c>
      <c r="O448" s="14" t="s">
        <v>9158</v>
      </c>
      <c r="P448" s="14" t="s">
        <v>9158</v>
      </c>
      <c r="Q448" s="14" t="s">
        <v>9158</v>
      </c>
    </row>
    <row r="450" spans="1:18">
      <c r="A450" s="14" t="s">
        <v>13327</v>
      </c>
    </row>
    <row r="451" spans="1:18">
      <c r="A451" s="14" t="s">
        <v>14445</v>
      </c>
    </row>
    <row r="452" spans="1:18">
      <c r="A452" s="14">
        <v>82213</v>
      </c>
      <c r="B452" s="14" t="s">
        <v>0</v>
      </c>
      <c r="C452" s="14" t="s">
        <v>185</v>
      </c>
      <c r="D452" s="19" t="s">
        <v>10185</v>
      </c>
      <c r="E452" s="15" t="str">
        <f>HYPERLINK("https://stat100.ameba.jp/tnk47/ratio20/illustrations/card/ill_82213_tatarimokke03.jpg?202009-i_prefecture_active_user", "■")</f>
        <v>■</v>
      </c>
      <c r="F452" s="14" t="s">
        <v>4935</v>
      </c>
      <c r="G452" s="14">
        <v>123583</v>
      </c>
      <c r="H452" s="14">
        <v>132922</v>
      </c>
      <c r="I452" s="7">
        <v>27</v>
      </c>
      <c r="J452" s="14" t="s">
        <v>182</v>
      </c>
      <c r="K452" s="14" t="s">
        <v>4937</v>
      </c>
      <c r="L452" s="14" t="s">
        <v>13191</v>
      </c>
      <c r="M452" s="14" t="s">
        <v>13130</v>
      </c>
      <c r="N452" s="14" t="s">
        <v>343</v>
      </c>
      <c r="O452" s="14" t="s">
        <v>9158</v>
      </c>
      <c r="P452" s="14" t="s">
        <v>9158</v>
      </c>
      <c r="Q452" s="14" t="s">
        <v>9158</v>
      </c>
      <c r="R452" s="14" t="s">
        <v>14748</v>
      </c>
    </row>
    <row r="453" spans="1:18">
      <c r="A453" s="14">
        <v>82212</v>
      </c>
      <c r="B453" s="14" t="s">
        <v>334</v>
      </c>
      <c r="C453" s="14" t="s">
        <v>185</v>
      </c>
      <c r="D453" s="19" t="s">
        <v>10185</v>
      </c>
      <c r="E453" s="15" t="str">
        <f>HYPERLINK("https://stat100.ameba.jp/tnk47/ratio20/illustrations/card/ill_82212_tatarimokke02.jpg?202009-i_prefecture_active_user", "■")</f>
        <v>■</v>
      </c>
      <c r="F453" s="14" t="s">
        <v>4935</v>
      </c>
      <c r="G453" s="14">
        <v>102356</v>
      </c>
      <c r="H453" s="14">
        <v>111115</v>
      </c>
      <c r="I453" s="7">
        <v>27</v>
      </c>
      <c r="J453" s="14" t="s">
        <v>182</v>
      </c>
      <c r="K453" s="14" t="s">
        <v>4937</v>
      </c>
      <c r="L453" s="14" t="s">
        <v>13191</v>
      </c>
      <c r="M453" s="14" t="s">
        <v>13131</v>
      </c>
      <c r="N453" s="14" t="s">
        <v>251</v>
      </c>
      <c r="O453" s="14" t="s">
        <v>9158</v>
      </c>
      <c r="P453" s="14" t="s">
        <v>9158</v>
      </c>
      <c r="Q453" s="14" t="s">
        <v>9158</v>
      </c>
      <c r="R453" s="14" t="s">
        <v>14748</v>
      </c>
    </row>
    <row r="454" spans="1:18">
      <c r="A454" s="14">
        <v>82211</v>
      </c>
      <c r="B454" s="14" t="s">
        <v>0</v>
      </c>
      <c r="C454" s="14" t="s">
        <v>185</v>
      </c>
      <c r="D454" s="19" t="s">
        <v>10185</v>
      </c>
      <c r="E454" s="15" t="str">
        <f>HYPERLINK("https://stat100.ameba.jp/tnk47/ratio20/illustrations/card/ill_82211_tatarimokke01.jpg?202009-i_prefecture_active_user", "■")</f>
        <v>■</v>
      </c>
      <c r="F454" s="14" t="s">
        <v>4935</v>
      </c>
      <c r="G454" s="14">
        <v>78975</v>
      </c>
      <c r="H454" s="14">
        <v>84834</v>
      </c>
      <c r="I454" s="7">
        <v>27</v>
      </c>
      <c r="J454" s="14" t="s">
        <v>182</v>
      </c>
      <c r="K454" s="14" t="s">
        <v>4937</v>
      </c>
      <c r="L454" s="14" t="s">
        <v>13191</v>
      </c>
      <c r="M454" s="14" t="s">
        <v>13131</v>
      </c>
      <c r="N454" s="14" t="s">
        <v>251</v>
      </c>
      <c r="O454" s="14" t="s">
        <v>9158</v>
      </c>
      <c r="P454" s="14" t="s">
        <v>9158</v>
      </c>
      <c r="Q454" s="14" t="s">
        <v>9158</v>
      </c>
      <c r="R454" s="14" t="s">
        <v>14748</v>
      </c>
    </row>
    <row r="455" spans="1:18">
      <c r="A455" s="14">
        <v>82223</v>
      </c>
      <c r="B455" s="14" t="s">
        <v>334</v>
      </c>
      <c r="C455" s="14" t="s">
        <v>200</v>
      </c>
      <c r="D455" s="19" t="s">
        <v>10186</v>
      </c>
      <c r="E455" s="15" t="str">
        <f>HYPERLINK("https://stat100.ameba.jp/tnk47/ratio20/illustrations/card/ill_82223_oyayubihime03.jpg?202009-i_prefecture_active_user", "■")</f>
        <v>■</v>
      </c>
      <c r="F455" s="14" t="s">
        <v>4931</v>
      </c>
      <c r="G455" s="14">
        <v>132922</v>
      </c>
      <c r="H455" s="14">
        <v>123583</v>
      </c>
      <c r="I455" s="7">
        <v>27</v>
      </c>
      <c r="J455" s="14" t="s">
        <v>155</v>
      </c>
      <c r="K455" s="14" t="s">
        <v>4933</v>
      </c>
      <c r="L455" s="14" t="s">
        <v>4934</v>
      </c>
      <c r="M455" s="14" t="s">
        <v>13130</v>
      </c>
      <c r="N455" s="14" t="s">
        <v>343</v>
      </c>
      <c r="O455" s="14" t="s">
        <v>9158</v>
      </c>
      <c r="P455" s="14" t="s">
        <v>9158</v>
      </c>
      <c r="Q455" s="14" t="s">
        <v>9158</v>
      </c>
      <c r="R455" s="14" t="s">
        <v>14748</v>
      </c>
    </row>
    <row r="456" spans="1:18">
      <c r="A456" s="14">
        <v>82233</v>
      </c>
      <c r="B456" s="14" t="s">
        <v>334</v>
      </c>
      <c r="C456" s="14" t="s">
        <v>191</v>
      </c>
      <c r="D456" s="19" t="s">
        <v>10187</v>
      </c>
      <c r="E456" s="15" t="str">
        <f>HYPERLINK("https://stat100.ameba.jp/tnk47/ratio20/illustrations/card/ill_82233_iseokiku03.jpg?202009-i_prefecture_active_user", "■")</f>
        <v>■</v>
      </c>
      <c r="F456" s="14" t="s">
        <v>4924</v>
      </c>
      <c r="G456" s="14">
        <v>132922</v>
      </c>
      <c r="H456" s="14">
        <v>123583</v>
      </c>
      <c r="I456" s="7">
        <v>27</v>
      </c>
      <c r="J456" s="14" t="s">
        <v>187</v>
      </c>
      <c r="K456" s="14" t="s">
        <v>4926</v>
      </c>
      <c r="L456" s="14" t="s">
        <v>4930</v>
      </c>
      <c r="M456" s="14" t="s">
        <v>13130</v>
      </c>
      <c r="N456" s="14" t="s">
        <v>343</v>
      </c>
      <c r="O456" s="14" t="s">
        <v>9158</v>
      </c>
      <c r="P456" s="14" t="s">
        <v>9158</v>
      </c>
      <c r="Q456" s="14" t="s">
        <v>9158</v>
      </c>
      <c r="R456" s="14" t="s">
        <v>14748</v>
      </c>
    </row>
    <row r="457" spans="1:18">
      <c r="A457" s="14">
        <v>82243</v>
      </c>
      <c r="B457" s="14" t="s">
        <v>0</v>
      </c>
      <c r="C457" s="14" t="s">
        <v>165</v>
      </c>
      <c r="D457" s="19" t="s">
        <v>10188</v>
      </c>
      <c r="E457" s="15" t="str">
        <f>HYPERLINK("https://stat100.ameba.jp/tnk47/ratio20/illustrations/card/ill_82243_nanohana03.jpg?202009-i_prefecture_active_user", "■")</f>
        <v>■</v>
      </c>
      <c r="F457" s="14" t="s">
        <v>4921</v>
      </c>
      <c r="G457" s="14">
        <v>132922</v>
      </c>
      <c r="H457" s="14">
        <v>123583</v>
      </c>
      <c r="I457" s="7">
        <v>27</v>
      </c>
      <c r="J457" s="14" t="s">
        <v>229</v>
      </c>
      <c r="K457" s="14" t="s">
        <v>4923</v>
      </c>
      <c r="L457" s="14" t="s">
        <v>4929</v>
      </c>
      <c r="M457" s="14" t="s">
        <v>13130</v>
      </c>
      <c r="N457" s="14" t="s">
        <v>343</v>
      </c>
      <c r="O457" s="14" t="s">
        <v>9158</v>
      </c>
      <c r="P457" s="14" t="s">
        <v>9158</v>
      </c>
      <c r="Q457" s="14" t="s">
        <v>9158</v>
      </c>
      <c r="R457" s="14" t="s">
        <v>14748</v>
      </c>
    </row>
    <row r="458" spans="1:18">
      <c r="A458" s="14">
        <v>82253</v>
      </c>
      <c r="B458" s="14" t="s">
        <v>334</v>
      </c>
      <c r="C458" s="14" t="s">
        <v>205</v>
      </c>
      <c r="D458" s="19" t="s">
        <v>10189</v>
      </c>
      <c r="E458" s="15" t="str">
        <f>HYPERLINK("https://stat100.ameba.jp/tnk47/ratio20/illustrations/card/ill_82253_ajisaikyogokuichiko03.jpg?202009-i_prefecture_active_user", "■")</f>
        <v>■</v>
      </c>
      <c r="F458" s="14" t="s">
        <v>4920</v>
      </c>
      <c r="G458" s="14">
        <v>123583</v>
      </c>
      <c r="H458" s="14">
        <v>132922</v>
      </c>
      <c r="I458" s="7">
        <v>27</v>
      </c>
      <c r="J458" s="14" t="s">
        <v>159</v>
      </c>
      <c r="K458" s="14" t="s">
        <v>4919</v>
      </c>
      <c r="L458" s="14" t="s">
        <v>4927</v>
      </c>
      <c r="M458" s="14" t="s">
        <v>13130</v>
      </c>
      <c r="N458" s="14" t="s">
        <v>343</v>
      </c>
      <c r="O458" s="14" t="s">
        <v>9158</v>
      </c>
      <c r="P458" s="14" t="s">
        <v>9158</v>
      </c>
      <c r="Q458" s="14" t="s">
        <v>9158</v>
      </c>
      <c r="R458" s="14" t="s">
        <v>14748</v>
      </c>
    </row>
    <row r="459" spans="1:18">
      <c r="A459" s="14">
        <v>82263</v>
      </c>
      <c r="B459" s="14" t="s">
        <v>334</v>
      </c>
      <c r="C459" s="14" t="s">
        <v>206</v>
      </c>
      <c r="D459" s="19" t="s">
        <v>10190</v>
      </c>
      <c r="E459" s="15" t="str">
        <f>HYPERLINK("https://stat100.ameba.jp/tnk47/ratio20/illustrations/card/ill_82263_euterupe03.jpg?202009-i_prefecture_active_user", "■")</f>
        <v>■</v>
      </c>
      <c r="F459" s="14" t="s">
        <v>4915</v>
      </c>
      <c r="G459" s="14">
        <v>123583</v>
      </c>
      <c r="H459" s="14">
        <v>132922</v>
      </c>
      <c r="I459" s="7">
        <v>27</v>
      </c>
      <c r="J459" s="14" t="s">
        <v>169</v>
      </c>
      <c r="K459" s="14" t="s">
        <v>4917</v>
      </c>
      <c r="L459" s="14" t="s">
        <v>4928</v>
      </c>
      <c r="M459" s="14" t="s">
        <v>13130</v>
      </c>
      <c r="N459" s="14" t="s">
        <v>343</v>
      </c>
      <c r="O459" s="14" t="s">
        <v>9158</v>
      </c>
      <c r="P459" s="14" t="s">
        <v>9158</v>
      </c>
      <c r="Q459" s="14" t="s">
        <v>9158</v>
      </c>
      <c r="R459" s="14" t="s">
        <v>14748</v>
      </c>
    </row>
    <row r="461" spans="1:18">
      <c r="A461" s="14" t="s">
        <v>6512</v>
      </c>
    </row>
    <row r="462" spans="1:18">
      <c r="A462" s="14" t="s">
        <v>14453</v>
      </c>
    </row>
    <row r="463" spans="1:18">
      <c r="A463" s="14" t="s">
        <v>5724</v>
      </c>
      <c r="B463" s="14" t="s">
        <v>330</v>
      </c>
      <c r="C463" s="14" t="s">
        <v>335</v>
      </c>
      <c r="D463" s="19" t="s">
        <v>698</v>
      </c>
      <c r="E463" s="15" t="str">
        <f>HYPERLINK("https://stat100.ameba.jp/tnk47/ratio20/illustrations/card/ill_66433_0_haroinfujishirogozen03.jpg?202009-i_prefecture_active_user", "■")</f>
        <v>■</v>
      </c>
      <c r="F463" s="14" t="s">
        <v>699</v>
      </c>
      <c r="G463" s="14">
        <v>146892</v>
      </c>
      <c r="H463" s="14">
        <v>158000</v>
      </c>
      <c r="I463" s="14">
        <v>24</v>
      </c>
      <c r="J463" s="14" t="s">
        <v>315</v>
      </c>
      <c r="K463" s="14" t="s">
        <v>700</v>
      </c>
      <c r="L463" s="14" t="s">
        <v>701</v>
      </c>
      <c r="M463" s="14" t="s">
        <v>9158</v>
      </c>
      <c r="N463" s="14" t="s">
        <v>9158</v>
      </c>
      <c r="O463" s="19" t="s">
        <v>10095</v>
      </c>
      <c r="P463" s="14" t="s">
        <v>3345</v>
      </c>
      <c r="Q463" s="14">
        <v>1</v>
      </c>
    </row>
    <row r="464" spans="1:18">
      <c r="A464" s="14" t="s">
        <v>5614</v>
      </c>
      <c r="B464" s="14" t="s">
        <v>330</v>
      </c>
      <c r="C464" s="14" t="s">
        <v>267</v>
      </c>
      <c r="D464" s="19" t="s">
        <v>313</v>
      </c>
      <c r="E464" s="15" t="str">
        <f>HYPERLINK("https://stat100.ameba.jp/tnk47/ratio20/illustrations/card/ill_56223_0_onsempanikkugohime03.jpg?202009-i_prefecture_active_user", "■")</f>
        <v>■</v>
      </c>
      <c r="F464" s="14" t="s">
        <v>314</v>
      </c>
      <c r="G464" s="14">
        <v>133938</v>
      </c>
      <c r="H464" s="14">
        <v>150776</v>
      </c>
      <c r="I464" s="14">
        <v>24</v>
      </c>
      <c r="J464" s="14" t="s">
        <v>315</v>
      </c>
      <c r="K464" s="14" t="s">
        <v>316</v>
      </c>
      <c r="L464" s="14" t="s">
        <v>317</v>
      </c>
      <c r="M464" s="14" t="s">
        <v>9158</v>
      </c>
      <c r="N464" s="14" t="s">
        <v>9158</v>
      </c>
      <c r="O464" s="19" t="s">
        <v>3021</v>
      </c>
      <c r="P464" s="14" t="s">
        <v>2890</v>
      </c>
      <c r="Q464" s="14">
        <v>1</v>
      </c>
    </row>
    <row r="465" spans="1:17">
      <c r="A465" s="14" t="s">
        <v>5604</v>
      </c>
      <c r="B465" s="14" t="s">
        <v>330</v>
      </c>
      <c r="C465" s="14" t="s">
        <v>206</v>
      </c>
      <c r="D465" s="19" t="s">
        <v>614</v>
      </c>
      <c r="E465" s="15" t="str">
        <f>HYPERLINK("https://stat100.ameba.jp/tnk47/ratio20/illustrations/card/ill_47263_0_oukyuuatsuhime03.jpg?202009-i_prefecture_active_user", "■")</f>
        <v>■</v>
      </c>
      <c r="F465" s="14" t="s">
        <v>615</v>
      </c>
      <c r="G465" s="14">
        <v>150776</v>
      </c>
      <c r="H465" s="14">
        <v>133938</v>
      </c>
      <c r="I465" s="14">
        <v>24</v>
      </c>
      <c r="J465" s="14" t="s">
        <v>315</v>
      </c>
      <c r="K465" s="14" t="s">
        <v>616</v>
      </c>
      <c r="L465" s="14" t="s">
        <v>617</v>
      </c>
      <c r="M465" s="14" t="s">
        <v>9158</v>
      </c>
      <c r="N465" s="14" t="s">
        <v>9158</v>
      </c>
      <c r="O465" s="14" t="s">
        <v>9158</v>
      </c>
      <c r="P465" s="14" t="s">
        <v>9158</v>
      </c>
      <c r="Q465" s="14" t="s">
        <v>9158</v>
      </c>
    </row>
    <row r="466" spans="1:17">
      <c r="A466" s="14">
        <v>66353</v>
      </c>
      <c r="B466" s="14" t="s">
        <v>0</v>
      </c>
      <c r="C466" s="14" t="s">
        <v>41</v>
      </c>
      <c r="D466" s="14" t="s">
        <v>141</v>
      </c>
      <c r="E466" s="15" t="str">
        <f>HYPERLINK("https://stat100.ameba.jp/tnk47/ratio20/illustrations/card/ill_66353_kajiwaranyudotoan03.jpg?202009-i_prefecture_active_user", "■")</f>
        <v>■</v>
      </c>
      <c r="F466" s="14" t="s">
        <v>142</v>
      </c>
      <c r="G466" s="14">
        <v>172982</v>
      </c>
      <c r="H466" s="14">
        <v>125296</v>
      </c>
      <c r="I466" s="7">
        <v>26</v>
      </c>
      <c r="J466" s="14" t="s">
        <v>143</v>
      </c>
      <c r="K466" s="14" t="s">
        <v>144</v>
      </c>
      <c r="L466" s="14" t="s">
        <v>145</v>
      </c>
      <c r="M466" s="14" t="s">
        <v>9158</v>
      </c>
      <c r="N466" s="14" t="s">
        <v>9158</v>
      </c>
      <c r="O466" s="17" t="s">
        <v>10054</v>
      </c>
      <c r="P466" s="14" t="s">
        <v>3672</v>
      </c>
      <c r="Q466" s="14">
        <v>1</v>
      </c>
    </row>
    <row r="467" spans="1:17">
      <c r="A467" s="14">
        <v>32273</v>
      </c>
      <c r="B467" s="14" t="s">
        <v>15</v>
      </c>
      <c r="C467" s="14" t="s">
        <v>96</v>
      </c>
      <c r="D467" s="19" t="s">
        <v>10192</v>
      </c>
      <c r="E467" s="15" t="str">
        <f>HYPERLINK("https://stat100.ameba.jp/tnk47/ratio20/illustrations/card/ill_32273_okumurashiu03.jpg?202009-i_prefecture_active_user", "■")</f>
        <v>■</v>
      </c>
      <c r="F467" s="14" t="s">
        <v>4947</v>
      </c>
      <c r="G467" s="14">
        <v>69898</v>
      </c>
      <c r="H467" s="14">
        <v>77064</v>
      </c>
      <c r="I467" s="7">
        <v>26</v>
      </c>
      <c r="J467" s="14" t="s">
        <v>10</v>
      </c>
      <c r="K467" s="14" t="s">
        <v>4949</v>
      </c>
      <c r="L467" s="14" t="s">
        <v>3337</v>
      </c>
      <c r="M467" s="14" t="s">
        <v>9158</v>
      </c>
      <c r="N467" s="14" t="s">
        <v>9158</v>
      </c>
      <c r="O467" s="9" t="s">
        <v>9158</v>
      </c>
      <c r="P467" s="14" t="s">
        <v>9158</v>
      </c>
      <c r="Q467" s="14" t="s">
        <v>9158</v>
      </c>
    </row>
    <row r="468" spans="1:17">
      <c r="A468" s="14">
        <v>82683</v>
      </c>
      <c r="B468" s="14" t="s">
        <v>22</v>
      </c>
      <c r="C468" s="14" t="s">
        <v>191</v>
      </c>
      <c r="D468" s="19" t="s">
        <v>10370</v>
      </c>
      <c r="E468" s="15" t="str">
        <f>HYPERLINK("https://stat100.ameba.jp/tnk47/ratio20/illustrations/card/ill_82683_umibirakikasekihakkutsumusume03.jpg?202009-i_prefecture_active_user", "■")</f>
        <v>■</v>
      </c>
      <c r="F468" s="14" t="s">
        <v>5669</v>
      </c>
      <c r="G468" s="14">
        <v>54058</v>
      </c>
      <c r="H468" s="14">
        <v>44948</v>
      </c>
      <c r="I468" s="7">
        <v>26</v>
      </c>
      <c r="J468" s="14" t="s">
        <v>26</v>
      </c>
      <c r="K468" s="14" t="s">
        <v>5672</v>
      </c>
      <c r="L468" s="14" t="s">
        <v>2635</v>
      </c>
      <c r="M468" s="14" t="s">
        <v>9158</v>
      </c>
      <c r="N468" s="14" t="s">
        <v>9158</v>
      </c>
      <c r="O468" s="14" t="s">
        <v>9158</v>
      </c>
      <c r="P468" s="14" t="s">
        <v>9158</v>
      </c>
      <c r="Q468" s="14" t="s">
        <v>9158</v>
      </c>
    </row>
    <row r="469" spans="1:17">
      <c r="A469" s="9">
        <v>80963</v>
      </c>
      <c r="B469" s="14" t="s">
        <v>22</v>
      </c>
      <c r="C469" s="14" t="s">
        <v>23</v>
      </c>
      <c r="D469" s="14" t="s">
        <v>4459</v>
      </c>
      <c r="E469" s="15" t="str">
        <f>HYPERLINK("https://stat100.ameba.jp/tnk47/ratio20/illustrations/card/ill_80963_resukyuiinaomasa03.jpg?202009-i_prefecture_active_user", "■")</f>
        <v>■</v>
      </c>
      <c r="F469" s="14" t="s">
        <v>4465</v>
      </c>
      <c r="G469" s="14">
        <v>54058</v>
      </c>
      <c r="H469" s="14">
        <v>44948</v>
      </c>
      <c r="I469" s="7">
        <v>26</v>
      </c>
      <c r="J469" s="14" t="s">
        <v>143</v>
      </c>
      <c r="K469" s="14" t="s">
        <v>4460</v>
      </c>
      <c r="L469" s="14" t="s">
        <v>4461</v>
      </c>
      <c r="M469" s="14" t="s">
        <v>9158</v>
      </c>
      <c r="N469" s="14" t="s">
        <v>9158</v>
      </c>
      <c r="O469" s="14" t="s">
        <v>9158</v>
      </c>
      <c r="P469" s="14" t="s">
        <v>9158</v>
      </c>
      <c r="Q469" s="14" t="s">
        <v>9158</v>
      </c>
    </row>
    <row r="471" spans="1:17">
      <c r="A471" s="14" t="s">
        <v>3916</v>
      </c>
    </row>
    <row r="472" spans="1:17">
      <c r="A472" s="14" t="s">
        <v>14454</v>
      </c>
    </row>
    <row r="473" spans="1:17">
      <c r="A473" s="14">
        <v>71013</v>
      </c>
      <c r="B473" s="14" t="s">
        <v>334</v>
      </c>
      <c r="C473" s="14" t="s">
        <v>154</v>
      </c>
      <c r="D473" s="19" t="s">
        <v>837</v>
      </c>
      <c r="E473" s="15" t="str">
        <f>HYPERLINK("https://stat100.ameba.jp/tnk47/ratio20/illustrations/card/ill_71013_fujutsushisarashina03.jpg?202009-i_prefecture_active_user", "■")</f>
        <v>■</v>
      </c>
      <c r="F473" s="14" t="s">
        <v>838</v>
      </c>
      <c r="G473" s="14">
        <v>108276</v>
      </c>
      <c r="H473" s="14">
        <v>116452</v>
      </c>
      <c r="I473" s="14">
        <v>27</v>
      </c>
      <c r="J473" s="14" t="s">
        <v>155</v>
      </c>
      <c r="K473" s="14" t="s">
        <v>1231</v>
      </c>
      <c r="L473" s="14" t="s">
        <v>13152</v>
      </c>
      <c r="M473" s="14" t="s">
        <v>9864</v>
      </c>
      <c r="N473" s="14" t="s">
        <v>9158</v>
      </c>
      <c r="O473" s="14" t="s">
        <v>9158</v>
      </c>
      <c r="P473" s="14" t="s">
        <v>9158</v>
      </c>
      <c r="Q473" s="14" t="s">
        <v>9158</v>
      </c>
    </row>
    <row r="474" spans="1:17">
      <c r="A474" s="14">
        <v>71023</v>
      </c>
      <c r="B474" s="14" t="s">
        <v>334</v>
      </c>
      <c r="C474" s="14" t="s">
        <v>158</v>
      </c>
      <c r="D474" s="19" t="s">
        <v>841</v>
      </c>
      <c r="E474" s="15" t="str">
        <f>HYPERLINK("https://stat100.ameba.jp/tnk47/ratio20/illustrations/card/ill_71023_ommyojiiroha03.jpg?202009-i_prefecture_active_user", "■")</f>
        <v>■</v>
      </c>
      <c r="F474" s="14" t="s">
        <v>842</v>
      </c>
      <c r="G474" s="14">
        <v>108276</v>
      </c>
      <c r="H474" s="14">
        <v>116452</v>
      </c>
      <c r="I474" s="14">
        <v>27</v>
      </c>
      <c r="J474" s="14" t="s">
        <v>159</v>
      </c>
      <c r="K474" s="14" t="s">
        <v>1232</v>
      </c>
      <c r="L474" s="14" t="s">
        <v>1233</v>
      </c>
      <c r="M474" s="14" t="s">
        <v>9158</v>
      </c>
      <c r="N474" s="14" t="s">
        <v>9158</v>
      </c>
      <c r="O474" s="14" t="s">
        <v>9158</v>
      </c>
      <c r="P474" s="14" t="s">
        <v>9158</v>
      </c>
      <c r="Q474" s="14" t="s">
        <v>9158</v>
      </c>
    </row>
    <row r="475" spans="1:17">
      <c r="A475" s="14">
        <v>66053</v>
      </c>
      <c r="B475" s="14" t="s">
        <v>334</v>
      </c>
      <c r="C475" s="14" t="s">
        <v>205</v>
      </c>
      <c r="D475" s="19" t="s">
        <v>3046</v>
      </c>
      <c r="E475" s="15" t="str">
        <f>HYPERLINK("https://stat100.ameba.jp/tnk47/ratio20/illustrations/card/ill_66053_serebukushiyatamanokami03.jpg?202009-i_prefecture_active_user", "■")</f>
        <v>■</v>
      </c>
      <c r="F475" s="14" t="s">
        <v>2265</v>
      </c>
      <c r="G475" s="14">
        <v>110129</v>
      </c>
      <c r="H475" s="14">
        <v>102386</v>
      </c>
      <c r="I475" s="14">
        <v>27</v>
      </c>
      <c r="J475" s="14" t="s">
        <v>44</v>
      </c>
      <c r="K475" s="14" t="s">
        <v>2266</v>
      </c>
      <c r="L475" s="14" t="s">
        <v>1860</v>
      </c>
      <c r="M475" s="14" t="s">
        <v>9158</v>
      </c>
      <c r="N475" s="14" t="s">
        <v>9158</v>
      </c>
      <c r="O475" s="14" t="s">
        <v>9158</v>
      </c>
      <c r="P475" s="14" t="s">
        <v>9158</v>
      </c>
      <c r="Q475" s="14" t="s">
        <v>9158</v>
      </c>
    </row>
    <row r="476" spans="1:17">
      <c r="A476" s="14">
        <v>65923</v>
      </c>
      <c r="B476" s="14" t="s">
        <v>334</v>
      </c>
      <c r="C476" s="14" t="s">
        <v>185</v>
      </c>
      <c r="D476" s="19" t="s">
        <v>10204</v>
      </c>
      <c r="E476" s="15" t="str">
        <f>HYPERLINK("https://stat100.ameba.jp/tnk47/ratio20/illustrations/card/ill_65923_arabianginko03.jpg?202009-i_prefecture_active_user", "■")</f>
        <v>■</v>
      </c>
      <c r="F476" s="14" t="s">
        <v>4978</v>
      </c>
      <c r="G476" s="14">
        <v>112496</v>
      </c>
      <c r="H476" s="14">
        <v>104619</v>
      </c>
      <c r="I476" s="14">
        <v>27</v>
      </c>
      <c r="J476" s="14" t="s">
        <v>182</v>
      </c>
      <c r="K476" s="14" t="s">
        <v>3679</v>
      </c>
      <c r="L476" s="14" t="s">
        <v>13188</v>
      </c>
      <c r="M476" s="14" t="s">
        <v>9158</v>
      </c>
      <c r="N476" s="14" t="s">
        <v>9158</v>
      </c>
      <c r="O476" s="14" t="s">
        <v>9158</v>
      </c>
      <c r="P476" s="14" t="s">
        <v>9158</v>
      </c>
      <c r="Q476" s="14" t="s">
        <v>9158</v>
      </c>
    </row>
    <row r="477" spans="1:17">
      <c r="A477" s="14">
        <v>52863</v>
      </c>
      <c r="B477" s="14" t="s">
        <v>15</v>
      </c>
      <c r="C477" s="14" t="s">
        <v>191</v>
      </c>
      <c r="D477" s="19" t="s">
        <v>10516</v>
      </c>
      <c r="E477" s="15" t="str">
        <f>HYPERLINK("https://stat100.ameba.jp/tnk47/ratio20/illustrations/card/ill_52863_andoroidokingyonota03.jpg?202009-i_prefecture_active_user", "■")</f>
        <v>■</v>
      </c>
      <c r="F477" s="14" t="s">
        <v>6409</v>
      </c>
      <c r="G477" s="14">
        <v>59144</v>
      </c>
      <c r="H477" s="14">
        <v>65208</v>
      </c>
      <c r="I477" s="14">
        <v>22</v>
      </c>
      <c r="J477" s="14" t="s">
        <v>38</v>
      </c>
      <c r="K477" s="14" t="s">
        <v>6407</v>
      </c>
      <c r="L477" s="14" t="s">
        <v>6406</v>
      </c>
      <c r="M477" s="14" t="s">
        <v>9158</v>
      </c>
      <c r="N477" s="14" t="s">
        <v>9158</v>
      </c>
      <c r="O477" s="14" t="s">
        <v>9158</v>
      </c>
      <c r="P477" s="14" t="s">
        <v>9158</v>
      </c>
      <c r="Q477" s="14" t="s">
        <v>9158</v>
      </c>
    </row>
    <row r="478" spans="1:17">
      <c r="A478" s="14">
        <v>51593</v>
      </c>
      <c r="B478" s="14" t="s">
        <v>15</v>
      </c>
      <c r="C478" s="14" t="s">
        <v>200</v>
      </c>
      <c r="D478" s="19" t="s">
        <v>10517</v>
      </c>
      <c r="E478" s="15" t="str">
        <f>HYPERLINK("https://stat100.ameba.jp/tnk47/ratio20/illustrations/card/ill_51593_kishuhondatadakatsu03.jpg?202009-i_prefecture_active_user", "■")</f>
        <v>■</v>
      </c>
      <c r="F478" s="14" t="s">
        <v>6413</v>
      </c>
      <c r="G478" s="14">
        <v>59144</v>
      </c>
      <c r="H478" s="14">
        <v>65208</v>
      </c>
      <c r="I478" s="14">
        <v>22</v>
      </c>
      <c r="J478" s="14" t="s">
        <v>143</v>
      </c>
      <c r="K478" s="14" t="s">
        <v>6411</v>
      </c>
      <c r="L478" s="14" t="s">
        <v>6410</v>
      </c>
      <c r="M478" s="14" t="s">
        <v>9158</v>
      </c>
      <c r="N478" s="14" t="s">
        <v>9158</v>
      </c>
      <c r="O478" s="14" t="s">
        <v>9158</v>
      </c>
      <c r="P478" s="14" t="s">
        <v>9158</v>
      </c>
      <c r="Q478" s="14" t="s">
        <v>9158</v>
      </c>
    </row>
    <row r="479" spans="1:17">
      <c r="A479" s="14">
        <v>55403</v>
      </c>
      <c r="B479" s="14" t="s">
        <v>15</v>
      </c>
      <c r="C479" s="14" t="s">
        <v>165</v>
      </c>
      <c r="D479" s="19" t="s">
        <v>10518</v>
      </c>
      <c r="E479" s="15" t="str">
        <f>HYPERLINK("https://stat100.ameba.jp/tnk47/ratio20/illustrations/card/ill_55403_undokaikyogokumaria03.jpg?202009-i_prefecture_active_user", "■")</f>
        <v>■</v>
      </c>
      <c r="F479" s="14" t="s">
        <v>6417</v>
      </c>
      <c r="G479" s="14">
        <v>65208</v>
      </c>
      <c r="H479" s="14">
        <v>59144</v>
      </c>
      <c r="I479" s="14">
        <v>22</v>
      </c>
      <c r="J479" s="14" t="s">
        <v>77</v>
      </c>
      <c r="K479" s="14" t="s">
        <v>6415</v>
      </c>
      <c r="L479" s="14" t="s">
        <v>6414</v>
      </c>
      <c r="M479" s="14" t="s">
        <v>9158</v>
      </c>
      <c r="N479" s="14" t="s">
        <v>9158</v>
      </c>
      <c r="O479" s="14" t="s">
        <v>9158</v>
      </c>
      <c r="P479" s="14" t="s">
        <v>9158</v>
      </c>
      <c r="Q479" s="14" t="s">
        <v>9158</v>
      </c>
    </row>
    <row r="480" spans="1:17">
      <c r="A480" s="14">
        <v>52973</v>
      </c>
      <c r="B480" s="14" t="s">
        <v>15</v>
      </c>
      <c r="C480" s="14" t="s">
        <v>206</v>
      </c>
      <c r="D480" s="19" t="s">
        <v>10519</v>
      </c>
      <c r="E480" s="15" t="str">
        <f>HYPERLINK("https://stat100.ameba.jp/tnk47/ratio20/illustrations/card/ill_52973_torampuamoronagu03.jpg?202009-i_prefecture_active_user", "■")</f>
        <v>■</v>
      </c>
      <c r="F480" s="14" t="s">
        <v>6421</v>
      </c>
      <c r="G480" s="14">
        <v>65208</v>
      </c>
      <c r="H480" s="14">
        <v>59144</v>
      </c>
      <c r="I480" s="14">
        <v>22</v>
      </c>
      <c r="J480" s="14" t="s">
        <v>44</v>
      </c>
      <c r="K480" s="14" t="s">
        <v>6419</v>
      </c>
      <c r="L480" s="14" t="s">
        <v>6418</v>
      </c>
      <c r="M480" s="14" t="s">
        <v>9158</v>
      </c>
      <c r="N480" s="14" t="s">
        <v>9158</v>
      </c>
      <c r="O480" s="14" t="s">
        <v>9158</v>
      </c>
      <c r="P480" s="14" t="s">
        <v>9158</v>
      </c>
      <c r="Q480" s="14" t="s">
        <v>9158</v>
      </c>
    </row>
    <row r="482" spans="1:17">
      <c r="A482" s="14" t="s">
        <v>14455</v>
      </c>
    </row>
    <row r="483" spans="1:17">
      <c r="A483" s="14" t="s">
        <v>14456</v>
      </c>
    </row>
    <row r="484" spans="1:17">
      <c r="A484" s="14" t="s">
        <v>14457</v>
      </c>
    </row>
    <row r="485" spans="1:17">
      <c r="A485" s="14" t="s">
        <v>13435</v>
      </c>
      <c r="B485" s="7" t="s">
        <v>52</v>
      </c>
      <c r="C485" s="14" t="s">
        <v>202</v>
      </c>
      <c r="D485" s="18" t="s">
        <v>13434</v>
      </c>
      <c r="E485" s="15" t="str">
        <f>HYPERLINK("https://stat100.ameba.jp/tnk47/ratio20/illustrations/card/ill_91073_0_mizugiaidorusarukanigassen03.jpg?202009-i_prefecture_active_user", "■")</f>
        <v>■</v>
      </c>
      <c r="F485" s="14" t="s">
        <v>13436</v>
      </c>
      <c r="G485" s="14">
        <v>312433</v>
      </c>
      <c r="H485" s="14">
        <v>282374</v>
      </c>
      <c r="I485" s="7">
        <v>27</v>
      </c>
      <c r="J485" s="14" t="s">
        <v>38</v>
      </c>
      <c r="K485" s="14" t="s">
        <v>13437</v>
      </c>
      <c r="L485" s="14" t="s">
        <v>13438</v>
      </c>
      <c r="M485" s="14" t="s">
        <v>9158</v>
      </c>
      <c r="N485" s="14" t="s">
        <v>9158</v>
      </c>
      <c r="O485" s="6" t="s">
        <v>13439</v>
      </c>
      <c r="P485" s="7" t="s">
        <v>13440</v>
      </c>
      <c r="Q485" s="7">
        <v>1</v>
      </c>
    </row>
    <row r="486" spans="1:17">
      <c r="A486" s="14">
        <v>91483</v>
      </c>
      <c r="B486" s="14" t="s">
        <v>334</v>
      </c>
      <c r="C486" s="14" t="s">
        <v>14466</v>
      </c>
      <c r="D486" s="14" t="s">
        <v>14459</v>
      </c>
      <c r="E486" s="15" t="str">
        <f>HYPERLINK("https://stat100.ameba.jp/tnk47/ratio20/illustrations/card/ill_91483_suizokukanzuwaiganichan03.jpg?202009-i_prefecture_active_user", "■")</f>
        <v>■</v>
      </c>
      <c r="F486" s="14" t="s">
        <v>14474</v>
      </c>
      <c r="G486" s="14">
        <v>149240</v>
      </c>
      <c r="H486" s="14">
        <v>160507</v>
      </c>
      <c r="I486" s="7">
        <v>27</v>
      </c>
      <c r="J486" s="14" t="s">
        <v>14473</v>
      </c>
      <c r="K486" s="14" t="s">
        <v>14472</v>
      </c>
      <c r="L486" s="14" t="s">
        <v>14471</v>
      </c>
      <c r="M486" s="14" t="s">
        <v>9158</v>
      </c>
      <c r="N486" s="14" t="s">
        <v>9158</v>
      </c>
      <c r="O486" s="14" t="s">
        <v>9158</v>
      </c>
      <c r="P486" s="14" t="s">
        <v>9158</v>
      </c>
      <c r="Q486" s="14" t="s">
        <v>9158</v>
      </c>
    </row>
    <row r="487" spans="1:17">
      <c r="A487" s="14">
        <v>91493</v>
      </c>
      <c r="B487" s="14" t="s">
        <v>334</v>
      </c>
      <c r="C487" s="14" t="s">
        <v>14464</v>
      </c>
      <c r="D487" s="14" t="s">
        <v>14460</v>
      </c>
      <c r="E487" s="15" t="str">
        <f>HYPERLINK("https://stat100.ameba.jp/tnk47/ratio20/illustrations/card/ill_91493_kakizakisuehiro03.jpg?202009-i_prefecture_active_user", "■")</f>
        <v>■</v>
      </c>
      <c r="F487" s="14" t="s">
        <v>14478</v>
      </c>
      <c r="G487" s="14">
        <v>149240</v>
      </c>
      <c r="H487" s="14">
        <v>160507</v>
      </c>
      <c r="I487" s="7">
        <v>27</v>
      </c>
      <c r="J487" s="14" t="s">
        <v>14477</v>
      </c>
      <c r="K487" s="14" t="s">
        <v>14476</v>
      </c>
      <c r="L487" s="14" t="s">
        <v>14475</v>
      </c>
      <c r="M487" s="14" t="s">
        <v>9158</v>
      </c>
      <c r="N487" s="14" t="s">
        <v>9158</v>
      </c>
      <c r="O487" s="14" t="s">
        <v>9158</v>
      </c>
      <c r="P487" s="14" t="s">
        <v>9158</v>
      </c>
      <c r="Q487" s="14" t="s">
        <v>9158</v>
      </c>
    </row>
    <row r="488" spans="1:17">
      <c r="A488" s="14">
        <v>91503</v>
      </c>
      <c r="B488" s="14" t="s">
        <v>15</v>
      </c>
      <c r="C488" s="14" t="s">
        <v>14465</v>
      </c>
      <c r="D488" s="14" t="s">
        <v>14461</v>
      </c>
      <c r="E488" s="15" t="str">
        <f>HYPERLINK("https://stat100.ameba.jp/tnk47/ratio20/illustrations/card/ill_91503_shirakansu03.jpg?202009-i_prefecture_active_user", "■")</f>
        <v>■</v>
      </c>
      <c r="F488" s="14" t="s">
        <v>14482</v>
      </c>
      <c r="G488" s="14">
        <v>80028</v>
      </c>
      <c r="H488" s="14">
        <v>72586</v>
      </c>
      <c r="I488" s="7">
        <v>27</v>
      </c>
      <c r="J488" s="14" t="s">
        <v>14481</v>
      </c>
      <c r="K488" s="14" t="s">
        <v>14480</v>
      </c>
      <c r="L488" s="14" t="s">
        <v>14479</v>
      </c>
      <c r="M488" s="14" t="s">
        <v>9158</v>
      </c>
      <c r="N488" s="14" t="s">
        <v>9158</v>
      </c>
      <c r="O488" s="14" t="s">
        <v>9158</v>
      </c>
      <c r="P488" s="14" t="s">
        <v>9158</v>
      </c>
      <c r="Q488" s="14" t="s">
        <v>9158</v>
      </c>
    </row>
    <row r="489" spans="1:17">
      <c r="A489" s="14">
        <v>91513</v>
      </c>
      <c r="B489" s="14" t="s">
        <v>14458</v>
      </c>
      <c r="C489" s="14" t="s">
        <v>14467</v>
      </c>
      <c r="D489" s="14" t="s">
        <v>14462</v>
      </c>
      <c r="E489" s="15" t="str">
        <f>HYPERLINK("https://stat100.ameba.jp/tnk47/ratio20/illustrations/card/ill_91513_sunameri03.jpg?202009-i_prefecture_active_user", "■")</f>
        <v>■</v>
      </c>
      <c r="F489" s="14" t="s">
        <v>14485</v>
      </c>
      <c r="G489" s="14">
        <v>46676</v>
      </c>
      <c r="H489" s="14">
        <v>56138</v>
      </c>
      <c r="I489" s="7">
        <v>27</v>
      </c>
      <c r="J489" s="14" t="s">
        <v>14481</v>
      </c>
      <c r="K489" s="14" t="s">
        <v>14484</v>
      </c>
      <c r="L489" s="14" t="s">
        <v>14483</v>
      </c>
      <c r="M489" s="14" t="s">
        <v>9158</v>
      </c>
      <c r="N489" s="14" t="s">
        <v>9158</v>
      </c>
      <c r="O489" s="14" t="s">
        <v>9158</v>
      </c>
      <c r="P489" s="14" t="s">
        <v>9158</v>
      </c>
      <c r="Q489" s="14" t="s">
        <v>9158</v>
      </c>
    </row>
    <row r="490" spans="1:17">
      <c r="A490" s="14">
        <v>91523</v>
      </c>
      <c r="B490" s="14" t="s">
        <v>14458</v>
      </c>
      <c r="C490" s="14" t="s">
        <v>14468</v>
      </c>
      <c r="D490" s="14" t="s">
        <v>14463</v>
      </c>
      <c r="E490" s="15" t="str">
        <f>HYPERLINK("https://stat100.ameba.jp/tnk47/ratio20/illustrations/card/ill_91523_bashokajiki03.jpg?202009-i_prefecture_active_user", "■")</f>
        <v>■</v>
      </c>
      <c r="F490" s="14" t="s">
        <v>14488</v>
      </c>
      <c r="G490" s="14">
        <v>56138</v>
      </c>
      <c r="H490" s="14">
        <v>46676</v>
      </c>
      <c r="I490" s="7">
        <v>27</v>
      </c>
      <c r="J490" s="14" t="s">
        <v>14473</v>
      </c>
      <c r="K490" s="14" t="s">
        <v>14487</v>
      </c>
      <c r="L490" s="14" t="s">
        <v>14486</v>
      </c>
      <c r="M490" s="14" t="s">
        <v>9158</v>
      </c>
      <c r="N490" s="14" t="s">
        <v>9158</v>
      </c>
      <c r="O490" s="14" t="s">
        <v>9158</v>
      </c>
      <c r="P490" s="14" t="s">
        <v>9158</v>
      </c>
      <c r="Q490" s="14" t="s">
        <v>9158</v>
      </c>
    </row>
    <row r="492" spans="1:17">
      <c r="A492" s="14" t="s">
        <v>14469</v>
      </c>
    </row>
    <row r="493" spans="1:17">
      <c r="A493" s="14" t="s">
        <v>14470</v>
      </c>
    </row>
    <row r="494" spans="1:17">
      <c r="A494" s="14" t="s">
        <v>5804</v>
      </c>
      <c r="B494" s="14" t="s">
        <v>52</v>
      </c>
      <c r="C494" s="14" t="s">
        <v>14</v>
      </c>
      <c r="D494" s="19" t="s">
        <v>3195</v>
      </c>
      <c r="E494" s="15" t="str">
        <f>HYPERLINK("https://stat100.ameba.jp/tnk47/ratio20/illustrations/card/ill_75393_0_resukuinotsukisamaniittausagi03.jpg?202009-i_prefecture_active_user", "■")</f>
        <v>■</v>
      </c>
      <c r="F494" s="14" t="s">
        <v>3248</v>
      </c>
      <c r="G494" s="14">
        <v>250588</v>
      </c>
      <c r="H494" s="14">
        <v>232980</v>
      </c>
      <c r="I494" s="14">
        <v>22</v>
      </c>
      <c r="J494" s="14" t="s">
        <v>26</v>
      </c>
      <c r="K494" s="14" t="s">
        <v>3249</v>
      </c>
      <c r="L494" s="14" t="s">
        <v>3250</v>
      </c>
      <c r="M494" s="14" t="s">
        <v>9158</v>
      </c>
      <c r="N494" s="14" t="s">
        <v>9158</v>
      </c>
      <c r="O494" s="19" t="s">
        <v>10101</v>
      </c>
      <c r="P494" s="14" t="s">
        <v>3251</v>
      </c>
      <c r="Q494" s="14">
        <v>2</v>
      </c>
    </row>
    <row r="495" spans="1:17">
      <c r="A495" s="14" t="s">
        <v>5848</v>
      </c>
      <c r="B495" s="14" t="s">
        <v>330</v>
      </c>
      <c r="C495" s="14" t="s">
        <v>200</v>
      </c>
      <c r="D495" s="19" t="s">
        <v>3160</v>
      </c>
      <c r="E495" s="15" t="str">
        <f>HYPERLINK("https://stat100.ameba.jp/tnk47/ratio20/illustrations/card/ill_72963_0_amenohanayomehiguchiichiyo03.jpg?202009-i_prefecture_active_user", "■")</f>
        <v>■</v>
      </c>
      <c r="F495" s="14" t="s">
        <v>1139</v>
      </c>
      <c r="G495" s="14">
        <v>147404</v>
      </c>
      <c r="H495" s="14">
        <v>137060</v>
      </c>
      <c r="I495" s="14">
        <v>22</v>
      </c>
      <c r="J495" s="14" t="s">
        <v>10</v>
      </c>
      <c r="K495" s="14" t="s">
        <v>1140</v>
      </c>
      <c r="L495" s="14" t="s">
        <v>1141</v>
      </c>
      <c r="M495" s="14" t="s">
        <v>9158</v>
      </c>
      <c r="N495" s="14" t="s">
        <v>9158</v>
      </c>
      <c r="O495" s="19" t="s">
        <v>3162</v>
      </c>
      <c r="P495" s="14" t="s">
        <v>3163</v>
      </c>
      <c r="Q495" s="14">
        <v>1</v>
      </c>
    </row>
    <row r="496" spans="1:17">
      <c r="A496" s="14" t="s">
        <v>5608</v>
      </c>
      <c r="B496" s="14" t="s">
        <v>52</v>
      </c>
      <c r="C496" s="14" t="s">
        <v>96</v>
      </c>
      <c r="D496" s="20" t="s">
        <v>634</v>
      </c>
      <c r="E496" s="15" t="str">
        <f>HYPERLINK("https://stat100.ameba.jp/tnk47/ratio20/illustrations/card/ill_40963_0_makami03.jpg?202009-i_prefecture_active_user", "■")</f>
        <v>■</v>
      </c>
      <c r="F496" s="14" t="s">
        <v>2038</v>
      </c>
      <c r="G496" s="14">
        <v>128744</v>
      </c>
      <c r="H496" s="14">
        <v>120576</v>
      </c>
      <c r="I496" s="14">
        <v>22</v>
      </c>
      <c r="J496" s="14" t="s">
        <v>44</v>
      </c>
      <c r="K496" s="14" t="s">
        <v>2039</v>
      </c>
      <c r="L496" s="14" t="s">
        <v>2040</v>
      </c>
      <c r="M496" s="14" t="s">
        <v>9158</v>
      </c>
      <c r="N496" s="14" t="s">
        <v>9158</v>
      </c>
      <c r="O496" s="14" t="s">
        <v>9158</v>
      </c>
      <c r="P496" s="14" t="s">
        <v>9158</v>
      </c>
      <c r="Q496" s="14" t="s">
        <v>9158</v>
      </c>
    </row>
    <row r="497" spans="1:17">
      <c r="A497" s="14">
        <v>88703</v>
      </c>
      <c r="B497" s="14" t="s">
        <v>334</v>
      </c>
      <c r="C497" s="14" t="s">
        <v>101</v>
      </c>
      <c r="D497" s="14" t="s">
        <v>12342</v>
      </c>
      <c r="E497" s="15" t="str">
        <f>HYPERLINK("https://stat100.ameba.jp/tnk47/ratio20/illustrations/card/ill_88703_pammatsurirezumburedo03.jpg?202009-i_prefecture_active_user", "■")</f>
        <v>■</v>
      </c>
      <c r="F497" s="14" t="s">
        <v>12343</v>
      </c>
      <c r="G497" s="14">
        <v>130214</v>
      </c>
      <c r="H497" s="14">
        <v>73270</v>
      </c>
      <c r="I497" s="14">
        <v>27</v>
      </c>
      <c r="J497" s="14" t="s">
        <v>77</v>
      </c>
      <c r="K497" s="14" t="s">
        <v>12346</v>
      </c>
      <c r="L497" s="14" t="s">
        <v>12081</v>
      </c>
      <c r="M497" s="14" t="s">
        <v>9158</v>
      </c>
      <c r="N497" s="14" t="s">
        <v>9158</v>
      </c>
      <c r="O497" s="14" t="s">
        <v>9158</v>
      </c>
      <c r="P497" s="14" t="s">
        <v>9158</v>
      </c>
      <c r="Q497" s="14" t="s">
        <v>9158</v>
      </c>
    </row>
    <row r="498" spans="1:17">
      <c r="A498" s="14">
        <v>82193</v>
      </c>
      <c r="B498" s="14" t="s">
        <v>334</v>
      </c>
      <c r="C498" s="14" t="s">
        <v>206</v>
      </c>
      <c r="D498" s="20" t="s">
        <v>12437</v>
      </c>
      <c r="E498" s="15" t="str">
        <f>HYPERLINK("https://stat100.ameba.jp/tnk47/ratio20/illustrations/card/ill_82193_tsuyuromantatsukuchinawa03.jpg?202009-i_prefecture_active_user", "■")</f>
        <v>■</v>
      </c>
      <c r="F498" s="14" t="s">
        <v>5248</v>
      </c>
      <c r="G498" s="14">
        <v>198226</v>
      </c>
      <c r="H498" s="14">
        <v>111523</v>
      </c>
      <c r="I498" s="14">
        <v>27</v>
      </c>
      <c r="J498" s="14" t="s">
        <v>73</v>
      </c>
      <c r="K498" s="14" t="s">
        <v>5250</v>
      </c>
      <c r="L498" s="14" t="s">
        <v>5251</v>
      </c>
      <c r="M498" s="14" t="s">
        <v>9158</v>
      </c>
      <c r="N498" s="14" t="s">
        <v>9158</v>
      </c>
      <c r="O498" s="14" t="s">
        <v>9158</v>
      </c>
      <c r="P498" s="14" t="s">
        <v>9158</v>
      </c>
      <c r="Q498" s="14" t="s">
        <v>9158</v>
      </c>
    </row>
    <row r="499" spans="1:17">
      <c r="A499" s="14">
        <v>74993</v>
      </c>
      <c r="B499" s="14" t="s">
        <v>0</v>
      </c>
      <c r="C499" s="14" t="s">
        <v>205</v>
      </c>
      <c r="D499" s="19" t="s">
        <v>10353</v>
      </c>
      <c r="E499" s="15" t="str">
        <f>HYPERLINK("https://stat100.ameba.jp/tnk47/ratio20/illustrations/card/ill_74993_demikatsudon03.jpg?202009-i_prefecture_active_user", "■")</f>
        <v>■</v>
      </c>
      <c r="F499" s="14" t="s">
        <v>3262</v>
      </c>
      <c r="G499" s="14">
        <v>160507</v>
      </c>
      <c r="H499" s="14">
        <v>149240</v>
      </c>
      <c r="I499" s="14">
        <v>27</v>
      </c>
      <c r="J499" s="14" t="s">
        <v>216</v>
      </c>
      <c r="K499" s="14" t="s">
        <v>3263</v>
      </c>
      <c r="L499" s="14" t="s">
        <v>1029</v>
      </c>
      <c r="M499" s="14" t="s">
        <v>9158</v>
      </c>
      <c r="N499" s="14" t="s">
        <v>9158</v>
      </c>
      <c r="O499" s="14" t="s">
        <v>9158</v>
      </c>
      <c r="P499" s="14" t="s">
        <v>9158</v>
      </c>
      <c r="Q499" s="14" t="s">
        <v>9158</v>
      </c>
    </row>
    <row r="501" spans="1:17">
      <c r="A501" s="14" t="s">
        <v>14489</v>
      </c>
    </row>
    <row r="502" spans="1:17">
      <c r="A502" s="14" t="s">
        <v>14490</v>
      </c>
    </row>
    <row r="503" spans="1:17">
      <c r="A503" s="14" t="s">
        <v>5605</v>
      </c>
      <c r="B503" s="14" t="s">
        <v>52</v>
      </c>
      <c r="C503" s="14" t="s">
        <v>202</v>
      </c>
      <c r="D503" s="19" t="s">
        <v>10332</v>
      </c>
      <c r="E503" s="15" t="str">
        <f>HYPERLINK("https://stat100.ameba.jp/tnk47/ratio20/illustrations/card/ill_79373_0_hommeichokotennyohime03.jpg?202009-i_prefecture_active_user", "■")</f>
        <v>■</v>
      </c>
      <c r="F503" s="14" t="s">
        <v>3495</v>
      </c>
      <c r="G503" s="14">
        <v>309132</v>
      </c>
      <c r="H503" s="14">
        <v>279407</v>
      </c>
      <c r="I503" s="14">
        <v>25</v>
      </c>
      <c r="J503" s="14" t="s">
        <v>104</v>
      </c>
      <c r="K503" s="14" t="s">
        <v>3496</v>
      </c>
      <c r="L503" s="14" t="s">
        <v>3497</v>
      </c>
      <c r="M503" s="14" t="s">
        <v>9158</v>
      </c>
      <c r="N503" s="14" t="s">
        <v>9158</v>
      </c>
      <c r="O503" s="19" t="s">
        <v>10072</v>
      </c>
      <c r="P503" s="14" t="s">
        <v>3498</v>
      </c>
      <c r="Q503" s="14">
        <v>1</v>
      </c>
    </row>
    <row r="504" spans="1:17">
      <c r="A504" s="14">
        <v>84323</v>
      </c>
      <c r="B504" s="14" t="s">
        <v>0</v>
      </c>
      <c r="C504" s="14" t="s">
        <v>158</v>
      </c>
      <c r="D504" s="19" t="s">
        <v>10669</v>
      </c>
      <c r="E504" s="15" t="str">
        <f>HYPERLINK("https://stat100.ameba.jp/tnk47/ratio20/illustrations/card/ill_84323_kagizumebyakko03.jpg?202009-i_prefecture_active_user", "■")</f>
        <v>■</v>
      </c>
      <c r="F504" s="14" t="s">
        <v>7284</v>
      </c>
      <c r="G504" s="14">
        <v>122366</v>
      </c>
      <c r="H504" s="14">
        <v>88624</v>
      </c>
      <c r="I504" s="14">
        <v>24</v>
      </c>
      <c r="J504" s="14" t="s">
        <v>155</v>
      </c>
      <c r="K504" s="14" t="s">
        <v>7283</v>
      </c>
      <c r="L504" s="14" t="s">
        <v>7282</v>
      </c>
      <c r="M504" s="14" t="s">
        <v>9158</v>
      </c>
      <c r="N504" s="14" t="s">
        <v>9158</v>
      </c>
      <c r="O504" s="19" t="s">
        <v>10109</v>
      </c>
      <c r="P504" s="14" t="s">
        <v>3625</v>
      </c>
      <c r="Q504" s="14">
        <v>1</v>
      </c>
    </row>
    <row r="505" spans="1:17">
      <c r="A505" s="14">
        <v>73913</v>
      </c>
      <c r="B505" s="14" t="s">
        <v>334</v>
      </c>
      <c r="C505" s="14" t="s">
        <v>154</v>
      </c>
      <c r="D505" s="19" t="s">
        <v>3202</v>
      </c>
      <c r="E505" s="15" t="str">
        <f>HYPERLINK("https://stat100.ameba.jp/tnk47/ratio20/illustrations/card/ill_73913_atsutajingu03.jpg?202009-i_prefecture_active_user", "■")</f>
        <v>■</v>
      </c>
      <c r="F505" s="14" t="s">
        <v>1207</v>
      </c>
      <c r="G505" s="14">
        <v>79348</v>
      </c>
      <c r="H505" s="14">
        <v>109554</v>
      </c>
      <c r="I505" s="14">
        <v>24</v>
      </c>
      <c r="J505" s="14" t="s">
        <v>44</v>
      </c>
      <c r="K505" s="14" t="s">
        <v>1208</v>
      </c>
      <c r="L505" s="14" t="s">
        <v>1209</v>
      </c>
      <c r="M505" s="14" t="s">
        <v>9158</v>
      </c>
      <c r="N505" s="14" t="s">
        <v>9158</v>
      </c>
      <c r="O505" s="19" t="s">
        <v>10074</v>
      </c>
      <c r="P505" s="14" t="s">
        <v>2822</v>
      </c>
      <c r="Q505" s="14">
        <v>1</v>
      </c>
    </row>
    <row r="506" spans="1:17">
      <c r="A506" s="9">
        <v>79513</v>
      </c>
      <c r="B506" s="14" t="s">
        <v>334</v>
      </c>
      <c r="C506" s="14" t="s">
        <v>209</v>
      </c>
      <c r="D506" s="14" t="s">
        <v>3528</v>
      </c>
      <c r="E506" s="15" t="str">
        <f>HYPERLINK("https://stat100.ameba.jp/tnk47/ratio20/illustrations/card/ill_79513_suzafuonia03.jpg?202009-i_prefecture_active_user", "■")</f>
        <v>■</v>
      </c>
      <c r="F506" s="14" t="s">
        <v>3529</v>
      </c>
      <c r="G506" s="14">
        <v>75984</v>
      </c>
      <c r="H506" s="14">
        <v>104890</v>
      </c>
      <c r="I506" s="14">
        <v>24</v>
      </c>
      <c r="J506" s="14" t="s">
        <v>10</v>
      </c>
      <c r="K506" s="14" t="s">
        <v>3532</v>
      </c>
      <c r="L506" s="14" t="s">
        <v>12</v>
      </c>
      <c r="M506" s="14" t="s">
        <v>9158</v>
      </c>
      <c r="N506" s="14" t="s">
        <v>9158</v>
      </c>
      <c r="O506" s="9" t="s">
        <v>3530</v>
      </c>
      <c r="P506" s="14" t="s">
        <v>3531</v>
      </c>
      <c r="Q506" s="14">
        <v>1</v>
      </c>
    </row>
    <row r="508" spans="1:17">
      <c r="A508" s="14" t="s">
        <v>14491</v>
      </c>
    </row>
    <row r="509" spans="1:17">
      <c r="A509" s="14" t="s">
        <v>14492</v>
      </c>
    </row>
    <row r="510" spans="1:17">
      <c r="A510" s="14" t="s">
        <v>5650</v>
      </c>
      <c r="B510" s="14" t="s">
        <v>52</v>
      </c>
      <c r="C510" s="14" t="s">
        <v>23</v>
      </c>
      <c r="D510" s="20" t="s">
        <v>809</v>
      </c>
      <c r="E510" s="15" t="str">
        <f>HYPERLINK("https://stat100.ameba.jp/tnk47/ratio20/illustrations/card/ill_68033_0_kurisumasupateikandamyojin03.jpg?202009-i_prefecture_active_user", "■")</f>
        <v>■</v>
      </c>
      <c r="F510" s="14" t="s">
        <v>1871</v>
      </c>
      <c r="G510" s="14">
        <v>158951</v>
      </c>
      <c r="H510" s="14">
        <v>170984</v>
      </c>
      <c r="I510" s="14">
        <v>25</v>
      </c>
      <c r="J510" s="14" t="s">
        <v>44</v>
      </c>
      <c r="K510" s="14" t="s">
        <v>1872</v>
      </c>
      <c r="L510" s="14" t="s">
        <v>1873</v>
      </c>
      <c r="M510" s="14" t="s">
        <v>9158</v>
      </c>
      <c r="N510" s="14" t="s">
        <v>9158</v>
      </c>
      <c r="O510" s="19" t="s">
        <v>2997</v>
      </c>
      <c r="P510" s="14" t="s">
        <v>3483</v>
      </c>
      <c r="Q510" s="14">
        <v>2</v>
      </c>
    </row>
    <row r="511" spans="1:17">
      <c r="A511" s="9">
        <v>81143</v>
      </c>
      <c r="B511" s="14" t="s">
        <v>334</v>
      </c>
      <c r="C511" s="14" t="s">
        <v>205</v>
      </c>
      <c r="D511" s="14" t="s">
        <v>4516</v>
      </c>
      <c r="E511" s="15" t="str">
        <f>HYPERLINK("https://stat100.ameba.jp/tnk47/ratio20/illustrations/card/ill_81143_shinryokunokisetsumerompan03.jpg?202009-i_prefecture_active_user", "■")</f>
        <v>■</v>
      </c>
      <c r="F511" s="14" t="s">
        <v>4517</v>
      </c>
      <c r="G511" s="14">
        <v>122786</v>
      </c>
      <c r="H511" s="14">
        <v>114176</v>
      </c>
      <c r="I511" s="14">
        <v>26</v>
      </c>
      <c r="J511" s="14" t="s">
        <v>104</v>
      </c>
      <c r="K511" s="14" t="s">
        <v>4518</v>
      </c>
      <c r="L511" s="14" t="s">
        <v>3489</v>
      </c>
      <c r="M511" s="14" t="s">
        <v>9158</v>
      </c>
      <c r="N511" s="14" t="s">
        <v>9158</v>
      </c>
      <c r="O511" s="9" t="s">
        <v>3609</v>
      </c>
      <c r="P511" s="14" t="s">
        <v>3610</v>
      </c>
      <c r="Q511" s="14">
        <v>1</v>
      </c>
    </row>
    <row r="512" spans="1:17">
      <c r="A512" s="14">
        <v>79313</v>
      </c>
      <c r="B512" s="14" t="s">
        <v>334</v>
      </c>
      <c r="C512" s="14" t="s">
        <v>185</v>
      </c>
      <c r="D512" s="20" t="s">
        <v>10334</v>
      </c>
      <c r="E512" s="15" t="str">
        <f>HYPERLINK("https://stat100.ameba.jp/tnk47/ratio20/illustrations/card/ill_79313_hommeichokodatemasamune03.jpg?202009-i_prefecture_active_user", "■")</f>
        <v>■</v>
      </c>
      <c r="F512" s="14" t="s">
        <v>3499</v>
      </c>
      <c r="G512" s="14">
        <v>143714</v>
      </c>
      <c r="H512" s="14">
        <v>154562</v>
      </c>
      <c r="I512" s="14">
        <v>26</v>
      </c>
      <c r="J512" s="14" t="s">
        <v>143</v>
      </c>
      <c r="K512" s="14" t="s">
        <v>3500</v>
      </c>
      <c r="L512" s="14" t="s">
        <v>1148</v>
      </c>
      <c r="M512" s="14" t="s">
        <v>9158</v>
      </c>
      <c r="N512" s="14" t="s">
        <v>9158</v>
      </c>
      <c r="O512" s="19" t="s">
        <v>2752</v>
      </c>
      <c r="P512" s="14" t="s">
        <v>13123</v>
      </c>
      <c r="Q512" s="14">
        <v>1</v>
      </c>
    </row>
    <row r="513" spans="1:18">
      <c r="A513" s="14">
        <v>85483</v>
      </c>
      <c r="B513" s="14" t="s">
        <v>0</v>
      </c>
      <c r="C513" s="14" t="s">
        <v>206</v>
      </c>
      <c r="D513" s="20" t="s">
        <v>10807</v>
      </c>
      <c r="E513" s="15" t="str">
        <f>HYPERLINK("https://stat100.ameba.jp/tnk47/ratio20/illustrations/card/ill_85483_seitankuronikururirimu03.jpg?202009-i_prefecture_active_user", "■")</f>
        <v>■</v>
      </c>
      <c r="F513" s="14" t="s">
        <v>8445</v>
      </c>
      <c r="G513" s="14">
        <v>108330</v>
      </c>
      <c r="H513" s="14">
        <v>100744</v>
      </c>
      <c r="I513" s="14">
        <v>26</v>
      </c>
      <c r="J513" s="14" t="s">
        <v>182</v>
      </c>
      <c r="K513" s="14" t="s">
        <v>8444</v>
      </c>
      <c r="L513" s="14" t="s">
        <v>2308</v>
      </c>
      <c r="M513" s="14" t="s">
        <v>9158</v>
      </c>
      <c r="N513" s="14" t="s">
        <v>9158</v>
      </c>
      <c r="O513" s="19" t="s">
        <v>10086</v>
      </c>
      <c r="P513" s="14" t="s">
        <v>3701</v>
      </c>
      <c r="Q513" s="14">
        <v>1</v>
      </c>
    </row>
    <row r="515" spans="1:18">
      <c r="A515" s="14" t="s">
        <v>14493</v>
      </c>
    </row>
    <row r="516" spans="1:18">
      <c r="A516" s="14" t="s">
        <v>14494</v>
      </c>
    </row>
    <row r="517" spans="1:18">
      <c r="A517" s="14" t="s">
        <v>5610</v>
      </c>
      <c r="B517" s="14" t="s">
        <v>330</v>
      </c>
      <c r="C517" s="14" t="s">
        <v>185</v>
      </c>
      <c r="D517" s="19" t="s">
        <v>539</v>
      </c>
      <c r="E517" s="15" t="str">
        <f>HYPERLINK("https://stat100.ameba.jp/tnk47/ratio20/illustrations/card/ill_60633_0_harumaisentoin03.jpg?202009-i_prefecture_active_user", "■")</f>
        <v>■</v>
      </c>
      <c r="F517" s="14" t="s">
        <v>540</v>
      </c>
      <c r="G517" s="14">
        <v>152594</v>
      </c>
      <c r="H517" s="14">
        <v>164144</v>
      </c>
      <c r="I517" s="14">
        <v>24</v>
      </c>
      <c r="J517" s="14" t="s">
        <v>274</v>
      </c>
      <c r="K517" s="14" t="s">
        <v>541</v>
      </c>
      <c r="L517" s="14" t="s">
        <v>542</v>
      </c>
      <c r="M517" s="14" t="s">
        <v>9158</v>
      </c>
      <c r="N517" s="14" t="s">
        <v>9158</v>
      </c>
      <c r="O517" s="19" t="s">
        <v>2888</v>
      </c>
      <c r="P517" s="14" t="s">
        <v>3144</v>
      </c>
      <c r="Q517" s="14">
        <v>1</v>
      </c>
    </row>
    <row r="518" spans="1:18">
      <c r="A518" s="14" t="s">
        <v>5621</v>
      </c>
      <c r="B518" s="14" t="s">
        <v>330</v>
      </c>
      <c r="C518" s="14" t="s">
        <v>191</v>
      </c>
      <c r="D518" s="19" t="s">
        <v>2871</v>
      </c>
      <c r="E518" s="15" t="str">
        <f>HYPERLINK("https://stat100.ameba.jp/tnk47/ratio20/illustrations/card/ill_51973_0_kemonomizugikuroyuridensetsu03.jpg?202009-i_prefecture_active_user", "■")</f>
        <v>■</v>
      </c>
      <c r="F518" s="14" t="s">
        <v>2034</v>
      </c>
      <c r="G518" s="14">
        <v>150776</v>
      </c>
      <c r="H518" s="14">
        <v>133938</v>
      </c>
      <c r="I518" s="14">
        <v>24</v>
      </c>
      <c r="J518" s="14" t="s">
        <v>38</v>
      </c>
      <c r="K518" s="14" t="s">
        <v>2035</v>
      </c>
      <c r="L518" s="14" t="s">
        <v>2036</v>
      </c>
      <c r="M518" s="14" t="s">
        <v>9158</v>
      </c>
      <c r="N518" s="14" t="s">
        <v>9158</v>
      </c>
      <c r="O518" s="19" t="s">
        <v>10088</v>
      </c>
      <c r="P518" s="14" t="s">
        <v>13172</v>
      </c>
      <c r="Q518" s="14">
        <v>1</v>
      </c>
    </row>
    <row r="519" spans="1:18">
      <c r="A519" s="14" t="s">
        <v>6132</v>
      </c>
      <c r="B519" s="14" t="s">
        <v>52</v>
      </c>
      <c r="C519" s="14" t="s">
        <v>205</v>
      </c>
      <c r="D519" s="19" t="s">
        <v>702</v>
      </c>
      <c r="E519" s="15" t="str">
        <f>HYPERLINK("https://stat100.ameba.jp/tnk47/ratio20/illustrations/card/ill_50693_0_hanamizugimimuratsuru03.jpg?202009-i_prefecture_active_user", "■")</f>
        <v>■</v>
      </c>
      <c r="F519" s="14" t="s">
        <v>2282</v>
      </c>
      <c r="G519" s="14">
        <v>133938</v>
      </c>
      <c r="H519" s="14">
        <v>150776</v>
      </c>
      <c r="I519" s="14">
        <v>24</v>
      </c>
      <c r="J519" s="14" t="s">
        <v>143</v>
      </c>
      <c r="K519" s="14" t="s">
        <v>2283</v>
      </c>
      <c r="L519" s="14" t="s">
        <v>2284</v>
      </c>
      <c r="M519" s="14" t="s">
        <v>9158</v>
      </c>
      <c r="N519" s="14" t="s">
        <v>9158</v>
      </c>
      <c r="O519" s="14" t="s">
        <v>9158</v>
      </c>
      <c r="P519" s="14" t="s">
        <v>9158</v>
      </c>
      <c r="Q519" s="14" t="s">
        <v>9158</v>
      </c>
    </row>
    <row r="520" spans="1:18">
      <c r="A520" s="14">
        <v>91483</v>
      </c>
      <c r="B520" s="14" t="s">
        <v>334</v>
      </c>
      <c r="C520" s="14" t="s">
        <v>165</v>
      </c>
      <c r="D520" s="14" t="s">
        <v>14459</v>
      </c>
      <c r="E520" s="15" t="str">
        <f>HYPERLINK("https://stat100.ameba.jp/tnk47/ratio20/illustrations/card/ill_91483_suizokukanzuwaiganichan03.jpg?202009-i_prefecture_active_user", "■")</f>
        <v>■</v>
      </c>
      <c r="F520" s="14" t="s">
        <v>14474</v>
      </c>
      <c r="G520" s="14">
        <v>143714</v>
      </c>
      <c r="H520" s="14">
        <v>154562</v>
      </c>
      <c r="I520" s="7">
        <v>26</v>
      </c>
      <c r="J520" s="14" t="s">
        <v>104</v>
      </c>
      <c r="K520" s="14" t="s">
        <v>14472</v>
      </c>
      <c r="L520" s="14" t="s">
        <v>12356</v>
      </c>
      <c r="M520" s="14" t="s">
        <v>9158</v>
      </c>
      <c r="N520" s="14" t="s">
        <v>9158</v>
      </c>
      <c r="O520" s="14" t="s">
        <v>9158</v>
      </c>
      <c r="P520" s="14" t="s">
        <v>9158</v>
      </c>
      <c r="Q520" s="14" t="s">
        <v>9158</v>
      </c>
    </row>
    <row r="521" spans="1:18">
      <c r="A521" s="14">
        <v>91503</v>
      </c>
      <c r="B521" s="14" t="s">
        <v>15</v>
      </c>
      <c r="C521" s="14" t="s">
        <v>191</v>
      </c>
      <c r="D521" s="14" t="s">
        <v>14461</v>
      </c>
      <c r="E521" s="15" t="str">
        <f>HYPERLINK("https://stat100.ameba.jp/tnk47/ratio20/illustrations/card/ill_91503_shirakansu03.jpg?202009-i_prefecture_active_user", "■")</f>
        <v>■</v>
      </c>
      <c r="F521" s="14" t="s">
        <v>14482</v>
      </c>
      <c r="G521" s="14">
        <v>77064</v>
      </c>
      <c r="H521" s="14">
        <v>69898</v>
      </c>
      <c r="I521" s="7">
        <v>26</v>
      </c>
      <c r="J521" s="14" t="s">
        <v>26</v>
      </c>
      <c r="K521" s="14" t="s">
        <v>14480</v>
      </c>
      <c r="L521" s="14" t="s">
        <v>2011</v>
      </c>
      <c r="M521" s="14" t="s">
        <v>9158</v>
      </c>
      <c r="N521" s="14" t="s">
        <v>9158</v>
      </c>
      <c r="O521" s="14" t="s">
        <v>9158</v>
      </c>
      <c r="P521" s="14" t="s">
        <v>9158</v>
      </c>
      <c r="Q521" s="14" t="s">
        <v>9158</v>
      </c>
    </row>
    <row r="522" spans="1:18">
      <c r="A522" s="14">
        <v>91513</v>
      </c>
      <c r="B522" s="14" t="s">
        <v>22</v>
      </c>
      <c r="C522" s="14" t="s">
        <v>205</v>
      </c>
      <c r="D522" s="14" t="s">
        <v>14462</v>
      </c>
      <c r="E522" s="15" t="str">
        <f>HYPERLINK("https://stat100.ameba.jp/tnk47/ratio20/illustrations/card/ill_91513_sunameri03.jpg?202009-i_prefecture_active_user", "■")</f>
        <v>■</v>
      </c>
      <c r="F522" s="14" t="s">
        <v>14485</v>
      </c>
      <c r="G522" s="14">
        <v>44948</v>
      </c>
      <c r="H522" s="14">
        <v>54058</v>
      </c>
      <c r="I522" s="7">
        <v>26</v>
      </c>
      <c r="J522" s="14" t="s">
        <v>26</v>
      </c>
      <c r="K522" s="14" t="s">
        <v>14484</v>
      </c>
      <c r="L522" s="14" t="s">
        <v>28</v>
      </c>
      <c r="M522" s="14" t="s">
        <v>9158</v>
      </c>
      <c r="N522" s="14" t="s">
        <v>9158</v>
      </c>
      <c r="O522" s="14" t="s">
        <v>9158</v>
      </c>
      <c r="P522" s="14" t="s">
        <v>9158</v>
      </c>
      <c r="Q522" s="14" t="s">
        <v>9158</v>
      </c>
    </row>
    <row r="523" spans="1:18">
      <c r="A523" s="14">
        <v>91523</v>
      </c>
      <c r="B523" s="14" t="s">
        <v>22</v>
      </c>
      <c r="C523" s="14" t="s">
        <v>200</v>
      </c>
      <c r="D523" s="14" t="s">
        <v>14463</v>
      </c>
      <c r="E523" s="15" t="str">
        <f>HYPERLINK("https://stat100.ameba.jp/tnk47/ratio20/illustrations/card/ill_91523_bashokajiki03.jpg?202009-i_prefecture_active_user", "■")</f>
        <v>■</v>
      </c>
      <c r="F523" s="14" t="s">
        <v>14488</v>
      </c>
      <c r="G523" s="14">
        <v>54058</v>
      </c>
      <c r="H523" s="14">
        <v>44948</v>
      </c>
      <c r="I523" s="7">
        <v>26</v>
      </c>
      <c r="J523" s="14" t="s">
        <v>104</v>
      </c>
      <c r="K523" s="14" t="s">
        <v>14487</v>
      </c>
      <c r="L523" s="14" t="s">
        <v>2674</v>
      </c>
      <c r="M523" s="14" t="s">
        <v>9158</v>
      </c>
      <c r="N523" s="14" t="s">
        <v>9158</v>
      </c>
      <c r="O523" s="14" t="s">
        <v>9158</v>
      </c>
      <c r="P523" s="14" t="s">
        <v>9158</v>
      </c>
      <c r="Q523" s="14" t="s">
        <v>9158</v>
      </c>
    </row>
    <row r="525" spans="1:18">
      <c r="A525" s="9" t="s">
        <v>13326</v>
      </c>
      <c r="E525" s="9"/>
      <c r="O525" s="9"/>
    </row>
    <row r="526" spans="1:18">
      <c r="A526" s="9" t="s">
        <v>14495</v>
      </c>
      <c r="E526" s="9"/>
      <c r="O526" s="9"/>
    </row>
    <row r="527" spans="1:18">
      <c r="A527" s="9">
        <v>75113</v>
      </c>
      <c r="B527" s="14" t="s">
        <v>334</v>
      </c>
      <c r="C527" s="14" t="s">
        <v>335</v>
      </c>
      <c r="D527" s="14" t="s">
        <v>448</v>
      </c>
      <c r="E527" s="15" t="str">
        <f>HYPERLINK("https://stat100.ameba.jp/tnk47/ratio20/illustrations/card/ill_75113_hatahata03.jpg?202009-i_prefecture_active_user", "■")</f>
        <v>■</v>
      </c>
      <c r="F527" s="14" t="s">
        <v>449</v>
      </c>
      <c r="G527" s="14">
        <v>132922</v>
      </c>
      <c r="H527" s="14">
        <v>123583</v>
      </c>
      <c r="I527" s="14">
        <v>27</v>
      </c>
      <c r="J527" s="14" t="s">
        <v>283</v>
      </c>
      <c r="K527" s="14" t="s">
        <v>450</v>
      </c>
      <c r="L527" s="14" t="s">
        <v>13129</v>
      </c>
      <c r="M527" s="14" t="s">
        <v>13130</v>
      </c>
      <c r="N527" s="14" t="s">
        <v>343</v>
      </c>
      <c r="O527" s="14" t="s">
        <v>9158</v>
      </c>
      <c r="P527" s="14" t="s">
        <v>9158</v>
      </c>
      <c r="Q527" s="14" t="s">
        <v>9158</v>
      </c>
      <c r="R527" s="14" t="s">
        <v>14748</v>
      </c>
    </row>
    <row r="528" spans="1:18">
      <c r="A528" s="9">
        <v>75112</v>
      </c>
      <c r="B528" s="14" t="s">
        <v>334</v>
      </c>
      <c r="C528" s="14" t="s">
        <v>335</v>
      </c>
      <c r="D528" s="14" t="s">
        <v>448</v>
      </c>
      <c r="E528" s="15" t="str">
        <f>HYPERLINK("https://stat100.ameba.jp/tnk47/ratio20/illustrations/card/ill_75112_hatahata02.jpg?202009-i_prefecture_active_user", "■")</f>
        <v>■</v>
      </c>
      <c r="F528" s="14" t="s">
        <v>449</v>
      </c>
      <c r="G528" s="14">
        <v>111115</v>
      </c>
      <c r="H528" s="14">
        <v>102356</v>
      </c>
      <c r="I528" s="14">
        <v>27</v>
      </c>
      <c r="J528" s="14" t="s">
        <v>283</v>
      </c>
      <c r="K528" s="14" t="s">
        <v>450</v>
      </c>
      <c r="L528" s="14" t="s">
        <v>13129</v>
      </c>
      <c r="M528" s="14" t="s">
        <v>13131</v>
      </c>
      <c r="N528" s="14" t="s">
        <v>251</v>
      </c>
      <c r="O528" s="14" t="s">
        <v>9158</v>
      </c>
      <c r="P528" s="14" t="s">
        <v>9158</v>
      </c>
      <c r="Q528" s="14" t="s">
        <v>9158</v>
      </c>
      <c r="R528" s="14" t="s">
        <v>14748</v>
      </c>
    </row>
    <row r="529" spans="1:18">
      <c r="A529" s="9">
        <v>75111</v>
      </c>
      <c r="B529" s="14" t="s">
        <v>334</v>
      </c>
      <c r="C529" s="14" t="s">
        <v>335</v>
      </c>
      <c r="D529" s="14" t="s">
        <v>448</v>
      </c>
      <c r="E529" s="15" t="str">
        <f>HYPERLINK("https://stat100.ameba.jp/tnk47/ratio20/illustrations/card/ill_75111_hatahata03.jpg?202009-i_prefecture_active_user", "■")</f>
        <v>■</v>
      </c>
      <c r="F529" s="14" t="s">
        <v>449</v>
      </c>
      <c r="G529" s="14">
        <v>84834</v>
      </c>
      <c r="H529" s="14">
        <v>78975</v>
      </c>
      <c r="I529" s="14">
        <v>27</v>
      </c>
      <c r="J529" s="14" t="s">
        <v>283</v>
      </c>
      <c r="K529" s="14" t="s">
        <v>450</v>
      </c>
      <c r="L529" s="14" t="s">
        <v>13129</v>
      </c>
      <c r="M529" s="14" t="s">
        <v>13131</v>
      </c>
      <c r="N529" s="14" t="s">
        <v>251</v>
      </c>
      <c r="O529" s="14" t="s">
        <v>9158</v>
      </c>
      <c r="P529" s="14" t="s">
        <v>9158</v>
      </c>
      <c r="Q529" s="14" t="s">
        <v>9158</v>
      </c>
      <c r="R529" s="14" t="s">
        <v>14748</v>
      </c>
    </row>
    <row r="530" spans="1:18">
      <c r="A530" s="9">
        <v>75123</v>
      </c>
      <c r="B530" s="14" t="s">
        <v>334</v>
      </c>
      <c r="C530" s="14" t="s">
        <v>307</v>
      </c>
      <c r="D530" s="14" t="s">
        <v>10162</v>
      </c>
      <c r="E530" s="15" t="str">
        <f>HYPERLINK("https://stat100.ameba.jp/tnk47/ratio20/illustrations/card/ill_75123_nankintamasudare03.jpg?202009-i_prefecture_active_user", "■")</f>
        <v>■</v>
      </c>
      <c r="F530" s="14" t="s">
        <v>452</v>
      </c>
      <c r="G530" s="14">
        <v>123583</v>
      </c>
      <c r="H530" s="14">
        <v>132922</v>
      </c>
      <c r="I530" s="14">
        <v>27</v>
      </c>
      <c r="J530" s="14" t="s">
        <v>274</v>
      </c>
      <c r="K530" s="14" t="s">
        <v>453</v>
      </c>
      <c r="L530" s="14" t="s">
        <v>6711</v>
      </c>
      <c r="M530" s="14" t="s">
        <v>13130</v>
      </c>
      <c r="N530" s="14" t="s">
        <v>343</v>
      </c>
      <c r="O530" s="14" t="s">
        <v>9158</v>
      </c>
      <c r="P530" s="14" t="s">
        <v>9158</v>
      </c>
      <c r="Q530" s="14" t="s">
        <v>9158</v>
      </c>
      <c r="R530" s="14" t="s">
        <v>14748</v>
      </c>
    </row>
    <row r="531" spans="1:18">
      <c r="A531" s="9">
        <v>76013</v>
      </c>
      <c r="B531" s="14" t="s">
        <v>334</v>
      </c>
      <c r="C531" s="14" t="s">
        <v>344</v>
      </c>
      <c r="D531" s="14" t="s">
        <v>454</v>
      </c>
      <c r="E531" s="15" t="str">
        <f>HYPERLINK("https://stat100.ameba.jp/tnk47/ratio20/illustrations/card/ill_76013_miyakojima03.jpg?202009-i_prefecture_active_user", "■")</f>
        <v>■</v>
      </c>
      <c r="F531" s="14" t="s">
        <v>455</v>
      </c>
      <c r="G531" s="14">
        <v>132922</v>
      </c>
      <c r="H531" s="14">
        <v>123583</v>
      </c>
      <c r="I531" s="14">
        <v>27</v>
      </c>
      <c r="J531" s="14" t="s">
        <v>369</v>
      </c>
      <c r="K531" s="14" t="s">
        <v>456</v>
      </c>
      <c r="L531" s="14" t="s">
        <v>6712</v>
      </c>
      <c r="M531" s="14" t="s">
        <v>13130</v>
      </c>
      <c r="N531" s="14" t="s">
        <v>343</v>
      </c>
      <c r="O531" s="14" t="s">
        <v>9158</v>
      </c>
      <c r="P531" s="14" t="s">
        <v>9158</v>
      </c>
      <c r="Q531" s="14" t="s">
        <v>9158</v>
      </c>
      <c r="R531" s="14" t="s">
        <v>14748</v>
      </c>
    </row>
    <row r="532" spans="1:18">
      <c r="A532" s="9">
        <v>74333</v>
      </c>
      <c r="B532" s="14" t="s">
        <v>334</v>
      </c>
      <c r="C532" s="14" t="s">
        <v>271</v>
      </c>
      <c r="D532" s="14" t="s">
        <v>457</v>
      </c>
      <c r="E532" s="15" t="str">
        <f>HYPERLINK("https://stat100.ameba.jp/tnk47/ratio20/illustrations/card/ill_74333_iizukaigashichi03.jpg?202009-i_prefecture_active_user", "■")</f>
        <v>■</v>
      </c>
      <c r="F532" s="14" t="s">
        <v>458</v>
      </c>
      <c r="G532" s="14">
        <v>123583</v>
      </c>
      <c r="H532" s="14">
        <v>132922</v>
      </c>
      <c r="I532" s="14">
        <v>27</v>
      </c>
      <c r="J532" s="14" t="s">
        <v>414</v>
      </c>
      <c r="K532" s="14" t="s">
        <v>459</v>
      </c>
      <c r="L532" s="14" t="s">
        <v>6713</v>
      </c>
      <c r="M532" s="14" t="s">
        <v>13130</v>
      </c>
      <c r="N532" s="14" t="s">
        <v>343</v>
      </c>
      <c r="O532" s="14" t="s">
        <v>9158</v>
      </c>
      <c r="P532" s="14" t="s">
        <v>9158</v>
      </c>
      <c r="Q532" s="14" t="s">
        <v>9158</v>
      </c>
      <c r="R532" s="14" t="s">
        <v>14748</v>
      </c>
    </row>
    <row r="533" spans="1:18">
      <c r="A533" s="9">
        <v>74343</v>
      </c>
      <c r="B533" s="14" t="s">
        <v>334</v>
      </c>
      <c r="C533" s="14" t="s">
        <v>308</v>
      </c>
      <c r="D533" s="14" t="s">
        <v>460</v>
      </c>
      <c r="E533" s="15" t="str">
        <f>HYPERLINK("https://stat100.ameba.jp/tnk47/ratio20/illustrations/card/ill_74343_wadakoremasa03.jpg?202009-i_prefecture_active_user", "■")</f>
        <v>■</v>
      </c>
      <c r="F533" s="14" t="s">
        <v>461</v>
      </c>
      <c r="G533" s="14">
        <v>123583</v>
      </c>
      <c r="H533" s="14">
        <v>132922</v>
      </c>
      <c r="I533" s="14">
        <v>27</v>
      </c>
      <c r="J533" s="14" t="s">
        <v>310</v>
      </c>
      <c r="K533" s="14" t="s">
        <v>462</v>
      </c>
      <c r="L533" s="14" t="s">
        <v>6714</v>
      </c>
      <c r="M533" s="14" t="s">
        <v>13130</v>
      </c>
      <c r="N533" s="14" t="s">
        <v>343</v>
      </c>
      <c r="O533" s="14" t="s">
        <v>9158</v>
      </c>
      <c r="P533" s="14" t="s">
        <v>9158</v>
      </c>
      <c r="Q533" s="14" t="s">
        <v>9158</v>
      </c>
      <c r="R533" s="14" t="s">
        <v>14748</v>
      </c>
    </row>
    <row r="534" spans="1:18">
      <c r="A534" s="9">
        <v>74353</v>
      </c>
      <c r="B534" s="14" t="s">
        <v>334</v>
      </c>
      <c r="C534" s="14" t="s">
        <v>267</v>
      </c>
      <c r="D534" s="14" t="s">
        <v>463</v>
      </c>
      <c r="E534" s="15" t="str">
        <f>HYPERLINK("https://stat100.ameba.jp/tnk47/ratio20/illustrations/card/ill_74353_takechizuizan03.jpg?202009-i_prefecture_active_user", "■")</f>
        <v>■</v>
      </c>
      <c r="F534" s="14" t="s">
        <v>464</v>
      </c>
      <c r="G534" s="14">
        <v>132922</v>
      </c>
      <c r="H534" s="14">
        <v>123583</v>
      </c>
      <c r="I534" s="14">
        <v>27</v>
      </c>
      <c r="J534" s="14" t="s">
        <v>351</v>
      </c>
      <c r="K534" s="14" t="s">
        <v>465</v>
      </c>
      <c r="L534" s="14" t="s">
        <v>6715</v>
      </c>
      <c r="M534" s="14" t="s">
        <v>13130</v>
      </c>
      <c r="N534" s="14" t="s">
        <v>343</v>
      </c>
      <c r="O534" s="14" t="s">
        <v>9158</v>
      </c>
      <c r="P534" s="14" t="s">
        <v>9158</v>
      </c>
      <c r="Q534" s="14" t="s">
        <v>9158</v>
      </c>
      <c r="R534" s="14" t="s">
        <v>14748</v>
      </c>
    </row>
    <row r="536" spans="1:18">
      <c r="A536" s="14" t="s">
        <v>3905</v>
      </c>
    </row>
    <row r="537" spans="1:18">
      <c r="A537" s="14" t="s">
        <v>14496</v>
      </c>
    </row>
    <row r="538" spans="1:18">
      <c r="A538" s="14" t="s">
        <v>5733</v>
      </c>
      <c r="B538" s="14" t="s">
        <v>330</v>
      </c>
      <c r="C538" s="14" t="s">
        <v>202</v>
      </c>
      <c r="D538" s="19" t="s">
        <v>2744</v>
      </c>
      <c r="E538" s="15" t="str">
        <f>HYPERLINK("https://stat100.ameba.jp/tnk47/ratio20/illustrations/card/ill_78693_0_kyupittokoinomikoto03.jpg?202009-5-RELEASE-marathon-491x", "■")</f>
        <v>■</v>
      </c>
      <c r="F538" s="14" t="s">
        <v>2745</v>
      </c>
      <c r="G538" s="14">
        <v>230556</v>
      </c>
      <c r="H538" s="14">
        <v>255104</v>
      </c>
      <c r="I538" s="14">
        <v>22</v>
      </c>
      <c r="J538" s="14" t="s">
        <v>274</v>
      </c>
      <c r="K538" s="14" t="s">
        <v>2746</v>
      </c>
      <c r="L538" s="14" t="s">
        <v>2747</v>
      </c>
      <c r="M538" s="14" t="s">
        <v>9158</v>
      </c>
      <c r="N538" s="14" t="s">
        <v>9158</v>
      </c>
      <c r="O538" s="19" t="s">
        <v>10097</v>
      </c>
      <c r="P538" s="14" t="s">
        <v>2748</v>
      </c>
      <c r="Q538" s="14">
        <v>1</v>
      </c>
    </row>
    <row r="539" spans="1:18">
      <c r="A539" s="14" t="s">
        <v>5624</v>
      </c>
      <c r="B539" s="14" t="s">
        <v>52</v>
      </c>
      <c r="C539" s="14" t="s">
        <v>101</v>
      </c>
      <c r="D539" s="19" t="s">
        <v>1426</v>
      </c>
      <c r="E539" s="15" t="str">
        <f>HYPERLINK("https://stat100.ameba.jp/tnk47/ratio20/illustrations/card/ill_64953_0_yukatatokugawayoshinobu03.jpg?202009-5-RELEASE-marathon-491x", "■")</f>
        <v>■</v>
      </c>
      <c r="F539" s="14" t="s">
        <v>2090</v>
      </c>
      <c r="G539" s="14">
        <v>137060</v>
      </c>
      <c r="H539" s="14">
        <v>147404</v>
      </c>
      <c r="I539" s="14">
        <v>22</v>
      </c>
      <c r="J539" s="14" t="s">
        <v>10</v>
      </c>
      <c r="K539" s="14" t="s">
        <v>2091</v>
      </c>
      <c r="L539" s="14" t="s">
        <v>2092</v>
      </c>
      <c r="M539" s="14" t="s">
        <v>9158</v>
      </c>
      <c r="N539" s="14" t="s">
        <v>9158</v>
      </c>
      <c r="O539" s="19" t="s">
        <v>2889</v>
      </c>
      <c r="P539" s="14" t="s">
        <v>2890</v>
      </c>
      <c r="Q539" s="14">
        <v>1</v>
      </c>
    </row>
    <row r="540" spans="1:18">
      <c r="A540" s="9" t="s">
        <v>5612</v>
      </c>
      <c r="B540" s="14" t="s">
        <v>330</v>
      </c>
      <c r="C540" s="14" t="s">
        <v>165</v>
      </c>
      <c r="D540" s="14" t="s">
        <v>789</v>
      </c>
      <c r="E540" s="15" t="str">
        <f>HYPERLINK("https://stat100.ameba.jp/tnk47/ratio20/illustrations/card/ill_49193_0_onmyoudouabenoseimei03.jpg?202009-5-RELEASE-marathon-491x", "■")</f>
        <v>■</v>
      </c>
      <c r="F540" s="14" t="s">
        <v>790</v>
      </c>
      <c r="G540" s="14">
        <v>122776</v>
      </c>
      <c r="H540" s="14">
        <v>138212</v>
      </c>
      <c r="I540" s="14">
        <v>22</v>
      </c>
      <c r="J540" s="14" t="s">
        <v>351</v>
      </c>
      <c r="K540" s="14" t="s">
        <v>791</v>
      </c>
      <c r="L540" s="14" t="s">
        <v>792</v>
      </c>
      <c r="M540" s="14" t="s">
        <v>9158</v>
      </c>
      <c r="N540" s="14" t="s">
        <v>9158</v>
      </c>
      <c r="O540" s="14" t="s">
        <v>9158</v>
      </c>
      <c r="P540" s="14" t="s">
        <v>9158</v>
      </c>
      <c r="Q540" s="14" t="s">
        <v>9158</v>
      </c>
    </row>
    <row r="541" spans="1:18">
      <c r="A541" s="9">
        <v>77613</v>
      </c>
      <c r="B541" s="14" t="s">
        <v>0</v>
      </c>
      <c r="C541" s="14" t="s">
        <v>200</v>
      </c>
      <c r="D541" s="14" t="s">
        <v>1921</v>
      </c>
      <c r="E541" s="15" t="str">
        <f>HYPERLINK("https://stat100.ameba.jp/tnk47/ratio20/illustrations/card/ill_77613_kajinotochiotomechan03.jpg?202009-5-RELEASE-marathon-491x", "■")</f>
        <v>■</v>
      </c>
      <c r="F541" s="14" t="s">
        <v>1922</v>
      </c>
      <c r="G541" s="14">
        <v>88593</v>
      </c>
      <c r="H541" s="14">
        <v>157484</v>
      </c>
      <c r="I541" s="14">
        <v>27</v>
      </c>
      <c r="J541" s="14" t="s">
        <v>104</v>
      </c>
      <c r="K541" s="14" t="s">
        <v>1923</v>
      </c>
      <c r="L541" s="14" t="s">
        <v>1924</v>
      </c>
      <c r="M541" s="14" t="s">
        <v>9158</v>
      </c>
      <c r="N541" s="14" t="s">
        <v>9158</v>
      </c>
      <c r="O541" s="14" t="s">
        <v>9158</v>
      </c>
      <c r="P541" s="14" t="s">
        <v>9158</v>
      </c>
      <c r="Q541" s="14" t="s">
        <v>9158</v>
      </c>
    </row>
    <row r="542" spans="1:18">
      <c r="A542" s="9">
        <v>80413</v>
      </c>
      <c r="B542" s="14" t="s">
        <v>334</v>
      </c>
      <c r="C542" s="14" t="s">
        <v>14</v>
      </c>
      <c r="D542" s="14" t="s">
        <v>4078</v>
      </c>
      <c r="E542" s="15" t="str">
        <f>HYPERLINK("https://stat100.ameba.jp/tnk47/ratio20/illustrations/card/ill_80413_shikyushikitadanomakuzu03.jpg?202009-5-RELEASE-marathon-491x", "■")</f>
        <v>■</v>
      </c>
      <c r="F542" s="14" t="s">
        <v>4079</v>
      </c>
      <c r="G542" s="14">
        <v>76512</v>
      </c>
      <c r="H542" s="14">
        <v>136005</v>
      </c>
      <c r="I542" s="14">
        <v>27</v>
      </c>
      <c r="J542" s="14" t="s">
        <v>10</v>
      </c>
      <c r="K542" s="14" t="s">
        <v>4080</v>
      </c>
      <c r="L542" s="14" t="s">
        <v>4081</v>
      </c>
      <c r="M542" s="14" t="s">
        <v>9158</v>
      </c>
      <c r="N542" s="14" t="s">
        <v>9158</v>
      </c>
      <c r="O542" s="14" t="s">
        <v>9158</v>
      </c>
      <c r="P542" s="14" t="s">
        <v>9158</v>
      </c>
      <c r="Q542" s="14" t="s">
        <v>9158</v>
      </c>
    </row>
    <row r="543" spans="1:18">
      <c r="A543" s="14">
        <v>88563</v>
      </c>
      <c r="B543" s="7" t="s">
        <v>0</v>
      </c>
      <c r="C543" s="14" t="s">
        <v>165</v>
      </c>
      <c r="D543" s="18" t="s">
        <v>12108</v>
      </c>
      <c r="E543" s="15" t="str">
        <f>HYPERLINK("https://stat100.ameba.jp/tnk47/ratio20/illustrations/card/ill_88563_furawagadenrishieru03.jpg?202009-5-RELEASE-marathon-491x", "■")</f>
        <v>■</v>
      </c>
      <c r="F543" s="14" t="s">
        <v>12141</v>
      </c>
      <c r="G543" s="14">
        <v>98019</v>
      </c>
      <c r="H543" s="14">
        <v>105465</v>
      </c>
      <c r="I543" s="7">
        <v>27</v>
      </c>
      <c r="J543" s="14" t="s">
        <v>187</v>
      </c>
      <c r="K543" s="14" t="s">
        <v>12140</v>
      </c>
      <c r="L543" s="14" t="s">
        <v>12139</v>
      </c>
      <c r="M543" s="14" t="s">
        <v>9158</v>
      </c>
      <c r="N543" s="14" t="s">
        <v>9158</v>
      </c>
      <c r="O543" s="14" t="s">
        <v>9158</v>
      </c>
      <c r="P543" s="14" t="s">
        <v>9158</v>
      </c>
      <c r="Q543" s="14" t="s">
        <v>9158</v>
      </c>
    </row>
    <row r="545" spans="1:17">
      <c r="A545" s="14" t="s">
        <v>14497</v>
      </c>
    </row>
    <row r="546" spans="1:17">
      <c r="A546" s="14" t="s">
        <v>14498</v>
      </c>
    </row>
    <row r="547" spans="1:17">
      <c r="A547" s="14">
        <v>84733</v>
      </c>
      <c r="B547" s="14" t="s">
        <v>0</v>
      </c>
      <c r="C547" s="14" t="s">
        <v>154</v>
      </c>
      <c r="D547" s="19" t="s">
        <v>10677</v>
      </c>
      <c r="E547" s="15" t="str">
        <f>HYPERLINK("https://stat100.ameba.jp/tnk47/ratio20/illustrations/card/ill_84733_madadoru03.jpg?202009-5-RELEASE-marathon-491x", "■")</f>
        <v>■</v>
      </c>
      <c r="F547" s="14" t="s">
        <v>7293</v>
      </c>
      <c r="G547" s="14">
        <v>116452</v>
      </c>
      <c r="H547" s="14">
        <v>108276</v>
      </c>
      <c r="I547" s="14">
        <v>27</v>
      </c>
      <c r="J547" s="14" t="s">
        <v>182</v>
      </c>
      <c r="K547" s="14" t="s">
        <v>7296</v>
      </c>
      <c r="L547" s="14" t="s">
        <v>7295</v>
      </c>
      <c r="M547" s="14" t="s">
        <v>9158</v>
      </c>
      <c r="N547" s="14" t="s">
        <v>9158</v>
      </c>
      <c r="O547" s="14" t="s">
        <v>9158</v>
      </c>
      <c r="P547" s="14" t="s">
        <v>9158</v>
      </c>
      <c r="Q547" s="14" t="s">
        <v>9158</v>
      </c>
    </row>
    <row r="548" spans="1:17">
      <c r="A548" s="14">
        <v>84743</v>
      </c>
      <c r="B548" s="14" t="s">
        <v>0</v>
      </c>
      <c r="C548" s="14" t="s">
        <v>158</v>
      </c>
      <c r="D548" s="19" t="s">
        <v>10678</v>
      </c>
      <c r="E548" s="15" t="str">
        <f>HYPERLINK("https://stat100.ameba.jp/tnk47/ratio20/illustrations/card/ill_84743_rinnenonyumpe03.jpg?202009-5-RELEASE-marathon-491x", "■")</f>
        <v>■</v>
      </c>
      <c r="F548" s="14" t="s">
        <v>7294</v>
      </c>
      <c r="G548" s="14">
        <v>116452</v>
      </c>
      <c r="H548" s="14">
        <v>108276</v>
      </c>
      <c r="I548" s="14">
        <v>27</v>
      </c>
      <c r="J548" s="14" t="s">
        <v>169</v>
      </c>
      <c r="K548" s="14" t="s">
        <v>7297</v>
      </c>
      <c r="L548" s="14" t="s">
        <v>7298</v>
      </c>
      <c r="M548" s="14" t="s">
        <v>9158</v>
      </c>
      <c r="N548" s="14" t="s">
        <v>9158</v>
      </c>
      <c r="O548" s="14" t="s">
        <v>9158</v>
      </c>
      <c r="P548" s="14" t="s">
        <v>9158</v>
      </c>
      <c r="Q548" s="14" t="s">
        <v>9158</v>
      </c>
    </row>
    <row r="549" spans="1:17">
      <c r="A549" s="14">
        <v>69883</v>
      </c>
      <c r="B549" s="14" t="s">
        <v>334</v>
      </c>
      <c r="C549" s="14" t="s">
        <v>185</v>
      </c>
      <c r="D549" s="19" t="s">
        <v>10293</v>
      </c>
      <c r="E549" s="15" t="str">
        <f>HYPERLINK("https://stat100.ameba.jp/tnk47/ratio20/illustrations/card/ill_69883_kyupiddotominushihime03.jpg?202009-5-RELEASE-marathon-491x", "■")</f>
        <v>■</v>
      </c>
      <c r="F549" s="14" t="s">
        <v>4142</v>
      </c>
      <c r="G549" s="14">
        <v>102386</v>
      </c>
      <c r="H549" s="14">
        <v>110129</v>
      </c>
      <c r="I549" s="14">
        <v>27</v>
      </c>
      <c r="J549" s="14" t="s">
        <v>169</v>
      </c>
      <c r="K549" s="14" t="s">
        <v>4143</v>
      </c>
      <c r="L549" s="14" t="s">
        <v>13190</v>
      </c>
      <c r="M549" s="14" t="s">
        <v>9158</v>
      </c>
      <c r="N549" s="14" t="s">
        <v>9158</v>
      </c>
      <c r="O549" s="14" t="s">
        <v>9158</v>
      </c>
      <c r="P549" s="14" t="s">
        <v>9158</v>
      </c>
      <c r="Q549" s="14" t="s">
        <v>9158</v>
      </c>
    </row>
    <row r="550" spans="1:17">
      <c r="A550" s="9">
        <v>67243</v>
      </c>
      <c r="B550" s="14" t="s">
        <v>334</v>
      </c>
      <c r="C550" s="9" t="s">
        <v>205</v>
      </c>
      <c r="D550" s="20" t="s">
        <v>10199</v>
      </c>
      <c r="E550" s="15" t="str">
        <f>HYPERLINK("https://stat100.ameba.jp/tnk47/ratio20/illustrations/card/ill_67243_onsenyadomoryo03.jpg?202009-5-RELEASE-marathon-491x", "■")</f>
        <v>■</v>
      </c>
      <c r="F550" s="9" t="s">
        <v>3638</v>
      </c>
      <c r="G550" s="9">
        <v>104619</v>
      </c>
      <c r="H550" s="9">
        <v>112496</v>
      </c>
      <c r="I550" s="14">
        <v>27</v>
      </c>
      <c r="J550" s="9" t="s">
        <v>182</v>
      </c>
      <c r="K550" s="9" t="s">
        <v>3639</v>
      </c>
      <c r="L550" s="9" t="s">
        <v>3640</v>
      </c>
      <c r="M550" s="14" t="s">
        <v>9158</v>
      </c>
      <c r="N550" s="14" t="s">
        <v>9158</v>
      </c>
      <c r="O550" s="14" t="s">
        <v>9158</v>
      </c>
      <c r="P550" s="14" t="s">
        <v>9158</v>
      </c>
      <c r="Q550" s="14" t="s">
        <v>9158</v>
      </c>
    </row>
    <row r="551" spans="1:17">
      <c r="A551" s="14">
        <v>52973</v>
      </c>
      <c r="B551" s="14" t="s">
        <v>15</v>
      </c>
      <c r="C551" s="14" t="s">
        <v>206</v>
      </c>
      <c r="D551" s="19" t="s">
        <v>10519</v>
      </c>
      <c r="E551" s="15" t="str">
        <f>HYPERLINK("https://stat100.ameba.jp/tnk47/ratio20/illustrations/card/ill_52973_torampuamoronagu03.jpg?202009-5-RELEASE-marathon-491x", "■")</f>
        <v>■</v>
      </c>
      <c r="F551" s="14" t="s">
        <v>6421</v>
      </c>
      <c r="G551" s="14">
        <v>65208</v>
      </c>
      <c r="H551" s="14">
        <v>59144</v>
      </c>
      <c r="I551" s="14">
        <v>22</v>
      </c>
      <c r="J551" s="14" t="s">
        <v>44</v>
      </c>
      <c r="K551" s="14" t="s">
        <v>6419</v>
      </c>
      <c r="L551" s="14" t="s">
        <v>6418</v>
      </c>
      <c r="M551" s="14" t="s">
        <v>9158</v>
      </c>
      <c r="N551" s="14" t="s">
        <v>9158</v>
      </c>
      <c r="O551" s="14" t="s">
        <v>9158</v>
      </c>
      <c r="P551" s="14" t="s">
        <v>9158</v>
      </c>
      <c r="Q551" s="14" t="s">
        <v>9158</v>
      </c>
    </row>
    <row r="552" spans="1:17">
      <c r="A552" s="14">
        <v>52333</v>
      </c>
      <c r="B552" s="14" t="s">
        <v>15</v>
      </c>
      <c r="C552" s="14" t="s">
        <v>200</v>
      </c>
      <c r="D552" s="19" t="s">
        <v>10537</v>
      </c>
      <c r="E552" s="15" t="str">
        <f>HYPERLINK("https://stat100.ameba.jp/tnk47/ratio20/illustrations/card/ill_52333_chichibuyomatsuri03.jpg?202009-5-RELEASE-marathon-491x", "■")</f>
        <v>■</v>
      </c>
      <c r="F552" s="14" t="s">
        <v>3614</v>
      </c>
      <c r="G552" s="14">
        <v>65208</v>
      </c>
      <c r="H552" s="14">
        <v>59144</v>
      </c>
      <c r="I552" s="14">
        <v>22</v>
      </c>
      <c r="J552" s="14" t="s">
        <v>38</v>
      </c>
      <c r="K552" s="14" t="s">
        <v>3615</v>
      </c>
      <c r="L552" s="14" t="s">
        <v>3616</v>
      </c>
      <c r="M552" s="14" t="s">
        <v>9158</v>
      </c>
      <c r="N552" s="14" t="s">
        <v>9158</v>
      </c>
      <c r="O552" s="14" t="s">
        <v>9158</v>
      </c>
      <c r="P552" s="14" t="s">
        <v>9158</v>
      </c>
      <c r="Q552" s="14" t="s">
        <v>9158</v>
      </c>
    </row>
    <row r="553" spans="1:17">
      <c r="A553" s="14">
        <v>51913</v>
      </c>
      <c r="B553" s="14" t="s">
        <v>15</v>
      </c>
      <c r="C553" s="14" t="s">
        <v>191</v>
      </c>
      <c r="D553" s="19" t="s">
        <v>10538</v>
      </c>
      <c r="E553" s="15" t="str">
        <f>HYPERLINK("https://stat100.ameba.jp/tnk47/ratio20/illustrations/card/ill_51913_kemonomizugihamahime03.jpg?202009-5-RELEASE-marathon-491x", "■")</f>
        <v>■</v>
      </c>
      <c r="F553" s="14" t="s">
        <v>6501</v>
      </c>
      <c r="G553" s="14">
        <v>59144</v>
      </c>
      <c r="H553" s="14">
        <v>65208</v>
      </c>
      <c r="I553" s="14">
        <v>22</v>
      </c>
      <c r="J553" s="14" t="s">
        <v>182</v>
      </c>
      <c r="K553" s="14" t="s">
        <v>6500</v>
      </c>
      <c r="L553" s="14" t="s">
        <v>6499</v>
      </c>
      <c r="M553" s="14" t="s">
        <v>9158</v>
      </c>
      <c r="N553" s="14" t="s">
        <v>9158</v>
      </c>
      <c r="O553" s="14" t="s">
        <v>9158</v>
      </c>
      <c r="P553" s="14" t="s">
        <v>9158</v>
      </c>
      <c r="Q553" s="14" t="s">
        <v>9158</v>
      </c>
    </row>
    <row r="554" spans="1:17">
      <c r="A554" s="14">
        <v>53203</v>
      </c>
      <c r="B554" s="14" t="s">
        <v>15</v>
      </c>
      <c r="C554" s="14" t="s">
        <v>165</v>
      </c>
      <c r="D554" s="20" t="s">
        <v>10494</v>
      </c>
      <c r="E554" s="15" t="str">
        <f>HYPERLINK("https://stat100.ameba.jp/tnk47/ratio20/illustrations/card/ill_53203_buruhawaichan03.jpg?202009-5-RELEASE-marathon-491x", "■")</f>
        <v>■</v>
      </c>
      <c r="F554" s="14" t="s">
        <v>6258</v>
      </c>
      <c r="G554" s="14">
        <v>59144</v>
      </c>
      <c r="H554" s="14">
        <v>65208</v>
      </c>
      <c r="I554" s="14">
        <v>22</v>
      </c>
      <c r="J554" s="14" t="s">
        <v>104</v>
      </c>
      <c r="K554" s="14" t="s">
        <v>6261</v>
      </c>
      <c r="L554" s="14" t="s">
        <v>6260</v>
      </c>
      <c r="M554" s="14" t="s">
        <v>9158</v>
      </c>
      <c r="N554" s="14" t="s">
        <v>9158</v>
      </c>
      <c r="O554" s="14" t="s">
        <v>9158</v>
      </c>
      <c r="P554" s="14" t="s">
        <v>9158</v>
      </c>
      <c r="Q554" s="14" t="s">
        <v>9158</v>
      </c>
    </row>
    <row r="556" spans="1:17">
      <c r="A556" s="14" t="s">
        <v>1176</v>
      </c>
    </row>
    <row r="557" spans="1:17">
      <c r="A557" s="14" t="s">
        <v>14499</v>
      </c>
    </row>
    <row r="558" spans="1:17">
      <c r="A558" s="14" t="s">
        <v>5607</v>
      </c>
      <c r="B558" s="14" t="s">
        <v>330</v>
      </c>
      <c r="C558" s="14" t="s">
        <v>200</v>
      </c>
      <c r="D558" s="19" t="s">
        <v>421</v>
      </c>
      <c r="E558" s="15" t="str">
        <f>HYPERLINK("https://stat100.ameba.jp/tnk47/ratio20/illustrations/card/ill_58853_0_setsubumpanikkuhiratsukaraicho03.jpg?202009-5-RELEASE-marathon-491x", "■")</f>
        <v>■</v>
      </c>
      <c r="F558" s="14" t="s">
        <v>1040</v>
      </c>
      <c r="G558" s="14">
        <v>150776</v>
      </c>
      <c r="H558" s="14">
        <v>133938</v>
      </c>
      <c r="I558" s="14">
        <v>24</v>
      </c>
      <c r="J558" s="14" t="s">
        <v>16</v>
      </c>
      <c r="K558" s="14" t="s">
        <v>1041</v>
      </c>
      <c r="L558" s="14" t="s">
        <v>1042</v>
      </c>
      <c r="M558" s="14" t="s">
        <v>9158</v>
      </c>
      <c r="N558" s="14" t="s">
        <v>9158</v>
      </c>
      <c r="O558" s="19" t="s">
        <v>10075</v>
      </c>
      <c r="P558" s="14" t="s">
        <v>2870</v>
      </c>
      <c r="Q558" s="14">
        <v>1</v>
      </c>
    </row>
    <row r="559" spans="1:17">
      <c r="A559" s="14" t="s">
        <v>5617</v>
      </c>
      <c r="B559" s="14" t="s">
        <v>330</v>
      </c>
      <c r="C559" s="14" t="s">
        <v>308</v>
      </c>
      <c r="D559" s="19" t="s">
        <v>385</v>
      </c>
      <c r="E559" s="15" t="str">
        <f>HYPERLINK("https://stat100.ameba.jp/tnk47/ratio20/illustrations/card/ill_59673_0_oheyashutendoji03.jpg?202009-5-RELEASE-marathon-491x", "■")</f>
        <v>■</v>
      </c>
      <c r="F559" s="14" t="s">
        <v>386</v>
      </c>
      <c r="G559" s="14">
        <v>168874</v>
      </c>
      <c r="H559" s="14">
        <v>181640</v>
      </c>
      <c r="I559" s="14">
        <v>24</v>
      </c>
      <c r="J559" s="14" t="s">
        <v>320</v>
      </c>
      <c r="K559" s="14" t="s">
        <v>387</v>
      </c>
      <c r="L559" s="14" t="s">
        <v>388</v>
      </c>
      <c r="M559" s="14" t="s">
        <v>9158</v>
      </c>
      <c r="N559" s="14" t="s">
        <v>9158</v>
      </c>
      <c r="O559" s="19" t="s">
        <v>10078</v>
      </c>
      <c r="P559" s="14" t="s">
        <v>3022</v>
      </c>
      <c r="Q559" s="14">
        <v>1</v>
      </c>
    </row>
    <row r="560" spans="1:17">
      <c r="A560" s="14" t="s">
        <v>5627</v>
      </c>
      <c r="B560" s="14" t="s">
        <v>330</v>
      </c>
      <c r="C560" s="14" t="s">
        <v>191</v>
      </c>
      <c r="D560" s="19" t="s">
        <v>393</v>
      </c>
      <c r="E560" s="15" t="str">
        <f>HYPERLINK("https://stat100.ameba.jp/tnk47/ratio20/illustrations/card/ill_46283_0_odanobunaga03.jpg?202009-5-RELEASE-marathon-491x", "■")</f>
        <v>■</v>
      </c>
      <c r="F560" s="14" t="s">
        <v>1073</v>
      </c>
      <c r="G560" s="14">
        <v>131538</v>
      </c>
      <c r="H560" s="14">
        <v>140448</v>
      </c>
      <c r="I560" s="14">
        <v>24</v>
      </c>
      <c r="J560" s="14" t="s">
        <v>143</v>
      </c>
      <c r="K560" s="14" t="s">
        <v>1074</v>
      </c>
      <c r="L560" s="14" t="s">
        <v>1075</v>
      </c>
      <c r="M560" s="14" t="s">
        <v>9158</v>
      </c>
      <c r="N560" s="14" t="s">
        <v>9158</v>
      </c>
      <c r="O560" s="14" t="s">
        <v>9158</v>
      </c>
      <c r="P560" s="14" t="s">
        <v>9158</v>
      </c>
      <c r="Q560" s="14" t="s">
        <v>9158</v>
      </c>
    </row>
    <row r="561" spans="1:17">
      <c r="A561" s="14">
        <v>91493</v>
      </c>
      <c r="B561" s="14" t="s">
        <v>334</v>
      </c>
      <c r="C561" s="14" t="s">
        <v>185</v>
      </c>
      <c r="D561" s="14" t="s">
        <v>14460</v>
      </c>
      <c r="E561" s="15" t="str">
        <f>HYPERLINK("https://stat100.ameba.jp/tnk47/ratio20/illustrations/card/ill_91493_kakizakisuehiro03.jpg?202009-5-RELEASE-marathon-491x", "■")</f>
        <v>■</v>
      </c>
      <c r="F561" s="14" t="s">
        <v>14478</v>
      </c>
      <c r="G561" s="14">
        <v>143714</v>
      </c>
      <c r="H561" s="14">
        <v>154562</v>
      </c>
      <c r="I561" s="7">
        <v>26</v>
      </c>
      <c r="J561" s="14" t="s">
        <v>143</v>
      </c>
      <c r="K561" s="14" t="s">
        <v>14476</v>
      </c>
      <c r="L561" s="14" t="s">
        <v>14475</v>
      </c>
      <c r="M561" s="14" t="s">
        <v>9158</v>
      </c>
      <c r="N561" s="14" t="s">
        <v>9158</v>
      </c>
      <c r="O561" s="14" t="s">
        <v>9158</v>
      </c>
      <c r="P561" s="14" t="s">
        <v>9158</v>
      </c>
      <c r="Q561" s="14" t="s">
        <v>9158</v>
      </c>
    </row>
    <row r="562" spans="1:17">
      <c r="A562" s="14">
        <v>91503</v>
      </c>
      <c r="B562" s="14" t="s">
        <v>15</v>
      </c>
      <c r="C562" s="14" t="s">
        <v>191</v>
      </c>
      <c r="D562" s="14" t="s">
        <v>14461</v>
      </c>
      <c r="E562" s="15" t="str">
        <f>HYPERLINK("https://stat100.ameba.jp/tnk47/ratio20/illustrations/card/ill_91503_shirakansu03.jpg?202009-5-RELEASE-marathon-491x", "■")</f>
        <v>■</v>
      </c>
      <c r="F562" s="14" t="s">
        <v>14482</v>
      </c>
      <c r="G562" s="14">
        <v>77064</v>
      </c>
      <c r="H562" s="14">
        <v>69898</v>
      </c>
      <c r="I562" s="7">
        <v>26</v>
      </c>
      <c r="J562" s="14" t="s">
        <v>26</v>
      </c>
      <c r="K562" s="14" t="s">
        <v>14480</v>
      </c>
      <c r="L562" s="14" t="s">
        <v>2011</v>
      </c>
      <c r="M562" s="14" t="s">
        <v>9158</v>
      </c>
      <c r="N562" s="14" t="s">
        <v>9158</v>
      </c>
      <c r="O562" s="14" t="s">
        <v>9158</v>
      </c>
      <c r="P562" s="14" t="s">
        <v>9158</v>
      </c>
      <c r="Q562" s="14" t="s">
        <v>9158</v>
      </c>
    </row>
    <row r="563" spans="1:17">
      <c r="A563" s="14">
        <v>91513</v>
      </c>
      <c r="B563" s="14" t="s">
        <v>22</v>
      </c>
      <c r="C563" s="14" t="s">
        <v>205</v>
      </c>
      <c r="D563" s="14" t="s">
        <v>14462</v>
      </c>
      <c r="E563" s="15" t="str">
        <f>HYPERLINK("https://stat100.ameba.jp/tnk47/ratio20/illustrations/card/ill_91513_sunameri03.jpg?202009-5-RELEASE-marathon-491x", "■")</f>
        <v>■</v>
      </c>
      <c r="F563" s="14" t="s">
        <v>14485</v>
      </c>
      <c r="G563" s="14">
        <v>44948</v>
      </c>
      <c r="H563" s="14">
        <v>54058</v>
      </c>
      <c r="I563" s="7">
        <v>26</v>
      </c>
      <c r="J563" s="14" t="s">
        <v>26</v>
      </c>
      <c r="K563" s="14" t="s">
        <v>14484</v>
      </c>
      <c r="L563" s="14" t="s">
        <v>28</v>
      </c>
      <c r="M563" s="14" t="s">
        <v>9158</v>
      </c>
      <c r="N563" s="14" t="s">
        <v>9158</v>
      </c>
      <c r="O563" s="14" t="s">
        <v>9158</v>
      </c>
      <c r="P563" s="14" t="s">
        <v>9158</v>
      </c>
      <c r="Q563" s="14" t="s">
        <v>9158</v>
      </c>
    </row>
    <row r="564" spans="1:17">
      <c r="A564" s="14">
        <v>91523</v>
      </c>
      <c r="B564" s="14" t="s">
        <v>22</v>
      </c>
      <c r="C564" s="14" t="s">
        <v>200</v>
      </c>
      <c r="D564" s="14" t="s">
        <v>14463</v>
      </c>
      <c r="E564" s="15" t="str">
        <f>HYPERLINK("https://stat100.ameba.jp/tnk47/ratio20/illustrations/card/ill_91523_bashokajiki03.jpg?202009-5-RELEASE-marathon-491x", "■")</f>
        <v>■</v>
      </c>
      <c r="F564" s="14" t="s">
        <v>14488</v>
      </c>
      <c r="G564" s="14">
        <v>54058</v>
      </c>
      <c r="H564" s="14">
        <v>44948</v>
      </c>
      <c r="I564" s="7">
        <v>26</v>
      </c>
      <c r="J564" s="14" t="s">
        <v>104</v>
      </c>
      <c r="K564" s="14" t="s">
        <v>14487</v>
      </c>
      <c r="L564" s="14" t="s">
        <v>2674</v>
      </c>
      <c r="M564" s="14" t="s">
        <v>9158</v>
      </c>
      <c r="N564" s="14" t="s">
        <v>9158</v>
      </c>
      <c r="O564" s="14" t="s">
        <v>9158</v>
      </c>
      <c r="P564" s="14" t="s">
        <v>9158</v>
      </c>
      <c r="Q564" s="14" t="s">
        <v>9158</v>
      </c>
    </row>
    <row r="566" spans="1:17">
      <c r="A566" s="14" t="s">
        <v>14500</v>
      </c>
    </row>
    <row r="567" spans="1:17">
      <c r="A567" s="14" t="s">
        <v>14501</v>
      </c>
    </row>
    <row r="568" spans="1:17">
      <c r="A568" s="9" t="s">
        <v>9325</v>
      </c>
      <c r="B568" s="7" t="s">
        <v>52</v>
      </c>
      <c r="C568" s="9" t="s">
        <v>202</v>
      </c>
      <c r="D568" s="19" t="s">
        <v>10947</v>
      </c>
      <c r="E568" s="15" t="str">
        <f>HYPERLINK("https://stat100.ameba.jp/tnk47/ratio20/illustrations/card/ill_86893_0_chokonohisukeban03.jpg?202009-5-RELEASE-marathon-491x", "■")</f>
        <v>■</v>
      </c>
      <c r="F568" s="14" t="s">
        <v>9332</v>
      </c>
      <c r="G568" s="9">
        <v>351727</v>
      </c>
      <c r="H568" s="9">
        <v>317873</v>
      </c>
      <c r="I568" s="7">
        <v>27</v>
      </c>
      <c r="J568" s="9" t="s">
        <v>187</v>
      </c>
      <c r="K568" s="14" t="s">
        <v>9330</v>
      </c>
      <c r="L568" s="14" t="s">
        <v>9331</v>
      </c>
      <c r="M568" s="14" t="s">
        <v>9158</v>
      </c>
      <c r="N568" s="14" t="s">
        <v>9158</v>
      </c>
      <c r="O568" s="19" t="s">
        <v>10136</v>
      </c>
      <c r="P568" s="7" t="s">
        <v>9324</v>
      </c>
      <c r="Q568" s="7">
        <v>1</v>
      </c>
    </row>
    <row r="569" spans="1:17">
      <c r="A569" s="14" t="s">
        <v>5843</v>
      </c>
      <c r="B569" s="14" t="s">
        <v>52</v>
      </c>
      <c r="C569" s="14" t="s">
        <v>202</v>
      </c>
      <c r="D569" s="19" t="s">
        <v>10291</v>
      </c>
      <c r="E569" s="15" t="str">
        <f>HYPERLINK("https://stat100.ameba.jp/tnk47/ratio20/illustrations/card/ill_77963_0_kurisumasudaisakusentakiyashahime03.jpg?202009-5-RELEASE-marathon-491x", "■")</f>
        <v>■</v>
      </c>
      <c r="F569" s="14" t="s">
        <v>2127</v>
      </c>
      <c r="G569" s="14">
        <v>331590</v>
      </c>
      <c r="H569" s="14">
        <v>299687</v>
      </c>
      <c r="I569" s="14">
        <v>27</v>
      </c>
      <c r="J569" s="14" t="s">
        <v>77</v>
      </c>
      <c r="K569" s="14" t="s">
        <v>2128</v>
      </c>
      <c r="L569" s="14" t="s">
        <v>2129</v>
      </c>
      <c r="M569" s="14" t="s">
        <v>9158</v>
      </c>
      <c r="N569" s="14" t="s">
        <v>9158</v>
      </c>
      <c r="O569" s="19" t="s">
        <v>10107</v>
      </c>
      <c r="P569" s="14" t="s">
        <v>3589</v>
      </c>
      <c r="Q569" s="14">
        <v>2</v>
      </c>
    </row>
    <row r="570" spans="1:17">
      <c r="A570" s="14" t="s">
        <v>5897</v>
      </c>
      <c r="B570" s="14" t="s">
        <v>52</v>
      </c>
      <c r="C570" s="14" t="s">
        <v>23</v>
      </c>
      <c r="D570" s="19" t="s">
        <v>277</v>
      </c>
      <c r="E570" s="15" t="str">
        <f>HYPERLINK("https://stat100.ameba.jp/tnk47/ratio20/illustrations/card/ill_40913_0_reigyokudensetsufusehime03.jpg?202009-5-RELEASE-marathon-491x", "■")</f>
        <v>■</v>
      </c>
      <c r="F570" s="14" t="s">
        <v>955</v>
      </c>
      <c r="G570" s="14">
        <v>142500</v>
      </c>
      <c r="H570" s="14">
        <v>152152</v>
      </c>
      <c r="I570" s="14">
        <v>26</v>
      </c>
      <c r="J570" s="14" t="s">
        <v>38</v>
      </c>
      <c r="K570" s="14" t="s">
        <v>956</v>
      </c>
      <c r="L570" s="14" t="s">
        <v>957</v>
      </c>
      <c r="M570" s="14" t="s">
        <v>9158</v>
      </c>
      <c r="N570" s="14" t="s">
        <v>9158</v>
      </c>
      <c r="O570" s="14" t="s">
        <v>9158</v>
      </c>
      <c r="P570" s="14" t="s">
        <v>9158</v>
      </c>
      <c r="Q570" s="14" t="s">
        <v>9158</v>
      </c>
    </row>
    <row r="571" spans="1:17">
      <c r="A571" s="7">
        <v>85053</v>
      </c>
      <c r="B571" s="7" t="s">
        <v>0</v>
      </c>
      <c r="C571" s="7" t="s">
        <v>158</v>
      </c>
      <c r="D571" s="19" t="s">
        <v>10768</v>
      </c>
      <c r="E571" s="15" t="str">
        <f>HYPERLINK("https://stat100.ameba.jp/tnk47/ratio20/illustrations/card/ill_85053_heideirumu03.jpg?202009-5-RELEASE-marathon-491x", "■")</f>
        <v>■</v>
      </c>
      <c r="F571" s="7" t="s">
        <v>7969</v>
      </c>
      <c r="G571" s="7">
        <v>118684</v>
      </c>
      <c r="H571" s="7">
        <v>85962</v>
      </c>
      <c r="I571" s="14">
        <v>26</v>
      </c>
      <c r="J571" s="7" t="s">
        <v>169</v>
      </c>
      <c r="K571" s="7" t="s">
        <v>7968</v>
      </c>
      <c r="L571" s="7" t="s">
        <v>7967</v>
      </c>
      <c r="M571" s="14" t="s">
        <v>9158</v>
      </c>
      <c r="N571" s="14" t="s">
        <v>9158</v>
      </c>
      <c r="O571" s="19" t="s">
        <v>10085</v>
      </c>
      <c r="P571" s="7" t="s">
        <v>4374</v>
      </c>
      <c r="Q571" s="7">
        <v>1</v>
      </c>
    </row>
    <row r="572" spans="1:17">
      <c r="A572" s="9">
        <v>85363</v>
      </c>
      <c r="B572" s="9" t="s">
        <v>0</v>
      </c>
      <c r="C572" s="9" t="s">
        <v>158</v>
      </c>
      <c r="D572" s="19" t="s">
        <v>10708</v>
      </c>
      <c r="E572" s="15" t="str">
        <f>HYPERLINK("https://stat100.ameba.jp/tnk47/ratio20/illustrations/card/ill_85363_sukarunetaisa03.jpg?202009-5-RELEASE-marathon-491x", "■")</f>
        <v>■</v>
      </c>
      <c r="F572" s="9" t="s">
        <v>7506</v>
      </c>
      <c r="G572" s="9">
        <v>125296</v>
      </c>
      <c r="H572" s="9">
        <v>172982</v>
      </c>
      <c r="I572" s="9">
        <v>26</v>
      </c>
      <c r="J572" s="9" t="s">
        <v>194</v>
      </c>
      <c r="K572" s="9" t="s">
        <v>7504</v>
      </c>
      <c r="L572" s="9" t="s">
        <v>1148</v>
      </c>
      <c r="M572" s="14" t="s">
        <v>9864</v>
      </c>
      <c r="N572" s="14" t="s">
        <v>9158</v>
      </c>
      <c r="O572" s="19" t="s">
        <v>10106</v>
      </c>
      <c r="P572" s="14" t="s">
        <v>3330</v>
      </c>
      <c r="Q572" s="14">
        <v>2</v>
      </c>
    </row>
    <row r="573" spans="1:17">
      <c r="A573" s="7">
        <v>85043</v>
      </c>
      <c r="B573" s="7" t="s">
        <v>0</v>
      </c>
      <c r="C573" s="14" t="s">
        <v>209</v>
      </c>
      <c r="D573" s="19" t="s">
        <v>10752</v>
      </c>
      <c r="E573" s="15" t="str">
        <f>HYPERLINK("https://stat100.ameba.jp/tnk47/ratio20/illustrations/card/ill_85043_sutoroberireddo03.jpg?202009-5-RELEASE-marathon-491x", "■")</f>
        <v>■</v>
      </c>
      <c r="F573" s="7" t="s">
        <v>7843</v>
      </c>
      <c r="G573" s="7">
        <v>137430</v>
      </c>
      <c r="H573" s="7">
        <v>99532</v>
      </c>
      <c r="I573" s="14">
        <v>26</v>
      </c>
      <c r="J573" s="7" t="s">
        <v>104</v>
      </c>
      <c r="K573" s="7" t="s">
        <v>7841</v>
      </c>
      <c r="L573" s="7" t="s">
        <v>2409</v>
      </c>
      <c r="M573" s="14" t="s">
        <v>9158</v>
      </c>
      <c r="N573" s="14" t="s">
        <v>9158</v>
      </c>
      <c r="O573" s="19" t="s">
        <v>10102</v>
      </c>
      <c r="P573" s="14" t="s">
        <v>3672</v>
      </c>
      <c r="Q573" s="14">
        <v>1</v>
      </c>
    </row>
    <row r="574" spans="1:17">
      <c r="A574" s="14">
        <v>70363</v>
      </c>
      <c r="B574" s="14" t="s">
        <v>334</v>
      </c>
      <c r="C574" s="14" t="s">
        <v>209</v>
      </c>
      <c r="D574" s="20" t="s">
        <v>10266</v>
      </c>
      <c r="E574" s="15" t="str">
        <f>HYPERLINK("https://stat100.ameba.jp/tnk47/ratio20/illustrations/card/ill_70363_hokushimmyokembosatsu03.jpg?202009-5-RELEASE-marathon-491x", "■")</f>
        <v>■</v>
      </c>
      <c r="F574" s="14" t="s">
        <v>2502</v>
      </c>
      <c r="G574" s="14">
        <v>172982</v>
      </c>
      <c r="H574" s="14">
        <v>125296</v>
      </c>
      <c r="I574" s="14">
        <v>26</v>
      </c>
      <c r="J574" s="14" t="s">
        <v>44</v>
      </c>
      <c r="K574" s="14" t="s">
        <v>2503</v>
      </c>
      <c r="L574" s="14" t="s">
        <v>2504</v>
      </c>
      <c r="M574" s="14" t="s">
        <v>9158</v>
      </c>
      <c r="N574" s="14" t="s">
        <v>9158</v>
      </c>
      <c r="O574" s="19" t="s">
        <v>10114</v>
      </c>
      <c r="P574" s="14" t="s">
        <v>3658</v>
      </c>
      <c r="Q574" s="14">
        <v>1</v>
      </c>
    </row>
    <row r="575" spans="1:17">
      <c r="A575" s="9">
        <v>80753</v>
      </c>
      <c r="B575" s="14" t="s">
        <v>334</v>
      </c>
      <c r="C575" s="14" t="s">
        <v>41</v>
      </c>
      <c r="D575" s="14" t="s">
        <v>4317</v>
      </c>
      <c r="E575" s="15" t="str">
        <f>HYPERLINK("https://stat100.ameba.jp/tnk47/ratio20/illustrations/card/ill_80753_hakubutsukannojoze03.jpg?202009-5-RELEASE-marathon-491x", "■")</f>
        <v>■</v>
      </c>
      <c r="F575" s="14" t="s">
        <v>4318</v>
      </c>
      <c r="G575" s="14">
        <v>85492</v>
      </c>
      <c r="H575" s="14">
        <v>118000</v>
      </c>
      <c r="I575" s="14">
        <v>26</v>
      </c>
      <c r="J575" s="14" t="s">
        <v>38</v>
      </c>
      <c r="K575" s="14" t="s">
        <v>4319</v>
      </c>
      <c r="L575" s="14" t="s">
        <v>4320</v>
      </c>
      <c r="M575" s="14" t="s">
        <v>9158</v>
      </c>
      <c r="N575" s="14" t="s">
        <v>9158</v>
      </c>
      <c r="O575" s="17" t="s">
        <v>10053</v>
      </c>
      <c r="P575" s="14" t="s">
        <v>3592</v>
      </c>
      <c r="Q575" s="14">
        <v>1</v>
      </c>
    </row>
    <row r="576" spans="1:17">
      <c r="A576" s="14">
        <v>78133</v>
      </c>
      <c r="B576" s="14" t="s">
        <v>0</v>
      </c>
      <c r="C576" s="14" t="s">
        <v>154</v>
      </c>
      <c r="D576" s="20" t="s">
        <v>10313</v>
      </c>
      <c r="E576" s="15" t="str">
        <f>HYPERLINK("https://stat100.ameba.jp/tnk47/ratio20/illustrations/card/ill_78133_akazukin03.jpg?202009-5-RELEASE-marathon-491x", "■")</f>
        <v>■</v>
      </c>
      <c r="F576" s="14" t="s">
        <v>2202</v>
      </c>
      <c r="G576" s="14">
        <v>96100</v>
      </c>
      <c r="H576" s="14">
        <v>132684</v>
      </c>
      <c r="I576" s="14">
        <v>26</v>
      </c>
      <c r="J576" s="14" t="s">
        <v>38</v>
      </c>
      <c r="K576" s="14" t="s">
        <v>2203</v>
      </c>
      <c r="L576" s="14" t="s">
        <v>2204</v>
      </c>
      <c r="M576" s="14" t="s">
        <v>9158</v>
      </c>
      <c r="N576" s="14" t="s">
        <v>9158</v>
      </c>
      <c r="O576" s="19" t="s">
        <v>2917</v>
      </c>
      <c r="P576" s="14" t="s">
        <v>3531</v>
      </c>
      <c r="Q576" s="14">
        <v>1</v>
      </c>
    </row>
    <row r="578" spans="1:17">
      <c r="A578" s="14" t="s">
        <v>14502</v>
      </c>
    </row>
    <row r="579" spans="1:17">
      <c r="A579" s="14" t="s">
        <v>14503</v>
      </c>
    </row>
    <row r="580" spans="1:17">
      <c r="A580" s="14" t="s">
        <v>5891</v>
      </c>
      <c r="B580" s="14" t="s">
        <v>330</v>
      </c>
      <c r="C580" s="14" t="s">
        <v>202</v>
      </c>
      <c r="D580" s="20" t="s">
        <v>1371</v>
      </c>
      <c r="E580" s="15" t="str">
        <f>HYPERLINK("https://stat100.ameba.jp/tnk47/ratio20/illustrations/card/ill_77173_0_yukemuritomoegozen03.jpg?202009-5-RELEASE-marathon-491x", "■")</f>
        <v>■</v>
      </c>
      <c r="F580" s="14" t="s">
        <v>1372</v>
      </c>
      <c r="G580" s="14">
        <v>250610</v>
      </c>
      <c r="H580" s="14">
        <v>277283</v>
      </c>
      <c r="I580" s="14">
        <v>25</v>
      </c>
      <c r="J580" s="14" t="s">
        <v>310</v>
      </c>
      <c r="K580" s="14" t="s">
        <v>1373</v>
      </c>
      <c r="L580" s="14" t="s">
        <v>1374</v>
      </c>
      <c r="M580" s="14" t="s">
        <v>9158</v>
      </c>
      <c r="N580" s="14" t="s">
        <v>9158</v>
      </c>
      <c r="O580" s="19" t="s">
        <v>4067</v>
      </c>
      <c r="P580" s="14" t="s">
        <v>3879</v>
      </c>
      <c r="Q580" s="14">
        <v>2</v>
      </c>
    </row>
    <row r="581" spans="1:17">
      <c r="A581" s="9">
        <v>76803</v>
      </c>
      <c r="B581" s="14" t="s">
        <v>334</v>
      </c>
      <c r="C581" s="14" t="s">
        <v>202</v>
      </c>
      <c r="D581" s="14" t="s">
        <v>2436</v>
      </c>
      <c r="E581" s="15" t="str">
        <f>HYPERLINK("https://stat100.ameba.jp/tnk47/ratio20/illustrations/card/ill_76803_monsutakujirachan03.jpg?202009-5-RELEASE-marathon-491x", "■")</f>
        <v>■</v>
      </c>
      <c r="F581" s="14" t="s">
        <v>674</v>
      </c>
      <c r="G581" s="14">
        <v>159674</v>
      </c>
      <c r="H581" s="14">
        <v>115656</v>
      </c>
      <c r="I581" s="14">
        <v>24</v>
      </c>
      <c r="J581" s="14" t="s">
        <v>283</v>
      </c>
      <c r="K581" s="14" t="s">
        <v>675</v>
      </c>
      <c r="L581" s="14" t="s">
        <v>435</v>
      </c>
      <c r="M581" s="14" t="s">
        <v>9158</v>
      </c>
      <c r="N581" s="14" t="s">
        <v>9158</v>
      </c>
      <c r="O581" s="9" t="s">
        <v>3165</v>
      </c>
      <c r="P581" s="14" t="s">
        <v>13139</v>
      </c>
      <c r="Q581" s="14">
        <v>1</v>
      </c>
    </row>
    <row r="582" spans="1:17">
      <c r="A582" s="14">
        <v>52083</v>
      </c>
      <c r="B582" s="14" t="s">
        <v>0</v>
      </c>
      <c r="C582" s="14" t="s">
        <v>158</v>
      </c>
      <c r="D582" s="19" t="s">
        <v>2913</v>
      </c>
      <c r="E582" s="15" t="str">
        <f>HYPERLINK("https://stat100.ameba.jp/tnk47/ratio20/illustrations/card/ill_52083_berubetto03.jpg?202009-5-RELEASE-marathon-491x", "■")</f>
        <v>■</v>
      </c>
      <c r="F582" s="14" t="s">
        <v>944</v>
      </c>
      <c r="G582" s="14">
        <v>82694</v>
      </c>
      <c r="H582" s="14">
        <v>114160</v>
      </c>
      <c r="I582" s="14">
        <v>24</v>
      </c>
      <c r="J582" s="14" t="s">
        <v>26</v>
      </c>
      <c r="K582" s="14" t="s">
        <v>1864</v>
      </c>
      <c r="L582" s="14" t="s">
        <v>1865</v>
      </c>
      <c r="M582" s="14" t="s">
        <v>9158</v>
      </c>
      <c r="N582" s="14" t="s">
        <v>9158</v>
      </c>
      <c r="O582" s="19" t="s">
        <v>2917</v>
      </c>
      <c r="P582" s="14" t="s">
        <v>2918</v>
      </c>
      <c r="Q582" s="14">
        <v>1</v>
      </c>
    </row>
    <row r="583" spans="1:17">
      <c r="A583" s="14">
        <v>75883</v>
      </c>
      <c r="B583" s="14" t="s">
        <v>334</v>
      </c>
      <c r="C583" s="14" t="s">
        <v>154</v>
      </c>
      <c r="D583" s="19" t="s">
        <v>10402</v>
      </c>
      <c r="E583" s="15" t="str">
        <f>HYPERLINK("https://stat100.ameba.jp/tnk47/ratio20/illustrations/card/ill_75883_kitajokagehiro03.jpg?202009-5-RELEASE-marathon-491x", "■")</f>
        <v>■</v>
      </c>
      <c r="F583" s="14" t="s">
        <v>2411</v>
      </c>
      <c r="G583" s="14">
        <v>115656</v>
      </c>
      <c r="H583" s="14">
        <v>159674</v>
      </c>
      <c r="I583" s="14">
        <v>24</v>
      </c>
      <c r="J583" s="14" t="s">
        <v>143</v>
      </c>
      <c r="K583" s="14" t="s">
        <v>2412</v>
      </c>
      <c r="L583" s="14" t="s">
        <v>1148</v>
      </c>
      <c r="M583" s="14" t="s">
        <v>9158</v>
      </c>
      <c r="N583" s="14" t="s">
        <v>9158</v>
      </c>
      <c r="O583" s="19" t="s">
        <v>10106</v>
      </c>
      <c r="P583" s="14" t="s">
        <v>3330</v>
      </c>
      <c r="Q583" s="14">
        <v>2</v>
      </c>
    </row>
    <row r="585" spans="1:17">
      <c r="A585" s="14" t="s">
        <v>14505</v>
      </c>
    </row>
    <row r="586" spans="1:17">
      <c r="A586" s="14" t="s">
        <v>14504</v>
      </c>
    </row>
    <row r="587" spans="1:17">
      <c r="A587" s="14" t="s">
        <v>5899</v>
      </c>
      <c r="B587" s="14" t="s">
        <v>330</v>
      </c>
      <c r="C587" s="14" t="s">
        <v>205</v>
      </c>
      <c r="D587" s="19" t="s">
        <v>1559</v>
      </c>
      <c r="E587" s="15" t="str">
        <f>HYPERLINK("https://stat100.ameba.jp/tnk47/ratio20/illustrations/card/ill_73773_0_umibirakiinugamigyobu03.jpg?202009-5-RELEASE-marathon-491x", "■")</f>
        <v>■</v>
      </c>
      <c r="F587" s="14" t="s">
        <v>935</v>
      </c>
      <c r="G587" s="14">
        <v>216934</v>
      </c>
      <c r="H587" s="14">
        <v>233333</v>
      </c>
      <c r="I587" s="14">
        <v>25</v>
      </c>
      <c r="J587" s="14" t="s">
        <v>182</v>
      </c>
      <c r="K587" s="14" t="s">
        <v>936</v>
      </c>
      <c r="L587" s="14" t="s">
        <v>13147</v>
      </c>
      <c r="M587" s="14" t="s">
        <v>9158</v>
      </c>
      <c r="N587" s="14" t="s">
        <v>9158</v>
      </c>
      <c r="O587" s="19" t="s">
        <v>2978</v>
      </c>
      <c r="P587" s="14" t="s">
        <v>2979</v>
      </c>
      <c r="Q587" s="14">
        <v>2</v>
      </c>
    </row>
    <row r="588" spans="1:17">
      <c r="A588" s="14">
        <v>74553</v>
      </c>
      <c r="B588" s="14" t="s">
        <v>0</v>
      </c>
      <c r="C588" s="14" t="s">
        <v>107</v>
      </c>
      <c r="D588" s="19" t="s">
        <v>10389</v>
      </c>
      <c r="E588" s="15" t="str">
        <f>HYPERLINK("https://stat100.ameba.jp/tnk47/ratio20/illustrations/card/ill_74553_natsuyuenchikusumotoine03.jpg?202009-5-RELEASE-marathon-491x", "■")</f>
        <v>■</v>
      </c>
      <c r="F588" s="14" t="s">
        <v>4109</v>
      </c>
      <c r="G588" s="14">
        <v>105426</v>
      </c>
      <c r="H588" s="14">
        <v>98066</v>
      </c>
      <c r="I588" s="14">
        <v>26</v>
      </c>
      <c r="J588" s="14" t="s">
        <v>16</v>
      </c>
      <c r="K588" s="14" t="s">
        <v>4110</v>
      </c>
      <c r="L588" s="14" t="s">
        <v>1149</v>
      </c>
      <c r="M588" s="14" t="s">
        <v>9158</v>
      </c>
      <c r="N588" s="14" t="s">
        <v>9158</v>
      </c>
      <c r="O588" s="19" t="s">
        <v>10090</v>
      </c>
      <c r="P588" s="14" t="s">
        <v>3460</v>
      </c>
      <c r="Q588" s="14">
        <v>1</v>
      </c>
    </row>
    <row r="589" spans="1:17">
      <c r="A589" s="14">
        <v>77123</v>
      </c>
      <c r="B589" s="14" t="s">
        <v>334</v>
      </c>
      <c r="C589" s="14" t="s">
        <v>191</v>
      </c>
      <c r="D589" s="20" t="s">
        <v>10424</v>
      </c>
      <c r="E589" s="15" t="str">
        <f>HYPERLINK("https://stat100.ameba.jp/tnk47/ratio20/illustrations/card/ill_77123_yukemuriizuna03.jpg?202009-5-RELEASE-marathon-491x", "■")</f>
        <v>■</v>
      </c>
      <c r="F589" s="14" t="s">
        <v>1377</v>
      </c>
      <c r="G589" s="14">
        <v>108330</v>
      </c>
      <c r="H589" s="14">
        <v>100744</v>
      </c>
      <c r="I589" s="14">
        <v>26</v>
      </c>
      <c r="J589" s="14" t="s">
        <v>320</v>
      </c>
      <c r="K589" s="14" t="s">
        <v>1378</v>
      </c>
      <c r="L589" s="14" t="s">
        <v>1379</v>
      </c>
      <c r="M589" s="14" t="s">
        <v>9158</v>
      </c>
      <c r="N589" s="14" t="s">
        <v>9158</v>
      </c>
      <c r="O589" s="19" t="s">
        <v>2838</v>
      </c>
      <c r="P589" s="14" t="s">
        <v>3579</v>
      </c>
      <c r="Q589" s="14">
        <v>1</v>
      </c>
    </row>
    <row r="590" spans="1:17">
      <c r="A590" s="9">
        <v>71343</v>
      </c>
      <c r="B590" s="14" t="s">
        <v>334</v>
      </c>
      <c r="C590" s="14" t="s">
        <v>185</v>
      </c>
      <c r="D590" s="14" t="s">
        <v>186</v>
      </c>
      <c r="E590" s="15" t="str">
        <f>HYPERLINK("https://stat100.ameba.jp/tnk47/ratio20/illustrations/card/ill_71343_ohanamimatehime03.jpg?202009-5-RELEASE-marathon-491x", "■")</f>
        <v>■</v>
      </c>
      <c r="F590" s="14" t="s">
        <v>536</v>
      </c>
      <c r="G590" s="14">
        <v>94390</v>
      </c>
      <c r="H590" s="14">
        <v>101558</v>
      </c>
      <c r="I590" s="14">
        <v>26</v>
      </c>
      <c r="J590" s="14" t="s">
        <v>187</v>
      </c>
      <c r="K590" s="14" t="s">
        <v>188</v>
      </c>
      <c r="L590" s="14" t="s">
        <v>13132</v>
      </c>
      <c r="M590" s="14" t="s">
        <v>9158</v>
      </c>
      <c r="N590" s="14" t="s">
        <v>9158</v>
      </c>
      <c r="O590" s="9" t="s">
        <v>2717</v>
      </c>
      <c r="P590" s="14" t="s">
        <v>13123</v>
      </c>
      <c r="Q590" s="14">
        <v>1</v>
      </c>
    </row>
    <row r="592" spans="1:17">
      <c r="A592" s="14" t="s">
        <v>3643</v>
      </c>
    </row>
    <row r="593" spans="1:18">
      <c r="A593" s="14" t="s">
        <v>6544</v>
      </c>
    </row>
    <row r="594" spans="1:18">
      <c r="A594" s="14">
        <v>88455</v>
      </c>
      <c r="B594" s="14" t="s">
        <v>0</v>
      </c>
      <c r="C594" s="14" t="s">
        <v>202</v>
      </c>
      <c r="D594" s="14" t="s">
        <v>14509</v>
      </c>
      <c r="E594" s="15" t="str">
        <f>HYPERLINK("https://stat100.ameba.jp/tnk47/ratio20/illustrations/card/ill_88455_puroresufudomyoo05.jpg?202009-5-RELEASE-marathon-491xx", "■")</f>
        <v>■</v>
      </c>
      <c r="F594" s="14" t="s">
        <v>14510</v>
      </c>
      <c r="G594" s="14">
        <v>139208</v>
      </c>
      <c r="H594" s="14">
        <v>100785</v>
      </c>
      <c r="I594" s="7">
        <v>27</v>
      </c>
      <c r="J594" s="14" t="s">
        <v>14513</v>
      </c>
      <c r="K594" s="14" t="s">
        <v>14512</v>
      </c>
      <c r="L594" s="14" t="s">
        <v>14511</v>
      </c>
      <c r="M594" s="14" t="s">
        <v>9158</v>
      </c>
      <c r="N594" s="14" t="s">
        <v>9158</v>
      </c>
      <c r="O594" s="14" t="s">
        <v>9158</v>
      </c>
      <c r="P594" s="14" t="s">
        <v>9158</v>
      </c>
      <c r="Q594" s="14" t="s">
        <v>9158</v>
      </c>
      <c r="R594" s="14" t="s">
        <v>174</v>
      </c>
    </row>
    <row r="595" spans="1:18">
      <c r="A595" s="14">
        <v>88453</v>
      </c>
      <c r="B595" s="14" t="s">
        <v>15</v>
      </c>
      <c r="C595" s="14" t="s">
        <v>14516</v>
      </c>
      <c r="D595" s="14" t="s">
        <v>14509</v>
      </c>
      <c r="E595" s="15" t="str">
        <f>HYPERLINK("https://stat100.ameba.jp/tnk47/ratio20/illustrations/card/ill_88453_puroresufudomyoo03.jpg?202009-5-RELEASE-marathon-491xx", "■")</f>
        <v>■</v>
      </c>
      <c r="F595" s="14" t="s">
        <v>14510</v>
      </c>
      <c r="G595" s="14">
        <v>102529</v>
      </c>
      <c r="H595" s="14">
        <v>74253</v>
      </c>
      <c r="I595" s="14">
        <v>27</v>
      </c>
      <c r="J595" s="14" t="s">
        <v>14513</v>
      </c>
      <c r="K595" s="14" t="s">
        <v>14512</v>
      </c>
      <c r="L595" s="14" t="s">
        <v>14514</v>
      </c>
      <c r="M595" s="14" t="s">
        <v>9158</v>
      </c>
      <c r="N595" s="14" t="s">
        <v>9158</v>
      </c>
      <c r="O595" s="14" t="s">
        <v>9158</v>
      </c>
      <c r="P595" s="14" t="s">
        <v>9158</v>
      </c>
      <c r="Q595" s="14" t="s">
        <v>9158</v>
      </c>
      <c r="R595" s="14" t="s">
        <v>175</v>
      </c>
    </row>
    <row r="596" spans="1:18">
      <c r="A596" s="14">
        <v>88451</v>
      </c>
      <c r="B596" s="14" t="s">
        <v>15</v>
      </c>
      <c r="C596" s="14" t="s">
        <v>14516</v>
      </c>
      <c r="D596" s="14" t="s">
        <v>14509</v>
      </c>
      <c r="E596" s="15" t="str">
        <f>HYPERLINK("https://stat100.ameba.jp/tnk47/ratio20/illustrations/card/ill_88451_puroresufudomyoo01.jpg?202009-5-RELEASE-marathon-491xx", "■")</f>
        <v>■</v>
      </c>
      <c r="F596" s="14" t="s">
        <v>14510</v>
      </c>
      <c r="G596" s="14">
        <v>65232</v>
      </c>
      <c r="H596" s="14">
        <v>47223</v>
      </c>
      <c r="I596" s="7">
        <v>27</v>
      </c>
      <c r="J596" s="14" t="s">
        <v>14513</v>
      </c>
      <c r="K596" s="14" t="s">
        <v>14512</v>
      </c>
      <c r="L596" s="14" t="s">
        <v>14515</v>
      </c>
      <c r="M596" s="14" t="s">
        <v>9158</v>
      </c>
      <c r="N596" s="14" t="s">
        <v>9158</v>
      </c>
      <c r="O596" s="14" t="s">
        <v>9158</v>
      </c>
      <c r="P596" s="14" t="s">
        <v>9158</v>
      </c>
      <c r="Q596" s="14" t="s">
        <v>9158</v>
      </c>
      <c r="R596" s="14" t="s">
        <v>176</v>
      </c>
    </row>
    <row r="597" spans="1:18">
      <c r="A597" s="14">
        <v>86995</v>
      </c>
      <c r="B597" s="14" t="s">
        <v>0</v>
      </c>
      <c r="C597" s="14" t="s">
        <v>202</v>
      </c>
      <c r="D597" s="14" t="s">
        <v>14522</v>
      </c>
      <c r="E597" s="15" t="str">
        <f>HYPERLINK("https://stat100.ameba.jp/tnk47/ratio20/illustrations/card/ill_86995_yai05.jpg?202009-5-RELEASE-marathon-491xx", "■")</f>
        <v>■</v>
      </c>
      <c r="F597" s="14" t="s">
        <v>14521</v>
      </c>
      <c r="G597" s="14">
        <v>126936</v>
      </c>
      <c r="H597" s="14">
        <v>91905</v>
      </c>
      <c r="I597" s="14">
        <v>27</v>
      </c>
      <c r="J597" s="14" t="s">
        <v>14520</v>
      </c>
      <c r="K597" s="14" t="s">
        <v>14519</v>
      </c>
      <c r="L597" s="14" t="s">
        <v>14518</v>
      </c>
      <c r="M597" s="14" t="s">
        <v>9158</v>
      </c>
      <c r="N597" s="14" t="s">
        <v>9158</v>
      </c>
      <c r="O597" s="14" t="s">
        <v>9158</v>
      </c>
      <c r="P597" s="14" t="s">
        <v>9158</v>
      </c>
      <c r="Q597" s="14" t="s">
        <v>9158</v>
      </c>
      <c r="R597" s="14" t="s">
        <v>174</v>
      </c>
    </row>
    <row r="598" spans="1:18">
      <c r="A598" s="14">
        <v>86993</v>
      </c>
      <c r="B598" s="14" t="s">
        <v>15</v>
      </c>
      <c r="C598" s="14" t="s">
        <v>14517</v>
      </c>
      <c r="D598" s="14" t="s">
        <v>14522</v>
      </c>
      <c r="E598" s="15" t="str">
        <f>HYPERLINK("https://stat100.ameba.jp/tnk47/ratio20/illustrations/card/ill_86993_yai03.jpg?202009-5-RELEASE-marathon-491xx", "■")</f>
        <v>■</v>
      </c>
      <c r="F598" s="14" t="s">
        <v>14521</v>
      </c>
      <c r="G598" s="14">
        <v>93515</v>
      </c>
      <c r="H598" s="14">
        <v>67709</v>
      </c>
      <c r="I598" s="7">
        <v>27</v>
      </c>
      <c r="J598" s="14" t="s">
        <v>14520</v>
      </c>
      <c r="K598" s="14" t="s">
        <v>14519</v>
      </c>
      <c r="L598" s="14" t="s">
        <v>14523</v>
      </c>
      <c r="M598" s="14" t="s">
        <v>9158</v>
      </c>
      <c r="N598" s="14" t="s">
        <v>9158</v>
      </c>
      <c r="O598" s="14" t="s">
        <v>9158</v>
      </c>
      <c r="P598" s="14" t="s">
        <v>9158</v>
      </c>
      <c r="Q598" s="14" t="s">
        <v>9158</v>
      </c>
      <c r="R598" s="14" t="s">
        <v>175</v>
      </c>
    </row>
    <row r="599" spans="1:18">
      <c r="A599" s="14">
        <v>86991</v>
      </c>
      <c r="B599" s="14" t="s">
        <v>15</v>
      </c>
      <c r="C599" s="14" t="s">
        <v>14517</v>
      </c>
      <c r="D599" s="14" t="s">
        <v>14522</v>
      </c>
      <c r="E599" s="15" t="str">
        <f>HYPERLINK("https://stat100.ameba.jp/tnk47/ratio20/illustrations/card/ill_86991_yai01.jpg?202009-5-RELEASE-marathon-491xx", "■")</f>
        <v>■</v>
      </c>
      <c r="F599" s="14" t="s">
        <v>14521</v>
      </c>
      <c r="G599" s="14">
        <v>59481</v>
      </c>
      <c r="H599" s="14">
        <v>43065</v>
      </c>
      <c r="I599" s="14">
        <v>27</v>
      </c>
      <c r="J599" s="14" t="s">
        <v>14520</v>
      </c>
      <c r="K599" s="14" t="s">
        <v>14519</v>
      </c>
      <c r="L599" s="14" t="s">
        <v>14524</v>
      </c>
      <c r="M599" s="14" t="s">
        <v>9158</v>
      </c>
      <c r="N599" s="14" t="s">
        <v>9158</v>
      </c>
      <c r="O599" s="14" t="s">
        <v>9158</v>
      </c>
      <c r="P599" s="14" t="s">
        <v>9158</v>
      </c>
      <c r="Q599" s="14" t="s">
        <v>9158</v>
      </c>
      <c r="R599" s="14" t="s">
        <v>176</v>
      </c>
    </row>
    <row r="600" spans="1:18">
      <c r="A600" s="14">
        <v>87005</v>
      </c>
      <c r="B600" s="14" t="s">
        <v>0</v>
      </c>
      <c r="C600" s="14" t="s">
        <v>202</v>
      </c>
      <c r="D600" s="14" t="s">
        <v>14529</v>
      </c>
      <c r="E600" s="15" t="str">
        <f>HYPERLINK("https://stat100.ameba.jp/tnk47/ratio20/illustrations/card/ill_87005_okashinokunigureteru05.jpg?202009-5-RELEASE-marathon-491xx", "■")</f>
        <v>■</v>
      </c>
      <c r="F600" s="14" t="s">
        <v>14528</v>
      </c>
      <c r="G600" s="14">
        <v>98074</v>
      </c>
      <c r="H600" s="14">
        <v>135426</v>
      </c>
      <c r="I600" s="7">
        <v>27</v>
      </c>
      <c r="J600" s="14" t="s">
        <v>14527</v>
      </c>
      <c r="K600" s="14" t="s">
        <v>14526</v>
      </c>
      <c r="L600" s="14" t="s">
        <v>14525</v>
      </c>
      <c r="M600" s="14" t="s">
        <v>9158</v>
      </c>
      <c r="N600" s="14" t="s">
        <v>9158</v>
      </c>
      <c r="O600" s="14" t="s">
        <v>9158</v>
      </c>
      <c r="P600" s="14" t="s">
        <v>9158</v>
      </c>
      <c r="Q600" s="14" t="s">
        <v>9158</v>
      </c>
      <c r="R600" s="14" t="s">
        <v>174</v>
      </c>
    </row>
    <row r="601" spans="1:18">
      <c r="A601" s="14">
        <v>87003</v>
      </c>
      <c r="B601" s="14" t="s">
        <v>15</v>
      </c>
      <c r="C601" s="14" t="s">
        <v>14516</v>
      </c>
      <c r="D601" s="14" t="s">
        <v>14529</v>
      </c>
      <c r="E601" s="15" t="str">
        <f>HYPERLINK("https://stat100.ameba.jp/tnk47/ratio20/illustrations/card/ill_87003_okashinokunigureteru03.jpg?202009-5-RELEASE-marathon-491xx", "■")</f>
        <v>■</v>
      </c>
      <c r="F601" s="14" t="s">
        <v>14528</v>
      </c>
      <c r="G601" s="14">
        <v>72247</v>
      </c>
      <c r="H601" s="14">
        <v>99797</v>
      </c>
      <c r="I601" s="14">
        <v>27</v>
      </c>
      <c r="J601" s="14" t="s">
        <v>14527</v>
      </c>
      <c r="K601" s="14" t="s">
        <v>14526</v>
      </c>
      <c r="L601" s="14" t="s">
        <v>14530</v>
      </c>
      <c r="M601" s="14" t="s">
        <v>9158</v>
      </c>
      <c r="N601" s="14" t="s">
        <v>9158</v>
      </c>
      <c r="O601" s="14" t="s">
        <v>9158</v>
      </c>
      <c r="P601" s="14" t="s">
        <v>9158</v>
      </c>
      <c r="Q601" s="14" t="s">
        <v>9158</v>
      </c>
      <c r="R601" s="14" t="s">
        <v>175</v>
      </c>
    </row>
    <row r="602" spans="1:18">
      <c r="A602" s="14">
        <v>87001</v>
      </c>
      <c r="B602" s="14" t="s">
        <v>15</v>
      </c>
      <c r="C602" s="14" t="s">
        <v>14516</v>
      </c>
      <c r="D602" s="14" t="s">
        <v>14529</v>
      </c>
      <c r="E602" s="15" t="str">
        <f>HYPERLINK("https://stat100.ameba.jp/tnk47/ratio20/illustrations/card/ill_87001_okashinokunigureteru01.jpg?202009-5-RELEASE-marathon-491xx", "■")</f>
        <v>■</v>
      </c>
      <c r="F602" s="14" t="s">
        <v>14528</v>
      </c>
      <c r="G602" s="14">
        <v>45954</v>
      </c>
      <c r="H602" s="14">
        <v>63477</v>
      </c>
      <c r="I602" s="7">
        <v>27</v>
      </c>
      <c r="J602" s="14" t="s">
        <v>14527</v>
      </c>
      <c r="K602" s="14" t="s">
        <v>14526</v>
      </c>
      <c r="L602" s="14" t="s">
        <v>14531</v>
      </c>
      <c r="M602" s="14" t="s">
        <v>9158</v>
      </c>
      <c r="N602" s="14" t="s">
        <v>9158</v>
      </c>
      <c r="O602" s="14" t="s">
        <v>9158</v>
      </c>
      <c r="P602" s="14" t="s">
        <v>9158</v>
      </c>
      <c r="Q602" s="14" t="s">
        <v>9158</v>
      </c>
      <c r="R602" s="14" t="s">
        <v>176</v>
      </c>
    </row>
  </sheetData>
  <phoneticPr fontId="1"/>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9226A-56DA-4F34-9297-04B5C70958A3}">
  <dimension ref="A1:S529"/>
  <sheetViews>
    <sheetView zoomScale="55" zoomScaleNormal="55" workbookViewId="0">
      <pane ySplit="1" topLeftCell="A370" activePane="bottomLeft" state="frozen"/>
      <selection activeCell="Q158" sqref="A158:Q158"/>
      <selection pane="bottomLeft" activeCell="D376" sqref="D376"/>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14579</v>
      </c>
    </row>
    <row r="4" spans="1:19">
      <c r="A4" s="14" t="s">
        <v>14506</v>
      </c>
    </row>
    <row r="5" spans="1:19">
      <c r="A5" s="14" t="s">
        <v>14507</v>
      </c>
    </row>
    <row r="6" spans="1:19">
      <c r="A6" s="14" t="s">
        <v>14533</v>
      </c>
      <c r="B6" s="7" t="s">
        <v>52</v>
      </c>
      <c r="C6" s="14" t="s">
        <v>202</v>
      </c>
      <c r="D6" s="18" t="s">
        <v>14532</v>
      </c>
      <c r="E6" s="15" t="str">
        <f>HYPERLINK("https://stat100.ameba.jp/tnk47/ratio20/illustrations/card/ill_91703_0_ninjashugyohanakosan03.jpg?202009-5-RELEASE-marathon-491xx", "■")</f>
        <v>■</v>
      </c>
      <c r="F6" s="14" t="s">
        <v>14534</v>
      </c>
      <c r="G6" s="14">
        <v>334666</v>
      </c>
      <c r="H6" s="14">
        <v>370290</v>
      </c>
      <c r="I6" s="7">
        <v>32</v>
      </c>
      <c r="J6" s="14" t="s">
        <v>14537</v>
      </c>
      <c r="K6" s="14" t="s">
        <v>14536</v>
      </c>
      <c r="L6" s="14" t="s">
        <v>14535</v>
      </c>
      <c r="M6" s="14" t="s">
        <v>9158</v>
      </c>
      <c r="N6" s="14" t="s">
        <v>9158</v>
      </c>
      <c r="O6" s="6" t="s">
        <v>14539</v>
      </c>
      <c r="P6" s="7" t="s">
        <v>14538</v>
      </c>
      <c r="Q6" s="7">
        <v>1</v>
      </c>
    </row>
    <row r="7" spans="1:19">
      <c r="A7" s="14">
        <v>91653</v>
      </c>
      <c r="B7" s="14" t="s">
        <v>0</v>
      </c>
      <c r="C7" s="14" t="s">
        <v>14545</v>
      </c>
      <c r="D7" s="18" t="s">
        <v>14544</v>
      </c>
      <c r="E7" s="15" t="str">
        <f>HYPERLINK("https://stat100.ameba.jp/tnk47/ratio20/illustrations/card/ill_91653_ninjashugyosunakakemusume03.jpg?202009-5-RELEASE-marathon-491xx", "■")</f>
        <v>■</v>
      </c>
      <c r="F7" s="14" t="s">
        <v>14543</v>
      </c>
      <c r="G7" s="14">
        <v>109370</v>
      </c>
      <c r="H7" s="14">
        <v>101650</v>
      </c>
      <c r="I7" s="14">
        <v>28</v>
      </c>
      <c r="J7" s="14" t="s">
        <v>14542</v>
      </c>
      <c r="K7" s="14" t="s">
        <v>14541</v>
      </c>
      <c r="L7" s="14" t="s">
        <v>14540</v>
      </c>
      <c r="M7" s="14" t="s">
        <v>9158</v>
      </c>
      <c r="N7" s="14" t="s">
        <v>9158</v>
      </c>
      <c r="O7" s="6" t="s">
        <v>10054</v>
      </c>
      <c r="P7" s="7" t="s">
        <v>3672</v>
      </c>
      <c r="Q7" s="7">
        <v>1</v>
      </c>
    </row>
    <row r="8" spans="1:19">
      <c r="A8" s="14">
        <v>91643</v>
      </c>
      <c r="B8" s="14" t="s">
        <v>0</v>
      </c>
      <c r="C8" s="14" t="s">
        <v>14550</v>
      </c>
      <c r="D8" s="18" t="s">
        <v>14551</v>
      </c>
      <c r="E8" s="15" t="str">
        <f>HYPERLINK("https://stat100.ameba.jp/tnk47/ratio20/illustrations/card/ill_91643_ninjashugyochukamanchan03.jpg?202009-5-RELEASE-marathon-491xx", "■")</f>
        <v>■</v>
      </c>
      <c r="F8" s="14" t="s">
        <v>14549</v>
      </c>
      <c r="G8" s="14">
        <v>122960</v>
      </c>
      <c r="H8" s="14">
        <v>132230</v>
      </c>
      <c r="I8" s="14">
        <v>28</v>
      </c>
      <c r="J8" s="14" t="s">
        <v>14548</v>
      </c>
      <c r="K8" s="14" t="s">
        <v>14547</v>
      </c>
      <c r="L8" s="14" t="s">
        <v>14546</v>
      </c>
      <c r="M8" s="14" t="s">
        <v>2138</v>
      </c>
      <c r="N8" s="14" t="s">
        <v>2139</v>
      </c>
      <c r="O8" s="14" t="s">
        <v>9158</v>
      </c>
      <c r="P8" s="14" t="s">
        <v>9158</v>
      </c>
      <c r="Q8" s="14" t="s">
        <v>9158</v>
      </c>
      <c r="R8" s="14" t="s">
        <v>13120</v>
      </c>
    </row>
    <row r="9" spans="1:19">
      <c r="A9" s="14">
        <v>91663</v>
      </c>
      <c r="B9" s="14" t="s">
        <v>0</v>
      </c>
      <c r="C9" s="14" t="s">
        <v>14556</v>
      </c>
      <c r="D9" s="18" t="s">
        <v>14555</v>
      </c>
      <c r="E9" s="15" t="str">
        <f>HYPERLINK("https://stat100.ameba.jp/tnk47/ratio20/illustrations/card/ill_91663_ninjashugyochochofujin03.jpg?202009-5-RELEASE-marathon-491xx", "■")</f>
        <v>■</v>
      </c>
      <c r="F9" s="14" t="s">
        <v>14554</v>
      </c>
      <c r="G9" s="14">
        <v>101650</v>
      </c>
      <c r="H9" s="14">
        <v>109370</v>
      </c>
      <c r="I9" s="14">
        <v>28</v>
      </c>
      <c r="J9" s="14" t="s">
        <v>14527</v>
      </c>
      <c r="K9" s="14" t="s">
        <v>14553</v>
      </c>
      <c r="L9" s="14" t="s">
        <v>14552</v>
      </c>
      <c r="M9" s="14" t="s">
        <v>2138</v>
      </c>
      <c r="N9" s="14" t="s">
        <v>2139</v>
      </c>
      <c r="O9" s="14" t="s">
        <v>9158</v>
      </c>
      <c r="P9" s="14" t="s">
        <v>9158</v>
      </c>
      <c r="Q9" s="14" t="s">
        <v>9158</v>
      </c>
      <c r="R9" s="14" t="s">
        <v>13120</v>
      </c>
    </row>
    <row r="10" spans="1:19">
      <c r="A10" s="14">
        <v>91673</v>
      </c>
      <c r="B10" s="14" t="s">
        <v>15</v>
      </c>
      <c r="C10" s="14" t="s">
        <v>14562</v>
      </c>
      <c r="D10" s="18" t="s">
        <v>14561</v>
      </c>
      <c r="E10" s="15" t="str">
        <f>HYPERLINK("https://stat100.ameba.jp/tnk47/ratio20/illustrations/card/ill_91673_shinobimamiyarinzo03.jpg?202009-5-RELEASE-marathon-491xx", "■")</f>
        <v>■</v>
      </c>
      <c r="F10" s="14" t="s">
        <v>14560</v>
      </c>
      <c r="G10" s="14">
        <v>80028</v>
      </c>
      <c r="H10" s="14">
        <v>72586</v>
      </c>
      <c r="I10" s="14">
        <v>27</v>
      </c>
      <c r="J10" s="14" t="s">
        <v>14559</v>
      </c>
      <c r="K10" s="14" t="s">
        <v>14558</v>
      </c>
      <c r="L10" s="14" t="s">
        <v>14557</v>
      </c>
      <c r="M10" s="14" t="s">
        <v>9158</v>
      </c>
      <c r="N10" s="14" t="s">
        <v>9158</v>
      </c>
      <c r="O10" s="14" t="s">
        <v>9158</v>
      </c>
      <c r="P10" s="14" t="s">
        <v>9158</v>
      </c>
      <c r="Q10" s="14" t="s">
        <v>9158</v>
      </c>
    </row>
    <row r="11" spans="1:19">
      <c r="A11" s="14">
        <v>91683</v>
      </c>
      <c r="B11" s="14" t="s">
        <v>15</v>
      </c>
      <c r="C11" s="14" t="s">
        <v>14567</v>
      </c>
      <c r="D11" s="18" t="s">
        <v>14566</v>
      </c>
      <c r="E11" s="15" t="str">
        <f>HYPERLINK("https://stat100.ameba.jp/tnk47/ratio20/illustrations/card/ill_91683_hieinihonrisuchan03.jpg?202009-5-RELEASE-marathon-491xx", "■")</f>
        <v>■</v>
      </c>
      <c r="F11" s="14" t="s">
        <v>14565</v>
      </c>
      <c r="G11" s="14">
        <v>72586</v>
      </c>
      <c r="H11" s="14">
        <v>80028</v>
      </c>
      <c r="I11" s="14">
        <v>27</v>
      </c>
      <c r="J11" s="14" t="s">
        <v>14520</v>
      </c>
      <c r="K11" s="14" t="s">
        <v>14564</v>
      </c>
      <c r="L11" s="14" t="s">
        <v>14563</v>
      </c>
      <c r="M11" s="14" t="s">
        <v>9158</v>
      </c>
      <c r="N11" s="14" t="s">
        <v>9158</v>
      </c>
      <c r="O11" s="14" t="s">
        <v>9158</v>
      </c>
      <c r="P11" s="14" t="s">
        <v>9158</v>
      </c>
      <c r="Q11" s="14" t="s">
        <v>9158</v>
      </c>
    </row>
    <row r="12" spans="1:19">
      <c r="A12" s="14">
        <v>91693</v>
      </c>
      <c r="B12" s="14" t="s">
        <v>15</v>
      </c>
      <c r="C12" s="14" t="s">
        <v>14571</v>
      </c>
      <c r="D12" s="18" t="s">
        <v>14570</v>
      </c>
      <c r="E12" s="15" t="str">
        <f>HYPERLINK("https://stat100.ameba.jp/tnk47/ratio20/illustrations/card/ill_91693_shinobuikenogyokuran03.jpg?202009-5-RELEASE-marathon-491xx", "■")</f>
        <v>■</v>
      </c>
      <c r="F12" s="14" t="s">
        <v>14569</v>
      </c>
      <c r="G12" s="14">
        <v>80028</v>
      </c>
      <c r="H12" s="14">
        <v>72586</v>
      </c>
      <c r="I12" s="14">
        <v>27</v>
      </c>
      <c r="J12" s="14" t="s">
        <v>14559</v>
      </c>
      <c r="K12" s="14" t="s">
        <v>14568</v>
      </c>
      <c r="L12" s="14" t="s">
        <v>14557</v>
      </c>
      <c r="M12" s="14" t="s">
        <v>9158</v>
      </c>
      <c r="N12" s="14" t="s">
        <v>9158</v>
      </c>
      <c r="O12" s="14" t="s">
        <v>9158</v>
      </c>
      <c r="P12" s="14" t="s">
        <v>9158</v>
      </c>
      <c r="Q12" s="14" t="s">
        <v>9158</v>
      </c>
    </row>
    <row r="13" spans="1:19">
      <c r="A13" s="14">
        <v>91713</v>
      </c>
      <c r="B13" s="14" t="s">
        <v>22</v>
      </c>
      <c r="C13" s="14" t="s">
        <v>14550</v>
      </c>
      <c r="D13" s="18" t="s">
        <v>14575</v>
      </c>
      <c r="E13" s="15" t="str">
        <f>HYPERLINK("https://stat100.ameba.jp/tnk47/ratio20/illustrations/card/ill_91713_shinobikatodanzo03.jpg?202009-5-RELEASE-marathon-491xx", "■")</f>
        <v>■</v>
      </c>
      <c r="F13" s="14" t="s">
        <v>14574</v>
      </c>
      <c r="G13" s="14">
        <v>47820</v>
      </c>
      <c r="H13" s="14">
        <v>39762</v>
      </c>
      <c r="I13" s="14">
        <v>23</v>
      </c>
      <c r="J13" s="14" t="s">
        <v>14559</v>
      </c>
      <c r="K13" s="14" t="s">
        <v>14573</v>
      </c>
      <c r="L13" s="14" t="s">
        <v>14572</v>
      </c>
      <c r="M13" s="14" t="s">
        <v>9158</v>
      </c>
      <c r="N13" s="14" t="s">
        <v>9158</v>
      </c>
      <c r="O13" s="14" t="s">
        <v>9158</v>
      </c>
      <c r="P13" s="14" t="s">
        <v>9158</v>
      </c>
      <c r="Q13" s="14" t="s">
        <v>9158</v>
      </c>
    </row>
    <row r="14" spans="1:19">
      <c r="A14" s="14">
        <v>91723</v>
      </c>
      <c r="B14" s="14" t="s">
        <v>22</v>
      </c>
      <c r="C14" s="14" t="s">
        <v>14545</v>
      </c>
      <c r="D14" s="18" t="s">
        <v>14578</v>
      </c>
      <c r="E14" s="15" t="str">
        <f>HYPERLINK("https://stat100.ameba.jp/tnk47/ratio20/illustrations/card/ill_91723_torawarehimekogakunoichi03.jpg?202009-5-RELEASE-marathon-491xx", "■")</f>
        <v>■</v>
      </c>
      <c r="F14" s="14" t="s">
        <v>14577</v>
      </c>
      <c r="G14" s="14">
        <v>39762</v>
      </c>
      <c r="H14" s="14">
        <v>47820</v>
      </c>
      <c r="I14" s="14">
        <v>23</v>
      </c>
      <c r="J14" s="14" t="s">
        <v>14537</v>
      </c>
      <c r="K14" s="14" t="s">
        <v>14576</v>
      </c>
      <c r="L14" s="14" t="s">
        <v>3506</v>
      </c>
      <c r="M14" s="14" t="s">
        <v>9158</v>
      </c>
      <c r="N14" s="14" t="s">
        <v>9158</v>
      </c>
      <c r="O14" s="14" t="s">
        <v>9158</v>
      </c>
      <c r="P14" s="14" t="s">
        <v>9158</v>
      </c>
      <c r="Q14" s="14" t="s">
        <v>9158</v>
      </c>
    </row>
    <row r="15" spans="1:19">
      <c r="A15" s="14">
        <v>92243</v>
      </c>
      <c r="B15" s="14" t="s">
        <v>14580</v>
      </c>
      <c r="C15" s="14" t="s">
        <v>14582</v>
      </c>
      <c r="D15" s="18" t="s">
        <v>14581</v>
      </c>
      <c r="E15" s="15" t="str">
        <f>HYPERLINK("https://stat100.ameba.jp/tnk47/ratio20/illustrations/card/ill_92243_kurokawanouougisai03.jpg?202009-5-RELEASE-marathon-491xx", "■")</f>
        <v>■</v>
      </c>
      <c r="F15" s="14" t="s">
        <v>14585</v>
      </c>
      <c r="G15" s="7" t="s">
        <v>12934</v>
      </c>
      <c r="H15" s="7" t="s">
        <v>12934</v>
      </c>
      <c r="I15" s="14">
        <v>19</v>
      </c>
      <c r="J15" s="14" t="s">
        <v>14520</v>
      </c>
      <c r="K15" s="14" t="s">
        <v>14587</v>
      </c>
      <c r="L15" s="7" t="s">
        <v>12934</v>
      </c>
      <c r="M15" s="14" t="s">
        <v>9158</v>
      </c>
      <c r="N15" s="14" t="s">
        <v>9158</v>
      </c>
      <c r="O15" s="14" t="s">
        <v>9158</v>
      </c>
      <c r="P15" s="14" t="s">
        <v>9158</v>
      </c>
      <c r="Q15" s="14" t="s">
        <v>9158</v>
      </c>
    </row>
    <row r="16" spans="1:19">
      <c r="A16" s="14">
        <v>91733</v>
      </c>
      <c r="B16" s="14" t="s">
        <v>14580</v>
      </c>
      <c r="C16" s="14" t="s">
        <v>14584</v>
      </c>
      <c r="D16" s="18" t="s">
        <v>14583</v>
      </c>
      <c r="E16" s="15" t="str">
        <f>HYPERLINK("https://stat100.ameba.jp/tnk47/ratio20/illustrations/card/ill_91733_otsukimidorobou03.jpg?202009-5-RELEASE-marathon-491xx", "■")</f>
        <v>■</v>
      </c>
      <c r="F16" s="14" t="s">
        <v>14586</v>
      </c>
      <c r="G16" s="7" t="s">
        <v>12934</v>
      </c>
      <c r="H16" s="7" t="s">
        <v>12934</v>
      </c>
      <c r="I16" s="14">
        <v>19</v>
      </c>
      <c r="J16" s="14" t="s">
        <v>14520</v>
      </c>
      <c r="K16" s="7" t="s">
        <v>12934</v>
      </c>
      <c r="L16" s="7" t="s">
        <v>12934</v>
      </c>
      <c r="M16" s="14" t="s">
        <v>9158</v>
      </c>
      <c r="N16" s="14" t="s">
        <v>9158</v>
      </c>
      <c r="O16" s="14" t="s">
        <v>9158</v>
      </c>
      <c r="P16" s="14" t="s">
        <v>9158</v>
      </c>
      <c r="Q16" s="14" t="s">
        <v>9158</v>
      </c>
    </row>
    <row r="17" spans="1:18">
      <c r="D17" s="7"/>
    </row>
    <row r="18" spans="1:18">
      <c r="A18" s="14" t="s">
        <v>14589</v>
      </c>
      <c r="D18" s="7"/>
    </row>
    <row r="19" spans="1:18">
      <c r="A19" s="14" t="s">
        <v>6635</v>
      </c>
      <c r="D19" s="7"/>
    </row>
    <row r="20" spans="1:18">
      <c r="A20" s="14">
        <v>91795</v>
      </c>
      <c r="B20" s="14" t="s">
        <v>0</v>
      </c>
      <c r="C20" s="14" t="s">
        <v>202</v>
      </c>
      <c r="D20" s="18" t="s">
        <v>14594</v>
      </c>
      <c r="E20" s="15" t="str">
        <f>HYPERLINK("https://stat100.ameba.jp/tnk47/ratio20/illustrations/card/ill_91795_porisufugusashichan05.jpg?202009-5-RELEASE-marathon-491xxx", "■")</f>
        <v>■</v>
      </c>
      <c r="F20" s="14" t="s">
        <v>14593</v>
      </c>
      <c r="G20" s="14">
        <v>121038</v>
      </c>
      <c r="H20" s="14">
        <v>167158</v>
      </c>
      <c r="I20" s="14">
        <v>28</v>
      </c>
      <c r="J20" s="14" t="s">
        <v>14592</v>
      </c>
      <c r="K20" s="14" t="s">
        <v>14591</v>
      </c>
      <c r="L20" s="14" t="s">
        <v>14590</v>
      </c>
      <c r="M20" s="14" t="s">
        <v>9158</v>
      </c>
      <c r="N20" s="14" t="s">
        <v>9158</v>
      </c>
      <c r="O20" s="14" t="s">
        <v>9158</v>
      </c>
      <c r="P20" s="14" t="s">
        <v>9158</v>
      </c>
      <c r="Q20" s="14" t="s">
        <v>9158</v>
      </c>
      <c r="R20" s="14" t="s">
        <v>174</v>
      </c>
    </row>
    <row r="21" spans="1:18">
      <c r="A21" s="14">
        <v>91793</v>
      </c>
      <c r="B21" s="14" t="s">
        <v>15</v>
      </c>
      <c r="C21" s="14" t="s">
        <v>14596</v>
      </c>
      <c r="D21" s="18" t="s">
        <v>14594</v>
      </c>
      <c r="E21" s="15" t="str">
        <f>HYPERLINK("https://stat100.ameba.jp/tnk47/ratio20/illustrations/card/ill_91793_porisufugusashichan03.jpg?202009-5-RELEASE-marathon-491xxx", "■")</f>
        <v>■</v>
      </c>
      <c r="F21" s="14" t="s">
        <v>14593</v>
      </c>
      <c r="G21" s="14">
        <v>89174</v>
      </c>
      <c r="H21" s="14">
        <v>123158</v>
      </c>
      <c r="I21" s="14">
        <v>28</v>
      </c>
      <c r="J21" s="14" t="s">
        <v>14592</v>
      </c>
      <c r="K21" s="14" t="s">
        <v>14591</v>
      </c>
      <c r="L21" s="14" t="s">
        <v>14595</v>
      </c>
      <c r="M21" s="14" t="s">
        <v>9158</v>
      </c>
      <c r="N21" s="14" t="s">
        <v>9158</v>
      </c>
      <c r="O21" s="14" t="s">
        <v>9158</v>
      </c>
      <c r="P21" s="14" t="s">
        <v>9158</v>
      </c>
      <c r="Q21" s="14" t="s">
        <v>9158</v>
      </c>
      <c r="R21" s="14" t="s">
        <v>175</v>
      </c>
    </row>
    <row r="22" spans="1:18">
      <c r="A22" s="14">
        <v>91791</v>
      </c>
      <c r="B22" s="14" t="s">
        <v>15</v>
      </c>
      <c r="C22" s="14" t="s">
        <v>14596</v>
      </c>
      <c r="D22" s="18" t="s">
        <v>14594</v>
      </c>
      <c r="E22" s="15" t="str">
        <f>HYPERLINK("https://stat100.ameba.jp/tnk47/ratio20/illustrations/card/ill_91791_porisufugusashichan01.jpg?202009-5-RELEASE-marathon-491xxx", "■")</f>
        <v>■</v>
      </c>
      <c r="F22" s="14" t="s">
        <v>14593</v>
      </c>
      <c r="G22" s="14">
        <v>56728</v>
      </c>
      <c r="H22" s="14">
        <v>78344</v>
      </c>
      <c r="I22" s="14">
        <v>28</v>
      </c>
      <c r="J22" s="14" t="s">
        <v>14592</v>
      </c>
      <c r="K22" s="14" t="s">
        <v>14591</v>
      </c>
      <c r="L22" s="14" t="s">
        <v>14597</v>
      </c>
      <c r="M22" s="14" t="s">
        <v>9158</v>
      </c>
      <c r="N22" s="14" t="s">
        <v>9158</v>
      </c>
      <c r="O22" s="14" t="s">
        <v>9158</v>
      </c>
      <c r="P22" s="14" t="s">
        <v>9158</v>
      </c>
      <c r="Q22" s="14" t="s">
        <v>9158</v>
      </c>
      <c r="R22" s="14" t="s">
        <v>176</v>
      </c>
    </row>
    <row r="24" spans="1:18">
      <c r="A24" s="14" t="s">
        <v>14598</v>
      </c>
    </row>
    <row r="25" spans="1:18">
      <c r="A25" s="14" t="s">
        <v>14599</v>
      </c>
    </row>
    <row r="26" spans="1:18">
      <c r="A26" s="14" t="s">
        <v>5891</v>
      </c>
      <c r="B26" s="14" t="s">
        <v>330</v>
      </c>
      <c r="C26" s="14" t="s">
        <v>202</v>
      </c>
      <c r="D26" s="20" t="s">
        <v>1371</v>
      </c>
      <c r="E26" s="15" t="str">
        <f>HYPERLINK("https://stat100.ameba.jp/tnk47/ratio20/illustrations/card/ill_77173_0_yukemuritomoegozen03.jpg?202009-5-RELEASE-marathon-491xxx", "■")</f>
        <v>■</v>
      </c>
      <c r="F26" s="14" t="s">
        <v>1372</v>
      </c>
      <c r="G26" s="14">
        <v>270658</v>
      </c>
      <c r="H26" s="14">
        <v>299465</v>
      </c>
      <c r="I26" s="14">
        <v>27</v>
      </c>
      <c r="J26" s="14" t="s">
        <v>310</v>
      </c>
      <c r="K26" s="14" t="s">
        <v>1373</v>
      </c>
      <c r="L26" s="14" t="s">
        <v>1374</v>
      </c>
      <c r="M26" s="14" t="s">
        <v>9158</v>
      </c>
      <c r="N26" s="14" t="s">
        <v>9158</v>
      </c>
      <c r="O26" s="19" t="s">
        <v>4067</v>
      </c>
      <c r="P26" s="14" t="s">
        <v>3879</v>
      </c>
      <c r="Q26" s="14">
        <v>2</v>
      </c>
    </row>
    <row r="27" spans="1:18">
      <c r="A27" s="14" t="s">
        <v>5605</v>
      </c>
      <c r="B27" s="14" t="s">
        <v>52</v>
      </c>
      <c r="C27" s="14" t="s">
        <v>202</v>
      </c>
      <c r="D27" s="19" t="s">
        <v>10332</v>
      </c>
      <c r="E27" s="15" t="str">
        <f>HYPERLINK("https://stat100.ameba.jp/tnk47/ratio20/illustrations/card/ill_79373_0_hommeichokotennyohime03.jpg?202009-5-RELEASE-marathon-491xxx", "■")</f>
        <v>■</v>
      </c>
      <c r="F27" s="14" t="s">
        <v>3495</v>
      </c>
      <c r="G27" s="14">
        <v>333862</v>
      </c>
      <c r="H27" s="14">
        <v>301759</v>
      </c>
      <c r="I27" s="14">
        <v>27</v>
      </c>
      <c r="J27" s="14" t="s">
        <v>104</v>
      </c>
      <c r="K27" s="14" t="s">
        <v>3496</v>
      </c>
      <c r="L27" s="14" t="s">
        <v>3497</v>
      </c>
      <c r="M27" s="14" t="s">
        <v>9158</v>
      </c>
      <c r="N27" s="14" t="s">
        <v>9158</v>
      </c>
      <c r="O27" s="19" t="s">
        <v>10072</v>
      </c>
      <c r="P27" s="14" t="s">
        <v>3498</v>
      </c>
      <c r="Q27" s="14">
        <v>1</v>
      </c>
    </row>
    <row r="28" spans="1:18">
      <c r="A28" s="7" t="s">
        <v>8839</v>
      </c>
      <c r="B28" s="7" t="s">
        <v>52</v>
      </c>
      <c r="C28" s="7" t="s">
        <v>202</v>
      </c>
      <c r="D28" s="20" t="s">
        <v>10880</v>
      </c>
      <c r="E28" s="15" t="str">
        <f>HYPERLINK("https://stat100.ameba.jp/tnk47/ratio20/illustrations/card/ill_86273_0_oshogatsuniijimayae03.jpg?202009-5-RELEASE-marathon-491xxx", "■")</f>
        <v>■</v>
      </c>
      <c r="F28" s="7" t="s">
        <v>8838</v>
      </c>
      <c r="G28" s="7">
        <v>296321</v>
      </c>
      <c r="H28" s="7">
        <v>327865</v>
      </c>
      <c r="I28" s="7">
        <v>27</v>
      </c>
      <c r="J28" s="14" t="s">
        <v>173</v>
      </c>
      <c r="K28" s="7" t="s">
        <v>8837</v>
      </c>
      <c r="L28" s="7" t="s">
        <v>13211</v>
      </c>
      <c r="M28" s="14" t="s">
        <v>9158</v>
      </c>
      <c r="N28" s="14" t="s">
        <v>9158</v>
      </c>
      <c r="O28" s="19" t="s">
        <v>10134</v>
      </c>
      <c r="P28" s="7" t="s">
        <v>8870</v>
      </c>
      <c r="Q28" s="7">
        <v>1</v>
      </c>
    </row>
    <row r="29" spans="1:18">
      <c r="A29" s="14" t="s">
        <v>7150</v>
      </c>
      <c r="B29" s="14" t="s">
        <v>52</v>
      </c>
      <c r="C29" s="14" t="s">
        <v>202</v>
      </c>
      <c r="D29" s="20" t="s">
        <v>10656</v>
      </c>
      <c r="E29" s="15" t="str">
        <f>HYPERLINK("https://stat100.ameba.jp/tnk47/ratio20/illustrations/card/ill_84203_0_tarottofujiwaranoshoshi03.jpg?202009-5-RELEASE-marathon-491xxx", "■")</f>
        <v>■</v>
      </c>
      <c r="F29" s="14" t="s">
        <v>7153</v>
      </c>
      <c r="G29" s="14">
        <v>397406</v>
      </c>
      <c r="H29" s="14">
        <v>359198</v>
      </c>
      <c r="I29" s="14">
        <v>27</v>
      </c>
      <c r="J29" s="14" t="s">
        <v>10</v>
      </c>
      <c r="K29" s="14" t="s">
        <v>7152</v>
      </c>
      <c r="L29" s="14" t="s">
        <v>7151</v>
      </c>
      <c r="M29" s="14" t="s">
        <v>9158</v>
      </c>
      <c r="N29" s="14" t="s">
        <v>9158</v>
      </c>
      <c r="O29" s="19" t="s">
        <v>10128</v>
      </c>
      <c r="P29" s="14" t="s">
        <v>7154</v>
      </c>
      <c r="Q29" s="14">
        <v>1</v>
      </c>
    </row>
    <row r="30" spans="1:18">
      <c r="A30" s="9" t="s">
        <v>9891</v>
      </c>
      <c r="B30" s="7" t="s">
        <v>52</v>
      </c>
      <c r="C30" s="9" t="s">
        <v>202</v>
      </c>
      <c r="D30" s="6" t="s">
        <v>9978</v>
      </c>
      <c r="E30" s="15" t="str">
        <f>HYPERLINK("https://stat100.ameba.jp/tnk47/ratio20/illustrations/card/ill_87643_0_oendanotohime03.jpg?202009-5-RELEASE-marathon-491xxx", "■")</f>
        <v>■</v>
      </c>
      <c r="F30" s="14" t="s">
        <v>9928</v>
      </c>
      <c r="G30" s="9">
        <v>281156</v>
      </c>
      <c r="H30" s="9">
        <v>343608</v>
      </c>
      <c r="I30" s="7">
        <v>27</v>
      </c>
      <c r="J30" s="9" t="s">
        <v>155</v>
      </c>
      <c r="K30" s="14" t="s">
        <v>9932</v>
      </c>
      <c r="L30" s="14" t="s">
        <v>9933</v>
      </c>
      <c r="M30" s="14" t="s">
        <v>9158</v>
      </c>
      <c r="N30" s="14" t="s">
        <v>9158</v>
      </c>
      <c r="O30" s="6" t="s">
        <v>9989</v>
      </c>
      <c r="P30" s="7" t="s">
        <v>9944</v>
      </c>
      <c r="Q30" s="7">
        <v>1</v>
      </c>
    </row>
    <row r="31" spans="1:18">
      <c r="A31" s="9">
        <v>86323</v>
      </c>
      <c r="B31" s="9" t="s">
        <v>0</v>
      </c>
      <c r="C31" s="9" t="s">
        <v>185</v>
      </c>
      <c r="D31" s="20" t="s">
        <v>10895</v>
      </c>
      <c r="E31" s="15" t="str">
        <f>HYPERLINK("https://stat100.ameba.jp/tnk47/ratio20/illustrations/card/ill_86323_hagoitataisemmatsukawahime03.jpg?202009-5-RELEASE-marathon-491xxx", "■")</f>
        <v>■</v>
      </c>
      <c r="F31" s="9" t="s">
        <v>8909</v>
      </c>
      <c r="G31" s="14">
        <v>160507</v>
      </c>
      <c r="H31" s="14">
        <v>149240</v>
      </c>
      <c r="I31" s="7">
        <v>27</v>
      </c>
      <c r="J31" s="14" t="s">
        <v>73</v>
      </c>
      <c r="K31" s="9" t="s">
        <v>8908</v>
      </c>
      <c r="L31" s="9" t="s">
        <v>5251</v>
      </c>
      <c r="M31" s="14" t="s">
        <v>9158</v>
      </c>
      <c r="N31" s="14" t="s">
        <v>9158</v>
      </c>
      <c r="O31" s="14" t="s">
        <v>9158</v>
      </c>
      <c r="P31" s="14" t="s">
        <v>9158</v>
      </c>
      <c r="Q31" s="14" t="s">
        <v>9158</v>
      </c>
    </row>
    <row r="32" spans="1:18">
      <c r="A32" s="14">
        <v>88413</v>
      </c>
      <c r="B32" s="14" t="s">
        <v>0</v>
      </c>
      <c r="C32" s="14" t="s">
        <v>200</v>
      </c>
      <c r="D32" s="14" t="s">
        <v>12065</v>
      </c>
      <c r="E32" s="15" t="str">
        <f>HYPERLINK("https://stat100.ameba.jp/tnk47/ratio20/illustrations/card/ill_88413_puroresugo03.jpg?202009-5-RELEASE-marathon-491xxx", "■")</f>
        <v>■</v>
      </c>
      <c r="F32" s="14" t="s">
        <v>12083</v>
      </c>
      <c r="G32" s="9">
        <v>105465</v>
      </c>
      <c r="H32" s="9">
        <v>98019</v>
      </c>
      <c r="I32" s="7">
        <v>27</v>
      </c>
      <c r="J32" s="14" t="s">
        <v>187</v>
      </c>
      <c r="K32" s="14" t="s">
        <v>12082</v>
      </c>
      <c r="L32" s="14" t="s">
        <v>12081</v>
      </c>
      <c r="M32" s="14" t="s">
        <v>9158</v>
      </c>
      <c r="N32" s="14" t="s">
        <v>9158</v>
      </c>
      <c r="O32" s="14" t="s">
        <v>9158</v>
      </c>
      <c r="P32" s="14" t="s">
        <v>9158</v>
      </c>
      <c r="Q32" s="14" t="s">
        <v>9158</v>
      </c>
    </row>
    <row r="33" spans="1:17">
      <c r="A33" s="9">
        <v>86673</v>
      </c>
      <c r="B33" s="9" t="s">
        <v>0</v>
      </c>
      <c r="C33" s="9" t="s">
        <v>191</v>
      </c>
      <c r="D33" s="20" t="s">
        <v>10940</v>
      </c>
      <c r="E33" s="15" t="str">
        <f>HYPERLINK("https://stat100.ameba.jp/tnk47/ratio20/illustrations/card/ill_86673_shogatsunisenjunanayamakawatomiko03.jpg?202009-5-RELEASE-marathon-491xxx", "■")</f>
        <v>■</v>
      </c>
      <c r="F33" s="9" t="s">
        <v>9261</v>
      </c>
      <c r="G33" s="9">
        <v>105465</v>
      </c>
      <c r="H33" s="9">
        <v>98019</v>
      </c>
      <c r="I33" s="7">
        <v>27</v>
      </c>
      <c r="J33" s="9" t="s">
        <v>173</v>
      </c>
      <c r="K33" s="9" t="s">
        <v>9260</v>
      </c>
      <c r="L33" s="9" t="s">
        <v>6763</v>
      </c>
      <c r="M33" s="14" t="s">
        <v>9158</v>
      </c>
      <c r="N33" s="14" t="s">
        <v>9158</v>
      </c>
      <c r="O33" s="14" t="s">
        <v>9158</v>
      </c>
      <c r="P33" s="14" t="s">
        <v>9158</v>
      </c>
      <c r="Q33" s="14" t="s">
        <v>9158</v>
      </c>
    </row>
    <row r="34" spans="1:17">
      <c r="A34" s="9">
        <v>86523</v>
      </c>
      <c r="B34" s="9" t="s">
        <v>0</v>
      </c>
      <c r="C34" s="9" t="s">
        <v>165</v>
      </c>
      <c r="D34" s="20" t="s">
        <v>10912</v>
      </c>
      <c r="E34" s="15" t="str">
        <f>HYPERLINK("https://stat100.ameba.jp/tnk47/ratio20/illustrations/card/ill_86523_supahirosaimeitenno03.jpg?202009-5-RELEASE-marathon-491xxx", "■")</f>
        <v>■</v>
      </c>
      <c r="F34" s="9" t="s">
        <v>9020</v>
      </c>
      <c r="G34" s="9">
        <v>105465</v>
      </c>
      <c r="H34" s="9">
        <v>98019</v>
      </c>
      <c r="I34" s="14">
        <v>27</v>
      </c>
      <c r="J34" s="9" t="s">
        <v>173</v>
      </c>
      <c r="K34" s="9" t="s">
        <v>9019</v>
      </c>
      <c r="L34" s="9" t="s">
        <v>6763</v>
      </c>
      <c r="M34" s="14" t="s">
        <v>9158</v>
      </c>
      <c r="N34" s="14" t="s">
        <v>9158</v>
      </c>
      <c r="O34" s="14" t="s">
        <v>9158</v>
      </c>
      <c r="P34" s="14" t="s">
        <v>9158</v>
      </c>
      <c r="Q34" s="14" t="s">
        <v>9158</v>
      </c>
    </row>
    <row r="35" spans="1:17">
      <c r="A35" s="9">
        <v>87163</v>
      </c>
      <c r="B35" s="9" t="s">
        <v>0</v>
      </c>
      <c r="C35" s="9" t="s">
        <v>205</v>
      </c>
      <c r="D35" s="19" t="s">
        <v>10974</v>
      </c>
      <c r="E35" s="15" t="str">
        <f>HYPERLINK("https://stat100.ameba.jp/tnk47/ratio20/illustrations/card/ill_87163_minazukikongoryunotsubone03.jpg?202009-5-RELEASE-marathon-491xxx", "■")</f>
        <v>■</v>
      </c>
      <c r="F35" s="9" t="s">
        <v>9546</v>
      </c>
      <c r="G35" s="9">
        <v>105465</v>
      </c>
      <c r="H35" s="9">
        <v>98019</v>
      </c>
      <c r="I35" s="14">
        <v>27</v>
      </c>
      <c r="J35" s="9" t="s">
        <v>187</v>
      </c>
      <c r="K35" s="9" t="s">
        <v>9545</v>
      </c>
      <c r="L35" s="9" t="s">
        <v>76</v>
      </c>
      <c r="M35" s="14" t="s">
        <v>9158</v>
      </c>
      <c r="N35" s="14" t="s">
        <v>9158</v>
      </c>
      <c r="O35" s="14" t="s">
        <v>9158</v>
      </c>
      <c r="P35" s="14" t="s">
        <v>9158</v>
      </c>
      <c r="Q35" s="14" t="s">
        <v>9158</v>
      </c>
    </row>
    <row r="36" spans="1:17">
      <c r="A36" s="9">
        <v>86943</v>
      </c>
      <c r="B36" s="9" t="s">
        <v>0</v>
      </c>
      <c r="C36" s="9" t="s">
        <v>206</v>
      </c>
      <c r="D36" s="19" t="s">
        <v>10958</v>
      </c>
      <c r="E36" s="15" t="str">
        <f>HYPERLINK("https://stat100.ameba.jp/tnk47/ratio20/illustrations/card/ill_86943_setsubunhaniyasu03.jpg?202009-5-RELEASE-marathon-491xxx", "■")</f>
        <v>■</v>
      </c>
      <c r="F36" s="9" t="s">
        <v>9355</v>
      </c>
      <c r="G36" s="14">
        <v>110129</v>
      </c>
      <c r="H36" s="14">
        <v>102386</v>
      </c>
      <c r="I36" s="14">
        <v>27</v>
      </c>
      <c r="J36" s="9" t="s">
        <v>169</v>
      </c>
      <c r="K36" s="9" t="s">
        <v>9354</v>
      </c>
      <c r="L36" s="9" t="s">
        <v>7243</v>
      </c>
      <c r="M36" s="14" t="s">
        <v>9158</v>
      </c>
      <c r="N36" s="14" t="s">
        <v>9158</v>
      </c>
      <c r="O36" s="14" t="s">
        <v>9158</v>
      </c>
      <c r="P36" s="14" t="s">
        <v>9158</v>
      </c>
      <c r="Q36" s="14" t="s">
        <v>9158</v>
      </c>
    </row>
    <row r="37" spans="1:17">
      <c r="D37" s="7"/>
    </row>
    <row r="38" spans="1:17">
      <c r="A38" s="14" t="s">
        <v>204</v>
      </c>
      <c r="D38" s="7"/>
    </row>
    <row r="39" spans="1:17">
      <c r="A39" s="14" t="s">
        <v>6637</v>
      </c>
      <c r="D39" s="7"/>
    </row>
    <row r="40" spans="1:17">
      <c r="A40" s="14" t="s">
        <v>5787</v>
      </c>
      <c r="B40" s="14" t="s">
        <v>330</v>
      </c>
      <c r="C40" s="14" t="s">
        <v>270</v>
      </c>
      <c r="D40" s="19" t="s">
        <v>331</v>
      </c>
      <c r="E40" s="15" t="str">
        <f>HYPERLINK("https://stat100.ameba.jp/tnk47/ratio20/illustrations/card/ill_76303_0_haroinkaguya03.jpg?202009-5-RELEASE-marathon-491xxx", "■")</f>
        <v>■</v>
      </c>
      <c r="F40" s="14" t="s">
        <v>332</v>
      </c>
      <c r="G40" s="14">
        <v>261812</v>
      </c>
      <c r="H40" s="14">
        <v>243398</v>
      </c>
      <c r="I40" s="14">
        <v>22</v>
      </c>
      <c r="J40" s="14" t="s">
        <v>274</v>
      </c>
      <c r="K40" s="14" t="s">
        <v>333</v>
      </c>
      <c r="L40" s="14" t="s">
        <v>276</v>
      </c>
      <c r="M40" s="14" t="s">
        <v>9158</v>
      </c>
      <c r="N40" s="14" t="s">
        <v>9158</v>
      </c>
      <c r="O40" s="7" t="s">
        <v>2723</v>
      </c>
      <c r="P40" s="14" t="s">
        <v>2724</v>
      </c>
      <c r="Q40" s="14">
        <v>1</v>
      </c>
    </row>
    <row r="41" spans="1:17">
      <c r="A41" s="14" t="s">
        <v>5822</v>
      </c>
      <c r="B41" s="14" t="s">
        <v>330</v>
      </c>
      <c r="C41" s="14" t="s">
        <v>307</v>
      </c>
      <c r="D41" s="19" t="s">
        <v>306</v>
      </c>
      <c r="E41" s="15" t="str">
        <f>HYPERLINK("https://stat100.ameba.jp/tnk47/ratio20/illustrations/card/ill_71403_0_ohanamisanadayukimura03.jpg?202009-5-RELEASE-marathon-491xxx", "■")</f>
        <v>■</v>
      </c>
      <c r="F41" s="14" t="s">
        <v>309</v>
      </c>
      <c r="G41" s="14">
        <v>205358</v>
      </c>
      <c r="H41" s="14">
        <v>190952</v>
      </c>
      <c r="I41" s="14">
        <v>22</v>
      </c>
      <c r="J41" s="14" t="s">
        <v>310</v>
      </c>
      <c r="K41" s="14" t="s">
        <v>311</v>
      </c>
      <c r="L41" s="14" t="s">
        <v>312</v>
      </c>
      <c r="M41" s="14" t="s">
        <v>9158</v>
      </c>
      <c r="N41" s="14" t="s">
        <v>9158</v>
      </c>
      <c r="O41" s="6" t="s">
        <v>10060</v>
      </c>
      <c r="P41" s="14" t="s">
        <v>3418</v>
      </c>
      <c r="Q41" s="14">
        <v>2</v>
      </c>
    </row>
    <row r="42" spans="1:17">
      <c r="A42" s="14" t="s">
        <v>5604</v>
      </c>
      <c r="B42" s="14" t="s">
        <v>330</v>
      </c>
      <c r="C42" s="14" t="s">
        <v>206</v>
      </c>
      <c r="D42" s="19" t="s">
        <v>614</v>
      </c>
      <c r="E42" s="15" t="str">
        <f>HYPERLINK("https://stat100.ameba.jp/tnk47/ratio20/illustrations/card/ill_47263_0_oukyuuatsuhime03.jpg?202009-5-RELEASE-marathon-491xxx", "■")</f>
        <v>■</v>
      </c>
      <c r="F42" s="14" t="s">
        <v>615</v>
      </c>
      <c r="G42" s="14">
        <v>138212</v>
      </c>
      <c r="H42" s="14">
        <v>122776</v>
      </c>
      <c r="I42" s="14">
        <v>22</v>
      </c>
      <c r="J42" s="14" t="s">
        <v>315</v>
      </c>
      <c r="K42" s="14" t="s">
        <v>616</v>
      </c>
      <c r="L42" s="14" t="s">
        <v>617</v>
      </c>
      <c r="M42" s="14" t="s">
        <v>9158</v>
      </c>
      <c r="N42" s="14" t="s">
        <v>9158</v>
      </c>
      <c r="O42" s="14" t="s">
        <v>9158</v>
      </c>
      <c r="P42" s="14" t="s">
        <v>9158</v>
      </c>
      <c r="Q42" s="14" t="s">
        <v>9158</v>
      </c>
    </row>
    <row r="43" spans="1:17">
      <c r="A43" s="14">
        <v>88693</v>
      </c>
      <c r="B43" s="14" t="s">
        <v>334</v>
      </c>
      <c r="C43" s="14" t="s">
        <v>96</v>
      </c>
      <c r="D43" s="14" t="s">
        <v>12334</v>
      </c>
      <c r="E43" s="15" t="str">
        <f>HYPERLINK("https://stat100.ameba.jp/tnk47/ratio20/illustrations/card/ill_88693_pammatsuribekonepi03.jpg?202009-5-RELEASE-marathon-491xxx", "■")</f>
        <v>■</v>
      </c>
      <c r="F43" s="14" t="s">
        <v>12336</v>
      </c>
      <c r="G43" s="14">
        <v>130214</v>
      </c>
      <c r="H43" s="14">
        <v>73270</v>
      </c>
      <c r="I43" s="14">
        <v>27</v>
      </c>
      <c r="J43" s="14" t="s">
        <v>104</v>
      </c>
      <c r="K43" s="14" t="s">
        <v>12337</v>
      </c>
      <c r="L43" s="14" t="s">
        <v>12339</v>
      </c>
      <c r="M43" s="14" t="s">
        <v>9158</v>
      </c>
      <c r="N43" s="14" t="s">
        <v>9158</v>
      </c>
      <c r="O43" s="14" t="s">
        <v>9158</v>
      </c>
      <c r="P43" s="14" t="s">
        <v>9158</v>
      </c>
      <c r="Q43" s="14" t="s">
        <v>9158</v>
      </c>
    </row>
    <row r="44" spans="1:17">
      <c r="A44" s="14">
        <v>61413</v>
      </c>
      <c r="B44" s="14" t="s">
        <v>334</v>
      </c>
      <c r="C44" s="14" t="s">
        <v>185</v>
      </c>
      <c r="D44" s="14" t="s">
        <v>1417</v>
      </c>
      <c r="E44" s="15" t="str">
        <f>HYPERLINK("https://stat100.ameba.jp/tnk47/ratio20/illustrations/card/ill_61413_toyako03.jpg?202009-5-RELEASE-marathon-491xxx", "■")</f>
        <v>■</v>
      </c>
      <c r="F44" s="14" t="s">
        <v>1418</v>
      </c>
      <c r="G44" s="14">
        <v>128431</v>
      </c>
      <c r="H44" s="14">
        <v>93030</v>
      </c>
      <c r="I44" s="14">
        <v>27</v>
      </c>
      <c r="J44" s="14" t="s">
        <v>369</v>
      </c>
      <c r="K44" s="14" t="s">
        <v>1419</v>
      </c>
      <c r="L44" s="14" t="s">
        <v>1420</v>
      </c>
      <c r="M44" s="14" t="s">
        <v>9158</v>
      </c>
      <c r="N44" s="14" t="s">
        <v>9158</v>
      </c>
      <c r="O44" s="14" t="s">
        <v>9158</v>
      </c>
      <c r="P44" s="14" t="s">
        <v>9158</v>
      </c>
      <c r="Q44" s="14" t="s">
        <v>9158</v>
      </c>
    </row>
    <row r="45" spans="1:17">
      <c r="A45" s="9">
        <v>86473</v>
      </c>
      <c r="B45" s="9" t="s">
        <v>0</v>
      </c>
      <c r="C45" s="9" t="s">
        <v>200</v>
      </c>
      <c r="D45" s="20" t="s">
        <v>10904</v>
      </c>
      <c r="E45" s="15" t="str">
        <f>HYPERLINK("https://stat100.ameba.jp/tnk47/ratio20/illustrations/card/ill_86473_shogatsunisenjunanatokugawahidetada03.jpg?202009-5-RELEASE-marathon-491xxx", "■")</f>
        <v>■</v>
      </c>
      <c r="F45" s="9" t="s">
        <v>8967</v>
      </c>
      <c r="G45" s="9">
        <v>127507</v>
      </c>
      <c r="H45" s="9">
        <v>118568</v>
      </c>
      <c r="I45" s="9">
        <v>27</v>
      </c>
      <c r="J45" s="9" t="s">
        <v>194</v>
      </c>
      <c r="K45" s="9" t="s">
        <v>8963</v>
      </c>
      <c r="L45" s="9" t="s">
        <v>901</v>
      </c>
      <c r="M45" s="14" t="s">
        <v>9158</v>
      </c>
      <c r="N45" s="14" t="s">
        <v>9158</v>
      </c>
      <c r="O45" s="14" t="s">
        <v>9158</v>
      </c>
      <c r="P45" s="14" t="s">
        <v>9158</v>
      </c>
      <c r="Q45" s="14" t="s">
        <v>9158</v>
      </c>
    </row>
    <row r="47" spans="1:17">
      <c r="A47" s="14" t="s">
        <v>14614</v>
      </c>
    </row>
    <row r="48" spans="1:17">
      <c r="A48" s="14" t="s">
        <v>14615</v>
      </c>
    </row>
    <row r="49" spans="1:18">
      <c r="A49" s="14" t="s">
        <v>6905</v>
      </c>
      <c r="B49" s="14" t="s">
        <v>330</v>
      </c>
      <c r="C49" s="14" t="s">
        <v>35</v>
      </c>
      <c r="D49" s="20" t="s">
        <v>10299</v>
      </c>
      <c r="E49" s="15" t="str">
        <f>HYPERLINK("https://stat100.ameba.jp/tnk47/ratio20/illustrations/card/ill_80623_0_ohanamigurampingutominushihime03.jpg?202009-5-RELEASE-marathon-491xxx", "■")</f>
        <v>■</v>
      </c>
      <c r="F49" s="14" t="s">
        <v>4162</v>
      </c>
      <c r="G49" s="14">
        <v>301326</v>
      </c>
      <c r="H49" s="14">
        <v>272366</v>
      </c>
      <c r="I49" s="14">
        <v>25</v>
      </c>
      <c r="J49" s="14" t="s">
        <v>44</v>
      </c>
      <c r="K49" s="14" t="s">
        <v>4163</v>
      </c>
      <c r="L49" s="14" t="s">
        <v>4164</v>
      </c>
      <c r="M49" s="14" t="s">
        <v>9158</v>
      </c>
      <c r="N49" s="14" t="s">
        <v>9158</v>
      </c>
      <c r="O49" s="19" t="s">
        <v>10126</v>
      </c>
      <c r="P49" s="14" t="s">
        <v>4166</v>
      </c>
      <c r="Q49" s="14">
        <v>1</v>
      </c>
    </row>
    <row r="50" spans="1:18">
      <c r="A50" s="7">
        <v>85643</v>
      </c>
      <c r="B50" s="7" t="s">
        <v>0</v>
      </c>
      <c r="C50" s="7" t="s">
        <v>154</v>
      </c>
      <c r="D50" s="20" t="s">
        <v>10828</v>
      </c>
      <c r="E50" s="15" t="str">
        <f>HYPERLINK("https://stat100.ameba.jp/tnk47/ratio20/illustrations/card/ill_85643_hosekisho03.jpg?202009-5-RELEASE-marathon-491xxx", "■")</f>
        <v>■</v>
      </c>
      <c r="F50" s="7" t="s">
        <v>8420</v>
      </c>
      <c r="G50" s="7">
        <v>104890</v>
      </c>
      <c r="H50" s="7">
        <v>75984</v>
      </c>
      <c r="I50" s="14">
        <v>24</v>
      </c>
      <c r="J50" s="7" t="s">
        <v>26</v>
      </c>
      <c r="K50" s="7" t="s">
        <v>8418</v>
      </c>
      <c r="L50" s="7" t="s">
        <v>3260</v>
      </c>
      <c r="M50" s="14" t="s">
        <v>9158</v>
      </c>
      <c r="N50" s="14" t="s">
        <v>9158</v>
      </c>
      <c r="O50" s="19" t="s">
        <v>10091</v>
      </c>
      <c r="P50" s="7" t="s">
        <v>3670</v>
      </c>
      <c r="Q50" s="7">
        <v>1</v>
      </c>
    </row>
    <row r="51" spans="1:18">
      <c r="A51" s="14">
        <v>81903</v>
      </c>
      <c r="B51" s="14" t="s">
        <v>334</v>
      </c>
      <c r="C51" s="14" t="s">
        <v>47</v>
      </c>
      <c r="D51" s="20" t="s">
        <v>10200</v>
      </c>
      <c r="E51" s="15" t="str">
        <f>HYPERLINK("https://stat100.ameba.jp/tnk47/ratio20/illustrations/card/ill_81903_kiryuhimeiren03.jpg?202009-5-RELEASE-marathon-491xxx", "■")</f>
        <v>■</v>
      </c>
      <c r="F51" s="14" t="s">
        <v>4983</v>
      </c>
      <c r="G51" s="14">
        <v>79348</v>
      </c>
      <c r="H51" s="14">
        <v>109554</v>
      </c>
      <c r="I51" s="14">
        <v>24</v>
      </c>
      <c r="J51" s="14" t="s">
        <v>77</v>
      </c>
      <c r="K51" s="14" t="s">
        <v>4985</v>
      </c>
      <c r="L51" s="14" t="s">
        <v>4986</v>
      </c>
      <c r="M51" s="14" t="s">
        <v>9158</v>
      </c>
      <c r="N51" s="14" t="s">
        <v>9158</v>
      </c>
      <c r="O51" s="19" t="s">
        <v>10112</v>
      </c>
      <c r="P51" s="14" t="s">
        <v>13150</v>
      </c>
      <c r="Q51" s="14">
        <v>1</v>
      </c>
    </row>
    <row r="52" spans="1:18">
      <c r="A52" s="14">
        <v>80163</v>
      </c>
      <c r="B52" s="14" t="s">
        <v>334</v>
      </c>
      <c r="C52" s="14" t="s">
        <v>158</v>
      </c>
      <c r="D52" s="20" t="s">
        <v>10391</v>
      </c>
      <c r="E52" s="15" t="str">
        <f>HYPERLINK("https://stat100.ameba.jp/tnk47/ratio20/illustrations/card/ill_80163_kuronosu03.jpg?202009-5-RELEASE-marathon-491xxx", "■")</f>
        <v>■</v>
      </c>
      <c r="F52" s="14" t="s">
        <v>3766</v>
      </c>
      <c r="G52" s="14">
        <v>79348</v>
      </c>
      <c r="H52" s="14">
        <v>109554</v>
      </c>
      <c r="I52" s="14">
        <v>24</v>
      </c>
      <c r="J52" s="14" t="s">
        <v>44</v>
      </c>
      <c r="K52" s="14" t="s">
        <v>3767</v>
      </c>
      <c r="L52" s="14" t="s">
        <v>1209</v>
      </c>
      <c r="M52" s="14" t="s">
        <v>9158</v>
      </c>
      <c r="N52" s="14" t="s">
        <v>9158</v>
      </c>
      <c r="O52" s="19" t="s">
        <v>2752</v>
      </c>
      <c r="P52" s="14" t="s">
        <v>13123</v>
      </c>
      <c r="Q52" s="14">
        <v>1</v>
      </c>
    </row>
    <row r="54" spans="1:18">
      <c r="A54" s="14" t="s">
        <v>13327</v>
      </c>
    </row>
    <row r="55" spans="1:18">
      <c r="A55" s="14" t="s">
        <v>6705</v>
      </c>
    </row>
    <row r="56" spans="1:18">
      <c r="A56" s="14">
        <v>92173</v>
      </c>
      <c r="B56" s="14" t="s">
        <v>0</v>
      </c>
      <c r="C56" s="14" t="s">
        <v>335</v>
      </c>
      <c r="D56" s="14" t="s">
        <v>14616</v>
      </c>
      <c r="E56" s="15" t="str">
        <f>HYPERLINK("https://stat100.ameba.jp/tnk47/ratio20/illustrations/card/ill_92173_atorasu03.jpg?202009-5-RELEASE-marathon-491xxx", "■")</f>
        <v>■</v>
      </c>
      <c r="F56" s="14" t="s">
        <v>14617</v>
      </c>
      <c r="G56" s="14">
        <v>137846</v>
      </c>
      <c r="H56" s="14">
        <v>128160</v>
      </c>
      <c r="I56" s="14">
        <v>28</v>
      </c>
      <c r="J56" s="14" t="s">
        <v>77</v>
      </c>
      <c r="K56" s="14" t="s">
        <v>14619</v>
      </c>
      <c r="L56" s="14" t="s">
        <v>14618</v>
      </c>
      <c r="M56" s="14" t="s">
        <v>2138</v>
      </c>
      <c r="N56" s="14" t="s">
        <v>2139</v>
      </c>
      <c r="O56" s="14" t="s">
        <v>9158</v>
      </c>
      <c r="P56" s="14" t="s">
        <v>9158</v>
      </c>
      <c r="Q56" s="14" t="s">
        <v>9158</v>
      </c>
      <c r="R56" s="14" t="s">
        <v>14748</v>
      </c>
    </row>
    <row r="57" spans="1:18">
      <c r="A57" s="14">
        <v>92172</v>
      </c>
      <c r="B57" s="14" t="s">
        <v>0</v>
      </c>
      <c r="C57" s="14" t="s">
        <v>335</v>
      </c>
      <c r="D57" s="14" t="s">
        <v>14616</v>
      </c>
      <c r="E57" s="15" t="str">
        <f>HYPERLINK("https://stat100.ameba.jp/tnk47/ratio20/illustrations/card/ill_92172_atorasu02.jpg?202009-5-RELEASE-marathon-491xxx", "■")</f>
        <v>■</v>
      </c>
      <c r="F57" s="14" t="s">
        <v>14617</v>
      </c>
      <c r="G57" s="14">
        <v>115230</v>
      </c>
      <c r="H57" s="14">
        <v>106148</v>
      </c>
      <c r="I57" s="14">
        <v>28</v>
      </c>
      <c r="J57" s="14" t="s">
        <v>77</v>
      </c>
      <c r="K57" s="14" t="s">
        <v>14619</v>
      </c>
      <c r="L57" s="14" t="s">
        <v>14618</v>
      </c>
      <c r="M57" s="14" t="s">
        <v>13270</v>
      </c>
      <c r="N57" s="14" t="s">
        <v>13271</v>
      </c>
      <c r="O57" s="14" t="s">
        <v>9158</v>
      </c>
      <c r="P57" s="14" t="s">
        <v>9158</v>
      </c>
      <c r="Q57" s="14" t="s">
        <v>9158</v>
      </c>
      <c r="R57" s="14" t="s">
        <v>14748</v>
      </c>
    </row>
    <row r="58" spans="1:18">
      <c r="A58" s="14">
        <v>92171</v>
      </c>
      <c r="B58" s="14" t="s">
        <v>0</v>
      </c>
      <c r="C58" s="14" t="s">
        <v>335</v>
      </c>
      <c r="D58" s="14" t="s">
        <v>14616</v>
      </c>
      <c r="E58" s="15" t="str">
        <f>HYPERLINK("https://stat100.ameba.jp/tnk47/ratio20/illustrations/card/ill_92171_atorasu01.jpg?202009-5-RELEASE-marathon-491xxx", "■")</f>
        <v>■</v>
      </c>
      <c r="F58" s="14" t="s">
        <v>14617</v>
      </c>
      <c r="G58" s="14">
        <v>87976</v>
      </c>
      <c r="H58" s="14">
        <v>81900</v>
      </c>
      <c r="I58" s="14">
        <v>28</v>
      </c>
      <c r="J58" s="14" t="s">
        <v>77</v>
      </c>
      <c r="K58" s="14" t="s">
        <v>14619</v>
      </c>
      <c r="L58" s="14" t="s">
        <v>14618</v>
      </c>
      <c r="M58" s="14" t="s">
        <v>13270</v>
      </c>
      <c r="N58" s="14" t="s">
        <v>13271</v>
      </c>
      <c r="O58" s="14" t="s">
        <v>9158</v>
      </c>
      <c r="P58" s="14" t="s">
        <v>9158</v>
      </c>
      <c r="Q58" s="14" t="s">
        <v>9158</v>
      </c>
      <c r="R58" s="14" t="s">
        <v>14748</v>
      </c>
    </row>
    <row r="59" spans="1:18">
      <c r="A59" s="14">
        <v>92183</v>
      </c>
      <c r="B59" s="14" t="s">
        <v>0</v>
      </c>
      <c r="C59" s="14" t="s">
        <v>200</v>
      </c>
      <c r="D59" s="14" t="s">
        <v>14624</v>
      </c>
      <c r="E59" s="15" t="str">
        <f>HYPERLINK("https://stat100.ameba.jp/tnk47/ratio20/illustrations/card/ill_92183_shokorafue03.jpg?202009-5-RELEASE-marathon-491xxx", "■")</f>
        <v>■</v>
      </c>
      <c r="F59" s="14" t="s">
        <v>14623</v>
      </c>
      <c r="G59" s="14">
        <v>137846</v>
      </c>
      <c r="H59" s="14">
        <v>128160</v>
      </c>
      <c r="I59" s="14">
        <v>28</v>
      </c>
      <c r="J59" s="14" t="s">
        <v>14622</v>
      </c>
      <c r="K59" s="14" t="s">
        <v>14621</v>
      </c>
      <c r="L59" s="14" t="s">
        <v>14620</v>
      </c>
      <c r="M59" s="14" t="s">
        <v>2138</v>
      </c>
      <c r="N59" s="14" t="s">
        <v>2139</v>
      </c>
      <c r="O59" s="14" t="s">
        <v>9158</v>
      </c>
      <c r="P59" s="14" t="s">
        <v>9158</v>
      </c>
      <c r="Q59" s="14" t="s">
        <v>9158</v>
      </c>
      <c r="R59" s="14" t="s">
        <v>14748</v>
      </c>
    </row>
    <row r="60" spans="1:18">
      <c r="A60" s="14">
        <v>92193</v>
      </c>
      <c r="B60" s="14" t="s">
        <v>0</v>
      </c>
      <c r="C60" s="14" t="s">
        <v>307</v>
      </c>
      <c r="D60" s="14" t="s">
        <v>14629</v>
      </c>
      <c r="E60" s="15" t="str">
        <f>HYPERLINK("https://stat100.ameba.jp/tnk47/ratio20/illustrations/card/ill_92193_kerubu03.jpg?202009-5-RELEASE-marathon-491xxx", "■")</f>
        <v>■</v>
      </c>
      <c r="F60" s="14" t="s">
        <v>14628</v>
      </c>
      <c r="G60" s="14">
        <v>137846</v>
      </c>
      <c r="H60" s="14">
        <v>128160</v>
      </c>
      <c r="I60" s="14">
        <v>28</v>
      </c>
      <c r="J60" s="14" t="s">
        <v>14627</v>
      </c>
      <c r="K60" s="14" t="s">
        <v>14626</v>
      </c>
      <c r="L60" s="14" t="s">
        <v>14625</v>
      </c>
      <c r="M60" s="14" t="s">
        <v>2138</v>
      </c>
      <c r="N60" s="14" t="s">
        <v>2139</v>
      </c>
      <c r="O60" s="14" t="s">
        <v>9158</v>
      </c>
      <c r="P60" s="14" t="s">
        <v>9158</v>
      </c>
      <c r="Q60" s="14" t="s">
        <v>9158</v>
      </c>
      <c r="R60" s="14" t="s">
        <v>14748</v>
      </c>
    </row>
    <row r="61" spans="1:18">
      <c r="A61" s="14">
        <v>92203</v>
      </c>
      <c r="B61" s="14" t="s">
        <v>0</v>
      </c>
      <c r="C61" s="14" t="s">
        <v>165</v>
      </c>
      <c r="D61" s="14" t="s">
        <v>14634</v>
      </c>
      <c r="E61" s="15" t="str">
        <f>HYPERLINK("https://stat100.ameba.jp/tnk47/ratio20/illustrations/card/ill_92203_tarazetotoreda03.jpg?202009-5-RELEASE-marathon-491xxx", "■")</f>
        <v>■</v>
      </c>
      <c r="F61" s="14" t="s">
        <v>14633</v>
      </c>
      <c r="G61" s="14">
        <v>128160</v>
      </c>
      <c r="H61" s="14">
        <v>137846</v>
      </c>
      <c r="I61" s="14">
        <v>28</v>
      </c>
      <c r="J61" s="14" t="s">
        <v>14632</v>
      </c>
      <c r="K61" s="14" t="s">
        <v>14631</v>
      </c>
      <c r="L61" s="14" t="s">
        <v>14630</v>
      </c>
      <c r="M61" s="14" t="s">
        <v>2138</v>
      </c>
      <c r="N61" s="14" t="s">
        <v>2139</v>
      </c>
      <c r="O61" s="14" t="s">
        <v>9158</v>
      </c>
      <c r="P61" s="14" t="s">
        <v>9158</v>
      </c>
      <c r="Q61" s="14" t="s">
        <v>9158</v>
      </c>
      <c r="R61" s="14" t="s">
        <v>14748</v>
      </c>
    </row>
    <row r="62" spans="1:18">
      <c r="A62" s="14">
        <v>92213</v>
      </c>
      <c r="B62" s="14" t="s">
        <v>0</v>
      </c>
      <c r="C62" s="9" t="s">
        <v>205</v>
      </c>
      <c r="D62" s="14" t="s">
        <v>14639</v>
      </c>
      <c r="E62" s="15" t="str">
        <f>HYPERLINK("https://stat100.ameba.jp/tnk47/ratio20/illustrations/card/ill_92213_pushikopompoi03.jpg?202009-5-RELEASE-marathon-491xxx", "■")</f>
        <v>■</v>
      </c>
      <c r="F62" s="14" t="s">
        <v>14638</v>
      </c>
      <c r="G62" s="14">
        <v>128160</v>
      </c>
      <c r="H62" s="14">
        <v>137846</v>
      </c>
      <c r="I62" s="14">
        <v>28</v>
      </c>
      <c r="J62" s="14" t="s">
        <v>14637</v>
      </c>
      <c r="K62" s="14" t="s">
        <v>14636</v>
      </c>
      <c r="L62" s="14" t="s">
        <v>14635</v>
      </c>
      <c r="M62" s="14" t="s">
        <v>2138</v>
      </c>
      <c r="N62" s="14" t="s">
        <v>2139</v>
      </c>
      <c r="O62" s="14" t="s">
        <v>9158</v>
      </c>
      <c r="P62" s="14" t="s">
        <v>9158</v>
      </c>
      <c r="Q62" s="14" t="s">
        <v>9158</v>
      </c>
      <c r="R62" s="14" t="s">
        <v>14748</v>
      </c>
    </row>
    <row r="63" spans="1:18">
      <c r="A63" s="14">
        <v>92223</v>
      </c>
      <c r="B63" s="14" t="s">
        <v>0</v>
      </c>
      <c r="C63" s="14" t="s">
        <v>206</v>
      </c>
      <c r="D63" s="14" t="s">
        <v>14644</v>
      </c>
      <c r="E63" s="15" t="str">
        <f>HYPERLINK("https://stat100.ameba.jp/tnk47/ratio20/illustrations/card/ill_92223_sanfuraua03.jpg?202009-5-RELEASE-marathon-491xxx", "■")</f>
        <v>■</v>
      </c>
      <c r="F63" s="14" t="s">
        <v>14643</v>
      </c>
      <c r="G63" s="14">
        <v>128160</v>
      </c>
      <c r="H63" s="14">
        <v>137846</v>
      </c>
      <c r="I63" s="14">
        <v>28</v>
      </c>
      <c r="J63" s="14" t="s">
        <v>14642</v>
      </c>
      <c r="K63" s="14" t="s">
        <v>14641</v>
      </c>
      <c r="L63" s="14" t="s">
        <v>14640</v>
      </c>
      <c r="M63" s="14" t="s">
        <v>2138</v>
      </c>
      <c r="N63" s="14" t="s">
        <v>2139</v>
      </c>
      <c r="O63" s="14" t="s">
        <v>9158</v>
      </c>
      <c r="P63" s="14" t="s">
        <v>9158</v>
      </c>
      <c r="Q63" s="14" t="s">
        <v>9158</v>
      </c>
      <c r="R63" s="14" t="s">
        <v>14748</v>
      </c>
    </row>
    <row r="65" spans="1:17">
      <c r="A65" s="14" t="s">
        <v>14645</v>
      </c>
    </row>
    <row r="66" spans="1:17">
      <c r="A66" s="14" t="s">
        <v>14647</v>
      </c>
    </row>
    <row r="67" spans="1:17">
      <c r="A67" s="14" t="s">
        <v>14646</v>
      </c>
    </row>
    <row r="68" spans="1:17">
      <c r="A68" s="14" t="s">
        <v>14533</v>
      </c>
      <c r="B68" s="7" t="s">
        <v>52</v>
      </c>
      <c r="C68" s="14" t="s">
        <v>202</v>
      </c>
      <c r="D68" s="18" t="s">
        <v>14532</v>
      </c>
      <c r="E68" s="15" t="str">
        <f>HYPERLINK("https://stat100.ameba.jp/tnk47/ratio20/illustrations/card/ill_91703_0_ninjashugyohanakosan03.jpg?202009-5-RELEASE-marathon-491xxx", "■")</f>
        <v>■</v>
      </c>
      <c r="F68" s="14" t="s">
        <v>14534</v>
      </c>
      <c r="G68" s="14">
        <v>292832</v>
      </c>
      <c r="H68" s="14">
        <v>324004</v>
      </c>
      <c r="I68" s="7">
        <v>28</v>
      </c>
      <c r="J68" s="14" t="s">
        <v>77</v>
      </c>
      <c r="K68" s="14" t="s">
        <v>14536</v>
      </c>
      <c r="L68" s="14" t="s">
        <v>14535</v>
      </c>
      <c r="M68" s="14" t="s">
        <v>9158</v>
      </c>
      <c r="N68" s="14" t="s">
        <v>9158</v>
      </c>
      <c r="O68" s="6" t="s">
        <v>14539</v>
      </c>
      <c r="P68" s="7" t="s">
        <v>14538</v>
      </c>
      <c r="Q68" s="7">
        <v>1</v>
      </c>
    </row>
    <row r="69" spans="1:17">
      <c r="A69" s="14">
        <v>91753</v>
      </c>
      <c r="B69" s="14" t="s">
        <v>14648</v>
      </c>
      <c r="C69" s="14" t="s">
        <v>14656</v>
      </c>
      <c r="D69" s="14" t="s">
        <v>14655</v>
      </c>
      <c r="E69" s="15" t="str">
        <f>HYPERLINK("https://stat100.ameba.jp/tnk47/ratio20/illustrations/card/ill_91753_porisuyureiika03.jpg?202009-5-RELEASE-marathon-491xxx", "■")</f>
        <v>■</v>
      </c>
      <c r="F69" s="14" t="s">
        <v>14654</v>
      </c>
      <c r="G69" s="14">
        <v>109370</v>
      </c>
      <c r="H69" s="14">
        <v>101650</v>
      </c>
      <c r="I69" s="7">
        <v>28</v>
      </c>
      <c r="J69" s="14" t="s">
        <v>14653</v>
      </c>
      <c r="K69" s="14" t="s">
        <v>14652</v>
      </c>
      <c r="L69" s="14" t="s">
        <v>14651</v>
      </c>
      <c r="M69" s="14" t="s">
        <v>9158</v>
      </c>
      <c r="N69" s="14" t="s">
        <v>9158</v>
      </c>
      <c r="O69" s="14" t="s">
        <v>9158</v>
      </c>
      <c r="P69" s="14" t="s">
        <v>9158</v>
      </c>
      <c r="Q69" s="14" t="s">
        <v>9158</v>
      </c>
    </row>
    <row r="70" spans="1:17">
      <c r="A70" s="14">
        <v>91763</v>
      </c>
      <c r="B70" s="14" t="s">
        <v>14649</v>
      </c>
      <c r="C70" s="14" t="s">
        <v>14662</v>
      </c>
      <c r="D70" s="14" t="s">
        <v>14661</v>
      </c>
      <c r="E70" s="15" t="str">
        <f>HYPERLINK("https://stat100.ameba.jp/tnk47/ratio20/illustrations/card/ill_91763_porisunaitojuria03.jpg?202009-5-RELEASE-marathon-491xxx", "■")</f>
        <v>■</v>
      </c>
      <c r="F70" s="14" t="s">
        <v>14660</v>
      </c>
      <c r="G70" s="14">
        <v>75274</v>
      </c>
      <c r="H70" s="14">
        <v>82992</v>
      </c>
      <c r="I70" s="7">
        <v>28</v>
      </c>
      <c r="J70" s="14" t="s">
        <v>14659</v>
      </c>
      <c r="K70" s="14" t="s">
        <v>14658</v>
      </c>
      <c r="L70" s="14" t="s">
        <v>14657</v>
      </c>
      <c r="M70" s="14" t="s">
        <v>9158</v>
      </c>
      <c r="N70" s="14" t="s">
        <v>9158</v>
      </c>
      <c r="O70" s="14" t="s">
        <v>9158</v>
      </c>
      <c r="P70" s="14" t="s">
        <v>9158</v>
      </c>
      <c r="Q70" s="14" t="s">
        <v>9158</v>
      </c>
    </row>
    <row r="71" spans="1:17">
      <c r="A71" s="14">
        <v>91773</v>
      </c>
      <c r="B71" s="14" t="s">
        <v>14650</v>
      </c>
      <c r="C71" s="14" t="s">
        <v>14668</v>
      </c>
      <c r="D71" s="14" t="s">
        <v>14667</v>
      </c>
      <c r="E71" s="15" t="str">
        <f>HYPERLINK("https://stat100.ameba.jp/tnk47/ratio20/illustrations/card/ill_91773_keijikatsushikaoi03.jpg?202009-5-RELEASE-marathon-491xxx", "■")</f>
        <v>■</v>
      </c>
      <c r="F71" s="14" t="s">
        <v>14666</v>
      </c>
      <c r="G71" s="14">
        <v>58216</v>
      </c>
      <c r="H71" s="14">
        <v>48406</v>
      </c>
      <c r="I71" s="7">
        <v>28</v>
      </c>
      <c r="J71" s="14" t="s">
        <v>14665</v>
      </c>
      <c r="K71" s="14" t="s">
        <v>14664</v>
      </c>
      <c r="L71" s="14" t="s">
        <v>14663</v>
      </c>
      <c r="M71" s="14" t="s">
        <v>9158</v>
      </c>
      <c r="N71" s="14" t="s">
        <v>9158</v>
      </c>
      <c r="O71" s="14" t="s">
        <v>9158</v>
      </c>
      <c r="P71" s="14" t="s">
        <v>9158</v>
      </c>
      <c r="Q71" s="14" t="s">
        <v>9158</v>
      </c>
    </row>
    <row r="72" spans="1:17">
      <c r="A72" s="14">
        <v>91783</v>
      </c>
      <c r="B72" s="14" t="s">
        <v>14650</v>
      </c>
      <c r="C72" s="14" t="s">
        <v>14674</v>
      </c>
      <c r="D72" s="14" t="s">
        <v>14673</v>
      </c>
      <c r="E72" s="15" t="str">
        <f>HYPERLINK("https://stat100.ameba.jp/tnk47/ratio20/illustrations/card/ill_91783_shutendouzi03.jpg?202009-5-RELEASE-marathon-491xxx", "■")</f>
        <v>■</v>
      </c>
      <c r="F72" s="14" t="s">
        <v>14672</v>
      </c>
      <c r="G72" s="14">
        <v>48406</v>
      </c>
      <c r="H72" s="14">
        <v>58216</v>
      </c>
      <c r="I72" s="7">
        <v>28</v>
      </c>
      <c r="J72" s="14" t="s">
        <v>14671</v>
      </c>
      <c r="K72" s="14" t="s">
        <v>14670</v>
      </c>
      <c r="L72" s="14" t="s">
        <v>14669</v>
      </c>
      <c r="M72" s="14" t="s">
        <v>9158</v>
      </c>
      <c r="N72" s="14" t="s">
        <v>9158</v>
      </c>
      <c r="O72" s="14" t="s">
        <v>9158</v>
      </c>
      <c r="P72" s="14" t="s">
        <v>9158</v>
      </c>
      <c r="Q72" s="14" t="s">
        <v>9158</v>
      </c>
    </row>
    <row r="74" spans="1:17">
      <c r="A74" s="14" t="s">
        <v>14675</v>
      </c>
    </row>
    <row r="75" spans="1:17">
      <c r="A75" s="14" t="s">
        <v>14676</v>
      </c>
    </row>
    <row r="76" spans="1:17">
      <c r="A76" s="14" t="s">
        <v>5804</v>
      </c>
      <c r="B76" s="14" t="s">
        <v>52</v>
      </c>
      <c r="C76" s="14" t="s">
        <v>14</v>
      </c>
      <c r="D76" s="19" t="s">
        <v>3195</v>
      </c>
      <c r="E76" s="15" t="str">
        <f>HYPERLINK("https://stat100.ameba.jp/tnk47/ratio20/illustrations/card/ill_75393_0_resukuinotsukisamaniittausagi03.jpg?202009-5-RELEASE-marathon-491xxx", "■")</f>
        <v>■</v>
      </c>
      <c r="F76" s="14" t="s">
        <v>3248</v>
      </c>
      <c r="G76" s="14">
        <v>284760</v>
      </c>
      <c r="H76" s="14">
        <v>264750</v>
      </c>
      <c r="I76" s="14">
        <v>25</v>
      </c>
      <c r="J76" s="14" t="s">
        <v>26</v>
      </c>
      <c r="K76" s="14" t="s">
        <v>3249</v>
      </c>
      <c r="L76" s="14" t="s">
        <v>3250</v>
      </c>
      <c r="M76" s="14" t="s">
        <v>9158</v>
      </c>
      <c r="N76" s="14" t="s">
        <v>9158</v>
      </c>
      <c r="O76" s="19" t="s">
        <v>10101</v>
      </c>
      <c r="P76" s="14" t="s">
        <v>3251</v>
      </c>
      <c r="Q76" s="14">
        <v>2</v>
      </c>
    </row>
    <row r="77" spans="1:17">
      <c r="A77" s="14">
        <v>89013</v>
      </c>
      <c r="B77" s="14" t="s">
        <v>0</v>
      </c>
      <c r="C77" s="14" t="s">
        <v>23</v>
      </c>
      <c r="D77" s="18" t="s">
        <v>12538</v>
      </c>
      <c r="E77" s="15" t="str">
        <f>HYPERLINK("https://stat100.ameba.jp/tnk47/ratio20/illustrations/card/ill_89013_efuwanresutokugawaieyasu03.jpg?202009-5-RELEASE-marathon-491xxx", "■")</f>
        <v>■</v>
      </c>
      <c r="F77" s="14" t="s">
        <v>12539</v>
      </c>
      <c r="G77" s="14">
        <v>143714</v>
      </c>
      <c r="H77" s="14">
        <v>154562</v>
      </c>
      <c r="I77" s="14">
        <v>26</v>
      </c>
      <c r="J77" s="14" t="s">
        <v>143</v>
      </c>
      <c r="K77" s="14" t="s">
        <v>12540</v>
      </c>
      <c r="L77" s="14" t="s">
        <v>12026</v>
      </c>
      <c r="M77" s="14" t="s">
        <v>9158</v>
      </c>
      <c r="N77" s="14" t="s">
        <v>9158</v>
      </c>
      <c r="O77" s="6" t="s">
        <v>3624</v>
      </c>
      <c r="P77" s="7" t="s">
        <v>3625</v>
      </c>
      <c r="Q77" s="7">
        <v>1</v>
      </c>
    </row>
    <row r="78" spans="1:17">
      <c r="A78" s="14">
        <v>72193</v>
      </c>
      <c r="B78" s="14" t="s">
        <v>334</v>
      </c>
      <c r="C78" s="14" t="s">
        <v>165</v>
      </c>
      <c r="D78" s="19" t="s">
        <v>3112</v>
      </c>
      <c r="E78" s="15" t="str">
        <f>HYPERLINK("https://stat100.ameba.jp/tnk47/ratio20/illustrations/card/ill_72193_koinoborikomyokogo03.jpg?202009-5-RELEASE-marathon-491xxx", "■")</f>
        <v>■</v>
      </c>
      <c r="F78" s="14" t="s">
        <v>2539</v>
      </c>
      <c r="G78" s="14">
        <v>101558</v>
      </c>
      <c r="H78" s="14">
        <v>94390</v>
      </c>
      <c r="I78" s="14">
        <v>26</v>
      </c>
      <c r="J78" s="14" t="s">
        <v>10</v>
      </c>
      <c r="K78" s="14" t="s">
        <v>2540</v>
      </c>
      <c r="L78" s="14" t="s">
        <v>60</v>
      </c>
      <c r="M78" s="14" t="s">
        <v>9158</v>
      </c>
      <c r="N78" s="14" t="s">
        <v>9158</v>
      </c>
      <c r="O78" s="19" t="s">
        <v>10090</v>
      </c>
      <c r="P78" s="14" t="s">
        <v>3460</v>
      </c>
      <c r="Q78" s="14">
        <v>1</v>
      </c>
    </row>
    <row r="79" spans="1:17">
      <c r="A79" s="14">
        <v>82373</v>
      </c>
      <c r="B79" s="14" t="s">
        <v>334</v>
      </c>
      <c r="C79" s="14" t="s">
        <v>191</v>
      </c>
      <c r="D79" s="6" t="s">
        <v>10020</v>
      </c>
      <c r="E79" s="15" t="str">
        <f>HYPERLINK("https://stat100.ameba.jp/tnk47/ratio20/illustrations/card/ill_82373_bikinigaruyasharyujin03.jpg?202009-5-RELEASE-marathon-491xxx", "■")</f>
        <v>■</v>
      </c>
      <c r="F79" s="14" t="s">
        <v>5397</v>
      </c>
      <c r="G79" s="14">
        <v>106050</v>
      </c>
      <c r="H79" s="14">
        <v>98594</v>
      </c>
      <c r="I79" s="14">
        <v>26</v>
      </c>
      <c r="J79" s="14" t="s">
        <v>44</v>
      </c>
      <c r="K79" s="14" t="s">
        <v>5398</v>
      </c>
      <c r="L79" s="14" t="s">
        <v>3356</v>
      </c>
      <c r="M79" s="14" t="s">
        <v>9158</v>
      </c>
      <c r="N79" s="14" t="s">
        <v>9158</v>
      </c>
      <c r="O79" s="6" t="s">
        <v>3578</v>
      </c>
      <c r="P79" s="14" t="s">
        <v>3579</v>
      </c>
      <c r="Q79" s="14">
        <v>1</v>
      </c>
    </row>
    <row r="81" spans="1:17">
      <c r="A81" s="14" t="s">
        <v>14679</v>
      </c>
    </row>
    <row r="82" spans="1:17">
      <c r="A82" s="14" t="s">
        <v>14677</v>
      </c>
    </row>
    <row r="83" spans="1:17">
      <c r="A83" s="14" t="s">
        <v>5602</v>
      </c>
      <c r="B83" s="14" t="s">
        <v>52</v>
      </c>
      <c r="C83" s="14" t="s">
        <v>14</v>
      </c>
      <c r="D83" s="19" t="s">
        <v>813</v>
      </c>
      <c r="E83" s="15" t="str">
        <f>HYPERLINK("https://stat100.ameba.jp/tnk47/ratio20/illustrations/card/ill_55313_0_haroinononokomachi03.jpg?202009-5-RELEASE-marathon-491xxx", "■")</f>
        <v>■</v>
      </c>
      <c r="F83" s="14" t="s">
        <v>2094</v>
      </c>
      <c r="G83" s="14">
        <v>150776</v>
      </c>
      <c r="H83" s="14">
        <v>133938</v>
      </c>
      <c r="I83" s="14">
        <v>24</v>
      </c>
      <c r="J83" s="14" t="s">
        <v>10</v>
      </c>
      <c r="K83" s="14" t="s">
        <v>2095</v>
      </c>
      <c r="L83" s="14" t="s">
        <v>2096</v>
      </c>
      <c r="M83" s="14" t="s">
        <v>9158</v>
      </c>
      <c r="N83" s="14" t="s">
        <v>9158</v>
      </c>
      <c r="O83" s="19" t="s">
        <v>2733</v>
      </c>
      <c r="P83" s="14" t="s">
        <v>2734</v>
      </c>
      <c r="Q83" s="14">
        <v>1</v>
      </c>
    </row>
    <row r="84" spans="1:17">
      <c r="A84" s="14" t="s">
        <v>5606</v>
      </c>
      <c r="B84" s="14" t="s">
        <v>52</v>
      </c>
      <c r="C84" s="14" t="s">
        <v>206</v>
      </c>
      <c r="D84" s="20" t="s">
        <v>2936</v>
      </c>
      <c r="E84" s="15" t="str">
        <f>HYPERLINK("https://stat100.ameba.jp/tnk47/ratio20/illustrations/card/ill_72233_0_koinoboriryugujin03.jpg?202009-5-RELEASE-marathon-491xxx", "■")</f>
        <v>■</v>
      </c>
      <c r="F84" s="14" t="s">
        <v>1012</v>
      </c>
      <c r="G84" s="14">
        <v>157432</v>
      </c>
      <c r="H84" s="14">
        <v>169334</v>
      </c>
      <c r="I84" s="14">
        <v>24</v>
      </c>
      <c r="J84" s="14" t="s">
        <v>44</v>
      </c>
      <c r="K84" s="14" t="s">
        <v>1013</v>
      </c>
      <c r="L84" s="14" t="s">
        <v>1014</v>
      </c>
      <c r="M84" s="14" t="s">
        <v>9158</v>
      </c>
      <c r="N84" s="14" t="s">
        <v>9158</v>
      </c>
      <c r="O84" s="19" t="s">
        <v>2940</v>
      </c>
      <c r="P84" s="14" t="s">
        <v>2941</v>
      </c>
      <c r="Q84" s="14">
        <v>2</v>
      </c>
    </row>
    <row r="85" spans="1:17">
      <c r="A85" s="14" t="s">
        <v>5612</v>
      </c>
      <c r="B85" s="14" t="s">
        <v>52</v>
      </c>
      <c r="C85" s="14" t="s">
        <v>165</v>
      </c>
      <c r="D85" s="19" t="s">
        <v>789</v>
      </c>
      <c r="E85" s="15" t="str">
        <f>HYPERLINK("https://stat100.ameba.jp/tnk47/ratio20/illustrations/card/ill_49193_0_onmyoudouabenoseimei03.jpg?202009-5-RELEASE-marathon-491xxx", "■")</f>
        <v>■</v>
      </c>
      <c r="F85" s="14" t="s">
        <v>1896</v>
      </c>
      <c r="G85" s="14">
        <v>133938</v>
      </c>
      <c r="H85" s="14">
        <v>150776</v>
      </c>
      <c r="I85" s="14">
        <v>24</v>
      </c>
      <c r="J85" s="14" t="s">
        <v>10</v>
      </c>
      <c r="K85" s="14" t="s">
        <v>1897</v>
      </c>
      <c r="L85" s="14" t="s">
        <v>1898</v>
      </c>
      <c r="M85" s="14" t="s">
        <v>9158</v>
      </c>
      <c r="N85" s="14" t="s">
        <v>9158</v>
      </c>
      <c r="O85" s="14" t="s">
        <v>9158</v>
      </c>
      <c r="P85" s="14" t="s">
        <v>9158</v>
      </c>
      <c r="Q85" s="14" t="s">
        <v>9158</v>
      </c>
    </row>
    <row r="86" spans="1:17">
      <c r="A86" s="14">
        <v>91753</v>
      </c>
      <c r="B86" s="14" t="s">
        <v>0</v>
      </c>
      <c r="C86" s="14" t="s">
        <v>101</v>
      </c>
      <c r="D86" s="14" t="s">
        <v>14655</v>
      </c>
      <c r="E86" s="15" t="str">
        <f>HYPERLINK("https://stat100.ameba.jp/tnk47/ratio20/illustrations/card/ill_91753_porisuyureiika03.jpg?202009-5-RELEASE-marathon-491xxx", "■")</f>
        <v>■</v>
      </c>
      <c r="F86" s="14" t="s">
        <v>14654</v>
      </c>
      <c r="G86" s="14">
        <v>101558</v>
      </c>
      <c r="H86" s="14">
        <v>94390</v>
      </c>
      <c r="I86" s="7">
        <v>26</v>
      </c>
      <c r="J86" s="14" t="s">
        <v>44</v>
      </c>
      <c r="K86" s="14" t="s">
        <v>14652</v>
      </c>
      <c r="L86" s="14" t="s">
        <v>14651</v>
      </c>
      <c r="M86" s="14" t="s">
        <v>9158</v>
      </c>
      <c r="N86" s="14" t="s">
        <v>9158</v>
      </c>
      <c r="O86" s="14" t="s">
        <v>9158</v>
      </c>
      <c r="P86" s="14" t="s">
        <v>9158</v>
      </c>
      <c r="Q86" s="14" t="s">
        <v>9158</v>
      </c>
    </row>
    <row r="87" spans="1:17">
      <c r="A87" s="14">
        <v>91763</v>
      </c>
      <c r="B87" s="14" t="s">
        <v>15</v>
      </c>
      <c r="C87" s="14" t="s">
        <v>96</v>
      </c>
      <c r="D87" s="14" t="s">
        <v>14661</v>
      </c>
      <c r="E87" s="15" t="str">
        <f>HYPERLINK("https://stat100.ameba.jp/tnk47/ratio20/illustrations/card/ill_91763_porisunaitojuria03.jpg?202009-5-RELEASE-marathon-491xxx", "■")</f>
        <v>■</v>
      </c>
      <c r="F87" s="14" t="s">
        <v>14660</v>
      </c>
      <c r="G87" s="14">
        <v>69898</v>
      </c>
      <c r="H87" s="14">
        <v>77064</v>
      </c>
      <c r="I87" s="7">
        <v>26</v>
      </c>
      <c r="J87" s="14" t="s">
        <v>77</v>
      </c>
      <c r="K87" s="14" t="s">
        <v>14658</v>
      </c>
      <c r="L87" s="14" t="s">
        <v>973</v>
      </c>
      <c r="M87" s="14" t="s">
        <v>9158</v>
      </c>
      <c r="N87" s="14" t="s">
        <v>9158</v>
      </c>
      <c r="O87" s="14" t="s">
        <v>9158</v>
      </c>
      <c r="P87" s="14" t="s">
        <v>9158</v>
      </c>
      <c r="Q87" s="14" t="s">
        <v>9158</v>
      </c>
    </row>
    <row r="88" spans="1:17">
      <c r="A88" s="14">
        <v>91773</v>
      </c>
      <c r="B88" s="14" t="s">
        <v>22</v>
      </c>
      <c r="C88" s="14" t="s">
        <v>23</v>
      </c>
      <c r="D88" s="14" t="s">
        <v>14667</v>
      </c>
      <c r="E88" s="15" t="str">
        <f>HYPERLINK("https://stat100.ameba.jp/tnk47/ratio20/illustrations/card/ill_91773_keijikatsushikaoi03.jpg?202009-5-RELEASE-marathon-491xxx", "■")</f>
        <v>■</v>
      </c>
      <c r="F88" s="14" t="s">
        <v>14666</v>
      </c>
      <c r="G88" s="14">
        <v>54058</v>
      </c>
      <c r="H88" s="14">
        <v>44948</v>
      </c>
      <c r="I88" s="7">
        <v>26</v>
      </c>
      <c r="J88" s="14" t="s">
        <v>10</v>
      </c>
      <c r="K88" s="14" t="s">
        <v>14664</v>
      </c>
      <c r="L88" s="14" t="s">
        <v>2321</v>
      </c>
      <c r="M88" s="14" t="s">
        <v>9158</v>
      </c>
      <c r="N88" s="14" t="s">
        <v>9158</v>
      </c>
      <c r="O88" s="14" t="s">
        <v>9158</v>
      </c>
      <c r="P88" s="14" t="s">
        <v>9158</v>
      </c>
      <c r="Q88" s="14" t="s">
        <v>9158</v>
      </c>
    </row>
    <row r="89" spans="1:17">
      <c r="A89" s="14">
        <v>91783</v>
      </c>
      <c r="B89" s="14" t="s">
        <v>22</v>
      </c>
      <c r="C89" s="14" t="s">
        <v>4463</v>
      </c>
      <c r="D89" s="14" t="s">
        <v>14673</v>
      </c>
      <c r="E89" s="15" t="str">
        <f>HYPERLINK("https://stat100.ameba.jp/tnk47/ratio20/illustrations/card/ill_91783_shutendouzi03.jpg?202009-5-RELEASE-marathon-491xxx", "■")</f>
        <v>■</v>
      </c>
      <c r="F89" s="14" t="s">
        <v>14672</v>
      </c>
      <c r="G89" s="14">
        <v>44948</v>
      </c>
      <c r="H89" s="14">
        <v>54058</v>
      </c>
      <c r="I89" s="7">
        <v>26</v>
      </c>
      <c r="J89" s="14" t="s">
        <v>73</v>
      </c>
      <c r="K89" s="14" t="s">
        <v>14670</v>
      </c>
      <c r="L89" s="14" t="s">
        <v>5881</v>
      </c>
      <c r="M89" s="14" t="s">
        <v>9158</v>
      </c>
      <c r="N89" s="14" t="s">
        <v>9158</v>
      </c>
      <c r="O89" s="14" t="s">
        <v>9158</v>
      </c>
      <c r="P89" s="14" t="s">
        <v>9158</v>
      </c>
      <c r="Q89" s="14" t="s">
        <v>9158</v>
      </c>
    </row>
    <row r="91" spans="1:17">
      <c r="A91" s="14" t="s">
        <v>14678</v>
      </c>
    </row>
    <row r="92" spans="1:17">
      <c r="A92" s="14" t="s">
        <v>14677</v>
      </c>
    </row>
    <row r="93" spans="1:17">
      <c r="A93" s="14" t="s">
        <v>12012</v>
      </c>
      <c r="B93" s="7" t="s">
        <v>52</v>
      </c>
      <c r="C93" s="14" t="s">
        <v>202</v>
      </c>
      <c r="D93" s="18" t="s">
        <v>12013</v>
      </c>
      <c r="E93" s="15" t="str">
        <f>HYPERLINK("https://stat100.ameba.jp/tnk47/ratio20/illustrations/card/ill_88363_0_hanamijingukogo03.jpg?202009-5-RELEASE-marathon-491xxx", "■")</f>
        <v>■</v>
      </c>
      <c r="F93" s="14" t="s">
        <v>12014</v>
      </c>
      <c r="G93" s="14">
        <v>328614</v>
      </c>
      <c r="H93" s="14">
        <v>296998</v>
      </c>
      <c r="I93" s="7">
        <v>27</v>
      </c>
      <c r="J93" s="14" t="s">
        <v>10</v>
      </c>
      <c r="K93" s="14" t="s">
        <v>12015</v>
      </c>
      <c r="L93" s="14" t="s">
        <v>12016</v>
      </c>
      <c r="M93" s="14" t="s">
        <v>9158</v>
      </c>
      <c r="N93" s="14" t="s">
        <v>9158</v>
      </c>
      <c r="O93" s="6" t="s">
        <v>12017</v>
      </c>
      <c r="P93" s="7" t="s">
        <v>12018</v>
      </c>
      <c r="Q93" s="7">
        <v>1</v>
      </c>
    </row>
    <row r="94" spans="1:17">
      <c r="A94" s="9" t="s">
        <v>6030</v>
      </c>
      <c r="B94" s="14" t="s">
        <v>330</v>
      </c>
      <c r="C94" s="14" t="s">
        <v>202</v>
      </c>
      <c r="D94" s="14" t="s">
        <v>3708</v>
      </c>
      <c r="E94" s="15" t="str">
        <f>HYPERLINK("https://stat100.ameba.jp/tnk47/ratio20/illustrations/card/ill_80023_0_hinamatsurikyogokumaria03.jpg?202009-5-RELEASE-marathon-491xxx", "■")</f>
        <v>■</v>
      </c>
      <c r="F94" s="14" t="s">
        <v>3709</v>
      </c>
      <c r="G94" s="14">
        <v>363858</v>
      </c>
      <c r="H94" s="14">
        <v>402625</v>
      </c>
      <c r="I94" s="14">
        <v>27</v>
      </c>
      <c r="J94" s="14" t="s">
        <v>26</v>
      </c>
      <c r="K94" s="14" t="s">
        <v>3710</v>
      </c>
      <c r="L94" s="14" t="s">
        <v>3711</v>
      </c>
      <c r="M94" s="14" t="s">
        <v>9158</v>
      </c>
      <c r="N94" s="14" t="s">
        <v>9158</v>
      </c>
      <c r="O94" s="9" t="s">
        <v>3712</v>
      </c>
      <c r="P94" s="14" t="s">
        <v>3713</v>
      </c>
      <c r="Q94" s="14">
        <v>1</v>
      </c>
    </row>
    <row r="95" spans="1:17">
      <c r="A95" s="14" t="s">
        <v>5608</v>
      </c>
      <c r="B95" s="14" t="s">
        <v>52</v>
      </c>
      <c r="C95" s="14" t="s">
        <v>96</v>
      </c>
      <c r="D95" s="19" t="s">
        <v>634</v>
      </c>
      <c r="E95" s="15" t="str">
        <f>HYPERLINK("https://stat100.ameba.jp/tnk47/ratio20/illustrations/card/ill_40963_0_makami03.jpg?202009-5-RELEASE-marathon-491xxx", "■")</f>
        <v>■</v>
      </c>
      <c r="F95" s="14" t="s">
        <v>2038</v>
      </c>
      <c r="G95" s="14">
        <v>152152</v>
      </c>
      <c r="H95" s="14">
        <v>142500</v>
      </c>
      <c r="I95" s="14">
        <v>26</v>
      </c>
      <c r="J95" s="14" t="s">
        <v>44</v>
      </c>
      <c r="K95" s="14" t="s">
        <v>2039</v>
      </c>
      <c r="L95" s="14" t="s">
        <v>2040</v>
      </c>
      <c r="M95" s="14" t="s">
        <v>9158</v>
      </c>
      <c r="N95" s="14" t="s">
        <v>9158</v>
      </c>
      <c r="O95" s="14" t="s">
        <v>9158</v>
      </c>
      <c r="P95" s="14" t="s">
        <v>9158</v>
      </c>
      <c r="Q95" s="14" t="s">
        <v>9158</v>
      </c>
    </row>
    <row r="96" spans="1:17">
      <c r="A96" s="14">
        <v>60763</v>
      </c>
      <c r="B96" s="14" t="s">
        <v>334</v>
      </c>
      <c r="C96" s="14" t="s">
        <v>203</v>
      </c>
      <c r="D96" s="20" t="s">
        <v>10420</v>
      </c>
      <c r="E96" s="15" t="str">
        <f>HYPERLINK("https://stat100.ameba.jp/tnk47/ratio20/illustrations/card/ill_60763_fujiwarakagekiyo03.jpg?202009-5-RELEASE-marathon-491xxx", "■")</f>
        <v>■</v>
      </c>
      <c r="F96" s="14" t="s">
        <v>1146</v>
      </c>
      <c r="G96" s="14">
        <v>125296</v>
      </c>
      <c r="H96" s="14">
        <v>172982</v>
      </c>
      <c r="I96" s="14">
        <v>26</v>
      </c>
      <c r="J96" s="14" t="s">
        <v>143</v>
      </c>
      <c r="K96" s="14" t="s">
        <v>1147</v>
      </c>
      <c r="L96" s="14" t="s">
        <v>1148</v>
      </c>
      <c r="M96" s="14" t="s">
        <v>9158</v>
      </c>
      <c r="N96" s="14" t="s">
        <v>9158</v>
      </c>
      <c r="O96" s="19" t="s">
        <v>10112</v>
      </c>
      <c r="P96" s="14" t="s">
        <v>13150</v>
      </c>
      <c r="Q96" s="14">
        <v>1</v>
      </c>
    </row>
    <row r="97" spans="1:17">
      <c r="A97" s="14">
        <v>67103</v>
      </c>
      <c r="B97" s="14" t="s">
        <v>334</v>
      </c>
      <c r="C97" s="14" t="s">
        <v>154</v>
      </c>
      <c r="D97" s="20" t="s">
        <v>10253</v>
      </c>
      <c r="E97" s="15" t="str">
        <f>HYPERLINK("https://stat100.ameba.jp/tnk47/ratio20/illustrations/card/ill_67103_ankonabe03.jpg?202009-5-RELEASE-marathon-491xxx", "■")</f>
        <v>■</v>
      </c>
      <c r="F97" s="14" t="s">
        <v>1283</v>
      </c>
      <c r="G97" s="14">
        <v>99532</v>
      </c>
      <c r="H97" s="14">
        <v>137430</v>
      </c>
      <c r="I97" s="14">
        <v>26</v>
      </c>
      <c r="J97" s="14" t="s">
        <v>216</v>
      </c>
      <c r="K97" s="14" t="s">
        <v>1284</v>
      </c>
      <c r="L97" s="14" t="s">
        <v>13153</v>
      </c>
      <c r="M97" s="14" t="s">
        <v>9158</v>
      </c>
      <c r="N97" s="14" t="s">
        <v>9158</v>
      </c>
      <c r="O97" s="19" t="s">
        <v>4074</v>
      </c>
      <c r="P97" s="14" t="s">
        <v>3462</v>
      </c>
      <c r="Q97" s="14">
        <v>1</v>
      </c>
    </row>
    <row r="98" spans="1:17">
      <c r="A98" s="14">
        <v>64043</v>
      </c>
      <c r="B98" s="14" t="s">
        <v>334</v>
      </c>
      <c r="C98" s="14" t="s">
        <v>209</v>
      </c>
      <c r="D98" s="20" t="s">
        <v>10262</v>
      </c>
      <c r="E98" s="15" t="str">
        <f>HYPERLINK("https://stat100.ameba.jp/tnk47/ratio20/illustrations/card/ill_64043_kegonnotaki03.jpg?202009-5-RELEASE-marathon-491xxx", "■")</f>
        <v>■</v>
      </c>
      <c r="F98" s="14" t="s">
        <v>759</v>
      </c>
      <c r="G98" s="14">
        <v>123674</v>
      </c>
      <c r="H98" s="14">
        <v>89584</v>
      </c>
      <c r="I98" s="14">
        <v>26</v>
      </c>
      <c r="J98" s="14" t="s">
        <v>229</v>
      </c>
      <c r="K98" s="14" t="s">
        <v>230</v>
      </c>
      <c r="L98" s="14" t="s">
        <v>13143</v>
      </c>
      <c r="M98" s="14" t="s">
        <v>9158</v>
      </c>
      <c r="N98" s="14" t="s">
        <v>9158</v>
      </c>
      <c r="O98" s="19" t="s">
        <v>10070</v>
      </c>
      <c r="P98" s="14" t="s">
        <v>3579</v>
      </c>
      <c r="Q98" s="14">
        <v>1</v>
      </c>
    </row>
    <row r="99" spans="1:17">
      <c r="A99" s="14">
        <v>76783</v>
      </c>
      <c r="B99" s="14" t="s">
        <v>334</v>
      </c>
      <c r="C99" s="14" t="s">
        <v>203</v>
      </c>
      <c r="D99" s="19" t="s">
        <v>10367</v>
      </c>
      <c r="E99" s="15" t="str">
        <f>HYPERLINK("https://stat100.ameba.jp/tnk47/ratio20/illustrations/card/ill_76783_monsutaakashirejina03.jpg?202009-5-RELEASE-marathon-491xxx", "■")</f>
        <v>■</v>
      </c>
      <c r="F99" s="14" t="s">
        <v>1192</v>
      </c>
      <c r="G99" s="14">
        <v>82318</v>
      </c>
      <c r="H99" s="14">
        <v>113630</v>
      </c>
      <c r="I99" s="14">
        <v>26</v>
      </c>
      <c r="J99" s="14" t="s">
        <v>10</v>
      </c>
      <c r="K99" s="14" t="s">
        <v>1193</v>
      </c>
      <c r="L99" s="14" t="s">
        <v>1194</v>
      </c>
      <c r="M99" s="14" t="s">
        <v>9158</v>
      </c>
      <c r="N99" s="14" t="s">
        <v>9158</v>
      </c>
      <c r="O99" s="19" t="s">
        <v>2752</v>
      </c>
      <c r="P99" s="14" t="s">
        <v>13123</v>
      </c>
      <c r="Q99" s="14">
        <v>1</v>
      </c>
    </row>
    <row r="100" spans="1:17">
      <c r="A100" s="9">
        <v>71323</v>
      </c>
      <c r="B100" s="14" t="s">
        <v>0</v>
      </c>
      <c r="C100" s="14" t="s">
        <v>154</v>
      </c>
      <c r="D100" s="14" t="s">
        <v>1878</v>
      </c>
      <c r="E100" s="15" t="str">
        <f>HYPERLINK("https://stat100.ameba.jp/tnk47/ratio20/illustrations/card/ill_71323_kodanobu03.jpg?202009-5-RELEASE-marathon-491xxx", "■")</f>
        <v>■</v>
      </c>
      <c r="F100" s="14" t="s">
        <v>1879</v>
      </c>
      <c r="G100" s="14">
        <v>130000</v>
      </c>
      <c r="H100" s="14">
        <v>120874</v>
      </c>
      <c r="I100" s="14">
        <v>26</v>
      </c>
      <c r="J100" s="14" t="s">
        <v>16</v>
      </c>
      <c r="K100" s="14" t="s">
        <v>1880</v>
      </c>
      <c r="L100" s="14" t="s">
        <v>1881</v>
      </c>
      <c r="M100" s="14" t="s">
        <v>9158</v>
      </c>
      <c r="N100" s="14" t="s">
        <v>9158</v>
      </c>
      <c r="O100" s="17" t="s">
        <v>10055</v>
      </c>
      <c r="P100" s="14" t="s">
        <v>13124</v>
      </c>
      <c r="Q100" s="14">
        <v>1</v>
      </c>
    </row>
    <row r="101" spans="1:17">
      <c r="A101" s="14">
        <v>81023</v>
      </c>
      <c r="B101" s="14" t="s">
        <v>334</v>
      </c>
      <c r="C101" s="14" t="s">
        <v>41</v>
      </c>
      <c r="D101" s="19" t="s">
        <v>10274</v>
      </c>
      <c r="E101" s="15" t="str">
        <f>HYPERLINK("https://stat100.ameba.jp/tnk47/ratio20/illustrations/card/ill_81023_momonokenki03.jpg?202009-5-RELEASE-marathon-491xxx", "■")</f>
        <v>■</v>
      </c>
      <c r="F101" s="14" t="s">
        <v>4088</v>
      </c>
      <c r="G101" s="14">
        <v>137430</v>
      </c>
      <c r="H101" s="14">
        <v>99532</v>
      </c>
      <c r="I101" s="14">
        <v>26</v>
      </c>
      <c r="J101" s="14" t="s">
        <v>143</v>
      </c>
      <c r="K101" s="14" t="s">
        <v>4089</v>
      </c>
      <c r="L101" s="14" t="s">
        <v>2049</v>
      </c>
      <c r="M101" s="14" t="s">
        <v>9158</v>
      </c>
      <c r="N101" s="14" t="s">
        <v>9158</v>
      </c>
      <c r="O101" s="19" t="s">
        <v>10096</v>
      </c>
      <c r="P101" s="14" t="s">
        <v>3245</v>
      </c>
      <c r="Q101" s="14">
        <v>1</v>
      </c>
    </row>
    <row r="103" spans="1:17">
      <c r="A103" s="14" t="s">
        <v>14681</v>
      </c>
    </row>
    <row r="104" spans="1:17">
      <c r="A104" s="14" t="s">
        <v>14682</v>
      </c>
    </row>
    <row r="105" spans="1:17">
      <c r="A105" s="14" t="s">
        <v>5963</v>
      </c>
      <c r="B105" s="14" t="s">
        <v>330</v>
      </c>
      <c r="C105" s="14" t="s">
        <v>35</v>
      </c>
      <c r="D105" s="20" t="s">
        <v>10438</v>
      </c>
      <c r="E105" s="15" t="str">
        <f>HYPERLINK("https://stat100.ameba.jp/tnk47/ratio20/illustrations/card/ill_82963_0_yukatamatsuritomokazuki03.jpg?202009-5-RELEASE-marathon-491xxx", "■")</f>
        <v>■</v>
      </c>
      <c r="F105" s="14" t="s">
        <v>5964</v>
      </c>
      <c r="G105" s="14">
        <v>297801</v>
      </c>
      <c r="H105" s="14">
        <v>329511</v>
      </c>
      <c r="I105" s="14">
        <v>25</v>
      </c>
      <c r="J105" s="14" t="s">
        <v>73</v>
      </c>
      <c r="K105" s="14" t="s">
        <v>5966</v>
      </c>
      <c r="L105" s="14" t="s">
        <v>5967</v>
      </c>
      <c r="M105" s="14" t="s">
        <v>9158</v>
      </c>
      <c r="N105" s="14" t="s">
        <v>9158</v>
      </c>
      <c r="O105" s="19" t="s">
        <v>10115</v>
      </c>
      <c r="P105" s="14" t="s">
        <v>5968</v>
      </c>
      <c r="Q105" s="14">
        <v>1</v>
      </c>
    </row>
    <row r="106" spans="1:17">
      <c r="A106" s="14">
        <v>60173</v>
      </c>
      <c r="B106" s="14" t="s">
        <v>0</v>
      </c>
      <c r="C106" s="14" t="s">
        <v>41</v>
      </c>
      <c r="D106" s="19" t="s">
        <v>10231</v>
      </c>
      <c r="E106" s="15" t="str">
        <f>HYPERLINK("https://stat100.ameba.jp/tnk47/ratio20/illustrations/card/ill_60173_kugutsushi03.jpg?202009-5-RELEASE-marathon-491xxx", "■")</f>
        <v>■</v>
      </c>
      <c r="F106" s="14" t="s">
        <v>4282</v>
      </c>
      <c r="G106" s="14">
        <v>88706</v>
      </c>
      <c r="H106" s="14">
        <v>122476</v>
      </c>
      <c r="I106" s="14">
        <v>24</v>
      </c>
      <c r="J106" s="14" t="s">
        <v>38</v>
      </c>
      <c r="K106" s="14" t="s">
        <v>4283</v>
      </c>
      <c r="L106" s="14" t="s">
        <v>2714</v>
      </c>
      <c r="M106" s="14" t="s">
        <v>9158</v>
      </c>
      <c r="N106" s="14" t="s">
        <v>9158</v>
      </c>
      <c r="O106" s="19" t="s">
        <v>10113</v>
      </c>
      <c r="P106" s="14" t="s">
        <v>4285</v>
      </c>
      <c r="Q106" s="14">
        <v>1</v>
      </c>
    </row>
    <row r="107" spans="1:17">
      <c r="A107" s="14">
        <v>68693</v>
      </c>
      <c r="B107" s="14" t="s">
        <v>334</v>
      </c>
      <c r="C107" s="14" t="s">
        <v>154</v>
      </c>
      <c r="D107" s="20" t="s">
        <v>10232</v>
      </c>
      <c r="E107" s="15" t="str">
        <f>HYPERLINK("https://stat100.ameba.jp/tnk47/ratio20/illustrations/card/ill_68693_mayoiga03.jpg?202009-5-RELEASE-marathon-491xxx", "■")</f>
        <v>■</v>
      </c>
      <c r="F107" s="14" t="s">
        <v>3466</v>
      </c>
      <c r="G107" s="14">
        <v>126858</v>
      </c>
      <c r="H107" s="14">
        <v>91876</v>
      </c>
      <c r="I107" s="14">
        <v>24</v>
      </c>
      <c r="J107" s="14" t="s">
        <v>73</v>
      </c>
      <c r="K107" s="14" t="s">
        <v>3467</v>
      </c>
      <c r="L107" s="14" t="s">
        <v>3468</v>
      </c>
      <c r="M107" s="14" t="s">
        <v>9158</v>
      </c>
      <c r="N107" s="14" t="s">
        <v>9158</v>
      </c>
      <c r="O107" s="19" t="s">
        <v>3037</v>
      </c>
      <c r="P107" s="14" t="s">
        <v>13128</v>
      </c>
      <c r="Q107" s="14">
        <v>1</v>
      </c>
    </row>
    <row r="108" spans="1:17">
      <c r="A108" s="14">
        <v>83093</v>
      </c>
      <c r="B108" s="14" t="s">
        <v>0</v>
      </c>
      <c r="C108" s="14" t="s">
        <v>158</v>
      </c>
      <c r="D108" s="19" t="s">
        <v>10490</v>
      </c>
      <c r="E108" s="15" t="str">
        <f>HYPERLINK("https://stat100.ameba.jp/tnk47/ratio20/illustrations/card/ill_83093_yusuraume03.jpg?202009-5-RELEASE-marathon-491xxx", "■")</f>
        <v>■</v>
      </c>
      <c r="F108" s="14" t="s">
        <v>6267</v>
      </c>
      <c r="G108" s="14">
        <v>126858</v>
      </c>
      <c r="H108" s="14">
        <v>91876</v>
      </c>
      <c r="I108" s="14">
        <v>24</v>
      </c>
      <c r="J108" s="14" t="s">
        <v>104</v>
      </c>
      <c r="K108" s="14" t="s">
        <v>6266</v>
      </c>
      <c r="L108" s="14" t="s">
        <v>2409</v>
      </c>
      <c r="M108" s="14" t="s">
        <v>9158</v>
      </c>
      <c r="N108" s="14" t="s">
        <v>9158</v>
      </c>
      <c r="O108" s="19" t="s">
        <v>10090</v>
      </c>
      <c r="P108" s="14" t="s">
        <v>3460</v>
      </c>
      <c r="Q108" s="14">
        <v>1</v>
      </c>
    </row>
    <row r="110" spans="1:17">
      <c r="A110" s="14" t="s">
        <v>3916</v>
      </c>
    </row>
    <row r="111" spans="1:17">
      <c r="A111" s="14" t="s">
        <v>6740</v>
      </c>
    </row>
    <row r="112" spans="1:17">
      <c r="A112" s="14">
        <v>76103</v>
      </c>
      <c r="B112" s="14" t="s">
        <v>334</v>
      </c>
      <c r="C112" s="14" t="s">
        <v>154</v>
      </c>
      <c r="D112" s="19" t="s">
        <v>570</v>
      </c>
      <c r="E112" s="15" t="str">
        <f>HYPERLINK("https://stat100.ameba.jp/tnk47/ratio20/illustrations/card/ill_76103_shibuaji03.jpg?202009-5-RELEASE-marathon-491xxx", "■")</f>
        <v>■</v>
      </c>
      <c r="F112" s="14" t="s">
        <v>1122</v>
      </c>
      <c r="G112" s="14">
        <v>116452</v>
      </c>
      <c r="H112" s="14">
        <v>108276</v>
      </c>
      <c r="I112" s="14">
        <v>27</v>
      </c>
      <c r="J112" s="14" t="s">
        <v>143</v>
      </c>
      <c r="K112" s="14" t="s">
        <v>1123</v>
      </c>
      <c r="L112" s="14" t="s">
        <v>1124</v>
      </c>
      <c r="M112" s="14" t="s">
        <v>14683</v>
      </c>
      <c r="N112" s="14" t="s">
        <v>9158</v>
      </c>
      <c r="O112" s="14" t="s">
        <v>9158</v>
      </c>
      <c r="P112" s="14" t="s">
        <v>9158</v>
      </c>
      <c r="Q112" s="14" t="s">
        <v>9158</v>
      </c>
    </row>
    <row r="113" spans="1:17">
      <c r="A113" s="14">
        <v>76113</v>
      </c>
      <c r="B113" s="14" t="s">
        <v>334</v>
      </c>
      <c r="C113" s="14" t="s">
        <v>158</v>
      </c>
      <c r="D113" s="19" t="s">
        <v>10268</v>
      </c>
      <c r="E113" s="15" t="str">
        <f>HYPERLINK("https://stat100.ameba.jp/tnk47/ratio20/illustrations/card/ill_76113_jannudaruku03.jpg?202009-5-RELEASE-marathon-491xxx", "■")</f>
        <v>■</v>
      </c>
      <c r="F113" s="14" t="s">
        <v>1126</v>
      </c>
      <c r="G113" s="14">
        <v>116452</v>
      </c>
      <c r="H113" s="14">
        <v>108276</v>
      </c>
      <c r="I113" s="14">
        <v>27</v>
      </c>
      <c r="J113" s="14" t="s">
        <v>10</v>
      </c>
      <c r="K113" s="14" t="s">
        <v>1127</v>
      </c>
      <c r="L113" s="14" t="s">
        <v>1128</v>
      </c>
      <c r="M113" s="14" t="s">
        <v>9158</v>
      </c>
      <c r="N113" s="14" t="s">
        <v>9158</v>
      </c>
      <c r="O113" s="14" t="s">
        <v>9158</v>
      </c>
      <c r="P113" s="14" t="s">
        <v>9158</v>
      </c>
      <c r="Q113" s="14" t="s">
        <v>9158</v>
      </c>
    </row>
    <row r="114" spans="1:17">
      <c r="A114" s="14">
        <v>63323</v>
      </c>
      <c r="B114" s="14" t="s">
        <v>0</v>
      </c>
      <c r="C114" s="14" t="s">
        <v>200</v>
      </c>
      <c r="D114" s="19" t="s">
        <v>10269</v>
      </c>
      <c r="E114" s="15" t="str">
        <f>HYPERLINK("https://stat100.ameba.jp/tnk47/ratio20/illustrations/card/ill_63323_ajisaikushinadahime03.jpg?202009-5-RELEASE-marathon-491xxx", "■")</f>
        <v>■</v>
      </c>
      <c r="F114" s="14" t="s">
        <v>3583</v>
      </c>
      <c r="G114" s="14">
        <v>102386</v>
      </c>
      <c r="H114" s="14">
        <v>110129</v>
      </c>
      <c r="I114" s="14">
        <v>27</v>
      </c>
      <c r="J114" s="14" t="s">
        <v>44</v>
      </c>
      <c r="K114" s="14" t="s">
        <v>3584</v>
      </c>
      <c r="L114" s="14" t="s">
        <v>2400</v>
      </c>
      <c r="M114" s="14" t="s">
        <v>9158</v>
      </c>
      <c r="N114" s="14" t="s">
        <v>9158</v>
      </c>
      <c r="O114" s="14" t="s">
        <v>9158</v>
      </c>
      <c r="P114" s="14" t="s">
        <v>9158</v>
      </c>
      <c r="Q114" s="14" t="s">
        <v>9158</v>
      </c>
    </row>
    <row r="115" spans="1:17">
      <c r="A115" s="14">
        <v>59863</v>
      </c>
      <c r="B115" s="14" t="s">
        <v>334</v>
      </c>
      <c r="C115" s="14" t="s">
        <v>165</v>
      </c>
      <c r="D115" s="19" t="s">
        <v>318</v>
      </c>
      <c r="E115" s="15" t="str">
        <f>HYPERLINK("https://stat100.ameba.jp/tnk47/ratio20/illustrations/card/ill_59863_yoseiichimokuren03.jpg?202009-5-RELEASE-marathon-491xxx", "■")</f>
        <v>■</v>
      </c>
      <c r="F115" s="14" t="s">
        <v>319</v>
      </c>
      <c r="G115" s="14">
        <v>112496</v>
      </c>
      <c r="H115" s="14">
        <v>104619</v>
      </c>
      <c r="I115" s="14">
        <v>27</v>
      </c>
      <c r="J115" s="14" t="s">
        <v>320</v>
      </c>
      <c r="K115" s="14" t="s">
        <v>321</v>
      </c>
      <c r="L115" s="14" t="s">
        <v>322</v>
      </c>
      <c r="M115" s="14" t="s">
        <v>9158</v>
      </c>
      <c r="N115" s="14" t="s">
        <v>9158</v>
      </c>
      <c r="O115" s="14" t="s">
        <v>9158</v>
      </c>
      <c r="P115" s="14" t="s">
        <v>9158</v>
      </c>
      <c r="Q115" s="14" t="s">
        <v>9158</v>
      </c>
    </row>
    <row r="116" spans="1:17">
      <c r="A116" s="14">
        <v>51823</v>
      </c>
      <c r="B116" s="14" t="s">
        <v>15</v>
      </c>
      <c r="C116" s="14" t="s">
        <v>101</v>
      </c>
      <c r="D116" s="19" t="s">
        <v>10587</v>
      </c>
      <c r="E116" s="15" t="str">
        <f>HYPERLINK("https://stat100.ameba.jp/tnk47/ratio20/illustrations/card/ill_51823_jukimatsu03.jpg?202009-5-RELEASE-marathon-491xxx", "■")</f>
        <v>■</v>
      </c>
      <c r="F116" s="14" t="s">
        <v>6742</v>
      </c>
      <c r="G116" s="14">
        <v>59144</v>
      </c>
      <c r="H116" s="14">
        <v>65208</v>
      </c>
      <c r="I116" s="14">
        <v>22</v>
      </c>
      <c r="J116" s="14" t="s">
        <v>77</v>
      </c>
      <c r="K116" s="14" t="s">
        <v>6743</v>
      </c>
      <c r="L116" s="14" t="s">
        <v>6744</v>
      </c>
      <c r="M116" s="14" t="s">
        <v>9158</v>
      </c>
      <c r="N116" s="14" t="s">
        <v>9158</v>
      </c>
      <c r="O116" s="14" t="s">
        <v>9158</v>
      </c>
      <c r="P116" s="14" t="s">
        <v>9158</v>
      </c>
      <c r="Q116" s="14" t="s">
        <v>9158</v>
      </c>
    </row>
    <row r="117" spans="1:17">
      <c r="A117" s="14">
        <v>51773</v>
      </c>
      <c r="B117" s="14" t="s">
        <v>15</v>
      </c>
      <c r="C117" s="14" t="s">
        <v>205</v>
      </c>
      <c r="D117" s="19" t="s">
        <v>10588</v>
      </c>
      <c r="E117" s="15" t="str">
        <f>HYPERLINK("https://stat100.ameba.jp/tnk47/ratio20/illustrations/card/ill_51773_kawaasobikanekomisuzu03.jpg?202009-5-RELEASE-marathon-491xxx", "■")</f>
        <v>■</v>
      </c>
      <c r="F117" s="14" t="s">
        <v>6747</v>
      </c>
      <c r="G117" s="14">
        <v>65208</v>
      </c>
      <c r="H117" s="14">
        <v>59144</v>
      </c>
      <c r="I117" s="14">
        <v>22</v>
      </c>
      <c r="J117" s="14" t="s">
        <v>10</v>
      </c>
      <c r="K117" s="14" t="s">
        <v>6746</v>
      </c>
      <c r="L117" s="14" t="s">
        <v>6745</v>
      </c>
      <c r="M117" s="14" t="s">
        <v>9158</v>
      </c>
      <c r="N117" s="14" t="s">
        <v>9158</v>
      </c>
      <c r="O117" s="14" t="s">
        <v>9158</v>
      </c>
      <c r="P117" s="14" t="s">
        <v>9158</v>
      </c>
      <c r="Q117" s="14" t="s">
        <v>9158</v>
      </c>
    </row>
    <row r="118" spans="1:17">
      <c r="A118" s="14">
        <v>51733</v>
      </c>
      <c r="B118" s="14" t="s">
        <v>15</v>
      </c>
      <c r="C118" s="14" t="s">
        <v>185</v>
      </c>
      <c r="D118" s="19" t="s">
        <v>10589</v>
      </c>
      <c r="E118" s="15" t="str">
        <f>HYPERLINK("https://stat100.ameba.jp/tnk47/ratio20/illustrations/card/ill_51733_ekusoshisutopoiyampe03.jpg?202009-5-RELEASE-marathon-491xxx", "■")</f>
        <v>■</v>
      </c>
      <c r="F118" s="14" t="s">
        <v>6750</v>
      </c>
      <c r="G118" s="14">
        <v>59144</v>
      </c>
      <c r="H118" s="14">
        <v>65208</v>
      </c>
      <c r="I118" s="14">
        <v>22</v>
      </c>
      <c r="J118" s="14" t="s">
        <v>274</v>
      </c>
      <c r="K118" s="14" t="s">
        <v>6749</v>
      </c>
      <c r="L118" s="14" t="s">
        <v>6748</v>
      </c>
      <c r="M118" s="14" t="s">
        <v>9158</v>
      </c>
      <c r="N118" s="14" t="s">
        <v>9158</v>
      </c>
      <c r="O118" s="14" t="s">
        <v>9158</v>
      </c>
      <c r="P118" s="14" t="s">
        <v>9158</v>
      </c>
      <c r="Q118" s="14" t="s">
        <v>9158</v>
      </c>
    </row>
    <row r="119" spans="1:17">
      <c r="A119" s="14">
        <v>55743</v>
      </c>
      <c r="B119" s="14" t="s">
        <v>15</v>
      </c>
      <c r="C119" s="14" t="s">
        <v>96</v>
      </c>
      <c r="D119" s="19" t="s">
        <v>10590</v>
      </c>
      <c r="E119" s="15" t="str">
        <f>HYPERLINK("https://stat100.ameba.jp/tnk47/ratio20/illustrations/card/ill_55743_nankoume03.jpg?202009-5-RELEASE-marathon-491xxx", "■")</f>
        <v>■</v>
      </c>
      <c r="F119" s="14" t="s">
        <v>4308</v>
      </c>
      <c r="G119" s="14">
        <v>59144</v>
      </c>
      <c r="H119" s="14">
        <v>65208</v>
      </c>
      <c r="I119" s="14">
        <v>22</v>
      </c>
      <c r="J119" s="14" t="s">
        <v>216</v>
      </c>
      <c r="K119" s="14" t="s">
        <v>4310</v>
      </c>
      <c r="L119" s="14" t="s">
        <v>4311</v>
      </c>
      <c r="M119" s="14" t="s">
        <v>9158</v>
      </c>
      <c r="N119" s="14" t="s">
        <v>9158</v>
      </c>
      <c r="O119" s="14" t="s">
        <v>9158</v>
      </c>
      <c r="P119" s="14" t="s">
        <v>9158</v>
      </c>
      <c r="Q119" s="14" t="s">
        <v>9158</v>
      </c>
    </row>
    <row r="121" spans="1:17">
      <c r="A121" s="14" t="s">
        <v>14684</v>
      </c>
    </row>
    <row r="122" spans="1:17">
      <c r="A122" s="14" t="s">
        <v>14685</v>
      </c>
    </row>
    <row r="123" spans="1:17">
      <c r="A123" s="9" t="s">
        <v>13401</v>
      </c>
    </row>
    <row r="124" spans="1:17">
      <c r="A124" s="14" t="s">
        <v>6598</v>
      </c>
      <c r="B124" s="14" t="s">
        <v>330</v>
      </c>
      <c r="C124" s="14" t="s">
        <v>35</v>
      </c>
      <c r="D124" s="19" t="s">
        <v>10555</v>
      </c>
      <c r="E124" s="15" t="str">
        <f>HYPERLINK("https://stat100.ameba.jp/tnk47/ratio20/illustrations/card/ill_83553_0_kajuenamoronagu03.jpg?202009-5-RELEASE-marathon-491xxx", "■")</f>
        <v>■</v>
      </c>
      <c r="F124" s="14" t="s">
        <v>6597</v>
      </c>
      <c r="G124" s="14">
        <v>284219</v>
      </c>
      <c r="H124" s="14">
        <v>314478</v>
      </c>
      <c r="I124" s="14">
        <v>27</v>
      </c>
      <c r="J124" s="14" t="s">
        <v>44</v>
      </c>
      <c r="K124" s="14" t="s">
        <v>6595</v>
      </c>
      <c r="L124" s="14" t="s">
        <v>6594</v>
      </c>
      <c r="M124" s="14" t="s">
        <v>9158</v>
      </c>
      <c r="N124" s="14" t="s">
        <v>9158</v>
      </c>
      <c r="O124" s="19" t="s">
        <v>10125</v>
      </c>
      <c r="P124" s="14" t="s">
        <v>6599</v>
      </c>
      <c r="Q124" s="14">
        <v>1</v>
      </c>
    </row>
    <row r="125" spans="1:17">
      <c r="A125" s="14" t="s">
        <v>7789</v>
      </c>
      <c r="B125" s="14" t="s">
        <v>52</v>
      </c>
      <c r="C125" s="14" t="s">
        <v>202</v>
      </c>
      <c r="D125" s="19" t="s">
        <v>10741</v>
      </c>
      <c r="E125" s="15" t="str">
        <f>HYPERLINK("https://stat100.ameba.jp/tnk47/ratio20/illustrations/card/ill_84923_0_onsengainansosatomihakkenden03.jpg?202009-5-RELEASE-marathon-491xxx", "■")</f>
        <v>■</v>
      </c>
      <c r="F125" s="14" t="s">
        <v>7792</v>
      </c>
      <c r="G125" s="14">
        <v>311915</v>
      </c>
      <c r="H125" s="14">
        <v>345111</v>
      </c>
      <c r="I125" s="14">
        <v>27</v>
      </c>
      <c r="J125" s="14" t="s">
        <v>155</v>
      </c>
      <c r="K125" s="14" t="s">
        <v>7791</v>
      </c>
      <c r="L125" s="14" t="s">
        <v>7790</v>
      </c>
      <c r="M125" s="14" t="s">
        <v>9158</v>
      </c>
      <c r="N125" s="14" t="s">
        <v>9158</v>
      </c>
      <c r="O125" s="19" t="s">
        <v>10131</v>
      </c>
      <c r="P125" s="14" t="s">
        <v>7793</v>
      </c>
      <c r="Q125" s="14">
        <v>0</v>
      </c>
    </row>
    <row r="126" spans="1:17">
      <c r="A126" s="14" t="s">
        <v>5601</v>
      </c>
      <c r="B126" s="14" t="s">
        <v>330</v>
      </c>
      <c r="C126" s="14" t="s">
        <v>35</v>
      </c>
      <c r="D126" s="19" t="s">
        <v>10318</v>
      </c>
      <c r="E126" s="15" t="str">
        <f>HYPERLINK("https://stat100.ameba.jp/tnk47/ratio20/illustrations/card/ill_82423_0_bikinigarukishi03.jpg?202009-5-RELEASE-marathon-491xxx", "■")</f>
        <v>■</v>
      </c>
      <c r="F126" s="14" t="s">
        <v>5391</v>
      </c>
      <c r="G126" s="14">
        <v>326924</v>
      </c>
      <c r="H126" s="14">
        <v>295479</v>
      </c>
      <c r="I126" s="14">
        <v>27</v>
      </c>
      <c r="J126" s="14" t="s">
        <v>77</v>
      </c>
      <c r="K126" s="14" t="s">
        <v>5392</v>
      </c>
      <c r="L126" s="14" t="s">
        <v>5393</v>
      </c>
      <c r="M126" s="14" t="s">
        <v>9158</v>
      </c>
      <c r="N126" s="14" t="s">
        <v>9158</v>
      </c>
      <c r="O126" s="19" t="s">
        <v>10069</v>
      </c>
      <c r="P126" s="14" t="s">
        <v>5394</v>
      </c>
      <c r="Q126" s="14">
        <v>1</v>
      </c>
    </row>
    <row r="127" spans="1:17">
      <c r="A127" s="7">
        <v>85733</v>
      </c>
      <c r="B127" s="7" t="s">
        <v>0</v>
      </c>
      <c r="C127" s="14" t="s">
        <v>185</v>
      </c>
      <c r="D127" s="20" t="s">
        <v>10836</v>
      </c>
      <c r="E127" s="15" t="str">
        <f>HYPERLINK("https://stat100.ameba.jp/tnk47/ratio20/illustrations/card/ill_85733_hakkachan03.jpg?202009-5-RELEASE-marathon-491xxx", "■")</f>
        <v>■</v>
      </c>
      <c r="F127" s="7" t="s">
        <v>8504</v>
      </c>
      <c r="G127" s="7">
        <v>123002</v>
      </c>
      <c r="H127" s="7">
        <v>114362</v>
      </c>
      <c r="I127" s="7">
        <v>27</v>
      </c>
      <c r="J127" s="7" t="s">
        <v>229</v>
      </c>
      <c r="K127" s="7" t="s">
        <v>3792</v>
      </c>
      <c r="L127" s="7" t="s">
        <v>1086</v>
      </c>
      <c r="M127" s="14" t="s">
        <v>9158</v>
      </c>
      <c r="N127" s="14" t="s">
        <v>9158</v>
      </c>
      <c r="O127" s="14" t="s">
        <v>9158</v>
      </c>
      <c r="P127" s="14" t="s">
        <v>9158</v>
      </c>
      <c r="Q127" s="14" t="s">
        <v>9158</v>
      </c>
    </row>
    <row r="128" spans="1:17">
      <c r="A128" s="14">
        <v>84453</v>
      </c>
      <c r="B128" s="14" t="s">
        <v>0</v>
      </c>
      <c r="C128" s="14" t="s">
        <v>200</v>
      </c>
      <c r="D128" s="19" t="s">
        <v>10695</v>
      </c>
      <c r="E128" s="15" t="str">
        <f>HYPERLINK("https://stat100.ameba.jp/tnk47/ratio20/illustrations/card/ill_84453_joginguasakusanokaminarimon03.jpg?202009-5-RELEASE-marathon-491xxx", "■")</f>
        <v>■</v>
      </c>
      <c r="F128" s="14" t="s">
        <v>7429</v>
      </c>
      <c r="G128" s="14">
        <v>114362</v>
      </c>
      <c r="H128" s="14">
        <v>123002</v>
      </c>
      <c r="I128" s="7">
        <v>27</v>
      </c>
      <c r="J128" s="14" t="s">
        <v>229</v>
      </c>
      <c r="K128" s="14" t="s">
        <v>7428</v>
      </c>
      <c r="L128" s="14" t="s">
        <v>7427</v>
      </c>
      <c r="M128" s="14" t="s">
        <v>9158</v>
      </c>
      <c r="N128" s="14" t="s">
        <v>9158</v>
      </c>
      <c r="O128" s="14" t="s">
        <v>9158</v>
      </c>
      <c r="P128" s="14" t="s">
        <v>9158</v>
      </c>
      <c r="Q128" s="14" t="s">
        <v>9158</v>
      </c>
    </row>
    <row r="129" spans="1:18">
      <c r="A129" s="9">
        <v>87153</v>
      </c>
      <c r="B129" s="9" t="s">
        <v>0</v>
      </c>
      <c r="C129" s="9" t="s">
        <v>191</v>
      </c>
      <c r="D129" s="19" t="s">
        <v>10973</v>
      </c>
      <c r="E129" s="15" t="str">
        <f>HYPERLINK("https://stat100.ameba.jp/tnk47/ratio20/illustrations/card/ill_87153_doragonteimaryanda03.jpg?202009-5-RELEASE-marathon-491xxx", "■")</f>
        <v>■</v>
      </c>
      <c r="F129" s="9" t="s">
        <v>9549</v>
      </c>
      <c r="G129" s="9">
        <v>160507</v>
      </c>
      <c r="H129" s="9">
        <v>149240</v>
      </c>
      <c r="I129" s="9">
        <v>27</v>
      </c>
      <c r="J129" s="9" t="s">
        <v>194</v>
      </c>
      <c r="K129" s="9" t="s">
        <v>9548</v>
      </c>
      <c r="L129" s="9" t="s">
        <v>3459</v>
      </c>
      <c r="M129" s="14" t="s">
        <v>9158</v>
      </c>
      <c r="N129" s="14" t="s">
        <v>9158</v>
      </c>
      <c r="O129" s="14" t="s">
        <v>9158</v>
      </c>
      <c r="P129" s="14" t="s">
        <v>9158</v>
      </c>
      <c r="Q129" s="14" t="s">
        <v>9158</v>
      </c>
    </row>
    <row r="130" spans="1:18">
      <c r="A130" s="14">
        <v>89253</v>
      </c>
      <c r="B130" s="14" t="s">
        <v>0</v>
      </c>
      <c r="C130" s="14" t="s">
        <v>96</v>
      </c>
      <c r="D130" s="14" t="s">
        <v>12651</v>
      </c>
      <c r="E130" s="15" t="str">
        <f>HYPERLINK("https://stat100.ameba.jp/tnk47/ratio20/illustrations/card/ill_89253_ushirogami03.jpg?202009-5-RELEASE-marathon-491xxx", "■")</f>
        <v>■</v>
      </c>
      <c r="F130" s="14" t="s">
        <v>12653</v>
      </c>
      <c r="G130" s="14">
        <v>102386</v>
      </c>
      <c r="H130" s="14">
        <v>110129</v>
      </c>
      <c r="I130" s="7">
        <v>27</v>
      </c>
      <c r="J130" s="14" t="s">
        <v>73</v>
      </c>
      <c r="K130" s="14" t="s">
        <v>12655</v>
      </c>
      <c r="L130" s="14" t="s">
        <v>12656</v>
      </c>
      <c r="M130" s="14" t="s">
        <v>9158</v>
      </c>
      <c r="N130" s="14" t="s">
        <v>9158</v>
      </c>
      <c r="O130" s="14" t="s">
        <v>9158</v>
      </c>
      <c r="P130" s="14" t="s">
        <v>9158</v>
      </c>
      <c r="Q130" s="14" t="s">
        <v>9158</v>
      </c>
    </row>
    <row r="131" spans="1:18">
      <c r="A131" s="9">
        <v>88033</v>
      </c>
      <c r="B131" s="9" t="s">
        <v>0</v>
      </c>
      <c r="C131" s="9" t="s">
        <v>205</v>
      </c>
      <c r="D131" s="9" t="s">
        <v>11979</v>
      </c>
      <c r="E131" s="15" t="str">
        <f>HYPERLINK("https://stat100.ameba.jp/tnk47/ratio20/illustrations/card/ill_88033_meishuandorudeisu03.jpg?202009-5-RELEASE-marathon-491xxx", "■")</f>
        <v>■</v>
      </c>
      <c r="F131" s="9" t="s">
        <v>11980</v>
      </c>
      <c r="G131" s="9">
        <v>98019</v>
      </c>
      <c r="H131" s="9">
        <v>105465</v>
      </c>
      <c r="I131" s="7">
        <v>27</v>
      </c>
      <c r="J131" s="9" t="s">
        <v>187</v>
      </c>
      <c r="K131" s="9" t="s">
        <v>11981</v>
      </c>
      <c r="L131" s="9" t="s">
        <v>13252</v>
      </c>
      <c r="M131" s="14" t="s">
        <v>9158</v>
      </c>
      <c r="N131" s="14" t="s">
        <v>9158</v>
      </c>
      <c r="O131" s="7" t="s">
        <v>9158</v>
      </c>
      <c r="P131" s="14" t="s">
        <v>9158</v>
      </c>
      <c r="Q131" s="14" t="s">
        <v>9158</v>
      </c>
    </row>
    <row r="132" spans="1:18">
      <c r="A132" s="9">
        <v>87843</v>
      </c>
      <c r="B132" s="9" t="s">
        <v>0</v>
      </c>
      <c r="C132" s="9" t="s">
        <v>206</v>
      </c>
      <c r="D132" s="9" t="s">
        <v>14686</v>
      </c>
      <c r="E132" s="15" t="str">
        <f>HYPERLINK("https://stat100.ameba.jp/tnk47/ratio20/illustrations/card/ill_87843_odorikobidorozaikuchan03.jpg?202009-5-RELEASE-marathon-491xxx", "■")</f>
        <v>■</v>
      </c>
      <c r="F132" s="9" t="s">
        <v>11528</v>
      </c>
      <c r="G132" s="9">
        <v>105465</v>
      </c>
      <c r="H132" s="9">
        <v>98019</v>
      </c>
      <c r="I132" s="9">
        <v>27</v>
      </c>
      <c r="J132" s="9" t="s">
        <v>229</v>
      </c>
      <c r="K132" s="9" t="s">
        <v>11529</v>
      </c>
      <c r="L132" s="9" t="s">
        <v>13220</v>
      </c>
      <c r="M132" s="14" t="s">
        <v>9158</v>
      </c>
      <c r="N132" s="14" t="s">
        <v>9158</v>
      </c>
      <c r="O132" s="14" t="s">
        <v>9158</v>
      </c>
      <c r="P132" s="14" t="s">
        <v>9158</v>
      </c>
      <c r="Q132" s="14" t="s">
        <v>9158</v>
      </c>
    </row>
    <row r="134" spans="1:18">
      <c r="A134" s="14" t="s">
        <v>13327</v>
      </c>
    </row>
    <row r="135" spans="1:18">
      <c r="A135" s="14" t="s">
        <v>14687</v>
      </c>
    </row>
    <row r="136" spans="1:18">
      <c r="A136" s="14">
        <v>90183</v>
      </c>
      <c r="B136" s="14" t="s">
        <v>0</v>
      </c>
      <c r="C136" s="14" t="s">
        <v>335</v>
      </c>
      <c r="D136" s="14" t="s">
        <v>13264</v>
      </c>
      <c r="E136" s="15" t="str">
        <f>HYPERLINK("https://stat100.ameba.jp/tnk47/ratio20/illustrations/card/ill_90183_shinsetsunojou03.jpg?202009-5-RELEASE-marathon-491xxx", "■")</f>
        <v>■</v>
      </c>
      <c r="F136" s="14" t="s">
        <v>13267</v>
      </c>
      <c r="G136" s="14">
        <v>128160</v>
      </c>
      <c r="H136" s="14">
        <v>137846</v>
      </c>
      <c r="I136" s="14">
        <v>28</v>
      </c>
      <c r="J136" s="14" t="s">
        <v>44</v>
      </c>
      <c r="K136" s="14" t="s">
        <v>13266</v>
      </c>
      <c r="L136" s="14" t="s">
        <v>13272</v>
      </c>
      <c r="M136" s="14" t="s">
        <v>2138</v>
      </c>
      <c r="N136" s="14" t="s">
        <v>2139</v>
      </c>
      <c r="O136" s="14" t="s">
        <v>9158</v>
      </c>
      <c r="P136" s="14" t="s">
        <v>9158</v>
      </c>
      <c r="Q136" s="14" t="s">
        <v>9158</v>
      </c>
      <c r="R136" s="14" t="s">
        <v>14748</v>
      </c>
    </row>
    <row r="137" spans="1:18">
      <c r="A137" s="14">
        <v>90182</v>
      </c>
      <c r="B137" s="14" t="s">
        <v>0</v>
      </c>
      <c r="C137" s="14" t="s">
        <v>335</v>
      </c>
      <c r="D137" s="14" t="s">
        <v>13264</v>
      </c>
      <c r="E137" s="15" t="str">
        <f>HYPERLINK("https://stat100.ameba.jp/tnk47/ratio20/illustrations/card/ill_90182_shinsetsunojou02.jpg?202009-5-RELEASE-marathon-491xxx", "■")</f>
        <v>■</v>
      </c>
      <c r="F137" s="14" t="s">
        <v>13267</v>
      </c>
      <c r="G137" s="14">
        <v>106148</v>
      </c>
      <c r="H137" s="14">
        <v>115230</v>
      </c>
      <c r="I137" s="14">
        <v>28</v>
      </c>
      <c r="J137" s="14" t="s">
        <v>44</v>
      </c>
      <c r="K137" s="14" t="s">
        <v>13266</v>
      </c>
      <c r="L137" s="14" t="s">
        <v>13272</v>
      </c>
      <c r="M137" s="14" t="s">
        <v>13270</v>
      </c>
      <c r="N137" s="14" t="s">
        <v>13271</v>
      </c>
      <c r="O137" s="14" t="s">
        <v>9158</v>
      </c>
      <c r="P137" s="14" t="s">
        <v>9158</v>
      </c>
      <c r="Q137" s="14" t="s">
        <v>9158</v>
      </c>
      <c r="R137" s="14" t="s">
        <v>14748</v>
      </c>
    </row>
    <row r="138" spans="1:18">
      <c r="A138" s="14">
        <v>90181</v>
      </c>
      <c r="B138" s="14" t="s">
        <v>0</v>
      </c>
      <c r="C138" s="14" t="s">
        <v>335</v>
      </c>
      <c r="D138" s="14" t="s">
        <v>13264</v>
      </c>
      <c r="E138" s="15" t="str">
        <f>HYPERLINK("https://stat100.ameba.jp/tnk47/ratio20/illustrations/card/ill_90181_shinsetsunojou01.jpg?202009-5-RELEASE-marathon-491xxx", "■")</f>
        <v>■</v>
      </c>
      <c r="F138" s="14" t="s">
        <v>13267</v>
      </c>
      <c r="G138" s="14">
        <v>81900</v>
      </c>
      <c r="H138" s="14">
        <v>87976</v>
      </c>
      <c r="I138" s="14">
        <v>28</v>
      </c>
      <c r="J138" s="14" t="s">
        <v>44</v>
      </c>
      <c r="K138" s="14" t="s">
        <v>13266</v>
      </c>
      <c r="L138" s="14" t="s">
        <v>13272</v>
      </c>
      <c r="M138" s="14" t="s">
        <v>13270</v>
      </c>
      <c r="N138" s="14" t="s">
        <v>13271</v>
      </c>
      <c r="O138" s="14" t="s">
        <v>9158</v>
      </c>
      <c r="P138" s="14" t="s">
        <v>9158</v>
      </c>
      <c r="Q138" s="14" t="s">
        <v>9158</v>
      </c>
      <c r="R138" s="14" t="s">
        <v>14748</v>
      </c>
    </row>
    <row r="139" spans="1:18">
      <c r="A139" s="14">
        <v>90193</v>
      </c>
      <c r="B139" s="14" t="s">
        <v>0</v>
      </c>
      <c r="C139" s="14" t="s">
        <v>200</v>
      </c>
      <c r="D139" s="14" t="s">
        <v>13273</v>
      </c>
      <c r="E139" s="15" t="str">
        <f>HYPERLINK("https://stat100.ameba.jp/tnk47/ratio20/illustrations/card/ill_90193_puchidebirubani03.jpg?202009-5-RELEASE-marathon-491xxx", "■")</f>
        <v>■</v>
      </c>
      <c r="F139" s="14" t="s">
        <v>13274</v>
      </c>
      <c r="G139" s="14">
        <v>128160</v>
      </c>
      <c r="H139" s="14">
        <v>137846</v>
      </c>
      <c r="I139" s="14">
        <v>28</v>
      </c>
      <c r="J139" s="14" t="s">
        <v>73</v>
      </c>
      <c r="K139" s="14" t="s">
        <v>13277</v>
      </c>
      <c r="L139" s="14" t="s">
        <v>13276</v>
      </c>
      <c r="M139" s="14" t="s">
        <v>2138</v>
      </c>
      <c r="N139" s="14" t="s">
        <v>2139</v>
      </c>
      <c r="O139" s="14" t="s">
        <v>9158</v>
      </c>
      <c r="P139" s="14" t="s">
        <v>9158</v>
      </c>
      <c r="Q139" s="14" t="s">
        <v>9158</v>
      </c>
      <c r="R139" s="14" t="s">
        <v>14748</v>
      </c>
    </row>
    <row r="140" spans="1:18">
      <c r="A140" s="14">
        <v>90203</v>
      </c>
      <c r="B140" s="14" t="s">
        <v>0</v>
      </c>
      <c r="C140" s="14" t="s">
        <v>307</v>
      </c>
      <c r="D140" s="14" t="s">
        <v>13278</v>
      </c>
      <c r="E140" s="15" t="str">
        <f>HYPERLINK("https://stat100.ameba.jp/tnk47/ratio20/illustrations/card/ill_90203_kyuteigakademeru03.jpg?202009-5-RELEASE-marathon-491xxx", "■")</f>
        <v>■</v>
      </c>
      <c r="F140" s="14" t="s">
        <v>13279</v>
      </c>
      <c r="G140" s="14">
        <v>128160</v>
      </c>
      <c r="H140" s="14">
        <v>137846</v>
      </c>
      <c r="I140" s="14">
        <v>28</v>
      </c>
      <c r="J140" s="14" t="s">
        <v>10</v>
      </c>
      <c r="K140" s="14" t="s">
        <v>13281</v>
      </c>
      <c r="L140" s="14" t="s">
        <v>13282</v>
      </c>
      <c r="M140" s="14" t="s">
        <v>2138</v>
      </c>
      <c r="N140" s="14" t="s">
        <v>2139</v>
      </c>
      <c r="O140" s="14" t="s">
        <v>9158</v>
      </c>
      <c r="P140" s="14" t="s">
        <v>9158</v>
      </c>
      <c r="Q140" s="14" t="s">
        <v>9158</v>
      </c>
      <c r="R140" s="14" t="s">
        <v>14748</v>
      </c>
    </row>
    <row r="141" spans="1:18">
      <c r="A141" s="14">
        <v>90213</v>
      </c>
      <c r="B141" s="14" t="s">
        <v>0</v>
      </c>
      <c r="C141" s="14" t="s">
        <v>165</v>
      </c>
      <c r="D141" s="14" t="s">
        <v>13283</v>
      </c>
      <c r="E141" s="15" t="str">
        <f>HYPERLINK("https://stat100.ameba.jp/tnk47/ratio20/illustrations/card/ill_90213_kenkyushinomaruyo03.jpg?202009-5-RELEASE-marathon-491xxx", "■")</f>
        <v>■</v>
      </c>
      <c r="F141" s="14" t="s">
        <v>13284</v>
      </c>
      <c r="G141" s="14">
        <v>137846</v>
      </c>
      <c r="H141" s="14">
        <v>128160</v>
      </c>
      <c r="I141" s="14">
        <v>28</v>
      </c>
      <c r="J141" s="14" t="s">
        <v>16</v>
      </c>
      <c r="K141" s="14" t="s">
        <v>13286</v>
      </c>
      <c r="L141" s="14" t="s">
        <v>13287</v>
      </c>
      <c r="M141" s="14" t="s">
        <v>2138</v>
      </c>
      <c r="N141" s="14" t="s">
        <v>2139</v>
      </c>
      <c r="O141" s="14" t="s">
        <v>9158</v>
      </c>
      <c r="P141" s="14" t="s">
        <v>9158</v>
      </c>
      <c r="Q141" s="14" t="s">
        <v>9158</v>
      </c>
      <c r="R141" s="14" t="s">
        <v>14748</v>
      </c>
    </row>
    <row r="142" spans="1:18">
      <c r="A142" s="14">
        <v>90223</v>
      </c>
      <c r="B142" s="14" t="s">
        <v>0</v>
      </c>
      <c r="C142" s="9" t="s">
        <v>205</v>
      </c>
      <c r="D142" s="14" t="s">
        <v>13288</v>
      </c>
      <c r="E142" s="15" t="str">
        <f>HYPERLINK("https://stat100.ameba.jp/tnk47/ratio20/illustrations/card/ill_90223_karunepurinshipe03.jpg?202009-5-RELEASE-marathon-491xxx", "■")</f>
        <v>■</v>
      </c>
      <c r="F142" s="14" t="s">
        <v>13289</v>
      </c>
      <c r="G142" s="14">
        <v>137846</v>
      </c>
      <c r="H142" s="14">
        <v>128160</v>
      </c>
      <c r="I142" s="14">
        <v>28</v>
      </c>
      <c r="J142" s="14" t="s">
        <v>104</v>
      </c>
      <c r="K142" s="14" t="s">
        <v>13291</v>
      </c>
      <c r="L142" s="14" t="s">
        <v>13292</v>
      </c>
      <c r="M142" s="14" t="s">
        <v>2138</v>
      </c>
      <c r="N142" s="14" t="s">
        <v>2139</v>
      </c>
      <c r="O142" s="14" t="s">
        <v>9158</v>
      </c>
      <c r="P142" s="14" t="s">
        <v>9158</v>
      </c>
      <c r="Q142" s="14" t="s">
        <v>9158</v>
      </c>
      <c r="R142" s="14" t="s">
        <v>14748</v>
      </c>
    </row>
    <row r="143" spans="1:18">
      <c r="A143" s="14">
        <v>90233</v>
      </c>
      <c r="B143" s="14" t="s">
        <v>0</v>
      </c>
      <c r="C143" s="14" t="s">
        <v>206</v>
      </c>
      <c r="D143" s="14" t="s">
        <v>13293</v>
      </c>
      <c r="E143" s="15" t="str">
        <f>HYPERLINK("https://stat100.ameba.jp/tnk47/ratio20/illustrations/card/ill_90233_kakutokafuante03.jpg?202009-5-RELEASE-marathon-491xxx", "■")</f>
        <v>■</v>
      </c>
      <c r="F143" s="14" t="s">
        <v>13294</v>
      </c>
      <c r="G143" s="14">
        <v>137846</v>
      </c>
      <c r="H143" s="14">
        <v>128160</v>
      </c>
      <c r="I143" s="14">
        <v>28</v>
      </c>
      <c r="J143" s="14" t="s">
        <v>143</v>
      </c>
      <c r="K143" s="14" t="s">
        <v>13296</v>
      </c>
      <c r="L143" s="14" t="s">
        <v>13297</v>
      </c>
      <c r="M143" s="14" t="s">
        <v>2138</v>
      </c>
      <c r="N143" s="14" t="s">
        <v>2139</v>
      </c>
      <c r="O143" s="14" t="s">
        <v>9158</v>
      </c>
      <c r="P143" s="14" t="s">
        <v>9158</v>
      </c>
      <c r="Q143" s="14" t="s">
        <v>9158</v>
      </c>
      <c r="R143" s="14" t="s">
        <v>14748</v>
      </c>
    </row>
    <row r="145" spans="1:17">
      <c r="A145" s="14" t="s">
        <v>14688</v>
      </c>
    </row>
    <row r="146" spans="1:17">
      <c r="A146" s="14" t="s">
        <v>14690</v>
      </c>
    </row>
    <row r="147" spans="1:17">
      <c r="A147" s="14" t="s">
        <v>14689</v>
      </c>
    </row>
    <row r="148" spans="1:17">
      <c r="A148" s="14" t="s">
        <v>14533</v>
      </c>
      <c r="B148" s="7" t="s">
        <v>52</v>
      </c>
      <c r="C148" s="14" t="s">
        <v>202</v>
      </c>
      <c r="D148" s="18" t="s">
        <v>14532</v>
      </c>
      <c r="E148" s="15" t="str">
        <f>HYPERLINK("https://stat100.ameba.jp/tnk47/ratio20/illustrations/card/ill_91703_0_ninjashugyohanakosan03.jpg?202009-5-RELEASE-marathon-491xxx", "■")</f>
        <v>■</v>
      </c>
      <c r="F148" s="14" t="s">
        <v>14534</v>
      </c>
      <c r="G148" s="14">
        <v>292832</v>
      </c>
      <c r="H148" s="14">
        <v>324004</v>
      </c>
      <c r="I148" s="7">
        <v>28</v>
      </c>
      <c r="J148" s="14" t="s">
        <v>77</v>
      </c>
      <c r="K148" s="14" t="s">
        <v>14536</v>
      </c>
      <c r="L148" s="14" t="s">
        <v>14535</v>
      </c>
      <c r="M148" s="14" t="s">
        <v>9158</v>
      </c>
      <c r="N148" s="14" t="s">
        <v>9158</v>
      </c>
      <c r="O148" s="6" t="s">
        <v>14539</v>
      </c>
      <c r="P148" s="7" t="s">
        <v>14538</v>
      </c>
      <c r="Q148" s="7">
        <v>1</v>
      </c>
    </row>
    <row r="149" spans="1:17">
      <c r="A149" s="14">
        <v>91873</v>
      </c>
      <c r="B149" s="14" t="s">
        <v>0</v>
      </c>
      <c r="C149" s="14" t="s">
        <v>185</v>
      </c>
      <c r="D149" s="14" t="s">
        <v>14698</v>
      </c>
      <c r="E149" s="15" t="str">
        <f>HYPERLINK("https://stat100.ameba.jp/tnk47/ratio20/illustrations/card/ill_91873_mahogakkosabanto03.jpg?202009-5-RELEASE-marathon-491xxx", "■")</f>
        <v>■</v>
      </c>
      <c r="F149" s="14" t="s">
        <v>14697</v>
      </c>
      <c r="G149" s="14">
        <v>106178</v>
      </c>
      <c r="H149" s="14">
        <v>114208</v>
      </c>
      <c r="I149" s="7">
        <v>28</v>
      </c>
      <c r="J149" s="14" t="s">
        <v>14696</v>
      </c>
      <c r="K149" s="14" t="s">
        <v>14695</v>
      </c>
      <c r="L149" s="14" t="s">
        <v>14694</v>
      </c>
      <c r="M149" s="14" t="s">
        <v>9158</v>
      </c>
      <c r="N149" s="14" t="s">
        <v>9158</v>
      </c>
      <c r="O149" s="14" t="s">
        <v>9158</v>
      </c>
      <c r="P149" s="14" t="s">
        <v>9158</v>
      </c>
      <c r="Q149" s="14" t="s">
        <v>9158</v>
      </c>
    </row>
    <row r="150" spans="1:17">
      <c r="A150" s="14">
        <v>91883</v>
      </c>
      <c r="B150" s="14" t="s">
        <v>0</v>
      </c>
      <c r="C150" s="14" t="s">
        <v>14704</v>
      </c>
      <c r="D150" s="14" t="s">
        <v>14703</v>
      </c>
      <c r="E150" s="15" t="str">
        <f>HYPERLINK("https://stat100.ameba.jp/tnk47/ratio20/illustrations/card/ill_91883_sangokushikobayashiissa03.jpg?202009-5-RELEASE-marathon-491xxx", "■")</f>
        <v>■</v>
      </c>
      <c r="F150" s="14" t="s">
        <v>14702</v>
      </c>
      <c r="G150" s="14">
        <v>101650</v>
      </c>
      <c r="H150" s="14">
        <v>109370</v>
      </c>
      <c r="I150" s="7">
        <v>28</v>
      </c>
      <c r="J150" s="14" t="s">
        <v>14701</v>
      </c>
      <c r="K150" s="14" t="s">
        <v>14700</v>
      </c>
      <c r="L150" s="14" t="s">
        <v>14699</v>
      </c>
      <c r="M150" s="14" t="s">
        <v>9158</v>
      </c>
      <c r="N150" s="14" t="s">
        <v>9158</v>
      </c>
      <c r="O150" s="14" t="s">
        <v>9158</v>
      </c>
      <c r="P150" s="14" t="s">
        <v>9158</v>
      </c>
      <c r="Q150" s="14" t="s">
        <v>9158</v>
      </c>
    </row>
    <row r="151" spans="1:17">
      <c r="A151" s="14">
        <v>91893</v>
      </c>
      <c r="B151" s="14" t="s">
        <v>14691</v>
      </c>
      <c r="C151" s="14" t="s">
        <v>14710</v>
      </c>
      <c r="D151" s="14" t="s">
        <v>14709</v>
      </c>
      <c r="E151" s="15" t="str">
        <f>HYPERLINK("https://stat100.ameba.jp/tnk47/ratio20/illustrations/card/ill_91893_miwakunoitchi03.jpg?202009-5-RELEASE-marathon-491xxx", "■")</f>
        <v>■</v>
      </c>
      <c r="F151" s="14" t="s">
        <v>14708</v>
      </c>
      <c r="G151" s="14">
        <v>82992</v>
      </c>
      <c r="H151" s="14">
        <v>75274</v>
      </c>
      <c r="I151" s="7">
        <v>28</v>
      </c>
      <c r="J151" s="14" t="s">
        <v>14707</v>
      </c>
      <c r="K151" s="14" t="s">
        <v>14706</v>
      </c>
      <c r="L151" s="14" t="s">
        <v>14705</v>
      </c>
      <c r="M151" s="14" t="s">
        <v>9158</v>
      </c>
      <c r="N151" s="14" t="s">
        <v>9158</v>
      </c>
      <c r="O151" s="14" t="s">
        <v>9158</v>
      </c>
      <c r="P151" s="14" t="s">
        <v>9158</v>
      </c>
      <c r="Q151" s="14" t="s">
        <v>9158</v>
      </c>
    </row>
    <row r="152" spans="1:17">
      <c r="A152" s="14">
        <v>91903</v>
      </c>
      <c r="B152" s="14" t="s">
        <v>14692</v>
      </c>
      <c r="C152" s="14" t="s">
        <v>14716</v>
      </c>
      <c r="D152" s="14" t="s">
        <v>14715</v>
      </c>
      <c r="E152" s="15" t="str">
        <f>HYPERLINK("https://stat100.ameba.jp/tnk47/ratio20/illustrations/card/ill_91903_makaisusukichan03.jpg?202009-5-RELEASE-marathon-491xxx", "■")</f>
        <v>■</v>
      </c>
      <c r="F152" s="14" t="s">
        <v>14714</v>
      </c>
      <c r="G152" s="14">
        <v>48406</v>
      </c>
      <c r="H152" s="14">
        <v>58216</v>
      </c>
      <c r="I152" s="7">
        <v>28</v>
      </c>
      <c r="J152" s="14" t="s">
        <v>14713</v>
      </c>
      <c r="K152" s="14" t="s">
        <v>14712</v>
      </c>
      <c r="L152" s="14" t="s">
        <v>14711</v>
      </c>
      <c r="M152" s="14" t="s">
        <v>9158</v>
      </c>
      <c r="N152" s="14" t="s">
        <v>9158</v>
      </c>
      <c r="O152" s="14" t="s">
        <v>9158</v>
      </c>
      <c r="P152" s="14" t="s">
        <v>9158</v>
      </c>
      <c r="Q152" s="14" t="s">
        <v>9158</v>
      </c>
    </row>
    <row r="153" spans="1:17">
      <c r="A153" s="14">
        <v>91913</v>
      </c>
      <c r="B153" s="14" t="s">
        <v>14692</v>
      </c>
      <c r="C153" s="14" t="s">
        <v>14722</v>
      </c>
      <c r="D153" s="14" t="s">
        <v>14721</v>
      </c>
      <c r="E153" s="15" t="str">
        <f>HYPERLINK("https://stat100.ameba.jp/tnk47/ratio20/illustrations/card/ill_91913_mahoushoujooryou03.jpg?202009-5-RELEASE-marathon-491xxx", "■")</f>
        <v>■</v>
      </c>
      <c r="F153" s="14" t="s">
        <v>14720</v>
      </c>
      <c r="G153" s="14">
        <v>58216</v>
      </c>
      <c r="H153" s="14">
        <v>48406</v>
      </c>
      <c r="I153" s="7">
        <v>28</v>
      </c>
      <c r="J153" s="14" t="s">
        <v>14719</v>
      </c>
      <c r="K153" s="14" t="s">
        <v>14718</v>
      </c>
      <c r="L153" s="14" t="s">
        <v>14717</v>
      </c>
      <c r="M153" s="14" t="s">
        <v>9158</v>
      </c>
      <c r="N153" s="14" t="s">
        <v>9158</v>
      </c>
      <c r="O153" s="14" t="s">
        <v>9158</v>
      </c>
      <c r="P153" s="14" t="s">
        <v>9158</v>
      </c>
      <c r="Q153" s="14" t="s">
        <v>9158</v>
      </c>
    </row>
    <row r="155" spans="1:17">
      <c r="A155" s="14" t="s">
        <v>14693</v>
      </c>
    </row>
    <row r="156" spans="1:17">
      <c r="A156" s="14" t="s">
        <v>14723</v>
      </c>
    </row>
    <row r="157" spans="1:17">
      <c r="A157" s="9" t="s">
        <v>5642</v>
      </c>
      <c r="B157" s="14" t="s">
        <v>52</v>
      </c>
      <c r="C157" s="14" t="s">
        <v>185</v>
      </c>
      <c r="D157" s="14" t="s">
        <v>2430</v>
      </c>
      <c r="E157" s="15" t="str">
        <f>HYPERLINK("https://stat100.ameba.jp/tnk47/ratio20/illustrations/card/ill_69593_0_setsubunyukionna03.jpg?202009-5-RELEASE-marathon-491xxx", "■")</f>
        <v>■</v>
      </c>
      <c r="F157" s="14" t="s">
        <v>2431</v>
      </c>
      <c r="G157" s="14">
        <v>157150</v>
      </c>
      <c r="H157" s="14">
        <v>169032</v>
      </c>
      <c r="I157" s="14">
        <v>22</v>
      </c>
      <c r="J157" s="14" t="s">
        <v>73</v>
      </c>
      <c r="K157" s="14" t="s">
        <v>2432</v>
      </c>
      <c r="L157" s="14" t="s">
        <v>2433</v>
      </c>
      <c r="M157" s="14" t="s">
        <v>9158</v>
      </c>
      <c r="N157" s="14" t="s">
        <v>9158</v>
      </c>
      <c r="O157" s="9" t="s">
        <v>3599</v>
      </c>
      <c r="P157" s="14" t="s">
        <v>3600</v>
      </c>
      <c r="Q157" s="14">
        <v>2</v>
      </c>
    </row>
    <row r="158" spans="1:17">
      <c r="A158" s="14" t="s">
        <v>5617</v>
      </c>
      <c r="B158" s="14" t="s">
        <v>330</v>
      </c>
      <c r="C158" s="14" t="s">
        <v>308</v>
      </c>
      <c r="D158" s="19" t="s">
        <v>385</v>
      </c>
      <c r="E158" s="15" t="str">
        <f>HYPERLINK("https://stat100.ameba.jp/tnk47/ratio20/illustrations/card/ill_59673_0_oheyashutendoji03.jpg?202009-5-RELEASE-marathon-491xxx", "■")</f>
        <v>■</v>
      </c>
      <c r="F158" s="14" t="s">
        <v>386</v>
      </c>
      <c r="G158" s="14">
        <v>154800</v>
      </c>
      <c r="H158" s="14">
        <v>166504</v>
      </c>
      <c r="I158" s="14">
        <v>22</v>
      </c>
      <c r="J158" s="14" t="s">
        <v>320</v>
      </c>
      <c r="K158" s="14" t="s">
        <v>387</v>
      </c>
      <c r="L158" s="14" t="s">
        <v>388</v>
      </c>
      <c r="M158" s="14" t="s">
        <v>9158</v>
      </c>
      <c r="N158" s="14" t="s">
        <v>9158</v>
      </c>
      <c r="O158" s="19" t="s">
        <v>10078</v>
      </c>
      <c r="P158" s="14" t="s">
        <v>3022</v>
      </c>
      <c r="Q158" s="14">
        <v>1</v>
      </c>
    </row>
    <row r="159" spans="1:17">
      <c r="A159" s="14" t="s">
        <v>5897</v>
      </c>
      <c r="B159" s="14" t="s">
        <v>52</v>
      </c>
      <c r="C159" s="14" t="s">
        <v>23</v>
      </c>
      <c r="D159" s="19" t="s">
        <v>277</v>
      </c>
      <c r="E159" s="15" t="str">
        <f>HYPERLINK("https://stat100.ameba.jp/tnk47/ratio20/illustrations/card/ill_40913_0_reigyokudensetsufusehime03.jpg?202009-5-RELEASE-marathon-491xxx", "■")</f>
        <v>■</v>
      </c>
      <c r="F159" s="14" t="s">
        <v>955</v>
      </c>
      <c r="G159" s="14">
        <v>120576</v>
      </c>
      <c r="H159" s="14">
        <v>128744</v>
      </c>
      <c r="I159" s="14">
        <v>22</v>
      </c>
      <c r="J159" s="14" t="s">
        <v>38</v>
      </c>
      <c r="K159" s="14" t="s">
        <v>956</v>
      </c>
      <c r="L159" s="14" t="s">
        <v>957</v>
      </c>
      <c r="M159" s="14" t="s">
        <v>9158</v>
      </c>
      <c r="N159" s="14" t="s">
        <v>9158</v>
      </c>
      <c r="O159" s="14" t="s">
        <v>9158</v>
      </c>
      <c r="P159" s="14" t="s">
        <v>9158</v>
      </c>
      <c r="Q159" s="14" t="s">
        <v>9158</v>
      </c>
    </row>
    <row r="160" spans="1:17">
      <c r="A160" s="14">
        <v>88723</v>
      </c>
      <c r="B160" s="14" t="s">
        <v>334</v>
      </c>
      <c r="C160" s="14" t="s">
        <v>107</v>
      </c>
      <c r="D160" s="14" t="s">
        <v>12360</v>
      </c>
      <c r="E160" s="15" t="str">
        <f>HYPERLINK("https://stat100.ameba.jp/tnk47/ratio20/illustrations/card/ill_88723_pammatsurikuressento03.jpg?202009-5-RELEASE-marathon-491xxx", "■")</f>
        <v>■</v>
      </c>
      <c r="F160" s="14" t="s">
        <v>12359</v>
      </c>
      <c r="G160" s="14">
        <v>111523</v>
      </c>
      <c r="H160" s="14">
        <v>198226</v>
      </c>
      <c r="I160" s="14">
        <v>27</v>
      </c>
      <c r="J160" s="14" t="s">
        <v>143</v>
      </c>
      <c r="K160" s="14" t="s">
        <v>12362</v>
      </c>
      <c r="L160" s="14" t="s">
        <v>12361</v>
      </c>
      <c r="M160" s="14" t="s">
        <v>9158</v>
      </c>
      <c r="N160" s="14" t="s">
        <v>9158</v>
      </c>
      <c r="O160" s="14" t="s">
        <v>9158</v>
      </c>
      <c r="P160" s="14" t="s">
        <v>9158</v>
      </c>
      <c r="Q160" s="14" t="s">
        <v>9158</v>
      </c>
    </row>
    <row r="161" spans="1:18">
      <c r="A161" s="9">
        <v>74923</v>
      </c>
      <c r="B161" s="14" t="s">
        <v>334</v>
      </c>
      <c r="C161" s="14" t="s">
        <v>1</v>
      </c>
      <c r="D161" s="14" t="s">
        <v>4573</v>
      </c>
      <c r="E161" s="15" t="str">
        <f>HYPERLINK("https://stat100.ameba.jp/tnk47/ratio20/illustrations/card/ill_74923_amenoshihomimi03.jpg?202009-5-RELEASE-marathon-491xxx", "■")</f>
        <v>■</v>
      </c>
      <c r="F161" s="14" t="s">
        <v>4574</v>
      </c>
      <c r="G161" s="14">
        <v>76512</v>
      </c>
      <c r="H161" s="14">
        <v>136005</v>
      </c>
      <c r="I161" s="14">
        <v>27</v>
      </c>
      <c r="J161" s="14" t="s">
        <v>44</v>
      </c>
      <c r="K161" s="14" t="s">
        <v>4575</v>
      </c>
      <c r="L161" s="14" t="s">
        <v>1209</v>
      </c>
      <c r="M161" s="14" t="s">
        <v>9158</v>
      </c>
      <c r="N161" s="14" t="s">
        <v>9158</v>
      </c>
      <c r="O161" s="14" t="s">
        <v>9158</v>
      </c>
      <c r="P161" s="14" t="s">
        <v>9158</v>
      </c>
      <c r="Q161" s="14" t="s">
        <v>9158</v>
      </c>
    </row>
    <row r="162" spans="1:18">
      <c r="A162" s="7">
        <v>85573</v>
      </c>
      <c r="B162" s="7" t="s">
        <v>0</v>
      </c>
      <c r="C162" s="7" t="s">
        <v>191</v>
      </c>
      <c r="D162" s="20" t="s">
        <v>10824</v>
      </c>
      <c r="E162" s="15" t="str">
        <f>HYPERLINK("https://stat100.ameba.jp/tnk47/ratio20/illustrations/card/ill_85573_kurisumasuotezutsuhanabisan03.jpg?202009-5-RELEASE-marathon-491xxx", "■")</f>
        <v>■</v>
      </c>
      <c r="F162" s="7" t="s">
        <v>8404</v>
      </c>
      <c r="G162" s="7">
        <v>114362</v>
      </c>
      <c r="H162" s="7">
        <v>123002</v>
      </c>
      <c r="I162" s="7">
        <v>27</v>
      </c>
      <c r="J162" s="7" t="s">
        <v>229</v>
      </c>
      <c r="K162" s="7" t="s">
        <v>8403</v>
      </c>
      <c r="L162" s="7" t="s">
        <v>7427</v>
      </c>
      <c r="M162" s="14" t="s">
        <v>9158</v>
      </c>
      <c r="N162" s="14" t="s">
        <v>9158</v>
      </c>
      <c r="O162" s="14" t="s">
        <v>9158</v>
      </c>
      <c r="P162" s="14" t="s">
        <v>9158</v>
      </c>
      <c r="Q162" s="14" t="s">
        <v>9158</v>
      </c>
    </row>
    <row r="164" spans="1:18">
      <c r="A164" s="14" t="s">
        <v>14726</v>
      </c>
    </row>
    <row r="165" spans="1:18">
      <c r="A165" s="14" t="s">
        <v>14727</v>
      </c>
    </row>
    <row r="166" spans="1:18">
      <c r="A166" s="14">
        <v>91815</v>
      </c>
      <c r="B166" s="14" t="s">
        <v>0</v>
      </c>
      <c r="C166" s="14" t="s">
        <v>202</v>
      </c>
      <c r="D166" s="18" t="s">
        <v>14728</v>
      </c>
      <c r="E166" s="15" t="str">
        <f>HYPERLINK("https://stat100.ameba.jp/tnk47/ratio20/illustrations/card/ill_91815_mahogakkomisuheiro05.jpg?202009-5-RELEASE-marathon-491xxx", "■")</f>
        <v>■</v>
      </c>
      <c r="F166" s="14" t="s">
        <v>14730</v>
      </c>
      <c r="G166" s="14">
        <v>131636</v>
      </c>
      <c r="H166" s="14">
        <v>95308</v>
      </c>
      <c r="I166" s="14">
        <v>28</v>
      </c>
      <c r="J166" s="14" t="s">
        <v>16</v>
      </c>
      <c r="K166" s="14" t="s">
        <v>14729</v>
      </c>
      <c r="L166" s="14" t="s">
        <v>14197</v>
      </c>
      <c r="M166" s="14" t="s">
        <v>9158</v>
      </c>
      <c r="N166" s="14" t="s">
        <v>9158</v>
      </c>
      <c r="O166" s="14" t="s">
        <v>9158</v>
      </c>
      <c r="P166" s="14" t="s">
        <v>9158</v>
      </c>
      <c r="Q166" s="14" t="s">
        <v>9158</v>
      </c>
      <c r="R166" s="14" t="s">
        <v>174</v>
      </c>
    </row>
    <row r="167" spans="1:18">
      <c r="A167" s="14">
        <v>91813</v>
      </c>
      <c r="B167" s="14" t="s">
        <v>15</v>
      </c>
      <c r="C167" s="14" t="s">
        <v>41</v>
      </c>
      <c r="D167" s="18" t="s">
        <v>14728</v>
      </c>
      <c r="E167" s="15" t="str">
        <f>HYPERLINK("https://stat100.ameba.jp/tnk47/ratio20/illustrations/card/ill_91813_mahogakkomisuheiro03.jpg?202009-5-RELEASE-marathon-491xxx", "■")</f>
        <v>■</v>
      </c>
      <c r="F167" s="14" t="s">
        <v>14730</v>
      </c>
      <c r="G167" s="14">
        <v>96978</v>
      </c>
      <c r="H167" s="14">
        <v>70218</v>
      </c>
      <c r="I167" s="14">
        <v>28</v>
      </c>
      <c r="J167" s="14" t="s">
        <v>16</v>
      </c>
      <c r="K167" s="14" t="s">
        <v>14729</v>
      </c>
      <c r="L167" s="14" t="s">
        <v>14731</v>
      </c>
      <c r="M167" s="14" t="s">
        <v>9158</v>
      </c>
      <c r="N167" s="14" t="s">
        <v>9158</v>
      </c>
      <c r="O167" s="14" t="s">
        <v>9158</v>
      </c>
      <c r="P167" s="14" t="s">
        <v>9158</v>
      </c>
      <c r="Q167" s="14" t="s">
        <v>9158</v>
      </c>
      <c r="R167" s="14" t="s">
        <v>175</v>
      </c>
    </row>
    <row r="168" spans="1:18">
      <c r="A168" s="14">
        <v>91811</v>
      </c>
      <c r="B168" s="14" t="s">
        <v>15</v>
      </c>
      <c r="C168" s="14" t="s">
        <v>41</v>
      </c>
      <c r="D168" s="18" t="s">
        <v>14728</v>
      </c>
      <c r="E168" s="15" t="str">
        <f>HYPERLINK("https://stat100.ameba.jp/tnk47/ratio20/illustrations/card/ill_91811_mahogakkomisuheiro01.jpg?202009-5-RELEASE-marathon-491xxx", "■")</f>
        <v>■</v>
      </c>
      <c r="F168" s="14" t="s">
        <v>14730</v>
      </c>
      <c r="G168" s="14">
        <v>61684</v>
      </c>
      <c r="H168" s="14">
        <v>44660</v>
      </c>
      <c r="I168" s="14">
        <v>28</v>
      </c>
      <c r="J168" s="14" t="s">
        <v>16</v>
      </c>
      <c r="K168" s="14" t="s">
        <v>14729</v>
      </c>
      <c r="L168" s="14" t="s">
        <v>14732</v>
      </c>
      <c r="M168" s="14" t="s">
        <v>9158</v>
      </c>
      <c r="N168" s="14" t="s">
        <v>9158</v>
      </c>
      <c r="O168" s="14" t="s">
        <v>9158</v>
      </c>
      <c r="P168" s="14" t="s">
        <v>9158</v>
      </c>
      <c r="Q168" s="14" t="s">
        <v>9158</v>
      </c>
      <c r="R168" s="14" t="s">
        <v>176</v>
      </c>
    </row>
    <row r="170" spans="1:18">
      <c r="A170" s="14" t="s">
        <v>14724</v>
      </c>
    </row>
    <row r="171" spans="1:18">
      <c r="A171" s="14" t="s">
        <v>14725</v>
      </c>
    </row>
    <row r="172" spans="1:18">
      <c r="A172" s="14" t="s">
        <v>5778</v>
      </c>
      <c r="B172" s="14" t="s">
        <v>330</v>
      </c>
      <c r="C172" s="14" t="s">
        <v>205</v>
      </c>
      <c r="D172" s="19" t="s">
        <v>272</v>
      </c>
      <c r="E172" s="15" t="str">
        <f>HYPERLINK("https://stat100.ameba.jp/tnk47/ratio20/illustrations/card/ill_68783_0_gantammomotaro03.jpg?202009-5-RELEASE-marathon-491xxx", "■")</f>
        <v>■</v>
      </c>
      <c r="F172" s="14" t="s">
        <v>273</v>
      </c>
      <c r="G172" s="14">
        <v>170984</v>
      </c>
      <c r="H172" s="14">
        <v>158951</v>
      </c>
      <c r="I172" s="14">
        <v>25</v>
      </c>
      <c r="J172" s="14" t="s">
        <v>274</v>
      </c>
      <c r="K172" s="14" t="s">
        <v>275</v>
      </c>
      <c r="L172" s="14" t="s">
        <v>276</v>
      </c>
      <c r="M172" s="14" t="s">
        <v>9158</v>
      </c>
      <c r="N172" s="14" t="s">
        <v>9158</v>
      </c>
      <c r="O172" s="19" t="s">
        <v>10099</v>
      </c>
      <c r="P172" s="14" t="s">
        <v>3085</v>
      </c>
      <c r="Q172" s="14">
        <v>1</v>
      </c>
    </row>
    <row r="173" spans="1:18">
      <c r="A173" s="9">
        <v>72923</v>
      </c>
      <c r="B173" s="14" t="s">
        <v>0</v>
      </c>
      <c r="C173" s="14" t="s">
        <v>206</v>
      </c>
      <c r="D173" s="14" t="s">
        <v>1836</v>
      </c>
      <c r="E173" s="15" t="str">
        <f>HYPERLINK("https://stat100.ameba.jp/tnk47/ratio20/illustrations/card/ill_72923_amenohanayomemyorinni03.jpg?202009-5-RELEASE-marathon-491xxx", "■")</f>
        <v>■</v>
      </c>
      <c r="F173" s="14" t="s">
        <v>1837</v>
      </c>
      <c r="G173" s="14">
        <v>143714</v>
      </c>
      <c r="H173" s="14">
        <v>154562</v>
      </c>
      <c r="I173" s="14">
        <v>26</v>
      </c>
      <c r="J173" s="14" t="s">
        <v>194</v>
      </c>
      <c r="K173" s="14" t="s">
        <v>1838</v>
      </c>
      <c r="L173" s="14" t="s">
        <v>13160</v>
      </c>
      <c r="M173" s="14" t="s">
        <v>9158</v>
      </c>
      <c r="N173" s="14" t="s">
        <v>9158</v>
      </c>
      <c r="O173" s="9" t="s">
        <v>2752</v>
      </c>
      <c r="P173" s="14" t="s">
        <v>13123</v>
      </c>
      <c r="Q173" s="14">
        <v>1</v>
      </c>
    </row>
    <row r="174" spans="1:18">
      <c r="A174" s="14">
        <v>62043</v>
      </c>
      <c r="B174" s="14" t="s">
        <v>0</v>
      </c>
      <c r="C174" s="14" t="s">
        <v>158</v>
      </c>
      <c r="D174" s="20" t="s">
        <v>10233</v>
      </c>
      <c r="E174" s="15" t="str">
        <f>HYPERLINK("https://stat100.ameba.jp/tnk47/ratio20/illustrations/card/ill_62043_niutsuhimenookami03.jpg?202009-5-RELEASE-marathon-491xxx", "■")</f>
        <v>■</v>
      </c>
      <c r="F174" s="14" t="s">
        <v>2022</v>
      </c>
      <c r="G174" s="14">
        <v>85962</v>
      </c>
      <c r="H174" s="14">
        <v>118684</v>
      </c>
      <c r="I174" s="14">
        <v>26</v>
      </c>
      <c r="J174" s="14" t="s">
        <v>169</v>
      </c>
      <c r="K174" s="14" t="s">
        <v>2023</v>
      </c>
      <c r="L174" s="14" t="s">
        <v>13144</v>
      </c>
      <c r="M174" s="14" t="s">
        <v>9158</v>
      </c>
      <c r="N174" s="14" t="s">
        <v>9158</v>
      </c>
      <c r="O174" s="19" t="s">
        <v>10093</v>
      </c>
      <c r="P174" s="14" t="s">
        <v>13145</v>
      </c>
      <c r="Q174" s="14">
        <v>1</v>
      </c>
    </row>
    <row r="175" spans="1:18">
      <c r="A175" s="14">
        <v>75083</v>
      </c>
      <c r="B175" s="14" t="s">
        <v>334</v>
      </c>
      <c r="C175" s="14" t="s">
        <v>209</v>
      </c>
      <c r="D175" s="19" t="s">
        <v>10401</v>
      </c>
      <c r="E175" s="15" t="str">
        <f>HYPERLINK("https://stat100.ameba.jp/tnk47/ratio20/illustrations/card/ill_75083_sukumizuhanakosan03.jpg?202009-5-RELEASE-marathon-491xxx", "■")</f>
        <v>■</v>
      </c>
      <c r="F175" s="14" t="s">
        <v>1020</v>
      </c>
      <c r="G175" s="14">
        <v>121240</v>
      </c>
      <c r="H175" s="14">
        <v>87834</v>
      </c>
      <c r="I175" s="14">
        <v>26</v>
      </c>
      <c r="J175" s="14" t="s">
        <v>73</v>
      </c>
      <c r="K175" s="14" t="s">
        <v>1021</v>
      </c>
      <c r="L175" s="14" t="s">
        <v>1022</v>
      </c>
      <c r="M175" s="14" t="s">
        <v>9158</v>
      </c>
      <c r="N175" s="14" t="s">
        <v>9158</v>
      </c>
      <c r="O175" s="19" t="s">
        <v>10105</v>
      </c>
      <c r="P175" s="14" t="s">
        <v>3416</v>
      </c>
      <c r="Q175" s="14">
        <v>1</v>
      </c>
    </row>
    <row r="177" spans="1:17">
      <c r="A177" s="14" t="s">
        <v>14735</v>
      </c>
    </row>
    <row r="178" spans="1:17">
      <c r="A178" s="14" t="s">
        <v>14736</v>
      </c>
    </row>
    <row r="179" spans="1:17">
      <c r="A179" s="14" t="s">
        <v>5603</v>
      </c>
      <c r="B179" s="14" t="s">
        <v>330</v>
      </c>
      <c r="C179" s="14" t="s">
        <v>205</v>
      </c>
      <c r="D179" s="20" t="s">
        <v>611</v>
      </c>
      <c r="E179" s="15" t="str">
        <f>HYPERLINK("https://stat100.ameba.jp/tnk47/ratio20/illustrations/card/ill_61893_0_onikirishumiyamotomusashi03.jpg?202009-5-RELEASE-marathon-491xxx", "■")</f>
        <v>■</v>
      </c>
      <c r="F179" s="14" t="s">
        <v>612</v>
      </c>
      <c r="G179" s="14">
        <v>224026</v>
      </c>
      <c r="H179" s="14">
        <v>208310</v>
      </c>
      <c r="I179" s="14">
        <v>24</v>
      </c>
      <c r="J179" s="14" t="s">
        <v>310</v>
      </c>
      <c r="K179" s="14" t="s">
        <v>613</v>
      </c>
      <c r="L179" s="14" t="s">
        <v>312</v>
      </c>
      <c r="M179" s="14" t="s">
        <v>9158</v>
      </c>
      <c r="N179" s="14" t="s">
        <v>9158</v>
      </c>
      <c r="O179" s="19" t="s">
        <v>10071</v>
      </c>
      <c r="P179" s="14" t="s">
        <v>3253</v>
      </c>
      <c r="Q179" s="14">
        <v>1</v>
      </c>
    </row>
    <row r="180" spans="1:17">
      <c r="A180" s="14" t="s">
        <v>5848</v>
      </c>
      <c r="B180" s="14" t="s">
        <v>52</v>
      </c>
      <c r="C180" s="14" t="s">
        <v>200</v>
      </c>
      <c r="D180" s="20" t="s">
        <v>3160</v>
      </c>
      <c r="E180" s="15" t="str">
        <f>HYPERLINK("https://stat100.ameba.jp/tnk47/ratio20/illustrations/card/ill_72963_0_amenohanayomehiguchiichiyo03.jpg?202009-5-RELEASE-marathon-491xxx", "■")</f>
        <v>■</v>
      </c>
      <c r="F180" s="14" t="s">
        <v>1139</v>
      </c>
      <c r="G180" s="14">
        <v>160804</v>
      </c>
      <c r="H180" s="14">
        <v>149520</v>
      </c>
      <c r="I180" s="14">
        <v>24</v>
      </c>
      <c r="J180" s="14" t="s">
        <v>10</v>
      </c>
      <c r="K180" s="14" t="s">
        <v>1140</v>
      </c>
      <c r="L180" s="14" t="s">
        <v>1141</v>
      </c>
      <c r="M180" s="14" t="s">
        <v>9158</v>
      </c>
      <c r="N180" s="14" t="s">
        <v>9158</v>
      </c>
      <c r="O180" s="19" t="s">
        <v>3162</v>
      </c>
      <c r="P180" s="14" t="s">
        <v>3410</v>
      </c>
      <c r="Q180" s="14">
        <v>1</v>
      </c>
    </row>
    <row r="181" spans="1:17">
      <c r="A181" s="14" t="s">
        <v>5830</v>
      </c>
      <c r="B181" s="14" t="s">
        <v>330</v>
      </c>
      <c r="C181" s="14" t="s">
        <v>191</v>
      </c>
      <c r="D181" s="19" t="s">
        <v>793</v>
      </c>
      <c r="E181" s="15" t="str">
        <f>HYPERLINK("https://stat100.ameba.jp/tnk47/ratio20/illustrations/card/ill_39933_0_reihiiinaotora03.jpg?202009-5-RELEASE-marathon-491xxx", "■")</f>
        <v>■</v>
      </c>
      <c r="F181" s="14" t="s">
        <v>794</v>
      </c>
      <c r="G181" s="14">
        <v>131538</v>
      </c>
      <c r="H181" s="14">
        <v>140448</v>
      </c>
      <c r="I181" s="14">
        <v>24</v>
      </c>
      <c r="J181" s="14" t="s">
        <v>315</v>
      </c>
      <c r="K181" s="14" t="s">
        <v>795</v>
      </c>
      <c r="L181" s="14" t="s">
        <v>796</v>
      </c>
      <c r="M181" s="14" t="s">
        <v>9158</v>
      </c>
      <c r="N181" s="14" t="s">
        <v>9158</v>
      </c>
      <c r="O181" s="14" t="s">
        <v>9158</v>
      </c>
      <c r="P181" s="14" t="s">
        <v>9158</v>
      </c>
      <c r="Q181" s="14" t="s">
        <v>9158</v>
      </c>
    </row>
    <row r="182" spans="1:17">
      <c r="A182" s="14">
        <v>91873</v>
      </c>
      <c r="B182" s="14" t="s">
        <v>0</v>
      </c>
      <c r="C182" s="14" t="s">
        <v>185</v>
      </c>
      <c r="D182" s="14" t="s">
        <v>14698</v>
      </c>
      <c r="E182" s="15" t="str">
        <f>HYPERLINK("https://stat100.ameba.jp/tnk47/ratio20/illustrations/card/ill_91873_mahogakkosabanto03.jpg?202009-5-RELEASE-marathon-491xxx", "■")</f>
        <v>■</v>
      </c>
      <c r="F182" s="14" t="s">
        <v>14697</v>
      </c>
      <c r="G182" s="14">
        <v>98594</v>
      </c>
      <c r="H182" s="14">
        <v>106050</v>
      </c>
      <c r="I182" s="7">
        <v>26</v>
      </c>
      <c r="J182" s="14" t="s">
        <v>14696</v>
      </c>
      <c r="K182" s="14" t="s">
        <v>14695</v>
      </c>
      <c r="L182" s="14" t="s">
        <v>14694</v>
      </c>
      <c r="M182" s="14" t="s">
        <v>9158</v>
      </c>
      <c r="N182" s="14" t="s">
        <v>9158</v>
      </c>
      <c r="O182" s="14" t="s">
        <v>9158</v>
      </c>
      <c r="P182" s="14" t="s">
        <v>9158</v>
      </c>
      <c r="Q182" s="14" t="s">
        <v>9158</v>
      </c>
    </row>
    <row r="183" spans="1:17">
      <c r="A183" s="14">
        <v>91893</v>
      </c>
      <c r="B183" s="14" t="s">
        <v>14691</v>
      </c>
      <c r="C183" s="14" t="s">
        <v>14710</v>
      </c>
      <c r="D183" s="14" t="s">
        <v>14709</v>
      </c>
      <c r="E183" s="15" t="str">
        <f>HYPERLINK("https://stat100.ameba.jp/tnk47/ratio20/illustrations/card/ill_91893_miwakunoitchi03.jpg?202009-5-RELEASE-marathon-491xxx", "■")</f>
        <v>■</v>
      </c>
      <c r="F183" s="14" t="s">
        <v>14708</v>
      </c>
      <c r="G183" s="14">
        <v>77064</v>
      </c>
      <c r="H183" s="14">
        <v>69898</v>
      </c>
      <c r="I183" s="7">
        <v>26</v>
      </c>
      <c r="J183" s="14" t="s">
        <v>14707</v>
      </c>
      <c r="K183" s="14" t="s">
        <v>14706</v>
      </c>
      <c r="L183" s="14" t="s">
        <v>14705</v>
      </c>
      <c r="M183" s="14" t="s">
        <v>9158</v>
      </c>
      <c r="N183" s="14" t="s">
        <v>9158</v>
      </c>
      <c r="O183" s="14" t="s">
        <v>9158</v>
      </c>
      <c r="P183" s="14" t="s">
        <v>9158</v>
      </c>
      <c r="Q183" s="14" t="s">
        <v>9158</v>
      </c>
    </row>
    <row r="184" spans="1:17">
      <c r="A184" s="14">
        <v>91903</v>
      </c>
      <c r="B184" s="14" t="s">
        <v>14692</v>
      </c>
      <c r="C184" s="14" t="s">
        <v>14716</v>
      </c>
      <c r="D184" s="14" t="s">
        <v>14715</v>
      </c>
      <c r="E184" s="15" t="str">
        <f>HYPERLINK("https://stat100.ameba.jp/tnk47/ratio20/illustrations/card/ill_91903_makaisusukichan03.jpg?202009-5-RELEASE-marathon-491xxx", "■")</f>
        <v>■</v>
      </c>
      <c r="F184" s="14" t="s">
        <v>14714</v>
      </c>
      <c r="G184" s="14">
        <v>44948</v>
      </c>
      <c r="H184" s="14">
        <v>54058</v>
      </c>
      <c r="I184" s="7">
        <v>26</v>
      </c>
      <c r="J184" s="14" t="s">
        <v>14713</v>
      </c>
      <c r="K184" s="14" t="s">
        <v>14712</v>
      </c>
      <c r="L184" s="14" t="s">
        <v>14711</v>
      </c>
      <c r="M184" s="14" t="s">
        <v>9158</v>
      </c>
      <c r="N184" s="14" t="s">
        <v>9158</v>
      </c>
      <c r="O184" s="14" t="s">
        <v>9158</v>
      </c>
      <c r="P184" s="14" t="s">
        <v>9158</v>
      </c>
      <c r="Q184" s="14" t="s">
        <v>9158</v>
      </c>
    </row>
    <row r="185" spans="1:17">
      <c r="A185" s="14">
        <v>91913</v>
      </c>
      <c r="B185" s="14" t="s">
        <v>14692</v>
      </c>
      <c r="C185" s="14" t="s">
        <v>14722</v>
      </c>
      <c r="D185" s="14" t="s">
        <v>14721</v>
      </c>
      <c r="E185" s="15" t="str">
        <f>HYPERLINK("https://stat100.ameba.jp/tnk47/ratio20/illustrations/card/ill_91913_mahoushoujooryou03.jpg?202009-5-RELEASE-marathon-491xxx", "■")</f>
        <v>■</v>
      </c>
      <c r="F185" s="14" t="s">
        <v>14720</v>
      </c>
      <c r="G185" s="14">
        <v>54058</v>
      </c>
      <c r="H185" s="14">
        <v>44948</v>
      </c>
      <c r="I185" s="7">
        <v>26</v>
      </c>
      <c r="J185" s="14" t="s">
        <v>14719</v>
      </c>
      <c r="K185" s="14" t="s">
        <v>14718</v>
      </c>
      <c r="L185" s="14" t="s">
        <v>14717</v>
      </c>
      <c r="M185" s="14" t="s">
        <v>9158</v>
      </c>
      <c r="N185" s="14" t="s">
        <v>9158</v>
      </c>
      <c r="O185" s="14" t="s">
        <v>9158</v>
      </c>
      <c r="P185" s="14" t="s">
        <v>9158</v>
      </c>
      <c r="Q185" s="14" t="s">
        <v>9158</v>
      </c>
    </row>
    <row r="187" spans="1:17">
      <c r="A187" s="14" t="s">
        <v>14738</v>
      </c>
    </row>
    <row r="188" spans="1:17">
      <c r="A188" s="14" t="s">
        <v>14737</v>
      </c>
    </row>
    <row r="189" spans="1:17">
      <c r="A189" s="14" t="s">
        <v>6508</v>
      </c>
      <c r="B189" s="14" t="s">
        <v>330</v>
      </c>
      <c r="C189" s="14" t="s">
        <v>35</v>
      </c>
      <c r="D189" s="20" t="s">
        <v>10168</v>
      </c>
      <c r="E189" s="15" t="str">
        <f>HYPERLINK("https://stat100.ameba.jp/tnk47/ratio20/illustrations/card/ill_81783_0_denshagarukoteipenginchan03.jpg?202009-5-RELEASE-marathon-491xxx", "■")</f>
        <v>■</v>
      </c>
      <c r="F189" s="14" t="s">
        <v>4834</v>
      </c>
      <c r="G189" s="14">
        <v>313989</v>
      </c>
      <c r="H189" s="14">
        <v>283765</v>
      </c>
      <c r="I189" s="14">
        <v>27</v>
      </c>
      <c r="J189" s="14" t="s">
        <v>26</v>
      </c>
      <c r="K189" s="14" t="s">
        <v>4836</v>
      </c>
      <c r="L189" s="14" t="s">
        <v>1783</v>
      </c>
      <c r="M189" s="14" t="s">
        <v>9158</v>
      </c>
      <c r="N189" s="14" t="s">
        <v>9158</v>
      </c>
      <c r="O189" s="19" t="s">
        <v>10124</v>
      </c>
      <c r="P189" s="14" t="s">
        <v>4838</v>
      </c>
      <c r="Q189" s="14">
        <v>1</v>
      </c>
    </row>
    <row r="190" spans="1:17">
      <c r="A190" s="9" t="s">
        <v>5733</v>
      </c>
      <c r="B190" s="14" t="s">
        <v>330</v>
      </c>
      <c r="C190" s="14" t="s">
        <v>202</v>
      </c>
      <c r="D190" s="14" t="s">
        <v>2744</v>
      </c>
      <c r="E190" s="15" t="str">
        <f>HYPERLINK("https://stat100.ameba.jp/tnk47/ratio20/illustrations/card/ill_78693_0_kyupittokoinomikoto03.jpg?202009-5-RELEASE-marathon-491xxx", "■")</f>
        <v>■</v>
      </c>
      <c r="F190" s="14" t="s">
        <v>2745</v>
      </c>
      <c r="G190" s="14">
        <v>282956</v>
      </c>
      <c r="H190" s="14">
        <v>313081</v>
      </c>
      <c r="I190" s="14">
        <v>27</v>
      </c>
      <c r="J190" s="14" t="s">
        <v>274</v>
      </c>
      <c r="K190" s="14" t="s">
        <v>2746</v>
      </c>
      <c r="L190" s="14" t="s">
        <v>2747</v>
      </c>
      <c r="M190" s="14" t="s">
        <v>9158</v>
      </c>
      <c r="N190" s="14" t="s">
        <v>9158</v>
      </c>
      <c r="O190" s="18" t="s">
        <v>10067</v>
      </c>
      <c r="P190" s="14" t="s">
        <v>2748</v>
      </c>
      <c r="Q190" s="14">
        <v>1</v>
      </c>
    </row>
    <row r="191" spans="1:17">
      <c r="A191" s="14" t="s">
        <v>6132</v>
      </c>
      <c r="B191" s="14" t="s">
        <v>52</v>
      </c>
      <c r="C191" s="14" t="s">
        <v>205</v>
      </c>
      <c r="D191" s="19" t="s">
        <v>702</v>
      </c>
      <c r="E191" s="15" t="str">
        <f>HYPERLINK("https://stat100.ameba.jp/tnk47/ratio20/illustrations/card/ill_50693_0_hanamizugimimuratsuru03.jpg?202009-5-RELEASE-marathon-491xxx", "■")</f>
        <v>■</v>
      </c>
      <c r="F191" s="14" t="s">
        <v>2282</v>
      </c>
      <c r="G191" s="14">
        <v>145100</v>
      </c>
      <c r="H191" s="14">
        <v>163342</v>
      </c>
      <c r="I191" s="14">
        <v>26</v>
      </c>
      <c r="J191" s="14" t="s">
        <v>143</v>
      </c>
      <c r="K191" s="14" t="s">
        <v>2283</v>
      </c>
      <c r="L191" s="14" t="s">
        <v>2284</v>
      </c>
      <c r="M191" s="14" t="s">
        <v>9158</v>
      </c>
      <c r="N191" s="14" t="s">
        <v>9158</v>
      </c>
      <c r="O191" s="14" t="s">
        <v>9158</v>
      </c>
      <c r="P191" s="14" t="s">
        <v>9158</v>
      </c>
      <c r="Q191" s="14" t="s">
        <v>9158</v>
      </c>
    </row>
    <row r="192" spans="1:17">
      <c r="A192" s="14">
        <v>81303</v>
      </c>
      <c r="B192" s="14" t="s">
        <v>334</v>
      </c>
      <c r="C192" s="14" t="s">
        <v>41</v>
      </c>
      <c r="D192" s="20" t="s">
        <v>10349</v>
      </c>
      <c r="E192" s="15" t="str">
        <f>HYPERLINK("https://stat100.ameba.jp/tnk47/ratio20/illustrations/card/ill_81303_suteirukuin03.jpg?202009-5-RELEASE-marathon-491xxx", "■")</f>
        <v>■</v>
      </c>
      <c r="F192" s="14" t="s">
        <v>4581</v>
      </c>
      <c r="G192" s="14">
        <v>125296</v>
      </c>
      <c r="H192" s="14">
        <v>172982</v>
      </c>
      <c r="I192" s="14">
        <v>26</v>
      </c>
      <c r="J192" s="14" t="s">
        <v>104</v>
      </c>
      <c r="K192" s="14" t="s">
        <v>4582</v>
      </c>
      <c r="L192" s="14" t="s">
        <v>2304</v>
      </c>
      <c r="M192" s="14" t="s">
        <v>9158</v>
      </c>
      <c r="N192" s="14" t="s">
        <v>9158</v>
      </c>
      <c r="O192" s="19" t="s">
        <v>10084</v>
      </c>
      <c r="P192" s="14" t="s">
        <v>4584</v>
      </c>
      <c r="Q192" s="14">
        <v>1</v>
      </c>
    </row>
    <row r="193" spans="1:18">
      <c r="A193" s="14">
        <v>73893</v>
      </c>
      <c r="B193" s="14" t="s">
        <v>334</v>
      </c>
      <c r="C193" s="14" t="s">
        <v>203</v>
      </c>
      <c r="D193" s="19" t="s">
        <v>10388</v>
      </c>
      <c r="E193" s="15" t="str">
        <f>HYPERLINK("https://stat100.ameba.jp/tnk47/ratio20/illustrations/card/ill_73893_kurohachidaimyojintookami03.jpg?202009-5-RELEASE-marathon-491xxx", "■")</f>
        <v>■</v>
      </c>
      <c r="F193" s="14" t="s">
        <v>685</v>
      </c>
      <c r="G193" s="14">
        <v>132684</v>
      </c>
      <c r="H193" s="14">
        <v>96100</v>
      </c>
      <c r="I193" s="14">
        <v>26</v>
      </c>
      <c r="J193" s="14" t="s">
        <v>274</v>
      </c>
      <c r="K193" s="14" t="s">
        <v>686</v>
      </c>
      <c r="L193" s="14" t="s">
        <v>428</v>
      </c>
      <c r="M193" s="14" t="s">
        <v>9158</v>
      </c>
      <c r="N193" s="14" t="s">
        <v>9158</v>
      </c>
      <c r="O193" s="19" t="s">
        <v>10100</v>
      </c>
      <c r="P193" s="14" t="s">
        <v>3810</v>
      </c>
      <c r="Q193" s="14">
        <v>1</v>
      </c>
    </row>
    <row r="194" spans="1:18">
      <c r="A194" s="14">
        <v>65643</v>
      </c>
      <c r="B194" s="14" t="s">
        <v>0</v>
      </c>
      <c r="C194" s="14" t="s">
        <v>209</v>
      </c>
      <c r="D194" s="20" t="s">
        <v>1681</v>
      </c>
      <c r="E194" s="15" t="str">
        <f>HYPERLINK("https://stat100.ameba.jp/tnk47/ratio20/illustrations/card/ill_65643_shitompekamui03.jpg?202009-5-RELEASE-marathon-491xxx", "■")</f>
        <v>■</v>
      </c>
      <c r="F194" s="14" t="s">
        <v>1250</v>
      </c>
      <c r="G194" s="14">
        <v>85962</v>
      </c>
      <c r="H194" s="14">
        <v>118684</v>
      </c>
      <c r="I194" s="14">
        <v>26</v>
      </c>
      <c r="J194" s="14" t="s">
        <v>44</v>
      </c>
      <c r="K194" s="14" t="s">
        <v>1251</v>
      </c>
      <c r="L194" s="14" t="s">
        <v>1252</v>
      </c>
      <c r="M194" s="14" t="s">
        <v>9158</v>
      </c>
      <c r="N194" s="14" t="s">
        <v>9158</v>
      </c>
      <c r="O194" s="19" t="s">
        <v>10096</v>
      </c>
      <c r="P194" s="14" t="s">
        <v>3245</v>
      </c>
      <c r="Q194" s="14">
        <v>1</v>
      </c>
    </row>
    <row r="195" spans="1:18">
      <c r="A195" s="14">
        <v>77683</v>
      </c>
      <c r="B195" s="14" t="s">
        <v>0</v>
      </c>
      <c r="C195" s="14" t="s">
        <v>203</v>
      </c>
      <c r="D195" s="20" t="s">
        <v>10220</v>
      </c>
      <c r="E195" s="15" t="str">
        <f>HYPERLINK("https://stat100.ameba.jp/tnk47/ratio20/illustrations/card/ill_77683_shukusainoujohoride03.jpg?202009-5-RELEASE-marathon-491xxx", "■")</f>
        <v>■</v>
      </c>
      <c r="F195" s="14" t="s">
        <v>1430</v>
      </c>
      <c r="G195" s="14">
        <v>113630</v>
      </c>
      <c r="H195" s="14">
        <v>82318</v>
      </c>
      <c r="I195" s="14">
        <v>26</v>
      </c>
      <c r="J195" s="14" t="s">
        <v>315</v>
      </c>
      <c r="K195" s="14" t="s">
        <v>1431</v>
      </c>
      <c r="L195" s="14" t="s">
        <v>1432</v>
      </c>
      <c r="M195" s="14" t="s">
        <v>9158</v>
      </c>
      <c r="N195" s="14" t="s">
        <v>9158</v>
      </c>
      <c r="O195" s="19" t="s">
        <v>10090</v>
      </c>
      <c r="P195" s="14" t="s">
        <v>3460</v>
      </c>
      <c r="Q195" s="14">
        <v>1</v>
      </c>
    </row>
    <row r="196" spans="1:18">
      <c r="A196" s="14">
        <v>76793</v>
      </c>
      <c r="B196" s="14" t="s">
        <v>334</v>
      </c>
      <c r="C196" s="14" t="s">
        <v>268</v>
      </c>
      <c r="D196" s="20" t="s">
        <v>425</v>
      </c>
      <c r="E196" s="15" t="str">
        <f>HYPERLINK("https://stat100.ameba.jp/tnk47/ratio20/illustrations/card/ill_76793_monsutatamatebako03.jpg?202009-5-RELEASE-marathon-491xxx", "■")</f>
        <v>■</v>
      </c>
      <c r="F196" s="14" t="s">
        <v>426</v>
      </c>
      <c r="G196" s="14">
        <v>118000</v>
      </c>
      <c r="H196" s="14">
        <v>85492</v>
      </c>
      <c r="I196" s="14">
        <v>26</v>
      </c>
      <c r="J196" s="14" t="s">
        <v>274</v>
      </c>
      <c r="K196" s="14" t="s">
        <v>427</v>
      </c>
      <c r="L196" s="14" t="s">
        <v>428</v>
      </c>
      <c r="M196" s="14" t="s">
        <v>9158</v>
      </c>
      <c r="N196" s="14" t="s">
        <v>9158</v>
      </c>
      <c r="O196" s="19" t="s">
        <v>3037</v>
      </c>
      <c r="P196" s="14" t="s">
        <v>13128</v>
      </c>
      <c r="Q196" s="14">
        <v>1</v>
      </c>
    </row>
    <row r="197" spans="1:18">
      <c r="A197" s="14">
        <v>75873</v>
      </c>
      <c r="B197" s="14" t="s">
        <v>334</v>
      </c>
      <c r="C197" s="14" t="s">
        <v>209</v>
      </c>
      <c r="D197" s="19" t="s">
        <v>10221</v>
      </c>
      <c r="E197" s="15" t="str">
        <f>HYPERLINK("https://stat100.ameba.jp/tnk47/ratio20/illustrations/card/ill_75873_harajukuroriitachan03.jpg?202009-5-RELEASE-marathon-491xxx", "■")</f>
        <v>■</v>
      </c>
      <c r="F197" s="14" t="s">
        <v>1945</v>
      </c>
      <c r="G197" s="14">
        <v>114176</v>
      </c>
      <c r="H197" s="14">
        <v>122786</v>
      </c>
      <c r="I197" s="14">
        <v>26</v>
      </c>
      <c r="J197" s="14" t="s">
        <v>26</v>
      </c>
      <c r="K197" s="14" t="s">
        <v>1946</v>
      </c>
      <c r="L197" s="14" t="s">
        <v>1947</v>
      </c>
      <c r="M197" s="14" t="s">
        <v>9158</v>
      </c>
      <c r="N197" s="14" t="s">
        <v>9158</v>
      </c>
      <c r="O197" s="19" t="s">
        <v>2752</v>
      </c>
      <c r="P197" s="14" t="s">
        <v>13123</v>
      </c>
      <c r="Q197" s="14">
        <v>1</v>
      </c>
    </row>
    <row r="199" spans="1:18">
      <c r="A199" s="14" t="s">
        <v>14739</v>
      </c>
    </row>
    <row r="200" spans="1:18">
      <c r="A200" s="14" t="s">
        <v>14740</v>
      </c>
    </row>
    <row r="201" spans="1:18">
      <c r="A201" s="14" t="s">
        <v>5619</v>
      </c>
      <c r="B201" s="14" t="s">
        <v>330</v>
      </c>
      <c r="C201" s="14" t="s">
        <v>202</v>
      </c>
      <c r="D201" s="20" t="s">
        <v>10348</v>
      </c>
      <c r="E201" s="15" t="str">
        <f>HYPERLINK("https://stat100.ameba.jp/tnk47/ratio20/illustrations/card/ill_81183_0_shinryokunokisetsuamaterasu03.jpg?202009-5-RELEASE-marathon-491xxxx", "■")</f>
        <v>■</v>
      </c>
      <c r="F201" s="14" t="s">
        <v>4505</v>
      </c>
      <c r="G201" s="14">
        <v>262627</v>
      </c>
      <c r="H201" s="14">
        <v>290607</v>
      </c>
      <c r="I201" s="14">
        <v>25</v>
      </c>
      <c r="J201" s="14" t="s">
        <v>44</v>
      </c>
      <c r="K201" s="14" t="s">
        <v>4506</v>
      </c>
      <c r="L201" s="14" t="s">
        <v>4507</v>
      </c>
      <c r="M201" s="14" t="s">
        <v>9158</v>
      </c>
      <c r="N201" s="14" t="s">
        <v>9158</v>
      </c>
      <c r="O201" s="19" t="s">
        <v>10083</v>
      </c>
      <c r="P201" s="14" t="s">
        <v>4509</v>
      </c>
      <c r="Q201" s="14">
        <v>0</v>
      </c>
    </row>
    <row r="202" spans="1:18">
      <c r="A202" s="14">
        <v>78143</v>
      </c>
      <c r="B202" s="14" t="s">
        <v>334</v>
      </c>
      <c r="C202" s="14" t="s">
        <v>203</v>
      </c>
      <c r="D202" s="19" t="s">
        <v>10285</v>
      </c>
      <c r="E202" s="15" t="str">
        <f>HYPERLINK("https://stat100.ameba.jp/tnk47/ratio20/illustrations/card/ill_78143_kanibarukuin03.jpg?202009-5-RELEASE-marathon-491xxxx", "■")</f>
        <v>■</v>
      </c>
      <c r="F202" s="14" t="s">
        <v>2687</v>
      </c>
      <c r="G202" s="14">
        <v>88624</v>
      </c>
      <c r="H202" s="14">
        <v>122366</v>
      </c>
      <c r="I202" s="14">
        <v>24</v>
      </c>
      <c r="J202" s="14" t="s">
        <v>26</v>
      </c>
      <c r="K202" s="14" t="s">
        <v>2688</v>
      </c>
      <c r="L202" s="14" t="s">
        <v>2137</v>
      </c>
      <c r="M202" s="14" t="s">
        <v>9158</v>
      </c>
      <c r="N202" s="14" t="s">
        <v>9158</v>
      </c>
      <c r="O202" s="19" t="s">
        <v>10103</v>
      </c>
      <c r="P202" s="14" t="s">
        <v>3897</v>
      </c>
      <c r="Q202" s="14">
        <v>1</v>
      </c>
    </row>
    <row r="203" spans="1:18">
      <c r="A203" s="14">
        <v>83393</v>
      </c>
      <c r="B203" s="14" t="s">
        <v>334</v>
      </c>
      <c r="C203" s="14" t="s">
        <v>209</v>
      </c>
      <c r="D203" s="20" t="s">
        <v>10381</v>
      </c>
      <c r="E203" s="15" t="str">
        <f>HYPERLINK("https://stat100.ameba.jp/tnk47/ratio20/illustrations/card/ill_83393_rito03.jpg?202009-5-RELEASE-marathon-491xxxx", "■")</f>
        <v>■</v>
      </c>
      <c r="F203" s="14" t="s">
        <v>5735</v>
      </c>
      <c r="G203" s="14">
        <v>122476</v>
      </c>
      <c r="H203" s="14">
        <v>88706</v>
      </c>
      <c r="I203" s="14">
        <v>24</v>
      </c>
      <c r="J203" s="14" t="s">
        <v>38</v>
      </c>
      <c r="K203" s="14" t="s">
        <v>5738</v>
      </c>
      <c r="L203" s="14" t="s">
        <v>5400</v>
      </c>
      <c r="M203" s="14" t="s">
        <v>9158</v>
      </c>
      <c r="N203" s="14" t="s">
        <v>9158</v>
      </c>
      <c r="O203" s="19" t="s">
        <v>10098</v>
      </c>
      <c r="P203" s="14" t="s">
        <v>3491</v>
      </c>
      <c r="Q203" s="14">
        <v>1</v>
      </c>
    </row>
    <row r="204" spans="1:18">
      <c r="A204" s="9">
        <v>75093</v>
      </c>
      <c r="B204" s="14" t="s">
        <v>334</v>
      </c>
      <c r="C204" s="14" t="s">
        <v>158</v>
      </c>
      <c r="D204" s="14" t="s">
        <v>2613</v>
      </c>
      <c r="E204" s="15" t="str">
        <f>HYPERLINK("https://stat100.ameba.jp/tnk47/ratio20/illustrations/card/ill_75093_hangonko03.jpg?202009-5-RELEASE-marathon-491xxxx", "■")</f>
        <v>■</v>
      </c>
      <c r="F204" s="14" t="s">
        <v>2614</v>
      </c>
      <c r="G204" s="14">
        <v>126858</v>
      </c>
      <c r="H204" s="14">
        <v>91876</v>
      </c>
      <c r="I204" s="14">
        <v>24</v>
      </c>
      <c r="J204" s="14" t="s">
        <v>44</v>
      </c>
      <c r="K204" s="14" t="s">
        <v>2615</v>
      </c>
      <c r="L204" s="14" t="s">
        <v>1108</v>
      </c>
      <c r="M204" s="14" t="s">
        <v>9158</v>
      </c>
      <c r="N204" s="14" t="s">
        <v>9158</v>
      </c>
      <c r="O204" s="17" t="s">
        <v>3414</v>
      </c>
      <c r="P204" s="14" t="s">
        <v>13122</v>
      </c>
      <c r="Q204" s="14">
        <v>1</v>
      </c>
    </row>
    <row r="206" spans="1:18">
      <c r="A206" s="14" t="s">
        <v>14741</v>
      </c>
    </row>
    <row r="207" spans="1:18">
      <c r="A207" s="14" t="s">
        <v>14742</v>
      </c>
    </row>
    <row r="208" spans="1:18">
      <c r="A208" s="7" t="s">
        <v>8100</v>
      </c>
      <c r="B208" s="7" t="s">
        <v>117</v>
      </c>
      <c r="C208" s="7" t="s">
        <v>202</v>
      </c>
      <c r="D208" s="19" t="s">
        <v>10784</v>
      </c>
      <c r="E208" s="15" t="str">
        <f>HYPERLINK("https://stat100.ameba.jp/tnk47/ratio20/illustrations/card/ill_86013_0_somemonosansaishiki03.jpg?202009-5-RELEASE-marathon-491xxxx", "■")</f>
        <v>■</v>
      </c>
      <c r="F208" s="7" t="s">
        <v>8103</v>
      </c>
      <c r="G208" s="7">
        <v>314478</v>
      </c>
      <c r="H208" s="7">
        <v>284219</v>
      </c>
      <c r="I208" s="7">
        <v>27</v>
      </c>
      <c r="J208" s="7" t="s">
        <v>187</v>
      </c>
      <c r="K208" s="7" t="s">
        <v>8102</v>
      </c>
      <c r="L208" s="7" t="s">
        <v>8101</v>
      </c>
      <c r="M208" s="14" t="s">
        <v>9158</v>
      </c>
      <c r="N208" s="14" t="s">
        <v>9158</v>
      </c>
      <c r="O208" s="19" t="s">
        <v>10132</v>
      </c>
      <c r="P208" s="14" t="s">
        <v>3277</v>
      </c>
      <c r="Q208" s="14">
        <v>1</v>
      </c>
      <c r="R208" s="9"/>
    </row>
    <row r="209" spans="1:18">
      <c r="A209" s="9" t="s">
        <v>9568</v>
      </c>
      <c r="B209" s="9" t="s">
        <v>117</v>
      </c>
      <c r="C209" s="9" t="s">
        <v>202</v>
      </c>
      <c r="D209" s="19" t="s">
        <v>10978</v>
      </c>
      <c r="E209" s="15" t="str">
        <f>HYPERLINK("https://stat100.ameba.jp/tnk47/ratio20/illustrations/card/ill_88083_0_seirennosammegami03.jpg?202009-5-RELEASE-marathon-491xxxx", "■")</f>
        <v>■</v>
      </c>
      <c r="F209" s="9" t="s">
        <v>9573</v>
      </c>
      <c r="G209" s="9">
        <v>295512</v>
      </c>
      <c r="H209" s="9">
        <v>326957</v>
      </c>
      <c r="I209" s="9">
        <v>27</v>
      </c>
      <c r="J209" s="9" t="s">
        <v>216</v>
      </c>
      <c r="K209" s="9" t="s">
        <v>9572</v>
      </c>
      <c r="L209" s="9" t="s">
        <v>9571</v>
      </c>
      <c r="M209" s="14" t="s">
        <v>9158</v>
      </c>
      <c r="N209" s="14" t="s">
        <v>9158</v>
      </c>
      <c r="O209" s="19" t="s">
        <v>10137</v>
      </c>
      <c r="P209" s="9" t="s">
        <v>9564</v>
      </c>
      <c r="Q209" s="9">
        <v>0</v>
      </c>
    </row>
    <row r="210" spans="1:18">
      <c r="A210" s="14" t="s">
        <v>12178</v>
      </c>
      <c r="B210" s="14" t="s">
        <v>117</v>
      </c>
      <c r="C210" s="14" t="s">
        <v>202</v>
      </c>
      <c r="D210" s="14" t="s">
        <v>12177</v>
      </c>
      <c r="E210" s="15" t="str">
        <f>HYPERLINK("https://stat100.ameba.jp/tnk47/ratio20/illustrations/card/ill_89533_0_harukazesangakudan03.jpg?202009-5-RELEASE-marathon-491xxxx", "■")</f>
        <v>■</v>
      </c>
      <c r="F210" s="14" t="s">
        <v>12183</v>
      </c>
      <c r="G210" s="14">
        <v>322318</v>
      </c>
      <c r="H210" s="14">
        <v>291273</v>
      </c>
      <c r="I210" s="7">
        <v>27</v>
      </c>
      <c r="J210" s="14" t="s">
        <v>169</v>
      </c>
      <c r="K210" s="14" t="s">
        <v>12182</v>
      </c>
      <c r="L210" s="14" t="s">
        <v>12181</v>
      </c>
      <c r="M210" s="14" t="s">
        <v>9158</v>
      </c>
      <c r="N210" s="14" t="s">
        <v>9158</v>
      </c>
      <c r="O210" s="14" t="s">
        <v>12186</v>
      </c>
      <c r="P210" s="14" t="s">
        <v>12187</v>
      </c>
      <c r="Q210" s="14">
        <v>1</v>
      </c>
    </row>
    <row r="211" spans="1:18">
      <c r="A211" s="14" t="s">
        <v>12809</v>
      </c>
      <c r="B211" s="14" t="s">
        <v>117</v>
      </c>
      <c r="C211" s="14" t="s">
        <v>35</v>
      </c>
      <c r="D211" s="14" t="s">
        <v>12807</v>
      </c>
      <c r="E211" s="15" t="str">
        <f>HYPERLINK("https://stat100.ameba.jp/tnk47/ratio20/illustrations/card/ill_90173_0_yurakunekomusume03.jpg?202009-5-RELEASE-marathon-491xxxx", "■")</f>
        <v>■</v>
      </c>
      <c r="F211" s="14" t="s">
        <v>12810</v>
      </c>
      <c r="G211" s="14">
        <v>322452</v>
      </c>
      <c r="H211" s="14">
        <v>291467</v>
      </c>
      <c r="I211" s="9">
        <v>27</v>
      </c>
      <c r="J211" s="14" t="s">
        <v>38</v>
      </c>
      <c r="K211" s="14" t="s">
        <v>12812</v>
      </c>
      <c r="L211" s="14" t="s">
        <v>12813</v>
      </c>
      <c r="M211" s="14" t="s">
        <v>9158</v>
      </c>
      <c r="N211" s="14" t="s">
        <v>9158</v>
      </c>
      <c r="O211" s="14" t="s">
        <v>12805</v>
      </c>
      <c r="P211" s="14" t="s">
        <v>3491</v>
      </c>
      <c r="Q211" s="14">
        <v>1</v>
      </c>
    </row>
    <row r="212" spans="1:18">
      <c r="A212" s="14" t="s">
        <v>13793</v>
      </c>
      <c r="B212" s="14" t="s">
        <v>117</v>
      </c>
      <c r="C212" s="14" t="s">
        <v>35</v>
      </c>
      <c r="D212" s="14" t="s">
        <v>13790</v>
      </c>
      <c r="E212" s="15" t="str">
        <f>HYPERLINK("https://stat100.ameba.jp/tnk47/ratio20/illustrations/card/ill_90853_0_meijosanki03.jpg?202009-5-RELEASE-marathon-491xxxx", "■")</f>
        <v>■</v>
      </c>
      <c r="F212" s="14" t="s">
        <v>13794</v>
      </c>
      <c r="G212" s="14">
        <v>291467</v>
      </c>
      <c r="H212" s="14">
        <v>322452</v>
      </c>
      <c r="I212" s="7">
        <v>27</v>
      </c>
      <c r="J212" s="14" t="s">
        <v>26</v>
      </c>
      <c r="K212" s="14" t="s">
        <v>13796</v>
      </c>
      <c r="L212" s="14" t="s">
        <v>13797</v>
      </c>
      <c r="M212" s="14" t="s">
        <v>9158</v>
      </c>
      <c r="N212" s="14" t="s">
        <v>9158</v>
      </c>
      <c r="O212" s="14" t="s">
        <v>13798</v>
      </c>
      <c r="P212" s="14" t="s">
        <v>11958</v>
      </c>
      <c r="Q212" s="14">
        <v>1</v>
      </c>
    </row>
    <row r="213" spans="1:18">
      <c r="A213" s="14">
        <v>74533</v>
      </c>
      <c r="B213" s="14" t="s">
        <v>334</v>
      </c>
      <c r="C213" s="14" t="s">
        <v>14744</v>
      </c>
      <c r="D213" s="14" t="s">
        <v>14743</v>
      </c>
      <c r="E213" s="15" t="str">
        <f>HYPERLINK("https://stat100.ameba.jp/tnk47/ratio20/illustrations/card/ill_74533_natsuyuenchitatsukohime03.jpg?202009-5-RELEASE-marathon-491xxxx", "■")</f>
        <v>■</v>
      </c>
      <c r="F213" s="14" t="s">
        <v>14746</v>
      </c>
      <c r="G213" s="14" t="s">
        <v>14768</v>
      </c>
      <c r="H213" s="14" t="s">
        <v>14768</v>
      </c>
      <c r="I213" s="7">
        <v>27</v>
      </c>
      <c r="J213" s="14" t="s">
        <v>14745</v>
      </c>
      <c r="K213" s="14" t="s">
        <v>14747</v>
      </c>
      <c r="L213" s="14" t="s">
        <v>1256</v>
      </c>
      <c r="M213" s="14" t="s">
        <v>2138</v>
      </c>
      <c r="N213" s="14" t="s">
        <v>2139</v>
      </c>
      <c r="O213" s="14" t="s">
        <v>9158</v>
      </c>
      <c r="P213" s="14" t="s">
        <v>9158</v>
      </c>
      <c r="Q213" s="14" t="s">
        <v>9158</v>
      </c>
      <c r="R213" s="14" t="s">
        <v>14748</v>
      </c>
    </row>
    <row r="214" spans="1:18">
      <c r="A214" s="14">
        <v>73713</v>
      </c>
      <c r="B214" s="14" t="s">
        <v>334</v>
      </c>
      <c r="C214" s="14" t="s">
        <v>14749</v>
      </c>
      <c r="D214" s="14" t="s">
        <v>14758</v>
      </c>
      <c r="E214" s="15" t="str">
        <f>HYPERLINK("https://stat100.ameba.jp/tnk47/ratio20/illustrations/card/ill_73713_umibirakiraguzatama03.jpg?202009-5-RELEASE-marathon-491xxxx", "■")</f>
        <v>■</v>
      </c>
      <c r="F214" s="14" t="s">
        <v>14763</v>
      </c>
      <c r="G214" s="14" t="s">
        <v>14768</v>
      </c>
      <c r="H214" s="14" t="s">
        <v>14768</v>
      </c>
      <c r="I214" s="7">
        <v>27</v>
      </c>
      <c r="J214" s="14" t="s">
        <v>14754</v>
      </c>
      <c r="K214" s="14" t="s">
        <v>14768</v>
      </c>
      <c r="L214" s="14" t="s">
        <v>14768</v>
      </c>
      <c r="M214" s="14" t="s">
        <v>2138</v>
      </c>
      <c r="N214" s="14" t="s">
        <v>2139</v>
      </c>
      <c r="O214" s="14" t="s">
        <v>9158</v>
      </c>
      <c r="P214" s="14" t="s">
        <v>9158</v>
      </c>
      <c r="Q214" s="14" t="s">
        <v>9158</v>
      </c>
      <c r="R214" s="14" t="s">
        <v>14748</v>
      </c>
    </row>
    <row r="215" spans="1:18">
      <c r="A215" s="14">
        <v>75343</v>
      </c>
      <c r="B215" s="14" t="s">
        <v>334</v>
      </c>
      <c r="C215" s="14" t="s">
        <v>14750</v>
      </c>
      <c r="D215" s="14" t="s">
        <v>14759</v>
      </c>
      <c r="E215" s="15" t="str">
        <f>HYPERLINK("https://stat100.ameba.jp/tnk47/ratio20/illustrations/card/ill_75343_resukuinnene03.jpg?202009-5-RELEASE-marathon-491xxxx", "■")</f>
        <v>■</v>
      </c>
      <c r="F215" s="14" t="s">
        <v>14764</v>
      </c>
      <c r="G215" s="14" t="s">
        <v>14768</v>
      </c>
      <c r="H215" s="14" t="s">
        <v>14768</v>
      </c>
      <c r="I215" s="7">
        <v>27</v>
      </c>
      <c r="J215" s="14" t="s">
        <v>14755</v>
      </c>
      <c r="K215" s="14" t="s">
        <v>14768</v>
      </c>
      <c r="L215" s="14" t="s">
        <v>14768</v>
      </c>
      <c r="M215" s="14" t="s">
        <v>2138</v>
      </c>
      <c r="N215" s="14" t="s">
        <v>2139</v>
      </c>
      <c r="O215" s="14" t="s">
        <v>9158</v>
      </c>
      <c r="P215" s="14" t="s">
        <v>9158</v>
      </c>
      <c r="Q215" s="14" t="s">
        <v>9158</v>
      </c>
      <c r="R215" s="14" t="s">
        <v>14748</v>
      </c>
    </row>
    <row r="216" spans="1:18">
      <c r="A216" s="14">
        <v>67983</v>
      </c>
      <c r="B216" s="14" t="s">
        <v>334</v>
      </c>
      <c r="C216" s="14" t="s">
        <v>14751</v>
      </c>
      <c r="D216" s="14" t="s">
        <v>14760</v>
      </c>
      <c r="E216" s="15" t="str">
        <f>HYPERLINK("https://stat100.ameba.jp/tnk47/ratio20/illustrations/card/ill_67983_kurisumasupateikoshikibunonaishi03.jpg?202009-5-RELEASE-marathon-491xxxx", "■")</f>
        <v>■</v>
      </c>
      <c r="F216" s="14" t="s">
        <v>14765</v>
      </c>
      <c r="G216" s="14" t="s">
        <v>14768</v>
      </c>
      <c r="H216" s="14" t="s">
        <v>14768</v>
      </c>
      <c r="I216" s="7">
        <v>27</v>
      </c>
      <c r="J216" s="14" t="s">
        <v>14754</v>
      </c>
      <c r="K216" s="14" t="s">
        <v>14768</v>
      </c>
      <c r="L216" s="14" t="s">
        <v>14768</v>
      </c>
      <c r="M216" s="14" t="s">
        <v>2138</v>
      </c>
      <c r="N216" s="14" t="s">
        <v>2139</v>
      </c>
      <c r="O216" s="14" t="s">
        <v>9158</v>
      </c>
      <c r="P216" s="14" t="s">
        <v>9158</v>
      </c>
      <c r="Q216" s="14" t="s">
        <v>9158</v>
      </c>
      <c r="R216" s="14" t="s">
        <v>14748</v>
      </c>
    </row>
    <row r="217" spans="1:18">
      <c r="A217" s="14">
        <v>69543</v>
      </c>
      <c r="B217" s="14" t="s">
        <v>334</v>
      </c>
      <c r="C217" s="14" t="s">
        <v>14752</v>
      </c>
      <c r="D217" s="14" t="s">
        <v>14761</v>
      </c>
      <c r="E217" s="15" t="str">
        <f>HYPERLINK("https://stat100.ameba.jp/tnk47/ratio20/illustrations/card/ill_69543_setsubunehimenomikoto03.jpg?202009-5-RELEASE-marathon-491xxxx", "■")</f>
        <v>■</v>
      </c>
      <c r="F217" s="14" t="s">
        <v>14766</v>
      </c>
      <c r="G217" s="14" t="s">
        <v>14768</v>
      </c>
      <c r="H217" s="14" t="s">
        <v>14768</v>
      </c>
      <c r="I217" s="7">
        <v>27</v>
      </c>
      <c r="J217" s="14" t="s">
        <v>14756</v>
      </c>
      <c r="K217" s="14" t="s">
        <v>14768</v>
      </c>
      <c r="L217" s="14" t="s">
        <v>14768</v>
      </c>
      <c r="M217" s="14" t="s">
        <v>2138</v>
      </c>
      <c r="N217" s="14" t="s">
        <v>2139</v>
      </c>
      <c r="O217" s="14" t="s">
        <v>9158</v>
      </c>
      <c r="P217" s="14" t="s">
        <v>9158</v>
      </c>
      <c r="Q217" s="14" t="s">
        <v>9158</v>
      </c>
      <c r="R217" s="14" t="s">
        <v>14748</v>
      </c>
    </row>
    <row r="218" spans="1:18">
      <c r="A218" s="14">
        <v>71363</v>
      </c>
      <c r="B218" s="14" t="s">
        <v>334</v>
      </c>
      <c r="C218" s="14" t="s">
        <v>14753</v>
      </c>
      <c r="D218" s="14" t="s">
        <v>14762</v>
      </c>
      <c r="E218" s="15" t="str">
        <f>HYPERLINK("https://stat100.ameba.jp/tnk47/ratio20/illustrations/card/ill_71363_ohanamiamakusashiro03.jpg?202009-5-RELEASE-marathon-491xxxx", "■")</f>
        <v>■</v>
      </c>
      <c r="F218" s="14" t="s">
        <v>14767</v>
      </c>
      <c r="G218" s="14" t="s">
        <v>14768</v>
      </c>
      <c r="H218" s="14" t="s">
        <v>14768</v>
      </c>
      <c r="I218" s="7">
        <v>27</v>
      </c>
      <c r="J218" s="14" t="s">
        <v>14757</v>
      </c>
      <c r="K218" s="14" t="s">
        <v>14768</v>
      </c>
      <c r="L218" s="14" t="s">
        <v>14768</v>
      </c>
      <c r="M218" s="14" t="s">
        <v>2138</v>
      </c>
      <c r="N218" s="14" t="s">
        <v>2139</v>
      </c>
      <c r="O218" s="14" t="s">
        <v>9158</v>
      </c>
      <c r="P218" s="14" t="s">
        <v>9158</v>
      </c>
      <c r="Q218" s="14" t="s">
        <v>9158</v>
      </c>
      <c r="R218" s="14" t="s">
        <v>14748</v>
      </c>
    </row>
    <row r="220" spans="1:18">
      <c r="A220" s="14" t="s">
        <v>207</v>
      </c>
    </row>
    <row r="221" spans="1:18">
      <c r="A221" s="14" t="s">
        <v>14770</v>
      </c>
    </row>
    <row r="222" spans="1:18">
      <c r="A222" s="14" t="s">
        <v>5623</v>
      </c>
      <c r="B222" s="14" t="s">
        <v>330</v>
      </c>
      <c r="C222" s="14" t="s">
        <v>165</v>
      </c>
      <c r="D222" s="19" t="s">
        <v>3146</v>
      </c>
      <c r="E222" s="15" t="str">
        <f>HYPERLINK("https://stat100.ameba.jp/tnk47/ratio20/illustrations/card/ill_65713_0_undokaionikirimaru03.jpg?202009-5-RELEASE-marathon-491xxxx", "■")</f>
        <v>■</v>
      </c>
      <c r="F222" s="14" t="s">
        <v>535</v>
      </c>
      <c r="G222" s="14">
        <v>181640</v>
      </c>
      <c r="H222" s="14">
        <v>168874</v>
      </c>
      <c r="I222" s="14">
        <v>24</v>
      </c>
      <c r="J222" s="14" t="s">
        <v>320</v>
      </c>
      <c r="K222" s="14" t="s">
        <v>3147</v>
      </c>
      <c r="L222" s="14" t="s">
        <v>3148</v>
      </c>
      <c r="M222" s="14" t="s">
        <v>9158</v>
      </c>
      <c r="N222" s="14" t="s">
        <v>9158</v>
      </c>
      <c r="O222" s="19" t="s">
        <v>2869</v>
      </c>
      <c r="P222" s="14" t="s">
        <v>2870</v>
      </c>
      <c r="Q222" s="14">
        <v>1</v>
      </c>
    </row>
    <row r="223" spans="1:18">
      <c r="A223" s="14" t="s">
        <v>5724</v>
      </c>
      <c r="B223" s="14" t="s">
        <v>330</v>
      </c>
      <c r="C223" s="14" t="s">
        <v>335</v>
      </c>
      <c r="D223" s="19" t="s">
        <v>698</v>
      </c>
      <c r="E223" s="15" t="str">
        <f>HYPERLINK("https://stat100.ameba.jp/tnk47/ratio20/illustrations/card/ill_66433_0_haroinfujishirogozen03.jpg?202009-5-RELEASE-marathon-491xxxx", "■")</f>
        <v>■</v>
      </c>
      <c r="F223" s="14" t="s">
        <v>699</v>
      </c>
      <c r="G223" s="14">
        <v>146892</v>
      </c>
      <c r="H223" s="14">
        <v>158000</v>
      </c>
      <c r="I223" s="14">
        <v>24</v>
      </c>
      <c r="J223" s="14" t="s">
        <v>315</v>
      </c>
      <c r="K223" s="14" t="s">
        <v>700</v>
      </c>
      <c r="L223" s="14" t="s">
        <v>701</v>
      </c>
      <c r="M223" s="14" t="s">
        <v>9158</v>
      </c>
      <c r="N223" s="14" t="s">
        <v>9158</v>
      </c>
      <c r="O223" s="19" t="s">
        <v>10095</v>
      </c>
      <c r="P223" s="14" t="s">
        <v>3345</v>
      </c>
      <c r="Q223" s="14">
        <v>1</v>
      </c>
    </row>
    <row r="224" spans="1:18">
      <c r="A224" s="14" t="s">
        <v>5902</v>
      </c>
      <c r="B224" s="14" t="s">
        <v>330</v>
      </c>
      <c r="C224" s="14" t="s">
        <v>206</v>
      </c>
      <c r="D224" s="19" t="s">
        <v>483</v>
      </c>
      <c r="E224" s="15" t="str">
        <f>HYPERLINK("https://stat100.ameba.jp/tnk47/ratio20/illustrations/card/ill_40343_0_heshikirihasebekurodakambe03.jpg?202009-5-RELEASE-marathon-491xxxx", "■")</f>
        <v>■</v>
      </c>
      <c r="F224" s="14" t="s">
        <v>906</v>
      </c>
      <c r="G224" s="14">
        <v>140448</v>
      </c>
      <c r="H224" s="14">
        <v>131538</v>
      </c>
      <c r="I224" s="14">
        <v>24</v>
      </c>
      <c r="J224" s="14" t="s">
        <v>16</v>
      </c>
      <c r="K224" s="14" t="s">
        <v>907</v>
      </c>
      <c r="L224" s="14" t="s">
        <v>908</v>
      </c>
      <c r="M224" s="14" t="s">
        <v>9158</v>
      </c>
      <c r="N224" s="14" t="s">
        <v>9158</v>
      </c>
      <c r="O224" s="14" t="s">
        <v>9158</v>
      </c>
      <c r="P224" s="14" t="s">
        <v>9158</v>
      </c>
      <c r="Q224" s="14" t="s">
        <v>9158</v>
      </c>
    </row>
    <row r="225" spans="1:17">
      <c r="A225" s="14">
        <v>91883</v>
      </c>
      <c r="B225" s="14" t="s">
        <v>0</v>
      </c>
      <c r="C225" s="14" t="s">
        <v>101</v>
      </c>
      <c r="D225" s="14" t="s">
        <v>14703</v>
      </c>
      <c r="E225" s="15" t="str">
        <f>HYPERLINK("https://stat100.ameba.jp/tnk47/ratio20/illustrations/card/ill_91883_sangokushikobayashiissa03.jpg?202009-5-RELEASE-marathon-491xxxx", "■")</f>
        <v>■</v>
      </c>
      <c r="F225" s="14" t="s">
        <v>14702</v>
      </c>
      <c r="G225" s="14">
        <v>94390</v>
      </c>
      <c r="H225" s="14">
        <v>101558</v>
      </c>
      <c r="I225" s="7">
        <v>26</v>
      </c>
      <c r="J225" s="14" t="s">
        <v>10</v>
      </c>
      <c r="K225" s="14" t="s">
        <v>14700</v>
      </c>
      <c r="L225" s="14" t="s">
        <v>12916</v>
      </c>
      <c r="M225" s="14" t="s">
        <v>9158</v>
      </c>
      <c r="N225" s="14" t="s">
        <v>9158</v>
      </c>
      <c r="O225" s="14" t="s">
        <v>9158</v>
      </c>
      <c r="P225" s="14" t="s">
        <v>9158</v>
      </c>
      <c r="Q225" s="14" t="s">
        <v>9158</v>
      </c>
    </row>
    <row r="226" spans="1:17">
      <c r="A226" s="14">
        <v>91893</v>
      </c>
      <c r="B226" s="14" t="s">
        <v>15</v>
      </c>
      <c r="C226" s="14" t="s">
        <v>96</v>
      </c>
      <c r="D226" s="14" t="s">
        <v>14709</v>
      </c>
      <c r="E226" s="15" t="str">
        <f>HYPERLINK("https://stat100.ameba.jp/tnk47/ratio20/illustrations/card/ill_91893_miwakunoitchi03.jpg?202009-5-RELEASE-marathon-491xxxx", "■")</f>
        <v>■</v>
      </c>
      <c r="F226" s="14" t="s">
        <v>14708</v>
      </c>
      <c r="G226" s="14">
        <v>77064</v>
      </c>
      <c r="H226" s="14">
        <v>69898</v>
      </c>
      <c r="I226" s="7">
        <v>26</v>
      </c>
      <c r="J226" s="14" t="s">
        <v>16</v>
      </c>
      <c r="K226" s="14" t="s">
        <v>14706</v>
      </c>
      <c r="L226" s="14" t="s">
        <v>21</v>
      </c>
      <c r="M226" s="14" t="s">
        <v>9158</v>
      </c>
      <c r="N226" s="14" t="s">
        <v>9158</v>
      </c>
      <c r="O226" s="14" t="s">
        <v>9158</v>
      </c>
      <c r="P226" s="14" t="s">
        <v>9158</v>
      </c>
      <c r="Q226" s="14" t="s">
        <v>9158</v>
      </c>
    </row>
    <row r="227" spans="1:17">
      <c r="A227" s="14">
        <v>91903</v>
      </c>
      <c r="B227" s="14" t="s">
        <v>22</v>
      </c>
      <c r="C227" s="14" t="s">
        <v>23</v>
      </c>
      <c r="D227" s="14" t="s">
        <v>14715</v>
      </c>
      <c r="E227" s="15" t="str">
        <f>HYPERLINK("https://stat100.ameba.jp/tnk47/ratio20/illustrations/card/ill_91903_makaisusukichan03.jpg?202009-5-RELEASE-marathon-491xxxx", "■")</f>
        <v>■</v>
      </c>
      <c r="F227" s="14" t="s">
        <v>14714</v>
      </c>
      <c r="G227" s="14">
        <v>44948</v>
      </c>
      <c r="H227" s="14">
        <v>54058</v>
      </c>
      <c r="I227" s="7">
        <v>26</v>
      </c>
      <c r="J227" s="14" t="s">
        <v>26</v>
      </c>
      <c r="K227" s="14" t="s">
        <v>14712</v>
      </c>
      <c r="L227" s="14" t="s">
        <v>28</v>
      </c>
      <c r="M227" s="14" t="s">
        <v>9158</v>
      </c>
      <c r="N227" s="14" t="s">
        <v>9158</v>
      </c>
      <c r="O227" s="14" t="s">
        <v>9158</v>
      </c>
      <c r="P227" s="14" t="s">
        <v>9158</v>
      </c>
      <c r="Q227" s="14" t="s">
        <v>9158</v>
      </c>
    </row>
    <row r="228" spans="1:17">
      <c r="A228" s="14">
        <v>91913</v>
      </c>
      <c r="B228" s="14" t="s">
        <v>22</v>
      </c>
      <c r="C228" s="14" t="s">
        <v>107</v>
      </c>
      <c r="D228" s="14" t="s">
        <v>14721</v>
      </c>
      <c r="E228" s="15" t="str">
        <f>HYPERLINK("https://stat100.ameba.jp/tnk47/ratio20/illustrations/card/ill_91913_mahoushoujooryou03.jpg?202009-5-RELEASE-marathon-491xxxx", "■")</f>
        <v>■</v>
      </c>
      <c r="F228" s="14" t="s">
        <v>14720</v>
      </c>
      <c r="G228" s="14">
        <v>54058</v>
      </c>
      <c r="H228" s="14">
        <v>44948</v>
      </c>
      <c r="I228" s="7">
        <v>26</v>
      </c>
      <c r="J228" s="14" t="s">
        <v>77</v>
      </c>
      <c r="K228" s="14" t="s">
        <v>14718</v>
      </c>
      <c r="L228" s="14" t="s">
        <v>1732</v>
      </c>
      <c r="M228" s="14" t="s">
        <v>9158</v>
      </c>
      <c r="N228" s="14" t="s">
        <v>9158</v>
      </c>
      <c r="O228" s="14" t="s">
        <v>9158</v>
      </c>
      <c r="P228" s="14" t="s">
        <v>9158</v>
      </c>
      <c r="Q228" s="14" t="s">
        <v>9158</v>
      </c>
    </row>
    <row r="230" spans="1:17">
      <c r="A230" s="14" t="s">
        <v>3916</v>
      </c>
    </row>
    <row r="231" spans="1:17">
      <c r="A231" s="14" t="s">
        <v>6854</v>
      </c>
    </row>
    <row r="232" spans="1:17">
      <c r="A232" s="14">
        <v>71013</v>
      </c>
      <c r="B232" s="14" t="s">
        <v>334</v>
      </c>
      <c r="C232" s="14" t="s">
        <v>154</v>
      </c>
      <c r="D232" s="19" t="s">
        <v>837</v>
      </c>
      <c r="E232" s="15" t="str">
        <f>HYPERLINK("https://stat100.ameba.jp/tnk47/ratio20/illustrations/card/ill_71013_fujutsushisarashina03.jpg?202009-5-RELEASE-marathon-491xxxx", "■")</f>
        <v>■</v>
      </c>
      <c r="F232" s="14" t="s">
        <v>838</v>
      </c>
      <c r="G232" s="14">
        <v>108276</v>
      </c>
      <c r="H232" s="14">
        <v>116452</v>
      </c>
      <c r="I232" s="14">
        <v>27</v>
      </c>
      <c r="J232" s="14" t="s">
        <v>155</v>
      </c>
      <c r="K232" s="14" t="s">
        <v>1231</v>
      </c>
      <c r="L232" s="14" t="s">
        <v>13152</v>
      </c>
      <c r="M232" s="14" t="s">
        <v>9864</v>
      </c>
      <c r="N232" s="14" t="s">
        <v>9158</v>
      </c>
      <c r="O232" s="14" t="s">
        <v>9158</v>
      </c>
      <c r="P232" s="14" t="s">
        <v>9158</v>
      </c>
      <c r="Q232" s="14" t="s">
        <v>9158</v>
      </c>
    </row>
    <row r="233" spans="1:17">
      <c r="A233" s="14">
        <v>71023</v>
      </c>
      <c r="B233" s="14" t="s">
        <v>334</v>
      </c>
      <c r="C233" s="14" t="s">
        <v>158</v>
      </c>
      <c r="D233" s="19" t="s">
        <v>841</v>
      </c>
      <c r="E233" s="15" t="str">
        <f>HYPERLINK("https://stat100.ameba.jp/tnk47/ratio20/illustrations/card/ill_71023_ommyojiiroha03.jpg?202009-5-RELEASE-marathon-491xxxx", "■")</f>
        <v>■</v>
      </c>
      <c r="F233" s="14" t="s">
        <v>842</v>
      </c>
      <c r="G233" s="14">
        <v>108276</v>
      </c>
      <c r="H233" s="14">
        <v>116452</v>
      </c>
      <c r="I233" s="14">
        <v>27</v>
      </c>
      <c r="J233" s="14" t="s">
        <v>159</v>
      </c>
      <c r="K233" s="14" t="s">
        <v>1232</v>
      </c>
      <c r="L233" s="14" t="s">
        <v>1233</v>
      </c>
      <c r="M233" s="14" t="s">
        <v>9158</v>
      </c>
      <c r="N233" s="14" t="s">
        <v>9158</v>
      </c>
      <c r="O233" s="14" t="s">
        <v>9158</v>
      </c>
      <c r="P233" s="14" t="s">
        <v>9158</v>
      </c>
      <c r="Q233" s="14" t="s">
        <v>9158</v>
      </c>
    </row>
    <row r="234" spans="1:17">
      <c r="A234" s="14">
        <v>66053</v>
      </c>
      <c r="B234" s="14" t="s">
        <v>334</v>
      </c>
      <c r="C234" s="14" t="s">
        <v>205</v>
      </c>
      <c r="D234" s="19" t="s">
        <v>3046</v>
      </c>
      <c r="E234" s="15" t="str">
        <f>HYPERLINK("https://stat100.ameba.jp/tnk47/ratio20/illustrations/card/ill_66053_serebukushiyatamanokami03.jpg?202009-5-RELEASE-marathon-491xxxx", "■")</f>
        <v>■</v>
      </c>
      <c r="F234" s="14" t="s">
        <v>2265</v>
      </c>
      <c r="G234" s="14">
        <v>110129</v>
      </c>
      <c r="H234" s="14">
        <v>102386</v>
      </c>
      <c r="I234" s="14">
        <v>27</v>
      </c>
      <c r="J234" s="14" t="s">
        <v>44</v>
      </c>
      <c r="K234" s="14" t="s">
        <v>2266</v>
      </c>
      <c r="L234" s="14" t="s">
        <v>1860</v>
      </c>
      <c r="M234" s="14" t="s">
        <v>9158</v>
      </c>
      <c r="N234" s="14" t="s">
        <v>9158</v>
      </c>
      <c r="O234" s="14" t="s">
        <v>9158</v>
      </c>
      <c r="P234" s="14" t="s">
        <v>9158</v>
      </c>
      <c r="Q234" s="14" t="s">
        <v>9158</v>
      </c>
    </row>
    <row r="235" spans="1:17">
      <c r="A235" s="14">
        <v>65923</v>
      </c>
      <c r="B235" s="14" t="s">
        <v>334</v>
      </c>
      <c r="C235" s="14" t="s">
        <v>185</v>
      </c>
      <c r="D235" s="19" t="s">
        <v>10204</v>
      </c>
      <c r="E235" s="15" t="str">
        <f>HYPERLINK("https://stat100.ameba.jp/tnk47/ratio20/illustrations/card/ill_65923_arabianginko03.jpg?202009-5-RELEASE-marathon-491xxxx", "■")</f>
        <v>■</v>
      </c>
      <c r="F235" s="14" t="s">
        <v>4978</v>
      </c>
      <c r="G235" s="14">
        <v>112496</v>
      </c>
      <c r="H235" s="14">
        <v>104619</v>
      </c>
      <c r="I235" s="14">
        <v>27</v>
      </c>
      <c r="J235" s="14" t="s">
        <v>182</v>
      </c>
      <c r="K235" s="14" t="s">
        <v>3679</v>
      </c>
      <c r="L235" s="14" t="s">
        <v>13188</v>
      </c>
      <c r="M235" s="14" t="s">
        <v>9158</v>
      </c>
      <c r="N235" s="14" t="s">
        <v>9158</v>
      </c>
      <c r="O235" s="14" t="s">
        <v>9158</v>
      </c>
      <c r="P235" s="14" t="s">
        <v>9158</v>
      </c>
      <c r="Q235" s="14" t="s">
        <v>9158</v>
      </c>
    </row>
    <row r="236" spans="1:17">
      <c r="A236" s="14">
        <v>52863</v>
      </c>
      <c r="B236" s="14" t="s">
        <v>15</v>
      </c>
      <c r="C236" s="14" t="s">
        <v>191</v>
      </c>
      <c r="D236" s="19" t="s">
        <v>10516</v>
      </c>
      <c r="E236" s="15" t="str">
        <f>HYPERLINK("https://stat100.ameba.jp/tnk47/ratio20/illustrations/card/ill_52863_andoroidokingyonota03.jpg?202009-5-RELEASE-marathon-491xxxx", "■")</f>
        <v>■</v>
      </c>
      <c r="F236" s="14" t="s">
        <v>6409</v>
      </c>
      <c r="G236" s="14">
        <v>59144</v>
      </c>
      <c r="H236" s="14">
        <v>65208</v>
      </c>
      <c r="I236" s="14">
        <v>22</v>
      </c>
      <c r="J236" s="14" t="s">
        <v>38</v>
      </c>
      <c r="K236" s="14" t="s">
        <v>6407</v>
      </c>
      <c r="L236" s="14" t="s">
        <v>6406</v>
      </c>
      <c r="M236" s="14" t="s">
        <v>9158</v>
      </c>
      <c r="N236" s="14" t="s">
        <v>9158</v>
      </c>
      <c r="O236" s="14" t="s">
        <v>9158</v>
      </c>
      <c r="P236" s="14" t="s">
        <v>9158</v>
      </c>
      <c r="Q236" s="14" t="s">
        <v>9158</v>
      </c>
    </row>
    <row r="237" spans="1:17">
      <c r="A237" s="14">
        <v>51593</v>
      </c>
      <c r="B237" s="14" t="s">
        <v>15</v>
      </c>
      <c r="C237" s="14" t="s">
        <v>200</v>
      </c>
      <c r="D237" s="19" t="s">
        <v>10517</v>
      </c>
      <c r="E237" s="15" t="str">
        <f>HYPERLINK("https://stat100.ameba.jp/tnk47/ratio20/illustrations/card/ill_51593_kishuhondatadakatsu03.jpg?202009-5-RELEASE-marathon-491xxxx", "■")</f>
        <v>■</v>
      </c>
      <c r="F237" s="14" t="s">
        <v>6413</v>
      </c>
      <c r="G237" s="14">
        <v>59144</v>
      </c>
      <c r="H237" s="14">
        <v>65208</v>
      </c>
      <c r="I237" s="14">
        <v>22</v>
      </c>
      <c r="J237" s="14" t="s">
        <v>143</v>
      </c>
      <c r="K237" s="14" t="s">
        <v>6411</v>
      </c>
      <c r="L237" s="14" t="s">
        <v>6410</v>
      </c>
      <c r="M237" s="14" t="s">
        <v>9158</v>
      </c>
      <c r="N237" s="14" t="s">
        <v>9158</v>
      </c>
      <c r="O237" s="14" t="s">
        <v>9158</v>
      </c>
      <c r="P237" s="14" t="s">
        <v>9158</v>
      </c>
      <c r="Q237" s="14" t="s">
        <v>9158</v>
      </c>
    </row>
    <row r="238" spans="1:17">
      <c r="A238" s="14">
        <v>55403</v>
      </c>
      <c r="B238" s="14" t="s">
        <v>15</v>
      </c>
      <c r="C238" s="14" t="s">
        <v>165</v>
      </c>
      <c r="D238" s="19" t="s">
        <v>10518</v>
      </c>
      <c r="E238" s="15" t="str">
        <f>HYPERLINK("https://stat100.ameba.jp/tnk47/ratio20/illustrations/card/ill_55403_undokaikyogokumaria03.jpg?202009-5-RELEASE-marathon-491xxxx", "■")</f>
        <v>■</v>
      </c>
      <c r="F238" s="14" t="s">
        <v>6417</v>
      </c>
      <c r="G238" s="14">
        <v>65208</v>
      </c>
      <c r="H238" s="14">
        <v>59144</v>
      </c>
      <c r="I238" s="14">
        <v>22</v>
      </c>
      <c r="J238" s="14" t="s">
        <v>77</v>
      </c>
      <c r="K238" s="14" t="s">
        <v>6415</v>
      </c>
      <c r="L238" s="14" t="s">
        <v>6414</v>
      </c>
      <c r="M238" s="14" t="s">
        <v>9158</v>
      </c>
      <c r="N238" s="14" t="s">
        <v>9158</v>
      </c>
      <c r="O238" s="14" t="s">
        <v>9158</v>
      </c>
      <c r="P238" s="14" t="s">
        <v>9158</v>
      </c>
      <c r="Q238" s="14" t="s">
        <v>9158</v>
      </c>
    </row>
    <row r="239" spans="1:17">
      <c r="A239" s="14">
        <v>52973</v>
      </c>
      <c r="B239" s="14" t="s">
        <v>15</v>
      </c>
      <c r="C239" s="14" t="s">
        <v>206</v>
      </c>
      <c r="D239" s="19" t="s">
        <v>10519</v>
      </c>
      <c r="E239" s="15" t="str">
        <f>HYPERLINK("https://stat100.ameba.jp/tnk47/ratio20/illustrations/card/ill_52973_torampuamoronagu03.jpg?202009-5-RELEASE-marathon-491xxxx", "■")</f>
        <v>■</v>
      </c>
      <c r="F239" s="14" t="s">
        <v>6421</v>
      </c>
      <c r="G239" s="14">
        <v>65208</v>
      </c>
      <c r="H239" s="14">
        <v>59144</v>
      </c>
      <c r="I239" s="14">
        <v>22</v>
      </c>
      <c r="J239" s="14" t="s">
        <v>44</v>
      </c>
      <c r="K239" s="14" t="s">
        <v>6419</v>
      </c>
      <c r="L239" s="14" t="s">
        <v>6418</v>
      </c>
      <c r="M239" s="14" t="s">
        <v>9158</v>
      </c>
      <c r="N239" s="14" t="s">
        <v>9158</v>
      </c>
      <c r="O239" s="14" t="s">
        <v>9158</v>
      </c>
      <c r="P239" s="14" t="s">
        <v>9158</v>
      </c>
      <c r="Q239" s="14" t="s">
        <v>9158</v>
      </c>
    </row>
    <row r="241" spans="1:18">
      <c r="A241" s="14" t="s">
        <v>14772</v>
      </c>
    </row>
    <row r="242" spans="1:18">
      <c r="A242" s="14" t="s">
        <v>14773</v>
      </c>
    </row>
    <row r="243" spans="1:18">
      <c r="A243" s="14" t="s">
        <v>5787</v>
      </c>
      <c r="B243" s="14" t="s">
        <v>330</v>
      </c>
      <c r="C243" s="14" t="s">
        <v>270</v>
      </c>
      <c r="D243" s="19" t="s">
        <v>331</v>
      </c>
      <c r="E243" s="15" t="str">
        <f>HYPERLINK("https://stat100.ameba.jp/tnk47/ratio20/illustrations/card/ill_76303_0_haroinkaguya03.jpg?202009-5-RELEASE-marathon-491xxxx", "■")</f>
        <v>■</v>
      </c>
      <c r="F243" s="14" t="s">
        <v>332</v>
      </c>
      <c r="G243" s="14">
        <v>297513</v>
      </c>
      <c r="H243" s="14">
        <v>276589</v>
      </c>
      <c r="I243" s="14">
        <v>25</v>
      </c>
      <c r="J243" s="14" t="s">
        <v>274</v>
      </c>
      <c r="K243" s="14" t="s">
        <v>333</v>
      </c>
      <c r="L243" s="14" t="s">
        <v>276</v>
      </c>
      <c r="M243" s="14" t="s">
        <v>9158</v>
      </c>
      <c r="N243" s="14" t="s">
        <v>9158</v>
      </c>
      <c r="O243" s="19" t="s">
        <v>2976</v>
      </c>
      <c r="P243" s="14" t="s">
        <v>2724</v>
      </c>
      <c r="Q243" s="14">
        <v>1</v>
      </c>
    </row>
    <row r="244" spans="1:18">
      <c r="A244" s="14">
        <v>63853</v>
      </c>
      <c r="B244" s="14" t="s">
        <v>334</v>
      </c>
      <c r="C244" s="14" t="s">
        <v>200</v>
      </c>
      <c r="D244" s="20" t="s">
        <v>10284</v>
      </c>
      <c r="E244" s="15" t="str">
        <f>HYPERLINK("https://stat100.ameba.jp/tnk47/ratio20/illustrations/card/ill_63853_daikokaijidainansosatomihakkenden03.jpg?202009-5-RELEASE-marathon-491xxxx", "■")</f>
        <v>■</v>
      </c>
      <c r="F244" s="14" t="s">
        <v>941</v>
      </c>
      <c r="G244" s="14">
        <v>110126</v>
      </c>
      <c r="H244" s="14">
        <v>118656</v>
      </c>
      <c r="I244" s="14">
        <v>26</v>
      </c>
      <c r="J244" s="14" t="s">
        <v>155</v>
      </c>
      <c r="K244" s="14" t="s">
        <v>942</v>
      </c>
      <c r="L244" s="14" t="s">
        <v>13149</v>
      </c>
      <c r="M244" s="14" t="s">
        <v>9158</v>
      </c>
      <c r="N244" s="14" t="s">
        <v>9158</v>
      </c>
      <c r="O244" s="19" t="s">
        <v>10121</v>
      </c>
      <c r="P244" s="14" t="s">
        <v>3330</v>
      </c>
      <c r="Q244" s="14">
        <v>1</v>
      </c>
    </row>
    <row r="245" spans="1:18">
      <c r="A245" s="9">
        <v>65653</v>
      </c>
      <c r="B245" s="14" t="s">
        <v>334</v>
      </c>
      <c r="C245" s="14" t="s">
        <v>335</v>
      </c>
      <c r="D245" s="14" t="s">
        <v>3411</v>
      </c>
      <c r="E245" s="15" t="str">
        <f>HYPERLINK("https://stat100.ameba.jp/tnk47/ratio20/illustrations/card/ill_65653_undokaitakamurachieko03.jpg?202009-5-RELEASE-marathon-491xxxx", "■")</f>
        <v>■</v>
      </c>
      <c r="F245" s="14" t="s">
        <v>853</v>
      </c>
      <c r="G245" s="14">
        <v>105426</v>
      </c>
      <c r="H245" s="14">
        <v>98066</v>
      </c>
      <c r="I245" s="14">
        <v>26</v>
      </c>
      <c r="J245" s="14" t="s">
        <v>414</v>
      </c>
      <c r="K245" s="14" t="s">
        <v>854</v>
      </c>
      <c r="L245" s="14" t="s">
        <v>855</v>
      </c>
      <c r="M245" s="14" t="s">
        <v>9158</v>
      </c>
      <c r="N245" s="14" t="s">
        <v>9158</v>
      </c>
      <c r="O245" s="9" t="s">
        <v>3414</v>
      </c>
      <c r="P245" s="14" t="s">
        <v>13122</v>
      </c>
      <c r="Q245" s="14">
        <v>1</v>
      </c>
    </row>
    <row r="246" spans="1:18">
      <c r="A246" s="14">
        <v>88323</v>
      </c>
      <c r="B246" s="14" t="s">
        <v>0</v>
      </c>
      <c r="C246" s="14" t="s">
        <v>205</v>
      </c>
      <c r="D246" s="18" t="s">
        <v>12019</v>
      </c>
      <c r="E246" s="15" t="str">
        <f>HYPERLINK("https://stat100.ameba.jp/tnk47/ratio20/illustrations/card/ill_88323_hanamibakedanuki03.jpg?202009-5-RELEASE-marathon-491xxxx", "■")</f>
        <v>■</v>
      </c>
      <c r="F246" s="14" t="s">
        <v>12020</v>
      </c>
      <c r="G246" s="14">
        <v>100744</v>
      </c>
      <c r="H246" s="14">
        <v>108330</v>
      </c>
      <c r="I246" s="14">
        <v>26</v>
      </c>
      <c r="J246" s="14" t="s">
        <v>73</v>
      </c>
      <c r="K246" s="14" t="s">
        <v>12021</v>
      </c>
      <c r="L246" s="14" t="s">
        <v>12022</v>
      </c>
      <c r="M246" s="14" t="s">
        <v>9158</v>
      </c>
      <c r="N246" s="14" t="s">
        <v>9158</v>
      </c>
      <c r="O246" s="6" t="s">
        <v>10064</v>
      </c>
      <c r="P246" s="7" t="s">
        <v>13150</v>
      </c>
      <c r="Q246" s="7">
        <v>1</v>
      </c>
    </row>
    <row r="248" spans="1:18">
      <c r="A248" s="14" t="s">
        <v>14774</v>
      </c>
    </row>
    <row r="249" spans="1:18">
      <c r="A249" s="14" t="s">
        <v>14775</v>
      </c>
    </row>
    <row r="250" spans="1:18">
      <c r="A250" s="14">
        <v>83973</v>
      </c>
      <c r="B250" s="14" t="s">
        <v>334</v>
      </c>
      <c r="C250" s="14" t="s">
        <v>14</v>
      </c>
      <c r="D250" s="19" t="s">
        <v>10570</v>
      </c>
      <c r="E250" s="15" t="str">
        <f>HYPERLINK("https://stat100.ameba.jp/tnk47/ratio20/illustrations/card/ill_83973_nekokishiirurosu03.jpg?202009-5-RELEASE-marathon-491xxxx", "■")</f>
        <v>■</v>
      </c>
      <c r="F250" s="14" t="s">
        <v>6706</v>
      </c>
      <c r="G250" s="14">
        <v>137846</v>
      </c>
      <c r="H250" s="14">
        <v>128160</v>
      </c>
      <c r="I250" s="14">
        <v>28</v>
      </c>
      <c r="J250" s="14" t="s">
        <v>229</v>
      </c>
      <c r="K250" s="14" t="s">
        <v>6707</v>
      </c>
      <c r="L250" s="14" t="s">
        <v>13202</v>
      </c>
      <c r="M250" s="14" t="s">
        <v>13130</v>
      </c>
      <c r="N250" s="14" t="s">
        <v>343</v>
      </c>
      <c r="O250" s="14" t="s">
        <v>9158</v>
      </c>
      <c r="P250" s="14" t="s">
        <v>9158</v>
      </c>
      <c r="Q250" s="14" t="s">
        <v>9158</v>
      </c>
      <c r="R250" s="14" t="s">
        <v>14748</v>
      </c>
    </row>
    <row r="251" spans="1:18">
      <c r="A251" s="14">
        <v>83972</v>
      </c>
      <c r="B251" s="14" t="s">
        <v>334</v>
      </c>
      <c r="C251" s="14" t="s">
        <v>14</v>
      </c>
      <c r="D251" s="19" t="s">
        <v>10570</v>
      </c>
      <c r="E251" s="15" t="str">
        <f>HYPERLINK("https://stat100.ameba.jp/tnk47/ratio20/illustrations/card/ill_83972_nekokishiirurosu02.jpg?202009-5-RELEASE-marathon-491xxxx", "■")</f>
        <v>■</v>
      </c>
      <c r="F251" s="14" t="s">
        <v>6706</v>
      </c>
      <c r="G251" s="14">
        <v>115230</v>
      </c>
      <c r="H251" s="14">
        <v>106148</v>
      </c>
      <c r="I251" s="14">
        <v>28</v>
      </c>
      <c r="J251" s="14" t="s">
        <v>229</v>
      </c>
      <c r="K251" s="14" t="s">
        <v>6707</v>
      </c>
      <c r="L251" s="14" t="s">
        <v>13201</v>
      </c>
      <c r="M251" s="14" t="s">
        <v>13131</v>
      </c>
      <c r="N251" s="14" t="s">
        <v>251</v>
      </c>
      <c r="O251" s="14" t="s">
        <v>9158</v>
      </c>
      <c r="P251" s="14" t="s">
        <v>9158</v>
      </c>
      <c r="Q251" s="14" t="s">
        <v>9158</v>
      </c>
      <c r="R251" s="14" t="s">
        <v>14748</v>
      </c>
    </row>
    <row r="252" spans="1:18">
      <c r="A252" s="14">
        <v>83971</v>
      </c>
      <c r="B252" s="14" t="s">
        <v>0</v>
      </c>
      <c r="C252" s="14" t="s">
        <v>14</v>
      </c>
      <c r="D252" s="19" t="s">
        <v>10570</v>
      </c>
      <c r="E252" s="15" t="str">
        <f>HYPERLINK("https://stat100.ameba.jp/tnk47/ratio20/illustrations/card/ill_83971_nekokishiirurosu01.jpg?202009-5-RELEASE-marathon-491xxxx", "■")</f>
        <v>■</v>
      </c>
      <c r="F252" s="14" t="s">
        <v>6706</v>
      </c>
      <c r="G252" s="14">
        <v>87976</v>
      </c>
      <c r="H252" s="14">
        <v>81900</v>
      </c>
      <c r="I252" s="14">
        <v>28</v>
      </c>
      <c r="J252" s="14" t="s">
        <v>229</v>
      </c>
      <c r="K252" s="14" t="s">
        <v>6707</v>
      </c>
      <c r="L252" s="14" t="s">
        <v>13201</v>
      </c>
      <c r="M252" s="14" t="s">
        <v>13131</v>
      </c>
      <c r="N252" s="14" t="s">
        <v>251</v>
      </c>
      <c r="O252" s="14" t="s">
        <v>9158</v>
      </c>
      <c r="P252" s="14" t="s">
        <v>9158</v>
      </c>
      <c r="Q252" s="14" t="s">
        <v>9158</v>
      </c>
      <c r="R252" s="14" t="s">
        <v>14748</v>
      </c>
    </row>
    <row r="253" spans="1:18">
      <c r="A253" s="14">
        <v>83983</v>
      </c>
      <c r="B253" s="14" t="s">
        <v>334</v>
      </c>
      <c r="C253" s="14" t="s">
        <v>23</v>
      </c>
      <c r="D253" s="19" t="s">
        <v>10571</v>
      </c>
      <c r="E253" s="15" t="str">
        <f>HYPERLINK("https://stat100.ameba.jp/tnk47/ratio20/illustrations/card/ill_83983_ryujinsui03.jpg?202009-5-RELEASE-marathon-491xxxx", "■")</f>
        <v>■</v>
      </c>
      <c r="F253" s="14" t="s">
        <v>6708</v>
      </c>
      <c r="G253" s="14">
        <v>128160</v>
      </c>
      <c r="H253" s="14">
        <v>137846</v>
      </c>
      <c r="I253" s="14">
        <v>28</v>
      </c>
      <c r="J253" s="14" t="s">
        <v>169</v>
      </c>
      <c r="K253" s="14" t="s">
        <v>6710</v>
      </c>
      <c r="L253" s="14" t="s">
        <v>6721</v>
      </c>
      <c r="M253" s="14" t="s">
        <v>13130</v>
      </c>
      <c r="N253" s="14" t="s">
        <v>343</v>
      </c>
      <c r="O253" s="14" t="s">
        <v>9158</v>
      </c>
      <c r="P253" s="14" t="s">
        <v>9158</v>
      </c>
      <c r="Q253" s="14" t="s">
        <v>9158</v>
      </c>
      <c r="R253" s="14" t="s">
        <v>14748</v>
      </c>
    </row>
    <row r="254" spans="1:18">
      <c r="A254" s="14">
        <v>83993</v>
      </c>
      <c r="B254" s="14" t="s">
        <v>334</v>
      </c>
      <c r="C254" s="14" t="s">
        <v>101</v>
      </c>
      <c r="D254" s="19" t="s">
        <v>10572</v>
      </c>
      <c r="E254" s="15" t="str">
        <f>HYPERLINK("https://stat100.ameba.jp/tnk47/ratio20/illustrations/card/ill_83993_enjieruzuranotamagochan03.jpg?202009-5-RELEASE-marathon-491xxxx", "■")</f>
        <v>■</v>
      </c>
      <c r="F254" s="14" t="s">
        <v>6722</v>
      </c>
      <c r="G254" s="14">
        <v>128160</v>
      </c>
      <c r="H254" s="14">
        <v>137846</v>
      </c>
      <c r="I254" s="14">
        <v>28</v>
      </c>
      <c r="J254" s="14" t="s">
        <v>216</v>
      </c>
      <c r="K254" s="14" t="s">
        <v>6723</v>
      </c>
      <c r="L254" s="14" t="s">
        <v>6724</v>
      </c>
      <c r="M254" s="14" t="s">
        <v>13130</v>
      </c>
      <c r="N254" s="14" t="s">
        <v>343</v>
      </c>
      <c r="O254" s="14" t="s">
        <v>9158</v>
      </c>
      <c r="P254" s="14" t="s">
        <v>9158</v>
      </c>
      <c r="Q254" s="14" t="s">
        <v>9158</v>
      </c>
      <c r="R254" s="14" t="s">
        <v>14748</v>
      </c>
    </row>
    <row r="255" spans="1:18">
      <c r="A255" s="14">
        <v>84003</v>
      </c>
      <c r="B255" s="14" t="s">
        <v>0</v>
      </c>
      <c r="C255" s="14" t="s">
        <v>96</v>
      </c>
      <c r="D255" s="19" t="s">
        <v>10573</v>
      </c>
      <c r="E255" s="15" t="str">
        <f>HYPERLINK("https://stat100.ameba.jp/tnk47/ratio20/illustrations/card/ill_84003_sukoropendora03.jpg?202009-5-RELEASE-marathon-491xxxx", "■")</f>
        <v>■</v>
      </c>
      <c r="F255" s="14" t="s">
        <v>6725</v>
      </c>
      <c r="G255" s="14">
        <v>137846</v>
      </c>
      <c r="H255" s="14">
        <v>128160</v>
      </c>
      <c r="I255" s="14">
        <v>28</v>
      </c>
      <c r="J255" s="14" t="s">
        <v>182</v>
      </c>
      <c r="K255" s="14" t="s">
        <v>6727</v>
      </c>
      <c r="L255" s="14" t="s">
        <v>6728</v>
      </c>
      <c r="M255" s="14" t="s">
        <v>13130</v>
      </c>
      <c r="N255" s="14" t="s">
        <v>343</v>
      </c>
      <c r="O255" s="14" t="s">
        <v>9158</v>
      </c>
      <c r="P255" s="14" t="s">
        <v>9158</v>
      </c>
      <c r="Q255" s="14" t="s">
        <v>9158</v>
      </c>
      <c r="R255" s="14" t="s">
        <v>14748</v>
      </c>
    </row>
    <row r="256" spans="1:18">
      <c r="A256" s="14">
        <v>84013</v>
      </c>
      <c r="B256" s="14" t="s">
        <v>334</v>
      </c>
      <c r="C256" s="14" t="s">
        <v>205</v>
      </c>
      <c r="D256" s="19" t="s">
        <v>10574</v>
      </c>
      <c r="E256" s="15" t="str">
        <f>HYPERLINK("https://stat100.ameba.jp/tnk47/ratio20/illustrations/card/ill_84013_neikiddo03.jpg?202009-5-RELEASE-marathon-491xxxx", "■")</f>
        <v>■</v>
      </c>
      <c r="F256" s="14" t="s">
        <v>6729</v>
      </c>
      <c r="G256" s="14">
        <v>128160</v>
      </c>
      <c r="H256" s="14">
        <v>137846</v>
      </c>
      <c r="I256" s="14">
        <v>28</v>
      </c>
      <c r="J256" s="14" t="s">
        <v>194</v>
      </c>
      <c r="K256" s="14" t="s">
        <v>6731</v>
      </c>
      <c r="L256" s="14" t="s">
        <v>6732</v>
      </c>
      <c r="M256" s="14" t="s">
        <v>13130</v>
      </c>
      <c r="N256" s="14" t="s">
        <v>343</v>
      </c>
      <c r="O256" s="14" t="s">
        <v>9158</v>
      </c>
      <c r="P256" s="14" t="s">
        <v>9158</v>
      </c>
      <c r="Q256" s="14" t="s">
        <v>9158</v>
      </c>
      <c r="R256" s="14" t="s">
        <v>14748</v>
      </c>
    </row>
    <row r="257" spans="1:18">
      <c r="A257" s="14">
        <v>76763</v>
      </c>
      <c r="B257" s="14" t="s">
        <v>334</v>
      </c>
      <c r="C257" s="14" t="s">
        <v>107</v>
      </c>
      <c r="D257" s="19" t="s">
        <v>10575</v>
      </c>
      <c r="E257" s="15" t="str">
        <f>HYPERLINK("https://stat100.ameba.jp/tnk47/ratio20/illustrations/card/ill_76763_monsutanabeshimakeiginni03.jpg?202009-5-RELEASE-marathon-491xxxx", "■")</f>
        <v>■</v>
      </c>
      <c r="F257" s="14" t="s">
        <v>6733</v>
      </c>
      <c r="G257" s="14">
        <v>137846</v>
      </c>
      <c r="H257" s="14">
        <v>128160</v>
      </c>
      <c r="I257" s="14">
        <v>28</v>
      </c>
      <c r="J257" s="14" t="s">
        <v>187</v>
      </c>
      <c r="K257" s="14" t="s">
        <v>6735</v>
      </c>
      <c r="L257" s="14" t="s">
        <v>6736</v>
      </c>
      <c r="M257" s="14" t="s">
        <v>13130</v>
      </c>
      <c r="N257" s="14" t="s">
        <v>343</v>
      </c>
      <c r="O257" s="14" t="s">
        <v>9158</v>
      </c>
      <c r="P257" s="14" t="s">
        <v>9158</v>
      </c>
      <c r="Q257" s="14" t="s">
        <v>9158</v>
      </c>
      <c r="R257" s="14" t="s">
        <v>14748</v>
      </c>
    </row>
    <row r="259" spans="1:18">
      <c r="A259" s="14" t="s">
        <v>14776</v>
      </c>
    </row>
    <row r="260" spans="1:18">
      <c r="A260" s="14" t="s">
        <v>14778</v>
      </c>
    </row>
    <row r="261" spans="1:18">
      <c r="A261" s="14" t="s">
        <v>14777</v>
      </c>
    </row>
    <row r="262" spans="1:18">
      <c r="A262" s="14" t="s">
        <v>14533</v>
      </c>
      <c r="B262" s="7" t="s">
        <v>52</v>
      </c>
      <c r="C262" s="14" t="s">
        <v>202</v>
      </c>
      <c r="D262" s="18" t="s">
        <v>14532</v>
      </c>
      <c r="E262" s="15" t="str">
        <f>HYPERLINK("https://stat100.ameba.jp/tnk47/ratio20/illustrations/card/ill_91703_0_ninjashugyohanakosan03.jpg?202009-5-RELEASE-marathon-491xxxx", "■")</f>
        <v>■</v>
      </c>
      <c r="F262" s="14" t="s">
        <v>14534</v>
      </c>
      <c r="G262" s="14">
        <v>292832</v>
      </c>
      <c r="H262" s="14">
        <v>324004</v>
      </c>
      <c r="I262" s="7">
        <v>28</v>
      </c>
      <c r="J262" s="14" t="s">
        <v>77</v>
      </c>
      <c r="K262" s="14" t="s">
        <v>14536</v>
      </c>
      <c r="L262" s="14" t="s">
        <v>14535</v>
      </c>
      <c r="M262" s="14" t="s">
        <v>9158</v>
      </c>
      <c r="N262" s="14" t="s">
        <v>9158</v>
      </c>
      <c r="O262" s="6" t="s">
        <v>14539</v>
      </c>
      <c r="P262" s="7" t="s">
        <v>14538</v>
      </c>
      <c r="Q262" s="7">
        <v>1</v>
      </c>
    </row>
    <row r="263" spans="1:18">
      <c r="A263" s="14">
        <v>91933</v>
      </c>
      <c r="B263" s="14" t="s">
        <v>14779</v>
      </c>
      <c r="C263" s="14" t="s">
        <v>14782</v>
      </c>
      <c r="D263" s="14" t="s">
        <v>14788</v>
      </c>
      <c r="E263" s="15" t="str">
        <f>HYPERLINK("https://stat100.ameba.jp/tnk47/ratio20/illustrations/card/ill_91933_gekkomaihimekureburu03.jpg?202009-5-RELEASE-marathon-491xxxx", "■")</f>
        <v>■</v>
      </c>
      <c r="F263" s="14" t="s">
        <v>14787</v>
      </c>
      <c r="G263" s="14">
        <v>166452</v>
      </c>
      <c r="H263" s="14">
        <v>154768</v>
      </c>
      <c r="I263" s="7">
        <v>28</v>
      </c>
      <c r="J263" s="14" t="s">
        <v>14791</v>
      </c>
      <c r="K263" s="14" t="s">
        <v>14790</v>
      </c>
      <c r="L263" s="14" t="s">
        <v>14789</v>
      </c>
      <c r="M263" s="14" t="s">
        <v>9158</v>
      </c>
      <c r="N263" s="14" t="s">
        <v>9158</v>
      </c>
      <c r="O263" s="14" t="s">
        <v>9158</v>
      </c>
      <c r="P263" s="14" t="s">
        <v>9158</v>
      </c>
      <c r="Q263" s="14" t="s">
        <v>9158</v>
      </c>
    </row>
    <row r="264" spans="1:18">
      <c r="A264" s="14">
        <v>91943</v>
      </c>
      <c r="B264" s="14" t="s">
        <v>14779</v>
      </c>
      <c r="C264" s="14" t="s">
        <v>107</v>
      </c>
      <c r="D264" s="14" t="s">
        <v>14796</v>
      </c>
      <c r="E264" s="15" t="str">
        <f>HYPERLINK("https://stat100.ameba.jp/tnk47/ratio20/illustrations/card/ill_91943_miyamotomuashi03.jpg?202009-5-RELEASE-marathon-491xxxx", "■")</f>
        <v>■</v>
      </c>
      <c r="F264" s="14" t="s">
        <v>14795</v>
      </c>
      <c r="G264" s="14">
        <v>154768</v>
      </c>
      <c r="H264" s="14">
        <v>166452</v>
      </c>
      <c r="I264" s="7">
        <v>28</v>
      </c>
      <c r="J264" s="14" t="s">
        <v>14794</v>
      </c>
      <c r="K264" s="14" t="s">
        <v>14793</v>
      </c>
      <c r="L264" s="14" t="s">
        <v>14792</v>
      </c>
      <c r="M264" s="14" t="s">
        <v>9158</v>
      </c>
      <c r="N264" s="14" t="s">
        <v>9158</v>
      </c>
      <c r="O264" s="14" t="s">
        <v>9158</v>
      </c>
      <c r="P264" s="14" t="s">
        <v>9158</v>
      </c>
      <c r="Q264" s="14" t="s">
        <v>9158</v>
      </c>
    </row>
    <row r="265" spans="1:18">
      <c r="A265" s="14">
        <v>91953</v>
      </c>
      <c r="B265" s="14" t="s">
        <v>14781</v>
      </c>
      <c r="C265" s="14" t="s">
        <v>14783</v>
      </c>
      <c r="D265" s="14" t="s">
        <v>14801</v>
      </c>
      <c r="E265" s="15" t="str">
        <f>HYPERLINK("https://stat100.ameba.jp/tnk47/ratio20/illustrations/card/ill_91953_kaguya03.jpg?202009-5-RELEASE-marathon-491xxxx", "■")</f>
        <v>■</v>
      </c>
      <c r="F265" s="14" t="s">
        <v>14800</v>
      </c>
      <c r="G265" s="14">
        <v>82992</v>
      </c>
      <c r="H265" s="14">
        <v>75274</v>
      </c>
      <c r="I265" s="7">
        <v>28</v>
      </c>
      <c r="J265" s="14" t="s">
        <v>14799</v>
      </c>
      <c r="K265" s="14" t="s">
        <v>14798</v>
      </c>
      <c r="L265" s="14" t="s">
        <v>14797</v>
      </c>
      <c r="M265" s="14" t="s">
        <v>9158</v>
      </c>
      <c r="N265" s="14" t="s">
        <v>9158</v>
      </c>
      <c r="O265" s="14" t="s">
        <v>9158</v>
      </c>
      <c r="P265" s="14" t="s">
        <v>9158</v>
      </c>
      <c r="Q265" s="14" t="s">
        <v>9158</v>
      </c>
    </row>
    <row r="266" spans="1:18">
      <c r="A266" s="14">
        <v>91963</v>
      </c>
      <c r="B266" s="14" t="s">
        <v>14780</v>
      </c>
      <c r="C266" s="14" t="s">
        <v>14784</v>
      </c>
      <c r="D266" s="14" t="s">
        <v>14806</v>
      </c>
      <c r="E266" s="15" t="str">
        <f>HYPERLINK("https://stat100.ameba.jp/tnk47/ratio20/illustrations/card/ill_91963_porandoyukiusagi03.jpg?202009-5-RELEASE-marathon-491xxxx", "■")</f>
        <v>■</v>
      </c>
      <c r="F266" s="14" t="s">
        <v>14805</v>
      </c>
      <c r="G266" s="14">
        <v>48406</v>
      </c>
      <c r="H266" s="14">
        <v>58216</v>
      </c>
      <c r="I266" s="7">
        <v>28</v>
      </c>
      <c r="J266" s="14" t="s">
        <v>14804</v>
      </c>
      <c r="K266" s="14" t="s">
        <v>14803</v>
      </c>
      <c r="L266" s="14" t="s">
        <v>14802</v>
      </c>
      <c r="M266" s="14" t="s">
        <v>9158</v>
      </c>
      <c r="N266" s="14" t="s">
        <v>9158</v>
      </c>
      <c r="O266" s="14" t="s">
        <v>9158</v>
      </c>
      <c r="P266" s="14" t="s">
        <v>9158</v>
      </c>
      <c r="Q266" s="14" t="s">
        <v>9158</v>
      </c>
    </row>
    <row r="267" spans="1:18">
      <c r="A267" s="14">
        <v>91973</v>
      </c>
      <c r="B267" s="14" t="s">
        <v>14780</v>
      </c>
      <c r="C267" s="14" t="s">
        <v>205</v>
      </c>
      <c r="D267" s="14" t="s">
        <v>14810</v>
      </c>
      <c r="E267" s="15" t="str">
        <f>HYPERLINK("https://stat100.ameba.jp/tnk47/ratio20/illustrations/card/ill_91973_izayoizakura03.jpg?202009-5-RELEASE-marathon-491xxxx", "■")</f>
        <v>■</v>
      </c>
      <c r="F267" s="14" t="s">
        <v>14809</v>
      </c>
      <c r="G267" s="14">
        <v>58216</v>
      </c>
      <c r="H267" s="14">
        <v>48406</v>
      </c>
      <c r="I267" s="7">
        <v>28</v>
      </c>
      <c r="J267" s="14" t="s">
        <v>14799</v>
      </c>
      <c r="K267" s="14" t="s">
        <v>14808</v>
      </c>
      <c r="L267" s="14" t="s">
        <v>14807</v>
      </c>
      <c r="M267" s="14" t="s">
        <v>9158</v>
      </c>
      <c r="N267" s="14" t="s">
        <v>9158</v>
      </c>
      <c r="O267" s="14" t="s">
        <v>9158</v>
      </c>
      <c r="P267" s="14" t="s">
        <v>9158</v>
      </c>
      <c r="Q267" s="14" t="s">
        <v>9158</v>
      </c>
    </row>
    <row r="269" spans="1:18">
      <c r="A269" s="14" t="s">
        <v>14785</v>
      </c>
    </row>
    <row r="270" spans="1:18">
      <c r="A270" s="14" t="s">
        <v>14786</v>
      </c>
    </row>
    <row r="271" spans="1:18">
      <c r="A271" s="14" t="s">
        <v>5843</v>
      </c>
      <c r="B271" s="14" t="s">
        <v>52</v>
      </c>
      <c r="C271" s="14" t="s">
        <v>202</v>
      </c>
      <c r="D271" s="19" t="s">
        <v>10291</v>
      </c>
      <c r="E271" s="15" t="str">
        <f>HYPERLINK("https://stat100.ameba.jp/tnk47/ratio20/illustrations/card/ill_77963_0_kurisumasudaisakusentakiyashahime03.jpg?202009-5-RELEASE-marathon-491xxxx", "■")</f>
        <v>■</v>
      </c>
      <c r="F271" s="14" t="s">
        <v>2127</v>
      </c>
      <c r="G271" s="14">
        <v>307028</v>
      </c>
      <c r="H271" s="14">
        <v>277487</v>
      </c>
      <c r="I271" s="14">
        <v>25</v>
      </c>
      <c r="J271" s="14" t="s">
        <v>77</v>
      </c>
      <c r="K271" s="14" t="s">
        <v>2128</v>
      </c>
      <c r="L271" s="14" t="s">
        <v>2129</v>
      </c>
      <c r="M271" s="14" t="s">
        <v>9158</v>
      </c>
      <c r="N271" s="14" t="s">
        <v>9158</v>
      </c>
      <c r="O271" s="19" t="s">
        <v>10107</v>
      </c>
      <c r="P271" s="14" t="s">
        <v>3589</v>
      </c>
      <c r="Q271" s="14">
        <v>2</v>
      </c>
    </row>
    <row r="272" spans="1:18">
      <c r="A272" s="14">
        <v>77663</v>
      </c>
      <c r="B272" s="14" t="s">
        <v>334</v>
      </c>
      <c r="C272" s="14" t="s">
        <v>202</v>
      </c>
      <c r="D272" s="19" t="s">
        <v>10614</v>
      </c>
      <c r="E272" s="15" t="str">
        <f>HYPERLINK("https://stat100.ameba.jp/tnk47/ratio20/illustrations/card/ill_77663_deipuburu03.jpg?202009-5-RELEASE-marathon-491xxxx", "■")</f>
        <v>■</v>
      </c>
      <c r="F272" s="14" t="s">
        <v>1573</v>
      </c>
      <c r="G272" s="14">
        <v>78916</v>
      </c>
      <c r="H272" s="14">
        <v>108924</v>
      </c>
      <c r="I272" s="14">
        <v>24</v>
      </c>
      <c r="J272" s="14" t="s">
        <v>414</v>
      </c>
      <c r="K272" s="14" t="s">
        <v>1574</v>
      </c>
      <c r="L272" s="14" t="s">
        <v>1575</v>
      </c>
      <c r="M272" s="14" t="s">
        <v>9158</v>
      </c>
      <c r="N272" s="14" t="s">
        <v>9158</v>
      </c>
      <c r="O272" s="19" t="s">
        <v>10117</v>
      </c>
      <c r="P272" s="14" t="s">
        <v>3625</v>
      </c>
      <c r="Q272" s="14">
        <v>1</v>
      </c>
    </row>
    <row r="273" spans="1:19">
      <c r="A273" s="9">
        <v>75073</v>
      </c>
      <c r="B273" s="14" t="s">
        <v>334</v>
      </c>
      <c r="C273" s="14" t="s">
        <v>154</v>
      </c>
      <c r="D273" s="14" t="s">
        <v>3346</v>
      </c>
      <c r="E273" s="15" t="str">
        <f>HYPERLINK("https://stat100.ameba.jp/tnk47/ratio20/illustrations/card/ill_75073_puruchacha03.jpg?202009-5-RELEASE-marathon-491xxxx", "■")</f>
        <v>■</v>
      </c>
      <c r="F273" s="14" t="s">
        <v>3347</v>
      </c>
      <c r="G273" s="14">
        <v>104890</v>
      </c>
      <c r="H273" s="14">
        <v>75984</v>
      </c>
      <c r="I273" s="14">
        <v>24</v>
      </c>
      <c r="J273" s="14" t="s">
        <v>77</v>
      </c>
      <c r="K273" s="14" t="s">
        <v>3348</v>
      </c>
      <c r="L273" s="14" t="s">
        <v>76</v>
      </c>
      <c r="M273" s="14" t="s">
        <v>9158</v>
      </c>
      <c r="N273" s="14" t="s">
        <v>9158</v>
      </c>
      <c r="O273" s="18" t="s">
        <v>10055</v>
      </c>
      <c r="P273" s="14" t="s">
        <v>13124</v>
      </c>
      <c r="Q273" s="14">
        <v>1</v>
      </c>
    </row>
    <row r="274" spans="1:19">
      <c r="A274" s="14">
        <v>84663</v>
      </c>
      <c r="B274" s="14" t="s">
        <v>334</v>
      </c>
      <c r="C274" s="14" t="s">
        <v>158</v>
      </c>
      <c r="D274" s="20" t="s">
        <v>10648</v>
      </c>
      <c r="E274" s="15" t="str">
        <f>HYPERLINK("https://stat100.ameba.jp/tnk47/ratio20/illustrations/card/ill_84663_juwannonefuerufuito03.jpg?202009-5-RELEASE-marathon-491xxxx", "■")</f>
        <v>■</v>
      </c>
      <c r="F274" s="14" t="s">
        <v>7095</v>
      </c>
      <c r="G274" s="14">
        <v>81078</v>
      </c>
      <c r="H274" s="14">
        <v>111914</v>
      </c>
      <c r="I274" s="14">
        <v>24</v>
      </c>
      <c r="J274" s="14" t="s">
        <v>182</v>
      </c>
      <c r="K274" s="14" t="s">
        <v>7094</v>
      </c>
      <c r="L274" s="14" t="s">
        <v>7093</v>
      </c>
      <c r="M274" s="14" t="s">
        <v>9158</v>
      </c>
      <c r="N274" s="14" t="s">
        <v>9158</v>
      </c>
      <c r="O274" s="19" t="s">
        <v>10091</v>
      </c>
      <c r="P274" s="14" t="s">
        <v>3670</v>
      </c>
      <c r="Q274" s="14">
        <v>1</v>
      </c>
    </row>
    <row r="276" spans="1:19">
      <c r="A276" s="14" t="s">
        <v>14811</v>
      </c>
    </row>
    <row r="277" spans="1:19">
      <c r="A277" s="14" t="s">
        <v>14812</v>
      </c>
    </row>
    <row r="278" spans="1:19">
      <c r="A278" s="14">
        <v>91805</v>
      </c>
      <c r="B278" s="14" t="s">
        <v>0</v>
      </c>
      <c r="C278" s="14" t="s">
        <v>202</v>
      </c>
      <c r="D278" s="18" t="s">
        <v>14813</v>
      </c>
      <c r="E278" s="15" t="str">
        <f>HYPERLINK("https://stat100.ameba.jp/tnk47/ratio20/illustrations/card/ill_91805_gekkogakkutensendara05.jpg?202009-5-RELEASE-marathon-491xxxx", "■")</f>
        <v>■</v>
      </c>
      <c r="F278" s="14" t="s">
        <v>14814</v>
      </c>
      <c r="G278" s="14">
        <v>95308</v>
      </c>
      <c r="H278" s="14">
        <v>131636</v>
      </c>
      <c r="I278" s="14">
        <v>28</v>
      </c>
      <c r="J278" s="14" t="s">
        <v>77</v>
      </c>
      <c r="K278" s="14" t="s">
        <v>14815</v>
      </c>
      <c r="L278" s="14" t="s">
        <v>12139</v>
      </c>
      <c r="M278" s="14" t="s">
        <v>9158</v>
      </c>
      <c r="N278" s="14" t="s">
        <v>9158</v>
      </c>
      <c r="O278" s="14" t="s">
        <v>9158</v>
      </c>
      <c r="P278" s="14" t="s">
        <v>9158</v>
      </c>
      <c r="Q278" s="14" t="s">
        <v>9158</v>
      </c>
      <c r="R278" s="14" t="s">
        <v>174</v>
      </c>
    </row>
    <row r="279" spans="1:19">
      <c r="A279" s="14">
        <v>91803</v>
      </c>
      <c r="B279" s="14" t="s">
        <v>15</v>
      </c>
      <c r="C279" s="14" t="s">
        <v>154</v>
      </c>
      <c r="D279" s="18" t="s">
        <v>14813</v>
      </c>
      <c r="E279" s="15" t="str">
        <f>HYPERLINK("https://stat100.ameba.jp/tnk47/ratio20/illustrations/card/ill_91803_gekkogakkutensendara03.jpg?202009-5-RELEASE-marathon-491xxxx", "■")</f>
        <v>■</v>
      </c>
      <c r="F279" s="14" t="s">
        <v>14814</v>
      </c>
      <c r="G279" s="14">
        <v>70218</v>
      </c>
      <c r="H279" s="14">
        <v>96978</v>
      </c>
      <c r="I279" s="14">
        <v>28</v>
      </c>
      <c r="J279" s="14" t="s">
        <v>77</v>
      </c>
      <c r="K279" s="14" t="s">
        <v>14815</v>
      </c>
      <c r="L279" s="14" t="s">
        <v>13966</v>
      </c>
      <c r="M279" s="14" t="s">
        <v>9158</v>
      </c>
      <c r="N279" s="14" t="s">
        <v>9158</v>
      </c>
      <c r="O279" s="14" t="s">
        <v>9158</v>
      </c>
      <c r="P279" s="14" t="s">
        <v>9158</v>
      </c>
      <c r="Q279" s="14" t="s">
        <v>9158</v>
      </c>
      <c r="R279" s="14" t="s">
        <v>175</v>
      </c>
    </row>
    <row r="280" spans="1:19">
      <c r="A280" s="14">
        <v>91801</v>
      </c>
      <c r="B280" s="14" t="s">
        <v>15</v>
      </c>
      <c r="C280" s="14" t="s">
        <v>154</v>
      </c>
      <c r="D280" s="18" t="s">
        <v>14813</v>
      </c>
      <c r="E280" s="15" t="str">
        <f>HYPERLINK("https://stat100.ameba.jp/tnk47/ratio20/illustrations/card/ill_91801_gekkogakkutensendara01.jpg?202009-5-RELEASE-marathon-491xxxx", "■")</f>
        <v>■</v>
      </c>
      <c r="F280" s="14" t="s">
        <v>14814</v>
      </c>
      <c r="G280" s="14">
        <v>44660</v>
      </c>
      <c r="H280" s="14">
        <v>61684</v>
      </c>
      <c r="I280" s="14">
        <v>28</v>
      </c>
      <c r="J280" s="14" t="s">
        <v>77</v>
      </c>
      <c r="K280" s="14" t="s">
        <v>14815</v>
      </c>
      <c r="L280" s="14" t="s">
        <v>14597</v>
      </c>
      <c r="M280" s="14" t="s">
        <v>9158</v>
      </c>
      <c r="N280" s="14" t="s">
        <v>9158</v>
      </c>
      <c r="O280" s="14" t="s">
        <v>9158</v>
      </c>
      <c r="P280" s="14" t="s">
        <v>9158</v>
      </c>
      <c r="Q280" s="14" t="s">
        <v>9158</v>
      </c>
      <c r="R280" s="14" t="s">
        <v>176</v>
      </c>
    </row>
    <row r="282" spans="1:19">
      <c r="A282" s="14" t="s">
        <v>14816</v>
      </c>
    </row>
    <row r="283" spans="1:19">
      <c r="A283" s="14" t="s">
        <v>14817</v>
      </c>
    </row>
    <row r="284" spans="1:19">
      <c r="A284" s="14">
        <v>77583</v>
      </c>
      <c r="B284" s="14" t="s">
        <v>0</v>
      </c>
      <c r="C284" s="14" t="s">
        <v>14819</v>
      </c>
      <c r="D284" s="14" t="s">
        <v>14828</v>
      </c>
      <c r="E284" s="15" t="str">
        <f>HYPERLINK("https://stat100.ameba.jp/tnk47/ratio20/illustrations/card/ill_77583_kajinobotan03.jpg?202009-5-RELEASE-marathon-491xxxx", "■")</f>
        <v>■</v>
      </c>
      <c r="F284" s="14" t="s">
        <v>14827</v>
      </c>
      <c r="G284" s="14">
        <v>123002</v>
      </c>
      <c r="H284" s="14">
        <v>114362</v>
      </c>
      <c r="I284" s="14">
        <v>27</v>
      </c>
      <c r="J284" s="14" t="s">
        <v>14826</v>
      </c>
      <c r="K284" s="14" t="s">
        <v>14825</v>
      </c>
      <c r="L284" s="14" t="s">
        <v>14818</v>
      </c>
      <c r="M284" s="14" t="s">
        <v>9158</v>
      </c>
      <c r="N284" s="14" t="s">
        <v>9158</v>
      </c>
      <c r="O284" s="14" t="s">
        <v>9158</v>
      </c>
      <c r="P284" s="14" t="s">
        <v>9158</v>
      </c>
      <c r="Q284" s="14" t="s">
        <v>9158</v>
      </c>
      <c r="S284" s="14" t="s">
        <v>16597</v>
      </c>
    </row>
    <row r="285" spans="1:19">
      <c r="A285" s="14">
        <v>80353</v>
      </c>
      <c r="B285" s="14" t="s">
        <v>0</v>
      </c>
      <c r="C285" s="14" t="s">
        <v>14820</v>
      </c>
      <c r="D285" s="14" t="s">
        <v>14833</v>
      </c>
      <c r="E285" s="15" t="str">
        <f>HYPERLINK("https://stat100.ameba.jp/tnk47/ratio20/illustrations/card/ill_80353_seibugekisentoin03.jpg?202009-5-RELEASE-marathon-491xxxx", "■")</f>
        <v>■</v>
      </c>
      <c r="F285" s="14" t="s">
        <v>14832</v>
      </c>
      <c r="G285" s="14">
        <v>105465</v>
      </c>
      <c r="H285" s="14">
        <v>98019</v>
      </c>
      <c r="I285" s="14">
        <v>27</v>
      </c>
      <c r="J285" s="14" t="s">
        <v>14831</v>
      </c>
      <c r="K285" s="14" t="s">
        <v>14830</v>
      </c>
      <c r="L285" s="14" t="s">
        <v>14829</v>
      </c>
      <c r="M285" s="14" t="s">
        <v>9158</v>
      </c>
      <c r="N285" s="14" t="s">
        <v>9158</v>
      </c>
      <c r="O285" s="14" t="s">
        <v>9158</v>
      </c>
      <c r="P285" s="14" t="s">
        <v>9158</v>
      </c>
      <c r="Q285" s="14" t="s">
        <v>9158</v>
      </c>
    </row>
    <row r="286" spans="1:19">
      <c r="A286" s="14">
        <v>82773</v>
      </c>
      <c r="B286" s="14" t="s">
        <v>0</v>
      </c>
      <c r="C286" s="14" t="s">
        <v>14821</v>
      </c>
      <c r="D286" s="14" t="s">
        <v>14838</v>
      </c>
      <c r="E286" s="15" t="str">
        <f>HYPERLINK("https://stat100.ameba.jp/tnk47/ratio20/illustrations/card/ill_82773_furesshumirukuraguzatama03.jpg?202009-5-RELEASE-marathon-491xxxx", "■")</f>
        <v>■</v>
      </c>
      <c r="F286" s="14" t="s">
        <v>14837</v>
      </c>
      <c r="G286" s="14">
        <v>101837</v>
      </c>
      <c r="H286" s="14">
        <v>109481</v>
      </c>
      <c r="I286" s="14">
        <v>27</v>
      </c>
      <c r="J286" s="14" t="s">
        <v>14836</v>
      </c>
      <c r="K286" s="14" t="s">
        <v>14835</v>
      </c>
      <c r="L286" s="14" t="s">
        <v>14834</v>
      </c>
      <c r="M286" s="14" t="s">
        <v>9158</v>
      </c>
      <c r="N286" s="14" t="s">
        <v>9158</v>
      </c>
      <c r="O286" s="14" t="s">
        <v>9158</v>
      </c>
      <c r="P286" s="14" t="s">
        <v>9158</v>
      </c>
      <c r="Q286" s="14" t="s">
        <v>9158</v>
      </c>
    </row>
    <row r="287" spans="1:19">
      <c r="A287" s="14">
        <v>47433</v>
      </c>
      <c r="B287" s="14" t="s">
        <v>15</v>
      </c>
      <c r="C287" s="14" t="s">
        <v>14822</v>
      </c>
      <c r="D287" s="14" t="s">
        <v>14843</v>
      </c>
      <c r="E287" s="15" t="str">
        <f>HYPERLINK("https://stat100.ameba.jp/tnk47/ratio20/illustrations/card/ill_47433_paeria03.jpg?202009-5-RELEASE-marathon-491xxxx", "■")</f>
        <v>■</v>
      </c>
      <c r="F287" s="14" t="s">
        <v>14842</v>
      </c>
      <c r="G287" s="14">
        <v>53768</v>
      </c>
      <c r="H287" s="14">
        <v>59280</v>
      </c>
      <c r="I287" s="14">
        <v>20</v>
      </c>
      <c r="J287" s="14" t="s">
        <v>14841</v>
      </c>
      <c r="K287" s="14" t="s">
        <v>14840</v>
      </c>
      <c r="L287" s="14" t="s">
        <v>14839</v>
      </c>
      <c r="M287" s="14" t="s">
        <v>9158</v>
      </c>
      <c r="N287" s="14" t="s">
        <v>9158</v>
      </c>
      <c r="O287" s="14" t="s">
        <v>9158</v>
      </c>
      <c r="P287" s="14" t="s">
        <v>9158</v>
      </c>
      <c r="Q287" s="14" t="s">
        <v>9158</v>
      </c>
    </row>
    <row r="288" spans="1:19">
      <c r="A288" s="14">
        <v>70033</v>
      </c>
      <c r="B288" s="14" t="s">
        <v>15</v>
      </c>
      <c r="C288" s="14" t="s">
        <v>14823</v>
      </c>
      <c r="D288" s="14" t="s">
        <v>14848</v>
      </c>
      <c r="E288" s="15" t="str">
        <f>HYPERLINK("https://stat100.ameba.jp/tnk47/ratio20/illustrations/card/ill_70033_yukinoukokutakenakahambe03.jpg?202009-5-RELEASE-marathon-491xxxx", "■")</f>
        <v>■</v>
      </c>
      <c r="F288" s="14" t="s">
        <v>14847</v>
      </c>
      <c r="G288" s="14">
        <v>59280</v>
      </c>
      <c r="H288" s="14">
        <v>53768</v>
      </c>
      <c r="I288" s="14">
        <v>20</v>
      </c>
      <c r="J288" s="14" t="s">
        <v>14846</v>
      </c>
      <c r="K288" s="14" t="s">
        <v>14845</v>
      </c>
      <c r="L288" s="14" t="s">
        <v>14844</v>
      </c>
      <c r="M288" s="14" t="s">
        <v>9158</v>
      </c>
      <c r="N288" s="14" t="s">
        <v>9158</v>
      </c>
      <c r="O288" s="14" t="s">
        <v>9158</v>
      </c>
      <c r="P288" s="14" t="s">
        <v>9158</v>
      </c>
      <c r="Q288" s="14" t="s">
        <v>9158</v>
      </c>
    </row>
    <row r="289" spans="1:17">
      <c r="A289" s="14">
        <v>63233</v>
      </c>
      <c r="B289" s="14" t="s">
        <v>15</v>
      </c>
      <c r="C289" s="14" t="s">
        <v>14824</v>
      </c>
      <c r="D289" s="14" t="s">
        <v>14853</v>
      </c>
      <c r="E289" s="15" t="str">
        <f>HYPERLINK("https://stat100.ameba.jp/tnk47/ratio20/illustrations/card/ill_63233_kyupiddohayaakitsuhimenomikoto03.jpg?202009-5-RELEASE-marathon-491xxxx", "■")</f>
        <v>■</v>
      </c>
      <c r="F289" s="14" t="s">
        <v>14852</v>
      </c>
      <c r="G289" s="14">
        <v>53768</v>
      </c>
      <c r="H289" s="14">
        <v>59280</v>
      </c>
      <c r="I289" s="14">
        <v>20</v>
      </c>
      <c r="J289" s="14" t="s">
        <v>14851</v>
      </c>
      <c r="K289" s="14" t="s">
        <v>14850</v>
      </c>
      <c r="L289" s="14" t="s">
        <v>14849</v>
      </c>
      <c r="M289" s="14" t="s">
        <v>9158</v>
      </c>
      <c r="N289" s="14" t="s">
        <v>9158</v>
      </c>
      <c r="O289" s="14" t="s">
        <v>9158</v>
      </c>
      <c r="P289" s="14" t="s">
        <v>9158</v>
      </c>
      <c r="Q289" s="14" t="s">
        <v>9158</v>
      </c>
    </row>
    <row r="291" spans="1:17">
      <c r="A291" s="14" t="s">
        <v>1711</v>
      </c>
    </row>
    <row r="292" spans="1:17">
      <c r="A292" s="14" t="s">
        <v>14854</v>
      </c>
    </row>
    <row r="293" spans="1:17">
      <c r="A293" s="14" t="s">
        <v>5620</v>
      </c>
      <c r="B293" s="14" t="s">
        <v>52</v>
      </c>
      <c r="C293" s="14" t="s">
        <v>344</v>
      </c>
      <c r="D293" s="19" t="s">
        <v>669</v>
      </c>
      <c r="E293" s="15" t="str">
        <f>HYPERLINK("https://stat100.ameba.jp/tnk47/ratio20/illustrations/card/ill_67173_0_yukemuriawamorichan03.jpg?202009-5-RELEASE-marathon-491xxxx", "■")</f>
        <v>■</v>
      </c>
      <c r="F293" s="14" t="s">
        <v>2043</v>
      </c>
      <c r="G293" s="14">
        <v>184400</v>
      </c>
      <c r="H293" s="14">
        <v>171436</v>
      </c>
      <c r="I293" s="14">
        <v>24</v>
      </c>
      <c r="J293" s="14" t="s">
        <v>104</v>
      </c>
      <c r="K293" s="14" t="s">
        <v>2044</v>
      </c>
      <c r="L293" s="14" t="s">
        <v>2045</v>
      </c>
      <c r="M293" s="14" t="s">
        <v>9158</v>
      </c>
      <c r="N293" s="14" t="s">
        <v>9158</v>
      </c>
      <c r="O293" s="19" t="s">
        <v>10087</v>
      </c>
      <c r="P293" s="14" t="s">
        <v>3455</v>
      </c>
      <c r="Q293" s="14">
        <v>1</v>
      </c>
    </row>
    <row r="294" spans="1:17">
      <c r="A294" s="14" t="s">
        <v>6195</v>
      </c>
      <c r="B294" s="14" t="s">
        <v>52</v>
      </c>
      <c r="C294" s="14" t="s">
        <v>191</v>
      </c>
      <c r="D294" s="19" t="s">
        <v>10217</v>
      </c>
      <c r="E294" s="15" t="str">
        <f>HYPERLINK("https://stat100.ameba.jp/tnk47/ratio20/illustrations/card/ill_56493_0_poppukurisumasuikomakitsuno03.jpg?202009-5-RELEASE-marathon-491xxxx", "■")</f>
        <v>■</v>
      </c>
      <c r="F294" s="14" t="s">
        <v>1769</v>
      </c>
      <c r="G294" s="14">
        <v>150776</v>
      </c>
      <c r="H294" s="14">
        <v>133938</v>
      </c>
      <c r="I294" s="14">
        <v>24</v>
      </c>
      <c r="J294" s="14" t="s">
        <v>77</v>
      </c>
      <c r="K294" s="14" t="s">
        <v>1770</v>
      </c>
      <c r="L294" s="14" t="s">
        <v>1771</v>
      </c>
      <c r="M294" s="14" t="s">
        <v>9158</v>
      </c>
      <c r="N294" s="14" t="s">
        <v>9158</v>
      </c>
      <c r="O294" s="19" t="s">
        <v>10120</v>
      </c>
      <c r="P294" s="14" t="s">
        <v>2724</v>
      </c>
      <c r="Q294" s="14">
        <v>1</v>
      </c>
    </row>
    <row r="295" spans="1:17">
      <c r="A295" s="14" t="s">
        <v>5616</v>
      </c>
      <c r="B295" s="14" t="s">
        <v>52</v>
      </c>
      <c r="C295" s="14" t="s">
        <v>14</v>
      </c>
      <c r="D295" s="19" t="s">
        <v>638</v>
      </c>
      <c r="E295" s="15" t="str">
        <f>HYPERLINK("https://stat100.ameba.jp/tnk47/ratio20/illustrations/card/ill_44253_0_dokuganryudatemasamune03.jpg?202009-5-RELEASE-marathon-491xxxx", "■")</f>
        <v>■</v>
      </c>
      <c r="F295" s="14" t="s">
        <v>1181</v>
      </c>
      <c r="G295" s="14">
        <v>131538</v>
      </c>
      <c r="H295" s="14">
        <v>140448</v>
      </c>
      <c r="I295" s="14">
        <v>24</v>
      </c>
      <c r="J295" s="14" t="s">
        <v>143</v>
      </c>
      <c r="K295" s="14" t="s">
        <v>1182</v>
      </c>
      <c r="L295" s="14" t="s">
        <v>1183</v>
      </c>
      <c r="M295" s="14" t="s">
        <v>9158</v>
      </c>
      <c r="N295" s="14" t="s">
        <v>9158</v>
      </c>
      <c r="O295" s="14" t="s">
        <v>9158</v>
      </c>
      <c r="P295" s="14" t="s">
        <v>9158</v>
      </c>
      <c r="Q295" s="14" t="s">
        <v>9158</v>
      </c>
    </row>
    <row r="296" spans="1:17">
      <c r="A296" s="14">
        <v>91933</v>
      </c>
      <c r="B296" s="14" t="s">
        <v>0</v>
      </c>
      <c r="C296" s="14" t="s">
        <v>23</v>
      </c>
      <c r="D296" s="14" t="s">
        <v>14788</v>
      </c>
      <c r="E296" s="15" t="str">
        <f>HYPERLINK("https://stat100.ameba.jp/tnk47/ratio20/illustrations/card/ill_91933_gekkomaihimekureburu03.jpg?202009-5-RELEASE-marathon-491xxxx", "■")</f>
        <v>■</v>
      </c>
      <c r="F296" s="14" t="s">
        <v>14787</v>
      </c>
      <c r="G296" s="14">
        <v>154562</v>
      </c>
      <c r="H296" s="14">
        <v>143714</v>
      </c>
      <c r="I296" s="7">
        <v>26</v>
      </c>
      <c r="J296" s="14" t="s">
        <v>73</v>
      </c>
      <c r="K296" s="14" t="s">
        <v>14790</v>
      </c>
      <c r="L296" s="14" t="s">
        <v>13766</v>
      </c>
      <c r="M296" s="14" t="s">
        <v>9158</v>
      </c>
      <c r="N296" s="14" t="s">
        <v>9158</v>
      </c>
      <c r="O296" s="14" t="s">
        <v>9158</v>
      </c>
      <c r="P296" s="14" t="s">
        <v>9158</v>
      </c>
      <c r="Q296" s="14" t="s">
        <v>9158</v>
      </c>
    </row>
    <row r="297" spans="1:17">
      <c r="A297" s="14">
        <v>91953</v>
      </c>
      <c r="B297" s="14" t="s">
        <v>15</v>
      </c>
      <c r="C297" s="14" t="s">
        <v>2611</v>
      </c>
      <c r="D297" s="14" t="s">
        <v>14801</v>
      </c>
      <c r="E297" s="15" t="str">
        <f>HYPERLINK("https://stat100.ameba.jp/tnk47/ratio20/illustrations/card/ill_91953_kaguya03.jpg?202009-5-RELEASE-marathon-491xxxx", "■")</f>
        <v>■</v>
      </c>
      <c r="F297" s="14" t="s">
        <v>14800</v>
      </c>
      <c r="G297" s="14">
        <v>77064</v>
      </c>
      <c r="H297" s="14">
        <v>69898</v>
      </c>
      <c r="I297" s="7">
        <v>26</v>
      </c>
      <c r="J297" s="14" t="s">
        <v>38</v>
      </c>
      <c r="K297" s="14" t="s">
        <v>14798</v>
      </c>
      <c r="L297" s="14" t="s">
        <v>3267</v>
      </c>
      <c r="M297" s="14" t="s">
        <v>9158</v>
      </c>
      <c r="N297" s="14" t="s">
        <v>9158</v>
      </c>
      <c r="O297" s="14" t="s">
        <v>9158</v>
      </c>
      <c r="P297" s="14" t="s">
        <v>9158</v>
      </c>
      <c r="Q297" s="14" t="s">
        <v>9158</v>
      </c>
    </row>
    <row r="298" spans="1:17">
      <c r="A298" s="14">
        <v>91963</v>
      </c>
      <c r="B298" s="14" t="s">
        <v>22</v>
      </c>
      <c r="C298" s="14" t="s">
        <v>185</v>
      </c>
      <c r="D298" s="14" t="s">
        <v>14806</v>
      </c>
      <c r="E298" s="15" t="str">
        <f>HYPERLINK("https://stat100.ameba.jp/tnk47/ratio20/illustrations/card/ill_91963_porandoyukiusagi03.jpg?202009-5-RELEASE-marathon-491xxxx", "■")</f>
        <v>■</v>
      </c>
      <c r="F298" s="14" t="s">
        <v>14805</v>
      </c>
      <c r="G298" s="14">
        <v>44948</v>
      </c>
      <c r="H298" s="14">
        <v>54058</v>
      </c>
      <c r="I298" s="7">
        <v>26</v>
      </c>
      <c r="J298" s="14" t="s">
        <v>26</v>
      </c>
      <c r="K298" s="14" t="s">
        <v>14803</v>
      </c>
      <c r="L298" s="14" t="s">
        <v>28</v>
      </c>
      <c r="M298" s="14" t="s">
        <v>9158</v>
      </c>
      <c r="N298" s="14" t="s">
        <v>9158</v>
      </c>
      <c r="O298" s="14" t="s">
        <v>9158</v>
      </c>
      <c r="P298" s="14" t="s">
        <v>9158</v>
      </c>
      <c r="Q298" s="14" t="s">
        <v>9158</v>
      </c>
    </row>
    <row r="299" spans="1:17">
      <c r="A299" s="14">
        <v>91973</v>
      </c>
      <c r="B299" s="14" t="s">
        <v>22</v>
      </c>
      <c r="C299" s="14" t="s">
        <v>205</v>
      </c>
      <c r="D299" s="14" t="s">
        <v>14810</v>
      </c>
      <c r="E299" s="15" t="str">
        <f>HYPERLINK("https://stat100.ameba.jp/tnk47/ratio20/illustrations/card/ill_91973_izayoizakura03.jpg?202009-5-RELEASE-marathon-491xxxx", "■")</f>
        <v>■</v>
      </c>
      <c r="F299" s="14" t="s">
        <v>14809</v>
      </c>
      <c r="G299" s="14">
        <v>54058</v>
      </c>
      <c r="H299" s="14">
        <v>44948</v>
      </c>
      <c r="I299" s="7">
        <v>26</v>
      </c>
      <c r="J299" s="14" t="s">
        <v>38</v>
      </c>
      <c r="K299" s="14" t="s">
        <v>14808</v>
      </c>
      <c r="L299" s="14" t="s">
        <v>7248</v>
      </c>
      <c r="M299" s="14" t="s">
        <v>9158</v>
      </c>
      <c r="N299" s="14" t="s">
        <v>9158</v>
      </c>
      <c r="O299" s="14" t="s">
        <v>9158</v>
      </c>
      <c r="P299" s="14" t="s">
        <v>9158</v>
      </c>
      <c r="Q299" s="14" t="s">
        <v>9158</v>
      </c>
    </row>
    <row r="301" spans="1:17">
      <c r="A301" s="14" t="s">
        <v>14855</v>
      </c>
    </row>
    <row r="302" spans="1:17">
      <c r="A302" s="14" t="s">
        <v>14856</v>
      </c>
    </row>
    <row r="303" spans="1:17">
      <c r="A303" s="14" t="s">
        <v>5618</v>
      </c>
      <c r="B303" s="14" t="s">
        <v>52</v>
      </c>
      <c r="C303" s="14" t="s">
        <v>23</v>
      </c>
      <c r="D303" s="19" t="s">
        <v>665</v>
      </c>
      <c r="E303" s="15" t="str">
        <f>HYPERLINK("https://stat100.ameba.jp/tnk47/ratio20/illustrations/card/ill_63173_0_minazukikonakaiteruko03.jpg?202009-5-RELEASE-marathon-491xxxx", "■")</f>
        <v>■</v>
      </c>
      <c r="F303" s="14" t="s">
        <v>1188</v>
      </c>
      <c r="G303" s="14">
        <v>216990</v>
      </c>
      <c r="H303" s="14">
        <v>233360</v>
      </c>
      <c r="I303" s="14">
        <v>25</v>
      </c>
      <c r="J303" s="14" t="s">
        <v>143</v>
      </c>
      <c r="K303" s="14" t="s">
        <v>1189</v>
      </c>
      <c r="L303" s="14" t="s">
        <v>1190</v>
      </c>
      <c r="M303" s="14" t="s">
        <v>9158</v>
      </c>
      <c r="N303" s="14" t="s">
        <v>9158</v>
      </c>
      <c r="O303" s="19" t="s">
        <v>10079</v>
      </c>
      <c r="P303" s="14" t="s">
        <v>3329</v>
      </c>
      <c r="Q303" s="14">
        <v>1</v>
      </c>
    </row>
    <row r="304" spans="1:17">
      <c r="A304" s="16">
        <v>75853</v>
      </c>
      <c r="B304" s="14" t="s">
        <v>334</v>
      </c>
      <c r="C304" s="14" t="s">
        <v>41</v>
      </c>
      <c r="D304" s="19" t="s">
        <v>10224</v>
      </c>
      <c r="E304" s="15" t="str">
        <f>HYPERLINK("https://stat100.ameba.jp/tnk47/ratio20/illustrations/card/ill_75853_moruganoyuki03.jpg?202009-5-RELEASE-marathon-491xxxx", "■")</f>
        <v>■</v>
      </c>
      <c r="F304" s="14" t="s">
        <v>5106</v>
      </c>
      <c r="G304" s="14">
        <v>130000</v>
      </c>
      <c r="H304" s="14">
        <v>120874</v>
      </c>
      <c r="I304" s="14">
        <v>26</v>
      </c>
      <c r="J304" s="14" t="s">
        <v>16</v>
      </c>
      <c r="K304" s="14" t="s">
        <v>5108</v>
      </c>
      <c r="L304" s="14" t="s">
        <v>1881</v>
      </c>
      <c r="M304" s="14" t="s">
        <v>9158</v>
      </c>
      <c r="N304" s="14" t="s">
        <v>9158</v>
      </c>
      <c r="O304" s="7" t="s">
        <v>3578</v>
      </c>
      <c r="P304" s="14" t="s">
        <v>3579</v>
      </c>
      <c r="Q304" s="14">
        <v>1</v>
      </c>
    </row>
    <row r="305" spans="1:17">
      <c r="A305" s="14">
        <v>83513</v>
      </c>
      <c r="B305" s="14" t="s">
        <v>334</v>
      </c>
      <c r="C305" s="14" t="s">
        <v>1</v>
      </c>
      <c r="D305" s="20" t="s">
        <v>10556</v>
      </c>
      <c r="E305" s="15" t="str">
        <f>HYPERLINK("https://stat100.ameba.jp/tnk47/ratio20/illustrations/card/ill_83513_kajuemmimuratsuru03.jpg?202009-5-RELEASE-marathon-491xxxx", "■")</f>
        <v>■</v>
      </c>
      <c r="F305" s="14" t="s">
        <v>6603</v>
      </c>
      <c r="G305" s="14">
        <v>154562</v>
      </c>
      <c r="H305" s="14">
        <v>143714</v>
      </c>
      <c r="I305" s="14">
        <v>26</v>
      </c>
      <c r="J305" s="14" t="s">
        <v>143</v>
      </c>
      <c r="K305" s="14" t="s">
        <v>6601</v>
      </c>
      <c r="L305" s="14" t="s">
        <v>6600</v>
      </c>
      <c r="M305" s="14" t="s">
        <v>9158</v>
      </c>
      <c r="N305" s="14" t="s">
        <v>9158</v>
      </c>
      <c r="O305" s="19" t="s">
        <v>2951</v>
      </c>
      <c r="P305" s="14" t="s">
        <v>13122</v>
      </c>
      <c r="Q305" s="14">
        <v>1</v>
      </c>
    </row>
    <row r="306" spans="1:17">
      <c r="A306" s="14">
        <v>69533</v>
      </c>
      <c r="B306" s="14" t="s">
        <v>0</v>
      </c>
      <c r="C306" s="14" t="s">
        <v>101</v>
      </c>
      <c r="D306" s="20" t="s">
        <v>10418</v>
      </c>
      <c r="E306" s="15" t="str">
        <f>HYPERLINK("https://stat100.ameba.jp/tnk47/ratio20/illustrations/card/ill_69533_setsubunodainokata03.jpg?202009-5-RELEASE-marathon-491xxxx", "■")</f>
        <v>■</v>
      </c>
      <c r="F306" s="14" t="s">
        <v>138</v>
      </c>
      <c r="G306" s="14">
        <v>101558</v>
      </c>
      <c r="H306" s="14">
        <v>94390</v>
      </c>
      <c r="I306" s="14">
        <v>26</v>
      </c>
      <c r="J306" s="14" t="s">
        <v>10</v>
      </c>
      <c r="K306" s="14" t="s">
        <v>139</v>
      </c>
      <c r="L306" s="14" t="s">
        <v>140</v>
      </c>
      <c r="M306" s="14" t="s">
        <v>9158</v>
      </c>
      <c r="N306" s="14" t="s">
        <v>9158</v>
      </c>
      <c r="O306" s="19" t="s">
        <v>10082</v>
      </c>
      <c r="P306" s="14" t="s">
        <v>13124</v>
      </c>
      <c r="Q306" s="14">
        <v>1</v>
      </c>
    </row>
    <row r="308" spans="1:17">
      <c r="A308" s="14" t="s">
        <v>14860</v>
      </c>
    </row>
    <row r="309" spans="1:17">
      <c r="A309" s="14" t="s">
        <v>14861</v>
      </c>
    </row>
    <row r="310" spans="1:17">
      <c r="A310" s="14" t="s">
        <v>7150</v>
      </c>
      <c r="B310" s="14" t="s">
        <v>52</v>
      </c>
      <c r="C310" s="14" t="s">
        <v>202</v>
      </c>
      <c r="D310" s="19" t="s">
        <v>10656</v>
      </c>
      <c r="E310" s="15" t="str">
        <f>HYPERLINK("https://stat100.ameba.jp/tnk47/ratio20/illustrations/card/ill_84203_0_tarottofujiwaranoshoshi03.jpg?202009-5-RELEASE-marathon-491xxxx", "■")</f>
        <v>■</v>
      </c>
      <c r="F310" s="14" t="s">
        <v>7153</v>
      </c>
      <c r="G310" s="14">
        <v>367968</v>
      </c>
      <c r="H310" s="14">
        <v>332590</v>
      </c>
      <c r="I310" s="14">
        <v>25</v>
      </c>
      <c r="J310" s="14" t="s">
        <v>10</v>
      </c>
      <c r="K310" s="14" t="s">
        <v>7152</v>
      </c>
      <c r="L310" s="14" t="s">
        <v>7151</v>
      </c>
      <c r="M310" s="14" t="s">
        <v>9158</v>
      </c>
      <c r="N310" s="14" t="s">
        <v>9158</v>
      </c>
      <c r="O310" s="19" t="s">
        <v>10128</v>
      </c>
      <c r="P310" s="14" t="s">
        <v>7154</v>
      </c>
      <c r="Q310" s="14">
        <v>1</v>
      </c>
    </row>
    <row r="311" spans="1:17">
      <c r="A311" s="14">
        <v>80743</v>
      </c>
      <c r="B311" s="14" t="s">
        <v>0</v>
      </c>
      <c r="C311" s="14" t="s">
        <v>209</v>
      </c>
      <c r="D311" s="20" t="s">
        <v>10414</v>
      </c>
      <c r="E311" s="15" t="str">
        <f>HYPERLINK("https://stat100.ameba.jp/tnk47/ratio20/illustrations/card/ill_80743_senseijutsushi03.jpg?202009-5-RELEASE-marathon-491xxxx", "■")</f>
        <v>■</v>
      </c>
      <c r="F311" s="14" t="s">
        <v>4249</v>
      </c>
      <c r="G311" s="14">
        <v>75984</v>
      </c>
      <c r="H311" s="14">
        <v>104890</v>
      </c>
      <c r="I311" s="14">
        <v>24</v>
      </c>
      <c r="J311" s="14" t="s">
        <v>16</v>
      </c>
      <c r="K311" s="14" t="s">
        <v>4250</v>
      </c>
      <c r="L311" s="14" t="s">
        <v>4251</v>
      </c>
      <c r="M311" s="14" t="s">
        <v>9158</v>
      </c>
      <c r="N311" s="14" t="s">
        <v>9158</v>
      </c>
      <c r="O311" s="19" t="s">
        <v>10109</v>
      </c>
      <c r="P311" s="14" t="s">
        <v>3625</v>
      </c>
      <c r="Q311" s="14">
        <v>1</v>
      </c>
    </row>
    <row r="312" spans="1:17">
      <c r="A312" s="14">
        <v>77673</v>
      </c>
      <c r="B312" s="14" t="s">
        <v>334</v>
      </c>
      <c r="C312" s="14" t="s">
        <v>158</v>
      </c>
      <c r="D312" s="20" t="s">
        <v>10270</v>
      </c>
      <c r="E312" s="15" t="str">
        <f>HYPERLINK("https://stat100.ameba.jp/tnk47/ratio20/illustrations/card/ill_77673_ryunochoji03.jpg?202009-5-RELEASE-marathon-491xxxx", "■")</f>
        <v>■</v>
      </c>
      <c r="F312" s="14" t="s">
        <v>1777</v>
      </c>
      <c r="G312" s="14">
        <v>111914</v>
      </c>
      <c r="H312" s="14">
        <v>81078</v>
      </c>
      <c r="I312" s="14">
        <v>24</v>
      </c>
      <c r="J312" s="14" t="s">
        <v>73</v>
      </c>
      <c r="K312" s="14" t="s">
        <v>1778</v>
      </c>
      <c r="L312" s="14" t="s">
        <v>1779</v>
      </c>
      <c r="M312" s="14" t="s">
        <v>9158</v>
      </c>
      <c r="N312" s="14" t="s">
        <v>9158</v>
      </c>
      <c r="O312" s="19" t="s">
        <v>10090</v>
      </c>
      <c r="P312" s="14" t="s">
        <v>3460</v>
      </c>
      <c r="Q312" s="14">
        <v>1</v>
      </c>
    </row>
    <row r="313" spans="1:17">
      <c r="A313" s="14">
        <v>69513</v>
      </c>
      <c r="B313" s="14" t="s">
        <v>0</v>
      </c>
      <c r="C313" s="14" t="s">
        <v>158</v>
      </c>
      <c r="D313" s="19" t="s">
        <v>10265</v>
      </c>
      <c r="E313" s="15" t="str">
        <f>HYPERLINK("https://stat100.ameba.jp/tnk47/ratio20/illustrations/card/ill_69513_somedononokisaki03.jpg?202009-5-RELEASE-marathon-491xxxx", "■")</f>
        <v>■</v>
      </c>
      <c r="F313" s="14" t="s">
        <v>3674</v>
      </c>
      <c r="G313" s="14">
        <v>79348</v>
      </c>
      <c r="H313" s="14">
        <v>109554</v>
      </c>
      <c r="I313" s="14">
        <v>24</v>
      </c>
      <c r="J313" s="14" t="s">
        <v>187</v>
      </c>
      <c r="K313" s="14" t="s">
        <v>3675</v>
      </c>
      <c r="L313" s="14" t="s">
        <v>13187</v>
      </c>
      <c r="M313" s="14" t="s">
        <v>9158</v>
      </c>
      <c r="N313" s="14" t="s">
        <v>9158</v>
      </c>
      <c r="O313" s="19" t="s">
        <v>2752</v>
      </c>
      <c r="P313" s="14" t="s">
        <v>13173</v>
      </c>
      <c r="Q313" s="14">
        <v>1</v>
      </c>
    </row>
    <row r="315" spans="1:17">
      <c r="A315" s="14" t="s">
        <v>3916</v>
      </c>
    </row>
    <row r="316" spans="1:17">
      <c r="A316" s="14" t="s">
        <v>14862</v>
      </c>
    </row>
    <row r="317" spans="1:17">
      <c r="A317" s="14">
        <v>84733</v>
      </c>
      <c r="B317" s="14" t="s">
        <v>0</v>
      </c>
      <c r="C317" s="14" t="s">
        <v>154</v>
      </c>
      <c r="D317" s="19" t="s">
        <v>10677</v>
      </c>
      <c r="E317" s="15" t="str">
        <f>HYPERLINK("https://stat100.ameba.jp/tnk47/ratio20/illustrations/card/ill_84733_madadoru03.jpg?202009-5-RELEASE-marathon-491xxxx", "■")</f>
        <v>■</v>
      </c>
      <c r="F317" s="14" t="s">
        <v>7293</v>
      </c>
      <c r="G317" s="14">
        <v>116452</v>
      </c>
      <c r="H317" s="14">
        <v>108276</v>
      </c>
      <c r="I317" s="14">
        <v>27</v>
      </c>
      <c r="J317" s="14" t="s">
        <v>182</v>
      </c>
      <c r="K317" s="14" t="s">
        <v>7296</v>
      </c>
      <c r="L317" s="14" t="s">
        <v>7295</v>
      </c>
      <c r="M317" s="14" t="s">
        <v>9158</v>
      </c>
      <c r="N317" s="14" t="s">
        <v>9158</v>
      </c>
      <c r="O317" s="14" t="s">
        <v>9158</v>
      </c>
      <c r="P317" s="14" t="s">
        <v>9158</v>
      </c>
      <c r="Q317" s="14" t="s">
        <v>9158</v>
      </c>
    </row>
    <row r="318" spans="1:17">
      <c r="A318" s="14">
        <v>84743</v>
      </c>
      <c r="B318" s="14" t="s">
        <v>0</v>
      </c>
      <c r="C318" s="14" t="s">
        <v>158</v>
      </c>
      <c r="D318" s="19" t="s">
        <v>10678</v>
      </c>
      <c r="E318" s="15" t="str">
        <f>HYPERLINK("https://stat100.ameba.jp/tnk47/ratio20/illustrations/card/ill_84743_rinnenonyumpe03.jpg?202009-5-RELEASE-marathon-491xxxx", "■")</f>
        <v>■</v>
      </c>
      <c r="F318" s="14" t="s">
        <v>7294</v>
      </c>
      <c r="G318" s="14">
        <v>116452</v>
      </c>
      <c r="H318" s="14">
        <v>108276</v>
      </c>
      <c r="I318" s="14">
        <v>27</v>
      </c>
      <c r="J318" s="14" t="s">
        <v>169</v>
      </c>
      <c r="K318" s="14" t="s">
        <v>7297</v>
      </c>
      <c r="L318" s="14" t="s">
        <v>7298</v>
      </c>
      <c r="M318" s="14" t="s">
        <v>9158</v>
      </c>
      <c r="N318" s="14" t="s">
        <v>9158</v>
      </c>
      <c r="O318" s="14" t="s">
        <v>9158</v>
      </c>
      <c r="P318" s="14" t="s">
        <v>9158</v>
      </c>
      <c r="Q318" s="14" t="s">
        <v>9158</v>
      </c>
    </row>
    <row r="319" spans="1:17">
      <c r="A319" s="14">
        <v>69883</v>
      </c>
      <c r="B319" s="14" t="s">
        <v>334</v>
      </c>
      <c r="C319" s="14" t="s">
        <v>185</v>
      </c>
      <c r="D319" s="19" t="s">
        <v>10293</v>
      </c>
      <c r="E319" s="15" t="str">
        <f>HYPERLINK("https://stat100.ameba.jp/tnk47/ratio20/illustrations/card/ill_69883_kyupiddotominushihime03.jpg?202009-5-RELEASE-marathon-491xxxx", "■")</f>
        <v>■</v>
      </c>
      <c r="F319" s="14" t="s">
        <v>4142</v>
      </c>
      <c r="G319" s="14">
        <v>102386</v>
      </c>
      <c r="H319" s="14">
        <v>110129</v>
      </c>
      <c r="I319" s="14">
        <v>27</v>
      </c>
      <c r="J319" s="14" t="s">
        <v>169</v>
      </c>
      <c r="K319" s="14" t="s">
        <v>4143</v>
      </c>
      <c r="L319" s="14" t="s">
        <v>13190</v>
      </c>
      <c r="M319" s="14" t="s">
        <v>9158</v>
      </c>
      <c r="N319" s="14" t="s">
        <v>9158</v>
      </c>
      <c r="O319" s="14" t="s">
        <v>9158</v>
      </c>
      <c r="P319" s="14" t="s">
        <v>9158</v>
      </c>
      <c r="Q319" s="14" t="s">
        <v>9158</v>
      </c>
    </row>
    <row r="320" spans="1:17">
      <c r="A320" s="9">
        <v>67243</v>
      </c>
      <c r="B320" s="14" t="s">
        <v>334</v>
      </c>
      <c r="C320" s="9" t="s">
        <v>205</v>
      </c>
      <c r="D320" s="20" t="s">
        <v>10199</v>
      </c>
      <c r="E320" s="15" t="str">
        <f>HYPERLINK("https://stat100.ameba.jp/tnk47/ratio20/illustrations/card/ill_67243_onsenyadomoryo03.jpg?202009-5-RELEASE-marathon-491xxxx", "■")</f>
        <v>■</v>
      </c>
      <c r="F320" s="9" t="s">
        <v>3638</v>
      </c>
      <c r="G320" s="9">
        <v>104619</v>
      </c>
      <c r="H320" s="9">
        <v>112496</v>
      </c>
      <c r="I320" s="14">
        <v>27</v>
      </c>
      <c r="J320" s="9" t="s">
        <v>182</v>
      </c>
      <c r="K320" s="9" t="s">
        <v>3639</v>
      </c>
      <c r="L320" s="9" t="s">
        <v>3640</v>
      </c>
      <c r="M320" s="14" t="s">
        <v>9158</v>
      </c>
      <c r="N320" s="14" t="s">
        <v>9158</v>
      </c>
      <c r="O320" s="14" t="s">
        <v>9158</v>
      </c>
      <c r="P320" s="14" t="s">
        <v>9158</v>
      </c>
      <c r="Q320" s="14" t="s">
        <v>9158</v>
      </c>
    </row>
    <row r="321" spans="1:17">
      <c r="A321" s="14">
        <v>52973</v>
      </c>
      <c r="B321" s="14" t="s">
        <v>15</v>
      </c>
      <c r="C321" s="14" t="s">
        <v>206</v>
      </c>
      <c r="D321" s="19" t="s">
        <v>10519</v>
      </c>
      <c r="E321" s="15" t="str">
        <f>HYPERLINK("https://stat100.ameba.jp/tnk47/ratio20/illustrations/card/ill_52973_torampuamoronagu03.jpg?202009-5-RELEASE-marathon-491xxxx", "■")</f>
        <v>■</v>
      </c>
      <c r="F321" s="14" t="s">
        <v>6421</v>
      </c>
      <c r="G321" s="14">
        <v>65208</v>
      </c>
      <c r="H321" s="14">
        <v>59144</v>
      </c>
      <c r="I321" s="14">
        <v>22</v>
      </c>
      <c r="J321" s="14" t="s">
        <v>44</v>
      </c>
      <c r="K321" s="14" t="s">
        <v>6419</v>
      </c>
      <c r="L321" s="14" t="s">
        <v>6418</v>
      </c>
      <c r="M321" s="14" t="s">
        <v>9158</v>
      </c>
      <c r="N321" s="14" t="s">
        <v>9158</v>
      </c>
      <c r="O321" s="14" t="s">
        <v>9158</v>
      </c>
      <c r="P321" s="14" t="s">
        <v>9158</v>
      </c>
      <c r="Q321" s="14" t="s">
        <v>9158</v>
      </c>
    </row>
    <row r="322" spans="1:17">
      <c r="A322" s="14">
        <v>52333</v>
      </c>
      <c r="B322" s="14" t="s">
        <v>15</v>
      </c>
      <c r="C322" s="14" t="s">
        <v>200</v>
      </c>
      <c r="D322" s="19" t="s">
        <v>10537</v>
      </c>
      <c r="E322" s="15" t="str">
        <f>HYPERLINK("https://stat100.ameba.jp/tnk47/ratio20/illustrations/card/ill_52333_chichibuyomatsuri03.jpg?202009-5-RELEASE-marathon-491xxxx", "■")</f>
        <v>■</v>
      </c>
      <c r="F322" s="14" t="s">
        <v>3614</v>
      </c>
      <c r="G322" s="14">
        <v>65208</v>
      </c>
      <c r="H322" s="14">
        <v>59144</v>
      </c>
      <c r="I322" s="14">
        <v>22</v>
      </c>
      <c r="J322" s="14" t="s">
        <v>38</v>
      </c>
      <c r="K322" s="14" t="s">
        <v>3615</v>
      </c>
      <c r="L322" s="14" t="s">
        <v>3616</v>
      </c>
      <c r="M322" s="14" t="s">
        <v>9158</v>
      </c>
      <c r="N322" s="14" t="s">
        <v>9158</v>
      </c>
      <c r="O322" s="14" t="s">
        <v>9158</v>
      </c>
      <c r="P322" s="14" t="s">
        <v>9158</v>
      </c>
      <c r="Q322" s="14" t="s">
        <v>9158</v>
      </c>
    </row>
    <row r="323" spans="1:17">
      <c r="A323" s="14">
        <v>51913</v>
      </c>
      <c r="B323" s="14" t="s">
        <v>15</v>
      </c>
      <c r="C323" s="14" t="s">
        <v>191</v>
      </c>
      <c r="D323" s="19" t="s">
        <v>10538</v>
      </c>
      <c r="E323" s="15" t="str">
        <f>HYPERLINK("https://stat100.ameba.jp/tnk47/ratio20/illustrations/card/ill_51913_kemonomizugihamahime03.jpg?202009-5-RELEASE-marathon-491xxxx", "■")</f>
        <v>■</v>
      </c>
      <c r="F323" s="14" t="s">
        <v>6501</v>
      </c>
      <c r="G323" s="14">
        <v>59144</v>
      </c>
      <c r="H323" s="14">
        <v>65208</v>
      </c>
      <c r="I323" s="14">
        <v>22</v>
      </c>
      <c r="J323" s="14" t="s">
        <v>182</v>
      </c>
      <c r="K323" s="14" t="s">
        <v>6500</v>
      </c>
      <c r="L323" s="14" t="s">
        <v>6499</v>
      </c>
      <c r="M323" s="14" t="s">
        <v>9158</v>
      </c>
      <c r="N323" s="14" t="s">
        <v>9158</v>
      </c>
      <c r="O323" s="14" t="s">
        <v>9158</v>
      </c>
      <c r="P323" s="14" t="s">
        <v>9158</v>
      </c>
      <c r="Q323" s="14" t="s">
        <v>9158</v>
      </c>
    </row>
    <row r="324" spans="1:17">
      <c r="A324" s="14">
        <v>53203</v>
      </c>
      <c r="B324" s="14" t="s">
        <v>15</v>
      </c>
      <c r="C324" s="14" t="s">
        <v>165</v>
      </c>
      <c r="D324" s="20" t="s">
        <v>10494</v>
      </c>
      <c r="E324" s="15" t="str">
        <f>HYPERLINK("https://stat100.ameba.jp/tnk47/ratio20/illustrations/card/ill_53203_buruhawaichan03.jpg?202009-5-RELEASE-marathon-491xxxx", "■")</f>
        <v>■</v>
      </c>
      <c r="F324" s="14" t="s">
        <v>6258</v>
      </c>
      <c r="G324" s="14">
        <v>59144</v>
      </c>
      <c r="H324" s="14">
        <v>65208</v>
      </c>
      <c r="I324" s="14">
        <v>22</v>
      </c>
      <c r="J324" s="14" t="s">
        <v>104</v>
      </c>
      <c r="K324" s="14" t="s">
        <v>6261</v>
      </c>
      <c r="L324" s="14" t="s">
        <v>6260</v>
      </c>
      <c r="M324" s="14" t="s">
        <v>9158</v>
      </c>
      <c r="N324" s="14" t="s">
        <v>9158</v>
      </c>
      <c r="O324" s="14" t="s">
        <v>9158</v>
      </c>
      <c r="P324" s="14" t="s">
        <v>9158</v>
      </c>
      <c r="Q324" s="14" t="s">
        <v>9158</v>
      </c>
    </row>
    <row r="326" spans="1:17">
      <c r="A326" s="14" t="s">
        <v>14863</v>
      </c>
    </row>
    <row r="327" spans="1:17">
      <c r="A327" s="14" t="s">
        <v>14864</v>
      </c>
    </row>
    <row r="328" spans="1:17">
      <c r="A328" s="7" t="s">
        <v>8437</v>
      </c>
      <c r="B328" s="7" t="s">
        <v>52</v>
      </c>
      <c r="C328" s="7" t="s">
        <v>202</v>
      </c>
      <c r="D328" s="20" t="s">
        <v>10806</v>
      </c>
      <c r="E328" s="15" t="str">
        <f>HYPERLINK("https://stat100.ameba.jp/tnk47/ratio20/illustrations/card/ill_85523_0_seitankuronikurukusumotoine03.jpg?202010-i_prefecture_active_user", "■")</f>
        <v>■</v>
      </c>
      <c r="F328" s="7" t="s">
        <v>8440</v>
      </c>
      <c r="G328" s="7">
        <v>327089</v>
      </c>
      <c r="H328" s="7">
        <v>295640</v>
      </c>
      <c r="I328" s="7">
        <v>27</v>
      </c>
      <c r="J328" s="14" t="s">
        <v>77</v>
      </c>
      <c r="K328" s="7" t="s">
        <v>8446</v>
      </c>
      <c r="L328" s="7" t="s">
        <v>8439</v>
      </c>
      <c r="M328" s="14" t="s">
        <v>9158</v>
      </c>
      <c r="N328" s="14" t="s">
        <v>9158</v>
      </c>
      <c r="O328" s="19" t="s">
        <v>10133</v>
      </c>
      <c r="P328" s="7" t="s">
        <v>8441</v>
      </c>
      <c r="Q328" s="7">
        <v>1</v>
      </c>
    </row>
    <row r="329" spans="1:17">
      <c r="A329" s="14" t="s">
        <v>5605</v>
      </c>
      <c r="B329" s="14" t="s">
        <v>52</v>
      </c>
      <c r="C329" s="14" t="s">
        <v>202</v>
      </c>
      <c r="D329" s="19" t="s">
        <v>10332</v>
      </c>
      <c r="E329" s="15" t="str">
        <f>HYPERLINK("https://stat100.ameba.jp/tnk47/ratio20/illustrations/card/ill_79373_0_hommeichokotennyohime03.jpg?202010-i_prefecture_active_user", "■")</f>
        <v>■</v>
      </c>
      <c r="F329" s="14" t="s">
        <v>3495</v>
      </c>
      <c r="G329" s="14">
        <v>333862</v>
      </c>
      <c r="H329" s="14">
        <v>301759</v>
      </c>
      <c r="I329" s="14">
        <v>27</v>
      </c>
      <c r="J329" s="14" t="s">
        <v>104</v>
      </c>
      <c r="K329" s="14" t="s">
        <v>3496</v>
      </c>
      <c r="L329" s="14" t="s">
        <v>3497</v>
      </c>
      <c r="M329" s="14" t="s">
        <v>9158</v>
      </c>
      <c r="N329" s="14" t="s">
        <v>9158</v>
      </c>
      <c r="O329" s="19" t="s">
        <v>10072</v>
      </c>
      <c r="P329" s="14" t="s">
        <v>3498</v>
      </c>
      <c r="Q329" s="14">
        <v>1</v>
      </c>
    </row>
    <row r="330" spans="1:17">
      <c r="A330" s="14" t="s">
        <v>5830</v>
      </c>
      <c r="B330" s="14" t="s">
        <v>330</v>
      </c>
      <c r="C330" s="14" t="s">
        <v>191</v>
      </c>
      <c r="D330" s="19" t="s">
        <v>793</v>
      </c>
      <c r="E330" s="15" t="str">
        <f>HYPERLINK("https://stat100.ameba.jp/tnk47/ratio20/illustrations/card/ill_39933_0_reihiiinaotora03.jpg?202010-i_prefecture_active_user", "■")</f>
        <v>■</v>
      </c>
      <c r="F330" s="14" t="s">
        <v>794</v>
      </c>
      <c r="G330" s="14">
        <v>142500</v>
      </c>
      <c r="H330" s="14">
        <v>152152</v>
      </c>
      <c r="I330" s="14">
        <v>26</v>
      </c>
      <c r="J330" s="14" t="s">
        <v>315</v>
      </c>
      <c r="K330" s="14" t="s">
        <v>795</v>
      </c>
      <c r="L330" s="14" t="s">
        <v>796</v>
      </c>
      <c r="M330" s="14" t="s">
        <v>9158</v>
      </c>
      <c r="N330" s="14" t="s">
        <v>9158</v>
      </c>
      <c r="O330" s="14" t="s">
        <v>9158</v>
      </c>
      <c r="P330" s="14" t="s">
        <v>9158</v>
      </c>
      <c r="Q330" s="14" t="s">
        <v>9158</v>
      </c>
    </row>
    <row r="331" spans="1:17">
      <c r="A331" s="14">
        <v>58743</v>
      </c>
      <c r="B331" s="14" t="s">
        <v>334</v>
      </c>
      <c r="C331" s="14" t="s">
        <v>209</v>
      </c>
      <c r="D331" s="20" t="s">
        <v>10273</v>
      </c>
      <c r="E331" s="15" t="str">
        <f>HYPERLINK("https://stat100.ameba.jp/tnk47/ratio20/illustrations/card/ill_58743_enkirienoki03.jpg?202010-i_prefecture_active_user", "■")</f>
        <v>■</v>
      </c>
      <c r="F331" s="14" t="s">
        <v>2550</v>
      </c>
      <c r="G331" s="14">
        <v>78678</v>
      </c>
      <c r="H331" s="14">
        <v>107304</v>
      </c>
      <c r="I331" s="14">
        <v>26</v>
      </c>
      <c r="J331" s="14" t="s">
        <v>44</v>
      </c>
      <c r="K331" s="14" t="s">
        <v>2551</v>
      </c>
      <c r="L331" s="14" t="s">
        <v>95</v>
      </c>
      <c r="M331" s="14" t="s">
        <v>9158</v>
      </c>
      <c r="N331" s="14" t="s">
        <v>9158</v>
      </c>
      <c r="O331" s="19" t="s">
        <v>10091</v>
      </c>
      <c r="P331" s="14" t="s">
        <v>3670</v>
      </c>
      <c r="Q331" s="14">
        <v>1</v>
      </c>
    </row>
    <row r="332" spans="1:17">
      <c r="A332" s="14">
        <v>63283</v>
      </c>
      <c r="B332" s="14" t="s">
        <v>334</v>
      </c>
      <c r="C332" s="14" t="s">
        <v>209</v>
      </c>
      <c r="D332" s="19" t="s">
        <v>327</v>
      </c>
      <c r="E332" s="15" t="str">
        <f>HYPERLINK("https://stat100.ameba.jp/tnk47/ratio20/illustrations/card/ill_63283_mizuyokanchan03.jpg?202010-i_prefecture_active_user", "■")</f>
        <v>■</v>
      </c>
      <c r="F332" s="14" t="s">
        <v>327</v>
      </c>
      <c r="G332" s="14">
        <v>122786</v>
      </c>
      <c r="H332" s="14">
        <v>114176</v>
      </c>
      <c r="I332" s="14">
        <v>26</v>
      </c>
      <c r="J332" s="14" t="s">
        <v>283</v>
      </c>
      <c r="K332" s="14" t="s">
        <v>328</v>
      </c>
      <c r="L332" s="14" t="s">
        <v>329</v>
      </c>
      <c r="M332" s="14" t="s">
        <v>9158</v>
      </c>
      <c r="N332" s="14" t="s">
        <v>9158</v>
      </c>
      <c r="O332" s="19" t="s">
        <v>10084</v>
      </c>
      <c r="P332" s="14" t="s">
        <v>3563</v>
      </c>
      <c r="Q332" s="14">
        <v>1</v>
      </c>
    </row>
    <row r="333" spans="1:17">
      <c r="A333" s="14">
        <v>66353</v>
      </c>
      <c r="B333" s="14" t="s">
        <v>0</v>
      </c>
      <c r="C333" s="14" t="s">
        <v>41</v>
      </c>
      <c r="D333" s="14" t="s">
        <v>141</v>
      </c>
      <c r="E333" s="15" t="str">
        <f>HYPERLINK("https://stat100.ameba.jp/tnk47/ratio20/illustrations/card/ill_66353_kajiwaranyudotoan03.jpg?202010-i_prefecture_active_user", "■")</f>
        <v>■</v>
      </c>
      <c r="F333" s="14" t="s">
        <v>142</v>
      </c>
      <c r="G333" s="14">
        <v>172982</v>
      </c>
      <c r="H333" s="14">
        <v>125296</v>
      </c>
      <c r="I333" s="7">
        <v>26</v>
      </c>
      <c r="J333" s="14" t="s">
        <v>143</v>
      </c>
      <c r="K333" s="14" t="s">
        <v>144</v>
      </c>
      <c r="L333" s="14" t="s">
        <v>145</v>
      </c>
      <c r="M333" s="14" t="s">
        <v>9158</v>
      </c>
      <c r="N333" s="14" t="s">
        <v>9158</v>
      </c>
      <c r="O333" s="17" t="s">
        <v>10054</v>
      </c>
      <c r="P333" s="14" t="s">
        <v>3672</v>
      </c>
      <c r="Q333" s="14">
        <v>1</v>
      </c>
    </row>
    <row r="334" spans="1:17">
      <c r="A334" s="14">
        <v>78123</v>
      </c>
      <c r="B334" s="14" t="s">
        <v>334</v>
      </c>
      <c r="C334" s="14" t="s">
        <v>209</v>
      </c>
      <c r="D334" s="6" t="s">
        <v>10010</v>
      </c>
      <c r="E334" s="15" t="str">
        <f>HYPERLINK("https://stat100.ameba.jp/tnk47/ratio20/illustrations/card/ill_78123_madannoteirusorushieru03.jpg?202010-i_prefecture_active_user", "■")</f>
        <v>■</v>
      </c>
      <c r="F334" s="14" t="s">
        <v>3024</v>
      </c>
      <c r="G334" s="14">
        <v>172982</v>
      </c>
      <c r="H334" s="14">
        <v>125296</v>
      </c>
      <c r="I334" s="14">
        <v>26</v>
      </c>
      <c r="J334" s="14" t="s">
        <v>310</v>
      </c>
      <c r="K334" s="14" t="s">
        <v>3025</v>
      </c>
      <c r="L334" s="14" t="s">
        <v>443</v>
      </c>
      <c r="M334" s="14" t="s">
        <v>9158</v>
      </c>
      <c r="N334" s="14" t="s">
        <v>9158</v>
      </c>
      <c r="O334" s="17" t="s">
        <v>3414</v>
      </c>
      <c r="P334" s="14" t="s">
        <v>13122</v>
      </c>
      <c r="Q334" s="14">
        <v>1</v>
      </c>
    </row>
    <row r="335" spans="1:17">
      <c r="A335" s="7">
        <v>85653</v>
      </c>
      <c r="B335" s="7" t="s">
        <v>0</v>
      </c>
      <c r="C335" s="14" t="s">
        <v>158</v>
      </c>
      <c r="D335" s="20" t="s">
        <v>10846</v>
      </c>
      <c r="E335" s="15" t="str">
        <f>HYPERLINK("https://stat100.ameba.jp/tnk47/ratio20/illustrations/card/ill_85653_onashiefumizuno03.jpg?202010-i_prefecture_active_user", "■")</f>
        <v>■</v>
      </c>
      <c r="F335" s="7" t="s">
        <v>8587</v>
      </c>
      <c r="G335" s="7">
        <v>99532</v>
      </c>
      <c r="H335" s="7">
        <v>137430</v>
      </c>
      <c r="I335" s="7">
        <v>26</v>
      </c>
      <c r="J335" s="7" t="s">
        <v>216</v>
      </c>
      <c r="K335" s="7" t="s">
        <v>8586</v>
      </c>
      <c r="L335" s="7" t="s">
        <v>131</v>
      </c>
      <c r="M335" s="14" t="s">
        <v>9158</v>
      </c>
      <c r="N335" s="14" t="s">
        <v>9158</v>
      </c>
      <c r="O335" s="19" t="s">
        <v>4074</v>
      </c>
      <c r="P335" s="14" t="s">
        <v>3462</v>
      </c>
      <c r="Q335" s="14">
        <v>1</v>
      </c>
    </row>
    <row r="336" spans="1:17">
      <c r="A336" s="14">
        <v>52083</v>
      </c>
      <c r="B336" s="14" t="s">
        <v>0</v>
      </c>
      <c r="C336" s="14" t="s">
        <v>158</v>
      </c>
      <c r="D336" s="20" t="s">
        <v>2913</v>
      </c>
      <c r="E336" s="15" t="str">
        <f>HYPERLINK("https://stat100.ameba.jp/tnk47/ratio20/illustrations/card/ill_52083_berubetto03.jpg?202010-i_prefecture_active_user", "■")</f>
        <v>■</v>
      </c>
      <c r="F336" s="14" t="s">
        <v>944</v>
      </c>
      <c r="G336" s="14">
        <v>89584</v>
      </c>
      <c r="H336" s="14">
        <v>123674</v>
      </c>
      <c r="I336" s="14">
        <v>26</v>
      </c>
      <c r="J336" s="14" t="s">
        <v>26</v>
      </c>
      <c r="K336" s="14" t="s">
        <v>1864</v>
      </c>
      <c r="L336" s="14" t="s">
        <v>1865</v>
      </c>
      <c r="M336" s="14" t="s">
        <v>9158</v>
      </c>
      <c r="N336" s="14" t="s">
        <v>9158</v>
      </c>
      <c r="O336" s="19" t="s">
        <v>2917</v>
      </c>
      <c r="P336" s="14" t="s">
        <v>2918</v>
      </c>
      <c r="Q336" s="14">
        <v>1</v>
      </c>
    </row>
    <row r="337" spans="1:18">
      <c r="E337" s="15"/>
      <c r="I337" s="7"/>
    </row>
    <row r="338" spans="1:18">
      <c r="A338" s="14" t="s">
        <v>13327</v>
      </c>
    </row>
    <row r="339" spans="1:18">
      <c r="A339" s="14" t="s">
        <v>14865</v>
      </c>
    </row>
    <row r="340" spans="1:18">
      <c r="A340" s="14">
        <v>82213</v>
      </c>
      <c r="B340" s="14" t="s">
        <v>0</v>
      </c>
      <c r="C340" s="14" t="s">
        <v>185</v>
      </c>
      <c r="D340" s="19" t="s">
        <v>10185</v>
      </c>
      <c r="E340" s="15" t="str">
        <f>HYPERLINK("https://stat100.ameba.jp/tnk47/ratio20/illustrations/card/ill_82213_tatarimokke03.jpg?202010-i_prefecture_active_user", "■")</f>
        <v>■</v>
      </c>
      <c r="F340" s="14" t="s">
        <v>4935</v>
      </c>
      <c r="G340" s="14">
        <v>128160</v>
      </c>
      <c r="H340" s="14">
        <v>137846</v>
      </c>
      <c r="I340" s="7">
        <v>28</v>
      </c>
      <c r="J340" s="14" t="s">
        <v>182</v>
      </c>
      <c r="K340" s="14" t="s">
        <v>4937</v>
      </c>
      <c r="L340" s="14" t="s">
        <v>13191</v>
      </c>
      <c r="M340" s="14" t="s">
        <v>13130</v>
      </c>
      <c r="N340" s="14" t="s">
        <v>343</v>
      </c>
      <c r="O340" s="14" t="s">
        <v>9158</v>
      </c>
      <c r="P340" s="14" t="s">
        <v>9158</v>
      </c>
      <c r="Q340" s="14" t="s">
        <v>9158</v>
      </c>
      <c r="R340" s="14" t="s">
        <v>14748</v>
      </c>
    </row>
    <row r="341" spans="1:18">
      <c r="A341" s="14">
        <v>82212</v>
      </c>
      <c r="B341" s="14" t="s">
        <v>334</v>
      </c>
      <c r="C341" s="14" t="s">
        <v>185</v>
      </c>
      <c r="D341" s="19" t="s">
        <v>10185</v>
      </c>
      <c r="E341" s="15" t="str">
        <f>HYPERLINK("https://stat100.ameba.jp/tnk47/ratio20/illustrations/card/ill_82212_tatarimokke02.jpg?202010-i_prefecture_active_user", "■")</f>
        <v>■</v>
      </c>
      <c r="F341" s="14" t="s">
        <v>4935</v>
      </c>
      <c r="G341" s="14">
        <v>106148</v>
      </c>
      <c r="H341" s="14">
        <v>115230</v>
      </c>
      <c r="I341" s="7">
        <v>28</v>
      </c>
      <c r="J341" s="14" t="s">
        <v>182</v>
      </c>
      <c r="K341" s="14" t="s">
        <v>4937</v>
      </c>
      <c r="L341" s="14" t="s">
        <v>13191</v>
      </c>
      <c r="M341" s="14" t="s">
        <v>13131</v>
      </c>
      <c r="N341" s="14" t="s">
        <v>251</v>
      </c>
      <c r="O341" s="14" t="s">
        <v>9158</v>
      </c>
      <c r="P341" s="14" t="s">
        <v>9158</v>
      </c>
      <c r="Q341" s="14" t="s">
        <v>9158</v>
      </c>
      <c r="R341" s="14" t="s">
        <v>14748</v>
      </c>
    </row>
    <row r="342" spans="1:18">
      <c r="A342" s="14">
        <v>82211</v>
      </c>
      <c r="B342" s="14" t="s">
        <v>0</v>
      </c>
      <c r="C342" s="14" t="s">
        <v>185</v>
      </c>
      <c r="D342" s="19" t="s">
        <v>10185</v>
      </c>
      <c r="E342" s="15" t="str">
        <f>HYPERLINK("https://stat100.ameba.jp/tnk47/ratio20/illustrations/card/ill_82211_tatarimokke01.jpg?202010-i_prefecture_active_user", "■")</f>
        <v>■</v>
      </c>
      <c r="F342" s="14" t="s">
        <v>4935</v>
      </c>
      <c r="G342" s="14">
        <v>81900</v>
      </c>
      <c r="H342" s="14">
        <v>87976</v>
      </c>
      <c r="I342" s="7">
        <v>28</v>
      </c>
      <c r="J342" s="14" t="s">
        <v>182</v>
      </c>
      <c r="K342" s="14" t="s">
        <v>4937</v>
      </c>
      <c r="L342" s="14" t="s">
        <v>13191</v>
      </c>
      <c r="M342" s="14" t="s">
        <v>13131</v>
      </c>
      <c r="N342" s="14" t="s">
        <v>251</v>
      </c>
      <c r="O342" s="14" t="s">
        <v>9158</v>
      </c>
      <c r="P342" s="14" t="s">
        <v>9158</v>
      </c>
      <c r="Q342" s="14" t="s">
        <v>9158</v>
      </c>
      <c r="R342" s="14" t="s">
        <v>14748</v>
      </c>
    </row>
    <row r="343" spans="1:18">
      <c r="A343" s="14">
        <v>82223</v>
      </c>
      <c r="B343" s="14" t="s">
        <v>334</v>
      </c>
      <c r="C343" s="14" t="s">
        <v>200</v>
      </c>
      <c r="D343" s="19" t="s">
        <v>10186</v>
      </c>
      <c r="E343" s="15" t="str">
        <f>HYPERLINK("https://stat100.ameba.jp/tnk47/ratio20/illustrations/card/ill_82223_oyayubihime03.jpg?202010-i_prefecture_active_user", "■")</f>
        <v>■</v>
      </c>
      <c r="F343" s="14" t="s">
        <v>4931</v>
      </c>
      <c r="G343" s="14">
        <v>137846</v>
      </c>
      <c r="H343" s="14">
        <v>128160</v>
      </c>
      <c r="I343" s="7">
        <v>28</v>
      </c>
      <c r="J343" s="14" t="s">
        <v>155</v>
      </c>
      <c r="K343" s="14" t="s">
        <v>4933</v>
      </c>
      <c r="L343" s="14" t="s">
        <v>4934</v>
      </c>
      <c r="M343" s="14" t="s">
        <v>13130</v>
      </c>
      <c r="N343" s="14" t="s">
        <v>343</v>
      </c>
      <c r="O343" s="14" t="s">
        <v>9158</v>
      </c>
      <c r="P343" s="14" t="s">
        <v>9158</v>
      </c>
      <c r="Q343" s="14" t="s">
        <v>9158</v>
      </c>
      <c r="R343" s="14" t="s">
        <v>14748</v>
      </c>
    </row>
    <row r="344" spans="1:18">
      <c r="A344" s="14">
        <v>82233</v>
      </c>
      <c r="B344" s="14" t="s">
        <v>334</v>
      </c>
      <c r="C344" s="14" t="s">
        <v>191</v>
      </c>
      <c r="D344" s="19" t="s">
        <v>10187</v>
      </c>
      <c r="E344" s="15" t="str">
        <f>HYPERLINK("https://stat100.ameba.jp/tnk47/ratio20/illustrations/card/ill_82233_iseokiku03.jpg?202010-i_prefecture_active_user", "■")</f>
        <v>■</v>
      </c>
      <c r="F344" s="14" t="s">
        <v>4924</v>
      </c>
      <c r="G344" s="14">
        <v>137846</v>
      </c>
      <c r="H344" s="14">
        <v>128160</v>
      </c>
      <c r="I344" s="7">
        <v>28</v>
      </c>
      <c r="J344" s="14" t="s">
        <v>187</v>
      </c>
      <c r="K344" s="14" t="s">
        <v>4926</v>
      </c>
      <c r="L344" s="14" t="s">
        <v>4930</v>
      </c>
      <c r="M344" s="14" t="s">
        <v>13130</v>
      </c>
      <c r="N344" s="14" t="s">
        <v>343</v>
      </c>
      <c r="O344" s="14" t="s">
        <v>9158</v>
      </c>
      <c r="P344" s="14" t="s">
        <v>9158</v>
      </c>
      <c r="Q344" s="14" t="s">
        <v>9158</v>
      </c>
      <c r="R344" s="14" t="s">
        <v>14748</v>
      </c>
    </row>
    <row r="345" spans="1:18">
      <c r="A345" s="14">
        <v>82243</v>
      </c>
      <c r="B345" s="14" t="s">
        <v>0</v>
      </c>
      <c r="C345" s="14" t="s">
        <v>165</v>
      </c>
      <c r="D345" s="19" t="s">
        <v>10188</v>
      </c>
      <c r="E345" s="15" t="str">
        <f>HYPERLINK("https://stat100.ameba.jp/tnk47/ratio20/illustrations/card/ill_82243_nanohana03.jpg?202010-i_prefecture_active_user", "■")</f>
        <v>■</v>
      </c>
      <c r="F345" s="14" t="s">
        <v>4921</v>
      </c>
      <c r="G345" s="14">
        <v>137846</v>
      </c>
      <c r="H345" s="14">
        <v>128160</v>
      </c>
      <c r="I345" s="7">
        <v>28</v>
      </c>
      <c r="J345" s="14" t="s">
        <v>229</v>
      </c>
      <c r="K345" s="14" t="s">
        <v>4923</v>
      </c>
      <c r="L345" s="14" t="s">
        <v>4929</v>
      </c>
      <c r="M345" s="14" t="s">
        <v>13130</v>
      </c>
      <c r="N345" s="14" t="s">
        <v>343</v>
      </c>
      <c r="O345" s="14" t="s">
        <v>9158</v>
      </c>
      <c r="P345" s="14" t="s">
        <v>9158</v>
      </c>
      <c r="Q345" s="14" t="s">
        <v>9158</v>
      </c>
      <c r="R345" s="14" t="s">
        <v>14748</v>
      </c>
    </row>
    <row r="346" spans="1:18">
      <c r="A346" s="14">
        <v>82253</v>
      </c>
      <c r="B346" s="14" t="s">
        <v>334</v>
      </c>
      <c r="C346" s="14" t="s">
        <v>205</v>
      </c>
      <c r="D346" s="19" t="s">
        <v>10189</v>
      </c>
      <c r="E346" s="15" t="str">
        <f>HYPERLINK("https://stat100.ameba.jp/tnk47/ratio20/illustrations/card/ill_82253_ajisaikyogokuichiko03.jpg?202010-i_prefecture_active_user", "■")</f>
        <v>■</v>
      </c>
      <c r="F346" s="14" t="s">
        <v>4920</v>
      </c>
      <c r="G346" s="14">
        <v>128160</v>
      </c>
      <c r="H346" s="14">
        <v>137846</v>
      </c>
      <c r="I346" s="7">
        <v>28</v>
      </c>
      <c r="J346" s="14" t="s">
        <v>159</v>
      </c>
      <c r="K346" s="14" t="s">
        <v>4919</v>
      </c>
      <c r="L346" s="14" t="s">
        <v>4927</v>
      </c>
      <c r="M346" s="14" t="s">
        <v>13130</v>
      </c>
      <c r="N346" s="14" t="s">
        <v>343</v>
      </c>
      <c r="O346" s="14" t="s">
        <v>9158</v>
      </c>
      <c r="P346" s="14" t="s">
        <v>9158</v>
      </c>
      <c r="Q346" s="14" t="s">
        <v>9158</v>
      </c>
      <c r="R346" s="14" t="s">
        <v>14748</v>
      </c>
    </row>
    <row r="347" spans="1:18">
      <c r="A347" s="14">
        <v>82263</v>
      </c>
      <c r="B347" s="14" t="s">
        <v>334</v>
      </c>
      <c r="C347" s="14" t="s">
        <v>206</v>
      </c>
      <c r="D347" s="19" t="s">
        <v>10190</v>
      </c>
      <c r="E347" s="15" t="str">
        <f>HYPERLINK("https://stat100.ameba.jp/tnk47/ratio20/illustrations/card/ill_82263_euterupe03.jpg?202010-i_prefecture_active_user", "■")</f>
        <v>■</v>
      </c>
      <c r="F347" s="14" t="s">
        <v>4915</v>
      </c>
      <c r="G347" s="14">
        <v>128160</v>
      </c>
      <c r="H347" s="14">
        <v>137846</v>
      </c>
      <c r="I347" s="7">
        <v>28</v>
      </c>
      <c r="J347" s="14" t="s">
        <v>169</v>
      </c>
      <c r="K347" s="14" t="s">
        <v>4917</v>
      </c>
      <c r="L347" s="14" t="s">
        <v>4928</v>
      </c>
      <c r="M347" s="14" t="s">
        <v>13130</v>
      </c>
      <c r="N347" s="14" t="s">
        <v>343</v>
      </c>
      <c r="O347" s="14" t="s">
        <v>9158</v>
      </c>
      <c r="P347" s="14" t="s">
        <v>9158</v>
      </c>
      <c r="Q347" s="14" t="s">
        <v>9158</v>
      </c>
      <c r="R347" s="14" t="s">
        <v>14748</v>
      </c>
    </row>
    <row r="349" spans="1:18">
      <c r="A349" s="14" t="s">
        <v>14869</v>
      </c>
    </row>
    <row r="350" spans="1:18">
      <c r="A350" s="14" t="s">
        <v>14868</v>
      </c>
    </row>
    <row r="351" spans="1:18">
      <c r="A351" s="14" t="s">
        <v>5734</v>
      </c>
      <c r="B351" s="14" t="s">
        <v>330</v>
      </c>
      <c r="C351" s="14" t="s">
        <v>202</v>
      </c>
      <c r="D351" s="20" t="s">
        <v>1497</v>
      </c>
      <c r="E351" s="15" t="str">
        <f>HYPERLINK("https://stat100.ameba.jp/tnk47/ratio20/illustrations/card/ill_74593_0_natsuyuenchikoshihikari03.jpg?202010-i_prefecture_active_user", "■")</f>
        <v>■</v>
      </c>
      <c r="F351" s="14" t="s">
        <v>1498</v>
      </c>
      <c r="G351" s="14">
        <v>259994</v>
      </c>
      <c r="H351" s="14">
        <v>241708</v>
      </c>
      <c r="I351" s="14">
        <v>24</v>
      </c>
      <c r="J351" s="14" t="s">
        <v>283</v>
      </c>
      <c r="K351" s="14" t="s">
        <v>1499</v>
      </c>
      <c r="L351" s="14" t="s">
        <v>1500</v>
      </c>
      <c r="M351" s="14" t="s">
        <v>9158</v>
      </c>
      <c r="N351" s="14" t="s">
        <v>9158</v>
      </c>
      <c r="O351" s="19" t="s">
        <v>2731</v>
      </c>
      <c r="P351" s="14" t="s">
        <v>2732</v>
      </c>
      <c r="Q351" s="14">
        <v>1</v>
      </c>
    </row>
    <row r="352" spans="1:18">
      <c r="A352" s="14" t="s">
        <v>5650</v>
      </c>
      <c r="B352" s="14" t="s">
        <v>52</v>
      </c>
      <c r="C352" s="14" t="s">
        <v>23</v>
      </c>
      <c r="D352" s="19" t="s">
        <v>136</v>
      </c>
      <c r="E352" s="15" t="str">
        <f>HYPERLINK("https://stat100.ameba.jp/tnk47/ratio20/illustrations/card/ill_68033_0_kurisumasupateikandamyojin03.jpg?202010-i_prefecture_active_user", "■")</f>
        <v>■</v>
      </c>
      <c r="F352" s="14" t="s">
        <v>1871</v>
      </c>
      <c r="G352" s="14">
        <v>152594</v>
      </c>
      <c r="H352" s="14">
        <v>164144</v>
      </c>
      <c r="I352" s="14">
        <v>24</v>
      </c>
      <c r="J352" s="14" t="s">
        <v>44</v>
      </c>
      <c r="K352" s="14" t="s">
        <v>1872</v>
      </c>
      <c r="L352" s="14" t="s">
        <v>1873</v>
      </c>
      <c r="M352" s="14" t="s">
        <v>9158</v>
      </c>
      <c r="N352" s="14" t="s">
        <v>9158</v>
      </c>
      <c r="O352" s="19" t="s">
        <v>2997</v>
      </c>
      <c r="P352" s="14" t="s">
        <v>3483</v>
      </c>
      <c r="Q352" s="14">
        <v>2</v>
      </c>
    </row>
    <row r="353" spans="1:17">
      <c r="A353" s="14" t="s">
        <v>5721</v>
      </c>
      <c r="B353" s="14" t="s">
        <v>52</v>
      </c>
      <c r="C353" s="14" t="s">
        <v>1</v>
      </c>
      <c r="D353" s="19" t="s">
        <v>513</v>
      </c>
      <c r="E353" s="15" t="str">
        <f>HYPERLINK("https://stat100.ameba.jp/tnk47/ratio20/illustrations/card/ill_44283_0_izumonokuni03.jpg?202010-i_prefecture_active_user", "■")</f>
        <v>■</v>
      </c>
      <c r="F353" s="14" t="s">
        <v>1716</v>
      </c>
      <c r="G353" s="14">
        <v>140448</v>
      </c>
      <c r="H353" s="14">
        <v>131538</v>
      </c>
      <c r="I353" s="14">
        <v>24</v>
      </c>
      <c r="J353" s="14" t="s">
        <v>16</v>
      </c>
      <c r="K353" s="14" t="s">
        <v>2254</v>
      </c>
      <c r="L353" s="14" t="s">
        <v>1718</v>
      </c>
      <c r="M353" s="14" t="s">
        <v>9158</v>
      </c>
      <c r="N353" s="14" t="s">
        <v>9158</v>
      </c>
      <c r="O353" s="14" t="s">
        <v>9158</v>
      </c>
      <c r="P353" s="14" t="s">
        <v>9158</v>
      </c>
      <c r="Q353" s="14" t="s">
        <v>9158</v>
      </c>
    </row>
    <row r="354" spans="1:17">
      <c r="A354" s="14">
        <v>91943</v>
      </c>
      <c r="B354" s="14" t="s">
        <v>0</v>
      </c>
      <c r="C354" s="14" t="s">
        <v>107</v>
      </c>
      <c r="D354" s="14" t="s">
        <v>14796</v>
      </c>
      <c r="E354" s="15" t="str">
        <f>HYPERLINK("https://stat100.ameba.jp/tnk47/ratio20/illustrations/card/ill_91943_miyamotomuashi03.jpg?202010-i_prefecture_active_user", "■")</f>
        <v>■</v>
      </c>
      <c r="F354" s="14" t="s">
        <v>14795</v>
      </c>
      <c r="G354" s="14">
        <v>143714</v>
      </c>
      <c r="H354" s="14">
        <v>154562</v>
      </c>
      <c r="I354" s="7">
        <v>26</v>
      </c>
      <c r="J354" s="14" t="s">
        <v>143</v>
      </c>
      <c r="K354" s="14" t="s">
        <v>14793</v>
      </c>
      <c r="L354" s="14" t="s">
        <v>14475</v>
      </c>
      <c r="M354" s="14" t="s">
        <v>9158</v>
      </c>
      <c r="N354" s="14" t="s">
        <v>9158</v>
      </c>
      <c r="O354" s="14" t="s">
        <v>9158</v>
      </c>
      <c r="P354" s="14" t="s">
        <v>9158</v>
      </c>
      <c r="Q354" s="14" t="s">
        <v>9158</v>
      </c>
    </row>
    <row r="355" spans="1:17">
      <c r="A355" s="14">
        <v>91953</v>
      </c>
      <c r="B355" s="14" t="s">
        <v>15</v>
      </c>
      <c r="C355" s="14" t="s">
        <v>2611</v>
      </c>
      <c r="D355" s="14" t="s">
        <v>14801</v>
      </c>
      <c r="E355" s="15" t="str">
        <f>HYPERLINK("https://stat100.ameba.jp/tnk47/ratio20/illustrations/card/ill_91953_kaguya03.jpg?202010-i_prefecture_active_user", "■")</f>
        <v>■</v>
      </c>
      <c r="F355" s="14" t="s">
        <v>14800</v>
      </c>
      <c r="G355" s="14">
        <v>77064</v>
      </c>
      <c r="H355" s="14">
        <v>69898</v>
      </c>
      <c r="I355" s="7">
        <v>26</v>
      </c>
      <c r="J355" s="14" t="s">
        <v>38</v>
      </c>
      <c r="K355" s="14" t="s">
        <v>14798</v>
      </c>
      <c r="L355" s="14" t="s">
        <v>3267</v>
      </c>
      <c r="M355" s="14" t="s">
        <v>9158</v>
      </c>
      <c r="N355" s="14" t="s">
        <v>9158</v>
      </c>
      <c r="O355" s="14" t="s">
        <v>9158</v>
      </c>
      <c r="P355" s="14" t="s">
        <v>9158</v>
      </c>
      <c r="Q355" s="14" t="s">
        <v>9158</v>
      </c>
    </row>
    <row r="356" spans="1:17">
      <c r="A356" s="14">
        <v>91963</v>
      </c>
      <c r="B356" s="14" t="s">
        <v>22</v>
      </c>
      <c r="C356" s="14" t="s">
        <v>185</v>
      </c>
      <c r="D356" s="14" t="s">
        <v>14806</v>
      </c>
      <c r="E356" s="15" t="str">
        <f>HYPERLINK("https://stat100.ameba.jp/tnk47/ratio20/illustrations/card/ill_91963_porandoyukiusagi03.jpg?202010-i_prefecture_active_user", "■")</f>
        <v>■</v>
      </c>
      <c r="F356" s="14" t="s">
        <v>14805</v>
      </c>
      <c r="G356" s="14">
        <v>44948</v>
      </c>
      <c r="H356" s="14">
        <v>54058</v>
      </c>
      <c r="I356" s="7">
        <v>26</v>
      </c>
      <c r="J356" s="14" t="s">
        <v>26</v>
      </c>
      <c r="K356" s="14" t="s">
        <v>14803</v>
      </c>
      <c r="L356" s="14" t="s">
        <v>28</v>
      </c>
      <c r="M356" s="14" t="s">
        <v>9158</v>
      </c>
      <c r="N356" s="14" t="s">
        <v>9158</v>
      </c>
      <c r="O356" s="14" t="s">
        <v>9158</v>
      </c>
      <c r="P356" s="14" t="s">
        <v>9158</v>
      </c>
      <c r="Q356" s="14" t="s">
        <v>9158</v>
      </c>
    </row>
    <row r="357" spans="1:17">
      <c r="A357" s="14">
        <v>91973</v>
      </c>
      <c r="B357" s="14" t="s">
        <v>22</v>
      </c>
      <c r="C357" s="14" t="s">
        <v>205</v>
      </c>
      <c r="D357" s="14" t="s">
        <v>14810</v>
      </c>
      <c r="E357" s="15" t="str">
        <f>HYPERLINK("https://stat100.ameba.jp/tnk47/ratio20/illustrations/card/ill_91973_izayoizakura03.jpg?202010-i_prefecture_active_user", "■")</f>
        <v>■</v>
      </c>
      <c r="F357" s="14" t="s">
        <v>14809</v>
      </c>
      <c r="G357" s="14">
        <v>54058</v>
      </c>
      <c r="H357" s="14">
        <v>44948</v>
      </c>
      <c r="I357" s="7">
        <v>26</v>
      </c>
      <c r="J357" s="14" t="s">
        <v>38</v>
      </c>
      <c r="K357" s="14" t="s">
        <v>14808</v>
      </c>
      <c r="L357" s="14" t="s">
        <v>7248</v>
      </c>
      <c r="M357" s="14" t="s">
        <v>9158</v>
      </c>
      <c r="N357" s="14" t="s">
        <v>9158</v>
      </c>
      <c r="O357" s="14" t="s">
        <v>9158</v>
      </c>
      <c r="P357" s="14" t="s">
        <v>9158</v>
      </c>
      <c r="Q357" s="14" t="s">
        <v>9158</v>
      </c>
    </row>
    <row r="359" spans="1:17">
      <c r="A359" s="14" t="s">
        <v>14866</v>
      </c>
    </row>
    <row r="360" spans="1:17">
      <c r="A360" s="14" t="s">
        <v>14867</v>
      </c>
    </row>
    <row r="361" spans="1:17">
      <c r="A361" s="14" t="s">
        <v>5606</v>
      </c>
      <c r="B361" s="14" t="s">
        <v>52</v>
      </c>
      <c r="C361" s="14" t="s">
        <v>206</v>
      </c>
      <c r="D361" s="20" t="s">
        <v>2936</v>
      </c>
      <c r="E361" s="15" t="str">
        <f>HYPERLINK("https://stat100.ameba.jp/tnk47/ratio20/illustrations/card/ill_72233_0_koinoboriryugujin03.jpg?202010-i_prefecture_active_user", "■")</f>
        <v>■</v>
      </c>
      <c r="F361" s="14" t="s">
        <v>1012</v>
      </c>
      <c r="G361" s="14">
        <v>163991</v>
      </c>
      <c r="H361" s="14">
        <v>176391</v>
      </c>
      <c r="I361" s="14">
        <v>25</v>
      </c>
      <c r="J361" s="14" t="s">
        <v>44</v>
      </c>
      <c r="K361" s="14" t="s">
        <v>1013</v>
      </c>
      <c r="L361" s="14" t="s">
        <v>1014</v>
      </c>
      <c r="M361" s="14" t="s">
        <v>9158</v>
      </c>
      <c r="N361" s="14" t="s">
        <v>9158</v>
      </c>
      <c r="O361" s="19" t="s">
        <v>2940</v>
      </c>
      <c r="P361" s="14" t="s">
        <v>3420</v>
      </c>
      <c r="Q361" s="14">
        <v>2</v>
      </c>
    </row>
    <row r="362" spans="1:17">
      <c r="A362" s="14">
        <v>80573</v>
      </c>
      <c r="B362" s="14" t="s">
        <v>334</v>
      </c>
      <c r="C362" s="14" t="s">
        <v>165</v>
      </c>
      <c r="D362" s="20" t="s">
        <v>10301</v>
      </c>
      <c r="E362" s="15" t="str">
        <f>HYPERLINK("https://stat100.ameba.jp/tnk47/ratio20/illustrations/card/ill_80573_ohanamigurampingusotorihime03.jpg?202010-i_prefecture_active_user", "■")</f>
        <v>■</v>
      </c>
      <c r="F362" s="14" t="s">
        <v>4176</v>
      </c>
      <c r="G362" s="14">
        <v>118656</v>
      </c>
      <c r="H362" s="14">
        <v>110126</v>
      </c>
      <c r="I362" s="14">
        <v>26</v>
      </c>
      <c r="J362" s="14" t="s">
        <v>38</v>
      </c>
      <c r="K362" s="14" t="s">
        <v>4177</v>
      </c>
      <c r="L362" s="14" t="s">
        <v>4178</v>
      </c>
      <c r="M362" s="14" t="s">
        <v>9158</v>
      </c>
      <c r="N362" s="14" t="s">
        <v>9158</v>
      </c>
      <c r="O362" s="19" t="s">
        <v>10119</v>
      </c>
      <c r="P362" s="14" t="s">
        <v>3662</v>
      </c>
      <c r="Q362" s="14">
        <v>1</v>
      </c>
    </row>
    <row r="363" spans="1:17">
      <c r="A363" s="14">
        <v>59613</v>
      </c>
      <c r="B363" s="14" t="s">
        <v>0</v>
      </c>
      <c r="C363" s="14" t="s">
        <v>185</v>
      </c>
      <c r="D363" s="20" t="s">
        <v>10267</v>
      </c>
      <c r="E363" s="15" t="str">
        <f>HYPERLINK("https://stat100.ameba.jp/tnk47/ratio20/illustrations/card/ill_59613_oheyadaria03.jpg?202010-i_prefecture_active_user", "■")</f>
        <v>■</v>
      </c>
      <c r="F363" s="14" t="s">
        <v>2293</v>
      </c>
      <c r="G363" s="14">
        <v>110518</v>
      </c>
      <c r="H363" s="14">
        <v>102740</v>
      </c>
      <c r="I363" s="14">
        <v>26</v>
      </c>
      <c r="J363" s="14" t="s">
        <v>26</v>
      </c>
      <c r="K363" s="14" t="s">
        <v>2294</v>
      </c>
      <c r="L363" s="14" t="s">
        <v>2295</v>
      </c>
      <c r="M363" s="14" t="s">
        <v>9158</v>
      </c>
      <c r="N363" s="14" t="s">
        <v>9158</v>
      </c>
      <c r="O363" s="19" t="s">
        <v>10111</v>
      </c>
      <c r="P363" s="14" t="s">
        <v>3610</v>
      </c>
      <c r="Q363" s="14">
        <v>1</v>
      </c>
    </row>
    <row r="364" spans="1:17">
      <c r="A364" s="14">
        <v>84863</v>
      </c>
      <c r="B364" s="14" t="s">
        <v>0</v>
      </c>
      <c r="C364" s="14" t="s">
        <v>200</v>
      </c>
      <c r="D364" s="19" t="s">
        <v>10742</v>
      </c>
      <c r="E364" s="15" t="str">
        <f>HYPERLINK("https://stat100.ameba.jp/tnk47/ratio20/illustrations/card/ill_84863_onsengaiarisubekon03.jpg?202010-i_prefecture_active_user", "■")</f>
        <v>■</v>
      </c>
      <c r="F364" s="14" t="s">
        <v>7796</v>
      </c>
      <c r="G364" s="14">
        <v>105426</v>
      </c>
      <c r="H364" s="14">
        <v>98066</v>
      </c>
      <c r="I364" s="14">
        <v>26</v>
      </c>
      <c r="J364" s="14" t="s">
        <v>159</v>
      </c>
      <c r="K364" s="14" t="s">
        <v>7795</v>
      </c>
      <c r="L364" s="14" t="s">
        <v>7794</v>
      </c>
      <c r="M364" s="14" t="s">
        <v>9158</v>
      </c>
      <c r="N364" s="14" t="s">
        <v>9158</v>
      </c>
      <c r="O364" s="19" t="s">
        <v>2951</v>
      </c>
      <c r="P364" s="14" t="s">
        <v>13122</v>
      </c>
      <c r="Q364" s="14">
        <v>1</v>
      </c>
    </row>
    <row r="366" spans="1:17">
      <c r="A366" s="14" t="s">
        <v>14870</v>
      </c>
    </row>
    <row r="367" spans="1:17">
      <c r="A367" s="14" t="s">
        <v>14871</v>
      </c>
    </row>
    <row r="368" spans="1:17">
      <c r="A368" s="14" t="s">
        <v>5891</v>
      </c>
      <c r="B368" s="14" t="s">
        <v>330</v>
      </c>
      <c r="C368" s="14" t="s">
        <v>202</v>
      </c>
      <c r="D368" s="20" t="s">
        <v>1371</v>
      </c>
      <c r="E368" s="15" t="str">
        <f>HYPERLINK("https://stat100.ameba.jp/tnk47/ratio20/illustrations/card/ill_77173_0_yukemuritomoegozen03.jpg?202010-i_prefecture_active_user", "■")</f>
        <v>■</v>
      </c>
      <c r="F368" s="14" t="s">
        <v>1372</v>
      </c>
      <c r="G368" s="14">
        <v>250610</v>
      </c>
      <c r="H368" s="14">
        <v>277283</v>
      </c>
      <c r="I368" s="14">
        <v>25</v>
      </c>
      <c r="J368" s="14" t="s">
        <v>310</v>
      </c>
      <c r="K368" s="14" t="s">
        <v>1373</v>
      </c>
      <c r="L368" s="14" t="s">
        <v>1374</v>
      </c>
      <c r="M368" s="14" t="s">
        <v>9158</v>
      </c>
      <c r="N368" s="14" t="s">
        <v>9158</v>
      </c>
      <c r="O368" s="19" t="s">
        <v>4067</v>
      </c>
      <c r="P368" s="14" t="s">
        <v>3879</v>
      </c>
      <c r="Q368" s="14">
        <v>2</v>
      </c>
    </row>
    <row r="369" spans="1:18">
      <c r="A369" s="14">
        <v>84653</v>
      </c>
      <c r="B369" s="14" t="s">
        <v>334</v>
      </c>
      <c r="C369" s="14" t="s">
        <v>209</v>
      </c>
      <c r="D369" s="19" t="s">
        <v>10626</v>
      </c>
      <c r="E369" s="15" t="str">
        <f>HYPERLINK("https://stat100.ameba.jp/tnk47/ratio20/illustrations/card/ill_84653_soru03.jpg?202010-i_prefecture_active_user", "■")</f>
        <v>■</v>
      </c>
      <c r="F369" s="14" t="s">
        <v>6954</v>
      </c>
      <c r="G369" s="14">
        <v>75984</v>
      </c>
      <c r="H369" s="14">
        <v>104890</v>
      </c>
      <c r="I369" s="14">
        <v>24</v>
      </c>
      <c r="J369" s="14" t="s">
        <v>44</v>
      </c>
      <c r="K369" s="14" t="s">
        <v>6956</v>
      </c>
      <c r="L369" s="14" t="s">
        <v>3652</v>
      </c>
      <c r="M369" s="14" t="s">
        <v>9158</v>
      </c>
      <c r="N369" s="14" t="s">
        <v>9158</v>
      </c>
      <c r="O369" s="19" t="s">
        <v>10103</v>
      </c>
      <c r="P369" s="14" t="s">
        <v>3897</v>
      </c>
      <c r="Q369" s="14">
        <v>1</v>
      </c>
    </row>
    <row r="370" spans="1:18">
      <c r="A370" s="14">
        <v>82543</v>
      </c>
      <c r="B370" s="14" t="s">
        <v>334</v>
      </c>
      <c r="C370" s="14" t="s">
        <v>41</v>
      </c>
      <c r="D370" s="19" t="s">
        <v>10342</v>
      </c>
      <c r="E370" s="15" t="str">
        <f>HYPERLINK("https://stat100.ameba.jp/tnk47/ratio20/illustrations/card/ill_82543_nabeshimanagako03.jpg?202010-i_prefecture_active_user", "■")</f>
        <v>■</v>
      </c>
      <c r="F370" s="14" t="s">
        <v>5491</v>
      </c>
      <c r="G370" s="14">
        <v>104890</v>
      </c>
      <c r="H370" s="14">
        <v>75984</v>
      </c>
      <c r="I370" s="14">
        <v>24</v>
      </c>
      <c r="J370" s="14" t="s">
        <v>10</v>
      </c>
      <c r="K370" s="14" t="s">
        <v>5493</v>
      </c>
      <c r="L370" s="14" t="s">
        <v>5494</v>
      </c>
      <c r="M370" s="14" t="s">
        <v>9158</v>
      </c>
      <c r="N370" s="14" t="s">
        <v>9158</v>
      </c>
      <c r="O370" s="19" t="s">
        <v>10080</v>
      </c>
      <c r="P370" s="14" t="s">
        <v>3705</v>
      </c>
      <c r="Q370" s="14">
        <v>1</v>
      </c>
    </row>
    <row r="371" spans="1:18">
      <c r="A371" s="14">
        <v>84643</v>
      </c>
      <c r="B371" s="14" t="s">
        <v>0</v>
      </c>
      <c r="C371" s="14" t="s">
        <v>203</v>
      </c>
      <c r="D371" s="20" t="s">
        <v>10605</v>
      </c>
      <c r="E371" s="15" t="str">
        <f>HYPERLINK("https://stat100.ameba.jp/tnk47/ratio20/illustrations/card/ill_84643_rikayaojo03.jpg?202010-i_prefecture_active_user", "■")</f>
        <v>■</v>
      </c>
      <c r="F371" s="14" t="s">
        <v>6853</v>
      </c>
      <c r="G371" s="14">
        <v>159674</v>
      </c>
      <c r="H371" s="14">
        <v>115656</v>
      </c>
      <c r="I371" s="14">
        <v>24</v>
      </c>
      <c r="J371" s="14" t="s">
        <v>315</v>
      </c>
      <c r="K371" s="14" t="s">
        <v>6852</v>
      </c>
      <c r="L371" s="14" t="s">
        <v>6851</v>
      </c>
      <c r="M371" s="14" t="s">
        <v>9158</v>
      </c>
      <c r="N371" s="14" t="s">
        <v>9158</v>
      </c>
      <c r="O371" s="19" t="s">
        <v>10082</v>
      </c>
      <c r="P371" s="14" t="s">
        <v>13124</v>
      </c>
      <c r="Q371" s="14">
        <v>1</v>
      </c>
    </row>
    <row r="373" spans="1:18">
      <c r="A373" s="14" t="s">
        <v>14889</v>
      </c>
    </row>
    <row r="374" spans="1:18">
      <c r="A374" s="14" t="s">
        <v>14890</v>
      </c>
    </row>
    <row r="375" spans="1:18">
      <c r="A375" s="14" t="s">
        <v>18551</v>
      </c>
    </row>
    <row r="376" spans="1:18">
      <c r="A376" s="14" t="s">
        <v>14892</v>
      </c>
      <c r="B376" s="14" t="s">
        <v>14891</v>
      </c>
      <c r="C376" s="14" t="s">
        <v>202</v>
      </c>
      <c r="D376" s="14" t="s">
        <v>14899</v>
      </c>
      <c r="E376" s="15" t="str">
        <f>HYPERLINK("https://stat100.ameba.jp/tnk47/ratio20/illustrations/card/ill_92153_0_tenkurohachishunennoshukuten03.jpg?202010-i_prefecture_active_user", "■")</f>
        <v>■</v>
      </c>
      <c r="F376" s="14" t="s">
        <v>14898</v>
      </c>
      <c r="G376" s="14">
        <v>363248</v>
      </c>
      <c r="H376" s="14">
        <v>337732</v>
      </c>
      <c r="I376" s="14">
        <v>30</v>
      </c>
      <c r="J376" s="14" t="s">
        <v>14897</v>
      </c>
      <c r="K376" s="14" t="s">
        <v>14896</v>
      </c>
      <c r="L376" s="14" t="s">
        <v>14895</v>
      </c>
      <c r="M376" s="14" t="s">
        <v>9158</v>
      </c>
      <c r="N376" s="14" t="s">
        <v>9158</v>
      </c>
      <c r="O376" s="14" t="s">
        <v>14894</v>
      </c>
      <c r="P376" s="14" t="s">
        <v>14893</v>
      </c>
      <c r="Q376" s="14">
        <v>0</v>
      </c>
    </row>
    <row r="377" spans="1:18">
      <c r="A377" s="14">
        <v>83793</v>
      </c>
      <c r="B377" s="14" t="s">
        <v>0</v>
      </c>
      <c r="C377" s="14" t="s">
        <v>185</v>
      </c>
      <c r="D377" s="19" t="s">
        <v>10606</v>
      </c>
      <c r="E377" s="15" t="str">
        <f>HYPERLINK("https://stat100.ameba.jp/tnk47/ratio20/illustrations/card/ill_83793_danjirisakurambochan03.jpg?202010-i_prefecture_active_user", "■")</f>
        <v>■</v>
      </c>
      <c r="F377" s="14" t="s">
        <v>6872</v>
      </c>
      <c r="G377" s="14">
        <v>118568</v>
      </c>
      <c r="H377" s="14">
        <v>127507</v>
      </c>
      <c r="I377" s="14">
        <v>27</v>
      </c>
      <c r="J377" s="14" t="s">
        <v>104</v>
      </c>
      <c r="K377" s="14" t="s">
        <v>6870</v>
      </c>
      <c r="L377" s="14" t="s">
        <v>131</v>
      </c>
      <c r="M377" s="14" t="s">
        <v>9158</v>
      </c>
      <c r="N377" s="14" t="s">
        <v>9158</v>
      </c>
      <c r="O377" s="14" t="s">
        <v>9158</v>
      </c>
      <c r="P377" s="14" t="s">
        <v>9158</v>
      </c>
      <c r="Q377" s="14" t="s">
        <v>9158</v>
      </c>
      <c r="R377" s="9"/>
    </row>
    <row r="378" spans="1:18">
      <c r="A378" s="14">
        <v>89313</v>
      </c>
      <c r="B378" s="14" t="s">
        <v>0</v>
      </c>
      <c r="C378" s="14" t="s">
        <v>23</v>
      </c>
      <c r="D378" s="14" t="s">
        <v>12716</v>
      </c>
      <c r="E378" s="15" t="str">
        <f>HYPERLINK("https://stat100.ameba.jp/tnk47/ratio20/illustrations/card/ill_89313_hantahiimisama03.jpg?202010-i_prefecture_active_user", "■")</f>
        <v>■</v>
      </c>
      <c r="F378" s="14" t="s">
        <v>12718</v>
      </c>
      <c r="G378" s="14">
        <v>149240</v>
      </c>
      <c r="H378" s="14">
        <v>160507</v>
      </c>
      <c r="I378" s="14">
        <v>27</v>
      </c>
      <c r="J378" s="14" t="s">
        <v>73</v>
      </c>
      <c r="K378" s="14" t="s">
        <v>12720</v>
      </c>
      <c r="L378" s="14" t="s">
        <v>12721</v>
      </c>
      <c r="M378" s="14" t="s">
        <v>9158</v>
      </c>
      <c r="N378" s="14" t="s">
        <v>9158</v>
      </c>
      <c r="O378" s="14" t="s">
        <v>9158</v>
      </c>
      <c r="P378" s="14" t="s">
        <v>9158</v>
      </c>
      <c r="Q378" s="14" t="s">
        <v>9158</v>
      </c>
      <c r="R378" s="9"/>
    </row>
    <row r="379" spans="1:18">
      <c r="A379" s="9">
        <v>84593</v>
      </c>
      <c r="B379" s="9" t="s">
        <v>0</v>
      </c>
      <c r="C379" s="9" t="s">
        <v>191</v>
      </c>
      <c r="D379" s="19" t="s">
        <v>10727</v>
      </c>
      <c r="E379" s="15" t="str">
        <f>HYPERLINK("https://stat100.ameba.jp/tnk47/ratio20/illustrations/card/ill_84593_sarugundanhashibahideyoshi03.jpg?202010-i_prefecture_active_user", "■")</f>
        <v>■</v>
      </c>
      <c r="F379" s="9" t="s">
        <v>7681</v>
      </c>
      <c r="G379" s="9">
        <v>149240</v>
      </c>
      <c r="H379" s="9">
        <v>160507</v>
      </c>
      <c r="I379" s="14">
        <v>27</v>
      </c>
      <c r="J379" s="9" t="s">
        <v>194</v>
      </c>
      <c r="K379" s="9" t="s">
        <v>7680</v>
      </c>
      <c r="L379" s="9" t="s">
        <v>1148</v>
      </c>
      <c r="M379" s="14" t="s">
        <v>9158</v>
      </c>
      <c r="N379" s="14" t="s">
        <v>9158</v>
      </c>
      <c r="O379" s="14" t="s">
        <v>9158</v>
      </c>
      <c r="P379" s="14" t="s">
        <v>9158</v>
      </c>
      <c r="Q379" s="14" t="s">
        <v>9158</v>
      </c>
      <c r="R379" s="9"/>
    </row>
    <row r="380" spans="1:18">
      <c r="A380" s="14">
        <v>81373</v>
      </c>
      <c r="B380" s="14" t="s">
        <v>0</v>
      </c>
      <c r="C380" s="14" t="s">
        <v>165</v>
      </c>
      <c r="D380" s="19" t="s">
        <v>10710</v>
      </c>
      <c r="E380" s="15" t="str">
        <f>HYPERLINK("https://stat100.ameba.jp/tnk47/ratio20/illustrations/card/ill_81373_hakatadontakuhayamisosei03.jpg?202010-i_prefecture_active_user", "■")</f>
        <v>■</v>
      </c>
      <c r="F380" s="14" t="s">
        <v>4610</v>
      </c>
      <c r="G380" s="14">
        <v>98019</v>
      </c>
      <c r="H380" s="14">
        <v>105465</v>
      </c>
      <c r="I380" s="14">
        <v>27</v>
      </c>
      <c r="J380" s="14" t="s">
        <v>10</v>
      </c>
      <c r="K380" s="14" t="s">
        <v>4611</v>
      </c>
      <c r="L380" s="14" t="s">
        <v>4612</v>
      </c>
      <c r="M380" s="14" t="s">
        <v>9158</v>
      </c>
      <c r="N380" s="14" t="s">
        <v>9158</v>
      </c>
      <c r="O380" s="14" t="s">
        <v>9158</v>
      </c>
      <c r="P380" s="14" t="s">
        <v>9158</v>
      </c>
      <c r="Q380" s="14" t="s">
        <v>9158</v>
      </c>
      <c r="R380" s="9"/>
    </row>
    <row r="381" spans="1:18">
      <c r="A381" s="7">
        <v>75793</v>
      </c>
      <c r="B381" s="14" t="s">
        <v>0</v>
      </c>
      <c r="C381" s="14" t="s">
        <v>1</v>
      </c>
      <c r="D381" s="19" t="s">
        <v>2738</v>
      </c>
      <c r="E381" s="15" t="str">
        <f>HYPERLINK("https://stat100.ameba.jp/tnk47/ratio20/illustrations/card/ill_75793_izumonokuni03.jpg?202010-i_prefecture_active_user", "■")</f>
        <v>■</v>
      </c>
      <c r="F381" s="14" t="s">
        <v>2074</v>
      </c>
      <c r="G381" s="14">
        <v>98019</v>
      </c>
      <c r="H381" s="14">
        <v>105465</v>
      </c>
      <c r="I381" s="14">
        <v>27</v>
      </c>
      <c r="J381" s="14" t="s">
        <v>10</v>
      </c>
      <c r="K381" s="14" t="s">
        <v>11</v>
      </c>
      <c r="L381" s="14" t="s">
        <v>12</v>
      </c>
      <c r="M381" s="14" t="s">
        <v>9158</v>
      </c>
      <c r="N381" s="14" t="s">
        <v>9158</v>
      </c>
      <c r="O381" s="14" t="s">
        <v>9158</v>
      </c>
      <c r="P381" s="14" t="s">
        <v>9158</v>
      </c>
      <c r="Q381" s="14" t="s">
        <v>9158</v>
      </c>
      <c r="R381" s="9"/>
    </row>
    <row r="382" spans="1:18">
      <c r="A382" s="14">
        <v>84033</v>
      </c>
      <c r="B382" s="14" t="s">
        <v>0</v>
      </c>
      <c r="C382" s="14" t="s">
        <v>344</v>
      </c>
      <c r="D382" s="20" t="s">
        <v>10533</v>
      </c>
      <c r="E382" s="15" t="str">
        <f>HYPERLINK("https://stat100.ameba.jp/tnk47/ratio20/illustrations/card/ill_84033_ogiyaka03.jpg?202010-i_prefecture_active_user", "■")</f>
        <v>■</v>
      </c>
      <c r="F382" s="14" t="s">
        <v>6479</v>
      </c>
      <c r="G382" s="14">
        <v>98019</v>
      </c>
      <c r="H382" s="14">
        <v>105465</v>
      </c>
      <c r="I382" s="14">
        <v>27</v>
      </c>
      <c r="J382" s="14" t="s">
        <v>77</v>
      </c>
      <c r="K382" s="14" t="s">
        <v>6477</v>
      </c>
      <c r="L382" s="14" t="s">
        <v>969</v>
      </c>
      <c r="M382" s="14" t="s">
        <v>9158</v>
      </c>
      <c r="N382" s="14" t="s">
        <v>9158</v>
      </c>
      <c r="O382" s="14" t="s">
        <v>9158</v>
      </c>
      <c r="P382" s="14" t="s">
        <v>9158</v>
      </c>
      <c r="Q382" s="14" t="s">
        <v>9158</v>
      </c>
      <c r="R382" s="9"/>
    </row>
    <row r="384" spans="1:18">
      <c r="A384" s="14" t="s">
        <v>14872</v>
      </c>
    </row>
    <row r="385" spans="1:17">
      <c r="A385" s="14" t="s">
        <v>14873</v>
      </c>
    </row>
    <row r="386" spans="1:17">
      <c r="A386" s="14" t="s">
        <v>5778</v>
      </c>
      <c r="B386" s="14" t="s">
        <v>52</v>
      </c>
      <c r="C386" s="14" t="s">
        <v>205</v>
      </c>
      <c r="D386" s="19" t="s">
        <v>272</v>
      </c>
      <c r="E386" s="15" t="str">
        <f>HYPERLINK("https://stat100.ameba.jp/tnk47/ratio20/illustrations/card/ill_68783_0_gantammomotaro03.jpg?202010-i_prefecture_active_user", "■")</f>
        <v>■</v>
      </c>
      <c r="F386" s="14" t="s">
        <v>2273</v>
      </c>
      <c r="G386" s="14">
        <v>136788</v>
      </c>
      <c r="H386" s="14">
        <v>127162</v>
      </c>
      <c r="I386" s="14">
        <v>20</v>
      </c>
      <c r="J386" s="14" t="s">
        <v>155</v>
      </c>
      <c r="K386" s="14" t="s">
        <v>2274</v>
      </c>
      <c r="L386" s="14" t="s">
        <v>13174</v>
      </c>
      <c r="M386" s="14" t="s">
        <v>9158</v>
      </c>
      <c r="N386" s="14" t="s">
        <v>9158</v>
      </c>
      <c r="O386" s="6" t="s">
        <v>9992</v>
      </c>
      <c r="P386" s="14" t="s">
        <v>3451</v>
      </c>
      <c r="Q386" s="14">
        <v>1</v>
      </c>
    </row>
    <row r="387" spans="1:17">
      <c r="A387" s="14">
        <v>92023</v>
      </c>
      <c r="B387" s="14" t="s">
        <v>0</v>
      </c>
      <c r="C387" s="14" t="s">
        <v>14878</v>
      </c>
      <c r="D387" s="14" t="s">
        <v>14874</v>
      </c>
      <c r="E387" s="15" t="str">
        <f>HYPERLINK("https://stat100.ameba.jp/tnk47/ratio20/illustrations/card/ill_92023_operaaida03.jpg?202010-i_prefecture_active_user", "■")</f>
        <v>■</v>
      </c>
      <c r="F387" s="14" t="s">
        <v>14877</v>
      </c>
      <c r="G387" s="14">
        <v>157512</v>
      </c>
      <c r="H387" s="14">
        <v>88642</v>
      </c>
      <c r="I387" s="14">
        <v>28</v>
      </c>
      <c r="J387" s="14" t="s">
        <v>155</v>
      </c>
      <c r="K387" s="14" t="s">
        <v>14876</v>
      </c>
      <c r="L387" s="14" t="s">
        <v>14875</v>
      </c>
      <c r="M387" s="14" t="s">
        <v>9158</v>
      </c>
      <c r="N387" s="14" t="s">
        <v>9158</v>
      </c>
      <c r="O387" s="14" t="s">
        <v>9158</v>
      </c>
      <c r="P387" s="14" t="s">
        <v>9158</v>
      </c>
      <c r="Q387" s="14" t="s">
        <v>9158</v>
      </c>
    </row>
    <row r="388" spans="1:17">
      <c r="A388" s="14">
        <v>92022</v>
      </c>
      <c r="B388" s="14" t="s">
        <v>0</v>
      </c>
      <c r="C388" s="14" t="s">
        <v>14878</v>
      </c>
      <c r="D388" s="14" t="s">
        <v>14874</v>
      </c>
      <c r="E388" s="15" t="str">
        <f>HYPERLINK("https://stat100.ameba.jp/tnk47/ratio20/illustrations/card/ill_92022_operaaida02.jpg?202010-i_prefecture_active_user", "■")</f>
        <v>■</v>
      </c>
      <c r="F388" s="14" t="s">
        <v>14877</v>
      </c>
      <c r="G388" s="14">
        <v>131106</v>
      </c>
      <c r="H388" s="14">
        <v>73756</v>
      </c>
      <c r="I388" s="14">
        <v>28</v>
      </c>
      <c r="J388" s="14" t="s">
        <v>155</v>
      </c>
      <c r="K388" s="14" t="s">
        <v>14876</v>
      </c>
      <c r="L388" s="14" t="s">
        <v>14879</v>
      </c>
      <c r="M388" s="14" t="s">
        <v>9158</v>
      </c>
      <c r="N388" s="14" t="s">
        <v>9158</v>
      </c>
      <c r="O388" s="14" t="s">
        <v>9158</v>
      </c>
      <c r="P388" s="14" t="s">
        <v>9158</v>
      </c>
      <c r="Q388" s="14" t="s">
        <v>9158</v>
      </c>
    </row>
    <row r="389" spans="1:17">
      <c r="A389" s="14">
        <v>92021</v>
      </c>
      <c r="B389" s="14" t="s">
        <v>0</v>
      </c>
      <c r="C389" s="14" t="s">
        <v>14878</v>
      </c>
      <c r="D389" s="14" t="s">
        <v>14874</v>
      </c>
      <c r="E389" s="15" t="str">
        <f>HYPERLINK("https://stat100.ameba.jp/tnk47/ratio20/illustrations/card/ill_92021_operaaida01.jpg?202010-i_prefecture_active_user", "■")</f>
        <v>■</v>
      </c>
      <c r="F389" s="14" t="s">
        <v>14877</v>
      </c>
      <c r="G389" s="14">
        <v>100576</v>
      </c>
      <c r="H389" s="14">
        <v>56588</v>
      </c>
      <c r="I389" s="14">
        <v>28</v>
      </c>
      <c r="J389" s="14" t="s">
        <v>155</v>
      </c>
      <c r="K389" s="14" t="s">
        <v>14876</v>
      </c>
      <c r="L389" s="14" t="s">
        <v>14880</v>
      </c>
      <c r="M389" s="14" t="s">
        <v>9158</v>
      </c>
      <c r="N389" s="14" t="s">
        <v>9158</v>
      </c>
      <c r="O389" s="14" t="s">
        <v>9158</v>
      </c>
      <c r="P389" s="14" t="s">
        <v>9158</v>
      </c>
      <c r="Q389" s="14" t="s">
        <v>9158</v>
      </c>
    </row>
    <row r="390" spans="1:17">
      <c r="A390" s="14">
        <v>92013</v>
      </c>
      <c r="B390" s="14" t="s">
        <v>0</v>
      </c>
      <c r="C390" s="14" t="s">
        <v>14886</v>
      </c>
      <c r="D390" s="14" t="s">
        <v>14885</v>
      </c>
      <c r="E390" s="15" t="str">
        <f>HYPERLINK("https://stat100.ameba.jp/tnk47/ratio20/illustrations/card/ill_92013_hibikiwataruneiroseruma03.jpg?202010-i_prefecture_active_user", "■")</f>
        <v>■</v>
      </c>
      <c r="F390" s="14" t="s">
        <v>14884</v>
      </c>
      <c r="G390" s="14">
        <v>135038</v>
      </c>
      <c r="H390" s="14">
        <v>75984</v>
      </c>
      <c r="I390" s="14">
        <v>28</v>
      </c>
      <c r="J390" s="14" t="s">
        <v>14883</v>
      </c>
      <c r="K390" s="14" t="s">
        <v>14882</v>
      </c>
      <c r="L390" s="14" t="s">
        <v>14881</v>
      </c>
      <c r="M390" s="14" t="s">
        <v>9158</v>
      </c>
      <c r="N390" s="14" t="s">
        <v>9158</v>
      </c>
      <c r="O390" s="14" t="s">
        <v>9158</v>
      </c>
      <c r="P390" s="14" t="s">
        <v>9158</v>
      </c>
      <c r="Q390" s="14" t="s">
        <v>9158</v>
      </c>
    </row>
    <row r="391" spans="1:17">
      <c r="A391" s="14">
        <v>92012</v>
      </c>
      <c r="B391" s="14" t="s">
        <v>0</v>
      </c>
      <c r="C391" s="14" t="s">
        <v>14886</v>
      </c>
      <c r="D391" s="14" t="s">
        <v>14885</v>
      </c>
      <c r="E391" s="15" t="str">
        <f>HYPERLINK("https://stat100.ameba.jp/tnk47/ratio20/illustrations/card/ill_92012_hibikiwataruneiroseruma02.jpg?202010-i_prefecture_active_user", "■")</f>
        <v>■</v>
      </c>
      <c r="F391" s="14" t="s">
        <v>14884</v>
      </c>
      <c r="G391" s="14">
        <v>112392</v>
      </c>
      <c r="H391" s="14">
        <v>63240</v>
      </c>
      <c r="I391" s="14">
        <v>28</v>
      </c>
      <c r="J391" s="14" t="s">
        <v>14883</v>
      </c>
      <c r="K391" s="14" t="s">
        <v>14882</v>
      </c>
      <c r="L391" s="14" t="s">
        <v>14887</v>
      </c>
      <c r="M391" s="14" t="s">
        <v>9158</v>
      </c>
      <c r="N391" s="14" t="s">
        <v>9158</v>
      </c>
      <c r="O391" s="14" t="s">
        <v>9158</v>
      </c>
      <c r="P391" s="14" t="s">
        <v>9158</v>
      </c>
      <c r="Q391" s="14" t="s">
        <v>9158</v>
      </c>
    </row>
    <row r="392" spans="1:17">
      <c r="A392" s="14">
        <v>92011</v>
      </c>
      <c r="B392" s="14" t="s">
        <v>0</v>
      </c>
      <c r="C392" s="14" t="s">
        <v>14886</v>
      </c>
      <c r="D392" s="14" t="s">
        <v>14885</v>
      </c>
      <c r="E392" s="15" t="str">
        <f>HYPERLINK("https://stat100.ameba.jp/tnk47/ratio20/illustrations/card/ill_92011_hibikiwataruneiroseruma01.jpg?202010-i_prefecture_active_user", "■")</f>
        <v>■</v>
      </c>
      <c r="F392" s="14" t="s">
        <v>14884</v>
      </c>
      <c r="G392" s="14">
        <v>86240</v>
      </c>
      <c r="H392" s="14">
        <v>48524</v>
      </c>
      <c r="I392" s="14">
        <v>28</v>
      </c>
      <c r="J392" s="14" t="s">
        <v>14883</v>
      </c>
      <c r="K392" s="14" t="s">
        <v>14882</v>
      </c>
      <c r="L392" s="14" t="s">
        <v>14888</v>
      </c>
      <c r="M392" s="14" t="s">
        <v>9158</v>
      </c>
      <c r="N392" s="14" t="s">
        <v>9158</v>
      </c>
      <c r="O392" s="14" t="s">
        <v>9158</v>
      </c>
      <c r="P392" s="14" t="s">
        <v>9158</v>
      </c>
      <c r="Q392" s="14" t="s">
        <v>9158</v>
      </c>
    </row>
    <row r="394" spans="1:17">
      <c r="A394" s="14" t="s">
        <v>946</v>
      </c>
    </row>
    <row r="395" spans="1:17">
      <c r="A395" s="14" t="s">
        <v>7037</v>
      </c>
    </row>
    <row r="396" spans="1:17">
      <c r="A396" s="9" t="s">
        <v>5650</v>
      </c>
      <c r="B396" s="14" t="s">
        <v>52</v>
      </c>
      <c r="C396" s="14" t="s">
        <v>200</v>
      </c>
      <c r="D396" s="14" t="s">
        <v>136</v>
      </c>
      <c r="E396" s="15" t="str">
        <f>HYPERLINK("https://stat100.ameba.jp/tnk47/ratio20/illustrations/card/ill_68033_0_kurisumasupateikandamyojin03.jpg?202010-i_prefecture_active_user", "■")</f>
        <v>■</v>
      </c>
      <c r="F396" s="14" t="s">
        <v>1871</v>
      </c>
      <c r="G396" s="14">
        <v>127162</v>
      </c>
      <c r="H396" s="14">
        <v>136788</v>
      </c>
      <c r="I396" s="14">
        <v>20</v>
      </c>
      <c r="J396" s="14" t="s">
        <v>44</v>
      </c>
      <c r="K396" s="14" t="s">
        <v>1872</v>
      </c>
      <c r="L396" s="14" t="s">
        <v>1873</v>
      </c>
      <c r="M396" s="14" t="s">
        <v>9158</v>
      </c>
      <c r="N396" s="14" t="s">
        <v>9158</v>
      </c>
      <c r="O396" s="9" t="s">
        <v>3482</v>
      </c>
      <c r="P396" s="14" t="s">
        <v>3483</v>
      </c>
      <c r="Q396" s="14">
        <v>2</v>
      </c>
    </row>
    <row r="397" spans="1:17">
      <c r="A397" s="14">
        <v>92003</v>
      </c>
      <c r="B397" s="14" t="s">
        <v>0</v>
      </c>
      <c r="C397" s="14" t="s">
        <v>14</v>
      </c>
      <c r="D397" s="14" t="s">
        <v>14904</v>
      </c>
      <c r="E397" s="15" t="str">
        <f>HYPERLINK("https://stat100.ameba.jp/tnk47/ratio20/illustrations/card/ill_92003_hibikiwataruneiroseiseshiria03.jpg?202010-i_prefecture_active_user", "■")</f>
        <v>■</v>
      </c>
      <c r="F397" s="14" t="s">
        <v>14903</v>
      </c>
      <c r="G397" s="14">
        <v>79346</v>
      </c>
      <c r="H397" s="14">
        <v>141042</v>
      </c>
      <c r="I397" s="14">
        <v>28</v>
      </c>
      <c r="J397" s="14" t="s">
        <v>10</v>
      </c>
      <c r="K397" s="14" t="s">
        <v>14902</v>
      </c>
      <c r="L397" s="14" t="s">
        <v>14901</v>
      </c>
      <c r="M397" s="14" t="s">
        <v>9158</v>
      </c>
      <c r="N397" s="14" t="s">
        <v>9158</v>
      </c>
      <c r="O397" s="14" t="s">
        <v>9158</v>
      </c>
      <c r="P397" s="14" t="s">
        <v>9158</v>
      </c>
      <c r="Q397" s="14" t="s">
        <v>9158</v>
      </c>
    </row>
    <row r="398" spans="1:17">
      <c r="A398" s="14">
        <v>92002</v>
      </c>
      <c r="B398" s="14" t="s">
        <v>0</v>
      </c>
      <c r="C398" s="14" t="s">
        <v>14</v>
      </c>
      <c r="D398" s="14" t="s">
        <v>14904</v>
      </c>
      <c r="E398" s="15" t="str">
        <f>HYPERLINK("https://stat100.ameba.jp/tnk47/ratio20/illustrations/card/ill_92002_hibikiwataruneiroseiseshiria02.jpg?202010-i_prefecture_active_user", "■")</f>
        <v>■</v>
      </c>
      <c r="F398" s="14" t="s">
        <v>14903</v>
      </c>
      <c r="G398" s="14">
        <v>66052</v>
      </c>
      <c r="H398" s="14">
        <v>117352</v>
      </c>
      <c r="I398" s="14">
        <v>28</v>
      </c>
      <c r="J398" s="14" t="s">
        <v>10</v>
      </c>
      <c r="K398" s="14" t="s">
        <v>14902</v>
      </c>
      <c r="L398" s="14" t="s">
        <v>14905</v>
      </c>
      <c r="M398" s="14" t="s">
        <v>9158</v>
      </c>
      <c r="N398" s="14" t="s">
        <v>9158</v>
      </c>
      <c r="O398" s="14" t="s">
        <v>9158</v>
      </c>
      <c r="P398" s="14" t="s">
        <v>9158</v>
      </c>
      <c r="Q398" s="14" t="s">
        <v>9158</v>
      </c>
    </row>
    <row r="399" spans="1:17">
      <c r="A399" s="14">
        <v>92001</v>
      </c>
      <c r="B399" s="14" t="s">
        <v>0</v>
      </c>
      <c r="C399" s="14" t="s">
        <v>14</v>
      </c>
      <c r="D399" s="14" t="s">
        <v>14904</v>
      </c>
      <c r="E399" s="15" t="str">
        <f>HYPERLINK("https://stat100.ameba.jp/tnk47/ratio20/illustrations/card/ill_92001_hibikiwataruneiroseiseshiria01.jpg?202010-i_prefecture_active_user", "■")</f>
        <v>■</v>
      </c>
      <c r="F399" s="14" t="s">
        <v>14903</v>
      </c>
      <c r="G399" s="14">
        <v>50680</v>
      </c>
      <c r="H399" s="14">
        <v>90048</v>
      </c>
      <c r="I399" s="14">
        <v>28</v>
      </c>
      <c r="J399" s="14" t="s">
        <v>10</v>
      </c>
      <c r="K399" s="14" t="s">
        <v>14902</v>
      </c>
      <c r="L399" s="14" t="s">
        <v>14906</v>
      </c>
      <c r="M399" s="14" t="s">
        <v>9158</v>
      </c>
      <c r="N399" s="14" t="s">
        <v>9158</v>
      </c>
      <c r="O399" s="14" t="s">
        <v>9158</v>
      </c>
      <c r="P399" s="14" t="s">
        <v>9158</v>
      </c>
      <c r="Q399" s="14" t="s">
        <v>9158</v>
      </c>
    </row>
    <row r="400" spans="1:17">
      <c r="A400" s="14">
        <v>92033</v>
      </c>
      <c r="B400" s="14" t="s">
        <v>0</v>
      </c>
      <c r="C400" s="14" t="s">
        <v>307</v>
      </c>
      <c r="D400" s="14" t="s">
        <v>14909</v>
      </c>
      <c r="E400" s="15" t="str">
        <f>HYPERLINK("https://stat100.ameba.jp/tnk47/ratio20/illustrations/card/ill_92033_utatanedorumausu03.jpg?202010-i_prefecture_active_user", "■")</f>
        <v>■</v>
      </c>
      <c r="F400" s="14" t="s">
        <v>14908</v>
      </c>
      <c r="G400" s="14">
        <v>115654</v>
      </c>
      <c r="H400" s="14">
        <v>205568</v>
      </c>
      <c r="I400" s="14">
        <v>28</v>
      </c>
      <c r="J400" s="14" t="s">
        <v>104</v>
      </c>
      <c r="K400" s="14" t="s">
        <v>14907</v>
      </c>
      <c r="L400" s="14" t="s">
        <v>12356</v>
      </c>
      <c r="M400" s="14" t="s">
        <v>9158</v>
      </c>
      <c r="N400" s="14" t="s">
        <v>9158</v>
      </c>
      <c r="O400" s="14" t="s">
        <v>9158</v>
      </c>
      <c r="P400" s="14" t="s">
        <v>9158</v>
      </c>
      <c r="Q400" s="14" t="s">
        <v>9158</v>
      </c>
    </row>
    <row r="401" spans="1:17">
      <c r="A401" s="14">
        <v>92032</v>
      </c>
      <c r="B401" s="14" t="s">
        <v>0</v>
      </c>
      <c r="C401" s="14" t="s">
        <v>307</v>
      </c>
      <c r="D401" s="14" t="s">
        <v>14909</v>
      </c>
      <c r="E401" s="15" t="str">
        <f>HYPERLINK("https://stat100.ameba.jp/tnk47/ratio20/illustrations/card/ill_92032_utatanedorumausu02.jpg?202010-i_prefecture_active_user", "■")</f>
        <v>■</v>
      </c>
      <c r="F401" s="14" t="s">
        <v>14908</v>
      </c>
      <c r="G401" s="14">
        <v>96252</v>
      </c>
      <c r="H401" s="14">
        <v>71040</v>
      </c>
      <c r="I401" s="14">
        <v>28</v>
      </c>
      <c r="J401" s="14" t="s">
        <v>44</v>
      </c>
      <c r="K401" s="14" t="s">
        <v>14907</v>
      </c>
      <c r="L401" s="14" t="s">
        <v>14910</v>
      </c>
      <c r="M401" s="14" t="s">
        <v>9158</v>
      </c>
      <c r="N401" s="14" t="s">
        <v>9158</v>
      </c>
      <c r="O401" s="14" t="s">
        <v>9158</v>
      </c>
      <c r="P401" s="14" t="s">
        <v>9158</v>
      </c>
      <c r="Q401" s="14" t="s">
        <v>9158</v>
      </c>
    </row>
    <row r="402" spans="1:17">
      <c r="A402" s="14">
        <v>92031</v>
      </c>
      <c r="B402" s="14" t="s">
        <v>0</v>
      </c>
      <c r="C402" s="14" t="s">
        <v>307</v>
      </c>
      <c r="D402" s="14" t="s">
        <v>14909</v>
      </c>
      <c r="E402" s="15" t="str">
        <f>HYPERLINK("https://stat100.ameba.jp/tnk47/ratio20/illustrations/card/ill_92031_utatanedorumausu01.jpg?202010-i_prefecture_active_user", "■")</f>
        <v>■</v>
      </c>
      <c r="F402" s="14" t="s">
        <v>14908</v>
      </c>
      <c r="G402" s="14">
        <v>73864</v>
      </c>
      <c r="H402" s="14">
        <v>131264</v>
      </c>
      <c r="I402" s="14">
        <v>28</v>
      </c>
      <c r="J402" s="14" t="s">
        <v>44</v>
      </c>
      <c r="K402" s="14" t="s">
        <v>14907</v>
      </c>
      <c r="L402" s="14" t="s">
        <v>14911</v>
      </c>
      <c r="M402" s="14" t="s">
        <v>9158</v>
      </c>
      <c r="N402" s="14" t="s">
        <v>9158</v>
      </c>
      <c r="O402" s="14" t="s">
        <v>9158</v>
      </c>
      <c r="P402" s="14" t="s">
        <v>9158</v>
      </c>
      <c r="Q402" s="14" t="s">
        <v>9158</v>
      </c>
    </row>
    <row r="404" spans="1:17">
      <c r="A404" s="14" t="s">
        <v>3916</v>
      </c>
    </row>
    <row r="405" spans="1:17">
      <c r="A405" s="14" t="s">
        <v>14900</v>
      </c>
    </row>
    <row r="406" spans="1:17">
      <c r="A406" s="14">
        <v>62203</v>
      </c>
      <c r="B406" s="14" t="s">
        <v>334</v>
      </c>
      <c r="C406" s="14" t="s">
        <v>154</v>
      </c>
      <c r="D406" s="20" t="s">
        <v>14914</v>
      </c>
      <c r="E406" s="15" t="str">
        <f>HYPERLINK("https://stat100.ameba.jp/tnk47/ratio20/illustrations/card/ill_62203_keishoimmasahime03.jpg?202010-i_prefecture_active_user", "■")</f>
        <v>■</v>
      </c>
      <c r="F406" s="14" t="s">
        <v>2261</v>
      </c>
      <c r="G406" s="14">
        <v>108276</v>
      </c>
      <c r="H406" s="14">
        <v>116452</v>
      </c>
      <c r="I406" s="14">
        <v>27</v>
      </c>
      <c r="J406" s="14" t="s">
        <v>77</v>
      </c>
      <c r="K406" s="14" t="s">
        <v>2262</v>
      </c>
      <c r="L406" s="14" t="s">
        <v>2263</v>
      </c>
      <c r="M406" s="14" t="s">
        <v>9158</v>
      </c>
      <c r="N406" s="14" t="s">
        <v>9158</v>
      </c>
      <c r="O406" s="14" t="s">
        <v>9158</v>
      </c>
      <c r="P406" s="14" t="s">
        <v>9158</v>
      </c>
      <c r="Q406" s="14" t="s">
        <v>9158</v>
      </c>
    </row>
    <row r="407" spans="1:17">
      <c r="A407" s="14">
        <v>69723</v>
      </c>
      <c r="B407" s="14" t="s">
        <v>334</v>
      </c>
      <c r="C407" s="14" t="s">
        <v>158</v>
      </c>
      <c r="D407" s="20" t="s">
        <v>3042</v>
      </c>
      <c r="E407" s="15" t="str">
        <f>HYPERLINK("https://stat100.ameba.jp/tnk47/ratio20/illustrations/card/ill_69723_nakaurajurian03.jpg?202010-i_prefecture_active_user", "■")</f>
        <v>■</v>
      </c>
      <c r="F407" s="14" t="s">
        <v>2257</v>
      </c>
      <c r="G407" s="14">
        <v>108276</v>
      </c>
      <c r="H407" s="14">
        <v>116452</v>
      </c>
      <c r="I407" s="14">
        <v>27</v>
      </c>
      <c r="J407" s="14" t="s">
        <v>173</v>
      </c>
      <c r="K407" s="14" t="s">
        <v>2258</v>
      </c>
      <c r="L407" s="14" t="s">
        <v>2259</v>
      </c>
      <c r="M407" s="14" t="s">
        <v>9158</v>
      </c>
      <c r="N407" s="14" t="s">
        <v>9158</v>
      </c>
      <c r="O407" s="14" t="s">
        <v>9158</v>
      </c>
      <c r="P407" s="14" t="s">
        <v>9158</v>
      </c>
      <c r="Q407" s="14" t="s">
        <v>9158</v>
      </c>
    </row>
    <row r="408" spans="1:17">
      <c r="A408" s="14">
        <v>76483</v>
      </c>
      <c r="B408" s="14" t="s">
        <v>334</v>
      </c>
      <c r="C408" s="14" t="s">
        <v>307</v>
      </c>
      <c r="D408" s="20" t="s">
        <v>589</v>
      </c>
      <c r="E408" s="15" t="str">
        <f>HYPERLINK("https://stat100.ameba.jp/tnk47/ratio20/illustrations/card/ill_76483_yukemurimizuhanome03.jpg?202010-i_prefecture_active_user", "■")</f>
        <v>■</v>
      </c>
      <c r="F408" s="14" t="s">
        <v>590</v>
      </c>
      <c r="G408" s="14">
        <v>110129</v>
      </c>
      <c r="H408" s="14">
        <v>102386</v>
      </c>
      <c r="I408" s="14">
        <v>27</v>
      </c>
      <c r="J408" s="14" t="s">
        <v>401</v>
      </c>
      <c r="K408" s="14" t="s">
        <v>591</v>
      </c>
      <c r="L408" s="14" t="s">
        <v>592</v>
      </c>
      <c r="M408" s="14" t="s">
        <v>9158</v>
      </c>
      <c r="N408" s="14" t="s">
        <v>9158</v>
      </c>
      <c r="O408" s="14" t="s">
        <v>9158</v>
      </c>
      <c r="P408" s="14" t="s">
        <v>9158</v>
      </c>
      <c r="Q408" s="14" t="s">
        <v>9158</v>
      </c>
    </row>
    <row r="409" spans="1:17">
      <c r="A409" s="14">
        <v>70023</v>
      </c>
      <c r="B409" s="14" t="s">
        <v>334</v>
      </c>
      <c r="C409" s="14" t="s">
        <v>344</v>
      </c>
      <c r="D409" s="20" t="s">
        <v>10230</v>
      </c>
      <c r="E409" s="15" t="str">
        <f>HYPERLINK("https://stat100.ameba.jp/tnk47/ratio20/illustrations/card/ill_70023_yukinoukokunabeshimanobakeneko03.jpg?202010-i_prefecture_active_user", "■")</f>
        <v>■</v>
      </c>
      <c r="F409" s="14" t="s">
        <v>769</v>
      </c>
      <c r="G409" s="14">
        <v>104619</v>
      </c>
      <c r="H409" s="14">
        <v>112496</v>
      </c>
      <c r="I409" s="14">
        <v>27</v>
      </c>
      <c r="J409" s="14" t="s">
        <v>320</v>
      </c>
      <c r="K409" s="14" t="s">
        <v>770</v>
      </c>
      <c r="L409" s="14" t="s">
        <v>771</v>
      </c>
      <c r="M409" s="14" t="s">
        <v>9158</v>
      </c>
      <c r="N409" s="14" t="s">
        <v>9158</v>
      </c>
      <c r="O409" s="14" t="s">
        <v>9158</v>
      </c>
      <c r="P409" s="14" t="s">
        <v>9158</v>
      </c>
      <c r="Q409" s="14" t="s">
        <v>9158</v>
      </c>
    </row>
    <row r="410" spans="1:17">
      <c r="A410" s="14">
        <v>52733</v>
      </c>
      <c r="B410" s="14" t="s">
        <v>15</v>
      </c>
      <c r="C410" s="14" t="s">
        <v>185</v>
      </c>
      <c r="D410" s="20" t="s">
        <v>10491</v>
      </c>
      <c r="E410" s="15" t="str">
        <f>HYPERLINK("https://stat100.ameba.jp/tnk47/ratio20/illustrations/card/ill_52733_sekkinambutsuruhime03.jpg?202010-i_prefecture_active_user", "■")</f>
        <v>■</v>
      </c>
      <c r="F410" s="14" t="s">
        <v>6246</v>
      </c>
      <c r="G410" s="14">
        <v>59144</v>
      </c>
      <c r="H410" s="14">
        <v>65208</v>
      </c>
      <c r="I410" s="14">
        <v>22</v>
      </c>
      <c r="J410" s="14" t="s">
        <v>77</v>
      </c>
      <c r="K410" s="14" t="s">
        <v>6248</v>
      </c>
      <c r="L410" s="14" t="s">
        <v>6249</v>
      </c>
      <c r="M410" s="14" t="s">
        <v>9158</v>
      </c>
      <c r="N410" s="14" t="s">
        <v>9158</v>
      </c>
      <c r="O410" s="14" t="s">
        <v>9158</v>
      </c>
      <c r="P410" s="14" t="s">
        <v>9158</v>
      </c>
      <c r="Q410" s="14" t="s">
        <v>9158</v>
      </c>
    </row>
    <row r="411" spans="1:17">
      <c r="A411" s="14">
        <v>54003</v>
      </c>
      <c r="B411" s="14" t="s">
        <v>15</v>
      </c>
      <c r="C411" s="14" t="s">
        <v>200</v>
      </c>
      <c r="D411" s="20" t="s">
        <v>10492</v>
      </c>
      <c r="E411" s="15" t="str">
        <f>HYPERLINK("https://stat100.ameba.jp/tnk47/ratio20/illustrations/card/ill_54003_seiryumegurihiguchiichiyo03.jpg?202010-i_prefecture_active_user", "■")</f>
        <v>■</v>
      </c>
      <c r="F411" s="14" t="s">
        <v>6250</v>
      </c>
      <c r="G411" s="14">
        <v>65208</v>
      </c>
      <c r="H411" s="14">
        <v>59144</v>
      </c>
      <c r="I411" s="14">
        <v>22</v>
      </c>
      <c r="J411" s="14" t="s">
        <v>10</v>
      </c>
      <c r="K411" s="14" t="s">
        <v>6252</v>
      </c>
      <c r="L411" s="14" t="s">
        <v>6253</v>
      </c>
      <c r="M411" s="14" t="s">
        <v>9158</v>
      </c>
      <c r="N411" s="14" t="s">
        <v>9158</v>
      </c>
      <c r="O411" s="14" t="s">
        <v>9158</v>
      </c>
      <c r="P411" s="14" t="s">
        <v>9158</v>
      </c>
      <c r="Q411" s="14" t="s">
        <v>9158</v>
      </c>
    </row>
    <row r="412" spans="1:17">
      <c r="A412" s="14">
        <v>51833</v>
      </c>
      <c r="B412" s="14" t="s">
        <v>15</v>
      </c>
      <c r="C412" s="14" t="s">
        <v>205</v>
      </c>
      <c r="D412" s="20" t="s">
        <v>10493</v>
      </c>
      <c r="E412" s="15" t="str">
        <f>HYPERLINK("https://stat100.ameba.jp/tnk47/ratio20/illustrations/card/ill_51833_jukimakitsuhikonomikoto03.jpg?202010-i_prefecture_active_user", "■")</f>
        <v>■</v>
      </c>
      <c r="F412" s="14" t="s">
        <v>6254</v>
      </c>
      <c r="G412" s="14">
        <v>65208</v>
      </c>
      <c r="H412" s="14">
        <v>59144</v>
      </c>
      <c r="I412" s="14">
        <v>22</v>
      </c>
      <c r="J412" s="14" t="s">
        <v>44</v>
      </c>
      <c r="K412" s="14" t="s">
        <v>6257</v>
      </c>
      <c r="L412" s="14" t="s">
        <v>6256</v>
      </c>
      <c r="M412" s="14" t="s">
        <v>9158</v>
      </c>
      <c r="N412" s="14" t="s">
        <v>9158</v>
      </c>
      <c r="O412" s="14" t="s">
        <v>9158</v>
      </c>
      <c r="P412" s="14" t="s">
        <v>9158</v>
      </c>
      <c r="Q412" s="14" t="s">
        <v>9158</v>
      </c>
    </row>
    <row r="413" spans="1:17">
      <c r="A413" s="14">
        <v>53203</v>
      </c>
      <c r="B413" s="14" t="s">
        <v>15</v>
      </c>
      <c r="C413" s="14" t="s">
        <v>165</v>
      </c>
      <c r="D413" s="20" t="s">
        <v>10494</v>
      </c>
      <c r="E413" s="15" t="str">
        <f>HYPERLINK("https://stat100.ameba.jp/tnk47/ratio20/illustrations/card/ill_53203_buruhawaichan03.jpg?202010-i_prefecture_active_user", "■")</f>
        <v>■</v>
      </c>
      <c r="F413" s="14" t="s">
        <v>6258</v>
      </c>
      <c r="G413" s="14">
        <v>59144</v>
      </c>
      <c r="H413" s="14">
        <v>65208</v>
      </c>
      <c r="I413" s="14">
        <v>22</v>
      </c>
      <c r="J413" s="14" t="s">
        <v>104</v>
      </c>
      <c r="K413" s="14" t="s">
        <v>6261</v>
      </c>
      <c r="L413" s="14" t="s">
        <v>6260</v>
      </c>
      <c r="M413" s="14" t="s">
        <v>9158</v>
      </c>
      <c r="N413" s="14" t="s">
        <v>9158</v>
      </c>
      <c r="O413" s="14" t="s">
        <v>9158</v>
      </c>
      <c r="P413" s="14" t="s">
        <v>9158</v>
      </c>
      <c r="Q413" s="14" t="s">
        <v>9158</v>
      </c>
    </row>
    <row r="415" spans="1:17">
      <c r="A415" s="14" t="s">
        <v>14912</v>
      </c>
    </row>
    <row r="416" spans="1:17">
      <c r="A416" s="14" t="s">
        <v>14913</v>
      </c>
    </row>
    <row r="417" spans="1:18">
      <c r="A417" s="14" t="s">
        <v>5601</v>
      </c>
      <c r="B417" s="14" t="s">
        <v>330</v>
      </c>
      <c r="C417" s="14" t="s">
        <v>35</v>
      </c>
      <c r="D417" s="19" t="s">
        <v>10318</v>
      </c>
      <c r="E417" s="15" t="str">
        <f>HYPERLINK("https://stat100.ameba.jp/tnk47/ratio20/illustrations/card/ill_82423_0_bikinigarukishi03.jpg?202010-i_prefecture_active_user", "■")</f>
        <v>■</v>
      </c>
      <c r="F417" s="14" t="s">
        <v>5391</v>
      </c>
      <c r="G417" s="14">
        <v>302708</v>
      </c>
      <c r="H417" s="14">
        <v>273591</v>
      </c>
      <c r="I417" s="14">
        <v>25</v>
      </c>
      <c r="J417" s="14" t="s">
        <v>77</v>
      </c>
      <c r="K417" s="14" t="s">
        <v>5392</v>
      </c>
      <c r="L417" s="14" t="s">
        <v>5393</v>
      </c>
      <c r="M417" s="14" t="s">
        <v>9158</v>
      </c>
      <c r="N417" s="14" t="s">
        <v>9158</v>
      </c>
      <c r="O417" s="19" t="s">
        <v>10069</v>
      </c>
      <c r="P417" s="14" t="s">
        <v>5394</v>
      </c>
      <c r="Q417" s="14">
        <v>1</v>
      </c>
    </row>
    <row r="418" spans="1:18">
      <c r="A418" s="14">
        <v>84633</v>
      </c>
      <c r="B418" s="14" t="s">
        <v>334</v>
      </c>
      <c r="C418" s="14" t="s">
        <v>154</v>
      </c>
      <c r="D418" s="19" t="s">
        <v>10586</v>
      </c>
      <c r="E418" s="15" t="str">
        <f>HYPERLINK("https://stat100.ameba.jp/tnk47/ratio20/illustrations/card/ill_84633_akubishoppu03.jpg?202010-i_prefecture_active_user", "■")</f>
        <v>■</v>
      </c>
      <c r="F418" s="14" t="s">
        <v>6762</v>
      </c>
      <c r="G418" s="14">
        <v>104890</v>
      </c>
      <c r="H418" s="14">
        <v>75984</v>
      </c>
      <c r="I418" s="14">
        <v>24</v>
      </c>
      <c r="J418" s="14" t="s">
        <v>10</v>
      </c>
      <c r="K418" s="14" t="s">
        <v>6764</v>
      </c>
      <c r="L418" s="14" t="s">
        <v>6763</v>
      </c>
      <c r="M418" s="14" t="s">
        <v>9158</v>
      </c>
      <c r="N418" s="14" t="s">
        <v>9158</v>
      </c>
      <c r="O418" s="19" t="s">
        <v>10090</v>
      </c>
      <c r="P418" s="14" t="s">
        <v>3460</v>
      </c>
      <c r="Q418" s="14">
        <v>1</v>
      </c>
    </row>
    <row r="419" spans="1:18">
      <c r="A419" s="14">
        <v>83083</v>
      </c>
      <c r="B419" s="14" t="s">
        <v>0</v>
      </c>
      <c r="C419" s="14" t="s">
        <v>209</v>
      </c>
      <c r="D419" s="19" t="s">
        <v>10469</v>
      </c>
      <c r="E419" s="15" t="str">
        <f>HYPERLINK("https://stat100.ameba.jp/tnk47/ratio20/illustrations/card/ill_83083_burakkukingu03.jpg?202010-i_prefecture_active_user", "■")</f>
        <v>■</v>
      </c>
      <c r="F419" s="14" t="s">
        <v>6093</v>
      </c>
      <c r="G419" s="14">
        <v>115656</v>
      </c>
      <c r="H419" s="14">
        <v>159674</v>
      </c>
      <c r="I419" s="14">
        <v>24</v>
      </c>
      <c r="J419" s="14" t="s">
        <v>194</v>
      </c>
      <c r="K419" s="14" t="s">
        <v>6095</v>
      </c>
      <c r="L419" s="14" t="s">
        <v>1148</v>
      </c>
      <c r="M419" s="14" t="s">
        <v>9158</v>
      </c>
      <c r="N419" s="14" t="s">
        <v>9158</v>
      </c>
      <c r="O419" s="19" t="s">
        <v>10117</v>
      </c>
      <c r="P419" s="14" t="s">
        <v>3625</v>
      </c>
      <c r="Q419" s="14">
        <v>1</v>
      </c>
    </row>
    <row r="420" spans="1:18">
      <c r="A420" s="14">
        <v>62473</v>
      </c>
      <c r="B420" s="14" t="s">
        <v>334</v>
      </c>
      <c r="C420" s="14" t="s">
        <v>203</v>
      </c>
      <c r="D420" s="19" t="s">
        <v>2834</v>
      </c>
      <c r="E420" s="15" t="str">
        <f>HYPERLINK("https://stat100.ameba.jp/tnk47/ratio20/illustrations/card/ill_62473_kokuriko03.jpg?202010-i_prefecture_active_user", "■")</f>
        <v>■</v>
      </c>
      <c r="F420" s="14" t="s">
        <v>2835</v>
      </c>
      <c r="G420" s="14">
        <v>109554</v>
      </c>
      <c r="H420" s="14">
        <v>79348</v>
      </c>
      <c r="I420" s="14">
        <v>24</v>
      </c>
      <c r="J420" s="14" t="s">
        <v>401</v>
      </c>
      <c r="K420" s="14" t="s">
        <v>2836</v>
      </c>
      <c r="L420" s="14" t="s">
        <v>2837</v>
      </c>
      <c r="M420" s="14" t="s">
        <v>9158</v>
      </c>
      <c r="N420" s="14" t="s">
        <v>9158</v>
      </c>
      <c r="O420" s="19" t="s">
        <v>2838</v>
      </c>
      <c r="P420" s="14" t="s">
        <v>2839</v>
      </c>
      <c r="Q420" s="14">
        <v>1</v>
      </c>
    </row>
    <row r="422" spans="1:18">
      <c r="A422" s="14" t="s">
        <v>13327</v>
      </c>
    </row>
    <row r="423" spans="1:18">
      <c r="A423" s="14" t="s">
        <v>14915</v>
      </c>
    </row>
    <row r="424" spans="1:18">
      <c r="A424" s="14">
        <v>88153</v>
      </c>
      <c r="B424" s="14" t="s">
        <v>334</v>
      </c>
      <c r="C424" s="14" t="s">
        <v>14</v>
      </c>
      <c r="D424" s="6" t="s">
        <v>10011</v>
      </c>
      <c r="E424" s="15" t="str">
        <f>HYPERLINK("https://stat100.ameba.jp/tnk47/ratio20/illustrations/card/ill_88153_sunofueari03.jpg?202010-i_prefecture_active_user", "■")</f>
        <v>■</v>
      </c>
      <c r="F424" s="14" t="s">
        <v>9960</v>
      </c>
      <c r="G424" s="14">
        <v>137846</v>
      </c>
      <c r="H424" s="14">
        <v>128160</v>
      </c>
      <c r="I424" s="14">
        <v>28</v>
      </c>
      <c r="J424" s="14" t="s">
        <v>169</v>
      </c>
      <c r="K424" s="14" t="s">
        <v>9961</v>
      </c>
      <c r="L424" s="14" t="s">
        <v>9962</v>
      </c>
      <c r="M424" s="14" t="s">
        <v>13130</v>
      </c>
      <c r="N424" s="14" t="s">
        <v>343</v>
      </c>
      <c r="O424" s="14" t="s">
        <v>9158</v>
      </c>
      <c r="P424" s="14" t="s">
        <v>9158</v>
      </c>
      <c r="Q424" s="14" t="s">
        <v>9158</v>
      </c>
      <c r="R424" s="14" t="s">
        <v>14748</v>
      </c>
    </row>
    <row r="425" spans="1:18">
      <c r="A425" s="14">
        <v>88152</v>
      </c>
      <c r="B425" s="14" t="s">
        <v>334</v>
      </c>
      <c r="C425" s="14" t="s">
        <v>14</v>
      </c>
      <c r="D425" s="6" t="s">
        <v>10011</v>
      </c>
      <c r="E425" s="15" t="str">
        <f>HYPERLINK("https://stat100.ameba.jp/tnk47/ratio20/illustrations/card/ill_88152_sunofueari02.jpg?202010-i_prefecture_active_user", "■")</f>
        <v>■</v>
      </c>
      <c r="F425" s="14" t="s">
        <v>9960</v>
      </c>
      <c r="G425" s="14">
        <v>115230</v>
      </c>
      <c r="H425" s="14">
        <v>106148</v>
      </c>
      <c r="I425" s="14">
        <v>28</v>
      </c>
      <c r="J425" s="14" t="s">
        <v>169</v>
      </c>
      <c r="K425" s="14" t="s">
        <v>9961</v>
      </c>
      <c r="L425" s="14" t="s">
        <v>9962</v>
      </c>
      <c r="M425" s="14" t="s">
        <v>13131</v>
      </c>
      <c r="N425" s="14" t="s">
        <v>251</v>
      </c>
      <c r="O425" s="14" t="s">
        <v>9158</v>
      </c>
      <c r="P425" s="14" t="s">
        <v>9158</v>
      </c>
      <c r="Q425" s="14" t="s">
        <v>9158</v>
      </c>
      <c r="R425" s="14" t="s">
        <v>14748</v>
      </c>
    </row>
    <row r="426" spans="1:18">
      <c r="A426" s="14">
        <v>88151</v>
      </c>
      <c r="B426" s="14" t="s">
        <v>0</v>
      </c>
      <c r="C426" s="14" t="s">
        <v>14</v>
      </c>
      <c r="D426" s="6" t="s">
        <v>10011</v>
      </c>
      <c r="E426" s="15" t="str">
        <f>HYPERLINK("https://stat100.ameba.jp/tnk47/ratio20/illustrations/card/ill_88151_sunofueari01.jpg?202010-i_prefecture_active_user", "■")</f>
        <v>■</v>
      </c>
      <c r="F426" s="14" t="s">
        <v>9960</v>
      </c>
      <c r="G426" s="14">
        <v>87976</v>
      </c>
      <c r="H426" s="14">
        <v>81900</v>
      </c>
      <c r="I426" s="14">
        <v>28</v>
      </c>
      <c r="J426" s="14" t="s">
        <v>169</v>
      </c>
      <c r="K426" s="14" t="s">
        <v>9961</v>
      </c>
      <c r="L426" s="14" t="s">
        <v>9962</v>
      </c>
      <c r="M426" s="14" t="s">
        <v>13131</v>
      </c>
      <c r="N426" s="14" t="s">
        <v>251</v>
      </c>
      <c r="O426" s="14" t="s">
        <v>9158</v>
      </c>
      <c r="P426" s="14" t="s">
        <v>9158</v>
      </c>
      <c r="Q426" s="14" t="s">
        <v>9158</v>
      </c>
      <c r="R426" s="14" t="s">
        <v>14748</v>
      </c>
    </row>
    <row r="427" spans="1:18">
      <c r="A427" s="14">
        <v>88163</v>
      </c>
      <c r="B427" s="14" t="s">
        <v>334</v>
      </c>
      <c r="C427" s="14" t="s">
        <v>23</v>
      </c>
      <c r="D427" s="6" t="s">
        <v>10012</v>
      </c>
      <c r="E427" s="15" t="str">
        <f>HYPERLINK("https://stat100.ameba.jp/tnk47/ratio20/illustrations/card/ill_88163_shitsujitanteimagi03.jpg?202010-i_prefecture_active_user", "■")</f>
        <v>■</v>
      </c>
      <c r="F427" s="14" t="s">
        <v>9963</v>
      </c>
      <c r="G427" s="14">
        <v>137846</v>
      </c>
      <c r="H427" s="14">
        <v>128160</v>
      </c>
      <c r="I427" s="14">
        <v>28</v>
      </c>
      <c r="J427" s="14" t="s">
        <v>159</v>
      </c>
      <c r="K427" s="14" t="s">
        <v>9964</v>
      </c>
      <c r="L427" s="14" t="s">
        <v>9965</v>
      </c>
      <c r="M427" s="14" t="s">
        <v>13130</v>
      </c>
      <c r="N427" s="14" t="s">
        <v>343</v>
      </c>
      <c r="O427" s="14" t="s">
        <v>9158</v>
      </c>
      <c r="P427" s="14" t="s">
        <v>9158</v>
      </c>
      <c r="Q427" s="14" t="s">
        <v>9158</v>
      </c>
      <c r="R427" s="14" t="s">
        <v>14748</v>
      </c>
    </row>
    <row r="428" spans="1:18">
      <c r="A428" s="14">
        <v>88173</v>
      </c>
      <c r="B428" s="14" t="s">
        <v>334</v>
      </c>
      <c r="C428" s="14" t="s">
        <v>101</v>
      </c>
      <c r="D428" s="6" t="s">
        <v>10013</v>
      </c>
      <c r="E428" s="15" t="str">
        <f>HYPERLINK("https://stat100.ameba.jp/tnk47/ratio20/illustrations/card/ill_88173_pichipurinsesu03.jpg?202010-i_prefecture_active_user", "■")</f>
        <v>■</v>
      </c>
      <c r="F428" s="14" t="s">
        <v>9966</v>
      </c>
      <c r="G428" s="14">
        <v>128160</v>
      </c>
      <c r="H428" s="14">
        <v>137846</v>
      </c>
      <c r="I428" s="14">
        <v>28</v>
      </c>
      <c r="J428" s="14" t="s">
        <v>187</v>
      </c>
      <c r="K428" s="14" t="s">
        <v>9967</v>
      </c>
      <c r="L428" s="14" t="s">
        <v>9968</v>
      </c>
      <c r="M428" s="14" t="s">
        <v>13130</v>
      </c>
      <c r="N428" s="14" t="s">
        <v>343</v>
      </c>
      <c r="O428" s="14" t="s">
        <v>9158</v>
      </c>
      <c r="P428" s="14" t="s">
        <v>9158</v>
      </c>
      <c r="Q428" s="14" t="s">
        <v>9158</v>
      </c>
      <c r="R428" s="14" t="s">
        <v>14748</v>
      </c>
    </row>
    <row r="429" spans="1:18">
      <c r="A429" s="14">
        <v>88183</v>
      </c>
      <c r="B429" s="14" t="s">
        <v>0</v>
      </c>
      <c r="C429" s="14" t="s">
        <v>96</v>
      </c>
      <c r="D429" s="6" t="s">
        <v>10014</v>
      </c>
      <c r="E429" s="15" t="str">
        <f>HYPERLINK("https://stat100.ameba.jp/tnk47/ratio20/illustrations/card/ill_88183_saikiringugaru03.jpg?202010-i_prefecture_active_user", "■")</f>
        <v>■</v>
      </c>
      <c r="F429" s="14" t="s">
        <v>9969</v>
      </c>
      <c r="G429" s="14">
        <v>128160</v>
      </c>
      <c r="H429" s="14">
        <v>137846</v>
      </c>
      <c r="I429" s="14">
        <v>28</v>
      </c>
      <c r="J429" s="14" t="s">
        <v>182</v>
      </c>
      <c r="K429" s="14" t="s">
        <v>9970</v>
      </c>
      <c r="L429" s="14" t="s">
        <v>9971</v>
      </c>
      <c r="M429" s="14" t="s">
        <v>13130</v>
      </c>
      <c r="N429" s="14" t="s">
        <v>343</v>
      </c>
      <c r="O429" s="14" t="s">
        <v>9158</v>
      </c>
      <c r="P429" s="14" t="s">
        <v>9158</v>
      </c>
      <c r="Q429" s="14" t="s">
        <v>9158</v>
      </c>
      <c r="R429" s="14" t="s">
        <v>14748</v>
      </c>
    </row>
    <row r="430" spans="1:18">
      <c r="A430" s="14">
        <v>88193</v>
      </c>
      <c r="B430" s="14" t="s">
        <v>334</v>
      </c>
      <c r="C430" s="14" t="s">
        <v>205</v>
      </c>
      <c r="D430" s="6" t="s">
        <v>10015</v>
      </c>
      <c r="E430" s="15" t="str">
        <f>HYPERLINK("https://stat100.ameba.jp/tnk47/ratio20/illustrations/card/ill_88193_sakasunomajo03.jpg?202010-i_prefecture_active_user", "■")</f>
        <v>■</v>
      </c>
      <c r="F430" s="14" t="s">
        <v>9972</v>
      </c>
      <c r="G430" s="14">
        <v>128160</v>
      </c>
      <c r="H430" s="14">
        <v>137846</v>
      </c>
      <c r="I430" s="14">
        <v>28</v>
      </c>
      <c r="J430" s="14" t="s">
        <v>155</v>
      </c>
      <c r="K430" s="14" t="s">
        <v>9977</v>
      </c>
      <c r="L430" s="14" t="s">
        <v>9973</v>
      </c>
      <c r="M430" s="14" t="s">
        <v>13130</v>
      </c>
      <c r="N430" s="14" t="s">
        <v>343</v>
      </c>
      <c r="O430" s="14" t="s">
        <v>9158</v>
      </c>
      <c r="P430" s="14" t="s">
        <v>9158</v>
      </c>
      <c r="Q430" s="14" t="s">
        <v>9158</v>
      </c>
      <c r="R430" s="14" t="s">
        <v>14748</v>
      </c>
    </row>
    <row r="431" spans="1:18">
      <c r="A431" s="14">
        <v>88203</v>
      </c>
      <c r="B431" s="14" t="s">
        <v>334</v>
      </c>
      <c r="C431" s="14" t="s">
        <v>107</v>
      </c>
      <c r="D431" s="6" t="s">
        <v>10016</v>
      </c>
      <c r="E431" s="15" t="str">
        <f>HYPERLINK("https://stat100.ameba.jp/tnk47/ratio20/illustrations/card/ill_88203_soingumasuta03.jpg?202010-i_prefecture_active_user", "■")</f>
        <v>■</v>
      </c>
      <c r="F431" s="14" t="s">
        <v>9976</v>
      </c>
      <c r="G431" s="14">
        <v>137846</v>
      </c>
      <c r="H431" s="14">
        <v>128160</v>
      </c>
      <c r="I431" s="14">
        <v>28</v>
      </c>
      <c r="J431" s="14" t="s">
        <v>173</v>
      </c>
      <c r="K431" s="14" t="s">
        <v>9974</v>
      </c>
      <c r="L431" s="14" t="s">
        <v>9975</v>
      </c>
      <c r="M431" s="14" t="s">
        <v>13130</v>
      </c>
      <c r="N431" s="14" t="s">
        <v>343</v>
      </c>
      <c r="O431" s="14" t="s">
        <v>9158</v>
      </c>
      <c r="P431" s="14" t="s">
        <v>9158</v>
      </c>
      <c r="Q431" s="14" t="s">
        <v>9158</v>
      </c>
      <c r="R431" s="14" t="s">
        <v>14748</v>
      </c>
    </row>
    <row r="433" spans="1:17">
      <c r="A433" s="14" t="s">
        <v>14916</v>
      </c>
    </row>
    <row r="434" spans="1:17">
      <c r="A434" s="14" t="s">
        <v>14917</v>
      </c>
    </row>
    <row r="435" spans="1:17">
      <c r="A435" s="14" t="s">
        <v>5899</v>
      </c>
      <c r="B435" s="14" t="s">
        <v>330</v>
      </c>
      <c r="C435" s="14" t="s">
        <v>205</v>
      </c>
      <c r="D435" s="20" t="s">
        <v>1559</v>
      </c>
      <c r="E435" s="15" t="str">
        <f>HYPERLINK("https://stat100.ameba.jp/tnk47/ratio20/illustrations/card/ill_73773_0_umibirakiinugamigyobu03.jpg?202010-i_prefecture_active_user", "■")</f>
        <v>■</v>
      </c>
      <c r="F435" s="14" t="s">
        <v>935</v>
      </c>
      <c r="G435" s="14">
        <v>208256</v>
      </c>
      <c r="H435" s="14">
        <v>224000</v>
      </c>
      <c r="I435" s="14">
        <v>24</v>
      </c>
      <c r="J435" s="14" t="s">
        <v>182</v>
      </c>
      <c r="K435" s="14" t="s">
        <v>936</v>
      </c>
      <c r="L435" s="14" t="s">
        <v>13147</v>
      </c>
      <c r="M435" s="14" t="s">
        <v>9158</v>
      </c>
      <c r="N435" s="14" t="s">
        <v>9158</v>
      </c>
      <c r="O435" s="19" t="s">
        <v>2978</v>
      </c>
      <c r="P435" s="14" t="s">
        <v>2979</v>
      </c>
      <c r="Q435" s="14">
        <v>2</v>
      </c>
    </row>
    <row r="436" spans="1:17">
      <c r="A436" s="14" t="s">
        <v>5615</v>
      </c>
      <c r="B436" s="14" t="s">
        <v>330</v>
      </c>
      <c r="C436" s="14" t="s">
        <v>206</v>
      </c>
      <c r="D436" s="19" t="s">
        <v>2814</v>
      </c>
      <c r="E436" s="15" t="str">
        <f>HYPERLINK("https://stat100.ameba.jp/tnk47/ratio20/illustrations/card/ill_57733_0_shogatsunisenjunanaamakusashiro03.jpg?202010-i_prefecture_active_user", "■")</f>
        <v>■</v>
      </c>
      <c r="F436" s="14" t="s">
        <v>2815</v>
      </c>
      <c r="G436" s="14">
        <v>133938</v>
      </c>
      <c r="H436" s="14">
        <v>150776</v>
      </c>
      <c r="I436" s="14">
        <v>24</v>
      </c>
      <c r="J436" s="14" t="s">
        <v>351</v>
      </c>
      <c r="K436" s="14" t="s">
        <v>2816</v>
      </c>
      <c r="L436" s="14" t="s">
        <v>2817</v>
      </c>
      <c r="M436" s="14" t="s">
        <v>9158</v>
      </c>
      <c r="N436" s="14" t="s">
        <v>9158</v>
      </c>
      <c r="O436" s="19" t="s">
        <v>10077</v>
      </c>
      <c r="P436" s="14" t="s">
        <v>3062</v>
      </c>
      <c r="Q436" s="14">
        <v>1</v>
      </c>
    </row>
    <row r="437" spans="1:17">
      <c r="A437" s="14" t="s">
        <v>5625</v>
      </c>
      <c r="B437" s="14" t="s">
        <v>330</v>
      </c>
      <c r="C437" s="14" t="s">
        <v>200</v>
      </c>
      <c r="D437" s="20" t="s">
        <v>630</v>
      </c>
      <c r="E437" s="15" t="str">
        <f>HYPERLINK("https://stat100.ameba.jp/tnk47/ratio20/illustrations/card/ill_48283_0_kyuubitamamonomae03.jpg?202010-i_prefecture_active_user", "■")</f>
        <v>■</v>
      </c>
      <c r="F437" s="14" t="s">
        <v>631</v>
      </c>
      <c r="G437" s="14">
        <v>150776</v>
      </c>
      <c r="H437" s="14">
        <v>133938</v>
      </c>
      <c r="I437" s="14">
        <v>24</v>
      </c>
      <c r="J437" s="14" t="s">
        <v>320</v>
      </c>
      <c r="K437" s="14" t="s">
        <v>632</v>
      </c>
      <c r="L437" s="14" t="s">
        <v>633</v>
      </c>
      <c r="M437" s="14" t="s">
        <v>9158</v>
      </c>
      <c r="N437" s="14" t="s">
        <v>9158</v>
      </c>
      <c r="O437" s="14" t="s">
        <v>9158</v>
      </c>
      <c r="P437" s="14" t="s">
        <v>9158</v>
      </c>
      <c r="Q437" s="14" t="s">
        <v>9158</v>
      </c>
    </row>
    <row r="438" spans="1:17">
      <c r="A438" s="14">
        <v>56613</v>
      </c>
      <c r="B438" s="14" t="s">
        <v>0</v>
      </c>
      <c r="C438" s="14" t="s">
        <v>150</v>
      </c>
      <c r="D438" s="14" t="s">
        <v>146</v>
      </c>
      <c r="E438" s="15" t="str">
        <f>HYPERLINK("https://stat100.ameba.jp/tnk47/ratio20/illustrations/card/ill_56613_genjushimasakon03.jpg?202010-i_prefecture_active_user", "■")</f>
        <v>■</v>
      </c>
      <c r="F438" s="14" t="s">
        <v>147</v>
      </c>
      <c r="G438" s="14">
        <v>154128</v>
      </c>
      <c r="H438" s="14">
        <v>93172</v>
      </c>
      <c r="I438" s="9">
        <v>26</v>
      </c>
      <c r="J438" s="14" t="s">
        <v>143</v>
      </c>
      <c r="K438" s="14" t="s">
        <v>148</v>
      </c>
      <c r="L438" s="14" t="s">
        <v>149</v>
      </c>
      <c r="M438" s="14" t="s">
        <v>9158</v>
      </c>
      <c r="N438" s="14" t="s">
        <v>9158</v>
      </c>
      <c r="O438" s="17" t="s">
        <v>10056</v>
      </c>
      <c r="P438" s="14" t="s">
        <v>3853</v>
      </c>
      <c r="Q438" s="14">
        <v>1</v>
      </c>
    </row>
    <row r="439" spans="1:17">
      <c r="A439" s="9">
        <v>87853</v>
      </c>
      <c r="B439" s="9" t="s">
        <v>15</v>
      </c>
      <c r="C439" s="9" t="s">
        <v>185</v>
      </c>
      <c r="D439" s="9" t="s">
        <v>11530</v>
      </c>
      <c r="E439" s="15" t="str">
        <f>HYPERLINK("https://stat100.ameba.jp/tnk47/ratio20/illustrations/card/ill_87853_ginyushijinumizato03.jpg?202010-i_prefecture_active_user", "■")</f>
        <v>■</v>
      </c>
      <c r="F439" s="9" t="s">
        <v>11531</v>
      </c>
      <c r="G439" s="9">
        <v>69898</v>
      </c>
      <c r="H439" s="9">
        <v>77064</v>
      </c>
      <c r="I439" s="9">
        <v>26</v>
      </c>
      <c r="J439" s="9" t="s">
        <v>182</v>
      </c>
      <c r="K439" s="9" t="s">
        <v>11532</v>
      </c>
      <c r="L439" s="9" t="s">
        <v>13221</v>
      </c>
      <c r="M439" s="14" t="s">
        <v>9158</v>
      </c>
      <c r="N439" s="14" t="s">
        <v>9158</v>
      </c>
      <c r="O439" s="14" t="s">
        <v>9158</v>
      </c>
      <c r="P439" s="14" t="s">
        <v>9158</v>
      </c>
      <c r="Q439" s="14" t="s">
        <v>9158</v>
      </c>
    </row>
    <row r="440" spans="1:17">
      <c r="A440" s="14">
        <v>36313</v>
      </c>
      <c r="B440" s="14" t="s">
        <v>14920</v>
      </c>
      <c r="C440" s="14" t="s">
        <v>96</v>
      </c>
      <c r="D440" s="14" t="s">
        <v>14918</v>
      </c>
      <c r="E440" s="15" t="str">
        <f>HYPERLINK("https://stat100.ameba.jp/tnk47/ratio20/illustrations/card/ill_36313_oryuyanagi03.jpg?202010-i_prefecture_active_user", "■")</f>
        <v>■</v>
      </c>
      <c r="F440" s="14" t="s">
        <v>14924</v>
      </c>
      <c r="G440" s="14">
        <v>37440</v>
      </c>
      <c r="H440" s="14">
        <v>44980</v>
      </c>
      <c r="I440" s="9">
        <v>26</v>
      </c>
      <c r="J440" s="14" t="s">
        <v>14923</v>
      </c>
      <c r="K440" s="14" t="s">
        <v>14922</v>
      </c>
      <c r="L440" s="14" t="s">
        <v>14921</v>
      </c>
      <c r="M440" s="14" t="s">
        <v>9158</v>
      </c>
      <c r="N440" s="14" t="s">
        <v>9158</v>
      </c>
      <c r="O440" s="14" t="s">
        <v>9158</v>
      </c>
      <c r="P440" s="14" t="s">
        <v>9158</v>
      </c>
      <c r="Q440" s="14" t="s">
        <v>9158</v>
      </c>
    </row>
    <row r="441" spans="1:17">
      <c r="A441" s="14">
        <v>47093</v>
      </c>
      <c r="B441" s="14" t="s">
        <v>14920</v>
      </c>
      <c r="C441" s="14" t="s">
        <v>101</v>
      </c>
      <c r="D441" s="14" t="s">
        <v>14919</v>
      </c>
      <c r="E441" s="15" t="str">
        <f>HYPERLINK("https://stat100.ameba.jp/tnk47/ratio20/illustrations/card/ill_47093_engekimaejimahisoka03.jpg?202010-i_prefecture_active_user", "■")</f>
        <v>■</v>
      </c>
      <c r="F441" s="14" t="s">
        <v>14928</v>
      </c>
      <c r="G441" s="14">
        <v>44980</v>
      </c>
      <c r="H441" s="14">
        <v>37440</v>
      </c>
      <c r="I441" s="9">
        <v>26</v>
      </c>
      <c r="J441" s="14" t="s">
        <v>14927</v>
      </c>
      <c r="K441" s="14" t="s">
        <v>14926</v>
      </c>
      <c r="L441" s="14" t="s">
        <v>14925</v>
      </c>
      <c r="M441" s="14" t="s">
        <v>9158</v>
      </c>
      <c r="N441" s="14" t="s">
        <v>9158</v>
      </c>
      <c r="O441" s="14" t="s">
        <v>9158</v>
      </c>
      <c r="P441" s="14" t="s">
        <v>9158</v>
      </c>
      <c r="Q441" s="14" t="s">
        <v>9158</v>
      </c>
    </row>
    <row r="443" spans="1:17">
      <c r="A443" s="14" t="s">
        <v>14929</v>
      </c>
    </row>
    <row r="444" spans="1:17">
      <c r="A444" s="14" t="s">
        <v>14931</v>
      </c>
    </row>
    <row r="445" spans="1:17">
      <c r="A445" s="14" t="s">
        <v>14930</v>
      </c>
    </row>
    <row r="446" spans="1:17">
      <c r="A446" s="14" t="s">
        <v>14533</v>
      </c>
      <c r="B446" s="7" t="s">
        <v>52</v>
      </c>
      <c r="C446" s="14" t="s">
        <v>202</v>
      </c>
      <c r="D446" s="18" t="s">
        <v>14532</v>
      </c>
      <c r="E446" s="15" t="str">
        <f>HYPERLINK("https://stat100.ameba.jp/tnk47/ratio20/illustrations/card/ill_91703_0_ninjashugyohanakosan03.jpg?202010-i_prefecture_active_user", "■")</f>
        <v>■</v>
      </c>
      <c r="F446" s="14" t="s">
        <v>14534</v>
      </c>
      <c r="G446" s="14">
        <v>292832</v>
      </c>
      <c r="H446" s="14">
        <v>324004</v>
      </c>
      <c r="I446" s="7">
        <v>28</v>
      </c>
      <c r="J446" s="14" t="s">
        <v>77</v>
      </c>
      <c r="K446" s="14" t="s">
        <v>14536</v>
      </c>
      <c r="L446" s="14" t="s">
        <v>14535</v>
      </c>
      <c r="M446" s="14" t="s">
        <v>9158</v>
      </c>
      <c r="N446" s="14" t="s">
        <v>9158</v>
      </c>
      <c r="O446" s="6" t="s">
        <v>14539</v>
      </c>
      <c r="P446" s="7" t="s">
        <v>14538</v>
      </c>
      <c r="Q446" s="7">
        <v>1</v>
      </c>
    </row>
    <row r="447" spans="1:17">
      <c r="A447" s="14">
        <v>92103</v>
      </c>
      <c r="B447" s="14" t="s">
        <v>0</v>
      </c>
      <c r="C447" s="14" t="s">
        <v>14937</v>
      </c>
      <c r="D447" s="14" t="s">
        <v>14936</v>
      </c>
      <c r="E447" s="15" t="str">
        <f>HYPERLINK("https://stat100.ameba.jp/tnk47/ratio20/illustrations/card/ill_92103_kyampujoshimomotofumiagari03.jpg?202010-i_prefecture_active_user", "■")</f>
        <v>■</v>
      </c>
      <c r="F447" s="14" t="s">
        <v>14935</v>
      </c>
      <c r="G447" s="14">
        <v>101650</v>
      </c>
      <c r="H447" s="14">
        <v>109370</v>
      </c>
      <c r="I447" s="7">
        <v>28</v>
      </c>
      <c r="J447" s="14" t="s">
        <v>14934</v>
      </c>
      <c r="K447" s="14" t="s">
        <v>14933</v>
      </c>
      <c r="L447" s="14" t="s">
        <v>14932</v>
      </c>
      <c r="M447" s="14" t="s">
        <v>9158</v>
      </c>
      <c r="N447" s="14" t="s">
        <v>9158</v>
      </c>
      <c r="O447" s="14" t="s">
        <v>9158</v>
      </c>
      <c r="P447" s="14" t="s">
        <v>9158</v>
      </c>
      <c r="Q447" s="14" t="s">
        <v>9158</v>
      </c>
    </row>
    <row r="448" spans="1:17">
      <c r="A448" s="14">
        <v>92113</v>
      </c>
      <c r="B448" s="14" t="s">
        <v>0</v>
      </c>
      <c r="C448" s="14" t="s">
        <v>14943</v>
      </c>
      <c r="D448" s="14" t="s">
        <v>14942</v>
      </c>
      <c r="E448" s="15" t="str">
        <f>HYPERLINK("https://stat100.ameba.jp/tnk47/ratio20/illustrations/card/ill_92113_tankentaihoshigamisama03.jpg?202010-i_prefecture_active_user", "■")</f>
        <v>■</v>
      </c>
      <c r="F448" s="14" t="s">
        <v>14941</v>
      </c>
      <c r="G448" s="14">
        <v>106178</v>
      </c>
      <c r="H448" s="14">
        <v>114208</v>
      </c>
      <c r="I448" s="7">
        <v>28</v>
      </c>
      <c r="J448" s="14" t="s">
        <v>14940</v>
      </c>
      <c r="K448" s="14" t="s">
        <v>14939</v>
      </c>
      <c r="L448" s="14" t="s">
        <v>14938</v>
      </c>
      <c r="M448" s="14" t="s">
        <v>9158</v>
      </c>
      <c r="N448" s="14" t="s">
        <v>9158</v>
      </c>
      <c r="O448" s="14" t="s">
        <v>9158</v>
      </c>
      <c r="P448" s="14" t="s">
        <v>9158</v>
      </c>
      <c r="Q448" s="14" t="s">
        <v>9158</v>
      </c>
    </row>
    <row r="449" spans="1:17">
      <c r="A449" s="14">
        <v>92123</v>
      </c>
      <c r="B449" s="14" t="s">
        <v>15</v>
      </c>
      <c r="C449" s="14" t="s">
        <v>14949</v>
      </c>
      <c r="D449" s="14" t="s">
        <v>14948</v>
      </c>
      <c r="E449" s="15" t="str">
        <f>HYPERLINK("https://stat100.ameba.jp/tnk47/ratio20/illustrations/card/ill_92123_torejakijinjinja03.jpg?202010-i_prefecture_active_user", "■")</f>
        <v>■</v>
      </c>
      <c r="F449" s="14" t="s">
        <v>14947</v>
      </c>
      <c r="G449" s="14">
        <v>82992</v>
      </c>
      <c r="H449" s="14">
        <v>75274</v>
      </c>
      <c r="I449" s="7">
        <v>28</v>
      </c>
      <c r="J449" s="14" t="s">
        <v>14946</v>
      </c>
      <c r="K449" s="14" t="s">
        <v>14945</v>
      </c>
      <c r="L449" s="14" t="s">
        <v>14944</v>
      </c>
      <c r="M449" s="14" t="s">
        <v>9158</v>
      </c>
      <c r="N449" s="14" t="s">
        <v>9158</v>
      </c>
      <c r="O449" s="14" t="s">
        <v>9158</v>
      </c>
      <c r="P449" s="14" t="s">
        <v>9158</v>
      </c>
      <c r="Q449" s="14" t="s">
        <v>9158</v>
      </c>
    </row>
    <row r="450" spans="1:17">
      <c r="A450" s="14">
        <v>92133</v>
      </c>
      <c r="B450" s="14" t="s">
        <v>22</v>
      </c>
      <c r="C450" s="14" t="s">
        <v>96</v>
      </c>
      <c r="D450" s="14" t="s">
        <v>14953</v>
      </c>
      <c r="E450" s="15" t="str">
        <f>HYPERLINK("https://stat100.ameba.jp/tnk47/ratio20/illustrations/card/ill_92133_yamagarufukushoin03.jpg?202010-i_prefecture_active_user", "■")</f>
        <v>■</v>
      </c>
      <c r="F450" s="14" t="s">
        <v>14952</v>
      </c>
      <c r="G450" s="14">
        <v>48406</v>
      </c>
      <c r="H450" s="14">
        <v>58216</v>
      </c>
      <c r="I450" s="7">
        <v>28</v>
      </c>
      <c r="J450" s="14" t="s">
        <v>14934</v>
      </c>
      <c r="K450" s="14" t="s">
        <v>14951</v>
      </c>
      <c r="L450" s="14" t="s">
        <v>14950</v>
      </c>
      <c r="M450" s="14" t="s">
        <v>9158</v>
      </c>
      <c r="N450" s="14" t="s">
        <v>9158</v>
      </c>
      <c r="O450" s="14" t="s">
        <v>9158</v>
      </c>
      <c r="P450" s="14" t="s">
        <v>9158</v>
      </c>
      <c r="Q450" s="14" t="s">
        <v>9158</v>
      </c>
    </row>
    <row r="451" spans="1:17">
      <c r="A451" s="14">
        <v>92143</v>
      </c>
      <c r="B451" s="14" t="s">
        <v>22</v>
      </c>
      <c r="C451" s="14" t="s">
        <v>14959</v>
      </c>
      <c r="D451" s="14" t="s">
        <v>14958</v>
      </c>
      <c r="E451" s="15" t="str">
        <f>HYPERLINK("https://stat100.ameba.jp/tnk47/ratio20/illustrations/card/ill_92143_tankentaiezojikachan03.jpg?202010-i_prefecture_active_user", "■")</f>
        <v>■</v>
      </c>
      <c r="F451" s="14" t="s">
        <v>14957</v>
      </c>
      <c r="G451" s="14">
        <v>58216</v>
      </c>
      <c r="H451" s="14">
        <v>48406</v>
      </c>
      <c r="I451" s="7">
        <v>28</v>
      </c>
      <c r="J451" s="14" t="s">
        <v>14956</v>
      </c>
      <c r="K451" s="14" t="s">
        <v>14955</v>
      </c>
      <c r="L451" s="14" t="s">
        <v>14954</v>
      </c>
      <c r="M451" s="14" t="s">
        <v>9158</v>
      </c>
      <c r="N451" s="14" t="s">
        <v>9158</v>
      </c>
      <c r="O451" s="14" t="s">
        <v>9158</v>
      </c>
      <c r="P451" s="14" t="s">
        <v>9158</v>
      </c>
      <c r="Q451" s="14" t="s">
        <v>9158</v>
      </c>
    </row>
    <row r="453" spans="1:17">
      <c r="A453" s="14" t="s">
        <v>14960</v>
      </c>
    </row>
    <row r="454" spans="1:17">
      <c r="A454" s="14" t="s">
        <v>14961</v>
      </c>
    </row>
    <row r="455" spans="1:17">
      <c r="A455" s="14" t="s">
        <v>5787</v>
      </c>
      <c r="B455" s="14" t="s">
        <v>330</v>
      </c>
      <c r="C455" s="14" t="s">
        <v>270</v>
      </c>
      <c r="D455" s="19" t="s">
        <v>331</v>
      </c>
      <c r="E455" s="15" t="str">
        <f>HYPERLINK("https://stat100.ameba.jp/tnk47/ratio20/illustrations/card/ill_76303_0_haroinkaguya03.jpg?202010-i_prefecture_active_user", "■")</f>
        <v>■</v>
      </c>
      <c r="F455" s="14" t="s">
        <v>332</v>
      </c>
      <c r="G455" s="14">
        <v>261812</v>
      </c>
      <c r="H455" s="14">
        <v>243398</v>
      </c>
      <c r="I455" s="14">
        <v>22</v>
      </c>
      <c r="J455" s="14" t="s">
        <v>274</v>
      </c>
      <c r="K455" s="14" t="s">
        <v>333</v>
      </c>
      <c r="L455" s="14" t="s">
        <v>276</v>
      </c>
      <c r="M455" s="14" t="s">
        <v>9158</v>
      </c>
      <c r="N455" s="14" t="s">
        <v>9158</v>
      </c>
      <c r="O455" s="7" t="s">
        <v>2723</v>
      </c>
      <c r="P455" s="14" t="s">
        <v>2724</v>
      </c>
      <c r="Q455" s="14">
        <v>1</v>
      </c>
    </row>
    <row r="456" spans="1:17">
      <c r="A456" s="14" t="s">
        <v>5822</v>
      </c>
      <c r="B456" s="14" t="s">
        <v>330</v>
      </c>
      <c r="C456" s="14" t="s">
        <v>307</v>
      </c>
      <c r="D456" s="19" t="s">
        <v>306</v>
      </c>
      <c r="E456" s="15" t="str">
        <f>HYPERLINK("https://stat100.ameba.jp/tnk47/ratio20/illustrations/card/ill_71403_0_ohanamisanadayukimura03.jpg?202010-i_prefecture_active_user", "■")</f>
        <v>■</v>
      </c>
      <c r="F456" s="14" t="s">
        <v>309</v>
      </c>
      <c r="G456" s="14">
        <v>205358</v>
      </c>
      <c r="H456" s="14">
        <v>190952</v>
      </c>
      <c r="I456" s="14">
        <v>22</v>
      </c>
      <c r="J456" s="14" t="s">
        <v>310</v>
      </c>
      <c r="K456" s="14" t="s">
        <v>311</v>
      </c>
      <c r="L456" s="14" t="s">
        <v>312</v>
      </c>
      <c r="M456" s="14" t="s">
        <v>9158</v>
      </c>
      <c r="N456" s="14" t="s">
        <v>9158</v>
      </c>
      <c r="O456" s="6" t="s">
        <v>10060</v>
      </c>
      <c r="P456" s="14" t="s">
        <v>3418</v>
      </c>
      <c r="Q456" s="14">
        <v>2</v>
      </c>
    </row>
    <row r="457" spans="1:17">
      <c r="A457" s="14" t="s">
        <v>5604</v>
      </c>
      <c r="B457" s="14" t="s">
        <v>330</v>
      </c>
      <c r="C457" s="14" t="s">
        <v>206</v>
      </c>
      <c r="D457" s="19" t="s">
        <v>614</v>
      </c>
      <c r="E457" s="15" t="str">
        <f>HYPERLINK("https://stat100.ameba.jp/tnk47/ratio20/illustrations/card/ill_47263_0_oukyuuatsuhime03.jpg?202010-i_prefecture_active_user", "■")</f>
        <v>■</v>
      </c>
      <c r="F457" s="14" t="s">
        <v>615</v>
      </c>
      <c r="G457" s="14">
        <v>138212</v>
      </c>
      <c r="H457" s="14">
        <v>122776</v>
      </c>
      <c r="I457" s="14">
        <v>22</v>
      </c>
      <c r="J457" s="14" t="s">
        <v>315</v>
      </c>
      <c r="K457" s="14" t="s">
        <v>616</v>
      </c>
      <c r="L457" s="14" t="s">
        <v>617</v>
      </c>
      <c r="M457" s="14" t="s">
        <v>9158</v>
      </c>
      <c r="N457" s="14" t="s">
        <v>9158</v>
      </c>
      <c r="O457" s="14" t="s">
        <v>9158</v>
      </c>
      <c r="P457" s="14" t="s">
        <v>9158</v>
      </c>
      <c r="Q457" s="14" t="s">
        <v>9158</v>
      </c>
    </row>
    <row r="458" spans="1:17">
      <c r="A458" s="14">
        <v>65233</v>
      </c>
      <c r="B458" s="14" t="s">
        <v>334</v>
      </c>
      <c r="C458" s="14" t="s">
        <v>191</v>
      </c>
      <c r="D458" s="19" t="s">
        <v>10451</v>
      </c>
      <c r="E458" s="15" t="str">
        <f>HYPERLINK("https://stat100.ameba.jp/tnk47/ratio20/illustrations/card/ill_65233_togakushisoba03.jpg?202010-i_prefecture_active_user", "■")</f>
        <v>■</v>
      </c>
      <c r="F458" s="14" t="s">
        <v>2558</v>
      </c>
      <c r="G458" s="14">
        <v>157484</v>
      </c>
      <c r="H458" s="14">
        <v>88593</v>
      </c>
      <c r="I458" s="14">
        <v>27</v>
      </c>
      <c r="J458" s="14" t="s">
        <v>104</v>
      </c>
      <c r="K458" s="14" t="s">
        <v>2560</v>
      </c>
      <c r="L458" s="14" t="s">
        <v>2409</v>
      </c>
      <c r="M458" s="14" t="s">
        <v>9158</v>
      </c>
      <c r="N458" s="14" t="s">
        <v>9158</v>
      </c>
      <c r="O458" s="14" t="s">
        <v>9158</v>
      </c>
      <c r="P458" s="14" t="s">
        <v>9158</v>
      </c>
      <c r="Q458" s="14" t="s">
        <v>9158</v>
      </c>
    </row>
    <row r="459" spans="1:17">
      <c r="A459" s="14">
        <v>81013</v>
      </c>
      <c r="B459" s="14" t="s">
        <v>334</v>
      </c>
      <c r="C459" s="14" t="s">
        <v>205</v>
      </c>
      <c r="D459" s="19" t="s">
        <v>4412</v>
      </c>
      <c r="E459" s="15" t="str">
        <f>HYPERLINK("https://stat100.ameba.jp/tnk47/ratio20/illustrations/card/ill_81013_furudenshagoshikihime03.jpg?202010-i_prefecture_active_user", "■")</f>
        <v>■</v>
      </c>
      <c r="F459" s="14" t="s">
        <v>4413</v>
      </c>
      <c r="G459" s="14">
        <v>152023</v>
      </c>
      <c r="H459" s="14">
        <v>85559</v>
      </c>
      <c r="I459" s="14">
        <v>27</v>
      </c>
      <c r="J459" s="14" t="s">
        <v>155</v>
      </c>
      <c r="K459" s="14" t="s">
        <v>4414</v>
      </c>
      <c r="L459" s="14" t="s">
        <v>2557</v>
      </c>
      <c r="M459" s="14" t="s">
        <v>9158</v>
      </c>
      <c r="N459" s="14" t="s">
        <v>9158</v>
      </c>
      <c r="O459" s="14" t="s">
        <v>9158</v>
      </c>
      <c r="P459" s="14" t="s">
        <v>9158</v>
      </c>
      <c r="Q459" s="14" t="s">
        <v>9158</v>
      </c>
    </row>
    <row r="460" spans="1:17">
      <c r="A460" s="9">
        <v>73923</v>
      </c>
      <c r="B460" s="14" t="s">
        <v>334</v>
      </c>
      <c r="C460" s="14" t="s">
        <v>206</v>
      </c>
      <c r="D460" s="14" t="s">
        <v>3092</v>
      </c>
      <c r="E460" s="15" t="str">
        <f>HYPERLINK("https://stat100.ameba.jp/tnk47/ratio20/illustrations/card/ill_73923_hiryugama03.jpg?202010-i_prefecture_active_user", "■")</f>
        <v>■</v>
      </c>
      <c r="F460" s="14" t="s">
        <v>3093</v>
      </c>
      <c r="G460" s="14">
        <v>123002</v>
      </c>
      <c r="H460" s="14">
        <v>114362</v>
      </c>
      <c r="I460" s="14">
        <v>27</v>
      </c>
      <c r="J460" s="14" t="s">
        <v>369</v>
      </c>
      <c r="K460" s="14" t="s">
        <v>3094</v>
      </c>
      <c r="L460" s="14" t="s">
        <v>1532</v>
      </c>
      <c r="M460" s="14" t="s">
        <v>9158</v>
      </c>
      <c r="N460" s="14" t="s">
        <v>9158</v>
      </c>
      <c r="O460" s="14" t="s">
        <v>9158</v>
      </c>
      <c r="P460" s="14" t="s">
        <v>9158</v>
      </c>
      <c r="Q460" s="14" t="s">
        <v>9158</v>
      </c>
    </row>
    <row r="462" spans="1:17">
      <c r="A462" s="14" t="s">
        <v>14962</v>
      </c>
    </row>
    <row r="463" spans="1:17">
      <c r="A463" s="14" t="s">
        <v>14963</v>
      </c>
    </row>
    <row r="464" spans="1:17">
      <c r="A464" s="14" t="s">
        <v>5623</v>
      </c>
      <c r="B464" s="14" t="s">
        <v>330</v>
      </c>
      <c r="C464" s="14" t="s">
        <v>165</v>
      </c>
      <c r="D464" s="19" t="s">
        <v>3146</v>
      </c>
      <c r="E464" s="15" t="str">
        <f>HYPERLINK("https://stat100.ameba.jp/tnk47/ratio20/illustrations/card/ill_65713_0_undokaionikirimaru03.jpg?202010-i_prefecture_active_user", "■")</f>
        <v>■</v>
      </c>
      <c r="F464" s="14" t="s">
        <v>535</v>
      </c>
      <c r="G464" s="14">
        <v>189209</v>
      </c>
      <c r="H464" s="14">
        <v>175911</v>
      </c>
      <c r="I464" s="14">
        <v>25</v>
      </c>
      <c r="J464" s="14" t="s">
        <v>320</v>
      </c>
      <c r="K464" s="14" t="s">
        <v>3147</v>
      </c>
      <c r="L464" s="14" t="s">
        <v>3148</v>
      </c>
      <c r="M464" s="14" t="s">
        <v>9158</v>
      </c>
      <c r="N464" s="14" t="s">
        <v>9158</v>
      </c>
      <c r="O464" s="19" t="s">
        <v>2869</v>
      </c>
      <c r="P464" s="14" t="s">
        <v>2870</v>
      </c>
      <c r="Q464" s="14">
        <v>1</v>
      </c>
    </row>
    <row r="465" spans="1:18">
      <c r="A465" s="9">
        <v>81143</v>
      </c>
      <c r="B465" s="14" t="s">
        <v>334</v>
      </c>
      <c r="C465" s="14" t="s">
        <v>205</v>
      </c>
      <c r="D465" s="14" t="s">
        <v>4516</v>
      </c>
      <c r="E465" s="15" t="str">
        <f>HYPERLINK("https://stat100.ameba.jp/tnk47/ratio20/illustrations/card/ill_81143_shinryokunokisetsumerompan03.jpg?202010-i_prefecture_active_user", "■")</f>
        <v>■</v>
      </c>
      <c r="F465" s="14" t="s">
        <v>4517</v>
      </c>
      <c r="G465" s="14">
        <v>122786</v>
      </c>
      <c r="H465" s="14">
        <v>114176</v>
      </c>
      <c r="I465" s="14">
        <v>26</v>
      </c>
      <c r="J465" s="14" t="s">
        <v>104</v>
      </c>
      <c r="K465" s="14" t="s">
        <v>4518</v>
      </c>
      <c r="L465" s="14" t="s">
        <v>3489</v>
      </c>
      <c r="M465" s="14" t="s">
        <v>9158</v>
      </c>
      <c r="N465" s="14" t="s">
        <v>9158</v>
      </c>
      <c r="O465" s="9" t="s">
        <v>3609</v>
      </c>
      <c r="P465" s="14" t="s">
        <v>3610</v>
      </c>
      <c r="Q465" s="14">
        <v>1</v>
      </c>
    </row>
    <row r="466" spans="1:18">
      <c r="A466" s="9">
        <v>73723</v>
      </c>
      <c r="B466" s="14" t="s">
        <v>334</v>
      </c>
      <c r="C466" s="14" t="s">
        <v>191</v>
      </c>
      <c r="D466" s="14" t="s">
        <v>3456</v>
      </c>
      <c r="E466" s="15" t="str">
        <f>HYPERLINK("https://stat100.ameba.jp/tnk47/ratio20/illustrations/card/ill_73723_umibirakitomoegozen03.jpg?202010-i_prefecture_active_user", "■")</f>
        <v>■</v>
      </c>
      <c r="F466" s="14" t="s">
        <v>3457</v>
      </c>
      <c r="G466" s="14">
        <v>154562</v>
      </c>
      <c r="H466" s="14">
        <v>143714</v>
      </c>
      <c r="I466" s="14">
        <v>26</v>
      </c>
      <c r="J466" s="14" t="s">
        <v>143</v>
      </c>
      <c r="K466" s="14" t="s">
        <v>3458</v>
      </c>
      <c r="L466" s="14" t="s">
        <v>3459</v>
      </c>
      <c r="M466" s="14" t="s">
        <v>9158</v>
      </c>
      <c r="N466" s="14" t="s">
        <v>9158</v>
      </c>
      <c r="O466" s="18" t="s">
        <v>10057</v>
      </c>
      <c r="P466" s="14" t="s">
        <v>3460</v>
      </c>
      <c r="Q466" s="14">
        <v>1</v>
      </c>
    </row>
    <row r="467" spans="1:18">
      <c r="A467" s="9">
        <v>86833</v>
      </c>
      <c r="B467" s="14" t="s">
        <v>0</v>
      </c>
      <c r="C467" s="9" t="s">
        <v>185</v>
      </c>
      <c r="D467" s="19" t="s">
        <v>12619</v>
      </c>
      <c r="E467" s="15" t="str">
        <f>HYPERLINK("https://stat100.ameba.jp/tnk47/ratio20/illustrations/card/ill_86833_chokonohidosankochan03.jpg?202010-i_prefecture_active_user", "■")</f>
        <v>■</v>
      </c>
      <c r="F467" s="9" t="s">
        <v>9335</v>
      </c>
      <c r="G467" s="9">
        <v>98066</v>
      </c>
      <c r="H467" s="9">
        <v>105426</v>
      </c>
      <c r="I467" s="14">
        <v>26</v>
      </c>
      <c r="J467" s="9" t="s">
        <v>229</v>
      </c>
      <c r="K467" s="9" t="s">
        <v>9334</v>
      </c>
      <c r="L467" s="9" t="s">
        <v>9333</v>
      </c>
      <c r="M467" s="14" t="s">
        <v>9158</v>
      </c>
      <c r="N467" s="14" t="s">
        <v>9158</v>
      </c>
      <c r="O467" s="19" t="s">
        <v>2752</v>
      </c>
      <c r="P467" s="14" t="s">
        <v>13123</v>
      </c>
      <c r="Q467" s="14">
        <v>1</v>
      </c>
    </row>
    <row r="469" spans="1:18">
      <c r="A469" s="14" t="s">
        <v>14966</v>
      </c>
    </row>
    <row r="470" spans="1:18">
      <c r="A470" s="14" t="s">
        <v>14967</v>
      </c>
    </row>
    <row r="471" spans="1:18">
      <c r="A471" s="14" t="s">
        <v>5804</v>
      </c>
      <c r="B471" s="14" t="s">
        <v>52</v>
      </c>
      <c r="C471" s="14" t="s">
        <v>14</v>
      </c>
      <c r="D471" s="19" t="s">
        <v>3195</v>
      </c>
      <c r="E471" s="15" t="str">
        <f>HYPERLINK("https://stat100.ameba.jp/tnk47/ratio20/illustrations/card/ill_75393_0_resukuinotsukisamaniittausagi03.jpg?202010-i_prefecture_active_user", "■")</f>
        <v>■</v>
      </c>
      <c r="F471" s="14" t="s">
        <v>3248</v>
      </c>
      <c r="G471" s="14">
        <v>273368</v>
      </c>
      <c r="H471" s="14">
        <v>254160</v>
      </c>
      <c r="I471" s="14">
        <v>24</v>
      </c>
      <c r="J471" s="14" t="s">
        <v>26</v>
      </c>
      <c r="K471" s="14" t="s">
        <v>3249</v>
      </c>
      <c r="L471" s="14" t="s">
        <v>3250</v>
      </c>
      <c r="M471" s="14" t="s">
        <v>9158</v>
      </c>
      <c r="N471" s="14" t="s">
        <v>9158</v>
      </c>
      <c r="O471" s="19" t="s">
        <v>10101</v>
      </c>
      <c r="P471" s="14" t="s">
        <v>3251</v>
      </c>
      <c r="Q471" s="14">
        <v>2</v>
      </c>
    </row>
    <row r="472" spans="1:18">
      <c r="A472" s="14" t="s">
        <v>5778</v>
      </c>
      <c r="B472" s="14" t="s">
        <v>330</v>
      </c>
      <c r="C472" s="14" t="s">
        <v>205</v>
      </c>
      <c r="D472" s="19" t="s">
        <v>272</v>
      </c>
      <c r="E472" s="15" t="str">
        <f>HYPERLINK("https://stat100.ameba.jp/tnk47/ratio20/illustrations/card/ill_68783_0_gantammomotaro03.jpg?202010-i_prefecture_active_user", "■")</f>
        <v>■</v>
      </c>
      <c r="F472" s="14" t="s">
        <v>273</v>
      </c>
      <c r="G472" s="14">
        <v>164144</v>
      </c>
      <c r="H472" s="14">
        <v>152594</v>
      </c>
      <c r="I472" s="14">
        <v>24</v>
      </c>
      <c r="J472" s="14" t="s">
        <v>274</v>
      </c>
      <c r="K472" s="14" t="s">
        <v>275</v>
      </c>
      <c r="L472" s="14" t="s">
        <v>276</v>
      </c>
      <c r="M472" s="14" t="s">
        <v>9158</v>
      </c>
      <c r="N472" s="14" t="s">
        <v>9158</v>
      </c>
      <c r="O472" s="19" t="s">
        <v>10099</v>
      </c>
      <c r="P472" s="14" t="s">
        <v>3085</v>
      </c>
      <c r="Q472" s="14">
        <v>1</v>
      </c>
    </row>
    <row r="473" spans="1:18">
      <c r="A473" s="14" t="s">
        <v>5627</v>
      </c>
      <c r="B473" s="14" t="s">
        <v>330</v>
      </c>
      <c r="C473" s="14" t="s">
        <v>191</v>
      </c>
      <c r="D473" s="19" t="s">
        <v>393</v>
      </c>
      <c r="E473" s="15" t="str">
        <f>HYPERLINK("https://stat100.ameba.jp/tnk47/ratio20/illustrations/card/ill_46283_0_odanobunaga03.jpg?202010-i_prefecture_active_user", "■")</f>
        <v>■</v>
      </c>
      <c r="F473" s="14" t="s">
        <v>1073</v>
      </c>
      <c r="G473" s="14">
        <v>131538</v>
      </c>
      <c r="H473" s="14">
        <v>140448</v>
      </c>
      <c r="I473" s="14">
        <v>24</v>
      </c>
      <c r="J473" s="14" t="s">
        <v>143</v>
      </c>
      <c r="K473" s="14" t="s">
        <v>1074</v>
      </c>
      <c r="L473" s="14" t="s">
        <v>1075</v>
      </c>
      <c r="M473" s="14" t="s">
        <v>9158</v>
      </c>
      <c r="N473" s="14" t="s">
        <v>9158</v>
      </c>
      <c r="O473" s="14" t="s">
        <v>9158</v>
      </c>
      <c r="P473" s="14" t="s">
        <v>9158</v>
      </c>
      <c r="Q473" s="14" t="s">
        <v>9158</v>
      </c>
    </row>
    <row r="474" spans="1:18">
      <c r="A474" s="14">
        <v>92103</v>
      </c>
      <c r="B474" s="14" t="s">
        <v>0</v>
      </c>
      <c r="C474" s="14" t="s">
        <v>107</v>
      </c>
      <c r="D474" s="14" t="s">
        <v>14936</v>
      </c>
      <c r="E474" s="15" t="str">
        <f>HYPERLINK("https://stat100.ameba.jp/tnk47/ratio20/illustrations/card/ill_92103_kyampujoshimomotofumiagari03.jpg?202010-i_prefecture_active_user", "■")</f>
        <v>■</v>
      </c>
      <c r="F474" s="14" t="s">
        <v>14935</v>
      </c>
      <c r="G474" s="14">
        <v>94390</v>
      </c>
      <c r="H474" s="14">
        <v>101558</v>
      </c>
      <c r="I474" s="7">
        <v>26</v>
      </c>
      <c r="J474" s="14" t="s">
        <v>77</v>
      </c>
      <c r="K474" s="14" t="s">
        <v>14933</v>
      </c>
      <c r="L474" s="14" t="s">
        <v>12139</v>
      </c>
      <c r="M474" s="14" t="s">
        <v>9158</v>
      </c>
      <c r="N474" s="14" t="s">
        <v>9158</v>
      </c>
      <c r="O474" s="14" t="s">
        <v>9158</v>
      </c>
      <c r="P474" s="14" t="s">
        <v>9158</v>
      </c>
      <c r="Q474" s="14" t="s">
        <v>9158</v>
      </c>
    </row>
    <row r="475" spans="1:18">
      <c r="A475" s="14">
        <v>92123</v>
      </c>
      <c r="B475" s="14" t="s">
        <v>15</v>
      </c>
      <c r="C475" s="14" t="s">
        <v>23</v>
      </c>
      <c r="D475" s="14" t="s">
        <v>14948</v>
      </c>
      <c r="E475" s="15" t="str">
        <f>HYPERLINK("https://stat100.ameba.jp/tnk47/ratio20/illustrations/card/ill_92123_torejakijinjinja03.jpg?202010-i_prefecture_active_user", "■")</f>
        <v>■</v>
      </c>
      <c r="F475" s="14" t="s">
        <v>14947</v>
      </c>
      <c r="G475" s="14">
        <v>77064</v>
      </c>
      <c r="H475" s="14">
        <v>69898</v>
      </c>
      <c r="I475" s="7">
        <v>26</v>
      </c>
      <c r="J475" s="14" t="s">
        <v>44</v>
      </c>
      <c r="K475" s="14" t="s">
        <v>14945</v>
      </c>
      <c r="L475" s="14" t="s">
        <v>3271</v>
      </c>
      <c r="M475" s="14" t="s">
        <v>9158</v>
      </c>
      <c r="N475" s="14" t="s">
        <v>9158</v>
      </c>
      <c r="O475" s="14" t="s">
        <v>9158</v>
      </c>
      <c r="P475" s="14" t="s">
        <v>9158</v>
      </c>
      <c r="Q475" s="14" t="s">
        <v>9158</v>
      </c>
    </row>
    <row r="476" spans="1:18">
      <c r="A476" s="14">
        <v>92133</v>
      </c>
      <c r="B476" s="14" t="s">
        <v>22</v>
      </c>
      <c r="C476" s="14" t="s">
        <v>96</v>
      </c>
      <c r="D476" s="14" t="s">
        <v>14953</v>
      </c>
      <c r="E476" s="15" t="str">
        <f>HYPERLINK("https://stat100.ameba.jp/tnk47/ratio20/illustrations/card/ill_92133_yamagarufukushoin03.jpg?202010-i_prefecture_active_user", "■")</f>
        <v>■</v>
      </c>
      <c r="F476" s="14" t="s">
        <v>14952</v>
      </c>
      <c r="G476" s="14">
        <v>44948</v>
      </c>
      <c r="H476" s="14">
        <v>54058</v>
      </c>
      <c r="I476" s="7">
        <v>26</v>
      </c>
      <c r="J476" s="14" t="s">
        <v>77</v>
      </c>
      <c r="K476" s="14" t="s">
        <v>14951</v>
      </c>
      <c r="L476" s="14" t="s">
        <v>2424</v>
      </c>
      <c r="M476" s="14" t="s">
        <v>9158</v>
      </c>
      <c r="N476" s="14" t="s">
        <v>9158</v>
      </c>
      <c r="O476" s="14" t="s">
        <v>9158</v>
      </c>
      <c r="P476" s="14" t="s">
        <v>9158</v>
      </c>
      <c r="Q476" s="14" t="s">
        <v>9158</v>
      </c>
    </row>
    <row r="477" spans="1:18">
      <c r="A477" s="14">
        <v>92143</v>
      </c>
      <c r="B477" s="14" t="s">
        <v>22</v>
      </c>
      <c r="C477" s="14" t="s">
        <v>14</v>
      </c>
      <c r="D477" s="14" t="s">
        <v>14958</v>
      </c>
      <c r="E477" s="15" t="str">
        <f>HYPERLINK("https://stat100.ameba.jp/tnk47/ratio20/illustrations/card/ill_92143_tankentaiezojikachan03.jpg?202010-i_prefecture_active_user", "■")</f>
        <v>■</v>
      </c>
      <c r="F477" s="14" t="s">
        <v>14957</v>
      </c>
      <c r="G477" s="14">
        <v>54058</v>
      </c>
      <c r="H477" s="14">
        <v>44948</v>
      </c>
      <c r="I477" s="7">
        <v>26</v>
      </c>
      <c r="J477" s="14" t="s">
        <v>26</v>
      </c>
      <c r="K477" s="14" t="s">
        <v>14955</v>
      </c>
      <c r="L477" s="14" t="s">
        <v>2635</v>
      </c>
      <c r="M477" s="14" t="s">
        <v>9158</v>
      </c>
      <c r="N477" s="14" t="s">
        <v>9158</v>
      </c>
      <c r="O477" s="14" t="s">
        <v>9158</v>
      </c>
      <c r="P477" s="14" t="s">
        <v>9158</v>
      </c>
      <c r="Q477" s="14" t="s">
        <v>9158</v>
      </c>
    </row>
    <row r="479" spans="1:18">
      <c r="A479" s="7" t="s">
        <v>13327</v>
      </c>
      <c r="B479" s="7"/>
      <c r="C479" s="7"/>
      <c r="D479" s="7"/>
      <c r="E479" s="7"/>
      <c r="F479" s="7"/>
      <c r="G479" s="7"/>
      <c r="H479" s="7"/>
      <c r="I479" s="7"/>
      <c r="J479" s="7"/>
      <c r="K479" s="7"/>
      <c r="L479" s="7"/>
      <c r="M479" s="7"/>
      <c r="N479" s="7"/>
      <c r="O479" s="7"/>
      <c r="P479" s="7"/>
      <c r="Q479" s="7"/>
      <c r="R479" s="7"/>
    </row>
    <row r="480" spans="1:18">
      <c r="A480" s="7" t="s">
        <v>14968</v>
      </c>
      <c r="B480" s="7"/>
      <c r="C480" s="7"/>
      <c r="D480" s="7"/>
      <c r="E480" s="7"/>
      <c r="F480" s="7"/>
      <c r="G480" s="7"/>
      <c r="H480" s="7"/>
      <c r="I480" s="7"/>
      <c r="J480" s="7"/>
      <c r="K480" s="7"/>
      <c r="L480" s="7"/>
      <c r="M480" s="7"/>
      <c r="N480" s="7"/>
      <c r="O480" s="7"/>
      <c r="P480" s="7"/>
      <c r="Q480" s="7"/>
      <c r="R480" s="7"/>
    </row>
    <row r="481" spans="1:18">
      <c r="A481" s="14">
        <v>86063</v>
      </c>
      <c r="B481" s="14" t="s">
        <v>334</v>
      </c>
      <c r="C481" s="14" t="s">
        <v>14</v>
      </c>
      <c r="D481" s="19" t="s">
        <v>10818</v>
      </c>
      <c r="E481" s="15" t="str">
        <f>HYPERLINK("https://stat100.ameba.jp/tnk47/ratio20/illustrations/card/ill_86063_uotchimeika03.jpg?202010-i_prefecture_active_user", "■")</f>
        <v>■</v>
      </c>
      <c r="F481" s="14" t="s">
        <v>8368</v>
      </c>
      <c r="G481" s="14">
        <v>123583</v>
      </c>
      <c r="H481" s="14">
        <v>132922</v>
      </c>
      <c r="I481" s="14">
        <v>27</v>
      </c>
      <c r="J481" s="14" t="s">
        <v>173</v>
      </c>
      <c r="K481" s="14" t="s">
        <v>8367</v>
      </c>
      <c r="L481" s="14" t="s">
        <v>8366</v>
      </c>
      <c r="M481" s="14" t="s">
        <v>13130</v>
      </c>
      <c r="N481" s="14" t="s">
        <v>343</v>
      </c>
      <c r="O481" s="14" t="s">
        <v>9158</v>
      </c>
      <c r="P481" s="14" t="s">
        <v>9158</v>
      </c>
      <c r="Q481" s="14" t="s">
        <v>9158</v>
      </c>
      <c r="R481" s="14" t="s">
        <v>14748</v>
      </c>
    </row>
    <row r="482" spans="1:18">
      <c r="A482" s="14">
        <v>86062</v>
      </c>
      <c r="B482" s="14" t="s">
        <v>334</v>
      </c>
      <c r="C482" s="14" t="s">
        <v>14</v>
      </c>
      <c r="D482" s="19" t="s">
        <v>10818</v>
      </c>
      <c r="E482" s="15" t="str">
        <f>HYPERLINK("https://stat100.ameba.jp/tnk47/ratio20/illustrations/card/ill_86062_uotchimeika02.jpg?202010-i_prefecture_active_user", "■")</f>
        <v>■</v>
      </c>
      <c r="F482" s="14" t="s">
        <v>8368</v>
      </c>
      <c r="G482" s="14">
        <v>102356</v>
      </c>
      <c r="H482" s="14">
        <v>111115</v>
      </c>
      <c r="I482" s="14">
        <v>27</v>
      </c>
      <c r="J482" s="14" t="s">
        <v>173</v>
      </c>
      <c r="K482" s="14" t="s">
        <v>8367</v>
      </c>
      <c r="L482" s="14" t="s">
        <v>8366</v>
      </c>
      <c r="M482" s="14" t="s">
        <v>13131</v>
      </c>
      <c r="N482" s="14" t="s">
        <v>251</v>
      </c>
      <c r="O482" s="14" t="s">
        <v>9158</v>
      </c>
      <c r="P482" s="14" t="s">
        <v>9158</v>
      </c>
      <c r="Q482" s="14" t="s">
        <v>9158</v>
      </c>
      <c r="R482" s="14" t="s">
        <v>14748</v>
      </c>
    </row>
    <row r="483" spans="1:18">
      <c r="A483" s="14">
        <v>86061</v>
      </c>
      <c r="B483" s="14" t="s">
        <v>0</v>
      </c>
      <c r="C483" s="14" t="s">
        <v>14</v>
      </c>
      <c r="D483" s="19" t="s">
        <v>10818</v>
      </c>
      <c r="E483" s="15" t="str">
        <f>HYPERLINK("https://stat100.ameba.jp/tnk47/ratio20/illustrations/card/ill_86061_uotchimeika01.jpg?202010-i_prefecture_active_user", "■")</f>
        <v>■</v>
      </c>
      <c r="F483" s="14" t="s">
        <v>8368</v>
      </c>
      <c r="G483" s="14">
        <v>78975</v>
      </c>
      <c r="H483" s="14">
        <v>84834</v>
      </c>
      <c r="I483" s="14">
        <v>27</v>
      </c>
      <c r="J483" s="14" t="s">
        <v>173</v>
      </c>
      <c r="K483" s="14" t="s">
        <v>8367</v>
      </c>
      <c r="L483" s="14" t="s">
        <v>8366</v>
      </c>
      <c r="M483" s="14" t="s">
        <v>13131</v>
      </c>
      <c r="N483" s="14" t="s">
        <v>251</v>
      </c>
      <c r="O483" s="14" t="s">
        <v>9158</v>
      </c>
      <c r="P483" s="14" t="s">
        <v>9158</v>
      </c>
      <c r="Q483" s="14" t="s">
        <v>9158</v>
      </c>
      <c r="R483" s="14" t="s">
        <v>14748</v>
      </c>
    </row>
    <row r="484" spans="1:18">
      <c r="A484" s="14">
        <v>86073</v>
      </c>
      <c r="B484" s="14" t="s">
        <v>334</v>
      </c>
      <c r="C484" s="14" t="s">
        <v>23</v>
      </c>
      <c r="D484" s="19" t="s">
        <v>10819</v>
      </c>
      <c r="E484" s="15" t="str">
        <f>HYPERLINK("https://stat100.ameba.jp/tnk47/ratio20/illustrations/card/ill_86073_maddohatta03.jpg?202010-i_prefecture_active_user", "■")</f>
        <v>■</v>
      </c>
      <c r="F484" s="14" t="s">
        <v>8371</v>
      </c>
      <c r="G484" s="14">
        <v>123583</v>
      </c>
      <c r="H484" s="14">
        <v>132922</v>
      </c>
      <c r="I484" s="14">
        <v>27</v>
      </c>
      <c r="J484" s="14" t="s">
        <v>155</v>
      </c>
      <c r="K484" s="14" t="s">
        <v>8370</v>
      </c>
      <c r="L484" s="14" t="s">
        <v>8369</v>
      </c>
      <c r="M484" s="14" t="s">
        <v>13130</v>
      </c>
      <c r="N484" s="14" t="s">
        <v>343</v>
      </c>
      <c r="O484" s="14" t="s">
        <v>9158</v>
      </c>
      <c r="P484" s="14" t="s">
        <v>9158</v>
      </c>
      <c r="Q484" s="14" t="s">
        <v>9158</v>
      </c>
      <c r="R484" s="14" t="s">
        <v>14748</v>
      </c>
    </row>
    <row r="485" spans="1:18">
      <c r="A485" s="14">
        <v>86083</v>
      </c>
      <c r="B485" s="14" t="s">
        <v>334</v>
      </c>
      <c r="C485" s="14" t="s">
        <v>101</v>
      </c>
      <c r="D485" s="19" t="s">
        <v>10820</v>
      </c>
      <c r="E485" s="15" t="str">
        <f>HYPERLINK("https://stat100.ameba.jp/tnk47/ratio20/illustrations/card/ill_86083_keieinochojomeruro03.jpg?202010-i_prefecture_active_user", "■")</f>
        <v>■</v>
      </c>
      <c r="F485" s="14" t="s">
        <v>8375</v>
      </c>
      <c r="G485" s="14">
        <v>132922</v>
      </c>
      <c r="H485" s="14">
        <v>123583</v>
      </c>
      <c r="I485" s="14">
        <v>27</v>
      </c>
      <c r="J485" s="14" t="s">
        <v>229</v>
      </c>
      <c r="K485" s="14" t="s">
        <v>8374</v>
      </c>
      <c r="L485" s="14" t="s">
        <v>8373</v>
      </c>
      <c r="M485" s="14" t="s">
        <v>13130</v>
      </c>
      <c r="N485" s="14" t="s">
        <v>343</v>
      </c>
      <c r="O485" s="14" t="s">
        <v>9158</v>
      </c>
      <c r="P485" s="14" t="s">
        <v>9158</v>
      </c>
      <c r="Q485" s="14" t="s">
        <v>9158</v>
      </c>
      <c r="R485" s="14" t="s">
        <v>14748</v>
      </c>
    </row>
    <row r="486" spans="1:18">
      <c r="A486" s="14">
        <v>86093</v>
      </c>
      <c r="B486" s="14" t="s">
        <v>0</v>
      </c>
      <c r="C486" s="14" t="s">
        <v>96</v>
      </c>
      <c r="D486" s="19" t="s">
        <v>10821</v>
      </c>
      <c r="E486" s="15" t="str">
        <f>HYPERLINK("https://stat100.ameba.jp/tnk47/ratio20/illustrations/card/ill_86093_minamotonoyoshimitsu03.jpg?202010-i_prefecture_active_user", "■")</f>
        <v>■</v>
      </c>
      <c r="F486" s="14" t="s">
        <v>8379</v>
      </c>
      <c r="G486" s="14">
        <v>132922</v>
      </c>
      <c r="H486" s="14">
        <v>123583</v>
      </c>
      <c r="I486" s="14">
        <v>27</v>
      </c>
      <c r="J486" s="14" t="s">
        <v>194</v>
      </c>
      <c r="K486" s="14" t="s">
        <v>8377</v>
      </c>
      <c r="L486" s="14" t="s">
        <v>8376</v>
      </c>
      <c r="M486" s="14" t="s">
        <v>13130</v>
      </c>
      <c r="N486" s="14" t="s">
        <v>343</v>
      </c>
      <c r="O486" s="14" t="s">
        <v>9158</v>
      </c>
      <c r="P486" s="14" t="s">
        <v>9158</v>
      </c>
      <c r="Q486" s="14" t="s">
        <v>9158</v>
      </c>
      <c r="R486" s="14" t="s">
        <v>14748</v>
      </c>
    </row>
    <row r="487" spans="1:18">
      <c r="A487" s="14">
        <v>86103</v>
      </c>
      <c r="B487" s="14" t="s">
        <v>334</v>
      </c>
      <c r="C487" s="14" t="s">
        <v>205</v>
      </c>
      <c r="D487" s="19" t="s">
        <v>10822</v>
      </c>
      <c r="E487" s="15" t="str">
        <f>HYPERLINK("https://stat100.ameba.jp/tnk47/ratio20/illustrations/card/ill_86103_omatsudaimyojin03.jpg?202010-i_prefecture_active_user", "■")</f>
        <v>■</v>
      </c>
      <c r="F487" s="14" t="s">
        <v>8383</v>
      </c>
      <c r="G487" s="14">
        <v>132922</v>
      </c>
      <c r="H487" s="14">
        <v>123583</v>
      </c>
      <c r="I487" s="14">
        <v>27</v>
      </c>
      <c r="J487" s="14" t="s">
        <v>169</v>
      </c>
      <c r="K487" s="14" t="s">
        <v>8381</v>
      </c>
      <c r="L487" s="14" t="s">
        <v>8380</v>
      </c>
      <c r="M487" s="14" t="s">
        <v>13130</v>
      </c>
      <c r="N487" s="14" t="s">
        <v>343</v>
      </c>
      <c r="O487" s="14" t="s">
        <v>9158</v>
      </c>
      <c r="P487" s="14" t="s">
        <v>9158</v>
      </c>
      <c r="Q487" s="14" t="s">
        <v>9158</v>
      </c>
      <c r="R487" s="14" t="s">
        <v>14748</v>
      </c>
    </row>
    <row r="488" spans="1:18">
      <c r="A488" s="14">
        <v>86113</v>
      </c>
      <c r="B488" s="14" t="s">
        <v>334</v>
      </c>
      <c r="C488" s="14" t="s">
        <v>107</v>
      </c>
      <c r="D488" s="19" t="s">
        <v>10823</v>
      </c>
      <c r="E488" s="15" t="str">
        <f>HYPERLINK("https://stat100.ameba.jp/tnk47/ratio20/illustrations/card/ill_86113_yuno03.jpg?202010-i_prefecture_active_user", "■")</f>
        <v>■</v>
      </c>
      <c r="F488" s="14" t="s">
        <v>8387</v>
      </c>
      <c r="G488" s="14">
        <v>123583</v>
      </c>
      <c r="H488" s="14">
        <v>132922</v>
      </c>
      <c r="I488" s="14">
        <v>27</v>
      </c>
      <c r="J488" s="14" t="s">
        <v>159</v>
      </c>
      <c r="K488" s="14" t="s">
        <v>8385</v>
      </c>
      <c r="L488" s="14" t="s">
        <v>8384</v>
      </c>
      <c r="M488" s="14" t="s">
        <v>13130</v>
      </c>
      <c r="N488" s="14" t="s">
        <v>343</v>
      </c>
      <c r="O488" s="14" t="s">
        <v>9158</v>
      </c>
      <c r="P488" s="14" t="s">
        <v>9158</v>
      </c>
      <c r="Q488" s="14" t="s">
        <v>9158</v>
      </c>
      <c r="R488" s="14" t="s">
        <v>14748</v>
      </c>
    </row>
    <row r="490" spans="1:18">
      <c r="A490" s="14" t="s">
        <v>1176</v>
      </c>
    </row>
    <row r="491" spans="1:18">
      <c r="A491" s="14" t="s">
        <v>14969</v>
      </c>
    </row>
    <row r="492" spans="1:18">
      <c r="A492" s="14" t="s">
        <v>5617</v>
      </c>
      <c r="B492" s="14" t="s">
        <v>330</v>
      </c>
      <c r="C492" s="14" t="s">
        <v>308</v>
      </c>
      <c r="D492" s="19" t="s">
        <v>385</v>
      </c>
      <c r="E492" s="15" t="str">
        <f>HYPERLINK("https://stat100.ameba.jp/tnk47/ratio20/illustrations/card/ill_59673_0_oheyashutendoji03.jpg?202010-5-RELEASE-marathon-496", "■")</f>
        <v>■</v>
      </c>
      <c r="F492" s="14" t="s">
        <v>386</v>
      </c>
      <c r="G492" s="14">
        <v>168874</v>
      </c>
      <c r="H492" s="14">
        <v>181640</v>
      </c>
      <c r="I492" s="14">
        <v>24</v>
      </c>
      <c r="J492" s="14" t="s">
        <v>320</v>
      </c>
      <c r="K492" s="14" t="s">
        <v>387</v>
      </c>
      <c r="L492" s="14" t="s">
        <v>388</v>
      </c>
      <c r="M492" s="14" t="s">
        <v>9158</v>
      </c>
      <c r="N492" s="14" t="s">
        <v>9158</v>
      </c>
      <c r="O492" s="19" t="s">
        <v>10078</v>
      </c>
      <c r="P492" s="14" t="s">
        <v>3022</v>
      </c>
      <c r="Q492" s="14">
        <v>1</v>
      </c>
    </row>
    <row r="493" spans="1:18">
      <c r="A493" s="14" t="s">
        <v>5607</v>
      </c>
      <c r="B493" s="14" t="s">
        <v>330</v>
      </c>
      <c r="C493" s="14" t="s">
        <v>200</v>
      </c>
      <c r="D493" s="19" t="s">
        <v>421</v>
      </c>
      <c r="E493" s="15" t="str">
        <f>HYPERLINK("https://stat100.ameba.jp/tnk47/ratio20/illustrations/card/ill_58853_0_setsubumpanikkuhiratsukaraicho03.jpg?202010-5-RELEASE-marathon-496", "■")</f>
        <v>■</v>
      </c>
      <c r="F493" s="14" t="s">
        <v>1040</v>
      </c>
      <c r="G493" s="14">
        <v>150776</v>
      </c>
      <c r="H493" s="14">
        <v>133938</v>
      </c>
      <c r="I493" s="14">
        <v>24</v>
      </c>
      <c r="J493" s="14" t="s">
        <v>16</v>
      </c>
      <c r="K493" s="14" t="s">
        <v>1041</v>
      </c>
      <c r="L493" s="14" t="s">
        <v>1042</v>
      </c>
      <c r="M493" s="14" t="s">
        <v>9158</v>
      </c>
      <c r="N493" s="14" t="s">
        <v>9158</v>
      </c>
      <c r="O493" s="19" t="s">
        <v>10075</v>
      </c>
      <c r="P493" s="14" t="s">
        <v>2870</v>
      </c>
      <c r="Q493" s="14">
        <v>1</v>
      </c>
    </row>
    <row r="494" spans="1:18">
      <c r="A494" s="14" t="s">
        <v>5622</v>
      </c>
      <c r="B494" s="14" t="s">
        <v>330</v>
      </c>
      <c r="C494" s="14" t="s">
        <v>335</v>
      </c>
      <c r="D494" s="19" t="s">
        <v>1043</v>
      </c>
      <c r="E494" s="15" t="str">
        <f>HYPERLINK("https://stat100.ameba.jp/tnk47/ratio20/illustrations/card/ill_49953_0_yushamarihime03.jpg?202010-5-RELEASE-marathon-496", "■")</f>
        <v>■</v>
      </c>
      <c r="F494" s="14" t="s">
        <v>510</v>
      </c>
      <c r="G494" s="14">
        <v>150776</v>
      </c>
      <c r="H494" s="14">
        <v>133938</v>
      </c>
      <c r="I494" s="14">
        <v>24</v>
      </c>
      <c r="J494" s="14" t="s">
        <v>315</v>
      </c>
      <c r="K494" s="14" t="s">
        <v>511</v>
      </c>
      <c r="L494" s="14" t="s">
        <v>512</v>
      </c>
      <c r="M494" s="14" t="s">
        <v>9158</v>
      </c>
      <c r="N494" s="14" t="s">
        <v>9158</v>
      </c>
      <c r="O494" s="14" t="s">
        <v>9158</v>
      </c>
      <c r="P494" s="14" t="s">
        <v>9158</v>
      </c>
      <c r="Q494" s="14" t="s">
        <v>9158</v>
      </c>
    </row>
    <row r="495" spans="1:18">
      <c r="A495" s="14">
        <v>92113</v>
      </c>
      <c r="B495" s="14" t="s">
        <v>0</v>
      </c>
      <c r="C495" s="14" t="s">
        <v>1</v>
      </c>
      <c r="D495" s="14" t="s">
        <v>14942</v>
      </c>
      <c r="E495" s="15" t="str">
        <f>HYPERLINK("https://stat100.ameba.jp/tnk47/ratio20/illustrations/card/ill_92113_tankentaihoshigamisama03.jpg?202010-5-RELEASE-marathon-496", "■")</f>
        <v>■</v>
      </c>
      <c r="F495" s="14" t="s">
        <v>14941</v>
      </c>
      <c r="G495" s="14">
        <v>98594</v>
      </c>
      <c r="H495" s="14">
        <v>106050</v>
      </c>
      <c r="I495" s="7">
        <v>26</v>
      </c>
      <c r="J495" s="14" t="s">
        <v>38</v>
      </c>
      <c r="K495" s="14" t="s">
        <v>14939</v>
      </c>
      <c r="L495" s="14" t="s">
        <v>14938</v>
      </c>
      <c r="M495" s="14" t="s">
        <v>9158</v>
      </c>
      <c r="N495" s="14" t="s">
        <v>9158</v>
      </c>
      <c r="O495" s="14" t="s">
        <v>9158</v>
      </c>
      <c r="P495" s="14" t="s">
        <v>9158</v>
      </c>
      <c r="Q495" s="14" t="s">
        <v>9158</v>
      </c>
    </row>
    <row r="496" spans="1:18">
      <c r="A496" s="14">
        <v>92123</v>
      </c>
      <c r="B496" s="14" t="s">
        <v>15</v>
      </c>
      <c r="C496" s="14" t="s">
        <v>23</v>
      </c>
      <c r="D496" s="14" t="s">
        <v>14948</v>
      </c>
      <c r="E496" s="15" t="str">
        <f>HYPERLINK("https://stat100.ameba.jp/tnk47/ratio20/illustrations/card/ill_92123_torejakijinjinja03.jpg?202010-5-RELEASE-marathon-496", "■")</f>
        <v>■</v>
      </c>
      <c r="F496" s="14" t="s">
        <v>14947</v>
      </c>
      <c r="G496" s="14">
        <v>77064</v>
      </c>
      <c r="H496" s="14">
        <v>69898</v>
      </c>
      <c r="I496" s="7">
        <v>26</v>
      </c>
      <c r="J496" s="14" t="s">
        <v>44</v>
      </c>
      <c r="K496" s="14" t="s">
        <v>14945</v>
      </c>
      <c r="L496" s="14" t="s">
        <v>3271</v>
      </c>
      <c r="M496" s="14" t="s">
        <v>9158</v>
      </c>
      <c r="N496" s="14" t="s">
        <v>9158</v>
      </c>
      <c r="O496" s="14" t="s">
        <v>9158</v>
      </c>
      <c r="P496" s="14" t="s">
        <v>9158</v>
      </c>
      <c r="Q496" s="14" t="s">
        <v>9158</v>
      </c>
    </row>
    <row r="497" spans="1:17">
      <c r="A497" s="14">
        <v>92133</v>
      </c>
      <c r="B497" s="14" t="s">
        <v>22</v>
      </c>
      <c r="C497" s="14" t="s">
        <v>96</v>
      </c>
      <c r="D497" s="14" t="s">
        <v>14953</v>
      </c>
      <c r="E497" s="15" t="str">
        <f>HYPERLINK("https://stat100.ameba.jp/tnk47/ratio20/illustrations/card/ill_92133_yamagarufukushoin03.jpg?202010-5-RELEASE-marathon-496", "■")</f>
        <v>■</v>
      </c>
      <c r="F497" s="14" t="s">
        <v>14952</v>
      </c>
      <c r="G497" s="14">
        <v>44948</v>
      </c>
      <c r="H497" s="14">
        <v>54058</v>
      </c>
      <c r="I497" s="7">
        <v>26</v>
      </c>
      <c r="J497" s="14" t="s">
        <v>77</v>
      </c>
      <c r="K497" s="14" t="s">
        <v>14951</v>
      </c>
      <c r="L497" s="14" t="s">
        <v>2424</v>
      </c>
      <c r="M497" s="14" t="s">
        <v>9158</v>
      </c>
      <c r="N497" s="14" t="s">
        <v>9158</v>
      </c>
      <c r="O497" s="14" t="s">
        <v>9158</v>
      </c>
      <c r="P497" s="14" t="s">
        <v>9158</v>
      </c>
      <c r="Q497" s="14" t="s">
        <v>9158</v>
      </c>
    </row>
    <row r="498" spans="1:17">
      <c r="A498" s="14">
        <v>92143</v>
      </c>
      <c r="B498" s="14" t="s">
        <v>22</v>
      </c>
      <c r="C498" s="14" t="s">
        <v>14</v>
      </c>
      <c r="D498" s="14" t="s">
        <v>14958</v>
      </c>
      <c r="E498" s="15" t="str">
        <f>HYPERLINK("https://stat100.ameba.jp/tnk47/ratio20/illustrations/card/ill_92143_tankentaiezojikachan03.jpg?202010-5-RELEASE-marathon-496", "■")</f>
        <v>■</v>
      </c>
      <c r="F498" s="14" t="s">
        <v>14957</v>
      </c>
      <c r="G498" s="14">
        <v>54058</v>
      </c>
      <c r="H498" s="14">
        <v>44948</v>
      </c>
      <c r="I498" s="7">
        <v>26</v>
      </c>
      <c r="J498" s="14" t="s">
        <v>26</v>
      </c>
      <c r="K498" s="14" t="s">
        <v>14955</v>
      </c>
      <c r="L498" s="14" t="s">
        <v>2635</v>
      </c>
      <c r="M498" s="14" t="s">
        <v>9158</v>
      </c>
      <c r="N498" s="14" t="s">
        <v>9158</v>
      </c>
      <c r="O498" s="14" t="s">
        <v>9158</v>
      </c>
      <c r="P498" s="14" t="s">
        <v>9158</v>
      </c>
      <c r="Q498" s="14" t="s">
        <v>9158</v>
      </c>
    </row>
    <row r="500" spans="1:17">
      <c r="A500" s="14" t="s">
        <v>14970</v>
      </c>
    </row>
    <row r="501" spans="1:17">
      <c r="A501" s="14" t="s">
        <v>14971</v>
      </c>
    </row>
    <row r="502" spans="1:17">
      <c r="A502" s="9" t="s">
        <v>9891</v>
      </c>
      <c r="B502" s="7" t="s">
        <v>52</v>
      </c>
      <c r="C502" s="9" t="s">
        <v>202</v>
      </c>
      <c r="D502" s="6" t="s">
        <v>9978</v>
      </c>
      <c r="E502" s="15" t="str">
        <f>HYPERLINK("https://stat100.ameba.jp/tnk47/ratio20/illustrations/card/ill_87643_0_oendanotohime03.jpg?202010-5-RELEASE-marathon-496", "■")</f>
        <v>■</v>
      </c>
      <c r="F502" s="14" t="s">
        <v>9928</v>
      </c>
      <c r="G502" s="9">
        <v>281156</v>
      </c>
      <c r="H502" s="9">
        <v>343608</v>
      </c>
      <c r="I502" s="7">
        <v>27</v>
      </c>
      <c r="J502" s="9" t="s">
        <v>155</v>
      </c>
      <c r="K502" s="14" t="s">
        <v>9932</v>
      </c>
      <c r="L502" s="14" t="s">
        <v>9933</v>
      </c>
      <c r="M502" s="14" t="s">
        <v>9158</v>
      </c>
      <c r="N502" s="14" t="s">
        <v>9158</v>
      </c>
      <c r="O502" s="6" t="s">
        <v>9989</v>
      </c>
      <c r="P502" s="7" t="s">
        <v>9944</v>
      </c>
      <c r="Q502" s="7">
        <v>1</v>
      </c>
    </row>
    <row r="503" spans="1:17">
      <c r="A503" s="14" t="s">
        <v>5963</v>
      </c>
      <c r="B503" s="14" t="s">
        <v>330</v>
      </c>
      <c r="C503" s="14" t="s">
        <v>35</v>
      </c>
      <c r="D503" s="19" t="s">
        <v>10438</v>
      </c>
      <c r="E503" s="15" t="str">
        <f>HYPERLINK("https://stat100.ameba.jp/tnk47/ratio20/illustrations/card/ill_82963_0_yukatamatsuritomokazuki03.jpg?202010-5-RELEASE-marathon-496", "■")</f>
        <v>■</v>
      </c>
      <c r="F503" s="14" t="s">
        <v>5964</v>
      </c>
      <c r="G503" s="14">
        <v>321625</v>
      </c>
      <c r="H503" s="14">
        <v>355871</v>
      </c>
      <c r="I503" s="14">
        <v>27</v>
      </c>
      <c r="J503" s="14" t="s">
        <v>73</v>
      </c>
      <c r="K503" s="14" t="s">
        <v>5966</v>
      </c>
      <c r="L503" s="14" t="s">
        <v>5967</v>
      </c>
      <c r="M503" s="14" t="s">
        <v>9158</v>
      </c>
      <c r="N503" s="14" t="s">
        <v>9158</v>
      </c>
      <c r="O503" s="19" t="s">
        <v>10115</v>
      </c>
      <c r="P503" s="14" t="s">
        <v>5968</v>
      </c>
      <c r="Q503" s="14">
        <v>1</v>
      </c>
    </row>
    <row r="504" spans="1:17">
      <c r="A504" s="14" t="s">
        <v>5608</v>
      </c>
      <c r="B504" s="14" t="s">
        <v>52</v>
      </c>
      <c r="C504" s="14" t="s">
        <v>96</v>
      </c>
      <c r="D504" s="19" t="s">
        <v>634</v>
      </c>
      <c r="E504" s="15" t="str">
        <f>HYPERLINK("https://stat100.ameba.jp/tnk47/ratio20/illustrations/card/ill_40963_0_makami03.jpg?202010-5-RELEASE-marathon-496", "■")</f>
        <v>■</v>
      </c>
      <c r="F504" s="14" t="s">
        <v>2038</v>
      </c>
      <c r="G504" s="14">
        <v>152152</v>
      </c>
      <c r="H504" s="14">
        <v>142500</v>
      </c>
      <c r="I504" s="14">
        <v>26</v>
      </c>
      <c r="J504" s="14" t="s">
        <v>44</v>
      </c>
      <c r="K504" s="14" t="s">
        <v>2039</v>
      </c>
      <c r="L504" s="14" t="s">
        <v>2040</v>
      </c>
      <c r="M504" s="14" t="s">
        <v>9158</v>
      </c>
      <c r="N504" s="14" t="s">
        <v>9158</v>
      </c>
      <c r="O504" s="14" t="s">
        <v>9158</v>
      </c>
      <c r="P504" s="14" t="s">
        <v>9158</v>
      </c>
      <c r="Q504" s="14" t="s">
        <v>9158</v>
      </c>
    </row>
    <row r="505" spans="1:17">
      <c r="A505" s="14">
        <v>81313</v>
      </c>
      <c r="B505" s="14" t="s">
        <v>0</v>
      </c>
      <c r="C505" s="14" t="s">
        <v>154</v>
      </c>
      <c r="D505" s="20" t="s">
        <v>10511</v>
      </c>
      <c r="E505" s="15" t="str">
        <f>HYPERLINK("https://stat100.ameba.jp/tnk47/ratio20/illustrations/card/ill_81313_harihara03.jpg?202010-5-RELEASE-marathon-496", "■")</f>
        <v>■</v>
      </c>
      <c r="F505" s="14" t="s">
        <v>4667</v>
      </c>
      <c r="G505" s="14">
        <v>172982</v>
      </c>
      <c r="H505" s="14">
        <v>125296</v>
      </c>
      <c r="I505" s="14">
        <v>26</v>
      </c>
      <c r="J505" s="14" t="s">
        <v>44</v>
      </c>
      <c r="K505" s="14" t="s">
        <v>4668</v>
      </c>
      <c r="L505" s="14" t="s">
        <v>4669</v>
      </c>
      <c r="M505" s="14" t="s">
        <v>9158</v>
      </c>
      <c r="N505" s="14" t="s">
        <v>9158</v>
      </c>
      <c r="O505" s="19" t="s">
        <v>10114</v>
      </c>
      <c r="P505" s="14" t="s">
        <v>3658</v>
      </c>
      <c r="Q505" s="14">
        <v>1</v>
      </c>
    </row>
    <row r="506" spans="1:17">
      <c r="A506" s="14">
        <v>84323</v>
      </c>
      <c r="B506" s="14" t="s">
        <v>0</v>
      </c>
      <c r="C506" s="14" t="s">
        <v>158</v>
      </c>
      <c r="D506" s="19" t="s">
        <v>10669</v>
      </c>
      <c r="E506" s="15" t="str">
        <f>HYPERLINK("https://stat100.ameba.jp/tnk47/ratio20/illustrations/card/ill_84323_kagizumebyakko03.jpg?202010-5-RELEASE-marathon-496", "■")</f>
        <v>■</v>
      </c>
      <c r="F506" s="14" t="s">
        <v>7284</v>
      </c>
      <c r="G506" s="14">
        <v>132562</v>
      </c>
      <c r="H506" s="14">
        <v>96010</v>
      </c>
      <c r="I506" s="14">
        <v>26</v>
      </c>
      <c r="J506" s="14" t="s">
        <v>155</v>
      </c>
      <c r="K506" s="14" t="s">
        <v>7283</v>
      </c>
      <c r="L506" s="14" t="s">
        <v>7282</v>
      </c>
      <c r="M506" s="14" t="s">
        <v>9158</v>
      </c>
      <c r="N506" s="14" t="s">
        <v>9158</v>
      </c>
      <c r="O506" s="19" t="s">
        <v>10109</v>
      </c>
      <c r="P506" s="14" t="s">
        <v>3625</v>
      </c>
      <c r="Q506" s="14">
        <v>1</v>
      </c>
    </row>
    <row r="507" spans="1:17">
      <c r="A507" s="14">
        <v>75883</v>
      </c>
      <c r="B507" s="14" t="s">
        <v>334</v>
      </c>
      <c r="C507" s="14" t="s">
        <v>154</v>
      </c>
      <c r="D507" s="19" t="s">
        <v>10402</v>
      </c>
      <c r="E507" s="15" t="str">
        <f>HYPERLINK("https://stat100.ameba.jp/tnk47/ratio20/illustrations/card/ill_75883_kitajokagehiro03.jpg?202010-5-RELEASE-marathon-496", "■")</f>
        <v>■</v>
      </c>
      <c r="F507" s="14" t="s">
        <v>2411</v>
      </c>
      <c r="G507" s="14">
        <v>125296</v>
      </c>
      <c r="H507" s="14">
        <v>172982</v>
      </c>
      <c r="I507" s="14">
        <v>26</v>
      </c>
      <c r="J507" s="14" t="s">
        <v>143</v>
      </c>
      <c r="K507" s="14" t="s">
        <v>2412</v>
      </c>
      <c r="L507" s="14" t="s">
        <v>1148</v>
      </c>
      <c r="M507" s="14" t="s">
        <v>9158</v>
      </c>
      <c r="N507" s="14" t="s">
        <v>9158</v>
      </c>
      <c r="O507" s="19" t="s">
        <v>10106</v>
      </c>
      <c r="P507" s="14" t="s">
        <v>3330</v>
      </c>
      <c r="Q507" s="14">
        <v>2</v>
      </c>
    </row>
    <row r="508" spans="1:17">
      <c r="A508" s="14">
        <v>75893</v>
      </c>
      <c r="B508" s="14" t="s">
        <v>0</v>
      </c>
      <c r="C508" s="14" t="s">
        <v>158</v>
      </c>
      <c r="D508" s="19" t="s">
        <v>3095</v>
      </c>
      <c r="E508" s="15" t="str">
        <f>HYPERLINK("https://stat100.ameba.jp/tnk47/ratio20/illustrations/card/ill_75893_hamamatsutakuni03.jpg?202010-5-RELEASE-marathon-496", "■")</f>
        <v>■</v>
      </c>
      <c r="F508" s="14" t="s">
        <v>3594</v>
      </c>
      <c r="G508" s="14">
        <v>118000</v>
      </c>
      <c r="H508" s="14">
        <v>85492</v>
      </c>
      <c r="I508" s="14">
        <v>26</v>
      </c>
      <c r="J508" s="14" t="s">
        <v>16</v>
      </c>
      <c r="K508" s="14" t="s">
        <v>3595</v>
      </c>
      <c r="L508" s="14" t="s">
        <v>920</v>
      </c>
      <c r="M508" s="14" t="s">
        <v>9158</v>
      </c>
      <c r="N508" s="14" t="s">
        <v>9158</v>
      </c>
      <c r="O508" s="19" t="s">
        <v>3037</v>
      </c>
      <c r="P508" s="14" t="s">
        <v>13128</v>
      </c>
      <c r="Q508" s="14">
        <v>1</v>
      </c>
    </row>
    <row r="509" spans="1:17">
      <c r="A509" s="14">
        <v>79523</v>
      </c>
      <c r="B509" s="14" t="s">
        <v>0</v>
      </c>
      <c r="C509" s="14" t="s">
        <v>203</v>
      </c>
      <c r="D509" s="20" t="s">
        <v>10309</v>
      </c>
      <c r="E509" s="15" t="str">
        <f>HYPERLINK("https://stat100.ameba.jp/tnk47/ratio20/illustrations/card/ill_79523_shikyokunoashurato03.jpg?202010-5-RELEASE-marathon-496", "■")</f>
        <v>■</v>
      </c>
      <c r="F509" s="14" t="s">
        <v>3590</v>
      </c>
      <c r="G509" s="14">
        <v>82318</v>
      </c>
      <c r="H509" s="14">
        <v>113630</v>
      </c>
      <c r="I509" s="14">
        <v>26</v>
      </c>
      <c r="J509" s="14" t="s">
        <v>77</v>
      </c>
      <c r="K509" s="14" t="s">
        <v>3591</v>
      </c>
      <c r="L509" s="14" t="s">
        <v>1955</v>
      </c>
      <c r="M509" s="14" t="s">
        <v>9158</v>
      </c>
      <c r="N509" s="14" t="s">
        <v>9158</v>
      </c>
      <c r="O509" s="19" t="s">
        <v>10074</v>
      </c>
      <c r="P509" s="14" t="s">
        <v>3592</v>
      </c>
      <c r="Q509" s="14">
        <v>1</v>
      </c>
    </row>
    <row r="510" spans="1:17">
      <c r="A510" s="14">
        <v>75053</v>
      </c>
      <c r="B510" s="14" t="s">
        <v>334</v>
      </c>
      <c r="C510" s="14" t="s">
        <v>47</v>
      </c>
      <c r="D510" s="19" t="s">
        <v>10366</v>
      </c>
      <c r="E510" s="15" t="str">
        <f>HYPERLINK("https://stat100.ameba.jp/tnk47/ratio20/illustrations/card/ill_75053_goshikinuma03.jpg?202010-5-RELEASE-marathon-496", "■")</f>
        <v>■</v>
      </c>
      <c r="F510" s="14" t="s">
        <v>5644</v>
      </c>
      <c r="G510" s="14">
        <v>96010</v>
      </c>
      <c r="H510" s="14">
        <v>132562</v>
      </c>
      <c r="I510" s="14">
        <v>26</v>
      </c>
      <c r="J510" s="14" t="s">
        <v>26</v>
      </c>
      <c r="K510" s="14" t="s">
        <v>5646</v>
      </c>
      <c r="L510" s="14" t="s">
        <v>2137</v>
      </c>
      <c r="M510" s="14" t="s">
        <v>9158</v>
      </c>
      <c r="N510" s="14" t="s">
        <v>9158</v>
      </c>
      <c r="O510" s="19" t="s">
        <v>10093</v>
      </c>
      <c r="P510" s="14" t="s">
        <v>13145</v>
      </c>
      <c r="Q510" s="14">
        <v>1</v>
      </c>
    </row>
    <row r="512" spans="1:17">
      <c r="A512" s="14" t="s">
        <v>3844</v>
      </c>
    </row>
    <row r="513" spans="1:18">
      <c r="A513" s="14" t="s">
        <v>14972</v>
      </c>
    </row>
    <row r="514" spans="1:18">
      <c r="A514" s="9" t="s">
        <v>5822</v>
      </c>
      <c r="B514" s="14" t="s">
        <v>330</v>
      </c>
      <c r="C514" s="14" t="s">
        <v>191</v>
      </c>
      <c r="D514" s="14" t="s">
        <v>898</v>
      </c>
      <c r="E514" s="15" t="str">
        <f>HYPERLINK("https://stat100.ameba.jp/tnk47/ratio20/illustrations/card/ill_71403_0_ohanamisanadayukimura03.jpg?202010-5-RELEASE-marathon-496", "■")</f>
        <v>■</v>
      </c>
      <c r="F514" s="14" t="s">
        <v>309</v>
      </c>
      <c r="G514" s="14">
        <v>233360</v>
      </c>
      <c r="H514" s="14">
        <v>216990</v>
      </c>
      <c r="I514" s="14">
        <v>25</v>
      </c>
      <c r="J514" s="14" t="s">
        <v>310</v>
      </c>
      <c r="K514" s="14" t="s">
        <v>311</v>
      </c>
      <c r="L514" s="14" t="s">
        <v>312</v>
      </c>
      <c r="M514" s="14" t="s">
        <v>9158</v>
      </c>
      <c r="N514" s="14" t="s">
        <v>9158</v>
      </c>
      <c r="O514" s="17" t="s">
        <v>10060</v>
      </c>
      <c r="P514" s="14" t="s">
        <v>3418</v>
      </c>
      <c r="Q514" s="14">
        <v>2</v>
      </c>
    </row>
    <row r="515" spans="1:18">
      <c r="A515" s="14">
        <v>85483</v>
      </c>
      <c r="B515" s="14" t="s">
        <v>0</v>
      </c>
      <c r="C515" s="14" t="s">
        <v>206</v>
      </c>
      <c r="D515" s="20" t="s">
        <v>10807</v>
      </c>
      <c r="E515" s="15" t="str">
        <f>HYPERLINK("https://stat100.ameba.jp/tnk47/ratio20/illustrations/card/ill_85483_seitankuronikururirimu03.jpg?202010-5-RELEASE-marathon-496", "■")</f>
        <v>■</v>
      </c>
      <c r="F515" s="14" t="s">
        <v>8445</v>
      </c>
      <c r="G515" s="14">
        <v>108330</v>
      </c>
      <c r="H515" s="14">
        <v>100744</v>
      </c>
      <c r="I515" s="14">
        <v>26</v>
      </c>
      <c r="J515" s="14" t="s">
        <v>182</v>
      </c>
      <c r="K515" s="14" t="s">
        <v>8444</v>
      </c>
      <c r="L515" s="14" t="s">
        <v>2308</v>
      </c>
      <c r="M515" s="14" t="s">
        <v>9158</v>
      </c>
      <c r="N515" s="14" t="s">
        <v>9158</v>
      </c>
      <c r="O515" s="19" t="s">
        <v>10086</v>
      </c>
      <c r="P515" s="14" t="s">
        <v>3701</v>
      </c>
      <c r="Q515" s="14">
        <v>1</v>
      </c>
    </row>
    <row r="516" spans="1:18">
      <c r="A516" s="14">
        <v>78633</v>
      </c>
      <c r="B516" s="14" t="s">
        <v>334</v>
      </c>
      <c r="C516" s="14" t="s">
        <v>200</v>
      </c>
      <c r="D516" s="19" t="s">
        <v>2749</v>
      </c>
      <c r="E516" s="15" t="str">
        <f>HYPERLINK("https://stat100.ameba.jp/tnk47/ratio20/illustrations/card/ill_78633_geishunyuramyoinni03.jpg?202010-5-RELEASE-marathon-496", "■")</f>
        <v>■</v>
      </c>
      <c r="F516" s="14" t="s">
        <v>2750</v>
      </c>
      <c r="G516" s="14">
        <v>94390</v>
      </c>
      <c r="H516" s="14">
        <v>101558</v>
      </c>
      <c r="I516" s="14">
        <v>26</v>
      </c>
      <c r="J516" s="14" t="s">
        <v>315</v>
      </c>
      <c r="K516" s="14" t="s">
        <v>2751</v>
      </c>
      <c r="L516" s="14" t="s">
        <v>608</v>
      </c>
      <c r="M516" s="14" t="s">
        <v>9158</v>
      </c>
      <c r="N516" s="14" t="s">
        <v>9158</v>
      </c>
      <c r="O516" s="19" t="s">
        <v>2752</v>
      </c>
      <c r="P516" s="14" t="s">
        <v>13123</v>
      </c>
      <c r="Q516" s="14">
        <v>1</v>
      </c>
    </row>
    <row r="517" spans="1:18">
      <c r="A517" s="14">
        <v>66363</v>
      </c>
      <c r="B517" s="14" t="s">
        <v>334</v>
      </c>
      <c r="C517" s="14" t="s">
        <v>158</v>
      </c>
      <c r="D517" s="19" t="s">
        <v>2910</v>
      </c>
      <c r="E517" s="15" t="str">
        <f>HYPERLINK("https://stat100.ameba.jp/tnk47/ratio20/illustrations/card/ill_66363_iharasaikaku03.jpg?202010-5-RELEASE-marathon-496", "■")</f>
        <v>■</v>
      </c>
      <c r="F517" s="14" t="s">
        <v>122</v>
      </c>
      <c r="G517" s="9">
        <v>85492</v>
      </c>
      <c r="H517" s="9">
        <v>118000</v>
      </c>
      <c r="I517" s="14">
        <v>26</v>
      </c>
      <c r="J517" s="14" t="s">
        <v>414</v>
      </c>
      <c r="K517" s="14" t="s">
        <v>2911</v>
      </c>
      <c r="L517" s="14" t="s">
        <v>1575</v>
      </c>
      <c r="M517" s="14" t="s">
        <v>9158</v>
      </c>
      <c r="N517" s="14" t="s">
        <v>9158</v>
      </c>
      <c r="O517" s="19" t="s">
        <v>10074</v>
      </c>
      <c r="P517" s="14" t="s">
        <v>2822</v>
      </c>
      <c r="Q517" s="14">
        <v>1</v>
      </c>
    </row>
    <row r="519" spans="1:18">
      <c r="A519" s="14" t="s">
        <v>14973</v>
      </c>
    </row>
    <row r="520" spans="1:18">
      <c r="A520" s="14" t="s">
        <v>14974</v>
      </c>
    </row>
    <row r="521" spans="1:18">
      <c r="A521" s="14">
        <v>89165</v>
      </c>
      <c r="B521" s="14" t="s">
        <v>0</v>
      </c>
      <c r="C521" s="14" t="s">
        <v>202</v>
      </c>
      <c r="D521" s="14" t="s">
        <v>14984</v>
      </c>
      <c r="E521" s="15" t="str">
        <f>HYPERLINK("https://stat100.ameba.jp/tnk47/ratio20/illustrations/card/ill_89165_uchusensohottakichiko05.jpg?202010-5-RELEASE-marathon-496", "■")</f>
        <v>■</v>
      </c>
      <c r="F521" s="14" t="s">
        <v>14978</v>
      </c>
      <c r="G521" s="14">
        <v>138370</v>
      </c>
      <c r="H521" s="14">
        <v>100195</v>
      </c>
      <c r="I521" s="7">
        <v>27</v>
      </c>
      <c r="J521" s="14" t="s">
        <v>14977</v>
      </c>
      <c r="K521" s="14" t="s">
        <v>14976</v>
      </c>
      <c r="L521" s="14" t="s">
        <v>14975</v>
      </c>
      <c r="M521" s="14" t="s">
        <v>9158</v>
      </c>
      <c r="N521" s="14" t="s">
        <v>9158</v>
      </c>
      <c r="O521" s="14" t="s">
        <v>9158</v>
      </c>
      <c r="P521" s="14" t="s">
        <v>9158</v>
      </c>
      <c r="Q521" s="14" t="s">
        <v>9158</v>
      </c>
      <c r="R521" s="14" t="s">
        <v>174</v>
      </c>
    </row>
    <row r="522" spans="1:18">
      <c r="A522" s="14">
        <v>89163</v>
      </c>
      <c r="B522" s="14" t="s">
        <v>15</v>
      </c>
      <c r="C522" s="14" t="s">
        <v>158</v>
      </c>
      <c r="D522" s="14" t="s">
        <v>14984</v>
      </c>
      <c r="E522" s="15" t="str">
        <f>HYPERLINK("https://stat100.ameba.jp/tnk47/ratio20/illustrations/card/ill_89163_uchusensohottakichiko03.jpg?202010-5-RELEASE-marathon-496", "■")</f>
        <v>■</v>
      </c>
      <c r="F522" s="14" t="s">
        <v>14978</v>
      </c>
      <c r="G522" s="14">
        <v>101943</v>
      </c>
      <c r="H522" s="14">
        <v>73805</v>
      </c>
      <c r="I522" s="14">
        <v>27</v>
      </c>
      <c r="J522" s="14" t="s">
        <v>14977</v>
      </c>
      <c r="K522" s="14" t="s">
        <v>14976</v>
      </c>
      <c r="L522" s="14" t="s">
        <v>14995</v>
      </c>
      <c r="M522" s="14" t="s">
        <v>9158</v>
      </c>
      <c r="N522" s="14" t="s">
        <v>9158</v>
      </c>
      <c r="O522" s="14" t="s">
        <v>9158</v>
      </c>
      <c r="P522" s="14" t="s">
        <v>9158</v>
      </c>
      <c r="Q522" s="14" t="s">
        <v>9158</v>
      </c>
      <c r="R522" s="14" t="s">
        <v>175</v>
      </c>
    </row>
    <row r="523" spans="1:18">
      <c r="A523" s="14">
        <v>89161</v>
      </c>
      <c r="B523" s="14" t="s">
        <v>15</v>
      </c>
      <c r="C523" s="14" t="s">
        <v>158</v>
      </c>
      <c r="D523" s="14" t="s">
        <v>14984</v>
      </c>
      <c r="E523" s="15" t="str">
        <f>HYPERLINK("https://stat100.ameba.jp/tnk47/ratio20/illustrations/card/ill_89161_uchusensohottakichiko01.jpg?202010-5-RELEASE-marathon-496", "■")</f>
        <v>■</v>
      </c>
      <c r="F523" s="14" t="s">
        <v>14978</v>
      </c>
      <c r="G523" s="14">
        <v>64854</v>
      </c>
      <c r="H523" s="14">
        <v>46953</v>
      </c>
      <c r="I523" s="7">
        <v>27</v>
      </c>
      <c r="J523" s="14" t="s">
        <v>14977</v>
      </c>
      <c r="K523" s="14" t="s">
        <v>14976</v>
      </c>
      <c r="L523" s="14" t="s">
        <v>14994</v>
      </c>
      <c r="M523" s="14" t="s">
        <v>9158</v>
      </c>
      <c r="N523" s="14" t="s">
        <v>9158</v>
      </c>
      <c r="O523" s="14" t="s">
        <v>9158</v>
      </c>
      <c r="P523" s="14" t="s">
        <v>9158</v>
      </c>
      <c r="Q523" s="14" t="s">
        <v>9158</v>
      </c>
      <c r="R523" s="14" t="s">
        <v>176</v>
      </c>
    </row>
    <row r="524" spans="1:18">
      <c r="A524" s="14">
        <v>85035</v>
      </c>
      <c r="B524" s="14" t="s">
        <v>0</v>
      </c>
      <c r="C524" s="14" t="s">
        <v>202</v>
      </c>
      <c r="D524" s="14" t="s">
        <v>14983</v>
      </c>
      <c r="E524" s="15" t="str">
        <f>HYPERLINK("https://stat100.ameba.jp/tnk47/ratio20/illustrations/card/ill_85035_kimononohikaguya05.jpg?202010-5-RELEASE-marathon-496", "■")</f>
        <v>■</v>
      </c>
      <c r="F524" s="14" t="s">
        <v>14982</v>
      </c>
      <c r="G524" s="14">
        <v>105599</v>
      </c>
      <c r="H524" s="14">
        <v>76460</v>
      </c>
      <c r="I524" s="14">
        <v>27</v>
      </c>
      <c r="J524" s="14" t="s">
        <v>14981</v>
      </c>
      <c r="K524" s="14" t="s">
        <v>14980</v>
      </c>
      <c r="L524" s="14" t="s">
        <v>14979</v>
      </c>
      <c r="M524" s="14" t="s">
        <v>9158</v>
      </c>
      <c r="N524" s="14" t="s">
        <v>9158</v>
      </c>
      <c r="O524" s="14" t="s">
        <v>9158</v>
      </c>
      <c r="P524" s="14" t="s">
        <v>9158</v>
      </c>
      <c r="Q524" s="14" t="s">
        <v>9158</v>
      </c>
      <c r="R524" s="14" t="s">
        <v>174</v>
      </c>
    </row>
    <row r="525" spans="1:18">
      <c r="A525" s="14">
        <v>85033</v>
      </c>
      <c r="B525" s="14" t="s">
        <v>15</v>
      </c>
      <c r="C525" s="14" t="s">
        <v>158</v>
      </c>
      <c r="D525" s="14" t="s">
        <v>14983</v>
      </c>
      <c r="E525" s="15" t="str">
        <f>HYPERLINK("https://stat100.ameba.jp/tnk47/ratio20/illustrations/card/ill_85033_kimononohikaguya03.jpg?202010-5-RELEASE-marathon-496", "■")</f>
        <v>■</v>
      </c>
      <c r="F525" s="14" t="s">
        <v>14982</v>
      </c>
      <c r="G525" s="14">
        <v>76229</v>
      </c>
      <c r="H525" s="14">
        <v>55259</v>
      </c>
      <c r="I525" s="7">
        <v>27</v>
      </c>
      <c r="J525" s="14" t="s">
        <v>14981</v>
      </c>
      <c r="K525" s="14" t="s">
        <v>14980</v>
      </c>
      <c r="L525" s="14" t="s">
        <v>14993</v>
      </c>
      <c r="M525" s="14" t="s">
        <v>9158</v>
      </c>
      <c r="N525" s="14" t="s">
        <v>9158</v>
      </c>
      <c r="O525" s="14" t="s">
        <v>9158</v>
      </c>
      <c r="P525" s="14" t="s">
        <v>9158</v>
      </c>
      <c r="Q525" s="14" t="s">
        <v>9158</v>
      </c>
      <c r="R525" s="14" t="s">
        <v>175</v>
      </c>
    </row>
    <row r="526" spans="1:18">
      <c r="A526" s="14">
        <v>85031</v>
      </c>
      <c r="B526" s="14" t="s">
        <v>15</v>
      </c>
      <c r="C526" s="14" t="s">
        <v>158</v>
      </c>
      <c r="D526" s="14" t="s">
        <v>14983</v>
      </c>
      <c r="E526" s="15" t="str">
        <f>HYPERLINK("https://stat100.ameba.jp/tnk47/ratio20/illustrations/card/ill_85031_kimononohikaguya01.jpg?202010-5-RELEASE-marathon-496", "■")</f>
        <v>■</v>
      </c>
      <c r="F526" s="14" t="s">
        <v>14982</v>
      </c>
      <c r="G526" s="14">
        <v>44253</v>
      </c>
      <c r="H526" s="14">
        <v>32049</v>
      </c>
      <c r="I526" s="14">
        <v>27</v>
      </c>
      <c r="J526" s="14" t="s">
        <v>14981</v>
      </c>
      <c r="K526" s="14" t="s">
        <v>14980</v>
      </c>
      <c r="L526" s="14" t="s">
        <v>14992</v>
      </c>
      <c r="M526" s="14" t="s">
        <v>9158</v>
      </c>
      <c r="N526" s="14" t="s">
        <v>9158</v>
      </c>
      <c r="O526" s="14" t="s">
        <v>9158</v>
      </c>
      <c r="P526" s="14" t="s">
        <v>9158</v>
      </c>
      <c r="Q526" s="14" t="s">
        <v>9158</v>
      </c>
      <c r="R526" s="14" t="s">
        <v>176</v>
      </c>
    </row>
    <row r="527" spans="1:18">
      <c r="A527" s="14">
        <v>88475</v>
      </c>
      <c r="B527" s="14" t="s">
        <v>0</v>
      </c>
      <c r="C527" s="14" t="s">
        <v>202</v>
      </c>
      <c r="D527" s="14" t="s">
        <v>14989</v>
      </c>
      <c r="E527" s="15" t="str">
        <f>HYPERLINK("https://stat100.ameba.jp/tnk47/ratio20/illustrations/card/ill_88475_baiorinisutosentsua05.jpg?202010-5-RELEASE-marathon-496", "■")</f>
        <v>■</v>
      </c>
      <c r="F527" s="14" t="s">
        <v>14988</v>
      </c>
      <c r="G527" s="14">
        <v>111167</v>
      </c>
      <c r="H527" s="14">
        <v>153514</v>
      </c>
      <c r="I527" s="7">
        <v>27</v>
      </c>
      <c r="J527" s="14" t="s">
        <v>14987</v>
      </c>
      <c r="K527" s="14" t="s">
        <v>14986</v>
      </c>
      <c r="L527" s="14" t="s">
        <v>14985</v>
      </c>
      <c r="M527" s="14" t="s">
        <v>9158</v>
      </c>
      <c r="N527" s="14" t="s">
        <v>9158</v>
      </c>
      <c r="O527" s="14" t="s">
        <v>9158</v>
      </c>
      <c r="P527" s="14" t="s">
        <v>9158</v>
      </c>
      <c r="Q527" s="14" t="s">
        <v>9158</v>
      </c>
      <c r="R527" s="14" t="s">
        <v>174</v>
      </c>
    </row>
    <row r="528" spans="1:18">
      <c r="A528" s="14">
        <v>88473</v>
      </c>
      <c r="B528" s="14" t="s">
        <v>15</v>
      </c>
      <c r="C528" s="14" t="s">
        <v>47</v>
      </c>
      <c r="D528" s="14" t="s">
        <v>14989</v>
      </c>
      <c r="E528" s="15" t="str">
        <f>HYPERLINK("https://stat100.ameba.jp/tnk47/ratio20/illustrations/card/ill_88473_baiorinisutosentsua03.jpg?202010-5-RELEASE-marathon-496", "■")</f>
        <v>■</v>
      </c>
      <c r="F528" s="14" t="s">
        <v>14988</v>
      </c>
      <c r="G528" s="14">
        <v>81907</v>
      </c>
      <c r="H528" s="14">
        <v>113118</v>
      </c>
      <c r="I528" s="14">
        <v>27</v>
      </c>
      <c r="J528" s="14" t="s">
        <v>14987</v>
      </c>
      <c r="K528" s="14" t="s">
        <v>14986</v>
      </c>
      <c r="L528" s="14" t="s">
        <v>14991</v>
      </c>
      <c r="M528" s="14" t="s">
        <v>9158</v>
      </c>
      <c r="N528" s="14" t="s">
        <v>9158</v>
      </c>
      <c r="O528" s="14" t="s">
        <v>9158</v>
      </c>
      <c r="P528" s="14" t="s">
        <v>9158</v>
      </c>
      <c r="Q528" s="14" t="s">
        <v>9158</v>
      </c>
      <c r="R528" s="14" t="s">
        <v>175</v>
      </c>
    </row>
    <row r="529" spans="1:18">
      <c r="A529" s="14">
        <v>88471</v>
      </c>
      <c r="B529" s="14" t="s">
        <v>15</v>
      </c>
      <c r="C529" s="14" t="s">
        <v>47</v>
      </c>
      <c r="D529" s="14" t="s">
        <v>14989</v>
      </c>
      <c r="E529" s="15" t="str">
        <f>HYPERLINK("https://stat100.ameba.jp/tnk47/ratio20/illustrations/card/ill_88471_baiorinisutosentsua01.jpg?202010-5-RELEASE-marathon-496", "■")</f>
        <v>■</v>
      </c>
      <c r="F529" s="14" t="s">
        <v>14988</v>
      </c>
      <c r="G529" s="14">
        <v>52110</v>
      </c>
      <c r="H529" s="14">
        <v>71955</v>
      </c>
      <c r="I529" s="7">
        <v>27</v>
      </c>
      <c r="J529" s="14" t="s">
        <v>14987</v>
      </c>
      <c r="K529" s="14" t="s">
        <v>14986</v>
      </c>
      <c r="L529" s="14" t="s">
        <v>14990</v>
      </c>
      <c r="M529" s="14" t="s">
        <v>9158</v>
      </c>
      <c r="N529" s="14" t="s">
        <v>9158</v>
      </c>
      <c r="O529" s="14" t="s">
        <v>9158</v>
      </c>
      <c r="P529" s="14" t="s">
        <v>9158</v>
      </c>
      <c r="Q529" s="14" t="s">
        <v>9158</v>
      </c>
      <c r="R529" s="14" t="s">
        <v>176</v>
      </c>
    </row>
  </sheetData>
  <phoneticPr fontId="1"/>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D65C-B373-4B55-8A56-6DAC96C55E9E}">
  <dimension ref="A1:S634"/>
  <sheetViews>
    <sheetView zoomScale="55" zoomScaleNormal="55" workbookViewId="0">
      <pane ySplit="1" topLeftCell="A421" activePane="bottomLeft" state="frozen"/>
      <selection activeCell="Q158" sqref="A158:Q158"/>
      <selection pane="bottomLeft" activeCell="D434" sqref="D434"/>
    </sheetView>
  </sheetViews>
  <sheetFormatPr defaultColWidth="8.9140625" defaultRowHeight="18"/>
  <cols>
    <col min="1" max="1" width="6.4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15017</v>
      </c>
    </row>
    <row r="4" spans="1:19">
      <c r="A4" s="14" t="s">
        <v>15019</v>
      </c>
    </row>
    <row r="5" spans="1:19">
      <c r="A5" s="14" t="s">
        <v>15018</v>
      </c>
    </row>
    <row r="6" spans="1:19">
      <c r="A6" s="14" t="s">
        <v>14997</v>
      </c>
      <c r="B6" s="7" t="s">
        <v>52</v>
      </c>
      <c r="C6" s="14" t="s">
        <v>202</v>
      </c>
      <c r="D6" s="18" t="s">
        <v>14996</v>
      </c>
      <c r="E6" s="15" t="str">
        <f>HYPERLINK("https://stat100.ameba.jp/tnk47/ratio20/illustrations/card/ill_92403_0_haroimmochizukichiyome03.jpg?202010-5-RELEASE-marathon-496x", "■")</f>
        <v>■</v>
      </c>
      <c r="F6" s="14" t="s">
        <v>15003</v>
      </c>
      <c r="G6" s="14">
        <v>387740</v>
      </c>
      <c r="H6" s="14">
        <v>317216</v>
      </c>
      <c r="I6" s="7">
        <v>32</v>
      </c>
      <c r="J6" s="14" t="s">
        <v>15002</v>
      </c>
      <c r="K6" s="14" t="s">
        <v>15001</v>
      </c>
      <c r="L6" s="14" t="s">
        <v>15000</v>
      </c>
      <c r="M6" s="14" t="s">
        <v>9158</v>
      </c>
      <c r="N6" s="14" t="s">
        <v>9158</v>
      </c>
      <c r="O6" s="6" t="s">
        <v>14998</v>
      </c>
      <c r="P6" s="7" t="s">
        <v>14999</v>
      </c>
      <c r="Q6" s="7">
        <v>1</v>
      </c>
    </row>
    <row r="7" spans="1:19">
      <c r="A7" s="14">
        <v>92363</v>
      </c>
      <c r="B7" s="14" t="s">
        <v>0</v>
      </c>
      <c r="C7" s="14" t="s">
        <v>15005</v>
      </c>
      <c r="D7" s="18" t="s">
        <v>15010</v>
      </c>
      <c r="E7" s="15" t="str">
        <f>HYPERLINK("https://stat100.ameba.jp/tnk47/ratio20/illustrations/card/ill_92363_haroinorochinomusha03.jpg?202010-5-RELEASE-marathon-496x", "■")</f>
        <v>■</v>
      </c>
      <c r="F7" s="14" t="s">
        <v>15009</v>
      </c>
      <c r="G7" s="14">
        <v>154768</v>
      </c>
      <c r="H7" s="14">
        <v>166452</v>
      </c>
      <c r="I7" s="14">
        <v>28</v>
      </c>
      <c r="J7" s="14" t="s">
        <v>15008</v>
      </c>
      <c r="K7" s="14" t="s">
        <v>15007</v>
      </c>
      <c r="L7" s="14" t="s">
        <v>15006</v>
      </c>
      <c r="M7" s="14" t="s">
        <v>9158</v>
      </c>
      <c r="N7" s="14" t="s">
        <v>9158</v>
      </c>
      <c r="O7" s="6" t="s">
        <v>2717</v>
      </c>
      <c r="P7" s="7" t="s">
        <v>15004</v>
      </c>
      <c r="Q7" s="7">
        <v>1</v>
      </c>
    </row>
    <row r="8" spans="1:19">
      <c r="A8" s="14">
        <v>92343</v>
      </c>
      <c r="B8" s="14" t="s">
        <v>0</v>
      </c>
      <c r="C8" s="14" t="s">
        <v>15016</v>
      </c>
      <c r="D8" s="18" t="s">
        <v>15015</v>
      </c>
      <c r="E8" s="15" t="str">
        <f>HYPERLINK("https://stat100.ameba.jp/tnk47/ratio20/illustrations/card/ill_92343_haroinsentoin03.jpg?202010-5-RELEASE-marathon-496x", "■")</f>
        <v>■</v>
      </c>
      <c r="F8" s="14" t="s">
        <v>15014</v>
      </c>
      <c r="G8" s="14">
        <v>109370</v>
      </c>
      <c r="H8" s="14">
        <v>101650</v>
      </c>
      <c r="I8" s="14">
        <v>28</v>
      </c>
      <c r="J8" s="14" t="s">
        <v>15013</v>
      </c>
      <c r="K8" s="14" t="s">
        <v>15012</v>
      </c>
      <c r="L8" s="14" t="s">
        <v>15011</v>
      </c>
      <c r="M8" s="14" t="s">
        <v>2138</v>
      </c>
      <c r="N8" s="14" t="s">
        <v>2139</v>
      </c>
      <c r="O8" s="14" t="s">
        <v>9158</v>
      </c>
      <c r="P8" s="14" t="s">
        <v>9158</v>
      </c>
      <c r="Q8" s="14" t="s">
        <v>9158</v>
      </c>
      <c r="R8" s="14" t="s">
        <v>13120</v>
      </c>
    </row>
    <row r="9" spans="1:19">
      <c r="A9" s="14">
        <v>92353</v>
      </c>
      <c r="B9" s="14" t="s">
        <v>0</v>
      </c>
      <c r="C9" s="14" t="s">
        <v>15023</v>
      </c>
      <c r="D9" s="18" t="s">
        <v>15024</v>
      </c>
      <c r="E9" s="15" t="str">
        <f>HYPERLINK("https://stat100.ameba.jp/tnk47/ratio20/illustrations/card/ill_92353_haroinyuhime03.jpg?202010-5-RELEASE-marathon-496x", "■")</f>
        <v>■</v>
      </c>
      <c r="F9" s="14" t="s">
        <v>15022</v>
      </c>
      <c r="G9" s="14">
        <v>132230</v>
      </c>
      <c r="H9" s="14">
        <v>122960</v>
      </c>
      <c r="I9" s="14">
        <v>28</v>
      </c>
      <c r="J9" s="14" t="s">
        <v>15013</v>
      </c>
      <c r="K9" s="14" t="s">
        <v>15021</v>
      </c>
      <c r="L9" s="14" t="s">
        <v>15020</v>
      </c>
      <c r="M9" s="14" t="s">
        <v>2138</v>
      </c>
      <c r="N9" s="14" t="s">
        <v>2139</v>
      </c>
      <c r="O9" s="14" t="s">
        <v>9158</v>
      </c>
      <c r="P9" s="14" t="s">
        <v>9158</v>
      </c>
      <c r="Q9" s="14" t="s">
        <v>9158</v>
      </c>
      <c r="R9" s="14" t="s">
        <v>13120</v>
      </c>
    </row>
    <row r="10" spans="1:19">
      <c r="A10" s="14">
        <v>92373</v>
      </c>
      <c r="B10" s="14" t="s">
        <v>15</v>
      </c>
      <c r="C10" s="14" t="s">
        <v>15025</v>
      </c>
      <c r="D10" s="18" t="s">
        <v>15026</v>
      </c>
      <c r="E10" s="15" t="str">
        <f>HYPERLINK("https://stat100.ameba.jp/tnk47/ratio20/illustrations/card/ill_92373_haroinshimaryu03.jpg?202010-5-RELEASE-marathon-496x", "■")</f>
        <v>■</v>
      </c>
      <c r="F10" s="14" t="s">
        <v>15030</v>
      </c>
      <c r="G10" s="14">
        <v>72586</v>
      </c>
      <c r="H10" s="14">
        <v>80028</v>
      </c>
      <c r="I10" s="14">
        <v>27</v>
      </c>
      <c r="J10" s="14" t="s">
        <v>15029</v>
      </c>
      <c r="K10" s="14" t="s">
        <v>15028</v>
      </c>
      <c r="L10" s="14" t="s">
        <v>15027</v>
      </c>
      <c r="M10" s="14" t="s">
        <v>9158</v>
      </c>
      <c r="N10" s="14" t="s">
        <v>9158</v>
      </c>
      <c r="O10" s="14" t="s">
        <v>9158</v>
      </c>
      <c r="P10" s="14" t="s">
        <v>9158</v>
      </c>
      <c r="Q10" s="14" t="s">
        <v>9158</v>
      </c>
    </row>
    <row r="11" spans="1:19">
      <c r="A11" s="14">
        <v>92383</v>
      </c>
      <c r="B11" s="14" t="s">
        <v>15</v>
      </c>
      <c r="C11" s="14" t="s">
        <v>15035</v>
      </c>
      <c r="D11" s="18" t="s">
        <v>15034</v>
      </c>
      <c r="E11" s="15" t="str">
        <f>HYPERLINK("https://stat100.ameba.jp/tnk47/ratio20/illustrations/card/ill_92383_shukakusaiharoimpurisuto03.jpg?202010-5-RELEASE-marathon-496x", "■")</f>
        <v>■</v>
      </c>
      <c r="F11" s="14" t="s">
        <v>15033</v>
      </c>
      <c r="G11" s="14">
        <v>80028</v>
      </c>
      <c r="H11" s="14">
        <v>72586</v>
      </c>
      <c r="I11" s="14">
        <v>27</v>
      </c>
      <c r="J11" s="14" t="s">
        <v>15029</v>
      </c>
      <c r="K11" s="14" t="s">
        <v>15032</v>
      </c>
      <c r="L11" s="14" t="s">
        <v>15031</v>
      </c>
      <c r="M11" s="14" t="s">
        <v>9158</v>
      </c>
      <c r="N11" s="14" t="s">
        <v>9158</v>
      </c>
      <c r="O11" s="14" t="s">
        <v>9158</v>
      </c>
      <c r="P11" s="14" t="s">
        <v>9158</v>
      </c>
      <c r="Q11" s="14" t="s">
        <v>9158</v>
      </c>
    </row>
    <row r="12" spans="1:19">
      <c r="A12" s="14">
        <v>92393</v>
      </c>
      <c r="B12" s="14" t="s">
        <v>15</v>
      </c>
      <c r="C12" s="14" t="s">
        <v>15040</v>
      </c>
      <c r="D12" s="18" t="s">
        <v>15039</v>
      </c>
      <c r="E12" s="15" t="str">
        <f>HYPERLINK("https://stat100.ameba.jp/tnk47/ratio20/illustrations/card/ill_92393_shukakusaipampukinnaito03.jpg?202010-5-RELEASE-marathon-496x", "■")</f>
        <v>■</v>
      </c>
      <c r="F12" s="14" t="s">
        <v>15038</v>
      </c>
      <c r="G12" s="14">
        <v>72586</v>
      </c>
      <c r="H12" s="14">
        <v>80028</v>
      </c>
      <c r="I12" s="14">
        <v>27</v>
      </c>
      <c r="J12" s="14" t="s">
        <v>15008</v>
      </c>
      <c r="K12" s="14" t="s">
        <v>15037</v>
      </c>
      <c r="L12" s="14" t="s">
        <v>15036</v>
      </c>
      <c r="M12" s="14" t="s">
        <v>9158</v>
      </c>
      <c r="N12" s="14" t="s">
        <v>9158</v>
      </c>
      <c r="O12" s="14" t="s">
        <v>9158</v>
      </c>
      <c r="P12" s="14" t="s">
        <v>9158</v>
      </c>
      <c r="Q12" s="14" t="s">
        <v>9158</v>
      </c>
    </row>
    <row r="13" spans="1:19">
      <c r="A13" s="14">
        <v>92413</v>
      </c>
      <c r="B13" s="14" t="s">
        <v>22</v>
      </c>
      <c r="C13" s="14" t="s">
        <v>15040</v>
      </c>
      <c r="D13" s="18" t="s">
        <v>15041</v>
      </c>
      <c r="E13" s="15" t="str">
        <f>HYPERLINK("https://stat100.ameba.jp/tnk47/ratio20/illustrations/card/ill_92413_makaiperoperokyandeichan03.jpg?202010-5-RELEASE-marathon-496x", "■")</f>
        <v>■</v>
      </c>
      <c r="F13" s="14" t="s">
        <v>15045</v>
      </c>
      <c r="G13" s="14">
        <v>39762</v>
      </c>
      <c r="H13" s="14">
        <v>47820</v>
      </c>
      <c r="I13" s="14">
        <v>23</v>
      </c>
      <c r="J13" s="14" t="s">
        <v>15044</v>
      </c>
      <c r="K13" s="14" t="s">
        <v>15043</v>
      </c>
      <c r="L13" s="14" t="s">
        <v>15042</v>
      </c>
      <c r="M13" s="14" t="s">
        <v>9158</v>
      </c>
      <c r="N13" s="14" t="s">
        <v>9158</v>
      </c>
      <c r="O13" s="14" t="s">
        <v>9158</v>
      </c>
      <c r="P13" s="14" t="s">
        <v>9158</v>
      </c>
      <c r="Q13" s="14" t="s">
        <v>9158</v>
      </c>
    </row>
    <row r="14" spans="1:19">
      <c r="A14" s="14">
        <v>92423</v>
      </c>
      <c r="B14" s="14" t="s">
        <v>22</v>
      </c>
      <c r="C14" s="14" t="s">
        <v>15035</v>
      </c>
      <c r="D14" s="18" t="s">
        <v>15049</v>
      </c>
      <c r="E14" s="15" t="str">
        <f>HYPERLINK("https://stat100.ameba.jp/tnk47/ratio20/illustrations/card/ill_92423_makaimurasakiimotarutochan03.jpg?202010-5-RELEASE-marathon-496x", "■")</f>
        <v>■</v>
      </c>
      <c r="F14" s="14" t="s">
        <v>15048</v>
      </c>
      <c r="G14" s="14">
        <v>47820</v>
      </c>
      <c r="H14" s="14">
        <v>39762</v>
      </c>
      <c r="I14" s="14">
        <v>23</v>
      </c>
      <c r="J14" s="14" t="s">
        <v>15044</v>
      </c>
      <c r="K14" s="14" t="s">
        <v>15047</v>
      </c>
      <c r="L14" s="14" t="s">
        <v>15046</v>
      </c>
      <c r="M14" s="14" t="s">
        <v>9158</v>
      </c>
      <c r="N14" s="14" t="s">
        <v>9158</v>
      </c>
      <c r="O14" s="14" t="s">
        <v>9158</v>
      </c>
      <c r="P14" s="14" t="s">
        <v>9158</v>
      </c>
      <c r="Q14" s="14" t="s">
        <v>9158</v>
      </c>
    </row>
    <row r="15" spans="1:19">
      <c r="A15" s="14">
        <v>92433</v>
      </c>
      <c r="B15" s="14" t="s">
        <v>30</v>
      </c>
      <c r="C15" s="14" t="s">
        <v>15052</v>
      </c>
      <c r="D15" s="18" t="s">
        <v>15050</v>
      </c>
      <c r="E15" s="15" t="str">
        <f>HYPERLINK("https://stat100.ameba.jp/tnk47/ratio20/illustrations/card/ill_92433_shishigatanikabochakuyo03.jpg?202010-5-RELEASE-marathon-496x", "■")</f>
        <v>■</v>
      </c>
      <c r="F15" s="14" t="s">
        <v>15055</v>
      </c>
      <c r="G15" s="7" t="s">
        <v>12934</v>
      </c>
      <c r="H15" s="7" t="s">
        <v>12934</v>
      </c>
      <c r="I15" s="14">
        <v>19</v>
      </c>
      <c r="J15" s="14" t="s">
        <v>15051</v>
      </c>
      <c r="K15" s="7" t="s">
        <v>12934</v>
      </c>
      <c r="L15" s="7" t="s">
        <v>12934</v>
      </c>
      <c r="M15" s="14" t="s">
        <v>9158</v>
      </c>
      <c r="N15" s="14" t="s">
        <v>9158</v>
      </c>
      <c r="O15" s="14" t="s">
        <v>9158</v>
      </c>
      <c r="P15" s="14" t="s">
        <v>9158</v>
      </c>
      <c r="Q15" s="14" t="s">
        <v>9158</v>
      </c>
    </row>
    <row r="16" spans="1:19">
      <c r="A16" s="14">
        <v>92443</v>
      </c>
      <c r="B16" s="14" t="s">
        <v>30</v>
      </c>
      <c r="C16" s="14" t="s">
        <v>15053</v>
      </c>
      <c r="D16" s="18" t="s">
        <v>15054</v>
      </c>
      <c r="E16" s="15" t="str">
        <f>HYPERLINK("https://stat100.ameba.jp/tnk47/ratio20/illustrations/card/ill_92443_biahoruenyuin03.jpg?202010-5-RELEASE-marathon-496x", "■")</f>
        <v>■</v>
      </c>
      <c r="F16" s="14" t="s">
        <v>15056</v>
      </c>
      <c r="G16" s="7" t="s">
        <v>12934</v>
      </c>
      <c r="H16" s="7" t="s">
        <v>12934</v>
      </c>
      <c r="I16" s="14">
        <v>19</v>
      </c>
      <c r="J16" s="14" t="s">
        <v>15013</v>
      </c>
      <c r="K16" s="7" t="s">
        <v>12934</v>
      </c>
      <c r="L16" s="7" t="s">
        <v>12934</v>
      </c>
      <c r="M16" s="14" t="s">
        <v>9158</v>
      </c>
      <c r="N16" s="14" t="s">
        <v>9158</v>
      </c>
      <c r="O16" s="14" t="s">
        <v>9158</v>
      </c>
      <c r="P16" s="14" t="s">
        <v>9158</v>
      </c>
      <c r="Q16" s="14" t="s">
        <v>9158</v>
      </c>
    </row>
    <row r="17" spans="1:18">
      <c r="D17" s="7"/>
    </row>
    <row r="18" spans="1:18">
      <c r="A18" s="14" t="s">
        <v>15160</v>
      </c>
      <c r="D18" s="7"/>
    </row>
    <row r="19" spans="1:18">
      <c r="A19" s="14" t="s">
        <v>10153</v>
      </c>
      <c r="D19" s="7"/>
    </row>
    <row r="20" spans="1:18">
      <c r="A20" s="14">
        <v>92495</v>
      </c>
      <c r="B20" s="14" t="s">
        <v>0</v>
      </c>
      <c r="C20" s="14" t="s">
        <v>202</v>
      </c>
      <c r="D20" s="18" t="s">
        <v>15065</v>
      </c>
      <c r="E20" s="15" t="str">
        <f>HYPERLINK("https://stat100.ameba.jp/tnk47/ratio20/illustrations/card/ill_92495_kaitokaranochosenjosukajammusume05.jpg?202010-5-RELEASE-marathon-496x", "■")</f>
        <v>■</v>
      </c>
      <c r="F20" s="14" t="s">
        <v>15064</v>
      </c>
      <c r="G20" s="14">
        <v>121038</v>
      </c>
      <c r="H20" s="14">
        <v>167158</v>
      </c>
      <c r="I20" s="14">
        <v>28</v>
      </c>
      <c r="J20" s="14" t="s">
        <v>15063</v>
      </c>
      <c r="K20" s="14" t="s">
        <v>15062</v>
      </c>
      <c r="L20" s="14" t="s">
        <v>15061</v>
      </c>
      <c r="M20" s="14" t="s">
        <v>9158</v>
      </c>
      <c r="N20" s="14" t="s">
        <v>9158</v>
      </c>
      <c r="O20" s="14" t="s">
        <v>9158</v>
      </c>
      <c r="P20" s="14" t="s">
        <v>9158</v>
      </c>
      <c r="Q20" s="14" t="s">
        <v>9158</v>
      </c>
      <c r="R20" s="14" t="s">
        <v>174</v>
      </c>
    </row>
    <row r="21" spans="1:18">
      <c r="A21" s="14">
        <v>92493</v>
      </c>
      <c r="B21" s="14" t="s">
        <v>15</v>
      </c>
      <c r="C21" s="14" t="s">
        <v>15060</v>
      </c>
      <c r="D21" s="18" t="s">
        <v>15065</v>
      </c>
      <c r="E21" s="15" t="str">
        <f>HYPERLINK("https://stat100.ameba.jp/tnk47/ratio20/illustrations/card/ill_92493_kaitokaranochosenjosukajammusume03.jpg?202010-5-RELEASE-marathon-496x", "■")</f>
        <v>■</v>
      </c>
      <c r="F21" s="14" t="s">
        <v>15064</v>
      </c>
      <c r="G21" s="14">
        <v>89174</v>
      </c>
      <c r="H21" s="14">
        <v>123158</v>
      </c>
      <c r="I21" s="14">
        <v>28</v>
      </c>
      <c r="J21" s="14" t="s">
        <v>15063</v>
      </c>
      <c r="K21" s="14" t="s">
        <v>15062</v>
      </c>
      <c r="L21" s="14" t="s">
        <v>15066</v>
      </c>
      <c r="M21" s="14" t="s">
        <v>9158</v>
      </c>
      <c r="N21" s="14" t="s">
        <v>9158</v>
      </c>
      <c r="O21" s="14" t="s">
        <v>9158</v>
      </c>
      <c r="P21" s="14" t="s">
        <v>9158</v>
      </c>
      <c r="Q21" s="14" t="s">
        <v>9158</v>
      </c>
      <c r="R21" s="14" t="s">
        <v>175</v>
      </c>
    </row>
    <row r="22" spans="1:18">
      <c r="A22" s="14">
        <v>92491</v>
      </c>
      <c r="B22" s="14" t="s">
        <v>15</v>
      </c>
      <c r="C22" s="14" t="s">
        <v>15060</v>
      </c>
      <c r="D22" s="18" t="s">
        <v>15065</v>
      </c>
      <c r="E22" s="15" t="str">
        <f>HYPERLINK("https://stat100.ameba.jp/tnk47/ratio20/illustrations/card/ill_92491_kaitokaranochosenjosukajammusume01.jpg?202010-5-RELEASE-marathon-496x", "■")</f>
        <v>■</v>
      </c>
      <c r="F22" s="14" t="s">
        <v>15064</v>
      </c>
      <c r="G22" s="14">
        <v>56728</v>
      </c>
      <c r="H22" s="14">
        <v>78344</v>
      </c>
      <c r="I22" s="14">
        <v>28</v>
      </c>
      <c r="J22" s="14" t="s">
        <v>15063</v>
      </c>
      <c r="K22" s="14" t="s">
        <v>15062</v>
      </c>
      <c r="L22" s="14" t="s">
        <v>15067</v>
      </c>
      <c r="M22" s="14" t="s">
        <v>9158</v>
      </c>
      <c r="N22" s="14" t="s">
        <v>9158</v>
      </c>
      <c r="O22" s="14" t="s">
        <v>9158</v>
      </c>
      <c r="P22" s="14" t="s">
        <v>9158</v>
      </c>
      <c r="Q22" s="14" t="s">
        <v>9158</v>
      </c>
      <c r="R22" s="14" t="s">
        <v>176</v>
      </c>
    </row>
    <row r="23" spans="1:18">
      <c r="D23" s="7"/>
    </row>
    <row r="24" spans="1:18">
      <c r="A24" s="14" t="s">
        <v>204</v>
      </c>
      <c r="D24" s="7"/>
    </row>
    <row r="25" spans="1:18">
      <c r="A25" s="14" t="s">
        <v>15057</v>
      </c>
      <c r="D25" s="7"/>
    </row>
    <row r="26" spans="1:18">
      <c r="A26" s="14" t="s">
        <v>5734</v>
      </c>
      <c r="B26" s="14" t="s">
        <v>330</v>
      </c>
      <c r="C26" s="14" t="s">
        <v>202</v>
      </c>
      <c r="D26" s="19" t="s">
        <v>1497</v>
      </c>
      <c r="E26" s="15" t="str">
        <f>HYPERLINK("https://stat100.ameba.jp/tnk47/ratio20/illustrations/card/ill_74593_0_natsuyuenchikoshihikari03.jpg?202010-5-RELEASE-marathon-496x", "■")</f>
        <v>■</v>
      </c>
      <c r="F26" s="14" t="s">
        <v>1498</v>
      </c>
      <c r="G26" s="14">
        <v>238328</v>
      </c>
      <c r="H26" s="14">
        <v>221566</v>
      </c>
      <c r="I26" s="14">
        <v>22</v>
      </c>
      <c r="J26" s="14" t="s">
        <v>283</v>
      </c>
      <c r="K26" s="14" t="s">
        <v>1499</v>
      </c>
      <c r="L26" s="14" t="s">
        <v>1500</v>
      </c>
      <c r="M26" s="14" t="s">
        <v>9158</v>
      </c>
      <c r="N26" s="14" t="s">
        <v>9158</v>
      </c>
      <c r="O26" s="19" t="s">
        <v>2731</v>
      </c>
      <c r="P26" s="14" t="s">
        <v>2732</v>
      </c>
      <c r="Q26" s="14">
        <v>1</v>
      </c>
    </row>
    <row r="27" spans="1:18">
      <c r="A27" s="9" t="s">
        <v>5621</v>
      </c>
      <c r="B27" s="14" t="s">
        <v>330</v>
      </c>
      <c r="C27" s="14" t="s">
        <v>191</v>
      </c>
      <c r="D27" s="14" t="s">
        <v>2871</v>
      </c>
      <c r="E27" s="15" t="str">
        <f>HYPERLINK("https://stat100.ameba.jp/tnk47/ratio20/illustrations/card/ill_51973_0_kemonomizugikuroyuridensetsu03.jpg?202010-5-RELEASE-marathon-496x", "■")</f>
        <v>■</v>
      </c>
      <c r="F27" s="14" t="s">
        <v>2872</v>
      </c>
      <c r="G27" s="14">
        <v>138212</v>
      </c>
      <c r="H27" s="14">
        <v>122776</v>
      </c>
      <c r="I27" s="14">
        <v>22</v>
      </c>
      <c r="J27" s="14" t="s">
        <v>274</v>
      </c>
      <c r="K27" s="14" t="s">
        <v>2873</v>
      </c>
      <c r="L27" s="14" t="s">
        <v>2874</v>
      </c>
      <c r="M27" s="14" t="s">
        <v>9158</v>
      </c>
      <c r="N27" s="14" t="s">
        <v>9158</v>
      </c>
      <c r="O27" s="17" t="s">
        <v>10066</v>
      </c>
      <c r="P27" s="14" t="s">
        <v>13172</v>
      </c>
      <c r="Q27" s="14">
        <v>1</v>
      </c>
    </row>
    <row r="28" spans="1:18">
      <c r="A28" s="9" t="s">
        <v>5721</v>
      </c>
      <c r="B28" s="14" t="s">
        <v>52</v>
      </c>
      <c r="C28" s="14" t="s">
        <v>1</v>
      </c>
      <c r="D28" s="14" t="s">
        <v>2253</v>
      </c>
      <c r="E28" s="15" t="str">
        <f>HYPERLINK("https://stat100.ameba.jp/tnk47/ratio20/illustrations/card/ill_44283_0_izumonokuni03.jpg?202010-5-RELEASE-marathon-496x", "■")</f>
        <v>■</v>
      </c>
      <c r="F28" s="14" t="s">
        <v>1716</v>
      </c>
      <c r="G28" s="14">
        <v>128744</v>
      </c>
      <c r="H28" s="14">
        <v>120576</v>
      </c>
      <c r="I28" s="14">
        <v>22</v>
      </c>
      <c r="J28" s="14" t="s">
        <v>16</v>
      </c>
      <c r="K28" s="14" t="s">
        <v>2254</v>
      </c>
      <c r="L28" s="14" t="s">
        <v>1718</v>
      </c>
      <c r="M28" s="14" t="s">
        <v>9158</v>
      </c>
      <c r="N28" s="14" t="s">
        <v>9158</v>
      </c>
      <c r="O28" s="14" t="s">
        <v>9158</v>
      </c>
      <c r="P28" s="14" t="s">
        <v>9158</v>
      </c>
      <c r="Q28" s="14" t="s">
        <v>9158</v>
      </c>
    </row>
    <row r="29" spans="1:18">
      <c r="A29" s="14">
        <v>83283</v>
      </c>
      <c r="B29" s="14" t="s">
        <v>334</v>
      </c>
      <c r="C29" s="14" t="s">
        <v>271</v>
      </c>
      <c r="D29" s="20" t="s">
        <v>10521</v>
      </c>
      <c r="E29" s="15" t="str">
        <f>HYPERLINK("https://stat100.ameba.jp/tnk47/ratio20/illustrations/card/ill_83283_suikawarihondatadakatsu03.jpg?202010-5-RELEASE-marathon-496x", "■")</f>
        <v>■</v>
      </c>
      <c r="F29" s="14" t="s">
        <v>6431</v>
      </c>
      <c r="G29" s="14">
        <v>198226</v>
      </c>
      <c r="H29" s="14">
        <v>111523</v>
      </c>
      <c r="I29" s="14">
        <v>27</v>
      </c>
      <c r="J29" s="14" t="s">
        <v>310</v>
      </c>
      <c r="K29" s="14" t="s">
        <v>6430</v>
      </c>
      <c r="L29" s="14" t="s">
        <v>145</v>
      </c>
      <c r="M29" s="14" t="s">
        <v>9158</v>
      </c>
      <c r="N29" s="14" t="s">
        <v>9158</v>
      </c>
      <c r="O29" s="14" t="s">
        <v>9158</v>
      </c>
      <c r="P29" s="14" t="s">
        <v>9158</v>
      </c>
      <c r="Q29" s="14" t="s">
        <v>9158</v>
      </c>
    </row>
    <row r="30" spans="1:18">
      <c r="A30" s="14">
        <v>69943</v>
      </c>
      <c r="B30" s="14" t="s">
        <v>334</v>
      </c>
      <c r="C30" s="14" t="s">
        <v>165</v>
      </c>
      <c r="D30" s="19" t="s">
        <v>10364</v>
      </c>
      <c r="E30" s="15" t="str">
        <f>HYPERLINK("https://stat100.ameba.jp/tnk47/ratio20/illustrations/card/ill_69943_hanzaiopakabaro03.jpg?202010-5-RELEASE-marathon-496x", "■")</f>
        <v>■</v>
      </c>
      <c r="F30" s="14" t="s">
        <v>1887</v>
      </c>
      <c r="G30" s="14">
        <v>130214</v>
      </c>
      <c r="H30" s="14">
        <v>73270</v>
      </c>
      <c r="I30" s="14">
        <v>27</v>
      </c>
      <c r="J30" s="14" t="s">
        <v>16</v>
      </c>
      <c r="K30" s="14" t="s">
        <v>1888</v>
      </c>
      <c r="L30" s="14" t="s">
        <v>1889</v>
      </c>
      <c r="M30" s="14" t="s">
        <v>9158</v>
      </c>
      <c r="N30" s="14" t="s">
        <v>9158</v>
      </c>
      <c r="O30" s="14" t="s">
        <v>9158</v>
      </c>
      <c r="P30" s="14" t="s">
        <v>9158</v>
      </c>
      <c r="Q30" s="14" t="s">
        <v>9158</v>
      </c>
    </row>
    <row r="31" spans="1:18">
      <c r="A31" s="7">
        <v>78943</v>
      </c>
      <c r="B31" s="14" t="s">
        <v>334</v>
      </c>
      <c r="C31" s="14" t="s">
        <v>185</v>
      </c>
      <c r="D31" s="19" t="s">
        <v>2953</v>
      </c>
      <c r="E31" s="15" t="str">
        <f>HYPERLINK("https://stat100.ameba.jp/tnk47/ratio20/illustrations/card/ill_78943_idoshiiwaisepo03.jpg?202010-5-RELEASE-marathon-496x", "■")</f>
        <v>■</v>
      </c>
      <c r="F31" s="14" t="s">
        <v>2954</v>
      </c>
      <c r="G31" s="14">
        <v>112496</v>
      </c>
      <c r="H31" s="14">
        <v>104619</v>
      </c>
      <c r="I31" s="14">
        <v>27</v>
      </c>
      <c r="J31" s="14" t="s">
        <v>320</v>
      </c>
      <c r="K31" s="14" t="s">
        <v>2955</v>
      </c>
      <c r="L31" s="14" t="s">
        <v>2956</v>
      </c>
      <c r="M31" s="14" t="s">
        <v>9158</v>
      </c>
      <c r="N31" s="14" t="s">
        <v>9158</v>
      </c>
      <c r="O31" s="14" t="s">
        <v>9158</v>
      </c>
      <c r="P31" s="14" t="s">
        <v>9158</v>
      </c>
      <c r="Q31" s="14" t="s">
        <v>9158</v>
      </c>
    </row>
    <row r="33" spans="1:17">
      <c r="A33" s="14" t="s">
        <v>15058</v>
      </c>
    </row>
    <row r="34" spans="1:17">
      <c r="A34" s="14" t="s">
        <v>15059</v>
      </c>
    </row>
    <row r="35" spans="1:17">
      <c r="A35" s="14" t="s">
        <v>12012</v>
      </c>
      <c r="B35" s="7" t="s">
        <v>52</v>
      </c>
      <c r="C35" s="14" t="s">
        <v>202</v>
      </c>
      <c r="D35" s="18" t="s">
        <v>12013</v>
      </c>
      <c r="E35" s="15" t="str">
        <f>HYPERLINK("https://stat100.ameba.jp/tnk47/ratio20/illustrations/card/ill_88363_0_hanamijingukogo03.jpg?202010-5-RELEASE-marathon-496x", "■")</f>
        <v>■</v>
      </c>
      <c r="F35" s="14" t="s">
        <v>12014</v>
      </c>
      <c r="G35" s="14">
        <v>328614</v>
      </c>
      <c r="H35" s="14">
        <v>296998</v>
      </c>
      <c r="I35" s="7">
        <v>27</v>
      </c>
      <c r="J35" s="14" t="s">
        <v>10</v>
      </c>
      <c r="K35" s="14" t="s">
        <v>12015</v>
      </c>
      <c r="L35" s="14" t="s">
        <v>12016</v>
      </c>
      <c r="M35" s="14" t="s">
        <v>9158</v>
      </c>
      <c r="N35" s="14" t="s">
        <v>9158</v>
      </c>
      <c r="O35" s="6" t="s">
        <v>12017</v>
      </c>
      <c r="P35" s="7" t="s">
        <v>12018</v>
      </c>
      <c r="Q35" s="7">
        <v>1</v>
      </c>
    </row>
    <row r="36" spans="1:17">
      <c r="A36" s="14" t="s">
        <v>6508</v>
      </c>
      <c r="B36" s="14" t="s">
        <v>330</v>
      </c>
      <c r="C36" s="14" t="s">
        <v>35</v>
      </c>
      <c r="D36" s="20" t="s">
        <v>10168</v>
      </c>
      <c r="E36" s="15" t="str">
        <f>HYPERLINK("https://stat100.ameba.jp/tnk47/ratio20/illustrations/card/ill_81783_0_denshagarukoteipenginchan03.jpg?202010-5-RELEASE-marathon-496x", "■")</f>
        <v>■</v>
      </c>
      <c r="F36" s="14" t="s">
        <v>4834</v>
      </c>
      <c r="G36" s="14">
        <v>313989</v>
      </c>
      <c r="H36" s="14">
        <v>283765</v>
      </c>
      <c r="I36" s="14">
        <v>27</v>
      </c>
      <c r="J36" s="14" t="s">
        <v>26</v>
      </c>
      <c r="K36" s="14" t="s">
        <v>4836</v>
      </c>
      <c r="L36" s="14" t="s">
        <v>1783</v>
      </c>
      <c r="M36" s="14" t="s">
        <v>9158</v>
      </c>
      <c r="N36" s="14" t="s">
        <v>9158</v>
      </c>
      <c r="O36" s="19" t="s">
        <v>10124</v>
      </c>
      <c r="P36" s="14" t="s">
        <v>4838</v>
      </c>
      <c r="Q36" s="14">
        <v>1</v>
      </c>
    </row>
    <row r="37" spans="1:17">
      <c r="A37" s="14" t="s">
        <v>5601</v>
      </c>
      <c r="B37" s="14" t="s">
        <v>330</v>
      </c>
      <c r="C37" s="14" t="s">
        <v>35</v>
      </c>
      <c r="D37" s="19" t="s">
        <v>10318</v>
      </c>
      <c r="E37" s="15" t="str">
        <f>HYPERLINK("https://stat100.ameba.jp/tnk47/ratio20/illustrations/card/ill_82423_0_bikinigarukishi03.jpg?202010-5-RELEASE-marathon-496x", "■")</f>
        <v>■</v>
      </c>
      <c r="F37" s="14" t="s">
        <v>5391</v>
      </c>
      <c r="G37" s="14">
        <v>326924</v>
      </c>
      <c r="H37" s="14">
        <v>295479</v>
      </c>
      <c r="I37" s="14">
        <v>27</v>
      </c>
      <c r="J37" s="14" t="s">
        <v>77</v>
      </c>
      <c r="K37" s="14" t="s">
        <v>5392</v>
      </c>
      <c r="L37" s="14" t="s">
        <v>5393</v>
      </c>
      <c r="M37" s="14" t="s">
        <v>9158</v>
      </c>
      <c r="N37" s="14" t="s">
        <v>9158</v>
      </c>
      <c r="O37" s="19" t="s">
        <v>10069</v>
      </c>
      <c r="P37" s="14" t="s">
        <v>5394</v>
      </c>
      <c r="Q37" s="14">
        <v>1</v>
      </c>
    </row>
    <row r="38" spans="1:17">
      <c r="A38" s="9" t="s">
        <v>9325</v>
      </c>
      <c r="B38" s="7" t="s">
        <v>52</v>
      </c>
      <c r="C38" s="9" t="s">
        <v>202</v>
      </c>
      <c r="D38" s="19" t="s">
        <v>10947</v>
      </c>
      <c r="E38" s="15" t="str">
        <f>HYPERLINK("https://stat100.ameba.jp/tnk47/ratio20/illustrations/card/ill_86893_0_chokonohisukeban03.jpg?202010-5-RELEASE-marathon-496x", "■")</f>
        <v>■</v>
      </c>
      <c r="F38" s="14" t="s">
        <v>9332</v>
      </c>
      <c r="G38" s="9">
        <v>351727</v>
      </c>
      <c r="H38" s="9">
        <v>317873</v>
      </c>
      <c r="I38" s="7">
        <v>27</v>
      </c>
      <c r="J38" s="9" t="s">
        <v>187</v>
      </c>
      <c r="K38" s="14" t="s">
        <v>9330</v>
      </c>
      <c r="L38" s="14" t="s">
        <v>9331</v>
      </c>
      <c r="M38" s="14" t="s">
        <v>9158</v>
      </c>
      <c r="N38" s="14" t="s">
        <v>9158</v>
      </c>
      <c r="O38" s="19" t="s">
        <v>10136</v>
      </c>
      <c r="P38" s="7" t="s">
        <v>9324</v>
      </c>
      <c r="Q38" s="7">
        <v>1</v>
      </c>
    </row>
    <row r="39" spans="1:17">
      <c r="A39" s="7" t="s">
        <v>8437</v>
      </c>
      <c r="B39" s="7" t="s">
        <v>52</v>
      </c>
      <c r="C39" s="7" t="s">
        <v>202</v>
      </c>
      <c r="D39" s="20" t="s">
        <v>10806</v>
      </c>
      <c r="E39" s="15" t="str">
        <f>HYPERLINK("https://stat100.ameba.jp/tnk47/ratio20/illustrations/card/ill_85523_0_seitankuronikurukusumotoine03.jpg?202010-5-RELEASE-marathon-496x", "■")</f>
        <v>■</v>
      </c>
      <c r="F39" s="7" t="s">
        <v>8440</v>
      </c>
      <c r="G39" s="7">
        <v>327089</v>
      </c>
      <c r="H39" s="7">
        <v>295640</v>
      </c>
      <c r="I39" s="7">
        <v>27</v>
      </c>
      <c r="J39" s="14" t="s">
        <v>77</v>
      </c>
      <c r="K39" s="7" t="s">
        <v>8446</v>
      </c>
      <c r="L39" s="7" t="s">
        <v>8439</v>
      </c>
      <c r="M39" s="14" t="s">
        <v>9158</v>
      </c>
      <c r="N39" s="14" t="s">
        <v>9158</v>
      </c>
      <c r="O39" s="19" t="s">
        <v>10133</v>
      </c>
      <c r="P39" s="7" t="s">
        <v>8441</v>
      </c>
      <c r="Q39" s="7">
        <v>1</v>
      </c>
    </row>
    <row r="40" spans="1:17">
      <c r="A40" s="9">
        <v>70663</v>
      </c>
      <c r="B40" s="14" t="s">
        <v>334</v>
      </c>
      <c r="C40" s="14" t="s">
        <v>185</v>
      </c>
      <c r="D40" s="14" t="s">
        <v>4701</v>
      </c>
      <c r="E40" s="15" t="str">
        <f>HYPERLINK("https://stat100.ameba.jp/tnk47/ratio20/illustrations/card/ill_70663_shitsujikissanagasawarosetsu03.jpg?202010-5-RELEASE-marathon-496x", "■")</f>
        <v>■</v>
      </c>
      <c r="F40" s="14" t="s">
        <v>4702</v>
      </c>
      <c r="G40" s="14">
        <v>98019</v>
      </c>
      <c r="H40" s="14">
        <v>105465</v>
      </c>
      <c r="I40" s="14">
        <v>27</v>
      </c>
      <c r="J40" s="14" t="s">
        <v>10</v>
      </c>
      <c r="K40" s="14" t="s">
        <v>4703</v>
      </c>
      <c r="L40" s="14" t="s">
        <v>2057</v>
      </c>
      <c r="M40" s="14" t="s">
        <v>9158</v>
      </c>
      <c r="N40" s="14" t="s">
        <v>9158</v>
      </c>
      <c r="O40" s="14" t="s">
        <v>9158</v>
      </c>
      <c r="P40" s="14" t="s">
        <v>9158</v>
      </c>
      <c r="Q40" s="14" t="s">
        <v>9158</v>
      </c>
    </row>
    <row r="41" spans="1:17">
      <c r="A41" s="7">
        <v>64063</v>
      </c>
      <c r="B41" s="14" t="s">
        <v>334</v>
      </c>
      <c r="C41" s="14" t="s">
        <v>200</v>
      </c>
      <c r="D41" s="20" t="s">
        <v>10834</v>
      </c>
      <c r="E41" s="15" t="str">
        <f>HYPERLINK("https://stat100.ameba.jp/tnk47/ratio20/illustrations/card/ill_64063_yusuzumishinshishika03.jpg?202010-5-RELEASE-marathon-496x", "■")</f>
        <v>■</v>
      </c>
      <c r="F41" s="14" t="s">
        <v>4402</v>
      </c>
      <c r="G41" s="14">
        <v>102386</v>
      </c>
      <c r="H41" s="14">
        <v>110129</v>
      </c>
      <c r="I41" s="7">
        <v>27</v>
      </c>
      <c r="J41" s="14" t="s">
        <v>44</v>
      </c>
      <c r="K41" s="14" t="s">
        <v>4403</v>
      </c>
      <c r="L41" s="14" t="s">
        <v>965</v>
      </c>
      <c r="M41" s="14" t="s">
        <v>9158</v>
      </c>
      <c r="N41" s="14" t="s">
        <v>9158</v>
      </c>
      <c r="O41" s="14" t="s">
        <v>9158</v>
      </c>
      <c r="P41" s="14" t="s">
        <v>9158</v>
      </c>
      <c r="Q41" s="14" t="s">
        <v>9158</v>
      </c>
    </row>
    <row r="42" spans="1:17">
      <c r="A42" s="14">
        <v>62193</v>
      </c>
      <c r="B42" s="14" t="s">
        <v>0</v>
      </c>
      <c r="C42" s="14" t="s">
        <v>101</v>
      </c>
      <c r="D42" s="14" t="s">
        <v>966</v>
      </c>
      <c r="E42" s="15" t="str">
        <f>HYPERLINK("https://stat100.ameba.jp/tnk47/ratio20/illustrations/card/ill_62193_sakakibaramichiko03.jpg?202010-5-RELEASE-marathon-496x", "■")</f>
        <v>■</v>
      </c>
      <c r="F42" s="14" t="s">
        <v>967</v>
      </c>
      <c r="G42" s="14">
        <v>98019</v>
      </c>
      <c r="H42" s="14">
        <v>105465</v>
      </c>
      <c r="I42" s="14">
        <v>27</v>
      </c>
      <c r="J42" s="14" t="s">
        <v>77</v>
      </c>
      <c r="K42" s="14" t="s">
        <v>968</v>
      </c>
      <c r="L42" s="14" t="s">
        <v>969</v>
      </c>
      <c r="M42" s="14" t="s">
        <v>9158</v>
      </c>
      <c r="N42" s="14" t="s">
        <v>9158</v>
      </c>
      <c r="O42" s="14" t="s">
        <v>9158</v>
      </c>
      <c r="P42" s="14" t="s">
        <v>9158</v>
      </c>
      <c r="Q42" s="14" t="s">
        <v>9158</v>
      </c>
    </row>
    <row r="43" spans="1:17">
      <c r="A43" s="14">
        <v>71833</v>
      </c>
      <c r="B43" s="14" t="s">
        <v>334</v>
      </c>
      <c r="C43" s="14" t="s">
        <v>165</v>
      </c>
      <c r="D43" s="19" t="s">
        <v>10294</v>
      </c>
      <c r="E43" s="15" t="str">
        <f>HYPERLINK("https://stat100.ameba.jp/tnk47/ratio20/illustrations/card/ill_71833_autodoanuregamidoji03.jpg?202010-5-RELEASE-marathon-496x", "■")</f>
        <v>■</v>
      </c>
      <c r="F43" s="14" t="s">
        <v>5291</v>
      </c>
      <c r="G43" s="14">
        <v>104619</v>
      </c>
      <c r="H43" s="14">
        <v>112496</v>
      </c>
      <c r="I43" s="14">
        <v>27</v>
      </c>
      <c r="J43" s="14" t="s">
        <v>320</v>
      </c>
      <c r="K43" s="14" t="s">
        <v>4244</v>
      </c>
      <c r="L43" s="14" t="s">
        <v>4245</v>
      </c>
      <c r="M43" s="14" t="s">
        <v>9158</v>
      </c>
      <c r="N43" s="14" t="s">
        <v>9158</v>
      </c>
      <c r="O43" s="14" t="s">
        <v>9158</v>
      </c>
      <c r="P43" s="14" t="s">
        <v>9158</v>
      </c>
      <c r="Q43" s="14" t="s">
        <v>9158</v>
      </c>
    </row>
    <row r="44" spans="1:17">
      <c r="A44" s="14">
        <v>59743</v>
      </c>
      <c r="B44" s="14" t="s">
        <v>0</v>
      </c>
      <c r="C44" s="14" t="s">
        <v>205</v>
      </c>
      <c r="D44" s="19" t="s">
        <v>10375</v>
      </c>
      <c r="E44" s="15" t="str">
        <f>HYPERLINK("https://stat100.ameba.jp/tnk47/ratio20/illustrations/card/ill_59743_kaitokiuifurutsuchan03.jpg?202010-5-RELEASE-marathon-496x", "■")</f>
        <v>■</v>
      </c>
      <c r="F44" s="14" t="s">
        <v>5699</v>
      </c>
      <c r="G44" s="14">
        <v>118568</v>
      </c>
      <c r="H44" s="14">
        <v>127507</v>
      </c>
      <c r="I44" s="7">
        <v>27</v>
      </c>
      <c r="J44" s="14" t="s">
        <v>104</v>
      </c>
      <c r="K44" s="14" t="s">
        <v>5700</v>
      </c>
      <c r="L44" s="14" t="s">
        <v>1079</v>
      </c>
      <c r="M44" s="14" t="s">
        <v>9158</v>
      </c>
      <c r="N44" s="14" t="s">
        <v>9158</v>
      </c>
      <c r="O44" s="14" t="s">
        <v>9158</v>
      </c>
      <c r="P44" s="14" t="s">
        <v>9158</v>
      </c>
      <c r="Q44" s="14" t="s">
        <v>9158</v>
      </c>
    </row>
    <row r="45" spans="1:17">
      <c r="A45" s="14">
        <v>60943</v>
      </c>
      <c r="B45" s="14" t="s">
        <v>334</v>
      </c>
      <c r="C45" s="14" t="s">
        <v>206</v>
      </c>
      <c r="D45" s="20" t="s">
        <v>10465</v>
      </c>
      <c r="E45" s="15" t="str">
        <f>HYPERLINK("https://stat100.ameba.jp/tnk47/ratio20/illustrations/card/ill_60943_sukurugarutenshoin03.jpg?202010-5-RELEASE-marathon-496x", "■")</f>
        <v>■</v>
      </c>
      <c r="F45" s="14" t="s">
        <v>3958</v>
      </c>
      <c r="G45" s="14">
        <v>98019</v>
      </c>
      <c r="H45" s="14">
        <v>105465</v>
      </c>
      <c r="I45" s="14">
        <v>27</v>
      </c>
      <c r="J45" s="14" t="s">
        <v>10</v>
      </c>
      <c r="K45" s="14" t="s">
        <v>3959</v>
      </c>
      <c r="L45" s="14" t="s">
        <v>12</v>
      </c>
      <c r="M45" s="14" t="s">
        <v>9158</v>
      </c>
      <c r="N45" s="14" t="s">
        <v>9158</v>
      </c>
      <c r="O45" s="14" t="s">
        <v>9158</v>
      </c>
      <c r="P45" s="14" t="s">
        <v>9158</v>
      </c>
      <c r="Q45" s="14" t="s">
        <v>9158</v>
      </c>
    </row>
    <row r="47" spans="1:17">
      <c r="A47" s="14" t="s">
        <v>15068</v>
      </c>
    </row>
    <row r="48" spans="1:17">
      <c r="A48" s="14" t="s">
        <v>15069</v>
      </c>
    </row>
    <row r="49" spans="1:18">
      <c r="A49" s="14" t="s">
        <v>6905</v>
      </c>
      <c r="B49" s="14" t="s">
        <v>330</v>
      </c>
      <c r="C49" s="14" t="s">
        <v>35</v>
      </c>
      <c r="D49" s="19" t="s">
        <v>4161</v>
      </c>
      <c r="E49" s="15" t="str">
        <f>HYPERLINK("https://stat100.ameba.jp/tnk47/ratio20/illustrations/card/ill_80623_0_ohanamigurampingutominushihime03.jpg?202010-5-RELEASE-marathon-496x", "■")</f>
        <v>■</v>
      </c>
      <c r="F49" s="14" t="s">
        <v>4162</v>
      </c>
      <c r="G49" s="14">
        <v>301326</v>
      </c>
      <c r="H49" s="14">
        <v>272366</v>
      </c>
      <c r="I49" s="14">
        <v>25</v>
      </c>
      <c r="J49" s="14" t="s">
        <v>44</v>
      </c>
      <c r="K49" s="14" t="s">
        <v>4163</v>
      </c>
      <c r="L49" s="14" t="s">
        <v>4164</v>
      </c>
      <c r="M49" s="14" t="s">
        <v>9158</v>
      </c>
      <c r="N49" s="14" t="s">
        <v>9158</v>
      </c>
      <c r="O49" s="19" t="s">
        <v>10126</v>
      </c>
      <c r="P49" s="14" t="s">
        <v>4166</v>
      </c>
      <c r="Q49" s="14">
        <v>1</v>
      </c>
    </row>
    <row r="50" spans="1:18">
      <c r="A50" s="9">
        <v>81303</v>
      </c>
      <c r="B50" s="14" t="s">
        <v>334</v>
      </c>
      <c r="C50" s="14" t="s">
        <v>41</v>
      </c>
      <c r="D50" s="14" t="s">
        <v>4580</v>
      </c>
      <c r="E50" s="15" t="str">
        <f>HYPERLINK("https://stat100.ameba.jp/tnk47/ratio20/illustrations/card/ill_81303_suteirukuin03.jpg?202010-5-RELEASE-marathon-496x", "■")</f>
        <v>■</v>
      </c>
      <c r="F50" s="14" t="s">
        <v>4581</v>
      </c>
      <c r="G50" s="14">
        <v>115656</v>
      </c>
      <c r="H50" s="14">
        <v>159674</v>
      </c>
      <c r="I50" s="14">
        <v>24</v>
      </c>
      <c r="J50" s="14" t="s">
        <v>104</v>
      </c>
      <c r="K50" s="14" t="s">
        <v>4582</v>
      </c>
      <c r="L50" s="14" t="s">
        <v>2304</v>
      </c>
      <c r="M50" s="14" t="s">
        <v>9158</v>
      </c>
      <c r="N50" s="14" t="s">
        <v>9158</v>
      </c>
      <c r="O50" s="9" t="s">
        <v>4583</v>
      </c>
      <c r="P50" s="14" t="s">
        <v>4584</v>
      </c>
      <c r="Q50" s="14">
        <v>1</v>
      </c>
    </row>
    <row r="51" spans="1:18">
      <c r="A51" s="14">
        <v>81023</v>
      </c>
      <c r="B51" s="14" t="s">
        <v>334</v>
      </c>
      <c r="C51" s="14" t="s">
        <v>41</v>
      </c>
      <c r="D51" s="19" t="s">
        <v>10274</v>
      </c>
      <c r="E51" s="15" t="str">
        <f>HYPERLINK("https://stat100.ameba.jp/tnk47/ratio20/illustrations/card/ill_81023_momonokenki03.jpg?202010-5-RELEASE-marathon-496x", "■")</f>
        <v>■</v>
      </c>
      <c r="F51" s="14" t="s">
        <v>4088</v>
      </c>
      <c r="G51" s="14">
        <v>126858</v>
      </c>
      <c r="H51" s="14">
        <v>91876</v>
      </c>
      <c r="I51" s="14">
        <v>24</v>
      </c>
      <c r="J51" s="14" t="s">
        <v>143</v>
      </c>
      <c r="K51" s="14" t="s">
        <v>4089</v>
      </c>
      <c r="L51" s="14" t="s">
        <v>2049</v>
      </c>
      <c r="M51" s="14" t="s">
        <v>9158</v>
      </c>
      <c r="N51" s="14" t="s">
        <v>9158</v>
      </c>
      <c r="O51" s="19" t="s">
        <v>10096</v>
      </c>
      <c r="P51" s="14" t="s">
        <v>3245</v>
      </c>
      <c r="Q51" s="14">
        <v>1</v>
      </c>
    </row>
    <row r="52" spans="1:18">
      <c r="A52" s="14">
        <v>67643</v>
      </c>
      <c r="B52" s="14" t="s">
        <v>334</v>
      </c>
      <c r="C52" s="14" t="s">
        <v>209</v>
      </c>
      <c r="D52" s="19" t="s">
        <v>3033</v>
      </c>
      <c r="E52" s="15" t="str">
        <f>HYPERLINK("https://stat100.ameba.jp/tnk47/ratio20/illustrations/card/ill_67643_edokarakamichan03.jpg?202010-5-RELEASE-marathon-496x", "■")</f>
        <v>■</v>
      </c>
      <c r="F52" s="6" t="s">
        <v>1196</v>
      </c>
      <c r="G52" s="14">
        <v>113338</v>
      </c>
      <c r="H52" s="14">
        <v>105394</v>
      </c>
      <c r="I52" s="14">
        <v>24</v>
      </c>
      <c r="J52" s="14" t="s">
        <v>26</v>
      </c>
      <c r="K52" s="14" t="s">
        <v>1197</v>
      </c>
      <c r="L52" s="14" t="s">
        <v>1198</v>
      </c>
      <c r="M52" s="14" t="s">
        <v>9158</v>
      </c>
      <c r="N52" s="14" t="s">
        <v>9158</v>
      </c>
      <c r="O52" s="19" t="s">
        <v>3037</v>
      </c>
      <c r="P52" s="14" t="s">
        <v>13128</v>
      </c>
      <c r="Q52" s="14">
        <v>1</v>
      </c>
    </row>
    <row r="54" spans="1:18">
      <c r="A54" s="14" t="s">
        <v>13327</v>
      </c>
    </row>
    <row r="55" spans="1:18">
      <c r="A55" s="14" t="s">
        <v>15070</v>
      </c>
    </row>
    <row r="56" spans="1:18">
      <c r="A56" s="14">
        <v>92173</v>
      </c>
      <c r="B56" s="14" t="s">
        <v>0</v>
      </c>
      <c r="C56" s="14" t="s">
        <v>335</v>
      </c>
      <c r="D56" s="14" t="s">
        <v>14616</v>
      </c>
      <c r="E56" s="15" t="str">
        <f>HYPERLINK("https://stat100.ameba.jp/tnk47/ratio20/illustrations/card/ill_92173_atorasu03.jpg?202010-5-RELEASE-marathon-496x", "■")</f>
        <v>■</v>
      </c>
      <c r="F56" s="14" t="s">
        <v>14617</v>
      </c>
      <c r="G56" s="14">
        <v>137846</v>
      </c>
      <c r="H56" s="14">
        <v>128160</v>
      </c>
      <c r="I56" s="14">
        <v>28</v>
      </c>
      <c r="J56" s="14" t="s">
        <v>77</v>
      </c>
      <c r="K56" s="14" t="s">
        <v>14619</v>
      </c>
      <c r="L56" s="14" t="s">
        <v>14618</v>
      </c>
      <c r="M56" s="14" t="s">
        <v>2138</v>
      </c>
      <c r="N56" s="14" t="s">
        <v>2139</v>
      </c>
      <c r="O56" s="14" t="s">
        <v>9158</v>
      </c>
      <c r="P56" s="14" t="s">
        <v>9158</v>
      </c>
      <c r="Q56" s="14" t="s">
        <v>9158</v>
      </c>
      <c r="R56" s="14" t="s">
        <v>14748</v>
      </c>
    </row>
    <row r="57" spans="1:18">
      <c r="A57" s="14">
        <v>92172</v>
      </c>
      <c r="B57" s="14" t="s">
        <v>0</v>
      </c>
      <c r="C57" s="14" t="s">
        <v>335</v>
      </c>
      <c r="D57" s="14" t="s">
        <v>14616</v>
      </c>
      <c r="E57" s="15" t="str">
        <f>HYPERLINK("https://stat100.ameba.jp/tnk47/ratio20/illustrations/card/ill_92172_atorasu02.jpg?202010-5-RELEASE-marathon-496x", "■")</f>
        <v>■</v>
      </c>
      <c r="F57" s="14" t="s">
        <v>14617</v>
      </c>
      <c r="G57" s="14">
        <v>115230</v>
      </c>
      <c r="H57" s="14">
        <v>106148</v>
      </c>
      <c r="I57" s="14">
        <v>28</v>
      </c>
      <c r="J57" s="14" t="s">
        <v>77</v>
      </c>
      <c r="K57" s="14" t="s">
        <v>14619</v>
      </c>
      <c r="L57" s="14" t="s">
        <v>14618</v>
      </c>
      <c r="M57" s="14" t="s">
        <v>13270</v>
      </c>
      <c r="N57" s="14" t="s">
        <v>13271</v>
      </c>
      <c r="O57" s="14" t="s">
        <v>9158</v>
      </c>
      <c r="P57" s="14" t="s">
        <v>9158</v>
      </c>
      <c r="Q57" s="14" t="s">
        <v>9158</v>
      </c>
      <c r="R57" s="14" t="s">
        <v>14748</v>
      </c>
    </row>
    <row r="58" spans="1:18">
      <c r="A58" s="14">
        <v>92171</v>
      </c>
      <c r="B58" s="14" t="s">
        <v>0</v>
      </c>
      <c r="C58" s="14" t="s">
        <v>335</v>
      </c>
      <c r="D58" s="14" t="s">
        <v>14616</v>
      </c>
      <c r="E58" s="15" t="str">
        <f>HYPERLINK("https://stat100.ameba.jp/tnk47/ratio20/illustrations/card/ill_92171_atorasu01.jpg?202010-5-RELEASE-marathon-496x", "■")</f>
        <v>■</v>
      </c>
      <c r="F58" s="14" t="s">
        <v>14617</v>
      </c>
      <c r="G58" s="14">
        <v>87976</v>
      </c>
      <c r="H58" s="14">
        <v>81900</v>
      </c>
      <c r="I58" s="14">
        <v>28</v>
      </c>
      <c r="J58" s="14" t="s">
        <v>77</v>
      </c>
      <c r="K58" s="14" t="s">
        <v>14619</v>
      </c>
      <c r="L58" s="14" t="s">
        <v>14618</v>
      </c>
      <c r="M58" s="14" t="s">
        <v>13270</v>
      </c>
      <c r="N58" s="14" t="s">
        <v>13271</v>
      </c>
      <c r="O58" s="14" t="s">
        <v>9158</v>
      </c>
      <c r="P58" s="14" t="s">
        <v>9158</v>
      </c>
      <c r="Q58" s="14" t="s">
        <v>9158</v>
      </c>
      <c r="R58" s="14" t="s">
        <v>14748</v>
      </c>
    </row>
    <row r="59" spans="1:18">
      <c r="A59" s="14">
        <v>92183</v>
      </c>
      <c r="B59" s="14" t="s">
        <v>0</v>
      </c>
      <c r="C59" s="14" t="s">
        <v>200</v>
      </c>
      <c r="D59" s="14" t="s">
        <v>14624</v>
      </c>
      <c r="E59" s="15" t="str">
        <f>HYPERLINK("https://stat100.ameba.jp/tnk47/ratio20/illustrations/card/ill_92183_shokorafue03.jpg?202010-5-RELEASE-marathon-496x", "■")</f>
        <v>■</v>
      </c>
      <c r="F59" s="14" t="s">
        <v>14623</v>
      </c>
      <c r="G59" s="14">
        <v>137846</v>
      </c>
      <c r="H59" s="14">
        <v>128160</v>
      </c>
      <c r="I59" s="14">
        <v>28</v>
      </c>
      <c r="J59" s="14" t="s">
        <v>104</v>
      </c>
      <c r="K59" s="14" t="s">
        <v>14621</v>
      </c>
      <c r="L59" s="14" t="s">
        <v>14620</v>
      </c>
      <c r="M59" s="14" t="s">
        <v>2138</v>
      </c>
      <c r="N59" s="14" t="s">
        <v>2139</v>
      </c>
      <c r="O59" s="14" t="s">
        <v>9158</v>
      </c>
      <c r="P59" s="14" t="s">
        <v>9158</v>
      </c>
      <c r="Q59" s="14" t="s">
        <v>9158</v>
      </c>
      <c r="R59" s="14" t="s">
        <v>14748</v>
      </c>
    </row>
    <row r="60" spans="1:18">
      <c r="A60" s="14">
        <v>92193</v>
      </c>
      <c r="B60" s="14" t="s">
        <v>0</v>
      </c>
      <c r="C60" s="14" t="s">
        <v>307</v>
      </c>
      <c r="D60" s="14" t="s">
        <v>14629</v>
      </c>
      <c r="E60" s="15" t="str">
        <f>HYPERLINK("https://stat100.ameba.jp/tnk47/ratio20/illustrations/card/ill_92193_kerubu03.jpg?202010-5-RELEASE-marathon-496x", "■")</f>
        <v>■</v>
      </c>
      <c r="F60" s="14" t="s">
        <v>14628</v>
      </c>
      <c r="G60" s="14">
        <v>137846</v>
      </c>
      <c r="H60" s="14">
        <v>128160</v>
      </c>
      <c r="I60" s="14">
        <v>28</v>
      </c>
      <c r="J60" s="14" t="s">
        <v>44</v>
      </c>
      <c r="K60" s="14" t="s">
        <v>14626</v>
      </c>
      <c r="L60" s="14" t="s">
        <v>14625</v>
      </c>
      <c r="M60" s="14" t="s">
        <v>2138</v>
      </c>
      <c r="N60" s="14" t="s">
        <v>2139</v>
      </c>
      <c r="O60" s="14" t="s">
        <v>9158</v>
      </c>
      <c r="P60" s="14" t="s">
        <v>9158</v>
      </c>
      <c r="Q60" s="14" t="s">
        <v>9158</v>
      </c>
      <c r="R60" s="14" t="s">
        <v>14748</v>
      </c>
    </row>
    <row r="61" spans="1:18">
      <c r="A61" s="14">
        <v>92203</v>
      </c>
      <c r="B61" s="14" t="s">
        <v>0</v>
      </c>
      <c r="C61" s="14" t="s">
        <v>165</v>
      </c>
      <c r="D61" s="14" t="s">
        <v>14634</v>
      </c>
      <c r="E61" s="15" t="str">
        <f>HYPERLINK("https://stat100.ameba.jp/tnk47/ratio20/illustrations/card/ill_92203_tarazetotoreda03.jpg?202010-5-RELEASE-marathon-496x", "■")</f>
        <v>■</v>
      </c>
      <c r="F61" s="14" t="s">
        <v>14633</v>
      </c>
      <c r="G61" s="14">
        <v>128160</v>
      </c>
      <c r="H61" s="14">
        <v>137846</v>
      </c>
      <c r="I61" s="14">
        <v>28</v>
      </c>
      <c r="J61" s="14" t="s">
        <v>73</v>
      </c>
      <c r="K61" s="14" t="s">
        <v>14631</v>
      </c>
      <c r="L61" s="14" t="s">
        <v>14630</v>
      </c>
      <c r="M61" s="14" t="s">
        <v>2138</v>
      </c>
      <c r="N61" s="14" t="s">
        <v>2139</v>
      </c>
      <c r="O61" s="14" t="s">
        <v>9158</v>
      </c>
      <c r="P61" s="14" t="s">
        <v>9158</v>
      </c>
      <c r="Q61" s="14" t="s">
        <v>9158</v>
      </c>
      <c r="R61" s="14" t="s">
        <v>14748</v>
      </c>
    </row>
    <row r="62" spans="1:18">
      <c r="A62" s="14">
        <v>92213</v>
      </c>
      <c r="B62" s="14" t="s">
        <v>0</v>
      </c>
      <c r="C62" s="9" t="s">
        <v>205</v>
      </c>
      <c r="D62" s="14" t="s">
        <v>14639</v>
      </c>
      <c r="E62" s="15" t="str">
        <f>HYPERLINK("https://stat100.ameba.jp/tnk47/ratio20/illustrations/card/ill_92213_pushikopompoi03.jpg?202010-5-RELEASE-marathon-496x", "■")</f>
        <v>■</v>
      </c>
      <c r="F62" s="14" t="s">
        <v>14638</v>
      </c>
      <c r="G62" s="14">
        <v>128160</v>
      </c>
      <c r="H62" s="14">
        <v>137846</v>
      </c>
      <c r="I62" s="14">
        <v>28</v>
      </c>
      <c r="J62" s="14" t="s">
        <v>38</v>
      </c>
      <c r="K62" s="14" t="s">
        <v>14636</v>
      </c>
      <c r="L62" s="14" t="s">
        <v>14635</v>
      </c>
      <c r="M62" s="14" t="s">
        <v>2138</v>
      </c>
      <c r="N62" s="14" t="s">
        <v>2139</v>
      </c>
      <c r="O62" s="14" t="s">
        <v>9158</v>
      </c>
      <c r="P62" s="14" t="s">
        <v>9158</v>
      </c>
      <c r="Q62" s="14" t="s">
        <v>9158</v>
      </c>
      <c r="R62" s="14" t="s">
        <v>14748</v>
      </c>
    </row>
    <row r="63" spans="1:18">
      <c r="A63" s="14">
        <v>92223</v>
      </c>
      <c r="B63" s="14" t="s">
        <v>0</v>
      </c>
      <c r="C63" s="14" t="s">
        <v>206</v>
      </c>
      <c r="D63" s="14" t="s">
        <v>14644</v>
      </c>
      <c r="E63" s="15" t="str">
        <f>HYPERLINK("https://stat100.ameba.jp/tnk47/ratio20/illustrations/card/ill_92223_sanfuraua03.jpg?202010-5-RELEASE-marathon-496x", "■")</f>
        <v>■</v>
      </c>
      <c r="F63" s="14" t="s">
        <v>14643</v>
      </c>
      <c r="G63" s="14">
        <v>128160</v>
      </c>
      <c r="H63" s="14">
        <v>137846</v>
      </c>
      <c r="I63" s="14">
        <v>28</v>
      </c>
      <c r="J63" s="14" t="s">
        <v>26</v>
      </c>
      <c r="K63" s="14" t="s">
        <v>14641</v>
      </c>
      <c r="L63" s="14" t="s">
        <v>14640</v>
      </c>
      <c r="M63" s="14" t="s">
        <v>2138</v>
      </c>
      <c r="N63" s="14" t="s">
        <v>2139</v>
      </c>
      <c r="O63" s="14" t="s">
        <v>9158</v>
      </c>
      <c r="P63" s="14" t="s">
        <v>9158</v>
      </c>
      <c r="Q63" s="14" t="s">
        <v>9158</v>
      </c>
      <c r="R63" s="14" t="s">
        <v>14748</v>
      </c>
    </row>
    <row r="65" spans="1:17">
      <c r="A65" s="14" t="s">
        <v>15072</v>
      </c>
    </row>
    <row r="66" spans="1:17">
      <c r="A66" s="14" t="s">
        <v>15071</v>
      </c>
    </row>
    <row r="67" spans="1:17">
      <c r="A67" s="14" t="s">
        <v>15073</v>
      </c>
    </row>
    <row r="68" spans="1:17">
      <c r="A68" s="14" t="s">
        <v>14997</v>
      </c>
      <c r="B68" s="7" t="s">
        <v>52</v>
      </c>
      <c r="C68" s="14" t="s">
        <v>202</v>
      </c>
      <c r="D68" s="18" t="s">
        <v>14996</v>
      </c>
      <c r="E68" s="15" t="str">
        <f>HYPERLINK("https://stat100.ameba.jp/tnk47/ratio20/illustrations/card/ill_92403_0_haroimmochizukichiyome03.jpg?202010-5-RELEASE-marathon-496x", "■")</f>
        <v>■</v>
      </c>
      <c r="F68" s="14" t="s">
        <v>15003</v>
      </c>
      <c r="G68" s="14">
        <v>339272</v>
      </c>
      <c r="H68" s="14">
        <v>277564</v>
      </c>
      <c r="I68" s="7">
        <v>28</v>
      </c>
      <c r="J68" s="14" t="s">
        <v>16</v>
      </c>
      <c r="K68" s="14" t="s">
        <v>15001</v>
      </c>
      <c r="L68" s="14" t="s">
        <v>15000</v>
      </c>
      <c r="M68" s="14" t="s">
        <v>9158</v>
      </c>
      <c r="N68" s="14" t="s">
        <v>9158</v>
      </c>
      <c r="O68" s="6" t="s">
        <v>14998</v>
      </c>
      <c r="P68" s="7" t="s">
        <v>14999</v>
      </c>
      <c r="Q68" s="7">
        <v>1</v>
      </c>
    </row>
    <row r="69" spans="1:17">
      <c r="A69" s="14">
        <v>92453</v>
      </c>
      <c r="B69" s="14" t="s">
        <v>0</v>
      </c>
      <c r="C69" s="14" t="s">
        <v>15079</v>
      </c>
      <c r="D69" s="14" t="s">
        <v>15078</v>
      </c>
      <c r="E69" s="15" t="str">
        <f>HYPERLINK("https://stat100.ameba.jp/tnk47/ratio20/illustrations/card/ill_92453_kaitokaranochosenjoakaiteruko03.jpg?202010-5-RELEASE-marathon-496x", "■")</f>
        <v>■</v>
      </c>
      <c r="F69" s="14" t="s">
        <v>15077</v>
      </c>
      <c r="G69" s="14">
        <v>166452</v>
      </c>
      <c r="H69" s="14">
        <v>154768</v>
      </c>
      <c r="I69" s="7">
        <v>28</v>
      </c>
      <c r="J69" s="14" t="s">
        <v>15076</v>
      </c>
      <c r="K69" s="14" t="s">
        <v>15075</v>
      </c>
      <c r="L69" s="14" t="s">
        <v>15074</v>
      </c>
      <c r="M69" s="14" t="s">
        <v>9158</v>
      </c>
      <c r="N69" s="14" t="s">
        <v>9158</v>
      </c>
      <c r="O69" s="14" t="s">
        <v>9158</v>
      </c>
      <c r="P69" s="14" t="s">
        <v>9158</v>
      </c>
      <c r="Q69" s="14" t="s">
        <v>9158</v>
      </c>
    </row>
    <row r="70" spans="1:17">
      <c r="A70" s="14">
        <v>92463</v>
      </c>
      <c r="B70" s="14" t="s">
        <v>15080</v>
      </c>
      <c r="C70" s="14" t="s">
        <v>15087</v>
      </c>
      <c r="D70" s="14" t="s">
        <v>15086</v>
      </c>
      <c r="E70" s="15" t="str">
        <f>HYPERLINK("https://stat100.ameba.jp/tnk47/ratio20/illustrations/card/ill_92463_kubiwakomorichan03.jpg?202010-5-RELEASE-marathon-496x", "■")</f>
        <v>■</v>
      </c>
      <c r="F70" s="14" t="s">
        <v>15085</v>
      </c>
      <c r="G70" s="14">
        <v>75274</v>
      </c>
      <c r="H70" s="14">
        <v>82992</v>
      </c>
      <c r="I70" s="7">
        <v>28</v>
      </c>
      <c r="J70" s="14" t="s">
        <v>15084</v>
      </c>
      <c r="K70" s="14" t="s">
        <v>15083</v>
      </c>
      <c r="L70" s="14" t="s">
        <v>15082</v>
      </c>
      <c r="M70" s="14" t="s">
        <v>9158</v>
      </c>
      <c r="N70" s="14" t="s">
        <v>9158</v>
      </c>
      <c r="O70" s="14" t="s">
        <v>9158</v>
      </c>
      <c r="P70" s="14" t="s">
        <v>9158</v>
      </c>
      <c r="Q70" s="14" t="s">
        <v>9158</v>
      </c>
    </row>
    <row r="71" spans="1:17">
      <c r="A71" s="14">
        <v>92473</v>
      </c>
      <c r="B71" s="14" t="s">
        <v>15081</v>
      </c>
      <c r="C71" s="14" t="s">
        <v>15093</v>
      </c>
      <c r="D71" s="14" t="s">
        <v>15092</v>
      </c>
      <c r="E71" s="15" t="str">
        <f>HYPERLINK("https://stat100.ameba.jp/tnk47/ratio20/illustrations/card/ill_92473_keijimatsuobasho03.jpg?202010-5-RELEASE-marathon-496x", "■")</f>
        <v>■</v>
      </c>
      <c r="F71" s="14" t="s">
        <v>15091</v>
      </c>
      <c r="G71" s="14">
        <v>58216</v>
      </c>
      <c r="H71" s="14">
        <v>48406</v>
      </c>
      <c r="I71" s="7">
        <v>28</v>
      </c>
      <c r="J71" s="14" t="s">
        <v>15090</v>
      </c>
      <c r="K71" s="14" t="s">
        <v>15089</v>
      </c>
      <c r="L71" s="14" t="s">
        <v>15088</v>
      </c>
      <c r="M71" s="14" t="s">
        <v>9158</v>
      </c>
      <c r="N71" s="14" t="s">
        <v>9158</v>
      </c>
      <c r="O71" s="14" t="s">
        <v>9158</v>
      </c>
      <c r="P71" s="14" t="s">
        <v>9158</v>
      </c>
      <c r="Q71" s="14" t="s">
        <v>9158</v>
      </c>
    </row>
    <row r="72" spans="1:17">
      <c r="A72" s="14">
        <v>92483</v>
      </c>
      <c r="B72" s="14" t="s">
        <v>15081</v>
      </c>
      <c r="C72" s="14" t="s">
        <v>15098</v>
      </c>
      <c r="D72" s="14" t="s">
        <v>15097</v>
      </c>
      <c r="E72" s="15" t="str">
        <f>HYPERLINK("https://stat100.ameba.jp/tnk47/ratio20/illustrations/card/ill_92483_torejakikkawafujin03.jpg?202010-5-RELEASE-marathon-496x", "■")</f>
        <v>■</v>
      </c>
      <c r="F72" s="14" t="s">
        <v>15096</v>
      </c>
      <c r="G72" s="14">
        <v>48406</v>
      </c>
      <c r="H72" s="14">
        <v>58216</v>
      </c>
      <c r="I72" s="7">
        <v>28</v>
      </c>
      <c r="J72" s="14" t="s">
        <v>77</v>
      </c>
      <c r="K72" s="14" t="s">
        <v>15095</v>
      </c>
      <c r="L72" s="14" t="s">
        <v>15094</v>
      </c>
      <c r="M72" s="14" t="s">
        <v>9158</v>
      </c>
      <c r="N72" s="14" t="s">
        <v>9158</v>
      </c>
      <c r="O72" s="14" t="s">
        <v>9158</v>
      </c>
      <c r="P72" s="14" t="s">
        <v>9158</v>
      </c>
      <c r="Q72" s="14" t="s">
        <v>9158</v>
      </c>
    </row>
    <row r="74" spans="1:17">
      <c r="A74" s="14" t="s">
        <v>15100</v>
      </c>
    </row>
    <row r="75" spans="1:17">
      <c r="A75" s="14" t="s">
        <v>15099</v>
      </c>
    </row>
    <row r="76" spans="1:17">
      <c r="A76" s="14" t="s">
        <v>5724</v>
      </c>
      <c r="B76" s="14" t="s">
        <v>330</v>
      </c>
      <c r="C76" s="14" t="s">
        <v>335</v>
      </c>
      <c r="D76" s="20" t="s">
        <v>698</v>
      </c>
      <c r="E76" s="15" t="str">
        <f>HYPERLINK("https://stat100.ameba.jp/tnk47/ratio20/illustrations/card/ill_66433_0_haroinfujishirogozen03.jpg?202010-5-RELEASE-marathon-496x", "■")</f>
        <v>■</v>
      </c>
      <c r="F76" s="14" t="s">
        <v>699</v>
      </c>
      <c r="G76" s="7">
        <v>153013</v>
      </c>
      <c r="H76" s="14">
        <v>164585</v>
      </c>
      <c r="I76" s="14">
        <v>25</v>
      </c>
      <c r="J76" s="14" t="s">
        <v>315</v>
      </c>
      <c r="K76" s="14" t="s">
        <v>700</v>
      </c>
      <c r="L76" s="14" t="s">
        <v>701</v>
      </c>
      <c r="M76" s="14" t="s">
        <v>9158</v>
      </c>
      <c r="N76" s="14" t="s">
        <v>9158</v>
      </c>
      <c r="O76" s="19" t="s">
        <v>10095</v>
      </c>
      <c r="P76" s="14" t="s">
        <v>3345</v>
      </c>
      <c r="Q76" s="14">
        <v>1</v>
      </c>
    </row>
    <row r="77" spans="1:17">
      <c r="A77" s="9">
        <v>87583</v>
      </c>
      <c r="B77" s="14" t="s">
        <v>0</v>
      </c>
      <c r="C77" s="9" t="s">
        <v>165</v>
      </c>
      <c r="D77" s="6" t="s">
        <v>9981</v>
      </c>
      <c r="E77" s="15" t="str">
        <f>HYPERLINK("https://stat100.ameba.jp/tnk47/ratio20/illustrations/card/ill_87583_oendanise03.jpg?202010-5-RELEASE-marathon-496x", "■")</f>
        <v>■</v>
      </c>
      <c r="F77" s="9" t="s">
        <v>9929</v>
      </c>
      <c r="G77" s="9">
        <v>105426</v>
      </c>
      <c r="H77" s="9">
        <v>98066</v>
      </c>
      <c r="I77" s="14">
        <v>26</v>
      </c>
      <c r="J77" s="9" t="s">
        <v>159</v>
      </c>
      <c r="K77" s="9" t="s">
        <v>9934</v>
      </c>
      <c r="L77" s="9" t="s">
        <v>9927</v>
      </c>
      <c r="M77" s="14" t="s">
        <v>9158</v>
      </c>
      <c r="N77" s="14" t="s">
        <v>9158</v>
      </c>
      <c r="O77" s="6" t="s">
        <v>4373</v>
      </c>
      <c r="P77" s="14" t="s">
        <v>4374</v>
      </c>
      <c r="Q77" s="14">
        <v>1</v>
      </c>
    </row>
    <row r="78" spans="1:17">
      <c r="A78" s="14">
        <v>67993</v>
      </c>
      <c r="B78" s="14" t="s">
        <v>334</v>
      </c>
      <c r="C78" s="14" t="s">
        <v>205</v>
      </c>
      <c r="D78" s="6" t="s">
        <v>2546</v>
      </c>
      <c r="E78" s="15" t="str">
        <f>HYPERLINK("https://stat100.ameba.jp/tnk47/ratio20/illustrations/card/ill_67993_kurisumasupateikanekomisuzu03.jpg?202010-5-RELEASE-marathon-496x", "■")</f>
        <v>■</v>
      </c>
      <c r="F78" s="14" t="s">
        <v>1286</v>
      </c>
      <c r="G78" s="14">
        <v>101558</v>
      </c>
      <c r="H78" s="14">
        <v>94390</v>
      </c>
      <c r="I78" s="14">
        <v>26</v>
      </c>
      <c r="J78" s="14" t="s">
        <v>10</v>
      </c>
      <c r="K78" s="14" t="s">
        <v>2547</v>
      </c>
      <c r="L78" s="14" t="s">
        <v>2548</v>
      </c>
      <c r="M78" s="14" t="s">
        <v>9158</v>
      </c>
      <c r="N78" s="14" t="s">
        <v>9158</v>
      </c>
      <c r="O78" s="6" t="s">
        <v>10025</v>
      </c>
      <c r="P78" s="14" t="s">
        <v>3701</v>
      </c>
      <c r="Q78" s="14">
        <v>1</v>
      </c>
    </row>
    <row r="79" spans="1:17">
      <c r="A79" s="14">
        <v>79963</v>
      </c>
      <c r="B79" s="14" t="s">
        <v>0</v>
      </c>
      <c r="C79" s="14" t="s">
        <v>200</v>
      </c>
      <c r="D79" s="20" t="s">
        <v>10477</v>
      </c>
      <c r="E79" s="15" t="str">
        <f>HYPERLINK("https://stat100.ameba.jp/tnk47/ratio20/illustrations/card/ill_79963_hinamatsurirakko03.jpg?202010-5-RELEASE-marathon-496x", "■")</f>
        <v>■</v>
      </c>
      <c r="F79" s="14" t="s">
        <v>3715</v>
      </c>
      <c r="G79" s="14">
        <v>118446</v>
      </c>
      <c r="H79" s="14">
        <v>110126</v>
      </c>
      <c r="I79" s="14">
        <v>26</v>
      </c>
      <c r="J79" s="14" t="s">
        <v>26</v>
      </c>
      <c r="K79" s="14" t="s">
        <v>3716</v>
      </c>
      <c r="L79" s="14" t="s">
        <v>1086</v>
      </c>
      <c r="M79" s="14" t="s">
        <v>9158</v>
      </c>
      <c r="N79" s="14" t="s">
        <v>9158</v>
      </c>
      <c r="O79" s="19" t="s">
        <v>10090</v>
      </c>
      <c r="P79" s="14" t="s">
        <v>3460</v>
      </c>
      <c r="Q79" s="14">
        <v>1</v>
      </c>
    </row>
    <row r="81" spans="1:17">
      <c r="A81" s="14" t="s">
        <v>15102</v>
      </c>
    </row>
    <row r="82" spans="1:17">
      <c r="A82" s="14" t="s">
        <v>15101</v>
      </c>
    </row>
    <row r="83" spans="1:17">
      <c r="A83" s="14" t="s">
        <v>5620</v>
      </c>
      <c r="B83" s="14" t="s">
        <v>52</v>
      </c>
      <c r="C83" s="14" t="s">
        <v>344</v>
      </c>
      <c r="D83" s="19" t="s">
        <v>669</v>
      </c>
      <c r="E83" s="15" t="str">
        <f>HYPERLINK("https://stat100.ameba.jp/tnk47/ratio20/illustrations/card/ill_67173_0_yukemuriawamorichan03.jpg?202010-5-RELEASE-marathon-496xx", "■")</f>
        <v>■</v>
      </c>
      <c r="F83" s="14" t="s">
        <v>2043</v>
      </c>
      <c r="G83" s="14">
        <v>184400</v>
      </c>
      <c r="H83" s="14">
        <v>171436</v>
      </c>
      <c r="I83" s="14">
        <v>24</v>
      </c>
      <c r="J83" s="14" t="s">
        <v>104</v>
      </c>
      <c r="K83" s="14" t="s">
        <v>2044</v>
      </c>
      <c r="L83" s="14" t="s">
        <v>2045</v>
      </c>
      <c r="M83" s="14" t="s">
        <v>9158</v>
      </c>
      <c r="N83" s="14" t="s">
        <v>9158</v>
      </c>
      <c r="O83" s="19" t="s">
        <v>10087</v>
      </c>
      <c r="P83" s="14" t="s">
        <v>3455</v>
      </c>
      <c r="Q83" s="14">
        <v>1</v>
      </c>
    </row>
    <row r="84" spans="1:17">
      <c r="A84" s="14" t="s">
        <v>5901</v>
      </c>
      <c r="B84" s="14" t="s">
        <v>52</v>
      </c>
      <c r="C84" s="14" t="s">
        <v>101</v>
      </c>
      <c r="D84" s="19" t="s">
        <v>1426</v>
      </c>
      <c r="E84" s="15" t="str">
        <f>HYPERLINK("https://stat100.ameba.jp/tnk47/ratio20/illustrations/card/ill_64953_0_yukatatokugawayoshinobu03.jpg?202010-5-RELEASE-marathon-496xx", "■")</f>
        <v>■</v>
      </c>
      <c r="F84" s="14" t="s">
        <v>2090</v>
      </c>
      <c r="G84" s="14">
        <v>149520</v>
      </c>
      <c r="H84" s="14">
        <v>160804</v>
      </c>
      <c r="I84" s="14">
        <v>24</v>
      </c>
      <c r="J84" s="14" t="s">
        <v>10</v>
      </c>
      <c r="K84" s="14" t="s">
        <v>2091</v>
      </c>
      <c r="L84" s="14" t="s">
        <v>2092</v>
      </c>
      <c r="M84" s="14" t="s">
        <v>9158</v>
      </c>
      <c r="N84" s="14" t="s">
        <v>9158</v>
      </c>
      <c r="O84" s="19" t="s">
        <v>2889</v>
      </c>
      <c r="P84" s="14" t="s">
        <v>2890</v>
      </c>
      <c r="Q84" s="14">
        <v>1</v>
      </c>
    </row>
    <row r="85" spans="1:17">
      <c r="A85" s="14" t="s">
        <v>5612</v>
      </c>
      <c r="B85" s="14" t="s">
        <v>52</v>
      </c>
      <c r="C85" s="14" t="s">
        <v>165</v>
      </c>
      <c r="D85" s="19" t="s">
        <v>789</v>
      </c>
      <c r="E85" s="15" t="str">
        <f>HYPERLINK("https://stat100.ameba.jp/tnk47/ratio20/illustrations/card/ill_49193_0_onmyoudouabenoseimei03.jpg?202010-5-RELEASE-marathon-496xx", "■")</f>
        <v>■</v>
      </c>
      <c r="F85" s="14" t="s">
        <v>1896</v>
      </c>
      <c r="G85" s="14">
        <v>133938</v>
      </c>
      <c r="H85" s="14">
        <v>150776</v>
      </c>
      <c r="I85" s="14">
        <v>24</v>
      </c>
      <c r="J85" s="14" t="s">
        <v>10</v>
      </c>
      <c r="K85" s="14" t="s">
        <v>1897</v>
      </c>
      <c r="L85" s="14" t="s">
        <v>1898</v>
      </c>
      <c r="M85" s="14" t="s">
        <v>9158</v>
      </c>
      <c r="N85" s="14" t="s">
        <v>9158</v>
      </c>
      <c r="O85" s="14" t="s">
        <v>9158</v>
      </c>
      <c r="P85" s="14" t="s">
        <v>9158</v>
      </c>
      <c r="Q85" s="14" t="s">
        <v>9158</v>
      </c>
    </row>
    <row r="86" spans="1:17">
      <c r="A86" s="14">
        <v>92453</v>
      </c>
      <c r="B86" s="14" t="s">
        <v>0</v>
      </c>
      <c r="C86" s="14" t="s">
        <v>23</v>
      </c>
      <c r="D86" s="14" t="s">
        <v>15078</v>
      </c>
      <c r="E86" s="15" t="str">
        <f>HYPERLINK("https://stat100.ameba.jp/tnk47/ratio20/illustrations/card/ill_92453_kaitokaranochosenjoakaiteruko03.jpg?202010-5-RELEASE-marathon-496xx", "■")</f>
        <v>■</v>
      </c>
      <c r="F86" s="14" t="s">
        <v>15077</v>
      </c>
      <c r="G86" s="14">
        <v>154562</v>
      </c>
      <c r="H86" s="14">
        <v>143714</v>
      </c>
      <c r="I86" s="7">
        <v>26</v>
      </c>
      <c r="J86" s="14" t="s">
        <v>143</v>
      </c>
      <c r="K86" s="14" t="s">
        <v>15075</v>
      </c>
      <c r="L86" s="14" t="s">
        <v>12153</v>
      </c>
      <c r="M86" s="14" t="s">
        <v>9158</v>
      </c>
      <c r="N86" s="14" t="s">
        <v>9158</v>
      </c>
      <c r="O86" s="14" t="s">
        <v>9158</v>
      </c>
      <c r="P86" s="14" t="s">
        <v>9158</v>
      </c>
      <c r="Q86" s="14" t="s">
        <v>9158</v>
      </c>
    </row>
    <row r="87" spans="1:17">
      <c r="A87" s="14">
        <v>92463</v>
      </c>
      <c r="B87" s="14" t="s">
        <v>15</v>
      </c>
      <c r="C87" s="14" t="s">
        <v>101</v>
      </c>
      <c r="D87" s="14" t="s">
        <v>15086</v>
      </c>
      <c r="E87" s="15" t="str">
        <f>HYPERLINK("https://stat100.ameba.jp/tnk47/ratio20/illustrations/card/ill_92463_kubiwakomorichan03.jpg?202010-5-RELEASE-marathon-496xx", "■")</f>
        <v>■</v>
      </c>
      <c r="F87" s="14" t="s">
        <v>15085</v>
      </c>
      <c r="G87" s="14">
        <v>69898</v>
      </c>
      <c r="H87" s="14">
        <v>77064</v>
      </c>
      <c r="I87" s="7">
        <v>26</v>
      </c>
      <c r="J87" s="14" t="s">
        <v>26</v>
      </c>
      <c r="K87" s="14" t="s">
        <v>15083</v>
      </c>
      <c r="L87" s="14" t="s">
        <v>977</v>
      </c>
      <c r="M87" s="14" t="s">
        <v>9158</v>
      </c>
      <c r="N87" s="14" t="s">
        <v>9158</v>
      </c>
      <c r="O87" s="14" t="s">
        <v>9158</v>
      </c>
      <c r="P87" s="14" t="s">
        <v>9158</v>
      </c>
      <c r="Q87" s="14" t="s">
        <v>9158</v>
      </c>
    </row>
    <row r="88" spans="1:17">
      <c r="A88" s="14">
        <v>92473</v>
      </c>
      <c r="B88" s="14" t="s">
        <v>22</v>
      </c>
      <c r="C88" s="14" t="s">
        <v>96</v>
      </c>
      <c r="D88" s="14" t="s">
        <v>15092</v>
      </c>
      <c r="E88" s="15" t="str">
        <f>HYPERLINK("https://stat100.ameba.jp/tnk47/ratio20/illustrations/card/ill_92473_keijimatsuobasho03.jpg?202010-5-RELEASE-marathon-496xx", "■")</f>
        <v>■</v>
      </c>
      <c r="F88" s="14" t="s">
        <v>15091</v>
      </c>
      <c r="G88" s="14">
        <v>54058</v>
      </c>
      <c r="H88" s="14">
        <v>44948</v>
      </c>
      <c r="I88" s="7">
        <v>26</v>
      </c>
      <c r="J88" s="14" t="s">
        <v>10</v>
      </c>
      <c r="K88" s="14" t="s">
        <v>15089</v>
      </c>
      <c r="L88" s="14" t="s">
        <v>2321</v>
      </c>
      <c r="M88" s="14" t="s">
        <v>9158</v>
      </c>
      <c r="N88" s="14" t="s">
        <v>9158</v>
      </c>
      <c r="O88" s="14" t="s">
        <v>9158</v>
      </c>
      <c r="P88" s="14" t="s">
        <v>9158</v>
      </c>
      <c r="Q88" s="14" t="s">
        <v>9158</v>
      </c>
    </row>
    <row r="89" spans="1:17">
      <c r="A89" s="14">
        <v>92483</v>
      </c>
      <c r="B89" s="14" t="s">
        <v>22</v>
      </c>
      <c r="C89" s="14" t="s">
        <v>1</v>
      </c>
      <c r="D89" s="14" t="s">
        <v>15097</v>
      </c>
      <c r="E89" s="15" t="str">
        <f>HYPERLINK("https://stat100.ameba.jp/tnk47/ratio20/illustrations/card/ill_92483_torejakikkawafujin03.jpg?202010-5-RELEASE-marathon-496xx", "■")</f>
        <v>■</v>
      </c>
      <c r="F89" s="14" t="s">
        <v>15096</v>
      </c>
      <c r="G89" s="14">
        <v>44948</v>
      </c>
      <c r="H89" s="14">
        <v>54058</v>
      </c>
      <c r="I89" s="7">
        <v>26</v>
      </c>
      <c r="J89" s="14" t="s">
        <v>77</v>
      </c>
      <c r="K89" s="14" t="s">
        <v>15095</v>
      </c>
      <c r="L89" s="14" t="s">
        <v>2424</v>
      </c>
      <c r="M89" s="14" t="s">
        <v>9158</v>
      </c>
      <c r="N89" s="14" t="s">
        <v>9158</v>
      </c>
      <c r="O89" s="14" t="s">
        <v>9158</v>
      </c>
      <c r="P89" s="14" t="s">
        <v>9158</v>
      </c>
      <c r="Q89" s="14" t="s">
        <v>9158</v>
      </c>
    </row>
    <row r="91" spans="1:17">
      <c r="A91" s="14" t="s">
        <v>15103</v>
      </c>
    </row>
    <row r="92" spans="1:17">
      <c r="A92" s="14" t="s">
        <v>15104</v>
      </c>
    </row>
    <row r="93" spans="1:17">
      <c r="A93" s="14" t="s">
        <v>12532</v>
      </c>
      <c r="B93" s="7" t="s">
        <v>52</v>
      </c>
      <c r="C93" s="14" t="s">
        <v>202</v>
      </c>
      <c r="D93" s="18" t="s">
        <v>12528</v>
      </c>
      <c r="E93" s="15" t="str">
        <f>HYPERLINK("https://stat100.ameba.jp/tnk47/ratio20/illustrations/card/ill_89073_0_efuwanresuyokohamaserachan03.jpg?202010-5-RELEASE-marathon-496xx", "■")</f>
        <v>■</v>
      </c>
      <c r="F93" s="14" t="s">
        <v>12529</v>
      </c>
      <c r="G93" s="14">
        <v>296998</v>
      </c>
      <c r="H93" s="14">
        <v>328614</v>
      </c>
      <c r="I93" s="7">
        <v>27</v>
      </c>
      <c r="J93" s="14" t="s">
        <v>229</v>
      </c>
      <c r="K93" s="14" t="s">
        <v>12530</v>
      </c>
      <c r="L93" s="14" t="s">
        <v>12531</v>
      </c>
      <c r="M93" s="14" t="s">
        <v>9158</v>
      </c>
      <c r="N93" s="14" t="s">
        <v>9158</v>
      </c>
      <c r="O93" s="6" t="s">
        <v>12533</v>
      </c>
      <c r="P93" s="7" t="s">
        <v>12534</v>
      </c>
      <c r="Q93" s="7">
        <v>1</v>
      </c>
    </row>
    <row r="94" spans="1:17">
      <c r="A94" s="14" t="s">
        <v>7789</v>
      </c>
      <c r="B94" s="14" t="s">
        <v>52</v>
      </c>
      <c r="C94" s="14" t="s">
        <v>202</v>
      </c>
      <c r="D94" s="19" t="s">
        <v>10741</v>
      </c>
      <c r="E94" s="15" t="str">
        <f>HYPERLINK("https://stat100.ameba.jp/tnk47/ratio20/illustrations/card/ill_84923_0_onsengainansosatomihakkenden03.jpg?202010-5-RELEASE-marathon-496xx", "■")</f>
        <v>■</v>
      </c>
      <c r="F94" s="14" t="s">
        <v>7792</v>
      </c>
      <c r="G94" s="14">
        <v>311915</v>
      </c>
      <c r="H94" s="14">
        <v>345111</v>
      </c>
      <c r="I94" s="14">
        <v>27</v>
      </c>
      <c r="J94" s="14" t="s">
        <v>155</v>
      </c>
      <c r="K94" s="14" t="s">
        <v>7791</v>
      </c>
      <c r="L94" s="14" t="s">
        <v>7790</v>
      </c>
      <c r="M94" s="14" t="s">
        <v>9158</v>
      </c>
      <c r="N94" s="14" t="s">
        <v>9158</v>
      </c>
      <c r="O94" s="19" t="s">
        <v>10131</v>
      </c>
      <c r="P94" s="14" t="s">
        <v>7793</v>
      </c>
      <c r="Q94" s="14">
        <v>0</v>
      </c>
    </row>
    <row r="95" spans="1:17">
      <c r="A95" s="14" t="s">
        <v>5902</v>
      </c>
      <c r="B95" s="14" t="s">
        <v>330</v>
      </c>
      <c r="C95" s="14" t="s">
        <v>206</v>
      </c>
      <c r="D95" s="19" t="s">
        <v>483</v>
      </c>
      <c r="E95" s="15" t="str">
        <f>HYPERLINK("https://stat100.ameba.jp/tnk47/ratio20/illustrations/card/ill_40343_0_heshikirihasebekurodakambe03.jpg?202010-5-RELEASE-marathon-496xx", "■")</f>
        <v>■</v>
      </c>
      <c r="F95" s="14" t="s">
        <v>906</v>
      </c>
      <c r="G95" s="14">
        <v>158004</v>
      </c>
      <c r="H95" s="14">
        <v>147980</v>
      </c>
      <c r="I95" s="14">
        <v>27</v>
      </c>
      <c r="J95" s="14" t="s">
        <v>16</v>
      </c>
      <c r="K95" s="14" t="s">
        <v>907</v>
      </c>
      <c r="L95" s="14" t="s">
        <v>908</v>
      </c>
      <c r="M95" s="14" t="s">
        <v>9158</v>
      </c>
      <c r="N95" s="14" t="s">
        <v>9158</v>
      </c>
      <c r="O95" s="14" t="s">
        <v>9158</v>
      </c>
      <c r="P95" s="14" t="s">
        <v>9158</v>
      </c>
      <c r="Q95" s="14" t="s">
        <v>9158</v>
      </c>
    </row>
    <row r="96" spans="1:17">
      <c r="A96" s="14">
        <v>73093</v>
      </c>
      <c r="B96" s="14" t="s">
        <v>334</v>
      </c>
      <c r="C96" s="14" t="s">
        <v>209</v>
      </c>
      <c r="D96" s="20" t="s">
        <v>433</v>
      </c>
      <c r="E96" s="15" t="str">
        <f>HYPERLINK("https://stat100.ameba.jp/tnk47/ratio20/illustrations/card/ill_73093_aisukurinchan03.jpg?202010-5-RELEASE-marathon-496xx", "■")</f>
        <v>■</v>
      </c>
      <c r="F96" s="14" t="s">
        <v>1027</v>
      </c>
      <c r="G96" s="14">
        <v>179634</v>
      </c>
      <c r="H96" s="14">
        <v>130113</v>
      </c>
      <c r="I96" s="14">
        <v>27</v>
      </c>
      <c r="J96" s="14" t="s">
        <v>104</v>
      </c>
      <c r="K96" s="14" t="s">
        <v>1028</v>
      </c>
      <c r="L96" s="14" t="s">
        <v>1029</v>
      </c>
      <c r="M96" s="14" t="s">
        <v>9158</v>
      </c>
      <c r="N96" s="14" t="s">
        <v>9158</v>
      </c>
      <c r="O96" s="19" t="s">
        <v>2741</v>
      </c>
      <c r="P96" s="14" t="s">
        <v>2742</v>
      </c>
      <c r="Q96" s="14">
        <v>1</v>
      </c>
    </row>
    <row r="97" spans="1:17">
      <c r="A97" s="16">
        <v>75853</v>
      </c>
      <c r="B97" s="14" t="s">
        <v>334</v>
      </c>
      <c r="C97" s="14" t="s">
        <v>41</v>
      </c>
      <c r="D97" s="19" t="s">
        <v>10224</v>
      </c>
      <c r="E97" s="15" t="str">
        <f>HYPERLINK("https://stat100.ameba.jp/tnk47/ratio20/illustrations/card/ill_75853_moruganoyuki03.jpg?202010-5-RELEASE-marathon-496xx", "■")</f>
        <v>■</v>
      </c>
      <c r="F97" s="14" t="s">
        <v>5106</v>
      </c>
      <c r="G97" s="14">
        <v>135000</v>
      </c>
      <c r="H97" s="14">
        <v>125523</v>
      </c>
      <c r="I97" s="14">
        <v>27</v>
      </c>
      <c r="J97" s="14" t="s">
        <v>16</v>
      </c>
      <c r="K97" s="14" t="s">
        <v>5108</v>
      </c>
      <c r="L97" s="14" t="s">
        <v>1881</v>
      </c>
      <c r="M97" s="14" t="s">
        <v>9158</v>
      </c>
      <c r="N97" s="14" t="s">
        <v>9158</v>
      </c>
      <c r="O97" s="7" t="s">
        <v>3578</v>
      </c>
      <c r="P97" s="14" t="s">
        <v>3579</v>
      </c>
      <c r="Q97" s="14">
        <v>1</v>
      </c>
    </row>
    <row r="98" spans="1:17">
      <c r="A98" s="14">
        <v>79513</v>
      </c>
      <c r="B98" s="14" t="s">
        <v>334</v>
      </c>
      <c r="C98" s="14" t="s">
        <v>209</v>
      </c>
      <c r="D98" s="19" t="s">
        <v>10404</v>
      </c>
      <c r="E98" s="15" t="str">
        <f>HYPERLINK("https://stat100.ameba.jp/tnk47/ratio20/illustrations/card/ill_79513_suzafuonia03.jpg?202010-5-RELEASE-marathon-496xx", "■")</f>
        <v>■</v>
      </c>
      <c r="F98" s="14" t="s">
        <v>3529</v>
      </c>
      <c r="G98" s="14">
        <v>85483</v>
      </c>
      <c r="H98" s="14">
        <v>118001</v>
      </c>
      <c r="I98" s="14">
        <v>27</v>
      </c>
      <c r="J98" s="14" t="s">
        <v>10</v>
      </c>
      <c r="K98" s="14" t="s">
        <v>3532</v>
      </c>
      <c r="L98" s="14" t="s">
        <v>12</v>
      </c>
      <c r="M98" s="14" t="s">
        <v>9158</v>
      </c>
      <c r="N98" s="14" t="s">
        <v>9158</v>
      </c>
      <c r="O98" s="19" t="s">
        <v>2917</v>
      </c>
      <c r="P98" s="14" t="s">
        <v>3531</v>
      </c>
      <c r="Q98" s="14">
        <v>1</v>
      </c>
    </row>
    <row r="99" spans="1:17">
      <c r="A99" s="14">
        <v>69503</v>
      </c>
      <c r="B99" s="14" t="s">
        <v>0</v>
      </c>
      <c r="C99" s="14" t="s">
        <v>47</v>
      </c>
      <c r="D99" s="14" t="s">
        <v>65</v>
      </c>
      <c r="E99" s="15" t="str">
        <f>HYPERLINK("https://stat100.ameba.jp/tnk47/ratio20/illustrations/card/ill_69503_azusayumi03.jpg?202010-5-RELEASE-marathon-496xx", "■")</f>
        <v>■</v>
      </c>
      <c r="F99" s="14" t="s">
        <v>66</v>
      </c>
      <c r="G99" s="14">
        <v>122539</v>
      </c>
      <c r="H99" s="14">
        <v>88781</v>
      </c>
      <c r="I99" s="14">
        <v>27</v>
      </c>
      <c r="J99" s="14" t="s">
        <v>38</v>
      </c>
      <c r="K99" s="14" t="s">
        <v>67</v>
      </c>
      <c r="L99" s="14" t="s">
        <v>68</v>
      </c>
      <c r="M99" s="14" t="s">
        <v>9158</v>
      </c>
      <c r="N99" s="14" t="s">
        <v>9158</v>
      </c>
      <c r="O99" s="7" t="s">
        <v>2951</v>
      </c>
      <c r="P99" s="14" t="s">
        <v>13122</v>
      </c>
      <c r="Q99" s="14">
        <v>1</v>
      </c>
    </row>
    <row r="100" spans="1:17">
      <c r="A100" s="9">
        <v>73103</v>
      </c>
      <c r="B100" s="14" t="s">
        <v>334</v>
      </c>
      <c r="C100" s="14" t="s">
        <v>41</v>
      </c>
      <c r="D100" s="14" t="s">
        <v>2105</v>
      </c>
      <c r="E100" s="15" t="str">
        <f>HYPERLINK("https://stat100.ameba.jp/tnk47/ratio20/illustrations/card/ill_73103_nominookata03.jpg?202010-5-RELEASE-marathon-496xx", "■")</f>
        <v>■</v>
      </c>
      <c r="F100" s="14" t="s">
        <v>2106</v>
      </c>
      <c r="G100" s="14">
        <v>85483</v>
      </c>
      <c r="H100" s="14">
        <v>118001</v>
      </c>
      <c r="I100" s="14">
        <v>27</v>
      </c>
      <c r="J100" s="14" t="s">
        <v>77</v>
      </c>
      <c r="K100" s="14" t="s">
        <v>2107</v>
      </c>
      <c r="L100" s="14" t="s">
        <v>969</v>
      </c>
      <c r="M100" s="14" t="s">
        <v>9158</v>
      </c>
      <c r="N100" s="14" t="s">
        <v>9158</v>
      </c>
      <c r="O100" s="9" t="s">
        <v>2717</v>
      </c>
      <c r="P100" s="14" t="s">
        <v>13173</v>
      </c>
      <c r="Q100" s="14">
        <v>1</v>
      </c>
    </row>
    <row r="101" spans="1:17">
      <c r="A101" s="9">
        <v>80753</v>
      </c>
      <c r="B101" s="14" t="s">
        <v>334</v>
      </c>
      <c r="C101" s="14" t="s">
        <v>41</v>
      </c>
      <c r="D101" s="14" t="s">
        <v>4317</v>
      </c>
      <c r="E101" s="15" t="str">
        <f>HYPERLINK("https://stat100.ameba.jp/tnk47/ratio20/illustrations/card/ill_80753_hakubutsukannojoze03.jpg?202010-5-RELEASE-marathon-496xx", "■")</f>
        <v>■</v>
      </c>
      <c r="F101" s="14" t="s">
        <v>4318</v>
      </c>
      <c r="G101" s="14">
        <v>88781</v>
      </c>
      <c r="H101" s="14">
        <v>122539</v>
      </c>
      <c r="I101" s="14">
        <v>27</v>
      </c>
      <c r="J101" s="14" t="s">
        <v>38</v>
      </c>
      <c r="K101" s="14" t="s">
        <v>4319</v>
      </c>
      <c r="L101" s="14" t="s">
        <v>4320</v>
      </c>
      <c r="M101" s="14" t="s">
        <v>9158</v>
      </c>
      <c r="N101" s="14" t="s">
        <v>9158</v>
      </c>
      <c r="O101" s="17" t="s">
        <v>10053</v>
      </c>
      <c r="P101" s="14" t="s">
        <v>3592</v>
      </c>
      <c r="Q101" s="14">
        <v>1</v>
      </c>
    </row>
    <row r="103" spans="1:17">
      <c r="A103" s="14" t="s">
        <v>15105</v>
      </c>
    </row>
    <row r="104" spans="1:17">
      <c r="A104" s="14" t="s">
        <v>15106</v>
      </c>
    </row>
    <row r="105" spans="1:17">
      <c r="A105" s="14" t="s">
        <v>6030</v>
      </c>
      <c r="B105" s="14" t="s">
        <v>52</v>
      </c>
      <c r="C105" s="14" t="s">
        <v>202</v>
      </c>
      <c r="D105" s="19" t="s">
        <v>10453</v>
      </c>
      <c r="E105" s="15" t="str">
        <f>HYPERLINK("https://stat100.ameba.jp/tnk47/ratio20/illustrations/card/ill_80023_0_hinamatsurikyogokumaria03.jpg?202010-5-RELEASE-marathon-496xx", "■")</f>
        <v>■</v>
      </c>
      <c r="F105" s="14" t="s">
        <v>3709</v>
      </c>
      <c r="G105" s="14">
        <v>296478</v>
      </c>
      <c r="H105" s="14">
        <v>328064</v>
      </c>
      <c r="I105" s="14">
        <v>22</v>
      </c>
      <c r="J105" s="14" t="s">
        <v>26</v>
      </c>
      <c r="K105" s="14" t="s">
        <v>3710</v>
      </c>
      <c r="L105" s="14" t="s">
        <v>3711</v>
      </c>
      <c r="M105" s="14" t="s">
        <v>9158</v>
      </c>
      <c r="N105" s="14" t="s">
        <v>9158</v>
      </c>
      <c r="O105" s="19" t="s">
        <v>10116</v>
      </c>
      <c r="P105" s="14" t="s">
        <v>3713</v>
      </c>
      <c r="Q105" s="14">
        <v>1</v>
      </c>
    </row>
    <row r="106" spans="1:17">
      <c r="A106" s="14" t="s">
        <v>5618</v>
      </c>
      <c r="B106" s="14" t="s">
        <v>330</v>
      </c>
      <c r="C106" s="14" t="s">
        <v>200</v>
      </c>
      <c r="D106" s="20" t="s">
        <v>665</v>
      </c>
      <c r="E106" s="15" t="str">
        <f>HYPERLINK("https://stat100.ameba.jp/tnk47/ratio20/illustrations/card/ill_63173_0_minazukikonakaiteruko03.jpg?202010-5-RELEASE-marathon-496xx", "■")</f>
        <v>■</v>
      </c>
      <c r="F106" s="14" t="s">
        <v>666</v>
      </c>
      <c r="G106" s="14">
        <v>190952</v>
      </c>
      <c r="H106" s="14">
        <v>205358</v>
      </c>
      <c r="I106" s="14">
        <v>22</v>
      </c>
      <c r="J106" s="14" t="s">
        <v>310</v>
      </c>
      <c r="K106" s="14" t="s">
        <v>667</v>
      </c>
      <c r="L106" s="14" t="s">
        <v>668</v>
      </c>
      <c r="M106" s="14" t="s">
        <v>9158</v>
      </c>
      <c r="N106" s="14" t="s">
        <v>9158</v>
      </c>
      <c r="O106" s="19" t="s">
        <v>10079</v>
      </c>
      <c r="P106" s="14" t="s">
        <v>3329</v>
      </c>
      <c r="Q106" s="14">
        <v>1</v>
      </c>
    </row>
    <row r="107" spans="1:17">
      <c r="A107" s="9" t="s">
        <v>5616</v>
      </c>
      <c r="B107" s="14" t="s">
        <v>330</v>
      </c>
      <c r="C107" s="14" t="s">
        <v>185</v>
      </c>
      <c r="D107" s="14" t="s">
        <v>638</v>
      </c>
      <c r="E107" s="15" t="str">
        <f>HYPERLINK("https://stat100.ameba.jp/tnk47/ratio20/illustrations/card/ill_44253_0_dokuganryudatemasamune03.jpg?202010-5-RELEASE-marathon-496xx", "■")</f>
        <v>■</v>
      </c>
      <c r="F107" s="14" t="s">
        <v>639</v>
      </c>
      <c r="G107" s="14">
        <v>120576</v>
      </c>
      <c r="H107" s="14">
        <v>128744</v>
      </c>
      <c r="I107" s="14">
        <v>22</v>
      </c>
      <c r="J107" s="14" t="s">
        <v>310</v>
      </c>
      <c r="K107" s="14" t="s">
        <v>640</v>
      </c>
      <c r="L107" s="14" t="s">
        <v>641</v>
      </c>
      <c r="M107" s="14" t="s">
        <v>9158</v>
      </c>
      <c r="N107" s="14" t="s">
        <v>9158</v>
      </c>
      <c r="O107" s="14" t="s">
        <v>9158</v>
      </c>
      <c r="P107" s="14" t="s">
        <v>9158</v>
      </c>
      <c r="Q107" s="14" t="s">
        <v>9158</v>
      </c>
    </row>
    <row r="108" spans="1:17">
      <c r="A108" s="14">
        <v>90043</v>
      </c>
      <c r="B108" s="14" t="s">
        <v>0</v>
      </c>
      <c r="C108" s="14" t="s">
        <v>101</v>
      </c>
      <c r="D108" s="14" t="s">
        <v>14004</v>
      </c>
      <c r="E108" s="15" t="str">
        <f>HYPERLINK("https://stat100.ameba.jp/tnk47/ratio20/illustrations/card/ill_90043_buiranzuredeifuranken03.jpg?202010-5-RELEASE-marathon-496xx", "■")</f>
        <v>■</v>
      </c>
      <c r="F108" s="14" t="s">
        <v>14003</v>
      </c>
      <c r="G108" s="14">
        <v>85477</v>
      </c>
      <c r="H108" s="14">
        <v>151887</v>
      </c>
      <c r="I108" s="14">
        <v>27</v>
      </c>
      <c r="J108" s="14" t="s">
        <v>26</v>
      </c>
      <c r="K108" s="14" t="s">
        <v>14002</v>
      </c>
      <c r="L108" s="14" t="s">
        <v>14001</v>
      </c>
      <c r="M108" s="14" t="s">
        <v>9158</v>
      </c>
      <c r="N108" s="14" t="s">
        <v>9158</v>
      </c>
      <c r="O108" s="14" t="s">
        <v>9158</v>
      </c>
      <c r="P108" s="14" t="s">
        <v>9158</v>
      </c>
      <c r="Q108" s="14" t="s">
        <v>9158</v>
      </c>
    </row>
    <row r="109" spans="1:17">
      <c r="A109" s="9">
        <v>79773</v>
      </c>
      <c r="B109" s="9" t="s">
        <v>334</v>
      </c>
      <c r="C109" s="9" t="s">
        <v>344</v>
      </c>
      <c r="D109" s="9" t="s">
        <v>10244</v>
      </c>
      <c r="E109" s="15" t="str">
        <f>HYPERLINK("https://stat100.ameba.jp/tnk47/ratio20/illustrations/card/ill_79773_entakunokishimyorinni03.jpg?202010-5-RELEASE-marathon-496xx", "■")</f>
        <v>■</v>
      </c>
      <c r="F109" s="9" t="s">
        <v>11400</v>
      </c>
      <c r="G109" s="9">
        <v>111523</v>
      </c>
      <c r="H109" s="9">
        <v>198226</v>
      </c>
      <c r="I109" s="14">
        <v>27</v>
      </c>
      <c r="J109" s="9" t="s">
        <v>310</v>
      </c>
      <c r="K109" s="9" t="s">
        <v>11401</v>
      </c>
      <c r="L109" s="9" t="s">
        <v>407</v>
      </c>
      <c r="M109" s="14" t="s">
        <v>9158</v>
      </c>
      <c r="N109" s="14" t="s">
        <v>9158</v>
      </c>
      <c r="O109" s="14" t="s">
        <v>9158</v>
      </c>
      <c r="P109" s="14" t="s">
        <v>9158</v>
      </c>
      <c r="Q109" s="14" t="s">
        <v>9158</v>
      </c>
    </row>
    <row r="110" spans="1:17">
      <c r="A110" s="14">
        <v>83013</v>
      </c>
      <c r="B110" s="14" t="s">
        <v>0</v>
      </c>
      <c r="C110" s="14" t="s">
        <v>205</v>
      </c>
      <c r="D110" s="20" t="s">
        <v>10454</v>
      </c>
      <c r="E110" s="15" t="str">
        <f>HYPERLINK("https://stat100.ameba.jp/tnk47/ratio20/illustrations/card/ill_83013_kyofunobyotosuseribime03.jpg?202010-5-RELEASE-marathon-496xx", "■")</f>
        <v>■</v>
      </c>
      <c r="F110" s="14" t="s">
        <v>6035</v>
      </c>
      <c r="G110" s="14">
        <v>102386</v>
      </c>
      <c r="H110" s="14">
        <v>110129</v>
      </c>
      <c r="I110" s="14">
        <v>27</v>
      </c>
      <c r="J110" s="14" t="s">
        <v>169</v>
      </c>
      <c r="K110" s="14" t="s">
        <v>6037</v>
      </c>
      <c r="L110" s="14" t="s">
        <v>13194</v>
      </c>
      <c r="M110" s="14" t="s">
        <v>9158</v>
      </c>
      <c r="N110" s="14" t="s">
        <v>9158</v>
      </c>
      <c r="O110" s="14" t="s">
        <v>9158</v>
      </c>
      <c r="P110" s="14" t="s">
        <v>9158</v>
      </c>
      <c r="Q110" s="14" t="s">
        <v>9158</v>
      </c>
    </row>
    <row r="112" spans="1:17">
      <c r="A112" s="14" t="s">
        <v>15107</v>
      </c>
    </row>
    <row r="113" spans="1:17">
      <c r="A113" s="14" t="s">
        <v>15108</v>
      </c>
    </row>
    <row r="114" spans="1:17">
      <c r="A114" s="14" t="s">
        <v>6030</v>
      </c>
      <c r="B114" s="14" t="s">
        <v>52</v>
      </c>
      <c r="C114" s="14" t="s">
        <v>202</v>
      </c>
      <c r="D114" s="19" t="s">
        <v>10453</v>
      </c>
      <c r="E114" s="15" t="str">
        <f>HYPERLINK("https://stat100.ameba.jp/tnk47/ratio20/illustrations/card/ill_80023_0_hinamatsurikyogokumaria03.jpg?202010-5-RELEASE-marathon-496xx", "■")</f>
        <v>■</v>
      </c>
      <c r="F114" s="14" t="s">
        <v>3709</v>
      </c>
      <c r="G114" s="14">
        <v>336906</v>
      </c>
      <c r="H114" s="14">
        <v>372801</v>
      </c>
      <c r="I114" s="14">
        <v>25</v>
      </c>
      <c r="J114" s="14" t="s">
        <v>26</v>
      </c>
      <c r="K114" s="14" t="s">
        <v>3710</v>
      </c>
      <c r="L114" s="14" t="s">
        <v>8799</v>
      </c>
      <c r="M114" s="14" t="s">
        <v>9158</v>
      </c>
      <c r="N114" s="14" t="s">
        <v>9158</v>
      </c>
      <c r="O114" s="19" t="s">
        <v>10116</v>
      </c>
      <c r="P114" s="14" t="s">
        <v>3713</v>
      </c>
      <c r="Q114" s="14">
        <v>1</v>
      </c>
    </row>
    <row r="115" spans="1:17">
      <c r="A115" s="9">
        <v>76803</v>
      </c>
      <c r="B115" s="14" t="s">
        <v>334</v>
      </c>
      <c r="C115" s="14" t="s">
        <v>202</v>
      </c>
      <c r="D115" s="14" t="s">
        <v>2436</v>
      </c>
      <c r="E115" s="15" t="str">
        <f>HYPERLINK("https://stat100.ameba.jp/tnk47/ratio20/illustrations/card/ill_76803_monsutakujirachan03.jpg?202010-5-RELEASE-marathon-496xx", "■")</f>
        <v>■</v>
      </c>
      <c r="F115" s="14" t="s">
        <v>674</v>
      </c>
      <c r="G115" s="14">
        <v>159674</v>
      </c>
      <c r="H115" s="14">
        <v>115656</v>
      </c>
      <c r="I115" s="14">
        <v>24</v>
      </c>
      <c r="J115" s="14" t="s">
        <v>283</v>
      </c>
      <c r="K115" s="14" t="s">
        <v>675</v>
      </c>
      <c r="L115" s="14" t="s">
        <v>435</v>
      </c>
      <c r="M115" s="14" t="s">
        <v>9158</v>
      </c>
      <c r="N115" s="14" t="s">
        <v>9158</v>
      </c>
      <c r="O115" s="9" t="s">
        <v>3165</v>
      </c>
      <c r="P115" s="14" t="s">
        <v>13139</v>
      </c>
      <c r="Q115" s="14">
        <v>1</v>
      </c>
    </row>
    <row r="116" spans="1:17">
      <c r="A116" s="14">
        <v>77673</v>
      </c>
      <c r="B116" s="14" t="s">
        <v>334</v>
      </c>
      <c r="C116" s="14" t="s">
        <v>158</v>
      </c>
      <c r="D116" s="20" t="s">
        <v>10270</v>
      </c>
      <c r="E116" s="15" t="str">
        <f>HYPERLINK("https://stat100.ameba.jp/tnk47/ratio20/illustrations/card/ill_77673_ryunochoji03.jpg?202010-5-RELEASE-marathon-496xx", "■")</f>
        <v>■</v>
      </c>
      <c r="F116" s="14" t="s">
        <v>1777</v>
      </c>
      <c r="G116" s="14">
        <v>111914</v>
      </c>
      <c r="H116" s="14">
        <v>81078</v>
      </c>
      <c r="I116" s="14">
        <v>24</v>
      </c>
      <c r="J116" s="14" t="s">
        <v>73</v>
      </c>
      <c r="K116" s="14" t="s">
        <v>1778</v>
      </c>
      <c r="L116" s="14" t="s">
        <v>1779</v>
      </c>
      <c r="M116" s="14" t="s">
        <v>9158</v>
      </c>
      <c r="N116" s="14" t="s">
        <v>9158</v>
      </c>
      <c r="O116" s="19" t="s">
        <v>10090</v>
      </c>
      <c r="P116" s="14" t="s">
        <v>3460</v>
      </c>
      <c r="Q116" s="14">
        <v>1</v>
      </c>
    </row>
    <row r="117" spans="1:17">
      <c r="A117" s="14">
        <v>70373</v>
      </c>
      <c r="B117" s="14" t="s">
        <v>334</v>
      </c>
      <c r="C117" s="14" t="s">
        <v>209</v>
      </c>
      <c r="D117" s="20" t="s">
        <v>10226</v>
      </c>
      <c r="E117" s="15" t="str">
        <f>HYPERLINK("https://stat100.ameba.jp/tnk47/ratio20/illustrations/card/ill_70373_amanoyasukage03.jpg?202010-5-RELEASE-marathon-496xx", "■")</f>
        <v>■</v>
      </c>
      <c r="F117" s="14" t="s">
        <v>2617</v>
      </c>
      <c r="G117" s="14">
        <v>123974</v>
      </c>
      <c r="H117" s="14">
        <v>133334</v>
      </c>
      <c r="I117" s="14">
        <v>24</v>
      </c>
      <c r="J117" s="14" t="s">
        <v>143</v>
      </c>
      <c r="K117" s="14" t="s">
        <v>2618</v>
      </c>
      <c r="L117" s="14" t="s">
        <v>2619</v>
      </c>
      <c r="M117" s="14" t="s">
        <v>9158</v>
      </c>
      <c r="N117" s="14" t="s">
        <v>9158</v>
      </c>
      <c r="O117" s="19" t="s">
        <v>10081</v>
      </c>
      <c r="P117" s="14" t="s">
        <v>4146</v>
      </c>
      <c r="Q117" s="14">
        <v>1</v>
      </c>
    </row>
    <row r="119" spans="1:17">
      <c r="A119" s="14" t="s">
        <v>15109</v>
      </c>
    </row>
    <row r="120" spans="1:17">
      <c r="A120" s="14" t="s">
        <v>15110</v>
      </c>
    </row>
    <row r="121" spans="1:17">
      <c r="A121" s="14">
        <v>71013</v>
      </c>
      <c r="B121" s="14" t="s">
        <v>334</v>
      </c>
      <c r="C121" s="14" t="s">
        <v>154</v>
      </c>
      <c r="D121" s="19" t="s">
        <v>837</v>
      </c>
      <c r="E121" s="15" t="str">
        <f>HYPERLINK("https://stat100.ameba.jp/tnk47/ratio20/illustrations/card/ill_71013_fujutsushisarashina03.jpg?202010-5-RELEASE-marathon-496xx", "■")</f>
        <v>■</v>
      </c>
      <c r="F121" s="14" t="s">
        <v>838</v>
      </c>
      <c r="G121" s="14">
        <v>108276</v>
      </c>
      <c r="H121" s="14">
        <v>116452</v>
      </c>
      <c r="I121" s="14">
        <v>27</v>
      </c>
      <c r="J121" s="14" t="s">
        <v>155</v>
      </c>
      <c r="K121" s="14" t="s">
        <v>1231</v>
      </c>
      <c r="L121" s="14" t="s">
        <v>13152</v>
      </c>
      <c r="M121" s="14" t="s">
        <v>9864</v>
      </c>
      <c r="N121" s="14" t="s">
        <v>9158</v>
      </c>
      <c r="O121" s="14" t="s">
        <v>9158</v>
      </c>
      <c r="P121" s="14" t="s">
        <v>9158</v>
      </c>
      <c r="Q121" s="14" t="s">
        <v>9158</v>
      </c>
    </row>
    <row r="122" spans="1:17">
      <c r="A122" s="14">
        <v>71023</v>
      </c>
      <c r="B122" s="14" t="s">
        <v>334</v>
      </c>
      <c r="C122" s="14" t="s">
        <v>158</v>
      </c>
      <c r="D122" s="19" t="s">
        <v>841</v>
      </c>
      <c r="E122" s="15" t="str">
        <f>HYPERLINK("https://stat100.ameba.jp/tnk47/ratio20/illustrations/card/ill_71023_ommyojiiroha03.jpg?202010-5-RELEASE-marathon-496xx", "■")</f>
        <v>■</v>
      </c>
      <c r="F122" s="14" t="s">
        <v>842</v>
      </c>
      <c r="G122" s="14">
        <v>108276</v>
      </c>
      <c r="H122" s="14">
        <v>116452</v>
      </c>
      <c r="I122" s="14">
        <v>27</v>
      </c>
      <c r="J122" s="14" t="s">
        <v>159</v>
      </c>
      <c r="K122" s="14" t="s">
        <v>1232</v>
      </c>
      <c r="L122" s="14" t="s">
        <v>1233</v>
      </c>
      <c r="M122" s="14" t="s">
        <v>9158</v>
      </c>
      <c r="N122" s="14" t="s">
        <v>9158</v>
      </c>
      <c r="O122" s="14" t="s">
        <v>9158</v>
      </c>
      <c r="P122" s="14" t="s">
        <v>9158</v>
      </c>
      <c r="Q122" s="14" t="s">
        <v>9158</v>
      </c>
    </row>
    <row r="123" spans="1:17">
      <c r="A123" s="14">
        <v>66053</v>
      </c>
      <c r="B123" s="14" t="s">
        <v>334</v>
      </c>
      <c r="C123" s="14" t="s">
        <v>205</v>
      </c>
      <c r="D123" s="19" t="s">
        <v>3046</v>
      </c>
      <c r="E123" s="15" t="str">
        <f>HYPERLINK("https://stat100.ameba.jp/tnk47/ratio20/illustrations/card/ill_66053_serebukushiyatamanokami03.jpg?202010-5-RELEASE-marathon-496xx", "■")</f>
        <v>■</v>
      </c>
      <c r="F123" s="14" t="s">
        <v>2265</v>
      </c>
      <c r="G123" s="14">
        <v>110129</v>
      </c>
      <c r="H123" s="14">
        <v>102386</v>
      </c>
      <c r="I123" s="14">
        <v>27</v>
      </c>
      <c r="J123" s="14" t="s">
        <v>44</v>
      </c>
      <c r="K123" s="14" t="s">
        <v>2266</v>
      </c>
      <c r="L123" s="14" t="s">
        <v>1860</v>
      </c>
      <c r="M123" s="14" t="s">
        <v>9158</v>
      </c>
      <c r="N123" s="14" t="s">
        <v>9158</v>
      </c>
      <c r="O123" s="14" t="s">
        <v>9158</v>
      </c>
      <c r="P123" s="14" t="s">
        <v>9158</v>
      </c>
      <c r="Q123" s="14" t="s">
        <v>9158</v>
      </c>
    </row>
    <row r="124" spans="1:17">
      <c r="A124" s="14">
        <v>65923</v>
      </c>
      <c r="B124" s="14" t="s">
        <v>334</v>
      </c>
      <c r="C124" s="14" t="s">
        <v>185</v>
      </c>
      <c r="D124" s="19" t="s">
        <v>10204</v>
      </c>
      <c r="E124" s="15" t="str">
        <f>HYPERLINK("https://stat100.ameba.jp/tnk47/ratio20/illustrations/card/ill_65923_arabianginko03.jpg?202010-5-RELEASE-marathon-496xx", "■")</f>
        <v>■</v>
      </c>
      <c r="F124" s="14" t="s">
        <v>4978</v>
      </c>
      <c r="G124" s="14">
        <v>112496</v>
      </c>
      <c r="H124" s="14">
        <v>104619</v>
      </c>
      <c r="I124" s="14">
        <v>27</v>
      </c>
      <c r="J124" s="14" t="s">
        <v>182</v>
      </c>
      <c r="K124" s="14" t="s">
        <v>3679</v>
      </c>
      <c r="L124" s="14" t="s">
        <v>13188</v>
      </c>
      <c r="M124" s="14" t="s">
        <v>9158</v>
      </c>
      <c r="N124" s="14" t="s">
        <v>9158</v>
      </c>
      <c r="O124" s="14" t="s">
        <v>9158</v>
      </c>
      <c r="P124" s="14" t="s">
        <v>9158</v>
      </c>
      <c r="Q124" s="14" t="s">
        <v>9158</v>
      </c>
    </row>
    <row r="125" spans="1:17">
      <c r="A125" s="14">
        <v>52863</v>
      </c>
      <c r="B125" s="14" t="s">
        <v>15</v>
      </c>
      <c r="C125" s="14" t="s">
        <v>191</v>
      </c>
      <c r="D125" s="19" t="s">
        <v>10516</v>
      </c>
      <c r="E125" s="15" t="str">
        <f>HYPERLINK("https://stat100.ameba.jp/tnk47/ratio20/illustrations/card/ill_52863_andoroidokingyonota03.jpg?202010-5-RELEASE-marathon-496xx", "■")</f>
        <v>■</v>
      </c>
      <c r="F125" s="14" t="s">
        <v>6409</v>
      </c>
      <c r="G125" s="14">
        <v>59144</v>
      </c>
      <c r="H125" s="14">
        <v>65208</v>
      </c>
      <c r="I125" s="14">
        <v>22</v>
      </c>
      <c r="J125" s="14" t="s">
        <v>38</v>
      </c>
      <c r="K125" s="14" t="s">
        <v>6407</v>
      </c>
      <c r="L125" s="14" t="s">
        <v>6406</v>
      </c>
      <c r="M125" s="14" t="s">
        <v>9158</v>
      </c>
      <c r="N125" s="14" t="s">
        <v>9158</v>
      </c>
      <c r="O125" s="14" t="s">
        <v>9158</v>
      </c>
      <c r="P125" s="14" t="s">
        <v>9158</v>
      </c>
      <c r="Q125" s="14" t="s">
        <v>9158</v>
      </c>
    </row>
    <row r="126" spans="1:17">
      <c r="A126" s="14">
        <v>51593</v>
      </c>
      <c r="B126" s="14" t="s">
        <v>15</v>
      </c>
      <c r="C126" s="14" t="s">
        <v>200</v>
      </c>
      <c r="D126" s="19" t="s">
        <v>10517</v>
      </c>
      <c r="E126" s="15" t="str">
        <f>HYPERLINK("https://stat100.ameba.jp/tnk47/ratio20/illustrations/card/ill_51593_kishuhondatadakatsu03.jpg?202010-5-RELEASE-marathon-496xx", "■")</f>
        <v>■</v>
      </c>
      <c r="F126" s="14" t="s">
        <v>6413</v>
      </c>
      <c r="G126" s="14">
        <v>59144</v>
      </c>
      <c r="H126" s="14">
        <v>65208</v>
      </c>
      <c r="I126" s="14">
        <v>22</v>
      </c>
      <c r="J126" s="14" t="s">
        <v>143</v>
      </c>
      <c r="K126" s="14" t="s">
        <v>6411</v>
      </c>
      <c r="L126" s="14" t="s">
        <v>6410</v>
      </c>
      <c r="M126" s="14" t="s">
        <v>9158</v>
      </c>
      <c r="N126" s="14" t="s">
        <v>9158</v>
      </c>
      <c r="O126" s="14" t="s">
        <v>9158</v>
      </c>
      <c r="P126" s="14" t="s">
        <v>9158</v>
      </c>
      <c r="Q126" s="14" t="s">
        <v>9158</v>
      </c>
    </row>
    <row r="127" spans="1:17">
      <c r="A127" s="14">
        <v>55403</v>
      </c>
      <c r="B127" s="14" t="s">
        <v>15</v>
      </c>
      <c r="C127" s="14" t="s">
        <v>165</v>
      </c>
      <c r="D127" s="19" t="s">
        <v>10518</v>
      </c>
      <c r="E127" s="15" t="str">
        <f>HYPERLINK("https://stat100.ameba.jp/tnk47/ratio20/illustrations/card/ill_55403_undokaikyogokumaria03.jpg?202010-5-RELEASE-marathon-496xx", "■")</f>
        <v>■</v>
      </c>
      <c r="F127" s="14" t="s">
        <v>6417</v>
      </c>
      <c r="G127" s="14">
        <v>65208</v>
      </c>
      <c r="H127" s="14">
        <v>59144</v>
      </c>
      <c r="I127" s="14">
        <v>22</v>
      </c>
      <c r="J127" s="14" t="s">
        <v>77</v>
      </c>
      <c r="K127" s="14" t="s">
        <v>6415</v>
      </c>
      <c r="L127" s="14" t="s">
        <v>6414</v>
      </c>
      <c r="M127" s="14" t="s">
        <v>9158</v>
      </c>
      <c r="N127" s="14" t="s">
        <v>9158</v>
      </c>
      <c r="O127" s="14" t="s">
        <v>9158</v>
      </c>
      <c r="P127" s="14" t="s">
        <v>9158</v>
      </c>
      <c r="Q127" s="14" t="s">
        <v>9158</v>
      </c>
    </row>
    <row r="128" spans="1:17">
      <c r="A128" s="14">
        <v>52973</v>
      </c>
      <c r="B128" s="14" t="s">
        <v>15</v>
      </c>
      <c r="C128" s="14" t="s">
        <v>206</v>
      </c>
      <c r="D128" s="19" t="s">
        <v>10519</v>
      </c>
      <c r="E128" s="15" t="str">
        <f>HYPERLINK("https://stat100.ameba.jp/tnk47/ratio20/illustrations/card/ill_52973_torampuamoronagu03.jpg?202010-5-RELEASE-marathon-496xx", "■")</f>
        <v>■</v>
      </c>
      <c r="F128" s="14" t="s">
        <v>6421</v>
      </c>
      <c r="G128" s="14">
        <v>65208</v>
      </c>
      <c r="H128" s="14">
        <v>59144</v>
      </c>
      <c r="I128" s="14">
        <v>22</v>
      </c>
      <c r="J128" s="14" t="s">
        <v>44</v>
      </c>
      <c r="K128" s="14" t="s">
        <v>6419</v>
      </c>
      <c r="L128" s="14" t="s">
        <v>6418</v>
      </c>
      <c r="M128" s="14" t="s">
        <v>9158</v>
      </c>
      <c r="N128" s="14" t="s">
        <v>9158</v>
      </c>
      <c r="O128" s="14" t="s">
        <v>9158</v>
      </c>
      <c r="P128" s="14" t="s">
        <v>9158</v>
      </c>
      <c r="Q128" s="14" t="s">
        <v>9158</v>
      </c>
    </row>
    <row r="130" spans="1:18">
      <c r="A130" s="14" t="s">
        <v>15112</v>
      </c>
    </row>
    <row r="131" spans="1:18">
      <c r="A131" s="14" t="s">
        <v>15113</v>
      </c>
    </row>
    <row r="132" spans="1:18">
      <c r="A132" s="14" t="s">
        <v>5899</v>
      </c>
      <c r="B132" s="14" t="s">
        <v>330</v>
      </c>
      <c r="C132" s="14" t="s">
        <v>205</v>
      </c>
      <c r="D132" s="19" t="s">
        <v>1559</v>
      </c>
      <c r="E132" s="15" t="str">
        <f>HYPERLINK("https://stat100.ameba.jp/tnk47/ratio20/illustrations/card/ill_73773_0_umibirakiinugamigyobu03.jpg?202010-5-RELEASE-marathon-496xx", "■")</f>
        <v>■</v>
      </c>
      <c r="F132" s="14" t="s">
        <v>935</v>
      </c>
      <c r="G132" s="14">
        <v>216934</v>
      </c>
      <c r="H132" s="14">
        <v>233333</v>
      </c>
      <c r="I132" s="14">
        <v>25</v>
      </c>
      <c r="J132" s="14" t="s">
        <v>182</v>
      </c>
      <c r="K132" s="14" t="s">
        <v>936</v>
      </c>
      <c r="L132" s="14" t="s">
        <v>13147</v>
      </c>
      <c r="M132" s="14" t="s">
        <v>9158</v>
      </c>
      <c r="N132" s="14" t="s">
        <v>9158</v>
      </c>
      <c r="O132" s="19" t="s">
        <v>2978</v>
      </c>
      <c r="P132" s="14" t="s">
        <v>2979</v>
      </c>
      <c r="Q132" s="14">
        <v>2</v>
      </c>
    </row>
    <row r="133" spans="1:18">
      <c r="A133" s="14">
        <v>81743</v>
      </c>
      <c r="B133" s="14" t="s">
        <v>334</v>
      </c>
      <c r="C133" s="14" t="s">
        <v>107</v>
      </c>
      <c r="D133" s="19" t="s">
        <v>10171</v>
      </c>
      <c r="E133" s="15" t="str">
        <f>HYPERLINK("https://stat100.ameba.jp/tnk47/ratio20/illustrations/card/ill_81743_denshagarusakyogabashinohebi03.jpg?202010-5-RELEASE-marathon-496xx", "■")</f>
        <v>■</v>
      </c>
      <c r="F133" s="14" t="s">
        <v>4853</v>
      </c>
      <c r="G133" s="14">
        <v>118656</v>
      </c>
      <c r="H133" s="14">
        <v>110126</v>
      </c>
      <c r="I133" s="14">
        <v>26</v>
      </c>
      <c r="J133" s="14" t="s">
        <v>38</v>
      </c>
      <c r="K133" s="14" t="s">
        <v>4855</v>
      </c>
      <c r="L133" s="14" t="s">
        <v>4856</v>
      </c>
      <c r="M133" s="14" t="s">
        <v>9158</v>
      </c>
      <c r="N133" s="14" t="s">
        <v>9158</v>
      </c>
      <c r="O133" s="19" t="s">
        <v>10091</v>
      </c>
      <c r="P133" s="14" t="s">
        <v>3670</v>
      </c>
      <c r="Q133" s="14">
        <v>1</v>
      </c>
    </row>
    <row r="134" spans="1:18">
      <c r="A134" s="14">
        <v>76243</v>
      </c>
      <c r="B134" s="14" t="s">
        <v>334</v>
      </c>
      <c r="C134" s="14" t="s">
        <v>335</v>
      </c>
      <c r="D134" s="20" t="s">
        <v>10263</v>
      </c>
      <c r="E134" s="15" t="str">
        <f>HYPERLINK("https://stat100.ameba.jp/tnk47/ratio20/illustrations/card/ill_76243_haroinkaraguchinihonshuchan03.jpg?202010-5-RELEASE-marathon-496xx", "■")</f>
        <v>■</v>
      </c>
      <c r="F134" s="14" t="s">
        <v>336</v>
      </c>
      <c r="G134" s="14">
        <v>122786</v>
      </c>
      <c r="H134" s="14">
        <v>114176</v>
      </c>
      <c r="I134" s="14">
        <v>26</v>
      </c>
      <c r="J134" s="14" t="s">
        <v>283</v>
      </c>
      <c r="K134" s="14" t="s">
        <v>337</v>
      </c>
      <c r="L134" s="14" t="s">
        <v>338</v>
      </c>
      <c r="M134" s="14" t="s">
        <v>9158</v>
      </c>
      <c r="N134" s="14" t="s">
        <v>9158</v>
      </c>
      <c r="O134" s="19" t="s">
        <v>10090</v>
      </c>
      <c r="P134" s="14" t="s">
        <v>3561</v>
      </c>
      <c r="Q134" s="14">
        <v>1</v>
      </c>
    </row>
    <row r="135" spans="1:18">
      <c r="A135" s="14">
        <v>75333</v>
      </c>
      <c r="B135" s="14" t="s">
        <v>334</v>
      </c>
      <c r="C135" s="14" t="s">
        <v>200</v>
      </c>
      <c r="D135" s="19" t="s">
        <v>3206</v>
      </c>
      <c r="E135" s="15" t="str">
        <f>HYPERLINK("https://stat100.ameba.jp/tnk47/ratio20/illustrations/card/ill_75333_resukuintamamonomae03.jpg?202010-5-RELEASE-marathon-496xx", "■")</f>
        <v>■</v>
      </c>
      <c r="F135" s="14" t="s">
        <v>3207</v>
      </c>
      <c r="G135" s="14">
        <v>100744</v>
      </c>
      <c r="H135" s="14">
        <v>108330</v>
      </c>
      <c r="I135" s="14">
        <v>26</v>
      </c>
      <c r="J135" s="14" t="s">
        <v>320</v>
      </c>
      <c r="K135" s="14" t="s">
        <v>3208</v>
      </c>
      <c r="L135" s="14" t="s">
        <v>3209</v>
      </c>
      <c r="M135" s="14" t="s">
        <v>9158</v>
      </c>
      <c r="N135" s="14" t="s">
        <v>9158</v>
      </c>
      <c r="O135" s="19" t="s">
        <v>10074</v>
      </c>
      <c r="P135" s="14" t="s">
        <v>2822</v>
      </c>
      <c r="Q135" s="14">
        <v>1</v>
      </c>
    </row>
    <row r="137" spans="1:18">
      <c r="A137" s="14" t="s">
        <v>13327</v>
      </c>
    </row>
    <row r="138" spans="1:18">
      <c r="A138" s="14" t="s">
        <v>15111</v>
      </c>
    </row>
    <row r="139" spans="1:18">
      <c r="A139" s="14">
        <v>90183</v>
      </c>
      <c r="B139" s="14" t="s">
        <v>0</v>
      </c>
      <c r="C139" s="14" t="s">
        <v>335</v>
      </c>
      <c r="D139" s="14" t="s">
        <v>13264</v>
      </c>
      <c r="E139" s="15" t="str">
        <f>HYPERLINK("https://stat100.ameba.jp/tnk47/ratio20/illustrations/card/ill_90183_shinsetsunojou03.jpg?202010-5-RELEASE-marathon-496xx", "■")</f>
        <v>■</v>
      </c>
      <c r="F139" s="14" t="s">
        <v>13267</v>
      </c>
      <c r="G139" s="14">
        <v>128160</v>
      </c>
      <c r="H139" s="14">
        <v>137846</v>
      </c>
      <c r="I139" s="14">
        <v>28</v>
      </c>
      <c r="J139" s="14" t="s">
        <v>44</v>
      </c>
      <c r="K139" s="14" t="s">
        <v>13266</v>
      </c>
      <c r="L139" s="14" t="s">
        <v>13272</v>
      </c>
      <c r="M139" s="14" t="s">
        <v>2138</v>
      </c>
      <c r="N139" s="14" t="s">
        <v>2139</v>
      </c>
      <c r="O139" s="14" t="s">
        <v>9158</v>
      </c>
      <c r="P139" s="14" t="s">
        <v>9158</v>
      </c>
      <c r="Q139" s="14" t="s">
        <v>9158</v>
      </c>
      <c r="R139" s="14" t="s">
        <v>14748</v>
      </c>
    </row>
    <row r="140" spans="1:18">
      <c r="A140" s="14">
        <v>90182</v>
      </c>
      <c r="B140" s="14" t="s">
        <v>0</v>
      </c>
      <c r="C140" s="14" t="s">
        <v>335</v>
      </c>
      <c r="D140" s="14" t="s">
        <v>13264</v>
      </c>
      <c r="E140" s="15" t="str">
        <f>HYPERLINK("https://stat100.ameba.jp/tnk47/ratio20/illustrations/card/ill_90182_shinsetsunojou02.jpg?202010-5-RELEASE-marathon-496xx", "■")</f>
        <v>■</v>
      </c>
      <c r="F140" s="14" t="s">
        <v>13267</v>
      </c>
      <c r="G140" s="14">
        <v>106148</v>
      </c>
      <c r="H140" s="14">
        <v>115230</v>
      </c>
      <c r="I140" s="14">
        <v>28</v>
      </c>
      <c r="J140" s="14" t="s">
        <v>44</v>
      </c>
      <c r="K140" s="14" t="s">
        <v>13266</v>
      </c>
      <c r="L140" s="14" t="s">
        <v>13272</v>
      </c>
      <c r="M140" s="14" t="s">
        <v>13270</v>
      </c>
      <c r="N140" s="14" t="s">
        <v>13271</v>
      </c>
      <c r="O140" s="14" t="s">
        <v>9158</v>
      </c>
      <c r="P140" s="14" t="s">
        <v>9158</v>
      </c>
      <c r="Q140" s="14" t="s">
        <v>9158</v>
      </c>
      <c r="R140" s="14" t="s">
        <v>14748</v>
      </c>
    </row>
    <row r="141" spans="1:18">
      <c r="A141" s="14">
        <v>90181</v>
      </c>
      <c r="B141" s="14" t="s">
        <v>0</v>
      </c>
      <c r="C141" s="14" t="s">
        <v>335</v>
      </c>
      <c r="D141" s="14" t="s">
        <v>13264</v>
      </c>
      <c r="E141" s="15" t="str">
        <f>HYPERLINK("https://stat100.ameba.jp/tnk47/ratio20/illustrations/card/ill_90181_shinsetsunojou01.jpg?202010-5-RELEASE-marathon-496xx", "■")</f>
        <v>■</v>
      </c>
      <c r="F141" s="14" t="s">
        <v>13267</v>
      </c>
      <c r="G141" s="14">
        <v>81900</v>
      </c>
      <c r="H141" s="14">
        <v>87976</v>
      </c>
      <c r="I141" s="14">
        <v>28</v>
      </c>
      <c r="J141" s="14" t="s">
        <v>44</v>
      </c>
      <c r="K141" s="14" t="s">
        <v>13266</v>
      </c>
      <c r="L141" s="14" t="s">
        <v>13272</v>
      </c>
      <c r="M141" s="14" t="s">
        <v>13270</v>
      </c>
      <c r="N141" s="14" t="s">
        <v>13271</v>
      </c>
      <c r="O141" s="14" t="s">
        <v>9158</v>
      </c>
      <c r="P141" s="14" t="s">
        <v>9158</v>
      </c>
      <c r="Q141" s="14" t="s">
        <v>9158</v>
      </c>
      <c r="R141" s="14" t="s">
        <v>14748</v>
      </c>
    </row>
    <row r="142" spans="1:18">
      <c r="A142" s="14">
        <v>90193</v>
      </c>
      <c r="B142" s="14" t="s">
        <v>0</v>
      </c>
      <c r="C142" s="14" t="s">
        <v>200</v>
      </c>
      <c r="D142" s="14" t="s">
        <v>13273</v>
      </c>
      <c r="E142" s="15" t="str">
        <f>HYPERLINK("https://stat100.ameba.jp/tnk47/ratio20/illustrations/card/ill_90193_puchidebirubani03.jpg?202010-5-RELEASE-marathon-496xx", "■")</f>
        <v>■</v>
      </c>
      <c r="F142" s="14" t="s">
        <v>13274</v>
      </c>
      <c r="G142" s="14">
        <v>128160</v>
      </c>
      <c r="H142" s="14">
        <v>137846</v>
      </c>
      <c r="I142" s="14">
        <v>28</v>
      </c>
      <c r="J142" s="14" t="s">
        <v>73</v>
      </c>
      <c r="K142" s="14" t="s">
        <v>13277</v>
      </c>
      <c r="L142" s="14" t="s">
        <v>13276</v>
      </c>
      <c r="M142" s="14" t="s">
        <v>2138</v>
      </c>
      <c r="N142" s="14" t="s">
        <v>2139</v>
      </c>
      <c r="O142" s="14" t="s">
        <v>9158</v>
      </c>
      <c r="P142" s="14" t="s">
        <v>9158</v>
      </c>
      <c r="Q142" s="14" t="s">
        <v>9158</v>
      </c>
      <c r="R142" s="14" t="s">
        <v>14748</v>
      </c>
    </row>
    <row r="143" spans="1:18">
      <c r="A143" s="14">
        <v>90203</v>
      </c>
      <c r="B143" s="14" t="s">
        <v>0</v>
      </c>
      <c r="C143" s="14" t="s">
        <v>307</v>
      </c>
      <c r="D143" s="14" t="s">
        <v>13278</v>
      </c>
      <c r="E143" s="15" t="str">
        <f>HYPERLINK("https://stat100.ameba.jp/tnk47/ratio20/illustrations/card/ill_90203_kyuteigakademeru03.jpg?202010-5-RELEASE-marathon-496xx", "■")</f>
        <v>■</v>
      </c>
      <c r="F143" s="14" t="s">
        <v>13279</v>
      </c>
      <c r="G143" s="14">
        <v>128160</v>
      </c>
      <c r="H143" s="14">
        <v>137846</v>
      </c>
      <c r="I143" s="14">
        <v>28</v>
      </c>
      <c r="J143" s="14" t="s">
        <v>10</v>
      </c>
      <c r="K143" s="14" t="s">
        <v>13281</v>
      </c>
      <c r="L143" s="14" t="s">
        <v>13282</v>
      </c>
      <c r="M143" s="14" t="s">
        <v>2138</v>
      </c>
      <c r="N143" s="14" t="s">
        <v>2139</v>
      </c>
      <c r="O143" s="14" t="s">
        <v>9158</v>
      </c>
      <c r="P143" s="14" t="s">
        <v>9158</v>
      </c>
      <c r="Q143" s="14" t="s">
        <v>9158</v>
      </c>
      <c r="R143" s="14" t="s">
        <v>14748</v>
      </c>
    </row>
    <row r="144" spans="1:18">
      <c r="A144" s="14">
        <v>90213</v>
      </c>
      <c r="B144" s="14" t="s">
        <v>0</v>
      </c>
      <c r="C144" s="14" t="s">
        <v>165</v>
      </c>
      <c r="D144" s="14" t="s">
        <v>13283</v>
      </c>
      <c r="E144" s="15" t="str">
        <f>HYPERLINK("https://stat100.ameba.jp/tnk47/ratio20/illustrations/card/ill_90213_kenkyushinomaruyo03.jpg?202010-5-RELEASE-marathon-496xx", "■")</f>
        <v>■</v>
      </c>
      <c r="F144" s="14" t="s">
        <v>13284</v>
      </c>
      <c r="G144" s="14">
        <v>137846</v>
      </c>
      <c r="H144" s="14">
        <v>128160</v>
      </c>
      <c r="I144" s="14">
        <v>28</v>
      </c>
      <c r="J144" s="14" t="s">
        <v>16</v>
      </c>
      <c r="K144" s="14" t="s">
        <v>13286</v>
      </c>
      <c r="L144" s="14" t="s">
        <v>13287</v>
      </c>
      <c r="M144" s="14" t="s">
        <v>2138</v>
      </c>
      <c r="N144" s="14" t="s">
        <v>2139</v>
      </c>
      <c r="O144" s="14" t="s">
        <v>9158</v>
      </c>
      <c r="P144" s="14" t="s">
        <v>9158</v>
      </c>
      <c r="Q144" s="14" t="s">
        <v>9158</v>
      </c>
      <c r="R144" s="14" t="s">
        <v>14748</v>
      </c>
    </row>
    <row r="145" spans="1:18">
      <c r="A145" s="14">
        <v>90223</v>
      </c>
      <c r="B145" s="14" t="s">
        <v>0</v>
      </c>
      <c r="C145" s="9" t="s">
        <v>205</v>
      </c>
      <c r="D145" s="14" t="s">
        <v>13288</v>
      </c>
      <c r="E145" s="15" t="str">
        <f>HYPERLINK("https://stat100.ameba.jp/tnk47/ratio20/illustrations/card/ill_90223_karunepurinshipe03.jpg?202010-5-RELEASE-marathon-496xx", "■")</f>
        <v>■</v>
      </c>
      <c r="F145" s="14" t="s">
        <v>13289</v>
      </c>
      <c r="G145" s="14">
        <v>137846</v>
      </c>
      <c r="H145" s="14">
        <v>128160</v>
      </c>
      <c r="I145" s="14">
        <v>28</v>
      </c>
      <c r="J145" s="14" t="s">
        <v>104</v>
      </c>
      <c r="K145" s="14" t="s">
        <v>13291</v>
      </c>
      <c r="L145" s="14" t="s">
        <v>13292</v>
      </c>
      <c r="M145" s="14" t="s">
        <v>2138</v>
      </c>
      <c r="N145" s="14" t="s">
        <v>2139</v>
      </c>
      <c r="O145" s="14" t="s">
        <v>9158</v>
      </c>
      <c r="P145" s="14" t="s">
        <v>9158</v>
      </c>
      <c r="Q145" s="14" t="s">
        <v>9158</v>
      </c>
      <c r="R145" s="14" t="s">
        <v>14748</v>
      </c>
    </row>
    <row r="146" spans="1:18">
      <c r="A146" s="14">
        <v>90233</v>
      </c>
      <c r="B146" s="14" t="s">
        <v>0</v>
      </c>
      <c r="C146" s="14" t="s">
        <v>206</v>
      </c>
      <c r="D146" s="14" t="s">
        <v>13293</v>
      </c>
      <c r="E146" s="15" t="str">
        <f>HYPERLINK("https://stat100.ameba.jp/tnk47/ratio20/illustrations/card/ill_90233_kakutokafuante03.jpg?202010-5-RELEASE-marathon-496xx", "■")</f>
        <v>■</v>
      </c>
      <c r="F146" s="14" t="s">
        <v>13294</v>
      </c>
      <c r="G146" s="14">
        <v>137846</v>
      </c>
      <c r="H146" s="14">
        <v>128160</v>
      </c>
      <c r="I146" s="14">
        <v>28</v>
      </c>
      <c r="J146" s="14" t="s">
        <v>143</v>
      </c>
      <c r="K146" s="14" t="s">
        <v>13296</v>
      </c>
      <c r="L146" s="14" t="s">
        <v>13297</v>
      </c>
      <c r="M146" s="14" t="s">
        <v>2138</v>
      </c>
      <c r="N146" s="14" t="s">
        <v>2139</v>
      </c>
      <c r="O146" s="14" t="s">
        <v>9158</v>
      </c>
      <c r="P146" s="14" t="s">
        <v>9158</v>
      </c>
      <c r="Q146" s="14" t="s">
        <v>9158</v>
      </c>
      <c r="R146" s="14" t="s">
        <v>14748</v>
      </c>
    </row>
    <row r="148" spans="1:18">
      <c r="A148" s="14" t="s">
        <v>15114</v>
      </c>
    </row>
    <row r="149" spans="1:18">
      <c r="A149" s="14" t="s">
        <v>15115</v>
      </c>
    </row>
    <row r="150" spans="1:18">
      <c r="A150" s="14" t="s">
        <v>15116</v>
      </c>
    </row>
    <row r="151" spans="1:18">
      <c r="A151" s="14" t="s">
        <v>14997</v>
      </c>
      <c r="B151" s="7" t="s">
        <v>52</v>
      </c>
      <c r="C151" s="14" t="s">
        <v>202</v>
      </c>
      <c r="D151" s="18" t="s">
        <v>14996</v>
      </c>
      <c r="E151" s="15" t="str">
        <f>HYPERLINK("https://stat100.ameba.jp/tnk47/ratio20/illustrations/card/ill_92403_0_haroimmochizukichiyome03.jpg?202010-5-RELEASE-marathon-496xx", "■")</f>
        <v>■</v>
      </c>
      <c r="F151" s="14" t="s">
        <v>15003</v>
      </c>
      <c r="G151" s="14">
        <v>339272</v>
      </c>
      <c r="H151" s="14">
        <v>277564</v>
      </c>
      <c r="I151" s="7">
        <v>28</v>
      </c>
      <c r="J151" s="14" t="s">
        <v>16</v>
      </c>
      <c r="K151" s="14" t="s">
        <v>15001</v>
      </c>
      <c r="L151" s="14" t="s">
        <v>15000</v>
      </c>
      <c r="M151" s="14" t="s">
        <v>9158</v>
      </c>
      <c r="N151" s="14" t="s">
        <v>9158</v>
      </c>
      <c r="O151" s="6" t="s">
        <v>14998</v>
      </c>
      <c r="P151" s="7" t="s">
        <v>14999</v>
      </c>
      <c r="Q151" s="7">
        <v>1</v>
      </c>
    </row>
    <row r="152" spans="1:18">
      <c r="A152" s="14">
        <v>92583</v>
      </c>
      <c r="B152" s="14" t="s">
        <v>15123</v>
      </c>
      <c r="C152" s="14" t="s">
        <v>15117</v>
      </c>
      <c r="D152" s="14" t="s">
        <v>15122</v>
      </c>
      <c r="E152" s="15" t="str">
        <f>HYPERLINK("https://stat100.ameba.jp/tnk47/ratio20/illustrations/card/ill_92583_daichinomegumisuoro03.jpg?202010-5-RELEASE-marathon-496xx", "■")</f>
        <v>■</v>
      </c>
      <c r="F152" s="14" t="s">
        <v>15121</v>
      </c>
      <c r="G152" s="14">
        <v>109370</v>
      </c>
      <c r="H152" s="14">
        <v>101650</v>
      </c>
      <c r="I152" s="7">
        <v>28</v>
      </c>
      <c r="J152" s="14" t="s">
        <v>15120</v>
      </c>
      <c r="K152" s="14" t="s">
        <v>15119</v>
      </c>
      <c r="L152" s="14" t="s">
        <v>15118</v>
      </c>
      <c r="M152" s="14" t="s">
        <v>9158</v>
      </c>
      <c r="N152" s="14" t="s">
        <v>9158</v>
      </c>
      <c r="O152" s="14" t="s">
        <v>9158</v>
      </c>
      <c r="P152" s="14" t="s">
        <v>9158</v>
      </c>
      <c r="Q152" s="14" t="s">
        <v>9158</v>
      </c>
    </row>
    <row r="153" spans="1:18">
      <c r="A153" s="14">
        <v>92593</v>
      </c>
      <c r="B153" s="14" t="s">
        <v>15123</v>
      </c>
      <c r="C153" s="14" t="s">
        <v>15131</v>
      </c>
      <c r="D153" s="14" t="s">
        <v>15130</v>
      </c>
      <c r="E153" s="15" t="str">
        <f>HYPERLINK("https://stat100.ameba.jp/tnk47/ratio20/illustrations/card/ill_92593_inugamigyobu03.jpg?202010-5-RELEASE-marathon-496xx", "■")</f>
        <v>■</v>
      </c>
      <c r="F153" s="14" t="s">
        <v>15129</v>
      </c>
      <c r="G153" s="14">
        <v>132230</v>
      </c>
      <c r="H153" s="14">
        <v>122960</v>
      </c>
      <c r="I153" s="7">
        <v>28</v>
      </c>
      <c r="J153" s="14" t="s">
        <v>15128</v>
      </c>
      <c r="K153" s="14" t="s">
        <v>15127</v>
      </c>
      <c r="L153" s="14" t="s">
        <v>15126</v>
      </c>
      <c r="M153" s="14" t="s">
        <v>9158</v>
      </c>
      <c r="N153" s="14" t="s">
        <v>9158</v>
      </c>
      <c r="O153" s="14" t="s">
        <v>9158</v>
      </c>
      <c r="P153" s="14" t="s">
        <v>9158</v>
      </c>
      <c r="Q153" s="14" t="s">
        <v>9158</v>
      </c>
    </row>
    <row r="154" spans="1:18">
      <c r="A154" s="14">
        <v>92603</v>
      </c>
      <c r="B154" s="14" t="s">
        <v>15124</v>
      </c>
      <c r="C154" s="14" t="s">
        <v>15137</v>
      </c>
      <c r="D154" s="14" t="s">
        <v>15136</v>
      </c>
      <c r="E154" s="15" t="str">
        <f>HYPERLINK("https://stat100.ameba.jp/tnk47/ratio20/illustrations/card/ill_92603_hitomeborechan03.jpg?202010-5-RELEASE-marathon-496xx", "■")</f>
        <v>■</v>
      </c>
      <c r="F154" s="14" t="s">
        <v>15135</v>
      </c>
      <c r="G154" s="14">
        <v>75274</v>
      </c>
      <c r="H154" s="14">
        <v>82992</v>
      </c>
      <c r="I154" s="7">
        <v>28</v>
      </c>
      <c r="J154" s="14" t="s">
        <v>15134</v>
      </c>
      <c r="K154" s="14" t="s">
        <v>15133</v>
      </c>
      <c r="L154" s="14" t="s">
        <v>15132</v>
      </c>
      <c r="M154" s="14" t="s">
        <v>9158</v>
      </c>
      <c r="N154" s="14" t="s">
        <v>9158</v>
      </c>
      <c r="O154" s="14" t="s">
        <v>9158</v>
      </c>
      <c r="P154" s="14" t="s">
        <v>9158</v>
      </c>
      <c r="Q154" s="14" t="s">
        <v>9158</v>
      </c>
    </row>
    <row r="155" spans="1:18">
      <c r="A155" s="14">
        <v>92613</v>
      </c>
      <c r="B155" s="14" t="s">
        <v>15125</v>
      </c>
      <c r="C155" s="14" t="s">
        <v>15142</v>
      </c>
      <c r="D155" s="14" t="s">
        <v>15141</v>
      </c>
      <c r="E155" s="15" t="str">
        <f>HYPERLINK("https://stat100.ameba.jp/tnk47/ratio20/illustrations/card/ill_92613_nippombarechan03.jpg?202010-5-RELEASE-marathon-496xx", "■")</f>
        <v>■</v>
      </c>
      <c r="F155" s="14" t="s">
        <v>15140</v>
      </c>
      <c r="G155" s="14">
        <v>58216</v>
      </c>
      <c r="H155" s="14">
        <v>48406</v>
      </c>
      <c r="I155" s="7">
        <v>28</v>
      </c>
      <c r="J155" s="14" t="s">
        <v>15134</v>
      </c>
      <c r="K155" s="14" t="s">
        <v>15139</v>
      </c>
      <c r="L155" s="14" t="s">
        <v>15138</v>
      </c>
      <c r="M155" s="14" t="s">
        <v>9158</v>
      </c>
      <c r="N155" s="14" t="s">
        <v>9158</v>
      </c>
      <c r="O155" s="14" t="s">
        <v>9158</v>
      </c>
      <c r="P155" s="14" t="s">
        <v>9158</v>
      </c>
      <c r="Q155" s="14" t="s">
        <v>9158</v>
      </c>
    </row>
    <row r="156" spans="1:18">
      <c r="A156" s="14">
        <v>92623</v>
      </c>
      <c r="B156" s="14" t="s">
        <v>15125</v>
      </c>
      <c r="C156" s="14" t="s">
        <v>15147</v>
      </c>
      <c r="D156" s="14" t="s">
        <v>15146</v>
      </c>
      <c r="E156" s="15" t="str">
        <f>HYPERLINK("https://stat100.ameba.jp/tnk47/ratio20/illustrations/card/ill_92623_ginnanchan03.jpg?202010-5-RELEASE-marathon-496xx", "■")</f>
        <v>■</v>
      </c>
      <c r="F156" s="14" t="s">
        <v>15145</v>
      </c>
      <c r="G156" s="14">
        <v>48406</v>
      </c>
      <c r="H156" s="14">
        <v>58216</v>
      </c>
      <c r="I156" s="7">
        <v>28</v>
      </c>
      <c r="J156" s="14" t="s">
        <v>15134</v>
      </c>
      <c r="K156" s="14" t="s">
        <v>15144</v>
      </c>
      <c r="L156" s="14" t="s">
        <v>15143</v>
      </c>
      <c r="M156" s="14" t="s">
        <v>9158</v>
      </c>
      <c r="N156" s="14" t="s">
        <v>9158</v>
      </c>
      <c r="O156" s="14" t="s">
        <v>9158</v>
      </c>
      <c r="P156" s="14" t="s">
        <v>9158</v>
      </c>
      <c r="Q156" s="14" t="s">
        <v>9158</v>
      </c>
    </row>
    <row r="158" spans="1:18">
      <c r="A158" s="14" t="s">
        <v>15148</v>
      </c>
    </row>
    <row r="159" spans="1:18">
      <c r="A159" s="14" t="s">
        <v>15149</v>
      </c>
    </row>
    <row r="160" spans="1:18">
      <c r="A160" s="14" t="s">
        <v>5734</v>
      </c>
      <c r="B160" s="14" t="s">
        <v>330</v>
      </c>
      <c r="C160" s="14" t="s">
        <v>202</v>
      </c>
      <c r="D160" s="19" t="s">
        <v>1497</v>
      </c>
      <c r="E160" s="15" t="str">
        <f>HYPERLINK("https://stat100.ameba.jp/tnk47/ratio20/illustrations/card/ill_74593_0_natsuyuenchikoshihikari03.jpg?202010-5-RELEASE-marathon-496xx", "■")</f>
        <v>■</v>
      </c>
      <c r="F160" s="14" t="s">
        <v>1498</v>
      </c>
      <c r="G160" s="14">
        <v>238328</v>
      </c>
      <c r="H160" s="14">
        <v>221566</v>
      </c>
      <c r="I160" s="14">
        <v>22</v>
      </c>
      <c r="J160" s="14" t="s">
        <v>283</v>
      </c>
      <c r="K160" s="14" t="s">
        <v>1499</v>
      </c>
      <c r="L160" s="14" t="s">
        <v>1500</v>
      </c>
      <c r="M160" s="14" t="s">
        <v>9158</v>
      </c>
      <c r="N160" s="14" t="s">
        <v>9158</v>
      </c>
      <c r="O160" s="19" t="s">
        <v>2731</v>
      </c>
      <c r="P160" s="14" t="s">
        <v>2732</v>
      </c>
      <c r="Q160" s="14">
        <v>1</v>
      </c>
    </row>
    <row r="161" spans="1:18">
      <c r="A161" s="9" t="s">
        <v>5621</v>
      </c>
      <c r="B161" s="14" t="s">
        <v>330</v>
      </c>
      <c r="C161" s="14" t="s">
        <v>191</v>
      </c>
      <c r="D161" s="14" t="s">
        <v>2871</v>
      </c>
      <c r="E161" s="15" t="str">
        <f>HYPERLINK("https://stat100.ameba.jp/tnk47/ratio20/illustrations/card/ill_51973_0_kemonomizugikuroyuridensetsu03.jpg?202010-5-RELEASE-marathon-496xx", "■")</f>
        <v>■</v>
      </c>
      <c r="F161" s="14" t="s">
        <v>2872</v>
      </c>
      <c r="G161" s="14">
        <v>138212</v>
      </c>
      <c r="H161" s="14">
        <v>122776</v>
      </c>
      <c r="I161" s="14">
        <v>22</v>
      </c>
      <c r="J161" s="14" t="s">
        <v>274</v>
      </c>
      <c r="K161" s="14" t="s">
        <v>2873</v>
      </c>
      <c r="L161" s="14" t="s">
        <v>2874</v>
      </c>
      <c r="M161" s="14" t="s">
        <v>9158</v>
      </c>
      <c r="N161" s="14" t="s">
        <v>9158</v>
      </c>
      <c r="O161" s="17" t="s">
        <v>10066</v>
      </c>
      <c r="P161" s="14" t="s">
        <v>13172</v>
      </c>
      <c r="Q161" s="14">
        <v>1</v>
      </c>
    </row>
    <row r="162" spans="1:18">
      <c r="A162" s="9" t="s">
        <v>5721</v>
      </c>
      <c r="B162" s="14" t="s">
        <v>52</v>
      </c>
      <c r="C162" s="14" t="s">
        <v>1</v>
      </c>
      <c r="D162" s="14" t="s">
        <v>2253</v>
      </c>
      <c r="E162" s="15" t="str">
        <f>HYPERLINK("https://stat100.ameba.jp/tnk47/ratio20/illustrations/card/ill_44283_0_izumonokuni03.jpg?202010-5-RELEASE-marathon-496xx", "■")</f>
        <v>■</v>
      </c>
      <c r="F162" s="14" t="s">
        <v>1716</v>
      </c>
      <c r="G162" s="14">
        <v>128744</v>
      </c>
      <c r="H162" s="14">
        <v>120576</v>
      </c>
      <c r="I162" s="14">
        <v>22</v>
      </c>
      <c r="J162" s="14" t="s">
        <v>16</v>
      </c>
      <c r="K162" s="14" t="s">
        <v>2254</v>
      </c>
      <c r="L162" s="14" t="s">
        <v>1718</v>
      </c>
      <c r="M162" s="14" t="s">
        <v>9158</v>
      </c>
      <c r="N162" s="14" t="s">
        <v>9158</v>
      </c>
      <c r="O162" s="14" t="s">
        <v>9158</v>
      </c>
      <c r="P162" s="14" t="s">
        <v>9158</v>
      </c>
      <c r="Q162" s="14" t="s">
        <v>9158</v>
      </c>
    </row>
    <row r="163" spans="1:18">
      <c r="A163" s="14">
        <v>89373</v>
      </c>
      <c r="B163" s="14" t="s">
        <v>0</v>
      </c>
      <c r="C163" s="14" t="s">
        <v>107</v>
      </c>
      <c r="D163" s="14" t="s">
        <v>12889</v>
      </c>
      <c r="E163" s="15" t="str">
        <f>HYPERLINK("https://stat100.ameba.jp/tnk47/ratio20/illustrations/card/ill_89373_minaraimajopuriesuta03.jpg?202010-5-RELEASE-marathon-496xx", "■")</f>
        <v>■</v>
      </c>
      <c r="F163" s="14" t="s">
        <v>12894</v>
      </c>
      <c r="G163" s="14">
        <v>130214</v>
      </c>
      <c r="H163" s="14">
        <v>73270</v>
      </c>
      <c r="I163" s="14">
        <v>27</v>
      </c>
      <c r="J163" s="14" t="s">
        <v>77</v>
      </c>
      <c r="K163" s="14" t="s">
        <v>12892</v>
      </c>
      <c r="L163" s="14" t="s">
        <v>12081</v>
      </c>
      <c r="M163" s="14" t="s">
        <v>9158</v>
      </c>
      <c r="N163" s="14" t="s">
        <v>9158</v>
      </c>
      <c r="O163" s="14" t="s">
        <v>9158</v>
      </c>
      <c r="P163" s="14" t="s">
        <v>9158</v>
      </c>
      <c r="Q163" s="14" t="s">
        <v>9158</v>
      </c>
    </row>
    <row r="164" spans="1:18">
      <c r="A164" s="14">
        <v>84753</v>
      </c>
      <c r="B164" s="14" t="s">
        <v>334</v>
      </c>
      <c r="C164" s="14" t="s">
        <v>205</v>
      </c>
      <c r="D164" s="19" t="s">
        <v>10712</v>
      </c>
      <c r="E164" s="15" t="str">
        <f>HYPERLINK("https://stat100.ameba.jp/tnk47/ratio20/illustrations/card/ill_84753_haroimpampukinkuin03.jpg?202010-5-RELEASE-marathon-496xx", "■")</f>
        <v>■</v>
      </c>
      <c r="F164" s="14" t="s">
        <v>7536</v>
      </c>
      <c r="G164" s="14">
        <v>157484</v>
      </c>
      <c r="H164" s="14">
        <v>88593</v>
      </c>
      <c r="I164" s="9">
        <v>27</v>
      </c>
      <c r="J164" s="14" t="s">
        <v>216</v>
      </c>
      <c r="K164" s="14" t="s">
        <v>7535</v>
      </c>
      <c r="L164" s="14" t="s">
        <v>2409</v>
      </c>
      <c r="M164" s="14" t="s">
        <v>9158</v>
      </c>
      <c r="N164" s="14" t="s">
        <v>9158</v>
      </c>
      <c r="O164" s="14" t="s">
        <v>9158</v>
      </c>
      <c r="P164" s="14" t="s">
        <v>9158</v>
      </c>
      <c r="Q164" s="14" t="s">
        <v>9158</v>
      </c>
    </row>
    <row r="165" spans="1:18">
      <c r="A165" s="14">
        <v>60803</v>
      </c>
      <c r="B165" s="14" t="s">
        <v>334</v>
      </c>
      <c r="C165" s="14" t="s">
        <v>191</v>
      </c>
      <c r="D165" s="20" t="s">
        <v>10421</v>
      </c>
      <c r="E165" s="15" t="str">
        <f>HYPERLINK("https://stat100.ameba.jp/tnk47/ratio20/illustrations/card/ill_60803_intonkonohatengu03.jpg?202010-5-RELEASE-marathon-496xx", "■")</f>
        <v>■</v>
      </c>
      <c r="F165" s="14" t="s">
        <v>4602</v>
      </c>
      <c r="G165" s="14">
        <v>112496</v>
      </c>
      <c r="H165" s="14">
        <v>104619</v>
      </c>
      <c r="I165" s="9">
        <v>27</v>
      </c>
      <c r="J165" s="14" t="s">
        <v>73</v>
      </c>
      <c r="K165" s="14" t="s">
        <v>4603</v>
      </c>
      <c r="L165" s="14" t="s">
        <v>4604</v>
      </c>
      <c r="M165" s="14" t="s">
        <v>9158</v>
      </c>
      <c r="N165" s="14" t="s">
        <v>9158</v>
      </c>
      <c r="O165" s="14" t="s">
        <v>9158</v>
      </c>
      <c r="P165" s="14" t="s">
        <v>9158</v>
      </c>
      <c r="Q165" s="14" t="s">
        <v>9158</v>
      </c>
    </row>
    <row r="167" spans="1:18">
      <c r="A167" s="14" t="s">
        <v>15161</v>
      </c>
    </row>
    <row r="168" spans="1:18">
      <c r="A168" s="14" t="s">
        <v>15162</v>
      </c>
    </row>
    <row r="169" spans="1:18">
      <c r="A169" s="14">
        <v>92505</v>
      </c>
      <c r="B169" s="14" t="s">
        <v>0</v>
      </c>
      <c r="C169" s="14" t="s">
        <v>202</v>
      </c>
      <c r="D169" s="18" t="s">
        <v>15167</v>
      </c>
      <c r="E169" s="15" t="str">
        <f>HYPERLINK("https://stat100.ameba.jp/tnk47/ratio20/illustrations/card/ill_92505_bampaiakuin05.jpg?202010-5-RELEASE-marathon-496xx", "■")</f>
        <v>■</v>
      </c>
      <c r="F169" s="14" t="s">
        <v>15166</v>
      </c>
      <c r="G169" s="14">
        <v>200370</v>
      </c>
      <c r="H169" s="14">
        <v>145082</v>
      </c>
      <c r="I169" s="14">
        <v>28</v>
      </c>
      <c r="J169" s="14" t="s">
        <v>15165</v>
      </c>
      <c r="K169" s="14" t="s">
        <v>15164</v>
      </c>
      <c r="L169" s="14" t="s">
        <v>15163</v>
      </c>
      <c r="M169" s="14" t="s">
        <v>9158</v>
      </c>
      <c r="N169" s="14" t="s">
        <v>9158</v>
      </c>
      <c r="O169" s="14" t="s">
        <v>9158</v>
      </c>
      <c r="P169" s="14" t="s">
        <v>9158</v>
      </c>
      <c r="Q169" s="14" t="s">
        <v>9158</v>
      </c>
      <c r="R169" s="14" t="s">
        <v>174</v>
      </c>
    </row>
    <row r="170" spans="1:18">
      <c r="A170" s="14">
        <v>92503</v>
      </c>
      <c r="B170" s="14" t="s">
        <v>15</v>
      </c>
      <c r="C170" s="14" t="s">
        <v>154</v>
      </c>
      <c r="D170" s="18" t="s">
        <v>15167</v>
      </c>
      <c r="E170" s="15" t="str">
        <f>HYPERLINK("https://stat100.ameba.jp/tnk47/ratio20/illustrations/card/ill_92503_bampaiakuin03.jpg?202010-5-RELEASE-marathon-496xx", "■")</f>
        <v>■</v>
      </c>
      <c r="F170" s="14" t="s">
        <v>15166</v>
      </c>
      <c r="G170" s="14">
        <v>147630</v>
      </c>
      <c r="H170" s="14">
        <v>106890</v>
      </c>
      <c r="I170" s="14">
        <v>28</v>
      </c>
      <c r="J170" s="14" t="s">
        <v>15165</v>
      </c>
      <c r="K170" s="14" t="s">
        <v>15164</v>
      </c>
      <c r="L170" s="14" t="s">
        <v>15168</v>
      </c>
      <c r="M170" s="14" t="s">
        <v>9158</v>
      </c>
      <c r="N170" s="14" t="s">
        <v>9158</v>
      </c>
      <c r="O170" s="14" t="s">
        <v>9158</v>
      </c>
      <c r="P170" s="14" t="s">
        <v>9158</v>
      </c>
      <c r="Q170" s="14" t="s">
        <v>9158</v>
      </c>
      <c r="R170" s="14" t="s">
        <v>175</v>
      </c>
    </row>
    <row r="171" spans="1:18">
      <c r="A171" s="14">
        <v>92501</v>
      </c>
      <c r="B171" s="14" t="s">
        <v>15</v>
      </c>
      <c r="C171" s="14" t="s">
        <v>154</v>
      </c>
      <c r="D171" s="18" t="s">
        <v>15167</v>
      </c>
      <c r="E171" s="15" t="str">
        <f>HYPERLINK("https://stat100.ameba.jp/tnk47/ratio20/illustrations/card/ill_92501_bampaiakuin01.jpg?202010-5-RELEASE-marathon-496xx", "■")</f>
        <v>■</v>
      </c>
      <c r="F171" s="14" t="s">
        <v>15166</v>
      </c>
      <c r="G171" s="14">
        <v>93912</v>
      </c>
      <c r="H171" s="14">
        <v>68012</v>
      </c>
      <c r="I171" s="14">
        <v>28</v>
      </c>
      <c r="J171" s="14" t="s">
        <v>15165</v>
      </c>
      <c r="K171" s="14" t="s">
        <v>15164</v>
      </c>
      <c r="L171" s="14" t="s">
        <v>15169</v>
      </c>
      <c r="M171" s="14" t="s">
        <v>9158</v>
      </c>
      <c r="N171" s="14" t="s">
        <v>9158</v>
      </c>
      <c r="O171" s="14" t="s">
        <v>9158</v>
      </c>
      <c r="P171" s="14" t="s">
        <v>9158</v>
      </c>
      <c r="Q171" s="14" t="s">
        <v>9158</v>
      </c>
      <c r="R171" s="14" t="s">
        <v>176</v>
      </c>
    </row>
    <row r="173" spans="1:18">
      <c r="A173" s="14" t="s">
        <v>15170</v>
      </c>
    </row>
    <row r="174" spans="1:18">
      <c r="A174" s="14" t="s">
        <v>15171</v>
      </c>
    </row>
    <row r="175" spans="1:18">
      <c r="A175" s="9" t="s">
        <v>13401</v>
      </c>
    </row>
    <row r="176" spans="1:18">
      <c r="A176" s="14" t="s">
        <v>5891</v>
      </c>
      <c r="B176" s="14" t="s">
        <v>330</v>
      </c>
      <c r="C176" s="14" t="s">
        <v>202</v>
      </c>
      <c r="D176" s="20" t="s">
        <v>1371</v>
      </c>
      <c r="E176" s="15" t="str">
        <f>HYPERLINK("https://stat100.ameba.jp/tnk47/ratio20/illustrations/card/ill_77173_0_yukemuritomoegozen03.jpg?202010-5-RELEASE-marathon-496xx", "■")</f>
        <v>■</v>
      </c>
      <c r="F176" s="14" t="s">
        <v>1372</v>
      </c>
      <c r="G176" s="14">
        <v>270658</v>
      </c>
      <c r="H176" s="14">
        <v>299465</v>
      </c>
      <c r="I176" s="14">
        <v>27</v>
      </c>
      <c r="J176" s="14" t="s">
        <v>310</v>
      </c>
      <c r="K176" s="14" t="s">
        <v>1373</v>
      </c>
      <c r="L176" s="14" t="s">
        <v>1374</v>
      </c>
      <c r="M176" s="14" t="s">
        <v>9158</v>
      </c>
      <c r="N176" s="14" t="s">
        <v>9158</v>
      </c>
      <c r="O176" s="19" t="s">
        <v>4067</v>
      </c>
      <c r="P176" s="14" t="s">
        <v>3879</v>
      </c>
      <c r="Q176" s="14">
        <v>2</v>
      </c>
    </row>
    <row r="177" spans="1:17">
      <c r="A177" s="9" t="s">
        <v>5787</v>
      </c>
      <c r="B177" s="14" t="s">
        <v>330</v>
      </c>
      <c r="C177" s="14" t="s">
        <v>270</v>
      </c>
      <c r="D177" s="14" t="s">
        <v>1101</v>
      </c>
      <c r="E177" s="15" t="str">
        <f>HYPERLINK("https://stat100.ameba.jp/tnk47/ratio20/illustrations/card/ill_76303_0_haroinkaguya03.jpg?202010-5-RELEASE-marathon-496xx", "■")</f>
        <v>■</v>
      </c>
      <c r="F177" s="14" t="s">
        <v>332</v>
      </c>
      <c r="G177" s="14">
        <v>321315</v>
      </c>
      <c r="H177" s="14">
        <v>298717</v>
      </c>
      <c r="I177" s="14">
        <v>27</v>
      </c>
      <c r="J177" s="14" t="s">
        <v>274</v>
      </c>
      <c r="K177" s="14" t="s">
        <v>333</v>
      </c>
      <c r="L177" s="14" t="s">
        <v>276</v>
      </c>
      <c r="M177" s="14" t="s">
        <v>9158</v>
      </c>
      <c r="N177" s="14" t="s">
        <v>9158</v>
      </c>
      <c r="O177" s="9" t="s">
        <v>2723</v>
      </c>
      <c r="P177" s="14" t="s">
        <v>2724</v>
      </c>
      <c r="Q177" s="14">
        <v>1</v>
      </c>
    </row>
    <row r="178" spans="1:17">
      <c r="A178" s="14" t="s">
        <v>5734</v>
      </c>
      <c r="B178" s="14" t="s">
        <v>330</v>
      </c>
      <c r="C178" s="14" t="s">
        <v>202</v>
      </c>
      <c r="D178" s="19" t="s">
        <v>2297</v>
      </c>
      <c r="E178" s="15" t="str">
        <f>HYPERLINK("https://stat100.ameba.jp/tnk47/ratio20/illustrations/card/ill_74593_0_natsuyuenchikoshihikari03.jpg?202010-5-RELEASE-marathon-496xx", "■")</f>
        <v>■</v>
      </c>
      <c r="F178" s="14" t="s">
        <v>1498</v>
      </c>
      <c r="G178" s="14">
        <v>292494</v>
      </c>
      <c r="H178" s="14">
        <v>271923</v>
      </c>
      <c r="I178" s="14">
        <v>27</v>
      </c>
      <c r="J178" s="14" t="s">
        <v>283</v>
      </c>
      <c r="K178" s="14" t="s">
        <v>1499</v>
      </c>
      <c r="L178" s="14" t="s">
        <v>1500</v>
      </c>
      <c r="M178" s="14" t="s">
        <v>9158</v>
      </c>
      <c r="N178" s="14" t="s">
        <v>9158</v>
      </c>
      <c r="O178" s="19" t="s">
        <v>2731</v>
      </c>
      <c r="P178" s="14" t="s">
        <v>2732</v>
      </c>
      <c r="Q178" s="14">
        <v>1</v>
      </c>
    </row>
    <row r="179" spans="1:17">
      <c r="A179" s="14">
        <v>74063</v>
      </c>
      <c r="B179" s="14" t="s">
        <v>334</v>
      </c>
      <c r="C179" s="14" t="s">
        <v>185</v>
      </c>
      <c r="D179" s="19" t="s">
        <v>10476</v>
      </c>
      <c r="E179" s="15" t="str">
        <f>HYPERLINK("https://stat100.ameba.jp/tnk47/ratio20/illustrations/card/ill_74063_yokoyamamatsusaburo03.jpg?202010-5-RELEASE-marathon-496xx", "■")</f>
        <v>■</v>
      </c>
      <c r="F179" s="14" t="s">
        <v>4430</v>
      </c>
      <c r="G179" s="14">
        <v>101837</v>
      </c>
      <c r="H179" s="14">
        <v>109481</v>
      </c>
      <c r="I179" s="14">
        <v>27</v>
      </c>
      <c r="J179" s="14" t="s">
        <v>16</v>
      </c>
      <c r="K179" s="14" t="s">
        <v>4431</v>
      </c>
      <c r="L179" s="14" t="s">
        <v>124</v>
      </c>
      <c r="M179" s="14" t="s">
        <v>9158</v>
      </c>
      <c r="N179" s="14" t="s">
        <v>9158</v>
      </c>
      <c r="O179" s="14" t="s">
        <v>9158</v>
      </c>
      <c r="P179" s="14" t="s">
        <v>9158</v>
      </c>
      <c r="Q179" s="14" t="s">
        <v>9158</v>
      </c>
    </row>
    <row r="180" spans="1:17">
      <c r="A180" s="7">
        <v>78033</v>
      </c>
      <c r="B180" s="7" t="s">
        <v>0</v>
      </c>
      <c r="C180" s="7" t="s">
        <v>200</v>
      </c>
      <c r="D180" s="19" t="s">
        <v>10310</v>
      </c>
      <c r="E180" s="15" t="str">
        <f>HYPERLINK("https://stat100.ameba.jp/tnk47/ratio20/illustrations/card/ill_78033_bonenkaimyoombenzaiten03.jpg?202010-5-RELEASE-marathon-496xx", "■")</f>
        <v>■</v>
      </c>
      <c r="F180" s="7" t="s">
        <v>2209</v>
      </c>
      <c r="G180" s="7">
        <v>110129</v>
      </c>
      <c r="H180" s="7">
        <v>102386</v>
      </c>
      <c r="I180" s="14">
        <v>27</v>
      </c>
      <c r="J180" s="7" t="s">
        <v>169</v>
      </c>
      <c r="K180" s="7" t="s">
        <v>2210</v>
      </c>
      <c r="L180" s="7" t="s">
        <v>2211</v>
      </c>
      <c r="M180" s="14" t="s">
        <v>9158</v>
      </c>
      <c r="N180" s="14" t="s">
        <v>9158</v>
      </c>
      <c r="O180" s="14" t="s">
        <v>9158</v>
      </c>
      <c r="P180" s="14" t="s">
        <v>9158</v>
      </c>
      <c r="Q180" s="14" t="s">
        <v>9158</v>
      </c>
    </row>
    <row r="181" spans="1:17">
      <c r="A181" s="14">
        <v>83213</v>
      </c>
      <c r="B181" s="14" t="s">
        <v>0</v>
      </c>
      <c r="C181" s="14" t="s">
        <v>191</v>
      </c>
      <c r="D181" s="19" t="s">
        <v>14434</v>
      </c>
      <c r="E181" s="15" t="str">
        <f>HYPERLINK("https://stat100.ameba.jp/tnk47/ratio20/illustrations/card/ill_83213_hanabishiechizenganinabechan03.jpg?202010-5-RELEASE-marathon-496xx", "■")</f>
        <v>■</v>
      </c>
      <c r="F181" s="14" t="s">
        <v>6282</v>
      </c>
      <c r="G181" s="14">
        <v>118568</v>
      </c>
      <c r="H181" s="14">
        <v>127507</v>
      </c>
      <c r="I181" s="14">
        <v>27</v>
      </c>
      <c r="J181" s="14" t="s">
        <v>104</v>
      </c>
      <c r="K181" s="14" t="s">
        <v>6285</v>
      </c>
      <c r="L181" s="14" t="s">
        <v>131</v>
      </c>
      <c r="M181" s="14" t="s">
        <v>9158</v>
      </c>
      <c r="N181" s="14" t="s">
        <v>9158</v>
      </c>
      <c r="O181" s="14" t="s">
        <v>9158</v>
      </c>
      <c r="P181" s="14" t="s">
        <v>9158</v>
      </c>
      <c r="Q181" s="14" t="s">
        <v>9158</v>
      </c>
    </row>
    <row r="182" spans="1:17">
      <c r="A182" s="14">
        <v>82663</v>
      </c>
      <c r="B182" s="14" t="s">
        <v>0</v>
      </c>
      <c r="C182" s="14" t="s">
        <v>165</v>
      </c>
      <c r="D182" s="20" t="s">
        <v>10368</v>
      </c>
      <c r="E182" s="15" t="str">
        <f>HYPERLINK("https://stat100.ameba.jp/tnk47/ratio20/illustrations/card/ill_82663_fuisshingukoshikibunonaishi03.jpg?202010-5-RELEASE-marathon-496xx", "■")</f>
        <v>■</v>
      </c>
      <c r="F182" s="14" t="s">
        <v>5662</v>
      </c>
      <c r="G182" s="14">
        <v>109481</v>
      </c>
      <c r="H182" s="14">
        <v>101837</v>
      </c>
      <c r="I182" s="14">
        <v>27</v>
      </c>
      <c r="J182" s="14" t="s">
        <v>414</v>
      </c>
      <c r="K182" s="14" t="s">
        <v>5663</v>
      </c>
      <c r="L182" s="14" t="s">
        <v>920</v>
      </c>
      <c r="M182" s="14" t="s">
        <v>9158</v>
      </c>
      <c r="N182" s="14" t="s">
        <v>9158</v>
      </c>
      <c r="O182" s="14" t="s">
        <v>9158</v>
      </c>
      <c r="P182" s="14" t="s">
        <v>9158</v>
      </c>
      <c r="Q182" s="14" t="s">
        <v>9158</v>
      </c>
    </row>
    <row r="183" spans="1:17">
      <c r="A183" s="14">
        <v>60693</v>
      </c>
      <c r="B183" s="14" t="s">
        <v>0</v>
      </c>
      <c r="C183" s="14" t="s">
        <v>205</v>
      </c>
      <c r="D183" s="19" t="s">
        <v>10718</v>
      </c>
      <c r="E183" s="15" t="str">
        <f>HYPERLINK("https://stat100.ameba.jp/tnk47/ratio20/illustrations/card/ill_60693_isutabanigohime03.jpg?202010-5-RELEASE-marathon-496xx", "■")</f>
        <v>■</v>
      </c>
      <c r="F183" s="14" t="s">
        <v>7566</v>
      </c>
      <c r="G183" s="14">
        <v>105465</v>
      </c>
      <c r="H183" s="14">
        <v>98019</v>
      </c>
      <c r="I183" s="14">
        <v>27</v>
      </c>
      <c r="J183" s="14" t="s">
        <v>77</v>
      </c>
      <c r="K183" s="14" t="s">
        <v>7564</v>
      </c>
      <c r="L183" s="14" t="s">
        <v>76</v>
      </c>
      <c r="M183" s="14" t="s">
        <v>9158</v>
      </c>
      <c r="N183" s="14" t="s">
        <v>9158</v>
      </c>
      <c r="O183" s="14" t="s">
        <v>9158</v>
      </c>
      <c r="P183" s="14" t="s">
        <v>9158</v>
      </c>
      <c r="Q183" s="14" t="s">
        <v>9158</v>
      </c>
    </row>
    <row r="184" spans="1:17">
      <c r="A184" s="14">
        <v>88793</v>
      </c>
      <c r="B184" s="14" t="s">
        <v>0</v>
      </c>
      <c r="C184" s="14" t="s">
        <v>107</v>
      </c>
      <c r="D184" s="14" t="s">
        <v>12404</v>
      </c>
      <c r="E184" s="15" t="str">
        <f>HYPERLINK("https://stat100.ameba.jp/tnk47/ratio20/illustrations/card/ill_88793_ichigogariyakushimachan03.jpg?202010-5-RELEASE-marathon-496xx", "■")</f>
        <v>■</v>
      </c>
      <c r="F184" s="14" t="s">
        <v>12412</v>
      </c>
      <c r="G184" s="14">
        <v>114362</v>
      </c>
      <c r="H184" s="14">
        <v>123002</v>
      </c>
      <c r="I184" s="14">
        <v>27</v>
      </c>
      <c r="J184" s="14" t="s">
        <v>26</v>
      </c>
      <c r="K184" s="14" t="s">
        <v>12411</v>
      </c>
      <c r="L184" s="14" t="s">
        <v>2489</v>
      </c>
      <c r="M184" s="14" t="s">
        <v>9158</v>
      </c>
      <c r="N184" s="14" t="s">
        <v>9158</v>
      </c>
      <c r="O184" s="14" t="s">
        <v>9158</v>
      </c>
      <c r="P184" s="14" t="s">
        <v>9158</v>
      </c>
      <c r="Q184" s="14" t="s">
        <v>9158</v>
      </c>
    </row>
    <row r="186" spans="1:17">
      <c r="A186" s="14" t="s">
        <v>15172</v>
      </c>
    </row>
    <row r="187" spans="1:17">
      <c r="A187" s="14" t="s">
        <v>15173</v>
      </c>
    </row>
    <row r="188" spans="1:17">
      <c r="A188" s="14" t="s">
        <v>5602</v>
      </c>
      <c r="B188" s="14" t="s">
        <v>52</v>
      </c>
      <c r="C188" s="14" t="s">
        <v>14</v>
      </c>
      <c r="D188" s="19" t="s">
        <v>813</v>
      </c>
      <c r="E188" s="15" t="str">
        <f>HYPERLINK("https://stat100.ameba.jp/tnk47/ratio20/illustrations/card/ill_55313_0_haroinononokomachi03.jpg?202010-5-RELEASE-marathon-496xx", "■")</f>
        <v>■</v>
      </c>
      <c r="F188" s="14" t="s">
        <v>2094</v>
      </c>
      <c r="G188" s="14">
        <v>150776</v>
      </c>
      <c r="H188" s="14">
        <v>133938</v>
      </c>
      <c r="I188" s="14">
        <v>24</v>
      </c>
      <c r="J188" s="14" t="s">
        <v>10</v>
      </c>
      <c r="K188" s="14" t="s">
        <v>2095</v>
      </c>
      <c r="L188" s="14" t="s">
        <v>2096</v>
      </c>
      <c r="M188" s="14" t="s">
        <v>9158</v>
      </c>
      <c r="N188" s="14" t="s">
        <v>9158</v>
      </c>
      <c r="O188" s="19" t="s">
        <v>2733</v>
      </c>
      <c r="P188" s="14" t="s">
        <v>2734</v>
      </c>
      <c r="Q188" s="14">
        <v>1</v>
      </c>
    </row>
    <row r="189" spans="1:17">
      <c r="A189" s="14" t="s">
        <v>5848</v>
      </c>
      <c r="B189" s="14" t="s">
        <v>52</v>
      </c>
      <c r="C189" s="14" t="s">
        <v>200</v>
      </c>
      <c r="D189" s="20" t="s">
        <v>3160</v>
      </c>
      <c r="E189" s="15" t="str">
        <f>HYPERLINK("https://stat100.ameba.jp/tnk47/ratio20/illustrations/card/ill_72963_0_amenohanayomehiguchiichiyo03.jpg?202010-5-RELEASE-marathon-496xx", "■")</f>
        <v>■</v>
      </c>
      <c r="F189" s="14" t="s">
        <v>1139</v>
      </c>
      <c r="G189" s="14">
        <v>160804</v>
      </c>
      <c r="H189" s="14">
        <v>149520</v>
      </c>
      <c r="I189" s="14">
        <v>24</v>
      </c>
      <c r="J189" s="14" t="s">
        <v>10</v>
      </c>
      <c r="K189" s="14" t="s">
        <v>1140</v>
      </c>
      <c r="L189" s="14" t="s">
        <v>1141</v>
      </c>
      <c r="M189" s="14" t="s">
        <v>9158</v>
      </c>
      <c r="N189" s="14" t="s">
        <v>9158</v>
      </c>
      <c r="O189" s="19" t="s">
        <v>3162</v>
      </c>
      <c r="P189" s="14" t="s">
        <v>3410</v>
      </c>
      <c r="Q189" s="14">
        <v>1</v>
      </c>
    </row>
    <row r="190" spans="1:17">
      <c r="A190" s="14" t="s">
        <v>6132</v>
      </c>
      <c r="B190" s="14" t="s">
        <v>52</v>
      </c>
      <c r="C190" s="14" t="s">
        <v>205</v>
      </c>
      <c r="D190" s="19" t="s">
        <v>702</v>
      </c>
      <c r="E190" s="15" t="str">
        <f>HYPERLINK("https://stat100.ameba.jp/tnk47/ratio20/illustrations/card/ill_50693_0_hanamizugimimuratsuru03.jpg?202010-5-RELEASE-marathon-496xx", "■")</f>
        <v>■</v>
      </c>
      <c r="F190" s="14" t="s">
        <v>2282</v>
      </c>
      <c r="G190" s="14">
        <v>133938</v>
      </c>
      <c r="H190" s="14">
        <v>150776</v>
      </c>
      <c r="I190" s="14">
        <v>24</v>
      </c>
      <c r="J190" s="14" t="s">
        <v>143</v>
      </c>
      <c r="K190" s="14" t="s">
        <v>2283</v>
      </c>
      <c r="L190" s="14" t="s">
        <v>2284</v>
      </c>
      <c r="M190" s="14" t="s">
        <v>9158</v>
      </c>
      <c r="N190" s="14" t="s">
        <v>9158</v>
      </c>
      <c r="O190" s="14" t="s">
        <v>9158</v>
      </c>
      <c r="P190" s="14" t="s">
        <v>9158</v>
      </c>
      <c r="Q190" s="14" t="s">
        <v>9158</v>
      </c>
    </row>
    <row r="191" spans="1:17">
      <c r="A191" s="14">
        <v>92583</v>
      </c>
      <c r="B191" s="14" t="s">
        <v>0</v>
      </c>
      <c r="C191" s="14" t="s">
        <v>107</v>
      </c>
      <c r="D191" s="14" t="s">
        <v>15122</v>
      </c>
      <c r="E191" s="15" t="str">
        <f>HYPERLINK("https://stat100.ameba.jp/tnk47/ratio20/illustrations/card/ill_92583_daichinomegumisuoro03.jpg?202010-5-RELEASE-marathon-496xx", "■")</f>
        <v>■</v>
      </c>
      <c r="F191" s="14" t="s">
        <v>15121</v>
      </c>
      <c r="G191" s="14">
        <v>101558</v>
      </c>
      <c r="H191" s="14">
        <v>94390</v>
      </c>
      <c r="I191" s="7">
        <v>26</v>
      </c>
      <c r="J191" s="14" t="s">
        <v>44</v>
      </c>
      <c r="K191" s="14" t="s">
        <v>15119</v>
      </c>
      <c r="L191" s="14" t="s">
        <v>14651</v>
      </c>
      <c r="M191" s="14" t="s">
        <v>9158</v>
      </c>
      <c r="N191" s="14" t="s">
        <v>9158</v>
      </c>
      <c r="O191" s="14" t="s">
        <v>9158</v>
      </c>
      <c r="P191" s="14" t="s">
        <v>9158</v>
      </c>
      <c r="Q191" s="14" t="s">
        <v>9158</v>
      </c>
    </row>
    <row r="192" spans="1:17">
      <c r="A192" s="14">
        <v>92603</v>
      </c>
      <c r="B192" s="14" t="s">
        <v>15</v>
      </c>
      <c r="C192" s="14" t="s">
        <v>14</v>
      </c>
      <c r="D192" s="14" t="s">
        <v>15136</v>
      </c>
      <c r="E192" s="15" t="str">
        <f>HYPERLINK("https://stat100.ameba.jp/tnk47/ratio20/illustrations/card/ill_92603_hitomeborechan03.jpg?202010-5-RELEASE-marathon-496xx", "■")</f>
        <v>■</v>
      </c>
      <c r="F192" s="14" t="s">
        <v>15135</v>
      </c>
      <c r="G192" s="14">
        <v>69898</v>
      </c>
      <c r="H192" s="14">
        <v>77064</v>
      </c>
      <c r="I192" s="7">
        <v>26</v>
      </c>
      <c r="J192" s="14" t="s">
        <v>104</v>
      </c>
      <c r="K192" s="14" t="s">
        <v>15133</v>
      </c>
      <c r="L192" s="14" t="s">
        <v>1757</v>
      </c>
      <c r="M192" s="14" t="s">
        <v>9158</v>
      </c>
      <c r="N192" s="14" t="s">
        <v>9158</v>
      </c>
      <c r="O192" s="14" t="s">
        <v>9158</v>
      </c>
      <c r="P192" s="14" t="s">
        <v>9158</v>
      </c>
      <c r="Q192" s="14" t="s">
        <v>9158</v>
      </c>
    </row>
    <row r="193" spans="1:17">
      <c r="A193" s="14">
        <v>92613</v>
      </c>
      <c r="B193" s="14" t="s">
        <v>22</v>
      </c>
      <c r="C193" s="14" t="s">
        <v>96</v>
      </c>
      <c r="D193" s="14" t="s">
        <v>15141</v>
      </c>
      <c r="E193" s="15" t="str">
        <f>HYPERLINK("https://stat100.ameba.jp/tnk47/ratio20/illustrations/card/ill_92613_nippombarechan03.jpg?202010-5-RELEASE-marathon-496xx", "■")</f>
        <v>■</v>
      </c>
      <c r="F193" s="14" t="s">
        <v>15140</v>
      </c>
      <c r="G193" s="14">
        <v>54058</v>
      </c>
      <c r="H193" s="14">
        <v>44948</v>
      </c>
      <c r="I193" s="7">
        <v>26</v>
      </c>
      <c r="J193" s="14" t="s">
        <v>104</v>
      </c>
      <c r="K193" s="14" t="s">
        <v>15139</v>
      </c>
      <c r="L193" s="14" t="s">
        <v>2674</v>
      </c>
      <c r="M193" s="14" t="s">
        <v>9158</v>
      </c>
      <c r="N193" s="14" t="s">
        <v>9158</v>
      </c>
      <c r="O193" s="14" t="s">
        <v>9158</v>
      </c>
      <c r="P193" s="14" t="s">
        <v>9158</v>
      </c>
      <c r="Q193" s="14" t="s">
        <v>9158</v>
      </c>
    </row>
    <row r="194" spans="1:17">
      <c r="A194" s="14">
        <v>92623</v>
      </c>
      <c r="B194" s="14" t="s">
        <v>22</v>
      </c>
      <c r="C194" s="14" t="s">
        <v>101</v>
      </c>
      <c r="D194" s="14" t="s">
        <v>15146</v>
      </c>
      <c r="E194" s="15" t="str">
        <f>HYPERLINK("https://stat100.ameba.jp/tnk47/ratio20/illustrations/card/ill_92623_ginnanchan03.jpg?202010-5-RELEASE-marathon-496xx", "■")</f>
        <v>■</v>
      </c>
      <c r="F194" s="14" t="s">
        <v>15145</v>
      </c>
      <c r="G194" s="14">
        <v>44948</v>
      </c>
      <c r="H194" s="14">
        <v>54058</v>
      </c>
      <c r="I194" s="7">
        <v>26</v>
      </c>
      <c r="J194" s="14" t="s">
        <v>104</v>
      </c>
      <c r="K194" s="14" t="s">
        <v>15144</v>
      </c>
      <c r="L194" s="14" t="s">
        <v>3839</v>
      </c>
      <c r="M194" s="14" t="s">
        <v>9158</v>
      </c>
      <c r="N194" s="14" t="s">
        <v>9158</v>
      </c>
      <c r="O194" s="14" t="s">
        <v>9158</v>
      </c>
      <c r="P194" s="14" t="s">
        <v>9158</v>
      </c>
      <c r="Q194" s="14" t="s">
        <v>9158</v>
      </c>
    </row>
    <row r="196" spans="1:17">
      <c r="A196" s="14" t="s">
        <v>15174</v>
      </c>
    </row>
    <row r="197" spans="1:17">
      <c r="A197" s="14" t="s">
        <v>15175</v>
      </c>
    </row>
    <row r="198" spans="1:17">
      <c r="A198" s="14" t="s">
        <v>5605</v>
      </c>
      <c r="B198" s="14" t="s">
        <v>52</v>
      </c>
      <c r="C198" s="14" t="s">
        <v>202</v>
      </c>
      <c r="D198" s="19" t="s">
        <v>10332</v>
      </c>
      <c r="E198" s="15" t="str">
        <f>HYPERLINK("https://stat100.ameba.jp/tnk47/ratio20/illustrations/card/ill_79373_0_hommeichokotennyohime03.jpg?202010-5-RELEASE-marathon-496xx", "■")</f>
        <v>■</v>
      </c>
      <c r="F198" s="14" t="s">
        <v>3495</v>
      </c>
      <c r="G198" s="14">
        <v>309132</v>
      </c>
      <c r="H198" s="14">
        <v>279407</v>
      </c>
      <c r="I198" s="14">
        <v>25</v>
      </c>
      <c r="J198" s="14" t="s">
        <v>104</v>
      </c>
      <c r="K198" s="14" t="s">
        <v>3496</v>
      </c>
      <c r="L198" s="14" t="s">
        <v>3497</v>
      </c>
      <c r="M198" s="14" t="s">
        <v>9158</v>
      </c>
      <c r="N198" s="14" t="s">
        <v>9158</v>
      </c>
      <c r="O198" s="19" t="s">
        <v>10072</v>
      </c>
      <c r="P198" s="14" t="s">
        <v>3498</v>
      </c>
      <c r="Q198" s="14">
        <v>1</v>
      </c>
    </row>
    <row r="199" spans="1:17">
      <c r="A199" s="14">
        <v>81903</v>
      </c>
      <c r="B199" s="14" t="s">
        <v>334</v>
      </c>
      <c r="C199" s="14" t="s">
        <v>47</v>
      </c>
      <c r="D199" s="19" t="s">
        <v>10200</v>
      </c>
      <c r="E199" s="15" t="str">
        <f>HYPERLINK("https://stat100.ameba.jp/tnk47/ratio20/illustrations/card/ill_81903_kiryuhimeiren03.jpg?202010-5-RELEASE-marathon-496xx", "■")</f>
        <v>■</v>
      </c>
      <c r="F199" s="14" t="s">
        <v>4983</v>
      </c>
      <c r="G199" s="14">
        <v>79348</v>
      </c>
      <c r="H199" s="14">
        <v>109554</v>
      </c>
      <c r="I199" s="14">
        <v>24</v>
      </c>
      <c r="J199" s="14" t="s">
        <v>77</v>
      </c>
      <c r="K199" s="14" t="s">
        <v>4985</v>
      </c>
      <c r="L199" s="14" t="s">
        <v>4986</v>
      </c>
      <c r="M199" s="14" t="s">
        <v>9158</v>
      </c>
      <c r="N199" s="14" t="s">
        <v>9158</v>
      </c>
      <c r="O199" s="19" t="s">
        <v>10112</v>
      </c>
      <c r="P199" s="14" t="s">
        <v>13150</v>
      </c>
      <c r="Q199" s="14">
        <v>1</v>
      </c>
    </row>
    <row r="200" spans="1:17">
      <c r="A200" s="14">
        <v>71333</v>
      </c>
      <c r="B200" s="14" t="s">
        <v>0</v>
      </c>
      <c r="C200" s="14" t="s">
        <v>41</v>
      </c>
      <c r="D200" s="20" t="s">
        <v>10256</v>
      </c>
      <c r="E200" s="15" t="str">
        <f>HYPERLINK("https://stat100.ameba.jp/tnk47/ratio20/illustrations/card/ill_71333_fujiwaranokamatari03.jpg?202010-5-RELEASE-marathon-496xx", "■")</f>
        <v>■</v>
      </c>
      <c r="F200" s="14" t="s">
        <v>58</v>
      </c>
      <c r="G200" s="14">
        <v>104890</v>
      </c>
      <c r="H200" s="14">
        <v>75984</v>
      </c>
      <c r="I200" s="14">
        <v>24</v>
      </c>
      <c r="J200" s="14" t="s">
        <v>10</v>
      </c>
      <c r="K200" s="14" t="s">
        <v>59</v>
      </c>
      <c r="L200" s="14" t="s">
        <v>60</v>
      </c>
      <c r="M200" s="14" t="s">
        <v>9158</v>
      </c>
      <c r="N200" s="14" t="s">
        <v>9158</v>
      </c>
      <c r="O200" s="19" t="s">
        <v>10098</v>
      </c>
      <c r="P200" s="14" t="s">
        <v>3491</v>
      </c>
      <c r="Q200" s="14">
        <v>1</v>
      </c>
    </row>
    <row r="201" spans="1:17">
      <c r="A201" s="14">
        <v>84333</v>
      </c>
      <c r="B201" s="14" t="s">
        <v>0</v>
      </c>
      <c r="C201" s="14" t="s">
        <v>209</v>
      </c>
      <c r="D201" s="19" t="s">
        <v>10692</v>
      </c>
      <c r="E201" s="15" t="str">
        <f>HYPERLINK("https://stat100.ameba.jp/tnk47/ratio20/illustrations/card/ill_84333_otometeia03.jpg?202010-5-RELEASE-marathon-496xx", "■")</f>
        <v>■</v>
      </c>
      <c r="F201" s="14" t="s">
        <v>7401</v>
      </c>
      <c r="G201" s="14">
        <v>104890</v>
      </c>
      <c r="H201" s="14">
        <v>75984</v>
      </c>
      <c r="I201" s="14">
        <v>24</v>
      </c>
      <c r="J201" s="14" t="s">
        <v>16</v>
      </c>
      <c r="K201" s="14" t="s">
        <v>7399</v>
      </c>
      <c r="L201" s="14" t="s">
        <v>4046</v>
      </c>
      <c r="M201" s="14" t="s">
        <v>9158</v>
      </c>
      <c r="N201" s="14" t="s">
        <v>9158</v>
      </c>
      <c r="O201" s="19" t="s">
        <v>10129</v>
      </c>
      <c r="P201" s="14" t="s">
        <v>3581</v>
      </c>
      <c r="Q201" s="14">
        <v>1</v>
      </c>
    </row>
    <row r="203" spans="1:17">
      <c r="A203" s="14" t="s">
        <v>15176</v>
      </c>
    </row>
    <row r="204" spans="1:17">
      <c r="A204" s="14" t="s">
        <v>15177</v>
      </c>
    </row>
    <row r="205" spans="1:17">
      <c r="A205" s="14" t="s">
        <v>6598</v>
      </c>
      <c r="B205" s="14" t="s">
        <v>330</v>
      </c>
      <c r="C205" s="14" t="s">
        <v>35</v>
      </c>
      <c r="D205" s="19" t="s">
        <v>10555</v>
      </c>
      <c r="E205" s="15" t="str">
        <f>HYPERLINK("https://stat100.ameba.jp/tnk47/ratio20/illustrations/card/ill_83553_0_kajuenamoronagu03.jpg?202010-5-RELEASE-marathon-496xx", "■")</f>
        <v>■</v>
      </c>
      <c r="F205" s="14" t="s">
        <v>6597</v>
      </c>
      <c r="G205" s="14">
        <v>284219</v>
      </c>
      <c r="H205" s="14">
        <v>314478</v>
      </c>
      <c r="I205" s="14">
        <v>27</v>
      </c>
      <c r="J205" s="14" t="s">
        <v>44</v>
      </c>
      <c r="K205" s="14" t="s">
        <v>6595</v>
      </c>
      <c r="L205" s="14" t="s">
        <v>6594</v>
      </c>
      <c r="M205" s="14" t="s">
        <v>9158</v>
      </c>
      <c r="N205" s="14" t="s">
        <v>9158</v>
      </c>
      <c r="O205" s="19" t="s">
        <v>10125</v>
      </c>
      <c r="P205" s="14" t="s">
        <v>6599</v>
      </c>
      <c r="Q205" s="14">
        <v>1</v>
      </c>
    </row>
    <row r="206" spans="1:17">
      <c r="A206" s="14" t="s">
        <v>5619</v>
      </c>
      <c r="B206" s="14" t="s">
        <v>330</v>
      </c>
      <c r="C206" s="14" t="s">
        <v>202</v>
      </c>
      <c r="D206" s="19" t="s">
        <v>10348</v>
      </c>
      <c r="E206" s="15" t="str">
        <f>HYPERLINK("https://stat100.ameba.jp/tnk47/ratio20/illustrations/card/ill_81183_0_shinryokunokisetsuamaterasu03.jpg?202010-5-RELEASE-marathon-496xx", "■")</f>
        <v>■</v>
      </c>
      <c r="F206" s="14" t="s">
        <v>4505</v>
      </c>
      <c r="G206" s="14">
        <v>283637</v>
      </c>
      <c r="H206" s="14">
        <v>313857</v>
      </c>
      <c r="I206" s="14">
        <v>27</v>
      </c>
      <c r="J206" s="14" t="s">
        <v>44</v>
      </c>
      <c r="K206" s="14" t="s">
        <v>4506</v>
      </c>
      <c r="L206" s="14" t="s">
        <v>4507</v>
      </c>
      <c r="M206" s="14" t="s">
        <v>9158</v>
      </c>
      <c r="N206" s="14" t="s">
        <v>9158</v>
      </c>
      <c r="O206" s="19" t="s">
        <v>10083</v>
      </c>
      <c r="P206" s="14" t="s">
        <v>4509</v>
      </c>
      <c r="Q206" s="14">
        <v>0</v>
      </c>
    </row>
    <row r="207" spans="1:17">
      <c r="A207" s="14" t="s">
        <v>5625</v>
      </c>
      <c r="B207" s="14" t="s">
        <v>330</v>
      </c>
      <c r="C207" s="14" t="s">
        <v>200</v>
      </c>
      <c r="D207" s="19" t="s">
        <v>630</v>
      </c>
      <c r="E207" s="15" t="str">
        <f>HYPERLINK("https://stat100.ameba.jp/tnk47/ratio20/illustrations/card/ill_48283_0_kyuubitamamonomae03.jpg?202010-5-RELEASE-marathon-496xx", "■")</f>
        <v>■</v>
      </c>
      <c r="F207" s="14" t="s">
        <v>631</v>
      </c>
      <c r="G207" s="14">
        <v>169624</v>
      </c>
      <c r="H207" s="14">
        <v>150680</v>
      </c>
      <c r="I207" s="14">
        <v>27</v>
      </c>
      <c r="J207" s="14" t="s">
        <v>320</v>
      </c>
      <c r="K207" s="14" t="s">
        <v>632</v>
      </c>
      <c r="L207" s="14" t="s">
        <v>633</v>
      </c>
      <c r="M207" s="14" t="s">
        <v>9158</v>
      </c>
      <c r="N207" s="14" t="s">
        <v>9158</v>
      </c>
      <c r="O207" s="14" t="s">
        <v>9158</v>
      </c>
      <c r="P207" s="14" t="s">
        <v>9158</v>
      </c>
      <c r="Q207" s="14" t="s">
        <v>9158</v>
      </c>
    </row>
    <row r="208" spans="1:17">
      <c r="A208" s="14">
        <v>78143</v>
      </c>
      <c r="B208" s="14" t="s">
        <v>334</v>
      </c>
      <c r="C208" s="14" t="s">
        <v>203</v>
      </c>
      <c r="D208" s="19" t="s">
        <v>10285</v>
      </c>
      <c r="E208" s="15" t="str">
        <f>HYPERLINK("https://stat100.ameba.jp/tnk47/ratio20/illustrations/card/ill_78143_kanibarukuin03.jpg?202010-5-RELEASE-marathon-496xx", "■")</f>
        <v>■</v>
      </c>
      <c r="F208" s="14" t="s">
        <v>2687</v>
      </c>
      <c r="G208" s="14">
        <v>99702</v>
      </c>
      <c r="H208" s="14">
        <v>137662</v>
      </c>
      <c r="I208" s="14">
        <v>27</v>
      </c>
      <c r="J208" s="14" t="s">
        <v>26</v>
      </c>
      <c r="K208" s="14" t="s">
        <v>2688</v>
      </c>
      <c r="L208" s="14" t="s">
        <v>2137</v>
      </c>
      <c r="M208" s="14" t="s">
        <v>9158</v>
      </c>
      <c r="N208" s="14" t="s">
        <v>9158</v>
      </c>
      <c r="O208" s="19" t="s">
        <v>10103</v>
      </c>
      <c r="P208" s="14" t="s">
        <v>3897</v>
      </c>
      <c r="Q208" s="14">
        <v>1</v>
      </c>
    </row>
    <row r="209" spans="1:17">
      <c r="A209" s="14">
        <v>75093</v>
      </c>
      <c r="B209" s="14" t="s">
        <v>334</v>
      </c>
      <c r="C209" s="14" t="s">
        <v>158</v>
      </c>
      <c r="D209" s="20" t="s">
        <v>10403</v>
      </c>
      <c r="E209" s="15" t="str">
        <f>HYPERLINK("https://stat100.ameba.jp/tnk47/ratio20/illustrations/card/ill_75093_hangonko03.jpg?202010-5-RELEASE-marathon-496xx", "■")</f>
        <v>■</v>
      </c>
      <c r="F209" s="14" t="s">
        <v>2614</v>
      </c>
      <c r="G209" s="14">
        <v>142716</v>
      </c>
      <c r="H209" s="14">
        <v>103361</v>
      </c>
      <c r="I209" s="14">
        <v>27</v>
      </c>
      <c r="J209" s="14" t="s">
        <v>44</v>
      </c>
      <c r="K209" s="14" t="s">
        <v>2615</v>
      </c>
      <c r="L209" s="14" t="s">
        <v>1108</v>
      </c>
      <c r="M209" s="14" t="s">
        <v>9158</v>
      </c>
      <c r="N209" s="14" t="s">
        <v>9158</v>
      </c>
      <c r="O209" s="19" t="s">
        <v>2951</v>
      </c>
      <c r="P209" s="14" t="s">
        <v>13122</v>
      </c>
      <c r="Q209" s="14">
        <v>1</v>
      </c>
    </row>
    <row r="210" spans="1:17">
      <c r="A210" s="14">
        <v>83093</v>
      </c>
      <c r="B210" s="14" t="s">
        <v>0</v>
      </c>
      <c r="C210" s="14" t="s">
        <v>158</v>
      </c>
      <c r="D210" s="20" t="s">
        <v>10490</v>
      </c>
      <c r="E210" s="15" t="str">
        <f>HYPERLINK("https://stat100.ameba.jp/tnk47/ratio20/illustrations/card/ill_83093_yusuraume03.jpg?202010-5-RELEASE-marathon-496xx", "■")</f>
        <v>■</v>
      </c>
      <c r="F210" s="14" t="s">
        <v>6267</v>
      </c>
      <c r="G210" s="14">
        <v>142716</v>
      </c>
      <c r="H210" s="14">
        <v>103361</v>
      </c>
      <c r="I210" s="14">
        <v>27</v>
      </c>
      <c r="J210" s="14" t="s">
        <v>104</v>
      </c>
      <c r="K210" s="14" t="s">
        <v>6266</v>
      </c>
      <c r="L210" s="14" t="s">
        <v>2409</v>
      </c>
      <c r="M210" s="14" t="s">
        <v>9158</v>
      </c>
      <c r="N210" s="14" t="s">
        <v>9158</v>
      </c>
      <c r="O210" s="19" t="s">
        <v>10090</v>
      </c>
      <c r="P210" s="14" t="s">
        <v>3460</v>
      </c>
      <c r="Q210" s="14">
        <v>1</v>
      </c>
    </row>
    <row r="211" spans="1:17">
      <c r="A211" s="14">
        <v>78133</v>
      </c>
      <c r="B211" s="14" t="s">
        <v>0</v>
      </c>
      <c r="C211" s="14" t="s">
        <v>154</v>
      </c>
      <c r="D211" s="20" t="s">
        <v>10313</v>
      </c>
      <c r="E211" s="15" t="str">
        <f>HYPERLINK("https://stat100.ameba.jp/tnk47/ratio20/illustrations/card/ill_78133_akazukin03.jpg?202010-5-RELEASE-marathon-496xx", "■")</f>
        <v>■</v>
      </c>
      <c r="F211" s="14" t="s">
        <v>2202</v>
      </c>
      <c r="G211" s="14">
        <v>99796</v>
      </c>
      <c r="H211" s="14">
        <v>137786</v>
      </c>
      <c r="I211" s="14">
        <v>27</v>
      </c>
      <c r="J211" s="14" t="s">
        <v>38</v>
      </c>
      <c r="K211" s="14" t="s">
        <v>2203</v>
      </c>
      <c r="L211" s="14" t="s">
        <v>2204</v>
      </c>
      <c r="M211" s="14" t="s">
        <v>9158</v>
      </c>
      <c r="N211" s="14" t="s">
        <v>9158</v>
      </c>
      <c r="O211" s="19" t="s">
        <v>2917</v>
      </c>
      <c r="P211" s="14" t="s">
        <v>3531</v>
      </c>
      <c r="Q211" s="14">
        <v>1</v>
      </c>
    </row>
    <row r="212" spans="1:17">
      <c r="A212" s="14">
        <v>70363</v>
      </c>
      <c r="B212" s="14" t="s">
        <v>334</v>
      </c>
      <c r="C212" s="14" t="s">
        <v>209</v>
      </c>
      <c r="D212" s="20" t="s">
        <v>10266</v>
      </c>
      <c r="E212" s="15" t="str">
        <f>HYPERLINK("https://stat100.ameba.jp/tnk47/ratio20/illustrations/card/ill_70363_hokushimmyokembosatsu03.jpg?202010-5-RELEASE-marathon-496xx", "■")</f>
        <v>■</v>
      </c>
      <c r="F212" s="14" t="s">
        <v>2502</v>
      </c>
      <c r="G212" s="14">
        <v>179634</v>
      </c>
      <c r="H212" s="14">
        <v>130113</v>
      </c>
      <c r="I212" s="14">
        <v>27</v>
      </c>
      <c r="J212" s="14" t="s">
        <v>44</v>
      </c>
      <c r="K212" s="14" t="s">
        <v>2503</v>
      </c>
      <c r="L212" s="14" t="s">
        <v>2504</v>
      </c>
      <c r="M212" s="14" t="s">
        <v>9158</v>
      </c>
      <c r="N212" s="14" t="s">
        <v>9158</v>
      </c>
      <c r="O212" s="19" t="s">
        <v>10114</v>
      </c>
      <c r="P212" s="14" t="s">
        <v>3658</v>
      </c>
      <c r="Q212" s="14">
        <v>1</v>
      </c>
    </row>
    <row r="213" spans="1:17">
      <c r="A213" s="14">
        <v>80173</v>
      </c>
      <c r="B213" s="14" t="s">
        <v>334</v>
      </c>
      <c r="C213" s="14" t="s">
        <v>47</v>
      </c>
      <c r="D213" s="20" t="s">
        <v>10390</v>
      </c>
      <c r="E213" s="15" t="str">
        <f>HYPERLINK("https://stat100.ameba.jp/tnk47/ratio20/illustrations/card/ill_80173_jusomedeia03.jpg?202010-5-RELEASE-marathon-496xx", "■")</f>
        <v>■</v>
      </c>
      <c r="F213" s="14" t="s">
        <v>3914</v>
      </c>
      <c r="G213" s="14">
        <v>103361</v>
      </c>
      <c r="H213" s="14">
        <v>142716</v>
      </c>
      <c r="I213" s="14">
        <v>27</v>
      </c>
      <c r="J213" s="14" t="s">
        <v>73</v>
      </c>
      <c r="K213" s="14" t="s">
        <v>3915</v>
      </c>
      <c r="L213" s="14" t="s">
        <v>1033</v>
      </c>
      <c r="M213" s="14" t="s">
        <v>9158</v>
      </c>
      <c r="N213" s="14" t="s">
        <v>9158</v>
      </c>
      <c r="O213" s="19" t="s">
        <v>10074</v>
      </c>
      <c r="P213" s="14" t="s">
        <v>3592</v>
      </c>
      <c r="Q213" s="14">
        <v>1</v>
      </c>
    </row>
    <row r="215" spans="1:17">
      <c r="A215" s="14" t="s">
        <v>3905</v>
      </c>
    </row>
    <row r="216" spans="1:17">
      <c r="A216" s="14" t="s">
        <v>7383</v>
      </c>
    </row>
    <row r="217" spans="1:17">
      <c r="A217" s="14" t="s">
        <v>6030</v>
      </c>
      <c r="B217" s="14" t="s">
        <v>52</v>
      </c>
      <c r="C217" s="14" t="s">
        <v>202</v>
      </c>
      <c r="D217" s="19" t="s">
        <v>10453</v>
      </c>
      <c r="E217" s="15" t="str">
        <f>HYPERLINK("https://stat100.ameba.jp/tnk47/ratio20/illustrations/card/ill_80023_0_hinamatsurikyogokumaria03.jpg?202010-5-RELEASE-marathon-496xx", "■")</f>
        <v>■</v>
      </c>
      <c r="F217" s="14" t="s">
        <v>3709</v>
      </c>
      <c r="G217" s="14">
        <v>296478</v>
      </c>
      <c r="H217" s="14">
        <v>328064</v>
      </c>
      <c r="I217" s="14">
        <v>22</v>
      </c>
      <c r="J217" s="14" t="s">
        <v>26</v>
      </c>
      <c r="K217" s="14" t="s">
        <v>3710</v>
      </c>
      <c r="L217" s="14" t="s">
        <v>3711</v>
      </c>
      <c r="M217" s="14" t="s">
        <v>9158</v>
      </c>
      <c r="N217" s="14" t="s">
        <v>9158</v>
      </c>
      <c r="O217" s="19" t="s">
        <v>10116</v>
      </c>
      <c r="P217" s="14" t="s">
        <v>3713</v>
      </c>
      <c r="Q217" s="14">
        <v>1</v>
      </c>
    </row>
    <row r="218" spans="1:17">
      <c r="A218" s="14" t="s">
        <v>5618</v>
      </c>
      <c r="B218" s="14" t="s">
        <v>330</v>
      </c>
      <c r="C218" s="14" t="s">
        <v>200</v>
      </c>
      <c r="D218" s="20" t="s">
        <v>665</v>
      </c>
      <c r="E218" s="15" t="str">
        <f>HYPERLINK("https://stat100.ameba.jp/tnk47/ratio20/illustrations/card/ill_63173_0_minazukikonakaiteruko03.jpg?202010-5-RELEASE-marathon-496xx", "■")</f>
        <v>■</v>
      </c>
      <c r="F218" s="14" t="s">
        <v>666</v>
      </c>
      <c r="G218" s="14">
        <v>190952</v>
      </c>
      <c r="H218" s="14">
        <v>205358</v>
      </c>
      <c r="I218" s="14">
        <v>22</v>
      </c>
      <c r="J218" s="14" t="s">
        <v>310</v>
      </c>
      <c r="K218" s="14" t="s">
        <v>667</v>
      </c>
      <c r="L218" s="14" t="s">
        <v>668</v>
      </c>
      <c r="M218" s="14" t="s">
        <v>9158</v>
      </c>
      <c r="N218" s="14" t="s">
        <v>9158</v>
      </c>
      <c r="O218" s="19" t="s">
        <v>10079</v>
      </c>
      <c r="P218" s="14" t="s">
        <v>3329</v>
      </c>
      <c r="Q218" s="14">
        <v>1</v>
      </c>
    </row>
    <row r="219" spans="1:17">
      <c r="A219" s="9" t="s">
        <v>5616</v>
      </c>
      <c r="B219" s="14" t="s">
        <v>330</v>
      </c>
      <c r="C219" s="14" t="s">
        <v>185</v>
      </c>
      <c r="D219" s="14" t="s">
        <v>638</v>
      </c>
      <c r="E219" s="15" t="str">
        <f>HYPERLINK("https://stat100.ameba.jp/tnk47/ratio20/illustrations/card/ill_44253_0_dokuganryudatemasamune03.jpg?202010-5-RELEASE-marathon-496xx", "■")</f>
        <v>■</v>
      </c>
      <c r="F219" s="14" t="s">
        <v>639</v>
      </c>
      <c r="G219" s="14">
        <v>120576</v>
      </c>
      <c r="H219" s="14">
        <v>128744</v>
      </c>
      <c r="I219" s="14">
        <v>22</v>
      </c>
      <c r="J219" s="14" t="s">
        <v>310</v>
      </c>
      <c r="K219" s="14" t="s">
        <v>640</v>
      </c>
      <c r="L219" s="14" t="s">
        <v>641</v>
      </c>
      <c r="M219" s="14" t="s">
        <v>9158</v>
      </c>
      <c r="N219" s="14" t="s">
        <v>9158</v>
      </c>
      <c r="O219" s="14" t="s">
        <v>9158</v>
      </c>
      <c r="P219" s="14" t="s">
        <v>9158</v>
      </c>
      <c r="Q219" s="14" t="s">
        <v>9158</v>
      </c>
    </row>
    <row r="220" spans="1:17">
      <c r="A220" s="14">
        <v>89403</v>
      </c>
      <c r="B220" s="14" t="s">
        <v>0</v>
      </c>
      <c r="C220" s="14" t="s">
        <v>96</v>
      </c>
      <c r="D220" s="14" t="s">
        <v>12920</v>
      </c>
      <c r="E220" s="15" t="str">
        <f>HYPERLINK("https://stat100.ameba.jp/tnk47/ratio20/illustrations/card/ill_89403_minaraimajomokuren03.jpg?202010-5-RELEASE-marathon-496xx", "■")</f>
        <v>■</v>
      </c>
      <c r="F220" s="14" t="s">
        <v>12921</v>
      </c>
      <c r="G220" s="14">
        <v>88593</v>
      </c>
      <c r="H220" s="14">
        <v>157484</v>
      </c>
      <c r="I220" s="14">
        <v>27</v>
      </c>
      <c r="J220" s="14" t="s">
        <v>38</v>
      </c>
      <c r="K220" s="14" t="s">
        <v>12923</v>
      </c>
      <c r="L220" s="14" t="s">
        <v>12924</v>
      </c>
      <c r="M220" s="14" t="s">
        <v>9158</v>
      </c>
      <c r="N220" s="14" t="s">
        <v>9158</v>
      </c>
      <c r="O220" s="14" t="s">
        <v>9158</v>
      </c>
      <c r="P220" s="14" t="s">
        <v>9158</v>
      </c>
      <c r="Q220" s="14" t="s">
        <v>9158</v>
      </c>
    </row>
    <row r="221" spans="1:17">
      <c r="A221" s="9">
        <v>87983</v>
      </c>
      <c r="B221" s="14" t="s">
        <v>334</v>
      </c>
      <c r="C221" s="9" t="s">
        <v>185</v>
      </c>
      <c r="D221" s="9" t="s">
        <v>11920</v>
      </c>
      <c r="E221" s="15" t="str">
        <f>HYPERLINK("https://stat100.ameba.jp/tnk47/ratio20/illustrations/card/ill_87983_mafuiadonarorentsua03.jpg?202010-5-RELEASE-marathon-496xx", "■")</f>
        <v>■</v>
      </c>
      <c r="F221" s="9" t="s">
        <v>11918</v>
      </c>
      <c r="G221" s="9">
        <v>111523</v>
      </c>
      <c r="H221" s="9">
        <v>198226</v>
      </c>
      <c r="I221" s="9">
        <v>27</v>
      </c>
      <c r="J221" s="9" t="s">
        <v>173</v>
      </c>
      <c r="K221" s="9" t="s">
        <v>11922</v>
      </c>
      <c r="L221" s="9" t="s">
        <v>13248</v>
      </c>
      <c r="M221" s="14" t="s">
        <v>9158</v>
      </c>
      <c r="N221" s="14" t="s">
        <v>9158</v>
      </c>
      <c r="O221" s="14" t="s">
        <v>9158</v>
      </c>
      <c r="P221" s="14" t="s">
        <v>9158</v>
      </c>
      <c r="Q221" s="14" t="s">
        <v>9158</v>
      </c>
    </row>
    <row r="222" spans="1:17">
      <c r="A222" s="9">
        <v>65313</v>
      </c>
      <c r="B222" s="14" t="s">
        <v>334</v>
      </c>
      <c r="C222" s="14" t="s">
        <v>200</v>
      </c>
      <c r="D222" s="20" t="s">
        <v>3131</v>
      </c>
      <c r="E222" s="15" t="str">
        <f>HYPERLINK("https://stat100.ameba.jp/tnk47/ratio20/illustrations/card/ill_65313_viranzukasuganotsubone03.jpg?202010-5-RELEASE-marathon-496xx", "■")</f>
        <v>■</v>
      </c>
      <c r="F222" s="14" t="s">
        <v>3132</v>
      </c>
      <c r="G222" s="14">
        <v>101837</v>
      </c>
      <c r="H222" s="14">
        <v>109481</v>
      </c>
      <c r="I222" s="9">
        <v>27</v>
      </c>
      <c r="J222" s="14" t="s">
        <v>414</v>
      </c>
      <c r="K222" s="14" t="s">
        <v>3133</v>
      </c>
      <c r="L222" s="14" t="s">
        <v>3134</v>
      </c>
      <c r="M222" s="14" t="s">
        <v>9158</v>
      </c>
      <c r="N222" s="14" t="s">
        <v>9158</v>
      </c>
      <c r="O222" s="14" t="s">
        <v>9158</v>
      </c>
      <c r="P222" s="14" t="s">
        <v>9158</v>
      </c>
      <c r="Q222" s="14" t="s">
        <v>9158</v>
      </c>
    </row>
    <row r="224" spans="1:17">
      <c r="A224" s="14" t="s">
        <v>207</v>
      </c>
    </row>
    <row r="225" spans="1:17">
      <c r="A225" s="14" t="s">
        <v>7393</v>
      </c>
    </row>
    <row r="226" spans="1:17">
      <c r="A226" s="14" t="s">
        <v>5843</v>
      </c>
      <c r="B226" s="14" t="s">
        <v>52</v>
      </c>
      <c r="C226" s="14" t="s">
        <v>202</v>
      </c>
      <c r="D226" s="19" t="s">
        <v>10291</v>
      </c>
      <c r="E226" s="15" t="str">
        <f>HYPERLINK("https://stat100.ameba.jp/tnk47/ratio20/illustrations/card/ill_77963_0_kurisumasudaisakusentakiyashahime03.jpg?202010-5-RELEASE-marathon-496xx", "■")</f>
        <v>■</v>
      </c>
      <c r="F226" s="14" t="s">
        <v>2127</v>
      </c>
      <c r="G226" s="14">
        <v>294746</v>
      </c>
      <c r="H226" s="14">
        <v>266388</v>
      </c>
      <c r="I226" s="14">
        <v>24</v>
      </c>
      <c r="J226" s="14" t="s">
        <v>77</v>
      </c>
      <c r="K226" s="14" t="s">
        <v>2128</v>
      </c>
      <c r="L226" s="14" t="s">
        <v>2129</v>
      </c>
      <c r="M226" s="14" t="s">
        <v>9158</v>
      </c>
      <c r="N226" s="14" t="s">
        <v>9158</v>
      </c>
      <c r="O226" s="19" t="s">
        <v>10107</v>
      </c>
      <c r="P226" s="14" t="s">
        <v>3589</v>
      </c>
      <c r="Q226" s="14">
        <v>2</v>
      </c>
    </row>
    <row r="227" spans="1:17">
      <c r="A227" s="14" t="s">
        <v>5623</v>
      </c>
      <c r="B227" s="14" t="s">
        <v>330</v>
      </c>
      <c r="C227" s="14" t="s">
        <v>165</v>
      </c>
      <c r="D227" s="19" t="s">
        <v>3146</v>
      </c>
      <c r="E227" s="15" t="str">
        <f>HYPERLINK("https://stat100.ameba.jp/tnk47/ratio20/illustrations/card/ill_65713_0_undokaionikirimaru03.jpg?202010-5-RELEASE-marathon-496xx", "■")</f>
        <v>■</v>
      </c>
      <c r="F227" s="14" t="s">
        <v>535</v>
      </c>
      <c r="G227" s="14">
        <v>181640</v>
      </c>
      <c r="H227" s="14">
        <v>168874</v>
      </c>
      <c r="I227" s="14">
        <v>24</v>
      </c>
      <c r="J227" s="14" t="s">
        <v>320</v>
      </c>
      <c r="K227" s="14" t="s">
        <v>3147</v>
      </c>
      <c r="L227" s="14" t="s">
        <v>3148</v>
      </c>
      <c r="M227" s="14" t="s">
        <v>9158</v>
      </c>
      <c r="N227" s="14" t="s">
        <v>9158</v>
      </c>
      <c r="O227" s="19" t="s">
        <v>2869</v>
      </c>
      <c r="P227" s="14" t="s">
        <v>2870</v>
      </c>
      <c r="Q227" s="14">
        <v>1</v>
      </c>
    </row>
    <row r="228" spans="1:17">
      <c r="A228" s="14" t="s">
        <v>5897</v>
      </c>
      <c r="B228" s="14" t="s">
        <v>52</v>
      </c>
      <c r="C228" s="14" t="s">
        <v>23</v>
      </c>
      <c r="D228" s="19" t="s">
        <v>277</v>
      </c>
      <c r="E228" s="15" t="str">
        <f>HYPERLINK("https://stat100.ameba.jp/tnk47/ratio20/illustrations/card/ill_40913_0_reigyokudensetsufusehime03.jpg?202010-5-RELEASE-marathon-496xx", "■")</f>
        <v>■</v>
      </c>
      <c r="F228" s="14" t="s">
        <v>955</v>
      </c>
      <c r="G228" s="14">
        <v>131538</v>
      </c>
      <c r="H228" s="14">
        <v>140448</v>
      </c>
      <c r="I228" s="14">
        <v>24</v>
      </c>
      <c r="J228" s="14" t="s">
        <v>38</v>
      </c>
      <c r="K228" s="14" t="s">
        <v>956</v>
      </c>
      <c r="L228" s="14" t="s">
        <v>957</v>
      </c>
      <c r="M228" s="14" t="s">
        <v>9158</v>
      </c>
      <c r="N228" s="14" t="s">
        <v>9158</v>
      </c>
      <c r="O228" s="14" t="s">
        <v>9158</v>
      </c>
      <c r="P228" s="14" t="s">
        <v>9158</v>
      </c>
      <c r="Q228" s="14" t="s">
        <v>9158</v>
      </c>
    </row>
    <row r="229" spans="1:17">
      <c r="A229" s="14">
        <v>92593</v>
      </c>
      <c r="B229" s="14" t="s">
        <v>0</v>
      </c>
      <c r="C229" s="14" t="s">
        <v>1</v>
      </c>
      <c r="D229" s="14" t="s">
        <v>15130</v>
      </c>
      <c r="E229" s="15" t="str">
        <f>HYPERLINK("https://stat100.ameba.jp/tnk47/ratio20/illustrations/card/ill_92593_inugamigyobu03.jpg?202010-5-RELEASE-marathon-496xx", "■")</f>
        <v>■</v>
      </c>
      <c r="F229" s="14" t="s">
        <v>15129</v>
      </c>
      <c r="G229" s="14">
        <v>122786</v>
      </c>
      <c r="H229" s="14">
        <v>114176</v>
      </c>
      <c r="I229" s="7">
        <v>26</v>
      </c>
      <c r="J229" s="14" t="s">
        <v>73</v>
      </c>
      <c r="K229" s="14" t="s">
        <v>15127</v>
      </c>
      <c r="L229" s="14" t="s">
        <v>15126</v>
      </c>
      <c r="M229" s="14" t="s">
        <v>9158</v>
      </c>
      <c r="N229" s="14" t="s">
        <v>9158</v>
      </c>
      <c r="O229" s="14" t="s">
        <v>9158</v>
      </c>
      <c r="P229" s="14" t="s">
        <v>9158</v>
      </c>
      <c r="Q229" s="14" t="s">
        <v>9158</v>
      </c>
    </row>
    <row r="230" spans="1:17">
      <c r="A230" s="14">
        <v>92603</v>
      </c>
      <c r="B230" s="14" t="s">
        <v>15</v>
      </c>
      <c r="C230" s="14" t="s">
        <v>14</v>
      </c>
      <c r="D230" s="14" t="s">
        <v>15136</v>
      </c>
      <c r="E230" s="15" t="str">
        <f>HYPERLINK("https://stat100.ameba.jp/tnk47/ratio20/illustrations/card/ill_92603_hitomeborechan03.jpg?202010-5-RELEASE-marathon-496xx", "■")</f>
        <v>■</v>
      </c>
      <c r="F230" s="14" t="s">
        <v>15135</v>
      </c>
      <c r="G230" s="14">
        <v>69898</v>
      </c>
      <c r="H230" s="14">
        <v>77064</v>
      </c>
      <c r="I230" s="7">
        <v>26</v>
      </c>
      <c r="J230" s="14" t="s">
        <v>104</v>
      </c>
      <c r="K230" s="14" t="s">
        <v>15133</v>
      </c>
      <c r="L230" s="14" t="s">
        <v>1757</v>
      </c>
      <c r="M230" s="14" t="s">
        <v>9158</v>
      </c>
      <c r="N230" s="14" t="s">
        <v>9158</v>
      </c>
      <c r="O230" s="14" t="s">
        <v>9158</v>
      </c>
      <c r="P230" s="14" t="s">
        <v>9158</v>
      </c>
      <c r="Q230" s="14" t="s">
        <v>9158</v>
      </c>
    </row>
    <row r="231" spans="1:17">
      <c r="A231" s="14">
        <v>92613</v>
      </c>
      <c r="B231" s="14" t="s">
        <v>22</v>
      </c>
      <c r="C231" s="14" t="s">
        <v>96</v>
      </c>
      <c r="D231" s="14" t="s">
        <v>15141</v>
      </c>
      <c r="E231" s="15" t="str">
        <f>HYPERLINK("https://stat100.ameba.jp/tnk47/ratio20/illustrations/card/ill_92613_nippombarechan03.jpg?202010-5-RELEASE-marathon-496xx", "■")</f>
        <v>■</v>
      </c>
      <c r="F231" s="14" t="s">
        <v>15140</v>
      </c>
      <c r="G231" s="14">
        <v>54058</v>
      </c>
      <c r="H231" s="14">
        <v>44948</v>
      </c>
      <c r="I231" s="7">
        <v>26</v>
      </c>
      <c r="J231" s="14" t="s">
        <v>104</v>
      </c>
      <c r="K231" s="14" t="s">
        <v>15139</v>
      </c>
      <c r="L231" s="14" t="s">
        <v>2674</v>
      </c>
      <c r="M231" s="14" t="s">
        <v>9158</v>
      </c>
      <c r="N231" s="14" t="s">
        <v>9158</v>
      </c>
      <c r="O231" s="14" t="s">
        <v>9158</v>
      </c>
      <c r="P231" s="14" t="s">
        <v>9158</v>
      </c>
      <c r="Q231" s="14" t="s">
        <v>9158</v>
      </c>
    </row>
    <row r="232" spans="1:17">
      <c r="A232" s="14">
        <v>92623</v>
      </c>
      <c r="B232" s="14" t="s">
        <v>22</v>
      </c>
      <c r="C232" s="14" t="s">
        <v>101</v>
      </c>
      <c r="D232" s="14" t="s">
        <v>15146</v>
      </c>
      <c r="E232" s="15" t="str">
        <f>HYPERLINK("https://stat100.ameba.jp/tnk47/ratio20/illustrations/card/ill_92623_ginnanchan03.jpg?202010-5-RELEASE-marathon-496xx", "■")</f>
        <v>■</v>
      </c>
      <c r="F232" s="14" t="s">
        <v>15145</v>
      </c>
      <c r="G232" s="14">
        <v>44948</v>
      </c>
      <c r="H232" s="14">
        <v>54058</v>
      </c>
      <c r="I232" s="7">
        <v>26</v>
      </c>
      <c r="J232" s="14" t="s">
        <v>104</v>
      </c>
      <c r="K232" s="14" t="s">
        <v>15144</v>
      </c>
      <c r="L232" s="14" t="s">
        <v>3839</v>
      </c>
      <c r="M232" s="14" t="s">
        <v>9158</v>
      </c>
      <c r="N232" s="14" t="s">
        <v>9158</v>
      </c>
      <c r="O232" s="14" t="s">
        <v>9158</v>
      </c>
      <c r="P232" s="14" t="s">
        <v>9158</v>
      </c>
      <c r="Q232" s="14" t="s">
        <v>9158</v>
      </c>
    </row>
    <row r="234" spans="1:17">
      <c r="A234" s="14" t="s">
        <v>3916</v>
      </c>
    </row>
    <row r="235" spans="1:17">
      <c r="A235" s="14" t="s">
        <v>15178</v>
      </c>
    </row>
    <row r="236" spans="1:17">
      <c r="A236" s="14">
        <v>84733</v>
      </c>
      <c r="B236" s="14" t="s">
        <v>0</v>
      </c>
      <c r="C236" s="14" t="s">
        <v>154</v>
      </c>
      <c r="D236" s="19" t="s">
        <v>10677</v>
      </c>
      <c r="E236" s="15" t="str">
        <f>HYPERLINK("https://stat100.ameba.jp/tnk47/ratio20/illustrations/card/ill_84733_madadoru03.jpg?202010-5-RELEASE-marathon-496xx", "■")</f>
        <v>■</v>
      </c>
      <c r="F236" s="14" t="s">
        <v>7293</v>
      </c>
      <c r="G236" s="14">
        <v>116452</v>
      </c>
      <c r="H236" s="14">
        <v>108276</v>
      </c>
      <c r="I236" s="14">
        <v>27</v>
      </c>
      <c r="J236" s="14" t="s">
        <v>182</v>
      </c>
      <c r="K236" s="14" t="s">
        <v>7296</v>
      </c>
      <c r="L236" s="14" t="s">
        <v>7295</v>
      </c>
      <c r="M236" s="14" t="s">
        <v>9158</v>
      </c>
      <c r="N236" s="14" t="s">
        <v>9158</v>
      </c>
      <c r="O236" s="14" t="s">
        <v>9158</v>
      </c>
      <c r="P236" s="14" t="s">
        <v>9158</v>
      </c>
      <c r="Q236" s="14" t="s">
        <v>9158</v>
      </c>
    </row>
    <row r="237" spans="1:17">
      <c r="A237" s="14">
        <v>84743</v>
      </c>
      <c r="B237" s="14" t="s">
        <v>0</v>
      </c>
      <c r="C237" s="14" t="s">
        <v>158</v>
      </c>
      <c r="D237" s="19" t="s">
        <v>10678</v>
      </c>
      <c r="E237" s="15" t="str">
        <f>HYPERLINK("https://stat100.ameba.jp/tnk47/ratio20/illustrations/card/ill_84743_rinnenonyumpe03.jpg?202010-5-RELEASE-marathon-496xx", "■")</f>
        <v>■</v>
      </c>
      <c r="F237" s="14" t="s">
        <v>7294</v>
      </c>
      <c r="G237" s="14">
        <v>116452</v>
      </c>
      <c r="H237" s="14">
        <v>108276</v>
      </c>
      <c r="I237" s="14">
        <v>27</v>
      </c>
      <c r="J237" s="14" t="s">
        <v>169</v>
      </c>
      <c r="K237" s="14" t="s">
        <v>7297</v>
      </c>
      <c r="L237" s="14" t="s">
        <v>7298</v>
      </c>
      <c r="M237" s="14" t="s">
        <v>9158</v>
      </c>
      <c r="N237" s="14" t="s">
        <v>9158</v>
      </c>
      <c r="O237" s="14" t="s">
        <v>9158</v>
      </c>
      <c r="P237" s="14" t="s">
        <v>9158</v>
      </c>
      <c r="Q237" s="14" t="s">
        <v>9158</v>
      </c>
    </row>
    <row r="238" spans="1:17">
      <c r="A238" s="14">
        <v>69883</v>
      </c>
      <c r="B238" s="14" t="s">
        <v>334</v>
      </c>
      <c r="C238" s="14" t="s">
        <v>185</v>
      </c>
      <c r="D238" s="19" t="s">
        <v>10293</v>
      </c>
      <c r="E238" s="15" t="str">
        <f>HYPERLINK("https://stat100.ameba.jp/tnk47/ratio20/illustrations/card/ill_69883_kyupiddotominushihime03.jpg?202010-5-RELEASE-marathon-496xx", "■")</f>
        <v>■</v>
      </c>
      <c r="F238" s="14" t="s">
        <v>4142</v>
      </c>
      <c r="G238" s="14">
        <v>102386</v>
      </c>
      <c r="H238" s="14">
        <v>110129</v>
      </c>
      <c r="I238" s="14">
        <v>27</v>
      </c>
      <c r="J238" s="14" t="s">
        <v>169</v>
      </c>
      <c r="K238" s="14" t="s">
        <v>4143</v>
      </c>
      <c r="L238" s="14" t="s">
        <v>13190</v>
      </c>
      <c r="M238" s="14" t="s">
        <v>9158</v>
      </c>
      <c r="N238" s="14" t="s">
        <v>9158</v>
      </c>
      <c r="O238" s="14" t="s">
        <v>9158</v>
      </c>
      <c r="P238" s="14" t="s">
        <v>9158</v>
      </c>
      <c r="Q238" s="14" t="s">
        <v>9158</v>
      </c>
    </row>
    <row r="239" spans="1:17">
      <c r="A239" s="9">
        <v>67243</v>
      </c>
      <c r="B239" s="14" t="s">
        <v>334</v>
      </c>
      <c r="C239" s="9" t="s">
        <v>205</v>
      </c>
      <c r="D239" s="20" t="s">
        <v>10199</v>
      </c>
      <c r="E239" s="15" t="str">
        <f>HYPERLINK("https://stat100.ameba.jp/tnk47/ratio20/illustrations/card/ill_67243_onsenyadomoryo03.jpg?202010-5-RELEASE-marathon-496xx", "■")</f>
        <v>■</v>
      </c>
      <c r="F239" s="9" t="s">
        <v>3638</v>
      </c>
      <c r="G239" s="9">
        <v>104619</v>
      </c>
      <c r="H239" s="9">
        <v>112496</v>
      </c>
      <c r="I239" s="14">
        <v>27</v>
      </c>
      <c r="J239" s="9" t="s">
        <v>182</v>
      </c>
      <c r="K239" s="9" t="s">
        <v>3639</v>
      </c>
      <c r="L239" s="9" t="s">
        <v>3640</v>
      </c>
      <c r="M239" s="14" t="s">
        <v>9158</v>
      </c>
      <c r="N239" s="14" t="s">
        <v>9158</v>
      </c>
      <c r="O239" s="14" t="s">
        <v>9158</v>
      </c>
      <c r="P239" s="14" t="s">
        <v>9158</v>
      </c>
      <c r="Q239" s="14" t="s">
        <v>9158</v>
      </c>
    </row>
    <row r="240" spans="1:17">
      <c r="A240" s="14">
        <v>52973</v>
      </c>
      <c r="B240" s="14" t="s">
        <v>15</v>
      </c>
      <c r="C240" s="14" t="s">
        <v>206</v>
      </c>
      <c r="D240" s="19" t="s">
        <v>10519</v>
      </c>
      <c r="E240" s="15" t="str">
        <f>HYPERLINK("https://stat100.ameba.jp/tnk47/ratio20/illustrations/card/ill_52973_torampuamoronagu03.jpg?202010-5-RELEASE-marathon-496xx", "■")</f>
        <v>■</v>
      </c>
      <c r="F240" s="14" t="s">
        <v>6421</v>
      </c>
      <c r="G240" s="14">
        <v>65208</v>
      </c>
      <c r="H240" s="14">
        <v>59144</v>
      </c>
      <c r="I240" s="14">
        <v>22</v>
      </c>
      <c r="J240" s="14" t="s">
        <v>44</v>
      </c>
      <c r="K240" s="14" t="s">
        <v>6419</v>
      </c>
      <c r="L240" s="14" t="s">
        <v>6418</v>
      </c>
      <c r="M240" s="14" t="s">
        <v>9158</v>
      </c>
      <c r="N240" s="14" t="s">
        <v>9158</v>
      </c>
      <c r="O240" s="14" t="s">
        <v>9158</v>
      </c>
      <c r="P240" s="14" t="s">
        <v>9158</v>
      </c>
      <c r="Q240" s="14" t="s">
        <v>9158</v>
      </c>
    </row>
    <row r="241" spans="1:18">
      <c r="A241" s="14">
        <v>52333</v>
      </c>
      <c r="B241" s="14" t="s">
        <v>15</v>
      </c>
      <c r="C241" s="14" t="s">
        <v>200</v>
      </c>
      <c r="D241" s="19" t="s">
        <v>10537</v>
      </c>
      <c r="E241" s="15" t="str">
        <f>HYPERLINK("https://stat100.ameba.jp/tnk47/ratio20/illustrations/card/ill_52333_chichibuyomatsuri03.jpg?202010-5-RELEASE-marathon-496xx", "■")</f>
        <v>■</v>
      </c>
      <c r="F241" s="14" t="s">
        <v>3614</v>
      </c>
      <c r="G241" s="14">
        <v>65208</v>
      </c>
      <c r="H241" s="14">
        <v>59144</v>
      </c>
      <c r="I241" s="14">
        <v>22</v>
      </c>
      <c r="J241" s="14" t="s">
        <v>38</v>
      </c>
      <c r="K241" s="14" t="s">
        <v>3615</v>
      </c>
      <c r="L241" s="14" t="s">
        <v>3616</v>
      </c>
      <c r="M241" s="14" t="s">
        <v>9158</v>
      </c>
      <c r="N241" s="14" t="s">
        <v>9158</v>
      </c>
      <c r="O241" s="14" t="s">
        <v>9158</v>
      </c>
      <c r="P241" s="14" t="s">
        <v>9158</v>
      </c>
      <c r="Q241" s="14" t="s">
        <v>9158</v>
      </c>
    </row>
    <row r="242" spans="1:18">
      <c r="A242" s="14">
        <v>51913</v>
      </c>
      <c r="B242" s="14" t="s">
        <v>15</v>
      </c>
      <c r="C242" s="14" t="s">
        <v>191</v>
      </c>
      <c r="D242" s="19" t="s">
        <v>10538</v>
      </c>
      <c r="E242" s="15" t="str">
        <f>HYPERLINK("https://stat100.ameba.jp/tnk47/ratio20/illustrations/card/ill_51913_kemonomizugihamahime03.jpg?202010-5-RELEASE-marathon-496xx", "■")</f>
        <v>■</v>
      </c>
      <c r="F242" s="14" t="s">
        <v>6501</v>
      </c>
      <c r="G242" s="14">
        <v>59144</v>
      </c>
      <c r="H242" s="14">
        <v>65208</v>
      </c>
      <c r="I242" s="14">
        <v>22</v>
      </c>
      <c r="J242" s="14" t="s">
        <v>182</v>
      </c>
      <c r="K242" s="14" t="s">
        <v>6500</v>
      </c>
      <c r="L242" s="14" t="s">
        <v>6499</v>
      </c>
      <c r="M242" s="14" t="s">
        <v>9158</v>
      </c>
      <c r="N242" s="14" t="s">
        <v>9158</v>
      </c>
      <c r="O242" s="14" t="s">
        <v>9158</v>
      </c>
      <c r="P242" s="14" t="s">
        <v>9158</v>
      </c>
      <c r="Q242" s="14" t="s">
        <v>9158</v>
      </c>
    </row>
    <row r="243" spans="1:18">
      <c r="A243" s="14">
        <v>53203</v>
      </c>
      <c r="B243" s="14" t="s">
        <v>15</v>
      </c>
      <c r="C243" s="14" t="s">
        <v>165</v>
      </c>
      <c r="D243" s="20" t="s">
        <v>10494</v>
      </c>
      <c r="E243" s="15" t="str">
        <f>HYPERLINK("https://stat100.ameba.jp/tnk47/ratio20/illustrations/card/ill_53203_buruhawaichan03.jpg?202010-5-RELEASE-marathon-496xx", "■")</f>
        <v>■</v>
      </c>
      <c r="F243" s="14" t="s">
        <v>6258</v>
      </c>
      <c r="G243" s="14">
        <v>59144</v>
      </c>
      <c r="H243" s="14">
        <v>65208</v>
      </c>
      <c r="I243" s="14">
        <v>22</v>
      </c>
      <c r="J243" s="14" t="s">
        <v>104</v>
      </c>
      <c r="K243" s="14" t="s">
        <v>6261</v>
      </c>
      <c r="L243" s="14" t="s">
        <v>6260</v>
      </c>
      <c r="M243" s="14" t="s">
        <v>9158</v>
      </c>
      <c r="N243" s="14" t="s">
        <v>9158</v>
      </c>
      <c r="O243" s="14" t="s">
        <v>9158</v>
      </c>
      <c r="P243" s="14" t="s">
        <v>9158</v>
      </c>
      <c r="Q243" s="14" t="s">
        <v>9158</v>
      </c>
    </row>
    <row r="245" spans="1:18">
      <c r="A245" s="14" t="s">
        <v>15179</v>
      </c>
    </row>
    <row r="246" spans="1:18">
      <c r="A246" s="14" t="s">
        <v>15180</v>
      </c>
    </row>
    <row r="247" spans="1:18">
      <c r="A247" s="14" t="s">
        <v>5733</v>
      </c>
      <c r="B247" s="14" t="s">
        <v>330</v>
      </c>
      <c r="C247" s="14" t="s">
        <v>202</v>
      </c>
      <c r="D247" s="19" t="s">
        <v>2744</v>
      </c>
      <c r="E247" s="15" t="str">
        <f>HYPERLINK("https://stat100.ameba.jp/tnk47/ratio20/illustrations/card/ill_78693_0_kyupittokoinomikoto03.jpg?202010-5-RELEASE-marathon-496xx", "■")</f>
        <v>■</v>
      </c>
      <c r="F247" s="14" t="s">
        <v>2745</v>
      </c>
      <c r="G247" s="14">
        <v>261996</v>
      </c>
      <c r="H247" s="14">
        <v>289889</v>
      </c>
      <c r="I247" s="14">
        <v>25</v>
      </c>
      <c r="J247" s="14" t="s">
        <v>274</v>
      </c>
      <c r="K247" s="14" t="s">
        <v>2746</v>
      </c>
      <c r="L247" s="14" t="s">
        <v>2747</v>
      </c>
      <c r="M247" s="14" t="s">
        <v>9158</v>
      </c>
      <c r="N247" s="14" t="s">
        <v>9158</v>
      </c>
      <c r="O247" s="19" t="s">
        <v>10097</v>
      </c>
      <c r="P247" s="14" t="s">
        <v>2748</v>
      </c>
      <c r="Q247" s="14">
        <v>1</v>
      </c>
    </row>
    <row r="248" spans="1:18">
      <c r="A248" s="14">
        <v>77663</v>
      </c>
      <c r="B248" s="14" t="s">
        <v>334</v>
      </c>
      <c r="C248" s="14" t="s">
        <v>202</v>
      </c>
      <c r="D248" s="19" t="s">
        <v>10614</v>
      </c>
      <c r="E248" s="15" t="str">
        <f>HYPERLINK("https://stat100.ameba.jp/tnk47/ratio20/illustrations/card/ill_77663_deipuburu03.jpg?202010-5-RELEASE-marathon-496xx", "■")</f>
        <v>■</v>
      </c>
      <c r="F248" s="14" t="s">
        <v>1573</v>
      </c>
      <c r="G248" s="14">
        <v>78916</v>
      </c>
      <c r="H248" s="14">
        <v>108924</v>
      </c>
      <c r="I248" s="14">
        <v>24</v>
      </c>
      <c r="J248" s="14" t="s">
        <v>414</v>
      </c>
      <c r="K248" s="14" t="s">
        <v>1574</v>
      </c>
      <c r="L248" s="14" t="s">
        <v>1575</v>
      </c>
      <c r="M248" s="14" t="s">
        <v>9158</v>
      </c>
      <c r="N248" s="14" t="s">
        <v>9158</v>
      </c>
      <c r="O248" s="19" t="s">
        <v>10117</v>
      </c>
      <c r="P248" s="14" t="s">
        <v>3625</v>
      </c>
      <c r="Q248" s="14">
        <v>1</v>
      </c>
    </row>
    <row r="249" spans="1:18">
      <c r="A249" s="14">
        <v>77683</v>
      </c>
      <c r="B249" s="14" t="s">
        <v>334</v>
      </c>
      <c r="C249" s="14" t="s">
        <v>203</v>
      </c>
      <c r="D249" s="14" t="s">
        <v>3702</v>
      </c>
      <c r="E249" s="15" t="str">
        <f>HYPERLINK("https://stat100.ameba.jp/tnk47/ratio20/illustrations/card/ill_77683_shukusainoujohoride03.jpg?202010-5-RELEASE-marathon-496xx", "■")</f>
        <v>■</v>
      </c>
      <c r="F249" s="14" t="s">
        <v>1430</v>
      </c>
      <c r="G249" s="14">
        <v>104890</v>
      </c>
      <c r="H249" s="14">
        <v>75984</v>
      </c>
      <c r="I249" s="14">
        <v>24</v>
      </c>
      <c r="J249" s="14" t="s">
        <v>315</v>
      </c>
      <c r="K249" s="14" t="s">
        <v>1431</v>
      </c>
      <c r="L249" s="14" t="s">
        <v>1432</v>
      </c>
      <c r="M249" s="14" t="s">
        <v>9158</v>
      </c>
      <c r="N249" s="14" t="s">
        <v>9158</v>
      </c>
      <c r="O249" s="17" t="s">
        <v>10057</v>
      </c>
      <c r="P249" s="14" t="s">
        <v>3460</v>
      </c>
      <c r="Q249" s="14">
        <v>1</v>
      </c>
    </row>
    <row r="250" spans="1:18">
      <c r="A250" s="9">
        <v>67953</v>
      </c>
      <c r="B250" s="14" t="s">
        <v>334</v>
      </c>
      <c r="C250" s="14" t="s">
        <v>209</v>
      </c>
      <c r="D250" s="14" t="s">
        <v>2486</v>
      </c>
      <c r="E250" s="15" t="str">
        <f>HYPERLINK("https://stat100.ameba.jp/tnk47/ratio20/illustrations/card/ill_67953_kutaniyaki03.jpg?202010-5-RELEASE-marathon-496xx", "■")</f>
        <v>■</v>
      </c>
      <c r="F250" s="14" t="s">
        <v>2487</v>
      </c>
      <c r="G250" s="14">
        <v>78916</v>
      </c>
      <c r="H250" s="14">
        <v>108924</v>
      </c>
      <c r="I250" s="14">
        <v>24</v>
      </c>
      <c r="J250" s="14" t="s">
        <v>26</v>
      </c>
      <c r="K250" s="14" t="s">
        <v>2488</v>
      </c>
      <c r="L250" s="14" t="s">
        <v>2489</v>
      </c>
      <c r="M250" s="14" t="s">
        <v>9158</v>
      </c>
      <c r="N250" s="14" t="s">
        <v>9158</v>
      </c>
      <c r="O250" s="17" t="s">
        <v>10053</v>
      </c>
      <c r="P250" s="14" t="s">
        <v>3592</v>
      </c>
      <c r="Q250" s="14">
        <v>1</v>
      </c>
    </row>
    <row r="252" spans="1:18">
      <c r="A252" s="14" t="s">
        <v>13327</v>
      </c>
    </row>
    <row r="253" spans="1:18">
      <c r="A253" s="14" t="s">
        <v>7414</v>
      </c>
    </row>
    <row r="254" spans="1:18">
      <c r="A254" s="14">
        <v>83973</v>
      </c>
      <c r="B254" s="14" t="s">
        <v>334</v>
      </c>
      <c r="C254" s="14" t="s">
        <v>14</v>
      </c>
      <c r="D254" s="19" t="s">
        <v>10570</v>
      </c>
      <c r="E254" s="15" t="str">
        <f>HYPERLINK("https://stat100.ameba.jp/tnk47/ratio20/illustrations/card/ill_83973_nekokishiirurosu03.jpg?202010-5-RELEASE-marathon-496xx", "■")</f>
        <v>■</v>
      </c>
      <c r="F254" s="14" t="s">
        <v>6706</v>
      </c>
      <c r="G254" s="14">
        <v>137846</v>
      </c>
      <c r="H254" s="14">
        <v>128160</v>
      </c>
      <c r="I254" s="14">
        <v>28</v>
      </c>
      <c r="J254" s="14" t="s">
        <v>229</v>
      </c>
      <c r="K254" s="14" t="s">
        <v>6707</v>
      </c>
      <c r="L254" s="14" t="s">
        <v>13202</v>
      </c>
      <c r="M254" s="14" t="s">
        <v>13130</v>
      </c>
      <c r="N254" s="14" t="s">
        <v>343</v>
      </c>
      <c r="O254" s="14" t="s">
        <v>9158</v>
      </c>
      <c r="P254" s="14" t="s">
        <v>9158</v>
      </c>
      <c r="Q254" s="14" t="s">
        <v>9158</v>
      </c>
      <c r="R254" s="14" t="s">
        <v>14748</v>
      </c>
    </row>
    <row r="255" spans="1:18">
      <c r="A255" s="14">
        <v>83972</v>
      </c>
      <c r="B255" s="14" t="s">
        <v>334</v>
      </c>
      <c r="C255" s="14" t="s">
        <v>14</v>
      </c>
      <c r="D255" s="19" t="s">
        <v>10570</v>
      </c>
      <c r="E255" s="15" t="str">
        <f>HYPERLINK("https://stat100.ameba.jp/tnk47/ratio20/illustrations/card/ill_83972_nekokishiirurosu02.jpg?202010-5-RELEASE-marathon-496xx", "■")</f>
        <v>■</v>
      </c>
      <c r="F255" s="14" t="s">
        <v>6706</v>
      </c>
      <c r="G255" s="14">
        <v>115230</v>
      </c>
      <c r="H255" s="14">
        <v>106148</v>
      </c>
      <c r="I255" s="14">
        <v>28</v>
      </c>
      <c r="J255" s="14" t="s">
        <v>229</v>
      </c>
      <c r="K255" s="14" t="s">
        <v>6707</v>
      </c>
      <c r="L255" s="14" t="s">
        <v>13201</v>
      </c>
      <c r="M255" s="14" t="s">
        <v>13131</v>
      </c>
      <c r="N255" s="14" t="s">
        <v>251</v>
      </c>
      <c r="O255" s="14" t="s">
        <v>9158</v>
      </c>
      <c r="P255" s="14" t="s">
        <v>9158</v>
      </c>
      <c r="Q255" s="14" t="s">
        <v>9158</v>
      </c>
      <c r="R255" s="14" t="s">
        <v>14748</v>
      </c>
    </row>
    <row r="256" spans="1:18">
      <c r="A256" s="14">
        <v>83971</v>
      </c>
      <c r="B256" s="14" t="s">
        <v>0</v>
      </c>
      <c r="C256" s="14" t="s">
        <v>14</v>
      </c>
      <c r="D256" s="19" t="s">
        <v>10570</v>
      </c>
      <c r="E256" s="15" t="str">
        <f>HYPERLINK("https://stat100.ameba.jp/tnk47/ratio20/illustrations/card/ill_83971_nekokishiirurosu01.jpg?202010-5-RELEASE-marathon-496xx", "■")</f>
        <v>■</v>
      </c>
      <c r="F256" s="14" t="s">
        <v>6706</v>
      </c>
      <c r="G256" s="14">
        <v>87976</v>
      </c>
      <c r="H256" s="14">
        <v>81900</v>
      </c>
      <c r="I256" s="14">
        <v>28</v>
      </c>
      <c r="J256" s="14" t="s">
        <v>229</v>
      </c>
      <c r="K256" s="14" t="s">
        <v>6707</v>
      </c>
      <c r="L256" s="14" t="s">
        <v>13201</v>
      </c>
      <c r="M256" s="14" t="s">
        <v>13131</v>
      </c>
      <c r="N256" s="14" t="s">
        <v>251</v>
      </c>
      <c r="O256" s="14" t="s">
        <v>9158</v>
      </c>
      <c r="P256" s="14" t="s">
        <v>9158</v>
      </c>
      <c r="Q256" s="14" t="s">
        <v>9158</v>
      </c>
      <c r="R256" s="14" t="s">
        <v>14748</v>
      </c>
    </row>
    <row r="257" spans="1:18">
      <c r="A257" s="14">
        <v>83983</v>
      </c>
      <c r="B257" s="14" t="s">
        <v>334</v>
      </c>
      <c r="C257" s="14" t="s">
        <v>23</v>
      </c>
      <c r="D257" s="19" t="s">
        <v>10571</v>
      </c>
      <c r="E257" s="15" t="str">
        <f>HYPERLINK("https://stat100.ameba.jp/tnk47/ratio20/illustrations/card/ill_83983_ryujinsui03.jpg?202010-5-RELEASE-marathon-496xx", "■")</f>
        <v>■</v>
      </c>
      <c r="F257" s="14" t="s">
        <v>6708</v>
      </c>
      <c r="G257" s="14">
        <v>128160</v>
      </c>
      <c r="H257" s="14">
        <v>137846</v>
      </c>
      <c r="I257" s="14">
        <v>28</v>
      </c>
      <c r="J257" s="14" t="s">
        <v>169</v>
      </c>
      <c r="K257" s="14" t="s">
        <v>6710</v>
      </c>
      <c r="L257" s="14" t="s">
        <v>6721</v>
      </c>
      <c r="M257" s="14" t="s">
        <v>13130</v>
      </c>
      <c r="N257" s="14" t="s">
        <v>343</v>
      </c>
      <c r="O257" s="14" t="s">
        <v>9158</v>
      </c>
      <c r="P257" s="14" t="s">
        <v>9158</v>
      </c>
      <c r="Q257" s="14" t="s">
        <v>9158</v>
      </c>
      <c r="R257" s="14" t="s">
        <v>14748</v>
      </c>
    </row>
    <row r="258" spans="1:18">
      <c r="A258" s="14">
        <v>83993</v>
      </c>
      <c r="B258" s="14" t="s">
        <v>334</v>
      </c>
      <c r="C258" s="14" t="s">
        <v>101</v>
      </c>
      <c r="D258" s="19" t="s">
        <v>10572</v>
      </c>
      <c r="E258" s="15" t="str">
        <f>HYPERLINK("https://stat100.ameba.jp/tnk47/ratio20/illustrations/card/ill_83993_enjieruzuranotamagochan03.jpg?202010-5-RELEASE-marathon-496xx", "■")</f>
        <v>■</v>
      </c>
      <c r="F258" s="14" t="s">
        <v>6722</v>
      </c>
      <c r="G258" s="14">
        <v>128160</v>
      </c>
      <c r="H258" s="14">
        <v>137846</v>
      </c>
      <c r="I258" s="14">
        <v>28</v>
      </c>
      <c r="J258" s="14" t="s">
        <v>216</v>
      </c>
      <c r="K258" s="14" t="s">
        <v>6723</v>
      </c>
      <c r="L258" s="14" t="s">
        <v>6724</v>
      </c>
      <c r="M258" s="14" t="s">
        <v>13130</v>
      </c>
      <c r="N258" s="14" t="s">
        <v>343</v>
      </c>
      <c r="O258" s="14" t="s">
        <v>9158</v>
      </c>
      <c r="P258" s="14" t="s">
        <v>9158</v>
      </c>
      <c r="Q258" s="14" t="s">
        <v>9158</v>
      </c>
      <c r="R258" s="14" t="s">
        <v>14748</v>
      </c>
    </row>
    <row r="259" spans="1:18">
      <c r="A259" s="14">
        <v>84003</v>
      </c>
      <c r="B259" s="14" t="s">
        <v>0</v>
      </c>
      <c r="C259" s="14" t="s">
        <v>96</v>
      </c>
      <c r="D259" s="19" t="s">
        <v>10573</v>
      </c>
      <c r="E259" s="15" t="str">
        <f>HYPERLINK("https://stat100.ameba.jp/tnk47/ratio20/illustrations/card/ill_84003_sukoropendora03.jpg?202010-5-RELEASE-marathon-496xx", "■")</f>
        <v>■</v>
      </c>
      <c r="F259" s="14" t="s">
        <v>6725</v>
      </c>
      <c r="G259" s="14">
        <v>137846</v>
      </c>
      <c r="H259" s="14">
        <v>128160</v>
      </c>
      <c r="I259" s="14">
        <v>28</v>
      </c>
      <c r="J259" s="14" t="s">
        <v>182</v>
      </c>
      <c r="K259" s="14" t="s">
        <v>6727</v>
      </c>
      <c r="L259" s="14" t="s">
        <v>6728</v>
      </c>
      <c r="M259" s="14" t="s">
        <v>13130</v>
      </c>
      <c r="N259" s="14" t="s">
        <v>343</v>
      </c>
      <c r="O259" s="14" t="s">
        <v>9158</v>
      </c>
      <c r="P259" s="14" t="s">
        <v>9158</v>
      </c>
      <c r="Q259" s="14" t="s">
        <v>9158</v>
      </c>
      <c r="R259" s="14" t="s">
        <v>14748</v>
      </c>
    </row>
    <row r="260" spans="1:18">
      <c r="A260" s="14">
        <v>84013</v>
      </c>
      <c r="B260" s="14" t="s">
        <v>334</v>
      </c>
      <c r="C260" s="14" t="s">
        <v>205</v>
      </c>
      <c r="D260" s="19" t="s">
        <v>10574</v>
      </c>
      <c r="E260" s="15" t="str">
        <f>HYPERLINK("https://stat100.ameba.jp/tnk47/ratio20/illustrations/card/ill_84013_neikiddo03.jpg?202010-5-RELEASE-marathon-496xx", "■")</f>
        <v>■</v>
      </c>
      <c r="F260" s="14" t="s">
        <v>6729</v>
      </c>
      <c r="G260" s="14">
        <v>128160</v>
      </c>
      <c r="H260" s="14">
        <v>137846</v>
      </c>
      <c r="I260" s="14">
        <v>28</v>
      </c>
      <c r="J260" s="14" t="s">
        <v>194</v>
      </c>
      <c r="K260" s="14" t="s">
        <v>6731</v>
      </c>
      <c r="L260" s="14" t="s">
        <v>6732</v>
      </c>
      <c r="M260" s="14" t="s">
        <v>13130</v>
      </c>
      <c r="N260" s="14" t="s">
        <v>343</v>
      </c>
      <c r="O260" s="14" t="s">
        <v>9158</v>
      </c>
      <c r="P260" s="14" t="s">
        <v>9158</v>
      </c>
      <c r="Q260" s="14" t="s">
        <v>9158</v>
      </c>
      <c r="R260" s="14" t="s">
        <v>14748</v>
      </c>
    </row>
    <row r="261" spans="1:18">
      <c r="A261" s="14">
        <v>76763</v>
      </c>
      <c r="B261" s="14" t="s">
        <v>334</v>
      </c>
      <c r="C261" s="14" t="s">
        <v>107</v>
      </c>
      <c r="D261" s="19" t="s">
        <v>10575</v>
      </c>
      <c r="E261" s="15" t="str">
        <f>HYPERLINK("https://stat100.ameba.jp/tnk47/ratio20/illustrations/card/ill_76763_monsutanabeshimakeiginni03.jpg?202010-5-RELEASE-marathon-496xx", "■")</f>
        <v>■</v>
      </c>
      <c r="F261" s="14" t="s">
        <v>6733</v>
      </c>
      <c r="G261" s="14">
        <v>137846</v>
      </c>
      <c r="H261" s="14">
        <v>128160</v>
      </c>
      <c r="I261" s="14">
        <v>28</v>
      </c>
      <c r="J261" s="14" t="s">
        <v>187</v>
      </c>
      <c r="K261" s="14" t="s">
        <v>6735</v>
      </c>
      <c r="L261" s="14" t="s">
        <v>6736</v>
      </c>
      <c r="M261" s="14" t="s">
        <v>13130</v>
      </c>
      <c r="N261" s="14" t="s">
        <v>343</v>
      </c>
      <c r="O261" s="14" t="s">
        <v>9158</v>
      </c>
      <c r="P261" s="14" t="s">
        <v>9158</v>
      </c>
      <c r="Q261" s="14" t="s">
        <v>9158</v>
      </c>
      <c r="R261" s="14" t="s">
        <v>14748</v>
      </c>
    </row>
    <row r="263" spans="1:18">
      <c r="A263" s="14" t="s">
        <v>15181</v>
      </c>
    </row>
    <row r="264" spans="1:18">
      <c r="A264" s="14" t="s">
        <v>15182</v>
      </c>
    </row>
    <row r="265" spans="1:18">
      <c r="A265" s="14" t="s">
        <v>15183</v>
      </c>
    </row>
    <row r="266" spans="1:18">
      <c r="A266" s="14" t="s">
        <v>14997</v>
      </c>
      <c r="B266" s="7" t="s">
        <v>52</v>
      </c>
      <c r="C266" s="14" t="s">
        <v>202</v>
      </c>
      <c r="D266" s="18" t="s">
        <v>14996</v>
      </c>
      <c r="E266" s="15" t="str">
        <f>HYPERLINK("https://stat100.ameba.jp/tnk47/ratio20/illustrations/card/ill_92403_0_haroimmochizukichiyome03.jpg?202010-5-RELEASE-marathon-496xx", "■")</f>
        <v>■</v>
      </c>
      <c r="F266" s="14" t="s">
        <v>15003</v>
      </c>
      <c r="G266" s="14">
        <v>339272</v>
      </c>
      <c r="H266" s="14">
        <v>277564</v>
      </c>
      <c r="I266" s="7">
        <v>28</v>
      </c>
      <c r="J266" s="14" t="s">
        <v>16</v>
      </c>
      <c r="K266" s="14" t="s">
        <v>15001</v>
      </c>
      <c r="L266" s="14" t="s">
        <v>15000</v>
      </c>
      <c r="M266" s="14" t="s">
        <v>9158</v>
      </c>
      <c r="N266" s="14" t="s">
        <v>9158</v>
      </c>
      <c r="O266" s="6" t="s">
        <v>14998</v>
      </c>
      <c r="P266" s="7" t="s">
        <v>14999</v>
      </c>
      <c r="Q266" s="7">
        <v>1</v>
      </c>
    </row>
    <row r="267" spans="1:18">
      <c r="A267" s="14">
        <v>92643</v>
      </c>
      <c r="B267" s="14" t="s">
        <v>0</v>
      </c>
      <c r="C267" s="14" t="s">
        <v>15189</v>
      </c>
      <c r="D267" s="14" t="s">
        <v>15188</v>
      </c>
      <c r="E267" s="15" t="str">
        <f>HYPERLINK("https://stat100.ameba.jp/tnk47/ratio20/illustrations/card/ill_92643_seireinotomopurobe03.jpg?202010-5-RELEASE-marathon-496xx", "■")</f>
        <v>■</v>
      </c>
      <c r="F267" s="14" t="s">
        <v>15187</v>
      </c>
      <c r="G267" s="14">
        <v>113536</v>
      </c>
      <c r="H267" s="14">
        <v>105610</v>
      </c>
      <c r="I267" s="7">
        <v>28</v>
      </c>
      <c r="J267" s="14" t="s">
        <v>15186</v>
      </c>
      <c r="K267" s="14" t="s">
        <v>15185</v>
      </c>
      <c r="L267" s="14" t="s">
        <v>15184</v>
      </c>
      <c r="M267" s="14" t="s">
        <v>9158</v>
      </c>
      <c r="N267" s="14" t="s">
        <v>9158</v>
      </c>
      <c r="O267" s="14" t="s">
        <v>9158</v>
      </c>
      <c r="P267" s="14" t="s">
        <v>9158</v>
      </c>
      <c r="Q267" s="14" t="s">
        <v>9158</v>
      </c>
    </row>
    <row r="268" spans="1:18">
      <c r="A268" s="14">
        <v>93513</v>
      </c>
      <c r="B268" s="14" t="s">
        <v>0</v>
      </c>
      <c r="C268" s="14" t="s">
        <v>15195</v>
      </c>
      <c r="D268" s="14" t="s">
        <v>15194</v>
      </c>
      <c r="E268" s="15" t="str">
        <f>HYPERLINK("https://stat100.ameba.jp/tnk47/ratio20/illustrations/card/ill_93513_kiiui03.jpg?202010-5-RELEASE-marathon-496xx", "■")</f>
        <v>■</v>
      </c>
      <c r="F268" s="14" t="s">
        <v>15193</v>
      </c>
      <c r="G268" s="14">
        <v>132230</v>
      </c>
      <c r="H268" s="14">
        <v>122960</v>
      </c>
      <c r="I268" s="7">
        <v>28</v>
      </c>
      <c r="J268" s="14" t="s">
        <v>15192</v>
      </c>
      <c r="K268" s="14" t="s">
        <v>15191</v>
      </c>
      <c r="L268" s="14" t="s">
        <v>15190</v>
      </c>
      <c r="M268" s="14" t="s">
        <v>9158</v>
      </c>
      <c r="N268" s="14" t="s">
        <v>9158</v>
      </c>
      <c r="O268" s="14" t="s">
        <v>9158</v>
      </c>
      <c r="P268" s="14" t="s">
        <v>9158</v>
      </c>
      <c r="Q268" s="14" t="s">
        <v>9158</v>
      </c>
    </row>
    <row r="269" spans="1:18">
      <c r="A269" s="14">
        <v>92663</v>
      </c>
      <c r="B269" s="14" t="s">
        <v>15</v>
      </c>
      <c r="C269" s="14" t="s">
        <v>15201</v>
      </c>
      <c r="D269" s="14" t="s">
        <v>15200</v>
      </c>
      <c r="E269" s="15" t="str">
        <f>HYPERLINK("https://stat100.ameba.jp/tnk47/ratio20/illustrations/card/ill_92663_fushiginokuninokingyonota03.jpg?202010-5-RELEASE-marathon-496xx", "■")</f>
        <v>■</v>
      </c>
      <c r="F269" s="14" t="s">
        <v>15199</v>
      </c>
      <c r="G269" s="14">
        <v>75274</v>
      </c>
      <c r="H269" s="14">
        <v>82992</v>
      </c>
      <c r="I269" s="7">
        <v>28</v>
      </c>
      <c r="J269" s="14" t="s">
        <v>15198</v>
      </c>
      <c r="K269" s="14" t="s">
        <v>15197</v>
      </c>
      <c r="L269" s="14" t="s">
        <v>15196</v>
      </c>
      <c r="M269" s="14" t="s">
        <v>9158</v>
      </c>
      <c r="N269" s="14" t="s">
        <v>9158</v>
      </c>
      <c r="O269" s="14" t="s">
        <v>9158</v>
      </c>
      <c r="P269" s="14" t="s">
        <v>9158</v>
      </c>
      <c r="Q269" s="14" t="s">
        <v>9158</v>
      </c>
    </row>
    <row r="270" spans="1:18">
      <c r="A270" s="14">
        <v>92673</v>
      </c>
      <c r="B270" s="14" t="s">
        <v>22</v>
      </c>
      <c r="C270" s="14" t="s">
        <v>15207</v>
      </c>
      <c r="D270" s="14" t="s">
        <v>15206</v>
      </c>
      <c r="E270" s="15" t="str">
        <f>HYPERLINK("https://stat100.ameba.jp/tnk47/ratio20/illustrations/card/ill_92673_hayaakitsuhimenomikoto03.jpg?202010-5-RELEASE-marathon-496xx", "■")</f>
        <v>■</v>
      </c>
      <c r="F270" s="14" t="s">
        <v>15205</v>
      </c>
      <c r="G270" s="14">
        <v>58216</v>
      </c>
      <c r="H270" s="14">
        <v>48406</v>
      </c>
      <c r="I270" s="7">
        <v>28</v>
      </c>
      <c r="J270" s="14" t="s">
        <v>15204</v>
      </c>
      <c r="K270" s="14" t="s">
        <v>15203</v>
      </c>
      <c r="L270" s="14" t="s">
        <v>15202</v>
      </c>
      <c r="M270" s="14" t="s">
        <v>9158</v>
      </c>
      <c r="N270" s="14" t="s">
        <v>9158</v>
      </c>
      <c r="O270" s="14" t="s">
        <v>9158</v>
      </c>
      <c r="P270" s="14" t="s">
        <v>9158</v>
      </c>
      <c r="Q270" s="14" t="s">
        <v>9158</v>
      </c>
    </row>
    <row r="271" spans="1:18">
      <c r="A271" s="14">
        <v>92683</v>
      </c>
      <c r="B271" s="14" t="s">
        <v>22</v>
      </c>
      <c r="C271" s="14" t="s">
        <v>15212</v>
      </c>
      <c r="D271" s="14" t="s">
        <v>15211</v>
      </c>
      <c r="E271" s="15" t="str">
        <f>HYPERLINK("https://stat100.ameba.jp/tnk47/ratio20/illustrations/card/ill_92683_shirahime03.jpg?202010-5-RELEASE-marathon-496xx", "■")</f>
        <v>■</v>
      </c>
      <c r="F271" s="14" t="s">
        <v>15210</v>
      </c>
      <c r="G271" s="14">
        <v>48406</v>
      </c>
      <c r="H271" s="14">
        <v>58216</v>
      </c>
      <c r="I271" s="7">
        <v>28</v>
      </c>
      <c r="J271" s="14" t="s">
        <v>15204</v>
      </c>
      <c r="K271" s="14" t="s">
        <v>15209</v>
      </c>
      <c r="L271" s="14" t="s">
        <v>15208</v>
      </c>
      <c r="M271" s="14" t="s">
        <v>9158</v>
      </c>
      <c r="N271" s="14" t="s">
        <v>9158</v>
      </c>
      <c r="O271" s="14" t="s">
        <v>9158</v>
      </c>
      <c r="P271" s="14" t="s">
        <v>9158</v>
      </c>
      <c r="Q271" s="14" t="s">
        <v>9158</v>
      </c>
    </row>
    <row r="273" spans="1:18">
      <c r="A273" s="14" t="s">
        <v>204</v>
      </c>
      <c r="D273" s="7"/>
    </row>
    <row r="274" spans="1:18">
      <c r="A274" s="14" t="s">
        <v>7445</v>
      </c>
      <c r="D274" s="7"/>
    </row>
    <row r="275" spans="1:18">
      <c r="A275" s="14" t="s">
        <v>5734</v>
      </c>
      <c r="B275" s="14" t="s">
        <v>330</v>
      </c>
      <c r="C275" s="14" t="s">
        <v>202</v>
      </c>
      <c r="D275" s="19" t="s">
        <v>1497</v>
      </c>
      <c r="E275" s="15" t="str">
        <f>HYPERLINK("https://stat100.ameba.jp/tnk47/ratio20/illustrations/card/ill_74593_0_natsuyuenchikoshihikari03.jpg?202010-5-RELEASE-marathon-496xx", "■")</f>
        <v>■</v>
      </c>
      <c r="F275" s="14" t="s">
        <v>1498</v>
      </c>
      <c r="G275" s="14">
        <v>238328</v>
      </c>
      <c r="H275" s="14">
        <v>221566</v>
      </c>
      <c r="I275" s="14">
        <v>22</v>
      </c>
      <c r="J275" s="14" t="s">
        <v>283</v>
      </c>
      <c r="K275" s="14" t="s">
        <v>1499</v>
      </c>
      <c r="L275" s="14" t="s">
        <v>1500</v>
      </c>
      <c r="M275" s="14" t="s">
        <v>9158</v>
      </c>
      <c r="N275" s="14" t="s">
        <v>9158</v>
      </c>
      <c r="O275" s="19" t="s">
        <v>2731</v>
      </c>
      <c r="P275" s="14" t="s">
        <v>2732</v>
      </c>
      <c r="Q275" s="14">
        <v>1</v>
      </c>
    </row>
    <row r="276" spans="1:18">
      <c r="A276" s="9" t="s">
        <v>5621</v>
      </c>
      <c r="B276" s="14" t="s">
        <v>330</v>
      </c>
      <c r="C276" s="14" t="s">
        <v>191</v>
      </c>
      <c r="D276" s="14" t="s">
        <v>2871</v>
      </c>
      <c r="E276" s="15" t="str">
        <f>HYPERLINK("https://stat100.ameba.jp/tnk47/ratio20/illustrations/card/ill_51973_0_kemonomizugikuroyuridensetsu03.jpg?202010-5-RELEASE-marathon-496xx", "■")</f>
        <v>■</v>
      </c>
      <c r="F276" s="14" t="s">
        <v>2872</v>
      </c>
      <c r="G276" s="14">
        <v>138212</v>
      </c>
      <c r="H276" s="14">
        <v>122776</v>
      </c>
      <c r="I276" s="14">
        <v>22</v>
      </c>
      <c r="J276" s="14" t="s">
        <v>274</v>
      </c>
      <c r="K276" s="14" t="s">
        <v>2873</v>
      </c>
      <c r="L276" s="14" t="s">
        <v>2874</v>
      </c>
      <c r="M276" s="14" t="s">
        <v>9158</v>
      </c>
      <c r="N276" s="14" t="s">
        <v>9158</v>
      </c>
      <c r="O276" s="17" t="s">
        <v>10066</v>
      </c>
      <c r="P276" s="14" t="s">
        <v>13172</v>
      </c>
      <c r="Q276" s="14">
        <v>1</v>
      </c>
    </row>
    <row r="277" spans="1:18">
      <c r="A277" s="9" t="s">
        <v>5721</v>
      </c>
      <c r="B277" s="14" t="s">
        <v>52</v>
      </c>
      <c r="C277" s="14" t="s">
        <v>1</v>
      </c>
      <c r="D277" s="14" t="s">
        <v>2253</v>
      </c>
      <c r="E277" s="15" t="str">
        <f>HYPERLINK("https://stat100.ameba.jp/tnk47/ratio20/illustrations/card/ill_44283_0_izumonokuni03.jpg?202010-5-RELEASE-marathon-496xx", "■")</f>
        <v>■</v>
      </c>
      <c r="F277" s="14" t="s">
        <v>1716</v>
      </c>
      <c r="G277" s="14">
        <v>128744</v>
      </c>
      <c r="H277" s="14">
        <v>120576</v>
      </c>
      <c r="I277" s="14">
        <v>22</v>
      </c>
      <c r="J277" s="14" t="s">
        <v>16</v>
      </c>
      <c r="K277" s="14" t="s">
        <v>2254</v>
      </c>
      <c r="L277" s="14" t="s">
        <v>1718</v>
      </c>
      <c r="M277" s="14" t="s">
        <v>9158</v>
      </c>
      <c r="N277" s="14" t="s">
        <v>9158</v>
      </c>
      <c r="O277" s="14" t="s">
        <v>9158</v>
      </c>
      <c r="P277" s="14" t="s">
        <v>9158</v>
      </c>
      <c r="Q277" s="14" t="s">
        <v>9158</v>
      </c>
    </row>
    <row r="278" spans="1:18">
      <c r="A278" s="14">
        <v>89383</v>
      </c>
      <c r="B278" s="14" t="s">
        <v>0</v>
      </c>
      <c r="C278" s="14" t="s">
        <v>14</v>
      </c>
      <c r="D278" s="14" t="s">
        <v>12897</v>
      </c>
      <c r="E278" s="15" t="str">
        <f>HYPERLINK("https://stat100.ameba.jp/tnk47/ratio20/illustrations/card/ill_89383_minaraimajozaui03.jpg?202010-5-RELEASE-marathon-496xx", "■")</f>
        <v>■</v>
      </c>
      <c r="F278" s="14" t="s">
        <v>12899</v>
      </c>
      <c r="G278" s="14">
        <v>198226</v>
      </c>
      <c r="H278" s="14">
        <v>111523</v>
      </c>
      <c r="I278" s="14">
        <v>27</v>
      </c>
      <c r="J278" s="14" t="s">
        <v>16</v>
      </c>
      <c r="K278" s="14" t="s">
        <v>12901</v>
      </c>
      <c r="L278" s="14" t="s">
        <v>12902</v>
      </c>
      <c r="M278" s="14" t="s">
        <v>9158</v>
      </c>
      <c r="N278" s="14" t="s">
        <v>9158</v>
      </c>
      <c r="O278" s="14" t="s">
        <v>9158</v>
      </c>
      <c r="P278" s="14" t="s">
        <v>9158</v>
      </c>
      <c r="Q278" s="14" t="s">
        <v>9158</v>
      </c>
    </row>
    <row r="279" spans="1:18">
      <c r="A279" s="14">
        <v>79783</v>
      </c>
      <c r="B279" s="14" t="s">
        <v>334</v>
      </c>
      <c r="C279" s="14" t="s">
        <v>200</v>
      </c>
      <c r="D279" s="19" t="s">
        <v>10330</v>
      </c>
      <c r="E279" s="15" t="str">
        <f>HYPERLINK("https://stat100.ameba.jp/tnk47/ratio20/illustrations/card/ill_79783_entakunokishitakatsukasanobuko03.jpg?202010-5-RELEASE-marathon-496xx", "■")</f>
        <v>■</v>
      </c>
      <c r="F279" s="14" t="s">
        <v>3663</v>
      </c>
      <c r="G279" s="14">
        <v>130214</v>
      </c>
      <c r="H279" s="14">
        <v>73270</v>
      </c>
      <c r="I279" s="14">
        <v>27</v>
      </c>
      <c r="J279" s="14" t="s">
        <v>187</v>
      </c>
      <c r="K279" s="14" t="s">
        <v>3664</v>
      </c>
      <c r="L279" s="14" t="s">
        <v>76</v>
      </c>
      <c r="M279" s="14" t="s">
        <v>9158</v>
      </c>
      <c r="N279" s="14" t="s">
        <v>9158</v>
      </c>
      <c r="O279" s="14" t="s">
        <v>9158</v>
      </c>
      <c r="P279" s="14" t="s">
        <v>9158</v>
      </c>
      <c r="Q279" s="14" t="s">
        <v>9158</v>
      </c>
    </row>
    <row r="280" spans="1:18">
      <c r="A280" s="7">
        <v>85963</v>
      </c>
      <c r="B280" s="7" t="s">
        <v>0</v>
      </c>
      <c r="C280" s="7" t="s">
        <v>165</v>
      </c>
      <c r="D280" s="20" t="s">
        <v>10873</v>
      </c>
      <c r="E280" s="15" t="str">
        <f>HYPERLINK("https://stat100.ameba.jp/tnk47/ratio20/illustrations/card/ill_85963_birikenchan03.jpg?202010-5-RELEASE-marathon-496xx", "■")</f>
        <v>■</v>
      </c>
      <c r="F280" s="7" t="s">
        <v>8784</v>
      </c>
      <c r="G280" s="7">
        <v>123002</v>
      </c>
      <c r="H280" s="7">
        <v>114362</v>
      </c>
      <c r="I280" s="14">
        <v>27</v>
      </c>
      <c r="J280" s="7" t="s">
        <v>229</v>
      </c>
      <c r="K280" s="7" t="s">
        <v>8783</v>
      </c>
      <c r="L280" s="7" t="s">
        <v>6473</v>
      </c>
      <c r="M280" s="14" t="s">
        <v>9158</v>
      </c>
      <c r="N280" s="14" t="s">
        <v>9158</v>
      </c>
      <c r="O280" s="14" t="s">
        <v>9158</v>
      </c>
      <c r="P280" s="14" t="s">
        <v>9158</v>
      </c>
      <c r="Q280" s="14" t="s">
        <v>9158</v>
      </c>
    </row>
    <row r="282" spans="1:18">
      <c r="A282" s="14" t="s">
        <v>15213</v>
      </c>
      <c r="D282" s="7"/>
    </row>
    <row r="283" spans="1:18">
      <c r="A283" s="14" t="s">
        <v>7455</v>
      </c>
      <c r="D283" s="7"/>
    </row>
    <row r="284" spans="1:18">
      <c r="A284" s="14">
        <v>92515</v>
      </c>
      <c r="B284" s="14" t="s">
        <v>0</v>
      </c>
      <c r="C284" s="14" t="s">
        <v>202</v>
      </c>
      <c r="D284" s="18" t="s">
        <v>15216</v>
      </c>
      <c r="E284" s="15" t="str">
        <f>HYPERLINK("https://stat100.ameba.jp/tnk47/ratio20/illustrations/card/ill_92515_burakkukuin05.jpg?202010-5-RELEASE-marathon-496xx", "■")</f>
        <v>■</v>
      </c>
      <c r="F284" s="14" t="s">
        <v>15215</v>
      </c>
      <c r="G284" s="14">
        <v>131636</v>
      </c>
      <c r="H284" s="14">
        <v>95308</v>
      </c>
      <c r="I284" s="14">
        <v>28</v>
      </c>
      <c r="J284" s="14" t="s">
        <v>77</v>
      </c>
      <c r="K284" s="14" t="s">
        <v>15214</v>
      </c>
      <c r="L284" s="14" t="s">
        <v>13491</v>
      </c>
      <c r="M284" s="14" t="s">
        <v>9158</v>
      </c>
      <c r="N284" s="14" t="s">
        <v>9158</v>
      </c>
      <c r="O284" s="14" t="s">
        <v>9158</v>
      </c>
      <c r="P284" s="14" t="s">
        <v>9158</v>
      </c>
      <c r="Q284" s="14" t="s">
        <v>9158</v>
      </c>
      <c r="R284" s="14" t="s">
        <v>174</v>
      </c>
    </row>
    <row r="285" spans="1:18">
      <c r="A285" s="14">
        <v>92513</v>
      </c>
      <c r="B285" s="14" t="s">
        <v>15</v>
      </c>
      <c r="C285" s="14" t="s">
        <v>41</v>
      </c>
      <c r="D285" s="18" t="s">
        <v>15216</v>
      </c>
      <c r="E285" s="15" t="str">
        <f>HYPERLINK("https://stat100.ameba.jp/tnk47/ratio20/illustrations/card/ill_92513_burakkukuin03.jpg?202010-5-RELEASE-marathon-496xx", "■")</f>
        <v>■</v>
      </c>
      <c r="F285" s="14" t="s">
        <v>15215</v>
      </c>
      <c r="G285" s="14">
        <v>96978</v>
      </c>
      <c r="H285" s="14">
        <v>70218</v>
      </c>
      <c r="I285" s="14">
        <v>28</v>
      </c>
      <c r="J285" s="14" t="s">
        <v>77</v>
      </c>
      <c r="K285" s="14" t="s">
        <v>15214</v>
      </c>
      <c r="L285" s="14" t="s">
        <v>15217</v>
      </c>
      <c r="M285" s="14" t="s">
        <v>9158</v>
      </c>
      <c r="N285" s="14" t="s">
        <v>9158</v>
      </c>
      <c r="O285" s="14" t="s">
        <v>9158</v>
      </c>
      <c r="P285" s="14" t="s">
        <v>9158</v>
      </c>
      <c r="Q285" s="14" t="s">
        <v>9158</v>
      </c>
      <c r="R285" s="14" t="s">
        <v>175</v>
      </c>
    </row>
    <row r="286" spans="1:18">
      <c r="A286" s="14">
        <v>92511</v>
      </c>
      <c r="B286" s="14" t="s">
        <v>15</v>
      </c>
      <c r="C286" s="14" t="s">
        <v>41</v>
      </c>
      <c r="D286" s="18" t="s">
        <v>15216</v>
      </c>
      <c r="E286" s="15" t="str">
        <f>HYPERLINK("https://stat100.ameba.jp/tnk47/ratio20/illustrations/card/ill_92511_burakkukuin01.jpg?202010-5-RELEASE-marathon-496xx", "■")</f>
        <v>■</v>
      </c>
      <c r="F286" s="14" t="s">
        <v>15215</v>
      </c>
      <c r="G286" s="14">
        <v>61684</v>
      </c>
      <c r="H286" s="14">
        <v>44660</v>
      </c>
      <c r="I286" s="14">
        <v>28</v>
      </c>
      <c r="J286" s="14" t="s">
        <v>77</v>
      </c>
      <c r="K286" s="14" t="s">
        <v>15214</v>
      </c>
      <c r="L286" s="14" t="s">
        <v>15218</v>
      </c>
      <c r="M286" s="14" t="s">
        <v>9158</v>
      </c>
      <c r="N286" s="14" t="s">
        <v>9158</v>
      </c>
      <c r="O286" s="14" t="s">
        <v>9158</v>
      </c>
      <c r="P286" s="14" t="s">
        <v>9158</v>
      </c>
      <c r="Q286" s="14" t="s">
        <v>9158</v>
      </c>
      <c r="R286" s="14" t="s">
        <v>176</v>
      </c>
    </row>
    <row r="288" spans="1:18">
      <c r="A288" s="14" t="s">
        <v>15219</v>
      </c>
    </row>
    <row r="289" spans="1:19">
      <c r="A289" s="14" t="s">
        <v>15220</v>
      </c>
    </row>
    <row r="290" spans="1:19">
      <c r="A290" s="14">
        <v>75503</v>
      </c>
      <c r="B290" s="14" t="s">
        <v>0</v>
      </c>
      <c r="C290" s="14" t="s">
        <v>15226</v>
      </c>
      <c r="D290" s="14" t="s">
        <v>15225</v>
      </c>
      <c r="E290" s="15" t="str">
        <f>HYPERLINK("https://stat100.ameba.jp/tnk47/ratio20/illustrations/card/ill_75503_aburaakago03.jpg?202010-5-RELEASE-marathon-496xx", "■")</f>
        <v>■</v>
      </c>
      <c r="F290" s="14" t="s">
        <v>15224</v>
      </c>
      <c r="G290" s="14">
        <v>104619</v>
      </c>
      <c r="H290" s="14">
        <v>112496</v>
      </c>
      <c r="I290" s="14">
        <v>27</v>
      </c>
      <c r="J290" s="14" t="s">
        <v>15223</v>
      </c>
      <c r="K290" s="14" t="s">
        <v>15222</v>
      </c>
      <c r="L290" s="14" t="s">
        <v>15221</v>
      </c>
      <c r="M290" s="14" t="s">
        <v>9158</v>
      </c>
      <c r="N290" s="14" t="s">
        <v>9158</v>
      </c>
      <c r="O290" s="14" t="s">
        <v>9158</v>
      </c>
      <c r="P290" s="14" t="s">
        <v>9158</v>
      </c>
      <c r="Q290" s="14" t="s">
        <v>9158</v>
      </c>
      <c r="S290" s="14" t="s">
        <v>11846</v>
      </c>
    </row>
    <row r="291" spans="1:19">
      <c r="A291" s="9">
        <v>81233</v>
      </c>
      <c r="B291" s="14" t="s">
        <v>334</v>
      </c>
      <c r="C291" s="14" t="s">
        <v>165</v>
      </c>
      <c r="D291" s="14" t="s">
        <v>4546</v>
      </c>
      <c r="E291" s="15" t="str">
        <f>HYPERLINK("https://stat100.ameba.jp/tnk47/ratio20/illustrations/card/ill_81233_sakasutengaihata03.jpg?202010-5-RELEASE-marathon-496xx", "■")</f>
        <v>■</v>
      </c>
      <c r="F291" s="14" t="s">
        <v>4547</v>
      </c>
      <c r="G291" s="14">
        <v>110129</v>
      </c>
      <c r="H291" s="14">
        <v>102386</v>
      </c>
      <c r="I291" s="14">
        <v>27</v>
      </c>
      <c r="J291" s="14" t="s">
        <v>44</v>
      </c>
      <c r="K291" s="14" t="s">
        <v>4548</v>
      </c>
      <c r="L291" s="14" t="s">
        <v>4549</v>
      </c>
      <c r="M291" s="14" t="s">
        <v>9158</v>
      </c>
      <c r="N291" s="14" t="s">
        <v>9158</v>
      </c>
      <c r="O291" s="14" t="s">
        <v>9158</v>
      </c>
      <c r="P291" s="14" t="s">
        <v>9158</v>
      </c>
      <c r="Q291" s="14" t="s">
        <v>9158</v>
      </c>
    </row>
    <row r="292" spans="1:19">
      <c r="A292" s="9">
        <v>79093</v>
      </c>
      <c r="B292" s="14" t="s">
        <v>334</v>
      </c>
      <c r="C292" s="14" t="s">
        <v>206</v>
      </c>
      <c r="D292" s="14" t="s">
        <v>3394</v>
      </c>
      <c r="E292" s="15" t="str">
        <f>HYPERLINK("https://stat100.ameba.jp/tnk47/ratio20/illustrations/card/ill_79093_shinnenongakukaihakatabijin03.jpg?202010-5-RELEASE-marathon-496xx", "■")</f>
        <v>■</v>
      </c>
      <c r="F292" s="14" t="s">
        <v>3395</v>
      </c>
      <c r="G292" s="14">
        <v>114362</v>
      </c>
      <c r="H292" s="14">
        <v>123002</v>
      </c>
      <c r="I292" s="14">
        <v>27</v>
      </c>
      <c r="J292" s="14" t="s">
        <v>26</v>
      </c>
      <c r="K292" s="14" t="s">
        <v>3396</v>
      </c>
      <c r="L292" s="14" t="s">
        <v>2137</v>
      </c>
      <c r="M292" s="14" t="s">
        <v>9158</v>
      </c>
      <c r="N292" s="14" t="s">
        <v>9158</v>
      </c>
      <c r="O292" s="14" t="s">
        <v>9158</v>
      </c>
      <c r="P292" s="14" t="s">
        <v>9158</v>
      </c>
      <c r="Q292" s="14" t="s">
        <v>9158</v>
      </c>
    </row>
    <row r="293" spans="1:19">
      <c r="A293" s="7">
        <v>75583</v>
      </c>
      <c r="B293" s="7" t="s">
        <v>15</v>
      </c>
      <c r="C293" s="14" t="s">
        <v>200</v>
      </c>
      <c r="D293" s="14" t="s">
        <v>15231</v>
      </c>
      <c r="E293" s="15" t="str">
        <f>HYPERLINK("https://stat100.ameba.jp/tnk47/ratio20/illustrations/card/ill_75583_nihonshinwasugawaranotakasuenomusume03.jpg?202010-5-RELEASE-marathon-496xx", "■")</f>
        <v>■</v>
      </c>
      <c r="F293" s="14" t="s">
        <v>15230</v>
      </c>
      <c r="G293" s="14">
        <v>53768</v>
      </c>
      <c r="H293" s="14">
        <v>59280</v>
      </c>
      <c r="I293" s="14">
        <v>20</v>
      </c>
      <c r="J293" s="14" t="s">
        <v>15229</v>
      </c>
      <c r="K293" s="14" t="s">
        <v>15228</v>
      </c>
      <c r="L293" s="14" t="s">
        <v>15227</v>
      </c>
      <c r="M293" s="14" t="s">
        <v>9158</v>
      </c>
      <c r="N293" s="14" t="s">
        <v>9158</v>
      </c>
      <c r="O293" s="14" t="s">
        <v>9158</v>
      </c>
      <c r="P293" s="14" t="s">
        <v>9158</v>
      </c>
      <c r="Q293" s="14" t="s">
        <v>9158</v>
      </c>
    </row>
    <row r="294" spans="1:19">
      <c r="A294" s="14">
        <v>77363</v>
      </c>
      <c r="B294" s="14" t="s">
        <v>15</v>
      </c>
      <c r="C294" s="14" t="s">
        <v>185</v>
      </c>
      <c r="D294" s="19" t="s">
        <v>1533</v>
      </c>
      <c r="E294" s="15" t="str">
        <f>HYPERLINK("https://stat100.ameba.jp/tnk47/ratio20/illustrations/card/ill_77363_samonchan03.jpg?202010-5-RELEASE-marathon-496xx", "■")</f>
        <v>■</v>
      </c>
      <c r="F294" s="14" t="s">
        <v>5480</v>
      </c>
      <c r="G294" s="14">
        <v>59280</v>
      </c>
      <c r="H294" s="14">
        <v>53768</v>
      </c>
      <c r="I294" s="14">
        <v>20</v>
      </c>
      <c r="J294" s="14" t="s">
        <v>216</v>
      </c>
      <c r="K294" s="14" t="s">
        <v>3607</v>
      </c>
      <c r="L294" s="14" t="s">
        <v>3607</v>
      </c>
      <c r="M294" s="14" t="s">
        <v>9158</v>
      </c>
      <c r="N294" s="14" t="s">
        <v>9158</v>
      </c>
      <c r="O294" s="14" t="s">
        <v>9158</v>
      </c>
      <c r="P294" s="14" t="s">
        <v>9158</v>
      </c>
      <c r="Q294" s="14" t="s">
        <v>9158</v>
      </c>
    </row>
    <row r="295" spans="1:19">
      <c r="A295" s="14">
        <v>82483</v>
      </c>
      <c r="B295" s="14" t="s">
        <v>15</v>
      </c>
      <c r="C295" s="14" t="s">
        <v>101</v>
      </c>
      <c r="D295" s="19" t="s">
        <v>10336</v>
      </c>
      <c r="E295" s="15" t="str">
        <f>HYPERLINK("https://stat100.ameba.jp/tnk47/ratio20/illustrations/card/ill_82483_iwanushi03.jpg?202010-5-RELEASE-marathon-496xx", "■")</f>
        <v>■</v>
      </c>
      <c r="F295" s="14" t="s">
        <v>5459</v>
      </c>
      <c r="G295" s="14">
        <v>59280</v>
      </c>
      <c r="H295" s="14">
        <v>53768</v>
      </c>
      <c r="I295" s="14">
        <v>20</v>
      </c>
      <c r="J295" s="14" t="s">
        <v>26</v>
      </c>
      <c r="K295" s="14" t="s">
        <v>5460</v>
      </c>
      <c r="L295" s="14" t="s">
        <v>2011</v>
      </c>
      <c r="M295" s="14" t="s">
        <v>9158</v>
      </c>
      <c r="N295" s="14" t="s">
        <v>9158</v>
      </c>
      <c r="O295" s="14" t="s">
        <v>9158</v>
      </c>
      <c r="P295" s="14" t="s">
        <v>9158</v>
      </c>
      <c r="Q295" s="14" t="s">
        <v>9158</v>
      </c>
    </row>
    <row r="297" spans="1:19">
      <c r="A297" s="14" t="s">
        <v>15232</v>
      </c>
    </row>
    <row r="298" spans="1:19">
      <c r="A298" s="14" t="s">
        <v>15233</v>
      </c>
    </row>
    <row r="299" spans="1:19">
      <c r="A299" s="14" t="s">
        <v>5822</v>
      </c>
      <c r="B299" s="14" t="s">
        <v>330</v>
      </c>
      <c r="C299" s="14" t="s">
        <v>307</v>
      </c>
      <c r="D299" s="19" t="s">
        <v>306</v>
      </c>
      <c r="E299" s="15" t="str">
        <f>HYPERLINK("https://stat100.ameba.jp/tnk47/ratio20/illustrations/card/ill_71403_0_ohanamisanadayukimura03.jpg?202011-i_prefecture_active_user", "■")</f>
        <v>■</v>
      </c>
      <c r="F299" s="14" t="s">
        <v>309</v>
      </c>
      <c r="G299" s="14">
        <v>224026</v>
      </c>
      <c r="H299" s="14">
        <v>208310</v>
      </c>
      <c r="I299" s="14">
        <v>24</v>
      </c>
      <c r="J299" s="14" t="s">
        <v>310</v>
      </c>
      <c r="K299" s="14" t="s">
        <v>311</v>
      </c>
      <c r="L299" s="14" t="s">
        <v>312</v>
      </c>
      <c r="M299" s="14" t="s">
        <v>9158</v>
      </c>
      <c r="N299" s="14" t="s">
        <v>9158</v>
      </c>
      <c r="O299" s="19" t="s">
        <v>10104</v>
      </c>
      <c r="P299" s="14" t="s">
        <v>3418</v>
      </c>
      <c r="Q299" s="14">
        <v>2</v>
      </c>
    </row>
    <row r="300" spans="1:19">
      <c r="A300" s="14" t="s">
        <v>5618</v>
      </c>
      <c r="B300" s="14" t="s">
        <v>52</v>
      </c>
      <c r="C300" s="14" t="s">
        <v>23</v>
      </c>
      <c r="D300" s="19" t="s">
        <v>665</v>
      </c>
      <c r="E300" s="15" t="str">
        <f>HYPERLINK("https://stat100.ameba.jp/tnk47/ratio20/illustrations/card/ill_63173_0_minazukikonakaiteruko03.jpg?202011-i_prefecture_active_user", "■")</f>
        <v>■</v>
      </c>
      <c r="F300" s="14" t="s">
        <v>1188</v>
      </c>
      <c r="G300" s="14">
        <v>208310</v>
      </c>
      <c r="H300" s="14">
        <v>224026</v>
      </c>
      <c r="I300" s="14">
        <v>24</v>
      </c>
      <c r="J300" s="14" t="s">
        <v>143</v>
      </c>
      <c r="K300" s="14" t="s">
        <v>1189</v>
      </c>
      <c r="L300" s="14" t="s">
        <v>1190</v>
      </c>
      <c r="M300" s="14" t="s">
        <v>9158</v>
      </c>
      <c r="N300" s="14" t="s">
        <v>9158</v>
      </c>
      <c r="O300" s="19" t="s">
        <v>10079</v>
      </c>
      <c r="P300" s="14" t="s">
        <v>3329</v>
      </c>
      <c r="Q300" s="14">
        <v>1</v>
      </c>
    </row>
    <row r="301" spans="1:19">
      <c r="A301" s="14" t="s">
        <v>5608</v>
      </c>
      <c r="B301" s="14" t="s">
        <v>52</v>
      </c>
      <c r="C301" s="14" t="s">
        <v>96</v>
      </c>
      <c r="D301" s="19" t="s">
        <v>634</v>
      </c>
      <c r="E301" s="15" t="str">
        <f>HYPERLINK("https://stat100.ameba.jp/tnk47/ratio20/illustrations/card/ill_40963_0_makami03.jpg?202011-i_prefecture_active_user", "■")</f>
        <v>■</v>
      </c>
      <c r="F301" s="14" t="s">
        <v>2038</v>
      </c>
      <c r="G301" s="14">
        <v>140448</v>
      </c>
      <c r="H301" s="14">
        <v>131538</v>
      </c>
      <c r="I301" s="14">
        <v>24</v>
      </c>
      <c r="J301" s="14" t="s">
        <v>44</v>
      </c>
      <c r="K301" s="14" t="s">
        <v>2039</v>
      </c>
      <c r="L301" s="14" t="s">
        <v>2040</v>
      </c>
      <c r="M301" s="14" t="s">
        <v>9158</v>
      </c>
      <c r="N301" s="14" t="s">
        <v>9158</v>
      </c>
      <c r="O301" s="14" t="s">
        <v>9158</v>
      </c>
      <c r="P301" s="14" t="s">
        <v>9158</v>
      </c>
      <c r="Q301" s="14" t="s">
        <v>9158</v>
      </c>
    </row>
    <row r="302" spans="1:19">
      <c r="A302" s="14">
        <v>92643</v>
      </c>
      <c r="B302" s="14" t="s">
        <v>0</v>
      </c>
      <c r="C302" s="14" t="s">
        <v>15189</v>
      </c>
      <c r="D302" s="14" t="s">
        <v>15188</v>
      </c>
      <c r="E302" s="15" t="str">
        <f>HYPERLINK("https://stat100.ameba.jp/tnk47/ratio20/illustrations/card/ill_92643_seireinotomopurobe03.jpg?202011-i_prefecture_active_user", "■")</f>
        <v>■</v>
      </c>
      <c r="F302" s="14" t="s">
        <v>15187</v>
      </c>
      <c r="G302" s="14">
        <v>105426</v>
      </c>
      <c r="H302" s="14">
        <v>98066</v>
      </c>
      <c r="I302" s="7">
        <v>26</v>
      </c>
      <c r="J302" s="14" t="s">
        <v>15186</v>
      </c>
      <c r="K302" s="14" t="s">
        <v>15185</v>
      </c>
      <c r="L302" s="14" t="s">
        <v>15184</v>
      </c>
      <c r="M302" s="14" t="s">
        <v>9158</v>
      </c>
      <c r="N302" s="14" t="s">
        <v>9158</v>
      </c>
      <c r="O302" s="14" t="s">
        <v>9158</v>
      </c>
      <c r="P302" s="14" t="s">
        <v>9158</v>
      </c>
      <c r="Q302" s="14" t="s">
        <v>9158</v>
      </c>
    </row>
    <row r="303" spans="1:19">
      <c r="A303" s="14">
        <v>92663</v>
      </c>
      <c r="B303" s="14" t="s">
        <v>15</v>
      </c>
      <c r="C303" s="14" t="s">
        <v>15201</v>
      </c>
      <c r="D303" s="14" t="s">
        <v>15200</v>
      </c>
      <c r="E303" s="15" t="str">
        <f>HYPERLINK("https://stat100.ameba.jp/tnk47/ratio20/illustrations/card/ill_92663_fushiginokuninokingyonota03.jpg?202011-i_prefecture_active_user", "■")</f>
        <v>■</v>
      </c>
      <c r="F303" s="14" t="s">
        <v>15199</v>
      </c>
      <c r="G303" s="14">
        <v>69898</v>
      </c>
      <c r="H303" s="14">
        <v>77064</v>
      </c>
      <c r="I303" s="7">
        <v>26</v>
      </c>
      <c r="J303" s="14" t="s">
        <v>15198</v>
      </c>
      <c r="K303" s="14" t="s">
        <v>15197</v>
      </c>
      <c r="L303" s="14" t="s">
        <v>15196</v>
      </c>
      <c r="M303" s="14" t="s">
        <v>9158</v>
      </c>
      <c r="N303" s="14" t="s">
        <v>9158</v>
      </c>
      <c r="O303" s="14" t="s">
        <v>9158</v>
      </c>
      <c r="P303" s="14" t="s">
        <v>9158</v>
      </c>
      <c r="Q303" s="14" t="s">
        <v>9158</v>
      </c>
    </row>
    <row r="304" spans="1:19">
      <c r="A304" s="14">
        <v>92673</v>
      </c>
      <c r="B304" s="14" t="s">
        <v>22</v>
      </c>
      <c r="C304" s="14" t="s">
        <v>15207</v>
      </c>
      <c r="D304" s="14" t="s">
        <v>15206</v>
      </c>
      <c r="E304" s="15" t="str">
        <f>HYPERLINK("https://stat100.ameba.jp/tnk47/ratio20/illustrations/card/ill_92673_hayaakitsuhimenomikoto03.jpg?202011-i_prefecture_active_user", "■")</f>
        <v>■</v>
      </c>
      <c r="F304" s="14" t="s">
        <v>15205</v>
      </c>
      <c r="G304" s="14">
        <v>54058</v>
      </c>
      <c r="H304" s="14">
        <v>44948</v>
      </c>
      <c r="I304" s="7">
        <v>26</v>
      </c>
      <c r="J304" s="14" t="s">
        <v>15204</v>
      </c>
      <c r="K304" s="14" t="s">
        <v>15203</v>
      </c>
      <c r="L304" s="14" t="s">
        <v>15202</v>
      </c>
      <c r="M304" s="14" t="s">
        <v>9158</v>
      </c>
      <c r="N304" s="14" t="s">
        <v>9158</v>
      </c>
      <c r="O304" s="14" t="s">
        <v>9158</v>
      </c>
      <c r="P304" s="14" t="s">
        <v>9158</v>
      </c>
      <c r="Q304" s="14" t="s">
        <v>9158</v>
      </c>
    </row>
    <row r="305" spans="1:17">
      <c r="A305" s="14">
        <v>92683</v>
      </c>
      <c r="B305" s="14" t="s">
        <v>22</v>
      </c>
      <c r="C305" s="14" t="s">
        <v>15212</v>
      </c>
      <c r="D305" s="14" t="s">
        <v>15211</v>
      </c>
      <c r="E305" s="15" t="str">
        <f>HYPERLINK("https://stat100.ameba.jp/tnk47/ratio20/illustrations/card/ill_92683_shirahime03.jpg?202011-i_prefecture_active_user", "■")</f>
        <v>■</v>
      </c>
      <c r="F305" s="14" t="s">
        <v>15210</v>
      </c>
      <c r="G305" s="14">
        <v>44948</v>
      </c>
      <c r="H305" s="14">
        <v>54058</v>
      </c>
      <c r="I305" s="7">
        <v>26</v>
      </c>
      <c r="J305" s="14" t="s">
        <v>15204</v>
      </c>
      <c r="K305" s="14" t="s">
        <v>15209</v>
      </c>
      <c r="L305" s="14" t="s">
        <v>15208</v>
      </c>
      <c r="M305" s="14" t="s">
        <v>9158</v>
      </c>
      <c r="N305" s="14" t="s">
        <v>9158</v>
      </c>
      <c r="O305" s="14" t="s">
        <v>9158</v>
      </c>
      <c r="P305" s="14" t="s">
        <v>9158</v>
      </c>
      <c r="Q305" s="14" t="s">
        <v>9158</v>
      </c>
    </row>
    <row r="307" spans="1:17">
      <c r="A307" s="14" t="s">
        <v>15234</v>
      </c>
    </row>
    <row r="308" spans="1:17">
      <c r="A308" s="14" t="s">
        <v>15236</v>
      </c>
    </row>
    <row r="309" spans="1:17">
      <c r="A309" s="14" t="s">
        <v>15235</v>
      </c>
    </row>
    <row r="310" spans="1:17">
      <c r="A310" s="14" t="s">
        <v>15240</v>
      </c>
      <c r="B310" s="14" t="s">
        <v>15241</v>
      </c>
      <c r="C310" s="14" t="s">
        <v>15243</v>
      </c>
      <c r="D310" s="14" t="s">
        <v>15242</v>
      </c>
      <c r="E310" s="15" t="str">
        <f>HYPERLINK("https://stat100.ameba.jp/tnk47/ratio20/illustrations/card/ill_93503_0_reimeisammaki03.jpg?202011-i_prefecture_active_user", "■")</f>
        <v>■</v>
      </c>
      <c r="F310" s="14" t="s">
        <v>15239</v>
      </c>
      <c r="G310" s="14">
        <v>337732</v>
      </c>
      <c r="H310" s="14">
        <v>363248</v>
      </c>
      <c r="I310" s="14">
        <v>30</v>
      </c>
      <c r="J310" s="14" t="s">
        <v>15204</v>
      </c>
      <c r="K310" s="14" t="s">
        <v>15238</v>
      </c>
      <c r="L310" s="14" t="s">
        <v>15237</v>
      </c>
      <c r="M310" s="14" t="s">
        <v>9158</v>
      </c>
      <c r="N310" s="14" t="s">
        <v>9158</v>
      </c>
      <c r="O310" s="14" t="s">
        <v>15577</v>
      </c>
      <c r="P310" s="14" t="s">
        <v>15578</v>
      </c>
      <c r="Q310" s="14">
        <v>1</v>
      </c>
    </row>
    <row r="311" spans="1:17">
      <c r="A311" s="14">
        <v>83903</v>
      </c>
      <c r="B311" s="14" t="s">
        <v>0</v>
      </c>
      <c r="C311" s="14" t="s">
        <v>185</v>
      </c>
      <c r="D311" s="19" t="s">
        <v>14604</v>
      </c>
      <c r="E311" s="15" t="str">
        <f>HYPERLINK("https://stat100.ameba.jp/tnk47/ratio20/illustrations/card/ill_83903_manekinekotsurumyojin03.jpg?202011-i_prefecture_active_user", "■")</f>
        <v>■</v>
      </c>
      <c r="F311" s="14" t="s">
        <v>7078</v>
      </c>
      <c r="G311" s="14">
        <v>123220</v>
      </c>
      <c r="H311" s="14">
        <v>114362</v>
      </c>
      <c r="I311" s="9">
        <v>27</v>
      </c>
      <c r="J311" s="14" t="s">
        <v>38</v>
      </c>
      <c r="K311" s="14" t="s">
        <v>7077</v>
      </c>
      <c r="L311" s="14" t="s">
        <v>4856</v>
      </c>
      <c r="M311" s="14" t="s">
        <v>9158</v>
      </c>
      <c r="N311" s="14" t="s">
        <v>9158</v>
      </c>
      <c r="O311" s="14" t="s">
        <v>9158</v>
      </c>
      <c r="P311" s="14" t="s">
        <v>9158</v>
      </c>
      <c r="Q311" s="14" t="s">
        <v>9158</v>
      </c>
    </row>
    <row r="312" spans="1:17">
      <c r="A312" s="14">
        <v>77353</v>
      </c>
      <c r="B312" s="14" t="s">
        <v>0</v>
      </c>
      <c r="C312" s="14" t="s">
        <v>200</v>
      </c>
      <c r="D312" s="19" t="s">
        <v>1529</v>
      </c>
      <c r="E312" s="15" t="str">
        <f>HYPERLINK("https://stat100.ameba.jp/tnk47/ratio20/illustrations/card/ill_77353_chayamusumekandamatsuri03.jpg?202011-i_prefecture_active_user", "■")</f>
        <v>■</v>
      </c>
      <c r="F312" s="14" t="s">
        <v>7222</v>
      </c>
      <c r="G312" s="14">
        <v>123002</v>
      </c>
      <c r="H312" s="14">
        <v>114362</v>
      </c>
      <c r="I312" s="14">
        <v>27</v>
      </c>
      <c r="J312" s="14" t="s">
        <v>229</v>
      </c>
      <c r="K312" s="14" t="s">
        <v>7221</v>
      </c>
      <c r="L312" s="14" t="s">
        <v>1086</v>
      </c>
      <c r="M312" s="14" t="s">
        <v>9158</v>
      </c>
      <c r="N312" s="14" t="s">
        <v>9158</v>
      </c>
      <c r="O312" s="14" t="s">
        <v>9158</v>
      </c>
      <c r="P312" s="14" t="s">
        <v>9158</v>
      </c>
      <c r="Q312" s="14" t="s">
        <v>9158</v>
      </c>
    </row>
    <row r="313" spans="1:17">
      <c r="A313" s="14">
        <v>78213</v>
      </c>
      <c r="B313" s="14" t="s">
        <v>0</v>
      </c>
      <c r="C313" s="14" t="s">
        <v>191</v>
      </c>
      <c r="D313" s="19" t="s">
        <v>2312</v>
      </c>
      <c r="E313" s="15" t="str">
        <f>HYPERLINK("https://stat100.ameba.jp/tnk47/ratio20/illustrations/card/ill_78213_otomarijoshikaitaiyakichan03.jpg?202011-i_prefecture_active_user", "■")</f>
        <v>■</v>
      </c>
      <c r="F313" s="14" t="s">
        <v>2313</v>
      </c>
      <c r="G313" s="14">
        <v>160507</v>
      </c>
      <c r="H313" s="14">
        <v>149240</v>
      </c>
      <c r="I313" s="7">
        <v>27</v>
      </c>
      <c r="J313" s="14" t="s">
        <v>104</v>
      </c>
      <c r="K313" s="14" t="s">
        <v>2314</v>
      </c>
      <c r="L313" s="14" t="s">
        <v>1029</v>
      </c>
      <c r="M313" s="14" t="s">
        <v>9158</v>
      </c>
      <c r="N313" s="14" t="s">
        <v>9158</v>
      </c>
      <c r="O313" s="14" t="s">
        <v>9158</v>
      </c>
      <c r="P313" s="14" t="s">
        <v>9158</v>
      </c>
      <c r="Q313" s="14" t="s">
        <v>9158</v>
      </c>
    </row>
    <row r="314" spans="1:17">
      <c r="A314" s="14">
        <v>71783</v>
      </c>
      <c r="B314" s="14" t="s">
        <v>0</v>
      </c>
      <c r="C314" s="14" t="s">
        <v>165</v>
      </c>
      <c r="D314" s="19" t="s">
        <v>10616</v>
      </c>
      <c r="E314" s="15" t="str">
        <f>HYPERLINK("https://stat100.ameba.jp/tnk47/ratio20/illustrations/card/ill_71783_omikikannon03.jpg?202011-i_prefecture_active_user", "■")</f>
        <v>■</v>
      </c>
      <c r="F314" s="14" t="s">
        <v>6936</v>
      </c>
      <c r="G314" s="14">
        <v>123220</v>
      </c>
      <c r="H314" s="14">
        <v>114362</v>
      </c>
      <c r="I314" s="7">
        <v>27</v>
      </c>
      <c r="J314" s="14" t="s">
        <v>38</v>
      </c>
      <c r="K314" s="14" t="s">
        <v>6922</v>
      </c>
      <c r="L314" s="14" t="s">
        <v>2557</v>
      </c>
      <c r="M314" s="14" t="s">
        <v>9158</v>
      </c>
      <c r="N314" s="14" t="s">
        <v>9158</v>
      </c>
      <c r="O314" s="14" t="s">
        <v>9158</v>
      </c>
      <c r="P314" s="14" t="s">
        <v>9158</v>
      </c>
      <c r="Q314" s="14" t="s">
        <v>9158</v>
      </c>
    </row>
    <row r="315" spans="1:17">
      <c r="A315" s="7">
        <v>68463</v>
      </c>
      <c r="B315" s="7" t="s">
        <v>0</v>
      </c>
      <c r="C315" s="7" t="s">
        <v>205</v>
      </c>
      <c r="D315" s="19" t="s">
        <v>10252</v>
      </c>
      <c r="E315" s="15" t="str">
        <f>HYPERLINK("https://stat100.ameba.jp/tnk47/ratio20/illustrations/card/ill_68463_sunogurabiashirubaakusechan03.jpg?202011-i_prefecture_active_user", "■")</f>
        <v>■</v>
      </c>
      <c r="F315" s="7" t="s">
        <v>2403</v>
      </c>
      <c r="G315" s="7">
        <v>114768</v>
      </c>
      <c r="H315" s="7">
        <v>106693</v>
      </c>
      <c r="I315" s="7">
        <v>27</v>
      </c>
      <c r="J315" s="7" t="s">
        <v>229</v>
      </c>
      <c r="K315" s="7" t="s">
        <v>2404</v>
      </c>
      <c r="L315" s="7" t="s">
        <v>2405</v>
      </c>
      <c r="M315" s="14" t="s">
        <v>9158</v>
      </c>
      <c r="N315" s="14" t="s">
        <v>9158</v>
      </c>
      <c r="O315" s="14" t="s">
        <v>9158</v>
      </c>
      <c r="P315" s="14" t="s">
        <v>9158</v>
      </c>
      <c r="Q315" s="14" t="s">
        <v>9158</v>
      </c>
    </row>
    <row r="316" spans="1:17">
      <c r="A316" s="7">
        <v>65093</v>
      </c>
      <c r="B316" s="14" t="s">
        <v>334</v>
      </c>
      <c r="C316" s="14" t="s">
        <v>206</v>
      </c>
      <c r="D316" s="20" t="s">
        <v>4051</v>
      </c>
      <c r="E316" s="15" t="str">
        <f>HYPERLINK("https://stat100.ameba.jp/tnk47/ratio20/illustrations/card/ill_65093_kyusukumizutachibanaginchiyo03.jpg?202011-i_prefecture_active_user", "■")</f>
        <v>■</v>
      </c>
      <c r="F316" s="14" t="s">
        <v>4052</v>
      </c>
      <c r="G316" s="14">
        <v>105465</v>
      </c>
      <c r="H316" s="14">
        <v>98019</v>
      </c>
      <c r="I316" s="7">
        <v>27</v>
      </c>
      <c r="J316" s="14" t="s">
        <v>77</v>
      </c>
      <c r="K316" s="14" t="s">
        <v>4053</v>
      </c>
      <c r="L316" s="14" t="s">
        <v>76</v>
      </c>
      <c r="M316" s="14" t="s">
        <v>9158</v>
      </c>
      <c r="N316" s="14" t="s">
        <v>9158</v>
      </c>
      <c r="O316" s="14" t="s">
        <v>9158</v>
      </c>
      <c r="P316" s="14" t="s">
        <v>9158</v>
      </c>
      <c r="Q316" s="14" t="s">
        <v>9158</v>
      </c>
    </row>
    <row r="318" spans="1:17">
      <c r="A318" s="14" t="s">
        <v>15244</v>
      </c>
    </row>
    <row r="319" spans="1:17">
      <c r="A319" s="14" t="s">
        <v>15245</v>
      </c>
    </row>
    <row r="320" spans="1:17">
      <c r="A320" s="14" t="s">
        <v>6508</v>
      </c>
      <c r="B320" s="14" t="s">
        <v>330</v>
      </c>
      <c r="C320" s="14" t="s">
        <v>35</v>
      </c>
      <c r="D320" s="20" t="s">
        <v>10168</v>
      </c>
      <c r="E320" s="15" t="str">
        <f>HYPERLINK("https://stat100.ameba.jp/tnk47/ratio20/illustrations/card/ill_81783_0_denshagarukoteipenginchan03.jpg?202011-i_prefecture_active_user", "■")</f>
        <v>■</v>
      </c>
      <c r="F320" s="14" t="s">
        <v>4834</v>
      </c>
      <c r="G320" s="14">
        <v>290731</v>
      </c>
      <c r="H320" s="14">
        <v>262745</v>
      </c>
      <c r="I320" s="14">
        <v>25</v>
      </c>
      <c r="J320" s="14" t="s">
        <v>26</v>
      </c>
      <c r="K320" s="14" t="s">
        <v>4836</v>
      </c>
      <c r="L320" s="14" t="s">
        <v>1783</v>
      </c>
      <c r="M320" s="14" t="s">
        <v>9158</v>
      </c>
      <c r="N320" s="14" t="s">
        <v>9158</v>
      </c>
      <c r="O320" s="19" t="s">
        <v>10124</v>
      </c>
      <c r="P320" s="14" t="s">
        <v>4838</v>
      </c>
      <c r="Q320" s="14">
        <v>1</v>
      </c>
    </row>
    <row r="321" spans="1:17">
      <c r="A321" s="14">
        <v>84663</v>
      </c>
      <c r="B321" s="14" t="s">
        <v>334</v>
      </c>
      <c r="C321" s="14" t="s">
        <v>158</v>
      </c>
      <c r="D321" s="20" t="s">
        <v>10648</v>
      </c>
      <c r="E321" s="15" t="str">
        <f>HYPERLINK("https://stat100.ameba.jp/tnk47/ratio20/illustrations/card/ill_84663_juwannonefuerufuito03.jpg?202011-i_prefecture_active_user", "■")</f>
        <v>■</v>
      </c>
      <c r="F321" s="14" t="s">
        <v>7095</v>
      </c>
      <c r="G321" s="14">
        <v>81078</v>
      </c>
      <c r="H321" s="14">
        <v>111914</v>
      </c>
      <c r="I321" s="14">
        <v>24</v>
      </c>
      <c r="J321" s="14" t="s">
        <v>182</v>
      </c>
      <c r="K321" s="14" t="s">
        <v>7094</v>
      </c>
      <c r="L321" s="14" t="s">
        <v>7093</v>
      </c>
      <c r="M321" s="14" t="s">
        <v>9158</v>
      </c>
      <c r="N321" s="14" t="s">
        <v>9158</v>
      </c>
      <c r="O321" s="19" t="s">
        <v>10091</v>
      </c>
      <c r="P321" s="14" t="s">
        <v>3670</v>
      </c>
      <c r="Q321" s="14">
        <v>1</v>
      </c>
    </row>
    <row r="322" spans="1:17">
      <c r="A322" s="14">
        <v>80743</v>
      </c>
      <c r="B322" s="14" t="s">
        <v>0</v>
      </c>
      <c r="C322" s="14" t="s">
        <v>209</v>
      </c>
      <c r="D322" s="20" t="s">
        <v>10414</v>
      </c>
      <c r="E322" s="15" t="str">
        <f>HYPERLINK("https://stat100.ameba.jp/tnk47/ratio20/illustrations/card/ill_80743_senseijutsushi03.jpg?202011-i_prefecture_active_user", "■")</f>
        <v>■</v>
      </c>
      <c r="F322" s="14" t="s">
        <v>4249</v>
      </c>
      <c r="G322" s="14">
        <v>75984</v>
      </c>
      <c r="H322" s="14">
        <v>104890</v>
      </c>
      <c r="I322" s="14">
        <v>24</v>
      </c>
      <c r="J322" s="14" t="s">
        <v>16</v>
      </c>
      <c r="K322" s="14" t="s">
        <v>4250</v>
      </c>
      <c r="L322" s="14" t="s">
        <v>4251</v>
      </c>
      <c r="M322" s="14" t="s">
        <v>9158</v>
      </c>
      <c r="N322" s="14" t="s">
        <v>9158</v>
      </c>
      <c r="O322" s="19" t="s">
        <v>10109</v>
      </c>
      <c r="P322" s="14" t="s">
        <v>3625</v>
      </c>
      <c r="Q322" s="14">
        <v>1</v>
      </c>
    </row>
    <row r="323" spans="1:17">
      <c r="A323" s="14">
        <v>73893</v>
      </c>
      <c r="B323" s="14" t="s">
        <v>334</v>
      </c>
      <c r="C323" s="14" t="s">
        <v>203</v>
      </c>
      <c r="D323" s="20" t="s">
        <v>10388</v>
      </c>
      <c r="E323" s="15" t="str">
        <f>HYPERLINK("https://stat100.ameba.jp/tnk47/ratio20/illustrations/card/ill_73893_kurohachidaimyojintookami03.jpg?202011-i_prefecture_active_user", "■")</f>
        <v>■</v>
      </c>
      <c r="F323" s="14" t="s">
        <v>685</v>
      </c>
      <c r="G323" s="14">
        <v>122476</v>
      </c>
      <c r="H323" s="14">
        <v>88706</v>
      </c>
      <c r="I323" s="14">
        <v>24</v>
      </c>
      <c r="J323" s="14" t="s">
        <v>274</v>
      </c>
      <c r="K323" s="14" t="s">
        <v>686</v>
      </c>
      <c r="L323" s="14" t="s">
        <v>428</v>
      </c>
      <c r="M323" s="14" t="s">
        <v>9158</v>
      </c>
      <c r="N323" s="14" t="s">
        <v>9158</v>
      </c>
      <c r="O323" s="19" t="s">
        <v>10100</v>
      </c>
      <c r="P323" s="14" t="s">
        <v>3810</v>
      </c>
      <c r="Q323" s="14">
        <v>1</v>
      </c>
    </row>
    <row r="325" spans="1:17">
      <c r="A325" s="14" t="s">
        <v>15246</v>
      </c>
    </row>
    <row r="326" spans="1:17">
      <c r="A326" s="14" t="s">
        <v>15247</v>
      </c>
    </row>
    <row r="327" spans="1:17">
      <c r="A327" s="14" t="s">
        <v>6030</v>
      </c>
      <c r="B327" s="14" t="s">
        <v>52</v>
      </c>
      <c r="C327" s="14" t="s">
        <v>202</v>
      </c>
      <c r="D327" s="19" t="s">
        <v>10453</v>
      </c>
      <c r="E327" s="15" t="str">
        <f>HYPERLINK("https://stat100.ameba.jp/tnk47/ratio20/illustrations/card/ill_80023_0_hinamatsurikyogokumaria03.jpg?202011-i_prefecture_active_user", "■")</f>
        <v>■</v>
      </c>
      <c r="F327" s="14" t="s">
        <v>3709</v>
      </c>
      <c r="G327" s="14">
        <v>296478</v>
      </c>
      <c r="H327" s="14">
        <v>328064</v>
      </c>
      <c r="I327" s="14">
        <v>22</v>
      </c>
      <c r="J327" s="14" t="s">
        <v>26</v>
      </c>
      <c r="K327" s="14" t="s">
        <v>3710</v>
      </c>
      <c r="L327" s="14" t="s">
        <v>3711</v>
      </c>
      <c r="M327" s="14" t="s">
        <v>9158</v>
      </c>
      <c r="N327" s="14" t="s">
        <v>9158</v>
      </c>
      <c r="O327" s="19" t="s">
        <v>10116</v>
      </c>
      <c r="P327" s="14" t="s">
        <v>3713</v>
      </c>
      <c r="Q327" s="14">
        <v>1</v>
      </c>
    </row>
    <row r="328" spans="1:17">
      <c r="A328" s="14" t="s">
        <v>5618</v>
      </c>
      <c r="B328" s="14" t="s">
        <v>330</v>
      </c>
      <c r="C328" s="14" t="s">
        <v>200</v>
      </c>
      <c r="D328" s="20" t="s">
        <v>665</v>
      </c>
      <c r="E328" s="15" t="str">
        <f>HYPERLINK("https://stat100.ameba.jp/tnk47/ratio20/illustrations/card/ill_63173_0_minazukikonakaiteruko03.jpg?202011-i_prefecture_active_user", "■")</f>
        <v>■</v>
      </c>
      <c r="F328" s="14" t="s">
        <v>666</v>
      </c>
      <c r="G328" s="14">
        <v>190952</v>
      </c>
      <c r="H328" s="14">
        <v>205358</v>
      </c>
      <c r="I328" s="14">
        <v>22</v>
      </c>
      <c r="J328" s="14" t="s">
        <v>310</v>
      </c>
      <c r="K328" s="14" t="s">
        <v>667</v>
      </c>
      <c r="L328" s="14" t="s">
        <v>668</v>
      </c>
      <c r="M328" s="14" t="s">
        <v>9158</v>
      </c>
      <c r="N328" s="14" t="s">
        <v>9158</v>
      </c>
      <c r="O328" s="19" t="s">
        <v>10079</v>
      </c>
      <c r="P328" s="14" t="s">
        <v>3329</v>
      </c>
      <c r="Q328" s="14">
        <v>1</v>
      </c>
    </row>
    <row r="329" spans="1:17">
      <c r="A329" s="9" t="s">
        <v>5616</v>
      </c>
      <c r="B329" s="14" t="s">
        <v>330</v>
      </c>
      <c r="C329" s="14" t="s">
        <v>185</v>
      </c>
      <c r="D329" s="14" t="s">
        <v>638</v>
      </c>
      <c r="E329" s="15" t="str">
        <f>HYPERLINK("https://stat100.ameba.jp/tnk47/ratio20/illustrations/card/ill_44253_0_dokuganryudatemasamune03.jpg?202011-i_prefecture_active_user", "■")</f>
        <v>■</v>
      </c>
      <c r="F329" s="14" t="s">
        <v>639</v>
      </c>
      <c r="G329" s="14">
        <v>120576</v>
      </c>
      <c r="H329" s="14">
        <v>128744</v>
      </c>
      <c r="I329" s="14">
        <v>22</v>
      </c>
      <c r="J329" s="14" t="s">
        <v>310</v>
      </c>
      <c r="K329" s="14" t="s">
        <v>640</v>
      </c>
      <c r="L329" s="14" t="s">
        <v>641</v>
      </c>
      <c r="M329" s="14" t="s">
        <v>9158</v>
      </c>
      <c r="N329" s="14" t="s">
        <v>9158</v>
      </c>
      <c r="O329" s="14" t="s">
        <v>9158</v>
      </c>
      <c r="P329" s="14" t="s">
        <v>9158</v>
      </c>
      <c r="Q329" s="14" t="s">
        <v>9158</v>
      </c>
    </row>
    <row r="330" spans="1:17">
      <c r="A330" s="14">
        <v>85853</v>
      </c>
      <c r="B330" s="14" t="s">
        <v>0</v>
      </c>
      <c r="C330" s="14" t="s">
        <v>205</v>
      </c>
      <c r="D330" s="20" t="s">
        <v>10867</v>
      </c>
      <c r="E330" s="15" t="str">
        <f>HYPERLINK("https://stat100.ameba.jp/tnk47/ratio20/illustrations/card/ill_85853_omochaitsukushimanonaiji03.jpg?202011-i_prefecture_active_user", "■")</f>
        <v>■</v>
      </c>
      <c r="F330" s="14" t="s">
        <v>8729</v>
      </c>
      <c r="G330" s="14">
        <v>76512</v>
      </c>
      <c r="H330" s="14">
        <v>136005</v>
      </c>
      <c r="I330" s="14">
        <v>27</v>
      </c>
      <c r="J330" s="14" t="s">
        <v>173</v>
      </c>
      <c r="K330" s="14" t="s">
        <v>8728</v>
      </c>
      <c r="L330" s="14" t="s">
        <v>4081</v>
      </c>
      <c r="M330" s="14" t="s">
        <v>9158</v>
      </c>
      <c r="N330" s="14" t="s">
        <v>9158</v>
      </c>
      <c r="O330" s="14" t="s">
        <v>9158</v>
      </c>
      <c r="P330" s="14" t="s">
        <v>9158</v>
      </c>
      <c r="Q330" s="14" t="s">
        <v>9158</v>
      </c>
    </row>
    <row r="331" spans="1:17">
      <c r="A331" s="9">
        <v>87993</v>
      </c>
      <c r="B331" s="14" t="s">
        <v>334</v>
      </c>
      <c r="C331" s="9" t="s">
        <v>191</v>
      </c>
      <c r="D331" s="9" t="s">
        <v>11921</v>
      </c>
      <c r="E331" s="15" t="str">
        <f>HYPERLINK("https://stat100.ameba.jp/tnk47/ratio20/illustrations/card/ill_87993_mafuiabirika03.jpg?202011-i_prefecture_active_user", "■")</f>
        <v>■</v>
      </c>
      <c r="F331" s="9" t="s">
        <v>11919</v>
      </c>
      <c r="G331" s="9">
        <v>88593</v>
      </c>
      <c r="H331" s="9">
        <v>157484</v>
      </c>
      <c r="I331" s="14">
        <v>27</v>
      </c>
      <c r="J331" s="14" t="s">
        <v>38</v>
      </c>
      <c r="K331" s="9" t="s">
        <v>11923</v>
      </c>
      <c r="L331" s="9" t="s">
        <v>13249</v>
      </c>
      <c r="M331" s="14" t="s">
        <v>9158</v>
      </c>
      <c r="N331" s="14" t="s">
        <v>9158</v>
      </c>
      <c r="O331" s="14" t="s">
        <v>9158</v>
      </c>
      <c r="P331" s="14" t="s">
        <v>9158</v>
      </c>
      <c r="Q331" s="14" t="s">
        <v>9158</v>
      </c>
    </row>
    <row r="332" spans="1:17">
      <c r="A332" s="14">
        <v>89943</v>
      </c>
      <c r="B332" s="14" t="s">
        <v>0</v>
      </c>
      <c r="C332" s="14" t="s">
        <v>107</v>
      </c>
      <c r="D332" s="14" t="s">
        <v>13809</v>
      </c>
      <c r="E332" s="15" t="str">
        <f>HYPERLINK("https://stat100.ameba.jp/tnk47/ratio20/illustrations/card/ill_89943_erementarumururu03.jpg?202011-i_prefecture_active_user", "■")</f>
        <v>■</v>
      </c>
      <c r="F332" s="14" t="s">
        <v>13811</v>
      </c>
      <c r="G332" s="14">
        <v>102386</v>
      </c>
      <c r="H332" s="14">
        <v>110129</v>
      </c>
      <c r="I332" s="7">
        <v>27</v>
      </c>
      <c r="J332" s="14" t="s">
        <v>44</v>
      </c>
      <c r="K332" s="14" t="s">
        <v>13813</v>
      </c>
      <c r="L332" s="14" t="s">
        <v>13812</v>
      </c>
      <c r="M332" s="14" t="s">
        <v>9158</v>
      </c>
      <c r="N332" s="14" t="s">
        <v>9158</v>
      </c>
      <c r="O332" s="14" t="s">
        <v>9158</v>
      </c>
      <c r="P332" s="14" t="s">
        <v>9158</v>
      </c>
      <c r="Q332" s="14" t="s">
        <v>9158</v>
      </c>
    </row>
    <row r="334" spans="1:17">
      <c r="A334" s="14" t="s">
        <v>15248</v>
      </c>
    </row>
    <row r="335" spans="1:17">
      <c r="A335" s="14" t="s">
        <v>15249</v>
      </c>
    </row>
    <row r="336" spans="1:17">
      <c r="A336" s="14">
        <v>76103</v>
      </c>
      <c r="B336" s="14" t="s">
        <v>334</v>
      </c>
      <c r="C336" s="14" t="s">
        <v>154</v>
      </c>
      <c r="D336" s="19" t="s">
        <v>570</v>
      </c>
      <c r="E336" s="15" t="str">
        <f>HYPERLINK("https://stat100.ameba.jp/tnk47/ratio20/illustrations/card/ill_76103_shibuaji03.jpg?202011-i_prefecture_active_user", "■")</f>
        <v>■</v>
      </c>
      <c r="F336" s="14" t="s">
        <v>1122</v>
      </c>
      <c r="G336" s="14">
        <v>116452</v>
      </c>
      <c r="H336" s="14">
        <v>108276</v>
      </c>
      <c r="I336" s="14">
        <v>27</v>
      </c>
      <c r="J336" s="14" t="s">
        <v>143</v>
      </c>
      <c r="K336" s="14" t="s">
        <v>1123</v>
      </c>
      <c r="L336" s="14" t="s">
        <v>1124</v>
      </c>
      <c r="M336" s="14" t="s">
        <v>9864</v>
      </c>
      <c r="N336" s="14" t="s">
        <v>9158</v>
      </c>
      <c r="O336" s="14" t="s">
        <v>9158</v>
      </c>
      <c r="P336" s="14" t="s">
        <v>9158</v>
      </c>
      <c r="Q336" s="14" t="s">
        <v>9158</v>
      </c>
    </row>
    <row r="337" spans="1:18">
      <c r="A337" s="14">
        <v>76113</v>
      </c>
      <c r="B337" s="14" t="s">
        <v>334</v>
      </c>
      <c r="C337" s="14" t="s">
        <v>158</v>
      </c>
      <c r="D337" s="19" t="s">
        <v>10268</v>
      </c>
      <c r="E337" s="15" t="str">
        <f>HYPERLINK("https://stat100.ameba.jp/tnk47/ratio20/illustrations/card/ill_76113_jannudaruku03.jpg?202011-i_prefecture_active_user", "■")</f>
        <v>■</v>
      </c>
      <c r="F337" s="14" t="s">
        <v>1126</v>
      </c>
      <c r="G337" s="14">
        <v>116452</v>
      </c>
      <c r="H337" s="14">
        <v>108276</v>
      </c>
      <c r="I337" s="14">
        <v>27</v>
      </c>
      <c r="J337" s="14" t="s">
        <v>10</v>
      </c>
      <c r="K337" s="14" t="s">
        <v>1127</v>
      </c>
      <c r="L337" s="14" t="s">
        <v>1128</v>
      </c>
      <c r="M337" s="14" t="s">
        <v>9158</v>
      </c>
      <c r="N337" s="14" t="s">
        <v>9158</v>
      </c>
      <c r="O337" s="14" t="s">
        <v>9158</v>
      </c>
      <c r="P337" s="14" t="s">
        <v>9158</v>
      </c>
      <c r="Q337" s="14" t="s">
        <v>9158</v>
      </c>
    </row>
    <row r="338" spans="1:18">
      <c r="A338" s="14">
        <v>63323</v>
      </c>
      <c r="B338" s="14" t="s">
        <v>0</v>
      </c>
      <c r="C338" s="14" t="s">
        <v>200</v>
      </c>
      <c r="D338" s="19" t="s">
        <v>10269</v>
      </c>
      <c r="E338" s="15" t="str">
        <f>HYPERLINK("https://stat100.ameba.jp/tnk47/ratio20/illustrations/card/ill_63323_ajisaikushinadahime03.jpg?202011-i_prefecture_active_user", "■")</f>
        <v>■</v>
      </c>
      <c r="F338" s="14" t="s">
        <v>3583</v>
      </c>
      <c r="G338" s="14">
        <v>102386</v>
      </c>
      <c r="H338" s="14">
        <v>110129</v>
      </c>
      <c r="I338" s="14">
        <v>27</v>
      </c>
      <c r="J338" s="14" t="s">
        <v>44</v>
      </c>
      <c r="K338" s="14" t="s">
        <v>3584</v>
      </c>
      <c r="L338" s="14" t="s">
        <v>2400</v>
      </c>
      <c r="M338" s="14" t="s">
        <v>9158</v>
      </c>
      <c r="N338" s="14" t="s">
        <v>9158</v>
      </c>
      <c r="O338" s="14" t="s">
        <v>9158</v>
      </c>
      <c r="P338" s="14" t="s">
        <v>9158</v>
      </c>
      <c r="Q338" s="14" t="s">
        <v>9158</v>
      </c>
    </row>
    <row r="339" spans="1:18">
      <c r="A339" s="14">
        <v>59863</v>
      </c>
      <c r="B339" s="14" t="s">
        <v>334</v>
      </c>
      <c r="C339" s="14" t="s">
        <v>165</v>
      </c>
      <c r="D339" s="19" t="s">
        <v>318</v>
      </c>
      <c r="E339" s="15" t="str">
        <f>HYPERLINK("https://stat100.ameba.jp/tnk47/ratio20/illustrations/card/ill_59863_yoseiichimokuren03.jpg?202011-i_prefecture_active_user", "■")</f>
        <v>■</v>
      </c>
      <c r="F339" s="14" t="s">
        <v>319</v>
      </c>
      <c r="G339" s="14">
        <v>112496</v>
      </c>
      <c r="H339" s="14">
        <v>104619</v>
      </c>
      <c r="I339" s="14">
        <v>27</v>
      </c>
      <c r="J339" s="14" t="s">
        <v>320</v>
      </c>
      <c r="K339" s="14" t="s">
        <v>321</v>
      </c>
      <c r="L339" s="14" t="s">
        <v>322</v>
      </c>
      <c r="M339" s="14" t="s">
        <v>9158</v>
      </c>
      <c r="N339" s="14" t="s">
        <v>9158</v>
      </c>
      <c r="O339" s="14" t="s">
        <v>9158</v>
      </c>
      <c r="P339" s="14" t="s">
        <v>9158</v>
      </c>
      <c r="Q339" s="14" t="s">
        <v>9158</v>
      </c>
    </row>
    <row r="340" spans="1:18">
      <c r="A340" s="14">
        <v>51823</v>
      </c>
      <c r="B340" s="14" t="s">
        <v>15</v>
      </c>
      <c r="C340" s="14" t="s">
        <v>101</v>
      </c>
      <c r="D340" s="19" t="s">
        <v>10587</v>
      </c>
      <c r="E340" s="15" t="str">
        <f>HYPERLINK("https://stat100.ameba.jp/tnk47/ratio20/illustrations/card/ill_51823_jukimatsu03.jpg?202011-i_prefecture_active_user", "■")</f>
        <v>■</v>
      </c>
      <c r="F340" s="14" t="s">
        <v>6742</v>
      </c>
      <c r="G340" s="14">
        <v>59144</v>
      </c>
      <c r="H340" s="14">
        <v>65208</v>
      </c>
      <c r="I340" s="14">
        <v>22</v>
      </c>
      <c r="J340" s="14" t="s">
        <v>77</v>
      </c>
      <c r="K340" s="14" t="s">
        <v>6743</v>
      </c>
      <c r="L340" s="14" t="s">
        <v>6744</v>
      </c>
      <c r="M340" s="14" t="s">
        <v>9158</v>
      </c>
      <c r="N340" s="14" t="s">
        <v>9158</v>
      </c>
      <c r="O340" s="14" t="s">
        <v>9158</v>
      </c>
      <c r="P340" s="14" t="s">
        <v>9158</v>
      </c>
      <c r="Q340" s="14" t="s">
        <v>9158</v>
      </c>
    </row>
    <row r="341" spans="1:18">
      <c r="A341" s="14">
        <v>51773</v>
      </c>
      <c r="B341" s="14" t="s">
        <v>15</v>
      </c>
      <c r="C341" s="14" t="s">
        <v>205</v>
      </c>
      <c r="D341" s="19" t="s">
        <v>10588</v>
      </c>
      <c r="E341" s="15" t="str">
        <f>HYPERLINK("https://stat100.ameba.jp/tnk47/ratio20/illustrations/card/ill_51773_kawaasobikanekomisuzu03.jpg?202011-i_prefecture_active_user", "■")</f>
        <v>■</v>
      </c>
      <c r="F341" s="14" t="s">
        <v>6747</v>
      </c>
      <c r="G341" s="14">
        <v>65208</v>
      </c>
      <c r="H341" s="14">
        <v>59144</v>
      </c>
      <c r="I341" s="14">
        <v>22</v>
      </c>
      <c r="J341" s="14" t="s">
        <v>10</v>
      </c>
      <c r="K341" s="14" t="s">
        <v>6746</v>
      </c>
      <c r="L341" s="14" t="s">
        <v>6745</v>
      </c>
      <c r="M341" s="14" t="s">
        <v>9158</v>
      </c>
      <c r="N341" s="14" t="s">
        <v>9158</v>
      </c>
      <c r="O341" s="14" t="s">
        <v>9158</v>
      </c>
      <c r="P341" s="14" t="s">
        <v>9158</v>
      </c>
      <c r="Q341" s="14" t="s">
        <v>9158</v>
      </c>
    </row>
    <row r="342" spans="1:18">
      <c r="A342" s="14">
        <v>51733</v>
      </c>
      <c r="B342" s="14" t="s">
        <v>15</v>
      </c>
      <c r="C342" s="14" t="s">
        <v>185</v>
      </c>
      <c r="D342" s="19" t="s">
        <v>10589</v>
      </c>
      <c r="E342" s="15" t="str">
        <f>HYPERLINK("https://stat100.ameba.jp/tnk47/ratio20/illustrations/card/ill_51733_ekusoshisutopoiyampe03.jpg?202011-i_prefecture_active_user", "■")</f>
        <v>■</v>
      </c>
      <c r="F342" s="14" t="s">
        <v>6750</v>
      </c>
      <c r="G342" s="14">
        <v>59144</v>
      </c>
      <c r="H342" s="14">
        <v>65208</v>
      </c>
      <c r="I342" s="14">
        <v>22</v>
      </c>
      <c r="J342" s="14" t="s">
        <v>274</v>
      </c>
      <c r="K342" s="14" t="s">
        <v>6749</v>
      </c>
      <c r="L342" s="14" t="s">
        <v>6748</v>
      </c>
      <c r="M342" s="14" t="s">
        <v>9158</v>
      </c>
      <c r="N342" s="14" t="s">
        <v>9158</v>
      </c>
      <c r="O342" s="14" t="s">
        <v>9158</v>
      </c>
      <c r="P342" s="14" t="s">
        <v>9158</v>
      </c>
      <c r="Q342" s="14" t="s">
        <v>9158</v>
      </c>
    </row>
    <row r="343" spans="1:18">
      <c r="A343" s="14">
        <v>55743</v>
      </c>
      <c r="B343" s="14" t="s">
        <v>15</v>
      </c>
      <c r="C343" s="14" t="s">
        <v>96</v>
      </c>
      <c r="D343" s="19" t="s">
        <v>10590</v>
      </c>
      <c r="E343" s="15" t="str">
        <f>HYPERLINK("https://stat100.ameba.jp/tnk47/ratio20/illustrations/card/ill_55743_nankoume03.jpg?202011-i_prefecture_active_user", "■")</f>
        <v>■</v>
      </c>
      <c r="F343" s="14" t="s">
        <v>4308</v>
      </c>
      <c r="G343" s="14">
        <v>59144</v>
      </c>
      <c r="H343" s="14">
        <v>65208</v>
      </c>
      <c r="I343" s="14">
        <v>22</v>
      </c>
      <c r="J343" s="14" t="s">
        <v>216</v>
      </c>
      <c r="K343" s="14" t="s">
        <v>4310</v>
      </c>
      <c r="L343" s="14" t="s">
        <v>4311</v>
      </c>
      <c r="M343" s="14" t="s">
        <v>9158</v>
      </c>
      <c r="N343" s="14" t="s">
        <v>9158</v>
      </c>
      <c r="O343" s="14" t="s">
        <v>9158</v>
      </c>
      <c r="P343" s="14" t="s">
        <v>9158</v>
      </c>
      <c r="Q343" s="14" t="s">
        <v>9158</v>
      </c>
    </row>
    <row r="345" spans="1:18">
      <c r="A345" s="14" t="s">
        <v>15250</v>
      </c>
    </row>
    <row r="346" spans="1:18">
      <c r="A346" s="14" t="s">
        <v>15251</v>
      </c>
    </row>
    <row r="347" spans="1:18">
      <c r="A347" s="14" t="s">
        <v>5650</v>
      </c>
      <c r="B347" s="14" t="s">
        <v>52</v>
      </c>
      <c r="C347" s="14" t="s">
        <v>23</v>
      </c>
      <c r="D347" s="20" t="s">
        <v>809</v>
      </c>
      <c r="E347" s="15" t="str">
        <f>HYPERLINK("https://stat100.ameba.jp/tnk47/ratio20/illustrations/card/ill_68033_0_kurisumasupateikandamyojin03.jpg?202011-i_prefecture_active_user", "■")</f>
        <v>■</v>
      </c>
      <c r="F347" s="14" t="s">
        <v>1871</v>
      </c>
      <c r="G347" s="14">
        <v>158951</v>
      </c>
      <c r="H347" s="14">
        <v>170984</v>
      </c>
      <c r="I347" s="14">
        <v>25</v>
      </c>
      <c r="J347" s="14" t="s">
        <v>44</v>
      </c>
      <c r="K347" s="14" t="s">
        <v>1872</v>
      </c>
      <c r="L347" s="14" t="s">
        <v>1873</v>
      </c>
      <c r="M347" s="14" t="s">
        <v>9158</v>
      </c>
      <c r="N347" s="14" t="s">
        <v>9158</v>
      </c>
      <c r="O347" s="19" t="s">
        <v>2997</v>
      </c>
      <c r="P347" s="14" t="s">
        <v>3483</v>
      </c>
      <c r="Q347" s="14">
        <v>2</v>
      </c>
    </row>
    <row r="348" spans="1:18">
      <c r="A348" s="14">
        <v>77123</v>
      </c>
      <c r="B348" s="14" t="s">
        <v>334</v>
      </c>
      <c r="C348" s="14" t="s">
        <v>191</v>
      </c>
      <c r="D348" s="20" t="s">
        <v>10424</v>
      </c>
      <c r="E348" s="15" t="str">
        <f>HYPERLINK("https://stat100.ameba.jp/tnk47/ratio20/illustrations/card/ill_77123_yukemuriizuna03.jpg?202011-i_prefecture_active_user", "■")</f>
        <v>■</v>
      </c>
      <c r="F348" s="14" t="s">
        <v>1377</v>
      </c>
      <c r="G348" s="14">
        <v>108330</v>
      </c>
      <c r="H348" s="14">
        <v>100744</v>
      </c>
      <c r="I348" s="14">
        <v>26</v>
      </c>
      <c r="J348" s="14" t="s">
        <v>320</v>
      </c>
      <c r="K348" s="14" t="s">
        <v>1378</v>
      </c>
      <c r="L348" s="14" t="s">
        <v>1379</v>
      </c>
      <c r="M348" s="14" t="s">
        <v>9158</v>
      </c>
      <c r="N348" s="14" t="s">
        <v>9158</v>
      </c>
      <c r="O348" s="19" t="s">
        <v>2838</v>
      </c>
      <c r="P348" s="14" t="s">
        <v>3579</v>
      </c>
      <c r="Q348" s="14">
        <v>1</v>
      </c>
    </row>
    <row r="349" spans="1:18">
      <c r="A349" s="14">
        <v>79313</v>
      </c>
      <c r="B349" s="14" t="s">
        <v>334</v>
      </c>
      <c r="C349" s="14" t="s">
        <v>185</v>
      </c>
      <c r="D349" s="20" t="s">
        <v>10334</v>
      </c>
      <c r="E349" s="15" t="str">
        <f>HYPERLINK("https://stat100.ameba.jp/tnk47/ratio20/illustrations/card/ill_79313_hommeichokodatemasamune03.jpg?202011-i_prefecture_active_user", "■")</f>
        <v>■</v>
      </c>
      <c r="F349" s="14" t="s">
        <v>3499</v>
      </c>
      <c r="G349" s="14">
        <v>143714</v>
      </c>
      <c r="H349" s="14">
        <v>154562</v>
      </c>
      <c r="I349" s="14">
        <v>26</v>
      </c>
      <c r="J349" s="14" t="s">
        <v>143</v>
      </c>
      <c r="K349" s="14" t="s">
        <v>3500</v>
      </c>
      <c r="L349" s="14" t="s">
        <v>1148</v>
      </c>
      <c r="M349" s="14" t="s">
        <v>9158</v>
      </c>
      <c r="N349" s="14" t="s">
        <v>9158</v>
      </c>
      <c r="O349" s="19" t="s">
        <v>2752</v>
      </c>
      <c r="P349" s="14" t="s">
        <v>13123</v>
      </c>
      <c r="Q349" s="14">
        <v>1</v>
      </c>
    </row>
    <row r="350" spans="1:18">
      <c r="A350" s="14">
        <v>74553</v>
      </c>
      <c r="B350" s="14" t="s">
        <v>0</v>
      </c>
      <c r="C350" s="14" t="s">
        <v>107</v>
      </c>
      <c r="D350" s="19" t="s">
        <v>10389</v>
      </c>
      <c r="E350" s="15" t="str">
        <f>HYPERLINK("https://stat100.ameba.jp/tnk47/ratio20/illustrations/card/ill_74553_natsuyuenchikusumotoine03.jpg?202011-i_prefecture_active_user", "■")</f>
        <v>■</v>
      </c>
      <c r="F350" s="14" t="s">
        <v>4109</v>
      </c>
      <c r="G350" s="14">
        <v>105426</v>
      </c>
      <c r="H350" s="14">
        <v>98066</v>
      </c>
      <c r="I350" s="14">
        <v>26</v>
      </c>
      <c r="J350" s="14" t="s">
        <v>16</v>
      </c>
      <c r="K350" s="14" t="s">
        <v>4110</v>
      </c>
      <c r="L350" s="14" t="s">
        <v>1149</v>
      </c>
      <c r="M350" s="14" t="s">
        <v>9158</v>
      </c>
      <c r="N350" s="14" t="s">
        <v>9158</v>
      </c>
      <c r="O350" s="19" t="s">
        <v>10090</v>
      </c>
      <c r="P350" s="14" t="s">
        <v>3460</v>
      </c>
      <c r="Q350" s="14">
        <v>1</v>
      </c>
    </row>
    <row r="352" spans="1:18">
      <c r="A352" s="7" t="s">
        <v>13327</v>
      </c>
      <c r="B352" s="7"/>
      <c r="C352" s="7"/>
      <c r="D352" s="7"/>
      <c r="E352" s="7"/>
      <c r="F352" s="7"/>
      <c r="G352" s="7"/>
      <c r="H352" s="7"/>
      <c r="I352" s="7"/>
      <c r="J352" s="7"/>
      <c r="K352" s="7"/>
      <c r="L352" s="7"/>
      <c r="M352" s="7"/>
      <c r="N352" s="7"/>
      <c r="O352" s="7"/>
      <c r="P352" s="7"/>
      <c r="Q352" s="7"/>
      <c r="R352" s="7"/>
    </row>
    <row r="353" spans="1:18">
      <c r="A353" s="7" t="s">
        <v>15252</v>
      </c>
      <c r="B353" s="7"/>
      <c r="C353" s="7"/>
      <c r="D353" s="7"/>
      <c r="E353" s="7"/>
      <c r="F353" s="7"/>
      <c r="G353" s="7"/>
      <c r="H353" s="7"/>
      <c r="I353" s="7"/>
      <c r="J353" s="7"/>
      <c r="K353" s="7"/>
      <c r="L353" s="7"/>
      <c r="M353" s="7"/>
      <c r="N353" s="7"/>
      <c r="O353" s="7"/>
      <c r="P353" s="7"/>
      <c r="Q353" s="7"/>
      <c r="R353" s="7"/>
    </row>
    <row r="354" spans="1:18">
      <c r="A354" s="14">
        <v>86063</v>
      </c>
      <c r="B354" s="14" t="s">
        <v>334</v>
      </c>
      <c r="C354" s="14" t="s">
        <v>14</v>
      </c>
      <c r="D354" s="19" t="s">
        <v>10818</v>
      </c>
      <c r="E354" s="15" t="str">
        <f>HYPERLINK("https://stat100.ameba.jp/tnk47/ratio20/illustrations/card/ill_86063_uotchimeika03.jpg?202011-i_prefecture_active_user", "■")</f>
        <v>■</v>
      </c>
      <c r="F354" s="14" t="s">
        <v>8368</v>
      </c>
      <c r="G354" s="14">
        <v>128160</v>
      </c>
      <c r="H354" s="14">
        <v>137846</v>
      </c>
      <c r="I354" s="14">
        <v>28</v>
      </c>
      <c r="J354" s="14" t="s">
        <v>173</v>
      </c>
      <c r="K354" s="14" t="s">
        <v>8367</v>
      </c>
      <c r="L354" s="14" t="s">
        <v>8366</v>
      </c>
      <c r="M354" s="14" t="s">
        <v>13130</v>
      </c>
      <c r="N354" s="14" t="s">
        <v>343</v>
      </c>
      <c r="O354" s="14" t="s">
        <v>9158</v>
      </c>
      <c r="P354" s="14" t="s">
        <v>9158</v>
      </c>
      <c r="Q354" s="14" t="s">
        <v>9158</v>
      </c>
      <c r="R354" s="14" t="s">
        <v>14748</v>
      </c>
    </row>
    <row r="355" spans="1:18">
      <c r="A355" s="14">
        <v>86062</v>
      </c>
      <c r="B355" s="14" t="s">
        <v>334</v>
      </c>
      <c r="C355" s="14" t="s">
        <v>14</v>
      </c>
      <c r="D355" s="19" t="s">
        <v>10818</v>
      </c>
      <c r="E355" s="15" t="str">
        <f>HYPERLINK("https://stat100.ameba.jp/tnk47/ratio20/illustrations/card/ill_86062_uotchimeika02.jpg?202011-i_prefecture_active_user", "■")</f>
        <v>■</v>
      </c>
      <c r="F355" s="14" t="s">
        <v>8368</v>
      </c>
      <c r="G355" s="14">
        <v>106148</v>
      </c>
      <c r="H355" s="14">
        <v>115230</v>
      </c>
      <c r="I355" s="14">
        <v>28</v>
      </c>
      <c r="J355" s="14" t="s">
        <v>173</v>
      </c>
      <c r="K355" s="14" t="s">
        <v>8367</v>
      </c>
      <c r="L355" s="14" t="s">
        <v>8366</v>
      </c>
      <c r="M355" s="14" t="s">
        <v>13131</v>
      </c>
      <c r="N355" s="14" t="s">
        <v>251</v>
      </c>
      <c r="O355" s="14" t="s">
        <v>9158</v>
      </c>
      <c r="P355" s="14" t="s">
        <v>9158</v>
      </c>
      <c r="Q355" s="14" t="s">
        <v>9158</v>
      </c>
      <c r="R355" s="14" t="s">
        <v>14748</v>
      </c>
    </row>
    <row r="356" spans="1:18">
      <c r="A356" s="14">
        <v>86061</v>
      </c>
      <c r="B356" s="14" t="s">
        <v>0</v>
      </c>
      <c r="C356" s="14" t="s">
        <v>14</v>
      </c>
      <c r="D356" s="19" t="s">
        <v>10818</v>
      </c>
      <c r="E356" s="15" t="str">
        <f>HYPERLINK("https://stat100.ameba.jp/tnk47/ratio20/illustrations/card/ill_86061_uotchimeika01.jpg?202011-i_prefecture_active_user", "■")</f>
        <v>■</v>
      </c>
      <c r="F356" s="14" t="s">
        <v>8368</v>
      </c>
      <c r="G356" s="14">
        <v>81900</v>
      </c>
      <c r="H356" s="14">
        <v>87976</v>
      </c>
      <c r="I356" s="14">
        <v>28</v>
      </c>
      <c r="J356" s="14" t="s">
        <v>173</v>
      </c>
      <c r="K356" s="14" t="s">
        <v>8367</v>
      </c>
      <c r="L356" s="14" t="s">
        <v>8366</v>
      </c>
      <c r="M356" s="14" t="s">
        <v>13131</v>
      </c>
      <c r="N356" s="14" t="s">
        <v>251</v>
      </c>
      <c r="O356" s="14" t="s">
        <v>9158</v>
      </c>
      <c r="P356" s="14" t="s">
        <v>9158</v>
      </c>
      <c r="Q356" s="14" t="s">
        <v>9158</v>
      </c>
      <c r="R356" s="14" t="s">
        <v>14748</v>
      </c>
    </row>
    <row r="357" spans="1:18">
      <c r="A357" s="14">
        <v>86073</v>
      </c>
      <c r="B357" s="14" t="s">
        <v>334</v>
      </c>
      <c r="C357" s="14" t="s">
        <v>23</v>
      </c>
      <c r="D357" s="19" t="s">
        <v>10819</v>
      </c>
      <c r="E357" s="15" t="str">
        <f>HYPERLINK("https://stat100.ameba.jp/tnk47/ratio20/illustrations/card/ill_86073_maddohatta03.jpg?202011-i_prefecture_active_user", "■")</f>
        <v>■</v>
      </c>
      <c r="F357" s="14" t="s">
        <v>8371</v>
      </c>
      <c r="G357" s="14">
        <v>128160</v>
      </c>
      <c r="H357" s="14">
        <v>137846</v>
      </c>
      <c r="I357" s="14">
        <v>28</v>
      </c>
      <c r="J357" s="14" t="s">
        <v>155</v>
      </c>
      <c r="K357" s="14" t="s">
        <v>8370</v>
      </c>
      <c r="L357" s="14" t="s">
        <v>8369</v>
      </c>
      <c r="M357" s="14" t="s">
        <v>13130</v>
      </c>
      <c r="N357" s="14" t="s">
        <v>343</v>
      </c>
      <c r="O357" s="14" t="s">
        <v>9158</v>
      </c>
      <c r="P357" s="14" t="s">
        <v>9158</v>
      </c>
      <c r="Q357" s="14" t="s">
        <v>9158</v>
      </c>
      <c r="R357" s="14" t="s">
        <v>14748</v>
      </c>
    </row>
    <row r="358" spans="1:18">
      <c r="A358" s="14">
        <v>86083</v>
      </c>
      <c r="B358" s="14" t="s">
        <v>334</v>
      </c>
      <c r="C358" s="14" t="s">
        <v>101</v>
      </c>
      <c r="D358" s="19" t="s">
        <v>10820</v>
      </c>
      <c r="E358" s="15" t="str">
        <f>HYPERLINK("https://stat100.ameba.jp/tnk47/ratio20/illustrations/card/ill_86083_keieinochojomeruro03.jpg?202011-i_prefecture_active_user", "■")</f>
        <v>■</v>
      </c>
      <c r="F358" s="14" t="s">
        <v>8375</v>
      </c>
      <c r="G358" s="14">
        <v>137846</v>
      </c>
      <c r="H358" s="14">
        <v>128160</v>
      </c>
      <c r="I358" s="14">
        <v>28</v>
      </c>
      <c r="J358" s="14" t="s">
        <v>229</v>
      </c>
      <c r="K358" s="14" t="s">
        <v>8374</v>
      </c>
      <c r="L358" s="14" t="s">
        <v>8373</v>
      </c>
      <c r="M358" s="14" t="s">
        <v>13130</v>
      </c>
      <c r="N358" s="14" t="s">
        <v>343</v>
      </c>
      <c r="O358" s="14" t="s">
        <v>9158</v>
      </c>
      <c r="P358" s="14" t="s">
        <v>9158</v>
      </c>
      <c r="Q358" s="14" t="s">
        <v>9158</v>
      </c>
      <c r="R358" s="14" t="s">
        <v>14748</v>
      </c>
    </row>
    <row r="359" spans="1:18">
      <c r="A359" s="14">
        <v>86093</v>
      </c>
      <c r="B359" s="14" t="s">
        <v>0</v>
      </c>
      <c r="C359" s="14" t="s">
        <v>96</v>
      </c>
      <c r="D359" s="19" t="s">
        <v>10821</v>
      </c>
      <c r="E359" s="15" t="str">
        <f>HYPERLINK("https://stat100.ameba.jp/tnk47/ratio20/illustrations/card/ill_86093_minamotonoyoshimitsu03.jpg?202011-i_prefecture_active_user", "■")</f>
        <v>■</v>
      </c>
      <c r="F359" s="14" t="s">
        <v>8379</v>
      </c>
      <c r="G359" s="14">
        <v>137846</v>
      </c>
      <c r="H359" s="14">
        <v>128160</v>
      </c>
      <c r="I359" s="14">
        <v>28</v>
      </c>
      <c r="J359" s="14" t="s">
        <v>194</v>
      </c>
      <c r="K359" s="14" t="s">
        <v>8377</v>
      </c>
      <c r="L359" s="14" t="s">
        <v>8376</v>
      </c>
      <c r="M359" s="14" t="s">
        <v>13130</v>
      </c>
      <c r="N359" s="14" t="s">
        <v>343</v>
      </c>
      <c r="O359" s="14" t="s">
        <v>9158</v>
      </c>
      <c r="P359" s="14" t="s">
        <v>9158</v>
      </c>
      <c r="Q359" s="14" t="s">
        <v>9158</v>
      </c>
      <c r="R359" s="14" t="s">
        <v>14748</v>
      </c>
    </row>
    <row r="360" spans="1:18">
      <c r="A360" s="14">
        <v>86103</v>
      </c>
      <c r="B360" s="14" t="s">
        <v>334</v>
      </c>
      <c r="C360" s="14" t="s">
        <v>205</v>
      </c>
      <c r="D360" s="19" t="s">
        <v>10822</v>
      </c>
      <c r="E360" s="15" t="str">
        <f>HYPERLINK("https://stat100.ameba.jp/tnk47/ratio20/illustrations/card/ill_86103_omatsudaimyojin03.jpg?202011-i_prefecture_active_user", "■")</f>
        <v>■</v>
      </c>
      <c r="F360" s="14" t="s">
        <v>8383</v>
      </c>
      <c r="G360" s="14">
        <v>137846</v>
      </c>
      <c r="H360" s="14">
        <v>128160</v>
      </c>
      <c r="I360" s="14">
        <v>28</v>
      </c>
      <c r="J360" s="14" t="s">
        <v>169</v>
      </c>
      <c r="K360" s="14" t="s">
        <v>8381</v>
      </c>
      <c r="L360" s="14" t="s">
        <v>8380</v>
      </c>
      <c r="M360" s="14" t="s">
        <v>13130</v>
      </c>
      <c r="N360" s="14" t="s">
        <v>343</v>
      </c>
      <c r="O360" s="14" t="s">
        <v>9158</v>
      </c>
      <c r="P360" s="14" t="s">
        <v>9158</v>
      </c>
      <c r="Q360" s="14" t="s">
        <v>9158</v>
      </c>
      <c r="R360" s="14" t="s">
        <v>14748</v>
      </c>
    </row>
    <row r="361" spans="1:18">
      <c r="A361" s="14">
        <v>86113</v>
      </c>
      <c r="B361" s="14" t="s">
        <v>334</v>
      </c>
      <c r="C361" s="14" t="s">
        <v>107</v>
      </c>
      <c r="D361" s="19" t="s">
        <v>10823</v>
      </c>
      <c r="E361" s="15" t="str">
        <f>HYPERLINK("https://stat100.ameba.jp/tnk47/ratio20/illustrations/card/ill_86113_yuno03.jpg?202011-i_prefecture_active_user", "■")</f>
        <v>■</v>
      </c>
      <c r="F361" s="14" t="s">
        <v>8387</v>
      </c>
      <c r="G361" s="14">
        <v>128160</v>
      </c>
      <c r="H361" s="14">
        <v>137846</v>
      </c>
      <c r="I361" s="14">
        <v>28</v>
      </c>
      <c r="J361" s="14" t="s">
        <v>159</v>
      </c>
      <c r="K361" s="14" t="s">
        <v>8385</v>
      </c>
      <c r="L361" s="14" t="s">
        <v>8384</v>
      </c>
      <c r="M361" s="14" t="s">
        <v>13130</v>
      </c>
      <c r="N361" s="14" t="s">
        <v>343</v>
      </c>
      <c r="O361" s="14" t="s">
        <v>9158</v>
      </c>
      <c r="P361" s="14" t="s">
        <v>9158</v>
      </c>
      <c r="Q361" s="14" t="s">
        <v>9158</v>
      </c>
      <c r="R361" s="14" t="s">
        <v>14748</v>
      </c>
    </row>
    <row r="363" spans="1:18">
      <c r="A363" s="14" t="s">
        <v>15232</v>
      </c>
    </row>
    <row r="364" spans="1:18">
      <c r="A364" s="14" t="s">
        <v>15253</v>
      </c>
    </row>
    <row r="365" spans="1:18">
      <c r="A365" s="14" t="s">
        <v>5724</v>
      </c>
      <c r="B365" s="14" t="s">
        <v>330</v>
      </c>
      <c r="C365" s="14" t="s">
        <v>335</v>
      </c>
      <c r="D365" s="19" t="s">
        <v>698</v>
      </c>
      <c r="E365" s="15" t="str">
        <f>HYPERLINK("https://stat100.ameba.jp/tnk47/ratio20/illustrations/card/ill_66433_0_haroinfujishirogozen03.jpg?202011-i_prefecture_active_user", "■")</f>
        <v>■</v>
      </c>
      <c r="F365" s="14" t="s">
        <v>699</v>
      </c>
      <c r="G365" s="14">
        <v>146892</v>
      </c>
      <c r="H365" s="14">
        <v>158000</v>
      </c>
      <c r="I365" s="14">
        <v>24</v>
      </c>
      <c r="J365" s="14" t="s">
        <v>315</v>
      </c>
      <c r="K365" s="14" t="s">
        <v>700</v>
      </c>
      <c r="L365" s="14" t="s">
        <v>701</v>
      </c>
      <c r="M365" s="14" t="s">
        <v>9158</v>
      </c>
      <c r="N365" s="14" t="s">
        <v>9158</v>
      </c>
      <c r="O365" s="19" t="s">
        <v>10095</v>
      </c>
      <c r="P365" s="14" t="s">
        <v>3345</v>
      </c>
      <c r="Q365" s="14">
        <v>1</v>
      </c>
    </row>
    <row r="366" spans="1:18">
      <c r="A366" s="14" t="s">
        <v>5899</v>
      </c>
      <c r="B366" s="14" t="s">
        <v>330</v>
      </c>
      <c r="C366" s="14" t="s">
        <v>205</v>
      </c>
      <c r="D366" s="20" t="s">
        <v>1559</v>
      </c>
      <c r="E366" s="15" t="str">
        <f>HYPERLINK("https://stat100.ameba.jp/tnk47/ratio20/illustrations/card/ill_73773_0_umibirakiinugamigyobu03.jpg?202011-i_prefecture_active_user", "■")</f>
        <v>■</v>
      </c>
      <c r="F366" s="14" t="s">
        <v>935</v>
      </c>
      <c r="G366" s="14">
        <v>208256</v>
      </c>
      <c r="H366" s="14">
        <v>224000</v>
      </c>
      <c r="I366" s="14">
        <v>24</v>
      </c>
      <c r="J366" s="14" t="s">
        <v>182</v>
      </c>
      <c r="K366" s="14" t="s">
        <v>936</v>
      </c>
      <c r="L366" s="14" t="s">
        <v>13147</v>
      </c>
      <c r="M366" s="14" t="s">
        <v>9158</v>
      </c>
      <c r="N366" s="14" t="s">
        <v>9158</v>
      </c>
      <c r="O366" s="19" t="s">
        <v>2978</v>
      </c>
      <c r="P366" s="14" t="s">
        <v>2979</v>
      </c>
      <c r="Q366" s="14">
        <v>2</v>
      </c>
    </row>
    <row r="367" spans="1:18">
      <c r="A367" s="14" t="s">
        <v>5604</v>
      </c>
      <c r="B367" s="14" t="s">
        <v>330</v>
      </c>
      <c r="C367" s="14" t="s">
        <v>206</v>
      </c>
      <c r="D367" s="19" t="s">
        <v>614</v>
      </c>
      <c r="E367" s="15" t="str">
        <f>HYPERLINK("https://stat100.ameba.jp/tnk47/ratio20/illustrations/card/ill_47263_0_oukyuuatsuhime03.jpg?202011-i_prefecture_active_user", "■")</f>
        <v>■</v>
      </c>
      <c r="F367" s="14" t="s">
        <v>615</v>
      </c>
      <c r="G367" s="14">
        <v>150776</v>
      </c>
      <c r="H367" s="14">
        <v>133938</v>
      </c>
      <c r="I367" s="14">
        <v>24</v>
      </c>
      <c r="J367" s="14" t="s">
        <v>315</v>
      </c>
      <c r="K367" s="14" t="s">
        <v>616</v>
      </c>
      <c r="L367" s="14" t="s">
        <v>617</v>
      </c>
      <c r="M367" s="14" t="s">
        <v>9158</v>
      </c>
      <c r="N367" s="14" t="s">
        <v>9158</v>
      </c>
      <c r="O367" s="14" t="s">
        <v>9158</v>
      </c>
      <c r="P367" s="14" t="s">
        <v>9158</v>
      </c>
      <c r="Q367" s="14" t="s">
        <v>9158</v>
      </c>
    </row>
    <row r="368" spans="1:18">
      <c r="A368" s="14">
        <v>93513</v>
      </c>
      <c r="B368" s="14" t="s">
        <v>0</v>
      </c>
      <c r="C368" s="14" t="s">
        <v>15195</v>
      </c>
      <c r="D368" s="14" t="s">
        <v>15194</v>
      </c>
      <c r="E368" s="15" t="str">
        <f>HYPERLINK("https://stat100.ameba.jp/tnk47/ratio20/illustrations/card/ill_93513_kiiui03.jpg?202011-i_prefecture_active_user", "■")</f>
        <v>■</v>
      </c>
      <c r="F368" s="14" t="s">
        <v>15193</v>
      </c>
      <c r="G368" s="14">
        <v>122786</v>
      </c>
      <c r="H368" s="14">
        <v>114176</v>
      </c>
      <c r="I368" s="7">
        <v>26</v>
      </c>
      <c r="J368" s="14" t="s">
        <v>15192</v>
      </c>
      <c r="K368" s="14" t="s">
        <v>15191</v>
      </c>
      <c r="L368" s="14" t="s">
        <v>15190</v>
      </c>
      <c r="M368" s="14" t="s">
        <v>9158</v>
      </c>
      <c r="N368" s="14" t="s">
        <v>9158</v>
      </c>
      <c r="O368" s="14" t="s">
        <v>9158</v>
      </c>
      <c r="P368" s="14" t="s">
        <v>9158</v>
      </c>
      <c r="Q368" s="14" t="s">
        <v>9158</v>
      </c>
    </row>
    <row r="369" spans="1:17">
      <c r="A369" s="14">
        <v>92663</v>
      </c>
      <c r="B369" s="14" t="s">
        <v>15</v>
      </c>
      <c r="C369" s="14" t="s">
        <v>15201</v>
      </c>
      <c r="D369" s="14" t="s">
        <v>15200</v>
      </c>
      <c r="E369" s="15" t="str">
        <f>HYPERLINK("https://stat100.ameba.jp/tnk47/ratio20/illustrations/card/ill_92663_fushiginokuninokingyonota03.jpg?202011-i_prefecture_active_user", "■")</f>
        <v>■</v>
      </c>
      <c r="F369" s="14" t="s">
        <v>15199</v>
      </c>
      <c r="G369" s="14">
        <v>69898</v>
      </c>
      <c r="H369" s="14">
        <v>77064</v>
      </c>
      <c r="I369" s="7">
        <v>26</v>
      </c>
      <c r="J369" s="14" t="s">
        <v>15198</v>
      </c>
      <c r="K369" s="14" t="s">
        <v>15197</v>
      </c>
      <c r="L369" s="14" t="s">
        <v>15196</v>
      </c>
      <c r="M369" s="14" t="s">
        <v>9158</v>
      </c>
      <c r="N369" s="14" t="s">
        <v>9158</v>
      </c>
      <c r="O369" s="14" t="s">
        <v>9158</v>
      </c>
      <c r="P369" s="14" t="s">
        <v>9158</v>
      </c>
      <c r="Q369" s="14" t="s">
        <v>9158</v>
      </c>
    </row>
    <row r="370" spans="1:17">
      <c r="A370" s="14">
        <v>92673</v>
      </c>
      <c r="B370" s="14" t="s">
        <v>22</v>
      </c>
      <c r="C370" s="14" t="s">
        <v>15207</v>
      </c>
      <c r="D370" s="14" t="s">
        <v>15206</v>
      </c>
      <c r="E370" s="15" t="str">
        <f>HYPERLINK("https://stat100.ameba.jp/tnk47/ratio20/illustrations/card/ill_92673_hayaakitsuhimenomikoto03.jpg?202011-i_prefecture_active_user", "■")</f>
        <v>■</v>
      </c>
      <c r="F370" s="14" t="s">
        <v>15205</v>
      </c>
      <c r="G370" s="14">
        <v>54058</v>
      </c>
      <c r="H370" s="14">
        <v>44948</v>
      </c>
      <c r="I370" s="7">
        <v>26</v>
      </c>
      <c r="J370" s="14" t="s">
        <v>15204</v>
      </c>
      <c r="K370" s="14" t="s">
        <v>15203</v>
      </c>
      <c r="L370" s="14" t="s">
        <v>15202</v>
      </c>
      <c r="M370" s="14" t="s">
        <v>9158</v>
      </c>
      <c r="N370" s="14" t="s">
        <v>9158</v>
      </c>
      <c r="O370" s="14" t="s">
        <v>9158</v>
      </c>
      <c r="P370" s="14" t="s">
        <v>9158</v>
      </c>
      <c r="Q370" s="14" t="s">
        <v>9158</v>
      </c>
    </row>
    <row r="371" spans="1:17">
      <c r="A371" s="14">
        <v>92683</v>
      </c>
      <c r="B371" s="14" t="s">
        <v>22</v>
      </c>
      <c r="C371" s="14" t="s">
        <v>15212</v>
      </c>
      <c r="D371" s="14" t="s">
        <v>15211</v>
      </c>
      <c r="E371" s="15" t="str">
        <f>HYPERLINK("https://stat100.ameba.jp/tnk47/ratio20/illustrations/card/ill_92683_shirahime03.jpg?202011-i_prefecture_active_user", "■")</f>
        <v>■</v>
      </c>
      <c r="F371" s="14" t="s">
        <v>15210</v>
      </c>
      <c r="G371" s="14">
        <v>44948</v>
      </c>
      <c r="H371" s="14">
        <v>54058</v>
      </c>
      <c r="I371" s="7">
        <v>26</v>
      </c>
      <c r="J371" s="14" t="s">
        <v>15204</v>
      </c>
      <c r="K371" s="14" t="s">
        <v>15209</v>
      </c>
      <c r="L371" s="14" t="s">
        <v>15208</v>
      </c>
      <c r="M371" s="14" t="s">
        <v>9158</v>
      </c>
      <c r="N371" s="14" t="s">
        <v>9158</v>
      </c>
      <c r="O371" s="14" t="s">
        <v>9158</v>
      </c>
      <c r="P371" s="14" t="s">
        <v>9158</v>
      </c>
      <c r="Q371" s="14" t="s">
        <v>9158</v>
      </c>
    </row>
    <row r="373" spans="1:17">
      <c r="A373" s="14" t="s">
        <v>15254</v>
      </c>
    </row>
    <row r="374" spans="1:17">
      <c r="A374" s="14" t="s">
        <v>15255</v>
      </c>
    </row>
    <row r="375" spans="1:17">
      <c r="A375" s="9" t="s">
        <v>9325</v>
      </c>
      <c r="B375" s="7" t="s">
        <v>52</v>
      </c>
      <c r="C375" s="9" t="s">
        <v>202</v>
      </c>
      <c r="D375" s="19" t="s">
        <v>10947</v>
      </c>
      <c r="E375" s="15" t="str">
        <f>HYPERLINK("https://stat100.ameba.jp/tnk47/ratio20/illustrations/card/ill_86893_0_chokonohisukeban03.jpg?202011-i_prefecture_active_user", "■")</f>
        <v>■</v>
      </c>
      <c r="F375" s="14" t="s">
        <v>9332</v>
      </c>
      <c r="G375" s="9">
        <v>351727</v>
      </c>
      <c r="H375" s="9">
        <v>317873</v>
      </c>
      <c r="I375" s="7">
        <v>27</v>
      </c>
      <c r="J375" s="9" t="s">
        <v>187</v>
      </c>
      <c r="K375" s="14" t="s">
        <v>9330</v>
      </c>
      <c r="L375" s="14" t="s">
        <v>9331</v>
      </c>
      <c r="M375" s="14" t="s">
        <v>9158</v>
      </c>
      <c r="N375" s="14" t="s">
        <v>9158</v>
      </c>
      <c r="O375" s="19" t="s">
        <v>10136</v>
      </c>
      <c r="P375" s="7" t="s">
        <v>9324</v>
      </c>
      <c r="Q375" s="7">
        <v>1</v>
      </c>
    </row>
    <row r="376" spans="1:17">
      <c r="A376" s="14" t="s">
        <v>7150</v>
      </c>
      <c r="B376" s="14" t="s">
        <v>52</v>
      </c>
      <c r="C376" s="14" t="s">
        <v>202</v>
      </c>
      <c r="D376" s="20" t="s">
        <v>10656</v>
      </c>
      <c r="E376" s="15" t="str">
        <f>HYPERLINK("https://stat100.ameba.jp/tnk47/ratio20/illustrations/card/ill_84203_0_tarottofujiwaranoshoshi03.jpg?202011-i_prefecture_active_user", "■")</f>
        <v>■</v>
      </c>
      <c r="F376" s="14" t="s">
        <v>7153</v>
      </c>
      <c r="G376" s="14">
        <v>397406</v>
      </c>
      <c r="H376" s="14">
        <v>359198</v>
      </c>
      <c r="I376" s="14">
        <v>27</v>
      </c>
      <c r="J376" s="14" t="s">
        <v>10</v>
      </c>
      <c r="K376" s="14" t="s">
        <v>7152</v>
      </c>
      <c r="L376" s="14" t="s">
        <v>7151</v>
      </c>
      <c r="M376" s="14" t="s">
        <v>9158</v>
      </c>
      <c r="N376" s="14" t="s">
        <v>9158</v>
      </c>
      <c r="O376" s="19" t="s">
        <v>10128</v>
      </c>
      <c r="P376" s="14" t="s">
        <v>7154</v>
      </c>
      <c r="Q376" s="14">
        <v>1</v>
      </c>
    </row>
    <row r="377" spans="1:17">
      <c r="A377" s="14" t="s">
        <v>5627</v>
      </c>
      <c r="B377" s="14" t="s">
        <v>330</v>
      </c>
      <c r="C377" s="14" t="s">
        <v>191</v>
      </c>
      <c r="D377" s="19" t="s">
        <v>393</v>
      </c>
      <c r="E377" s="15" t="str">
        <f>HYPERLINK("https://stat100.ameba.jp/tnk47/ratio20/illustrations/card/ill_46283_0_odanobunaga03.jpg?202011-i_prefecture_active_user", "■")</f>
        <v>■</v>
      </c>
      <c r="F377" s="14" t="s">
        <v>1073</v>
      </c>
      <c r="G377" s="14">
        <v>147980</v>
      </c>
      <c r="H377" s="14">
        <v>158004</v>
      </c>
      <c r="I377" s="14">
        <v>27</v>
      </c>
      <c r="J377" s="14" t="s">
        <v>143</v>
      </c>
      <c r="K377" s="14" t="s">
        <v>1074</v>
      </c>
      <c r="L377" s="14" t="s">
        <v>1075</v>
      </c>
      <c r="M377" s="14" t="s">
        <v>9158</v>
      </c>
      <c r="N377" s="14" t="s">
        <v>9158</v>
      </c>
      <c r="O377" s="14" t="s">
        <v>9158</v>
      </c>
      <c r="P377" s="14" t="s">
        <v>9158</v>
      </c>
      <c r="Q377" s="14" t="s">
        <v>9158</v>
      </c>
    </row>
    <row r="378" spans="1:17">
      <c r="A378" s="9">
        <v>85363</v>
      </c>
      <c r="B378" s="9" t="s">
        <v>0</v>
      </c>
      <c r="C378" s="9" t="s">
        <v>158</v>
      </c>
      <c r="D378" s="19" t="s">
        <v>10708</v>
      </c>
      <c r="E378" s="15" t="str">
        <f>HYPERLINK("https://stat100.ameba.jp/tnk47/ratio20/illustrations/card/ill_85363_sukarunetaisa03.jpg?202011-i_prefecture_active_user", "■")</f>
        <v>■</v>
      </c>
      <c r="F378" s="9" t="s">
        <v>7506</v>
      </c>
      <c r="G378" s="9">
        <v>130113</v>
      </c>
      <c r="H378" s="9">
        <v>179634</v>
      </c>
      <c r="I378" s="9">
        <v>27</v>
      </c>
      <c r="J378" s="9" t="s">
        <v>194</v>
      </c>
      <c r="K378" s="9" t="s">
        <v>7504</v>
      </c>
      <c r="L378" s="9" t="s">
        <v>1148</v>
      </c>
      <c r="M378" s="14" t="s">
        <v>9864</v>
      </c>
      <c r="N378" s="14" t="s">
        <v>9158</v>
      </c>
      <c r="O378" s="19" t="s">
        <v>10106</v>
      </c>
      <c r="P378" s="14" t="s">
        <v>3330</v>
      </c>
      <c r="Q378" s="14">
        <v>2</v>
      </c>
    </row>
    <row r="379" spans="1:17">
      <c r="A379" s="14">
        <v>84643</v>
      </c>
      <c r="B379" s="14" t="s">
        <v>0</v>
      </c>
      <c r="C379" s="14" t="s">
        <v>203</v>
      </c>
      <c r="D379" s="20" t="s">
        <v>10605</v>
      </c>
      <c r="E379" s="15" t="str">
        <f>HYPERLINK("https://stat100.ameba.jp/tnk47/ratio20/illustrations/card/ill_84643_rikayaojo03.jpg?202011-i_prefecture_active_user", "■")</f>
        <v>■</v>
      </c>
      <c r="F379" s="14" t="s">
        <v>6853</v>
      </c>
      <c r="G379" s="14">
        <v>179634</v>
      </c>
      <c r="H379" s="14">
        <v>130113</v>
      </c>
      <c r="I379" s="14">
        <v>27</v>
      </c>
      <c r="J379" s="14" t="s">
        <v>315</v>
      </c>
      <c r="K379" s="14" t="s">
        <v>6852</v>
      </c>
      <c r="L379" s="14" t="s">
        <v>6851</v>
      </c>
      <c r="M379" s="14" t="s">
        <v>9158</v>
      </c>
      <c r="N379" s="14" t="s">
        <v>9158</v>
      </c>
      <c r="O379" s="19" t="s">
        <v>10082</v>
      </c>
      <c r="P379" s="14" t="s">
        <v>13124</v>
      </c>
      <c r="Q379" s="14">
        <v>1</v>
      </c>
    </row>
    <row r="380" spans="1:17">
      <c r="A380" s="14">
        <v>63273</v>
      </c>
      <c r="B380" s="14" t="s">
        <v>334</v>
      </c>
      <c r="C380" s="14" t="s">
        <v>158</v>
      </c>
      <c r="D380" s="19" t="s">
        <v>828</v>
      </c>
      <c r="E380" s="15" t="str">
        <f>HYPERLINK("https://stat100.ameba.jp/tnk47/ratio20/illustrations/card/ill_63273_tsukushimai03.jpg?202011-i_prefecture_active_user", "■")</f>
        <v>■</v>
      </c>
      <c r="F380" s="14" t="s">
        <v>1211</v>
      </c>
      <c r="G380" s="14">
        <v>137786</v>
      </c>
      <c r="H380" s="14">
        <v>99796</v>
      </c>
      <c r="I380" s="9">
        <v>27</v>
      </c>
      <c r="J380" s="14" t="s">
        <v>38</v>
      </c>
      <c r="K380" s="14" t="s">
        <v>1212</v>
      </c>
      <c r="L380" s="14" t="s">
        <v>1213</v>
      </c>
      <c r="M380" s="14" t="s">
        <v>9158</v>
      </c>
      <c r="N380" s="14" t="s">
        <v>9158</v>
      </c>
      <c r="O380" s="19" t="s">
        <v>10110</v>
      </c>
      <c r="P380" s="14" t="s">
        <v>13128</v>
      </c>
      <c r="Q380" s="14">
        <v>1</v>
      </c>
    </row>
    <row r="381" spans="1:17">
      <c r="A381" s="14">
        <v>83083</v>
      </c>
      <c r="B381" s="14" t="s">
        <v>0</v>
      </c>
      <c r="C381" s="14" t="s">
        <v>209</v>
      </c>
      <c r="D381" s="20" t="s">
        <v>10469</v>
      </c>
      <c r="E381" s="15" t="str">
        <f>HYPERLINK("https://stat100.ameba.jp/tnk47/ratio20/illustrations/card/ill_83083_burakkukingu03.jpg?202011-i_prefecture_active_user", "■")</f>
        <v>■</v>
      </c>
      <c r="F381" s="14" t="s">
        <v>6093</v>
      </c>
      <c r="G381" s="14">
        <v>130113</v>
      </c>
      <c r="H381" s="14">
        <v>179634</v>
      </c>
      <c r="I381" s="14">
        <v>27</v>
      </c>
      <c r="J381" s="14" t="s">
        <v>194</v>
      </c>
      <c r="K381" s="14" t="s">
        <v>6095</v>
      </c>
      <c r="L381" s="14" t="s">
        <v>1148</v>
      </c>
      <c r="M381" s="14" t="s">
        <v>9158</v>
      </c>
      <c r="N381" s="14" t="s">
        <v>9158</v>
      </c>
      <c r="O381" s="19" t="s">
        <v>10117</v>
      </c>
      <c r="P381" s="14" t="s">
        <v>3625</v>
      </c>
      <c r="Q381" s="14">
        <v>1</v>
      </c>
    </row>
    <row r="382" spans="1:17">
      <c r="A382" s="14">
        <v>75083</v>
      </c>
      <c r="B382" s="14" t="s">
        <v>334</v>
      </c>
      <c r="C382" s="14" t="s">
        <v>209</v>
      </c>
      <c r="D382" s="19" t="s">
        <v>10401</v>
      </c>
      <c r="E382" s="15" t="str">
        <f>HYPERLINK("https://stat100.ameba.jp/tnk47/ratio20/illustrations/card/ill_75083_sukumizuhanakosan03.jpg?202011-i_prefecture_active_user", "■")</f>
        <v>■</v>
      </c>
      <c r="F382" s="14" t="s">
        <v>1020</v>
      </c>
      <c r="G382" s="14">
        <v>125903</v>
      </c>
      <c r="H382" s="14">
        <v>91212</v>
      </c>
      <c r="I382" s="9">
        <v>27</v>
      </c>
      <c r="J382" s="14" t="s">
        <v>73</v>
      </c>
      <c r="K382" s="14" t="s">
        <v>1021</v>
      </c>
      <c r="L382" s="14" t="s">
        <v>1022</v>
      </c>
      <c r="M382" s="14" t="s">
        <v>9158</v>
      </c>
      <c r="N382" s="14" t="s">
        <v>9158</v>
      </c>
      <c r="O382" s="19" t="s">
        <v>10105</v>
      </c>
      <c r="P382" s="14" t="s">
        <v>3416</v>
      </c>
      <c r="Q382" s="14">
        <v>1</v>
      </c>
    </row>
    <row r="383" spans="1:17">
      <c r="A383" s="14">
        <v>78873</v>
      </c>
      <c r="B383" s="14" t="s">
        <v>334</v>
      </c>
      <c r="C383" s="14" t="s">
        <v>209</v>
      </c>
      <c r="D383" s="19" t="s">
        <v>2818</v>
      </c>
      <c r="E383" s="15" t="str">
        <f>HYPERLINK("https://stat100.ameba.jp/tnk47/ratio20/illustrations/card/ill_78873_furutsutomato03.jpg?202011-i_prefecture_active_user", "■")</f>
        <v>■</v>
      </c>
      <c r="F383" s="14" t="s">
        <v>2819</v>
      </c>
      <c r="G383" s="14">
        <v>103361</v>
      </c>
      <c r="H383" s="14">
        <v>142716</v>
      </c>
      <c r="I383" s="14">
        <v>27</v>
      </c>
      <c r="J383" s="14" t="s">
        <v>283</v>
      </c>
      <c r="K383" s="14" t="s">
        <v>2820</v>
      </c>
      <c r="L383" s="14" t="s">
        <v>2821</v>
      </c>
      <c r="M383" s="14" t="s">
        <v>9158</v>
      </c>
      <c r="N383" s="14" t="s">
        <v>9158</v>
      </c>
      <c r="O383" s="19" t="s">
        <v>10074</v>
      </c>
      <c r="P383" s="14" t="s">
        <v>2822</v>
      </c>
      <c r="Q383" s="14">
        <v>1</v>
      </c>
    </row>
    <row r="385" spans="1:19">
      <c r="A385" s="14" t="s">
        <v>4012</v>
      </c>
    </row>
    <row r="386" spans="1:19">
      <c r="A386" s="14" t="s">
        <v>15256</v>
      </c>
    </row>
    <row r="387" spans="1:19">
      <c r="A387" s="14" t="s">
        <v>5615</v>
      </c>
      <c r="B387" s="14" t="s">
        <v>330</v>
      </c>
      <c r="C387" s="14" t="s">
        <v>206</v>
      </c>
      <c r="D387" s="20" t="s">
        <v>2814</v>
      </c>
      <c r="E387" s="15" t="str">
        <f>HYPERLINK("https://stat100.ameba.jp/tnk47/ratio20/illustrations/card/ill_57733_0_shogatsunisenjunanaamakusashiro03.jpg?202011-i_prefecture_active_user", "■")</f>
        <v>■</v>
      </c>
      <c r="F387" s="14" t="s">
        <v>2815</v>
      </c>
      <c r="G387" s="14">
        <v>150680</v>
      </c>
      <c r="H387" s="14">
        <v>169624</v>
      </c>
      <c r="I387" s="14">
        <v>27</v>
      </c>
      <c r="J387" s="14" t="s">
        <v>351</v>
      </c>
      <c r="K387" s="14" t="s">
        <v>2816</v>
      </c>
      <c r="L387" s="14" t="s">
        <v>2817</v>
      </c>
      <c r="M387" s="14" t="s">
        <v>9158</v>
      </c>
      <c r="N387" s="14" t="s">
        <v>9158</v>
      </c>
      <c r="O387" s="19" t="s">
        <v>10077</v>
      </c>
      <c r="P387" s="14" t="s">
        <v>3062</v>
      </c>
      <c r="Q387" s="14">
        <v>1</v>
      </c>
    </row>
    <row r="388" spans="1:19">
      <c r="A388" s="14" t="s">
        <v>5607</v>
      </c>
      <c r="B388" s="14" t="s">
        <v>330</v>
      </c>
      <c r="C388" s="14" t="s">
        <v>200</v>
      </c>
      <c r="D388" s="19" t="s">
        <v>421</v>
      </c>
      <c r="E388" s="15" t="str">
        <f>HYPERLINK("https://stat100.ameba.jp/tnk47/ratio20/illustrations/card/ill_58853_0_setsubumpanikkuhiratsukaraicho03.jpg?202011-i_prefecture_active_user", "■")</f>
        <v>■</v>
      </c>
      <c r="F388" s="14" t="s">
        <v>1040</v>
      </c>
      <c r="G388" s="14">
        <v>169624</v>
      </c>
      <c r="H388" s="14">
        <v>150680</v>
      </c>
      <c r="I388" s="14">
        <v>27</v>
      </c>
      <c r="J388" s="14" t="s">
        <v>16</v>
      </c>
      <c r="K388" s="14" t="s">
        <v>1041</v>
      </c>
      <c r="L388" s="14" t="s">
        <v>1042</v>
      </c>
      <c r="M388" s="14" t="s">
        <v>9158</v>
      </c>
      <c r="N388" s="14" t="s">
        <v>9158</v>
      </c>
      <c r="O388" s="19" t="s">
        <v>10075</v>
      </c>
      <c r="P388" s="14" t="s">
        <v>2870</v>
      </c>
      <c r="Q388" s="14">
        <v>1</v>
      </c>
    </row>
    <row r="389" spans="1:19">
      <c r="A389" s="14" t="s">
        <v>5622</v>
      </c>
      <c r="B389" s="14" t="s">
        <v>330</v>
      </c>
      <c r="C389" s="14" t="s">
        <v>335</v>
      </c>
      <c r="D389" s="19" t="s">
        <v>1043</v>
      </c>
      <c r="E389" s="15" t="str">
        <f>HYPERLINK("https://stat100.ameba.jp/tnk47/ratio20/illustrations/card/ill_49953_0_yushamarihime03.jpg?202011-i_prefecture_active_user", "■")</f>
        <v>■</v>
      </c>
      <c r="F389" s="14" t="s">
        <v>510</v>
      </c>
      <c r="G389" s="14">
        <v>169624</v>
      </c>
      <c r="H389" s="14">
        <v>150680</v>
      </c>
      <c r="I389" s="14">
        <v>27</v>
      </c>
      <c r="J389" s="14" t="s">
        <v>315</v>
      </c>
      <c r="K389" s="14" t="s">
        <v>511</v>
      </c>
      <c r="L389" s="14" t="s">
        <v>512</v>
      </c>
      <c r="M389" s="14" t="s">
        <v>9158</v>
      </c>
      <c r="N389" s="14" t="s">
        <v>9158</v>
      </c>
      <c r="O389" s="14" t="s">
        <v>9158</v>
      </c>
      <c r="P389" s="14" t="s">
        <v>9158</v>
      </c>
      <c r="Q389" s="14" t="s">
        <v>9158</v>
      </c>
    </row>
    <row r="390" spans="1:19">
      <c r="A390" s="14">
        <v>84773</v>
      </c>
      <c r="B390" s="14" t="s">
        <v>0</v>
      </c>
      <c r="C390" s="14" t="s">
        <v>15265</v>
      </c>
      <c r="D390" s="14" t="s">
        <v>15264</v>
      </c>
      <c r="E390" s="15" t="str">
        <f>HYPERLINK("https://stat100.ameba.jp/tnk47/ratio20/illustrations/card/ill_84773_yukimomijiizumonokuni03.jpg?202011-i_prefecture_active_user", "■")</f>
        <v>■</v>
      </c>
      <c r="F390" s="14" t="s">
        <v>15263</v>
      </c>
      <c r="G390" s="14">
        <v>110364</v>
      </c>
      <c r="H390" s="14">
        <v>102586</v>
      </c>
      <c r="I390" s="14">
        <v>27</v>
      </c>
      <c r="J390" s="14" t="s">
        <v>15262</v>
      </c>
      <c r="K390" s="14" t="s">
        <v>15261</v>
      </c>
      <c r="L390" s="14" t="s">
        <v>15260</v>
      </c>
      <c r="M390" s="14" t="s">
        <v>9158</v>
      </c>
      <c r="N390" s="14" t="s">
        <v>9158</v>
      </c>
      <c r="O390" s="14" t="s">
        <v>9158</v>
      </c>
      <c r="P390" s="14" t="s">
        <v>9158</v>
      </c>
      <c r="Q390" s="14" t="s">
        <v>9158</v>
      </c>
      <c r="S390" s="14" t="s">
        <v>15294</v>
      </c>
    </row>
    <row r="391" spans="1:19">
      <c r="A391" s="14">
        <v>84533</v>
      </c>
      <c r="B391" s="14" t="s">
        <v>334</v>
      </c>
      <c r="C391" s="14" t="s">
        <v>15271</v>
      </c>
      <c r="D391" s="14" t="s">
        <v>15270</v>
      </c>
      <c r="E391" s="15" t="str">
        <f>HYPERLINK("https://stat100.ameba.jp/tnk47/ratio20/illustrations/card/ill_84533_sarugundannene03.jpg?202011-i_prefecture_active_user", "■")</f>
        <v>■</v>
      </c>
      <c r="F391" s="14" t="s">
        <v>15269</v>
      </c>
      <c r="G391" s="14">
        <v>98019</v>
      </c>
      <c r="H391" s="14">
        <v>105465</v>
      </c>
      <c r="I391" s="14">
        <v>27</v>
      </c>
      <c r="J391" s="14" t="s">
        <v>15268</v>
      </c>
      <c r="K391" s="14" t="s">
        <v>15267</v>
      </c>
      <c r="L391" s="14" t="s">
        <v>15266</v>
      </c>
      <c r="M391" s="14" t="s">
        <v>9158</v>
      </c>
      <c r="N391" s="14" t="s">
        <v>9158</v>
      </c>
      <c r="O391" s="14" t="s">
        <v>9158</v>
      </c>
      <c r="P391" s="14" t="s">
        <v>9158</v>
      </c>
      <c r="Q391" s="14" t="s">
        <v>9158</v>
      </c>
      <c r="S391" s="14" t="s">
        <v>15295</v>
      </c>
    </row>
    <row r="392" spans="1:19">
      <c r="A392" s="14">
        <v>85283</v>
      </c>
      <c r="B392" s="14" t="s">
        <v>334</v>
      </c>
      <c r="C392" s="14" t="s">
        <v>15277</v>
      </c>
      <c r="D392" s="14" t="s">
        <v>15276</v>
      </c>
      <c r="E392" s="15" t="str">
        <f>HYPERLINK("https://stat100.ameba.jp/tnk47/ratio20/illustrations/card/ill_85283_chukahantenramunechan03.jpg?202011-i_prefecture_active_user", "■")</f>
        <v>■</v>
      </c>
      <c r="F392" s="14" t="s">
        <v>15275</v>
      </c>
      <c r="G392" s="14">
        <v>127507</v>
      </c>
      <c r="H392" s="14">
        <v>118568</v>
      </c>
      <c r="I392" s="14">
        <v>27</v>
      </c>
      <c r="J392" s="14" t="s">
        <v>15274</v>
      </c>
      <c r="K392" s="14" t="s">
        <v>15273</v>
      </c>
      <c r="L392" s="14" t="s">
        <v>15272</v>
      </c>
      <c r="M392" s="14" t="s">
        <v>9158</v>
      </c>
      <c r="N392" s="14" t="s">
        <v>9158</v>
      </c>
      <c r="O392" s="14" t="s">
        <v>9158</v>
      </c>
      <c r="P392" s="14" t="s">
        <v>9158</v>
      </c>
      <c r="Q392" s="14" t="s">
        <v>9158</v>
      </c>
      <c r="S392" s="14" t="s">
        <v>15296</v>
      </c>
    </row>
    <row r="393" spans="1:19">
      <c r="A393" s="14">
        <v>81053</v>
      </c>
      <c r="B393" s="14" t="s">
        <v>15259</v>
      </c>
      <c r="C393" s="14" t="s">
        <v>15283</v>
      </c>
      <c r="D393" s="14" t="s">
        <v>15282</v>
      </c>
      <c r="E393" s="15" t="str">
        <f>HYPERLINK("https://stat100.ameba.jp/tnk47/ratio20/illustrations/card/ill_81053_howaitotaigasan03.jpg?202011-i_prefecture_active_user", "■")</f>
        <v>■</v>
      </c>
      <c r="F393" s="14" t="s">
        <v>15281</v>
      </c>
      <c r="G393" s="14">
        <v>71136</v>
      </c>
      <c r="H393" s="14">
        <v>64520</v>
      </c>
      <c r="I393" s="14">
        <v>24</v>
      </c>
      <c r="J393" s="14" t="s">
        <v>15280</v>
      </c>
      <c r="K393" s="14" t="s">
        <v>15279</v>
      </c>
      <c r="L393" s="14" t="s">
        <v>15278</v>
      </c>
      <c r="M393" s="14" t="s">
        <v>9158</v>
      </c>
      <c r="N393" s="14" t="s">
        <v>9158</v>
      </c>
      <c r="O393" s="14" t="s">
        <v>9158</v>
      </c>
      <c r="P393" s="14" t="s">
        <v>9158</v>
      </c>
      <c r="Q393" s="14" t="s">
        <v>9158</v>
      </c>
      <c r="S393" s="14" t="s">
        <v>15297</v>
      </c>
    </row>
    <row r="394" spans="1:19">
      <c r="A394" s="14">
        <v>83303</v>
      </c>
      <c r="B394" s="14" t="s">
        <v>15259</v>
      </c>
      <c r="C394" s="14" t="s">
        <v>15288</v>
      </c>
      <c r="D394" s="14" t="s">
        <v>15287</v>
      </c>
      <c r="E394" s="15" t="str">
        <f>HYPERLINK("https://stat100.ameba.jp/tnk47/ratio20/illustrations/card/ill_83303_tainokashira03.jpg?202011-i_prefecture_active_user", "■")</f>
        <v>■</v>
      </c>
      <c r="F394" s="14" t="s">
        <v>15286</v>
      </c>
      <c r="G394" s="14">
        <v>71136</v>
      </c>
      <c r="H394" s="14">
        <v>64520</v>
      </c>
      <c r="I394" s="14">
        <v>24</v>
      </c>
      <c r="J394" s="14" t="s">
        <v>15274</v>
      </c>
      <c r="K394" s="14" t="s">
        <v>15285</v>
      </c>
      <c r="L394" s="14" t="s">
        <v>15284</v>
      </c>
      <c r="M394" s="14" t="s">
        <v>9158</v>
      </c>
      <c r="N394" s="14" t="s">
        <v>9158</v>
      </c>
      <c r="O394" s="14" t="s">
        <v>9158</v>
      </c>
      <c r="P394" s="14" t="s">
        <v>9158</v>
      </c>
      <c r="Q394" s="14" t="s">
        <v>9158</v>
      </c>
      <c r="S394" s="14" t="s">
        <v>13755</v>
      </c>
    </row>
    <row r="395" spans="1:19">
      <c r="A395" s="14">
        <v>58173</v>
      </c>
      <c r="B395" s="14" t="s">
        <v>15259</v>
      </c>
      <c r="C395" s="14" t="s">
        <v>15293</v>
      </c>
      <c r="D395" s="14" t="s">
        <v>15292</v>
      </c>
      <c r="E395" s="15" t="str">
        <f>HYPERLINK("https://stat100.ameba.jp/tnk47/ratio20/illustrations/card/ill_58173_yotokuin03.jpg?202011-i_prefecture_active_user", "■")</f>
        <v>■</v>
      </c>
      <c r="F395" s="14" t="s">
        <v>15291</v>
      </c>
      <c r="G395" s="14">
        <v>64520</v>
      </c>
      <c r="H395" s="14">
        <v>71136</v>
      </c>
      <c r="I395" s="14">
        <v>24</v>
      </c>
      <c r="J395" s="14" t="s">
        <v>15268</v>
      </c>
      <c r="K395" s="14" t="s">
        <v>15290</v>
      </c>
      <c r="L395" s="14" t="s">
        <v>15289</v>
      </c>
      <c r="M395" s="14" t="s">
        <v>9158</v>
      </c>
      <c r="N395" s="14" t="s">
        <v>9158</v>
      </c>
      <c r="O395" s="14" t="s">
        <v>9158</v>
      </c>
      <c r="P395" s="14" t="s">
        <v>9158</v>
      </c>
      <c r="Q395" s="14" t="s">
        <v>9158</v>
      </c>
      <c r="S395" s="14" t="s">
        <v>15299</v>
      </c>
    </row>
    <row r="397" spans="1:19">
      <c r="A397" s="14" t="s">
        <v>15257</v>
      </c>
    </row>
    <row r="398" spans="1:19">
      <c r="A398" s="14" t="s">
        <v>15258</v>
      </c>
    </row>
    <row r="399" spans="1:19">
      <c r="A399" s="14" t="s">
        <v>5620</v>
      </c>
      <c r="B399" s="14" t="s">
        <v>52</v>
      </c>
      <c r="C399" s="14" t="s">
        <v>344</v>
      </c>
      <c r="D399" s="19" t="s">
        <v>669</v>
      </c>
      <c r="E399" s="15" t="str">
        <f>HYPERLINK("https://stat100.ameba.jp/tnk47/ratio20/illustrations/card/ill_67173_0_yukemuriawamorichan03.jpg?202011-i_prefecture_active_user", "■")</f>
        <v>■</v>
      </c>
      <c r="F399" s="14" t="s">
        <v>2043</v>
      </c>
      <c r="G399" s="14">
        <v>192083</v>
      </c>
      <c r="H399" s="14">
        <v>178578</v>
      </c>
      <c r="I399" s="14">
        <v>25</v>
      </c>
      <c r="J399" s="14" t="s">
        <v>104</v>
      </c>
      <c r="K399" s="14" t="s">
        <v>2044</v>
      </c>
      <c r="L399" s="14" t="s">
        <v>2045</v>
      </c>
      <c r="M399" s="14" t="s">
        <v>9158</v>
      </c>
      <c r="N399" s="14" t="s">
        <v>9158</v>
      </c>
      <c r="O399" s="19" t="s">
        <v>10087</v>
      </c>
      <c r="P399" s="14" t="s">
        <v>3455</v>
      </c>
      <c r="Q399" s="14">
        <v>1</v>
      </c>
    </row>
    <row r="400" spans="1:19">
      <c r="A400" s="14">
        <v>81313</v>
      </c>
      <c r="B400" s="14" t="s">
        <v>0</v>
      </c>
      <c r="C400" s="14" t="s">
        <v>154</v>
      </c>
      <c r="D400" s="20" t="s">
        <v>10511</v>
      </c>
      <c r="E400" s="15" t="str">
        <f>HYPERLINK("https://stat100.ameba.jp/tnk47/ratio20/illustrations/card/ill_81313_harihara03.jpg?202011-i_prefecture_active_user", "■")</f>
        <v>■</v>
      </c>
      <c r="F400" s="14" t="s">
        <v>4667</v>
      </c>
      <c r="G400" s="14">
        <v>172982</v>
      </c>
      <c r="H400" s="14">
        <v>125296</v>
      </c>
      <c r="I400" s="14">
        <v>26</v>
      </c>
      <c r="J400" s="14" t="s">
        <v>44</v>
      </c>
      <c r="K400" s="14" t="s">
        <v>4668</v>
      </c>
      <c r="L400" s="14" t="s">
        <v>4669</v>
      </c>
      <c r="M400" s="14" t="s">
        <v>9158</v>
      </c>
      <c r="N400" s="14" t="s">
        <v>9158</v>
      </c>
      <c r="O400" s="19" t="s">
        <v>10114</v>
      </c>
      <c r="P400" s="14" t="s">
        <v>3658</v>
      </c>
      <c r="Q400" s="14">
        <v>1</v>
      </c>
    </row>
    <row r="401" spans="1:17">
      <c r="A401" s="14">
        <v>84153</v>
      </c>
      <c r="B401" s="14" t="s">
        <v>0</v>
      </c>
      <c r="C401" s="14" t="s">
        <v>165</v>
      </c>
      <c r="D401" s="20" t="s">
        <v>14065</v>
      </c>
      <c r="E401" s="15" t="str">
        <f>HYPERLINK("https://stat100.ameba.jp/tnk47/ratio20/illustrations/card/ill_84153_tarottotoyotomihideyori03.jpg?202011-i_prefecture_active_user", "■")</f>
        <v>■</v>
      </c>
      <c r="F401" s="14" t="s">
        <v>7155</v>
      </c>
      <c r="G401" s="14">
        <v>154562</v>
      </c>
      <c r="H401" s="14">
        <v>143714</v>
      </c>
      <c r="I401" s="14">
        <v>26</v>
      </c>
      <c r="J401" s="14" t="s">
        <v>143</v>
      </c>
      <c r="K401" s="14" t="s">
        <v>7156</v>
      </c>
      <c r="L401" s="14" t="s">
        <v>145</v>
      </c>
      <c r="M401" s="14" t="s">
        <v>9158</v>
      </c>
      <c r="N401" s="14" t="s">
        <v>9158</v>
      </c>
      <c r="O401" s="19" t="s">
        <v>10090</v>
      </c>
      <c r="P401" s="14" t="s">
        <v>3460</v>
      </c>
      <c r="Q401" s="14">
        <v>1</v>
      </c>
    </row>
    <row r="402" spans="1:17">
      <c r="A402" s="14">
        <v>56443</v>
      </c>
      <c r="B402" s="14" t="s">
        <v>0</v>
      </c>
      <c r="C402" s="14" t="s">
        <v>205</v>
      </c>
      <c r="D402" s="20" t="s">
        <v>10314</v>
      </c>
      <c r="E402" s="15" t="str">
        <f>HYPERLINK("https://stat100.ameba.jp/tnk47/ratio20/illustrations/card/ill_56443_poppukurisumasuizumonokuni03.jpg?202011-i_prefecture_active_user", "■")</f>
        <v>■</v>
      </c>
      <c r="F402" s="14" t="s">
        <v>1151</v>
      </c>
      <c r="G402" s="14">
        <v>93172</v>
      </c>
      <c r="H402" s="14">
        <v>100214</v>
      </c>
      <c r="I402" s="14">
        <v>26</v>
      </c>
      <c r="J402" s="14" t="s">
        <v>10</v>
      </c>
      <c r="K402" s="14" t="s">
        <v>1152</v>
      </c>
      <c r="L402" s="14" t="s">
        <v>1153</v>
      </c>
      <c r="M402" s="14" t="s">
        <v>15298</v>
      </c>
      <c r="N402" s="14" t="s">
        <v>9158</v>
      </c>
      <c r="O402" s="19" t="s">
        <v>10119</v>
      </c>
      <c r="P402" s="14" t="s">
        <v>3662</v>
      </c>
      <c r="Q402" s="14">
        <v>1</v>
      </c>
    </row>
    <row r="404" spans="1:17">
      <c r="A404" s="14" t="s">
        <v>15372</v>
      </c>
    </row>
    <row r="405" spans="1:17">
      <c r="A405" s="14" t="s">
        <v>15373</v>
      </c>
    </row>
    <row r="406" spans="1:17">
      <c r="A406" s="9" t="s">
        <v>5804</v>
      </c>
      <c r="B406" s="14" t="s">
        <v>52</v>
      </c>
      <c r="C406" s="14" t="s">
        <v>14</v>
      </c>
      <c r="D406" s="14" t="s">
        <v>3247</v>
      </c>
      <c r="E406" s="15" t="str">
        <f>HYPERLINK("https://stat100.ameba.jp/tnk47/ratio20/illustrations/card/ill_75393_0_resukuinotsukisamaniittausagi03.jpg?201905-4-RELEASE-guildbattle-410", "■")</f>
        <v>■</v>
      </c>
      <c r="F406" s="14" t="s">
        <v>3248</v>
      </c>
      <c r="G406" s="14">
        <v>227808</v>
      </c>
      <c r="H406" s="14">
        <v>211800</v>
      </c>
      <c r="I406" s="14">
        <v>20</v>
      </c>
      <c r="J406" s="14" t="s">
        <v>26</v>
      </c>
      <c r="K406" s="14" t="s">
        <v>3249</v>
      </c>
      <c r="L406" s="14" t="s">
        <v>3250</v>
      </c>
      <c r="M406" s="14" t="s">
        <v>9158</v>
      </c>
      <c r="N406" s="14" t="s">
        <v>9158</v>
      </c>
      <c r="O406" s="17" t="s">
        <v>10051</v>
      </c>
      <c r="P406" s="14" t="s">
        <v>3251</v>
      </c>
      <c r="Q406" s="14">
        <v>2</v>
      </c>
    </row>
    <row r="407" spans="1:17">
      <c r="A407" s="14">
        <v>92713</v>
      </c>
      <c r="B407" s="14" t="s">
        <v>0</v>
      </c>
      <c r="C407" s="14" t="s">
        <v>15309</v>
      </c>
      <c r="D407" s="14" t="s">
        <v>15378</v>
      </c>
      <c r="E407" s="15" t="str">
        <f>HYPERLINK("https://stat100.ameba.jp/tnk47/ratio20/illustrations/card/ill_92713_doragonraidazona03.jpg?202011-i_prefecture_active_user", "■")</f>
        <v>■</v>
      </c>
      <c r="F407" s="14" t="s">
        <v>15377</v>
      </c>
      <c r="G407" s="14">
        <v>157512</v>
      </c>
      <c r="H407" s="14">
        <v>88642</v>
      </c>
      <c r="I407" s="14">
        <v>28</v>
      </c>
      <c r="J407" s="14" t="s">
        <v>15366</v>
      </c>
      <c r="K407" s="14" t="s">
        <v>15376</v>
      </c>
      <c r="L407" s="14" t="s">
        <v>15375</v>
      </c>
      <c r="M407" s="14" t="s">
        <v>9158</v>
      </c>
      <c r="N407" s="14" t="s">
        <v>9158</v>
      </c>
      <c r="O407" s="14" t="s">
        <v>9158</v>
      </c>
      <c r="P407" s="14" t="s">
        <v>9158</v>
      </c>
      <c r="Q407" s="14" t="s">
        <v>9158</v>
      </c>
    </row>
    <row r="408" spans="1:17">
      <c r="A408" s="14">
        <v>92712</v>
      </c>
      <c r="B408" s="14" t="s">
        <v>0</v>
      </c>
      <c r="C408" s="14" t="s">
        <v>15309</v>
      </c>
      <c r="D408" s="14" t="s">
        <v>15378</v>
      </c>
      <c r="E408" s="15" t="str">
        <f>HYPERLINK("https://stat100.ameba.jp/tnk47/ratio20/illustrations/card/ill_92712_doragonraidazona02.jpg?202011-i_prefecture_active_user", "■")</f>
        <v>■</v>
      </c>
      <c r="F408" s="14" t="s">
        <v>15377</v>
      </c>
      <c r="G408" s="14">
        <v>131106</v>
      </c>
      <c r="H408" s="14">
        <v>73756</v>
      </c>
      <c r="I408" s="14">
        <v>28</v>
      </c>
      <c r="J408" s="14" t="s">
        <v>15366</v>
      </c>
      <c r="K408" s="14" t="s">
        <v>15376</v>
      </c>
      <c r="L408" s="14" t="s">
        <v>15379</v>
      </c>
      <c r="M408" s="14" t="s">
        <v>9158</v>
      </c>
      <c r="N408" s="14" t="s">
        <v>9158</v>
      </c>
      <c r="O408" s="14" t="s">
        <v>9158</v>
      </c>
      <c r="P408" s="14" t="s">
        <v>9158</v>
      </c>
      <c r="Q408" s="14" t="s">
        <v>9158</v>
      </c>
    </row>
    <row r="409" spans="1:17">
      <c r="A409" s="14">
        <v>92711</v>
      </c>
      <c r="B409" s="14" t="s">
        <v>0</v>
      </c>
      <c r="C409" s="14" t="s">
        <v>15309</v>
      </c>
      <c r="D409" s="14" t="s">
        <v>15378</v>
      </c>
      <c r="E409" s="15" t="str">
        <f>HYPERLINK("https://stat100.ameba.jp/tnk47/ratio20/illustrations/card/ill_92711_doragonraidazona01.jpg?202011-i_prefecture_active_user", "■")</f>
        <v>■</v>
      </c>
      <c r="F409" s="14" t="s">
        <v>15377</v>
      </c>
      <c r="G409" s="14">
        <v>100576</v>
      </c>
      <c r="H409" s="14">
        <v>56588</v>
      </c>
      <c r="I409" s="14">
        <v>28</v>
      </c>
      <c r="J409" s="14" t="s">
        <v>15366</v>
      </c>
      <c r="K409" s="14" t="s">
        <v>15376</v>
      </c>
      <c r="L409" s="14" t="s">
        <v>15380</v>
      </c>
      <c r="M409" s="14" t="s">
        <v>9158</v>
      </c>
      <c r="N409" s="14" t="s">
        <v>9158</v>
      </c>
      <c r="O409" s="14" t="s">
        <v>9158</v>
      </c>
      <c r="P409" s="14" t="s">
        <v>9158</v>
      </c>
      <c r="Q409" s="14" t="s">
        <v>9158</v>
      </c>
    </row>
    <row r="410" spans="1:17">
      <c r="A410" s="14">
        <v>92723</v>
      </c>
      <c r="B410" s="14" t="s">
        <v>0</v>
      </c>
      <c r="C410" s="14" t="s">
        <v>15386</v>
      </c>
      <c r="D410" s="14" t="s">
        <v>15385</v>
      </c>
      <c r="E410" s="15" t="str">
        <f>HYPERLINK("https://stat100.ameba.jp/tnk47/ratio20/illustrations/card/ill_92723_doragonraidamirenetonina03.jpg?202011-i_prefecture_active_user", "■")</f>
        <v>■</v>
      </c>
      <c r="F410" s="14" t="s">
        <v>15384</v>
      </c>
      <c r="G410" s="14">
        <v>205568</v>
      </c>
      <c r="H410" s="14">
        <v>115654</v>
      </c>
      <c r="I410" s="14">
        <v>28</v>
      </c>
      <c r="J410" s="14" t="s">
        <v>15383</v>
      </c>
      <c r="K410" s="14" t="s">
        <v>15382</v>
      </c>
      <c r="L410" s="14" t="s">
        <v>15381</v>
      </c>
      <c r="M410" s="14" t="s">
        <v>9158</v>
      </c>
      <c r="N410" s="14" t="s">
        <v>9158</v>
      </c>
      <c r="O410" s="14" t="s">
        <v>9158</v>
      </c>
      <c r="P410" s="14" t="s">
        <v>9158</v>
      </c>
      <c r="Q410" s="14" t="s">
        <v>9158</v>
      </c>
    </row>
    <row r="411" spans="1:17">
      <c r="A411" s="14">
        <v>92722</v>
      </c>
      <c r="B411" s="14" t="s">
        <v>0</v>
      </c>
      <c r="C411" s="14" t="s">
        <v>15386</v>
      </c>
      <c r="D411" s="14" t="s">
        <v>15385</v>
      </c>
      <c r="E411" s="15" t="str">
        <f>HYPERLINK("https://stat100.ameba.jp/tnk47/ratio20/illustrations/card/ill_92722_doragonraidamirenetonina02.jpg?202011-i_prefecture_active_user", "■")</f>
        <v>■</v>
      </c>
      <c r="F411" s="14" t="s">
        <v>15384</v>
      </c>
      <c r="G411" s="14">
        <v>171040</v>
      </c>
      <c r="H411" s="14">
        <v>96252</v>
      </c>
      <c r="I411" s="14">
        <v>28</v>
      </c>
      <c r="J411" s="14" t="s">
        <v>15383</v>
      </c>
      <c r="K411" s="14" t="s">
        <v>15382</v>
      </c>
      <c r="L411" s="14" t="s">
        <v>15387</v>
      </c>
      <c r="M411" s="14" t="s">
        <v>9158</v>
      </c>
      <c r="N411" s="14" t="s">
        <v>9158</v>
      </c>
      <c r="O411" s="14" t="s">
        <v>9158</v>
      </c>
      <c r="P411" s="14" t="s">
        <v>9158</v>
      </c>
      <c r="Q411" s="14" t="s">
        <v>9158</v>
      </c>
    </row>
    <row r="412" spans="1:17">
      <c r="A412" s="14">
        <v>92721</v>
      </c>
      <c r="B412" s="14" t="s">
        <v>0</v>
      </c>
      <c r="C412" s="14" t="s">
        <v>15386</v>
      </c>
      <c r="D412" s="14" t="s">
        <v>15385</v>
      </c>
      <c r="E412" s="15" t="str">
        <f>HYPERLINK("https://stat100.ameba.jp/tnk47/ratio20/illustrations/card/ill_92721_doragonraidamirenetonina01.jpg?202011-i_prefecture_active_user", "■")</f>
        <v>■</v>
      </c>
      <c r="F412" s="14" t="s">
        <v>15384</v>
      </c>
      <c r="G412" s="14">
        <v>131264</v>
      </c>
      <c r="H412" s="14">
        <v>73864</v>
      </c>
      <c r="I412" s="14">
        <v>28</v>
      </c>
      <c r="J412" s="14" t="s">
        <v>15383</v>
      </c>
      <c r="K412" s="14" t="s">
        <v>15382</v>
      </c>
      <c r="L412" s="14" t="s">
        <v>15388</v>
      </c>
      <c r="M412" s="14" t="s">
        <v>9158</v>
      </c>
      <c r="N412" s="14" t="s">
        <v>9158</v>
      </c>
      <c r="O412" s="14" t="s">
        <v>9158</v>
      </c>
      <c r="P412" s="14" t="s">
        <v>9158</v>
      </c>
      <c r="Q412" s="14" t="s">
        <v>9158</v>
      </c>
    </row>
    <row r="414" spans="1:17">
      <c r="A414" s="14" t="s">
        <v>15327</v>
      </c>
    </row>
    <row r="415" spans="1:17">
      <c r="A415" s="14" t="s">
        <v>15374</v>
      </c>
    </row>
    <row r="416" spans="1:17">
      <c r="A416" s="14" t="s">
        <v>7789</v>
      </c>
      <c r="B416" s="14" t="s">
        <v>52</v>
      </c>
      <c r="C416" s="14" t="s">
        <v>202</v>
      </c>
      <c r="D416" s="19" t="s">
        <v>10741</v>
      </c>
      <c r="E416" s="15" t="str">
        <f>HYPERLINK("https://stat100.ameba.jp/tnk47/ratio20/illustrations/card/ill_84923_0_onsengainansosatomihakkenden03.jpg?202003-5-RELEASE-marathon-461xxxx", "■")</f>
        <v>■</v>
      </c>
      <c r="F416" s="14" t="s">
        <v>7792</v>
      </c>
      <c r="G416" s="14">
        <v>288811</v>
      </c>
      <c r="H416" s="14">
        <v>319547</v>
      </c>
      <c r="I416" s="14">
        <v>25</v>
      </c>
      <c r="J416" s="14" t="s">
        <v>155</v>
      </c>
      <c r="K416" s="14" t="s">
        <v>7791</v>
      </c>
      <c r="L416" s="14" t="s">
        <v>7790</v>
      </c>
      <c r="M416" s="14" t="s">
        <v>9158</v>
      </c>
      <c r="N416" s="14" t="s">
        <v>9158</v>
      </c>
      <c r="O416" s="19" t="s">
        <v>10131</v>
      </c>
      <c r="P416" s="14" t="s">
        <v>7793</v>
      </c>
      <c r="Q416" s="14">
        <v>0</v>
      </c>
    </row>
    <row r="417" spans="1:17">
      <c r="A417" s="7">
        <v>85653</v>
      </c>
      <c r="B417" s="7" t="s">
        <v>0</v>
      </c>
      <c r="C417" s="14" t="s">
        <v>158</v>
      </c>
      <c r="D417" s="20" t="s">
        <v>10846</v>
      </c>
      <c r="E417" s="15" t="str">
        <f>HYPERLINK("https://stat100.ameba.jp/tnk47/ratio20/illustrations/card/ill_85653_onashiefumizuno03.jpg?202004-5-RELEASE-marathon-466xxxx", "■")</f>
        <v>■</v>
      </c>
      <c r="F417" s="7" t="s">
        <v>8587</v>
      </c>
      <c r="G417" s="7">
        <v>91876</v>
      </c>
      <c r="H417" s="7">
        <v>126858</v>
      </c>
      <c r="I417" s="7">
        <v>24</v>
      </c>
      <c r="J417" s="7" t="s">
        <v>216</v>
      </c>
      <c r="K417" s="7" t="s">
        <v>8586</v>
      </c>
      <c r="L417" s="7" t="s">
        <v>131</v>
      </c>
      <c r="M417" s="14" t="s">
        <v>9158</v>
      </c>
      <c r="N417" s="14" t="s">
        <v>9158</v>
      </c>
      <c r="O417" s="19" t="s">
        <v>4074</v>
      </c>
      <c r="P417" s="14" t="s">
        <v>3462</v>
      </c>
      <c r="Q417" s="14">
        <v>1</v>
      </c>
    </row>
    <row r="418" spans="1:17">
      <c r="A418" s="14">
        <v>83393</v>
      </c>
      <c r="B418" s="14" t="s">
        <v>334</v>
      </c>
      <c r="C418" s="14" t="s">
        <v>209</v>
      </c>
      <c r="D418" s="20" t="s">
        <v>10381</v>
      </c>
      <c r="E418" s="15" t="str">
        <f>HYPERLINK("https://stat100.ameba.jp/tnk47/ratio20/illustrations/card/ill_83393_rito03.jpg?202007-i_prefecture_active_userx", "■")</f>
        <v>■</v>
      </c>
      <c r="F418" s="14" t="s">
        <v>5735</v>
      </c>
      <c r="G418" s="14">
        <v>122476</v>
      </c>
      <c r="H418" s="14">
        <v>88706</v>
      </c>
      <c r="I418" s="14">
        <v>24</v>
      </c>
      <c r="J418" s="14" t="s">
        <v>38</v>
      </c>
      <c r="K418" s="14" t="s">
        <v>5738</v>
      </c>
      <c r="L418" s="14" t="s">
        <v>5400</v>
      </c>
      <c r="M418" s="14" t="s">
        <v>9158</v>
      </c>
      <c r="N418" s="14" t="s">
        <v>9158</v>
      </c>
      <c r="O418" s="19" t="s">
        <v>10098</v>
      </c>
      <c r="P418" s="14" t="s">
        <v>3491</v>
      </c>
      <c r="Q418" s="14">
        <v>1</v>
      </c>
    </row>
    <row r="419" spans="1:17">
      <c r="A419" s="14">
        <v>64043</v>
      </c>
      <c r="B419" s="14" t="s">
        <v>334</v>
      </c>
      <c r="C419" s="14" t="s">
        <v>209</v>
      </c>
      <c r="D419" s="20" t="s">
        <v>10262</v>
      </c>
      <c r="E419" s="15" t="str">
        <f>HYPERLINK("https://stat100.ameba.jp/tnk47/ratio20/illustrations/card/ill_64043_kegonnotaki03.jpg?202008-i_prefecture_active_userxx", "■")</f>
        <v>■</v>
      </c>
      <c r="F419" s="14" t="s">
        <v>759</v>
      </c>
      <c r="G419" s="14">
        <v>114160</v>
      </c>
      <c r="H419" s="14">
        <v>82694</v>
      </c>
      <c r="I419" s="14">
        <v>24</v>
      </c>
      <c r="J419" s="14" t="s">
        <v>229</v>
      </c>
      <c r="K419" s="14" t="s">
        <v>230</v>
      </c>
      <c r="L419" s="14" t="s">
        <v>13143</v>
      </c>
      <c r="M419" s="14" t="s">
        <v>9158</v>
      </c>
      <c r="N419" s="14" t="s">
        <v>9158</v>
      </c>
      <c r="O419" s="19" t="s">
        <v>10070</v>
      </c>
      <c r="P419" s="14" t="s">
        <v>3579</v>
      </c>
      <c r="Q419" s="14">
        <v>1</v>
      </c>
    </row>
    <row r="421" spans="1:17">
      <c r="A421" s="14" t="s">
        <v>15389</v>
      </c>
    </row>
    <row r="422" spans="1:17">
      <c r="A422" s="14" t="s">
        <v>15390</v>
      </c>
    </row>
    <row r="423" spans="1:17">
      <c r="A423" s="14" t="s">
        <v>5614</v>
      </c>
      <c r="B423" s="14" t="s">
        <v>330</v>
      </c>
      <c r="C423" s="14" t="s">
        <v>267</v>
      </c>
      <c r="D423" s="19" t="s">
        <v>313</v>
      </c>
      <c r="E423" s="15" t="str">
        <f>HYPERLINK("https://stat100.ameba.jp/tnk47/ratio20/illustrations/card/ill_56223_0_onsempanikkugohime03.jpg?202004-i_prefecture_active_user", "■")</f>
        <v>■</v>
      </c>
      <c r="F423" s="14" t="s">
        <v>314</v>
      </c>
      <c r="G423" s="14">
        <v>111616</v>
      </c>
      <c r="H423" s="14">
        <v>125648</v>
      </c>
      <c r="I423" s="14">
        <v>20</v>
      </c>
      <c r="J423" s="14" t="s">
        <v>315</v>
      </c>
      <c r="K423" s="14" t="s">
        <v>316</v>
      </c>
      <c r="L423" s="14" t="s">
        <v>317</v>
      </c>
      <c r="M423" s="14" t="s">
        <v>9158</v>
      </c>
      <c r="N423" s="14" t="s">
        <v>9158</v>
      </c>
      <c r="O423" s="19" t="s">
        <v>3021</v>
      </c>
      <c r="P423" s="14" t="s">
        <v>2890</v>
      </c>
      <c r="Q423" s="14">
        <v>1</v>
      </c>
    </row>
    <row r="424" spans="1:17">
      <c r="A424" s="14">
        <v>92733</v>
      </c>
      <c r="B424" s="7" t="s">
        <v>0</v>
      </c>
      <c r="C424" s="14" t="s">
        <v>15396</v>
      </c>
      <c r="D424" s="14" t="s">
        <v>15395</v>
      </c>
      <c r="E424" s="15" t="str">
        <f>HYPERLINK("https://stat100.ameba.jp/tnk47/ratio20/illustrations/card/ill_92733_ryumainoyambin03.jpg?202011-i_prefecture_active_user", "■")</f>
        <v>■</v>
      </c>
      <c r="F424" s="14" t="s">
        <v>15394</v>
      </c>
      <c r="G424" s="14">
        <v>88642</v>
      </c>
      <c r="H424" s="14">
        <v>157512</v>
      </c>
      <c r="I424" s="14">
        <v>28</v>
      </c>
      <c r="J424" s="14" t="s">
        <v>15393</v>
      </c>
      <c r="K424" s="14" t="s">
        <v>15392</v>
      </c>
      <c r="L424" s="14" t="s">
        <v>15391</v>
      </c>
      <c r="M424" s="14" t="s">
        <v>9158</v>
      </c>
      <c r="N424" s="14" t="s">
        <v>9158</v>
      </c>
      <c r="O424" s="14" t="s">
        <v>9158</v>
      </c>
      <c r="P424" s="14" t="s">
        <v>9158</v>
      </c>
      <c r="Q424" s="14" t="s">
        <v>9158</v>
      </c>
    </row>
    <row r="425" spans="1:17">
      <c r="A425" s="14">
        <v>92732</v>
      </c>
      <c r="B425" s="7" t="s">
        <v>0</v>
      </c>
      <c r="C425" s="14" t="s">
        <v>15396</v>
      </c>
      <c r="D425" s="14" t="s">
        <v>15395</v>
      </c>
      <c r="E425" s="15" t="str">
        <f>HYPERLINK("https://stat100.ameba.jp/tnk47/ratio20/illustrations/card/ill_92732_ryumainoyambin02.jpg?202011-i_prefecture_active_user", "■")</f>
        <v>■</v>
      </c>
      <c r="F425" s="14" t="s">
        <v>15394</v>
      </c>
      <c r="G425" s="14">
        <v>73756</v>
      </c>
      <c r="H425" s="14">
        <v>131106</v>
      </c>
      <c r="I425" s="14">
        <v>28</v>
      </c>
      <c r="J425" s="14" t="s">
        <v>15393</v>
      </c>
      <c r="K425" s="14" t="s">
        <v>15392</v>
      </c>
      <c r="L425" s="14" t="s">
        <v>15397</v>
      </c>
      <c r="M425" s="14" t="s">
        <v>9158</v>
      </c>
      <c r="N425" s="14" t="s">
        <v>9158</v>
      </c>
      <c r="O425" s="14" t="s">
        <v>9158</v>
      </c>
      <c r="P425" s="14" t="s">
        <v>9158</v>
      </c>
      <c r="Q425" s="14" t="s">
        <v>9158</v>
      </c>
    </row>
    <row r="426" spans="1:17">
      <c r="A426" s="14">
        <v>92731</v>
      </c>
      <c r="B426" s="7" t="s">
        <v>0</v>
      </c>
      <c r="C426" s="14" t="s">
        <v>15396</v>
      </c>
      <c r="D426" s="14" t="s">
        <v>15395</v>
      </c>
      <c r="E426" s="15" t="str">
        <f>HYPERLINK("https://stat100.ameba.jp/tnk47/ratio20/illustrations/card/ill_92731_ryumainoyambin01.jpg?202011-i_prefecture_active_user", "■")</f>
        <v>■</v>
      </c>
      <c r="F426" s="14" t="s">
        <v>15394</v>
      </c>
      <c r="G426" s="14">
        <v>56588</v>
      </c>
      <c r="H426" s="14">
        <v>100576</v>
      </c>
      <c r="I426" s="14">
        <v>28</v>
      </c>
      <c r="J426" s="14" t="s">
        <v>15393</v>
      </c>
      <c r="K426" s="14" t="s">
        <v>15392</v>
      </c>
      <c r="L426" s="14" t="s">
        <v>15398</v>
      </c>
      <c r="M426" s="14" t="s">
        <v>9158</v>
      </c>
      <c r="N426" s="14" t="s">
        <v>9158</v>
      </c>
      <c r="O426" s="14" t="s">
        <v>9158</v>
      </c>
      <c r="P426" s="14" t="s">
        <v>9158</v>
      </c>
      <c r="Q426" s="14" t="s">
        <v>9158</v>
      </c>
    </row>
    <row r="427" spans="1:17">
      <c r="A427" s="14">
        <v>92743</v>
      </c>
      <c r="B427" s="7" t="s">
        <v>0</v>
      </c>
      <c r="C427" s="14" t="s">
        <v>15404</v>
      </c>
      <c r="D427" s="14" t="s">
        <v>15403</v>
      </c>
      <c r="E427" s="15" t="str">
        <f>HYPERLINK("https://stat100.ameba.jp/tnk47/ratio20/illustrations/card/ill_92743_hozukinokagachi03.jpg?202011-i_prefecture_active_user", "■")</f>
        <v>■</v>
      </c>
      <c r="F427" s="14" t="s">
        <v>15402</v>
      </c>
      <c r="G427" s="14">
        <v>79346</v>
      </c>
      <c r="H427" s="14">
        <v>141042</v>
      </c>
      <c r="I427" s="14">
        <v>28</v>
      </c>
      <c r="J427" s="14" t="s">
        <v>15401</v>
      </c>
      <c r="K427" s="14" t="s">
        <v>15400</v>
      </c>
      <c r="L427" s="14" t="s">
        <v>15405</v>
      </c>
      <c r="M427" s="14" t="s">
        <v>9158</v>
      </c>
      <c r="N427" s="14" t="s">
        <v>9158</v>
      </c>
      <c r="O427" s="14" t="s">
        <v>9158</v>
      </c>
      <c r="P427" s="14" t="s">
        <v>9158</v>
      </c>
      <c r="Q427" s="14" t="s">
        <v>9158</v>
      </c>
    </row>
    <row r="428" spans="1:17">
      <c r="A428" s="14">
        <v>92742</v>
      </c>
      <c r="B428" s="7" t="s">
        <v>0</v>
      </c>
      <c r="C428" s="14" t="s">
        <v>15404</v>
      </c>
      <c r="D428" s="14" t="s">
        <v>15403</v>
      </c>
      <c r="E428" s="15" t="str">
        <f>HYPERLINK("https://stat100.ameba.jp/tnk47/ratio20/illustrations/card/ill_92742_hozukinokagachi02.jpg?202011-i_prefecture_active_user", "■")</f>
        <v>■</v>
      </c>
      <c r="F428" s="14" t="s">
        <v>15402</v>
      </c>
      <c r="G428" s="14">
        <v>66052</v>
      </c>
      <c r="H428" s="14">
        <v>117352</v>
      </c>
      <c r="I428" s="14">
        <v>28</v>
      </c>
      <c r="J428" s="14" t="s">
        <v>15401</v>
      </c>
      <c r="K428" s="14" t="s">
        <v>15400</v>
      </c>
      <c r="L428" s="14" t="s">
        <v>15406</v>
      </c>
      <c r="M428" s="14" t="s">
        <v>9158</v>
      </c>
      <c r="N428" s="14" t="s">
        <v>9158</v>
      </c>
      <c r="O428" s="14" t="s">
        <v>9158</v>
      </c>
      <c r="P428" s="14" t="s">
        <v>9158</v>
      </c>
      <c r="Q428" s="14" t="s">
        <v>9158</v>
      </c>
    </row>
    <row r="429" spans="1:17">
      <c r="A429" s="14">
        <v>92741</v>
      </c>
      <c r="B429" s="7" t="s">
        <v>0</v>
      </c>
      <c r="C429" s="14" t="s">
        <v>15404</v>
      </c>
      <c r="D429" s="14" t="s">
        <v>15403</v>
      </c>
      <c r="E429" s="15" t="str">
        <f>HYPERLINK("https://stat100.ameba.jp/tnk47/ratio20/illustrations/card/ill_92741_hozukinokagachi01.jpg?202011-i_prefecture_active_user", "■")</f>
        <v>■</v>
      </c>
      <c r="F429" s="14" t="s">
        <v>15402</v>
      </c>
      <c r="G429" s="14">
        <v>50680</v>
      </c>
      <c r="H429" s="14">
        <v>90048</v>
      </c>
      <c r="I429" s="14">
        <v>28</v>
      </c>
      <c r="J429" s="14" t="s">
        <v>15401</v>
      </c>
      <c r="K429" s="14" t="s">
        <v>15400</v>
      </c>
      <c r="L429" s="14" t="s">
        <v>15399</v>
      </c>
      <c r="M429" s="14" t="s">
        <v>9158</v>
      </c>
      <c r="N429" s="14" t="s">
        <v>9158</v>
      </c>
      <c r="O429" s="14" t="s">
        <v>9158</v>
      </c>
      <c r="P429" s="14" t="s">
        <v>9158</v>
      </c>
      <c r="Q429" s="14" t="s">
        <v>9158</v>
      </c>
    </row>
    <row r="431" spans="1:17">
      <c r="A431" s="14" t="s">
        <v>15407</v>
      </c>
    </row>
    <row r="432" spans="1:17">
      <c r="A432" s="14" t="s">
        <v>15408</v>
      </c>
    </row>
    <row r="433" spans="1:17">
      <c r="A433" s="14" t="s">
        <v>18550</v>
      </c>
    </row>
    <row r="434" spans="1:17">
      <c r="A434" s="14" t="s">
        <v>16503</v>
      </c>
      <c r="B434" s="14" t="s">
        <v>15413</v>
      </c>
      <c r="C434" s="14" t="s">
        <v>15419</v>
      </c>
      <c r="D434" s="14" t="s">
        <v>15418</v>
      </c>
      <c r="E434" s="15" t="str">
        <f>HYPERLINK("https://stat100.ameba.jp/tnk47/ratio20/illustrations/card/ill_92863_0_tenkuroshidenissen03.jpg?202011-i_prefecture_active_user", "■")</f>
        <v>■</v>
      </c>
      <c r="F434" s="14" t="s">
        <v>15417</v>
      </c>
      <c r="G434" s="14">
        <v>464851</v>
      </c>
      <c r="H434" s="14">
        <v>420154</v>
      </c>
      <c r="I434" s="14">
        <v>35</v>
      </c>
      <c r="J434" s="14" t="s">
        <v>15416</v>
      </c>
      <c r="K434" s="14" t="s">
        <v>15415</v>
      </c>
      <c r="L434" s="14" t="s">
        <v>15414</v>
      </c>
      <c r="M434" s="14" t="s">
        <v>9158</v>
      </c>
      <c r="N434" s="14" t="s">
        <v>9158</v>
      </c>
      <c r="O434" s="14" t="s">
        <v>9158</v>
      </c>
      <c r="P434" s="14" t="s">
        <v>9158</v>
      </c>
      <c r="Q434" s="14" t="s">
        <v>9158</v>
      </c>
    </row>
    <row r="435" spans="1:17">
      <c r="A435" s="14" t="s">
        <v>14011</v>
      </c>
      <c r="B435" s="14" t="s">
        <v>117</v>
      </c>
      <c r="C435" s="14" t="s">
        <v>35</v>
      </c>
      <c r="D435" s="14" t="s">
        <v>14010</v>
      </c>
      <c r="E435" s="15" t="str">
        <f>HYPERLINK("https://stat100.ameba.jp/tnk47/ratio20/illustrations/card/ill_90163_0_tenkurofuaitazu03.jpg?202011-i_prefecture_active_user", "■")</f>
        <v>■</v>
      </c>
      <c r="F435" s="14" t="s">
        <v>14013</v>
      </c>
      <c r="G435" s="14">
        <v>418941</v>
      </c>
      <c r="H435" s="14">
        <v>463507</v>
      </c>
      <c r="I435" s="14">
        <v>35</v>
      </c>
      <c r="J435" s="14" t="s">
        <v>159</v>
      </c>
      <c r="K435" s="14" t="s">
        <v>14014</v>
      </c>
      <c r="L435" s="14" t="s">
        <v>14012</v>
      </c>
      <c r="M435" s="14" t="s">
        <v>9158</v>
      </c>
      <c r="N435" s="14" t="s">
        <v>9158</v>
      </c>
      <c r="O435" s="14" t="s">
        <v>9158</v>
      </c>
      <c r="P435" s="14" t="s">
        <v>9158</v>
      </c>
      <c r="Q435" s="14" t="s">
        <v>9158</v>
      </c>
    </row>
    <row r="436" spans="1:17">
      <c r="A436" s="14" t="s">
        <v>14364</v>
      </c>
      <c r="B436" s="14" t="s">
        <v>117</v>
      </c>
      <c r="C436" s="14" t="s">
        <v>35</v>
      </c>
      <c r="D436" s="14" t="s">
        <v>14363</v>
      </c>
      <c r="E436" s="15" t="str">
        <f>HYPERLINK("https://stat100.ameba.jp/tnk47/ratio20/illustrations/card/ill_90843_0_tenkurokawanonushi03.jpg?202011-i_prefecture_active_user", "■")</f>
        <v>■</v>
      </c>
      <c r="F436" s="14" t="s">
        <v>14362</v>
      </c>
      <c r="G436" s="14">
        <v>464097</v>
      </c>
      <c r="H436" s="14">
        <v>419443</v>
      </c>
      <c r="I436" s="14">
        <v>35</v>
      </c>
      <c r="J436" s="14" t="s">
        <v>26</v>
      </c>
      <c r="K436" s="14" t="s">
        <v>14361</v>
      </c>
      <c r="L436" s="14" t="s">
        <v>14360</v>
      </c>
      <c r="M436" s="14" t="s">
        <v>9158</v>
      </c>
      <c r="N436" s="14" t="s">
        <v>9158</v>
      </c>
      <c r="O436" s="14" t="s">
        <v>9158</v>
      </c>
      <c r="P436" s="14" t="s">
        <v>9158</v>
      </c>
      <c r="Q436" s="14" t="s">
        <v>9158</v>
      </c>
    </row>
    <row r="437" spans="1:17">
      <c r="A437" s="14" t="s">
        <v>14383</v>
      </c>
      <c r="B437" s="14" t="s">
        <v>117</v>
      </c>
      <c r="C437" s="14" t="s">
        <v>35</v>
      </c>
      <c r="D437" s="14" t="s">
        <v>14382</v>
      </c>
      <c r="E437" s="15" t="str">
        <f>HYPERLINK("https://stat100.ameba.jp/tnk47/ratio20/illustrations/card/ill_91533_0_tenkuronatsuironotome03.jpg?202011-i_prefecture_active_user", "■")</f>
        <v>■</v>
      </c>
      <c r="F437" s="14" t="s">
        <v>14381</v>
      </c>
      <c r="G437" s="14">
        <v>420154</v>
      </c>
      <c r="H437" s="14">
        <v>464851</v>
      </c>
      <c r="I437" s="14">
        <v>35</v>
      </c>
      <c r="J437" s="14" t="s">
        <v>104</v>
      </c>
      <c r="K437" s="14" t="s">
        <v>14380</v>
      </c>
      <c r="L437" s="14" t="s">
        <v>14379</v>
      </c>
      <c r="M437" s="14" t="s">
        <v>9158</v>
      </c>
      <c r="N437" s="14" t="s">
        <v>9158</v>
      </c>
      <c r="O437" s="14" t="s">
        <v>9158</v>
      </c>
      <c r="P437" s="14" t="s">
        <v>9158</v>
      </c>
      <c r="Q437" s="14" t="s">
        <v>9158</v>
      </c>
    </row>
    <row r="438" spans="1:17">
      <c r="A438" s="14" t="s">
        <v>5734</v>
      </c>
      <c r="B438" s="14" t="s">
        <v>330</v>
      </c>
      <c r="C438" s="14" t="s">
        <v>202</v>
      </c>
      <c r="D438" s="19" t="s">
        <v>1497</v>
      </c>
      <c r="E438" s="15" t="str">
        <f>HYPERLINK("https://stat100.ameba.jp/tnk47/ratio20/illustrations/card/ill_74593_0_natsuyuenchikoshihikari03.jpg?202011-i_prefecture_active_user", "■")</f>
        <v>■</v>
      </c>
      <c r="F438" s="14" t="s">
        <v>1498</v>
      </c>
      <c r="G438" s="14">
        <v>238328</v>
      </c>
      <c r="H438" s="14">
        <v>221566</v>
      </c>
      <c r="I438" s="14">
        <v>22</v>
      </c>
      <c r="J438" s="14" t="s">
        <v>283</v>
      </c>
      <c r="K438" s="14" t="s">
        <v>1499</v>
      </c>
      <c r="L438" s="14" t="s">
        <v>1500</v>
      </c>
      <c r="M438" s="14" t="s">
        <v>9158</v>
      </c>
      <c r="N438" s="14" t="s">
        <v>9158</v>
      </c>
      <c r="O438" s="19" t="s">
        <v>2731</v>
      </c>
      <c r="P438" s="14" t="s">
        <v>2732</v>
      </c>
      <c r="Q438" s="14">
        <v>1</v>
      </c>
    </row>
    <row r="439" spans="1:17">
      <c r="A439" s="14">
        <v>79643</v>
      </c>
      <c r="B439" s="14" t="s">
        <v>334</v>
      </c>
      <c r="C439" s="14" t="s">
        <v>185</v>
      </c>
      <c r="D439" s="19" t="s">
        <v>10622</v>
      </c>
      <c r="E439" s="15" t="str">
        <f>HYPERLINK("https://stat100.ameba.jp/tnk47/ratio20/illustrations/card/ill_79643_hibikiwataruneirosonobehideo03.jpg?202011-i_prefecture_active_user", "■")</f>
        <v>■</v>
      </c>
      <c r="F439" s="14" t="s">
        <v>3603</v>
      </c>
      <c r="G439" s="14">
        <v>101650</v>
      </c>
      <c r="H439" s="14">
        <v>109370</v>
      </c>
      <c r="I439" s="14">
        <v>28</v>
      </c>
      <c r="J439" s="14" t="s">
        <v>173</v>
      </c>
      <c r="K439" s="14" t="s">
        <v>3604</v>
      </c>
      <c r="L439" s="14" t="s">
        <v>2057</v>
      </c>
      <c r="M439" s="14" t="s">
        <v>9158</v>
      </c>
      <c r="N439" s="14" t="s">
        <v>9158</v>
      </c>
      <c r="O439" s="14" t="s">
        <v>9158</v>
      </c>
      <c r="P439" s="14" t="s">
        <v>9158</v>
      </c>
      <c r="Q439" s="14" t="s">
        <v>9158</v>
      </c>
    </row>
    <row r="440" spans="1:17">
      <c r="A440" s="9">
        <v>79593</v>
      </c>
      <c r="B440" s="9" t="s">
        <v>0</v>
      </c>
      <c r="C440" s="9" t="s">
        <v>200</v>
      </c>
      <c r="D440" s="19" t="s">
        <v>14600</v>
      </c>
      <c r="E440" s="15" t="str">
        <f>HYPERLINK("https://stat100.ameba.jp/tnk47/ratio20/illustrations/card/ill_79593_nabepateihonoikazuchinookami03.jpg?202011-i_prefecture_active_user", "■")</f>
        <v>■</v>
      </c>
      <c r="F440" s="9" t="s">
        <v>3572</v>
      </c>
      <c r="G440" s="9">
        <v>106178</v>
      </c>
      <c r="H440" s="9">
        <v>114208</v>
      </c>
      <c r="I440" s="14">
        <v>28</v>
      </c>
      <c r="J440" s="9" t="s">
        <v>169</v>
      </c>
      <c r="K440" s="9" t="s">
        <v>3573</v>
      </c>
      <c r="L440" s="9" t="s">
        <v>1209</v>
      </c>
      <c r="M440" s="14" t="s">
        <v>9158</v>
      </c>
      <c r="N440" s="14" t="s">
        <v>9158</v>
      </c>
      <c r="O440" s="14" t="s">
        <v>9158</v>
      </c>
      <c r="P440" s="14" t="s">
        <v>9158</v>
      </c>
      <c r="Q440" s="14" t="s">
        <v>9158</v>
      </c>
    </row>
    <row r="441" spans="1:17">
      <c r="A441" s="14">
        <v>79443</v>
      </c>
      <c r="B441" s="14" t="s">
        <v>334</v>
      </c>
      <c r="C441" s="14" t="s">
        <v>191</v>
      </c>
      <c r="D441" s="19" t="s">
        <v>14601</v>
      </c>
      <c r="E441" s="15" t="str">
        <f>HYPERLINK("https://stat100.ameba.jp/tnk47/ratio20/illustrations/card/ill_79443_shogitanukinongaeshi03.jpg?202011-i_prefecture_active_user", "■")</f>
        <v>■</v>
      </c>
      <c r="F441" s="14" t="s">
        <v>3537</v>
      </c>
      <c r="G441" s="14">
        <v>118598</v>
      </c>
      <c r="H441" s="14">
        <v>127784</v>
      </c>
      <c r="I441" s="14">
        <v>28</v>
      </c>
      <c r="J441" s="14" t="s">
        <v>38</v>
      </c>
      <c r="K441" s="14" t="s">
        <v>3538</v>
      </c>
      <c r="L441" s="14" t="s">
        <v>3539</v>
      </c>
      <c r="M441" s="14" t="s">
        <v>9158</v>
      </c>
      <c r="N441" s="14" t="s">
        <v>9158</v>
      </c>
      <c r="O441" s="14" t="s">
        <v>9158</v>
      </c>
      <c r="P441" s="14" t="s">
        <v>9158</v>
      </c>
      <c r="Q441" s="14" t="s">
        <v>9158</v>
      </c>
    </row>
    <row r="442" spans="1:17">
      <c r="A442" s="9">
        <v>86663</v>
      </c>
      <c r="B442" s="9" t="s">
        <v>0</v>
      </c>
      <c r="C442" s="9" t="s">
        <v>165</v>
      </c>
      <c r="D442" s="20" t="s">
        <v>10939</v>
      </c>
      <c r="E442" s="15" t="str">
        <f>HYPERLINK("https://stat100.ameba.jp/tnk47/ratio20/illustrations/card/ill_86663_darumaichitsukimizakechan03.jpg?202011-i_prefecture_active_user", "■")</f>
        <v>■</v>
      </c>
      <c r="F442" s="9" t="s">
        <v>9258</v>
      </c>
      <c r="G442" s="9">
        <v>122960</v>
      </c>
      <c r="H442" s="9">
        <v>132230</v>
      </c>
      <c r="I442" s="14">
        <v>28</v>
      </c>
      <c r="J442" s="9" t="s">
        <v>216</v>
      </c>
      <c r="K442" s="9" t="s">
        <v>9257</v>
      </c>
      <c r="L442" s="9" t="s">
        <v>1079</v>
      </c>
      <c r="M442" s="14" t="s">
        <v>9158</v>
      </c>
      <c r="N442" s="14" t="s">
        <v>9158</v>
      </c>
      <c r="O442" s="14" t="s">
        <v>9158</v>
      </c>
      <c r="P442" s="14" t="s">
        <v>9158</v>
      </c>
      <c r="Q442" s="14" t="s">
        <v>9158</v>
      </c>
    </row>
    <row r="443" spans="1:17">
      <c r="A443" s="9">
        <v>80233</v>
      </c>
      <c r="B443" s="9" t="s">
        <v>0</v>
      </c>
      <c r="C443" s="9" t="s">
        <v>205</v>
      </c>
      <c r="D443" s="19" t="s">
        <v>10979</v>
      </c>
      <c r="E443" s="15" t="str">
        <f>HYPERLINK("https://stat100.ameba.jp/tnk47/ratio20/illustrations/card/ill_80233_haruichibangoryunotsubone03.jpg?202011-i_prefecture_active_user", "■")</f>
        <v>■</v>
      </c>
      <c r="F443" s="9" t="s">
        <v>3830</v>
      </c>
      <c r="G443" s="9">
        <v>101650</v>
      </c>
      <c r="H443" s="9">
        <v>109370</v>
      </c>
      <c r="I443" s="14">
        <v>28</v>
      </c>
      <c r="J443" s="9" t="s">
        <v>187</v>
      </c>
      <c r="K443" s="9" t="s">
        <v>3831</v>
      </c>
      <c r="L443" s="9" t="s">
        <v>969</v>
      </c>
      <c r="M443" s="14" t="s">
        <v>9158</v>
      </c>
      <c r="N443" s="14" t="s">
        <v>9158</v>
      </c>
      <c r="O443" s="14" t="s">
        <v>9158</v>
      </c>
      <c r="P443" s="14" t="s">
        <v>9158</v>
      </c>
      <c r="Q443" s="14" t="s">
        <v>9158</v>
      </c>
    </row>
    <row r="444" spans="1:17">
      <c r="A444" s="9">
        <v>86533</v>
      </c>
      <c r="B444" s="9" t="s">
        <v>0</v>
      </c>
      <c r="C444" s="9" t="s">
        <v>206</v>
      </c>
      <c r="D444" s="20" t="s">
        <v>10913</v>
      </c>
      <c r="E444" s="15" t="str">
        <f>HYPERLINK("https://stat100.ameba.jp/tnk47/ratio20/illustrations/card/ill_86533_onikirishuyoriyorichan03.jpg?202011-i_prefecture_active_user", "■")</f>
        <v>■</v>
      </c>
      <c r="F444" s="9" t="s">
        <v>9023</v>
      </c>
      <c r="G444" s="9">
        <v>118598</v>
      </c>
      <c r="H444" s="9">
        <v>127556</v>
      </c>
      <c r="I444" s="14">
        <v>28</v>
      </c>
      <c r="J444" s="9" t="s">
        <v>216</v>
      </c>
      <c r="K444" s="9" t="s">
        <v>9022</v>
      </c>
      <c r="L444" s="9" t="s">
        <v>9021</v>
      </c>
      <c r="M444" s="14" t="s">
        <v>9158</v>
      </c>
      <c r="N444" s="14" t="s">
        <v>9158</v>
      </c>
      <c r="O444" s="14" t="s">
        <v>9158</v>
      </c>
      <c r="P444" s="14" t="s">
        <v>9158</v>
      </c>
      <c r="Q444" s="14" t="s">
        <v>9158</v>
      </c>
    </row>
    <row r="446" spans="1:17">
      <c r="A446" s="14" t="s">
        <v>15420</v>
      </c>
    </row>
    <row r="447" spans="1:17">
      <c r="A447" s="14" t="s">
        <v>15421</v>
      </c>
    </row>
    <row r="448" spans="1:17">
      <c r="A448" s="14" t="s">
        <v>15422</v>
      </c>
    </row>
    <row r="449" spans="1:17">
      <c r="A449" s="9" t="s">
        <v>12160</v>
      </c>
      <c r="B449" s="9"/>
      <c r="C449" s="9"/>
      <c r="D449" s="9"/>
      <c r="E449" s="9"/>
      <c r="F449" s="9"/>
      <c r="G449" s="9"/>
      <c r="H449" s="9"/>
      <c r="I449" s="9"/>
      <c r="J449" s="9"/>
      <c r="K449" s="9"/>
      <c r="L449" s="9"/>
      <c r="M449" s="9"/>
      <c r="N449" s="9"/>
      <c r="O449" s="9"/>
      <c r="P449" s="9"/>
      <c r="Q449" s="9"/>
    </row>
    <row r="450" spans="1:17">
      <c r="A450" s="9">
        <v>87383</v>
      </c>
      <c r="B450" s="14" t="s">
        <v>334</v>
      </c>
      <c r="C450" s="9" t="s">
        <v>185</v>
      </c>
      <c r="D450" s="20" t="s">
        <v>15423</v>
      </c>
      <c r="E450" s="15" t="str">
        <f>HYPERLINK("https://stat100.ameba.jp/tnk47/ratio20/illustrations/card/ill_87383_shifurumidoshiun03.jpg?202011-i_prefecture_active_user", "■")</f>
        <v>■</v>
      </c>
      <c r="F450" s="9" t="s">
        <v>9141</v>
      </c>
      <c r="G450" s="9">
        <v>167768</v>
      </c>
      <c r="H450" s="9">
        <v>94300</v>
      </c>
      <c r="I450" s="9">
        <v>28</v>
      </c>
      <c r="J450" s="9" t="s">
        <v>169</v>
      </c>
      <c r="K450" s="9" t="s">
        <v>9140</v>
      </c>
      <c r="L450" s="9" t="s">
        <v>9139</v>
      </c>
      <c r="M450" s="14" t="s">
        <v>9158</v>
      </c>
      <c r="N450" s="14" t="s">
        <v>9158</v>
      </c>
      <c r="O450" s="14" t="s">
        <v>9158</v>
      </c>
      <c r="P450" s="14" t="s">
        <v>9158</v>
      </c>
      <c r="Q450" s="14" t="s">
        <v>9158</v>
      </c>
    </row>
    <row r="451" spans="1:17">
      <c r="A451" s="9">
        <v>87393</v>
      </c>
      <c r="B451" s="14" t="s">
        <v>0</v>
      </c>
      <c r="C451" s="9" t="s">
        <v>200</v>
      </c>
      <c r="D451" s="20" t="s">
        <v>10924</v>
      </c>
      <c r="E451" s="15" t="str">
        <f>HYPERLINK("https://stat100.ameba.jp/tnk47/ratio20/illustrations/card/ill_87393_hoenjojikeito03.jpg?202011-i_prefecture_active_user", "■")</f>
        <v>■</v>
      </c>
      <c r="F451" s="9" t="s">
        <v>9144</v>
      </c>
      <c r="G451" s="9">
        <v>167768</v>
      </c>
      <c r="H451" s="9">
        <v>94300</v>
      </c>
      <c r="I451" s="9">
        <v>28</v>
      </c>
      <c r="J451" s="9" t="s">
        <v>173</v>
      </c>
      <c r="K451" s="9" t="s">
        <v>9143</v>
      </c>
      <c r="L451" s="9" t="s">
        <v>9142</v>
      </c>
      <c r="M451" s="14" t="s">
        <v>9158</v>
      </c>
      <c r="N451" s="14" t="s">
        <v>9158</v>
      </c>
      <c r="O451" s="14" t="s">
        <v>9158</v>
      </c>
      <c r="P451" s="14" t="s">
        <v>9158</v>
      </c>
      <c r="Q451" s="14" t="s">
        <v>9158</v>
      </c>
    </row>
    <row r="452" spans="1:17">
      <c r="A452" s="9">
        <v>87403</v>
      </c>
      <c r="B452" s="14" t="s">
        <v>334</v>
      </c>
      <c r="C452" s="9" t="s">
        <v>191</v>
      </c>
      <c r="D452" s="20" t="s">
        <v>10925</v>
      </c>
      <c r="E452" s="15" t="str">
        <f>HYPERLINK("https://stat100.ameba.jp/tnk47/ratio20/illustrations/card/ill_87403_kyoyunokarairu03.jpg?202011-i_prefecture_active_user", "■")</f>
        <v>■</v>
      </c>
      <c r="F452" s="9" t="s">
        <v>9147</v>
      </c>
      <c r="G452" s="9">
        <v>167768</v>
      </c>
      <c r="H452" s="9">
        <v>94300</v>
      </c>
      <c r="I452" s="9">
        <v>28</v>
      </c>
      <c r="J452" s="9" t="s">
        <v>216</v>
      </c>
      <c r="K452" s="9" t="s">
        <v>9146</v>
      </c>
      <c r="L452" s="9" t="s">
        <v>9145</v>
      </c>
      <c r="M452" s="14" t="s">
        <v>9158</v>
      </c>
      <c r="N452" s="14" t="s">
        <v>9158</v>
      </c>
      <c r="O452" s="14" t="s">
        <v>9158</v>
      </c>
      <c r="P452" s="14" t="s">
        <v>9158</v>
      </c>
      <c r="Q452" s="14" t="s">
        <v>9158</v>
      </c>
    </row>
    <row r="453" spans="1:17">
      <c r="A453" s="9">
        <v>87413</v>
      </c>
      <c r="B453" s="14" t="s">
        <v>334</v>
      </c>
      <c r="C453" s="9" t="s">
        <v>165</v>
      </c>
      <c r="D453" s="20" t="s">
        <v>10926</v>
      </c>
      <c r="E453" s="15" t="str">
        <f>HYPERLINK("https://stat100.ameba.jp/tnk47/ratio20/illustrations/card/ill_87413_kiryuagito03.jpg?202011-i_prefecture_active_user", "■")</f>
        <v>■</v>
      </c>
      <c r="F453" s="9" t="s">
        <v>9150</v>
      </c>
      <c r="G453" s="9">
        <v>167768</v>
      </c>
      <c r="H453" s="9">
        <v>94300</v>
      </c>
      <c r="I453" s="9">
        <v>28</v>
      </c>
      <c r="J453" s="9" t="s">
        <v>169</v>
      </c>
      <c r="K453" s="9" t="s">
        <v>9149</v>
      </c>
      <c r="L453" s="9" t="s">
        <v>9148</v>
      </c>
      <c r="M453" s="14" t="s">
        <v>9158</v>
      </c>
      <c r="N453" s="14" t="s">
        <v>9158</v>
      </c>
      <c r="O453" s="14" t="s">
        <v>9158</v>
      </c>
      <c r="P453" s="14" t="s">
        <v>9158</v>
      </c>
      <c r="Q453" s="14" t="s">
        <v>9158</v>
      </c>
    </row>
    <row r="454" spans="1:17">
      <c r="A454" s="9">
        <v>87423</v>
      </c>
      <c r="B454" s="14" t="s">
        <v>0</v>
      </c>
      <c r="C454" s="9" t="s">
        <v>205</v>
      </c>
      <c r="D454" s="20" t="s">
        <v>10927</v>
      </c>
      <c r="E454" s="15" t="str">
        <f>HYPERLINK("https://stat100.ameba.jp/tnk47/ratio20/illustrations/card/ill_87423_iazemichikarin03.jpg?202011-i_prefecture_active_user", "■")</f>
        <v>■</v>
      </c>
      <c r="F454" s="9" t="s">
        <v>9153</v>
      </c>
      <c r="G454" s="9">
        <v>167768</v>
      </c>
      <c r="H454" s="9">
        <v>94300</v>
      </c>
      <c r="I454" s="9">
        <v>28</v>
      </c>
      <c r="J454" s="9" t="s">
        <v>187</v>
      </c>
      <c r="K454" s="9" t="s">
        <v>9152</v>
      </c>
      <c r="L454" s="9" t="s">
        <v>9151</v>
      </c>
      <c r="M454" s="14" t="s">
        <v>9158</v>
      </c>
      <c r="N454" s="14" t="s">
        <v>9158</v>
      </c>
      <c r="O454" s="14" t="s">
        <v>9158</v>
      </c>
      <c r="P454" s="14" t="s">
        <v>9158</v>
      </c>
      <c r="Q454" s="14" t="s">
        <v>9158</v>
      </c>
    </row>
    <row r="455" spans="1:17">
      <c r="A455" s="9">
        <v>87433</v>
      </c>
      <c r="B455" s="14" t="s">
        <v>334</v>
      </c>
      <c r="C455" s="9" t="s">
        <v>206</v>
      </c>
      <c r="D455" s="20" t="s">
        <v>10928</v>
      </c>
      <c r="E455" s="15" t="str">
        <f>HYPERLINK("https://stat100.ameba.jp/tnk47/ratio20/illustrations/card/ill_87433_kaiamamorikuzuha03.jpg?202011-i_prefecture_active_user", "■")</f>
        <v>■</v>
      </c>
      <c r="F455" s="9" t="s">
        <v>9156</v>
      </c>
      <c r="G455" s="9">
        <v>167768</v>
      </c>
      <c r="H455" s="9">
        <v>94300</v>
      </c>
      <c r="I455" s="9">
        <v>28</v>
      </c>
      <c r="J455" s="9" t="s">
        <v>159</v>
      </c>
      <c r="K455" s="9" t="s">
        <v>9155</v>
      </c>
      <c r="L455" s="9" t="s">
        <v>9154</v>
      </c>
      <c r="M455" s="14" t="s">
        <v>9158</v>
      </c>
      <c r="N455" s="14" t="s">
        <v>9158</v>
      </c>
      <c r="O455" s="14" t="s">
        <v>9158</v>
      </c>
      <c r="P455" s="14" t="s">
        <v>9158</v>
      </c>
      <c r="Q455" s="14" t="s">
        <v>9158</v>
      </c>
    </row>
    <row r="456" spans="1:17">
      <c r="A456" s="14">
        <v>79173</v>
      </c>
      <c r="B456" s="14" t="s">
        <v>0</v>
      </c>
      <c r="C456" s="14" t="s">
        <v>202</v>
      </c>
      <c r="D456" s="14" t="s">
        <v>2182</v>
      </c>
      <c r="E456" s="15" t="str">
        <f>HYPERLINK("https://stat100.ameba.jp/tnk47/ratio20/illustrations/card/ill_79173_seisamansabarozu03.jpg?202011-i_prefecture_active_user", "■")</f>
        <v>■</v>
      </c>
      <c r="F456" s="14" t="s">
        <v>2183</v>
      </c>
      <c r="G456" s="14" t="s">
        <v>6596</v>
      </c>
      <c r="H456" s="14" t="s">
        <v>6596</v>
      </c>
      <c r="I456" s="14">
        <v>27</v>
      </c>
      <c r="J456" s="14" t="s">
        <v>16</v>
      </c>
      <c r="K456" s="14" t="s">
        <v>2184</v>
      </c>
      <c r="L456" s="14" t="s">
        <v>1149</v>
      </c>
      <c r="M456" s="14" t="s">
        <v>9158</v>
      </c>
      <c r="N456" s="14" t="s">
        <v>9158</v>
      </c>
      <c r="O456" s="14" t="s">
        <v>9158</v>
      </c>
      <c r="P456" s="14" t="s">
        <v>9158</v>
      </c>
      <c r="Q456" s="14" t="s">
        <v>9158</v>
      </c>
    </row>
    <row r="457" spans="1:17">
      <c r="A457" s="14">
        <v>79183</v>
      </c>
      <c r="B457" s="14" t="s">
        <v>0</v>
      </c>
      <c r="C457" s="14" t="s">
        <v>202</v>
      </c>
      <c r="D457" s="14" t="s">
        <v>2185</v>
      </c>
      <c r="E457" s="15" t="str">
        <f>HYPERLINK("https://stat100.ameba.jp/tnk47/ratio20/illustrations/card/ill_79183_seiburijittorogan03.jpg?202011-i_prefecture_active_user", "■")</f>
        <v>■</v>
      </c>
      <c r="F457" s="14" t="s">
        <v>2186</v>
      </c>
      <c r="G457" s="14" t="s">
        <v>6596</v>
      </c>
      <c r="H457" s="14" t="s">
        <v>6596</v>
      </c>
      <c r="I457" s="14">
        <v>27</v>
      </c>
      <c r="J457" s="14" t="s">
        <v>77</v>
      </c>
      <c r="K457" s="14" t="s">
        <v>2187</v>
      </c>
      <c r="L457" s="14" t="s">
        <v>76</v>
      </c>
      <c r="M457" s="14" t="s">
        <v>9158</v>
      </c>
      <c r="N457" s="14" t="s">
        <v>9158</v>
      </c>
      <c r="O457" s="14" t="s">
        <v>9158</v>
      </c>
      <c r="P457" s="14" t="s">
        <v>9158</v>
      </c>
      <c r="Q457" s="14" t="s">
        <v>9158</v>
      </c>
    </row>
    <row r="458" spans="1:17">
      <c r="A458" s="9">
        <v>79193</v>
      </c>
      <c r="B458" s="14" t="s">
        <v>0</v>
      </c>
      <c r="C458" s="14" t="s">
        <v>202</v>
      </c>
      <c r="D458" s="14" t="s">
        <v>2178</v>
      </c>
      <c r="E458" s="15" t="str">
        <f>HYPERLINK("https://stat100.ameba.jp/tnk47/ratio20/illustrations/card/ill_79193_seinarimiya％20kirari03.jpg?202011-i_prefecture_active_user", "■")</f>
        <v>■</v>
      </c>
      <c r="F458" s="14" t="s">
        <v>2179</v>
      </c>
      <c r="G458" s="14" t="s">
        <v>6596</v>
      </c>
      <c r="H458" s="14" t="s">
        <v>6596</v>
      </c>
      <c r="I458" s="14">
        <v>27</v>
      </c>
      <c r="J458" s="14" t="s">
        <v>26</v>
      </c>
      <c r="K458" s="14" t="s">
        <v>2180</v>
      </c>
      <c r="L458" s="14" t="s">
        <v>2181</v>
      </c>
      <c r="M458" s="14" t="s">
        <v>9158</v>
      </c>
      <c r="N458" s="14" t="s">
        <v>9158</v>
      </c>
      <c r="O458" s="14" t="s">
        <v>9158</v>
      </c>
      <c r="P458" s="14" t="s">
        <v>9158</v>
      </c>
      <c r="Q458" s="14" t="s">
        <v>9158</v>
      </c>
    </row>
    <row r="459" spans="1:17">
      <c r="A459" s="9">
        <v>79793</v>
      </c>
      <c r="B459" s="14" t="s">
        <v>334</v>
      </c>
      <c r="C459" s="14" t="s">
        <v>202</v>
      </c>
      <c r="D459" s="20" t="s">
        <v>2790</v>
      </c>
      <c r="E459" s="15" t="str">
        <f>HYPERLINK("https://stat100.ameba.jp/tnk47/ratio20/illustrations/card/ill_79793_kuresuteirureina03.jpg?202011-i_prefecture_active_user", "■")</f>
        <v>■</v>
      </c>
      <c r="F459" s="14" t="s">
        <v>2791</v>
      </c>
      <c r="G459" s="14" t="s">
        <v>6596</v>
      </c>
      <c r="H459" s="14" t="s">
        <v>6596</v>
      </c>
      <c r="I459" s="14">
        <v>27</v>
      </c>
      <c r="J459" s="14" t="s">
        <v>283</v>
      </c>
      <c r="K459" s="14" t="s">
        <v>2792</v>
      </c>
      <c r="L459" s="14" t="s">
        <v>2793</v>
      </c>
      <c r="M459" s="14" t="s">
        <v>9158</v>
      </c>
      <c r="N459" s="14" t="s">
        <v>9158</v>
      </c>
      <c r="O459" s="14" t="s">
        <v>9158</v>
      </c>
      <c r="P459" s="14" t="s">
        <v>9158</v>
      </c>
      <c r="Q459" s="14" t="s">
        <v>9158</v>
      </c>
    </row>
    <row r="460" spans="1:17">
      <c r="A460" s="9">
        <v>79803</v>
      </c>
      <c r="B460" s="14" t="s">
        <v>334</v>
      </c>
      <c r="C460" s="14" t="s">
        <v>202</v>
      </c>
      <c r="D460" s="20" t="s">
        <v>2794</v>
      </c>
      <c r="E460" s="15" t="str">
        <f>HYPERLINK("https://stat100.ameba.jp/tnk47/ratio20/illustrations/card/ill_79803_oyamadaisane03.jpg?202011-i_prefecture_active_user", "■")</f>
        <v>■</v>
      </c>
      <c r="F460" s="14" t="s">
        <v>2795</v>
      </c>
      <c r="G460" s="14" t="s">
        <v>6596</v>
      </c>
      <c r="H460" s="14" t="s">
        <v>6596</v>
      </c>
      <c r="I460" s="14">
        <v>27</v>
      </c>
      <c r="J460" s="14" t="s">
        <v>351</v>
      </c>
      <c r="K460" s="14" t="s">
        <v>2796</v>
      </c>
      <c r="L460" s="14" t="s">
        <v>2797</v>
      </c>
      <c r="M460" s="14" t="s">
        <v>9158</v>
      </c>
      <c r="N460" s="14" t="s">
        <v>9158</v>
      </c>
      <c r="O460" s="14" t="s">
        <v>9158</v>
      </c>
      <c r="P460" s="14" t="s">
        <v>9158</v>
      </c>
      <c r="Q460" s="14" t="s">
        <v>9158</v>
      </c>
    </row>
    <row r="461" spans="1:17">
      <c r="A461" s="9">
        <v>79863</v>
      </c>
      <c r="B461" s="14" t="s">
        <v>334</v>
      </c>
      <c r="C461" s="14" t="s">
        <v>202</v>
      </c>
      <c r="D461" s="20" t="s">
        <v>10931</v>
      </c>
      <c r="E461" s="15" t="str">
        <f>HYPERLINK("https://stat100.ameba.jp/tnk47/ratio20/illustrations/card/ill_79863_nagadoayumi03.jpg?202011-i_prefecture_active_user", "■")</f>
        <v>■</v>
      </c>
      <c r="F461" s="14" t="s">
        <v>3519</v>
      </c>
      <c r="G461" s="14" t="s">
        <v>6596</v>
      </c>
      <c r="H461" s="14" t="s">
        <v>6596</v>
      </c>
      <c r="I461" s="14">
        <v>27</v>
      </c>
      <c r="J461" s="14" t="s">
        <v>44</v>
      </c>
      <c r="K461" s="14" t="s">
        <v>3520</v>
      </c>
      <c r="L461" s="14" t="s">
        <v>1209</v>
      </c>
      <c r="M461" s="14" t="s">
        <v>9158</v>
      </c>
      <c r="N461" s="14" t="s">
        <v>9158</v>
      </c>
      <c r="O461" s="14" t="s">
        <v>9158</v>
      </c>
      <c r="P461" s="14" t="s">
        <v>9158</v>
      </c>
      <c r="Q461" s="14" t="s">
        <v>9158</v>
      </c>
    </row>
    <row r="463" spans="1:17">
      <c r="A463" s="14" t="s">
        <v>13327</v>
      </c>
    </row>
    <row r="464" spans="1:17">
      <c r="A464" s="14" t="s">
        <v>7638</v>
      </c>
    </row>
    <row r="465" spans="1:18">
      <c r="A465" s="14">
        <v>82213</v>
      </c>
      <c r="B465" s="14" t="s">
        <v>0</v>
      </c>
      <c r="C465" s="14" t="s">
        <v>185</v>
      </c>
      <c r="D465" s="19" t="s">
        <v>10185</v>
      </c>
      <c r="E465" s="15" t="str">
        <f>HYPERLINK("https://stat100.ameba.jp/tnk47/ratio20/illustrations/card/ill_82213_tatarimokke03.jpg?202011-i_prefecture_active_user", "■")</f>
        <v>■</v>
      </c>
      <c r="F465" s="14" t="s">
        <v>4935</v>
      </c>
      <c r="G465" s="14">
        <v>128160</v>
      </c>
      <c r="H465" s="14">
        <v>137846</v>
      </c>
      <c r="I465" s="7">
        <v>28</v>
      </c>
      <c r="J465" s="14" t="s">
        <v>182</v>
      </c>
      <c r="K465" s="14" t="s">
        <v>4937</v>
      </c>
      <c r="L465" s="14" t="s">
        <v>13191</v>
      </c>
      <c r="M465" s="14" t="s">
        <v>13130</v>
      </c>
      <c r="N465" s="14" t="s">
        <v>343</v>
      </c>
      <c r="O465" s="14" t="s">
        <v>9158</v>
      </c>
      <c r="P465" s="14" t="s">
        <v>9158</v>
      </c>
      <c r="Q465" s="14" t="s">
        <v>9158</v>
      </c>
      <c r="R465" s="14" t="s">
        <v>14748</v>
      </c>
    </row>
    <row r="466" spans="1:18">
      <c r="A466" s="14">
        <v>82212</v>
      </c>
      <c r="B466" s="14" t="s">
        <v>334</v>
      </c>
      <c r="C466" s="14" t="s">
        <v>185</v>
      </c>
      <c r="D466" s="19" t="s">
        <v>10185</v>
      </c>
      <c r="E466" s="15" t="str">
        <f>HYPERLINK("https://stat100.ameba.jp/tnk47/ratio20/illustrations/card/ill_82212_tatarimokke02.jpg?202011-i_prefecture_active_user", "■")</f>
        <v>■</v>
      </c>
      <c r="F466" s="14" t="s">
        <v>4935</v>
      </c>
      <c r="G466" s="14">
        <v>106148</v>
      </c>
      <c r="H466" s="14">
        <v>115230</v>
      </c>
      <c r="I466" s="7">
        <v>28</v>
      </c>
      <c r="J466" s="14" t="s">
        <v>182</v>
      </c>
      <c r="K466" s="14" t="s">
        <v>4937</v>
      </c>
      <c r="L466" s="14" t="s">
        <v>13191</v>
      </c>
      <c r="M466" s="14" t="s">
        <v>13131</v>
      </c>
      <c r="N466" s="14" t="s">
        <v>251</v>
      </c>
      <c r="O466" s="14" t="s">
        <v>9158</v>
      </c>
      <c r="P466" s="14" t="s">
        <v>9158</v>
      </c>
      <c r="Q466" s="14" t="s">
        <v>9158</v>
      </c>
      <c r="R466" s="14" t="s">
        <v>14748</v>
      </c>
    </row>
    <row r="467" spans="1:18">
      <c r="A467" s="14">
        <v>82211</v>
      </c>
      <c r="B467" s="14" t="s">
        <v>0</v>
      </c>
      <c r="C467" s="14" t="s">
        <v>185</v>
      </c>
      <c r="D467" s="19" t="s">
        <v>10185</v>
      </c>
      <c r="E467" s="15" t="str">
        <f>HYPERLINK("https://stat100.ameba.jp/tnk47/ratio20/illustrations/card/ill_82211_tatarimokke01.jpg?202011-i_prefecture_active_user", "■")</f>
        <v>■</v>
      </c>
      <c r="F467" s="14" t="s">
        <v>4935</v>
      </c>
      <c r="G467" s="14">
        <v>81900</v>
      </c>
      <c r="H467" s="14">
        <v>87976</v>
      </c>
      <c r="I467" s="7">
        <v>28</v>
      </c>
      <c r="J467" s="14" t="s">
        <v>182</v>
      </c>
      <c r="K467" s="14" t="s">
        <v>4937</v>
      </c>
      <c r="L467" s="14" t="s">
        <v>13191</v>
      </c>
      <c r="M467" s="14" t="s">
        <v>13131</v>
      </c>
      <c r="N467" s="14" t="s">
        <v>251</v>
      </c>
      <c r="O467" s="14" t="s">
        <v>9158</v>
      </c>
      <c r="P467" s="14" t="s">
        <v>9158</v>
      </c>
      <c r="Q467" s="14" t="s">
        <v>9158</v>
      </c>
      <c r="R467" s="14" t="s">
        <v>14748</v>
      </c>
    </row>
    <row r="468" spans="1:18">
      <c r="A468" s="14">
        <v>82223</v>
      </c>
      <c r="B468" s="14" t="s">
        <v>334</v>
      </c>
      <c r="C468" s="14" t="s">
        <v>200</v>
      </c>
      <c r="D468" s="19" t="s">
        <v>10186</v>
      </c>
      <c r="E468" s="15" t="str">
        <f>HYPERLINK("https://stat100.ameba.jp/tnk47/ratio20/illustrations/card/ill_82223_oyayubihime03.jpg?202011-i_prefecture_active_user", "■")</f>
        <v>■</v>
      </c>
      <c r="F468" s="14" t="s">
        <v>4931</v>
      </c>
      <c r="G468" s="14">
        <v>137846</v>
      </c>
      <c r="H468" s="14">
        <v>128160</v>
      </c>
      <c r="I468" s="7">
        <v>28</v>
      </c>
      <c r="J468" s="14" t="s">
        <v>155</v>
      </c>
      <c r="K468" s="14" t="s">
        <v>4933</v>
      </c>
      <c r="L468" s="14" t="s">
        <v>4934</v>
      </c>
      <c r="M468" s="14" t="s">
        <v>13130</v>
      </c>
      <c r="N468" s="14" t="s">
        <v>343</v>
      </c>
      <c r="O468" s="14" t="s">
        <v>9158</v>
      </c>
      <c r="P468" s="14" t="s">
        <v>9158</v>
      </c>
      <c r="Q468" s="14" t="s">
        <v>9158</v>
      </c>
      <c r="R468" s="14" t="s">
        <v>14748</v>
      </c>
    </row>
    <row r="469" spans="1:18">
      <c r="A469" s="14">
        <v>82233</v>
      </c>
      <c r="B469" s="14" t="s">
        <v>334</v>
      </c>
      <c r="C469" s="14" t="s">
        <v>191</v>
      </c>
      <c r="D469" s="19" t="s">
        <v>10187</v>
      </c>
      <c r="E469" s="15" t="str">
        <f>HYPERLINK("https://stat100.ameba.jp/tnk47/ratio20/illustrations/card/ill_82233_iseokiku03.jpg?202011-i_prefecture_active_user", "■")</f>
        <v>■</v>
      </c>
      <c r="F469" s="14" t="s">
        <v>4924</v>
      </c>
      <c r="G469" s="14">
        <v>137846</v>
      </c>
      <c r="H469" s="14">
        <v>128160</v>
      </c>
      <c r="I469" s="7">
        <v>28</v>
      </c>
      <c r="J469" s="14" t="s">
        <v>187</v>
      </c>
      <c r="K469" s="14" t="s">
        <v>4926</v>
      </c>
      <c r="L469" s="14" t="s">
        <v>4930</v>
      </c>
      <c r="M469" s="14" t="s">
        <v>13130</v>
      </c>
      <c r="N469" s="14" t="s">
        <v>343</v>
      </c>
      <c r="O469" s="14" t="s">
        <v>9158</v>
      </c>
      <c r="P469" s="14" t="s">
        <v>9158</v>
      </c>
      <c r="Q469" s="14" t="s">
        <v>9158</v>
      </c>
      <c r="R469" s="14" t="s">
        <v>14748</v>
      </c>
    </row>
    <row r="470" spans="1:18">
      <c r="A470" s="14">
        <v>82243</v>
      </c>
      <c r="B470" s="14" t="s">
        <v>0</v>
      </c>
      <c r="C470" s="14" t="s">
        <v>165</v>
      </c>
      <c r="D470" s="19" t="s">
        <v>10188</v>
      </c>
      <c r="E470" s="15" t="str">
        <f>HYPERLINK("https://stat100.ameba.jp/tnk47/ratio20/illustrations/card/ill_82243_nanohana03.jpg?202011-i_prefecture_active_user", "■")</f>
        <v>■</v>
      </c>
      <c r="F470" s="14" t="s">
        <v>4921</v>
      </c>
      <c r="G470" s="14">
        <v>137846</v>
      </c>
      <c r="H470" s="14">
        <v>128160</v>
      </c>
      <c r="I470" s="7">
        <v>28</v>
      </c>
      <c r="J470" s="14" t="s">
        <v>229</v>
      </c>
      <c r="K470" s="14" t="s">
        <v>4923</v>
      </c>
      <c r="L470" s="14" t="s">
        <v>4929</v>
      </c>
      <c r="M470" s="14" t="s">
        <v>13130</v>
      </c>
      <c r="N470" s="14" t="s">
        <v>343</v>
      </c>
      <c r="O470" s="14" t="s">
        <v>9158</v>
      </c>
      <c r="P470" s="14" t="s">
        <v>9158</v>
      </c>
      <c r="Q470" s="14" t="s">
        <v>9158</v>
      </c>
      <c r="R470" s="14" t="s">
        <v>14748</v>
      </c>
    </row>
    <row r="471" spans="1:18">
      <c r="A471" s="14">
        <v>82253</v>
      </c>
      <c r="B471" s="14" t="s">
        <v>334</v>
      </c>
      <c r="C471" s="14" t="s">
        <v>205</v>
      </c>
      <c r="D471" s="19" t="s">
        <v>10189</v>
      </c>
      <c r="E471" s="15" t="str">
        <f>HYPERLINK("https://stat100.ameba.jp/tnk47/ratio20/illustrations/card/ill_82253_ajisaikyogokuichiko03.jpg?202011-i_prefecture_active_user", "■")</f>
        <v>■</v>
      </c>
      <c r="F471" s="14" t="s">
        <v>4920</v>
      </c>
      <c r="G471" s="14">
        <v>128160</v>
      </c>
      <c r="H471" s="14">
        <v>137846</v>
      </c>
      <c r="I471" s="7">
        <v>28</v>
      </c>
      <c r="J471" s="14" t="s">
        <v>159</v>
      </c>
      <c r="K471" s="14" t="s">
        <v>4919</v>
      </c>
      <c r="L471" s="14" t="s">
        <v>4927</v>
      </c>
      <c r="M471" s="14" t="s">
        <v>13130</v>
      </c>
      <c r="N471" s="14" t="s">
        <v>343</v>
      </c>
      <c r="O471" s="14" t="s">
        <v>9158</v>
      </c>
      <c r="P471" s="14" t="s">
        <v>9158</v>
      </c>
      <c r="Q471" s="14" t="s">
        <v>9158</v>
      </c>
      <c r="R471" s="14" t="s">
        <v>14748</v>
      </c>
    </row>
    <row r="472" spans="1:18">
      <c r="A472" s="14">
        <v>82263</v>
      </c>
      <c r="B472" s="14" t="s">
        <v>334</v>
      </c>
      <c r="C472" s="14" t="s">
        <v>206</v>
      </c>
      <c r="D472" s="19" t="s">
        <v>10190</v>
      </c>
      <c r="E472" s="15" t="str">
        <f>HYPERLINK("https://stat100.ameba.jp/tnk47/ratio20/illustrations/card/ill_82263_euterupe03.jpg?202011-i_prefecture_active_user", "■")</f>
        <v>■</v>
      </c>
      <c r="F472" s="14" t="s">
        <v>4915</v>
      </c>
      <c r="G472" s="14">
        <v>128160</v>
      </c>
      <c r="H472" s="14">
        <v>137846</v>
      </c>
      <c r="I472" s="7">
        <v>28</v>
      </c>
      <c r="J472" s="14" t="s">
        <v>169</v>
      </c>
      <c r="K472" s="14" t="s">
        <v>4917</v>
      </c>
      <c r="L472" s="14" t="s">
        <v>4928</v>
      </c>
      <c r="M472" s="14" t="s">
        <v>13130</v>
      </c>
      <c r="N472" s="14" t="s">
        <v>343</v>
      </c>
      <c r="O472" s="14" t="s">
        <v>9158</v>
      </c>
      <c r="P472" s="14" t="s">
        <v>9158</v>
      </c>
      <c r="Q472" s="14" t="s">
        <v>9158</v>
      </c>
      <c r="R472" s="14" t="s">
        <v>14748</v>
      </c>
    </row>
    <row r="473" spans="1:18">
      <c r="D473" s="19"/>
      <c r="E473" s="15"/>
      <c r="I473" s="7"/>
    </row>
    <row r="474" spans="1:18">
      <c r="A474" s="14" t="s">
        <v>15424</v>
      </c>
      <c r="D474" s="19"/>
      <c r="E474" s="15"/>
      <c r="I474" s="7"/>
    </row>
    <row r="475" spans="1:18">
      <c r="A475" s="14" t="s">
        <v>15425</v>
      </c>
      <c r="D475" s="19"/>
      <c r="E475" s="15"/>
      <c r="I475" s="7"/>
    </row>
    <row r="476" spans="1:18">
      <c r="A476" s="14" t="s">
        <v>5733</v>
      </c>
      <c r="B476" s="14" t="s">
        <v>330</v>
      </c>
      <c r="C476" s="14" t="s">
        <v>202</v>
      </c>
      <c r="D476" s="19" t="s">
        <v>2744</v>
      </c>
      <c r="E476" s="15" t="str">
        <f>HYPERLINK("https://stat100.ameba.jp/tnk47/ratio20/illustrations/card/ill_78693_0_kyupittokoinomikoto03.jpg?202011-i_prefecture_active_user", "■")</f>
        <v>■</v>
      </c>
      <c r="F476" s="14" t="s">
        <v>2745</v>
      </c>
      <c r="G476" s="14">
        <v>251516</v>
      </c>
      <c r="H476" s="14">
        <v>278294</v>
      </c>
      <c r="I476" s="14">
        <v>24</v>
      </c>
      <c r="J476" s="14" t="s">
        <v>274</v>
      </c>
      <c r="K476" s="14" t="s">
        <v>2746</v>
      </c>
      <c r="L476" s="14" t="s">
        <v>2747</v>
      </c>
      <c r="M476" s="14" t="s">
        <v>9158</v>
      </c>
      <c r="N476" s="14" t="s">
        <v>9158</v>
      </c>
      <c r="O476" s="19" t="s">
        <v>10097</v>
      </c>
      <c r="P476" s="14" t="s">
        <v>2748</v>
      </c>
      <c r="Q476" s="14">
        <v>1</v>
      </c>
    </row>
    <row r="477" spans="1:18">
      <c r="A477" s="14" t="s">
        <v>6195</v>
      </c>
      <c r="B477" s="14" t="s">
        <v>52</v>
      </c>
      <c r="C477" s="14" t="s">
        <v>191</v>
      </c>
      <c r="D477" s="19" t="s">
        <v>10217</v>
      </c>
      <c r="E477" s="15" t="str">
        <f>HYPERLINK("https://stat100.ameba.jp/tnk47/ratio20/illustrations/card/ill_56493_0_poppukurisumasuikomakitsuno03.jpg?202011-i_prefecture_active_user", "■")</f>
        <v>■</v>
      </c>
      <c r="F477" s="14" t="s">
        <v>1769</v>
      </c>
      <c r="G477" s="14">
        <v>150776</v>
      </c>
      <c r="H477" s="14">
        <v>133938</v>
      </c>
      <c r="I477" s="14">
        <v>24</v>
      </c>
      <c r="J477" s="14" t="s">
        <v>77</v>
      </c>
      <c r="K477" s="14" t="s">
        <v>1770</v>
      </c>
      <c r="L477" s="14" t="s">
        <v>1771</v>
      </c>
      <c r="M477" s="14" t="s">
        <v>9158</v>
      </c>
      <c r="N477" s="14" t="s">
        <v>9158</v>
      </c>
      <c r="O477" s="19" t="s">
        <v>10120</v>
      </c>
      <c r="P477" s="14" t="s">
        <v>2724</v>
      </c>
      <c r="Q477" s="14">
        <v>1</v>
      </c>
    </row>
    <row r="478" spans="1:18">
      <c r="A478" s="14" t="s">
        <v>5721</v>
      </c>
      <c r="B478" s="14" t="s">
        <v>52</v>
      </c>
      <c r="C478" s="14" t="s">
        <v>1</v>
      </c>
      <c r="D478" s="20" t="s">
        <v>513</v>
      </c>
      <c r="E478" s="15" t="str">
        <f>HYPERLINK("https://stat100.ameba.jp/tnk47/ratio20/illustrations/card/ill_44283_0_izumonokuni03.jpg?202011-i_prefecture_active_user", "■")</f>
        <v>■</v>
      </c>
      <c r="F478" s="14" t="s">
        <v>1716</v>
      </c>
      <c r="G478" s="14">
        <v>140448</v>
      </c>
      <c r="H478" s="14">
        <v>131538</v>
      </c>
      <c r="I478" s="14">
        <v>24</v>
      </c>
      <c r="J478" s="14" t="s">
        <v>16</v>
      </c>
      <c r="K478" s="14" t="s">
        <v>2254</v>
      </c>
      <c r="L478" s="14" t="s">
        <v>1718</v>
      </c>
      <c r="M478" s="14" t="s">
        <v>9158</v>
      </c>
      <c r="N478" s="14" t="s">
        <v>9158</v>
      </c>
      <c r="O478" s="14" t="s">
        <v>9158</v>
      </c>
      <c r="P478" s="14" t="s">
        <v>9158</v>
      </c>
      <c r="Q478" s="14" t="s">
        <v>9158</v>
      </c>
    </row>
    <row r="479" spans="1:18">
      <c r="A479" s="7">
        <v>59423</v>
      </c>
      <c r="B479" s="14" t="s">
        <v>334</v>
      </c>
      <c r="C479" s="14" t="s">
        <v>209</v>
      </c>
      <c r="D479" s="19" t="s">
        <v>10286</v>
      </c>
      <c r="E479" s="15" t="str">
        <f>HYPERLINK("https://stat100.ameba.jp/tnk47/ratio20/illustrations/card/ill_59423_yuishosetsu03.jpg?202011-i_prefecture_active_user", "■")</f>
        <v>■</v>
      </c>
      <c r="F479" s="14" t="s">
        <v>1143</v>
      </c>
      <c r="G479" s="14">
        <v>118000</v>
      </c>
      <c r="H479" s="14">
        <v>85492</v>
      </c>
      <c r="I479" s="14">
        <v>26</v>
      </c>
      <c r="J479" s="14" t="s">
        <v>16</v>
      </c>
      <c r="K479" s="14" t="s">
        <v>1144</v>
      </c>
      <c r="L479" s="14" t="s">
        <v>1149</v>
      </c>
      <c r="M479" s="14" t="s">
        <v>9158</v>
      </c>
      <c r="N479" s="14" t="s">
        <v>9158</v>
      </c>
      <c r="O479" s="19" t="s">
        <v>2951</v>
      </c>
      <c r="P479" s="14" t="s">
        <v>13122</v>
      </c>
      <c r="Q479" s="14">
        <v>1</v>
      </c>
    </row>
    <row r="480" spans="1:18">
      <c r="A480" s="9">
        <v>68863</v>
      </c>
      <c r="B480" s="14" t="s">
        <v>348</v>
      </c>
      <c r="C480" s="14" t="s">
        <v>165</v>
      </c>
      <c r="D480" s="14" t="s">
        <v>3268</v>
      </c>
      <c r="E480" s="15" t="str">
        <f>HYPERLINK("https://stat100.ameba.jp/tnk47/ratio20/illustrations/card/ill_68863_karutawakaruhimenomikoto03.jpg?202011-i_prefecture_active_user", "■")</f>
        <v>■</v>
      </c>
      <c r="F480" s="14" t="s">
        <v>3269</v>
      </c>
      <c r="G480" s="14">
        <v>77064</v>
      </c>
      <c r="H480" s="14">
        <v>69898</v>
      </c>
      <c r="I480" s="7">
        <v>26</v>
      </c>
      <c r="J480" s="14" t="s">
        <v>44</v>
      </c>
      <c r="K480" s="14" t="s">
        <v>3270</v>
      </c>
      <c r="L480" s="14" t="s">
        <v>3271</v>
      </c>
      <c r="M480" s="14" t="s">
        <v>9158</v>
      </c>
      <c r="N480" s="14" t="s">
        <v>9158</v>
      </c>
      <c r="O480" s="14" t="s">
        <v>9158</v>
      </c>
      <c r="P480" s="14" t="s">
        <v>9158</v>
      </c>
      <c r="Q480" s="14" t="s">
        <v>9158</v>
      </c>
    </row>
    <row r="481" spans="1:17">
      <c r="A481" s="14">
        <v>73463</v>
      </c>
      <c r="B481" s="14" t="s">
        <v>362</v>
      </c>
      <c r="C481" s="14" t="s">
        <v>200</v>
      </c>
      <c r="D481" s="19" t="s">
        <v>15426</v>
      </c>
      <c r="E481" s="15" t="str">
        <f>HYPERLINK("https://stat100.ameba.jp/tnk47/ratio20/illustrations/card/ill_73463_sadohorikoshisoen03.jpg?202011-i_prefecture_active_user", "■")</f>
        <v>■</v>
      </c>
      <c r="F481" s="14" t="s">
        <v>15432</v>
      </c>
      <c r="G481" s="14">
        <v>44948</v>
      </c>
      <c r="H481" s="14">
        <v>54058</v>
      </c>
      <c r="I481" s="7">
        <v>26</v>
      </c>
      <c r="J481" s="14" t="s">
        <v>15431</v>
      </c>
      <c r="K481" s="14" t="s">
        <v>15430</v>
      </c>
      <c r="L481" s="14" t="s">
        <v>15429</v>
      </c>
      <c r="M481" s="14" t="s">
        <v>9158</v>
      </c>
      <c r="N481" s="14" t="s">
        <v>9158</v>
      </c>
      <c r="O481" s="14" t="s">
        <v>9158</v>
      </c>
      <c r="P481" s="14" t="s">
        <v>9158</v>
      </c>
      <c r="Q481" s="14" t="s">
        <v>9158</v>
      </c>
    </row>
    <row r="482" spans="1:17">
      <c r="A482" s="9">
        <v>77373</v>
      </c>
      <c r="B482" s="14" t="s">
        <v>362</v>
      </c>
      <c r="C482" s="14" t="s">
        <v>206</v>
      </c>
      <c r="D482" s="14" t="s">
        <v>1537</v>
      </c>
      <c r="E482" s="15" t="str">
        <f>HYPERLINK("https://stat100.ameba.jp/tnk47/ratio20/illustrations/card/ill_77373_ryorankorikitadafusa03.jpg?202011-i_prefecture_active_user", "■")</f>
        <v>■</v>
      </c>
      <c r="F482" s="14" t="s">
        <v>1538</v>
      </c>
      <c r="G482" s="14">
        <v>44948</v>
      </c>
      <c r="H482" s="14">
        <v>54058</v>
      </c>
      <c r="I482" s="7">
        <v>26</v>
      </c>
      <c r="J482" s="14" t="s">
        <v>310</v>
      </c>
      <c r="K482" s="14" t="s">
        <v>1539</v>
      </c>
      <c r="L482" s="14" t="s">
        <v>1540</v>
      </c>
      <c r="M482" s="14" t="s">
        <v>9158</v>
      </c>
      <c r="N482" s="14" t="s">
        <v>9158</v>
      </c>
      <c r="O482" s="14" t="s">
        <v>9158</v>
      </c>
      <c r="P482" s="14" t="s">
        <v>9158</v>
      </c>
      <c r="Q482" s="14" t="s">
        <v>9158</v>
      </c>
    </row>
    <row r="483" spans="1:17">
      <c r="D483" s="19"/>
      <c r="E483" s="15"/>
      <c r="I483" s="7"/>
    </row>
    <row r="484" spans="1:17">
      <c r="A484" s="14" t="s">
        <v>15409</v>
      </c>
      <c r="D484" s="19"/>
      <c r="E484" s="15"/>
      <c r="I484" s="7"/>
    </row>
    <row r="485" spans="1:17">
      <c r="A485" s="14" t="s">
        <v>15427</v>
      </c>
      <c r="D485" s="19"/>
      <c r="E485" s="15"/>
      <c r="I485" s="7"/>
    </row>
    <row r="486" spans="1:17">
      <c r="A486" s="14" t="s">
        <v>5891</v>
      </c>
      <c r="B486" s="14" t="s">
        <v>330</v>
      </c>
      <c r="C486" s="14" t="s">
        <v>202</v>
      </c>
      <c r="D486" s="20" t="s">
        <v>1371</v>
      </c>
      <c r="E486" s="15" t="str">
        <f>HYPERLINK("https://stat100.ameba.jp/tnk47/ratio20/illustrations/card/ill_77173_0_yukemuritomoegozen03.jpg?202011-i_prefecture_active_user", "■")</f>
        <v>■</v>
      </c>
      <c r="F486" s="14" t="s">
        <v>1372</v>
      </c>
      <c r="G486" s="14">
        <v>250610</v>
      </c>
      <c r="H486" s="14">
        <v>277283</v>
      </c>
      <c r="I486" s="14">
        <v>25</v>
      </c>
      <c r="J486" s="14" t="s">
        <v>310</v>
      </c>
      <c r="K486" s="14" t="s">
        <v>1373</v>
      </c>
      <c r="L486" s="14" t="s">
        <v>1374</v>
      </c>
      <c r="M486" s="14" t="s">
        <v>9158</v>
      </c>
      <c r="N486" s="14" t="s">
        <v>9158</v>
      </c>
      <c r="O486" s="19" t="s">
        <v>4067</v>
      </c>
      <c r="P486" s="14" t="s">
        <v>3879</v>
      </c>
      <c r="Q486" s="14">
        <v>2</v>
      </c>
    </row>
    <row r="487" spans="1:17">
      <c r="A487" s="14">
        <v>82543</v>
      </c>
      <c r="B487" s="14" t="s">
        <v>334</v>
      </c>
      <c r="C487" s="14" t="s">
        <v>41</v>
      </c>
      <c r="D487" s="19" t="s">
        <v>10342</v>
      </c>
      <c r="E487" s="15" t="str">
        <f>HYPERLINK("https://stat100.ameba.jp/tnk47/ratio20/illustrations/card/ill_82543_nabeshimanagako03.jpg?202011-i_prefecture_active_user", "■")</f>
        <v>■</v>
      </c>
      <c r="F487" s="14" t="s">
        <v>5491</v>
      </c>
      <c r="G487" s="14">
        <v>104890</v>
      </c>
      <c r="H487" s="14">
        <v>75984</v>
      </c>
      <c r="I487" s="14">
        <v>24</v>
      </c>
      <c r="J487" s="14" t="s">
        <v>10</v>
      </c>
      <c r="K487" s="14" t="s">
        <v>5493</v>
      </c>
      <c r="L487" s="14" t="s">
        <v>5494</v>
      </c>
      <c r="M487" s="14" t="s">
        <v>9158</v>
      </c>
      <c r="N487" s="14" t="s">
        <v>9158</v>
      </c>
      <c r="O487" s="19" t="s">
        <v>10080</v>
      </c>
      <c r="P487" s="14" t="s">
        <v>3705</v>
      </c>
      <c r="Q487" s="14">
        <v>1</v>
      </c>
    </row>
    <row r="488" spans="1:17">
      <c r="A488" s="14">
        <v>80163</v>
      </c>
      <c r="B488" s="14" t="s">
        <v>334</v>
      </c>
      <c r="C488" s="14" t="s">
        <v>158</v>
      </c>
      <c r="D488" s="20" t="s">
        <v>10391</v>
      </c>
      <c r="E488" s="15" t="str">
        <f>HYPERLINK("https://stat100.ameba.jp/tnk47/ratio20/illustrations/card/ill_80163_kuronosu03.jpg?202011-i_prefecture_active_user", "■")</f>
        <v>■</v>
      </c>
      <c r="F488" s="14" t="s">
        <v>3766</v>
      </c>
      <c r="G488" s="14">
        <v>79348</v>
      </c>
      <c r="H488" s="14">
        <v>109554</v>
      </c>
      <c r="I488" s="14">
        <v>24</v>
      </c>
      <c r="J488" s="14" t="s">
        <v>44</v>
      </c>
      <c r="K488" s="14" t="s">
        <v>3767</v>
      </c>
      <c r="L488" s="14" t="s">
        <v>1209</v>
      </c>
      <c r="M488" s="14" t="s">
        <v>9158</v>
      </c>
      <c r="N488" s="14" t="s">
        <v>9158</v>
      </c>
      <c r="O488" s="19" t="s">
        <v>2752</v>
      </c>
      <c r="P488" s="14" t="s">
        <v>13123</v>
      </c>
      <c r="Q488" s="14">
        <v>1</v>
      </c>
    </row>
    <row r="489" spans="1:17">
      <c r="A489" s="14">
        <v>78123</v>
      </c>
      <c r="B489" s="14" t="s">
        <v>334</v>
      </c>
      <c r="C489" s="14" t="s">
        <v>209</v>
      </c>
      <c r="D489" s="6" t="s">
        <v>10010</v>
      </c>
      <c r="E489" s="15" t="str">
        <f>HYPERLINK("https://stat100.ameba.jp/tnk47/ratio20/illustrations/card/ill_78123_madannoteirusorushieru03.jpg?202011-i_prefecture_active_user", "■")</f>
        <v>■</v>
      </c>
      <c r="F489" s="14" t="s">
        <v>3024</v>
      </c>
      <c r="G489" s="14">
        <v>159674</v>
      </c>
      <c r="H489" s="14">
        <v>115656</v>
      </c>
      <c r="I489" s="14">
        <v>24</v>
      </c>
      <c r="J489" s="14" t="s">
        <v>310</v>
      </c>
      <c r="K489" s="14" t="s">
        <v>3025</v>
      </c>
      <c r="L489" s="14" t="s">
        <v>443</v>
      </c>
      <c r="M489" s="14" t="s">
        <v>9158</v>
      </c>
      <c r="N489" s="14" t="s">
        <v>9158</v>
      </c>
      <c r="O489" s="17" t="s">
        <v>3414</v>
      </c>
      <c r="P489" s="14" t="s">
        <v>13122</v>
      </c>
      <c r="Q489" s="14">
        <v>1</v>
      </c>
    </row>
    <row r="490" spans="1:17">
      <c r="D490" s="19"/>
      <c r="E490" s="15"/>
      <c r="I490" s="7"/>
    </row>
    <row r="491" spans="1:17">
      <c r="A491" s="14" t="s">
        <v>3916</v>
      </c>
    </row>
    <row r="492" spans="1:17">
      <c r="A492" s="14" t="s">
        <v>15428</v>
      </c>
    </row>
    <row r="493" spans="1:17">
      <c r="A493" s="14">
        <v>62203</v>
      </c>
      <c r="B493" s="14" t="s">
        <v>334</v>
      </c>
      <c r="C493" s="14" t="s">
        <v>154</v>
      </c>
      <c r="D493" s="20" t="s">
        <v>2260</v>
      </c>
      <c r="E493" s="15" t="str">
        <f>HYPERLINK("https://stat100.ameba.jp/tnk47/ratio20/illustrations/card/ill_62203_keishoimmasahime03.jpg?202011-i_prefecture_active_user", "■")</f>
        <v>■</v>
      </c>
      <c r="F493" s="14" t="s">
        <v>2261</v>
      </c>
      <c r="G493" s="14">
        <v>108276</v>
      </c>
      <c r="H493" s="14">
        <v>116452</v>
      </c>
      <c r="I493" s="14">
        <v>27</v>
      </c>
      <c r="J493" s="14" t="s">
        <v>77</v>
      </c>
      <c r="K493" s="14" t="s">
        <v>2262</v>
      </c>
      <c r="L493" s="14" t="s">
        <v>2263</v>
      </c>
      <c r="M493" s="14" t="s">
        <v>9158</v>
      </c>
      <c r="N493" s="14" t="s">
        <v>9158</v>
      </c>
      <c r="O493" s="14" t="s">
        <v>9158</v>
      </c>
      <c r="P493" s="14" t="s">
        <v>9158</v>
      </c>
      <c r="Q493" s="14" t="s">
        <v>9158</v>
      </c>
    </row>
    <row r="494" spans="1:17">
      <c r="A494" s="14">
        <v>69723</v>
      </c>
      <c r="B494" s="14" t="s">
        <v>334</v>
      </c>
      <c r="C494" s="14" t="s">
        <v>158</v>
      </c>
      <c r="D494" s="20" t="s">
        <v>3042</v>
      </c>
      <c r="E494" s="15" t="str">
        <f>HYPERLINK("https://stat100.ameba.jp/tnk47/ratio20/illustrations/card/ill_69723_nakaurajurian03.jpg?202011-i_prefecture_active_user", "■")</f>
        <v>■</v>
      </c>
      <c r="F494" s="14" t="s">
        <v>2257</v>
      </c>
      <c r="G494" s="14">
        <v>108276</v>
      </c>
      <c r="H494" s="14">
        <v>116452</v>
      </c>
      <c r="I494" s="14">
        <v>27</v>
      </c>
      <c r="J494" s="14" t="s">
        <v>173</v>
      </c>
      <c r="K494" s="14" t="s">
        <v>2258</v>
      </c>
      <c r="L494" s="14" t="s">
        <v>2259</v>
      </c>
      <c r="M494" s="14" t="s">
        <v>9158</v>
      </c>
      <c r="N494" s="14" t="s">
        <v>9158</v>
      </c>
      <c r="O494" s="14" t="s">
        <v>9158</v>
      </c>
      <c r="P494" s="14" t="s">
        <v>9158</v>
      </c>
      <c r="Q494" s="14" t="s">
        <v>9158</v>
      </c>
    </row>
    <row r="495" spans="1:17">
      <c r="A495" s="14">
        <v>76483</v>
      </c>
      <c r="B495" s="14" t="s">
        <v>334</v>
      </c>
      <c r="C495" s="14" t="s">
        <v>307</v>
      </c>
      <c r="D495" s="20" t="s">
        <v>589</v>
      </c>
      <c r="E495" s="15" t="str">
        <f>HYPERLINK("https://stat100.ameba.jp/tnk47/ratio20/illustrations/card/ill_76483_yukemurimizuhanome03.jpg?202011-i_prefecture_active_user", "■")</f>
        <v>■</v>
      </c>
      <c r="F495" s="14" t="s">
        <v>590</v>
      </c>
      <c r="G495" s="14">
        <v>110129</v>
      </c>
      <c r="H495" s="14">
        <v>102386</v>
      </c>
      <c r="I495" s="14">
        <v>27</v>
      </c>
      <c r="J495" s="14" t="s">
        <v>401</v>
      </c>
      <c r="K495" s="14" t="s">
        <v>591</v>
      </c>
      <c r="L495" s="14" t="s">
        <v>592</v>
      </c>
      <c r="M495" s="14" t="s">
        <v>9158</v>
      </c>
      <c r="N495" s="14" t="s">
        <v>9158</v>
      </c>
      <c r="O495" s="14" t="s">
        <v>9158</v>
      </c>
      <c r="P495" s="14" t="s">
        <v>9158</v>
      </c>
      <c r="Q495" s="14" t="s">
        <v>9158</v>
      </c>
    </row>
    <row r="496" spans="1:17">
      <c r="A496" s="14">
        <v>70023</v>
      </c>
      <c r="B496" s="14" t="s">
        <v>334</v>
      </c>
      <c r="C496" s="14" t="s">
        <v>344</v>
      </c>
      <c r="D496" s="20" t="s">
        <v>10230</v>
      </c>
      <c r="E496" s="15" t="str">
        <f>HYPERLINK("https://stat100.ameba.jp/tnk47/ratio20/illustrations/card/ill_70023_yukinoukokunabeshimanobakeneko03.jpg?202011-i_prefecture_active_user", "■")</f>
        <v>■</v>
      </c>
      <c r="F496" s="14" t="s">
        <v>769</v>
      </c>
      <c r="G496" s="14">
        <v>104619</v>
      </c>
      <c r="H496" s="14">
        <v>112496</v>
      </c>
      <c r="I496" s="14">
        <v>27</v>
      </c>
      <c r="J496" s="14" t="s">
        <v>320</v>
      </c>
      <c r="K496" s="14" t="s">
        <v>770</v>
      </c>
      <c r="L496" s="14" t="s">
        <v>771</v>
      </c>
      <c r="M496" s="14" t="s">
        <v>9158</v>
      </c>
      <c r="N496" s="14" t="s">
        <v>9158</v>
      </c>
      <c r="O496" s="14" t="s">
        <v>9158</v>
      </c>
      <c r="P496" s="14" t="s">
        <v>9158</v>
      </c>
      <c r="Q496" s="14" t="s">
        <v>9158</v>
      </c>
    </row>
    <row r="497" spans="1:17">
      <c r="A497" s="14">
        <v>52733</v>
      </c>
      <c r="B497" s="14" t="s">
        <v>15</v>
      </c>
      <c r="C497" s="14" t="s">
        <v>185</v>
      </c>
      <c r="D497" s="20" t="s">
        <v>10491</v>
      </c>
      <c r="E497" s="15" t="str">
        <f>HYPERLINK("https://stat100.ameba.jp/tnk47/ratio20/illustrations/card/ill_52733_sekkinambutsuruhime03.jpg?202011-i_prefecture_active_user", "■")</f>
        <v>■</v>
      </c>
      <c r="F497" s="14" t="s">
        <v>6246</v>
      </c>
      <c r="G497" s="14">
        <v>59144</v>
      </c>
      <c r="H497" s="14">
        <v>65208</v>
      </c>
      <c r="I497" s="14">
        <v>22</v>
      </c>
      <c r="J497" s="14" t="s">
        <v>77</v>
      </c>
      <c r="K497" s="14" t="s">
        <v>6248</v>
      </c>
      <c r="L497" s="14" t="s">
        <v>6249</v>
      </c>
      <c r="M497" s="14" t="s">
        <v>9158</v>
      </c>
      <c r="N497" s="14" t="s">
        <v>9158</v>
      </c>
      <c r="O497" s="14" t="s">
        <v>9158</v>
      </c>
      <c r="P497" s="14" t="s">
        <v>9158</v>
      </c>
      <c r="Q497" s="14" t="s">
        <v>9158</v>
      </c>
    </row>
    <row r="498" spans="1:17">
      <c r="A498" s="14">
        <v>54003</v>
      </c>
      <c r="B498" s="14" t="s">
        <v>15</v>
      </c>
      <c r="C498" s="14" t="s">
        <v>200</v>
      </c>
      <c r="D498" s="20" t="s">
        <v>10492</v>
      </c>
      <c r="E498" s="15" t="str">
        <f>HYPERLINK("https://stat100.ameba.jp/tnk47/ratio20/illustrations/card/ill_54003_seiryumegurihiguchiichiyo03.jpg?202011-i_prefecture_active_user", "■")</f>
        <v>■</v>
      </c>
      <c r="F498" s="14" t="s">
        <v>6250</v>
      </c>
      <c r="G498" s="14">
        <v>65208</v>
      </c>
      <c r="H498" s="14">
        <v>59144</v>
      </c>
      <c r="I498" s="14">
        <v>22</v>
      </c>
      <c r="J498" s="14" t="s">
        <v>10</v>
      </c>
      <c r="K498" s="14" t="s">
        <v>6252</v>
      </c>
      <c r="L498" s="14" t="s">
        <v>6253</v>
      </c>
      <c r="M498" s="14" t="s">
        <v>9158</v>
      </c>
      <c r="N498" s="14" t="s">
        <v>9158</v>
      </c>
      <c r="O498" s="14" t="s">
        <v>9158</v>
      </c>
      <c r="P498" s="14" t="s">
        <v>9158</v>
      </c>
      <c r="Q498" s="14" t="s">
        <v>9158</v>
      </c>
    </row>
    <row r="499" spans="1:17">
      <c r="A499" s="14">
        <v>51833</v>
      </c>
      <c r="B499" s="14" t="s">
        <v>15</v>
      </c>
      <c r="C499" s="14" t="s">
        <v>205</v>
      </c>
      <c r="D499" s="20" t="s">
        <v>10493</v>
      </c>
      <c r="E499" s="15" t="str">
        <f>HYPERLINK("https://stat100.ameba.jp/tnk47/ratio20/illustrations/card/ill_51833_jukimakitsuhikonomikoto03.jpg?202011-i_prefecture_active_user", "■")</f>
        <v>■</v>
      </c>
      <c r="F499" s="14" t="s">
        <v>6254</v>
      </c>
      <c r="G499" s="14">
        <v>65208</v>
      </c>
      <c r="H499" s="14">
        <v>59144</v>
      </c>
      <c r="I499" s="14">
        <v>22</v>
      </c>
      <c r="J499" s="14" t="s">
        <v>44</v>
      </c>
      <c r="K499" s="14" t="s">
        <v>6257</v>
      </c>
      <c r="L499" s="14" t="s">
        <v>6256</v>
      </c>
      <c r="M499" s="14" t="s">
        <v>9158</v>
      </c>
      <c r="N499" s="14" t="s">
        <v>9158</v>
      </c>
      <c r="O499" s="14" t="s">
        <v>9158</v>
      </c>
      <c r="P499" s="14" t="s">
        <v>9158</v>
      </c>
      <c r="Q499" s="14" t="s">
        <v>9158</v>
      </c>
    </row>
    <row r="500" spans="1:17">
      <c r="A500" s="14">
        <v>53203</v>
      </c>
      <c r="B500" s="14" t="s">
        <v>15</v>
      </c>
      <c r="C500" s="14" t="s">
        <v>165</v>
      </c>
      <c r="D500" s="20" t="s">
        <v>10494</v>
      </c>
      <c r="E500" s="15" t="str">
        <f>HYPERLINK("https://stat100.ameba.jp/tnk47/ratio20/illustrations/card/ill_53203_buruhawaichan03.jpg?202011-i_prefecture_active_user", "■")</f>
        <v>■</v>
      </c>
      <c r="F500" s="14" t="s">
        <v>6258</v>
      </c>
      <c r="G500" s="14">
        <v>59144</v>
      </c>
      <c r="H500" s="14">
        <v>65208</v>
      </c>
      <c r="I500" s="14">
        <v>22</v>
      </c>
      <c r="J500" s="14" t="s">
        <v>104</v>
      </c>
      <c r="K500" s="14" t="s">
        <v>6261</v>
      </c>
      <c r="L500" s="14" t="s">
        <v>6260</v>
      </c>
      <c r="M500" s="14" t="s">
        <v>9158</v>
      </c>
      <c r="N500" s="14" t="s">
        <v>9158</v>
      </c>
      <c r="O500" s="14" t="s">
        <v>9158</v>
      </c>
      <c r="P500" s="14" t="s">
        <v>9158</v>
      </c>
      <c r="Q500" s="14" t="s">
        <v>9158</v>
      </c>
    </row>
    <row r="501" spans="1:17">
      <c r="D501" s="19"/>
      <c r="E501" s="15"/>
      <c r="I501" s="7"/>
    </row>
    <row r="502" spans="1:17">
      <c r="A502" s="14" t="s">
        <v>15354</v>
      </c>
    </row>
    <row r="503" spans="1:17">
      <c r="A503" s="14" t="s">
        <v>15355</v>
      </c>
    </row>
    <row r="504" spans="1:17">
      <c r="A504" s="14" t="s">
        <v>15356</v>
      </c>
    </row>
    <row r="505" spans="1:17">
      <c r="A505" s="14" t="s">
        <v>14997</v>
      </c>
      <c r="B505" s="7" t="s">
        <v>52</v>
      </c>
      <c r="C505" s="14" t="s">
        <v>202</v>
      </c>
      <c r="D505" s="18" t="s">
        <v>14996</v>
      </c>
      <c r="E505" s="15" t="str">
        <f>HYPERLINK("https://stat100.ameba.jp/tnk47/ratio20/illustrations/card/ill_92403_0_haroimmochizukichiyome03.jpg?202011-i_prefecture_active_user", "■")</f>
        <v>■</v>
      </c>
      <c r="F505" s="14" t="s">
        <v>15003</v>
      </c>
      <c r="G505" s="14">
        <v>339272</v>
      </c>
      <c r="H505" s="14">
        <v>277564</v>
      </c>
      <c r="I505" s="7">
        <v>28</v>
      </c>
      <c r="J505" s="14" t="s">
        <v>16</v>
      </c>
      <c r="K505" s="14" t="s">
        <v>15001</v>
      </c>
      <c r="L505" s="14" t="s">
        <v>15000</v>
      </c>
      <c r="M505" s="14" t="s">
        <v>9158</v>
      </c>
      <c r="N505" s="14" t="s">
        <v>9158</v>
      </c>
      <c r="O505" s="6" t="s">
        <v>14998</v>
      </c>
      <c r="P505" s="7" t="s">
        <v>14999</v>
      </c>
      <c r="Q505" s="7">
        <v>1</v>
      </c>
    </row>
    <row r="506" spans="1:17">
      <c r="A506" s="14">
        <v>92813</v>
      </c>
      <c r="B506" s="14" t="s">
        <v>0</v>
      </c>
      <c r="C506" s="14" t="s">
        <v>15309</v>
      </c>
      <c r="D506" s="14" t="s">
        <v>15302</v>
      </c>
      <c r="E506" s="15" t="str">
        <f>HYPERLINK("https://stat100.ameba.jp/tnk47/ratio20/illustrations/card/ill_92813_udonnotabiobakeyashiki03.jpg?202011-i_prefecture_active_user", "■")</f>
        <v>■</v>
      </c>
      <c r="F506" s="14" t="s">
        <v>15308</v>
      </c>
      <c r="G506" s="14">
        <v>127556</v>
      </c>
      <c r="H506" s="14">
        <v>118598</v>
      </c>
      <c r="I506" s="7">
        <v>28</v>
      </c>
      <c r="J506" s="14" t="s">
        <v>15307</v>
      </c>
      <c r="K506" s="14" t="s">
        <v>15306</v>
      </c>
      <c r="L506" s="14" t="s">
        <v>15305</v>
      </c>
      <c r="M506" s="14" t="s">
        <v>9158</v>
      </c>
      <c r="N506" s="14" t="s">
        <v>9158</v>
      </c>
      <c r="O506" s="14" t="s">
        <v>9158</v>
      </c>
      <c r="P506" s="14" t="s">
        <v>9158</v>
      </c>
      <c r="Q506" s="14" t="s">
        <v>9158</v>
      </c>
    </row>
    <row r="507" spans="1:17">
      <c r="A507" s="14">
        <v>92823</v>
      </c>
      <c r="B507" s="14" t="s">
        <v>0</v>
      </c>
      <c r="C507" s="14" t="s">
        <v>1</v>
      </c>
      <c r="D507" s="14" t="s">
        <v>15326</v>
      </c>
      <c r="E507" s="15" t="str">
        <f>HYPERLINK("https://stat100.ameba.jp/tnk47/ratio20/illustrations/card/ill_92823_shokorakupido03.jpg?202011-i_prefecture_active_user", "■")</f>
        <v>■</v>
      </c>
      <c r="F507" s="14" t="s">
        <v>15357</v>
      </c>
      <c r="G507" s="14">
        <v>114208</v>
      </c>
      <c r="H507" s="14">
        <v>106178</v>
      </c>
      <c r="I507" s="7">
        <v>28</v>
      </c>
      <c r="J507" s="14" t="s">
        <v>15342</v>
      </c>
      <c r="K507" s="14" t="s">
        <v>15359</v>
      </c>
      <c r="L507" s="14" t="s">
        <v>15358</v>
      </c>
      <c r="M507" s="14" t="s">
        <v>9158</v>
      </c>
      <c r="N507" s="14" t="s">
        <v>9158</v>
      </c>
      <c r="O507" s="14" t="s">
        <v>9158</v>
      </c>
      <c r="P507" s="14" t="s">
        <v>9158</v>
      </c>
      <c r="Q507" s="14" t="s">
        <v>9158</v>
      </c>
    </row>
    <row r="508" spans="1:17">
      <c r="A508" s="14">
        <v>92833</v>
      </c>
      <c r="B508" s="14" t="s">
        <v>15303</v>
      </c>
      <c r="C508" s="14" t="s">
        <v>15315</v>
      </c>
      <c r="D508" s="14" t="s">
        <v>15314</v>
      </c>
      <c r="E508" s="15" t="str">
        <f>HYPERLINK("https://stat100.ameba.jp/tnk47/ratio20/illustrations/card/ill_92833_kenchinudonchan03.jpg?202011-i_prefecture_active_user", "■")</f>
        <v>■</v>
      </c>
      <c r="F508" s="14" t="s">
        <v>15313</v>
      </c>
      <c r="G508" s="14">
        <v>75274</v>
      </c>
      <c r="H508" s="14">
        <v>82992</v>
      </c>
      <c r="I508" s="7">
        <v>28</v>
      </c>
      <c r="J508" s="14" t="s">
        <v>15312</v>
      </c>
      <c r="K508" s="14" t="s">
        <v>15311</v>
      </c>
      <c r="L508" s="14" t="s">
        <v>15310</v>
      </c>
      <c r="M508" s="14" t="s">
        <v>9158</v>
      </c>
      <c r="N508" s="14" t="s">
        <v>9158</v>
      </c>
      <c r="O508" s="14" t="s">
        <v>9158</v>
      </c>
      <c r="P508" s="14" t="s">
        <v>9158</v>
      </c>
      <c r="Q508" s="14" t="s">
        <v>9158</v>
      </c>
    </row>
    <row r="509" spans="1:17">
      <c r="A509" s="14">
        <v>92843</v>
      </c>
      <c r="B509" s="14" t="s">
        <v>15304</v>
      </c>
      <c r="C509" s="14" t="s">
        <v>15320</v>
      </c>
      <c r="D509" s="14" t="s">
        <v>15319</v>
      </c>
      <c r="E509" s="15" t="str">
        <f>HYPERLINK("https://stat100.ameba.jp/tnk47/ratio20/illustrations/card/ill_92843_kurimeshichan03.jpg?202011-i_prefecture_active_user", "■")</f>
        <v>■</v>
      </c>
      <c r="F509" s="14" t="s">
        <v>15318</v>
      </c>
      <c r="G509" s="14">
        <v>58216</v>
      </c>
      <c r="H509" s="14">
        <v>48406</v>
      </c>
      <c r="I509" s="7">
        <v>28</v>
      </c>
      <c r="J509" s="14" t="s">
        <v>15312</v>
      </c>
      <c r="K509" s="14" t="s">
        <v>15317</v>
      </c>
      <c r="L509" s="14" t="s">
        <v>15316</v>
      </c>
      <c r="M509" s="14" t="s">
        <v>9158</v>
      </c>
      <c r="N509" s="14" t="s">
        <v>9158</v>
      </c>
      <c r="O509" s="14" t="s">
        <v>9158</v>
      </c>
      <c r="P509" s="14" t="s">
        <v>9158</v>
      </c>
      <c r="Q509" s="14" t="s">
        <v>9158</v>
      </c>
    </row>
    <row r="510" spans="1:17">
      <c r="A510" s="14">
        <v>92853</v>
      </c>
      <c r="B510" s="14" t="s">
        <v>15304</v>
      </c>
      <c r="C510" s="14" t="s">
        <v>15325</v>
      </c>
      <c r="D510" s="14" t="s">
        <v>15324</v>
      </c>
      <c r="E510" s="15" t="str">
        <f>HYPERLINK("https://stat100.ameba.jp/tnk47/ratio20/illustrations/card/ill_92853_shirakawaramen03.jpg?202011-i_prefecture_active_user", "■")</f>
        <v>■</v>
      </c>
      <c r="F510" s="14" t="s">
        <v>15323</v>
      </c>
      <c r="G510" s="14">
        <v>48406</v>
      </c>
      <c r="H510" s="14">
        <v>58216</v>
      </c>
      <c r="I510" s="7">
        <v>28</v>
      </c>
      <c r="J510" s="14" t="s">
        <v>15312</v>
      </c>
      <c r="K510" s="14" t="s">
        <v>15322</v>
      </c>
      <c r="L510" s="14" t="s">
        <v>15321</v>
      </c>
      <c r="M510" s="14" t="s">
        <v>9158</v>
      </c>
      <c r="N510" s="14" t="s">
        <v>9158</v>
      </c>
      <c r="O510" s="14" t="s">
        <v>9158</v>
      </c>
      <c r="P510" s="14" t="s">
        <v>9158</v>
      </c>
      <c r="Q510" s="14" t="s">
        <v>9158</v>
      </c>
    </row>
    <row r="512" spans="1:17">
      <c r="A512" s="14" t="s">
        <v>204</v>
      </c>
      <c r="D512" s="7"/>
    </row>
    <row r="513" spans="1:18">
      <c r="A513" s="14" t="s">
        <v>7695</v>
      </c>
      <c r="D513" s="7"/>
    </row>
    <row r="514" spans="1:18">
      <c r="A514" s="14" t="s">
        <v>5734</v>
      </c>
      <c r="B514" s="14" t="s">
        <v>330</v>
      </c>
      <c r="C514" s="14" t="s">
        <v>202</v>
      </c>
      <c r="D514" s="19" t="s">
        <v>1497</v>
      </c>
      <c r="E514" s="15" t="str">
        <f>HYPERLINK("https://stat100.ameba.jp/tnk47/ratio20/illustrations/card/ill_74593_0_natsuyuenchikoshihikari03.jpg?202011-i_prefecture_active_user", "■")</f>
        <v>■</v>
      </c>
      <c r="F514" s="14" t="s">
        <v>1498</v>
      </c>
      <c r="G514" s="14">
        <v>238328</v>
      </c>
      <c r="H514" s="14">
        <v>221566</v>
      </c>
      <c r="I514" s="14">
        <v>22</v>
      </c>
      <c r="J514" s="14" t="s">
        <v>283</v>
      </c>
      <c r="K514" s="14" t="s">
        <v>1499</v>
      </c>
      <c r="L514" s="14" t="s">
        <v>1500</v>
      </c>
      <c r="M514" s="14" t="s">
        <v>9158</v>
      </c>
      <c r="N514" s="14" t="s">
        <v>9158</v>
      </c>
      <c r="O514" s="19" t="s">
        <v>2731</v>
      </c>
      <c r="P514" s="14" t="s">
        <v>2732</v>
      </c>
      <c r="Q514" s="14">
        <v>1</v>
      </c>
    </row>
    <row r="515" spans="1:18">
      <c r="A515" s="9" t="s">
        <v>5621</v>
      </c>
      <c r="B515" s="14" t="s">
        <v>330</v>
      </c>
      <c r="C515" s="14" t="s">
        <v>191</v>
      </c>
      <c r="D515" s="14" t="s">
        <v>2871</v>
      </c>
      <c r="E515" s="15" t="str">
        <f>HYPERLINK("https://stat100.ameba.jp/tnk47/ratio20/illustrations/card/ill_51973_0_kemonomizugikuroyuridensetsu03.jpg?202011-i_prefecture_active_user", "■")</f>
        <v>■</v>
      </c>
      <c r="F515" s="14" t="s">
        <v>2872</v>
      </c>
      <c r="G515" s="14">
        <v>138212</v>
      </c>
      <c r="H515" s="14">
        <v>122776</v>
      </c>
      <c r="I515" s="14">
        <v>22</v>
      </c>
      <c r="J515" s="14" t="s">
        <v>274</v>
      </c>
      <c r="K515" s="14" t="s">
        <v>2873</v>
      </c>
      <c r="L515" s="14" t="s">
        <v>2874</v>
      </c>
      <c r="M515" s="14" t="s">
        <v>9158</v>
      </c>
      <c r="N515" s="14" t="s">
        <v>9158</v>
      </c>
      <c r="O515" s="17" t="s">
        <v>10066</v>
      </c>
      <c r="P515" s="14" t="s">
        <v>13172</v>
      </c>
      <c r="Q515" s="14">
        <v>1</v>
      </c>
    </row>
    <row r="516" spans="1:18">
      <c r="A516" s="9" t="s">
        <v>5721</v>
      </c>
      <c r="B516" s="14" t="s">
        <v>52</v>
      </c>
      <c r="C516" s="14" t="s">
        <v>1</v>
      </c>
      <c r="D516" s="14" t="s">
        <v>2253</v>
      </c>
      <c r="E516" s="15" t="str">
        <f>HYPERLINK("https://stat100.ameba.jp/tnk47/ratio20/illustrations/card/ill_44283_0_izumonokuni03.jpg?202011-i_prefecture_active_user", "■")</f>
        <v>■</v>
      </c>
      <c r="F516" s="14" t="s">
        <v>1716</v>
      </c>
      <c r="G516" s="14">
        <v>128744</v>
      </c>
      <c r="H516" s="14">
        <v>120576</v>
      </c>
      <c r="I516" s="14">
        <v>22</v>
      </c>
      <c r="J516" s="14" t="s">
        <v>16</v>
      </c>
      <c r="K516" s="14" t="s">
        <v>2254</v>
      </c>
      <c r="L516" s="14" t="s">
        <v>1718</v>
      </c>
      <c r="M516" s="14" t="s">
        <v>9158</v>
      </c>
      <c r="N516" s="14" t="s">
        <v>9158</v>
      </c>
      <c r="O516" s="14" t="s">
        <v>9158</v>
      </c>
      <c r="P516" s="14" t="s">
        <v>9158</v>
      </c>
      <c r="Q516" s="14" t="s">
        <v>9158</v>
      </c>
    </row>
    <row r="517" spans="1:18">
      <c r="A517" s="14">
        <v>90023</v>
      </c>
      <c r="B517" s="14" t="s">
        <v>0</v>
      </c>
      <c r="C517" s="14" t="s">
        <v>1</v>
      </c>
      <c r="D517" s="14" t="s">
        <v>13990</v>
      </c>
      <c r="E517" s="15" t="str">
        <f>HYPERLINK("https://stat100.ameba.jp/tnk47/ratio20/illustrations/card/ill_90023_buiranzuamadeia03.jpg?202011-i_prefecture_active_user", "■")</f>
        <v>■</v>
      </c>
      <c r="F517" s="14" t="s">
        <v>13989</v>
      </c>
      <c r="G517" s="14">
        <v>198226</v>
      </c>
      <c r="H517" s="14">
        <v>111523</v>
      </c>
      <c r="I517" s="14">
        <v>27</v>
      </c>
      <c r="J517" s="14" t="s">
        <v>143</v>
      </c>
      <c r="K517" s="14" t="s">
        <v>13988</v>
      </c>
      <c r="L517" s="14" t="s">
        <v>12153</v>
      </c>
      <c r="M517" s="14" t="s">
        <v>9158</v>
      </c>
      <c r="N517" s="14" t="s">
        <v>9158</v>
      </c>
      <c r="O517" s="14" t="s">
        <v>9158</v>
      </c>
      <c r="P517" s="14" t="s">
        <v>9158</v>
      </c>
      <c r="Q517" s="14" t="s">
        <v>9158</v>
      </c>
    </row>
    <row r="518" spans="1:18">
      <c r="A518" s="14">
        <v>82723</v>
      </c>
      <c r="B518" s="14" t="s">
        <v>334</v>
      </c>
      <c r="C518" s="14" t="s">
        <v>191</v>
      </c>
      <c r="D518" s="19" t="s">
        <v>10392</v>
      </c>
      <c r="E518" s="15" t="str">
        <f>HYPERLINK("https://stat100.ameba.jp/tnk47/ratio20/illustrations/card/ill_82723_natsufuesuyamakawatomiko03.jpg?202011-i_prefecture_active_user", "■")</f>
        <v>■</v>
      </c>
      <c r="F518" s="14" t="s">
        <v>5817</v>
      </c>
      <c r="G518" s="14">
        <v>130214</v>
      </c>
      <c r="H518" s="14">
        <v>73270</v>
      </c>
      <c r="I518" s="14">
        <v>27</v>
      </c>
      <c r="J518" s="14" t="s">
        <v>10</v>
      </c>
      <c r="K518" s="14" t="s">
        <v>5818</v>
      </c>
      <c r="L518" s="14" t="s">
        <v>60</v>
      </c>
      <c r="M518" s="14" t="s">
        <v>9158</v>
      </c>
      <c r="N518" s="14" t="s">
        <v>9158</v>
      </c>
      <c r="O518" s="14" t="s">
        <v>9158</v>
      </c>
      <c r="P518" s="14" t="s">
        <v>9158</v>
      </c>
      <c r="Q518" s="14" t="s">
        <v>9158</v>
      </c>
    </row>
    <row r="519" spans="1:18">
      <c r="A519" s="14">
        <v>80943</v>
      </c>
      <c r="B519" s="14" t="s">
        <v>334</v>
      </c>
      <c r="C519" s="14" t="s">
        <v>107</v>
      </c>
      <c r="D519" s="20" t="s">
        <v>10707</v>
      </c>
      <c r="E519" s="15" t="str">
        <f>HYPERLINK("https://stat100.ameba.jp/tnk47/ratio20/illustrations/card/ill_80943_shinshakaijimburakkuparu03.jpg?202011-i_prefecture_active_user", "■")</f>
        <v>■</v>
      </c>
      <c r="F519" s="14" t="s">
        <v>4453</v>
      </c>
      <c r="G519" s="14">
        <v>105465</v>
      </c>
      <c r="H519" s="14">
        <v>98019</v>
      </c>
      <c r="I519" s="14">
        <v>27</v>
      </c>
      <c r="J519" s="14" t="s">
        <v>16</v>
      </c>
      <c r="K519" s="14" t="s">
        <v>4454</v>
      </c>
      <c r="L519" s="14" t="s">
        <v>4455</v>
      </c>
      <c r="M519" s="14" t="s">
        <v>9158</v>
      </c>
      <c r="N519" s="14" t="s">
        <v>9158</v>
      </c>
      <c r="O519" s="14" t="s">
        <v>9158</v>
      </c>
      <c r="P519" s="14" t="s">
        <v>9158</v>
      </c>
      <c r="Q519" s="14" t="s">
        <v>9158</v>
      </c>
    </row>
    <row r="521" spans="1:18">
      <c r="A521" s="14" t="s">
        <v>15330</v>
      </c>
    </row>
    <row r="522" spans="1:18">
      <c r="A522" s="14" t="s">
        <v>15331</v>
      </c>
    </row>
    <row r="523" spans="1:18">
      <c r="A523" s="14">
        <v>89795</v>
      </c>
      <c r="B523" s="14" t="s">
        <v>0</v>
      </c>
      <c r="C523" s="14" t="s">
        <v>202</v>
      </c>
      <c r="D523" s="14" t="s">
        <v>15337</v>
      </c>
      <c r="E523" s="15" t="str">
        <f>HYPERLINK("https://stat100.ameba.jp/tnk47/ratio20/illustrations/card/ill_89795_sennyusosayozenin05.jpg?202011-i_prefecture_active_user", "■")</f>
        <v>■</v>
      </c>
      <c r="F523" s="14" t="s">
        <v>15336</v>
      </c>
      <c r="G523" s="14">
        <v>138202</v>
      </c>
      <c r="H523" s="14">
        <v>100052</v>
      </c>
      <c r="I523" s="7">
        <v>28</v>
      </c>
      <c r="J523" s="14" t="s">
        <v>15335</v>
      </c>
      <c r="K523" s="14" t="s">
        <v>15334</v>
      </c>
      <c r="L523" s="14" t="s">
        <v>15333</v>
      </c>
      <c r="M523" s="14" t="s">
        <v>9158</v>
      </c>
      <c r="N523" s="14" t="s">
        <v>9158</v>
      </c>
      <c r="O523" s="14" t="s">
        <v>9158</v>
      </c>
      <c r="P523" s="14" t="s">
        <v>9158</v>
      </c>
      <c r="Q523" s="14" t="s">
        <v>9158</v>
      </c>
      <c r="R523" s="14" t="s">
        <v>174</v>
      </c>
    </row>
    <row r="524" spans="1:18">
      <c r="A524" s="14">
        <v>89793</v>
      </c>
      <c r="B524" s="14" t="s">
        <v>15</v>
      </c>
      <c r="C524" s="14" t="s">
        <v>158</v>
      </c>
      <c r="D524" s="14" t="s">
        <v>15337</v>
      </c>
      <c r="E524" s="15" t="str">
        <f>HYPERLINK("https://stat100.ameba.jp/tnk47/ratio20/illustrations/card/ill_89793_sennyusosayozenin03.jpg?202011-i_prefecture_active_user", "■")</f>
        <v>■</v>
      </c>
      <c r="F524" s="14" t="s">
        <v>15336</v>
      </c>
      <c r="G524" s="14">
        <v>101816</v>
      </c>
      <c r="H524" s="14">
        <v>73710</v>
      </c>
      <c r="I524" s="14">
        <v>28</v>
      </c>
      <c r="J524" s="14" t="s">
        <v>15335</v>
      </c>
      <c r="K524" s="14" t="s">
        <v>15334</v>
      </c>
      <c r="L524" s="14" t="s">
        <v>15338</v>
      </c>
      <c r="M524" s="14" t="s">
        <v>9158</v>
      </c>
      <c r="N524" s="14" t="s">
        <v>9158</v>
      </c>
      <c r="O524" s="14" t="s">
        <v>9158</v>
      </c>
      <c r="P524" s="14" t="s">
        <v>9158</v>
      </c>
      <c r="Q524" s="14" t="s">
        <v>9158</v>
      </c>
      <c r="R524" s="14" t="s">
        <v>175</v>
      </c>
    </row>
    <row r="525" spans="1:18">
      <c r="A525" s="14">
        <v>89791</v>
      </c>
      <c r="B525" s="14" t="s">
        <v>15</v>
      </c>
      <c r="C525" s="14" t="s">
        <v>158</v>
      </c>
      <c r="D525" s="14" t="s">
        <v>15337</v>
      </c>
      <c r="E525" s="15" t="str">
        <f>HYPERLINK("https://stat100.ameba.jp/tnk47/ratio20/illustrations/card/ill_89791_sennyusosayozenin01.jpg?202011-i_prefecture_active_user", "■")</f>
        <v>■</v>
      </c>
      <c r="F525" s="14" t="s">
        <v>15336</v>
      </c>
      <c r="G525" s="14">
        <v>64764</v>
      </c>
      <c r="H525" s="14">
        <v>46872</v>
      </c>
      <c r="I525" s="7">
        <v>28</v>
      </c>
      <c r="J525" s="14" t="s">
        <v>15335</v>
      </c>
      <c r="K525" s="14" t="s">
        <v>15334</v>
      </c>
      <c r="L525" s="14" t="s">
        <v>15339</v>
      </c>
      <c r="M525" s="14" t="s">
        <v>9158</v>
      </c>
      <c r="N525" s="14" t="s">
        <v>9158</v>
      </c>
      <c r="O525" s="14" t="s">
        <v>9158</v>
      </c>
      <c r="P525" s="14" t="s">
        <v>9158</v>
      </c>
      <c r="Q525" s="14" t="s">
        <v>9158</v>
      </c>
      <c r="R525" s="14" t="s">
        <v>176</v>
      </c>
    </row>
    <row r="526" spans="1:18">
      <c r="A526" s="14">
        <v>87755</v>
      </c>
      <c r="B526" s="14" t="s">
        <v>0</v>
      </c>
      <c r="C526" s="14" t="s">
        <v>202</v>
      </c>
      <c r="D526" s="14" t="s">
        <v>15344</v>
      </c>
      <c r="E526" s="15" t="str">
        <f>HYPERLINK("https://stat100.ameba.jp/tnk47/ratio20/illustrations/card/ill_87755_ginyushijinrei05.jpg?202011-i_prefecture_active_user", "■")</f>
        <v>■</v>
      </c>
      <c r="F526" s="14" t="s">
        <v>15343</v>
      </c>
      <c r="G526" s="14">
        <v>95308</v>
      </c>
      <c r="H526" s="14">
        <v>131636</v>
      </c>
      <c r="I526" s="14">
        <v>28</v>
      </c>
      <c r="J526" s="14" t="s">
        <v>15342</v>
      </c>
      <c r="K526" s="14" t="s">
        <v>15341</v>
      </c>
      <c r="L526" s="14" t="s">
        <v>15340</v>
      </c>
      <c r="M526" s="14" t="s">
        <v>9158</v>
      </c>
      <c r="N526" s="14" t="s">
        <v>9158</v>
      </c>
      <c r="O526" s="14" t="s">
        <v>9158</v>
      </c>
      <c r="P526" s="14" t="s">
        <v>9158</v>
      </c>
      <c r="Q526" s="14" t="s">
        <v>9158</v>
      </c>
      <c r="R526" s="14" t="s">
        <v>174</v>
      </c>
    </row>
    <row r="527" spans="1:18">
      <c r="A527" s="14">
        <v>87753</v>
      </c>
      <c r="B527" s="14" t="s">
        <v>15</v>
      </c>
      <c r="C527" s="14" t="s">
        <v>158</v>
      </c>
      <c r="D527" s="14" t="s">
        <v>15344</v>
      </c>
      <c r="E527" s="15" t="str">
        <f>HYPERLINK("https://stat100.ameba.jp/tnk47/ratio20/illustrations/card/ill_87753_ginyushijinrei03.jpg?202011-i_prefecture_active_user", "■")</f>
        <v>■</v>
      </c>
      <c r="F527" s="14" t="s">
        <v>15343</v>
      </c>
      <c r="G527" s="14">
        <v>70218</v>
      </c>
      <c r="H527" s="14">
        <v>96978</v>
      </c>
      <c r="I527" s="7">
        <v>28</v>
      </c>
      <c r="J527" s="14" t="s">
        <v>15342</v>
      </c>
      <c r="K527" s="14" t="s">
        <v>15341</v>
      </c>
      <c r="L527" s="14" t="s">
        <v>15345</v>
      </c>
      <c r="M527" s="14" t="s">
        <v>9158</v>
      </c>
      <c r="N527" s="14" t="s">
        <v>9158</v>
      </c>
      <c r="O527" s="14" t="s">
        <v>9158</v>
      </c>
      <c r="P527" s="14" t="s">
        <v>9158</v>
      </c>
      <c r="Q527" s="14" t="s">
        <v>9158</v>
      </c>
      <c r="R527" s="14" t="s">
        <v>175</v>
      </c>
    </row>
    <row r="528" spans="1:18">
      <c r="A528" s="14">
        <v>87751</v>
      </c>
      <c r="B528" s="14" t="s">
        <v>15</v>
      </c>
      <c r="C528" s="14" t="s">
        <v>158</v>
      </c>
      <c r="D528" s="14" t="s">
        <v>15344</v>
      </c>
      <c r="E528" s="15" t="str">
        <f>HYPERLINK("https://stat100.ameba.jp/tnk47/ratio20/illustrations/card/ill_87751_ginyushijinrei01.jpg?202011-i_prefecture_active_user", "■")</f>
        <v>■</v>
      </c>
      <c r="F528" s="14" t="s">
        <v>15343</v>
      </c>
      <c r="G528" s="14">
        <v>44660</v>
      </c>
      <c r="H528" s="14">
        <v>61684</v>
      </c>
      <c r="I528" s="14">
        <v>28</v>
      </c>
      <c r="J528" s="14" t="s">
        <v>15342</v>
      </c>
      <c r="K528" s="14" t="s">
        <v>15341</v>
      </c>
      <c r="L528" s="14" t="s">
        <v>15346</v>
      </c>
      <c r="M528" s="14" t="s">
        <v>9158</v>
      </c>
      <c r="N528" s="14" t="s">
        <v>9158</v>
      </c>
      <c r="O528" s="14" t="s">
        <v>9158</v>
      </c>
      <c r="P528" s="14" t="s">
        <v>9158</v>
      </c>
      <c r="Q528" s="14" t="s">
        <v>9158</v>
      </c>
      <c r="R528" s="14" t="s">
        <v>176</v>
      </c>
    </row>
    <row r="529" spans="1:18">
      <c r="A529" s="14">
        <v>89175</v>
      </c>
      <c r="B529" s="14" t="s">
        <v>0</v>
      </c>
      <c r="C529" s="14" t="s">
        <v>202</v>
      </c>
      <c r="D529" s="14" t="s">
        <v>15351</v>
      </c>
      <c r="E529" s="15" t="str">
        <f>HYPERLINK("https://stat100.ameba.jp/tnk47/ratio20/illustrations/card/ill_89175_yuamimuman05.jpg?202011-i_prefecture_active_user", "■")</f>
        <v>■</v>
      </c>
      <c r="F529" s="14" t="s">
        <v>15350</v>
      </c>
      <c r="G529" s="14">
        <v>115284</v>
      </c>
      <c r="H529" s="14">
        <v>159200</v>
      </c>
      <c r="I529" s="7">
        <v>28</v>
      </c>
      <c r="J529" s="14" t="s">
        <v>15349</v>
      </c>
      <c r="K529" s="14" t="s">
        <v>15348</v>
      </c>
      <c r="L529" s="14" t="s">
        <v>15347</v>
      </c>
      <c r="M529" s="14" t="s">
        <v>9158</v>
      </c>
      <c r="N529" s="14" t="s">
        <v>9158</v>
      </c>
      <c r="O529" s="14" t="s">
        <v>9158</v>
      </c>
      <c r="P529" s="14" t="s">
        <v>9158</v>
      </c>
      <c r="Q529" s="14" t="s">
        <v>9158</v>
      </c>
      <c r="R529" s="14" t="s">
        <v>174</v>
      </c>
    </row>
    <row r="530" spans="1:18">
      <c r="A530" s="14">
        <v>89173</v>
      </c>
      <c r="B530" s="14" t="s">
        <v>15</v>
      </c>
      <c r="C530" s="14" t="s">
        <v>47</v>
      </c>
      <c r="D530" s="14" t="s">
        <v>15351</v>
      </c>
      <c r="E530" s="15" t="str">
        <f>HYPERLINK("https://stat100.ameba.jp/tnk47/ratio20/illustrations/card/ill_89173_yuamimuman03.jpg?202011-i_prefecture_active_user", "■")</f>
        <v>■</v>
      </c>
      <c r="F530" s="14" t="s">
        <v>15350</v>
      </c>
      <c r="G530" s="14">
        <v>84940</v>
      </c>
      <c r="H530" s="14">
        <v>117308</v>
      </c>
      <c r="I530" s="14">
        <v>28</v>
      </c>
      <c r="J530" s="14" t="s">
        <v>15349</v>
      </c>
      <c r="K530" s="14" t="s">
        <v>15348</v>
      </c>
      <c r="L530" s="14" t="s">
        <v>15352</v>
      </c>
      <c r="M530" s="14" t="s">
        <v>9158</v>
      </c>
      <c r="N530" s="14" t="s">
        <v>9158</v>
      </c>
      <c r="O530" s="14" t="s">
        <v>9158</v>
      </c>
      <c r="P530" s="14" t="s">
        <v>9158</v>
      </c>
      <c r="Q530" s="14" t="s">
        <v>9158</v>
      </c>
      <c r="R530" s="14" t="s">
        <v>175</v>
      </c>
    </row>
    <row r="531" spans="1:18">
      <c r="A531" s="14">
        <v>89171</v>
      </c>
      <c r="B531" s="14" t="s">
        <v>15</v>
      </c>
      <c r="C531" s="14" t="s">
        <v>47</v>
      </c>
      <c r="D531" s="14" t="s">
        <v>15351</v>
      </c>
      <c r="E531" s="15" t="str">
        <f>HYPERLINK("https://stat100.ameba.jp/tnk47/ratio20/illustrations/card/ill_89171_yuamimuman01.jpg?202011-i_prefecture_active_user", "■")</f>
        <v>■</v>
      </c>
      <c r="F531" s="14" t="s">
        <v>15350</v>
      </c>
      <c r="G531" s="14">
        <v>54040</v>
      </c>
      <c r="H531" s="14">
        <v>74620</v>
      </c>
      <c r="I531" s="7">
        <v>28</v>
      </c>
      <c r="J531" s="14" t="s">
        <v>15349</v>
      </c>
      <c r="K531" s="14" t="s">
        <v>15348</v>
      </c>
      <c r="L531" s="14" t="s">
        <v>15353</v>
      </c>
      <c r="M531" s="14" t="s">
        <v>9158</v>
      </c>
      <c r="N531" s="14" t="s">
        <v>9158</v>
      </c>
      <c r="O531" s="14" t="s">
        <v>9158</v>
      </c>
      <c r="P531" s="14" t="s">
        <v>9158</v>
      </c>
      <c r="Q531" s="14" t="s">
        <v>9158</v>
      </c>
      <c r="R531" s="14" t="s">
        <v>176</v>
      </c>
    </row>
    <row r="533" spans="1:18">
      <c r="A533" s="14" t="s">
        <v>3844</v>
      </c>
    </row>
    <row r="534" spans="1:18">
      <c r="A534" s="14" t="s">
        <v>15332</v>
      </c>
    </row>
    <row r="535" spans="1:18">
      <c r="A535" s="14" t="s">
        <v>5623</v>
      </c>
      <c r="B535" s="14" t="s">
        <v>330</v>
      </c>
      <c r="C535" s="14" t="s">
        <v>165</v>
      </c>
      <c r="D535" s="19" t="s">
        <v>3146</v>
      </c>
      <c r="E535" s="15" t="str">
        <f>HYPERLINK("https://stat100.ameba.jp/tnk47/ratio20/illustrations/card/ill_65713_0_undokaionikirimaru03.jpg?202011-i_prefecture_active_user", "■")</f>
        <v>■</v>
      </c>
      <c r="F535" s="14" t="s">
        <v>535</v>
      </c>
      <c r="G535" s="14">
        <v>189209</v>
      </c>
      <c r="H535" s="14">
        <v>175911</v>
      </c>
      <c r="I535" s="14">
        <v>25</v>
      </c>
      <c r="J535" s="14" t="s">
        <v>320</v>
      </c>
      <c r="K535" s="14" t="s">
        <v>3147</v>
      </c>
      <c r="L535" s="14" t="s">
        <v>3148</v>
      </c>
      <c r="M535" s="14" t="s">
        <v>9158</v>
      </c>
      <c r="N535" s="14" t="s">
        <v>9158</v>
      </c>
      <c r="O535" s="19" t="s">
        <v>2869</v>
      </c>
      <c r="P535" s="14" t="s">
        <v>2870</v>
      </c>
      <c r="Q535" s="14">
        <v>1</v>
      </c>
    </row>
    <row r="536" spans="1:18">
      <c r="A536" s="14">
        <v>82903</v>
      </c>
      <c r="B536" s="14" t="s">
        <v>334</v>
      </c>
      <c r="C536" s="14" t="s">
        <v>185</v>
      </c>
      <c r="D536" s="19" t="s">
        <v>10439</v>
      </c>
      <c r="E536" s="15" t="str">
        <f>HYPERLINK("https://stat100.ameba.jp/tnk47/ratio20/illustrations/card/ill_82903_yukatamatsurisonobehideo03.jpg?202011-i_prefecture_active_user", "■")</f>
        <v>■</v>
      </c>
      <c r="F536" s="14" t="s">
        <v>5970</v>
      </c>
      <c r="G536" s="14">
        <v>101558</v>
      </c>
      <c r="H536" s="14">
        <v>94390</v>
      </c>
      <c r="I536" s="14">
        <v>26</v>
      </c>
      <c r="J536" s="14" t="s">
        <v>10</v>
      </c>
      <c r="K536" s="14" t="s">
        <v>5972</v>
      </c>
      <c r="L536" s="14" t="s">
        <v>5973</v>
      </c>
      <c r="M536" s="14" t="s">
        <v>9158</v>
      </c>
      <c r="N536" s="14" t="s">
        <v>9158</v>
      </c>
      <c r="O536" s="19" t="s">
        <v>10102</v>
      </c>
      <c r="P536" s="14" t="s">
        <v>3672</v>
      </c>
      <c r="Q536" s="14">
        <v>1</v>
      </c>
    </row>
    <row r="537" spans="1:18">
      <c r="A537" s="14">
        <v>82373</v>
      </c>
      <c r="B537" s="14" t="s">
        <v>334</v>
      </c>
      <c r="C537" s="14" t="s">
        <v>191</v>
      </c>
      <c r="D537" s="6" t="s">
        <v>10020</v>
      </c>
      <c r="E537" s="15" t="str">
        <f>HYPERLINK("https://stat100.ameba.jp/tnk47/ratio20/illustrations/card/ill_82373_bikinigaruyasharyujin03.jpg?202011-i_prefecture_active_user", "■")</f>
        <v>■</v>
      </c>
      <c r="F537" s="14" t="s">
        <v>5397</v>
      </c>
      <c r="G537" s="14">
        <v>106050</v>
      </c>
      <c r="H537" s="14">
        <v>98594</v>
      </c>
      <c r="I537" s="14">
        <v>26</v>
      </c>
      <c r="J537" s="14" t="s">
        <v>44</v>
      </c>
      <c r="K537" s="14" t="s">
        <v>5398</v>
      </c>
      <c r="L537" s="14" t="s">
        <v>3356</v>
      </c>
      <c r="M537" s="14" t="s">
        <v>9158</v>
      </c>
      <c r="N537" s="14" t="s">
        <v>9158</v>
      </c>
      <c r="O537" s="6" t="s">
        <v>3578</v>
      </c>
      <c r="P537" s="14" t="s">
        <v>3579</v>
      </c>
      <c r="Q537" s="14">
        <v>1</v>
      </c>
    </row>
    <row r="538" spans="1:18">
      <c r="A538" s="14">
        <v>76783</v>
      </c>
      <c r="B538" s="14" t="s">
        <v>334</v>
      </c>
      <c r="C538" s="14" t="s">
        <v>203</v>
      </c>
      <c r="D538" s="19" t="s">
        <v>10367</v>
      </c>
      <c r="E538" s="15" t="str">
        <f>HYPERLINK("https://stat100.ameba.jp/tnk47/ratio20/illustrations/card/ill_76783_monsutaakashirejina03.jpg?202011-i_prefecture_active_user", "■")</f>
        <v>■</v>
      </c>
      <c r="F538" s="14" t="s">
        <v>1192</v>
      </c>
      <c r="G538" s="14">
        <v>82318</v>
      </c>
      <c r="H538" s="14">
        <v>113630</v>
      </c>
      <c r="I538" s="14">
        <v>26</v>
      </c>
      <c r="J538" s="14" t="s">
        <v>10</v>
      </c>
      <c r="K538" s="14" t="s">
        <v>1193</v>
      </c>
      <c r="L538" s="14" t="s">
        <v>1194</v>
      </c>
      <c r="M538" s="14" t="s">
        <v>9158</v>
      </c>
      <c r="N538" s="14" t="s">
        <v>9158</v>
      </c>
      <c r="O538" s="19" t="s">
        <v>2752</v>
      </c>
      <c r="P538" s="14" t="s">
        <v>13123</v>
      </c>
      <c r="Q538" s="14">
        <v>1</v>
      </c>
    </row>
    <row r="540" spans="1:18">
      <c r="A540" s="14" t="s">
        <v>15300</v>
      </c>
    </row>
    <row r="541" spans="1:18">
      <c r="A541" s="14" t="s">
        <v>1177</v>
      </c>
    </row>
    <row r="542" spans="1:18">
      <c r="A542" s="14" t="s">
        <v>5787</v>
      </c>
      <c r="B542" s="14" t="s">
        <v>330</v>
      </c>
      <c r="C542" s="14" t="s">
        <v>270</v>
      </c>
      <c r="D542" s="20" t="s">
        <v>331</v>
      </c>
      <c r="E542" s="15" t="str">
        <f>HYPERLINK("https://stat100.ameba.jp/tnk47/ratio20/illustrations/card/ill_76303_0_haroinkaguya03.jpg?202011-i_prefecture_active_user", "■")</f>
        <v>■</v>
      </c>
      <c r="F542" s="14" t="s">
        <v>332</v>
      </c>
      <c r="G542" s="14">
        <v>285614</v>
      </c>
      <c r="H542" s="14">
        <v>265526</v>
      </c>
      <c r="I542" s="14">
        <v>24</v>
      </c>
      <c r="J542" s="14" t="s">
        <v>274</v>
      </c>
      <c r="K542" s="14" t="s">
        <v>333</v>
      </c>
      <c r="L542" s="14" t="s">
        <v>276</v>
      </c>
      <c r="M542" s="14" t="s">
        <v>9158</v>
      </c>
      <c r="N542" s="14" t="s">
        <v>9158</v>
      </c>
      <c r="O542" s="19" t="s">
        <v>2976</v>
      </c>
      <c r="P542" s="14" t="s">
        <v>2724</v>
      </c>
      <c r="Q542" s="14">
        <v>1</v>
      </c>
    </row>
    <row r="543" spans="1:18">
      <c r="A543" s="14" t="s">
        <v>5614</v>
      </c>
      <c r="B543" s="14" t="s">
        <v>330</v>
      </c>
      <c r="C543" s="14" t="s">
        <v>267</v>
      </c>
      <c r="D543" s="19" t="s">
        <v>313</v>
      </c>
      <c r="E543" s="15" t="str">
        <f>HYPERLINK("https://stat100.ameba.jp/tnk47/ratio20/illustrations/card/ill_56223_0_onsempanikkugohime03.jpg?202011-i_prefecture_active_user", "■")</f>
        <v>■</v>
      </c>
      <c r="F543" s="14" t="s">
        <v>314</v>
      </c>
      <c r="G543" s="14">
        <v>133938</v>
      </c>
      <c r="H543" s="14">
        <v>150776</v>
      </c>
      <c r="I543" s="14">
        <v>24</v>
      </c>
      <c r="J543" s="14" t="s">
        <v>315</v>
      </c>
      <c r="K543" s="14" t="s">
        <v>316</v>
      </c>
      <c r="L543" s="14" t="s">
        <v>317</v>
      </c>
      <c r="M543" s="14" t="s">
        <v>9158</v>
      </c>
      <c r="N543" s="14" t="s">
        <v>9158</v>
      </c>
      <c r="O543" s="19" t="s">
        <v>3021</v>
      </c>
      <c r="P543" s="14" t="s">
        <v>2890</v>
      </c>
      <c r="Q543" s="14">
        <v>1</v>
      </c>
    </row>
    <row r="544" spans="1:18">
      <c r="A544" s="14" t="s">
        <v>5622</v>
      </c>
      <c r="B544" s="14" t="s">
        <v>330</v>
      </c>
      <c r="C544" s="14" t="s">
        <v>335</v>
      </c>
      <c r="D544" s="19" t="s">
        <v>1043</v>
      </c>
      <c r="E544" s="15" t="str">
        <f>HYPERLINK("https://stat100.ameba.jp/tnk47/ratio20/illustrations/card/ill_49953_0_yushamarihime03.jpg?202011-i_prefecture_active_user", "■")</f>
        <v>■</v>
      </c>
      <c r="F544" s="14" t="s">
        <v>510</v>
      </c>
      <c r="G544" s="14">
        <v>150776</v>
      </c>
      <c r="H544" s="14">
        <v>133938</v>
      </c>
      <c r="I544" s="14">
        <v>24</v>
      </c>
      <c r="J544" s="14" t="s">
        <v>315</v>
      </c>
      <c r="K544" s="14" t="s">
        <v>511</v>
      </c>
      <c r="L544" s="14" t="s">
        <v>512</v>
      </c>
      <c r="M544" s="14" t="s">
        <v>9158</v>
      </c>
      <c r="N544" s="14" t="s">
        <v>9158</v>
      </c>
      <c r="O544" s="14" t="s">
        <v>9158</v>
      </c>
      <c r="P544" s="14" t="s">
        <v>9158</v>
      </c>
      <c r="Q544" s="14" t="s">
        <v>9158</v>
      </c>
    </row>
    <row r="545" spans="1:18">
      <c r="A545" s="14">
        <v>92813</v>
      </c>
      <c r="B545" s="14" t="s">
        <v>0</v>
      </c>
      <c r="C545" s="14" t="s">
        <v>15309</v>
      </c>
      <c r="D545" s="14" t="s">
        <v>15302</v>
      </c>
      <c r="E545" s="15" t="str">
        <f>HYPERLINK("https://stat100.ameba.jp/tnk47/ratio20/illustrations/card/ill_92813_udonnotabiobakeyashiki03.jpg?202011-i_prefecture_active_user", "■")</f>
        <v>■</v>
      </c>
      <c r="F545" s="14" t="s">
        <v>15308</v>
      </c>
      <c r="G545" s="14">
        <v>118446</v>
      </c>
      <c r="H545" s="14">
        <v>110126</v>
      </c>
      <c r="I545" s="14">
        <v>26</v>
      </c>
      <c r="J545" s="14" t="s">
        <v>15307</v>
      </c>
      <c r="K545" s="14" t="s">
        <v>15306</v>
      </c>
      <c r="L545" s="14" t="s">
        <v>15305</v>
      </c>
      <c r="M545" s="14" t="s">
        <v>9158</v>
      </c>
      <c r="N545" s="14" t="s">
        <v>9158</v>
      </c>
      <c r="O545" s="14" t="s">
        <v>9158</v>
      </c>
      <c r="P545" s="14" t="s">
        <v>9158</v>
      </c>
      <c r="Q545" s="14" t="s">
        <v>9158</v>
      </c>
    </row>
    <row r="546" spans="1:18">
      <c r="A546" s="14">
        <v>92833</v>
      </c>
      <c r="B546" s="14" t="s">
        <v>15303</v>
      </c>
      <c r="C546" s="14" t="s">
        <v>15315</v>
      </c>
      <c r="D546" s="14" t="s">
        <v>15314</v>
      </c>
      <c r="E546" s="15" t="str">
        <f>HYPERLINK("https://stat100.ameba.jp/tnk47/ratio20/illustrations/card/ill_92833_kenchinudonchan03.jpg?202011-i_prefecture_active_user", "■")</f>
        <v>■</v>
      </c>
      <c r="F546" s="14" t="s">
        <v>15313</v>
      </c>
      <c r="G546" s="14">
        <v>69898</v>
      </c>
      <c r="H546" s="14">
        <v>77064</v>
      </c>
      <c r="I546" s="14">
        <v>26</v>
      </c>
      <c r="J546" s="14" t="s">
        <v>15312</v>
      </c>
      <c r="K546" s="14" t="s">
        <v>15311</v>
      </c>
      <c r="L546" s="14" t="s">
        <v>15310</v>
      </c>
      <c r="M546" s="14" t="s">
        <v>9158</v>
      </c>
      <c r="N546" s="14" t="s">
        <v>9158</v>
      </c>
      <c r="O546" s="14" t="s">
        <v>9158</v>
      </c>
      <c r="P546" s="14" t="s">
        <v>9158</v>
      </c>
      <c r="Q546" s="14" t="s">
        <v>9158</v>
      </c>
    </row>
    <row r="547" spans="1:18">
      <c r="A547" s="14">
        <v>92843</v>
      </c>
      <c r="B547" s="14" t="s">
        <v>15304</v>
      </c>
      <c r="C547" s="14" t="s">
        <v>15320</v>
      </c>
      <c r="D547" s="14" t="s">
        <v>15319</v>
      </c>
      <c r="E547" s="15" t="str">
        <f>HYPERLINK("https://stat100.ameba.jp/tnk47/ratio20/illustrations/card/ill_92843_kurimeshichan03.jpg?202011-i_prefecture_active_user", "■")</f>
        <v>■</v>
      </c>
      <c r="F547" s="14" t="s">
        <v>15318</v>
      </c>
      <c r="G547" s="14">
        <v>54058</v>
      </c>
      <c r="H547" s="14">
        <v>44948</v>
      </c>
      <c r="I547" s="14">
        <v>26</v>
      </c>
      <c r="J547" s="14" t="s">
        <v>15312</v>
      </c>
      <c r="K547" s="14" t="s">
        <v>15317</v>
      </c>
      <c r="L547" s="14" t="s">
        <v>15316</v>
      </c>
      <c r="M547" s="14" t="s">
        <v>9158</v>
      </c>
      <c r="N547" s="14" t="s">
        <v>9158</v>
      </c>
      <c r="O547" s="14" t="s">
        <v>9158</v>
      </c>
      <c r="P547" s="14" t="s">
        <v>9158</v>
      </c>
      <c r="Q547" s="14" t="s">
        <v>9158</v>
      </c>
    </row>
    <row r="548" spans="1:18">
      <c r="A548" s="14">
        <v>92853</v>
      </c>
      <c r="B548" s="14" t="s">
        <v>15304</v>
      </c>
      <c r="C548" s="14" t="s">
        <v>15325</v>
      </c>
      <c r="D548" s="14" t="s">
        <v>15324</v>
      </c>
      <c r="E548" s="15" t="str">
        <f>HYPERLINK("https://stat100.ameba.jp/tnk47/ratio20/illustrations/card/ill_92853_shirakawaramen03.jpg?202011-i_prefecture_active_user", "■")</f>
        <v>■</v>
      </c>
      <c r="F548" s="14" t="s">
        <v>15323</v>
      </c>
      <c r="G548" s="14">
        <v>44948</v>
      </c>
      <c r="H548" s="14">
        <v>54058</v>
      </c>
      <c r="I548" s="14">
        <v>26</v>
      </c>
      <c r="J548" s="14" t="s">
        <v>15312</v>
      </c>
      <c r="K548" s="14" t="s">
        <v>15322</v>
      </c>
      <c r="L548" s="14" t="s">
        <v>15321</v>
      </c>
      <c r="M548" s="14" t="s">
        <v>9158</v>
      </c>
      <c r="N548" s="14" t="s">
        <v>9158</v>
      </c>
      <c r="O548" s="14" t="s">
        <v>9158</v>
      </c>
      <c r="P548" s="14" t="s">
        <v>9158</v>
      </c>
      <c r="Q548" s="14" t="s">
        <v>9158</v>
      </c>
    </row>
    <row r="550" spans="1:18">
      <c r="A550" s="14" t="s">
        <v>15327</v>
      </c>
    </row>
    <row r="551" spans="1:18">
      <c r="A551" s="14" t="s">
        <v>15328</v>
      </c>
    </row>
    <row r="552" spans="1:18">
      <c r="A552" s="14" t="s">
        <v>6598</v>
      </c>
      <c r="B552" s="14" t="s">
        <v>330</v>
      </c>
      <c r="C552" s="14" t="s">
        <v>35</v>
      </c>
      <c r="D552" s="19" t="s">
        <v>10555</v>
      </c>
      <c r="E552" s="15" t="str">
        <f>HYPERLINK("https://stat100.ameba.jp/tnk47/ratio20/illustrations/card/ill_83553_0_kajuenamoronagu03.jpg?202011-i_prefecture_active_user", "■")</f>
        <v>■</v>
      </c>
      <c r="F552" s="14" t="s">
        <v>6597</v>
      </c>
      <c r="G552" s="14">
        <v>263165</v>
      </c>
      <c r="H552" s="14">
        <v>291184</v>
      </c>
      <c r="I552" s="14">
        <v>25</v>
      </c>
      <c r="J552" s="14" t="s">
        <v>44</v>
      </c>
      <c r="K552" s="14" t="s">
        <v>6595</v>
      </c>
      <c r="L552" s="14" t="s">
        <v>6594</v>
      </c>
      <c r="M552" s="14" t="s">
        <v>9158</v>
      </c>
      <c r="N552" s="14" t="s">
        <v>9158</v>
      </c>
      <c r="O552" s="19" t="s">
        <v>10125</v>
      </c>
      <c r="P552" s="14" t="s">
        <v>6599</v>
      </c>
      <c r="Q552" s="14">
        <v>1</v>
      </c>
    </row>
    <row r="553" spans="1:18">
      <c r="A553" s="7">
        <v>85053</v>
      </c>
      <c r="B553" s="7" t="s">
        <v>0</v>
      </c>
      <c r="C553" s="7" t="s">
        <v>158</v>
      </c>
      <c r="D553" s="19" t="s">
        <v>10768</v>
      </c>
      <c r="E553" s="15" t="str">
        <f>HYPERLINK("https://stat100.ameba.jp/tnk47/ratio20/illustrations/card/ill_85053_heideirumu03.jpg?202011-i_prefecture_active_user", "■")</f>
        <v>■</v>
      </c>
      <c r="F553" s="7" t="s">
        <v>7969</v>
      </c>
      <c r="G553" s="7">
        <v>109554</v>
      </c>
      <c r="H553" s="7">
        <v>79348</v>
      </c>
      <c r="I553" s="14">
        <v>24</v>
      </c>
      <c r="J553" s="7" t="s">
        <v>169</v>
      </c>
      <c r="K553" s="7" t="s">
        <v>7968</v>
      </c>
      <c r="L553" s="7" t="s">
        <v>7967</v>
      </c>
      <c r="M553" s="14" t="s">
        <v>9158</v>
      </c>
      <c r="N553" s="14" t="s">
        <v>9158</v>
      </c>
      <c r="O553" s="19" t="s">
        <v>10085</v>
      </c>
      <c r="P553" s="7" t="s">
        <v>4374</v>
      </c>
      <c r="Q553" s="7">
        <v>1</v>
      </c>
    </row>
    <row r="554" spans="1:18">
      <c r="A554" s="14">
        <v>75053</v>
      </c>
      <c r="B554" s="14" t="s">
        <v>334</v>
      </c>
      <c r="C554" s="14" t="s">
        <v>47</v>
      </c>
      <c r="D554" s="19" t="s">
        <v>10366</v>
      </c>
      <c r="E554" s="15" t="str">
        <f>HYPERLINK("https://stat100.ameba.jp/tnk47/ratio20/illustrations/card/ill_75053_goshikinuma03.jpg?202011-i_prefecture_active_user", "■")</f>
        <v>■</v>
      </c>
      <c r="F554" s="14" t="s">
        <v>5644</v>
      </c>
      <c r="G554" s="14">
        <v>88624</v>
      </c>
      <c r="H554" s="14">
        <v>122366</v>
      </c>
      <c r="I554" s="14">
        <v>24</v>
      </c>
      <c r="J554" s="14" t="s">
        <v>26</v>
      </c>
      <c r="K554" s="14" t="s">
        <v>5646</v>
      </c>
      <c r="L554" s="14" t="s">
        <v>2137</v>
      </c>
      <c r="M554" s="14" t="s">
        <v>9158</v>
      </c>
      <c r="N554" s="14" t="s">
        <v>9158</v>
      </c>
      <c r="O554" s="19" t="s">
        <v>10093</v>
      </c>
      <c r="P554" s="14" t="s">
        <v>13145</v>
      </c>
      <c r="Q554" s="14">
        <v>1</v>
      </c>
    </row>
    <row r="555" spans="1:18">
      <c r="A555" s="14">
        <v>60763</v>
      </c>
      <c r="B555" s="14" t="s">
        <v>334</v>
      </c>
      <c r="C555" s="14" t="s">
        <v>203</v>
      </c>
      <c r="D555" s="19" t="s">
        <v>10420</v>
      </c>
      <c r="E555" s="15" t="str">
        <f>HYPERLINK("https://stat100.ameba.jp/tnk47/ratio20/illustrations/card/ill_60763_fujiwarakagekiyo03.jpg?202011-i_prefecture_active_user", "■")</f>
        <v>■</v>
      </c>
      <c r="F555" s="14" t="s">
        <v>1146</v>
      </c>
      <c r="G555" s="14">
        <v>115656</v>
      </c>
      <c r="H555" s="14">
        <v>159674</v>
      </c>
      <c r="I555" s="14">
        <v>24</v>
      </c>
      <c r="J555" s="14" t="s">
        <v>143</v>
      </c>
      <c r="K555" s="14" t="s">
        <v>1147</v>
      </c>
      <c r="L555" s="14" t="s">
        <v>1148</v>
      </c>
      <c r="M555" s="14" t="s">
        <v>9158</v>
      </c>
      <c r="N555" s="14" t="s">
        <v>9158</v>
      </c>
      <c r="O555" s="19" t="s">
        <v>10112</v>
      </c>
      <c r="P555" s="14" t="s">
        <v>13150</v>
      </c>
      <c r="Q555" s="14">
        <v>1</v>
      </c>
    </row>
    <row r="557" spans="1:18">
      <c r="A557" s="14" t="s">
        <v>13327</v>
      </c>
    </row>
    <row r="558" spans="1:18">
      <c r="A558" s="14" t="s">
        <v>15329</v>
      </c>
    </row>
    <row r="559" spans="1:18">
      <c r="A559" s="14">
        <v>88153</v>
      </c>
      <c r="B559" s="14" t="s">
        <v>334</v>
      </c>
      <c r="C559" s="14" t="s">
        <v>14</v>
      </c>
      <c r="D559" s="6" t="s">
        <v>10011</v>
      </c>
      <c r="E559" s="15" t="str">
        <f>HYPERLINK("https://stat100.ameba.jp/tnk47/ratio20/illustrations/card/ill_88153_sunofueari03.jpg?202011-i_prefecture_active_user", "■")</f>
        <v>■</v>
      </c>
      <c r="F559" s="14" t="s">
        <v>9960</v>
      </c>
      <c r="G559" s="14">
        <v>137846</v>
      </c>
      <c r="H559" s="14">
        <v>128160</v>
      </c>
      <c r="I559" s="14">
        <v>28</v>
      </c>
      <c r="J559" s="14" t="s">
        <v>169</v>
      </c>
      <c r="K559" s="14" t="s">
        <v>9961</v>
      </c>
      <c r="L559" s="14" t="s">
        <v>9962</v>
      </c>
      <c r="M559" s="14" t="s">
        <v>13130</v>
      </c>
      <c r="N559" s="14" t="s">
        <v>343</v>
      </c>
      <c r="O559" s="14" t="s">
        <v>9158</v>
      </c>
      <c r="P559" s="14" t="s">
        <v>9158</v>
      </c>
      <c r="Q559" s="14" t="s">
        <v>9158</v>
      </c>
      <c r="R559" s="14" t="s">
        <v>14748</v>
      </c>
    </row>
    <row r="560" spans="1:18">
      <c r="A560" s="14">
        <v>88152</v>
      </c>
      <c r="B560" s="14" t="s">
        <v>334</v>
      </c>
      <c r="C560" s="14" t="s">
        <v>14</v>
      </c>
      <c r="D560" s="6" t="s">
        <v>10011</v>
      </c>
      <c r="E560" s="15" t="str">
        <f>HYPERLINK("https://stat100.ameba.jp/tnk47/ratio20/illustrations/card/ill_88152_sunofueari02.jpg?202011-i_prefecture_active_user", "■")</f>
        <v>■</v>
      </c>
      <c r="F560" s="14" t="s">
        <v>9960</v>
      </c>
      <c r="G560" s="14">
        <v>115230</v>
      </c>
      <c r="H560" s="14">
        <v>106148</v>
      </c>
      <c r="I560" s="14">
        <v>28</v>
      </c>
      <c r="J560" s="14" t="s">
        <v>169</v>
      </c>
      <c r="K560" s="14" t="s">
        <v>9961</v>
      </c>
      <c r="L560" s="14" t="s">
        <v>9962</v>
      </c>
      <c r="M560" s="14" t="s">
        <v>13131</v>
      </c>
      <c r="N560" s="14" t="s">
        <v>251</v>
      </c>
      <c r="O560" s="14" t="s">
        <v>9158</v>
      </c>
      <c r="P560" s="14" t="s">
        <v>9158</v>
      </c>
      <c r="Q560" s="14" t="s">
        <v>9158</v>
      </c>
      <c r="R560" s="14" t="s">
        <v>14748</v>
      </c>
    </row>
    <row r="561" spans="1:18">
      <c r="A561" s="14">
        <v>88151</v>
      </c>
      <c r="B561" s="14" t="s">
        <v>0</v>
      </c>
      <c r="C561" s="14" t="s">
        <v>14</v>
      </c>
      <c r="D561" s="6" t="s">
        <v>10011</v>
      </c>
      <c r="E561" s="15" t="str">
        <f>HYPERLINK("https://stat100.ameba.jp/tnk47/ratio20/illustrations/card/ill_88151_sunofueari01.jpg?202011-i_prefecture_active_user", "■")</f>
        <v>■</v>
      </c>
      <c r="F561" s="14" t="s">
        <v>9960</v>
      </c>
      <c r="G561" s="14">
        <v>87976</v>
      </c>
      <c r="H561" s="14">
        <v>81900</v>
      </c>
      <c r="I561" s="14">
        <v>28</v>
      </c>
      <c r="J561" s="14" t="s">
        <v>169</v>
      </c>
      <c r="K561" s="14" t="s">
        <v>9961</v>
      </c>
      <c r="L561" s="14" t="s">
        <v>9962</v>
      </c>
      <c r="M561" s="14" t="s">
        <v>13131</v>
      </c>
      <c r="N561" s="14" t="s">
        <v>251</v>
      </c>
      <c r="O561" s="14" t="s">
        <v>9158</v>
      </c>
      <c r="P561" s="14" t="s">
        <v>9158</v>
      </c>
      <c r="Q561" s="14" t="s">
        <v>9158</v>
      </c>
      <c r="R561" s="14" t="s">
        <v>14748</v>
      </c>
    </row>
    <row r="562" spans="1:18">
      <c r="A562" s="14">
        <v>88163</v>
      </c>
      <c r="B562" s="14" t="s">
        <v>334</v>
      </c>
      <c r="C562" s="14" t="s">
        <v>23</v>
      </c>
      <c r="D562" s="6" t="s">
        <v>10012</v>
      </c>
      <c r="E562" s="15" t="str">
        <f>HYPERLINK("https://stat100.ameba.jp/tnk47/ratio20/illustrations/card/ill_88163_shitsujitanteimagi03.jpg?202011-i_prefecture_active_user", "■")</f>
        <v>■</v>
      </c>
      <c r="F562" s="14" t="s">
        <v>9963</v>
      </c>
      <c r="G562" s="14">
        <v>137846</v>
      </c>
      <c r="H562" s="14">
        <v>128160</v>
      </c>
      <c r="I562" s="14">
        <v>28</v>
      </c>
      <c r="J562" s="14" t="s">
        <v>159</v>
      </c>
      <c r="K562" s="14" t="s">
        <v>9964</v>
      </c>
      <c r="L562" s="14" t="s">
        <v>9965</v>
      </c>
      <c r="M562" s="14" t="s">
        <v>13130</v>
      </c>
      <c r="N562" s="14" t="s">
        <v>343</v>
      </c>
      <c r="O562" s="14" t="s">
        <v>9158</v>
      </c>
      <c r="P562" s="14" t="s">
        <v>9158</v>
      </c>
      <c r="Q562" s="14" t="s">
        <v>9158</v>
      </c>
      <c r="R562" s="14" t="s">
        <v>14748</v>
      </c>
    </row>
    <row r="563" spans="1:18">
      <c r="A563" s="14">
        <v>88173</v>
      </c>
      <c r="B563" s="14" t="s">
        <v>334</v>
      </c>
      <c r="C563" s="14" t="s">
        <v>101</v>
      </c>
      <c r="D563" s="6" t="s">
        <v>10013</v>
      </c>
      <c r="E563" s="15" t="str">
        <f>HYPERLINK("https://stat100.ameba.jp/tnk47/ratio20/illustrations/card/ill_88173_pichipurinsesu03.jpg?202011-i_prefecture_active_user", "■")</f>
        <v>■</v>
      </c>
      <c r="F563" s="14" t="s">
        <v>9966</v>
      </c>
      <c r="G563" s="14">
        <v>128160</v>
      </c>
      <c r="H563" s="14">
        <v>137846</v>
      </c>
      <c r="I563" s="14">
        <v>28</v>
      </c>
      <c r="J563" s="14" t="s">
        <v>187</v>
      </c>
      <c r="K563" s="14" t="s">
        <v>9967</v>
      </c>
      <c r="L563" s="14" t="s">
        <v>9968</v>
      </c>
      <c r="M563" s="14" t="s">
        <v>13130</v>
      </c>
      <c r="N563" s="14" t="s">
        <v>343</v>
      </c>
      <c r="O563" s="14" t="s">
        <v>9158</v>
      </c>
      <c r="P563" s="14" t="s">
        <v>9158</v>
      </c>
      <c r="Q563" s="14" t="s">
        <v>9158</v>
      </c>
      <c r="R563" s="14" t="s">
        <v>14748</v>
      </c>
    </row>
    <row r="564" spans="1:18">
      <c r="A564" s="14">
        <v>88183</v>
      </c>
      <c r="B564" s="14" t="s">
        <v>0</v>
      </c>
      <c r="C564" s="14" t="s">
        <v>96</v>
      </c>
      <c r="D564" s="6" t="s">
        <v>10014</v>
      </c>
      <c r="E564" s="15" t="str">
        <f>HYPERLINK("https://stat100.ameba.jp/tnk47/ratio20/illustrations/card/ill_88183_saikiringugaru03.jpg?202011-i_prefecture_active_user", "■")</f>
        <v>■</v>
      </c>
      <c r="F564" s="14" t="s">
        <v>9969</v>
      </c>
      <c r="G564" s="14">
        <v>128160</v>
      </c>
      <c r="H564" s="14">
        <v>137846</v>
      </c>
      <c r="I564" s="14">
        <v>28</v>
      </c>
      <c r="J564" s="14" t="s">
        <v>182</v>
      </c>
      <c r="K564" s="14" t="s">
        <v>9970</v>
      </c>
      <c r="L564" s="14" t="s">
        <v>9971</v>
      </c>
      <c r="M564" s="14" t="s">
        <v>13130</v>
      </c>
      <c r="N564" s="14" t="s">
        <v>343</v>
      </c>
      <c r="O564" s="14" t="s">
        <v>9158</v>
      </c>
      <c r="P564" s="14" t="s">
        <v>9158</v>
      </c>
      <c r="Q564" s="14" t="s">
        <v>9158</v>
      </c>
      <c r="R564" s="14" t="s">
        <v>14748</v>
      </c>
    </row>
    <row r="565" spans="1:18">
      <c r="A565" s="14">
        <v>88193</v>
      </c>
      <c r="B565" s="14" t="s">
        <v>334</v>
      </c>
      <c r="C565" s="14" t="s">
        <v>205</v>
      </c>
      <c r="D565" s="6" t="s">
        <v>10015</v>
      </c>
      <c r="E565" s="15" t="str">
        <f>HYPERLINK("https://stat100.ameba.jp/tnk47/ratio20/illustrations/card/ill_88193_sakasunomajo03.jpg?202011-i_prefecture_active_user", "■")</f>
        <v>■</v>
      </c>
      <c r="F565" s="14" t="s">
        <v>9972</v>
      </c>
      <c r="G565" s="14">
        <v>128160</v>
      </c>
      <c r="H565" s="14">
        <v>137846</v>
      </c>
      <c r="I565" s="14">
        <v>28</v>
      </c>
      <c r="J565" s="14" t="s">
        <v>155</v>
      </c>
      <c r="K565" s="14" t="s">
        <v>9977</v>
      </c>
      <c r="L565" s="14" t="s">
        <v>9973</v>
      </c>
      <c r="M565" s="14" t="s">
        <v>13130</v>
      </c>
      <c r="N565" s="14" t="s">
        <v>343</v>
      </c>
      <c r="O565" s="14" t="s">
        <v>9158</v>
      </c>
      <c r="P565" s="14" t="s">
        <v>9158</v>
      </c>
      <c r="Q565" s="14" t="s">
        <v>9158</v>
      </c>
      <c r="R565" s="14" t="s">
        <v>14748</v>
      </c>
    </row>
    <row r="566" spans="1:18">
      <c r="A566" s="14">
        <v>88203</v>
      </c>
      <c r="B566" s="14" t="s">
        <v>334</v>
      </c>
      <c r="C566" s="14" t="s">
        <v>107</v>
      </c>
      <c r="D566" s="6" t="s">
        <v>10016</v>
      </c>
      <c r="E566" s="15" t="str">
        <f>HYPERLINK("https://stat100.ameba.jp/tnk47/ratio20/illustrations/card/ill_88203_soingumasuta03.jpg?202011-i_prefecture_active_user", "■")</f>
        <v>■</v>
      </c>
      <c r="F566" s="14" t="s">
        <v>9976</v>
      </c>
      <c r="G566" s="14">
        <v>137846</v>
      </c>
      <c r="H566" s="14">
        <v>128160</v>
      </c>
      <c r="I566" s="14">
        <v>28</v>
      </c>
      <c r="J566" s="14" t="s">
        <v>173</v>
      </c>
      <c r="K566" s="14" t="s">
        <v>9974</v>
      </c>
      <c r="L566" s="14" t="s">
        <v>9975</v>
      </c>
      <c r="M566" s="14" t="s">
        <v>13130</v>
      </c>
      <c r="N566" s="14" t="s">
        <v>343</v>
      </c>
      <c r="O566" s="14" t="s">
        <v>9158</v>
      </c>
      <c r="P566" s="14" t="s">
        <v>9158</v>
      </c>
      <c r="Q566" s="14" t="s">
        <v>9158</v>
      </c>
      <c r="R566" s="14" t="s">
        <v>14748</v>
      </c>
    </row>
    <row r="568" spans="1:18">
      <c r="A568" s="14" t="s">
        <v>3905</v>
      </c>
    </row>
    <row r="569" spans="1:18">
      <c r="A569" s="14" t="s">
        <v>7734</v>
      </c>
    </row>
    <row r="570" spans="1:18">
      <c r="A570" s="14" t="s">
        <v>6030</v>
      </c>
      <c r="B570" s="14" t="s">
        <v>52</v>
      </c>
      <c r="C570" s="14" t="s">
        <v>202</v>
      </c>
      <c r="D570" s="19" t="s">
        <v>10453</v>
      </c>
      <c r="E570" s="15" t="str">
        <f>HYPERLINK("https://stat100.ameba.jp/tnk47/ratio20/illustrations/card/ill_80023_0_hinamatsurikyogokumaria03.jpg?202011-5-RELEASE-marathon-501", "■")</f>
        <v>■</v>
      </c>
      <c r="F570" s="14" t="s">
        <v>3709</v>
      </c>
      <c r="G570" s="14">
        <v>296478</v>
      </c>
      <c r="H570" s="14">
        <v>328064</v>
      </c>
      <c r="I570" s="14">
        <v>22</v>
      </c>
      <c r="J570" s="14" t="s">
        <v>26</v>
      </c>
      <c r="K570" s="14" t="s">
        <v>3710</v>
      </c>
      <c r="L570" s="14" t="s">
        <v>3711</v>
      </c>
      <c r="M570" s="14" t="s">
        <v>9158</v>
      </c>
      <c r="N570" s="14" t="s">
        <v>9158</v>
      </c>
      <c r="O570" s="19" t="s">
        <v>10116</v>
      </c>
      <c r="P570" s="14" t="s">
        <v>3713</v>
      </c>
      <c r="Q570" s="14">
        <v>1</v>
      </c>
    </row>
    <row r="571" spans="1:18">
      <c r="A571" s="14" t="s">
        <v>5618</v>
      </c>
      <c r="B571" s="14" t="s">
        <v>330</v>
      </c>
      <c r="C571" s="14" t="s">
        <v>200</v>
      </c>
      <c r="D571" s="20" t="s">
        <v>665</v>
      </c>
      <c r="E571" s="15" t="str">
        <f>HYPERLINK("https://stat100.ameba.jp/tnk47/ratio20/illustrations/card/ill_63173_0_minazukikonakaiteruko03.jpg?202011-5-RELEASE-marathon-501", "■")</f>
        <v>■</v>
      </c>
      <c r="F571" s="14" t="s">
        <v>666</v>
      </c>
      <c r="G571" s="14">
        <v>190952</v>
      </c>
      <c r="H571" s="14">
        <v>205358</v>
      </c>
      <c r="I571" s="14">
        <v>22</v>
      </c>
      <c r="J571" s="14" t="s">
        <v>310</v>
      </c>
      <c r="K571" s="14" t="s">
        <v>667</v>
      </c>
      <c r="L571" s="14" t="s">
        <v>668</v>
      </c>
      <c r="M571" s="14" t="s">
        <v>9158</v>
      </c>
      <c r="N571" s="14" t="s">
        <v>9158</v>
      </c>
      <c r="O571" s="19" t="s">
        <v>10079</v>
      </c>
      <c r="P571" s="14" t="s">
        <v>3329</v>
      </c>
      <c r="Q571" s="14">
        <v>1</v>
      </c>
    </row>
    <row r="572" spans="1:18">
      <c r="A572" s="9" t="s">
        <v>5616</v>
      </c>
      <c r="B572" s="14" t="s">
        <v>330</v>
      </c>
      <c r="C572" s="14" t="s">
        <v>185</v>
      </c>
      <c r="D572" s="14" t="s">
        <v>638</v>
      </c>
      <c r="E572" s="15" t="str">
        <f>HYPERLINK("https://stat100.ameba.jp/tnk47/ratio20/illustrations/card/ill_44253_0_dokuganryudatemasamune03.jpg?202011-5-RELEASE-marathon-501", "■")</f>
        <v>■</v>
      </c>
      <c r="F572" s="14" t="s">
        <v>639</v>
      </c>
      <c r="G572" s="14">
        <v>120576</v>
      </c>
      <c r="H572" s="14">
        <v>128744</v>
      </c>
      <c r="I572" s="14">
        <v>22</v>
      </c>
      <c r="J572" s="14" t="s">
        <v>310</v>
      </c>
      <c r="K572" s="14" t="s">
        <v>640</v>
      </c>
      <c r="L572" s="14" t="s">
        <v>641</v>
      </c>
      <c r="M572" s="14" t="s">
        <v>9158</v>
      </c>
      <c r="N572" s="14" t="s">
        <v>9158</v>
      </c>
      <c r="O572" s="14" t="s">
        <v>9158</v>
      </c>
      <c r="P572" s="14" t="s">
        <v>9158</v>
      </c>
      <c r="Q572" s="14" t="s">
        <v>9158</v>
      </c>
    </row>
    <row r="573" spans="1:18">
      <c r="A573" s="14">
        <v>85863</v>
      </c>
      <c r="B573" s="14" t="s">
        <v>0</v>
      </c>
      <c r="C573" s="14" t="s">
        <v>185</v>
      </c>
      <c r="D573" s="20" t="s">
        <v>10868</v>
      </c>
      <c r="E573" s="15" t="str">
        <f>HYPERLINK("https://stat100.ameba.jp/tnk47/ratio20/illustrations/card/ill_85863_omochaawariteia03.jpg?202011-5-RELEASE-marathon-501", "■")</f>
        <v>■</v>
      </c>
      <c r="F573" s="14" t="s">
        <v>8732</v>
      </c>
      <c r="G573" s="14">
        <v>73270</v>
      </c>
      <c r="H573" s="14">
        <v>130214</v>
      </c>
      <c r="I573" s="9">
        <v>27</v>
      </c>
      <c r="J573" s="14" t="s">
        <v>187</v>
      </c>
      <c r="K573" s="14" t="s">
        <v>8731</v>
      </c>
      <c r="L573" s="14" t="s">
        <v>7158</v>
      </c>
      <c r="M573" s="14" t="s">
        <v>9158</v>
      </c>
      <c r="N573" s="14" t="s">
        <v>9158</v>
      </c>
      <c r="O573" s="14" t="s">
        <v>9158</v>
      </c>
      <c r="P573" s="14" t="s">
        <v>9158</v>
      </c>
      <c r="Q573" s="14" t="s">
        <v>9158</v>
      </c>
    </row>
    <row r="574" spans="1:18">
      <c r="A574" s="14">
        <v>84763</v>
      </c>
      <c r="B574" s="14" t="s">
        <v>0</v>
      </c>
      <c r="C574" s="14" t="s">
        <v>200</v>
      </c>
      <c r="D574" s="19" t="s">
        <v>10721</v>
      </c>
      <c r="E574" s="15" t="str">
        <f>HYPERLINK("https://stat100.ameba.jp/tnk47/ratio20/illustrations/card/ill_84763_haroimmajodeyone03.jpg?202011-5-RELEASE-marathon-501", "■")</f>
        <v>■</v>
      </c>
      <c r="F574" s="14" t="s">
        <v>7583</v>
      </c>
      <c r="G574" s="14">
        <v>76091</v>
      </c>
      <c r="H574" s="14">
        <v>135229</v>
      </c>
      <c r="I574" s="9">
        <v>27</v>
      </c>
      <c r="J574" s="14" t="s">
        <v>16</v>
      </c>
      <c r="K574" s="14" t="s">
        <v>7582</v>
      </c>
      <c r="L574" s="14" t="s">
        <v>7581</v>
      </c>
      <c r="M574" s="14" t="s">
        <v>9158</v>
      </c>
      <c r="N574" s="14" t="s">
        <v>9158</v>
      </c>
      <c r="O574" s="14" t="s">
        <v>9158</v>
      </c>
      <c r="P574" s="14" t="s">
        <v>9158</v>
      </c>
      <c r="Q574" s="14" t="s">
        <v>9158</v>
      </c>
    </row>
    <row r="575" spans="1:18">
      <c r="A575" s="9">
        <v>82133</v>
      </c>
      <c r="B575" s="9" t="s">
        <v>0</v>
      </c>
      <c r="C575" s="9" t="s">
        <v>165</v>
      </c>
      <c r="D575" s="19" t="s">
        <v>10295</v>
      </c>
      <c r="E575" s="15" t="str">
        <f>HYPERLINK("https://stat100.ameba.jp/tnk47/ratio20/illustrations/card/ill_82133_senritsunosumasshukobitokaba03.jpg?202011-5-RELEASE-marathon-501", "■")</f>
        <v>■</v>
      </c>
      <c r="F575" s="9" t="s">
        <v>5298</v>
      </c>
      <c r="G575" s="9">
        <v>102386</v>
      </c>
      <c r="H575" s="9">
        <v>110129</v>
      </c>
      <c r="I575" s="9">
        <v>27</v>
      </c>
      <c r="J575" s="9" t="s">
        <v>229</v>
      </c>
      <c r="K575" s="9" t="s">
        <v>5300</v>
      </c>
      <c r="L575" s="9" t="s">
        <v>5301</v>
      </c>
      <c r="M575" s="14" t="s">
        <v>9158</v>
      </c>
      <c r="N575" s="14" t="s">
        <v>9158</v>
      </c>
      <c r="O575" s="14" t="s">
        <v>9158</v>
      </c>
      <c r="P575" s="14" t="s">
        <v>9158</v>
      </c>
      <c r="Q575" s="14" t="s">
        <v>9158</v>
      </c>
    </row>
    <row r="577" spans="1:17">
      <c r="A577" s="14" t="s">
        <v>15433</v>
      </c>
    </row>
    <row r="578" spans="1:17">
      <c r="A578" s="14" t="s">
        <v>1228</v>
      </c>
    </row>
    <row r="579" spans="1:17">
      <c r="A579" s="9">
        <v>60363</v>
      </c>
      <c r="B579" s="14" t="s">
        <v>0</v>
      </c>
      <c r="C579" s="14" t="s">
        <v>209</v>
      </c>
      <c r="D579" s="14" t="s">
        <v>3918</v>
      </c>
      <c r="E579" s="15" t="str">
        <f>HYPERLINK("https://stat100.ameba.jp/tnk47/ratio20/illustrations/card/ill_60363_shirakaba03.jpg?202011-5-RELEASE-marathon-501", "■")</f>
        <v>■</v>
      </c>
      <c r="F579" s="14" t="s">
        <v>3919</v>
      </c>
      <c r="G579" s="14">
        <v>108276</v>
      </c>
      <c r="H579" s="14">
        <v>116452</v>
      </c>
      <c r="I579" s="9">
        <v>27</v>
      </c>
      <c r="J579" s="14" t="s">
        <v>26</v>
      </c>
      <c r="K579" s="14" t="s">
        <v>3920</v>
      </c>
      <c r="L579" s="14" t="s">
        <v>3921</v>
      </c>
      <c r="M579" s="14" t="s">
        <v>9158</v>
      </c>
      <c r="N579" s="14" t="s">
        <v>9158</v>
      </c>
      <c r="O579" s="14" t="s">
        <v>9158</v>
      </c>
      <c r="P579" s="14" t="s">
        <v>9158</v>
      </c>
      <c r="Q579" s="14" t="s">
        <v>9158</v>
      </c>
    </row>
    <row r="580" spans="1:17">
      <c r="A580" s="9">
        <v>59413</v>
      </c>
      <c r="B580" s="14" t="s">
        <v>334</v>
      </c>
      <c r="C580" s="14" t="s">
        <v>158</v>
      </c>
      <c r="D580" s="14" t="s">
        <v>3922</v>
      </c>
      <c r="E580" s="15" t="str">
        <f>HYPERLINK("https://stat100.ameba.jp/tnk47/ratio20/illustrations/card/ill_59413_otogosahime03.jpg?202011-5-RELEASE-marathon-501", "■")</f>
        <v>■</v>
      </c>
      <c r="F580" s="14" t="s">
        <v>3923</v>
      </c>
      <c r="G580" s="14">
        <v>108276</v>
      </c>
      <c r="H580" s="14">
        <v>116452</v>
      </c>
      <c r="I580" s="9">
        <v>27</v>
      </c>
      <c r="J580" s="14" t="s">
        <v>38</v>
      </c>
      <c r="K580" s="14" t="s">
        <v>3924</v>
      </c>
      <c r="L580" s="14" t="s">
        <v>3925</v>
      </c>
      <c r="M580" s="14" t="s">
        <v>9158</v>
      </c>
      <c r="N580" s="14" t="s">
        <v>9158</v>
      </c>
      <c r="O580" s="14" t="s">
        <v>9158</v>
      </c>
      <c r="P580" s="14" t="s">
        <v>9158</v>
      </c>
      <c r="Q580" s="14" t="s">
        <v>9158</v>
      </c>
    </row>
    <row r="581" spans="1:17">
      <c r="A581" s="14">
        <v>88633</v>
      </c>
      <c r="B581" s="14" t="s">
        <v>0</v>
      </c>
      <c r="C581" s="14" t="s">
        <v>205</v>
      </c>
      <c r="D581" s="14" t="s">
        <v>12209</v>
      </c>
      <c r="E581" s="15" t="str">
        <f>HYPERLINK("https://stat100.ameba.jp/tnk47/ratio20/illustrations/card/ill_88633_obentonekodanuki03.jpg?202011-5-RELEASE-marathon-501", "■")</f>
        <v>■</v>
      </c>
      <c r="F581" s="14" t="s">
        <v>12210</v>
      </c>
      <c r="G581" s="14">
        <v>112496</v>
      </c>
      <c r="H581" s="14">
        <v>104619</v>
      </c>
      <c r="I581" s="9">
        <v>27</v>
      </c>
      <c r="J581" s="14" t="s">
        <v>73</v>
      </c>
      <c r="K581" s="14" t="s">
        <v>12212</v>
      </c>
      <c r="L581" s="14" t="s">
        <v>12211</v>
      </c>
      <c r="M581" s="14" t="s">
        <v>9158</v>
      </c>
      <c r="N581" s="14" t="s">
        <v>9158</v>
      </c>
      <c r="O581" s="14" t="s">
        <v>9158</v>
      </c>
      <c r="P581" s="14" t="s">
        <v>9158</v>
      </c>
      <c r="Q581" s="14" t="s">
        <v>9158</v>
      </c>
    </row>
    <row r="582" spans="1:17">
      <c r="A582" s="14">
        <v>65173</v>
      </c>
      <c r="B582" s="14" t="s">
        <v>0</v>
      </c>
      <c r="C582" s="14" t="s">
        <v>191</v>
      </c>
      <c r="D582" s="20" t="s">
        <v>10503</v>
      </c>
      <c r="E582" s="15" t="str">
        <f>HYPERLINK("https://stat100.ameba.jp/tnk47/ratio20/illustrations/card/ill_65173_kimodameshihorahamahime03.jpg?202011-5-RELEASE-marathon-501", "■")</f>
        <v>■</v>
      </c>
      <c r="F582" s="14" t="s">
        <v>3565</v>
      </c>
      <c r="G582" s="14">
        <v>104619</v>
      </c>
      <c r="H582" s="14">
        <v>112496</v>
      </c>
      <c r="I582" s="9">
        <v>27</v>
      </c>
      <c r="J582" s="14" t="s">
        <v>182</v>
      </c>
      <c r="K582" s="14" t="s">
        <v>3566</v>
      </c>
      <c r="L582" s="14" t="s">
        <v>13185</v>
      </c>
      <c r="M582" s="14" t="s">
        <v>9158</v>
      </c>
      <c r="N582" s="14" t="s">
        <v>9158</v>
      </c>
      <c r="O582" s="14" t="s">
        <v>9158</v>
      </c>
      <c r="P582" s="14" t="s">
        <v>9158</v>
      </c>
      <c r="Q582" s="14" t="s">
        <v>9158</v>
      </c>
    </row>
    <row r="583" spans="1:17">
      <c r="A583" s="14">
        <v>51923</v>
      </c>
      <c r="B583" s="14" t="s">
        <v>15303</v>
      </c>
      <c r="C583" s="9" t="s">
        <v>165</v>
      </c>
      <c r="D583" s="14" t="s">
        <v>15362</v>
      </c>
      <c r="E583" s="15" t="str">
        <f>HYPERLINK("https://stat100.ameba.jp/tnk47/ratio20/illustrations/card/ill_51923_kemonomizugikokyu03.jpg?202011-5-RELEASE-marathon-501", "■")</f>
        <v>■</v>
      </c>
      <c r="F583" s="14" t="s">
        <v>15367</v>
      </c>
      <c r="G583" s="14">
        <v>65208</v>
      </c>
      <c r="H583" s="14">
        <v>59144</v>
      </c>
      <c r="I583" s="14">
        <v>22</v>
      </c>
      <c r="J583" s="14" t="s">
        <v>15366</v>
      </c>
      <c r="K583" s="14" t="s">
        <v>15365</v>
      </c>
      <c r="L583" s="14" t="s">
        <v>15364</v>
      </c>
      <c r="M583" s="14" t="s">
        <v>9158</v>
      </c>
      <c r="N583" s="14" t="s">
        <v>9158</v>
      </c>
      <c r="O583" s="14" t="s">
        <v>9158</v>
      </c>
      <c r="P583" s="14" t="s">
        <v>9158</v>
      </c>
      <c r="Q583" s="14" t="s">
        <v>9158</v>
      </c>
    </row>
    <row r="584" spans="1:17">
      <c r="A584" s="9">
        <v>52963</v>
      </c>
      <c r="B584" s="14" t="s">
        <v>15303</v>
      </c>
      <c r="C584" s="14" t="s">
        <v>191</v>
      </c>
      <c r="D584" s="14" t="s">
        <v>1466</v>
      </c>
      <c r="E584" s="15" t="str">
        <f>HYPERLINK("https://stat100.ameba.jp/tnk47/ratio20/illustrations/card/ill_52963_torampumomochan03.jpg?202011-5-RELEASE-marathon-501", "■")</f>
        <v>■</v>
      </c>
      <c r="F584" s="14" t="s">
        <v>1467</v>
      </c>
      <c r="G584" s="14">
        <v>59144</v>
      </c>
      <c r="H584" s="14">
        <v>65208</v>
      </c>
      <c r="I584" s="14">
        <v>22</v>
      </c>
      <c r="J584" s="14" t="s">
        <v>283</v>
      </c>
      <c r="K584" s="14" t="s">
        <v>1468</v>
      </c>
      <c r="L584" s="14" t="s">
        <v>1469</v>
      </c>
      <c r="M584" s="14" t="s">
        <v>9158</v>
      </c>
      <c r="N584" s="14" t="s">
        <v>9158</v>
      </c>
      <c r="O584" s="14" t="s">
        <v>9158</v>
      </c>
      <c r="P584" s="14" t="s">
        <v>9158</v>
      </c>
      <c r="Q584" s="14" t="s">
        <v>9158</v>
      </c>
    </row>
    <row r="585" spans="1:17">
      <c r="A585" s="14">
        <v>51383</v>
      </c>
      <c r="B585" s="14" t="s">
        <v>15303</v>
      </c>
      <c r="C585" s="14" t="s">
        <v>205</v>
      </c>
      <c r="D585" s="14" t="s">
        <v>15363</v>
      </c>
      <c r="E585" s="15" t="str">
        <f>HYPERLINK("https://stat100.ameba.jp/tnk47/ratio20/illustrations/card/ill_51383_ozashikikyogokuichiko03.jpg?202011-5-RELEASE-marathon-501", "■")</f>
        <v>■</v>
      </c>
      <c r="F585" s="14" t="s">
        <v>15371</v>
      </c>
      <c r="G585" s="14">
        <v>65208</v>
      </c>
      <c r="H585" s="14">
        <v>59144</v>
      </c>
      <c r="I585" s="14">
        <v>22</v>
      </c>
      <c r="J585" s="14" t="s">
        <v>15370</v>
      </c>
      <c r="K585" s="14" t="s">
        <v>15369</v>
      </c>
      <c r="L585" s="14" t="s">
        <v>15368</v>
      </c>
      <c r="M585" s="14" t="s">
        <v>9158</v>
      </c>
      <c r="N585" s="14" t="s">
        <v>9158</v>
      </c>
      <c r="O585" s="14" t="s">
        <v>9158</v>
      </c>
      <c r="P585" s="14" t="s">
        <v>9158</v>
      </c>
      <c r="Q585" s="14" t="s">
        <v>9158</v>
      </c>
    </row>
    <row r="586" spans="1:17">
      <c r="A586" s="9">
        <v>67613</v>
      </c>
      <c r="B586" s="14" t="s">
        <v>15303</v>
      </c>
      <c r="C586" s="14" t="s">
        <v>185</v>
      </c>
      <c r="D586" s="14" t="s">
        <v>1470</v>
      </c>
      <c r="E586" s="15" t="str">
        <f>HYPERLINK("https://stat100.ameba.jp/tnk47/ratio20/illustrations/card/ill_67613_girishiashinwaringochan03.jpg?202011-5-RELEASE-marathon-501", "■")</f>
        <v>■</v>
      </c>
      <c r="F586" s="14" t="s">
        <v>1471</v>
      </c>
      <c r="G586" s="14">
        <v>59144</v>
      </c>
      <c r="H586" s="14">
        <v>65208</v>
      </c>
      <c r="I586" s="14">
        <v>22</v>
      </c>
      <c r="J586" s="14" t="s">
        <v>283</v>
      </c>
      <c r="K586" s="14" t="s">
        <v>1472</v>
      </c>
      <c r="L586" s="14" t="s">
        <v>1442</v>
      </c>
      <c r="M586" s="14" t="s">
        <v>9158</v>
      </c>
      <c r="N586" s="14" t="s">
        <v>9158</v>
      </c>
      <c r="O586" s="14" t="s">
        <v>9158</v>
      </c>
      <c r="P586" s="14" t="s">
        <v>9158</v>
      </c>
      <c r="Q586" s="14" t="s">
        <v>9158</v>
      </c>
    </row>
    <row r="588" spans="1:17">
      <c r="A588" s="14" t="s">
        <v>15300</v>
      </c>
    </row>
    <row r="589" spans="1:17">
      <c r="A589" s="14" t="s">
        <v>15301</v>
      </c>
    </row>
    <row r="590" spans="1:17">
      <c r="A590" s="14" t="s">
        <v>5617</v>
      </c>
      <c r="B590" s="14" t="s">
        <v>330</v>
      </c>
      <c r="C590" s="14" t="s">
        <v>308</v>
      </c>
      <c r="D590" s="19" t="s">
        <v>385</v>
      </c>
      <c r="E590" s="15" t="str">
        <f>HYPERLINK("https://stat100.ameba.jp/tnk47/ratio20/illustrations/card/ill_59673_0_oheyashutendoji03.jpg?202011-5-RELEASE-marathon-501", "■")</f>
        <v>■</v>
      </c>
      <c r="F590" s="14" t="s">
        <v>386</v>
      </c>
      <c r="G590" s="14">
        <v>168874</v>
      </c>
      <c r="H590" s="14">
        <v>181640</v>
      </c>
      <c r="I590" s="14">
        <v>24</v>
      </c>
      <c r="J590" s="14" t="s">
        <v>320</v>
      </c>
      <c r="K590" s="14" t="s">
        <v>387</v>
      </c>
      <c r="L590" s="14" t="s">
        <v>388</v>
      </c>
      <c r="M590" s="14" t="s">
        <v>9158</v>
      </c>
      <c r="N590" s="14" t="s">
        <v>9158</v>
      </c>
      <c r="O590" s="19" t="s">
        <v>10078</v>
      </c>
      <c r="P590" s="14" t="s">
        <v>3022</v>
      </c>
      <c r="Q590" s="14">
        <v>1</v>
      </c>
    </row>
    <row r="591" spans="1:17">
      <c r="A591" s="14" t="s">
        <v>5650</v>
      </c>
      <c r="B591" s="14" t="s">
        <v>52</v>
      </c>
      <c r="C591" s="14" t="s">
        <v>23</v>
      </c>
      <c r="D591" s="19" t="s">
        <v>136</v>
      </c>
      <c r="E591" s="15" t="str">
        <f>HYPERLINK("https://stat100.ameba.jp/tnk47/ratio20/illustrations/card/ill_68033_0_kurisumasupateikandamyojin03.jpg?202011-5-RELEASE-marathon-501", "■")</f>
        <v>■</v>
      </c>
      <c r="F591" s="14" t="s">
        <v>1871</v>
      </c>
      <c r="G591" s="14">
        <v>152594</v>
      </c>
      <c r="H591" s="14">
        <v>164144</v>
      </c>
      <c r="I591" s="14">
        <v>24</v>
      </c>
      <c r="J591" s="14" t="s">
        <v>44</v>
      </c>
      <c r="K591" s="14" t="s">
        <v>1872</v>
      </c>
      <c r="L591" s="14" t="s">
        <v>1873</v>
      </c>
      <c r="M591" s="14" t="s">
        <v>9158</v>
      </c>
      <c r="N591" s="14" t="s">
        <v>9158</v>
      </c>
      <c r="O591" s="19" t="s">
        <v>2997</v>
      </c>
      <c r="P591" s="14" t="s">
        <v>3483</v>
      </c>
      <c r="Q591" s="14">
        <v>2</v>
      </c>
    </row>
    <row r="592" spans="1:17">
      <c r="A592" s="14" t="s">
        <v>5902</v>
      </c>
      <c r="B592" s="14" t="s">
        <v>330</v>
      </c>
      <c r="C592" s="14" t="s">
        <v>206</v>
      </c>
      <c r="D592" s="19" t="s">
        <v>483</v>
      </c>
      <c r="E592" s="15" t="str">
        <f>HYPERLINK("https://stat100.ameba.jp/tnk47/ratio20/illustrations/card/ill_40343_0_heshikirihasebekurodakambe03.jpg?202011-5-RELEASE-marathon-501", "■")</f>
        <v>■</v>
      </c>
      <c r="F592" s="14" t="s">
        <v>906</v>
      </c>
      <c r="G592" s="14">
        <v>140448</v>
      </c>
      <c r="H592" s="14">
        <v>131538</v>
      </c>
      <c r="I592" s="14">
        <v>24</v>
      </c>
      <c r="J592" s="14" t="s">
        <v>16</v>
      </c>
      <c r="K592" s="14" t="s">
        <v>907</v>
      </c>
      <c r="L592" s="14" t="s">
        <v>908</v>
      </c>
      <c r="M592" s="14" t="s">
        <v>9158</v>
      </c>
      <c r="N592" s="14" t="s">
        <v>9158</v>
      </c>
      <c r="O592" s="14" t="s">
        <v>9158</v>
      </c>
      <c r="P592" s="14" t="s">
        <v>9158</v>
      </c>
      <c r="Q592" s="14" t="s">
        <v>9158</v>
      </c>
    </row>
    <row r="593" spans="1:17">
      <c r="A593" s="14">
        <v>92823</v>
      </c>
      <c r="B593" s="14" t="s">
        <v>0</v>
      </c>
      <c r="C593" s="14" t="s">
        <v>1</v>
      </c>
      <c r="D593" s="14" t="s">
        <v>15326</v>
      </c>
      <c r="E593" s="15" t="str">
        <f>HYPERLINK("https://stat100.ameba.jp/tnk47/ratio20/illustrations/card/ill_92823_shokorakupido03.jpg?202011-5-RELEASE-marathon-501", "■")</f>
        <v>■</v>
      </c>
      <c r="F593" s="14" t="s">
        <v>15357</v>
      </c>
      <c r="G593" s="14">
        <v>106050</v>
      </c>
      <c r="H593" s="14">
        <v>98594</v>
      </c>
      <c r="I593" s="14">
        <v>26</v>
      </c>
      <c r="J593" s="14" t="s">
        <v>15342</v>
      </c>
      <c r="K593" s="14" t="s">
        <v>15359</v>
      </c>
      <c r="L593" s="14" t="s">
        <v>15358</v>
      </c>
      <c r="M593" s="14" t="s">
        <v>9158</v>
      </c>
      <c r="N593" s="14" t="s">
        <v>9158</v>
      </c>
      <c r="O593" s="14" t="s">
        <v>9158</v>
      </c>
      <c r="P593" s="14" t="s">
        <v>9158</v>
      </c>
      <c r="Q593" s="14" t="s">
        <v>9158</v>
      </c>
    </row>
    <row r="594" spans="1:17">
      <c r="A594" s="14">
        <v>92833</v>
      </c>
      <c r="B594" s="14" t="s">
        <v>15303</v>
      </c>
      <c r="C594" s="14" t="s">
        <v>15315</v>
      </c>
      <c r="D594" s="14" t="s">
        <v>15314</v>
      </c>
      <c r="E594" s="15" t="str">
        <f>HYPERLINK("https://stat100.ameba.jp/tnk47/ratio20/illustrations/card/ill_92833_kenchinudonchan03.jpg?202011-5-RELEASE-marathon-501", "■")</f>
        <v>■</v>
      </c>
      <c r="F594" s="14" t="s">
        <v>15313</v>
      </c>
      <c r="G594" s="14">
        <v>69898</v>
      </c>
      <c r="H594" s="14">
        <v>77064</v>
      </c>
      <c r="I594" s="14">
        <v>26</v>
      </c>
      <c r="J594" s="14" t="s">
        <v>15312</v>
      </c>
      <c r="K594" s="14" t="s">
        <v>15311</v>
      </c>
      <c r="L594" s="14" t="s">
        <v>15310</v>
      </c>
      <c r="M594" s="14" t="s">
        <v>9158</v>
      </c>
      <c r="N594" s="14" t="s">
        <v>9158</v>
      </c>
      <c r="O594" s="14" t="s">
        <v>9158</v>
      </c>
      <c r="P594" s="14" t="s">
        <v>9158</v>
      </c>
      <c r="Q594" s="14" t="s">
        <v>9158</v>
      </c>
    </row>
    <row r="595" spans="1:17">
      <c r="A595" s="14">
        <v>92843</v>
      </c>
      <c r="B595" s="14" t="s">
        <v>15304</v>
      </c>
      <c r="C595" s="14" t="s">
        <v>15320</v>
      </c>
      <c r="D595" s="14" t="s">
        <v>15319</v>
      </c>
      <c r="E595" s="15" t="str">
        <f>HYPERLINK("https://stat100.ameba.jp/tnk47/ratio20/illustrations/card/ill_92843_kurimeshichan03.jpg?202011-5-RELEASE-marathon-501", "■")</f>
        <v>■</v>
      </c>
      <c r="F595" s="14" t="s">
        <v>15318</v>
      </c>
      <c r="G595" s="14">
        <v>54058</v>
      </c>
      <c r="H595" s="14">
        <v>44948</v>
      </c>
      <c r="I595" s="14">
        <v>26</v>
      </c>
      <c r="J595" s="14" t="s">
        <v>15312</v>
      </c>
      <c r="K595" s="14" t="s">
        <v>15317</v>
      </c>
      <c r="L595" s="14" t="s">
        <v>15316</v>
      </c>
      <c r="M595" s="14" t="s">
        <v>9158</v>
      </c>
      <c r="N595" s="14" t="s">
        <v>9158</v>
      </c>
      <c r="O595" s="14" t="s">
        <v>9158</v>
      </c>
      <c r="P595" s="14" t="s">
        <v>9158</v>
      </c>
      <c r="Q595" s="14" t="s">
        <v>9158</v>
      </c>
    </row>
    <row r="596" spans="1:17">
      <c r="A596" s="14">
        <v>92853</v>
      </c>
      <c r="B596" s="14" t="s">
        <v>15304</v>
      </c>
      <c r="C596" s="14" t="s">
        <v>15325</v>
      </c>
      <c r="D596" s="14" t="s">
        <v>15324</v>
      </c>
      <c r="E596" s="15" t="str">
        <f>HYPERLINK("https://stat100.ameba.jp/tnk47/ratio20/illustrations/card/ill_92853_shirakawaramen03.jpg?202011-5-RELEASE-marathon-501", "■")</f>
        <v>■</v>
      </c>
      <c r="F596" s="14" t="s">
        <v>15323</v>
      </c>
      <c r="G596" s="14">
        <v>44948</v>
      </c>
      <c r="H596" s="14">
        <v>54058</v>
      </c>
      <c r="I596" s="14">
        <v>26</v>
      </c>
      <c r="J596" s="14" t="s">
        <v>15312</v>
      </c>
      <c r="K596" s="14" t="s">
        <v>15322</v>
      </c>
      <c r="L596" s="14" t="s">
        <v>15321</v>
      </c>
      <c r="M596" s="14" t="s">
        <v>9158</v>
      </c>
      <c r="N596" s="14" t="s">
        <v>9158</v>
      </c>
      <c r="O596" s="14" t="s">
        <v>9158</v>
      </c>
      <c r="P596" s="14" t="s">
        <v>9158</v>
      </c>
      <c r="Q596" s="14" t="s">
        <v>9158</v>
      </c>
    </row>
    <row r="598" spans="1:17">
      <c r="A598" s="14" t="s">
        <v>15360</v>
      </c>
    </row>
    <row r="599" spans="1:17">
      <c r="A599" s="14" t="s">
        <v>15361</v>
      </c>
    </row>
    <row r="600" spans="1:17">
      <c r="A600" s="14" t="s">
        <v>12012</v>
      </c>
      <c r="B600" s="7" t="s">
        <v>52</v>
      </c>
      <c r="C600" s="14" t="s">
        <v>202</v>
      </c>
      <c r="D600" s="18" t="s">
        <v>12013</v>
      </c>
      <c r="E600" s="15" t="str">
        <f>HYPERLINK("https://stat100.ameba.jp/tnk47/ratio20/illustrations/card/ill_88363_0_hanamijingukogo03.jpg?202011-5-RELEASE-marathon-501", "■")</f>
        <v>■</v>
      </c>
      <c r="F600" s="14" t="s">
        <v>12014</v>
      </c>
      <c r="G600" s="14">
        <v>328614</v>
      </c>
      <c r="H600" s="14">
        <v>296998</v>
      </c>
      <c r="I600" s="7">
        <v>27</v>
      </c>
      <c r="J600" s="14" t="s">
        <v>10</v>
      </c>
      <c r="K600" s="14" t="s">
        <v>12015</v>
      </c>
      <c r="L600" s="14" t="s">
        <v>12016</v>
      </c>
      <c r="M600" s="14" t="s">
        <v>9158</v>
      </c>
      <c r="N600" s="14" t="s">
        <v>9158</v>
      </c>
      <c r="O600" s="6" t="s">
        <v>12017</v>
      </c>
      <c r="P600" s="7" t="s">
        <v>12018</v>
      </c>
      <c r="Q600" s="7">
        <v>1</v>
      </c>
    </row>
    <row r="601" spans="1:17">
      <c r="A601" s="9" t="s">
        <v>6905</v>
      </c>
      <c r="B601" s="14" t="s">
        <v>330</v>
      </c>
      <c r="C601" s="14" t="s">
        <v>35</v>
      </c>
      <c r="D601" s="14" t="s">
        <v>4161</v>
      </c>
      <c r="E601" s="15" t="str">
        <f>HYPERLINK("https://stat100.ameba.jp/tnk47/ratio20/illustrations/card/ill_80623_0_ohanamigurampingutominushihime03.jpg?202011-5-RELEASE-marathon-501", "■")</f>
        <v>■</v>
      </c>
      <c r="F601" s="14" t="s">
        <v>4162</v>
      </c>
      <c r="G601" s="14">
        <v>325434</v>
      </c>
      <c r="H601" s="14">
        <v>294156</v>
      </c>
      <c r="I601" s="14">
        <v>27</v>
      </c>
      <c r="J601" s="14" t="s">
        <v>44</v>
      </c>
      <c r="K601" s="14" t="s">
        <v>4163</v>
      </c>
      <c r="L601" s="14" t="s">
        <v>4164</v>
      </c>
      <c r="M601" s="14" t="s">
        <v>9158</v>
      </c>
      <c r="N601" s="14" t="s">
        <v>9158</v>
      </c>
      <c r="O601" s="9" t="s">
        <v>4165</v>
      </c>
      <c r="P601" s="14" t="s">
        <v>4166</v>
      </c>
      <c r="Q601" s="14">
        <v>1</v>
      </c>
    </row>
    <row r="602" spans="1:17">
      <c r="A602" s="9" t="s">
        <v>5612</v>
      </c>
      <c r="B602" s="14" t="s">
        <v>330</v>
      </c>
      <c r="C602" s="14" t="s">
        <v>165</v>
      </c>
      <c r="D602" s="14" t="s">
        <v>789</v>
      </c>
      <c r="E602" s="15" t="str">
        <f>HYPERLINK("https://stat100.ameba.jp/tnk47/ratio20/illustrations/card/ill_49193_0_onmyoudouabenoseimei03.jpg?202011-5-RELEASE-marathon-501", "■")</f>
        <v>■</v>
      </c>
      <c r="F602" s="14" t="s">
        <v>790</v>
      </c>
      <c r="G602" s="14">
        <v>150680</v>
      </c>
      <c r="H602" s="14">
        <v>169624</v>
      </c>
      <c r="I602" s="14">
        <v>27</v>
      </c>
      <c r="J602" s="14" t="s">
        <v>351</v>
      </c>
      <c r="K602" s="14" t="s">
        <v>791</v>
      </c>
      <c r="L602" s="14" t="s">
        <v>792</v>
      </c>
      <c r="M602" s="14" t="s">
        <v>9158</v>
      </c>
      <c r="N602" s="14" t="s">
        <v>9158</v>
      </c>
      <c r="O602" s="14" t="s">
        <v>9158</v>
      </c>
      <c r="P602" s="14" t="s">
        <v>9158</v>
      </c>
      <c r="Q602" s="14" t="s">
        <v>9158</v>
      </c>
    </row>
    <row r="603" spans="1:17">
      <c r="A603" s="14">
        <v>62043</v>
      </c>
      <c r="B603" s="14" t="s">
        <v>0</v>
      </c>
      <c r="C603" s="14" t="s">
        <v>158</v>
      </c>
      <c r="D603" s="20" t="s">
        <v>10233</v>
      </c>
      <c r="E603" s="15" t="str">
        <f>HYPERLINK("https://stat100.ameba.jp/tnk47/ratio20/illustrations/card/ill_62043_niutsuhimenookami03.jpg?202011-5-RELEASE-marathon-501", "■")</f>
        <v>■</v>
      </c>
      <c r="F603" s="14" t="s">
        <v>2022</v>
      </c>
      <c r="G603" s="14">
        <v>89268</v>
      </c>
      <c r="H603" s="14">
        <v>123249</v>
      </c>
      <c r="I603" s="14">
        <v>27</v>
      </c>
      <c r="J603" s="14" t="s">
        <v>169</v>
      </c>
      <c r="K603" s="14" t="s">
        <v>2023</v>
      </c>
      <c r="L603" s="14" t="s">
        <v>13144</v>
      </c>
      <c r="M603" s="14" t="s">
        <v>9158</v>
      </c>
      <c r="N603" s="14" t="s">
        <v>9158</v>
      </c>
      <c r="O603" s="19" t="s">
        <v>10093</v>
      </c>
      <c r="P603" s="14" t="s">
        <v>13145</v>
      </c>
      <c r="Q603" s="14">
        <v>1</v>
      </c>
    </row>
    <row r="604" spans="1:17">
      <c r="A604" s="14">
        <v>60173</v>
      </c>
      <c r="B604" s="14" t="s">
        <v>0</v>
      </c>
      <c r="C604" s="14" t="s">
        <v>41</v>
      </c>
      <c r="D604" s="20" t="s">
        <v>10231</v>
      </c>
      <c r="E604" s="15" t="str">
        <f>HYPERLINK("https://stat100.ameba.jp/tnk47/ratio20/illustrations/card/ill_60173_kugutsushi03.jpg?202011-5-RELEASE-marathon-501", "■")</f>
        <v>■</v>
      </c>
      <c r="F604" s="14" t="s">
        <v>4282</v>
      </c>
      <c r="G604" s="14">
        <v>99796</v>
      </c>
      <c r="H604" s="14">
        <v>137786</v>
      </c>
      <c r="I604" s="14">
        <v>27</v>
      </c>
      <c r="J604" s="14" t="s">
        <v>38</v>
      </c>
      <c r="K604" s="14" t="s">
        <v>4283</v>
      </c>
      <c r="L604" s="14" t="s">
        <v>2714</v>
      </c>
      <c r="M604" s="14" t="s">
        <v>9158</v>
      </c>
      <c r="N604" s="14" t="s">
        <v>9158</v>
      </c>
      <c r="O604" s="19" t="s">
        <v>10113</v>
      </c>
      <c r="P604" s="14" t="s">
        <v>4285</v>
      </c>
      <c r="Q604" s="14">
        <v>1</v>
      </c>
    </row>
    <row r="605" spans="1:17">
      <c r="A605" s="14">
        <v>62473</v>
      </c>
      <c r="B605" s="14" t="s">
        <v>334</v>
      </c>
      <c r="C605" s="14" t="s">
        <v>203</v>
      </c>
      <c r="D605" s="20" t="s">
        <v>2834</v>
      </c>
      <c r="E605" s="15" t="str">
        <f>HYPERLINK("https://stat100.ameba.jp/tnk47/ratio20/illustrations/card/ill_62473_kokuriko03.jpg?202011-5-RELEASE-marathon-501", "■")</f>
        <v>■</v>
      </c>
      <c r="F605" s="14" t="s">
        <v>2835</v>
      </c>
      <c r="G605" s="14">
        <v>123249</v>
      </c>
      <c r="H605" s="14">
        <v>89268</v>
      </c>
      <c r="I605" s="14">
        <v>27</v>
      </c>
      <c r="J605" s="14" t="s">
        <v>401</v>
      </c>
      <c r="K605" s="14" t="s">
        <v>2836</v>
      </c>
      <c r="L605" s="14" t="s">
        <v>2837</v>
      </c>
      <c r="M605" s="14" t="s">
        <v>9158</v>
      </c>
      <c r="N605" s="14" t="s">
        <v>9158</v>
      </c>
      <c r="O605" s="19" t="s">
        <v>2838</v>
      </c>
      <c r="P605" s="14" t="s">
        <v>2839</v>
      </c>
      <c r="Q605" s="14">
        <v>1</v>
      </c>
    </row>
    <row r="606" spans="1:17">
      <c r="A606" s="14">
        <v>84653</v>
      </c>
      <c r="B606" s="14" t="s">
        <v>334</v>
      </c>
      <c r="C606" s="14" t="s">
        <v>209</v>
      </c>
      <c r="D606" s="20" t="s">
        <v>10626</v>
      </c>
      <c r="E606" s="15" t="str">
        <f>HYPERLINK("https://stat100.ameba.jp/tnk47/ratio20/illustrations/card/ill_84653_soru03.jpg?202011-5-RELEASE-marathon-501", "■")</f>
        <v>■</v>
      </c>
      <c r="F606" s="14" t="s">
        <v>6954</v>
      </c>
      <c r="G606" s="14">
        <v>85483</v>
      </c>
      <c r="H606" s="14">
        <v>118001</v>
      </c>
      <c r="I606" s="14">
        <v>27</v>
      </c>
      <c r="J606" s="14" t="s">
        <v>44</v>
      </c>
      <c r="K606" s="14" t="s">
        <v>6956</v>
      </c>
      <c r="L606" s="14" t="s">
        <v>3652</v>
      </c>
      <c r="M606" s="14" t="s">
        <v>9158</v>
      </c>
      <c r="N606" s="14" t="s">
        <v>9158</v>
      </c>
      <c r="O606" s="19" t="s">
        <v>10103</v>
      </c>
      <c r="P606" s="14" t="s">
        <v>3897</v>
      </c>
      <c r="Q606" s="14">
        <v>1</v>
      </c>
    </row>
    <row r="607" spans="1:17">
      <c r="A607" s="14">
        <v>84633</v>
      </c>
      <c r="B607" s="14" t="s">
        <v>334</v>
      </c>
      <c r="C607" s="14" t="s">
        <v>154</v>
      </c>
      <c r="D607" s="20" t="s">
        <v>10586</v>
      </c>
      <c r="E607" s="15" t="str">
        <f>HYPERLINK("https://stat100.ameba.jp/tnk47/ratio20/illustrations/card/ill_84633_akubishoppu03.jpg?202011-5-RELEASE-marathon-501", "■")</f>
        <v>■</v>
      </c>
      <c r="F607" s="14" t="s">
        <v>6762</v>
      </c>
      <c r="G607" s="14">
        <v>118001</v>
      </c>
      <c r="H607" s="14">
        <v>85483</v>
      </c>
      <c r="I607" s="14">
        <v>27</v>
      </c>
      <c r="J607" s="14" t="s">
        <v>10</v>
      </c>
      <c r="K607" s="14" t="s">
        <v>6764</v>
      </c>
      <c r="L607" s="14" t="s">
        <v>6763</v>
      </c>
      <c r="M607" s="14" t="s">
        <v>9158</v>
      </c>
      <c r="N607" s="14" t="s">
        <v>9158</v>
      </c>
      <c r="O607" s="19" t="s">
        <v>10090</v>
      </c>
      <c r="P607" s="14" t="s">
        <v>3460</v>
      </c>
      <c r="Q607" s="14">
        <v>1</v>
      </c>
    </row>
    <row r="608" spans="1:17">
      <c r="A608" s="14">
        <v>58743</v>
      </c>
      <c r="B608" s="14" t="s">
        <v>334</v>
      </c>
      <c r="C608" s="14" t="s">
        <v>209</v>
      </c>
      <c r="D608" s="20" t="s">
        <v>10273</v>
      </c>
      <c r="E608" s="15" t="str">
        <f>HYPERLINK("https://stat100.ameba.jp/tnk47/ratio20/illustrations/card/ill_58743_enkirienoki03.jpg?202011-5-RELEASE-marathon-501", "■")</f>
        <v>■</v>
      </c>
      <c r="F608" s="14" t="s">
        <v>2550</v>
      </c>
      <c r="G608" s="14">
        <v>81705</v>
      </c>
      <c r="H608" s="14">
        <v>111432</v>
      </c>
      <c r="I608" s="14">
        <v>27</v>
      </c>
      <c r="J608" s="14" t="s">
        <v>44</v>
      </c>
      <c r="K608" s="14" t="s">
        <v>2551</v>
      </c>
      <c r="L608" s="14" t="s">
        <v>95</v>
      </c>
      <c r="M608" s="14" t="s">
        <v>9158</v>
      </c>
      <c r="N608" s="14" t="s">
        <v>9158</v>
      </c>
      <c r="O608" s="19" t="s">
        <v>10091</v>
      </c>
      <c r="P608" s="14" t="s">
        <v>3670</v>
      </c>
      <c r="Q608" s="14">
        <v>1</v>
      </c>
    </row>
    <row r="610" spans="1:17">
      <c r="A610" s="14" t="s">
        <v>15409</v>
      </c>
    </row>
    <row r="611" spans="1:17">
      <c r="A611" s="14" t="s">
        <v>15410</v>
      </c>
    </row>
    <row r="612" spans="1:17">
      <c r="A612" s="14" t="s">
        <v>5619</v>
      </c>
      <c r="B612" s="14" t="s">
        <v>330</v>
      </c>
      <c r="C612" s="14" t="s">
        <v>202</v>
      </c>
      <c r="D612" s="20" t="s">
        <v>10348</v>
      </c>
      <c r="E612" s="15" t="str">
        <f>HYPERLINK("https://stat100.ameba.jp/tnk47/ratio20/illustrations/card/ill_81183_0_shinryokunokisetsuamaterasu03.jpg?202011-5-RELEASE-marathon-501x", "■")</f>
        <v>■</v>
      </c>
      <c r="F612" s="14" t="s">
        <v>4505</v>
      </c>
      <c r="G612" s="14">
        <v>262627</v>
      </c>
      <c r="H612" s="14">
        <v>290607</v>
      </c>
      <c r="I612" s="14">
        <v>25</v>
      </c>
      <c r="J612" s="14" t="s">
        <v>44</v>
      </c>
      <c r="K612" s="14" t="s">
        <v>4506</v>
      </c>
      <c r="L612" s="14" t="s">
        <v>4507</v>
      </c>
      <c r="M612" s="14" t="s">
        <v>9158</v>
      </c>
      <c r="N612" s="14" t="s">
        <v>9158</v>
      </c>
      <c r="O612" s="19" t="s">
        <v>10083</v>
      </c>
      <c r="P612" s="14" t="s">
        <v>4509</v>
      </c>
      <c r="Q612" s="14">
        <v>0</v>
      </c>
    </row>
    <row r="613" spans="1:17">
      <c r="A613" s="14">
        <v>84323</v>
      </c>
      <c r="B613" s="14" t="s">
        <v>0</v>
      </c>
      <c r="C613" s="14" t="s">
        <v>158</v>
      </c>
      <c r="D613" s="19" t="s">
        <v>10669</v>
      </c>
      <c r="E613" s="15" t="str">
        <f>HYPERLINK("https://stat100.ameba.jp/tnk47/ratio20/illustrations/card/ill_84323_kagizumebyakko03.jpg?202011-5-RELEASE-marathon-501x", "■")</f>
        <v>■</v>
      </c>
      <c r="F613" s="14" t="s">
        <v>7284</v>
      </c>
      <c r="G613" s="14">
        <v>122366</v>
      </c>
      <c r="H613" s="14">
        <v>88624</v>
      </c>
      <c r="I613" s="14">
        <v>24</v>
      </c>
      <c r="J613" s="14" t="s">
        <v>155</v>
      </c>
      <c r="K613" s="14" t="s">
        <v>7283</v>
      </c>
      <c r="L613" s="14" t="s">
        <v>7282</v>
      </c>
      <c r="M613" s="14" t="s">
        <v>9158</v>
      </c>
      <c r="N613" s="14" t="s">
        <v>9158</v>
      </c>
      <c r="O613" s="19" t="s">
        <v>10109</v>
      </c>
      <c r="P613" s="14" t="s">
        <v>3625</v>
      </c>
      <c r="Q613" s="14">
        <v>1</v>
      </c>
    </row>
    <row r="614" spans="1:17">
      <c r="A614" s="7">
        <v>85043</v>
      </c>
      <c r="B614" s="7" t="s">
        <v>0</v>
      </c>
      <c r="C614" s="14" t="s">
        <v>209</v>
      </c>
      <c r="D614" s="19" t="s">
        <v>10752</v>
      </c>
      <c r="E614" s="15" t="str">
        <f>HYPERLINK("https://stat100.ameba.jp/tnk47/ratio20/illustrations/card/ill_85043_sutoroberireddo03.jpg?202011-5-RELEASE-marathon-501x", "■")</f>
        <v>■</v>
      </c>
      <c r="F614" s="7" t="s">
        <v>7843</v>
      </c>
      <c r="G614" s="7">
        <v>126858</v>
      </c>
      <c r="H614" s="7">
        <v>91876</v>
      </c>
      <c r="I614" s="7">
        <v>24</v>
      </c>
      <c r="J614" s="7" t="s">
        <v>104</v>
      </c>
      <c r="K614" s="7" t="s">
        <v>7841</v>
      </c>
      <c r="L614" s="7" t="s">
        <v>2409</v>
      </c>
      <c r="M614" s="14" t="s">
        <v>9158</v>
      </c>
      <c r="N614" s="14" t="s">
        <v>9158</v>
      </c>
      <c r="O614" s="19" t="s">
        <v>10102</v>
      </c>
      <c r="P614" s="14" t="s">
        <v>3672</v>
      </c>
      <c r="Q614" s="14">
        <v>1</v>
      </c>
    </row>
    <row r="615" spans="1:17">
      <c r="A615" s="14">
        <v>70843</v>
      </c>
      <c r="B615" s="14" t="s">
        <v>334</v>
      </c>
      <c r="C615" s="14" t="s">
        <v>268</v>
      </c>
      <c r="D615" s="19" t="s">
        <v>10651</v>
      </c>
      <c r="E615" s="15" t="str">
        <f>HYPERLINK("https://stat100.ameba.jp/tnk47/ratio20/illustrations/card/ill_70843_indoshinwakurionechan03.jpg?202011-5-RELEASE-marathon-501x", "■")</f>
        <v>■</v>
      </c>
      <c r="F615" s="14" t="s">
        <v>856</v>
      </c>
      <c r="G615" s="14">
        <v>101656</v>
      </c>
      <c r="H615" s="14">
        <v>109334</v>
      </c>
      <c r="I615" s="14">
        <v>24</v>
      </c>
      <c r="J615" s="14" t="s">
        <v>369</v>
      </c>
      <c r="K615" s="14" t="s">
        <v>857</v>
      </c>
      <c r="L615" s="14" t="s">
        <v>496</v>
      </c>
      <c r="M615" s="14" t="s">
        <v>9158</v>
      </c>
      <c r="N615" s="14" t="s">
        <v>9158</v>
      </c>
      <c r="O615" s="19" t="s">
        <v>10074</v>
      </c>
      <c r="P615" s="14" t="s">
        <v>3592</v>
      </c>
      <c r="Q615" s="14">
        <v>1</v>
      </c>
    </row>
    <row r="617" spans="1:17">
      <c r="A617" s="14" t="s">
        <v>15411</v>
      </c>
    </row>
    <row r="618" spans="1:17">
      <c r="A618" s="14" t="s">
        <v>15412</v>
      </c>
    </row>
    <row r="619" spans="1:17">
      <c r="A619" s="9" t="s">
        <v>5822</v>
      </c>
      <c r="B619" s="14" t="s">
        <v>330</v>
      </c>
      <c r="C619" s="14" t="s">
        <v>191</v>
      </c>
      <c r="D619" s="14" t="s">
        <v>898</v>
      </c>
      <c r="E619" s="15" t="str">
        <f>HYPERLINK("https://stat100.ameba.jp/tnk47/ratio20/illustrations/card/ill_71403_0_ohanamisanadayukimura03.jpg?202011-5-RELEASE-marathon-501x", "■")</f>
        <v>■</v>
      </c>
      <c r="F619" s="14" t="s">
        <v>309</v>
      </c>
      <c r="G619" s="14">
        <v>233360</v>
      </c>
      <c r="H619" s="14">
        <v>216990</v>
      </c>
      <c r="I619" s="14">
        <v>25</v>
      </c>
      <c r="J619" s="14" t="s">
        <v>310</v>
      </c>
      <c r="K619" s="14" t="s">
        <v>311</v>
      </c>
      <c r="L619" s="14" t="s">
        <v>312</v>
      </c>
      <c r="M619" s="14" t="s">
        <v>9158</v>
      </c>
      <c r="N619" s="14" t="s">
        <v>9158</v>
      </c>
      <c r="O619" s="17" t="s">
        <v>10060</v>
      </c>
      <c r="P619" s="14" t="s">
        <v>3418</v>
      </c>
      <c r="Q619" s="14">
        <v>2</v>
      </c>
    </row>
    <row r="620" spans="1:17">
      <c r="A620" s="14">
        <v>80573</v>
      </c>
      <c r="B620" s="14" t="s">
        <v>334</v>
      </c>
      <c r="C620" s="14" t="s">
        <v>165</v>
      </c>
      <c r="D620" s="20" t="s">
        <v>10301</v>
      </c>
      <c r="E620" s="15" t="str">
        <f>HYPERLINK("https://stat100.ameba.jp/tnk47/ratio20/illustrations/card/ill_80573_ohanamigurampingusotorihime03.jpg?202011-5-RELEASE-marathon-501x", "■")</f>
        <v>■</v>
      </c>
      <c r="F620" s="14" t="s">
        <v>4176</v>
      </c>
      <c r="G620" s="14">
        <v>118656</v>
      </c>
      <c r="H620" s="14">
        <v>110126</v>
      </c>
      <c r="I620" s="14">
        <v>26</v>
      </c>
      <c r="J620" s="14" t="s">
        <v>38</v>
      </c>
      <c r="K620" s="14" t="s">
        <v>4177</v>
      </c>
      <c r="L620" s="14" t="s">
        <v>4178</v>
      </c>
      <c r="M620" s="14" t="s">
        <v>9158</v>
      </c>
      <c r="N620" s="14" t="s">
        <v>9158</v>
      </c>
      <c r="O620" s="19" t="s">
        <v>10119</v>
      </c>
      <c r="P620" s="14" t="s">
        <v>3662</v>
      </c>
      <c r="Q620" s="14">
        <v>1</v>
      </c>
    </row>
    <row r="621" spans="1:17">
      <c r="A621" s="14">
        <v>84863</v>
      </c>
      <c r="B621" s="14" t="s">
        <v>0</v>
      </c>
      <c r="C621" s="14" t="s">
        <v>200</v>
      </c>
      <c r="D621" s="19" t="s">
        <v>10742</v>
      </c>
      <c r="E621" s="15" t="str">
        <f>HYPERLINK("https://stat100.ameba.jp/tnk47/ratio20/illustrations/card/ill_84863_onsengaiarisubekon03.jpg?202011-5-RELEASE-marathon-501x", "■")</f>
        <v>■</v>
      </c>
      <c r="F621" s="14" t="s">
        <v>7796</v>
      </c>
      <c r="G621" s="14">
        <v>105426</v>
      </c>
      <c r="H621" s="14">
        <v>98066</v>
      </c>
      <c r="I621" s="14">
        <v>26</v>
      </c>
      <c r="J621" s="14" t="s">
        <v>159</v>
      </c>
      <c r="K621" s="14" t="s">
        <v>7795</v>
      </c>
      <c r="L621" s="14" t="s">
        <v>7794</v>
      </c>
      <c r="M621" s="14" t="s">
        <v>9158</v>
      </c>
      <c r="N621" s="14" t="s">
        <v>9158</v>
      </c>
      <c r="O621" s="19" t="s">
        <v>2951</v>
      </c>
      <c r="P621" s="14" t="s">
        <v>13122</v>
      </c>
      <c r="Q621" s="14">
        <v>1</v>
      </c>
    </row>
    <row r="622" spans="1:17">
      <c r="A622" s="14">
        <v>88323</v>
      </c>
      <c r="B622" s="14" t="s">
        <v>0</v>
      </c>
      <c r="C622" s="14" t="s">
        <v>205</v>
      </c>
      <c r="D622" s="18" t="s">
        <v>12019</v>
      </c>
      <c r="E622" s="15" t="str">
        <f>HYPERLINK("https://stat100.ameba.jp/tnk47/ratio20/illustrations/card/ill_88323_hanamibakedanuki03.jpg?202011-5-RELEASE-marathon-501x", "■")</f>
        <v>■</v>
      </c>
      <c r="F622" s="14" t="s">
        <v>12020</v>
      </c>
      <c r="G622" s="14">
        <v>100744</v>
      </c>
      <c r="H622" s="14">
        <v>108330</v>
      </c>
      <c r="I622" s="14">
        <v>26</v>
      </c>
      <c r="J622" s="14" t="s">
        <v>73</v>
      </c>
      <c r="K622" s="14" t="s">
        <v>12021</v>
      </c>
      <c r="L622" s="14" t="s">
        <v>12022</v>
      </c>
      <c r="M622" s="14" t="s">
        <v>9158</v>
      </c>
      <c r="N622" s="14" t="s">
        <v>9158</v>
      </c>
      <c r="O622" s="6" t="s">
        <v>10064</v>
      </c>
      <c r="P622" s="7" t="s">
        <v>13150</v>
      </c>
      <c r="Q622" s="7">
        <v>1</v>
      </c>
    </row>
    <row r="624" spans="1:17">
      <c r="A624" s="14" t="s">
        <v>15434</v>
      </c>
    </row>
    <row r="625" spans="1:18">
      <c r="A625" s="14" t="s">
        <v>15435</v>
      </c>
    </row>
    <row r="626" spans="1:18">
      <c r="A626" s="9">
        <v>79485</v>
      </c>
      <c r="B626" s="9" t="s">
        <v>334</v>
      </c>
      <c r="C626" s="9" t="s">
        <v>202</v>
      </c>
      <c r="D626" s="9" t="s">
        <v>10431</v>
      </c>
      <c r="E626" s="15" t="str">
        <f>HYPERLINK("https://stat100.ameba.jp/tnk47/ratio20/illustrations/card/ill_79485_kyabinatendantokurohime05.jpg?202011-5-RELEASE-marathon-501xxx", "■")</f>
        <v>■</v>
      </c>
      <c r="F626" s="9" t="s">
        <v>11084</v>
      </c>
      <c r="G626" s="9">
        <v>103906</v>
      </c>
      <c r="H626" s="9">
        <v>143494</v>
      </c>
      <c r="I626" s="9">
        <v>28</v>
      </c>
      <c r="J626" s="9" t="s">
        <v>414</v>
      </c>
      <c r="K626" s="9" t="s">
        <v>11085</v>
      </c>
      <c r="L626" s="9" t="s">
        <v>1575</v>
      </c>
      <c r="M626" s="14" t="s">
        <v>9158</v>
      </c>
      <c r="N626" s="14" t="s">
        <v>9158</v>
      </c>
      <c r="O626" s="14" t="s">
        <v>9158</v>
      </c>
      <c r="P626" s="14" t="s">
        <v>9158</v>
      </c>
      <c r="Q626" s="14" t="s">
        <v>9158</v>
      </c>
      <c r="R626" s="9" t="s">
        <v>174</v>
      </c>
    </row>
    <row r="627" spans="1:18">
      <c r="A627" s="9">
        <v>79483</v>
      </c>
      <c r="B627" s="9" t="s">
        <v>348</v>
      </c>
      <c r="C627" s="9" t="s">
        <v>158</v>
      </c>
      <c r="D627" s="9" t="s">
        <v>10431</v>
      </c>
      <c r="E627" s="15" t="str">
        <f>HYPERLINK("https://stat100.ameba.jp/tnk47/ratio20/illustrations/card/ill_79483_kyabinatendantokurohime03.jpg?202011-5-RELEASE-marathon-501xxx", "■")</f>
        <v>■</v>
      </c>
      <c r="F627" s="9" t="s">
        <v>11084</v>
      </c>
      <c r="G627" s="9">
        <v>76538</v>
      </c>
      <c r="H627" s="9">
        <v>105718</v>
      </c>
      <c r="I627" s="9">
        <v>28</v>
      </c>
      <c r="J627" s="9" t="s">
        <v>414</v>
      </c>
      <c r="K627" s="9" t="s">
        <v>11085</v>
      </c>
      <c r="L627" s="9" t="s">
        <v>11086</v>
      </c>
      <c r="M627" s="14" t="s">
        <v>9158</v>
      </c>
      <c r="N627" s="14" t="s">
        <v>9158</v>
      </c>
      <c r="O627" s="14" t="s">
        <v>9158</v>
      </c>
      <c r="P627" s="14" t="s">
        <v>9158</v>
      </c>
      <c r="Q627" s="14" t="s">
        <v>9158</v>
      </c>
      <c r="R627" s="9" t="s">
        <v>175</v>
      </c>
    </row>
    <row r="628" spans="1:18">
      <c r="A628" s="9">
        <v>79481</v>
      </c>
      <c r="B628" s="9" t="s">
        <v>348</v>
      </c>
      <c r="C628" s="9" t="s">
        <v>158</v>
      </c>
      <c r="D628" s="9" t="s">
        <v>10431</v>
      </c>
      <c r="E628" s="15" t="str">
        <f>HYPERLINK("https://stat100.ameba.jp/tnk47/ratio20/illustrations/card/ill_79481_kyabinatendantokurohime01.jpg?202011-5-RELEASE-marathon-501xxx", "■")</f>
        <v>■</v>
      </c>
      <c r="F628" s="9" t="s">
        <v>11084</v>
      </c>
      <c r="G628" s="9">
        <v>48692</v>
      </c>
      <c r="H628" s="9">
        <v>67256</v>
      </c>
      <c r="I628" s="9">
        <v>28</v>
      </c>
      <c r="J628" s="9" t="s">
        <v>414</v>
      </c>
      <c r="K628" s="9" t="s">
        <v>11085</v>
      </c>
      <c r="L628" s="9" t="s">
        <v>11087</v>
      </c>
      <c r="M628" s="14" t="s">
        <v>9158</v>
      </c>
      <c r="N628" s="14" t="s">
        <v>9158</v>
      </c>
      <c r="O628" s="14" t="s">
        <v>9158</v>
      </c>
      <c r="P628" s="14" t="s">
        <v>9158</v>
      </c>
      <c r="Q628" s="14" t="s">
        <v>9158</v>
      </c>
      <c r="R628" s="9" t="s">
        <v>176</v>
      </c>
    </row>
    <row r="629" spans="1:18">
      <c r="A629" s="14">
        <v>82525</v>
      </c>
      <c r="B629" s="14" t="s">
        <v>15436</v>
      </c>
      <c r="C629" s="14" t="s">
        <v>202</v>
      </c>
      <c r="D629" s="19" t="s">
        <v>10359</v>
      </c>
      <c r="E629" s="15" t="str">
        <f>HYPERLINK("https://stat100.ameba.jp/tnk47/ratio20/illustrations/card/ill_82525_meruburea05.jpg?202011-5-RELEASE-marathon-501xxx", "■")</f>
        <v>■</v>
      </c>
      <c r="F629" s="14" t="s">
        <v>5563</v>
      </c>
      <c r="G629" s="14">
        <v>138202</v>
      </c>
      <c r="H629" s="14">
        <v>100052</v>
      </c>
      <c r="I629" s="9">
        <v>28</v>
      </c>
      <c r="J629" s="14" t="s">
        <v>143</v>
      </c>
      <c r="K629" s="14" t="s">
        <v>5565</v>
      </c>
      <c r="L629" s="14" t="s">
        <v>5566</v>
      </c>
      <c r="M629" s="14" t="s">
        <v>9158</v>
      </c>
      <c r="N629" s="14" t="s">
        <v>9158</v>
      </c>
      <c r="O629" s="14" t="s">
        <v>9158</v>
      </c>
      <c r="P629" s="14" t="s">
        <v>9158</v>
      </c>
      <c r="Q629" s="14" t="s">
        <v>9158</v>
      </c>
      <c r="R629" s="14" t="s">
        <v>174</v>
      </c>
    </row>
    <row r="630" spans="1:18">
      <c r="A630" s="14">
        <v>82523</v>
      </c>
      <c r="B630" s="14" t="s">
        <v>15</v>
      </c>
      <c r="C630" s="14" t="s">
        <v>154</v>
      </c>
      <c r="D630" s="19" t="s">
        <v>10359</v>
      </c>
      <c r="E630" s="15" t="str">
        <f>HYPERLINK("https://stat100.ameba.jp/tnk47/ratio20/illustrations/card/ill_82523_meruburea03.jpg?202011-5-RELEASE-marathon-501xxx", "■")</f>
        <v>■</v>
      </c>
      <c r="F630" s="14" t="s">
        <v>5563</v>
      </c>
      <c r="G630" s="14">
        <v>101816</v>
      </c>
      <c r="H630" s="14">
        <v>73710</v>
      </c>
      <c r="I630" s="9">
        <v>28</v>
      </c>
      <c r="J630" s="14" t="s">
        <v>143</v>
      </c>
      <c r="K630" s="14" t="s">
        <v>5565</v>
      </c>
      <c r="L630" s="14" t="s">
        <v>5567</v>
      </c>
      <c r="M630" s="14" t="s">
        <v>9158</v>
      </c>
      <c r="N630" s="14" t="s">
        <v>9158</v>
      </c>
      <c r="O630" s="14" t="s">
        <v>9158</v>
      </c>
      <c r="P630" s="14" t="s">
        <v>9158</v>
      </c>
      <c r="Q630" s="14" t="s">
        <v>9158</v>
      </c>
      <c r="R630" s="14" t="s">
        <v>175</v>
      </c>
    </row>
    <row r="631" spans="1:18">
      <c r="A631" s="14">
        <v>82521</v>
      </c>
      <c r="B631" s="14" t="s">
        <v>15</v>
      </c>
      <c r="C631" s="14" t="s">
        <v>154</v>
      </c>
      <c r="D631" s="19" t="s">
        <v>10359</v>
      </c>
      <c r="E631" s="15" t="str">
        <f>HYPERLINK("https://stat100.ameba.jp/tnk47/ratio20/illustrations/card/ill_82521_meruburea01.jpg?202011-5-RELEASE-marathon-501xxx", "■")</f>
        <v>■</v>
      </c>
      <c r="F631" s="14" t="s">
        <v>5563</v>
      </c>
      <c r="G631" s="14">
        <v>64764</v>
      </c>
      <c r="H631" s="14">
        <v>46872</v>
      </c>
      <c r="I631" s="9">
        <v>28</v>
      </c>
      <c r="J631" s="14" t="s">
        <v>143</v>
      </c>
      <c r="K631" s="14" t="s">
        <v>5565</v>
      </c>
      <c r="L631" s="14" t="s">
        <v>145</v>
      </c>
      <c r="M631" s="14" t="s">
        <v>9158</v>
      </c>
      <c r="N631" s="14" t="s">
        <v>9158</v>
      </c>
      <c r="O631" s="14" t="s">
        <v>9158</v>
      </c>
      <c r="P631" s="14" t="s">
        <v>9158</v>
      </c>
      <c r="Q631" s="14" t="s">
        <v>9158</v>
      </c>
      <c r="R631" s="14" t="s">
        <v>176</v>
      </c>
    </row>
    <row r="632" spans="1:18">
      <c r="A632" s="9">
        <v>80715</v>
      </c>
      <c r="B632" s="14" t="s">
        <v>334</v>
      </c>
      <c r="C632" s="14" t="s">
        <v>35</v>
      </c>
      <c r="D632" s="14" t="s">
        <v>4206</v>
      </c>
      <c r="E632" s="15" t="str">
        <f>HYPERLINK("https://stat100.ameba.jp/tnk47/ratio20/illustrations/card/ill_80715_gyaruchikaramochiyurei05.jpg?202011-5-RELEASE-marathon-501xxx", "■")</f>
        <v>■</v>
      </c>
      <c r="F632" s="14" t="s">
        <v>4207</v>
      </c>
      <c r="G632" s="14">
        <v>87110</v>
      </c>
      <c r="H632" s="14">
        <v>63986</v>
      </c>
      <c r="I632" s="9">
        <v>28</v>
      </c>
      <c r="J632" s="14" t="s">
        <v>73</v>
      </c>
      <c r="K632" s="14" t="s">
        <v>4208</v>
      </c>
      <c r="L632" s="14" t="s">
        <v>4209</v>
      </c>
      <c r="M632" s="14" t="s">
        <v>9158</v>
      </c>
      <c r="N632" s="14" t="s">
        <v>9158</v>
      </c>
      <c r="O632" s="14" t="s">
        <v>9158</v>
      </c>
      <c r="P632" s="14" t="s">
        <v>9158</v>
      </c>
      <c r="Q632" s="14" t="s">
        <v>9158</v>
      </c>
      <c r="R632" s="14" t="s">
        <v>174</v>
      </c>
    </row>
    <row r="633" spans="1:18">
      <c r="A633" s="9">
        <v>80713</v>
      </c>
      <c r="B633" s="14" t="s">
        <v>15</v>
      </c>
      <c r="C633" s="14" t="s">
        <v>209</v>
      </c>
      <c r="D633" s="14" t="s">
        <v>4206</v>
      </c>
      <c r="E633" s="15" t="str">
        <f>HYPERLINK("https://stat100.ameba.jp/tnk47/ratio20/illustrations/card/ill_80713_gyaruchikaramochiyurei03.jpg?202011-5-RELEASE-marathon-501xxx", "■")</f>
        <v>■</v>
      </c>
      <c r="F633" s="14" t="s">
        <v>4207</v>
      </c>
      <c r="G633" s="14">
        <v>68684</v>
      </c>
      <c r="H633" s="14">
        <v>49896</v>
      </c>
      <c r="I633" s="9">
        <v>28</v>
      </c>
      <c r="J633" s="14" t="s">
        <v>73</v>
      </c>
      <c r="K633" s="14" t="s">
        <v>4208</v>
      </c>
      <c r="L633" s="14" t="s">
        <v>2150</v>
      </c>
      <c r="M633" s="14" t="s">
        <v>9158</v>
      </c>
      <c r="N633" s="14" t="s">
        <v>9158</v>
      </c>
      <c r="O633" s="14" t="s">
        <v>9158</v>
      </c>
      <c r="P633" s="14" t="s">
        <v>9158</v>
      </c>
      <c r="Q633" s="14" t="s">
        <v>9158</v>
      </c>
      <c r="R633" s="14" t="s">
        <v>175</v>
      </c>
    </row>
    <row r="634" spans="1:18">
      <c r="A634" s="9">
        <v>80711</v>
      </c>
      <c r="B634" s="14" t="s">
        <v>15</v>
      </c>
      <c r="C634" s="14" t="s">
        <v>209</v>
      </c>
      <c r="D634" s="14" t="s">
        <v>4206</v>
      </c>
      <c r="E634" s="15" t="str">
        <f>HYPERLINK("https://stat100.ameba.jp/tnk47/ratio20/illustrations/card/ill_80711_gyaruchikaramochiyurei01.jpg?202011-5-RELEASE-marathon-501xxx", "■")</f>
        <v>■</v>
      </c>
      <c r="F634" s="14" t="s">
        <v>4207</v>
      </c>
      <c r="G634" s="14">
        <v>50400</v>
      </c>
      <c r="H634" s="14">
        <v>36400</v>
      </c>
      <c r="I634" s="9">
        <v>28</v>
      </c>
      <c r="J634" s="14" t="s">
        <v>73</v>
      </c>
      <c r="K634" s="14" t="s">
        <v>4208</v>
      </c>
      <c r="L634" s="14" t="s">
        <v>4210</v>
      </c>
      <c r="M634" s="14" t="s">
        <v>9158</v>
      </c>
      <c r="N634" s="14" t="s">
        <v>9158</v>
      </c>
      <c r="O634" s="14" t="s">
        <v>9158</v>
      </c>
      <c r="P634" s="14" t="s">
        <v>9158</v>
      </c>
      <c r="Q634" s="14" t="s">
        <v>9158</v>
      </c>
      <c r="R634" s="14" t="s">
        <v>176</v>
      </c>
    </row>
  </sheetData>
  <phoneticPr fontId="1"/>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E528-C3F1-4D99-BF9B-6678FED237B6}">
  <dimension ref="A1:S597"/>
  <sheetViews>
    <sheetView zoomScale="55" zoomScaleNormal="55" workbookViewId="0">
      <pane ySplit="1" topLeftCell="A243" activePane="bottomLeft" state="frozen"/>
      <selection activeCell="Q158" sqref="A158:Q158"/>
      <selection pane="bottomLeft" activeCell="D256" sqref="D256"/>
    </sheetView>
  </sheetViews>
  <sheetFormatPr defaultColWidth="8.9140625" defaultRowHeight="18"/>
  <cols>
    <col min="1" max="1" width="7.7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15437</v>
      </c>
    </row>
    <row r="4" spans="1:19">
      <c r="A4" s="14">
        <v>311328</v>
      </c>
      <c r="B4" s="14" t="s">
        <v>15438</v>
      </c>
    </row>
    <row r="5" spans="1:19">
      <c r="A5" s="14">
        <v>311377</v>
      </c>
      <c r="B5" s="14" t="s">
        <v>15439</v>
      </c>
    </row>
    <row r="6" spans="1:19">
      <c r="A6" s="14" t="s">
        <v>15440</v>
      </c>
      <c r="B6" s="7" t="s">
        <v>52</v>
      </c>
      <c r="C6" s="14" t="s">
        <v>202</v>
      </c>
      <c r="D6" s="18" t="s">
        <v>15441</v>
      </c>
      <c r="E6" s="15" t="str">
        <f>HYPERLINK("https://stat100.ameba.jp/tnk47/ratio20/illustrations/card/ill_93683_0_yukemurionsenshirowainchan03.jpg?202011-5-RELEASE-marathon-501xxx", "■")</f>
        <v>■</v>
      </c>
      <c r="F6" s="14" t="s">
        <v>15444</v>
      </c>
      <c r="G6" s="14">
        <v>317216</v>
      </c>
      <c r="H6" s="14">
        <v>387740</v>
      </c>
      <c r="I6" s="7">
        <v>32</v>
      </c>
      <c r="J6" s="14" t="s">
        <v>104</v>
      </c>
      <c r="K6" s="14" t="s">
        <v>15443</v>
      </c>
      <c r="L6" s="14" t="s">
        <v>15442</v>
      </c>
      <c r="M6" s="14" t="s">
        <v>9158</v>
      </c>
      <c r="N6" s="14" t="s">
        <v>9158</v>
      </c>
      <c r="O6" s="6" t="s">
        <v>15445</v>
      </c>
      <c r="P6" s="7" t="s">
        <v>15446</v>
      </c>
      <c r="Q6" s="7">
        <v>1</v>
      </c>
    </row>
    <row r="7" spans="1:19">
      <c r="A7" s="14">
        <v>93623</v>
      </c>
      <c r="B7" s="14" t="s">
        <v>0</v>
      </c>
      <c r="C7" s="14" t="s">
        <v>23</v>
      </c>
      <c r="D7" s="18" t="s">
        <v>15449</v>
      </c>
      <c r="E7" s="15" t="str">
        <f>HYPERLINK("https://stat100.ameba.jp/tnk47/ratio20/illustrations/card/ill_93623_yukemurionsennakajimautako03.jpg?202011-5-RELEASE-marathon-501xxx", "■")</f>
        <v>■</v>
      </c>
      <c r="F7" s="14" t="s">
        <v>15448</v>
      </c>
      <c r="G7" s="14">
        <v>109370</v>
      </c>
      <c r="H7" s="14">
        <v>101650</v>
      </c>
      <c r="I7" s="14">
        <v>28</v>
      </c>
      <c r="J7" s="14" t="s">
        <v>10</v>
      </c>
      <c r="K7" s="14" t="s">
        <v>15447</v>
      </c>
      <c r="L7" s="14" t="s">
        <v>2645</v>
      </c>
      <c r="M7" s="14" t="s">
        <v>9158</v>
      </c>
      <c r="N7" s="14" t="s">
        <v>9158</v>
      </c>
      <c r="O7" s="6" t="s">
        <v>3578</v>
      </c>
      <c r="P7" s="7" t="s">
        <v>3579</v>
      </c>
      <c r="Q7" s="7">
        <v>1</v>
      </c>
    </row>
    <row r="8" spans="1:19">
      <c r="A8" s="14">
        <v>93633</v>
      </c>
      <c r="B8" s="14" t="s">
        <v>0</v>
      </c>
      <c r="C8" s="14" t="s">
        <v>96</v>
      </c>
      <c r="D8" s="18" t="s">
        <v>15453</v>
      </c>
      <c r="E8" s="15" t="str">
        <f>HYPERLINK("https://stat100.ameba.jp/tnk47/ratio20/illustrations/card/ill_93633_yukemurionsenkaguya03.jpg?202011-5-RELEASE-marathon-501xxx", "■")</f>
        <v>■</v>
      </c>
      <c r="F8" s="14" t="s">
        <v>15452</v>
      </c>
      <c r="G8" s="14">
        <v>105610</v>
      </c>
      <c r="H8" s="14">
        <v>113536</v>
      </c>
      <c r="I8" s="14">
        <v>28</v>
      </c>
      <c r="J8" s="14" t="s">
        <v>38</v>
      </c>
      <c r="K8" s="14" t="s">
        <v>15451</v>
      </c>
      <c r="L8" s="14" t="s">
        <v>15450</v>
      </c>
      <c r="M8" s="14" t="s">
        <v>2138</v>
      </c>
      <c r="N8" s="14" t="s">
        <v>2139</v>
      </c>
      <c r="O8" s="14" t="s">
        <v>9158</v>
      </c>
      <c r="P8" s="14" t="s">
        <v>9158</v>
      </c>
      <c r="Q8" s="14" t="s">
        <v>9158</v>
      </c>
      <c r="R8" s="14" t="s">
        <v>13120</v>
      </c>
    </row>
    <row r="9" spans="1:19">
      <c r="A9" s="14">
        <v>93643</v>
      </c>
      <c r="B9" s="14" t="s">
        <v>0</v>
      </c>
      <c r="C9" s="14" t="s">
        <v>107</v>
      </c>
      <c r="D9" s="17" t="s">
        <v>15457</v>
      </c>
      <c r="E9" s="15" t="str">
        <f>HYPERLINK("https://stat100.ameba.jp/tnk47/ratio20/illustrations/card/ill_93643_yukemurionsenkameishokin03.jpg?202011-5-RELEASE-marathon-501xxx", "■")</f>
        <v>■</v>
      </c>
      <c r="F9" s="14" t="s">
        <v>15456</v>
      </c>
      <c r="G9" s="14">
        <v>154768</v>
      </c>
      <c r="H9" s="14">
        <v>166452</v>
      </c>
      <c r="I9" s="14">
        <v>28</v>
      </c>
      <c r="J9" s="14" t="s">
        <v>16</v>
      </c>
      <c r="K9" s="14" t="s">
        <v>15455</v>
      </c>
      <c r="L9" s="14" t="s">
        <v>15454</v>
      </c>
      <c r="M9" s="14" t="s">
        <v>2138</v>
      </c>
      <c r="N9" s="14" t="s">
        <v>2139</v>
      </c>
      <c r="O9" s="14" t="s">
        <v>9158</v>
      </c>
      <c r="P9" s="14" t="s">
        <v>9158</v>
      </c>
      <c r="Q9" s="14" t="s">
        <v>9158</v>
      </c>
      <c r="R9" s="14" t="s">
        <v>13120</v>
      </c>
    </row>
    <row r="10" spans="1:19">
      <c r="A10" s="14">
        <v>93653</v>
      </c>
      <c r="B10" s="14" t="s">
        <v>15</v>
      </c>
      <c r="C10" s="14" t="s">
        <v>14</v>
      </c>
      <c r="D10" s="18" t="s">
        <v>15459</v>
      </c>
      <c r="E10" s="15" t="str">
        <f>HYPERLINK("https://stat100.ameba.jp/tnk47/ratio20/illustrations/card/ill_93653_onsenyadosokuroinari03.jpg?202011-5-RELEASE-marathon-501xxx", "■")</f>
        <v>■</v>
      </c>
      <c r="F10" s="14" t="s">
        <v>15458</v>
      </c>
      <c r="G10" s="14">
        <v>80028</v>
      </c>
      <c r="H10" s="14">
        <v>72586</v>
      </c>
      <c r="I10" s="14">
        <v>27</v>
      </c>
      <c r="J10" s="14" t="s">
        <v>44</v>
      </c>
      <c r="K10" s="14" t="s">
        <v>6149</v>
      </c>
      <c r="L10" s="14" t="s">
        <v>3726</v>
      </c>
      <c r="M10" s="14" t="s">
        <v>9158</v>
      </c>
      <c r="N10" s="14" t="s">
        <v>9158</v>
      </c>
      <c r="O10" s="14" t="s">
        <v>9158</v>
      </c>
      <c r="P10" s="14" t="s">
        <v>9158</v>
      </c>
      <c r="Q10" s="14" t="s">
        <v>9158</v>
      </c>
    </row>
    <row r="11" spans="1:19">
      <c r="A11" s="14">
        <v>93663</v>
      </c>
      <c r="B11" s="14" t="s">
        <v>15</v>
      </c>
      <c r="C11" s="14" t="s">
        <v>101</v>
      </c>
      <c r="D11" s="18" t="s">
        <v>15462</v>
      </c>
      <c r="E11" s="15" t="str">
        <f>HYPERLINK("https://stat100.ameba.jp/tnk47/ratio20/illustrations/card/ill_93663_korakukudagitsune03.jpg?202011-5-RELEASE-marathon-501xxx", "■")</f>
        <v>■</v>
      </c>
      <c r="F11" s="14" t="s">
        <v>15461</v>
      </c>
      <c r="G11" s="14">
        <v>72586</v>
      </c>
      <c r="H11" s="14">
        <v>80028</v>
      </c>
      <c r="I11" s="14">
        <v>27</v>
      </c>
      <c r="J11" s="14" t="s">
        <v>73</v>
      </c>
      <c r="K11" s="14" t="s">
        <v>15460</v>
      </c>
      <c r="L11" s="14" t="s">
        <v>2113</v>
      </c>
      <c r="M11" s="14" t="s">
        <v>9158</v>
      </c>
      <c r="N11" s="14" t="s">
        <v>9158</v>
      </c>
      <c r="O11" s="14" t="s">
        <v>9158</v>
      </c>
      <c r="P11" s="14" t="s">
        <v>9158</v>
      </c>
      <c r="Q11" s="14" t="s">
        <v>9158</v>
      </c>
    </row>
    <row r="12" spans="1:19">
      <c r="A12" s="14">
        <v>93673</v>
      </c>
      <c r="B12" s="14" t="s">
        <v>15</v>
      </c>
      <c r="C12" s="14" t="s">
        <v>1</v>
      </c>
      <c r="D12" s="18" t="s">
        <v>15465</v>
      </c>
      <c r="E12" s="15" t="str">
        <f>HYPERLINK("https://stat100.ameba.jp/tnk47/ratio20/illustrations/card/ill_93673_onsempanikkumurakamisuigun03.jpg?202011-5-RELEASE-marathon-501xxx", "■")</f>
        <v>■</v>
      </c>
      <c r="F12" s="14" t="s">
        <v>15464</v>
      </c>
      <c r="G12" s="14">
        <v>80028</v>
      </c>
      <c r="H12" s="14">
        <v>72586</v>
      </c>
      <c r="I12" s="14">
        <v>27</v>
      </c>
      <c r="J12" s="14" t="s">
        <v>143</v>
      </c>
      <c r="K12" s="14" t="s">
        <v>15463</v>
      </c>
      <c r="L12" s="14" t="s">
        <v>4188</v>
      </c>
      <c r="M12" s="14" t="s">
        <v>9158</v>
      </c>
      <c r="N12" s="14" t="s">
        <v>9158</v>
      </c>
      <c r="O12" s="14" t="s">
        <v>9158</v>
      </c>
      <c r="P12" s="14" t="s">
        <v>9158</v>
      </c>
      <c r="Q12" s="14" t="s">
        <v>9158</v>
      </c>
    </row>
    <row r="13" spans="1:19">
      <c r="A13" s="14">
        <v>93693</v>
      </c>
      <c r="B13" s="14" t="s">
        <v>22</v>
      </c>
      <c r="C13" s="14" t="s">
        <v>14</v>
      </c>
      <c r="D13" s="18" t="s">
        <v>15468</v>
      </c>
      <c r="E13" s="15" t="str">
        <f>HYPERLINK("https://stat100.ameba.jp/tnk47/ratio20/illustrations/card/ill_93693_sounkyoonsenezoshika03.jpg?202011-5-RELEASE-marathon-501xxx", "■")</f>
        <v>■</v>
      </c>
      <c r="F13" s="14" t="s">
        <v>15467</v>
      </c>
      <c r="G13" s="14">
        <v>47820</v>
      </c>
      <c r="H13" s="14">
        <v>39762</v>
      </c>
      <c r="I13" s="14">
        <v>23</v>
      </c>
      <c r="J13" s="14" t="s">
        <v>26</v>
      </c>
      <c r="K13" s="14" t="s">
        <v>15466</v>
      </c>
      <c r="L13" s="14" t="s">
        <v>2162</v>
      </c>
      <c r="M13" s="14" t="s">
        <v>9158</v>
      </c>
      <c r="N13" s="14" t="s">
        <v>9158</v>
      </c>
      <c r="O13" s="14" t="s">
        <v>9158</v>
      </c>
      <c r="P13" s="14" t="s">
        <v>9158</v>
      </c>
      <c r="Q13" s="14" t="s">
        <v>9158</v>
      </c>
    </row>
    <row r="14" spans="1:19">
      <c r="A14" s="14">
        <v>93703</v>
      </c>
      <c r="B14" s="14" t="s">
        <v>22</v>
      </c>
      <c r="C14" s="14" t="s">
        <v>1</v>
      </c>
      <c r="D14" s="18" t="s">
        <v>15472</v>
      </c>
      <c r="E14" s="15" t="str">
        <f>HYPERLINK("https://stat100.ameba.jp/tnk47/ratio20/illustrations/card/ill_93703_nurarihyon03.jpg?202011-5-RELEASE-marathon-501xxx", "■")</f>
        <v>■</v>
      </c>
      <c r="F14" s="14" t="s">
        <v>15471</v>
      </c>
      <c r="G14" s="14">
        <v>39762</v>
      </c>
      <c r="H14" s="14">
        <v>47820</v>
      </c>
      <c r="I14" s="14">
        <v>23</v>
      </c>
      <c r="J14" s="14" t="s">
        <v>73</v>
      </c>
      <c r="K14" s="14" t="s">
        <v>15470</v>
      </c>
      <c r="L14" s="14" t="s">
        <v>15469</v>
      </c>
      <c r="M14" s="14" t="s">
        <v>9158</v>
      </c>
      <c r="N14" s="14" t="s">
        <v>9158</v>
      </c>
      <c r="O14" s="14" t="s">
        <v>9158</v>
      </c>
      <c r="P14" s="14" t="s">
        <v>9158</v>
      </c>
      <c r="Q14" s="14" t="s">
        <v>9158</v>
      </c>
    </row>
    <row r="15" spans="1:19">
      <c r="A15" s="14">
        <v>93723</v>
      </c>
      <c r="B15" s="14" t="s">
        <v>30</v>
      </c>
      <c r="C15" s="14" t="s">
        <v>12956</v>
      </c>
      <c r="D15" s="18" t="s">
        <v>15473</v>
      </c>
      <c r="E15" s="15" t="str">
        <f>HYPERLINK("https://stat100.ameba.jp/tnk47/ratio20/illustrations/card/ill_93723_ikahonsenkarakkaze03.jpg?202011-5-RELEASE-marathon-501xxx", "■")</f>
        <v>■</v>
      </c>
      <c r="F15" s="14" t="s">
        <v>15475</v>
      </c>
      <c r="G15" s="7" t="s">
        <v>12934</v>
      </c>
      <c r="H15" s="7" t="s">
        <v>12934</v>
      </c>
      <c r="I15" s="14">
        <v>19</v>
      </c>
      <c r="J15" s="14" t="s">
        <v>26</v>
      </c>
      <c r="K15" s="7" t="s">
        <v>12934</v>
      </c>
      <c r="L15" s="7" t="s">
        <v>12934</v>
      </c>
      <c r="M15" s="14" t="s">
        <v>9158</v>
      </c>
      <c r="N15" s="14" t="s">
        <v>9158</v>
      </c>
      <c r="O15" s="14" t="s">
        <v>9158</v>
      </c>
      <c r="P15" s="14" t="s">
        <v>9158</v>
      </c>
      <c r="Q15" s="14" t="s">
        <v>9158</v>
      </c>
    </row>
    <row r="16" spans="1:19">
      <c r="A16" s="14">
        <v>93713</v>
      </c>
      <c r="B16" s="14" t="s">
        <v>30</v>
      </c>
      <c r="C16" s="14" t="s">
        <v>107</v>
      </c>
      <c r="D16" s="18" t="s">
        <v>15474</v>
      </c>
      <c r="E16" s="15" t="str">
        <f>HYPERLINK("https://stat100.ameba.jp/tnk47/ratio20/illustrations/card/ill_93713_yukatamuteichigoro03.jpg?202011-5-RELEASE-marathon-501xxx", "■")</f>
        <v>■</v>
      </c>
      <c r="F16" s="14" t="s">
        <v>15476</v>
      </c>
      <c r="G16" s="7" t="s">
        <v>12934</v>
      </c>
      <c r="H16" s="7" t="s">
        <v>12934</v>
      </c>
      <c r="I16" s="14">
        <v>19</v>
      </c>
      <c r="J16" s="14" t="s">
        <v>73</v>
      </c>
      <c r="K16" s="7" t="s">
        <v>12934</v>
      </c>
      <c r="L16" s="7" t="s">
        <v>12934</v>
      </c>
      <c r="M16" s="14" t="s">
        <v>9158</v>
      </c>
      <c r="N16" s="14" t="s">
        <v>9158</v>
      </c>
      <c r="O16" s="14" t="s">
        <v>9158</v>
      </c>
      <c r="P16" s="14" t="s">
        <v>9158</v>
      </c>
      <c r="Q16" s="14" t="s">
        <v>9158</v>
      </c>
    </row>
    <row r="17" spans="1:18">
      <c r="D17" s="7"/>
    </row>
    <row r="18" spans="1:18">
      <c r="A18" s="14" t="s">
        <v>15513</v>
      </c>
      <c r="D18" s="7"/>
    </row>
    <row r="19" spans="1:18">
      <c r="A19" s="7">
        <v>234948</v>
      </c>
      <c r="B19" s="14" t="s">
        <v>7814</v>
      </c>
    </row>
    <row r="20" spans="1:18">
      <c r="A20" s="14">
        <v>93735</v>
      </c>
      <c r="B20" s="14" t="s">
        <v>0</v>
      </c>
      <c r="C20" s="14" t="s">
        <v>202</v>
      </c>
      <c r="D20" s="18" t="s">
        <v>15517</v>
      </c>
      <c r="E20" s="15" t="str">
        <f>HYPERLINK("https://stat100.ameba.jp/tnk47/ratio20/illustrations/card/ill_93735_bampaiahantahitokagehana05.jpg?202011-5-RELEASE-marathon-501xxxx", "■")</f>
        <v>■</v>
      </c>
      <c r="F20" s="14" t="s">
        <v>15516</v>
      </c>
      <c r="G20" s="14">
        <v>138202</v>
      </c>
      <c r="H20" s="14">
        <v>100052</v>
      </c>
      <c r="I20" s="14">
        <v>28</v>
      </c>
      <c r="J20" s="14" t="s">
        <v>15482</v>
      </c>
      <c r="K20" s="14" t="s">
        <v>15515</v>
      </c>
      <c r="L20" s="14" t="s">
        <v>15520</v>
      </c>
      <c r="M20" s="14" t="s">
        <v>9158</v>
      </c>
      <c r="N20" s="14" t="s">
        <v>9158</v>
      </c>
      <c r="O20" s="14" t="s">
        <v>9158</v>
      </c>
      <c r="P20" s="14" t="s">
        <v>9158</v>
      </c>
      <c r="Q20" s="14" t="s">
        <v>9158</v>
      </c>
      <c r="R20" s="14" t="s">
        <v>174</v>
      </c>
    </row>
    <row r="21" spans="1:18">
      <c r="A21" s="14">
        <v>93733</v>
      </c>
      <c r="B21" s="14" t="s">
        <v>15</v>
      </c>
      <c r="C21" s="14" t="s">
        <v>15518</v>
      </c>
      <c r="D21" s="18" t="s">
        <v>15517</v>
      </c>
      <c r="E21" s="15" t="str">
        <f>HYPERLINK("https://stat100.ameba.jp/tnk47/ratio20/illustrations/card/ill_93733_bampaiahantahitokagehana03.jpg?202011-5-RELEASE-marathon-501xxxx", "■")</f>
        <v>■</v>
      </c>
      <c r="F21" s="14" t="s">
        <v>15516</v>
      </c>
      <c r="G21" s="14">
        <v>101816</v>
      </c>
      <c r="H21" s="14">
        <v>73710</v>
      </c>
      <c r="I21" s="14">
        <v>28</v>
      </c>
      <c r="J21" s="14" t="s">
        <v>15482</v>
      </c>
      <c r="K21" s="14" t="s">
        <v>15515</v>
      </c>
      <c r="L21" s="14" t="s">
        <v>15519</v>
      </c>
      <c r="M21" s="14" t="s">
        <v>9158</v>
      </c>
      <c r="N21" s="14" t="s">
        <v>9158</v>
      </c>
      <c r="O21" s="14" t="s">
        <v>9158</v>
      </c>
      <c r="P21" s="14" t="s">
        <v>9158</v>
      </c>
      <c r="Q21" s="14" t="s">
        <v>9158</v>
      </c>
      <c r="R21" s="14" t="s">
        <v>175</v>
      </c>
    </row>
    <row r="22" spans="1:18">
      <c r="A22" s="14">
        <v>93731</v>
      </c>
      <c r="B22" s="14" t="s">
        <v>15</v>
      </c>
      <c r="C22" s="14" t="s">
        <v>15518</v>
      </c>
      <c r="D22" s="18" t="s">
        <v>15517</v>
      </c>
      <c r="E22" s="15" t="str">
        <f>HYPERLINK("https://stat100.ameba.jp/tnk47/ratio20/illustrations/card/ill_93731_bampaiahantahitokagehana01.jpg?202011-5-RELEASE-marathon-501xxxx", "■")</f>
        <v>■</v>
      </c>
      <c r="F22" s="14" t="s">
        <v>15516</v>
      </c>
      <c r="G22" s="14">
        <v>64764</v>
      </c>
      <c r="H22" s="14">
        <v>46872</v>
      </c>
      <c r="I22" s="14">
        <v>28</v>
      </c>
      <c r="J22" s="14" t="s">
        <v>15482</v>
      </c>
      <c r="K22" s="14" t="s">
        <v>15515</v>
      </c>
      <c r="L22" s="14" t="s">
        <v>15514</v>
      </c>
      <c r="M22" s="14" t="s">
        <v>9158</v>
      </c>
      <c r="N22" s="14" t="s">
        <v>9158</v>
      </c>
      <c r="O22" s="14" t="s">
        <v>9158</v>
      </c>
      <c r="P22" s="14" t="s">
        <v>9158</v>
      </c>
      <c r="Q22" s="14" t="s">
        <v>9158</v>
      </c>
      <c r="R22" s="14" t="s">
        <v>176</v>
      </c>
    </row>
    <row r="23" spans="1:18">
      <c r="D23" s="7"/>
    </row>
    <row r="24" spans="1:18">
      <c r="A24" s="14" t="s">
        <v>204</v>
      </c>
      <c r="D24" s="7"/>
    </row>
    <row r="25" spans="1:18">
      <c r="A25" s="7">
        <v>234977</v>
      </c>
      <c r="B25" s="14" t="s">
        <v>7828</v>
      </c>
    </row>
    <row r="26" spans="1:18">
      <c r="A26" s="9" t="s">
        <v>5609</v>
      </c>
      <c r="B26" s="14" t="s">
        <v>52</v>
      </c>
      <c r="C26" s="14" t="s">
        <v>200</v>
      </c>
      <c r="D26" s="14" t="s">
        <v>1713</v>
      </c>
      <c r="E26" s="15" t="str">
        <f>HYPERLINK("https://stat100.ameba.jp/tnk47/ratio20/illustrations/card/ill_53753_0_natsumatsuritokugawaieyasu03.jpg?202011-5-RELEASE-marathon-501xxxx", "■")</f>
        <v>■</v>
      </c>
      <c r="F26" s="14" t="s">
        <v>902</v>
      </c>
      <c r="G26" s="14">
        <v>138212</v>
      </c>
      <c r="H26" s="14">
        <v>122776</v>
      </c>
      <c r="I26" s="14">
        <v>22</v>
      </c>
      <c r="J26" s="14" t="s">
        <v>194</v>
      </c>
      <c r="K26" s="14" t="s">
        <v>1714</v>
      </c>
      <c r="L26" s="14" t="s">
        <v>904</v>
      </c>
      <c r="M26" s="14" t="s">
        <v>9158</v>
      </c>
      <c r="N26" s="14" t="s">
        <v>9158</v>
      </c>
      <c r="O26" s="17" t="s">
        <v>10052</v>
      </c>
      <c r="P26" s="14" t="s">
        <v>13121</v>
      </c>
      <c r="Q26" s="14">
        <v>1</v>
      </c>
    </row>
    <row r="27" spans="1:18">
      <c r="A27" s="14" t="s">
        <v>5620</v>
      </c>
      <c r="B27" s="14" t="s">
        <v>330</v>
      </c>
      <c r="C27" s="14" t="s">
        <v>206</v>
      </c>
      <c r="D27" s="20" t="s">
        <v>669</v>
      </c>
      <c r="E27" s="15" t="str">
        <f>HYPERLINK("https://stat100.ameba.jp/tnk47/ratio20/illustrations/card/ill_67173_0_yukemuriawamorichan03.jpg?202011-5-RELEASE-marathon-501xxxx", "■")</f>
        <v>■</v>
      </c>
      <c r="F27" s="14" t="s">
        <v>670</v>
      </c>
      <c r="G27" s="14">
        <v>169032</v>
      </c>
      <c r="H27" s="14">
        <v>157150</v>
      </c>
      <c r="I27" s="14">
        <v>22</v>
      </c>
      <c r="J27" s="14" t="s">
        <v>283</v>
      </c>
      <c r="K27" s="14" t="s">
        <v>671</v>
      </c>
      <c r="L27" s="14" t="s">
        <v>672</v>
      </c>
      <c r="M27" s="14" t="s">
        <v>9158</v>
      </c>
      <c r="N27" s="14" t="s">
        <v>9158</v>
      </c>
      <c r="O27" s="19" t="s">
        <v>10087</v>
      </c>
      <c r="P27" s="14" t="s">
        <v>3455</v>
      </c>
      <c r="Q27" s="14">
        <v>1</v>
      </c>
    </row>
    <row r="28" spans="1:18">
      <c r="A28" s="14" t="s">
        <v>5622</v>
      </c>
      <c r="B28" s="14" t="s">
        <v>330</v>
      </c>
      <c r="C28" s="14" t="s">
        <v>335</v>
      </c>
      <c r="D28" s="19" t="s">
        <v>509</v>
      </c>
      <c r="E28" s="15" t="str">
        <f>HYPERLINK("https://stat100.ameba.jp/tnk47/ratio20/illustrations/card/ill_49953_0_yushamarihime03.jpg?202011-5-RELEASE-marathon-501xxxx", "■")</f>
        <v>■</v>
      </c>
      <c r="F28" s="14" t="s">
        <v>510</v>
      </c>
      <c r="G28" s="14">
        <v>138212</v>
      </c>
      <c r="H28" s="14">
        <v>122776</v>
      </c>
      <c r="I28" s="14">
        <v>22</v>
      </c>
      <c r="J28" s="14" t="s">
        <v>315</v>
      </c>
      <c r="K28" s="14" t="s">
        <v>511</v>
      </c>
      <c r="L28" s="14" t="s">
        <v>512</v>
      </c>
      <c r="M28" s="14" t="s">
        <v>9158</v>
      </c>
      <c r="N28" s="14" t="s">
        <v>9158</v>
      </c>
      <c r="O28" s="14" t="s">
        <v>9158</v>
      </c>
      <c r="P28" s="14" t="s">
        <v>9158</v>
      </c>
      <c r="Q28" s="14" t="s">
        <v>9158</v>
      </c>
    </row>
    <row r="29" spans="1:18">
      <c r="A29" s="14">
        <v>78453</v>
      </c>
      <c r="B29" s="14" t="s">
        <v>0</v>
      </c>
      <c r="C29" s="14" t="s">
        <v>165</v>
      </c>
      <c r="D29" s="20" t="s">
        <v>10393</v>
      </c>
      <c r="E29" s="15" t="str">
        <f>HYPERLINK("https://stat100.ameba.jp/tnk47/ratio20/illustrations/card/ill_78453_dobutsunoshimahashihime03.jpg?202011-5-RELEASE-marathon-501xxxx", "■")</f>
        <v>■</v>
      </c>
      <c r="F29" s="14" t="s">
        <v>2555</v>
      </c>
      <c r="G29" s="14">
        <v>152023</v>
      </c>
      <c r="H29" s="14">
        <v>85559</v>
      </c>
      <c r="I29" s="14">
        <v>27</v>
      </c>
      <c r="J29" s="14" t="s">
        <v>155</v>
      </c>
      <c r="K29" s="14" t="s">
        <v>2556</v>
      </c>
      <c r="L29" s="14" t="s">
        <v>2557</v>
      </c>
      <c r="M29" s="14" t="s">
        <v>9158</v>
      </c>
      <c r="N29" s="14" t="s">
        <v>9158</v>
      </c>
      <c r="O29" s="14" t="s">
        <v>9158</v>
      </c>
      <c r="P29" s="14" t="s">
        <v>9158</v>
      </c>
      <c r="Q29" s="14" t="s">
        <v>9158</v>
      </c>
    </row>
    <row r="30" spans="1:18">
      <c r="A30" s="14">
        <v>69133</v>
      </c>
      <c r="B30" s="14" t="s">
        <v>0</v>
      </c>
      <c r="C30" s="14" t="s">
        <v>185</v>
      </c>
      <c r="D30" s="19" t="s">
        <v>3152</v>
      </c>
      <c r="E30" s="15" t="str">
        <f>HYPERLINK("https://stat100.ameba.jp/tnk47/ratio20/illustrations/card/ill_69133_payokakamui03.jpg?202011-5-RELEASE-marathon-501xxxx", "■")</f>
        <v>■</v>
      </c>
      <c r="F30" s="14" t="s">
        <v>4416</v>
      </c>
      <c r="G30" s="14">
        <v>136005</v>
      </c>
      <c r="H30" s="14">
        <v>76512</v>
      </c>
      <c r="I30" s="14">
        <v>27</v>
      </c>
      <c r="J30" s="14" t="s">
        <v>169</v>
      </c>
      <c r="K30" s="14" t="s">
        <v>4417</v>
      </c>
      <c r="L30" s="14" t="s">
        <v>4418</v>
      </c>
      <c r="M30" s="14" t="s">
        <v>9158</v>
      </c>
      <c r="N30" s="14" t="s">
        <v>9158</v>
      </c>
      <c r="O30" s="14" t="s">
        <v>9158</v>
      </c>
      <c r="P30" s="14" t="s">
        <v>9158</v>
      </c>
      <c r="Q30" s="14" t="s">
        <v>9158</v>
      </c>
    </row>
    <row r="31" spans="1:18">
      <c r="A31" s="14">
        <v>88623</v>
      </c>
      <c r="B31" s="14" t="s">
        <v>0</v>
      </c>
      <c r="C31" s="14" t="s">
        <v>200</v>
      </c>
      <c r="D31" s="14" t="s">
        <v>12204</v>
      </c>
      <c r="E31" s="15" t="str">
        <f>HYPERLINK("https://stat100.ameba.jp/tnk47/ratio20/illustrations/card/ill_88623_yuenchirorakosuta03.jpg?202011-5-RELEASE-marathon-501xxxx", "■")</f>
        <v>■</v>
      </c>
      <c r="F31" s="14" t="s">
        <v>12205</v>
      </c>
      <c r="G31" s="14">
        <v>123002</v>
      </c>
      <c r="H31" s="14">
        <v>114362</v>
      </c>
      <c r="I31" s="14">
        <v>27</v>
      </c>
      <c r="J31" s="14" t="s">
        <v>26</v>
      </c>
      <c r="K31" s="14" t="s">
        <v>12207</v>
      </c>
      <c r="L31" s="14" t="s">
        <v>12208</v>
      </c>
      <c r="M31" s="14" t="s">
        <v>9158</v>
      </c>
      <c r="N31" s="14" t="s">
        <v>9158</v>
      </c>
      <c r="O31" s="14" t="s">
        <v>9158</v>
      </c>
      <c r="P31" s="14" t="s">
        <v>9158</v>
      </c>
      <c r="Q31" s="14" t="s">
        <v>9158</v>
      </c>
    </row>
    <row r="33" spans="1:17">
      <c r="A33" s="14" t="s">
        <v>15521</v>
      </c>
    </row>
    <row r="34" spans="1:17">
      <c r="A34" s="14">
        <v>104448</v>
      </c>
      <c r="B34" s="14" t="s">
        <v>15522</v>
      </c>
    </row>
    <row r="35" spans="1:17">
      <c r="A35" s="7" t="s">
        <v>8437</v>
      </c>
      <c r="B35" s="7" t="s">
        <v>52</v>
      </c>
      <c r="C35" s="7" t="s">
        <v>202</v>
      </c>
      <c r="D35" s="20" t="s">
        <v>10806</v>
      </c>
      <c r="E35" s="15" t="str">
        <f>HYPERLINK("https://stat100.ameba.jp/tnk47/ratio20/illustrations/card/ill_85523_0_seitankuronikurukusumotoine03.jpg?202011-5-RELEASE-marathon-501xxxx", "■")</f>
        <v>■</v>
      </c>
      <c r="F35" s="7" t="s">
        <v>8440</v>
      </c>
      <c r="G35" s="7">
        <v>327089</v>
      </c>
      <c r="H35" s="7">
        <v>295640</v>
      </c>
      <c r="I35" s="7">
        <v>27</v>
      </c>
      <c r="J35" s="14" t="s">
        <v>77</v>
      </c>
      <c r="K35" s="7" t="s">
        <v>8446</v>
      </c>
      <c r="L35" s="7" t="s">
        <v>8439</v>
      </c>
      <c r="M35" s="14" t="s">
        <v>9158</v>
      </c>
      <c r="N35" s="14" t="s">
        <v>9158</v>
      </c>
      <c r="O35" s="19" t="s">
        <v>10133</v>
      </c>
      <c r="P35" s="7" t="s">
        <v>8441</v>
      </c>
      <c r="Q35" s="7">
        <v>1</v>
      </c>
    </row>
    <row r="36" spans="1:17">
      <c r="A36" s="9" t="s">
        <v>9891</v>
      </c>
      <c r="B36" s="7" t="s">
        <v>52</v>
      </c>
      <c r="C36" s="9" t="s">
        <v>202</v>
      </c>
      <c r="D36" s="6" t="s">
        <v>9978</v>
      </c>
      <c r="E36" s="15" t="str">
        <f>HYPERLINK("https://stat100.ameba.jp/tnk47/ratio20/illustrations/card/ill_87643_0_oendanotohime03.jpg?202011-5-RELEASE-marathon-501xxxx", "■")</f>
        <v>■</v>
      </c>
      <c r="F36" s="14" t="s">
        <v>9928</v>
      </c>
      <c r="G36" s="9">
        <v>281156</v>
      </c>
      <c r="H36" s="9">
        <v>343608</v>
      </c>
      <c r="I36" s="7">
        <v>27</v>
      </c>
      <c r="J36" s="9" t="s">
        <v>155</v>
      </c>
      <c r="K36" s="14" t="s">
        <v>9932</v>
      </c>
      <c r="L36" s="14" t="s">
        <v>9933</v>
      </c>
      <c r="M36" s="14" t="s">
        <v>9158</v>
      </c>
      <c r="N36" s="14" t="s">
        <v>9158</v>
      </c>
      <c r="O36" s="6" t="s">
        <v>9989</v>
      </c>
      <c r="P36" s="7" t="s">
        <v>9944</v>
      </c>
      <c r="Q36" s="7">
        <v>1</v>
      </c>
    </row>
    <row r="37" spans="1:17">
      <c r="A37" s="14" t="s">
        <v>13086</v>
      </c>
      <c r="B37" s="7" t="s">
        <v>52</v>
      </c>
      <c r="C37" s="14" t="s">
        <v>202</v>
      </c>
      <c r="D37" s="18" t="s">
        <v>13084</v>
      </c>
      <c r="E37" s="15" t="str">
        <f>HYPERLINK("https://stat100.ameba.jp/tnk47/ratio20/illustrations/card/ill_89703_0_jumburaidohimiko03.jpg?202011-5-RELEASE-marathon-501xxxx", "■")</f>
        <v>■</v>
      </c>
      <c r="F37" s="14" t="s">
        <v>13085</v>
      </c>
      <c r="G37" s="14">
        <v>344095</v>
      </c>
      <c r="H37" s="14">
        <v>281517</v>
      </c>
      <c r="I37" s="7">
        <v>27</v>
      </c>
      <c r="J37" s="14" t="s">
        <v>10</v>
      </c>
      <c r="K37" s="14" t="s">
        <v>13087</v>
      </c>
      <c r="L37" s="14" t="s">
        <v>12016</v>
      </c>
      <c r="M37" s="14" t="s">
        <v>9158</v>
      </c>
      <c r="N37" s="14" t="s">
        <v>9158</v>
      </c>
      <c r="O37" s="6" t="s">
        <v>13088</v>
      </c>
      <c r="P37" s="7" t="s">
        <v>13089</v>
      </c>
      <c r="Q37" s="7">
        <v>1</v>
      </c>
    </row>
    <row r="38" spans="1:17">
      <c r="A38" s="7" t="s">
        <v>8839</v>
      </c>
      <c r="B38" s="7" t="s">
        <v>52</v>
      </c>
      <c r="C38" s="7" t="s">
        <v>202</v>
      </c>
      <c r="D38" s="20" t="s">
        <v>10880</v>
      </c>
      <c r="E38" s="15" t="str">
        <f>HYPERLINK("https://stat100.ameba.jp/tnk47/ratio20/illustrations/card/ill_86273_0_oshogatsuniijimayae03.jpg?202011-5-RELEASE-marathon-501xxxx", "■")</f>
        <v>■</v>
      </c>
      <c r="F38" s="7" t="s">
        <v>8838</v>
      </c>
      <c r="G38" s="7">
        <v>296321</v>
      </c>
      <c r="H38" s="7">
        <v>327865</v>
      </c>
      <c r="I38" s="7">
        <v>27</v>
      </c>
      <c r="J38" s="14" t="s">
        <v>173</v>
      </c>
      <c r="K38" s="7" t="s">
        <v>8837</v>
      </c>
      <c r="L38" s="7" t="s">
        <v>13211</v>
      </c>
      <c r="M38" s="14" t="s">
        <v>9158</v>
      </c>
      <c r="N38" s="14" t="s">
        <v>9158</v>
      </c>
      <c r="O38" s="19" t="s">
        <v>10134</v>
      </c>
      <c r="P38" s="7" t="s">
        <v>8870</v>
      </c>
      <c r="Q38" s="7">
        <v>1</v>
      </c>
    </row>
    <row r="39" spans="1:17">
      <c r="A39" s="14" t="s">
        <v>5891</v>
      </c>
      <c r="B39" s="14" t="s">
        <v>330</v>
      </c>
      <c r="C39" s="14" t="s">
        <v>202</v>
      </c>
      <c r="D39" s="20" t="s">
        <v>1371</v>
      </c>
      <c r="E39" s="15" t="str">
        <f>HYPERLINK("https://stat100.ameba.jp/tnk47/ratio20/illustrations/card/ill_77173_0_yukemuritomoegozen03.jpg?202011-5-RELEASE-marathon-501xxxx", "■")</f>
        <v>■</v>
      </c>
      <c r="F39" s="14" t="s">
        <v>1372</v>
      </c>
      <c r="G39" s="14">
        <v>270658</v>
      </c>
      <c r="H39" s="14">
        <v>299465</v>
      </c>
      <c r="I39" s="14">
        <v>27</v>
      </c>
      <c r="J39" s="14" t="s">
        <v>310</v>
      </c>
      <c r="K39" s="14" t="s">
        <v>1373</v>
      </c>
      <c r="L39" s="14" t="s">
        <v>1374</v>
      </c>
      <c r="M39" s="14" t="s">
        <v>9158</v>
      </c>
      <c r="N39" s="14" t="s">
        <v>9158</v>
      </c>
      <c r="O39" s="19" t="s">
        <v>4067</v>
      </c>
      <c r="P39" s="14" t="s">
        <v>3879</v>
      </c>
      <c r="Q39" s="14">
        <v>2</v>
      </c>
    </row>
    <row r="40" spans="1:17">
      <c r="A40" s="14">
        <v>66643</v>
      </c>
      <c r="B40" s="14" t="s">
        <v>334</v>
      </c>
      <c r="C40" s="14" t="s">
        <v>185</v>
      </c>
      <c r="D40" s="19" t="s">
        <v>10631</v>
      </c>
      <c r="E40" s="15" t="str">
        <f>HYPERLINK("https://stat100.ameba.jp/tnk47/ratio20/illustrations/card/ill_66643_oryorisonobehideo03.jpg?202011-5-RELEASE-marathon-501xxxx", "■")</f>
        <v>■</v>
      </c>
      <c r="F40" s="14" t="s">
        <v>4713</v>
      </c>
      <c r="G40" s="14">
        <v>105465</v>
      </c>
      <c r="H40" s="14">
        <v>98019</v>
      </c>
      <c r="I40" s="14">
        <v>27</v>
      </c>
      <c r="J40" s="14" t="s">
        <v>10</v>
      </c>
      <c r="K40" s="14" t="s">
        <v>6990</v>
      </c>
      <c r="L40" s="14" t="s">
        <v>1202</v>
      </c>
      <c r="M40" s="14" t="s">
        <v>9158</v>
      </c>
      <c r="N40" s="14" t="s">
        <v>9158</v>
      </c>
      <c r="O40" s="14" t="s">
        <v>9158</v>
      </c>
      <c r="P40" s="14" t="s">
        <v>9158</v>
      </c>
      <c r="Q40" s="14" t="s">
        <v>9158</v>
      </c>
    </row>
    <row r="41" spans="1:17">
      <c r="A41" s="7">
        <v>60093</v>
      </c>
      <c r="B41" s="14" t="s">
        <v>334</v>
      </c>
      <c r="C41" s="14" t="s">
        <v>200</v>
      </c>
      <c r="D41" s="20" t="s">
        <v>10878</v>
      </c>
      <c r="E41" s="15" t="str">
        <f>HYPERLINK("https://stat100.ameba.jp/tnk47/ratio20/illustrations/card/ill_60093_bukitakiyashahime03.jpg?202011-5-RELEASE-marathon-501xxxx", "■")</f>
        <v>■</v>
      </c>
      <c r="F41" s="14" t="s">
        <v>3955</v>
      </c>
      <c r="G41" s="14">
        <v>105465</v>
      </c>
      <c r="H41" s="14">
        <v>98019</v>
      </c>
      <c r="I41" s="14">
        <v>27</v>
      </c>
      <c r="J41" s="14" t="s">
        <v>77</v>
      </c>
      <c r="K41" s="14" t="s">
        <v>3956</v>
      </c>
      <c r="L41" s="14" t="s">
        <v>76</v>
      </c>
      <c r="M41" s="14" t="s">
        <v>9158</v>
      </c>
      <c r="N41" s="14" t="s">
        <v>9158</v>
      </c>
      <c r="O41" s="14" t="s">
        <v>9158</v>
      </c>
      <c r="P41" s="14" t="s">
        <v>9158</v>
      </c>
      <c r="Q41" s="14" t="s">
        <v>9158</v>
      </c>
    </row>
    <row r="42" spans="1:17">
      <c r="A42" s="7">
        <v>65773</v>
      </c>
      <c r="B42" s="14" t="s">
        <v>334</v>
      </c>
      <c r="C42" s="14" t="s">
        <v>191</v>
      </c>
      <c r="D42" s="20" t="s">
        <v>10843</v>
      </c>
      <c r="E42" s="15" t="str">
        <f>HYPERLINK("https://stat100.ameba.jp/tnk47/ratio20/illustrations/card/ill_65773_kitsunenoyomeiri03.jpg?202011-5-RELEASE-marathon-501xxxx", "■")</f>
        <v>■</v>
      </c>
      <c r="F42" s="14" t="s">
        <v>8545</v>
      </c>
      <c r="G42" s="14">
        <v>123220</v>
      </c>
      <c r="H42" s="14">
        <v>114362</v>
      </c>
      <c r="I42" s="9">
        <v>27</v>
      </c>
      <c r="J42" s="14" t="s">
        <v>155</v>
      </c>
      <c r="K42" s="14" t="s">
        <v>8547</v>
      </c>
      <c r="L42" s="14" t="s">
        <v>1416</v>
      </c>
      <c r="M42" s="14" t="s">
        <v>9158</v>
      </c>
      <c r="N42" s="14" t="s">
        <v>9158</v>
      </c>
      <c r="O42" s="14" t="s">
        <v>9158</v>
      </c>
      <c r="P42" s="14" t="s">
        <v>9158</v>
      </c>
      <c r="Q42" s="14" t="s">
        <v>9158</v>
      </c>
    </row>
    <row r="43" spans="1:17">
      <c r="A43" s="9">
        <v>65013</v>
      </c>
      <c r="B43" s="14" t="s">
        <v>334</v>
      </c>
      <c r="C43" s="14" t="s">
        <v>165</v>
      </c>
      <c r="D43" s="14" t="s">
        <v>2882</v>
      </c>
      <c r="E43" s="15" t="str">
        <f>HYPERLINK("https://stat100.ameba.jp/tnk47/ratio20/illustrations/card/ill_65013_showaretoropoppushibanosonome03.jpg?202011-5-RELEASE-marathon-501xxxx", "■")</f>
        <v>■</v>
      </c>
      <c r="F43" s="14" t="s">
        <v>2883</v>
      </c>
      <c r="G43" s="14">
        <v>105465</v>
      </c>
      <c r="H43" s="14">
        <v>98019</v>
      </c>
      <c r="I43" s="14">
        <v>27</v>
      </c>
      <c r="J43" s="14" t="s">
        <v>351</v>
      </c>
      <c r="K43" s="14" t="s">
        <v>2884</v>
      </c>
      <c r="L43" s="14" t="s">
        <v>1438</v>
      </c>
      <c r="M43" s="14" t="s">
        <v>9158</v>
      </c>
      <c r="N43" s="14" t="s">
        <v>9158</v>
      </c>
      <c r="O43" s="14" t="s">
        <v>9158</v>
      </c>
      <c r="P43" s="14" t="s">
        <v>9158</v>
      </c>
      <c r="Q43" s="14" t="s">
        <v>9158</v>
      </c>
    </row>
    <row r="44" spans="1:17">
      <c r="A44" s="14">
        <v>71473</v>
      </c>
      <c r="B44" s="14" t="s">
        <v>334</v>
      </c>
      <c r="C44" s="14" t="s">
        <v>1</v>
      </c>
      <c r="D44" s="19" t="s">
        <v>10508</v>
      </c>
      <c r="E44" s="15" t="str">
        <f>HYPERLINK("https://stat100.ameba.jp/tnk47/ratio20/illustrations/card/ill_71473_nyugakushikishirubaakusechan03.jpg?202011-5-RELEASE-marathon-501xxxx", "■")</f>
        <v>■</v>
      </c>
      <c r="F44" s="14" t="s">
        <v>4212</v>
      </c>
      <c r="G44" s="14">
        <v>123220</v>
      </c>
      <c r="H44" s="14">
        <v>114362</v>
      </c>
      <c r="I44" s="9">
        <v>27</v>
      </c>
      <c r="J44" s="14" t="s">
        <v>26</v>
      </c>
      <c r="K44" s="14" t="s">
        <v>4213</v>
      </c>
      <c r="L44" s="14" t="s">
        <v>2181</v>
      </c>
      <c r="M44" s="14" t="s">
        <v>9158</v>
      </c>
      <c r="N44" s="14" t="s">
        <v>9158</v>
      </c>
      <c r="O44" s="14" t="s">
        <v>9158</v>
      </c>
      <c r="P44" s="14" t="s">
        <v>9158</v>
      </c>
      <c r="Q44" s="14" t="s">
        <v>9158</v>
      </c>
    </row>
    <row r="45" spans="1:17">
      <c r="A45" s="7">
        <v>68993</v>
      </c>
      <c r="B45" s="14" t="s">
        <v>334</v>
      </c>
      <c r="C45" s="14" t="s">
        <v>206</v>
      </c>
      <c r="D45" s="20" t="s">
        <v>10844</v>
      </c>
      <c r="E45" s="15" t="str">
        <f>HYPERLINK("https://stat100.ameba.jp/tnk47/ratio20/illustrations/card/ill_68993_namahageyoriyorichan03.jpg?202011-5-RELEASE-marathon-501xxxx", "■")</f>
        <v>■</v>
      </c>
      <c r="F45" s="14" t="s">
        <v>2407</v>
      </c>
      <c r="G45" s="14">
        <v>127507</v>
      </c>
      <c r="H45" s="14">
        <v>118568</v>
      </c>
      <c r="I45" s="14">
        <v>27</v>
      </c>
      <c r="J45" s="14" t="s">
        <v>104</v>
      </c>
      <c r="K45" s="14" t="s">
        <v>2408</v>
      </c>
      <c r="L45" s="14" t="s">
        <v>2409</v>
      </c>
      <c r="M45" s="14" t="s">
        <v>9158</v>
      </c>
      <c r="N45" s="14" t="s">
        <v>9158</v>
      </c>
      <c r="O45" s="14" t="s">
        <v>9158</v>
      </c>
      <c r="P45" s="14" t="s">
        <v>9158</v>
      </c>
      <c r="Q45" s="14" t="s">
        <v>9158</v>
      </c>
    </row>
    <row r="47" spans="1:17">
      <c r="A47" s="14" t="s">
        <v>15523</v>
      </c>
    </row>
    <row r="48" spans="1:17">
      <c r="A48" s="14">
        <v>104459</v>
      </c>
      <c r="B48" s="14" t="s">
        <v>15524</v>
      </c>
    </row>
    <row r="49" spans="1:18">
      <c r="A49" s="14" t="s">
        <v>6030</v>
      </c>
      <c r="B49" s="14" t="s">
        <v>52</v>
      </c>
      <c r="C49" s="14" t="s">
        <v>202</v>
      </c>
      <c r="D49" s="19" t="s">
        <v>10453</v>
      </c>
      <c r="E49" s="15" t="str">
        <f>HYPERLINK("https://stat100.ameba.jp/tnk47/ratio20/illustrations/card/ill_80023_0_hinamatsurikyogokumaria03.jpg?202011-5-RELEASE-marathon-501xxxx", "■")</f>
        <v>■</v>
      </c>
      <c r="F49" s="14" t="s">
        <v>3709</v>
      </c>
      <c r="G49" s="14">
        <v>350382</v>
      </c>
      <c r="H49" s="14">
        <v>387714</v>
      </c>
      <c r="I49" s="14">
        <v>26</v>
      </c>
      <c r="J49" s="14" t="s">
        <v>26</v>
      </c>
      <c r="K49" s="14" t="s">
        <v>3710</v>
      </c>
      <c r="L49" s="14" t="s">
        <v>3711</v>
      </c>
      <c r="M49" s="14" t="s">
        <v>9158</v>
      </c>
      <c r="N49" s="14" t="s">
        <v>9158</v>
      </c>
      <c r="O49" s="19" t="s">
        <v>10116</v>
      </c>
      <c r="P49" s="14" t="s">
        <v>3713</v>
      </c>
      <c r="Q49" s="14">
        <v>1</v>
      </c>
    </row>
    <row r="50" spans="1:18">
      <c r="A50" s="14">
        <v>67103</v>
      </c>
      <c r="B50" s="14" t="s">
        <v>334</v>
      </c>
      <c r="C50" s="14" t="s">
        <v>154</v>
      </c>
      <c r="D50" s="20" t="s">
        <v>10253</v>
      </c>
      <c r="E50" s="15" t="str">
        <f>HYPERLINK("https://stat100.ameba.jp/tnk47/ratio20/illustrations/card/ill_67103_ankonabe03.jpg?202011-5-RELEASE-marathon-501xxxx", "■")</f>
        <v>■</v>
      </c>
      <c r="F50" s="14" t="s">
        <v>1283</v>
      </c>
      <c r="G50" s="14">
        <v>99532</v>
      </c>
      <c r="H50" s="14">
        <v>137430</v>
      </c>
      <c r="I50" s="14">
        <v>26</v>
      </c>
      <c r="J50" s="14" t="s">
        <v>216</v>
      </c>
      <c r="K50" s="14" t="s">
        <v>1284</v>
      </c>
      <c r="L50" s="14" t="s">
        <v>13153</v>
      </c>
      <c r="M50" s="14" t="s">
        <v>9158</v>
      </c>
      <c r="N50" s="14" t="s">
        <v>9158</v>
      </c>
      <c r="O50" s="19" t="s">
        <v>4074</v>
      </c>
      <c r="P50" s="14" t="s">
        <v>3462</v>
      </c>
      <c r="Q50" s="14">
        <v>1</v>
      </c>
    </row>
    <row r="51" spans="1:18">
      <c r="A51" s="14">
        <v>71333</v>
      </c>
      <c r="B51" s="14" t="s">
        <v>0</v>
      </c>
      <c r="C51" s="14" t="s">
        <v>41</v>
      </c>
      <c r="D51" s="19" t="s">
        <v>10256</v>
      </c>
      <c r="E51" s="15" t="str">
        <f>HYPERLINK("https://stat100.ameba.jp/tnk47/ratio20/illustrations/card/ill_71333_fujiwaranokamatari03.jpg?202011-5-RELEASE-marathon-501xxxx", "■")</f>
        <v>■</v>
      </c>
      <c r="F51" s="14" t="s">
        <v>58</v>
      </c>
      <c r="G51" s="14">
        <v>113630</v>
      </c>
      <c r="H51" s="14">
        <v>82318</v>
      </c>
      <c r="I51" s="14">
        <v>26</v>
      </c>
      <c r="J51" s="14" t="s">
        <v>10</v>
      </c>
      <c r="K51" s="14" t="s">
        <v>59</v>
      </c>
      <c r="L51" s="14" t="s">
        <v>60</v>
      </c>
      <c r="M51" s="14" t="s">
        <v>9158</v>
      </c>
      <c r="N51" s="14" t="s">
        <v>9158</v>
      </c>
      <c r="O51" s="19" t="s">
        <v>10098</v>
      </c>
      <c r="P51" s="14" t="s">
        <v>3491</v>
      </c>
      <c r="Q51" s="14">
        <v>1</v>
      </c>
    </row>
    <row r="52" spans="1:18">
      <c r="A52" s="14">
        <v>76793</v>
      </c>
      <c r="B52" s="14" t="s">
        <v>334</v>
      </c>
      <c r="C52" s="14" t="s">
        <v>268</v>
      </c>
      <c r="D52" s="20" t="s">
        <v>425</v>
      </c>
      <c r="E52" s="15" t="str">
        <f>HYPERLINK("https://stat100.ameba.jp/tnk47/ratio20/illustrations/card/ill_76793_monsutatamatebako03.jpg?202011-5-RELEASE-marathon-501xxxx", "■")</f>
        <v>■</v>
      </c>
      <c r="F52" s="14" t="s">
        <v>426</v>
      </c>
      <c r="G52" s="14">
        <v>118000</v>
      </c>
      <c r="H52" s="14">
        <v>85492</v>
      </c>
      <c r="I52" s="14">
        <v>26</v>
      </c>
      <c r="J52" s="14" t="s">
        <v>274</v>
      </c>
      <c r="K52" s="14" t="s">
        <v>427</v>
      </c>
      <c r="L52" s="14" t="s">
        <v>428</v>
      </c>
      <c r="M52" s="14" t="s">
        <v>9158</v>
      </c>
      <c r="N52" s="14" t="s">
        <v>9158</v>
      </c>
      <c r="O52" s="19" t="s">
        <v>3037</v>
      </c>
      <c r="P52" s="14" t="s">
        <v>13128</v>
      </c>
      <c r="Q52" s="14">
        <v>1</v>
      </c>
    </row>
    <row r="54" spans="1:18">
      <c r="A54" s="14" t="s">
        <v>15525</v>
      </c>
    </row>
    <row r="55" spans="1:18">
      <c r="A55" s="14">
        <v>104464</v>
      </c>
      <c r="B55" s="14" t="s">
        <v>15526</v>
      </c>
    </row>
    <row r="56" spans="1:18">
      <c r="A56" s="14">
        <v>92173</v>
      </c>
      <c r="B56" s="14" t="s">
        <v>0</v>
      </c>
      <c r="C56" s="14" t="s">
        <v>335</v>
      </c>
      <c r="D56" s="14" t="s">
        <v>14616</v>
      </c>
      <c r="E56" s="15" t="str">
        <f>HYPERLINK("https://stat100.ameba.jp/tnk47/ratio20/illustrations/card/ill_92173_atorasu03.jpg?202011-5-RELEASE-marathon-501xxxx", "■")</f>
        <v>■</v>
      </c>
      <c r="F56" s="14" t="s">
        <v>14617</v>
      </c>
      <c r="G56" s="14">
        <v>137846</v>
      </c>
      <c r="H56" s="14">
        <v>128160</v>
      </c>
      <c r="I56" s="14">
        <v>28</v>
      </c>
      <c r="J56" s="14" t="s">
        <v>77</v>
      </c>
      <c r="K56" s="14" t="s">
        <v>14619</v>
      </c>
      <c r="L56" s="14" t="s">
        <v>14618</v>
      </c>
      <c r="M56" s="14" t="s">
        <v>2138</v>
      </c>
      <c r="N56" s="14" t="s">
        <v>2139</v>
      </c>
      <c r="O56" s="14" t="s">
        <v>9158</v>
      </c>
      <c r="P56" s="14" t="s">
        <v>9158</v>
      </c>
      <c r="Q56" s="14" t="s">
        <v>9158</v>
      </c>
      <c r="R56" s="14" t="s">
        <v>14748</v>
      </c>
    </row>
    <row r="57" spans="1:18">
      <c r="A57" s="14">
        <v>92172</v>
      </c>
      <c r="B57" s="14" t="s">
        <v>0</v>
      </c>
      <c r="C57" s="14" t="s">
        <v>335</v>
      </c>
      <c r="D57" s="14" t="s">
        <v>14616</v>
      </c>
      <c r="E57" s="15" t="str">
        <f>HYPERLINK("https://stat100.ameba.jp/tnk47/ratio20/illustrations/card/ill_92172_atorasu02.jpg?202011-5-RELEASE-marathon-501xxxx", "■")</f>
        <v>■</v>
      </c>
      <c r="F57" s="14" t="s">
        <v>14617</v>
      </c>
      <c r="G57" s="14">
        <v>115230</v>
      </c>
      <c r="H57" s="14">
        <v>106148</v>
      </c>
      <c r="I57" s="14">
        <v>28</v>
      </c>
      <c r="J57" s="14" t="s">
        <v>77</v>
      </c>
      <c r="K57" s="14" t="s">
        <v>14619</v>
      </c>
      <c r="L57" s="14" t="s">
        <v>14618</v>
      </c>
      <c r="M57" s="14" t="s">
        <v>13270</v>
      </c>
      <c r="N57" s="14" t="s">
        <v>13271</v>
      </c>
      <c r="O57" s="14" t="s">
        <v>9158</v>
      </c>
      <c r="P57" s="14" t="s">
        <v>9158</v>
      </c>
      <c r="Q57" s="14" t="s">
        <v>9158</v>
      </c>
      <c r="R57" s="14" t="s">
        <v>14748</v>
      </c>
    </row>
    <row r="58" spans="1:18">
      <c r="A58" s="14">
        <v>92171</v>
      </c>
      <c r="B58" s="14" t="s">
        <v>0</v>
      </c>
      <c r="C58" s="14" t="s">
        <v>335</v>
      </c>
      <c r="D58" s="14" t="s">
        <v>14616</v>
      </c>
      <c r="E58" s="15" t="str">
        <f>HYPERLINK("https://stat100.ameba.jp/tnk47/ratio20/illustrations/card/ill_92171_atorasu01.jpg?202011-5-RELEASE-marathon-501xxxx", "■")</f>
        <v>■</v>
      </c>
      <c r="F58" s="14" t="s">
        <v>14617</v>
      </c>
      <c r="G58" s="14">
        <v>87976</v>
      </c>
      <c r="H58" s="14">
        <v>81900</v>
      </c>
      <c r="I58" s="14">
        <v>28</v>
      </c>
      <c r="J58" s="14" t="s">
        <v>77</v>
      </c>
      <c r="K58" s="14" t="s">
        <v>14619</v>
      </c>
      <c r="L58" s="14" t="s">
        <v>14618</v>
      </c>
      <c r="M58" s="14" t="s">
        <v>13270</v>
      </c>
      <c r="N58" s="14" t="s">
        <v>13271</v>
      </c>
      <c r="O58" s="14" t="s">
        <v>9158</v>
      </c>
      <c r="P58" s="14" t="s">
        <v>9158</v>
      </c>
      <c r="Q58" s="14" t="s">
        <v>9158</v>
      </c>
      <c r="R58" s="14" t="s">
        <v>14748</v>
      </c>
    </row>
    <row r="59" spans="1:18">
      <c r="A59" s="14">
        <v>92183</v>
      </c>
      <c r="B59" s="14" t="s">
        <v>0</v>
      </c>
      <c r="C59" s="14" t="s">
        <v>200</v>
      </c>
      <c r="D59" s="14" t="s">
        <v>14624</v>
      </c>
      <c r="E59" s="15" t="str">
        <f>HYPERLINK("https://stat100.ameba.jp/tnk47/ratio20/illustrations/card/ill_92183_shokorafue03.jpg?202011-5-RELEASE-marathon-501xxxx", "■")</f>
        <v>■</v>
      </c>
      <c r="F59" s="14" t="s">
        <v>14623</v>
      </c>
      <c r="G59" s="14">
        <v>137846</v>
      </c>
      <c r="H59" s="14">
        <v>128160</v>
      </c>
      <c r="I59" s="14">
        <v>28</v>
      </c>
      <c r="J59" s="14" t="s">
        <v>104</v>
      </c>
      <c r="K59" s="14" t="s">
        <v>14621</v>
      </c>
      <c r="L59" s="14" t="s">
        <v>14620</v>
      </c>
      <c r="M59" s="14" t="s">
        <v>2138</v>
      </c>
      <c r="N59" s="14" t="s">
        <v>2139</v>
      </c>
      <c r="O59" s="14" t="s">
        <v>9158</v>
      </c>
      <c r="P59" s="14" t="s">
        <v>9158</v>
      </c>
      <c r="Q59" s="14" t="s">
        <v>9158</v>
      </c>
      <c r="R59" s="14" t="s">
        <v>14748</v>
      </c>
    </row>
    <row r="60" spans="1:18">
      <c r="A60" s="14">
        <v>92193</v>
      </c>
      <c r="B60" s="14" t="s">
        <v>0</v>
      </c>
      <c r="C60" s="14" t="s">
        <v>307</v>
      </c>
      <c r="D60" s="14" t="s">
        <v>14629</v>
      </c>
      <c r="E60" s="15" t="str">
        <f>HYPERLINK("https://stat100.ameba.jp/tnk47/ratio20/illustrations/card/ill_92193_kerubu03.jpg?202011-5-RELEASE-marathon-501xxxx", "■")</f>
        <v>■</v>
      </c>
      <c r="F60" s="14" t="s">
        <v>14628</v>
      </c>
      <c r="G60" s="14">
        <v>137846</v>
      </c>
      <c r="H60" s="14">
        <v>128160</v>
      </c>
      <c r="I60" s="14">
        <v>28</v>
      </c>
      <c r="J60" s="14" t="s">
        <v>44</v>
      </c>
      <c r="K60" s="14" t="s">
        <v>14626</v>
      </c>
      <c r="L60" s="14" t="s">
        <v>14625</v>
      </c>
      <c r="M60" s="14" t="s">
        <v>2138</v>
      </c>
      <c r="N60" s="14" t="s">
        <v>2139</v>
      </c>
      <c r="O60" s="14" t="s">
        <v>9158</v>
      </c>
      <c r="P60" s="14" t="s">
        <v>9158</v>
      </c>
      <c r="Q60" s="14" t="s">
        <v>9158</v>
      </c>
      <c r="R60" s="14" t="s">
        <v>14748</v>
      </c>
    </row>
    <row r="61" spans="1:18">
      <c r="A61" s="14">
        <v>92203</v>
      </c>
      <c r="B61" s="14" t="s">
        <v>0</v>
      </c>
      <c r="C61" s="14" t="s">
        <v>165</v>
      </c>
      <c r="D61" s="14" t="s">
        <v>14634</v>
      </c>
      <c r="E61" s="15" t="str">
        <f>HYPERLINK("https://stat100.ameba.jp/tnk47/ratio20/illustrations/card/ill_92203_tarazetotoreda03.jpg?202011-5-RELEASE-marathon-501xxxx", "■")</f>
        <v>■</v>
      </c>
      <c r="F61" s="14" t="s">
        <v>14633</v>
      </c>
      <c r="G61" s="14">
        <v>128160</v>
      </c>
      <c r="H61" s="14">
        <v>137846</v>
      </c>
      <c r="I61" s="14">
        <v>28</v>
      </c>
      <c r="J61" s="14" t="s">
        <v>73</v>
      </c>
      <c r="K61" s="14" t="s">
        <v>14631</v>
      </c>
      <c r="L61" s="14" t="s">
        <v>14630</v>
      </c>
      <c r="M61" s="14" t="s">
        <v>2138</v>
      </c>
      <c r="N61" s="14" t="s">
        <v>2139</v>
      </c>
      <c r="O61" s="14" t="s">
        <v>9158</v>
      </c>
      <c r="P61" s="14" t="s">
        <v>9158</v>
      </c>
      <c r="Q61" s="14" t="s">
        <v>9158</v>
      </c>
      <c r="R61" s="14" t="s">
        <v>14748</v>
      </c>
    </row>
    <row r="62" spans="1:18">
      <c r="A62" s="14">
        <v>92213</v>
      </c>
      <c r="B62" s="14" t="s">
        <v>0</v>
      </c>
      <c r="C62" s="9" t="s">
        <v>205</v>
      </c>
      <c r="D62" s="14" t="s">
        <v>14639</v>
      </c>
      <c r="E62" s="15" t="str">
        <f>HYPERLINK("https://stat100.ameba.jp/tnk47/ratio20/illustrations/card/ill_92213_pushikopompoi03.jpg?202011-5-RELEASE-marathon-501xxxx", "■")</f>
        <v>■</v>
      </c>
      <c r="F62" s="14" t="s">
        <v>14638</v>
      </c>
      <c r="G62" s="14">
        <v>128160</v>
      </c>
      <c r="H62" s="14">
        <v>137846</v>
      </c>
      <c r="I62" s="14">
        <v>28</v>
      </c>
      <c r="J62" s="14" t="s">
        <v>38</v>
      </c>
      <c r="K62" s="14" t="s">
        <v>14636</v>
      </c>
      <c r="L62" s="14" t="s">
        <v>14635</v>
      </c>
      <c r="M62" s="14" t="s">
        <v>2138</v>
      </c>
      <c r="N62" s="14" t="s">
        <v>2139</v>
      </c>
      <c r="O62" s="14" t="s">
        <v>9158</v>
      </c>
      <c r="P62" s="14" t="s">
        <v>9158</v>
      </c>
      <c r="Q62" s="14" t="s">
        <v>9158</v>
      </c>
      <c r="R62" s="14" t="s">
        <v>14748</v>
      </c>
    </row>
    <row r="63" spans="1:18">
      <c r="A63" s="14">
        <v>92223</v>
      </c>
      <c r="B63" s="14" t="s">
        <v>0</v>
      </c>
      <c r="C63" s="14" t="s">
        <v>206</v>
      </c>
      <c r="D63" s="14" t="s">
        <v>14644</v>
      </c>
      <c r="E63" s="15" t="str">
        <f>HYPERLINK("https://stat100.ameba.jp/tnk47/ratio20/illustrations/card/ill_92223_sanfuraua03.jpg?202011-5-RELEASE-marathon-501xxxx", "■")</f>
        <v>■</v>
      </c>
      <c r="F63" s="14" t="s">
        <v>14643</v>
      </c>
      <c r="G63" s="14">
        <v>128160</v>
      </c>
      <c r="H63" s="14">
        <v>137846</v>
      </c>
      <c r="I63" s="14">
        <v>28</v>
      </c>
      <c r="J63" s="14" t="s">
        <v>26</v>
      </c>
      <c r="K63" s="14" t="s">
        <v>14641</v>
      </c>
      <c r="L63" s="14" t="s">
        <v>14640</v>
      </c>
      <c r="M63" s="14" t="s">
        <v>2138</v>
      </c>
      <c r="N63" s="14" t="s">
        <v>2139</v>
      </c>
      <c r="O63" s="14" t="s">
        <v>9158</v>
      </c>
      <c r="P63" s="14" t="s">
        <v>9158</v>
      </c>
      <c r="Q63" s="14" t="s">
        <v>9158</v>
      </c>
      <c r="R63" s="14" t="s">
        <v>14748</v>
      </c>
    </row>
    <row r="65" spans="1:17">
      <c r="A65" s="14" t="s">
        <v>15574</v>
      </c>
    </row>
    <row r="66" spans="1:17">
      <c r="A66" s="14">
        <v>235000</v>
      </c>
      <c r="B66" s="14" t="s">
        <v>7845</v>
      </c>
    </row>
    <row r="67" spans="1:17">
      <c r="A67" s="14">
        <v>235006</v>
      </c>
      <c r="B67" s="14" t="s">
        <v>15575</v>
      </c>
    </row>
    <row r="68" spans="1:17">
      <c r="A68" s="14" t="s">
        <v>15440</v>
      </c>
      <c r="B68" s="7" t="s">
        <v>52</v>
      </c>
      <c r="C68" s="14" t="s">
        <v>202</v>
      </c>
      <c r="D68" s="18" t="s">
        <v>15441</v>
      </c>
      <c r="E68" s="15" t="str">
        <f>HYPERLINK("https://stat100.ameba.jp/tnk47/ratio20/illustrations/card/ill_93683_0_yukemurionsenshirowainchan03.jpg?202011-5-RELEASE-marathon-501xxxx", "■")</f>
        <v>■</v>
      </c>
      <c r="F68" s="14" t="s">
        <v>15444</v>
      </c>
      <c r="G68" s="14">
        <v>277564</v>
      </c>
      <c r="H68" s="14">
        <v>339272</v>
      </c>
      <c r="I68" s="7">
        <v>28</v>
      </c>
      <c r="J68" s="14" t="s">
        <v>104</v>
      </c>
      <c r="K68" s="14" t="s">
        <v>15443</v>
      </c>
      <c r="L68" s="14" t="s">
        <v>15442</v>
      </c>
      <c r="M68" s="14" t="s">
        <v>9158</v>
      </c>
      <c r="N68" s="14" t="s">
        <v>9158</v>
      </c>
      <c r="O68" s="6" t="s">
        <v>15445</v>
      </c>
      <c r="P68" s="7" t="s">
        <v>15446</v>
      </c>
      <c r="Q68" s="7">
        <v>1</v>
      </c>
    </row>
    <row r="69" spans="1:17">
      <c r="A69" s="14">
        <v>93743</v>
      </c>
      <c r="B69" s="14" t="s">
        <v>0</v>
      </c>
      <c r="C69" s="14" t="s">
        <v>15510</v>
      </c>
      <c r="D69" s="14" t="s">
        <v>15531</v>
      </c>
      <c r="E69" s="15" t="str">
        <f>HYPERLINK("https://stat100.ameba.jp/tnk47/ratio20/illustrations/card/ill_93743_bampaiahantakamiyoame03.jpg?202011-5-RELEASE-marathon-501xxxx", "■")</f>
        <v>■</v>
      </c>
      <c r="F69" s="14" t="s">
        <v>15530</v>
      </c>
      <c r="G69" s="14">
        <v>154768</v>
      </c>
      <c r="H69" s="14">
        <v>166452</v>
      </c>
      <c r="I69" s="7">
        <v>28</v>
      </c>
      <c r="J69" s="14" t="s">
        <v>15529</v>
      </c>
      <c r="K69" s="14" t="s">
        <v>15528</v>
      </c>
      <c r="L69" s="14" t="s">
        <v>15527</v>
      </c>
      <c r="M69" s="14" t="s">
        <v>9158</v>
      </c>
      <c r="N69" s="14" t="s">
        <v>9158</v>
      </c>
      <c r="O69" s="14" t="s">
        <v>9158</v>
      </c>
      <c r="P69" s="14" t="s">
        <v>9158</v>
      </c>
      <c r="Q69" s="14" t="s">
        <v>15532</v>
      </c>
    </row>
    <row r="70" spans="1:17">
      <c r="A70" s="14">
        <v>93753</v>
      </c>
      <c r="B70" s="14" t="s">
        <v>15</v>
      </c>
      <c r="C70" s="14" t="s">
        <v>15486</v>
      </c>
      <c r="D70" s="14" t="s">
        <v>15536</v>
      </c>
      <c r="E70" s="15" t="str">
        <f>HYPERLINK("https://stat100.ameba.jp/tnk47/ratio20/illustrations/card/ill_93753_nasunoyoichi03.jpg?202011-5-RELEASE-marathon-501xxxx", "■")</f>
        <v>■</v>
      </c>
      <c r="F70" s="14" t="s">
        <v>15535</v>
      </c>
      <c r="G70" s="14">
        <v>82992</v>
      </c>
      <c r="H70" s="14">
        <v>75274</v>
      </c>
      <c r="I70" s="7">
        <v>28</v>
      </c>
      <c r="J70" s="14" t="s">
        <v>15500</v>
      </c>
      <c r="K70" s="14" t="s">
        <v>15534</v>
      </c>
      <c r="L70" s="14" t="s">
        <v>15533</v>
      </c>
      <c r="M70" s="14" t="s">
        <v>9158</v>
      </c>
      <c r="N70" s="14" t="s">
        <v>9158</v>
      </c>
      <c r="O70" s="14" t="s">
        <v>9158</v>
      </c>
      <c r="P70" s="14" t="s">
        <v>9158</v>
      </c>
      <c r="Q70" s="14" t="s">
        <v>9158</v>
      </c>
    </row>
    <row r="71" spans="1:17">
      <c r="A71" s="14">
        <v>93763</v>
      </c>
      <c r="B71" s="14" t="s">
        <v>15503</v>
      </c>
      <c r="C71" s="14" t="s">
        <v>15541</v>
      </c>
      <c r="D71" s="14" t="s">
        <v>15540</v>
      </c>
      <c r="E71" s="15" t="str">
        <f>HYPERLINK("https://stat100.ameba.jp/tnk47/ratio20/illustrations/card/ill_93763_vanhelsing03.jpg?202011-5-RELEASE-marathon-501xxxx", "■")</f>
        <v>■</v>
      </c>
      <c r="F71" s="14" t="s">
        <v>15539</v>
      </c>
      <c r="G71" s="14">
        <v>48406</v>
      </c>
      <c r="H71" s="14">
        <v>58216</v>
      </c>
      <c r="I71" s="7">
        <v>28</v>
      </c>
      <c r="J71" s="14" t="s">
        <v>15482</v>
      </c>
      <c r="K71" s="14" t="s">
        <v>15538</v>
      </c>
      <c r="L71" s="14" t="s">
        <v>15537</v>
      </c>
      <c r="M71" s="14" t="s">
        <v>9158</v>
      </c>
      <c r="N71" s="14" t="s">
        <v>9158</v>
      </c>
      <c r="O71" s="14" t="s">
        <v>9158</v>
      </c>
      <c r="P71" s="14" t="s">
        <v>9158</v>
      </c>
      <c r="Q71" s="14" t="s">
        <v>9158</v>
      </c>
    </row>
    <row r="72" spans="1:17">
      <c r="A72" s="14">
        <v>93773</v>
      </c>
      <c r="B72" s="14" t="s">
        <v>15503</v>
      </c>
      <c r="C72" s="14" t="s">
        <v>15504</v>
      </c>
      <c r="D72" s="14" t="s">
        <v>15545</v>
      </c>
      <c r="E72" s="15" t="str">
        <f>HYPERLINK("https://stat100.ameba.jp/tnk47/ratio20/illustrations/card/ill_93773_matsunagadanjo03.jpg?202011-5-RELEASE-marathon-501xxxx", "■")</f>
        <v>■</v>
      </c>
      <c r="F72" s="14" t="s">
        <v>15544</v>
      </c>
      <c r="G72" s="14">
        <v>58216</v>
      </c>
      <c r="H72" s="14">
        <v>48406</v>
      </c>
      <c r="I72" s="7">
        <v>28</v>
      </c>
      <c r="J72" s="14" t="s">
        <v>15500</v>
      </c>
      <c r="K72" s="14" t="s">
        <v>15543</v>
      </c>
      <c r="L72" s="14" t="s">
        <v>15542</v>
      </c>
      <c r="M72" s="14" t="s">
        <v>9158</v>
      </c>
      <c r="N72" s="14" t="s">
        <v>9158</v>
      </c>
      <c r="O72" s="14" t="s">
        <v>9158</v>
      </c>
      <c r="P72" s="14" t="s">
        <v>9158</v>
      </c>
      <c r="Q72" s="14" t="s">
        <v>9158</v>
      </c>
    </row>
    <row r="74" spans="1:17">
      <c r="A74" s="14" t="s">
        <v>15546</v>
      </c>
    </row>
    <row r="75" spans="1:17">
      <c r="A75" s="14">
        <v>104484</v>
      </c>
      <c r="B75" s="14" t="s">
        <v>15547</v>
      </c>
    </row>
    <row r="76" spans="1:17">
      <c r="A76" s="14" t="s">
        <v>5724</v>
      </c>
      <c r="B76" s="14" t="s">
        <v>330</v>
      </c>
      <c r="C76" s="14" t="s">
        <v>335</v>
      </c>
      <c r="D76" s="20" t="s">
        <v>698</v>
      </c>
      <c r="E76" s="15" t="str">
        <f>HYPERLINK("https://stat100.ameba.jp/tnk47/ratio20/illustrations/card/ill_66433_0_haroinfujishirogozen03.jpg?202011-5-RELEASE-marathon-501xxxx", "■")</f>
        <v>■</v>
      </c>
      <c r="F76" s="14" t="s">
        <v>699</v>
      </c>
      <c r="G76" s="14">
        <v>159134</v>
      </c>
      <c r="H76" s="14">
        <v>171168</v>
      </c>
      <c r="I76" s="14">
        <v>26</v>
      </c>
      <c r="J76" s="14" t="s">
        <v>315</v>
      </c>
      <c r="K76" s="14" t="s">
        <v>700</v>
      </c>
      <c r="L76" s="14" t="s">
        <v>701</v>
      </c>
      <c r="M76" s="14" t="s">
        <v>9158</v>
      </c>
      <c r="N76" s="14" t="s">
        <v>9158</v>
      </c>
      <c r="O76" s="19" t="s">
        <v>10095</v>
      </c>
      <c r="P76" s="14" t="s">
        <v>3345</v>
      </c>
      <c r="Q76" s="14">
        <v>1</v>
      </c>
    </row>
    <row r="77" spans="1:17">
      <c r="A77" s="14">
        <v>89653</v>
      </c>
      <c r="B77" s="14" t="s">
        <v>0</v>
      </c>
      <c r="C77" s="14" t="s">
        <v>101</v>
      </c>
      <c r="D77" s="18" t="s">
        <v>13090</v>
      </c>
      <c r="E77" s="15" t="str">
        <f>HYPERLINK("https://stat100.ameba.jp/tnk47/ratio20/illustrations/card/ill_89653_jumburaidochakkariozonichan03.jpg?202011-5-RELEASE-marathon-501xxxx", "■")</f>
        <v>■</v>
      </c>
      <c r="F77" s="14" t="s">
        <v>13091</v>
      </c>
      <c r="G77" s="14">
        <v>122786</v>
      </c>
      <c r="H77" s="14">
        <v>114176</v>
      </c>
      <c r="I77" s="14">
        <v>26</v>
      </c>
      <c r="J77" s="14" t="s">
        <v>104</v>
      </c>
      <c r="K77" s="14" t="s">
        <v>13092</v>
      </c>
      <c r="L77" s="14" t="s">
        <v>13093</v>
      </c>
      <c r="M77" s="14" t="s">
        <v>9158</v>
      </c>
      <c r="N77" s="14" t="s">
        <v>9158</v>
      </c>
      <c r="O77" s="6" t="s">
        <v>4583</v>
      </c>
      <c r="P77" s="7" t="s">
        <v>4584</v>
      </c>
      <c r="Q77" s="7">
        <v>1</v>
      </c>
    </row>
    <row r="78" spans="1:17">
      <c r="A78" s="9">
        <v>72923</v>
      </c>
      <c r="B78" s="14" t="s">
        <v>0</v>
      </c>
      <c r="C78" s="14" t="s">
        <v>206</v>
      </c>
      <c r="D78" s="14" t="s">
        <v>1836</v>
      </c>
      <c r="E78" s="15" t="str">
        <f>HYPERLINK("https://stat100.ameba.jp/tnk47/ratio20/illustrations/card/ill_72923_amenohanayomemyorinni03.jpg?202011-5-RELEASE-marathon-501xxxx", "■")</f>
        <v>■</v>
      </c>
      <c r="F78" s="14" t="s">
        <v>1837</v>
      </c>
      <c r="G78" s="14">
        <v>143714</v>
      </c>
      <c r="H78" s="14">
        <v>154562</v>
      </c>
      <c r="I78" s="14">
        <v>26</v>
      </c>
      <c r="J78" s="14" t="s">
        <v>194</v>
      </c>
      <c r="K78" s="14" t="s">
        <v>1838</v>
      </c>
      <c r="L78" s="14" t="s">
        <v>13160</v>
      </c>
      <c r="M78" s="14" t="s">
        <v>9158</v>
      </c>
      <c r="N78" s="14" t="s">
        <v>9158</v>
      </c>
      <c r="O78" s="9" t="s">
        <v>2752</v>
      </c>
      <c r="P78" s="14" t="s">
        <v>13123</v>
      </c>
      <c r="Q78" s="14">
        <v>1</v>
      </c>
    </row>
    <row r="79" spans="1:17">
      <c r="A79" s="14">
        <v>72193</v>
      </c>
      <c r="B79" s="14" t="s">
        <v>334</v>
      </c>
      <c r="C79" s="14" t="s">
        <v>165</v>
      </c>
      <c r="D79" s="19" t="s">
        <v>3112</v>
      </c>
      <c r="E79" s="15" t="str">
        <f>HYPERLINK("https://stat100.ameba.jp/tnk47/ratio20/illustrations/card/ill_72193_koinoborikomyokogo03.jpg?202011-5-RELEASE-marathon-501xxxx", "■")</f>
        <v>■</v>
      </c>
      <c r="F79" s="14" t="s">
        <v>2539</v>
      </c>
      <c r="G79" s="14">
        <v>101558</v>
      </c>
      <c r="H79" s="14">
        <v>94390</v>
      </c>
      <c r="I79" s="14">
        <v>26</v>
      </c>
      <c r="J79" s="14" t="s">
        <v>10</v>
      </c>
      <c r="K79" s="14" t="s">
        <v>2540</v>
      </c>
      <c r="L79" s="14" t="s">
        <v>60</v>
      </c>
      <c r="M79" s="14" t="s">
        <v>9158</v>
      </c>
      <c r="N79" s="14" t="s">
        <v>9158</v>
      </c>
      <c r="O79" s="19" t="s">
        <v>10090</v>
      </c>
      <c r="P79" s="14" t="s">
        <v>3460</v>
      </c>
      <c r="Q79" s="14">
        <v>1</v>
      </c>
    </row>
    <row r="81" spans="1:17">
      <c r="A81" s="14" t="s">
        <v>15549</v>
      </c>
    </row>
    <row r="82" spans="1:17">
      <c r="A82" s="14">
        <v>104488</v>
      </c>
      <c r="B82" s="14" t="s">
        <v>15550</v>
      </c>
    </row>
    <row r="83" spans="1:17">
      <c r="A83" s="14" t="s">
        <v>5615</v>
      </c>
      <c r="B83" s="14" t="s">
        <v>330</v>
      </c>
      <c r="C83" s="14" t="s">
        <v>206</v>
      </c>
      <c r="D83" s="20" t="s">
        <v>2814</v>
      </c>
      <c r="E83" s="15" t="str">
        <f>HYPERLINK("https://stat100.ameba.jp/tnk47/ratio20/illustrations/card/ill_57733_0_shogatsunisenjunanaamakusashiro03.jpg?202011-5-RELEASE-marathon-501xxxx", "■")</f>
        <v>■</v>
      </c>
      <c r="F83" s="14" t="s">
        <v>2815</v>
      </c>
      <c r="G83" s="14">
        <v>133938</v>
      </c>
      <c r="H83" s="14">
        <v>150776</v>
      </c>
      <c r="I83" s="14">
        <v>24</v>
      </c>
      <c r="J83" s="14" t="s">
        <v>351</v>
      </c>
      <c r="K83" s="14" t="s">
        <v>2816</v>
      </c>
      <c r="L83" s="14" t="s">
        <v>2817</v>
      </c>
      <c r="M83" s="14" t="s">
        <v>9158</v>
      </c>
      <c r="N83" s="14" t="s">
        <v>9158</v>
      </c>
      <c r="O83" s="19" t="s">
        <v>10077</v>
      </c>
      <c r="P83" s="14" t="s">
        <v>3062</v>
      </c>
      <c r="Q83" s="14">
        <v>1</v>
      </c>
    </row>
    <row r="84" spans="1:17">
      <c r="A84" s="14" t="s">
        <v>5848</v>
      </c>
      <c r="B84" s="14" t="s">
        <v>52</v>
      </c>
      <c r="C84" s="14" t="s">
        <v>200</v>
      </c>
      <c r="D84" s="20" t="s">
        <v>3160</v>
      </c>
      <c r="E84" s="15" t="str">
        <f>HYPERLINK("https://stat100.ameba.jp/tnk47/ratio20/illustrations/card/ill_72963_0_amenohanayomehiguchiichiyo03.jpg?202011-5-RELEASE-marathon-501xxxx", "■")</f>
        <v>■</v>
      </c>
      <c r="F84" s="14" t="s">
        <v>1139</v>
      </c>
      <c r="G84" s="14">
        <v>160804</v>
      </c>
      <c r="H84" s="14">
        <v>149520</v>
      </c>
      <c r="I84" s="14">
        <v>24</v>
      </c>
      <c r="J84" s="14" t="s">
        <v>10</v>
      </c>
      <c r="K84" s="14" t="s">
        <v>1140</v>
      </c>
      <c r="L84" s="14" t="s">
        <v>1141</v>
      </c>
      <c r="M84" s="14" t="s">
        <v>9158</v>
      </c>
      <c r="N84" s="14" t="s">
        <v>9158</v>
      </c>
      <c r="O84" s="19" t="s">
        <v>3162</v>
      </c>
      <c r="P84" s="14" t="s">
        <v>3410</v>
      </c>
      <c r="Q84" s="14">
        <v>1</v>
      </c>
    </row>
    <row r="85" spans="1:17">
      <c r="A85" s="14" t="s">
        <v>5830</v>
      </c>
      <c r="B85" s="14" t="s">
        <v>330</v>
      </c>
      <c r="C85" s="14" t="s">
        <v>191</v>
      </c>
      <c r="D85" s="19" t="s">
        <v>793</v>
      </c>
      <c r="E85" s="15" t="str">
        <f>HYPERLINK("https://stat100.ameba.jp/tnk47/ratio20/illustrations/card/ill_39933_0_reihiiinaotora03.jpg?202011-5-RELEASE-marathon-501xxxx", "■")</f>
        <v>■</v>
      </c>
      <c r="F85" s="14" t="s">
        <v>794</v>
      </c>
      <c r="G85" s="14">
        <v>131538</v>
      </c>
      <c r="H85" s="14">
        <v>140448</v>
      </c>
      <c r="I85" s="14">
        <v>24</v>
      </c>
      <c r="J85" s="14" t="s">
        <v>315</v>
      </c>
      <c r="K85" s="14" t="s">
        <v>795</v>
      </c>
      <c r="L85" s="14" t="s">
        <v>796</v>
      </c>
      <c r="M85" s="14" t="s">
        <v>9158</v>
      </c>
      <c r="N85" s="14" t="s">
        <v>9158</v>
      </c>
      <c r="O85" s="14" t="s">
        <v>9158</v>
      </c>
      <c r="P85" s="14" t="s">
        <v>9158</v>
      </c>
      <c r="Q85" s="14" t="s">
        <v>9158</v>
      </c>
    </row>
    <row r="86" spans="1:17">
      <c r="A86" s="14">
        <v>93743</v>
      </c>
      <c r="B86" s="14" t="s">
        <v>0</v>
      </c>
      <c r="C86" s="14" t="s">
        <v>15510</v>
      </c>
      <c r="D86" s="14" t="s">
        <v>15531</v>
      </c>
      <c r="E86" s="15" t="str">
        <f>HYPERLINK("https://stat100.ameba.jp/tnk47/ratio20/illustrations/card/ill_93743_bampaiahantakamiyoame03.jpg?202011-5-RELEASE-marathon-501xxxx", "■")</f>
        <v>■</v>
      </c>
      <c r="F86" s="14" t="s">
        <v>15530</v>
      </c>
      <c r="G86" s="14">
        <v>143714</v>
      </c>
      <c r="H86" s="14">
        <v>154562</v>
      </c>
      <c r="I86" s="14">
        <v>26</v>
      </c>
      <c r="J86" s="14" t="s">
        <v>15529</v>
      </c>
      <c r="K86" s="14" t="s">
        <v>15528</v>
      </c>
      <c r="L86" s="14" t="s">
        <v>15527</v>
      </c>
      <c r="M86" s="14" t="s">
        <v>9158</v>
      </c>
      <c r="N86" s="14" t="s">
        <v>9158</v>
      </c>
      <c r="O86" s="14" t="s">
        <v>9158</v>
      </c>
      <c r="P86" s="14" t="s">
        <v>9158</v>
      </c>
      <c r="Q86" s="14" t="s">
        <v>15532</v>
      </c>
    </row>
    <row r="87" spans="1:17">
      <c r="A87" s="14">
        <v>93753</v>
      </c>
      <c r="B87" s="14" t="s">
        <v>15</v>
      </c>
      <c r="C87" s="14" t="s">
        <v>15486</v>
      </c>
      <c r="D87" s="14" t="s">
        <v>15536</v>
      </c>
      <c r="E87" s="15" t="str">
        <f>HYPERLINK("https://stat100.ameba.jp/tnk47/ratio20/illustrations/card/ill_93753_nasunoyoichi03.jpg?202011-5-RELEASE-marathon-501xxxx", "■")</f>
        <v>■</v>
      </c>
      <c r="F87" s="14" t="s">
        <v>15535</v>
      </c>
      <c r="G87" s="14">
        <v>77064</v>
      </c>
      <c r="H87" s="14">
        <v>69898</v>
      </c>
      <c r="I87" s="14">
        <v>26</v>
      </c>
      <c r="J87" s="14" t="s">
        <v>15500</v>
      </c>
      <c r="K87" s="14" t="s">
        <v>15534</v>
      </c>
      <c r="L87" s="14" t="s">
        <v>15533</v>
      </c>
      <c r="M87" s="14" t="s">
        <v>9158</v>
      </c>
      <c r="N87" s="14" t="s">
        <v>9158</v>
      </c>
      <c r="O87" s="14" t="s">
        <v>9158</v>
      </c>
      <c r="P87" s="14" t="s">
        <v>9158</v>
      </c>
      <c r="Q87" s="14" t="s">
        <v>9158</v>
      </c>
    </row>
    <row r="88" spans="1:17">
      <c r="A88" s="14">
        <v>93763</v>
      </c>
      <c r="B88" s="14" t="s">
        <v>15503</v>
      </c>
      <c r="C88" s="14" t="s">
        <v>15541</v>
      </c>
      <c r="D88" s="14" t="s">
        <v>15540</v>
      </c>
      <c r="E88" s="15" t="str">
        <f>HYPERLINK("https://stat100.ameba.jp/tnk47/ratio20/illustrations/card/ill_93763_vanhelsing03.jpg?202011-5-RELEASE-marathon-501xxxx", "■")</f>
        <v>■</v>
      </c>
      <c r="F88" s="14" t="s">
        <v>15539</v>
      </c>
      <c r="G88" s="14">
        <v>44948</v>
      </c>
      <c r="H88" s="14">
        <v>54058</v>
      </c>
      <c r="I88" s="14">
        <v>26</v>
      </c>
      <c r="J88" s="14" t="s">
        <v>15482</v>
      </c>
      <c r="K88" s="14" t="s">
        <v>15538</v>
      </c>
      <c r="L88" s="14" t="s">
        <v>15537</v>
      </c>
      <c r="M88" s="14" t="s">
        <v>9158</v>
      </c>
      <c r="N88" s="14" t="s">
        <v>9158</v>
      </c>
      <c r="O88" s="14" t="s">
        <v>9158</v>
      </c>
      <c r="P88" s="14" t="s">
        <v>9158</v>
      </c>
      <c r="Q88" s="14" t="s">
        <v>9158</v>
      </c>
    </row>
    <row r="89" spans="1:17">
      <c r="A89" s="14">
        <v>93773</v>
      </c>
      <c r="B89" s="14" t="s">
        <v>15503</v>
      </c>
      <c r="C89" s="14" t="s">
        <v>15504</v>
      </c>
      <c r="D89" s="14" t="s">
        <v>15545</v>
      </c>
      <c r="E89" s="15" t="str">
        <f>HYPERLINK("https://stat100.ameba.jp/tnk47/ratio20/illustrations/card/ill_93773_matsunagadanjo03.jpg?202011-5-RELEASE-marathon-501xxxx", "■")</f>
        <v>■</v>
      </c>
      <c r="F89" s="14" t="s">
        <v>15544</v>
      </c>
      <c r="G89" s="14">
        <v>54058</v>
      </c>
      <c r="H89" s="14">
        <v>44948</v>
      </c>
      <c r="I89" s="14">
        <v>26</v>
      </c>
      <c r="J89" s="14" t="s">
        <v>15500</v>
      </c>
      <c r="K89" s="14" t="s">
        <v>15543</v>
      </c>
      <c r="L89" s="14" t="s">
        <v>15542</v>
      </c>
      <c r="M89" s="14" t="s">
        <v>9158</v>
      </c>
      <c r="N89" s="14" t="s">
        <v>9158</v>
      </c>
      <c r="O89" s="14" t="s">
        <v>9158</v>
      </c>
      <c r="P89" s="14" t="s">
        <v>9158</v>
      </c>
      <c r="Q89" s="14" t="s">
        <v>9158</v>
      </c>
    </row>
    <row r="91" spans="1:17">
      <c r="A91" s="14" t="s">
        <v>15551</v>
      </c>
    </row>
    <row r="92" spans="1:17">
      <c r="A92" s="14">
        <v>104511</v>
      </c>
      <c r="B92" s="14" t="s">
        <v>15726</v>
      </c>
    </row>
    <row r="93" spans="1:17">
      <c r="A93" s="14">
        <v>104521</v>
      </c>
      <c r="B93" s="14" t="s">
        <v>15721</v>
      </c>
    </row>
    <row r="94" spans="1:17">
      <c r="A94" s="9" t="s">
        <v>9325</v>
      </c>
      <c r="B94" s="7" t="s">
        <v>52</v>
      </c>
      <c r="C94" s="9" t="s">
        <v>202</v>
      </c>
      <c r="D94" s="19" t="s">
        <v>10947</v>
      </c>
      <c r="E94" s="15" t="str">
        <f>HYPERLINK("https://stat100.ameba.jp/tnk47/ratio20/illustrations/card/ill_86893_0_chokonohisukeban03.jpg?202011-5-RELEASE-marathon-501xxxx", "■")</f>
        <v>■</v>
      </c>
      <c r="F94" s="14" t="s">
        <v>9332</v>
      </c>
      <c r="G94" s="9">
        <v>351727</v>
      </c>
      <c r="H94" s="9">
        <v>317873</v>
      </c>
      <c r="I94" s="7">
        <v>27</v>
      </c>
      <c r="J94" s="9" t="s">
        <v>187</v>
      </c>
      <c r="K94" s="14" t="s">
        <v>9330</v>
      </c>
      <c r="L94" s="14" t="s">
        <v>9331</v>
      </c>
      <c r="M94" s="14" t="s">
        <v>9158</v>
      </c>
      <c r="N94" s="14" t="s">
        <v>9158</v>
      </c>
      <c r="O94" s="19" t="s">
        <v>10136</v>
      </c>
      <c r="P94" s="7" t="s">
        <v>9324</v>
      </c>
      <c r="Q94" s="7">
        <v>1</v>
      </c>
    </row>
    <row r="95" spans="1:17">
      <c r="A95" s="14" t="s">
        <v>7789</v>
      </c>
      <c r="B95" s="14" t="s">
        <v>52</v>
      </c>
      <c r="C95" s="14" t="s">
        <v>202</v>
      </c>
      <c r="D95" s="19" t="s">
        <v>10741</v>
      </c>
      <c r="E95" s="15" t="str">
        <f>HYPERLINK("https://stat100.ameba.jp/tnk47/ratio20/illustrations/card/ill_84923_0_onsengainansosatomihakkenden03.jpg?202011-5-RELEASE-marathon-501xxxx", "■")</f>
        <v>■</v>
      </c>
      <c r="F95" s="14" t="s">
        <v>7792</v>
      </c>
      <c r="G95" s="14">
        <v>311915</v>
      </c>
      <c r="H95" s="14">
        <v>345111</v>
      </c>
      <c r="I95" s="14">
        <v>27</v>
      </c>
      <c r="J95" s="14" t="s">
        <v>155</v>
      </c>
      <c r="K95" s="14" t="s">
        <v>7791</v>
      </c>
      <c r="L95" s="14" t="s">
        <v>7790</v>
      </c>
      <c r="M95" s="14" t="s">
        <v>9158</v>
      </c>
      <c r="N95" s="14" t="s">
        <v>9158</v>
      </c>
      <c r="O95" s="19" t="s">
        <v>10131</v>
      </c>
      <c r="P95" s="14" t="s">
        <v>7793</v>
      </c>
      <c r="Q95" s="14">
        <v>0</v>
      </c>
    </row>
    <row r="96" spans="1:17">
      <c r="A96" s="14" t="s">
        <v>5616</v>
      </c>
      <c r="B96" s="14" t="s">
        <v>52</v>
      </c>
      <c r="C96" s="14" t="s">
        <v>14</v>
      </c>
      <c r="D96" s="19" t="s">
        <v>638</v>
      </c>
      <c r="E96" s="15" t="str">
        <f>HYPERLINK("https://stat100.ameba.jp/tnk47/ratio20/illustrations/card/ill_44253_0_dokuganryudatemasamune03.jpg?202011-5-RELEASE-marathon-501xxxx", "■")</f>
        <v>■</v>
      </c>
      <c r="F96" s="14" t="s">
        <v>1181</v>
      </c>
      <c r="G96" s="14">
        <v>147980</v>
      </c>
      <c r="H96" s="14">
        <v>158004</v>
      </c>
      <c r="I96" s="14">
        <v>27</v>
      </c>
      <c r="J96" s="14" t="s">
        <v>143</v>
      </c>
      <c r="K96" s="14" t="s">
        <v>1182</v>
      </c>
      <c r="L96" s="14" t="s">
        <v>1183</v>
      </c>
      <c r="M96" s="14" t="s">
        <v>9158</v>
      </c>
      <c r="N96" s="14" t="s">
        <v>9158</v>
      </c>
      <c r="O96" s="14" t="s">
        <v>9158</v>
      </c>
      <c r="P96" s="14" t="s">
        <v>9158</v>
      </c>
      <c r="Q96" s="14" t="s">
        <v>9158</v>
      </c>
    </row>
    <row r="97" spans="1:17">
      <c r="A97" s="14">
        <v>84663</v>
      </c>
      <c r="B97" s="14" t="s">
        <v>334</v>
      </c>
      <c r="C97" s="14" t="s">
        <v>158</v>
      </c>
      <c r="D97" s="20" t="s">
        <v>10648</v>
      </c>
      <c r="E97" s="15" t="str">
        <f>HYPERLINK("https://stat100.ameba.jp/tnk47/ratio20/illustrations/card/ill_84663_juwannonefuerufuito03.jpg?202011-5-RELEASE-marathon-501xxxx", "■")</f>
        <v>■</v>
      </c>
      <c r="F97" s="14" t="s">
        <v>7095</v>
      </c>
      <c r="G97" s="14">
        <v>91212</v>
      </c>
      <c r="H97" s="14">
        <v>125903</v>
      </c>
      <c r="I97" s="14">
        <v>27</v>
      </c>
      <c r="J97" s="14" t="s">
        <v>182</v>
      </c>
      <c r="K97" s="14" t="s">
        <v>7094</v>
      </c>
      <c r="L97" s="14" t="s">
        <v>7093</v>
      </c>
      <c r="M97" s="14" t="s">
        <v>9158</v>
      </c>
      <c r="N97" s="14" t="s">
        <v>9158</v>
      </c>
      <c r="O97" s="19" t="s">
        <v>10091</v>
      </c>
      <c r="P97" s="14" t="s">
        <v>3670</v>
      </c>
      <c r="Q97" s="14">
        <v>1</v>
      </c>
    </row>
    <row r="98" spans="1:17">
      <c r="A98" s="14">
        <v>75893</v>
      </c>
      <c r="B98" s="14" t="s">
        <v>0</v>
      </c>
      <c r="C98" s="14" t="s">
        <v>158</v>
      </c>
      <c r="D98" s="19" t="s">
        <v>3095</v>
      </c>
      <c r="E98" s="15" t="str">
        <f>HYPERLINK("https://stat100.ameba.jp/tnk47/ratio20/illustrations/card/ill_75893_hamamatsutakuni03.jpg?202011-5-RELEASE-marathon-501xxxx", "■")</f>
        <v>■</v>
      </c>
      <c r="F98" s="14" t="s">
        <v>3594</v>
      </c>
      <c r="G98" s="14">
        <v>122539</v>
      </c>
      <c r="H98" s="14">
        <v>88781</v>
      </c>
      <c r="I98" s="14">
        <v>27</v>
      </c>
      <c r="J98" s="14" t="s">
        <v>16</v>
      </c>
      <c r="K98" s="14" t="s">
        <v>3595</v>
      </c>
      <c r="L98" s="14" t="s">
        <v>920</v>
      </c>
      <c r="M98" s="14" t="s">
        <v>9158</v>
      </c>
      <c r="N98" s="14" t="s">
        <v>9158</v>
      </c>
      <c r="O98" s="19" t="s">
        <v>3037</v>
      </c>
      <c r="P98" s="14" t="s">
        <v>13128</v>
      </c>
      <c r="Q98" s="14">
        <v>1</v>
      </c>
    </row>
    <row r="99" spans="1:17">
      <c r="A99" s="14">
        <v>73893</v>
      </c>
      <c r="B99" s="14" t="s">
        <v>334</v>
      </c>
      <c r="C99" s="14" t="s">
        <v>203</v>
      </c>
      <c r="D99" s="19" t="s">
        <v>10388</v>
      </c>
      <c r="E99" s="15" t="str">
        <f>HYPERLINK("https://stat100.ameba.jp/tnk47/ratio20/illustrations/card/ill_73893_kurohachidaimyojintookami03.jpg?202011-5-RELEASE-marathon-501xxxx", "■")</f>
        <v>■</v>
      </c>
      <c r="F99" s="14" t="s">
        <v>685</v>
      </c>
      <c r="G99" s="14">
        <v>137786</v>
      </c>
      <c r="H99" s="14">
        <v>99796</v>
      </c>
      <c r="I99" s="14">
        <v>27</v>
      </c>
      <c r="J99" s="14" t="s">
        <v>274</v>
      </c>
      <c r="K99" s="14" t="s">
        <v>686</v>
      </c>
      <c r="L99" s="14" t="s">
        <v>428</v>
      </c>
      <c r="M99" s="14" t="s">
        <v>9158</v>
      </c>
      <c r="N99" s="14" t="s">
        <v>9158</v>
      </c>
      <c r="O99" s="19" t="s">
        <v>10100</v>
      </c>
      <c r="P99" s="14" t="s">
        <v>3810</v>
      </c>
      <c r="Q99" s="14">
        <v>1</v>
      </c>
    </row>
    <row r="100" spans="1:17">
      <c r="A100" s="14">
        <v>65643</v>
      </c>
      <c r="B100" s="14" t="s">
        <v>0</v>
      </c>
      <c r="C100" s="14" t="s">
        <v>209</v>
      </c>
      <c r="D100" s="20" t="s">
        <v>1681</v>
      </c>
      <c r="E100" s="15" t="str">
        <f>HYPERLINK("https://stat100.ameba.jp/tnk47/ratio20/illustrations/card/ill_65643_shitompekamui03.jpg?202011-5-RELEASE-marathon-501xxxx", "■")</f>
        <v>■</v>
      </c>
      <c r="F100" s="14" t="s">
        <v>1250</v>
      </c>
      <c r="G100" s="14">
        <v>89268</v>
      </c>
      <c r="H100" s="14">
        <v>123249</v>
      </c>
      <c r="I100" s="14">
        <v>27</v>
      </c>
      <c r="J100" s="14" t="s">
        <v>44</v>
      </c>
      <c r="K100" s="14" t="s">
        <v>1251</v>
      </c>
      <c r="L100" s="14" t="s">
        <v>1252</v>
      </c>
      <c r="M100" s="14" t="s">
        <v>9158</v>
      </c>
      <c r="N100" s="14" t="s">
        <v>9158</v>
      </c>
      <c r="O100" s="19" t="s">
        <v>10096</v>
      </c>
      <c r="P100" s="14" t="s">
        <v>3245</v>
      </c>
      <c r="Q100" s="14">
        <v>1</v>
      </c>
    </row>
    <row r="101" spans="1:17">
      <c r="A101" s="14">
        <v>75883</v>
      </c>
      <c r="B101" s="14" t="s">
        <v>334</v>
      </c>
      <c r="C101" s="14" t="s">
        <v>154</v>
      </c>
      <c r="D101" s="19" t="s">
        <v>10402</v>
      </c>
      <c r="E101" s="15" t="str">
        <f>HYPERLINK("https://stat100.ameba.jp/tnk47/ratio20/illustrations/card/ill_75883_kitajokagehiro03.jpg?202011-5-RELEASE-marathon-501xxxx", "■")</f>
        <v>■</v>
      </c>
      <c r="F101" s="14" t="s">
        <v>2411</v>
      </c>
      <c r="G101" s="14">
        <v>130113</v>
      </c>
      <c r="H101" s="14">
        <v>179634</v>
      </c>
      <c r="I101" s="14">
        <v>27</v>
      </c>
      <c r="J101" s="14" t="s">
        <v>143</v>
      </c>
      <c r="K101" s="14" t="s">
        <v>2412</v>
      </c>
      <c r="L101" s="14" t="s">
        <v>1148</v>
      </c>
      <c r="M101" s="14" t="s">
        <v>9158</v>
      </c>
      <c r="N101" s="14" t="s">
        <v>9158</v>
      </c>
      <c r="O101" s="19" t="s">
        <v>10106</v>
      </c>
      <c r="P101" s="14" t="s">
        <v>3330</v>
      </c>
      <c r="Q101" s="14">
        <v>2</v>
      </c>
    </row>
    <row r="102" spans="1:17">
      <c r="A102" s="14">
        <v>75073</v>
      </c>
      <c r="B102" s="14" t="s">
        <v>334</v>
      </c>
      <c r="C102" s="14" t="s">
        <v>154</v>
      </c>
      <c r="D102" s="20" t="s">
        <v>4252</v>
      </c>
      <c r="E102" s="15" t="str">
        <f>HYPERLINK("https://stat100.ameba.jp/tnk47/ratio20/illustrations/card/ill_75073_puruchacha03.jpg?202011-5-RELEASE-marathon-501xxxx", "■")</f>
        <v>■</v>
      </c>
      <c r="F102" s="14" t="s">
        <v>4253</v>
      </c>
      <c r="G102" s="14">
        <v>118001</v>
      </c>
      <c r="H102" s="14">
        <v>85483</v>
      </c>
      <c r="I102" s="14">
        <v>27</v>
      </c>
      <c r="J102" s="14" t="s">
        <v>315</v>
      </c>
      <c r="K102" s="14" t="s">
        <v>4254</v>
      </c>
      <c r="L102" s="14" t="s">
        <v>1432</v>
      </c>
      <c r="M102" s="14" t="s">
        <v>9158</v>
      </c>
      <c r="N102" s="14" t="s">
        <v>9158</v>
      </c>
      <c r="O102" s="19" t="s">
        <v>10082</v>
      </c>
      <c r="P102" s="14" t="s">
        <v>13124</v>
      </c>
      <c r="Q102" s="14">
        <v>1</v>
      </c>
    </row>
    <row r="104" spans="1:17">
      <c r="A104" s="14" t="s">
        <v>15552</v>
      </c>
    </row>
    <row r="105" spans="1:17">
      <c r="A105" s="14">
        <v>235030</v>
      </c>
      <c r="B105" s="14" t="s">
        <v>15553</v>
      </c>
    </row>
    <row r="106" spans="1:17">
      <c r="A106" s="9" t="s">
        <v>5899</v>
      </c>
      <c r="B106" s="14" t="s">
        <v>330</v>
      </c>
      <c r="C106" s="14" t="s">
        <v>205</v>
      </c>
      <c r="D106" s="14" t="s">
        <v>934</v>
      </c>
      <c r="E106" s="15" t="str">
        <f>HYPERLINK("https://stat100.ameba.jp/tnk47/ratio20/illustrations/card/ill_73773_0_umibirakiinugamigyobu03.jpg?202011-5-RELEASE-marathon-501xxxx", "■")</f>
        <v>■</v>
      </c>
      <c r="F106" s="14" t="s">
        <v>935</v>
      </c>
      <c r="G106" s="14">
        <v>190902</v>
      </c>
      <c r="H106" s="14">
        <v>205334</v>
      </c>
      <c r="I106" s="14">
        <v>22</v>
      </c>
      <c r="J106" s="14" t="s">
        <v>182</v>
      </c>
      <c r="K106" s="14" t="s">
        <v>936</v>
      </c>
      <c r="L106" s="14" t="s">
        <v>13147</v>
      </c>
      <c r="M106" s="14" t="s">
        <v>9158</v>
      </c>
      <c r="N106" s="14" t="s">
        <v>9158</v>
      </c>
      <c r="O106" s="9" t="s">
        <v>2978</v>
      </c>
      <c r="P106" s="14" t="s">
        <v>2979</v>
      </c>
      <c r="Q106" s="14">
        <v>2</v>
      </c>
    </row>
    <row r="107" spans="1:17">
      <c r="A107" s="14" t="s">
        <v>5617</v>
      </c>
      <c r="B107" s="14" t="s">
        <v>330</v>
      </c>
      <c r="C107" s="14" t="s">
        <v>308</v>
      </c>
      <c r="D107" s="19" t="s">
        <v>385</v>
      </c>
      <c r="E107" s="15" t="str">
        <f>HYPERLINK("https://stat100.ameba.jp/tnk47/ratio20/illustrations/card/ill_59673_0_oheyashutendoji03.jpg?202011-5-RELEASE-marathon-501xxxx", "■")</f>
        <v>■</v>
      </c>
      <c r="F107" s="14" t="s">
        <v>386</v>
      </c>
      <c r="G107" s="14">
        <v>154800</v>
      </c>
      <c r="H107" s="14">
        <v>166504</v>
      </c>
      <c r="I107" s="14">
        <v>22</v>
      </c>
      <c r="J107" s="14" t="s">
        <v>320</v>
      </c>
      <c r="K107" s="14" t="s">
        <v>387</v>
      </c>
      <c r="L107" s="14" t="s">
        <v>388</v>
      </c>
      <c r="M107" s="14" t="s">
        <v>9158</v>
      </c>
      <c r="N107" s="14" t="s">
        <v>9158</v>
      </c>
      <c r="O107" s="19" t="s">
        <v>10078</v>
      </c>
      <c r="P107" s="14" t="s">
        <v>3022</v>
      </c>
      <c r="Q107" s="14">
        <v>1</v>
      </c>
    </row>
    <row r="108" spans="1:17">
      <c r="A108" s="14" t="s">
        <v>9473</v>
      </c>
      <c r="B108" s="14" t="s">
        <v>330</v>
      </c>
      <c r="C108" s="14" t="s">
        <v>191</v>
      </c>
      <c r="D108" s="19" t="s">
        <v>393</v>
      </c>
      <c r="E108" s="15" t="str">
        <f>HYPERLINK("https://stat100.ameba.jp/tnk47/ratio20/illustrations/card/ill_46283_0_odanobunaga03.jpg?202011-5-RELEASE-marathon-501xxxx", "■")</f>
        <v>■</v>
      </c>
      <c r="F108" s="14" t="s">
        <v>1073</v>
      </c>
      <c r="G108" s="14">
        <v>120576</v>
      </c>
      <c r="H108" s="14">
        <v>128744</v>
      </c>
      <c r="I108" s="14">
        <v>22</v>
      </c>
      <c r="J108" s="14" t="s">
        <v>143</v>
      </c>
      <c r="K108" s="14" t="s">
        <v>1074</v>
      </c>
      <c r="L108" s="14" t="s">
        <v>1075</v>
      </c>
      <c r="M108" s="14" t="s">
        <v>9158</v>
      </c>
      <c r="N108" s="14" t="s">
        <v>9158</v>
      </c>
      <c r="O108" s="9" t="s">
        <v>9158</v>
      </c>
      <c r="P108" s="14" t="s">
        <v>9158</v>
      </c>
      <c r="Q108" s="14" t="s">
        <v>9158</v>
      </c>
    </row>
    <row r="109" spans="1:17">
      <c r="A109" s="14">
        <v>90723</v>
      </c>
      <c r="B109" s="14" t="s">
        <v>0</v>
      </c>
      <c r="C109" s="14" t="s">
        <v>107</v>
      </c>
      <c r="D109" s="14" t="s">
        <v>14356</v>
      </c>
      <c r="E109" s="15" t="str">
        <f>HYPERLINK("https://stat100.ameba.jp/tnk47/ratio20/illustrations/card/ill_90723_hamabeyadokari03.jpg?202011-5-RELEASE-marathon-501xxxx", "■")</f>
        <v>■</v>
      </c>
      <c r="F109" s="14" t="s">
        <v>14355</v>
      </c>
      <c r="G109" s="14">
        <v>111523</v>
      </c>
      <c r="H109" s="14">
        <v>198226</v>
      </c>
      <c r="I109" s="14">
        <v>27</v>
      </c>
      <c r="J109" s="14" t="s">
        <v>104</v>
      </c>
      <c r="K109" s="14" t="s">
        <v>14353</v>
      </c>
      <c r="L109" s="14" t="s">
        <v>12356</v>
      </c>
      <c r="M109" s="14" t="s">
        <v>9158</v>
      </c>
      <c r="N109" s="14" t="s">
        <v>9158</v>
      </c>
      <c r="O109" s="14" t="s">
        <v>9158</v>
      </c>
      <c r="P109" s="14" t="s">
        <v>9158</v>
      </c>
      <c r="Q109" s="14" t="s">
        <v>9158</v>
      </c>
    </row>
    <row r="110" spans="1:17">
      <c r="A110" s="9">
        <v>65243</v>
      </c>
      <c r="B110" s="14" t="s">
        <v>0</v>
      </c>
      <c r="C110" s="14" t="s">
        <v>205</v>
      </c>
      <c r="D110" s="14" t="s">
        <v>1925</v>
      </c>
      <c r="E110" s="15" t="str">
        <f>HYPERLINK("https://stat100.ameba.jp/tnk47/ratio20/illustrations/card/ill_65243_kagawayukikage03.jpg?202011-5-RELEASE-marathon-501xxxx", "■")</f>
        <v>■</v>
      </c>
      <c r="F110" s="14" t="s">
        <v>1926</v>
      </c>
      <c r="G110" s="14">
        <v>111523</v>
      </c>
      <c r="H110" s="14">
        <v>198226</v>
      </c>
      <c r="I110" s="14">
        <v>27</v>
      </c>
      <c r="J110" s="14" t="s">
        <v>143</v>
      </c>
      <c r="K110" s="14" t="s">
        <v>1927</v>
      </c>
      <c r="L110" s="14" t="s">
        <v>1148</v>
      </c>
      <c r="M110" s="14" t="s">
        <v>9158</v>
      </c>
      <c r="N110" s="14" t="s">
        <v>9158</v>
      </c>
      <c r="O110" s="14" t="s">
        <v>9158</v>
      </c>
      <c r="P110" s="14" t="s">
        <v>9158</v>
      </c>
      <c r="Q110" s="14" t="s">
        <v>9158</v>
      </c>
    </row>
    <row r="111" spans="1:17">
      <c r="A111" s="9">
        <v>68243</v>
      </c>
      <c r="B111" s="14" t="s">
        <v>334</v>
      </c>
      <c r="C111" s="14" t="s">
        <v>191</v>
      </c>
      <c r="D111" s="14" t="s">
        <v>4351</v>
      </c>
      <c r="E111" s="15" t="str">
        <f>HYPERLINK("https://stat100.ameba.jp/tnk47/ratio20/illustrations/card/ill_68243_yakeiorugoru03.jpg?202011-5-RELEASE-marathon-501xxxx", "■")</f>
        <v>■</v>
      </c>
      <c r="F111" s="14" t="s">
        <v>4352</v>
      </c>
      <c r="G111" s="14">
        <v>106693</v>
      </c>
      <c r="H111" s="14">
        <v>114768</v>
      </c>
      <c r="I111" s="14">
        <v>27</v>
      </c>
      <c r="J111" s="14" t="s">
        <v>26</v>
      </c>
      <c r="K111" s="14" t="s">
        <v>4353</v>
      </c>
      <c r="L111" s="14" t="s">
        <v>4354</v>
      </c>
      <c r="M111" s="14" t="s">
        <v>9158</v>
      </c>
      <c r="N111" s="14" t="s">
        <v>9158</v>
      </c>
      <c r="O111" s="14" t="s">
        <v>9158</v>
      </c>
      <c r="P111" s="14" t="s">
        <v>9158</v>
      </c>
      <c r="Q111" s="14" t="s">
        <v>9158</v>
      </c>
    </row>
    <row r="113" spans="1:17">
      <c r="A113" s="14" t="s">
        <v>15523</v>
      </c>
    </row>
    <row r="114" spans="1:17">
      <c r="A114" s="14">
        <v>104535</v>
      </c>
      <c r="B114" s="14" t="s">
        <v>15554</v>
      </c>
    </row>
    <row r="115" spans="1:17">
      <c r="A115" s="14" t="s">
        <v>5605</v>
      </c>
      <c r="B115" s="14" t="s">
        <v>52</v>
      </c>
      <c r="C115" s="14" t="s">
        <v>202</v>
      </c>
      <c r="D115" s="20" t="s">
        <v>10332</v>
      </c>
      <c r="E115" s="15" t="str">
        <f>HYPERLINK("https://stat100.ameba.jp/tnk47/ratio20/illustrations/card/ill_79373_0_hommeichokotennyohime03.jpg?202011-5-RELEASE-marathon-501xxxx", "■")</f>
        <v>■</v>
      </c>
      <c r="F115" s="14" t="s">
        <v>3495</v>
      </c>
      <c r="G115" s="14">
        <v>321496</v>
      </c>
      <c r="H115" s="14">
        <v>268230</v>
      </c>
      <c r="I115" s="14">
        <v>26</v>
      </c>
      <c r="J115" s="14" t="s">
        <v>104</v>
      </c>
      <c r="K115" s="14" t="s">
        <v>3496</v>
      </c>
      <c r="L115" s="14" t="s">
        <v>3497</v>
      </c>
      <c r="M115" s="14" t="s">
        <v>9158</v>
      </c>
      <c r="N115" s="14" t="s">
        <v>9158</v>
      </c>
      <c r="O115" s="19" t="s">
        <v>10072</v>
      </c>
      <c r="P115" s="14" t="s">
        <v>3498</v>
      </c>
      <c r="Q115" s="14">
        <v>1</v>
      </c>
    </row>
    <row r="116" spans="1:17">
      <c r="A116" s="14">
        <v>78143</v>
      </c>
      <c r="B116" s="14" t="s">
        <v>334</v>
      </c>
      <c r="C116" s="14" t="s">
        <v>203</v>
      </c>
      <c r="D116" s="20" t="s">
        <v>10285</v>
      </c>
      <c r="E116" s="15" t="str">
        <f>HYPERLINK("https://stat100.ameba.jp/tnk47/ratio20/illustrations/card/ill_78143_kanibarukuin03.jpg?202011-5-RELEASE-marathon-501xxxx", "■")</f>
        <v>■</v>
      </c>
      <c r="F116" s="14" t="s">
        <v>2687</v>
      </c>
      <c r="G116" s="14">
        <v>96010</v>
      </c>
      <c r="H116" s="14">
        <v>132562</v>
      </c>
      <c r="I116" s="14">
        <v>26</v>
      </c>
      <c r="J116" s="14" t="s">
        <v>26</v>
      </c>
      <c r="K116" s="14" t="s">
        <v>2688</v>
      </c>
      <c r="L116" s="14" t="s">
        <v>2137</v>
      </c>
      <c r="M116" s="14" t="s">
        <v>9158</v>
      </c>
      <c r="N116" s="14" t="s">
        <v>9158</v>
      </c>
      <c r="O116" s="19" t="s">
        <v>10103</v>
      </c>
      <c r="P116" s="14" t="s">
        <v>3897</v>
      </c>
      <c r="Q116" s="14">
        <v>1</v>
      </c>
    </row>
    <row r="117" spans="1:17">
      <c r="A117" s="14">
        <v>78133</v>
      </c>
      <c r="B117" s="14" t="s">
        <v>0</v>
      </c>
      <c r="C117" s="14" t="s">
        <v>154</v>
      </c>
      <c r="D117" s="20" t="s">
        <v>10313</v>
      </c>
      <c r="E117" s="15" t="str">
        <f>HYPERLINK("https://stat100.ameba.jp/tnk47/ratio20/illustrations/card/ill_78133_akazukin03.jpg?202011-5-RELEASE-marathon-501xxxx", "■")</f>
        <v>■</v>
      </c>
      <c r="F117" s="14" t="s">
        <v>2202</v>
      </c>
      <c r="G117" s="14">
        <v>96100</v>
      </c>
      <c r="H117" s="14">
        <v>132684</v>
      </c>
      <c r="I117" s="14">
        <v>26</v>
      </c>
      <c r="J117" s="14" t="s">
        <v>38</v>
      </c>
      <c r="K117" s="14" t="s">
        <v>2203</v>
      </c>
      <c r="L117" s="14" t="s">
        <v>2204</v>
      </c>
      <c r="M117" s="14" t="s">
        <v>9158</v>
      </c>
      <c r="N117" s="14" t="s">
        <v>9158</v>
      </c>
      <c r="O117" s="19" t="s">
        <v>2917</v>
      </c>
      <c r="P117" s="14" t="s">
        <v>3531</v>
      </c>
      <c r="Q117" s="14">
        <v>1</v>
      </c>
    </row>
    <row r="118" spans="1:17">
      <c r="A118" s="14">
        <v>73093</v>
      </c>
      <c r="B118" s="14" t="s">
        <v>334</v>
      </c>
      <c r="C118" s="14" t="s">
        <v>209</v>
      </c>
      <c r="D118" s="20" t="s">
        <v>433</v>
      </c>
      <c r="E118" s="15" t="str">
        <f>HYPERLINK("https://stat100.ameba.jp/tnk47/ratio20/illustrations/card/ill_73093_aisukurinchan03.jpg?202011-5-RELEASE-marathon-501xxxx", "■")</f>
        <v>■</v>
      </c>
      <c r="F118" s="14" t="s">
        <v>1027</v>
      </c>
      <c r="G118" s="14">
        <v>172982</v>
      </c>
      <c r="H118" s="14">
        <v>125296</v>
      </c>
      <c r="I118" s="14">
        <v>26</v>
      </c>
      <c r="J118" s="14" t="s">
        <v>104</v>
      </c>
      <c r="K118" s="14" t="s">
        <v>1028</v>
      </c>
      <c r="L118" s="14" t="s">
        <v>1029</v>
      </c>
      <c r="M118" s="14" t="s">
        <v>9158</v>
      </c>
      <c r="N118" s="14" t="s">
        <v>9158</v>
      </c>
      <c r="O118" s="19" t="s">
        <v>2741</v>
      </c>
      <c r="P118" s="14" t="s">
        <v>2742</v>
      </c>
      <c r="Q118" s="14">
        <v>1</v>
      </c>
    </row>
    <row r="120" spans="1:17">
      <c r="A120" s="14" t="s">
        <v>15555</v>
      </c>
    </row>
    <row r="121" spans="1:17">
      <c r="A121" s="14">
        <v>104540</v>
      </c>
      <c r="B121" s="14" t="s">
        <v>15556</v>
      </c>
    </row>
    <row r="122" spans="1:17">
      <c r="A122" s="14">
        <v>84733</v>
      </c>
      <c r="B122" s="14" t="s">
        <v>0</v>
      </c>
      <c r="C122" s="14" t="s">
        <v>154</v>
      </c>
      <c r="D122" s="19" t="s">
        <v>10677</v>
      </c>
      <c r="E122" s="15" t="str">
        <f>HYPERLINK("https://stat100.ameba.jp/tnk47/ratio20/illustrations/card/ill_84733_madadoru03.jpg?202011-5-RELEASE-marathon-501xxxx", "■")</f>
        <v>■</v>
      </c>
      <c r="F122" s="14" t="s">
        <v>7293</v>
      </c>
      <c r="G122" s="14">
        <v>116452</v>
      </c>
      <c r="H122" s="14">
        <v>108276</v>
      </c>
      <c r="I122" s="14">
        <v>27</v>
      </c>
      <c r="J122" s="14" t="s">
        <v>182</v>
      </c>
      <c r="K122" s="14" t="s">
        <v>7296</v>
      </c>
      <c r="L122" s="14" t="s">
        <v>7295</v>
      </c>
      <c r="M122" s="14" t="s">
        <v>9158</v>
      </c>
      <c r="N122" s="14" t="s">
        <v>9158</v>
      </c>
      <c r="O122" s="14" t="s">
        <v>9158</v>
      </c>
      <c r="P122" s="14" t="s">
        <v>9158</v>
      </c>
      <c r="Q122" s="14" t="s">
        <v>9158</v>
      </c>
    </row>
    <row r="123" spans="1:17">
      <c r="A123" s="14">
        <v>84743</v>
      </c>
      <c r="B123" s="14" t="s">
        <v>0</v>
      </c>
      <c r="C123" s="14" t="s">
        <v>158</v>
      </c>
      <c r="D123" s="19" t="s">
        <v>10678</v>
      </c>
      <c r="E123" s="15" t="str">
        <f>HYPERLINK("https://stat100.ameba.jp/tnk47/ratio20/illustrations/card/ill_84743_rinnenonyumpe03.jpg?202011-5-RELEASE-marathon-501xxxx", "■")</f>
        <v>■</v>
      </c>
      <c r="F123" s="14" t="s">
        <v>7294</v>
      </c>
      <c r="G123" s="14">
        <v>116452</v>
      </c>
      <c r="H123" s="14">
        <v>108276</v>
      </c>
      <c r="I123" s="14">
        <v>27</v>
      </c>
      <c r="J123" s="14" t="s">
        <v>169</v>
      </c>
      <c r="K123" s="14" t="s">
        <v>7297</v>
      </c>
      <c r="L123" s="14" t="s">
        <v>7298</v>
      </c>
      <c r="M123" s="14" t="s">
        <v>9158</v>
      </c>
      <c r="N123" s="14" t="s">
        <v>9158</v>
      </c>
      <c r="O123" s="14" t="s">
        <v>9158</v>
      </c>
      <c r="P123" s="14" t="s">
        <v>9158</v>
      </c>
      <c r="Q123" s="14" t="s">
        <v>9158</v>
      </c>
    </row>
    <row r="124" spans="1:17">
      <c r="A124" s="14">
        <v>69883</v>
      </c>
      <c r="B124" s="14" t="s">
        <v>334</v>
      </c>
      <c r="C124" s="14" t="s">
        <v>185</v>
      </c>
      <c r="D124" s="19" t="s">
        <v>10293</v>
      </c>
      <c r="E124" s="15" t="str">
        <f>HYPERLINK("https://stat100.ameba.jp/tnk47/ratio20/illustrations/card/ill_69883_kyupiddotominushihime03.jpg?202011-5-RELEASE-marathon-501xxxx", "■")</f>
        <v>■</v>
      </c>
      <c r="F124" s="14" t="s">
        <v>4142</v>
      </c>
      <c r="G124" s="14">
        <v>102386</v>
      </c>
      <c r="H124" s="14">
        <v>110129</v>
      </c>
      <c r="I124" s="14">
        <v>27</v>
      </c>
      <c r="J124" s="14" t="s">
        <v>169</v>
      </c>
      <c r="K124" s="14" t="s">
        <v>4143</v>
      </c>
      <c r="L124" s="14" t="s">
        <v>13190</v>
      </c>
      <c r="M124" s="14" t="s">
        <v>9158</v>
      </c>
      <c r="N124" s="14" t="s">
        <v>9158</v>
      </c>
      <c r="O124" s="14" t="s">
        <v>9158</v>
      </c>
      <c r="P124" s="14" t="s">
        <v>9158</v>
      </c>
      <c r="Q124" s="14" t="s">
        <v>9158</v>
      </c>
    </row>
    <row r="125" spans="1:17">
      <c r="A125" s="9">
        <v>67243</v>
      </c>
      <c r="B125" s="14" t="s">
        <v>334</v>
      </c>
      <c r="C125" s="9" t="s">
        <v>205</v>
      </c>
      <c r="D125" s="20" t="s">
        <v>10199</v>
      </c>
      <c r="E125" s="15" t="str">
        <f>HYPERLINK("https://stat100.ameba.jp/tnk47/ratio20/illustrations/card/ill_67243_onsenyadomoryo03.jpg?202011-5-RELEASE-marathon-501xxxx", "■")</f>
        <v>■</v>
      </c>
      <c r="F125" s="9" t="s">
        <v>3638</v>
      </c>
      <c r="G125" s="9">
        <v>104619</v>
      </c>
      <c r="H125" s="9">
        <v>112496</v>
      </c>
      <c r="I125" s="14">
        <v>27</v>
      </c>
      <c r="J125" s="9" t="s">
        <v>182</v>
      </c>
      <c r="K125" s="9" t="s">
        <v>3639</v>
      </c>
      <c r="L125" s="9" t="s">
        <v>3640</v>
      </c>
      <c r="M125" s="14" t="s">
        <v>9158</v>
      </c>
      <c r="N125" s="14" t="s">
        <v>9158</v>
      </c>
      <c r="O125" s="14" t="s">
        <v>9158</v>
      </c>
      <c r="P125" s="14" t="s">
        <v>9158</v>
      </c>
      <c r="Q125" s="14" t="s">
        <v>9158</v>
      </c>
    </row>
    <row r="126" spans="1:17">
      <c r="A126" s="14">
        <v>52973</v>
      </c>
      <c r="B126" s="14" t="s">
        <v>15</v>
      </c>
      <c r="C126" s="14" t="s">
        <v>206</v>
      </c>
      <c r="D126" s="19" t="s">
        <v>10519</v>
      </c>
      <c r="E126" s="15" t="str">
        <f>HYPERLINK("https://stat100.ameba.jp/tnk47/ratio20/illustrations/card/ill_52973_torampuamoronagu03.jpg?202011-5-RELEASE-marathon-501xxxx", "■")</f>
        <v>■</v>
      </c>
      <c r="F126" s="14" t="s">
        <v>6421</v>
      </c>
      <c r="G126" s="14">
        <v>65208</v>
      </c>
      <c r="H126" s="14">
        <v>59144</v>
      </c>
      <c r="I126" s="14">
        <v>22</v>
      </c>
      <c r="J126" s="14" t="s">
        <v>44</v>
      </c>
      <c r="K126" s="14" t="s">
        <v>6419</v>
      </c>
      <c r="L126" s="14" t="s">
        <v>6418</v>
      </c>
      <c r="M126" s="14" t="s">
        <v>9158</v>
      </c>
      <c r="N126" s="14" t="s">
        <v>9158</v>
      </c>
      <c r="O126" s="14" t="s">
        <v>9158</v>
      </c>
      <c r="P126" s="14" t="s">
        <v>9158</v>
      </c>
      <c r="Q126" s="14" t="s">
        <v>9158</v>
      </c>
    </row>
    <row r="127" spans="1:17">
      <c r="A127" s="14">
        <v>52333</v>
      </c>
      <c r="B127" s="14" t="s">
        <v>15</v>
      </c>
      <c r="C127" s="14" t="s">
        <v>200</v>
      </c>
      <c r="D127" s="19" t="s">
        <v>10537</v>
      </c>
      <c r="E127" s="15" t="str">
        <f>HYPERLINK("https://stat100.ameba.jp/tnk47/ratio20/illustrations/card/ill_52333_chichibuyomatsuri03.jpg?202011-5-RELEASE-marathon-501xxxx", "■")</f>
        <v>■</v>
      </c>
      <c r="F127" s="14" t="s">
        <v>3614</v>
      </c>
      <c r="G127" s="14">
        <v>65208</v>
      </c>
      <c r="H127" s="14">
        <v>59144</v>
      </c>
      <c r="I127" s="14">
        <v>22</v>
      </c>
      <c r="J127" s="14" t="s">
        <v>38</v>
      </c>
      <c r="K127" s="14" t="s">
        <v>3615</v>
      </c>
      <c r="L127" s="14" t="s">
        <v>3616</v>
      </c>
      <c r="M127" s="14" t="s">
        <v>9158</v>
      </c>
      <c r="N127" s="14" t="s">
        <v>9158</v>
      </c>
      <c r="O127" s="14" t="s">
        <v>9158</v>
      </c>
      <c r="P127" s="14" t="s">
        <v>9158</v>
      </c>
      <c r="Q127" s="14" t="s">
        <v>9158</v>
      </c>
    </row>
    <row r="128" spans="1:17">
      <c r="A128" s="14">
        <v>51913</v>
      </c>
      <c r="B128" s="14" t="s">
        <v>15</v>
      </c>
      <c r="C128" s="14" t="s">
        <v>191</v>
      </c>
      <c r="D128" s="19" t="s">
        <v>10538</v>
      </c>
      <c r="E128" s="15" t="str">
        <f>HYPERLINK("https://stat100.ameba.jp/tnk47/ratio20/illustrations/card/ill_51913_kemonomizugihamahime03.jpg?202011-5-RELEASE-marathon-501xxxx", "■")</f>
        <v>■</v>
      </c>
      <c r="F128" s="14" t="s">
        <v>6501</v>
      </c>
      <c r="G128" s="14">
        <v>59144</v>
      </c>
      <c r="H128" s="14">
        <v>65208</v>
      </c>
      <c r="I128" s="14">
        <v>22</v>
      </c>
      <c r="J128" s="14" t="s">
        <v>182</v>
      </c>
      <c r="K128" s="14" t="s">
        <v>6500</v>
      </c>
      <c r="L128" s="14" t="s">
        <v>6499</v>
      </c>
      <c r="M128" s="14" t="s">
        <v>9158</v>
      </c>
      <c r="N128" s="14" t="s">
        <v>9158</v>
      </c>
      <c r="O128" s="14" t="s">
        <v>9158</v>
      </c>
      <c r="P128" s="14" t="s">
        <v>9158</v>
      </c>
      <c r="Q128" s="14" t="s">
        <v>9158</v>
      </c>
    </row>
    <row r="129" spans="1:17">
      <c r="A129" s="14">
        <v>53203</v>
      </c>
      <c r="B129" s="14" t="s">
        <v>15</v>
      </c>
      <c r="C129" s="14" t="s">
        <v>165</v>
      </c>
      <c r="D129" s="20" t="s">
        <v>10494</v>
      </c>
      <c r="E129" s="15" t="str">
        <f>HYPERLINK("https://stat100.ameba.jp/tnk47/ratio20/illustrations/card/ill_53203_buruhawaichan03.jpg?202011-5-RELEASE-marathon-501xxxx", "■")</f>
        <v>■</v>
      </c>
      <c r="F129" s="14" t="s">
        <v>6258</v>
      </c>
      <c r="G129" s="14">
        <v>59144</v>
      </c>
      <c r="H129" s="14">
        <v>65208</v>
      </c>
      <c r="I129" s="14">
        <v>22</v>
      </c>
      <c r="J129" s="14" t="s">
        <v>104</v>
      </c>
      <c r="K129" s="14" t="s">
        <v>6261</v>
      </c>
      <c r="L129" s="14" t="s">
        <v>6260</v>
      </c>
      <c r="M129" s="14" t="s">
        <v>9158</v>
      </c>
      <c r="N129" s="14" t="s">
        <v>9158</v>
      </c>
      <c r="O129" s="14" t="s">
        <v>9158</v>
      </c>
      <c r="P129" s="14" t="s">
        <v>9158</v>
      </c>
      <c r="Q129" s="14" t="s">
        <v>9158</v>
      </c>
    </row>
    <row r="131" spans="1:17">
      <c r="A131" s="14" t="s">
        <v>12630</v>
      </c>
    </row>
    <row r="132" spans="1:17">
      <c r="A132" s="14">
        <v>235053</v>
      </c>
      <c r="B132" s="14" t="s">
        <v>15724</v>
      </c>
    </row>
    <row r="133" spans="1:17">
      <c r="A133" s="14">
        <v>235063</v>
      </c>
      <c r="B133" s="14" t="s">
        <v>15725</v>
      </c>
    </row>
    <row r="134" spans="1:17">
      <c r="A134" s="9" t="s">
        <v>13401</v>
      </c>
      <c r="B134" s="9"/>
    </row>
    <row r="135" spans="1:17">
      <c r="A135" s="14" t="s">
        <v>7150</v>
      </c>
      <c r="B135" s="14" t="s">
        <v>52</v>
      </c>
      <c r="C135" s="14" t="s">
        <v>202</v>
      </c>
      <c r="D135" s="20" t="s">
        <v>10656</v>
      </c>
      <c r="E135" s="15" t="str">
        <f>HYPERLINK("https://stat100.ameba.jp/tnk47/ratio20/illustrations/card/ill_84203_0_tarottofujiwaranoshoshi03.jpg?202011-5-RELEASE-marathon-501xxxx", "■")</f>
        <v>■</v>
      </c>
      <c r="F135" s="14" t="s">
        <v>7153</v>
      </c>
      <c r="G135" s="14">
        <v>397406</v>
      </c>
      <c r="H135" s="14">
        <v>359198</v>
      </c>
      <c r="I135" s="14">
        <v>27</v>
      </c>
      <c r="J135" s="14" t="s">
        <v>10</v>
      </c>
      <c r="K135" s="14" t="s">
        <v>7152</v>
      </c>
      <c r="L135" s="14" t="s">
        <v>7151</v>
      </c>
      <c r="M135" s="14" t="s">
        <v>9158</v>
      </c>
      <c r="N135" s="14" t="s">
        <v>9158</v>
      </c>
      <c r="O135" s="19" t="s">
        <v>10128</v>
      </c>
      <c r="P135" s="14" t="s">
        <v>7154</v>
      </c>
      <c r="Q135" s="14">
        <v>1</v>
      </c>
    </row>
    <row r="136" spans="1:17">
      <c r="A136" s="14" t="s">
        <v>6598</v>
      </c>
      <c r="B136" s="14" t="s">
        <v>330</v>
      </c>
      <c r="C136" s="14" t="s">
        <v>35</v>
      </c>
      <c r="D136" s="19" t="s">
        <v>10555</v>
      </c>
      <c r="E136" s="15" t="str">
        <f>HYPERLINK("https://stat100.ameba.jp/tnk47/ratio20/illustrations/card/ill_83553_0_kajuenamoronagu03.jpg?202011-5-RELEASE-marathon-501xxxx", "■")</f>
        <v>■</v>
      </c>
      <c r="F136" s="14" t="s">
        <v>6597</v>
      </c>
      <c r="G136" s="14">
        <v>284219</v>
      </c>
      <c r="H136" s="14">
        <v>314478</v>
      </c>
      <c r="I136" s="14">
        <v>27</v>
      </c>
      <c r="J136" s="14" t="s">
        <v>44</v>
      </c>
      <c r="K136" s="14" t="s">
        <v>6595</v>
      </c>
      <c r="L136" s="14" t="s">
        <v>6594</v>
      </c>
      <c r="M136" s="14" t="s">
        <v>9158</v>
      </c>
      <c r="N136" s="14" t="s">
        <v>9158</v>
      </c>
      <c r="O136" s="19" t="s">
        <v>10125</v>
      </c>
      <c r="P136" s="14" t="s">
        <v>6599</v>
      </c>
      <c r="Q136" s="14">
        <v>1</v>
      </c>
    </row>
    <row r="137" spans="1:17">
      <c r="A137" s="14" t="s">
        <v>5619</v>
      </c>
      <c r="B137" s="14" t="s">
        <v>330</v>
      </c>
      <c r="C137" s="14" t="s">
        <v>202</v>
      </c>
      <c r="D137" s="19" t="s">
        <v>10348</v>
      </c>
      <c r="E137" s="15" t="str">
        <f>HYPERLINK("https://stat100.ameba.jp/tnk47/ratio20/illustrations/card/ill_81183_0_shinryokunokisetsuamaterasu03.jpg?202011-5-RELEASE-marathon-501xxxx", "■")</f>
        <v>■</v>
      </c>
      <c r="F137" s="14" t="s">
        <v>4505</v>
      </c>
      <c r="G137" s="14">
        <v>283637</v>
      </c>
      <c r="H137" s="14">
        <v>313857</v>
      </c>
      <c r="I137" s="14">
        <v>27</v>
      </c>
      <c r="J137" s="14" t="s">
        <v>44</v>
      </c>
      <c r="K137" s="14" t="s">
        <v>4506</v>
      </c>
      <c r="L137" s="14" t="s">
        <v>4507</v>
      </c>
      <c r="M137" s="14" t="s">
        <v>9158</v>
      </c>
      <c r="N137" s="14" t="s">
        <v>9158</v>
      </c>
      <c r="O137" s="19" t="s">
        <v>10083</v>
      </c>
      <c r="P137" s="14" t="s">
        <v>4509</v>
      </c>
      <c r="Q137" s="14">
        <v>0</v>
      </c>
    </row>
    <row r="138" spans="1:17">
      <c r="A138" s="14">
        <v>89473</v>
      </c>
      <c r="B138" s="14" t="s">
        <v>0</v>
      </c>
      <c r="C138" s="14" t="s">
        <v>14</v>
      </c>
      <c r="D138" s="14" t="s">
        <v>12991</v>
      </c>
      <c r="E138" s="15" t="str">
        <f>HYPERLINK("https://stat100.ameba.jp/tnk47/ratio20/illustrations/card/ill_89473_resshanotabikasajizo03.jpg?202011-5-RELEASE-marathon-501xxxx", "■")</f>
        <v>■</v>
      </c>
      <c r="F138" s="14" t="s">
        <v>12995</v>
      </c>
      <c r="G138" s="14">
        <v>110129</v>
      </c>
      <c r="H138" s="14">
        <v>102386</v>
      </c>
      <c r="I138" s="7">
        <v>27</v>
      </c>
      <c r="J138" s="14" t="s">
        <v>38</v>
      </c>
      <c r="K138" s="14" t="s">
        <v>12997</v>
      </c>
      <c r="L138" s="14" t="s">
        <v>12998</v>
      </c>
      <c r="M138" s="14" t="s">
        <v>9158</v>
      </c>
      <c r="N138" s="14" t="s">
        <v>9158</v>
      </c>
      <c r="O138" s="14" t="s">
        <v>9158</v>
      </c>
      <c r="P138" s="14" t="s">
        <v>9158</v>
      </c>
      <c r="Q138" s="14" t="s">
        <v>9158</v>
      </c>
    </row>
    <row r="139" spans="1:17">
      <c r="A139" s="14">
        <v>82773</v>
      </c>
      <c r="B139" s="14" t="s">
        <v>0</v>
      </c>
      <c r="C139" s="14" t="s">
        <v>200</v>
      </c>
      <c r="D139" s="14" t="s">
        <v>14838</v>
      </c>
      <c r="E139" s="15" t="str">
        <f>HYPERLINK("https://stat100.ameba.jp/tnk47/ratio20/illustrations/card/ill_82773_furesshumirukuraguzatama03.jpg?202011-5-RELEASE-marathon-501xxxx", "■")</f>
        <v>■</v>
      </c>
      <c r="F139" s="14" t="s">
        <v>5871</v>
      </c>
      <c r="G139" s="14">
        <v>101837</v>
      </c>
      <c r="H139" s="14">
        <v>109481</v>
      </c>
      <c r="I139" s="14">
        <v>27</v>
      </c>
      <c r="J139" s="14" t="s">
        <v>16</v>
      </c>
      <c r="K139" s="14" t="s">
        <v>5873</v>
      </c>
      <c r="L139" s="14" t="s">
        <v>124</v>
      </c>
      <c r="M139" s="14" t="s">
        <v>9158</v>
      </c>
      <c r="N139" s="14" t="s">
        <v>9158</v>
      </c>
      <c r="O139" s="14" t="s">
        <v>9158</v>
      </c>
      <c r="P139" s="14" t="s">
        <v>9158</v>
      </c>
      <c r="Q139" s="14" t="s">
        <v>9158</v>
      </c>
    </row>
    <row r="140" spans="1:17">
      <c r="A140" s="14">
        <v>89303</v>
      </c>
      <c r="B140" s="14" t="s">
        <v>0</v>
      </c>
      <c r="C140" s="14" t="s">
        <v>101</v>
      </c>
      <c r="D140" s="14" t="s">
        <v>12706</v>
      </c>
      <c r="E140" s="15" t="str">
        <f>HYPERLINK("https://stat100.ameba.jp/tnk47/ratio20/illustrations/card/ill_89303_ransaapaosha03.jpg?202011-5-RELEASE-marathon-501xxxx", "■")</f>
        <v>■</v>
      </c>
      <c r="F140" s="14" t="s">
        <v>12712</v>
      </c>
      <c r="G140" s="14">
        <v>123002</v>
      </c>
      <c r="H140" s="14">
        <v>114362</v>
      </c>
      <c r="I140" s="14">
        <v>27</v>
      </c>
      <c r="J140" s="14" t="s">
        <v>38</v>
      </c>
      <c r="K140" s="14" t="s">
        <v>12714</v>
      </c>
      <c r="L140" s="14" t="s">
        <v>12715</v>
      </c>
      <c r="M140" s="14" t="s">
        <v>9158</v>
      </c>
      <c r="N140" s="14" t="s">
        <v>9158</v>
      </c>
      <c r="O140" s="14" t="s">
        <v>9158</v>
      </c>
      <c r="P140" s="14" t="s">
        <v>9158</v>
      </c>
      <c r="Q140" s="14" t="s">
        <v>9158</v>
      </c>
    </row>
    <row r="141" spans="1:17">
      <c r="A141" s="9">
        <v>87323</v>
      </c>
      <c r="B141" s="9" t="s">
        <v>0</v>
      </c>
      <c r="C141" s="9" t="s">
        <v>165</v>
      </c>
      <c r="D141" s="19" t="s">
        <v>10995</v>
      </c>
      <c r="E141" s="15" t="str">
        <f>HYPERLINK("https://stat100.ameba.jp/tnk47/ratio20/illustrations/card/ill_87323_takopakuidaorechan03.jpg?202011-5-RELEASE-marathon-501xxxx", "■")</f>
        <v>■</v>
      </c>
      <c r="F141" s="9" t="s">
        <v>9830</v>
      </c>
      <c r="G141" s="9">
        <v>114362</v>
      </c>
      <c r="H141" s="9">
        <v>123002</v>
      </c>
      <c r="I141" s="14">
        <v>27</v>
      </c>
      <c r="J141" s="9" t="s">
        <v>229</v>
      </c>
      <c r="K141" s="9" t="s">
        <v>9829</v>
      </c>
      <c r="L141" s="9" t="s">
        <v>7427</v>
      </c>
      <c r="M141" s="14" t="s">
        <v>9158</v>
      </c>
      <c r="N141" s="14" t="s">
        <v>9158</v>
      </c>
      <c r="O141" s="14" t="s">
        <v>9158</v>
      </c>
      <c r="P141" s="14" t="s">
        <v>9158</v>
      </c>
      <c r="Q141" s="14" t="s">
        <v>9158</v>
      </c>
    </row>
    <row r="142" spans="1:17">
      <c r="A142" s="14">
        <v>90793</v>
      </c>
      <c r="B142" s="14" t="s">
        <v>0</v>
      </c>
      <c r="C142" s="14" t="s">
        <v>1</v>
      </c>
      <c r="D142" s="14" t="s">
        <v>14411</v>
      </c>
      <c r="E142" s="15" t="str">
        <f>HYPERLINK("https://stat100.ameba.jp/tnk47/ratio20/illustrations/card/ill_90793_suitsuzammaininko03.jpg?202011-5-RELEASE-marathon-501xxxx", "■")</f>
        <v>■</v>
      </c>
      <c r="F142" s="14" t="s">
        <v>14410</v>
      </c>
      <c r="G142" s="14">
        <v>118568</v>
      </c>
      <c r="H142" s="14">
        <v>127507</v>
      </c>
      <c r="I142" s="7">
        <v>27</v>
      </c>
      <c r="J142" s="14" t="s">
        <v>73</v>
      </c>
      <c r="K142" s="14" t="s">
        <v>14408</v>
      </c>
      <c r="L142" s="14" t="s">
        <v>13096</v>
      </c>
      <c r="M142" s="14" t="s">
        <v>9158</v>
      </c>
      <c r="N142" s="14" t="s">
        <v>9158</v>
      </c>
      <c r="O142" s="14" t="s">
        <v>9158</v>
      </c>
      <c r="P142" s="14" t="s">
        <v>9158</v>
      </c>
      <c r="Q142" s="14" t="s">
        <v>9158</v>
      </c>
    </row>
    <row r="143" spans="1:17">
      <c r="A143" s="7">
        <v>85313</v>
      </c>
      <c r="B143" s="7" t="s">
        <v>0</v>
      </c>
      <c r="C143" s="7" t="s">
        <v>206</v>
      </c>
      <c r="D143" s="19" t="s">
        <v>14016</v>
      </c>
      <c r="E143" s="15" t="str">
        <f>HYPERLINK("https://stat100.ameba.jp/tnk47/ratio20/illustrations/card/ill_85313_chukahantentachibanaginchiyo03.jpg?202011-5-RELEASE-marathon-501xxxx", "■")</f>
        <v>■</v>
      </c>
      <c r="F143" s="7" t="s">
        <v>8270</v>
      </c>
      <c r="G143" s="7">
        <v>105465</v>
      </c>
      <c r="H143" s="7">
        <v>98019</v>
      </c>
      <c r="I143" s="7">
        <v>27</v>
      </c>
      <c r="J143" s="7" t="s">
        <v>187</v>
      </c>
      <c r="K143" s="7" t="s">
        <v>14015</v>
      </c>
      <c r="L143" s="7" t="s">
        <v>8269</v>
      </c>
      <c r="M143" s="14" t="s">
        <v>9158</v>
      </c>
      <c r="N143" s="14" t="s">
        <v>9158</v>
      </c>
      <c r="O143" s="14" t="s">
        <v>9158</v>
      </c>
      <c r="P143" s="14" t="s">
        <v>9158</v>
      </c>
      <c r="Q143" s="14" t="s">
        <v>9158</v>
      </c>
    </row>
    <row r="145" spans="1:18">
      <c r="A145" s="14" t="s">
        <v>13327</v>
      </c>
    </row>
    <row r="146" spans="1:18">
      <c r="A146" s="14">
        <v>104553</v>
      </c>
      <c r="B146" s="14" t="s">
        <v>15557</v>
      </c>
    </row>
    <row r="147" spans="1:18">
      <c r="A147" s="14">
        <v>90183</v>
      </c>
      <c r="B147" s="14" t="s">
        <v>0</v>
      </c>
      <c r="C147" s="14" t="s">
        <v>335</v>
      </c>
      <c r="D147" s="14" t="s">
        <v>13264</v>
      </c>
      <c r="E147" s="15" t="str">
        <f>HYPERLINK("https://stat100.ameba.jp/tnk47/ratio20/illustrations/card/ill_90183_shinsetsunojou03.jpg?202011-5-RELEASE-marathon-501xxxx", "■")</f>
        <v>■</v>
      </c>
      <c r="F147" s="14" t="s">
        <v>13267</v>
      </c>
      <c r="G147" s="14">
        <v>128160</v>
      </c>
      <c r="H147" s="14">
        <v>137846</v>
      </c>
      <c r="I147" s="14">
        <v>28</v>
      </c>
      <c r="J147" s="14" t="s">
        <v>44</v>
      </c>
      <c r="K147" s="14" t="s">
        <v>13266</v>
      </c>
      <c r="L147" s="14" t="s">
        <v>13272</v>
      </c>
      <c r="M147" s="14" t="s">
        <v>2138</v>
      </c>
      <c r="N147" s="14" t="s">
        <v>2139</v>
      </c>
      <c r="O147" s="14" t="s">
        <v>9158</v>
      </c>
      <c r="P147" s="14" t="s">
        <v>9158</v>
      </c>
      <c r="Q147" s="14" t="s">
        <v>9158</v>
      </c>
      <c r="R147" s="14" t="s">
        <v>14748</v>
      </c>
    </row>
    <row r="148" spans="1:18">
      <c r="A148" s="14">
        <v>90182</v>
      </c>
      <c r="B148" s="14" t="s">
        <v>0</v>
      </c>
      <c r="C148" s="14" t="s">
        <v>335</v>
      </c>
      <c r="D148" s="14" t="s">
        <v>13264</v>
      </c>
      <c r="E148" s="15" t="str">
        <f>HYPERLINK("https://stat100.ameba.jp/tnk47/ratio20/illustrations/card/ill_90182_shinsetsunojou02.jpg?202011-5-RELEASE-marathon-501xxxx", "■")</f>
        <v>■</v>
      </c>
      <c r="F148" s="14" t="s">
        <v>13267</v>
      </c>
      <c r="G148" s="14">
        <v>106148</v>
      </c>
      <c r="H148" s="14">
        <v>115230</v>
      </c>
      <c r="I148" s="14">
        <v>28</v>
      </c>
      <c r="J148" s="14" t="s">
        <v>44</v>
      </c>
      <c r="K148" s="14" t="s">
        <v>13266</v>
      </c>
      <c r="L148" s="14" t="s">
        <v>13272</v>
      </c>
      <c r="M148" s="14" t="s">
        <v>13270</v>
      </c>
      <c r="N148" s="14" t="s">
        <v>13271</v>
      </c>
      <c r="O148" s="14" t="s">
        <v>9158</v>
      </c>
      <c r="P148" s="14" t="s">
        <v>9158</v>
      </c>
      <c r="Q148" s="14" t="s">
        <v>9158</v>
      </c>
      <c r="R148" s="14" t="s">
        <v>14748</v>
      </c>
    </row>
    <row r="149" spans="1:18">
      <c r="A149" s="14">
        <v>90181</v>
      </c>
      <c r="B149" s="14" t="s">
        <v>0</v>
      </c>
      <c r="C149" s="14" t="s">
        <v>335</v>
      </c>
      <c r="D149" s="14" t="s">
        <v>13264</v>
      </c>
      <c r="E149" s="15" t="str">
        <f>HYPERLINK("https://stat100.ameba.jp/tnk47/ratio20/illustrations/card/ill_90181_shinsetsunojou01.jpg?202011-5-RELEASE-marathon-501xxxx", "■")</f>
        <v>■</v>
      </c>
      <c r="F149" s="14" t="s">
        <v>13267</v>
      </c>
      <c r="G149" s="14">
        <v>81900</v>
      </c>
      <c r="H149" s="14">
        <v>87976</v>
      </c>
      <c r="I149" s="14">
        <v>28</v>
      </c>
      <c r="J149" s="14" t="s">
        <v>44</v>
      </c>
      <c r="K149" s="14" t="s">
        <v>13266</v>
      </c>
      <c r="L149" s="14" t="s">
        <v>13272</v>
      </c>
      <c r="M149" s="14" t="s">
        <v>13270</v>
      </c>
      <c r="N149" s="14" t="s">
        <v>13271</v>
      </c>
      <c r="O149" s="14" t="s">
        <v>9158</v>
      </c>
      <c r="P149" s="14" t="s">
        <v>9158</v>
      </c>
      <c r="Q149" s="14" t="s">
        <v>9158</v>
      </c>
      <c r="R149" s="14" t="s">
        <v>14748</v>
      </c>
    </row>
    <row r="150" spans="1:18">
      <c r="A150" s="14">
        <v>90193</v>
      </c>
      <c r="B150" s="14" t="s">
        <v>0</v>
      </c>
      <c r="C150" s="14" t="s">
        <v>200</v>
      </c>
      <c r="D150" s="14" t="s">
        <v>13273</v>
      </c>
      <c r="E150" s="15" t="str">
        <f>HYPERLINK("https://stat100.ameba.jp/tnk47/ratio20/illustrations/card/ill_90193_puchidebirubani03.jpg?202011-5-RELEASE-marathon-501xxxx", "■")</f>
        <v>■</v>
      </c>
      <c r="F150" s="14" t="s">
        <v>13274</v>
      </c>
      <c r="G150" s="14">
        <v>128160</v>
      </c>
      <c r="H150" s="14">
        <v>137846</v>
      </c>
      <c r="I150" s="14">
        <v>28</v>
      </c>
      <c r="J150" s="14" t="s">
        <v>73</v>
      </c>
      <c r="K150" s="14" t="s">
        <v>13277</v>
      </c>
      <c r="L150" s="14" t="s">
        <v>13276</v>
      </c>
      <c r="M150" s="14" t="s">
        <v>2138</v>
      </c>
      <c r="N150" s="14" t="s">
        <v>2139</v>
      </c>
      <c r="O150" s="14" t="s">
        <v>9158</v>
      </c>
      <c r="P150" s="14" t="s">
        <v>9158</v>
      </c>
      <c r="Q150" s="14" t="s">
        <v>9158</v>
      </c>
      <c r="R150" s="14" t="s">
        <v>14748</v>
      </c>
    </row>
    <row r="151" spans="1:18">
      <c r="A151" s="14">
        <v>90203</v>
      </c>
      <c r="B151" s="14" t="s">
        <v>0</v>
      </c>
      <c r="C151" s="14" t="s">
        <v>307</v>
      </c>
      <c r="D151" s="14" t="s">
        <v>13278</v>
      </c>
      <c r="E151" s="15" t="str">
        <f>HYPERLINK("https://stat100.ameba.jp/tnk47/ratio20/illustrations/card/ill_90203_kyuteigakademeru03.jpg?202011-5-RELEASE-marathon-501xxxx", "■")</f>
        <v>■</v>
      </c>
      <c r="F151" s="14" t="s">
        <v>13279</v>
      </c>
      <c r="G151" s="14">
        <v>128160</v>
      </c>
      <c r="H151" s="14">
        <v>137846</v>
      </c>
      <c r="I151" s="14">
        <v>28</v>
      </c>
      <c r="J151" s="14" t="s">
        <v>10</v>
      </c>
      <c r="K151" s="14" t="s">
        <v>13281</v>
      </c>
      <c r="L151" s="14" t="s">
        <v>13282</v>
      </c>
      <c r="M151" s="14" t="s">
        <v>2138</v>
      </c>
      <c r="N151" s="14" t="s">
        <v>2139</v>
      </c>
      <c r="O151" s="14" t="s">
        <v>9158</v>
      </c>
      <c r="P151" s="14" t="s">
        <v>9158</v>
      </c>
      <c r="Q151" s="14" t="s">
        <v>9158</v>
      </c>
      <c r="R151" s="14" t="s">
        <v>14748</v>
      </c>
    </row>
    <row r="152" spans="1:18">
      <c r="A152" s="14">
        <v>90213</v>
      </c>
      <c r="B152" s="14" t="s">
        <v>0</v>
      </c>
      <c r="C152" s="14" t="s">
        <v>165</v>
      </c>
      <c r="D152" s="14" t="s">
        <v>13283</v>
      </c>
      <c r="E152" s="15" t="str">
        <f>HYPERLINK("https://stat100.ameba.jp/tnk47/ratio20/illustrations/card/ill_90213_kenkyushinomaruyo03.jpg?202011-5-RELEASE-marathon-501xxxx", "■")</f>
        <v>■</v>
      </c>
      <c r="F152" s="14" t="s">
        <v>13284</v>
      </c>
      <c r="G152" s="14">
        <v>137846</v>
      </c>
      <c r="H152" s="14">
        <v>128160</v>
      </c>
      <c r="I152" s="14">
        <v>28</v>
      </c>
      <c r="J152" s="14" t="s">
        <v>16</v>
      </c>
      <c r="K152" s="14" t="s">
        <v>13286</v>
      </c>
      <c r="L152" s="14" t="s">
        <v>13287</v>
      </c>
      <c r="M152" s="14" t="s">
        <v>2138</v>
      </c>
      <c r="N152" s="14" t="s">
        <v>2139</v>
      </c>
      <c r="O152" s="14" t="s">
        <v>9158</v>
      </c>
      <c r="P152" s="14" t="s">
        <v>9158</v>
      </c>
      <c r="Q152" s="14" t="s">
        <v>9158</v>
      </c>
      <c r="R152" s="14" t="s">
        <v>14748</v>
      </c>
    </row>
    <row r="153" spans="1:18">
      <c r="A153" s="14">
        <v>90223</v>
      </c>
      <c r="B153" s="14" t="s">
        <v>0</v>
      </c>
      <c r="C153" s="9" t="s">
        <v>205</v>
      </c>
      <c r="D153" s="14" t="s">
        <v>13288</v>
      </c>
      <c r="E153" s="15" t="str">
        <f>HYPERLINK("https://stat100.ameba.jp/tnk47/ratio20/illustrations/card/ill_90223_karunepurinshipe03.jpg?202011-5-RELEASE-marathon-501xxxx", "■")</f>
        <v>■</v>
      </c>
      <c r="F153" s="14" t="s">
        <v>13289</v>
      </c>
      <c r="G153" s="14">
        <v>137846</v>
      </c>
      <c r="H153" s="14">
        <v>128160</v>
      </c>
      <c r="I153" s="14">
        <v>28</v>
      </c>
      <c r="J153" s="14" t="s">
        <v>104</v>
      </c>
      <c r="K153" s="14" t="s">
        <v>13291</v>
      </c>
      <c r="L153" s="14" t="s">
        <v>13292</v>
      </c>
      <c r="M153" s="14" t="s">
        <v>2138</v>
      </c>
      <c r="N153" s="14" t="s">
        <v>2139</v>
      </c>
      <c r="O153" s="14" t="s">
        <v>9158</v>
      </c>
      <c r="P153" s="14" t="s">
        <v>9158</v>
      </c>
      <c r="Q153" s="14" t="s">
        <v>9158</v>
      </c>
      <c r="R153" s="14" t="s">
        <v>14748</v>
      </c>
    </row>
    <row r="154" spans="1:18">
      <c r="A154" s="14">
        <v>90233</v>
      </c>
      <c r="B154" s="14" t="s">
        <v>0</v>
      </c>
      <c r="C154" s="14" t="s">
        <v>206</v>
      </c>
      <c r="D154" s="14" t="s">
        <v>13293</v>
      </c>
      <c r="E154" s="15" t="str">
        <f>HYPERLINK("https://stat100.ameba.jp/tnk47/ratio20/illustrations/card/ill_90233_kakutokafuante03.jpg?202011-5-RELEASE-marathon-501xxxx", "■")</f>
        <v>■</v>
      </c>
      <c r="F154" s="14" t="s">
        <v>13294</v>
      </c>
      <c r="G154" s="14">
        <v>137846</v>
      </c>
      <c r="H154" s="14">
        <v>128160</v>
      </c>
      <c r="I154" s="14">
        <v>28</v>
      </c>
      <c r="J154" s="14" t="s">
        <v>143</v>
      </c>
      <c r="K154" s="14" t="s">
        <v>13296</v>
      </c>
      <c r="L154" s="14" t="s">
        <v>13297</v>
      </c>
      <c r="M154" s="14" t="s">
        <v>2138</v>
      </c>
      <c r="N154" s="14" t="s">
        <v>2139</v>
      </c>
      <c r="O154" s="14" t="s">
        <v>9158</v>
      </c>
      <c r="P154" s="14" t="s">
        <v>9158</v>
      </c>
      <c r="Q154" s="14" t="s">
        <v>9158</v>
      </c>
      <c r="R154" s="14" t="s">
        <v>14748</v>
      </c>
    </row>
    <row r="156" spans="1:18">
      <c r="A156" s="14" t="s">
        <v>15477</v>
      </c>
    </row>
    <row r="157" spans="1:18">
      <c r="A157" s="14">
        <v>235070</v>
      </c>
      <c r="B157" s="14" t="s">
        <v>15478</v>
      </c>
    </row>
    <row r="158" spans="1:18">
      <c r="A158" s="14">
        <v>235076</v>
      </c>
      <c r="B158" s="14" t="s">
        <v>15479</v>
      </c>
    </row>
    <row r="159" spans="1:18">
      <c r="A159" s="14" t="s">
        <v>15440</v>
      </c>
      <c r="B159" s="7" t="s">
        <v>52</v>
      </c>
      <c r="C159" s="14" t="s">
        <v>202</v>
      </c>
      <c r="D159" s="18" t="s">
        <v>15441</v>
      </c>
      <c r="E159" s="15" t="str">
        <f>HYPERLINK("https://stat100.ameba.jp/tnk47/ratio20/illustrations/card/ill_93683_0_yukemurionsenshirowainchan03.jpg?202011-5-RELEASE-marathon-501xxxx", "■")</f>
        <v>■</v>
      </c>
      <c r="F159" s="14" t="s">
        <v>15444</v>
      </c>
      <c r="G159" s="14">
        <v>277564</v>
      </c>
      <c r="H159" s="14">
        <v>339272</v>
      </c>
      <c r="I159" s="7">
        <v>28</v>
      </c>
      <c r="J159" s="14" t="s">
        <v>104</v>
      </c>
      <c r="K159" s="14" t="s">
        <v>15443</v>
      </c>
      <c r="L159" s="14" t="s">
        <v>15442</v>
      </c>
      <c r="M159" s="14" t="s">
        <v>9158</v>
      </c>
      <c r="N159" s="14" t="s">
        <v>9158</v>
      </c>
      <c r="O159" s="6" t="s">
        <v>15445</v>
      </c>
      <c r="P159" s="7" t="s">
        <v>15446</v>
      </c>
      <c r="Q159" s="7">
        <v>1</v>
      </c>
    </row>
    <row r="160" spans="1:18">
      <c r="A160" s="14">
        <v>93833</v>
      </c>
      <c r="B160" s="14" t="s">
        <v>15484</v>
      </c>
      <c r="C160" s="14" t="s">
        <v>15486</v>
      </c>
      <c r="D160" s="14" t="s">
        <v>15485</v>
      </c>
      <c r="E160" s="15" t="str">
        <f>HYPERLINK("https://stat100.ameba.jp/tnk47/ratio20/illustrations/card/ill_93833_romioandojurietto03.jpg?202011-5-RELEASE-marathon-501xxxx", "■")</f>
        <v>■</v>
      </c>
      <c r="F160" s="14" t="s">
        <v>15483</v>
      </c>
      <c r="G160" s="14">
        <v>127556</v>
      </c>
      <c r="H160" s="14">
        <v>118598</v>
      </c>
      <c r="I160" s="14">
        <v>28</v>
      </c>
      <c r="J160" s="14" t="s">
        <v>15482</v>
      </c>
      <c r="K160" s="14" t="s">
        <v>15481</v>
      </c>
      <c r="L160" s="14" t="s">
        <v>15480</v>
      </c>
      <c r="M160" s="14" t="s">
        <v>9158</v>
      </c>
      <c r="N160" s="14" t="s">
        <v>9158</v>
      </c>
      <c r="O160" s="14" t="s">
        <v>9158</v>
      </c>
      <c r="P160" s="14" t="s">
        <v>9158</v>
      </c>
      <c r="Q160" s="14" t="s">
        <v>9158</v>
      </c>
    </row>
    <row r="161" spans="1:17">
      <c r="A161" s="14">
        <v>93843</v>
      </c>
      <c r="B161" s="14" t="s">
        <v>15484</v>
      </c>
      <c r="C161" s="14" t="s">
        <v>15490</v>
      </c>
      <c r="D161" s="14" t="s">
        <v>15491</v>
      </c>
      <c r="E161" s="15" t="str">
        <f>HYPERLINK("https://stat100.ameba.jp/tnk47/ratio20/illustrations/card/ill_93843_sarukanigassen03.jpg?202011-5-RELEASE-marathon-501xxxx", "■")</f>
        <v>■</v>
      </c>
      <c r="F161" s="14" t="s">
        <v>15489</v>
      </c>
      <c r="G161" s="14">
        <v>106178</v>
      </c>
      <c r="H161" s="14">
        <v>114208</v>
      </c>
      <c r="I161" s="14">
        <v>28</v>
      </c>
      <c r="J161" s="14" t="s">
        <v>15482</v>
      </c>
      <c r="K161" s="14" t="s">
        <v>15488</v>
      </c>
      <c r="L161" s="14" t="s">
        <v>15487</v>
      </c>
      <c r="M161" s="14" t="s">
        <v>9158</v>
      </c>
      <c r="N161" s="14" t="s">
        <v>9158</v>
      </c>
      <c r="O161" s="14" t="s">
        <v>9158</v>
      </c>
      <c r="P161" s="14" t="s">
        <v>9158</v>
      </c>
      <c r="Q161" s="14" t="s">
        <v>9158</v>
      </c>
    </row>
    <row r="162" spans="1:17">
      <c r="A162" s="14">
        <v>93853</v>
      </c>
      <c r="B162" s="14" t="s">
        <v>15495</v>
      </c>
      <c r="C162" s="14" t="s">
        <v>15497</v>
      </c>
      <c r="D162" s="14" t="s">
        <v>15496</v>
      </c>
      <c r="E162" s="15" t="str">
        <f>HYPERLINK("https://stat100.ameba.jp/tnk47/ratio20/illustrations/card/ill_93853_kachikachiyama03.jpg?202011-5-RELEASE-marathon-501xxxx", "■")</f>
        <v>■</v>
      </c>
      <c r="F162" s="14" t="s">
        <v>15494</v>
      </c>
      <c r="G162" s="14">
        <v>82992</v>
      </c>
      <c r="H162" s="14">
        <v>75274</v>
      </c>
      <c r="I162" s="14">
        <v>28</v>
      </c>
      <c r="J162" s="14" t="s">
        <v>15482</v>
      </c>
      <c r="K162" s="14" t="s">
        <v>15493</v>
      </c>
      <c r="L162" s="14" t="s">
        <v>15492</v>
      </c>
      <c r="M162" s="14" t="s">
        <v>9158</v>
      </c>
      <c r="N162" s="14" t="s">
        <v>9158</v>
      </c>
      <c r="O162" s="14" t="s">
        <v>9158</v>
      </c>
      <c r="P162" s="14" t="s">
        <v>9158</v>
      </c>
      <c r="Q162" s="14" t="s">
        <v>9158</v>
      </c>
    </row>
    <row r="163" spans="1:17">
      <c r="A163" s="14">
        <v>93863</v>
      </c>
      <c r="B163" s="14" t="s">
        <v>15503</v>
      </c>
      <c r="C163" s="14" t="s">
        <v>15504</v>
      </c>
      <c r="D163" s="14" t="s">
        <v>15502</v>
      </c>
      <c r="E163" s="15" t="str">
        <f>HYPERLINK("https://stat100.ameba.jp/tnk47/ratio20/illustrations/card/ill_93863_kishukitanokata03.jpg?202011-5-RELEASE-marathon-501xxxx", "■")</f>
        <v>■</v>
      </c>
      <c r="F163" s="14" t="s">
        <v>15501</v>
      </c>
      <c r="G163" s="14">
        <v>48406</v>
      </c>
      <c r="H163" s="14">
        <v>58216</v>
      </c>
      <c r="I163" s="14">
        <v>28</v>
      </c>
      <c r="J163" s="14" t="s">
        <v>15500</v>
      </c>
      <c r="K163" s="14" t="s">
        <v>15499</v>
      </c>
      <c r="L163" s="14" t="s">
        <v>15498</v>
      </c>
      <c r="M163" s="14" t="s">
        <v>9158</v>
      </c>
      <c r="N163" s="14" t="s">
        <v>9158</v>
      </c>
      <c r="O163" s="14" t="s">
        <v>9158</v>
      </c>
      <c r="P163" s="14" t="s">
        <v>9158</v>
      </c>
      <c r="Q163" s="14" t="s">
        <v>9158</v>
      </c>
    </row>
    <row r="164" spans="1:17">
      <c r="A164" s="14">
        <v>93873</v>
      </c>
      <c r="B164" s="14" t="s">
        <v>15503</v>
      </c>
      <c r="C164" s="14" t="s">
        <v>15510</v>
      </c>
      <c r="D164" s="14" t="s">
        <v>15509</v>
      </c>
      <c r="E164" s="15" t="str">
        <f>HYPERLINK("https://stat100.ameba.jp/tnk47/ratio20/illustrations/card/ill_93873_isekiiwatsutsunoo03.jpg?202011-5-RELEASE-marathon-501xxxx", "■")</f>
        <v>■</v>
      </c>
      <c r="F164" s="14" t="s">
        <v>15508</v>
      </c>
      <c r="G164" s="14">
        <v>58216</v>
      </c>
      <c r="H164" s="14">
        <v>48406</v>
      </c>
      <c r="I164" s="14">
        <v>28</v>
      </c>
      <c r="J164" s="14" t="s">
        <v>15507</v>
      </c>
      <c r="K164" s="14" t="s">
        <v>15506</v>
      </c>
      <c r="L164" s="14" t="s">
        <v>15505</v>
      </c>
      <c r="M164" s="14" t="s">
        <v>9158</v>
      </c>
      <c r="N164" s="14" t="s">
        <v>9158</v>
      </c>
      <c r="O164" s="14" t="s">
        <v>9158</v>
      </c>
      <c r="P164" s="14" t="s">
        <v>9158</v>
      </c>
      <c r="Q164" s="14" t="s">
        <v>9158</v>
      </c>
    </row>
    <row r="166" spans="1:17">
      <c r="A166" s="14" t="s">
        <v>15511</v>
      </c>
    </row>
    <row r="167" spans="1:17">
      <c r="A167" s="14">
        <v>235102</v>
      </c>
      <c r="B167" s="14" t="s">
        <v>15512</v>
      </c>
    </row>
    <row r="168" spans="1:17">
      <c r="A168" s="9" t="s">
        <v>5609</v>
      </c>
      <c r="B168" s="14" t="s">
        <v>52</v>
      </c>
      <c r="C168" s="14" t="s">
        <v>200</v>
      </c>
      <c r="D168" s="14" t="s">
        <v>1713</v>
      </c>
      <c r="E168" s="15" t="str">
        <f>HYPERLINK("https://stat100.ameba.jp/tnk47/ratio20/illustrations/card/ill_53753_0_natsumatsuritokugawaieyasu03.jpg?202011-5-RELEASE-marathon-501xxxx", "■")</f>
        <v>■</v>
      </c>
      <c r="F168" s="14" t="s">
        <v>902</v>
      </c>
      <c r="G168" s="14">
        <v>138212</v>
      </c>
      <c r="H168" s="14">
        <v>122776</v>
      </c>
      <c r="I168" s="14">
        <v>22</v>
      </c>
      <c r="J168" s="14" t="s">
        <v>194</v>
      </c>
      <c r="K168" s="14" t="s">
        <v>1714</v>
      </c>
      <c r="L168" s="14" t="s">
        <v>904</v>
      </c>
      <c r="M168" s="14" t="s">
        <v>9158</v>
      </c>
      <c r="N168" s="14" t="s">
        <v>9158</v>
      </c>
      <c r="O168" s="17" t="s">
        <v>10052</v>
      </c>
      <c r="P168" s="14" t="s">
        <v>13121</v>
      </c>
      <c r="Q168" s="14">
        <v>1</v>
      </c>
    </row>
    <row r="169" spans="1:17">
      <c r="A169" s="14" t="s">
        <v>5620</v>
      </c>
      <c r="B169" s="14" t="s">
        <v>330</v>
      </c>
      <c r="C169" s="14" t="s">
        <v>206</v>
      </c>
      <c r="D169" s="20" t="s">
        <v>669</v>
      </c>
      <c r="E169" s="15" t="str">
        <f>HYPERLINK("https://stat100.ameba.jp/tnk47/ratio20/illustrations/card/ill_67173_0_yukemuriawamorichan03.jpg?202011-5-RELEASE-marathon-501xxxx", "■")</f>
        <v>■</v>
      </c>
      <c r="F169" s="14" t="s">
        <v>670</v>
      </c>
      <c r="G169" s="14">
        <v>169032</v>
      </c>
      <c r="H169" s="14">
        <v>157150</v>
      </c>
      <c r="I169" s="14">
        <v>22</v>
      </c>
      <c r="J169" s="14" t="s">
        <v>283</v>
      </c>
      <c r="K169" s="14" t="s">
        <v>671</v>
      </c>
      <c r="L169" s="14" t="s">
        <v>672</v>
      </c>
      <c r="M169" s="14" t="s">
        <v>9158</v>
      </c>
      <c r="N169" s="14" t="s">
        <v>9158</v>
      </c>
      <c r="O169" s="19" t="s">
        <v>10087</v>
      </c>
      <c r="P169" s="14" t="s">
        <v>3455</v>
      </c>
      <c r="Q169" s="14">
        <v>1</v>
      </c>
    </row>
    <row r="170" spans="1:17">
      <c r="A170" s="14" t="s">
        <v>5622</v>
      </c>
      <c r="B170" s="14" t="s">
        <v>330</v>
      </c>
      <c r="C170" s="14" t="s">
        <v>335</v>
      </c>
      <c r="D170" s="19" t="s">
        <v>509</v>
      </c>
      <c r="E170" s="15" t="str">
        <f>HYPERLINK("https://stat100.ameba.jp/tnk47/ratio20/illustrations/card/ill_49953_0_yushamarihime03.jpg?202011-5-RELEASE-marathon-501xxxx", "■")</f>
        <v>■</v>
      </c>
      <c r="F170" s="14" t="s">
        <v>510</v>
      </c>
      <c r="G170" s="14">
        <v>138212</v>
      </c>
      <c r="H170" s="14">
        <v>122776</v>
      </c>
      <c r="I170" s="14">
        <v>22</v>
      </c>
      <c r="J170" s="14" t="s">
        <v>315</v>
      </c>
      <c r="K170" s="14" t="s">
        <v>511</v>
      </c>
      <c r="L170" s="14" t="s">
        <v>512</v>
      </c>
      <c r="M170" s="14" t="s">
        <v>9158</v>
      </c>
      <c r="N170" s="14" t="s">
        <v>9158</v>
      </c>
      <c r="O170" s="14" t="s">
        <v>9158</v>
      </c>
      <c r="P170" s="14" t="s">
        <v>9158</v>
      </c>
      <c r="Q170" s="14" t="s">
        <v>9158</v>
      </c>
    </row>
    <row r="171" spans="1:17">
      <c r="A171" s="9">
        <v>77603</v>
      </c>
      <c r="B171" s="14" t="s">
        <v>0</v>
      </c>
      <c r="C171" s="14" t="s">
        <v>191</v>
      </c>
      <c r="D171" s="14" t="s">
        <v>1883</v>
      </c>
      <c r="E171" s="15" t="str">
        <f>HYPERLINK("https://stat100.ameba.jp/tnk47/ratio20/illustrations/card/ill_77603_kajinoikedasen03.jpg?202011-5-RELEASE-marathon-501xxxx", "■")</f>
        <v>■</v>
      </c>
      <c r="F171" s="14" t="s">
        <v>1884</v>
      </c>
      <c r="G171" s="14">
        <v>198226</v>
      </c>
      <c r="H171" s="14">
        <v>111523</v>
      </c>
      <c r="I171" s="14">
        <v>27</v>
      </c>
      <c r="J171" s="14" t="s">
        <v>143</v>
      </c>
      <c r="K171" s="14" t="s">
        <v>1885</v>
      </c>
      <c r="L171" s="14" t="s">
        <v>145</v>
      </c>
      <c r="M171" s="14" t="s">
        <v>9158</v>
      </c>
      <c r="N171" s="14" t="s">
        <v>9158</v>
      </c>
      <c r="O171" s="14" t="s">
        <v>9158</v>
      </c>
      <c r="P171" s="14" t="s">
        <v>9158</v>
      </c>
      <c r="Q171" s="14" t="s">
        <v>9158</v>
      </c>
    </row>
    <row r="172" spans="1:17">
      <c r="A172" s="14">
        <v>82193</v>
      </c>
      <c r="B172" s="14" t="s">
        <v>334</v>
      </c>
      <c r="C172" s="14" t="s">
        <v>206</v>
      </c>
      <c r="D172" s="20" t="s">
        <v>12437</v>
      </c>
      <c r="E172" s="15" t="str">
        <f>HYPERLINK("https://stat100.ameba.jp/tnk47/ratio20/illustrations/card/ill_82193_tsuyuromantatsukuchinawa03.jpg?202011-5-RELEASE-marathon-501xxxx", "■")</f>
        <v>■</v>
      </c>
      <c r="F172" s="14" t="s">
        <v>5248</v>
      </c>
      <c r="G172" s="14">
        <v>198226</v>
      </c>
      <c r="H172" s="14">
        <v>111523</v>
      </c>
      <c r="I172" s="14">
        <v>27</v>
      </c>
      <c r="J172" s="14" t="s">
        <v>73</v>
      </c>
      <c r="K172" s="14" t="s">
        <v>5250</v>
      </c>
      <c r="L172" s="14" t="s">
        <v>5251</v>
      </c>
      <c r="M172" s="14" t="s">
        <v>9158</v>
      </c>
      <c r="N172" s="14" t="s">
        <v>9158</v>
      </c>
      <c r="O172" s="14" t="s">
        <v>9158</v>
      </c>
      <c r="P172" s="14" t="s">
        <v>9158</v>
      </c>
      <c r="Q172" s="14" t="s">
        <v>9158</v>
      </c>
    </row>
    <row r="173" spans="1:17">
      <c r="A173" s="14">
        <v>82033</v>
      </c>
      <c r="B173" s="14" t="s">
        <v>334</v>
      </c>
      <c r="C173" s="14" t="s">
        <v>205</v>
      </c>
      <c r="D173" s="19" t="s">
        <v>10240</v>
      </c>
      <c r="E173" s="15" t="str">
        <f>HYPERLINK("https://stat100.ameba.jp/tnk47/ratio20/illustrations/card/ill_82033_chichinohiakashirejina03.jpg?202011-5-RELEASE-marathon-501xxxx", "■")</f>
        <v>■</v>
      </c>
      <c r="F173" s="14" t="s">
        <v>5126</v>
      </c>
      <c r="G173" s="14">
        <v>105465</v>
      </c>
      <c r="H173" s="14">
        <v>98019</v>
      </c>
      <c r="I173" s="14">
        <v>27</v>
      </c>
      <c r="J173" s="14" t="s">
        <v>10</v>
      </c>
      <c r="K173" s="14" t="s">
        <v>5128</v>
      </c>
      <c r="L173" s="14" t="s">
        <v>4347</v>
      </c>
      <c r="M173" s="14" t="s">
        <v>9158</v>
      </c>
      <c r="N173" s="14" t="s">
        <v>9158</v>
      </c>
      <c r="O173" s="14" t="s">
        <v>9158</v>
      </c>
      <c r="P173" s="14" t="s">
        <v>9158</v>
      </c>
      <c r="Q173" s="14" t="s">
        <v>9158</v>
      </c>
    </row>
    <row r="175" spans="1:17">
      <c r="A175" s="14" t="s">
        <v>15559</v>
      </c>
    </row>
    <row r="176" spans="1:17">
      <c r="A176" s="14">
        <v>235125</v>
      </c>
      <c r="B176" s="14" t="s">
        <v>15560</v>
      </c>
    </row>
    <row r="177" spans="1:18">
      <c r="A177" s="14">
        <v>93885</v>
      </c>
      <c r="B177" s="14" t="s">
        <v>0</v>
      </c>
      <c r="C177" s="14" t="s">
        <v>202</v>
      </c>
      <c r="D177" s="18" t="s">
        <v>15565</v>
      </c>
      <c r="E177" s="15" t="str">
        <f>HYPERLINK("https://stat100.ameba.jp/tnk47/ratio20/illustrations/card/ill_93885_hyakujukireo05.jpg?202011-5-RELEASE-marathon-501xxxx", "■")</f>
        <v>■</v>
      </c>
      <c r="F177" s="14" t="s">
        <v>15564</v>
      </c>
      <c r="G177" s="14">
        <v>145082</v>
      </c>
      <c r="H177" s="14">
        <v>200370</v>
      </c>
      <c r="I177" s="14">
        <v>28</v>
      </c>
      <c r="J177" s="14" t="s">
        <v>15563</v>
      </c>
      <c r="K177" s="14" t="s">
        <v>15562</v>
      </c>
      <c r="L177" s="14" t="s">
        <v>15561</v>
      </c>
      <c r="M177" s="14" t="s">
        <v>9158</v>
      </c>
      <c r="N177" s="14" t="s">
        <v>9158</v>
      </c>
      <c r="O177" s="14" t="s">
        <v>9158</v>
      </c>
      <c r="P177" s="14" t="s">
        <v>9158</v>
      </c>
      <c r="Q177" s="14" t="s">
        <v>9158</v>
      </c>
      <c r="R177" s="14" t="s">
        <v>174</v>
      </c>
    </row>
    <row r="178" spans="1:18">
      <c r="A178" s="14">
        <v>93883</v>
      </c>
      <c r="B178" s="14" t="s">
        <v>15</v>
      </c>
      <c r="C178" s="14" t="s">
        <v>41</v>
      </c>
      <c r="D178" s="18" t="s">
        <v>15565</v>
      </c>
      <c r="E178" s="15" t="str">
        <f>HYPERLINK("https://stat100.ameba.jp/tnk47/ratio20/illustrations/card/ill_93883_hyakujukireo03.jpg?202011-5-RELEASE-marathon-501xxxx", "■")</f>
        <v>■</v>
      </c>
      <c r="F178" s="14" t="s">
        <v>15564</v>
      </c>
      <c r="G178" s="14">
        <v>106890</v>
      </c>
      <c r="H178" s="14">
        <v>147630</v>
      </c>
      <c r="I178" s="14">
        <v>28</v>
      </c>
      <c r="J178" s="14" t="s">
        <v>15563</v>
      </c>
      <c r="K178" s="14" t="s">
        <v>15562</v>
      </c>
      <c r="L178" s="14" t="s">
        <v>15567</v>
      </c>
      <c r="M178" s="14" t="s">
        <v>9158</v>
      </c>
      <c r="N178" s="14" t="s">
        <v>9158</v>
      </c>
      <c r="O178" s="14" t="s">
        <v>9158</v>
      </c>
      <c r="P178" s="14" t="s">
        <v>9158</v>
      </c>
      <c r="Q178" s="14" t="s">
        <v>9158</v>
      </c>
      <c r="R178" s="14" t="s">
        <v>175</v>
      </c>
    </row>
    <row r="179" spans="1:18">
      <c r="A179" s="14">
        <v>93881</v>
      </c>
      <c r="B179" s="14" t="s">
        <v>15</v>
      </c>
      <c r="C179" s="14" t="s">
        <v>41</v>
      </c>
      <c r="D179" s="18" t="s">
        <v>15565</v>
      </c>
      <c r="E179" s="15" t="str">
        <f>HYPERLINK("https://stat100.ameba.jp/tnk47/ratio20/illustrations/card/ill_93881_hyakujukireo01.jpg?202011-5-RELEASE-marathon-501xxxx", "■")</f>
        <v>■</v>
      </c>
      <c r="F179" s="14" t="s">
        <v>15564</v>
      </c>
      <c r="G179" s="14">
        <v>68012</v>
      </c>
      <c r="H179" s="14">
        <v>93912</v>
      </c>
      <c r="I179" s="14">
        <v>28</v>
      </c>
      <c r="J179" s="14" t="s">
        <v>15563</v>
      </c>
      <c r="K179" s="14" t="s">
        <v>15562</v>
      </c>
      <c r="L179" s="14" t="s">
        <v>15566</v>
      </c>
      <c r="M179" s="14" t="s">
        <v>9158</v>
      </c>
      <c r="N179" s="14" t="s">
        <v>9158</v>
      </c>
      <c r="O179" s="14" t="s">
        <v>9158</v>
      </c>
      <c r="P179" s="14" t="s">
        <v>9158</v>
      </c>
      <c r="Q179" s="14" t="s">
        <v>9158</v>
      </c>
      <c r="R179" s="14" t="s">
        <v>176</v>
      </c>
    </row>
    <row r="181" spans="1:18">
      <c r="A181" s="14" t="s">
        <v>15568</v>
      </c>
    </row>
    <row r="182" spans="1:18">
      <c r="A182" s="14">
        <v>104573</v>
      </c>
      <c r="B182" s="14" t="s">
        <v>15569</v>
      </c>
    </row>
    <row r="183" spans="1:18">
      <c r="A183" s="14" t="s">
        <v>5606</v>
      </c>
      <c r="B183" s="14" t="s">
        <v>52</v>
      </c>
      <c r="C183" s="14" t="s">
        <v>206</v>
      </c>
      <c r="D183" s="19" t="s">
        <v>2936</v>
      </c>
      <c r="E183" s="15" t="str">
        <f>HYPERLINK("https://stat100.ameba.jp/tnk47/ratio20/illustrations/card/ill_72233_0_koinoboriryugujin03.jpg?202011-5-RELEASE-marathon-501xxxx", "■")</f>
        <v>■</v>
      </c>
      <c r="F183" s="14" t="s">
        <v>1012</v>
      </c>
      <c r="G183" s="14">
        <v>170550</v>
      </c>
      <c r="H183" s="14">
        <v>183446</v>
      </c>
      <c r="I183" s="14">
        <v>26</v>
      </c>
      <c r="J183" s="14" t="s">
        <v>44</v>
      </c>
      <c r="K183" s="14" t="s">
        <v>1013</v>
      </c>
      <c r="L183" s="14" t="s">
        <v>1014</v>
      </c>
      <c r="M183" s="14" t="s">
        <v>9158</v>
      </c>
      <c r="N183" s="14" t="s">
        <v>9158</v>
      </c>
      <c r="O183" s="19" t="s">
        <v>2940</v>
      </c>
      <c r="P183" s="14" t="s">
        <v>3420</v>
      </c>
      <c r="Q183" s="14">
        <v>2</v>
      </c>
    </row>
    <row r="184" spans="1:18">
      <c r="A184" s="14">
        <v>89013</v>
      </c>
      <c r="B184" s="14" t="s">
        <v>0</v>
      </c>
      <c r="C184" s="14" t="s">
        <v>23</v>
      </c>
      <c r="D184" s="18" t="s">
        <v>12538</v>
      </c>
      <c r="E184" s="15" t="str">
        <f>HYPERLINK("https://stat100.ameba.jp/tnk47/ratio20/illustrations/card/ill_89013_efuwanresutokugawaieyasu03.jpg?202011-5-RELEASE-marathon-501xxxx", "■")</f>
        <v>■</v>
      </c>
      <c r="F184" s="14" t="s">
        <v>12539</v>
      </c>
      <c r="G184" s="14">
        <v>143714</v>
      </c>
      <c r="H184" s="14">
        <v>154562</v>
      </c>
      <c r="I184" s="14">
        <v>26</v>
      </c>
      <c r="J184" s="14" t="s">
        <v>143</v>
      </c>
      <c r="K184" s="14" t="s">
        <v>12540</v>
      </c>
      <c r="L184" s="14" t="s">
        <v>12026</v>
      </c>
      <c r="M184" s="14" t="s">
        <v>9158</v>
      </c>
      <c r="N184" s="14" t="s">
        <v>9158</v>
      </c>
      <c r="O184" s="6" t="s">
        <v>3624</v>
      </c>
      <c r="P184" s="7" t="s">
        <v>3625</v>
      </c>
      <c r="Q184" s="7">
        <v>1</v>
      </c>
    </row>
    <row r="185" spans="1:18">
      <c r="A185" s="14">
        <v>67993</v>
      </c>
      <c r="B185" s="14" t="s">
        <v>334</v>
      </c>
      <c r="C185" s="14" t="s">
        <v>205</v>
      </c>
      <c r="D185" s="6" t="s">
        <v>2546</v>
      </c>
      <c r="E185" s="15" t="str">
        <f>HYPERLINK("https://stat100.ameba.jp/tnk47/ratio20/illustrations/card/ill_67993_kurisumasupateikanekomisuzu03.jpg?202011-5-RELEASE-marathon-501xxxx", "■")</f>
        <v>■</v>
      </c>
      <c r="F185" s="14" t="s">
        <v>1286</v>
      </c>
      <c r="G185" s="14">
        <v>101558</v>
      </c>
      <c r="H185" s="14">
        <v>94390</v>
      </c>
      <c r="I185" s="14">
        <v>26</v>
      </c>
      <c r="J185" s="14" t="s">
        <v>10</v>
      </c>
      <c r="K185" s="14" t="s">
        <v>2547</v>
      </c>
      <c r="L185" s="14" t="s">
        <v>2548</v>
      </c>
      <c r="M185" s="14" t="s">
        <v>9158</v>
      </c>
      <c r="N185" s="14" t="s">
        <v>9158</v>
      </c>
      <c r="O185" s="6" t="s">
        <v>10025</v>
      </c>
      <c r="P185" s="14" t="s">
        <v>3701</v>
      </c>
      <c r="Q185" s="14">
        <v>1</v>
      </c>
    </row>
    <row r="186" spans="1:18">
      <c r="A186" s="14">
        <v>76243</v>
      </c>
      <c r="B186" s="14" t="s">
        <v>334</v>
      </c>
      <c r="C186" s="14" t="s">
        <v>335</v>
      </c>
      <c r="D186" s="20" t="s">
        <v>10263</v>
      </c>
      <c r="E186" s="15" t="str">
        <f>HYPERLINK("https://stat100.ameba.jp/tnk47/ratio20/illustrations/card/ill_76243_haroinkaraguchinihonshuchan03.jpg?202011-5-RELEASE-marathon-501xxxx", "■")</f>
        <v>■</v>
      </c>
      <c r="F186" s="14" t="s">
        <v>336</v>
      </c>
      <c r="G186" s="14">
        <v>122786</v>
      </c>
      <c r="H186" s="14">
        <v>114176</v>
      </c>
      <c r="I186" s="14">
        <v>26</v>
      </c>
      <c r="J186" s="14" t="s">
        <v>283</v>
      </c>
      <c r="K186" s="14" t="s">
        <v>337</v>
      </c>
      <c r="L186" s="14" t="s">
        <v>338</v>
      </c>
      <c r="M186" s="14" t="s">
        <v>9158</v>
      </c>
      <c r="N186" s="14" t="s">
        <v>9158</v>
      </c>
      <c r="O186" s="19" t="s">
        <v>10090</v>
      </c>
      <c r="P186" s="14" t="s">
        <v>3561</v>
      </c>
      <c r="Q186" s="14">
        <v>1</v>
      </c>
    </row>
    <row r="188" spans="1:18">
      <c r="A188" s="14" t="s">
        <v>15570</v>
      </c>
    </row>
    <row r="189" spans="1:18">
      <c r="A189" s="14">
        <v>104576</v>
      </c>
      <c r="B189" s="14" t="s">
        <v>15571</v>
      </c>
    </row>
    <row r="190" spans="1:18">
      <c r="A190" s="14" t="s">
        <v>5804</v>
      </c>
      <c r="B190" s="14" t="s">
        <v>52</v>
      </c>
      <c r="C190" s="14" t="s">
        <v>14</v>
      </c>
      <c r="D190" s="19" t="s">
        <v>3195</v>
      </c>
      <c r="E190" s="15" t="str">
        <f>HYPERLINK("https://stat100.ameba.jp/tnk47/ratio20/illustrations/card/ill_75393_0_resukuinotsukisamaniittausagi03.jpg?202011-5-RELEASE-marathon-501xxxx", "■")</f>
        <v>■</v>
      </c>
      <c r="F190" s="14" t="s">
        <v>3248</v>
      </c>
      <c r="G190" s="14">
        <v>273368</v>
      </c>
      <c r="H190" s="14">
        <v>254160</v>
      </c>
      <c r="I190" s="14">
        <v>24</v>
      </c>
      <c r="J190" s="14" t="s">
        <v>26</v>
      </c>
      <c r="K190" s="14" t="s">
        <v>3249</v>
      </c>
      <c r="L190" s="14" t="s">
        <v>3250</v>
      </c>
      <c r="M190" s="14" t="s">
        <v>9158</v>
      </c>
      <c r="N190" s="14" t="s">
        <v>9158</v>
      </c>
      <c r="O190" s="19" t="s">
        <v>10101</v>
      </c>
      <c r="P190" s="14" t="s">
        <v>3251</v>
      </c>
      <c r="Q190" s="14">
        <v>2</v>
      </c>
    </row>
    <row r="191" spans="1:18">
      <c r="A191" s="14" t="s">
        <v>5719</v>
      </c>
      <c r="B191" s="14" t="s">
        <v>52</v>
      </c>
      <c r="C191" s="14" t="s">
        <v>165</v>
      </c>
      <c r="D191" s="20" t="s">
        <v>10379</v>
      </c>
      <c r="E191" s="15" t="str">
        <f>HYPERLINK("https://stat100.ameba.jp/tnk47/ratio20/illustrations/card/ill_54523_0_yonshunennionohime03.jpg?202011-5-RELEASE-marathon-501xxxx", "■")</f>
        <v>■</v>
      </c>
      <c r="F191" s="14" t="s">
        <v>1773</v>
      </c>
      <c r="G191" s="14">
        <v>133938</v>
      </c>
      <c r="H191" s="14">
        <v>150776</v>
      </c>
      <c r="I191" s="14">
        <v>24</v>
      </c>
      <c r="J191" s="14" t="s">
        <v>38</v>
      </c>
      <c r="K191" s="14" t="s">
        <v>1774</v>
      </c>
      <c r="L191" s="14" t="s">
        <v>1775</v>
      </c>
      <c r="M191" s="14" t="s">
        <v>9158</v>
      </c>
      <c r="N191" s="14" t="s">
        <v>9158</v>
      </c>
      <c r="O191" s="19" t="s">
        <v>10094</v>
      </c>
      <c r="P191" s="14" t="s">
        <v>13168</v>
      </c>
      <c r="Q191" s="14">
        <v>1</v>
      </c>
    </row>
    <row r="192" spans="1:18">
      <c r="A192" s="14" t="s">
        <v>6132</v>
      </c>
      <c r="B192" s="14" t="s">
        <v>52</v>
      </c>
      <c r="C192" s="14" t="s">
        <v>205</v>
      </c>
      <c r="D192" s="19" t="s">
        <v>702</v>
      </c>
      <c r="E192" s="15" t="str">
        <f>HYPERLINK("https://stat100.ameba.jp/tnk47/ratio20/illustrations/card/ill_50693_0_hanamizugimimuratsuru03.jpg?202011-5-RELEASE-marathon-501xxxx", "■")</f>
        <v>■</v>
      </c>
      <c r="F192" s="14" t="s">
        <v>2282</v>
      </c>
      <c r="G192" s="14">
        <v>133938</v>
      </c>
      <c r="H192" s="14">
        <v>150776</v>
      </c>
      <c r="I192" s="14">
        <v>24</v>
      </c>
      <c r="J192" s="14" t="s">
        <v>143</v>
      </c>
      <c r="K192" s="14" t="s">
        <v>2283</v>
      </c>
      <c r="L192" s="14" t="s">
        <v>2284</v>
      </c>
      <c r="M192" s="14" t="s">
        <v>9158</v>
      </c>
      <c r="N192" s="14" t="s">
        <v>9158</v>
      </c>
      <c r="O192" s="14" t="s">
        <v>9158</v>
      </c>
      <c r="P192" s="14" t="s">
        <v>9158</v>
      </c>
      <c r="Q192" s="14" t="s">
        <v>9158</v>
      </c>
    </row>
    <row r="193" spans="1:17">
      <c r="A193" s="14">
        <v>93833</v>
      </c>
      <c r="B193" s="14" t="s">
        <v>0</v>
      </c>
      <c r="C193" s="14" t="s">
        <v>23</v>
      </c>
      <c r="D193" s="14" t="s">
        <v>15485</v>
      </c>
      <c r="E193" s="15" t="str">
        <f>HYPERLINK("https://stat100.ameba.jp/tnk47/ratio20/illustrations/card/ill_93833_romioandojurietto03.jpg?202011-5-RELEASE-marathon-501xxxx", "■")</f>
        <v>■</v>
      </c>
      <c r="F193" s="14" t="s">
        <v>15483</v>
      </c>
      <c r="G193" s="14">
        <v>118446</v>
      </c>
      <c r="H193" s="14">
        <v>110126</v>
      </c>
      <c r="I193" s="14">
        <v>26</v>
      </c>
      <c r="J193" s="14" t="s">
        <v>38</v>
      </c>
      <c r="K193" s="14" t="s">
        <v>15481</v>
      </c>
      <c r="L193" s="14" t="s">
        <v>68</v>
      </c>
      <c r="M193" s="14" t="s">
        <v>9158</v>
      </c>
      <c r="N193" s="14" t="s">
        <v>9158</v>
      </c>
      <c r="O193" s="14" t="s">
        <v>9158</v>
      </c>
      <c r="P193" s="14" t="s">
        <v>9158</v>
      </c>
      <c r="Q193" s="14" t="s">
        <v>9158</v>
      </c>
    </row>
    <row r="194" spans="1:17">
      <c r="A194" s="14">
        <v>93853</v>
      </c>
      <c r="B194" s="14" t="s">
        <v>15</v>
      </c>
      <c r="C194" s="14" t="s">
        <v>101</v>
      </c>
      <c r="D194" s="14" t="s">
        <v>15496</v>
      </c>
      <c r="E194" s="15" t="str">
        <f>HYPERLINK("https://stat100.ameba.jp/tnk47/ratio20/illustrations/card/ill_93853_kachikachiyama03.jpg?202011-5-RELEASE-marathon-501xxxx", "■")</f>
        <v>■</v>
      </c>
      <c r="F194" s="14" t="s">
        <v>15494</v>
      </c>
      <c r="G194" s="14">
        <v>77064</v>
      </c>
      <c r="H194" s="14">
        <v>69898</v>
      </c>
      <c r="I194" s="14">
        <v>26</v>
      </c>
      <c r="J194" s="14" t="s">
        <v>38</v>
      </c>
      <c r="K194" s="14" t="s">
        <v>15493</v>
      </c>
      <c r="L194" s="14" t="s">
        <v>3267</v>
      </c>
      <c r="M194" s="14" t="s">
        <v>9158</v>
      </c>
      <c r="N194" s="14" t="s">
        <v>9158</v>
      </c>
      <c r="O194" s="14" t="s">
        <v>9158</v>
      </c>
      <c r="P194" s="14" t="s">
        <v>9158</v>
      </c>
      <c r="Q194" s="14" t="s">
        <v>9158</v>
      </c>
    </row>
    <row r="195" spans="1:17">
      <c r="A195" s="14">
        <v>93863</v>
      </c>
      <c r="B195" s="14" t="s">
        <v>22</v>
      </c>
      <c r="C195" s="14" t="s">
        <v>96</v>
      </c>
      <c r="D195" s="14" t="s">
        <v>15502</v>
      </c>
      <c r="E195" s="15" t="str">
        <f>HYPERLINK("https://stat100.ameba.jp/tnk47/ratio20/illustrations/card/ill_93863_kishukitanokata03.jpg?202011-5-RELEASE-marathon-501xxxx", "■")</f>
        <v>■</v>
      </c>
      <c r="F195" s="14" t="s">
        <v>15501</v>
      </c>
      <c r="G195" s="14">
        <v>44948</v>
      </c>
      <c r="H195" s="14">
        <v>54058</v>
      </c>
      <c r="I195" s="14">
        <v>26</v>
      </c>
      <c r="J195" s="14" t="s">
        <v>143</v>
      </c>
      <c r="K195" s="14" t="s">
        <v>15499</v>
      </c>
      <c r="L195" s="14" t="s">
        <v>15498</v>
      </c>
      <c r="M195" s="14" t="s">
        <v>9158</v>
      </c>
      <c r="N195" s="14" t="s">
        <v>9158</v>
      </c>
      <c r="O195" s="14" t="s">
        <v>9158</v>
      </c>
      <c r="P195" s="14" t="s">
        <v>9158</v>
      </c>
      <c r="Q195" s="14" t="s">
        <v>9158</v>
      </c>
    </row>
    <row r="196" spans="1:17">
      <c r="A196" s="14">
        <v>93873</v>
      </c>
      <c r="B196" s="14" t="s">
        <v>22</v>
      </c>
      <c r="C196" s="14" t="s">
        <v>1</v>
      </c>
      <c r="D196" s="14" t="s">
        <v>15509</v>
      </c>
      <c r="E196" s="15" t="str">
        <f>HYPERLINK("https://stat100.ameba.jp/tnk47/ratio20/illustrations/card/ill_93873_isekiiwatsutsunoo03.jpg?202011-5-RELEASE-marathon-501xxxx", "■")</f>
        <v>■</v>
      </c>
      <c r="F196" s="14" t="s">
        <v>15508</v>
      </c>
      <c r="G196" s="14">
        <v>54058</v>
      </c>
      <c r="H196" s="14">
        <v>44948</v>
      </c>
      <c r="I196" s="14">
        <v>26</v>
      </c>
      <c r="J196" s="14" t="s">
        <v>44</v>
      </c>
      <c r="K196" s="14" t="s">
        <v>15506</v>
      </c>
      <c r="L196" s="14" t="s">
        <v>4956</v>
      </c>
      <c r="M196" s="14" t="s">
        <v>9158</v>
      </c>
      <c r="N196" s="14" t="s">
        <v>9158</v>
      </c>
      <c r="O196" s="14" t="s">
        <v>9158</v>
      </c>
      <c r="P196" s="14" t="s">
        <v>9158</v>
      </c>
      <c r="Q196" s="14" t="s">
        <v>9158</v>
      </c>
    </row>
    <row r="198" spans="1:17">
      <c r="A198" s="14" t="s">
        <v>15572</v>
      </c>
    </row>
    <row r="199" spans="1:17">
      <c r="A199" s="14">
        <v>104607</v>
      </c>
      <c r="B199" s="14" t="s">
        <v>15573</v>
      </c>
    </row>
    <row r="200" spans="1:17">
      <c r="A200" s="14" t="s">
        <v>5733</v>
      </c>
      <c r="B200" s="14" t="s">
        <v>330</v>
      </c>
      <c r="C200" s="14" t="s">
        <v>202</v>
      </c>
      <c r="D200" s="19" t="s">
        <v>2744</v>
      </c>
      <c r="E200" s="15" t="str">
        <f>HYPERLINK("https://stat100.ameba.jp/tnk47/ratio20/illustrations/card/ill_78693_0_kyupittokoinomikoto03.jpg?202011-5-RELEASE-marathon-501xxxx", "■")</f>
        <v>■</v>
      </c>
      <c r="F200" s="14" t="s">
        <v>2745</v>
      </c>
      <c r="G200" s="14">
        <v>272476</v>
      </c>
      <c r="H200" s="14">
        <v>301486</v>
      </c>
      <c r="I200" s="14">
        <v>26</v>
      </c>
      <c r="J200" s="14" t="s">
        <v>274</v>
      </c>
      <c r="K200" s="14" t="s">
        <v>2746</v>
      </c>
      <c r="L200" s="14" t="s">
        <v>2747</v>
      </c>
      <c r="M200" s="14" t="s">
        <v>9158</v>
      </c>
      <c r="N200" s="14" t="s">
        <v>9158</v>
      </c>
      <c r="O200" s="19" t="s">
        <v>10097</v>
      </c>
      <c r="P200" s="14" t="s">
        <v>2748</v>
      </c>
      <c r="Q200" s="14">
        <v>1</v>
      </c>
    </row>
    <row r="201" spans="1:17">
      <c r="A201" s="14">
        <v>77673</v>
      </c>
      <c r="B201" s="14" t="s">
        <v>334</v>
      </c>
      <c r="C201" s="14" t="s">
        <v>158</v>
      </c>
      <c r="D201" s="19" t="s">
        <v>10270</v>
      </c>
      <c r="E201" s="15" t="str">
        <f>HYPERLINK("https://stat100.ameba.jp/tnk47/ratio20/illustrations/card/ill_77673_ryunochoji03.jpg?202011-5-RELEASE-marathon-501xxxx", "■")</f>
        <v>■</v>
      </c>
      <c r="F201" s="14" t="s">
        <v>1777</v>
      </c>
      <c r="G201" s="14">
        <v>121240</v>
      </c>
      <c r="H201" s="14">
        <v>87834</v>
      </c>
      <c r="I201" s="14">
        <v>26</v>
      </c>
      <c r="J201" s="14" t="s">
        <v>73</v>
      </c>
      <c r="K201" s="14" t="s">
        <v>1778</v>
      </c>
      <c r="L201" s="14" t="s">
        <v>1779</v>
      </c>
      <c r="M201" s="14" t="s">
        <v>9158</v>
      </c>
      <c r="N201" s="14" t="s">
        <v>9158</v>
      </c>
      <c r="O201" s="19" t="s">
        <v>10090</v>
      </c>
      <c r="P201" s="14" t="s">
        <v>3460</v>
      </c>
      <c r="Q201" s="14">
        <v>1</v>
      </c>
    </row>
    <row r="202" spans="1:17">
      <c r="A202" s="14">
        <v>84333</v>
      </c>
      <c r="B202" s="14" t="s">
        <v>0</v>
      </c>
      <c r="C202" s="14" t="s">
        <v>209</v>
      </c>
      <c r="D202" s="19" t="s">
        <v>10692</v>
      </c>
      <c r="E202" s="15" t="str">
        <f>HYPERLINK("https://stat100.ameba.jp/tnk47/ratio20/illustrations/card/ill_84333_otometeia03.jpg?202011-5-RELEASE-marathon-501xxxx", "■")</f>
        <v>■</v>
      </c>
      <c r="F202" s="14" t="s">
        <v>7401</v>
      </c>
      <c r="G202" s="14">
        <v>113630</v>
      </c>
      <c r="H202" s="14">
        <v>82318</v>
      </c>
      <c r="I202" s="14">
        <v>26</v>
      </c>
      <c r="J202" s="14" t="s">
        <v>16</v>
      </c>
      <c r="K202" s="14" t="s">
        <v>7399</v>
      </c>
      <c r="L202" s="14" t="s">
        <v>4046</v>
      </c>
      <c r="M202" s="14" t="s">
        <v>9158</v>
      </c>
      <c r="N202" s="14" t="s">
        <v>9158</v>
      </c>
      <c r="O202" s="19" t="s">
        <v>10129</v>
      </c>
      <c r="P202" s="14" t="s">
        <v>3581</v>
      </c>
      <c r="Q202" s="14">
        <v>1</v>
      </c>
    </row>
    <row r="203" spans="1:17">
      <c r="A203" s="14">
        <v>79523</v>
      </c>
      <c r="B203" s="14" t="s">
        <v>0</v>
      </c>
      <c r="C203" s="14" t="s">
        <v>203</v>
      </c>
      <c r="D203" s="20" t="s">
        <v>10309</v>
      </c>
      <c r="E203" s="15" t="str">
        <f>HYPERLINK("https://stat100.ameba.jp/tnk47/ratio20/illustrations/card/ill_79523_shikyokunoashurato03.jpg?202011-5-RELEASE-marathon-501xxxx", "■")</f>
        <v>■</v>
      </c>
      <c r="F203" s="14" t="s">
        <v>3590</v>
      </c>
      <c r="G203" s="14">
        <v>82318</v>
      </c>
      <c r="H203" s="14">
        <v>113630</v>
      </c>
      <c r="I203" s="14">
        <v>26</v>
      </c>
      <c r="J203" s="14" t="s">
        <v>77</v>
      </c>
      <c r="K203" s="14" t="s">
        <v>3591</v>
      </c>
      <c r="L203" s="14" t="s">
        <v>1955</v>
      </c>
      <c r="M203" s="14" t="s">
        <v>9158</v>
      </c>
      <c r="N203" s="14" t="s">
        <v>9158</v>
      </c>
      <c r="O203" s="19" t="s">
        <v>10074</v>
      </c>
      <c r="P203" s="14" t="s">
        <v>3592</v>
      </c>
      <c r="Q203" s="14">
        <v>1</v>
      </c>
    </row>
    <row r="205" spans="1:17">
      <c r="A205" s="14" t="s">
        <v>114</v>
      </c>
    </row>
    <row r="206" spans="1:17">
      <c r="A206" s="14">
        <v>104612</v>
      </c>
      <c r="B206" s="14" t="s">
        <v>15723</v>
      </c>
    </row>
    <row r="207" spans="1:17">
      <c r="A207" s="14">
        <v>104622</v>
      </c>
      <c r="B207" s="14" t="s">
        <v>15722</v>
      </c>
    </row>
    <row r="208" spans="1:17">
      <c r="A208" s="14" t="s">
        <v>12532</v>
      </c>
      <c r="B208" s="7" t="s">
        <v>52</v>
      </c>
      <c r="C208" s="14" t="s">
        <v>202</v>
      </c>
      <c r="D208" s="18" t="s">
        <v>12528</v>
      </c>
      <c r="E208" s="15" t="str">
        <f>HYPERLINK("https://stat100.ameba.jp/tnk47/ratio20/illustrations/card/ill_89073_0_efuwanresuyokohamaserachan03.jpg?202011-5-RELEASE-marathon-501xxxx", "■")</f>
        <v>■</v>
      </c>
      <c r="F208" s="14" t="s">
        <v>12529</v>
      </c>
      <c r="G208" s="14">
        <v>296998</v>
      </c>
      <c r="H208" s="14">
        <v>328614</v>
      </c>
      <c r="I208" s="7">
        <v>27</v>
      </c>
      <c r="J208" s="14" t="s">
        <v>229</v>
      </c>
      <c r="K208" s="14" t="s">
        <v>12530</v>
      </c>
      <c r="L208" s="14" t="s">
        <v>12531</v>
      </c>
      <c r="M208" s="14" t="s">
        <v>9158</v>
      </c>
      <c r="N208" s="14" t="s">
        <v>9158</v>
      </c>
      <c r="O208" s="6" t="s">
        <v>12533</v>
      </c>
      <c r="P208" s="7" t="s">
        <v>12534</v>
      </c>
      <c r="Q208" s="7">
        <v>1</v>
      </c>
    </row>
    <row r="209" spans="1:17">
      <c r="A209" s="14" t="s">
        <v>5601</v>
      </c>
      <c r="B209" s="14" t="s">
        <v>330</v>
      </c>
      <c r="C209" s="14" t="s">
        <v>35</v>
      </c>
      <c r="D209" s="19" t="s">
        <v>10318</v>
      </c>
      <c r="E209" s="15" t="str">
        <f>HYPERLINK("https://stat100.ameba.jp/tnk47/ratio20/illustrations/card/ill_82423_0_bikinigarukishi03.jpg?202011-5-RELEASE-marathon-501xxxx", "■")</f>
        <v>■</v>
      </c>
      <c r="F209" s="14" t="s">
        <v>5391</v>
      </c>
      <c r="G209" s="14">
        <v>326924</v>
      </c>
      <c r="H209" s="14">
        <v>295479</v>
      </c>
      <c r="I209" s="14">
        <v>27</v>
      </c>
      <c r="J209" s="14" t="s">
        <v>77</v>
      </c>
      <c r="K209" s="14" t="s">
        <v>5392</v>
      </c>
      <c r="L209" s="14" t="s">
        <v>5393</v>
      </c>
      <c r="M209" s="14" t="s">
        <v>9158</v>
      </c>
      <c r="N209" s="14" t="s">
        <v>9158</v>
      </c>
      <c r="O209" s="19" t="s">
        <v>10069</v>
      </c>
      <c r="P209" s="14" t="s">
        <v>5394</v>
      </c>
      <c r="Q209" s="14">
        <v>1</v>
      </c>
    </row>
    <row r="210" spans="1:17">
      <c r="A210" s="14" t="s">
        <v>5627</v>
      </c>
      <c r="B210" s="14" t="s">
        <v>330</v>
      </c>
      <c r="C210" s="14" t="s">
        <v>191</v>
      </c>
      <c r="D210" s="19" t="s">
        <v>393</v>
      </c>
      <c r="E210" s="15" t="str">
        <f>HYPERLINK("https://stat100.ameba.jp/tnk47/ratio20/illustrations/card/ill_46283_0_odanobunaga03.jpg?202011-5-RELEASE-marathon-501xxxx", "■")</f>
        <v>■</v>
      </c>
      <c r="F210" s="14" t="s">
        <v>1073</v>
      </c>
      <c r="G210" s="14">
        <v>147980</v>
      </c>
      <c r="H210" s="14">
        <v>158004</v>
      </c>
      <c r="I210" s="14">
        <v>27</v>
      </c>
      <c r="J210" s="14" t="s">
        <v>143</v>
      </c>
      <c r="K210" s="14" t="s">
        <v>1074</v>
      </c>
      <c r="L210" s="14" t="s">
        <v>1075</v>
      </c>
      <c r="M210" s="14" t="s">
        <v>9158</v>
      </c>
      <c r="N210" s="14" t="s">
        <v>9158</v>
      </c>
      <c r="O210" s="14" t="s">
        <v>9158</v>
      </c>
      <c r="P210" s="14" t="s">
        <v>9158</v>
      </c>
      <c r="Q210" s="14" t="s">
        <v>9158</v>
      </c>
    </row>
    <row r="211" spans="1:17">
      <c r="A211" s="14">
        <v>52083</v>
      </c>
      <c r="B211" s="14" t="s">
        <v>0</v>
      </c>
      <c r="C211" s="14" t="s">
        <v>158</v>
      </c>
      <c r="D211" s="20" t="s">
        <v>2913</v>
      </c>
      <c r="E211" s="15" t="str">
        <f>HYPERLINK("https://stat100.ameba.jp/tnk47/ratio20/illustrations/card/ill_52083_berubetto03.jpg?202011-5-RELEASE-marathon-501xxxx", "■")</f>
        <v>■</v>
      </c>
      <c r="F211" s="14" t="s">
        <v>944</v>
      </c>
      <c r="G211" s="14">
        <v>93030</v>
      </c>
      <c r="H211" s="14">
        <v>128431</v>
      </c>
      <c r="I211" s="14">
        <v>27</v>
      </c>
      <c r="J211" s="14" t="s">
        <v>26</v>
      </c>
      <c r="K211" s="14" t="s">
        <v>1864</v>
      </c>
      <c r="L211" s="14" t="s">
        <v>1865</v>
      </c>
      <c r="M211" s="14" t="s">
        <v>9158</v>
      </c>
      <c r="N211" s="14" t="s">
        <v>9158</v>
      </c>
      <c r="O211" s="19" t="s">
        <v>2917</v>
      </c>
      <c r="P211" s="14" t="s">
        <v>2918</v>
      </c>
      <c r="Q211" s="14">
        <v>1</v>
      </c>
    </row>
    <row r="212" spans="1:17">
      <c r="A212" s="14">
        <v>66353</v>
      </c>
      <c r="B212" s="14" t="s">
        <v>0</v>
      </c>
      <c r="C212" s="14" t="s">
        <v>41</v>
      </c>
      <c r="D212" s="14" t="s">
        <v>141</v>
      </c>
      <c r="E212" s="15" t="str">
        <f>HYPERLINK("https://stat100.ameba.jp/tnk47/ratio20/illustrations/card/ill_66353_kajiwaranyudotoan03.jpg?202011-5-RELEASE-marathon-501xxxx", "■")</f>
        <v>■</v>
      </c>
      <c r="F212" s="14" t="s">
        <v>142</v>
      </c>
      <c r="G212" s="14">
        <v>179634</v>
      </c>
      <c r="H212" s="14">
        <v>130113</v>
      </c>
      <c r="I212" s="14">
        <v>27</v>
      </c>
      <c r="J212" s="14" t="s">
        <v>143</v>
      </c>
      <c r="K212" s="14" t="s">
        <v>144</v>
      </c>
      <c r="L212" s="14" t="s">
        <v>145</v>
      </c>
      <c r="M212" s="14" t="s">
        <v>9158</v>
      </c>
      <c r="N212" s="14" t="s">
        <v>9158</v>
      </c>
      <c r="O212" s="17" t="s">
        <v>10054</v>
      </c>
      <c r="P212" s="14" t="s">
        <v>3672</v>
      </c>
      <c r="Q212" s="14">
        <v>1</v>
      </c>
    </row>
    <row r="213" spans="1:17">
      <c r="A213" s="14">
        <v>77683</v>
      </c>
      <c r="B213" s="14" t="s">
        <v>0</v>
      </c>
      <c r="C213" s="14" t="s">
        <v>203</v>
      </c>
      <c r="D213" s="20" t="s">
        <v>10220</v>
      </c>
      <c r="E213" s="15" t="str">
        <f>HYPERLINK("https://stat100.ameba.jp/tnk47/ratio20/illustrations/card/ill_77683_shukusainoujohoride03.jpg?202011-5-RELEASE-marathon-501xxxx", "■")</f>
        <v>■</v>
      </c>
      <c r="F213" s="14" t="s">
        <v>1430</v>
      </c>
      <c r="G213" s="14">
        <v>118001</v>
      </c>
      <c r="H213" s="14">
        <v>85483</v>
      </c>
      <c r="I213" s="14">
        <v>27</v>
      </c>
      <c r="J213" s="14" t="s">
        <v>315</v>
      </c>
      <c r="K213" s="14" t="s">
        <v>1431</v>
      </c>
      <c r="L213" s="14" t="s">
        <v>1432</v>
      </c>
      <c r="M213" s="14" t="s">
        <v>9158</v>
      </c>
      <c r="N213" s="14" t="s">
        <v>9158</v>
      </c>
      <c r="O213" s="19" t="s">
        <v>10090</v>
      </c>
      <c r="P213" s="14" t="s">
        <v>3460</v>
      </c>
      <c r="Q213" s="14">
        <v>1</v>
      </c>
    </row>
    <row r="214" spans="1:17">
      <c r="A214" s="14">
        <v>63283</v>
      </c>
      <c r="B214" s="14" t="s">
        <v>334</v>
      </c>
      <c r="C214" s="14" t="s">
        <v>209</v>
      </c>
      <c r="D214" s="19" t="s">
        <v>327</v>
      </c>
      <c r="E214" s="15" t="str">
        <f>HYPERLINK("https://stat100.ameba.jp/tnk47/ratio20/illustrations/card/ill_63283_mizuyokanchan03.jpg?202011-5-RELEASE-marathon-501xxxx", "■")</f>
        <v>■</v>
      </c>
      <c r="F214" s="14" t="s">
        <v>327</v>
      </c>
      <c r="G214" s="14">
        <v>127507</v>
      </c>
      <c r="H214" s="14">
        <v>118568</v>
      </c>
      <c r="I214" s="14">
        <v>27</v>
      </c>
      <c r="J214" s="14" t="s">
        <v>283</v>
      </c>
      <c r="K214" s="14" t="s">
        <v>328</v>
      </c>
      <c r="L214" s="14" t="s">
        <v>329</v>
      </c>
      <c r="M214" s="14" t="s">
        <v>9158</v>
      </c>
      <c r="N214" s="14" t="s">
        <v>9158</v>
      </c>
      <c r="O214" s="19" t="s">
        <v>10084</v>
      </c>
      <c r="P214" s="14" t="s">
        <v>3563</v>
      </c>
      <c r="Q214" s="14">
        <v>1</v>
      </c>
    </row>
    <row r="215" spans="1:17">
      <c r="A215" s="14">
        <v>70373</v>
      </c>
      <c r="B215" s="14" t="s">
        <v>334</v>
      </c>
      <c r="C215" s="14" t="s">
        <v>209</v>
      </c>
      <c r="D215" s="20" t="s">
        <v>10226</v>
      </c>
      <c r="E215" s="15" t="str">
        <f>HYPERLINK("https://stat100.ameba.jp/tnk47/ratio20/illustrations/card/ill_70373_amanoyasukage03.jpg?202011-5-RELEASE-marathon-501xxxx", "■")</f>
        <v>■</v>
      </c>
      <c r="F215" s="14" t="s">
        <v>2617</v>
      </c>
      <c r="G215" s="14">
        <v>139472</v>
      </c>
      <c r="H215" s="14">
        <v>150001</v>
      </c>
      <c r="I215" s="14">
        <v>27</v>
      </c>
      <c r="J215" s="14" t="s">
        <v>143</v>
      </c>
      <c r="K215" s="14" t="s">
        <v>2618</v>
      </c>
      <c r="L215" s="14" t="s">
        <v>2619</v>
      </c>
      <c r="M215" s="14" t="s">
        <v>9158</v>
      </c>
      <c r="N215" s="14" t="s">
        <v>9158</v>
      </c>
      <c r="O215" s="19" t="s">
        <v>10081</v>
      </c>
      <c r="P215" s="14" t="s">
        <v>4146</v>
      </c>
      <c r="Q215" s="14">
        <v>1</v>
      </c>
    </row>
    <row r="216" spans="1:17">
      <c r="A216" s="14">
        <v>75873</v>
      </c>
      <c r="B216" s="14" t="s">
        <v>334</v>
      </c>
      <c r="C216" s="14" t="s">
        <v>209</v>
      </c>
      <c r="D216" s="19" t="s">
        <v>10221</v>
      </c>
      <c r="E216" s="15" t="str">
        <f>HYPERLINK("https://stat100.ameba.jp/tnk47/ratio20/illustrations/card/ill_75873_harajukuroriitachan03.jpg?202011-5-RELEASE-marathon-501xxxx", "■")</f>
        <v>■</v>
      </c>
      <c r="F216" s="14" t="s">
        <v>1945</v>
      </c>
      <c r="G216" s="14">
        <v>118568</v>
      </c>
      <c r="H216" s="14">
        <v>127507</v>
      </c>
      <c r="I216" s="14">
        <v>27</v>
      </c>
      <c r="J216" s="14" t="s">
        <v>26</v>
      </c>
      <c r="K216" s="14" t="s">
        <v>1946</v>
      </c>
      <c r="L216" s="14" t="s">
        <v>1947</v>
      </c>
      <c r="M216" s="14" t="s">
        <v>9158</v>
      </c>
      <c r="N216" s="14" t="s">
        <v>9158</v>
      </c>
      <c r="O216" s="19" t="s">
        <v>2752</v>
      </c>
      <c r="P216" s="14" t="s">
        <v>13123</v>
      </c>
      <c r="Q216" s="14">
        <v>1</v>
      </c>
    </row>
    <row r="218" spans="1:17">
      <c r="A218" s="14" t="s">
        <v>3905</v>
      </c>
    </row>
    <row r="219" spans="1:17">
      <c r="A219" s="14">
        <v>235157</v>
      </c>
      <c r="B219" s="14" t="s">
        <v>7945</v>
      </c>
    </row>
    <row r="220" spans="1:17">
      <c r="A220" s="9" t="s">
        <v>5899</v>
      </c>
      <c r="B220" s="14" t="s">
        <v>330</v>
      </c>
      <c r="C220" s="14" t="s">
        <v>205</v>
      </c>
      <c r="D220" s="14" t="s">
        <v>934</v>
      </c>
      <c r="E220" s="15" t="str">
        <f>HYPERLINK("https://stat100.ameba.jp/tnk47/ratio20/illustrations/card/ill_73773_0_umibirakiinugamigyobu03.jpg?202011-5-RELEASE-marathon-501xxxx", "■")</f>
        <v>■</v>
      </c>
      <c r="F220" s="14" t="s">
        <v>935</v>
      </c>
      <c r="G220" s="14">
        <v>190902</v>
      </c>
      <c r="H220" s="14">
        <v>205334</v>
      </c>
      <c r="I220" s="14">
        <v>22</v>
      </c>
      <c r="J220" s="14" t="s">
        <v>182</v>
      </c>
      <c r="K220" s="14" t="s">
        <v>936</v>
      </c>
      <c r="L220" s="14" t="s">
        <v>13147</v>
      </c>
      <c r="M220" s="14" t="s">
        <v>9158</v>
      </c>
      <c r="N220" s="14" t="s">
        <v>9158</v>
      </c>
      <c r="O220" s="9" t="s">
        <v>2978</v>
      </c>
      <c r="P220" s="14" t="s">
        <v>2979</v>
      </c>
      <c r="Q220" s="14">
        <v>2</v>
      </c>
    </row>
    <row r="221" spans="1:17">
      <c r="A221" s="14" t="s">
        <v>5617</v>
      </c>
      <c r="B221" s="14" t="s">
        <v>330</v>
      </c>
      <c r="C221" s="14" t="s">
        <v>308</v>
      </c>
      <c r="D221" s="19" t="s">
        <v>385</v>
      </c>
      <c r="E221" s="15" t="str">
        <f>HYPERLINK("https://stat100.ameba.jp/tnk47/ratio20/illustrations/card/ill_59673_0_oheyashutendoji03.jpg?202011-5-RELEASE-marathon-501xxxx", "■")</f>
        <v>■</v>
      </c>
      <c r="F221" s="14" t="s">
        <v>386</v>
      </c>
      <c r="G221" s="14">
        <v>154800</v>
      </c>
      <c r="H221" s="14">
        <v>166504</v>
      </c>
      <c r="I221" s="14">
        <v>22</v>
      </c>
      <c r="J221" s="14" t="s">
        <v>320</v>
      </c>
      <c r="K221" s="14" t="s">
        <v>387</v>
      </c>
      <c r="L221" s="14" t="s">
        <v>388</v>
      </c>
      <c r="M221" s="14" t="s">
        <v>9158</v>
      </c>
      <c r="N221" s="14" t="s">
        <v>9158</v>
      </c>
      <c r="O221" s="19" t="s">
        <v>10078</v>
      </c>
      <c r="P221" s="14" t="s">
        <v>3022</v>
      </c>
      <c r="Q221" s="14">
        <v>1</v>
      </c>
    </row>
    <row r="222" spans="1:17">
      <c r="A222" s="14" t="s">
        <v>9473</v>
      </c>
      <c r="B222" s="14" t="s">
        <v>330</v>
      </c>
      <c r="C222" s="14" t="s">
        <v>191</v>
      </c>
      <c r="D222" s="19" t="s">
        <v>393</v>
      </c>
      <c r="E222" s="15" t="str">
        <f>HYPERLINK("https://stat100.ameba.jp/tnk47/ratio20/illustrations/card/ill_46283_0_odanobunaga03.jpg?202011-5-RELEASE-marathon-501xxxx", "■")</f>
        <v>■</v>
      </c>
      <c r="F222" s="14" t="s">
        <v>1073</v>
      </c>
      <c r="G222" s="14">
        <v>120576</v>
      </c>
      <c r="H222" s="14">
        <v>128744</v>
      </c>
      <c r="I222" s="14">
        <v>22</v>
      </c>
      <c r="J222" s="14" t="s">
        <v>143</v>
      </c>
      <c r="K222" s="14" t="s">
        <v>1074</v>
      </c>
      <c r="L222" s="14" t="s">
        <v>1075</v>
      </c>
      <c r="M222" s="14" t="s">
        <v>9158</v>
      </c>
      <c r="N222" s="14" t="s">
        <v>9158</v>
      </c>
      <c r="O222" s="9" t="s">
        <v>9158</v>
      </c>
      <c r="P222" s="14" t="s">
        <v>9158</v>
      </c>
      <c r="Q222" s="14" t="s">
        <v>9158</v>
      </c>
    </row>
    <row r="223" spans="1:17">
      <c r="A223" s="14">
        <v>89393</v>
      </c>
      <c r="B223" s="14" t="s">
        <v>0</v>
      </c>
      <c r="C223" s="14" t="s">
        <v>23</v>
      </c>
      <c r="D223" s="14" t="s">
        <v>12911</v>
      </c>
      <c r="E223" s="15" t="str">
        <f>HYPERLINK("https://stat100.ameba.jp/tnk47/ratio20/illustrations/card/ill_89393_minaraimajoanri03.jpg?202011-5-RELEASE-marathon-501xxxx", "■")</f>
        <v>■</v>
      </c>
      <c r="F223" s="14" t="s">
        <v>12913</v>
      </c>
      <c r="G223" s="14">
        <v>73270</v>
      </c>
      <c r="H223" s="14">
        <v>130214</v>
      </c>
      <c r="I223" s="14">
        <v>27</v>
      </c>
      <c r="J223" s="14" t="s">
        <v>10</v>
      </c>
      <c r="K223" s="14" t="s">
        <v>12915</v>
      </c>
      <c r="L223" s="14" t="s">
        <v>12916</v>
      </c>
      <c r="M223" s="14" t="s">
        <v>9158</v>
      </c>
      <c r="N223" s="14" t="s">
        <v>9158</v>
      </c>
      <c r="O223" s="14" t="s">
        <v>9158</v>
      </c>
      <c r="P223" s="14" t="s">
        <v>9158</v>
      </c>
      <c r="Q223" s="14" t="s">
        <v>9158</v>
      </c>
    </row>
    <row r="224" spans="1:17">
      <c r="A224" s="14">
        <v>83273</v>
      </c>
      <c r="B224" s="14" t="s">
        <v>334</v>
      </c>
      <c r="C224" s="14" t="s">
        <v>14</v>
      </c>
      <c r="D224" s="19" t="s">
        <v>10522</v>
      </c>
      <c r="E224" s="15" t="str">
        <f>HYPERLINK("https://stat100.ameba.jp/tnk47/ratio20/illustrations/card/ill_83273_suikawariebinarin03.jpg?202011-5-RELEASE-marathon-501xxxx", "■")</f>
        <v>■</v>
      </c>
      <c r="F224" s="14" t="s">
        <v>6443</v>
      </c>
      <c r="G224" s="14">
        <v>76091</v>
      </c>
      <c r="H224" s="14">
        <v>135229</v>
      </c>
      <c r="I224" s="14">
        <v>27</v>
      </c>
      <c r="J224" s="14" t="s">
        <v>16</v>
      </c>
      <c r="K224" s="14" t="s">
        <v>6441</v>
      </c>
      <c r="L224" s="14" t="s">
        <v>124</v>
      </c>
      <c r="M224" s="14" t="s">
        <v>9158</v>
      </c>
      <c r="N224" s="14" t="s">
        <v>9158</v>
      </c>
      <c r="O224" s="14" t="s">
        <v>9158</v>
      </c>
      <c r="P224" s="14" t="s">
        <v>9158</v>
      </c>
      <c r="Q224" s="14" t="s">
        <v>9158</v>
      </c>
    </row>
    <row r="225" spans="1:17">
      <c r="A225" s="14">
        <v>80823</v>
      </c>
      <c r="B225" s="14" t="s">
        <v>334</v>
      </c>
      <c r="C225" s="14" t="s">
        <v>96</v>
      </c>
      <c r="D225" s="19" t="s">
        <v>4267</v>
      </c>
      <c r="E225" s="15" t="str">
        <f>HYPERLINK("https://stat100.ameba.jp/tnk47/ratio20/illustrations/card/ill_80823_utatanekitanokata03.jpg?202011-5-RELEASE-marathon-501xxxx", "■")</f>
        <v>■</v>
      </c>
      <c r="F225" s="14" t="s">
        <v>4268</v>
      </c>
      <c r="G225" s="14">
        <v>149240</v>
      </c>
      <c r="H225" s="14">
        <v>160507</v>
      </c>
      <c r="I225" s="7">
        <v>27</v>
      </c>
      <c r="J225" s="14" t="s">
        <v>143</v>
      </c>
      <c r="K225" s="14" t="s">
        <v>4269</v>
      </c>
      <c r="L225" s="14" t="s">
        <v>1148</v>
      </c>
      <c r="M225" s="14" t="s">
        <v>9158</v>
      </c>
      <c r="N225" s="14" t="s">
        <v>9158</v>
      </c>
      <c r="O225" s="14" t="s">
        <v>9158</v>
      </c>
      <c r="P225" s="14" t="s">
        <v>9158</v>
      </c>
      <c r="Q225" s="14" t="s">
        <v>9158</v>
      </c>
    </row>
    <row r="227" spans="1:17">
      <c r="A227" s="14" t="s">
        <v>207</v>
      </c>
    </row>
    <row r="228" spans="1:17">
      <c r="A228" s="14">
        <v>104636</v>
      </c>
      <c r="B228" s="14" t="s">
        <v>7971</v>
      </c>
    </row>
    <row r="229" spans="1:17">
      <c r="A229" s="14" t="s">
        <v>5963</v>
      </c>
      <c r="B229" s="14" t="s">
        <v>330</v>
      </c>
      <c r="C229" s="14" t="s">
        <v>35</v>
      </c>
      <c r="D229" s="19" t="s">
        <v>10438</v>
      </c>
      <c r="E229" s="15" t="str">
        <f>HYPERLINK("https://stat100.ameba.jp/tnk47/ratio20/illustrations/card/ill_82963_0_yukatamatsuritomokazuki03.jpg?202011-5-RELEASE-marathon-501xxxxx", "■")</f>
        <v>■</v>
      </c>
      <c r="F229" s="14" t="s">
        <v>5964</v>
      </c>
      <c r="G229" s="14">
        <v>285888</v>
      </c>
      <c r="H229" s="14">
        <v>316330</v>
      </c>
      <c r="I229" s="14">
        <v>24</v>
      </c>
      <c r="J229" s="14" t="s">
        <v>73</v>
      </c>
      <c r="K229" s="14" t="s">
        <v>5966</v>
      </c>
      <c r="L229" s="14" t="s">
        <v>5967</v>
      </c>
      <c r="M229" s="14" t="s">
        <v>9158</v>
      </c>
      <c r="N229" s="14" t="s">
        <v>9158</v>
      </c>
      <c r="O229" s="19" t="s">
        <v>10115</v>
      </c>
      <c r="P229" s="14" t="s">
        <v>5968</v>
      </c>
      <c r="Q229" s="14">
        <v>1</v>
      </c>
    </row>
    <row r="230" spans="1:17">
      <c r="A230" s="14" t="s">
        <v>5623</v>
      </c>
      <c r="B230" s="14" t="s">
        <v>330</v>
      </c>
      <c r="C230" s="14" t="s">
        <v>165</v>
      </c>
      <c r="D230" s="19" t="s">
        <v>3146</v>
      </c>
      <c r="E230" s="15" t="str">
        <f>HYPERLINK("https://stat100.ameba.jp/tnk47/ratio20/illustrations/card/ill_65713_0_undokaionikirimaru03.jpg?202011-5-RELEASE-marathon-501xxxxx", "■")</f>
        <v>■</v>
      </c>
      <c r="F230" s="14" t="s">
        <v>535</v>
      </c>
      <c r="G230" s="14">
        <v>181640</v>
      </c>
      <c r="H230" s="14">
        <v>168874</v>
      </c>
      <c r="I230" s="14">
        <v>24</v>
      </c>
      <c r="J230" s="14" t="s">
        <v>320</v>
      </c>
      <c r="K230" s="14" t="s">
        <v>3147</v>
      </c>
      <c r="L230" s="14" t="s">
        <v>3148</v>
      </c>
      <c r="M230" s="14" t="s">
        <v>9158</v>
      </c>
      <c r="N230" s="14" t="s">
        <v>9158</v>
      </c>
      <c r="O230" s="19" t="s">
        <v>2869</v>
      </c>
      <c r="P230" s="14" t="s">
        <v>2870</v>
      </c>
      <c r="Q230" s="14">
        <v>1</v>
      </c>
    </row>
    <row r="231" spans="1:17">
      <c r="A231" s="14" t="s">
        <v>5604</v>
      </c>
      <c r="B231" s="14" t="s">
        <v>330</v>
      </c>
      <c r="C231" s="14" t="s">
        <v>206</v>
      </c>
      <c r="D231" s="19" t="s">
        <v>614</v>
      </c>
      <c r="E231" s="15" t="str">
        <f>HYPERLINK("https://stat100.ameba.jp/tnk47/ratio20/illustrations/card/ill_47263_0_oukyuuatsuhime03.jpg?202011-5-RELEASE-marathon-501xxxxx", "■")</f>
        <v>■</v>
      </c>
      <c r="F231" s="14" t="s">
        <v>615</v>
      </c>
      <c r="G231" s="14">
        <v>150776</v>
      </c>
      <c r="H231" s="14">
        <v>133938</v>
      </c>
      <c r="I231" s="14">
        <v>24</v>
      </c>
      <c r="J231" s="14" t="s">
        <v>315</v>
      </c>
      <c r="K231" s="14" t="s">
        <v>616</v>
      </c>
      <c r="L231" s="14" t="s">
        <v>617</v>
      </c>
      <c r="M231" s="14" t="s">
        <v>9158</v>
      </c>
      <c r="N231" s="14" t="s">
        <v>9158</v>
      </c>
      <c r="O231" s="14" t="s">
        <v>9158</v>
      </c>
      <c r="P231" s="14" t="s">
        <v>9158</v>
      </c>
      <c r="Q231" s="14" t="s">
        <v>9158</v>
      </c>
    </row>
    <row r="232" spans="1:17">
      <c r="A232" s="14">
        <v>93843</v>
      </c>
      <c r="B232" s="14" t="s">
        <v>0</v>
      </c>
      <c r="C232" s="14" t="s">
        <v>14</v>
      </c>
      <c r="D232" s="14" t="s">
        <v>15491</v>
      </c>
      <c r="E232" s="15" t="str">
        <f>HYPERLINK("https://stat100.ameba.jp/tnk47/ratio20/illustrations/card/ill_93843_sarukanigassen03.jpg?202011-5-RELEASE-marathon-501xxxxx", "■")</f>
        <v>■</v>
      </c>
      <c r="F232" s="14" t="s">
        <v>15489</v>
      </c>
      <c r="G232" s="14">
        <v>98594</v>
      </c>
      <c r="H232" s="14">
        <v>106050</v>
      </c>
      <c r="I232" s="7">
        <v>26</v>
      </c>
      <c r="J232" s="14" t="s">
        <v>38</v>
      </c>
      <c r="K232" s="14" t="s">
        <v>15488</v>
      </c>
      <c r="L232" s="14" t="s">
        <v>15487</v>
      </c>
      <c r="M232" s="14" t="s">
        <v>9158</v>
      </c>
      <c r="N232" s="14" t="s">
        <v>9158</v>
      </c>
      <c r="O232" s="14" t="s">
        <v>9158</v>
      </c>
      <c r="P232" s="14" t="s">
        <v>9158</v>
      </c>
      <c r="Q232" s="14" t="s">
        <v>9158</v>
      </c>
    </row>
    <row r="233" spans="1:17">
      <c r="A233" s="14">
        <v>93853</v>
      </c>
      <c r="B233" s="14" t="s">
        <v>15</v>
      </c>
      <c r="C233" s="14" t="s">
        <v>101</v>
      </c>
      <c r="D233" s="14" t="s">
        <v>15496</v>
      </c>
      <c r="E233" s="15" t="str">
        <f>HYPERLINK("https://stat100.ameba.jp/tnk47/ratio20/illustrations/card/ill_93853_kachikachiyama03.jpg?202011-5-RELEASE-marathon-501xxxxx", "■")</f>
        <v>■</v>
      </c>
      <c r="F233" s="14" t="s">
        <v>15494</v>
      </c>
      <c r="G233" s="14">
        <v>77064</v>
      </c>
      <c r="H233" s="14">
        <v>69898</v>
      </c>
      <c r="I233" s="14">
        <v>26</v>
      </c>
      <c r="J233" s="14" t="s">
        <v>38</v>
      </c>
      <c r="K233" s="14" t="s">
        <v>15493</v>
      </c>
      <c r="L233" s="14" t="s">
        <v>3267</v>
      </c>
      <c r="M233" s="14" t="s">
        <v>9158</v>
      </c>
      <c r="N233" s="14" t="s">
        <v>9158</v>
      </c>
      <c r="O233" s="14" t="s">
        <v>9158</v>
      </c>
      <c r="P233" s="14" t="s">
        <v>9158</v>
      </c>
      <c r="Q233" s="14" t="s">
        <v>9158</v>
      </c>
    </row>
    <row r="234" spans="1:17">
      <c r="A234" s="14">
        <v>93863</v>
      </c>
      <c r="B234" s="14" t="s">
        <v>22</v>
      </c>
      <c r="C234" s="14" t="s">
        <v>96</v>
      </c>
      <c r="D234" s="14" t="s">
        <v>15502</v>
      </c>
      <c r="E234" s="15" t="str">
        <f>HYPERLINK("https://stat100.ameba.jp/tnk47/ratio20/illustrations/card/ill_93863_kishukitanokata03.jpg?202011-5-RELEASE-marathon-501xxxxx", "■")</f>
        <v>■</v>
      </c>
      <c r="F234" s="14" t="s">
        <v>15501</v>
      </c>
      <c r="G234" s="14">
        <v>44948</v>
      </c>
      <c r="H234" s="14">
        <v>54058</v>
      </c>
      <c r="I234" s="14">
        <v>26</v>
      </c>
      <c r="J234" s="14" t="s">
        <v>143</v>
      </c>
      <c r="K234" s="14" t="s">
        <v>15499</v>
      </c>
      <c r="L234" s="14" t="s">
        <v>15498</v>
      </c>
      <c r="M234" s="14" t="s">
        <v>9158</v>
      </c>
      <c r="N234" s="14" t="s">
        <v>9158</v>
      </c>
      <c r="O234" s="14" t="s">
        <v>9158</v>
      </c>
      <c r="P234" s="14" t="s">
        <v>9158</v>
      </c>
      <c r="Q234" s="14" t="s">
        <v>9158</v>
      </c>
    </row>
    <row r="235" spans="1:17">
      <c r="A235" s="14">
        <v>93873</v>
      </c>
      <c r="B235" s="14" t="s">
        <v>22</v>
      </c>
      <c r="C235" s="14" t="s">
        <v>1</v>
      </c>
      <c r="D235" s="14" t="s">
        <v>15509</v>
      </c>
      <c r="E235" s="15" t="str">
        <f>HYPERLINK("https://stat100.ameba.jp/tnk47/ratio20/illustrations/card/ill_93873_isekiiwatsutsunoo03.jpg?202011-5-RELEASE-marathon-501xxxxx", "■")</f>
        <v>■</v>
      </c>
      <c r="F235" s="14" t="s">
        <v>15508</v>
      </c>
      <c r="G235" s="14">
        <v>54058</v>
      </c>
      <c r="H235" s="14">
        <v>44948</v>
      </c>
      <c r="I235" s="14">
        <v>26</v>
      </c>
      <c r="J235" s="14" t="s">
        <v>44</v>
      </c>
      <c r="K235" s="14" t="s">
        <v>15506</v>
      </c>
      <c r="L235" s="14" t="s">
        <v>4956</v>
      </c>
      <c r="M235" s="14" t="s">
        <v>9158</v>
      </c>
      <c r="N235" s="14" t="s">
        <v>9158</v>
      </c>
      <c r="O235" s="14" t="s">
        <v>9158</v>
      </c>
      <c r="P235" s="14" t="s">
        <v>9158</v>
      </c>
      <c r="Q235" s="14" t="s">
        <v>9158</v>
      </c>
    </row>
    <row r="237" spans="1:17">
      <c r="A237" s="14" t="s">
        <v>3916</v>
      </c>
    </row>
    <row r="238" spans="1:17">
      <c r="A238" s="14">
        <v>104659</v>
      </c>
      <c r="B238" s="14" t="s">
        <v>15576</v>
      </c>
    </row>
    <row r="239" spans="1:17">
      <c r="A239" s="14">
        <v>71013</v>
      </c>
      <c r="B239" s="14" t="s">
        <v>334</v>
      </c>
      <c r="C239" s="14" t="s">
        <v>154</v>
      </c>
      <c r="D239" s="19" t="s">
        <v>837</v>
      </c>
      <c r="E239" s="15" t="str">
        <f>HYPERLINK("https://stat100.ameba.jp/tnk47/ratio20/illustrations/card/ill_71013_fujutsushisarashina03.jpg?202011-5-RELEASE-marathon-501xxxxx", "■")</f>
        <v>■</v>
      </c>
      <c r="F239" s="14" t="s">
        <v>838</v>
      </c>
      <c r="G239" s="14">
        <v>108276</v>
      </c>
      <c r="H239" s="14">
        <v>116452</v>
      </c>
      <c r="I239" s="14">
        <v>27</v>
      </c>
      <c r="J239" s="14" t="s">
        <v>155</v>
      </c>
      <c r="K239" s="14" t="s">
        <v>1231</v>
      </c>
      <c r="L239" s="14" t="s">
        <v>13152</v>
      </c>
      <c r="M239" s="14" t="s">
        <v>9864</v>
      </c>
      <c r="N239" s="14" t="s">
        <v>9158</v>
      </c>
      <c r="O239" s="14" t="s">
        <v>9158</v>
      </c>
      <c r="P239" s="14" t="s">
        <v>9158</v>
      </c>
      <c r="Q239" s="14" t="s">
        <v>9158</v>
      </c>
    </row>
    <row r="240" spans="1:17">
      <c r="A240" s="14">
        <v>71023</v>
      </c>
      <c r="B240" s="14" t="s">
        <v>334</v>
      </c>
      <c r="C240" s="14" t="s">
        <v>158</v>
      </c>
      <c r="D240" s="19" t="s">
        <v>841</v>
      </c>
      <c r="E240" s="15" t="str">
        <f>HYPERLINK("https://stat100.ameba.jp/tnk47/ratio20/illustrations/card/ill_71023_ommyojiiroha03.jpg?202011-5-RELEASE-marathon-501xxxxx", "■")</f>
        <v>■</v>
      </c>
      <c r="F240" s="14" t="s">
        <v>842</v>
      </c>
      <c r="G240" s="14">
        <v>108276</v>
      </c>
      <c r="H240" s="14">
        <v>116452</v>
      </c>
      <c r="I240" s="14">
        <v>27</v>
      </c>
      <c r="J240" s="14" t="s">
        <v>159</v>
      </c>
      <c r="K240" s="14" t="s">
        <v>1232</v>
      </c>
      <c r="L240" s="14" t="s">
        <v>1233</v>
      </c>
      <c r="M240" s="14" t="s">
        <v>9158</v>
      </c>
      <c r="N240" s="14" t="s">
        <v>9158</v>
      </c>
      <c r="O240" s="14" t="s">
        <v>9158</v>
      </c>
      <c r="P240" s="14" t="s">
        <v>9158</v>
      </c>
      <c r="Q240" s="14" t="s">
        <v>9158</v>
      </c>
    </row>
    <row r="241" spans="1:17">
      <c r="A241" s="14">
        <v>66053</v>
      </c>
      <c r="B241" s="14" t="s">
        <v>334</v>
      </c>
      <c r="C241" s="14" t="s">
        <v>205</v>
      </c>
      <c r="D241" s="19" t="s">
        <v>3046</v>
      </c>
      <c r="E241" s="15" t="str">
        <f>HYPERLINK("https://stat100.ameba.jp/tnk47/ratio20/illustrations/card/ill_66053_serebukushiyatamanokami03.jpg?202011-5-RELEASE-marathon-501xxxxx", "■")</f>
        <v>■</v>
      </c>
      <c r="F241" s="14" t="s">
        <v>2265</v>
      </c>
      <c r="G241" s="14">
        <v>110129</v>
      </c>
      <c r="H241" s="14">
        <v>102386</v>
      </c>
      <c r="I241" s="14">
        <v>27</v>
      </c>
      <c r="J241" s="14" t="s">
        <v>44</v>
      </c>
      <c r="K241" s="14" t="s">
        <v>2266</v>
      </c>
      <c r="L241" s="14" t="s">
        <v>1860</v>
      </c>
      <c r="M241" s="14" t="s">
        <v>9158</v>
      </c>
      <c r="N241" s="14" t="s">
        <v>9158</v>
      </c>
      <c r="O241" s="14" t="s">
        <v>9158</v>
      </c>
      <c r="P241" s="14" t="s">
        <v>9158</v>
      </c>
      <c r="Q241" s="14" t="s">
        <v>9158</v>
      </c>
    </row>
    <row r="242" spans="1:17">
      <c r="A242" s="14">
        <v>65923</v>
      </c>
      <c r="B242" s="14" t="s">
        <v>334</v>
      </c>
      <c r="C242" s="14" t="s">
        <v>185</v>
      </c>
      <c r="D242" s="19" t="s">
        <v>10204</v>
      </c>
      <c r="E242" s="15" t="str">
        <f>HYPERLINK("https://stat100.ameba.jp/tnk47/ratio20/illustrations/card/ill_65923_arabianginko03.jpg?202011-5-RELEASE-marathon-501xxxxx", "■")</f>
        <v>■</v>
      </c>
      <c r="F242" s="14" t="s">
        <v>4978</v>
      </c>
      <c r="G242" s="14">
        <v>112496</v>
      </c>
      <c r="H242" s="14">
        <v>104619</v>
      </c>
      <c r="I242" s="14">
        <v>27</v>
      </c>
      <c r="J242" s="14" t="s">
        <v>182</v>
      </c>
      <c r="K242" s="14" t="s">
        <v>3679</v>
      </c>
      <c r="L242" s="14" t="s">
        <v>13188</v>
      </c>
      <c r="M242" s="14" t="s">
        <v>9158</v>
      </c>
      <c r="N242" s="14" t="s">
        <v>9158</v>
      </c>
      <c r="O242" s="14" t="s">
        <v>9158</v>
      </c>
      <c r="P242" s="14" t="s">
        <v>9158</v>
      </c>
      <c r="Q242" s="14" t="s">
        <v>9158</v>
      </c>
    </row>
    <row r="243" spans="1:17">
      <c r="A243" s="14">
        <v>52863</v>
      </c>
      <c r="B243" s="14" t="s">
        <v>15</v>
      </c>
      <c r="C243" s="14" t="s">
        <v>191</v>
      </c>
      <c r="D243" s="19" t="s">
        <v>10516</v>
      </c>
      <c r="E243" s="15" t="str">
        <f>HYPERLINK("https://stat100.ameba.jp/tnk47/ratio20/illustrations/card/ill_52863_andoroidokingyonota03.jpg?202011-5-RELEASE-marathon-501xxxxx", "■")</f>
        <v>■</v>
      </c>
      <c r="F243" s="14" t="s">
        <v>6409</v>
      </c>
      <c r="G243" s="14">
        <v>59144</v>
      </c>
      <c r="H243" s="14">
        <v>65208</v>
      </c>
      <c r="I243" s="14">
        <v>22</v>
      </c>
      <c r="J243" s="14" t="s">
        <v>38</v>
      </c>
      <c r="K243" s="14" t="s">
        <v>6407</v>
      </c>
      <c r="L243" s="14" t="s">
        <v>6406</v>
      </c>
      <c r="M243" s="14" t="s">
        <v>9158</v>
      </c>
      <c r="N243" s="14" t="s">
        <v>9158</v>
      </c>
      <c r="O243" s="14" t="s">
        <v>9158</v>
      </c>
      <c r="P243" s="14" t="s">
        <v>9158</v>
      </c>
      <c r="Q243" s="14" t="s">
        <v>9158</v>
      </c>
    </row>
    <row r="244" spans="1:17">
      <c r="A244" s="14">
        <v>51593</v>
      </c>
      <c r="B244" s="14" t="s">
        <v>15</v>
      </c>
      <c r="C244" s="14" t="s">
        <v>200</v>
      </c>
      <c r="D244" s="19" t="s">
        <v>10517</v>
      </c>
      <c r="E244" s="15" t="str">
        <f>HYPERLINK("https://stat100.ameba.jp/tnk47/ratio20/illustrations/card/ill_51593_kishuhondatadakatsu03.jpg?202011-5-RELEASE-marathon-501xxxxx", "■")</f>
        <v>■</v>
      </c>
      <c r="F244" s="14" t="s">
        <v>6413</v>
      </c>
      <c r="G244" s="14">
        <v>59144</v>
      </c>
      <c r="H244" s="14">
        <v>65208</v>
      </c>
      <c r="I244" s="14">
        <v>22</v>
      </c>
      <c r="J244" s="14" t="s">
        <v>143</v>
      </c>
      <c r="K244" s="14" t="s">
        <v>6411</v>
      </c>
      <c r="L244" s="14" t="s">
        <v>6410</v>
      </c>
      <c r="M244" s="14" t="s">
        <v>9158</v>
      </c>
      <c r="N244" s="14" t="s">
        <v>9158</v>
      </c>
      <c r="O244" s="14" t="s">
        <v>9158</v>
      </c>
      <c r="P244" s="14" t="s">
        <v>9158</v>
      </c>
      <c r="Q244" s="14" t="s">
        <v>9158</v>
      </c>
    </row>
    <row r="245" spans="1:17">
      <c r="A245" s="14">
        <v>55403</v>
      </c>
      <c r="B245" s="14" t="s">
        <v>15</v>
      </c>
      <c r="C245" s="14" t="s">
        <v>165</v>
      </c>
      <c r="D245" s="19" t="s">
        <v>10518</v>
      </c>
      <c r="E245" s="15" t="str">
        <f>HYPERLINK("https://stat100.ameba.jp/tnk47/ratio20/illustrations/card/ill_55403_undokaikyogokumaria03.jpg?202011-5-RELEASE-marathon-501xxxxx", "■")</f>
        <v>■</v>
      </c>
      <c r="F245" s="14" t="s">
        <v>6417</v>
      </c>
      <c r="G245" s="14">
        <v>65208</v>
      </c>
      <c r="H245" s="14">
        <v>59144</v>
      </c>
      <c r="I245" s="14">
        <v>22</v>
      </c>
      <c r="J245" s="14" t="s">
        <v>77</v>
      </c>
      <c r="K245" s="14" t="s">
        <v>6415</v>
      </c>
      <c r="L245" s="14" t="s">
        <v>6414</v>
      </c>
      <c r="M245" s="14" t="s">
        <v>9158</v>
      </c>
      <c r="N245" s="14" t="s">
        <v>9158</v>
      </c>
      <c r="O245" s="14" t="s">
        <v>9158</v>
      </c>
      <c r="P245" s="14" t="s">
        <v>9158</v>
      </c>
      <c r="Q245" s="14" t="s">
        <v>9158</v>
      </c>
    </row>
    <row r="246" spans="1:17">
      <c r="A246" s="14">
        <v>52973</v>
      </c>
      <c r="B246" s="14" t="s">
        <v>15</v>
      </c>
      <c r="C246" s="14" t="s">
        <v>206</v>
      </c>
      <c r="D246" s="19" t="s">
        <v>10519</v>
      </c>
      <c r="E246" s="15" t="str">
        <f>HYPERLINK("https://stat100.ameba.jp/tnk47/ratio20/illustrations/card/ill_52973_torampuamoronagu03.jpg?202011-5-RELEASE-marathon-501xxxxx", "■")</f>
        <v>■</v>
      </c>
      <c r="F246" s="14" t="s">
        <v>6421</v>
      </c>
      <c r="G246" s="14">
        <v>65208</v>
      </c>
      <c r="H246" s="14">
        <v>59144</v>
      </c>
      <c r="I246" s="14">
        <v>22</v>
      </c>
      <c r="J246" s="14" t="s">
        <v>44</v>
      </c>
      <c r="K246" s="14" t="s">
        <v>6419</v>
      </c>
      <c r="L246" s="14" t="s">
        <v>6418</v>
      </c>
      <c r="M246" s="14" t="s">
        <v>9158</v>
      </c>
      <c r="N246" s="14" t="s">
        <v>9158</v>
      </c>
      <c r="O246" s="14" t="s">
        <v>9158</v>
      </c>
      <c r="P246" s="14" t="s">
        <v>9158</v>
      </c>
      <c r="Q246" s="14" t="s">
        <v>9158</v>
      </c>
    </row>
    <row r="248" spans="1:17">
      <c r="A248" s="14" t="s">
        <v>15580</v>
      </c>
    </row>
    <row r="249" spans="1:17">
      <c r="A249" s="14">
        <v>104692</v>
      </c>
      <c r="B249" s="14" t="s">
        <v>15581</v>
      </c>
    </row>
    <row r="250" spans="1:17">
      <c r="A250" s="14">
        <v>104720</v>
      </c>
      <c r="B250" s="14" t="s">
        <v>15582</v>
      </c>
    </row>
    <row r="251" spans="1:17">
      <c r="A251" s="14" t="s">
        <v>15589</v>
      </c>
      <c r="B251" s="14" t="s">
        <v>15584</v>
      </c>
      <c r="C251" s="14" t="s">
        <v>15583</v>
      </c>
      <c r="D251" s="14" t="s">
        <v>15579</v>
      </c>
      <c r="E251" s="15" t="str">
        <f>HYPERLINK("https://stat100.ameba.jp/tnk47/ratio20/illustrations/card/ill_93523_0_kyodokusanreijo03.jpg?202011-5-RELEASE-marathon-501xxxxx", "■")</f>
        <v>■</v>
      </c>
      <c r="F251" s="14" t="s">
        <v>15588</v>
      </c>
      <c r="G251" s="14">
        <v>363434</v>
      </c>
      <c r="H251" s="14">
        <v>337916</v>
      </c>
      <c r="I251" s="14">
        <v>30</v>
      </c>
      <c r="J251" s="14" t="s">
        <v>15587</v>
      </c>
      <c r="K251" s="14" t="s">
        <v>15586</v>
      </c>
      <c r="L251" s="14" t="s">
        <v>15585</v>
      </c>
      <c r="M251" s="14" t="s">
        <v>9158</v>
      </c>
      <c r="N251" s="14" t="s">
        <v>9158</v>
      </c>
      <c r="O251" s="14" t="s">
        <v>15590</v>
      </c>
      <c r="P251" s="14" t="s">
        <v>15591</v>
      </c>
      <c r="Q251" s="14">
        <v>1</v>
      </c>
    </row>
    <row r="252" spans="1:17">
      <c r="A252" s="14">
        <v>75653</v>
      </c>
      <c r="B252" s="14" t="s">
        <v>15596</v>
      </c>
      <c r="C252" s="14" t="s">
        <v>15597</v>
      </c>
      <c r="D252" s="14" t="s">
        <v>15598</v>
      </c>
      <c r="E252" s="15" t="str">
        <f>HYPERLINK("https://stat100.ameba.jp/tnk47/ratio20/illustrations/card/ill_75653_kitanobuchika03.jpg?202011-5-RELEASE-marathon-501xxxxx", "■")</f>
        <v>■</v>
      </c>
      <c r="F252" s="14" t="s">
        <v>15595</v>
      </c>
      <c r="G252" s="14">
        <v>149240</v>
      </c>
      <c r="H252" s="14">
        <v>160507</v>
      </c>
      <c r="I252" s="14">
        <v>27</v>
      </c>
      <c r="J252" s="14" t="s">
        <v>15594</v>
      </c>
      <c r="K252" s="14" t="s">
        <v>15593</v>
      </c>
      <c r="L252" s="14" t="s">
        <v>15592</v>
      </c>
      <c r="M252" s="14" t="s">
        <v>9158</v>
      </c>
      <c r="N252" s="14" t="s">
        <v>9158</v>
      </c>
      <c r="O252" s="14" t="s">
        <v>9158</v>
      </c>
      <c r="P252" s="14" t="s">
        <v>9158</v>
      </c>
      <c r="Q252" s="14" t="s">
        <v>9158</v>
      </c>
    </row>
    <row r="253" spans="1:17">
      <c r="A253" s="14">
        <v>84453</v>
      </c>
      <c r="B253" s="14" t="s">
        <v>15596</v>
      </c>
      <c r="C253" s="14" t="s">
        <v>15603</v>
      </c>
      <c r="D253" s="14" t="s">
        <v>15602</v>
      </c>
      <c r="E253" s="15" t="str">
        <f>HYPERLINK("https://stat100.ameba.jp/tnk47/ratio20/illustrations/card/ill_84453_joginguasakusanokaminarimon03.jpg?202011-5-RELEASE-marathon-501xxxxx", "■")</f>
        <v>■</v>
      </c>
      <c r="F253" s="14" t="s">
        <v>15601</v>
      </c>
      <c r="G253" s="14">
        <v>114362</v>
      </c>
      <c r="H253" s="14">
        <v>123002</v>
      </c>
      <c r="I253" s="14">
        <v>27</v>
      </c>
      <c r="J253" s="14" t="s">
        <v>15587</v>
      </c>
      <c r="K253" s="14" t="s">
        <v>15600</v>
      </c>
      <c r="L253" s="14" t="s">
        <v>15599</v>
      </c>
      <c r="M253" s="14" t="s">
        <v>9158</v>
      </c>
      <c r="N253" s="14" t="s">
        <v>9158</v>
      </c>
      <c r="O253" s="14" t="s">
        <v>9158</v>
      </c>
      <c r="P253" s="14" t="s">
        <v>9158</v>
      </c>
      <c r="Q253" s="14" t="s">
        <v>9158</v>
      </c>
    </row>
    <row r="254" spans="1:17">
      <c r="A254" s="14">
        <v>77533</v>
      </c>
      <c r="B254" s="14" t="s">
        <v>15596</v>
      </c>
      <c r="C254" s="14" t="s">
        <v>15609</v>
      </c>
      <c r="D254" s="14" t="s">
        <v>15608</v>
      </c>
      <c r="E254" s="15" t="str">
        <f>HYPERLINK("https://stat100.ameba.jp/tnk47/ratio20/illustrations/card/ill_77533_miyakonotawasuzuhikohime03.jpg?202011-5-RELEASE-marathon-501xxxxx", "■")</f>
        <v>■</v>
      </c>
      <c r="F254" s="14" t="s">
        <v>15607</v>
      </c>
      <c r="G254" s="14">
        <v>104619</v>
      </c>
      <c r="H254" s="14">
        <v>112496</v>
      </c>
      <c r="I254" s="14">
        <v>27</v>
      </c>
      <c r="J254" s="14" t="s">
        <v>15606</v>
      </c>
      <c r="K254" s="14" t="s">
        <v>15605</v>
      </c>
      <c r="L254" s="14" t="s">
        <v>15604</v>
      </c>
      <c r="M254" s="14" t="s">
        <v>9158</v>
      </c>
      <c r="N254" s="14" t="s">
        <v>9158</v>
      </c>
      <c r="O254" s="14" t="s">
        <v>9158</v>
      </c>
      <c r="P254" s="14" t="s">
        <v>9158</v>
      </c>
      <c r="Q254" s="14" t="s">
        <v>9158</v>
      </c>
    </row>
    <row r="255" spans="1:17">
      <c r="A255" s="14">
        <v>82133</v>
      </c>
      <c r="B255" s="14" t="s">
        <v>15596</v>
      </c>
      <c r="C255" s="14" t="s">
        <v>15614</v>
      </c>
      <c r="D255" s="14" t="s">
        <v>15613</v>
      </c>
      <c r="E255" s="15" t="str">
        <f>HYPERLINK("https://stat100.ameba.jp/tnk47/ratio20/illustrations/card/ill_82133_senritsunosumasshukobitokaba03.jpg?202011-5-RELEASE-marathon-501xxxxx", "■")</f>
        <v>■</v>
      </c>
      <c r="F255" s="14" t="s">
        <v>15612</v>
      </c>
      <c r="G255" s="14">
        <v>102386</v>
      </c>
      <c r="H255" s="14">
        <v>110129</v>
      </c>
      <c r="I255" s="14">
        <v>27</v>
      </c>
      <c r="J255" s="14" t="s">
        <v>15587</v>
      </c>
      <c r="K255" s="14" t="s">
        <v>15611</v>
      </c>
      <c r="L255" s="14" t="s">
        <v>15610</v>
      </c>
      <c r="M255" s="14" t="s">
        <v>9158</v>
      </c>
      <c r="N255" s="14" t="s">
        <v>9158</v>
      </c>
      <c r="O255" s="14" t="s">
        <v>9158</v>
      </c>
      <c r="P255" s="14" t="s">
        <v>9158</v>
      </c>
      <c r="Q255" s="14" t="s">
        <v>9158</v>
      </c>
    </row>
    <row r="256" spans="1:17">
      <c r="A256" s="14">
        <v>78293</v>
      </c>
      <c r="B256" s="14" t="s">
        <v>15596</v>
      </c>
      <c r="C256" s="14" t="s">
        <v>15619</v>
      </c>
      <c r="D256" s="14" t="s">
        <v>15618</v>
      </c>
      <c r="E256" s="15" t="str">
        <f>HYPERLINK("https://stat100.ameba.jp/tnk47/ratio20/illustrations/card/ill_78293_yukinotaawaodori03.jpg?202011-5-RELEASE-marathon-501xxxxx", "■")</f>
        <v>■</v>
      </c>
      <c r="F256" s="14" t="s">
        <v>15617</v>
      </c>
      <c r="G256" s="14">
        <v>114362</v>
      </c>
      <c r="H256" s="14">
        <v>123002</v>
      </c>
      <c r="I256" s="14">
        <v>27</v>
      </c>
      <c r="J256" s="14" t="s">
        <v>15587</v>
      </c>
      <c r="K256" s="14" t="s">
        <v>15616</v>
      </c>
      <c r="L256" s="14" t="s">
        <v>15615</v>
      </c>
      <c r="M256" s="14" t="s">
        <v>9158</v>
      </c>
      <c r="N256" s="14" t="s">
        <v>9158</v>
      </c>
      <c r="O256" s="14" t="s">
        <v>9158</v>
      </c>
      <c r="P256" s="14" t="s">
        <v>9158</v>
      </c>
      <c r="Q256" s="14" t="s">
        <v>9158</v>
      </c>
    </row>
    <row r="257" spans="1:18">
      <c r="A257" s="14">
        <v>80673</v>
      </c>
      <c r="B257" s="14" t="s">
        <v>15596</v>
      </c>
      <c r="C257" s="14" t="s">
        <v>15625</v>
      </c>
      <c r="D257" s="14" t="s">
        <v>15624</v>
      </c>
      <c r="E257" s="15" t="str">
        <f>HYPERLINK("https://stat100.ameba.jp/tnk47/ratio20/illustrations/card/ill_80673_banchoshishirianraisu03.jpg?202011-5-RELEASE-marathon-501xxxxx", "■")</f>
        <v>■</v>
      </c>
      <c r="F257" s="14" t="s">
        <v>15623</v>
      </c>
      <c r="G257" s="14">
        <v>149240</v>
      </c>
      <c r="H257" s="14">
        <v>160507</v>
      </c>
      <c r="I257" s="14">
        <v>27</v>
      </c>
      <c r="J257" s="14" t="s">
        <v>15622</v>
      </c>
      <c r="K257" s="14" t="s">
        <v>15621</v>
      </c>
      <c r="L257" s="14" t="s">
        <v>15620</v>
      </c>
      <c r="M257" s="14" t="s">
        <v>9158</v>
      </c>
      <c r="N257" s="14" t="s">
        <v>9158</v>
      </c>
      <c r="O257" s="14" t="s">
        <v>9158</v>
      </c>
      <c r="P257" s="14" t="s">
        <v>9158</v>
      </c>
      <c r="Q257" s="14" t="s">
        <v>9158</v>
      </c>
    </row>
    <row r="259" spans="1:18">
      <c r="A259" s="7" t="s">
        <v>13327</v>
      </c>
      <c r="B259" s="7"/>
      <c r="C259" s="7"/>
      <c r="D259" s="7"/>
      <c r="E259" s="7"/>
      <c r="F259" s="7"/>
      <c r="G259" s="7"/>
      <c r="H259" s="7"/>
      <c r="I259" s="7"/>
      <c r="J259" s="7"/>
      <c r="K259" s="7"/>
      <c r="L259" s="7"/>
      <c r="M259" s="7"/>
      <c r="N259" s="7"/>
      <c r="O259" s="7"/>
      <c r="P259" s="7"/>
      <c r="Q259" s="7"/>
      <c r="R259" s="7"/>
    </row>
    <row r="260" spans="1:18">
      <c r="A260" s="7">
        <v>104672</v>
      </c>
      <c r="B260" s="7" t="s">
        <v>8003</v>
      </c>
      <c r="C260" s="7"/>
      <c r="E260" s="7"/>
      <c r="F260" s="7"/>
      <c r="G260" s="7"/>
      <c r="H260" s="7"/>
      <c r="I260" s="7"/>
      <c r="J260" s="7"/>
      <c r="K260" s="7"/>
      <c r="L260" s="7"/>
      <c r="M260" s="7"/>
      <c r="N260" s="7"/>
      <c r="O260" s="7"/>
      <c r="P260" s="7"/>
      <c r="Q260" s="7"/>
      <c r="R260" s="7"/>
    </row>
    <row r="261" spans="1:18">
      <c r="A261" s="14">
        <v>86063</v>
      </c>
      <c r="B261" s="14" t="s">
        <v>334</v>
      </c>
      <c r="C261" s="14" t="s">
        <v>14</v>
      </c>
      <c r="D261" s="19" t="s">
        <v>10818</v>
      </c>
      <c r="E261" s="15" t="str">
        <f>HYPERLINK("https://stat100.ameba.jp/tnk47/ratio20/illustrations/card/ill_86063_uotchimeika03.jpg?202011-5-RELEASE-marathon-501xxxxx", "■")</f>
        <v>■</v>
      </c>
      <c r="F261" s="14" t="s">
        <v>8368</v>
      </c>
      <c r="G261" s="14">
        <v>128160</v>
      </c>
      <c r="H261" s="14">
        <v>137846</v>
      </c>
      <c r="I261" s="14">
        <v>28</v>
      </c>
      <c r="J261" s="14" t="s">
        <v>173</v>
      </c>
      <c r="K261" s="14" t="s">
        <v>8367</v>
      </c>
      <c r="L261" s="14" t="s">
        <v>8366</v>
      </c>
      <c r="M261" s="14" t="s">
        <v>13130</v>
      </c>
      <c r="N261" s="14" t="s">
        <v>343</v>
      </c>
      <c r="O261" s="14" t="s">
        <v>9158</v>
      </c>
      <c r="P261" s="14" t="s">
        <v>9158</v>
      </c>
      <c r="Q261" s="14" t="s">
        <v>9158</v>
      </c>
      <c r="R261" s="14" t="s">
        <v>14748</v>
      </c>
    </row>
    <row r="262" spans="1:18">
      <c r="A262" s="14">
        <v>86062</v>
      </c>
      <c r="B262" s="14" t="s">
        <v>334</v>
      </c>
      <c r="C262" s="14" t="s">
        <v>14</v>
      </c>
      <c r="D262" s="19" t="s">
        <v>10818</v>
      </c>
      <c r="E262" s="15" t="str">
        <f>HYPERLINK("https://stat100.ameba.jp/tnk47/ratio20/illustrations/card/ill_86062_uotchimeika02.jpg?202011-5-RELEASE-marathon-501xxxxx", "■")</f>
        <v>■</v>
      </c>
      <c r="F262" s="14" t="s">
        <v>8368</v>
      </c>
      <c r="G262" s="14">
        <v>106148</v>
      </c>
      <c r="H262" s="14">
        <v>115230</v>
      </c>
      <c r="I262" s="14">
        <v>28</v>
      </c>
      <c r="J262" s="14" t="s">
        <v>173</v>
      </c>
      <c r="K262" s="14" t="s">
        <v>8367</v>
      </c>
      <c r="L262" s="14" t="s">
        <v>8366</v>
      </c>
      <c r="M262" s="14" t="s">
        <v>13131</v>
      </c>
      <c r="N262" s="14" t="s">
        <v>251</v>
      </c>
      <c r="O262" s="14" t="s">
        <v>9158</v>
      </c>
      <c r="P262" s="14" t="s">
        <v>9158</v>
      </c>
      <c r="Q262" s="14" t="s">
        <v>9158</v>
      </c>
      <c r="R262" s="14" t="s">
        <v>14748</v>
      </c>
    </row>
    <row r="263" spans="1:18">
      <c r="A263" s="14">
        <v>86061</v>
      </c>
      <c r="B263" s="14" t="s">
        <v>0</v>
      </c>
      <c r="C263" s="14" t="s">
        <v>14</v>
      </c>
      <c r="D263" s="19" t="s">
        <v>10818</v>
      </c>
      <c r="E263" s="15" t="str">
        <f>HYPERLINK("https://stat100.ameba.jp/tnk47/ratio20/illustrations/card/ill_86061_uotchimeika01.jpg?202011-5-RELEASE-marathon-501xxxxx", "■")</f>
        <v>■</v>
      </c>
      <c r="F263" s="14" t="s">
        <v>8368</v>
      </c>
      <c r="G263" s="14">
        <v>81900</v>
      </c>
      <c r="H263" s="14">
        <v>87976</v>
      </c>
      <c r="I263" s="14">
        <v>28</v>
      </c>
      <c r="J263" s="14" t="s">
        <v>173</v>
      </c>
      <c r="K263" s="14" t="s">
        <v>8367</v>
      </c>
      <c r="L263" s="14" t="s">
        <v>8366</v>
      </c>
      <c r="M263" s="14" t="s">
        <v>13131</v>
      </c>
      <c r="N263" s="14" t="s">
        <v>251</v>
      </c>
      <c r="O263" s="14" t="s">
        <v>9158</v>
      </c>
      <c r="P263" s="14" t="s">
        <v>9158</v>
      </c>
      <c r="Q263" s="14" t="s">
        <v>9158</v>
      </c>
      <c r="R263" s="14" t="s">
        <v>14748</v>
      </c>
    </row>
    <row r="264" spans="1:18">
      <c r="A264" s="14">
        <v>86073</v>
      </c>
      <c r="B264" s="14" t="s">
        <v>334</v>
      </c>
      <c r="C264" s="14" t="s">
        <v>23</v>
      </c>
      <c r="D264" s="19" t="s">
        <v>10819</v>
      </c>
      <c r="E264" s="15" t="str">
        <f>HYPERLINK("https://stat100.ameba.jp/tnk47/ratio20/illustrations/card/ill_86073_maddohatta03.jpg?202011-5-RELEASE-marathon-501xxxxx", "■")</f>
        <v>■</v>
      </c>
      <c r="F264" s="14" t="s">
        <v>8371</v>
      </c>
      <c r="G264" s="14">
        <v>128160</v>
      </c>
      <c r="H264" s="14">
        <v>137846</v>
      </c>
      <c r="I264" s="14">
        <v>28</v>
      </c>
      <c r="J264" s="14" t="s">
        <v>155</v>
      </c>
      <c r="K264" s="14" t="s">
        <v>8370</v>
      </c>
      <c r="L264" s="14" t="s">
        <v>8369</v>
      </c>
      <c r="M264" s="14" t="s">
        <v>13130</v>
      </c>
      <c r="N264" s="14" t="s">
        <v>343</v>
      </c>
      <c r="O264" s="14" t="s">
        <v>9158</v>
      </c>
      <c r="P264" s="14" t="s">
        <v>9158</v>
      </c>
      <c r="Q264" s="14" t="s">
        <v>9158</v>
      </c>
      <c r="R264" s="14" t="s">
        <v>14748</v>
      </c>
    </row>
    <row r="265" spans="1:18">
      <c r="A265" s="14">
        <v>86083</v>
      </c>
      <c r="B265" s="14" t="s">
        <v>334</v>
      </c>
      <c r="C265" s="14" t="s">
        <v>101</v>
      </c>
      <c r="D265" s="19" t="s">
        <v>10820</v>
      </c>
      <c r="E265" s="15" t="str">
        <f>HYPERLINK("https://stat100.ameba.jp/tnk47/ratio20/illustrations/card/ill_86083_keieinochojomeruro03.jpg?202011-5-RELEASE-marathon-501xxxxx", "■")</f>
        <v>■</v>
      </c>
      <c r="F265" s="14" t="s">
        <v>8375</v>
      </c>
      <c r="G265" s="14">
        <v>137846</v>
      </c>
      <c r="H265" s="14">
        <v>128160</v>
      </c>
      <c r="I265" s="14">
        <v>28</v>
      </c>
      <c r="J265" s="14" t="s">
        <v>229</v>
      </c>
      <c r="K265" s="14" t="s">
        <v>8374</v>
      </c>
      <c r="L265" s="14" t="s">
        <v>8373</v>
      </c>
      <c r="M265" s="14" t="s">
        <v>13130</v>
      </c>
      <c r="N265" s="14" t="s">
        <v>343</v>
      </c>
      <c r="O265" s="14" t="s">
        <v>9158</v>
      </c>
      <c r="P265" s="14" t="s">
        <v>9158</v>
      </c>
      <c r="Q265" s="14" t="s">
        <v>9158</v>
      </c>
      <c r="R265" s="14" t="s">
        <v>14748</v>
      </c>
    </row>
    <row r="266" spans="1:18">
      <c r="A266" s="14">
        <v>86093</v>
      </c>
      <c r="B266" s="14" t="s">
        <v>0</v>
      </c>
      <c r="C266" s="14" t="s">
        <v>96</v>
      </c>
      <c r="D266" s="19" t="s">
        <v>10821</v>
      </c>
      <c r="E266" s="15" t="str">
        <f>HYPERLINK("https://stat100.ameba.jp/tnk47/ratio20/illustrations/card/ill_86093_minamotonoyoshimitsu03.jpg?202011-5-RELEASE-marathon-501xxxxx", "■")</f>
        <v>■</v>
      </c>
      <c r="F266" s="14" t="s">
        <v>8379</v>
      </c>
      <c r="G266" s="14">
        <v>137846</v>
      </c>
      <c r="H266" s="14">
        <v>128160</v>
      </c>
      <c r="I266" s="14">
        <v>28</v>
      </c>
      <c r="J266" s="14" t="s">
        <v>194</v>
      </c>
      <c r="K266" s="14" t="s">
        <v>8377</v>
      </c>
      <c r="L266" s="14" t="s">
        <v>8376</v>
      </c>
      <c r="M266" s="14" t="s">
        <v>13130</v>
      </c>
      <c r="N266" s="14" t="s">
        <v>343</v>
      </c>
      <c r="O266" s="14" t="s">
        <v>9158</v>
      </c>
      <c r="P266" s="14" t="s">
        <v>9158</v>
      </c>
      <c r="Q266" s="14" t="s">
        <v>9158</v>
      </c>
      <c r="R266" s="14" t="s">
        <v>14748</v>
      </c>
    </row>
    <row r="267" spans="1:18">
      <c r="A267" s="14">
        <v>86103</v>
      </c>
      <c r="B267" s="14" t="s">
        <v>334</v>
      </c>
      <c r="C267" s="14" t="s">
        <v>205</v>
      </c>
      <c r="D267" s="19" t="s">
        <v>10822</v>
      </c>
      <c r="E267" s="15" t="str">
        <f>HYPERLINK("https://stat100.ameba.jp/tnk47/ratio20/illustrations/card/ill_86103_omatsudaimyojin03.jpg?202011-5-RELEASE-marathon-501xxxxx", "■")</f>
        <v>■</v>
      </c>
      <c r="F267" s="14" t="s">
        <v>8383</v>
      </c>
      <c r="G267" s="14">
        <v>137846</v>
      </c>
      <c r="H267" s="14">
        <v>128160</v>
      </c>
      <c r="I267" s="14">
        <v>28</v>
      </c>
      <c r="J267" s="14" t="s">
        <v>169</v>
      </c>
      <c r="K267" s="14" t="s">
        <v>8381</v>
      </c>
      <c r="L267" s="14" t="s">
        <v>8380</v>
      </c>
      <c r="M267" s="14" t="s">
        <v>13130</v>
      </c>
      <c r="N267" s="14" t="s">
        <v>343</v>
      </c>
      <c r="O267" s="14" t="s">
        <v>9158</v>
      </c>
      <c r="P267" s="14" t="s">
        <v>9158</v>
      </c>
      <c r="Q267" s="14" t="s">
        <v>9158</v>
      </c>
      <c r="R267" s="14" t="s">
        <v>14748</v>
      </c>
    </row>
    <row r="268" spans="1:18">
      <c r="A268" s="14">
        <v>86113</v>
      </c>
      <c r="B268" s="14" t="s">
        <v>334</v>
      </c>
      <c r="C268" s="14" t="s">
        <v>107</v>
      </c>
      <c r="D268" s="19" t="s">
        <v>10823</v>
      </c>
      <c r="E268" s="15" t="str">
        <f>HYPERLINK("https://stat100.ameba.jp/tnk47/ratio20/illustrations/card/ill_86113_yuno03.jpg?202011-5-RELEASE-marathon-501xxxxx", "■")</f>
        <v>■</v>
      </c>
      <c r="F268" s="14" t="s">
        <v>8387</v>
      </c>
      <c r="G268" s="14">
        <v>128160</v>
      </c>
      <c r="H268" s="14">
        <v>137846</v>
      </c>
      <c r="I268" s="14">
        <v>28</v>
      </c>
      <c r="J268" s="14" t="s">
        <v>159</v>
      </c>
      <c r="K268" s="14" t="s">
        <v>8385</v>
      </c>
      <c r="L268" s="14" t="s">
        <v>8384</v>
      </c>
      <c r="M268" s="14" t="s">
        <v>13130</v>
      </c>
      <c r="N268" s="14" t="s">
        <v>343</v>
      </c>
      <c r="O268" s="14" t="s">
        <v>9158</v>
      </c>
      <c r="P268" s="14" t="s">
        <v>9158</v>
      </c>
      <c r="Q268" s="14" t="s">
        <v>9158</v>
      </c>
      <c r="R268" s="14" t="s">
        <v>14748</v>
      </c>
    </row>
    <row r="270" spans="1:18">
      <c r="A270" s="14" t="s">
        <v>15715</v>
      </c>
    </row>
    <row r="271" spans="1:18">
      <c r="A271" s="14">
        <v>235180</v>
      </c>
      <c r="B271" s="14" t="s">
        <v>8006</v>
      </c>
    </row>
    <row r="272" spans="1:18">
      <c r="A272" s="14">
        <v>235186</v>
      </c>
      <c r="B272" s="14" t="s">
        <v>8005</v>
      </c>
    </row>
    <row r="273" spans="1:17">
      <c r="A273" s="14" t="s">
        <v>15440</v>
      </c>
      <c r="B273" s="7" t="s">
        <v>52</v>
      </c>
      <c r="C273" s="14" t="s">
        <v>202</v>
      </c>
      <c r="D273" s="18" t="s">
        <v>15441</v>
      </c>
      <c r="E273" s="15" t="str">
        <f>HYPERLINK("https://stat100.ameba.jp/tnk47/ratio20/illustrations/card/ill_93683_0_yukemurionsenshirowainchan03.jpg?202011-5-RELEASE-marathon-501xxxxx", "■")</f>
        <v>■</v>
      </c>
      <c r="F273" s="14" t="s">
        <v>15444</v>
      </c>
      <c r="G273" s="14">
        <v>277564</v>
      </c>
      <c r="H273" s="14">
        <v>339272</v>
      </c>
      <c r="I273" s="7">
        <v>28</v>
      </c>
      <c r="J273" s="14" t="s">
        <v>104</v>
      </c>
      <c r="K273" s="14" t="s">
        <v>15443</v>
      </c>
      <c r="L273" s="14" t="s">
        <v>15442</v>
      </c>
      <c r="M273" s="14" t="s">
        <v>9158</v>
      </c>
      <c r="N273" s="14" t="s">
        <v>9158</v>
      </c>
      <c r="O273" s="6" t="s">
        <v>15445</v>
      </c>
      <c r="P273" s="7" t="s">
        <v>15446</v>
      </c>
      <c r="Q273" s="7">
        <v>1</v>
      </c>
    </row>
    <row r="274" spans="1:17">
      <c r="A274" s="14">
        <v>93903</v>
      </c>
      <c r="B274" s="14" t="s">
        <v>0</v>
      </c>
      <c r="C274" s="14" t="s">
        <v>101</v>
      </c>
      <c r="D274" s="14" t="s">
        <v>15635</v>
      </c>
      <c r="E274" s="15" t="str">
        <f>HYPERLINK("https://stat100.ameba.jp/tnk47/ratio20/illustrations/card/ill_93903_kobonoarujiiperu03.jpg?202011-5-RELEASE-marathon-501xxxxx", "■")</f>
        <v>■</v>
      </c>
      <c r="F274" s="14" t="s">
        <v>15634</v>
      </c>
      <c r="G274" s="14">
        <v>166452</v>
      </c>
      <c r="H274" s="14">
        <v>154768</v>
      </c>
      <c r="I274" s="14">
        <v>28</v>
      </c>
      <c r="J274" s="14" t="s">
        <v>10</v>
      </c>
      <c r="K274" s="14" t="s">
        <v>15632</v>
      </c>
      <c r="L274" s="14" t="s">
        <v>13407</v>
      </c>
      <c r="M274" s="14" t="s">
        <v>9158</v>
      </c>
      <c r="N274" s="14" t="s">
        <v>9158</v>
      </c>
      <c r="O274" s="14" t="s">
        <v>9158</v>
      </c>
      <c r="P274" s="14" t="s">
        <v>9158</v>
      </c>
      <c r="Q274" s="14" t="s">
        <v>9158</v>
      </c>
    </row>
    <row r="275" spans="1:17">
      <c r="A275" s="14">
        <v>93913</v>
      </c>
      <c r="B275" s="14" t="s">
        <v>334</v>
      </c>
      <c r="C275" s="14" t="s">
        <v>15713</v>
      </c>
      <c r="D275" s="14" t="s">
        <v>15712</v>
      </c>
      <c r="E275" s="15" t="str">
        <f>HYPERLINK("https://stat100.ameba.jp/tnk47/ratio20/illustrations/card/ill_93913_karuyuhaimu03.jpg?202011-5-RELEASE-marathon-501xxxxx", "■")</f>
        <v>■</v>
      </c>
      <c r="F275" s="14" t="s">
        <v>15711</v>
      </c>
      <c r="G275" s="14">
        <v>101650</v>
      </c>
      <c r="H275" s="14">
        <v>109370</v>
      </c>
      <c r="I275" s="14">
        <v>28</v>
      </c>
      <c r="J275" s="14" t="s">
        <v>15710</v>
      </c>
      <c r="K275" s="14" t="s">
        <v>15709</v>
      </c>
      <c r="L275" s="14" t="s">
        <v>15708</v>
      </c>
      <c r="M275" s="14" t="s">
        <v>9158</v>
      </c>
      <c r="N275" s="14" t="s">
        <v>9158</v>
      </c>
      <c r="O275" s="14" t="s">
        <v>9158</v>
      </c>
      <c r="P275" s="14" t="s">
        <v>9158</v>
      </c>
      <c r="Q275" s="14" t="s">
        <v>9158</v>
      </c>
    </row>
    <row r="276" spans="1:17">
      <c r="A276" s="14">
        <v>93923</v>
      </c>
      <c r="B276" s="14" t="s">
        <v>15</v>
      </c>
      <c r="C276" s="14" t="s">
        <v>23</v>
      </c>
      <c r="D276" s="14" t="s">
        <v>15641</v>
      </c>
      <c r="E276" s="15" t="str">
        <f>HYPERLINK("https://stat100.ameba.jp/tnk47/ratio20/illustrations/card/ill_93923_meikoazabunooneko03.jpg?202011-5-RELEASE-marathon-501xxxxx", "■")</f>
        <v>■</v>
      </c>
      <c r="F276" s="14" t="s">
        <v>15640</v>
      </c>
      <c r="G276" s="14">
        <v>82992</v>
      </c>
      <c r="H276" s="14">
        <v>75274</v>
      </c>
      <c r="I276" s="14">
        <v>28</v>
      </c>
      <c r="J276" s="14" t="s">
        <v>73</v>
      </c>
      <c r="K276" s="14" t="s">
        <v>3322</v>
      </c>
      <c r="L276" s="14" t="s">
        <v>3835</v>
      </c>
      <c r="M276" s="14" t="s">
        <v>9158</v>
      </c>
      <c r="N276" s="14" t="s">
        <v>9158</v>
      </c>
      <c r="O276" s="14" t="s">
        <v>9158</v>
      </c>
      <c r="P276" s="14" t="s">
        <v>9158</v>
      </c>
      <c r="Q276" s="14" t="s">
        <v>9158</v>
      </c>
    </row>
    <row r="277" spans="1:17">
      <c r="A277" s="14">
        <v>93933</v>
      </c>
      <c r="B277" s="14" t="s">
        <v>22</v>
      </c>
      <c r="C277" s="14" t="s">
        <v>14</v>
      </c>
      <c r="D277" s="14" t="s">
        <v>15647</v>
      </c>
      <c r="E277" s="15" t="str">
        <f>HYPERLINK("https://stat100.ameba.jp/tnk47/ratio20/illustrations/card/ill_93933_shodaikoizuminizaemon03.jpg?202011-5-RELEASE-marathon-501xxxxx", "■")</f>
        <v>■</v>
      </c>
      <c r="F277" s="14" t="s">
        <v>15646</v>
      </c>
      <c r="G277" s="14">
        <v>48406</v>
      </c>
      <c r="H277" s="14">
        <v>58216</v>
      </c>
      <c r="I277" s="14">
        <v>28</v>
      </c>
      <c r="J277" s="14" t="s">
        <v>16</v>
      </c>
      <c r="K277" s="14" t="s">
        <v>15644</v>
      </c>
      <c r="L277" s="14" t="s">
        <v>6675</v>
      </c>
      <c r="M277" s="14" t="s">
        <v>9158</v>
      </c>
      <c r="N277" s="14" t="s">
        <v>9158</v>
      </c>
      <c r="O277" s="14" t="s">
        <v>9158</v>
      </c>
      <c r="P277" s="14" t="s">
        <v>9158</v>
      </c>
      <c r="Q277" s="14" t="s">
        <v>9158</v>
      </c>
    </row>
    <row r="278" spans="1:17">
      <c r="A278" s="14">
        <v>93943</v>
      </c>
      <c r="B278" s="14" t="s">
        <v>22</v>
      </c>
      <c r="C278" s="14" t="s">
        <v>96</v>
      </c>
      <c r="D278" s="14" t="s">
        <v>15653</v>
      </c>
      <c r="E278" s="15" t="str">
        <f>HYPERLINK("https://stat100.ameba.jp/tnk47/ratio20/illustrations/card/ill_93943_torejakyosensuchan03.jpg?202011-5-RELEASE-marathon-501xxxxx", "■")</f>
        <v>■</v>
      </c>
      <c r="F278" s="14" t="s">
        <v>15652</v>
      </c>
      <c r="G278" s="14">
        <v>58216</v>
      </c>
      <c r="H278" s="14">
        <v>48406</v>
      </c>
      <c r="I278" s="14">
        <v>28</v>
      </c>
      <c r="J278" s="14" t="s">
        <v>26</v>
      </c>
      <c r="K278" s="14" t="s">
        <v>15650</v>
      </c>
      <c r="L278" s="14" t="s">
        <v>2635</v>
      </c>
      <c r="M278" s="14" t="s">
        <v>9158</v>
      </c>
      <c r="N278" s="14" t="s">
        <v>9158</v>
      </c>
      <c r="O278" s="14" t="s">
        <v>9158</v>
      </c>
      <c r="P278" s="14" t="s">
        <v>9158</v>
      </c>
      <c r="Q278" s="14" t="s">
        <v>9158</v>
      </c>
    </row>
    <row r="280" spans="1:17">
      <c r="A280" s="14" t="s">
        <v>15716</v>
      </c>
    </row>
    <row r="281" spans="1:17">
      <c r="A281" s="14">
        <v>104730</v>
      </c>
      <c r="B281" s="14" t="s">
        <v>15717</v>
      </c>
    </row>
    <row r="282" spans="1:17">
      <c r="A282" s="14" t="s">
        <v>6905</v>
      </c>
      <c r="B282" s="14" t="s">
        <v>330</v>
      </c>
      <c r="C282" s="14" t="s">
        <v>35</v>
      </c>
      <c r="D282" s="20" t="s">
        <v>10299</v>
      </c>
      <c r="E282" s="15" t="str">
        <f>HYPERLINK("https://stat100.ameba.jp/tnk47/ratio20/illustrations/card/ill_80623_0_ohanamigurampingutominushihime03.jpg?202011-5-RELEASE-marathon-501xxxxx", "■")</f>
        <v>■</v>
      </c>
      <c r="F282" s="14" t="s">
        <v>4162</v>
      </c>
      <c r="G282" s="14">
        <v>313380</v>
      </c>
      <c r="H282" s="14">
        <v>283260</v>
      </c>
      <c r="I282" s="14">
        <v>26</v>
      </c>
      <c r="J282" s="14" t="s">
        <v>44</v>
      </c>
      <c r="K282" s="14" t="s">
        <v>4163</v>
      </c>
      <c r="L282" s="14" t="s">
        <v>4164</v>
      </c>
      <c r="M282" s="14" t="s">
        <v>9158</v>
      </c>
      <c r="N282" s="14" t="s">
        <v>9158</v>
      </c>
      <c r="O282" s="19" t="s">
        <v>10126</v>
      </c>
      <c r="P282" s="14" t="s">
        <v>4166</v>
      </c>
      <c r="Q282" s="14">
        <v>1</v>
      </c>
    </row>
    <row r="283" spans="1:17">
      <c r="A283" s="14">
        <v>77663</v>
      </c>
      <c r="B283" s="14" t="s">
        <v>334</v>
      </c>
      <c r="C283" s="14" t="s">
        <v>202</v>
      </c>
      <c r="D283" s="20" t="s">
        <v>10614</v>
      </c>
      <c r="E283" s="15" t="str">
        <f>HYPERLINK("https://stat100.ameba.jp/tnk47/ratio20/illustrations/card/ill_77663_deipuburu03.jpg?202011-5-RELEASE-marathon-501xxxxx", "■")</f>
        <v>■</v>
      </c>
      <c r="F283" s="14" t="s">
        <v>1573</v>
      </c>
      <c r="G283" s="14">
        <v>85492</v>
      </c>
      <c r="H283" s="14">
        <v>118000</v>
      </c>
      <c r="I283" s="14">
        <v>26</v>
      </c>
      <c r="J283" s="14" t="s">
        <v>414</v>
      </c>
      <c r="K283" s="14" t="s">
        <v>1574</v>
      </c>
      <c r="L283" s="14" t="s">
        <v>1575</v>
      </c>
      <c r="M283" s="14" t="s">
        <v>9158</v>
      </c>
      <c r="N283" s="14" t="s">
        <v>9158</v>
      </c>
      <c r="O283" s="19" t="s">
        <v>10117</v>
      </c>
      <c r="P283" s="14" t="s">
        <v>3625</v>
      </c>
      <c r="Q283" s="14">
        <v>1</v>
      </c>
    </row>
    <row r="284" spans="1:17">
      <c r="A284" s="14">
        <v>81903</v>
      </c>
      <c r="B284" s="14" t="s">
        <v>334</v>
      </c>
      <c r="C284" s="14" t="s">
        <v>47</v>
      </c>
      <c r="D284" s="20" t="s">
        <v>10200</v>
      </c>
      <c r="E284" s="15" t="str">
        <f>HYPERLINK("https://stat100.ameba.jp/tnk47/ratio20/illustrations/card/ill_81903_kiryuhimeiren03.jpg?202011-5-RELEASE-marathon-501xxxxx", "■")</f>
        <v>■</v>
      </c>
      <c r="F284" s="14" t="s">
        <v>4983</v>
      </c>
      <c r="G284" s="14">
        <v>85962</v>
      </c>
      <c r="H284" s="14">
        <v>118684</v>
      </c>
      <c r="I284" s="14">
        <v>26</v>
      </c>
      <c r="J284" s="14" t="s">
        <v>77</v>
      </c>
      <c r="K284" s="14" t="s">
        <v>4985</v>
      </c>
      <c r="L284" s="14" t="s">
        <v>4986</v>
      </c>
      <c r="M284" s="14" t="s">
        <v>9158</v>
      </c>
      <c r="N284" s="14" t="s">
        <v>9158</v>
      </c>
      <c r="O284" s="19" t="s">
        <v>10112</v>
      </c>
      <c r="P284" s="14" t="s">
        <v>13150</v>
      </c>
      <c r="Q284" s="14">
        <v>1</v>
      </c>
    </row>
    <row r="285" spans="1:17">
      <c r="A285" s="14">
        <v>82543</v>
      </c>
      <c r="B285" s="14" t="s">
        <v>334</v>
      </c>
      <c r="C285" s="14" t="s">
        <v>41</v>
      </c>
      <c r="D285" s="20" t="s">
        <v>10342</v>
      </c>
      <c r="E285" s="15" t="str">
        <f>HYPERLINK("https://stat100.ameba.jp/tnk47/ratio20/illustrations/card/ill_82543_nabeshimanagako03.jpg?202011-5-RELEASE-marathon-501xxxxx", "■")</f>
        <v>■</v>
      </c>
      <c r="F285" s="14" t="s">
        <v>5491</v>
      </c>
      <c r="G285" s="14">
        <v>113630</v>
      </c>
      <c r="H285" s="14">
        <v>82318</v>
      </c>
      <c r="I285" s="14">
        <v>26</v>
      </c>
      <c r="J285" s="14" t="s">
        <v>10</v>
      </c>
      <c r="K285" s="14" t="s">
        <v>5493</v>
      </c>
      <c r="L285" s="14" t="s">
        <v>5494</v>
      </c>
      <c r="M285" s="14" t="s">
        <v>9158</v>
      </c>
      <c r="N285" s="14" t="s">
        <v>9158</v>
      </c>
      <c r="O285" s="19" t="s">
        <v>10080</v>
      </c>
      <c r="P285" s="14" t="s">
        <v>3705</v>
      </c>
      <c r="Q285" s="14">
        <v>1</v>
      </c>
    </row>
    <row r="287" spans="1:17">
      <c r="A287" s="14" t="s">
        <v>15718</v>
      </c>
    </row>
    <row r="288" spans="1:17">
      <c r="A288" s="14">
        <v>104735</v>
      </c>
      <c r="B288" s="14" t="s">
        <v>15719</v>
      </c>
    </row>
    <row r="289" spans="1:19">
      <c r="A289" s="14">
        <v>90863</v>
      </c>
      <c r="B289" s="14" t="s">
        <v>0</v>
      </c>
      <c r="C289" s="14" t="s">
        <v>185</v>
      </c>
      <c r="D289" s="14" t="s">
        <v>13916</v>
      </c>
      <c r="E289" s="15" t="str">
        <f>HYPERLINK("https://stat100.ameba.jp/tnk47/ratio20/illustrations/card/ill_90863_yokonosaitenherumesu03.jpg?202011-5-RELEASE-marathon-501xxxxx", "■")</f>
        <v>■</v>
      </c>
      <c r="F289" s="14" t="s">
        <v>13919</v>
      </c>
      <c r="G289" s="14">
        <v>167768</v>
      </c>
      <c r="H289" s="14">
        <v>94300</v>
      </c>
      <c r="I289" s="7">
        <v>28</v>
      </c>
      <c r="J289" s="14" t="s">
        <v>38</v>
      </c>
      <c r="K289" s="14" t="s">
        <v>13918</v>
      </c>
      <c r="L289" s="14" t="s">
        <v>13917</v>
      </c>
      <c r="M289" s="14" t="s">
        <v>9158</v>
      </c>
      <c r="N289" s="14" t="s">
        <v>9158</v>
      </c>
      <c r="O289" s="14" t="s">
        <v>9158</v>
      </c>
      <c r="P289" s="14" t="s">
        <v>9158</v>
      </c>
      <c r="Q289" s="14" t="s">
        <v>9158</v>
      </c>
    </row>
    <row r="290" spans="1:19">
      <c r="A290" s="14">
        <v>90873</v>
      </c>
      <c r="B290" s="14" t="s">
        <v>334</v>
      </c>
      <c r="C290" s="14" t="s">
        <v>200</v>
      </c>
      <c r="D290" s="14" t="s">
        <v>13923</v>
      </c>
      <c r="E290" s="15" t="str">
        <f>HYPERLINK("https://stat100.ameba.jp/tnk47/ratio20/illustrations/card/ill_90873_yokonosaitenrozupafue03.jpg?202011-5-RELEASE-marathon-501xxxxx", "■")</f>
        <v>■</v>
      </c>
      <c r="F290" s="14" t="s">
        <v>13922</v>
      </c>
      <c r="G290" s="14">
        <v>167768</v>
      </c>
      <c r="H290" s="14">
        <v>94300</v>
      </c>
      <c r="I290" s="7">
        <v>28</v>
      </c>
      <c r="J290" s="14" t="s">
        <v>104</v>
      </c>
      <c r="K290" s="14" t="s">
        <v>13921</v>
      </c>
      <c r="L290" s="14" t="s">
        <v>13920</v>
      </c>
      <c r="M290" s="14" t="s">
        <v>9158</v>
      </c>
      <c r="N290" s="14" t="s">
        <v>9158</v>
      </c>
      <c r="O290" s="14" t="s">
        <v>9158</v>
      </c>
      <c r="P290" s="14" t="s">
        <v>9158</v>
      </c>
      <c r="Q290" s="14" t="s">
        <v>9158</v>
      </c>
    </row>
    <row r="291" spans="1:19">
      <c r="A291" s="14">
        <v>90883</v>
      </c>
      <c r="B291" s="14" t="s">
        <v>334</v>
      </c>
      <c r="C291" s="14" t="s">
        <v>191</v>
      </c>
      <c r="D291" s="14" t="s">
        <v>13927</v>
      </c>
      <c r="E291" s="15" t="str">
        <f>HYPERLINK("https://stat100.ameba.jp/tnk47/ratio20/illustrations/card/ill_90883_yokonosaitenkusuriurichan03.jpg?202011-5-RELEASE-marathon-501xxxxx", "■")</f>
        <v>■</v>
      </c>
      <c r="F291" s="14" t="s">
        <v>13926</v>
      </c>
      <c r="G291" s="14">
        <v>167768</v>
      </c>
      <c r="H291" s="14">
        <v>94300</v>
      </c>
      <c r="I291" s="7">
        <v>28</v>
      </c>
      <c r="J291" s="14" t="s">
        <v>26</v>
      </c>
      <c r="K291" s="14" t="s">
        <v>13925</v>
      </c>
      <c r="L291" s="14" t="s">
        <v>13924</v>
      </c>
      <c r="M291" s="14" t="s">
        <v>9158</v>
      </c>
      <c r="N291" s="14" t="s">
        <v>9158</v>
      </c>
      <c r="O291" s="14" t="s">
        <v>9158</v>
      </c>
      <c r="P291" s="14" t="s">
        <v>9158</v>
      </c>
      <c r="Q291" s="14" t="s">
        <v>9158</v>
      </c>
    </row>
    <row r="292" spans="1:19">
      <c r="A292" s="14">
        <v>90893</v>
      </c>
      <c r="B292" s="14" t="s">
        <v>0</v>
      </c>
      <c r="C292" s="14" t="s">
        <v>165</v>
      </c>
      <c r="D292" s="14" t="s">
        <v>13931</v>
      </c>
      <c r="E292" s="15" t="str">
        <f>HYPERLINK("https://stat100.ameba.jp/tnk47/ratio20/illustrations/card/ill_90893_yokonosaitenokuriokami03.jpg?202011-5-RELEASE-marathon-501xxxxx", "■")</f>
        <v>■</v>
      </c>
      <c r="F292" s="14" t="s">
        <v>13930</v>
      </c>
      <c r="G292" s="14">
        <v>167768</v>
      </c>
      <c r="H292" s="14">
        <v>94300</v>
      </c>
      <c r="I292" s="7">
        <v>28</v>
      </c>
      <c r="J292" s="14" t="s">
        <v>73</v>
      </c>
      <c r="K292" s="14" t="s">
        <v>13929</v>
      </c>
      <c r="L292" s="14" t="s">
        <v>13928</v>
      </c>
      <c r="M292" s="14" t="s">
        <v>9158</v>
      </c>
      <c r="N292" s="14" t="s">
        <v>9158</v>
      </c>
      <c r="O292" s="14" t="s">
        <v>9158</v>
      </c>
      <c r="P292" s="14" t="s">
        <v>9158</v>
      </c>
      <c r="Q292" s="14" t="s">
        <v>9158</v>
      </c>
    </row>
    <row r="293" spans="1:19">
      <c r="A293" s="14">
        <v>90903</v>
      </c>
      <c r="B293" s="14" t="s">
        <v>334</v>
      </c>
      <c r="C293" s="14" t="s">
        <v>205</v>
      </c>
      <c r="D293" s="14" t="s">
        <v>13935</v>
      </c>
      <c r="E293" s="15" t="str">
        <f>HYPERLINK("https://stat100.ameba.jp/tnk47/ratio20/illustrations/card/ill_90903_yokonosaitensefuiroto03.jpg?202011-5-RELEASE-marathon-501xxxxx", "■")</f>
        <v>■</v>
      </c>
      <c r="F293" s="14" t="s">
        <v>13934</v>
      </c>
      <c r="G293" s="14">
        <v>167768</v>
      </c>
      <c r="H293" s="14">
        <v>94300</v>
      </c>
      <c r="I293" s="7">
        <v>28</v>
      </c>
      <c r="J293" s="14" t="s">
        <v>44</v>
      </c>
      <c r="K293" s="14" t="s">
        <v>13933</v>
      </c>
      <c r="L293" s="14" t="s">
        <v>13932</v>
      </c>
      <c r="M293" s="14" t="s">
        <v>9158</v>
      </c>
      <c r="N293" s="14" t="s">
        <v>9158</v>
      </c>
      <c r="O293" s="14" t="s">
        <v>9158</v>
      </c>
      <c r="P293" s="14" t="s">
        <v>9158</v>
      </c>
      <c r="Q293" s="14" t="s">
        <v>9158</v>
      </c>
    </row>
    <row r="294" spans="1:19">
      <c r="A294" s="14">
        <v>90913</v>
      </c>
      <c r="B294" s="14" t="s">
        <v>334</v>
      </c>
      <c r="C294" s="14" t="s">
        <v>206</v>
      </c>
      <c r="D294" s="14" t="s">
        <v>13939</v>
      </c>
      <c r="E294" s="15" t="str">
        <f>HYPERLINK("https://stat100.ameba.jp/tnk47/ratio20/illustrations/card/ill_90913_yokonosaitenoryo03.jpg?202011-5-RELEASE-marathon-501xxxxx", "■")</f>
        <v>■</v>
      </c>
      <c r="F294" s="14" t="s">
        <v>13938</v>
      </c>
      <c r="G294" s="14">
        <v>167768</v>
      </c>
      <c r="H294" s="14">
        <v>94300</v>
      </c>
      <c r="I294" s="7">
        <v>28</v>
      </c>
      <c r="J294" s="14" t="s">
        <v>77</v>
      </c>
      <c r="K294" s="14" t="s">
        <v>13937</v>
      </c>
      <c r="L294" s="14" t="s">
        <v>13936</v>
      </c>
      <c r="M294" s="14" t="s">
        <v>9158</v>
      </c>
      <c r="N294" s="14" t="s">
        <v>9158</v>
      </c>
      <c r="O294" s="14" t="s">
        <v>9158</v>
      </c>
      <c r="P294" s="14" t="s">
        <v>9158</v>
      </c>
      <c r="Q294" s="14" t="s">
        <v>9158</v>
      </c>
    </row>
    <row r="296" spans="1:19">
      <c r="A296" s="14" t="s">
        <v>15823</v>
      </c>
    </row>
    <row r="297" spans="1:19">
      <c r="A297" s="14">
        <v>235213</v>
      </c>
      <c r="B297" s="14" t="s">
        <v>15657</v>
      </c>
    </row>
    <row r="298" spans="1:19">
      <c r="A298" s="14">
        <v>93955</v>
      </c>
      <c r="B298" s="14" t="s">
        <v>15666</v>
      </c>
      <c r="C298" s="14" t="s">
        <v>15665</v>
      </c>
      <c r="D298" s="14" t="s">
        <v>15664</v>
      </c>
      <c r="E298" s="15" t="str">
        <f>HYPERLINK("https://stat100.ameba.jp/tnk47/ratio20/illustrations/card/ill_93955_akinoshishakashia05.jpg?202011-5-RELEASE-marathon-501xxxxx", "■")</f>
        <v>■</v>
      </c>
      <c r="F298" s="14" t="s">
        <v>15663</v>
      </c>
      <c r="G298" s="14">
        <v>131636</v>
      </c>
      <c r="H298" s="14">
        <v>95308</v>
      </c>
      <c r="I298" s="14">
        <v>28</v>
      </c>
      <c r="J298" s="14" t="s">
        <v>15662</v>
      </c>
      <c r="K298" s="14" t="s">
        <v>15661</v>
      </c>
      <c r="L298" s="14" t="s">
        <v>15660</v>
      </c>
      <c r="M298" s="14" t="s">
        <v>9158</v>
      </c>
      <c r="N298" s="14" t="s">
        <v>9158</v>
      </c>
      <c r="O298" s="14" t="s">
        <v>9158</v>
      </c>
      <c r="P298" s="14" t="s">
        <v>9158</v>
      </c>
      <c r="Q298" s="14" t="s">
        <v>9158</v>
      </c>
      <c r="R298" s="14" t="s">
        <v>174</v>
      </c>
    </row>
    <row r="299" spans="1:19">
      <c r="A299" s="14">
        <v>93953</v>
      </c>
      <c r="B299" s="14" t="s">
        <v>15667</v>
      </c>
      <c r="C299" s="14" t="s">
        <v>15668</v>
      </c>
      <c r="D299" s="14" t="s">
        <v>15664</v>
      </c>
      <c r="E299" s="15" t="str">
        <f>HYPERLINK("https://stat100.ameba.jp/tnk47/ratio20/illustrations/card/ill_93953_akinoshishakashia03.jpg?202011-5-RELEASE-marathon-501xxxxx", "■")</f>
        <v>■</v>
      </c>
      <c r="F299" s="14" t="s">
        <v>15663</v>
      </c>
      <c r="G299" s="14">
        <v>96978</v>
      </c>
      <c r="H299" s="14">
        <v>70218</v>
      </c>
      <c r="I299" s="14">
        <v>28</v>
      </c>
      <c r="J299" s="14" t="s">
        <v>15662</v>
      </c>
      <c r="K299" s="14" t="s">
        <v>15661</v>
      </c>
      <c r="L299" s="14" t="s">
        <v>15669</v>
      </c>
      <c r="M299" s="14" t="s">
        <v>9158</v>
      </c>
      <c r="N299" s="14" t="s">
        <v>9158</v>
      </c>
      <c r="O299" s="14" t="s">
        <v>9158</v>
      </c>
      <c r="P299" s="14" t="s">
        <v>9158</v>
      </c>
      <c r="Q299" s="14" t="s">
        <v>9158</v>
      </c>
      <c r="R299" s="14" t="s">
        <v>175</v>
      </c>
    </row>
    <row r="300" spans="1:19">
      <c r="A300" s="14">
        <v>93951</v>
      </c>
      <c r="B300" s="14" t="s">
        <v>15667</v>
      </c>
      <c r="C300" s="14" t="s">
        <v>15668</v>
      </c>
      <c r="D300" s="14" t="s">
        <v>15664</v>
      </c>
      <c r="E300" s="15" t="str">
        <f>HYPERLINK("https://stat100.ameba.jp/tnk47/ratio20/illustrations/card/ill_93951_akinoshishakashia01.jpg?202011-5-RELEASE-marathon-501xxxxx", "■")</f>
        <v>■</v>
      </c>
      <c r="F300" s="14" t="s">
        <v>15663</v>
      </c>
      <c r="G300" s="14">
        <v>61684</v>
      </c>
      <c r="H300" s="14">
        <v>44660</v>
      </c>
      <c r="I300" s="14">
        <v>28</v>
      </c>
      <c r="J300" s="14" t="s">
        <v>15662</v>
      </c>
      <c r="K300" s="14" t="s">
        <v>15661</v>
      </c>
      <c r="L300" s="14" t="s">
        <v>15670</v>
      </c>
      <c r="M300" s="14" t="s">
        <v>9158</v>
      </c>
      <c r="N300" s="14" t="s">
        <v>9158</v>
      </c>
      <c r="O300" s="14" t="s">
        <v>9158</v>
      </c>
      <c r="P300" s="14" t="s">
        <v>9158</v>
      </c>
      <c r="Q300" s="14" t="s">
        <v>9158</v>
      </c>
      <c r="R300" s="14" t="s">
        <v>176</v>
      </c>
    </row>
    <row r="302" spans="1:19">
      <c r="A302" s="14" t="s">
        <v>15658</v>
      </c>
    </row>
    <row r="303" spans="1:19">
      <c r="A303" s="14">
        <v>104742</v>
      </c>
      <c r="B303" s="14" t="s">
        <v>15659</v>
      </c>
    </row>
    <row r="304" spans="1:19">
      <c r="A304" s="14">
        <v>63083</v>
      </c>
      <c r="B304" s="14" t="s">
        <v>15666</v>
      </c>
      <c r="C304" s="14" t="s">
        <v>15677</v>
      </c>
      <c r="D304" s="14" t="s">
        <v>15671</v>
      </c>
      <c r="E304" s="15" t="str">
        <f>HYPERLINK("https://stat100.ameba.jp/tnk47/ratio20/illustrations/card/ill_63083_yakimochirokuhime03.jpg?202011-5-RELEASE-marathon-501xxxxx", "■")</f>
        <v>■</v>
      </c>
      <c r="F304" s="14" t="s">
        <v>15676</v>
      </c>
      <c r="G304" s="14">
        <v>105465</v>
      </c>
      <c r="H304" s="14">
        <v>98019</v>
      </c>
      <c r="I304" s="14">
        <v>27</v>
      </c>
      <c r="J304" s="14" t="s">
        <v>15675</v>
      </c>
      <c r="K304" s="14" t="s">
        <v>15674</v>
      </c>
      <c r="L304" s="14" t="s">
        <v>15672</v>
      </c>
      <c r="M304" s="14" t="s">
        <v>15673</v>
      </c>
      <c r="N304" s="14" t="s">
        <v>9158</v>
      </c>
      <c r="O304" s="14" t="s">
        <v>9158</v>
      </c>
      <c r="P304" s="14" t="s">
        <v>9158</v>
      </c>
      <c r="Q304" s="14" t="s">
        <v>9158</v>
      </c>
      <c r="S304" s="14" t="s">
        <v>16596</v>
      </c>
    </row>
    <row r="305" spans="1:17">
      <c r="A305" s="14">
        <v>80093</v>
      </c>
      <c r="B305" s="14" t="s">
        <v>15666</v>
      </c>
      <c r="C305" s="14" t="s">
        <v>15682</v>
      </c>
      <c r="D305" s="14" t="s">
        <v>3771</v>
      </c>
      <c r="E305" s="15" t="str">
        <f>HYPERLINK("https://stat100.ameba.jp/tnk47/ratio20/illustrations/card/ill_80093_kafunshuraijakotsumusume03.jpg?202011-5-RELEASE-marathon-501xxxxx", "■")</f>
        <v>■</v>
      </c>
      <c r="F305" s="14" t="s">
        <v>15681</v>
      </c>
      <c r="G305" s="14">
        <v>104619</v>
      </c>
      <c r="H305" s="14">
        <v>112496</v>
      </c>
      <c r="I305" s="14">
        <v>27</v>
      </c>
      <c r="J305" s="14" t="s">
        <v>15680</v>
      </c>
      <c r="K305" s="14" t="s">
        <v>15679</v>
      </c>
      <c r="L305" s="14" t="s">
        <v>15678</v>
      </c>
      <c r="M305" s="14" t="s">
        <v>15673</v>
      </c>
      <c r="N305" s="14" t="s">
        <v>9158</v>
      </c>
      <c r="O305" s="14" t="s">
        <v>9158</v>
      </c>
      <c r="P305" s="14" t="s">
        <v>9158</v>
      </c>
      <c r="Q305" s="14" t="s">
        <v>9158</v>
      </c>
    </row>
    <row r="306" spans="1:17">
      <c r="A306" s="14">
        <v>70523</v>
      </c>
      <c r="B306" s="14" t="s">
        <v>15666</v>
      </c>
      <c r="C306" s="14" t="s">
        <v>15688</v>
      </c>
      <c r="D306" s="14" t="s">
        <v>15687</v>
      </c>
      <c r="E306" s="15" t="str">
        <f>HYPERLINK("https://stat100.ameba.jp/tnk47/ratio20/illustrations/card/ill_70523_shitsunaipurumochizukichiyome03.jpg?202011-5-RELEASE-marathon-501xxxxx", "■")</f>
        <v>■</v>
      </c>
      <c r="F306" s="14" t="s">
        <v>15686</v>
      </c>
      <c r="G306" s="14">
        <v>101837</v>
      </c>
      <c r="H306" s="14">
        <v>109481</v>
      </c>
      <c r="I306" s="14">
        <v>27</v>
      </c>
      <c r="J306" s="14" t="s">
        <v>15685</v>
      </c>
      <c r="K306" s="14" t="s">
        <v>15684</v>
      </c>
      <c r="L306" s="14" t="s">
        <v>15683</v>
      </c>
      <c r="M306" s="14" t="s">
        <v>15673</v>
      </c>
      <c r="N306" s="14" t="s">
        <v>9158</v>
      </c>
      <c r="O306" s="14" t="s">
        <v>9158</v>
      </c>
      <c r="P306" s="14" t="s">
        <v>9158</v>
      </c>
      <c r="Q306" s="14" t="s">
        <v>9158</v>
      </c>
    </row>
    <row r="307" spans="1:17">
      <c r="A307" s="14">
        <v>66063</v>
      </c>
      <c r="B307" s="14" t="s">
        <v>15667</v>
      </c>
      <c r="C307" s="14" t="s">
        <v>15694</v>
      </c>
      <c r="D307" s="14" t="s">
        <v>15693</v>
      </c>
      <c r="E307" s="15" t="str">
        <f>HYPERLINK("https://stat100.ameba.jp/tnk47/ratio20/illustrations/card/ill_66063_serebuedomurasaki03.jpg?202011-5-RELEASE-marathon-501xxxxx", "■")</f>
        <v>■</v>
      </c>
      <c r="F307" s="14" t="s">
        <v>15692</v>
      </c>
      <c r="G307" s="14">
        <v>53768</v>
      </c>
      <c r="H307" s="14">
        <v>59280</v>
      </c>
      <c r="I307" s="14">
        <v>20</v>
      </c>
      <c r="J307" s="14" t="s">
        <v>15691</v>
      </c>
      <c r="K307" s="14" t="s">
        <v>15690</v>
      </c>
      <c r="L307" s="14" t="s">
        <v>15689</v>
      </c>
      <c r="M307" s="14" t="s">
        <v>15673</v>
      </c>
      <c r="N307" s="14" t="s">
        <v>9158</v>
      </c>
      <c r="O307" s="14" t="s">
        <v>9158</v>
      </c>
      <c r="P307" s="14" t="s">
        <v>9158</v>
      </c>
      <c r="Q307" s="14" t="s">
        <v>9158</v>
      </c>
    </row>
    <row r="308" spans="1:17">
      <c r="A308" s="14">
        <v>68253</v>
      </c>
      <c r="B308" s="14" t="s">
        <v>15667</v>
      </c>
      <c r="C308" s="14" t="s">
        <v>15700</v>
      </c>
      <c r="D308" s="14" t="s">
        <v>15699</v>
      </c>
      <c r="E308" s="15" t="str">
        <f>HYPERLINK("https://stat100.ameba.jp/tnk47/ratio20/illustrations/card/ill_68253_yakeimimuratsuru03.jpg?202011-5-RELEASE-marathon-501xxxxx", "■")</f>
        <v>■</v>
      </c>
      <c r="F308" s="14" t="s">
        <v>15698</v>
      </c>
      <c r="G308" s="14">
        <v>59280</v>
      </c>
      <c r="H308" s="14">
        <v>53768</v>
      </c>
      <c r="I308" s="14">
        <v>20</v>
      </c>
      <c r="J308" s="14" t="s">
        <v>15697</v>
      </c>
      <c r="K308" s="14" t="s">
        <v>15696</v>
      </c>
      <c r="L308" s="14" t="s">
        <v>15695</v>
      </c>
      <c r="M308" s="14" t="s">
        <v>15673</v>
      </c>
      <c r="N308" s="14" t="s">
        <v>9158</v>
      </c>
      <c r="O308" s="14" t="s">
        <v>9158</v>
      </c>
      <c r="P308" s="14" t="s">
        <v>9158</v>
      </c>
      <c r="Q308" s="14" t="s">
        <v>9158</v>
      </c>
    </row>
    <row r="309" spans="1:17">
      <c r="A309" s="14">
        <v>54563</v>
      </c>
      <c r="B309" s="14" t="s">
        <v>15667</v>
      </c>
      <c r="C309" s="14" t="s">
        <v>15705</v>
      </c>
      <c r="D309" s="14" t="s">
        <v>15704</v>
      </c>
      <c r="E309" s="15" t="str">
        <f>HYPERLINK("https://stat100.ameba.jp/tnk47/ratio20/illustrations/card/ill_54563_ryokankiyohime03.jpg?202011-5-RELEASE-marathon-501xxxxx", "■")</f>
        <v>■</v>
      </c>
      <c r="F309" s="14" t="s">
        <v>15703</v>
      </c>
      <c r="G309" s="14">
        <v>65080</v>
      </c>
      <c r="H309" s="14">
        <v>47968</v>
      </c>
      <c r="I309" s="14">
        <v>20</v>
      </c>
      <c r="J309" s="14" t="s">
        <v>15680</v>
      </c>
      <c r="K309" s="14" t="s">
        <v>15702</v>
      </c>
      <c r="L309" s="14" t="s">
        <v>15701</v>
      </c>
      <c r="M309" s="14" t="s">
        <v>15673</v>
      </c>
      <c r="N309" s="14" t="s">
        <v>9158</v>
      </c>
      <c r="O309" s="14" t="s">
        <v>9158</v>
      </c>
      <c r="P309" s="14" t="s">
        <v>9158</v>
      </c>
      <c r="Q309" s="14" t="s">
        <v>9158</v>
      </c>
    </row>
    <row r="311" spans="1:17">
      <c r="A311" s="14" t="s">
        <v>15630</v>
      </c>
    </row>
    <row r="312" spans="1:17">
      <c r="A312" s="14">
        <v>104758</v>
      </c>
      <c r="B312" s="14" t="s">
        <v>15629</v>
      </c>
    </row>
    <row r="313" spans="1:17">
      <c r="A313" s="14" t="s">
        <v>5618</v>
      </c>
      <c r="B313" s="14" t="s">
        <v>52</v>
      </c>
      <c r="C313" s="14" t="s">
        <v>23</v>
      </c>
      <c r="D313" s="19" t="s">
        <v>665</v>
      </c>
      <c r="E313" s="15" t="str">
        <f>HYPERLINK("https://stat100.ameba.jp/tnk47/ratio20/illustrations/card/ill_63173_0_minazukikonakaiteruko03.jpg?202011-5-RELEASE-marathon-501xxxxx", "■")</f>
        <v>■</v>
      </c>
      <c r="F313" s="14" t="s">
        <v>1188</v>
      </c>
      <c r="G313" s="14">
        <v>208310</v>
      </c>
      <c r="H313" s="14">
        <v>224026</v>
      </c>
      <c r="I313" s="14">
        <v>24</v>
      </c>
      <c r="J313" s="14" t="s">
        <v>143</v>
      </c>
      <c r="K313" s="14" t="s">
        <v>1189</v>
      </c>
      <c r="L313" s="14" t="s">
        <v>1190</v>
      </c>
      <c r="M313" s="14" t="s">
        <v>9158</v>
      </c>
      <c r="N313" s="14" t="s">
        <v>9158</v>
      </c>
      <c r="O313" s="19" t="s">
        <v>10079</v>
      </c>
      <c r="P313" s="14" t="s">
        <v>3329</v>
      </c>
      <c r="Q313" s="14">
        <v>1</v>
      </c>
    </row>
    <row r="314" spans="1:17">
      <c r="A314" s="14" t="s">
        <v>5778</v>
      </c>
      <c r="B314" s="14" t="s">
        <v>330</v>
      </c>
      <c r="C314" s="14" t="s">
        <v>205</v>
      </c>
      <c r="D314" s="19" t="s">
        <v>272</v>
      </c>
      <c r="E314" s="15" t="str">
        <f>HYPERLINK("https://stat100.ameba.jp/tnk47/ratio20/illustrations/card/ill_68783_0_gantammomotaro03.jpg?202011-5-RELEASE-marathon-501xxxxx", "■")</f>
        <v>■</v>
      </c>
      <c r="F314" s="14" t="s">
        <v>2273</v>
      </c>
      <c r="G314" s="14">
        <v>164144</v>
      </c>
      <c r="H314" s="14">
        <v>152594</v>
      </c>
      <c r="I314" s="14">
        <v>24</v>
      </c>
      <c r="J314" s="14" t="s">
        <v>274</v>
      </c>
      <c r="K314" s="14" t="s">
        <v>275</v>
      </c>
      <c r="L314" s="14" t="s">
        <v>276</v>
      </c>
      <c r="M314" s="14" t="s">
        <v>9158</v>
      </c>
      <c r="N314" s="14" t="s">
        <v>9158</v>
      </c>
      <c r="O314" s="19" t="s">
        <v>10099</v>
      </c>
      <c r="P314" s="14" t="s">
        <v>3085</v>
      </c>
      <c r="Q314" s="14">
        <v>1</v>
      </c>
    </row>
    <row r="315" spans="1:17">
      <c r="A315" s="14" t="s">
        <v>5616</v>
      </c>
      <c r="B315" s="14" t="s">
        <v>52</v>
      </c>
      <c r="C315" s="14" t="s">
        <v>14</v>
      </c>
      <c r="D315" s="19" t="s">
        <v>638</v>
      </c>
      <c r="E315" s="15" t="str">
        <f>HYPERLINK("https://stat100.ameba.jp/tnk47/ratio20/illustrations/card/ill_44253_0_dokuganryudatemasamune03.jpg?202011-5-RELEASE-marathon-501xxxxx", "■")</f>
        <v>■</v>
      </c>
      <c r="F315" s="14" t="s">
        <v>1181</v>
      </c>
      <c r="G315" s="14">
        <v>131538</v>
      </c>
      <c r="H315" s="14">
        <v>140448</v>
      </c>
      <c r="I315" s="14">
        <v>24</v>
      </c>
      <c r="J315" s="14" t="s">
        <v>143</v>
      </c>
      <c r="K315" s="14" t="s">
        <v>1182</v>
      </c>
      <c r="L315" s="14" t="s">
        <v>1183</v>
      </c>
      <c r="M315" s="14" t="s">
        <v>9158</v>
      </c>
      <c r="N315" s="14" t="s">
        <v>9158</v>
      </c>
      <c r="O315" s="14" t="s">
        <v>9158</v>
      </c>
      <c r="P315" s="14" t="s">
        <v>9158</v>
      </c>
      <c r="Q315" s="14" t="s">
        <v>9158</v>
      </c>
    </row>
    <row r="316" spans="1:17">
      <c r="A316" s="14">
        <v>93903</v>
      </c>
      <c r="B316" s="14" t="s">
        <v>0</v>
      </c>
      <c r="C316" s="14" t="s">
        <v>15636</v>
      </c>
      <c r="D316" s="14" t="s">
        <v>15635</v>
      </c>
      <c r="E316" s="15" t="str">
        <f>HYPERLINK("https://stat100.ameba.jp/tnk47/ratio20/illustrations/card/ill_93903_kobonoarujiiperu03.jpg?202011-5-RELEASE-marathon-501xxxxx", "■")</f>
        <v>■</v>
      </c>
      <c r="F316" s="14" t="s">
        <v>15634</v>
      </c>
      <c r="G316" s="14">
        <v>154562</v>
      </c>
      <c r="H316" s="14">
        <v>143714</v>
      </c>
      <c r="I316" s="14">
        <v>26</v>
      </c>
      <c r="J316" s="14" t="s">
        <v>15633</v>
      </c>
      <c r="K316" s="14" t="s">
        <v>15632</v>
      </c>
      <c r="L316" s="14" t="s">
        <v>15631</v>
      </c>
      <c r="M316" s="14" t="s">
        <v>9158</v>
      </c>
      <c r="N316" s="14" t="s">
        <v>9158</v>
      </c>
      <c r="O316" s="14" t="s">
        <v>9158</v>
      </c>
      <c r="P316" s="14" t="s">
        <v>9158</v>
      </c>
      <c r="Q316" s="14" t="s">
        <v>9158</v>
      </c>
    </row>
    <row r="317" spans="1:17">
      <c r="A317" s="14">
        <v>93923</v>
      </c>
      <c r="B317" s="14" t="s">
        <v>15</v>
      </c>
      <c r="C317" s="14" t="s">
        <v>15642</v>
      </c>
      <c r="D317" s="14" t="s">
        <v>15641</v>
      </c>
      <c r="E317" s="15" t="str">
        <f>HYPERLINK("https://stat100.ameba.jp/tnk47/ratio20/illustrations/card/ill_93923_meikoazabunooneko03.jpg?202011-5-RELEASE-marathon-501xxxxx", "■")</f>
        <v>■</v>
      </c>
      <c r="F317" s="14" t="s">
        <v>15640</v>
      </c>
      <c r="G317" s="14">
        <v>77064</v>
      </c>
      <c r="H317" s="14">
        <v>69898</v>
      </c>
      <c r="I317" s="14">
        <v>26</v>
      </c>
      <c r="J317" s="14" t="s">
        <v>15639</v>
      </c>
      <c r="K317" s="14" t="s">
        <v>15638</v>
      </c>
      <c r="L317" s="14" t="s">
        <v>15637</v>
      </c>
      <c r="M317" s="14" t="s">
        <v>9158</v>
      </c>
      <c r="N317" s="14" t="s">
        <v>9158</v>
      </c>
      <c r="O317" s="14" t="s">
        <v>9158</v>
      </c>
      <c r="P317" s="14" t="s">
        <v>9158</v>
      </c>
      <c r="Q317" s="14" t="s">
        <v>9158</v>
      </c>
    </row>
    <row r="318" spans="1:17">
      <c r="A318" s="14">
        <v>93933</v>
      </c>
      <c r="B318" s="14" t="s">
        <v>22</v>
      </c>
      <c r="C318" s="14" t="s">
        <v>15648</v>
      </c>
      <c r="D318" s="14" t="s">
        <v>15647</v>
      </c>
      <c r="E318" s="15" t="str">
        <f>HYPERLINK("https://stat100.ameba.jp/tnk47/ratio20/illustrations/card/ill_93933_shodaikoizuminizaemon03.jpg?202011-5-RELEASE-marathon-501xxxxx", "■")</f>
        <v>■</v>
      </c>
      <c r="F318" s="14" t="s">
        <v>15646</v>
      </c>
      <c r="G318" s="14">
        <v>44948</v>
      </c>
      <c r="H318" s="14">
        <v>54058</v>
      </c>
      <c r="I318" s="14">
        <v>26</v>
      </c>
      <c r="J318" s="14" t="s">
        <v>15645</v>
      </c>
      <c r="K318" s="14" t="s">
        <v>15644</v>
      </c>
      <c r="L318" s="14" t="s">
        <v>15643</v>
      </c>
      <c r="M318" s="14" t="s">
        <v>9158</v>
      </c>
      <c r="N318" s="14" t="s">
        <v>9158</v>
      </c>
      <c r="O318" s="14" t="s">
        <v>9158</v>
      </c>
      <c r="P318" s="14" t="s">
        <v>9158</v>
      </c>
      <c r="Q318" s="14" t="s">
        <v>9158</v>
      </c>
    </row>
    <row r="319" spans="1:17">
      <c r="A319" s="14">
        <v>93943</v>
      </c>
      <c r="B319" s="14" t="s">
        <v>22</v>
      </c>
      <c r="C319" s="14" t="s">
        <v>15654</v>
      </c>
      <c r="D319" s="14" t="s">
        <v>15653</v>
      </c>
      <c r="E319" s="15" t="str">
        <f>HYPERLINK("https://stat100.ameba.jp/tnk47/ratio20/illustrations/card/ill_93943_torejakyosensuchan03.jpg?202011-5-RELEASE-marathon-501xxxxx", "■")</f>
        <v>■</v>
      </c>
      <c r="F319" s="14" t="s">
        <v>15652</v>
      </c>
      <c r="G319" s="14">
        <v>54058</v>
      </c>
      <c r="H319" s="14">
        <v>44948</v>
      </c>
      <c r="I319" s="14">
        <v>26</v>
      </c>
      <c r="J319" s="14" t="s">
        <v>15651</v>
      </c>
      <c r="K319" s="14" t="s">
        <v>15650</v>
      </c>
      <c r="L319" s="14" t="s">
        <v>15649</v>
      </c>
      <c r="M319" s="14" t="s">
        <v>9158</v>
      </c>
      <c r="N319" s="14" t="s">
        <v>9158</v>
      </c>
      <c r="O319" s="14" t="s">
        <v>9158</v>
      </c>
      <c r="P319" s="14" t="s">
        <v>9158</v>
      </c>
      <c r="Q319" s="14" t="s">
        <v>9158</v>
      </c>
    </row>
    <row r="321" spans="1:17">
      <c r="A321" s="14" t="s">
        <v>15627</v>
      </c>
    </row>
    <row r="322" spans="1:17">
      <c r="A322" s="14">
        <v>104781</v>
      </c>
      <c r="B322" s="14" t="s">
        <v>15628</v>
      </c>
    </row>
    <row r="323" spans="1:17">
      <c r="A323" s="9" t="s">
        <v>5891</v>
      </c>
      <c r="B323" s="14" t="s">
        <v>330</v>
      </c>
      <c r="C323" s="14" t="s">
        <v>202</v>
      </c>
      <c r="D323" s="14" t="s">
        <v>1999</v>
      </c>
      <c r="E323" s="15" t="str">
        <f>HYPERLINK("https://stat100.ameba.jp/tnk47/ratio20/illustrations/card/ill_77173_0_yukemuritomoegozen03.jpg?202012-i_prefecture_active_user", "■")</f>
        <v>■</v>
      </c>
      <c r="F323" s="14" t="s">
        <v>1372</v>
      </c>
      <c r="G323" s="14">
        <v>260634</v>
      </c>
      <c r="H323" s="14">
        <v>288374</v>
      </c>
      <c r="I323" s="14">
        <v>26</v>
      </c>
      <c r="J323" s="14" t="s">
        <v>194</v>
      </c>
      <c r="K323" s="14" t="s">
        <v>1373</v>
      </c>
      <c r="L323" s="14" t="s">
        <v>1374</v>
      </c>
      <c r="M323" s="14" t="s">
        <v>9158</v>
      </c>
      <c r="N323" s="14" t="s">
        <v>9158</v>
      </c>
      <c r="O323" s="9" t="s">
        <v>3878</v>
      </c>
      <c r="P323" s="14" t="s">
        <v>3879</v>
      </c>
      <c r="Q323" s="14">
        <v>2</v>
      </c>
    </row>
    <row r="324" spans="1:17">
      <c r="A324" s="14">
        <v>80743</v>
      </c>
      <c r="B324" s="14" t="s">
        <v>0</v>
      </c>
      <c r="C324" s="14" t="s">
        <v>209</v>
      </c>
      <c r="D324" s="20" t="s">
        <v>10414</v>
      </c>
      <c r="E324" s="15" t="str">
        <f>HYPERLINK("https://stat100.ameba.jp/tnk47/ratio20/illustrations/card/ill_80743_senseijutsushi03.jpg?202012-i_prefecture_active_user", "■")</f>
        <v>■</v>
      </c>
      <c r="F324" s="14" t="s">
        <v>4249</v>
      </c>
      <c r="G324" s="14">
        <v>82318</v>
      </c>
      <c r="H324" s="14">
        <v>113630</v>
      </c>
      <c r="I324" s="14">
        <v>26</v>
      </c>
      <c r="J324" s="14" t="s">
        <v>16</v>
      </c>
      <c r="K324" s="14" t="s">
        <v>4250</v>
      </c>
      <c r="L324" s="14" t="s">
        <v>4251</v>
      </c>
      <c r="M324" s="14" t="s">
        <v>9158</v>
      </c>
      <c r="N324" s="14" t="s">
        <v>9158</v>
      </c>
      <c r="O324" s="19" t="s">
        <v>10109</v>
      </c>
      <c r="P324" s="14" t="s">
        <v>3625</v>
      </c>
      <c r="Q324" s="14">
        <v>1</v>
      </c>
    </row>
    <row r="325" spans="1:17">
      <c r="A325" s="14">
        <v>81023</v>
      </c>
      <c r="B325" s="14" t="s">
        <v>334</v>
      </c>
      <c r="C325" s="14" t="s">
        <v>41</v>
      </c>
      <c r="D325" s="19" t="s">
        <v>10274</v>
      </c>
      <c r="E325" s="15" t="str">
        <f>HYPERLINK("https://stat100.ameba.jp/tnk47/ratio20/illustrations/card/ill_81023_momonokenki03.jpg?202012-i_prefecture_active_user", "■")</f>
        <v>■</v>
      </c>
      <c r="F325" s="14" t="s">
        <v>4088</v>
      </c>
      <c r="G325" s="14">
        <v>137430</v>
      </c>
      <c r="H325" s="14">
        <v>99532</v>
      </c>
      <c r="I325" s="14">
        <v>26</v>
      </c>
      <c r="J325" s="14" t="s">
        <v>143</v>
      </c>
      <c r="K325" s="14" t="s">
        <v>4089</v>
      </c>
      <c r="L325" s="14" t="s">
        <v>2049</v>
      </c>
      <c r="M325" s="14" t="s">
        <v>9158</v>
      </c>
      <c r="N325" s="14" t="s">
        <v>9158</v>
      </c>
      <c r="O325" s="19" t="s">
        <v>10096</v>
      </c>
      <c r="P325" s="14" t="s">
        <v>3245</v>
      </c>
      <c r="Q325" s="14">
        <v>1</v>
      </c>
    </row>
    <row r="326" spans="1:17">
      <c r="A326" s="7">
        <v>85643</v>
      </c>
      <c r="B326" s="7" t="s">
        <v>0</v>
      </c>
      <c r="C326" s="7" t="s">
        <v>154</v>
      </c>
      <c r="D326" s="20" t="s">
        <v>10828</v>
      </c>
      <c r="E326" s="15" t="str">
        <f>HYPERLINK("https://stat100.ameba.jp/tnk47/ratio20/illustrations/card/ill_85643_hosekisho03.jpg?202012-i_prefecture_active_user", "■")</f>
        <v>■</v>
      </c>
      <c r="F326" s="7" t="s">
        <v>8420</v>
      </c>
      <c r="G326" s="7">
        <v>113630</v>
      </c>
      <c r="H326" s="7">
        <v>82318</v>
      </c>
      <c r="I326" s="14">
        <v>26</v>
      </c>
      <c r="J326" s="7" t="s">
        <v>26</v>
      </c>
      <c r="K326" s="7" t="s">
        <v>8418</v>
      </c>
      <c r="L326" s="7" t="s">
        <v>3260</v>
      </c>
      <c r="M326" s="14" t="s">
        <v>9158</v>
      </c>
      <c r="N326" s="14" t="s">
        <v>9158</v>
      </c>
      <c r="O326" s="19" t="s">
        <v>10091</v>
      </c>
      <c r="P326" s="7" t="s">
        <v>3670</v>
      </c>
      <c r="Q326" s="7">
        <v>1</v>
      </c>
    </row>
    <row r="328" spans="1:17">
      <c r="A328" s="14" t="s">
        <v>3916</v>
      </c>
    </row>
    <row r="329" spans="1:17">
      <c r="A329" s="14">
        <v>104786</v>
      </c>
      <c r="B329" s="14" t="s">
        <v>15626</v>
      </c>
    </row>
    <row r="330" spans="1:17">
      <c r="A330" s="9">
        <v>65373</v>
      </c>
      <c r="B330" s="14" t="s">
        <v>334</v>
      </c>
      <c r="C330" s="14" t="s">
        <v>158</v>
      </c>
      <c r="D330" s="14" t="s">
        <v>1593</v>
      </c>
      <c r="E330" s="15" t="str">
        <f>HYPERLINK("https://stat100.ameba.jp/tnk47/ratio20/illustrations/card/ill_65373_kotetsu03.jpg?202012-i_prefecture_active_user", "■")</f>
        <v>■</v>
      </c>
      <c r="F330" s="14" t="s">
        <v>1594</v>
      </c>
      <c r="G330" s="14">
        <v>116452</v>
      </c>
      <c r="H330" s="14">
        <v>108276</v>
      </c>
      <c r="I330" s="14">
        <v>27</v>
      </c>
      <c r="J330" s="14" t="s">
        <v>414</v>
      </c>
      <c r="K330" s="14" t="s">
        <v>1595</v>
      </c>
      <c r="L330" s="14" t="s">
        <v>1596</v>
      </c>
      <c r="M330" s="14" t="s">
        <v>9158</v>
      </c>
      <c r="N330" s="14" t="s">
        <v>9158</v>
      </c>
      <c r="O330" s="14" t="s">
        <v>9158</v>
      </c>
      <c r="P330" s="14" t="s">
        <v>9158</v>
      </c>
      <c r="Q330" s="14" t="s">
        <v>9158</v>
      </c>
    </row>
    <row r="331" spans="1:17">
      <c r="A331" s="9">
        <v>65363</v>
      </c>
      <c r="B331" s="14" t="s">
        <v>334</v>
      </c>
      <c r="C331" s="14" t="s">
        <v>154</v>
      </c>
      <c r="D331" s="14" t="s">
        <v>1589</v>
      </c>
      <c r="E331" s="15" t="str">
        <f>HYPERLINK("https://stat100.ameba.jp/tnk47/ratio20/illustrations/card/ill_65363_yukihimemomijihime03.jpg?202012-i_prefecture_active_user", "■")</f>
        <v>■</v>
      </c>
      <c r="F331" s="14" t="s">
        <v>1590</v>
      </c>
      <c r="G331" s="14">
        <v>116452</v>
      </c>
      <c r="H331" s="14">
        <v>108276</v>
      </c>
      <c r="I331" s="14">
        <v>27</v>
      </c>
      <c r="J331" s="14" t="s">
        <v>274</v>
      </c>
      <c r="K331" s="14" t="s">
        <v>1591</v>
      </c>
      <c r="L331" s="14" t="s">
        <v>1592</v>
      </c>
      <c r="M331" s="14" t="s">
        <v>9158</v>
      </c>
      <c r="N331" s="14" t="s">
        <v>9158</v>
      </c>
      <c r="O331" s="14" t="s">
        <v>9158</v>
      </c>
      <c r="P331" s="14" t="s">
        <v>9158</v>
      </c>
      <c r="Q331" s="14" t="s">
        <v>9158</v>
      </c>
    </row>
    <row r="332" spans="1:17">
      <c r="A332" s="14">
        <v>76483</v>
      </c>
      <c r="B332" s="14" t="s">
        <v>334</v>
      </c>
      <c r="C332" s="14" t="s">
        <v>307</v>
      </c>
      <c r="D332" s="20" t="s">
        <v>589</v>
      </c>
      <c r="E332" s="15" t="str">
        <f>HYPERLINK("https://stat100.ameba.jp/tnk47/ratio20/illustrations/card/ill_76483_yukemurimizuhanome03.jpg?202012-i_prefecture_active_user", "■")</f>
        <v>■</v>
      </c>
      <c r="F332" s="14" t="s">
        <v>590</v>
      </c>
      <c r="G332" s="14">
        <v>110129</v>
      </c>
      <c r="H332" s="14">
        <v>102386</v>
      </c>
      <c r="I332" s="14">
        <v>27</v>
      </c>
      <c r="J332" s="14" t="s">
        <v>401</v>
      </c>
      <c r="K332" s="14" t="s">
        <v>591</v>
      </c>
      <c r="L332" s="14" t="s">
        <v>592</v>
      </c>
      <c r="M332" s="14" t="s">
        <v>9158</v>
      </c>
      <c r="N332" s="14" t="s">
        <v>9158</v>
      </c>
      <c r="O332" s="14" t="s">
        <v>9158</v>
      </c>
      <c r="P332" s="14" t="s">
        <v>9158</v>
      </c>
      <c r="Q332" s="14" t="s">
        <v>9158</v>
      </c>
    </row>
    <row r="333" spans="1:17">
      <c r="A333" s="14">
        <v>70023</v>
      </c>
      <c r="B333" s="14" t="s">
        <v>334</v>
      </c>
      <c r="C333" s="14" t="s">
        <v>344</v>
      </c>
      <c r="D333" s="20" t="s">
        <v>10230</v>
      </c>
      <c r="E333" s="15" t="str">
        <f>HYPERLINK("https://stat100.ameba.jp/tnk47/ratio20/illustrations/card/ill_70023_yukinoukokunabeshimanobakeneko03.jpg?202012-i_prefecture_active_user", "■")</f>
        <v>■</v>
      </c>
      <c r="F333" s="14" t="s">
        <v>769</v>
      </c>
      <c r="G333" s="14">
        <v>104619</v>
      </c>
      <c r="H333" s="14">
        <v>112496</v>
      </c>
      <c r="I333" s="14">
        <v>27</v>
      </c>
      <c r="J333" s="14" t="s">
        <v>320</v>
      </c>
      <c r="K333" s="14" t="s">
        <v>770</v>
      </c>
      <c r="L333" s="14" t="s">
        <v>771</v>
      </c>
      <c r="M333" s="14" t="s">
        <v>9158</v>
      </c>
      <c r="N333" s="14" t="s">
        <v>9158</v>
      </c>
      <c r="O333" s="14" t="s">
        <v>9158</v>
      </c>
      <c r="P333" s="14" t="s">
        <v>9158</v>
      </c>
      <c r="Q333" s="14" t="s">
        <v>9158</v>
      </c>
    </row>
    <row r="334" spans="1:17">
      <c r="A334" s="14">
        <v>52733</v>
      </c>
      <c r="B334" s="14" t="s">
        <v>15</v>
      </c>
      <c r="C334" s="14" t="s">
        <v>185</v>
      </c>
      <c r="D334" s="20" t="s">
        <v>10491</v>
      </c>
      <c r="E334" s="15" t="str">
        <f>HYPERLINK("https://stat100.ameba.jp/tnk47/ratio20/illustrations/card/ill_52733_sekkinambutsuruhime03.jpg?202012-i_prefecture_active_user", "■")</f>
        <v>■</v>
      </c>
      <c r="F334" s="14" t="s">
        <v>6246</v>
      </c>
      <c r="G334" s="14">
        <v>59144</v>
      </c>
      <c r="H334" s="14">
        <v>65208</v>
      </c>
      <c r="I334" s="14">
        <v>22</v>
      </c>
      <c r="J334" s="14" t="s">
        <v>77</v>
      </c>
      <c r="K334" s="14" t="s">
        <v>6248</v>
      </c>
      <c r="L334" s="14" t="s">
        <v>6249</v>
      </c>
      <c r="M334" s="14" t="s">
        <v>9158</v>
      </c>
      <c r="N334" s="14" t="s">
        <v>9158</v>
      </c>
      <c r="O334" s="14" t="s">
        <v>9158</v>
      </c>
      <c r="P334" s="14" t="s">
        <v>9158</v>
      </c>
      <c r="Q334" s="14" t="s">
        <v>9158</v>
      </c>
    </row>
    <row r="335" spans="1:17">
      <c r="A335" s="14">
        <v>54003</v>
      </c>
      <c r="B335" s="14" t="s">
        <v>15</v>
      </c>
      <c r="C335" s="14" t="s">
        <v>200</v>
      </c>
      <c r="D335" s="20" t="s">
        <v>10492</v>
      </c>
      <c r="E335" s="15" t="str">
        <f>HYPERLINK("https://stat100.ameba.jp/tnk47/ratio20/illustrations/card/ill_54003_seiryumegurihiguchiichiyo03.jpg?202012-i_prefecture_active_user", "■")</f>
        <v>■</v>
      </c>
      <c r="F335" s="14" t="s">
        <v>6250</v>
      </c>
      <c r="G335" s="14">
        <v>65208</v>
      </c>
      <c r="H335" s="14">
        <v>59144</v>
      </c>
      <c r="I335" s="14">
        <v>22</v>
      </c>
      <c r="J335" s="14" t="s">
        <v>10</v>
      </c>
      <c r="K335" s="14" t="s">
        <v>6252</v>
      </c>
      <c r="L335" s="14" t="s">
        <v>6253</v>
      </c>
      <c r="M335" s="14" t="s">
        <v>9158</v>
      </c>
      <c r="N335" s="14" t="s">
        <v>9158</v>
      </c>
      <c r="O335" s="14" t="s">
        <v>9158</v>
      </c>
      <c r="P335" s="14" t="s">
        <v>9158</v>
      </c>
      <c r="Q335" s="14" t="s">
        <v>9158</v>
      </c>
    </row>
    <row r="336" spans="1:17">
      <c r="A336" s="14">
        <v>51833</v>
      </c>
      <c r="B336" s="14" t="s">
        <v>15</v>
      </c>
      <c r="C336" s="14" t="s">
        <v>205</v>
      </c>
      <c r="D336" s="20" t="s">
        <v>10493</v>
      </c>
      <c r="E336" s="15" t="str">
        <f>HYPERLINK("https://stat100.ameba.jp/tnk47/ratio20/illustrations/card/ill_51833_jukimakitsuhikonomikoto03.jpg?202012-i_prefecture_active_user", "■")</f>
        <v>■</v>
      </c>
      <c r="F336" s="14" t="s">
        <v>6254</v>
      </c>
      <c r="G336" s="14">
        <v>65208</v>
      </c>
      <c r="H336" s="14">
        <v>59144</v>
      </c>
      <c r="I336" s="14">
        <v>22</v>
      </c>
      <c r="J336" s="14" t="s">
        <v>44</v>
      </c>
      <c r="K336" s="14" t="s">
        <v>6257</v>
      </c>
      <c r="L336" s="14" t="s">
        <v>6256</v>
      </c>
      <c r="M336" s="14" t="s">
        <v>9158</v>
      </c>
      <c r="N336" s="14" t="s">
        <v>9158</v>
      </c>
      <c r="O336" s="14" t="s">
        <v>9158</v>
      </c>
      <c r="P336" s="14" t="s">
        <v>9158</v>
      </c>
      <c r="Q336" s="14" t="s">
        <v>9158</v>
      </c>
    </row>
    <row r="337" spans="1:18">
      <c r="A337" s="14">
        <v>53203</v>
      </c>
      <c r="B337" s="14" t="s">
        <v>15</v>
      </c>
      <c r="C337" s="14" t="s">
        <v>165</v>
      </c>
      <c r="D337" s="20" t="s">
        <v>10494</v>
      </c>
      <c r="E337" s="15" t="str">
        <f>HYPERLINK("https://stat100.ameba.jp/tnk47/ratio20/illustrations/card/ill_53203_buruhawaichan03.jpg?202012-i_prefecture_active_user", "■")</f>
        <v>■</v>
      </c>
      <c r="F337" s="14" t="s">
        <v>6258</v>
      </c>
      <c r="G337" s="14">
        <v>59144</v>
      </c>
      <c r="H337" s="14">
        <v>65208</v>
      </c>
      <c r="I337" s="14">
        <v>22</v>
      </c>
      <c r="J337" s="14" t="s">
        <v>104</v>
      </c>
      <c r="K337" s="14" t="s">
        <v>6261</v>
      </c>
      <c r="L337" s="14" t="s">
        <v>6260</v>
      </c>
      <c r="M337" s="14" t="s">
        <v>9158</v>
      </c>
      <c r="N337" s="14" t="s">
        <v>9158</v>
      </c>
      <c r="O337" s="14" t="s">
        <v>9158</v>
      </c>
      <c r="P337" s="14" t="s">
        <v>9158</v>
      </c>
      <c r="Q337" s="14" t="s">
        <v>9158</v>
      </c>
    </row>
    <row r="339" spans="1:18">
      <c r="A339" s="14" t="s">
        <v>15655</v>
      </c>
    </row>
    <row r="340" spans="1:18">
      <c r="A340" s="14">
        <v>104806</v>
      </c>
      <c r="B340" s="14" t="s">
        <v>15656</v>
      </c>
    </row>
    <row r="341" spans="1:18">
      <c r="A341" s="9" t="s">
        <v>5843</v>
      </c>
      <c r="B341" s="14" t="s">
        <v>52</v>
      </c>
      <c r="C341" s="14" t="s">
        <v>202</v>
      </c>
      <c r="D341" s="14" t="s">
        <v>2126</v>
      </c>
      <c r="E341" s="15" t="str">
        <f>HYPERLINK("https://stat100.ameba.jp/tnk47/ratio20/illustrations/card/ill_77963_0_kurisumasudaisakusentakiyashahime03.jpg?202012-i_prefecture_active_user", "■")</f>
        <v>■</v>
      </c>
      <c r="F341" s="14" t="s">
        <v>2127</v>
      </c>
      <c r="G341" s="14">
        <v>319308</v>
      </c>
      <c r="H341" s="14">
        <v>288586</v>
      </c>
      <c r="I341" s="14">
        <v>26</v>
      </c>
      <c r="J341" s="14" t="s">
        <v>77</v>
      </c>
      <c r="K341" s="14" t="s">
        <v>2128</v>
      </c>
      <c r="L341" s="14" t="s">
        <v>2129</v>
      </c>
      <c r="M341" s="14" t="s">
        <v>9158</v>
      </c>
      <c r="N341" s="14" t="s">
        <v>9158</v>
      </c>
      <c r="O341" s="9" t="s">
        <v>3588</v>
      </c>
      <c r="P341" s="14" t="s">
        <v>3589</v>
      </c>
      <c r="Q341" s="14">
        <v>2</v>
      </c>
    </row>
    <row r="342" spans="1:18">
      <c r="A342" s="14">
        <v>83513</v>
      </c>
      <c r="B342" s="14" t="s">
        <v>334</v>
      </c>
      <c r="C342" s="14" t="s">
        <v>1</v>
      </c>
      <c r="D342" s="20" t="s">
        <v>10556</v>
      </c>
      <c r="E342" s="15" t="str">
        <f>HYPERLINK("https://stat100.ameba.jp/tnk47/ratio20/illustrations/card/ill_83513_kajuemmimuratsuru03.jpg?202012-i_prefecture_active_user", "■")</f>
        <v>■</v>
      </c>
      <c r="F342" s="14" t="s">
        <v>6603</v>
      </c>
      <c r="G342" s="14">
        <v>154562</v>
      </c>
      <c r="H342" s="14">
        <v>143714</v>
      </c>
      <c r="I342" s="14">
        <v>26</v>
      </c>
      <c r="J342" s="14" t="s">
        <v>143</v>
      </c>
      <c r="K342" s="14" t="s">
        <v>6601</v>
      </c>
      <c r="L342" s="14" t="s">
        <v>6600</v>
      </c>
      <c r="M342" s="14" t="s">
        <v>9158</v>
      </c>
      <c r="N342" s="14" t="s">
        <v>9158</v>
      </c>
      <c r="O342" s="19" t="s">
        <v>2951</v>
      </c>
      <c r="P342" s="14" t="s">
        <v>13122</v>
      </c>
      <c r="Q342" s="14">
        <v>1</v>
      </c>
    </row>
    <row r="343" spans="1:18">
      <c r="A343" s="14">
        <v>85483</v>
      </c>
      <c r="B343" s="14" t="s">
        <v>0</v>
      </c>
      <c r="C343" s="14" t="s">
        <v>206</v>
      </c>
      <c r="D343" s="20" t="s">
        <v>10807</v>
      </c>
      <c r="E343" s="15" t="str">
        <f>HYPERLINK("https://stat100.ameba.jp/tnk47/ratio20/illustrations/card/ill_85483_seitankuronikururirimu03.jpg?202012-i_prefecture_active_user", "■")</f>
        <v>■</v>
      </c>
      <c r="F343" s="14" t="s">
        <v>8445</v>
      </c>
      <c r="G343" s="14">
        <v>108330</v>
      </c>
      <c r="H343" s="14">
        <v>100744</v>
      </c>
      <c r="I343" s="14">
        <v>26</v>
      </c>
      <c r="J343" s="14" t="s">
        <v>182</v>
      </c>
      <c r="K343" s="14" t="s">
        <v>8444</v>
      </c>
      <c r="L343" s="14" t="s">
        <v>2308</v>
      </c>
      <c r="M343" s="14" t="s">
        <v>9158</v>
      </c>
      <c r="N343" s="14" t="s">
        <v>9158</v>
      </c>
      <c r="O343" s="19" t="s">
        <v>10086</v>
      </c>
      <c r="P343" s="14" t="s">
        <v>3701</v>
      </c>
      <c r="Q343" s="14">
        <v>1</v>
      </c>
    </row>
    <row r="344" spans="1:18">
      <c r="A344" s="9">
        <v>73913</v>
      </c>
      <c r="B344" s="14" t="s">
        <v>334</v>
      </c>
      <c r="C344" s="14" t="s">
        <v>154</v>
      </c>
      <c r="D344" s="14" t="s">
        <v>1206</v>
      </c>
      <c r="E344" s="15" t="str">
        <f>HYPERLINK("https://stat100.ameba.jp/tnk47/ratio20/illustrations/card/ill_73913_atsutajingu03.jpg?202012-i_prefecture_active_user", "■")</f>
        <v>■</v>
      </c>
      <c r="F344" s="14" t="s">
        <v>1207</v>
      </c>
      <c r="G344" s="14">
        <v>85962</v>
      </c>
      <c r="H344" s="14">
        <v>118684</v>
      </c>
      <c r="I344" s="14">
        <v>26</v>
      </c>
      <c r="J344" s="14" t="s">
        <v>44</v>
      </c>
      <c r="K344" s="14" t="s">
        <v>1208</v>
      </c>
      <c r="L344" s="14" t="s">
        <v>1209</v>
      </c>
      <c r="M344" s="14" t="s">
        <v>9158</v>
      </c>
      <c r="N344" s="14" t="s">
        <v>9158</v>
      </c>
      <c r="O344" s="17" t="s">
        <v>10053</v>
      </c>
      <c r="P344" s="14" t="s">
        <v>2822</v>
      </c>
      <c r="Q344" s="14">
        <v>1</v>
      </c>
    </row>
    <row r="346" spans="1:18">
      <c r="A346" s="14" t="s">
        <v>13327</v>
      </c>
    </row>
    <row r="347" spans="1:18">
      <c r="A347" s="14">
        <v>104809</v>
      </c>
      <c r="B347" s="14" t="s">
        <v>1839</v>
      </c>
    </row>
    <row r="348" spans="1:18">
      <c r="A348" s="14">
        <v>82213</v>
      </c>
      <c r="B348" s="14" t="s">
        <v>0</v>
      </c>
      <c r="C348" s="14" t="s">
        <v>185</v>
      </c>
      <c r="D348" s="19" t="s">
        <v>10185</v>
      </c>
      <c r="E348" s="15" t="str">
        <f>HYPERLINK("https://stat100.ameba.jp/tnk47/ratio20/illustrations/card/ill_82213_tatarimokke03.jpg?202012-i_prefecture_active_user", "■")</f>
        <v>■</v>
      </c>
      <c r="F348" s="14" t="s">
        <v>4935</v>
      </c>
      <c r="G348" s="14">
        <v>128160</v>
      </c>
      <c r="H348" s="14">
        <v>137846</v>
      </c>
      <c r="I348" s="7">
        <v>28</v>
      </c>
      <c r="J348" s="14" t="s">
        <v>182</v>
      </c>
      <c r="K348" s="14" t="s">
        <v>4937</v>
      </c>
      <c r="L348" s="14" t="s">
        <v>13191</v>
      </c>
      <c r="M348" s="14" t="s">
        <v>13130</v>
      </c>
      <c r="N348" s="14" t="s">
        <v>343</v>
      </c>
      <c r="O348" s="14" t="s">
        <v>9158</v>
      </c>
      <c r="P348" s="14" t="s">
        <v>9158</v>
      </c>
      <c r="Q348" s="14" t="s">
        <v>9158</v>
      </c>
      <c r="R348" s="14" t="s">
        <v>14748</v>
      </c>
    </row>
    <row r="349" spans="1:18">
      <c r="A349" s="14">
        <v>82212</v>
      </c>
      <c r="B349" s="14" t="s">
        <v>334</v>
      </c>
      <c r="C349" s="14" t="s">
        <v>185</v>
      </c>
      <c r="D349" s="19" t="s">
        <v>10185</v>
      </c>
      <c r="E349" s="15" t="str">
        <f>HYPERLINK("https://stat100.ameba.jp/tnk47/ratio20/illustrations/card/ill_82212_tatarimokke02.jpg?202012-i_prefecture_active_user", "■")</f>
        <v>■</v>
      </c>
      <c r="F349" s="14" t="s">
        <v>4935</v>
      </c>
      <c r="G349" s="14">
        <v>106148</v>
      </c>
      <c r="H349" s="14">
        <v>115230</v>
      </c>
      <c r="I349" s="7">
        <v>28</v>
      </c>
      <c r="J349" s="14" t="s">
        <v>182</v>
      </c>
      <c r="K349" s="14" t="s">
        <v>4937</v>
      </c>
      <c r="L349" s="14" t="s">
        <v>13191</v>
      </c>
      <c r="M349" s="14" t="s">
        <v>13131</v>
      </c>
      <c r="N349" s="14" t="s">
        <v>251</v>
      </c>
      <c r="O349" s="14" t="s">
        <v>9158</v>
      </c>
      <c r="P349" s="14" t="s">
        <v>9158</v>
      </c>
      <c r="Q349" s="14" t="s">
        <v>9158</v>
      </c>
      <c r="R349" s="14" t="s">
        <v>14748</v>
      </c>
    </row>
    <row r="350" spans="1:18">
      <c r="A350" s="14">
        <v>82211</v>
      </c>
      <c r="B350" s="14" t="s">
        <v>0</v>
      </c>
      <c r="C350" s="14" t="s">
        <v>185</v>
      </c>
      <c r="D350" s="19" t="s">
        <v>10185</v>
      </c>
      <c r="E350" s="15" t="str">
        <f>HYPERLINK("https://stat100.ameba.jp/tnk47/ratio20/illustrations/card/ill_82211_tatarimokke01.jpg?202012-i_prefecture_active_user", "■")</f>
        <v>■</v>
      </c>
      <c r="F350" s="14" t="s">
        <v>4935</v>
      </c>
      <c r="G350" s="14">
        <v>81900</v>
      </c>
      <c r="H350" s="14">
        <v>87976</v>
      </c>
      <c r="I350" s="7">
        <v>28</v>
      </c>
      <c r="J350" s="14" t="s">
        <v>182</v>
      </c>
      <c r="K350" s="14" t="s">
        <v>4937</v>
      </c>
      <c r="L350" s="14" t="s">
        <v>13191</v>
      </c>
      <c r="M350" s="14" t="s">
        <v>13131</v>
      </c>
      <c r="N350" s="14" t="s">
        <v>251</v>
      </c>
      <c r="O350" s="14" t="s">
        <v>9158</v>
      </c>
      <c r="P350" s="14" t="s">
        <v>9158</v>
      </c>
      <c r="Q350" s="14" t="s">
        <v>9158</v>
      </c>
      <c r="R350" s="14" t="s">
        <v>14748</v>
      </c>
    </row>
    <row r="351" spans="1:18">
      <c r="A351" s="14">
        <v>82223</v>
      </c>
      <c r="B351" s="14" t="s">
        <v>334</v>
      </c>
      <c r="C351" s="14" t="s">
        <v>200</v>
      </c>
      <c r="D351" s="19" t="s">
        <v>10186</v>
      </c>
      <c r="E351" s="15" t="str">
        <f>HYPERLINK("https://stat100.ameba.jp/tnk47/ratio20/illustrations/card/ill_82223_oyayubihime03.jpg?202012-i_prefecture_active_user", "■")</f>
        <v>■</v>
      </c>
      <c r="F351" s="14" t="s">
        <v>4931</v>
      </c>
      <c r="G351" s="14">
        <v>137846</v>
      </c>
      <c r="H351" s="14">
        <v>128160</v>
      </c>
      <c r="I351" s="7">
        <v>28</v>
      </c>
      <c r="J351" s="14" t="s">
        <v>155</v>
      </c>
      <c r="K351" s="14" t="s">
        <v>4933</v>
      </c>
      <c r="L351" s="14" t="s">
        <v>4934</v>
      </c>
      <c r="M351" s="14" t="s">
        <v>13130</v>
      </c>
      <c r="N351" s="14" t="s">
        <v>343</v>
      </c>
      <c r="O351" s="14" t="s">
        <v>9158</v>
      </c>
      <c r="P351" s="14" t="s">
        <v>9158</v>
      </c>
      <c r="Q351" s="14" t="s">
        <v>9158</v>
      </c>
      <c r="R351" s="14" t="s">
        <v>14748</v>
      </c>
    </row>
    <row r="352" spans="1:18">
      <c r="A352" s="14">
        <v>82233</v>
      </c>
      <c r="B352" s="14" t="s">
        <v>334</v>
      </c>
      <c r="C352" s="14" t="s">
        <v>191</v>
      </c>
      <c r="D352" s="19" t="s">
        <v>10187</v>
      </c>
      <c r="E352" s="15" t="str">
        <f>HYPERLINK("https://stat100.ameba.jp/tnk47/ratio20/illustrations/card/ill_82233_iseokiku03.jpg?202012-i_prefecture_active_user", "■")</f>
        <v>■</v>
      </c>
      <c r="F352" s="14" t="s">
        <v>4924</v>
      </c>
      <c r="G352" s="14">
        <v>137846</v>
      </c>
      <c r="H352" s="14">
        <v>128160</v>
      </c>
      <c r="I352" s="7">
        <v>28</v>
      </c>
      <c r="J352" s="14" t="s">
        <v>187</v>
      </c>
      <c r="K352" s="14" t="s">
        <v>4926</v>
      </c>
      <c r="L352" s="14" t="s">
        <v>4930</v>
      </c>
      <c r="M352" s="14" t="s">
        <v>13130</v>
      </c>
      <c r="N352" s="14" t="s">
        <v>343</v>
      </c>
      <c r="O352" s="14" t="s">
        <v>9158</v>
      </c>
      <c r="P352" s="14" t="s">
        <v>9158</v>
      </c>
      <c r="Q352" s="14" t="s">
        <v>9158</v>
      </c>
      <c r="R352" s="14" t="s">
        <v>14748</v>
      </c>
    </row>
    <row r="353" spans="1:18">
      <c r="A353" s="14">
        <v>82243</v>
      </c>
      <c r="B353" s="14" t="s">
        <v>0</v>
      </c>
      <c r="C353" s="14" t="s">
        <v>165</v>
      </c>
      <c r="D353" s="19" t="s">
        <v>10188</v>
      </c>
      <c r="E353" s="15" t="str">
        <f>HYPERLINK("https://stat100.ameba.jp/tnk47/ratio20/illustrations/card/ill_82243_nanohana03.jpg?202012-i_prefecture_active_user", "■")</f>
        <v>■</v>
      </c>
      <c r="F353" s="14" t="s">
        <v>4921</v>
      </c>
      <c r="G353" s="14">
        <v>137846</v>
      </c>
      <c r="H353" s="14">
        <v>128160</v>
      </c>
      <c r="I353" s="7">
        <v>28</v>
      </c>
      <c r="J353" s="14" t="s">
        <v>229</v>
      </c>
      <c r="K353" s="14" t="s">
        <v>4923</v>
      </c>
      <c r="L353" s="14" t="s">
        <v>4929</v>
      </c>
      <c r="M353" s="14" t="s">
        <v>13130</v>
      </c>
      <c r="N353" s="14" t="s">
        <v>343</v>
      </c>
      <c r="O353" s="14" t="s">
        <v>9158</v>
      </c>
      <c r="P353" s="14" t="s">
        <v>9158</v>
      </c>
      <c r="Q353" s="14" t="s">
        <v>9158</v>
      </c>
      <c r="R353" s="14" t="s">
        <v>14748</v>
      </c>
    </row>
    <row r="354" spans="1:18">
      <c r="A354" s="14">
        <v>82253</v>
      </c>
      <c r="B354" s="14" t="s">
        <v>334</v>
      </c>
      <c r="C354" s="14" t="s">
        <v>205</v>
      </c>
      <c r="D354" s="19" t="s">
        <v>10189</v>
      </c>
      <c r="E354" s="15" t="str">
        <f>HYPERLINK("https://stat100.ameba.jp/tnk47/ratio20/illustrations/card/ill_82253_ajisaikyogokuichiko03.jpg?202012-i_prefecture_active_user", "■")</f>
        <v>■</v>
      </c>
      <c r="F354" s="14" t="s">
        <v>4920</v>
      </c>
      <c r="G354" s="14">
        <v>128160</v>
      </c>
      <c r="H354" s="14">
        <v>137846</v>
      </c>
      <c r="I354" s="7">
        <v>28</v>
      </c>
      <c r="J354" s="14" t="s">
        <v>159</v>
      </c>
      <c r="K354" s="14" t="s">
        <v>4919</v>
      </c>
      <c r="L354" s="14" t="s">
        <v>4927</v>
      </c>
      <c r="M354" s="14" t="s">
        <v>13130</v>
      </c>
      <c r="N354" s="14" t="s">
        <v>343</v>
      </c>
      <c r="O354" s="14" t="s">
        <v>9158</v>
      </c>
      <c r="P354" s="14" t="s">
        <v>9158</v>
      </c>
      <c r="Q354" s="14" t="s">
        <v>9158</v>
      </c>
      <c r="R354" s="14" t="s">
        <v>14748</v>
      </c>
    </row>
    <row r="355" spans="1:18">
      <c r="A355" s="14">
        <v>82263</v>
      </c>
      <c r="B355" s="14" t="s">
        <v>334</v>
      </c>
      <c r="C355" s="14" t="s">
        <v>206</v>
      </c>
      <c r="D355" s="19" t="s">
        <v>10190</v>
      </c>
      <c r="E355" s="15" t="str">
        <f>HYPERLINK("https://stat100.ameba.jp/tnk47/ratio20/illustrations/card/ill_82263_euterupe03.jpg?202012-i_prefecture_active_user", "■")</f>
        <v>■</v>
      </c>
      <c r="F355" s="14" t="s">
        <v>4915</v>
      </c>
      <c r="G355" s="14">
        <v>128160</v>
      </c>
      <c r="H355" s="14">
        <v>137846</v>
      </c>
      <c r="I355" s="7">
        <v>28</v>
      </c>
      <c r="J355" s="14" t="s">
        <v>169</v>
      </c>
      <c r="K355" s="14" t="s">
        <v>4917</v>
      </c>
      <c r="L355" s="14" t="s">
        <v>4928</v>
      </c>
      <c r="M355" s="14" t="s">
        <v>13130</v>
      </c>
      <c r="N355" s="14" t="s">
        <v>343</v>
      </c>
      <c r="O355" s="14" t="s">
        <v>9158</v>
      </c>
      <c r="P355" s="14" t="s">
        <v>9158</v>
      </c>
      <c r="Q355" s="14" t="s">
        <v>9158</v>
      </c>
      <c r="R355" s="14" t="s">
        <v>14748</v>
      </c>
    </row>
    <row r="357" spans="1:18">
      <c r="A357" s="14" t="s">
        <v>15706</v>
      </c>
    </row>
    <row r="358" spans="1:18">
      <c r="A358" s="14">
        <v>104829</v>
      </c>
      <c r="B358" s="14" t="s">
        <v>15707</v>
      </c>
    </row>
    <row r="359" spans="1:18">
      <c r="A359" s="14" t="s">
        <v>5601</v>
      </c>
      <c r="B359" s="14" t="s">
        <v>330</v>
      </c>
      <c r="C359" s="14" t="s">
        <v>35</v>
      </c>
      <c r="D359" s="19" t="s">
        <v>10318</v>
      </c>
      <c r="E359" s="15" t="str">
        <f>HYPERLINK("https://stat100.ameba.jp/tnk47/ratio20/illustrations/card/ill_82423_0_bikinigarukishi03.jpg?202012-i_prefecture_active_user", "■")</f>
        <v>■</v>
      </c>
      <c r="F359" s="14" t="s">
        <v>5391</v>
      </c>
      <c r="G359" s="14">
        <v>290598</v>
      </c>
      <c r="H359" s="14">
        <v>262648</v>
      </c>
      <c r="I359" s="14">
        <v>24</v>
      </c>
      <c r="J359" s="14" t="s">
        <v>77</v>
      </c>
      <c r="K359" s="14" t="s">
        <v>5392</v>
      </c>
      <c r="L359" s="14" t="s">
        <v>5393</v>
      </c>
      <c r="M359" s="14" t="s">
        <v>9158</v>
      </c>
      <c r="N359" s="14" t="s">
        <v>9158</v>
      </c>
      <c r="O359" s="19" t="s">
        <v>10069</v>
      </c>
      <c r="P359" s="14" t="s">
        <v>5394</v>
      </c>
      <c r="Q359" s="14">
        <v>1</v>
      </c>
    </row>
    <row r="360" spans="1:18">
      <c r="A360" s="14" t="s">
        <v>5650</v>
      </c>
      <c r="B360" s="14" t="s">
        <v>52</v>
      </c>
      <c r="C360" s="14" t="s">
        <v>23</v>
      </c>
      <c r="D360" s="19" t="s">
        <v>136</v>
      </c>
      <c r="E360" s="15" t="str">
        <f>HYPERLINK("https://stat100.ameba.jp/tnk47/ratio20/illustrations/card/ill_68033_0_kurisumasupateikandamyojin03.jpg?202012-i_prefecture_active_user", "■")</f>
        <v>■</v>
      </c>
      <c r="F360" s="14" t="s">
        <v>1871</v>
      </c>
      <c r="G360" s="14">
        <v>152594</v>
      </c>
      <c r="H360" s="14">
        <v>164144</v>
      </c>
      <c r="I360" s="14">
        <v>24</v>
      </c>
      <c r="J360" s="14" t="s">
        <v>44</v>
      </c>
      <c r="K360" s="14" t="s">
        <v>1872</v>
      </c>
      <c r="L360" s="14" t="s">
        <v>1873</v>
      </c>
      <c r="M360" s="14" t="s">
        <v>9158</v>
      </c>
      <c r="N360" s="14" t="s">
        <v>9158</v>
      </c>
      <c r="O360" s="19" t="s">
        <v>2997</v>
      </c>
      <c r="P360" s="14" t="s">
        <v>3483</v>
      </c>
      <c r="Q360" s="14">
        <v>2</v>
      </c>
    </row>
    <row r="361" spans="1:18">
      <c r="A361" s="14" t="s">
        <v>5608</v>
      </c>
      <c r="B361" s="14" t="s">
        <v>52</v>
      </c>
      <c r="C361" s="14" t="s">
        <v>96</v>
      </c>
      <c r="D361" s="19" t="s">
        <v>634</v>
      </c>
      <c r="E361" s="15" t="str">
        <f>HYPERLINK("https://stat100.ameba.jp/tnk47/ratio20/illustrations/card/ill_40963_0_makami03.jpg?202012-i_prefecture_active_user", "■")</f>
        <v>■</v>
      </c>
      <c r="F361" s="14" t="s">
        <v>2038</v>
      </c>
      <c r="G361" s="14">
        <v>140448</v>
      </c>
      <c r="H361" s="14">
        <v>131538</v>
      </c>
      <c r="I361" s="14">
        <v>24</v>
      </c>
      <c r="J361" s="14" t="s">
        <v>44</v>
      </c>
      <c r="K361" s="14" t="s">
        <v>2039</v>
      </c>
      <c r="L361" s="14" t="s">
        <v>2040</v>
      </c>
      <c r="M361" s="14" t="s">
        <v>9158</v>
      </c>
      <c r="N361" s="14" t="s">
        <v>9158</v>
      </c>
      <c r="O361" s="14" t="s">
        <v>9158</v>
      </c>
      <c r="P361" s="14" t="s">
        <v>9158</v>
      </c>
      <c r="Q361" s="14" t="s">
        <v>9158</v>
      </c>
    </row>
    <row r="362" spans="1:18">
      <c r="A362" s="14">
        <v>93913</v>
      </c>
      <c r="B362" s="14" t="s">
        <v>334</v>
      </c>
      <c r="C362" s="14" t="s">
        <v>15713</v>
      </c>
      <c r="D362" s="14" t="s">
        <v>15712</v>
      </c>
      <c r="E362" s="15" t="str">
        <f>HYPERLINK("https://stat100.ameba.jp/tnk47/ratio20/illustrations/card/ill_93913_karuyuhaimu03.jpg?202012-i_prefecture_active_user", "■")</f>
        <v>■</v>
      </c>
      <c r="F362" s="14" t="s">
        <v>15711</v>
      </c>
      <c r="G362" s="14">
        <v>94390</v>
      </c>
      <c r="H362" s="14">
        <v>101558</v>
      </c>
      <c r="I362" s="14">
        <v>26</v>
      </c>
      <c r="J362" s="14" t="s">
        <v>15710</v>
      </c>
      <c r="K362" s="14" t="s">
        <v>15709</v>
      </c>
      <c r="L362" s="14" t="s">
        <v>15708</v>
      </c>
      <c r="M362" s="14" t="s">
        <v>9158</v>
      </c>
      <c r="N362" s="14" t="s">
        <v>9158</v>
      </c>
      <c r="O362" s="14" t="s">
        <v>9158</v>
      </c>
      <c r="P362" s="14" t="s">
        <v>9158</v>
      </c>
      <c r="Q362" s="14" t="s">
        <v>9158</v>
      </c>
    </row>
    <row r="363" spans="1:18">
      <c r="A363" s="14">
        <v>93923</v>
      </c>
      <c r="B363" s="14" t="s">
        <v>15</v>
      </c>
      <c r="C363" s="14" t="s">
        <v>23</v>
      </c>
      <c r="D363" s="14" t="s">
        <v>15641</v>
      </c>
      <c r="E363" s="15" t="str">
        <f>HYPERLINK("https://stat100.ameba.jp/tnk47/ratio20/illustrations/card/ill_93923_meikoazabunooneko03.jpg?202012-i_prefecture_active_user", "■")</f>
        <v>■</v>
      </c>
      <c r="F363" s="14" t="s">
        <v>15640</v>
      </c>
      <c r="G363" s="14">
        <v>77064</v>
      </c>
      <c r="H363" s="14">
        <v>69898</v>
      </c>
      <c r="I363" s="14">
        <v>26</v>
      </c>
      <c r="J363" s="14" t="s">
        <v>73</v>
      </c>
      <c r="K363" s="14" t="s">
        <v>3322</v>
      </c>
      <c r="L363" s="14" t="s">
        <v>3835</v>
      </c>
      <c r="M363" s="14" t="s">
        <v>9158</v>
      </c>
      <c r="N363" s="14" t="s">
        <v>9158</v>
      </c>
      <c r="O363" s="14" t="s">
        <v>9158</v>
      </c>
      <c r="P363" s="14" t="s">
        <v>9158</v>
      </c>
      <c r="Q363" s="14" t="s">
        <v>9158</v>
      </c>
    </row>
    <row r="364" spans="1:18">
      <c r="A364" s="14">
        <v>93933</v>
      </c>
      <c r="B364" s="14" t="s">
        <v>22</v>
      </c>
      <c r="C364" s="14" t="s">
        <v>14</v>
      </c>
      <c r="D364" s="14" t="s">
        <v>15647</v>
      </c>
      <c r="E364" s="15" t="str">
        <f>HYPERLINK("https://stat100.ameba.jp/tnk47/ratio20/illustrations/card/ill_93933_shodaikoizuminizaemon03.jpg?202012-i_prefecture_active_user", "■")</f>
        <v>■</v>
      </c>
      <c r="F364" s="14" t="s">
        <v>15646</v>
      </c>
      <c r="G364" s="14">
        <v>44948</v>
      </c>
      <c r="H364" s="14">
        <v>54058</v>
      </c>
      <c r="I364" s="14">
        <v>26</v>
      </c>
      <c r="J364" s="14" t="s">
        <v>16</v>
      </c>
      <c r="K364" s="14" t="s">
        <v>15644</v>
      </c>
      <c r="L364" s="14" t="s">
        <v>6675</v>
      </c>
      <c r="M364" s="14" t="s">
        <v>9158</v>
      </c>
      <c r="N364" s="14" t="s">
        <v>9158</v>
      </c>
      <c r="O364" s="14" t="s">
        <v>9158</v>
      </c>
      <c r="P364" s="14" t="s">
        <v>9158</v>
      </c>
      <c r="Q364" s="14" t="s">
        <v>9158</v>
      </c>
    </row>
    <row r="365" spans="1:18">
      <c r="A365" s="14">
        <v>93943</v>
      </c>
      <c r="B365" s="14" t="s">
        <v>22</v>
      </c>
      <c r="C365" s="14" t="s">
        <v>96</v>
      </c>
      <c r="D365" s="14" t="s">
        <v>15653</v>
      </c>
      <c r="E365" s="15" t="str">
        <f>HYPERLINK("https://stat100.ameba.jp/tnk47/ratio20/illustrations/card/ill_93943_torejakyosensuchan03.jpg?202012-i_prefecture_active_user", "■")</f>
        <v>■</v>
      </c>
      <c r="F365" s="14" t="s">
        <v>15652</v>
      </c>
      <c r="G365" s="14">
        <v>54058</v>
      </c>
      <c r="H365" s="14">
        <v>44948</v>
      </c>
      <c r="I365" s="14">
        <v>26</v>
      </c>
      <c r="J365" s="14" t="s">
        <v>26</v>
      </c>
      <c r="K365" s="14" t="s">
        <v>15650</v>
      </c>
      <c r="L365" s="14" t="s">
        <v>2635</v>
      </c>
      <c r="M365" s="14" t="s">
        <v>9158</v>
      </c>
      <c r="N365" s="14" t="s">
        <v>9158</v>
      </c>
      <c r="O365" s="14" t="s">
        <v>9158</v>
      </c>
      <c r="P365" s="14" t="s">
        <v>9158</v>
      </c>
      <c r="Q365" s="14" t="s">
        <v>9158</v>
      </c>
    </row>
    <row r="367" spans="1:18">
      <c r="A367" s="14" t="s">
        <v>15714</v>
      </c>
    </row>
    <row r="368" spans="1:18">
      <c r="A368" s="14">
        <v>104860</v>
      </c>
      <c r="B368" s="14" t="s">
        <v>15720</v>
      </c>
    </row>
    <row r="369" spans="1:17">
      <c r="A369" s="14">
        <v>104870</v>
      </c>
      <c r="B369" s="14" t="s">
        <v>15721</v>
      </c>
    </row>
    <row r="370" spans="1:17">
      <c r="A370" s="7" t="s">
        <v>8839</v>
      </c>
      <c r="B370" s="7" t="s">
        <v>52</v>
      </c>
      <c r="C370" s="7" t="s">
        <v>202</v>
      </c>
      <c r="D370" s="20" t="s">
        <v>10880</v>
      </c>
      <c r="E370" s="15" t="str">
        <f>HYPERLINK("https://stat100.ameba.jp/tnk47/ratio20/illustrations/card/ill_86273_0_oshogatsuniijimayae03.jpg?202012-i_prefecture_active_user", "■")</f>
        <v>■</v>
      </c>
      <c r="F370" s="7" t="s">
        <v>8838</v>
      </c>
      <c r="G370" s="7">
        <v>296321</v>
      </c>
      <c r="H370" s="7">
        <v>327865</v>
      </c>
      <c r="I370" s="7">
        <v>27</v>
      </c>
      <c r="J370" s="14" t="s">
        <v>173</v>
      </c>
      <c r="K370" s="7" t="s">
        <v>8837</v>
      </c>
      <c r="L370" s="7" t="s">
        <v>13211</v>
      </c>
      <c r="M370" s="14" t="s">
        <v>9158</v>
      </c>
      <c r="N370" s="14" t="s">
        <v>9158</v>
      </c>
      <c r="O370" s="19" t="s">
        <v>10134</v>
      </c>
      <c r="P370" s="7" t="s">
        <v>8870</v>
      </c>
      <c r="Q370" s="7">
        <v>1</v>
      </c>
    </row>
    <row r="371" spans="1:17">
      <c r="A371" s="14" t="s">
        <v>6598</v>
      </c>
      <c r="B371" s="14" t="s">
        <v>330</v>
      </c>
      <c r="C371" s="14" t="s">
        <v>35</v>
      </c>
      <c r="D371" s="19" t="s">
        <v>10555</v>
      </c>
      <c r="E371" s="15" t="str">
        <f>HYPERLINK("https://stat100.ameba.jp/tnk47/ratio20/illustrations/card/ill_83553_0_kajuenamoronagu03.jpg?202012-i_prefecture_active_user", "■")</f>
        <v>■</v>
      </c>
      <c r="F371" s="14" t="s">
        <v>6597</v>
      </c>
      <c r="G371" s="14">
        <v>284219</v>
      </c>
      <c r="H371" s="14">
        <v>314478</v>
      </c>
      <c r="I371" s="14">
        <v>27</v>
      </c>
      <c r="J371" s="14" t="s">
        <v>44</v>
      </c>
      <c r="K371" s="14" t="s">
        <v>6595</v>
      </c>
      <c r="L371" s="14" t="s">
        <v>6594</v>
      </c>
      <c r="M371" s="14" t="s">
        <v>9158</v>
      </c>
      <c r="N371" s="14" t="s">
        <v>9158</v>
      </c>
      <c r="O371" s="19" t="s">
        <v>10125</v>
      </c>
      <c r="P371" s="14" t="s">
        <v>6599</v>
      </c>
      <c r="Q371" s="14">
        <v>1</v>
      </c>
    </row>
    <row r="372" spans="1:17">
      <c r="A372" s="14" t="s">
        <v>5721</v>
      </c>
      <c r="B372" s="14" t="s">
        <v>52</v>
      </c>
      <c r="C372" s="14" t="s">
        <v>1</v>
      </c>
      <c r="D372" s="19" t="s">
        <v>513</v>
      </c>
      <c r="E372" s="15" t="str">
        <f>HYPERLINK("https://stat100.ameba.jp/tnk47/ratio20/illustrations/card/ill_44283_0_izumonokuni03.jpg?202012-i_prefecture_active_user", "■")</f>
        <v>■</v>
      </c>
      <c r="F372" s="14" t="s">
        <v>1716</v>
      </c>
      <c r="G372" s="14">
        <v>158004</v>
      </c>
      <c r="H372" s="14">
        <v>147980</v>
      </c>
      <c r="I372" s="14">
        <v>27</v>
      </c>
      <c r="J372" s="14" t="s">
        <v>16</v>
      </c>
      <c r="K372" s="14" t="s">
        <v>2254</v>
      </c>
      <c r="L372" s="14" t="s">
        <v>1718</v>
      </c>
      <c r="M372" s="14" t="s">
        <v>9158</v>
      </c>
      <c r="N372" s="14" t="s">
        <v>9158</v>
      </c>
      <c r="O372" s="14" t="s">
        <v>9158</v>
      </c>
      <c r="P372" s="14" t="s">
        <v>9158</v>
      </c>
      <c r="Q372" s="14" t="s">
        <v>9158</v>
      </c>
    </row>
    <row r="373" spans="1:17">
      <c r="A373" s="14">
        <v>84323</v>
      </c>
      <c r="B373" s="14" t="s">
        <v>0</v>
      </c>
      <c r="C373" s="14" t="s">
        <v>158</v>
      </c>
      <c r="D373" s="19" t="s">
        <v>10669</v>
      </c>
      <c r="E373" s="15" t="str">
        <f>HYPERLINK("https://stat100.ameba.jp/tnk47/ratio20/illustrations/card/ill_84323_kagizumebyakko03.jpg?202012-i_prefecture_active_user", "■")</f>
        <v>■</v>
      </c>
      <c r="F373" s="14" t="s">
        <v>7284</v>
      </c>
      <c r="G373" s="14">
        <v>137662</v>
      </c>
      <c r="H373" s="14">
        <v>99702</v>
      </c>
      <c r="I373" s="14">
        <v>27</v>
      </c>
      <c r="J373" s="14" t="s">
        <v>155</v>
      </c>
      <c r="K373" s="14" t="s">
        <v>7283</v>
      </c>
      <c r="L373" s="14" t="s">
        <v>7282</v>
      </c>
      <c r="M373" s="14" t="s">
        <v>9158</v>
      </c>
      <c r="N373" s="14" t="s">
        <v>9158</v>
      </c>
      <c r="O373" s="19" t="s">
        <v>10109</v>
      </c>
      <c r="P373" s="14" t="s">
        <v>3625</v>
      </c>
      <c r="Q373" s="14">
        <v>1</v>
      </c>
    </row>
    <row r="374" spans="1:17">
      <c r="A374" s="7">
        <v>85653</v>
      </c>
      <c r="B374" s="7" t="s">
        <v>0</v>
      </c>
      <c r="C374" s="14" t="s">
        <v>158</v>
      </c>
      <c r="D374" s="20" t="s">
        <v>10846</v>
      </c>
      <c r="E374" s="15" t="str">
        <f>HYPERLINK("https://stat100.ameba.jp/tnk47/ratio20/illustrations/card/ill_85653_onashiefumizuno03.jpg?202012-i_prefecture_active_user", "■")</f>
        <v>■</v>
      </c>
      <c r="F374" s="7" t="s">
        <v>8587</v>
      </c>
      <c r="G374" s="7">
        <v>103361</v>
      </c>
      <c r="H374" s="7">
        <v>142716</v>
      </c>
      <c r="I374" s="14">
        <v>27</v>
      </c>
      <c r="J374" s="7" t="s">
        <v>216</v>
      </c>
      <c r="K374" s="7" t="s">
        <v>8586</v>
      </c>
      <c r="L374" s="7" t="s">
        <v>131</v>
      </c>
      <c r="M374" s="14" t="s">
        <v>9158</v>
      </c>
      <c r="N374" s="14" t="s">
        <v>9158</v>
      </c>
      <c r="O374" s="19" t="s">
        <v>4074</v>
      </c>
      <c r="P374" s="14" t="s">
        <v>3462</v>
      </c>
      <c r="Q374" s="14">
        <v>1</v>
      </c>
    </row>
    <row r="375" spans="1:17">
      <c r="A375" s="14">
        <v>76783</v>
      </c>
      <c r="B375" s="14" t="s">
        <v>334</v>
      </c>
      <c r="C375" s="14" t="s">
        <v>203</v>
      </c>
      <c r="D375" s="19" t="s">
        <v>10367</v>
      </c>
      <c r="E375" s="15" t="str">
        <f>HYPERLINK("https://stat100.ameba.jp/tnk47/ratio20/illustrations/card/ill_76783_monsutaakashirejina03.jpg?202012-i_prefecture_active_user", "■")</f>
        <v>■</v>
      </c>
      <c r="F375" s="14" t="s">
        <v>1192</v>
      </c>
      <c r="G375" s="14">
        <v>85483</v>
      </c>
      <c r="H375" s="14">
        <v>118001</v>
      </c>
      <c r="I375" s="14">
        <v>27</v>
      </c>
      <c r="J375" s="14" t="s">
        <v>10</v>
      </c>
      <c r="K375" s="14" t="s">
        <v>1193</v>
      </c>
      <c r="L375" s="14" t="s">
        <v>1194</v>
      </c>
      <c r="M375" s="14" t="s">
        <v>9158</v>
      </c>
      <c r="N375" s="14" t="s">
        <v>9158</v>
      </c>
      <c r="O375" s="19" t="s">
        <v>2752</v>
      </c>
      <c r="P375" s="14" t="s">
        <v>13123</v>
      </c>
      <c r="Q375" s="14">
        <v>1</v>
      </c>
    </row>
    <row r="376" spans="1:17">
      <c r="A376" s="14">
        <v>81313</v>
      </c>
      <c r="B376" s="14" t="s">
        <v>0</v>
      </c>
      <c r="C376" s="14" t="s">
        <v>154</v>
      </c>
      <c r="D376" s="20" t="s">
        <v>10511</v>
      </c>
      <c r="E376" s="15" t="str">
        <f>HYPERLINK("https://stat100.ameba.jp/tnk47/ratio20/illustrations/card/ill_81313_harihara03.jpg?202012-i_prefecture_active_user", "■")</f>
        <v>■</v>
      </c>
      <c r="F376" s="14" t="s">
        <v>4667</v>
      </c>
      <c r="G376" s="14">
        <v>179634</v>
      </c>
      <c r="H376" s="14">
        <v>130113</v>
      </c>
      <c r="I376" s="14">
        <v>27</v>
      </c>
      <c r="J376" s="14" t="s">
        <v>44</v>
      </c>
      <c r="K376" s="14" t="s">
        <v>4668</v>
      </c>
      <c r="L376" s="14" t="s">
        <v>4669</v>
      </c>
      <c r="M376" s="14" t="s">
        <v>9158</v>
      </c>
      <c r="N376" s="14" t="s">
        <v>9158</v>
      </c>
      <c r="O376" s="19" t="s">
        <v>10114</v>
      </c>
      <c r="P376" s="14" t="s">
        <v>3658</v>
      </c>
      <c r="Q376" s="14">
        <v>1</v>
      </c>
    </row>
    <row r="377" spans="1:17">
      <c r="A377" s="9">
        <v>68693</v>
      </c>
      <c r="B377" s="14" t="s">
        <v>334</v>
      </c>
      <c r="C377" s="14" t="s">
        <v>154</v>
      </c>
      <c r="D377" s="14" t="s">
        <v>3465</v>
      </c>
      <c r="E377" s="15" t="str">
        <f>HYPERLINK("https://stat100.ameba.jp/tnk47/ratio20/illustrations/card/ill_68693_mayoiga03.jpg?202012-i_prefecture_active_user", "■")</f>
        <v>■</v>
      </c>
      <c r="F377" s="14" t="s">
        <v>3466</v>
      </c>
      <c r="G377" s="14">
        <v>142716</v>
      </c>
      <c r="H377" s="14">
        <v>103361</v>
      </c>
      <c r="I377" s="14">
        <v>27</v>
      </c>
      <c r="J377" s="14" t="s">
        <v>73</v>
      </c>
      <c r="K377" s="14" t="s">
        <v>3467</v>
      </c>
      <c r="L377" s="14" t="s">
        <v>3468</v>
      </c>
      <c r="M377" s="14" t="s">
        <v>9158</v>
      </c>
      <c r="N377" s="14" t="s">
        <v>9158</v>
      </c>
      <c r="O377" s="7" t="s">
        <v>3469</v>
      </c>
      <c r="P377" s="14" t="s">
        <v>13128</v>
      </c>
      <c r="Q377" s="14">
        <v>1</v>
      </c>
    </row>
    <row r="378" spans="1:17">
      <c r="A378" s="14">
        <v>75053</v>
      </c>
      <c r="B378" s="14" t="s">
        <v>334</v>
      </c>
      <c r="C378" s="14" t="s">
        <v>47</v>
      </c>
      <c r="D378" s="19" t="s">
        <v>10366</v>
      </c>
      <c r="E378" s="15" t="str">
        <f>HYPERLINK("https://stat100.ameba.jp/tnk47/ratio20/illustrations/card/ill_75053_goshikinuma03.jpg?202012-i_prefecture_active_user", "■")</f>
        <v>■</v>
      </c>
      <c r="F378" s="14" t="s">
        <v>5644</v>
      </c>
      <c r="G378" s="14">
        <v>99702</v>
      </c>
      <c r="H378" s="14">
        <v>137662</v>
      </c>
      <c r="I378" s="14">
        <v>27</v>
      </c>
      <c r="J378" s="14" t="s">
        <v>26</v>
      </c>
      <c r="K378" s="14" t="s">
        <v>5646</v>
      </c>
      <c r="L378" s="14" t="s">
        <v>2137</v>
      </c>
      <c r="M378" s="14" t="s">
        <v>9158</v>
      </c>
      <c r="N378" s="14" t="s">
        <v>9158</v>
      </c>
      <c r="O378" s="19" t="s">
        <v>10093</v>
      </c>
      <c r="P378" s="14" t="s">
        <v>13145</v>
      </c>
      <c r="Q378" s="14">
        <v>1</v>
      </c>
    </row>
    <row r="380" spans="1:17">
      <c r="A380" s="14" t="s">
        <v>15727</v>
      </c>
    </row>
    <row r="381" spans="1:17">
      <c r="A381" s="14">
        <v>104852</v>
      </c>
      <c r="B381" s="14" t="s">
        <v>15728</v>
      </c>
    </row>
    <row r="382" spans="1:17">
      <c r="A382" s="14" t="s">
        <v>5619</v>
      </c>
      <c r="B382" s="14" t="s">
        <v>330</v>
      </c>
      <c r="C382" s="14" t="s">
        <v>202</v>
      </c>
      <c r="D382" s="20" t="s">
        <v>10348</v>
      </c>
      <c r="E382" s="15" t="str">
        <f>HYPERLINK("https://stat100.ameba.jp/tnk47/ratio20/illustrations/card/ill_81183_0_shinryokunokisetsuamaterasu03.jpg?202012-i_prefecture_active_user", "■")</f>
        <v>■</v>
      </c>
      <c r="F382" s="14" t="s">
        <v>4505</v>
      </c>
      <c r="G382" s="14">
        <v>273132</v>
      </c>
      <c r="H382" s="14">
        <v>302232</v>
      </c>
      <c r="I382" s="14">
        <v>26</v>
      </c>
      <c r="J382" s="14" t="s">
        <v>44</v>
      </c>
      <c r="K382" s="14" t="s">
        <v>4506</v>
      </c>
      <c r="L382" s="14" t="s">
        <v>4507</v>
      </c>
      <c r="M382" s="14" t="s">
        <v>9158</v>
      </c>
      <c r="N382" s="14" t="s">
        <v>9158</v>
      </c>
      <c r="O382" s="19" t="s">
        <v>10083</v>
      </c>
      <c r="P382" s="14" t="s">
        <v>4509</v>
      </c>
      <c r="Q382" s="14">
        <v>0</v>
      </c>
    </row>
    <row r="383" spans="1:17">
      <c r="A383" s="14">
        <v>84653</v>
      </c>
      <c r="B383" s="14" t="s">
        <v>334</v>
      </c>
      <c r="C383" s="14" t="s">
        <v>209</v>
      </c>
      <c r="D383" s="20" t="s">
        <v>10626</v>
      </c>
      <c r="E383" s="15" t="str">
        <f>HYPERLINK("https://stat100.ameba.jp/tnk47/ratio20/illustrations/card/ill_84653_soru03.jpg?202012-i_prefecture_active_user", "■")</f>
        <v>■</v>
      </c>
      <c r="F383" s="14" t="s">
        <v>6954</v>
      </c>
      <c r="G383" s="14">
        <v>82318</v>
      </c>
      <c r="H383" s="14">
        <v>113630</v>
      </c>
      <c r="I383" s="14">
        <v>26</v>
      </c>
      <c r="J383" s="14" t="s">
        <v>44</v>
      </c>
      <c r="K383" s="14" t="s">
        <v>6956</v>
      </c>
      <c r="L383" s="14" t="s">
        <v>3652</v>
      </c>
      <c r="M383" s="14" t="s">
        <v>9158</v>
      </c>
      <c r="N383" s="14" t="s">
        <v>9158</v>
      </c>
      <c r="O383" s="19" t="s">
        <v>10103</v>
      </c>
      <c r="P383" s="14" t="s">
        <v>3897</v>
      </c>
      <c r="Q383" s="14">
        <v>1</v>
      </c>
    </row>
    <row r="384" spans="1:17">
      <c r="A384" s="14">
        <v>84643</v>
      </c>
      <c r="B384" s="14" t="s">
        <v>0</v>
      </c>
      <c r="C384" s="14" t="s">
        <v>203</v>
      </c>
      <c r="D384" s="20" t="s">
        <v>10605</v>
      </c>
      <c r="E384" s="15" t="str">
        <f>HYPERLINK("https://stat100.ameba.jp/tnk47/ratio20/illustrations/card/ill_84643_rikayaojo03.jpg?202012-i_prefecture_active_user", "■")</f>
        <v>■</v>
      </c>
      <c r="F384" s="14" t="s">
        <v>6853</v>
      </c>
      <c r="G384" s="14">
        <v>172982</v>
      </c>
      <c r="H384" s="14">
        <v>125296</v>
      </c>
      <c r="I384" s="14">
        <v>26</v>
      </c>
      <c r="J384" s="14" t="s">
        <v>315</v>
      </c>
      <c r="K384" s="14" t="s">
        <v>6852</v>
      </c>
      <c r="L384" s="14" t="s">
        <v>6851</v>
      </c>
      <c r="M384" s="14" t="s">
        <v>9158</v>
      </c>
      <c r="N384" s="14" t="s">
        <v>9158</v>
      </c>
      <c r="O384" s="19" t="s">
        <v>10082</v>
      </c>
      <c r="P384" s="14" t="s">
        <v>13124</v>
      </c>
      <c r="Q384" s="14">
        <v>1</v>
      </c>
    </row>
    <row r="385" spans="1:17">
      <c r="A385" s="14">
        <v>75083</v>
      </c>
      <c r="B385" s="14" t="s">
        <v>334</v>
      </c>
      <c r="C385" s="14" t="s">
        <v>209</v>
      </c>
      <c r="D385" s="19" t="s">
        <v>10401</v>
      </c>
      <c r="E385" s="15" t="str">
        <f>HYPERLINK("https://stat100.ameba.jp/tnk47/ratio20/illustrations/card/ill_75083_sukumizuhanakosan03.jpg?202012-i_prefecture_active_user", "■")</f>
        <v>■</v>
      </c>
      <c r="F385" s="14" t="s">
        <v>1020</v>
      </c>
      <c r="G385" s="14">
        <v>121240</v>
      </c>
      <c r="H385" s="14">
        <v>87834</v>
      </c>
      <c r="I385" s="14">
        <v>26</v>
      </c>
      <c r="J385" s="14" t="s">
        <v>73</v>
      </c>
      <c r="K385" s="14" t="s">
        <v>1021</v>
      </c>
      <c r="L385" s="14" t="s">
        <v>1022</v>
      </c>
      <c r="M385" s="14" t="s">
        <v>9158</v>
      </c>
      <c r="N385" s="14" t="s">
        <v>9158</v>
      </c>
      <c r="O385" s="19" t="s">
        <v>10105</v>
      </c>
      <c r="P385" s="14" t="s">
        <v>3416</v>
      </c>
      <c r="Q385" s="14">
        <v>1</v>
      </c>
    </row>
    <row r="387" spans="1:17">
      <c r="A387" s="14" t="s">
        <v>15729</v>
      </c>
    </row>
    <row r="388" spans="1:17">
      <c r="A388" s="14">
        <v>104857</v>
      </c>
      <c r="B388" s="14" t="s">
        <v>15730</v>
      </c>
    </row>
    <row r="389" spans="1:17">
      <c r="A389" s="14" t="s">
        <v>5848</v>
      </c>
      <c r="B389" s="14" t="s">
        <v>52</v>
      </c>
      <c r="C389" s="14" t="s">
        <v>200</v>
      </c>
      <c r="D389" s="20" t="s">
        <v>3160</v>
      </c>
      <c r="E389" s="15" t="str">
        <f>HYPERLINK("https://stat100.ameba.jp/tnk47/ratio20/illustrations/card/ill_72963_0_amenohanayomehiguchiichiyo03.jpg?202012-i_prefecture_active_user", "■")</f>
        <v>■</v>
      </c>
      <c r="F389" s="14" t="s">
        <v>1139</v>
      </c>
      <c r="G389" s="14">
        <v>174206</v>
      </c>
      <c r="H389" s="14">
        <v>161980</v>
      </c>
      <c r="I389" s="14">
        <v>26</v>
      </c>
      <c r="J389" s="14" t="s">
        <v>10</v>
      </c>
      <c r="K389" s="14" t="s">
        <v>1140</v>
      </c>
      <c r="L389" s="14" t="s">
        <v>1141</v>
      </c>
      <c r="M389" s="14" t="s">
        <v>9158</v>
      </c>
      <c r="N389" s="14" t="s">
        <v>9158</v>
      </c>
      <c r="O389" s="19" t="s">
        <v>3162</v>
      </c>
      <c r="P389" s="14" t="s">
        <v>3410</v>
      </c>
      <c r="Q389" s="14">
        <v>1</v>
      </c>
    </row>
    <row r="390" spans="1:17">
      <c r="A390" s="14">
        <v>86223</v>
      </c>
      <c r="B390" s="14" t="s">
        <v>0</v>
      </c>
      <c r="C390" s="14" t="s">
        <v>191</v>
      </c>
      <c r="D390" s="20" t="s">
        <v>10881</v>
      </c>
      <c r="E390" s="15" t="str">
        <f>HYPERLINK("https://stat100.ameba.jp/tnk47/ratio20/illustrations/card/ill_86223_oshogatsumiyoshino03.jpg?202012-i_prefecture_active_user", "■")</f>
        <v>■</v>
      </c>
      <c r="F390" s="14" t="s">
        <v>8871</v>
      </c>
      <c r="G390" s="14">
        <v>94390</v>
      </c>
      <c r="H390" s="14">
        <v>101558</v>
      </c>
      <c r="I390" s="14">
        <v>26</v>
      </c>
      <c r="J390" s="14" t="s">
        <v>187</v>
      </c>
      <c r="K390" s="14" t="s">
        <v>8845</v>
      </c>
      <c r="L390" s="14" t="s">
        <v>13212</v>
      </c>
      <c r="M390" s="14" t="s">
        <v>9158</v>
      </c>
      <c r="N390" s="14" t="s">
        <v>9158</v>
      </c>
      <c r="O390" s="19" t="s">
        <v>10119</v>
      </c>
      <c r="P390" s="14" t="s">
        <v>3662</v>
      </c>
      <c r="Q390" s="14">
        <v>1</v>
      </c>
    </row>
    <row r="391" spans="1:17">
      <c r="A391" s="9">
        <v>86833</v>
      </c>
      <c r="B391" s="14" t="s">
        <v>0</v>
      </c>
      <c r="C391" s="9" t="s">
        <v>185</v>
      </c>
      <c r="D391" s="19" t="s">
        <v>12619</v>
      </c>
      <c r="E391" s="15" t="str">
        <f>HYPERLINK("https://stat100.ameba.jp/tnk47/ratio20/illustrations/card/ill_86833_chokonohidosankochan03.jpg?202012-i_prefecture_active_user", "■")</f>
        <v>■</v>
      </c>
      <c r="F391" s="9" t="s">
        <v>9335</v>
      </c>
      <c r="G391" s="9">
        <v>98066</v>
      </c>
      <c r="H391" s="9">
        <v>105426</v>
      </c>
      <c r="I391" s="14">
        <v>26</v>
      </c>
      <c r="J391" s="9" t="s">
        <v>229</v>
      </c>
      <c r="K391" s="9" t="s">
        <v>9334</v>
      </c>
      <c r="L391" s="9" t="s">
        <v>9333</v>
      </c>
      <c r="M391" s="14" t="s">
        <v>9158</v>
      </c>
      <c r="N391" s="14" t="s">
        <v>9158</v>
      </c>
      <c r="O391" s="19" t="s">
        <v>2752</v>
      </c>
      <c r="P391" s="14" t="s">
        <v>13123</v>
      </c>
      <c r="Q391" s="14">
        <v>1</v>
      </c>
    </row>
    <row r="392" spans="1:17">
      <c r="A392" s="14">
        <v>83093</v>
      </c>
      <c r="B392" s="14" t="s">
        <v>0</v>
      </c>
      <c r="C392" s="14" t="s">
        <v>158</v>
      </c>
      <c r="D392" s="20" t="s">
        <v>10490</v>
      </c>
      <c r="E392" s="15" t="str">
        <f>HYPERLINK("https://stat100.ameba.jp/tnk47/ratio20/illustrations/card/ill_83093_yusuraume03.jpg?202012-i_prefecture_active_user", "■")</f>
        <v>■</v>
      </c>
      <c r="F392" s="14" t="s">
        <v>6267</v>
      </c>
      <c r="G392" s="14">
        <v>137430</v>
      </c>
      <c r="H392" s="14">
        <v>99532</v>
      </c>
      <c r="I392" s="14">
        <v>26</v>
      </c>
      <c r="J392" s="14" t="s">
        <v>104</v>
      </c>
      <c r="K392" s="14" t="s">
        <v>6266</v>
      </c>
      <c r="L392" s="14" t="s">
        <v>2409</v>
      </c>
      <c r="M392" s="14" t="s">
        <v>9158</v>
      </c>
      <c r="N392" s="14" t="s">
        <v>9158</v>
      </c>
      <c r="O392" s="19" t="s">
        <v>10090</v>
      </c>
      <c r="P392" s="14" t="s">
        <v>3460</v>
      </c>
      <c r="Q392" s="14">
        <v>1</v>
      </c>
    </row>
    <row r="394" spans="1:17">
      <c r="A394" s="14" t="s">
        <v>4422</v>
      </c>
    </row>
    <row r="395" spans="1:17">
      <c r="A395" s="14">
        <v>235246</v>
      </c>
      <c r="B395" s="14" t="s">
        <v>1882</v>
      </c>
    </row>
    <row r="396" spans="1:17">
      <c r="A396" s="14" t="s">
        <v>6195</v>
      </c>
      <c r="B396" s="14" t="s">
        <v>52</v>
      </c>
      <c r="C396" s="14" t="s">
        <v>191</v>
      </c>
      <c r="D396" s="19" t="s">
        <v>10217</v>
      </c>
      <c r="E396" s="15" t="str">
        <f>HYPERLINK("https://stat100.ameba.jp/tnk47/ratio20/illustrations/card/ill_56493_0_poppukurisumasuikomakitsuno03.jpg?202012-i_prefecture_active_user", "■")</f>
        <v>■</v>
      </c>
      <c r="F396" s="14" t="s">
        <v>1769</v>
      </c>
      <c r="G396" s="14">
        <v>125648</v>
      </c>
      <c r="H396" s="14">
        <v>111616</v>
      </c>
      <c r="I396" s="14">
        <v>20</v>
      </c>
      <c r="J396" s="14" t="s">
        <v>77</v>
      </c>
      <c r="K396" s="14" t="s">
        <v>1770</v>
      </c>
      <c r="L396" s="14" t="s">
        <v>1771</v>
      </c>
      <c r="M396" s="14" t="s">
        <v>9158</v>
      </c>
      <c r="N396" s="14" t="s">
        <v>9158</v>
      </c>
      <c r="O396" s="19" t="s">
        <v>10120</v>
      </c>
      <c r="P396" s="14" t="s">
        <v>2724</v>
      </c>
      <c r="Q396" s="14">
        <v>1</v>
      </c>
    </row>
    <row r="397" spans="1:17">
      <c r="A397" s="14">
        <v>93983</v>
      </c>
      <c r="B397" s="14" t="s">
        <v>0</v>
      </c>
      <c r="C397" s="14" t="s">
        <v>107</v>
      </c>
      <c r="D397" s="14" t="s">
        <v>16507</v>
      </c>
      <c r="E397" s="15" t="str">
        <f>HYPERLINK("https://stat100.ameba.jp/tnk47/ratio20/illustrations/card/ill_93983_kambiramia03.jpg?202012-i_prefecture_active_user", "■")</f>
        <v>■</v>
      </c>
      <c r="F397" s="14" t="s">
        <v>16506</v>
      </c>
      <c r="G397" s="14">
        <v>163316</v>
      </c>
      <c r="H397" s="14">
        <v>91874</v>
      </c>
      <c r="I397" s="14">
        <v>28</v>
      </c>
      <c r="J397" s="14" t="s">
        <v>104</v>
      </c>
      <c r="K397" s="14" t="s">
        <v>16505</v>
      </c>
      <c r="L397" s="14" t="s">
        <v>13093</v>
      </c>
      <c r="M397" s="14" t="s">
        <v>9158</v>
      </c>
      <c r="N397" s="14" t="s">
        <v>9158</v>
      </c>
      <c r="O397" s="14" t="s">
        <v>9158</v>
      </c>
      <c r="P397" s="14" t="s">
        <v>9158</v>
      </c>
      <c r="Q397" s="14" t="s">
        <v>9158</v>
      </c>
    </row>
    <row r="398" spans="1:17">
      <c r="A398" s="14">
        <v>93982</v>
      </c>
      <c r="B398" s="14" t="s">
        <v>0</v>
      </c>
      <c r="C398" s="14" t="s">
        <v>107</v>
      </c>
      <c r="D398" s="14" t="s">
        <v>16507</v>
      </c>
      <c r="E398" s="15" t="str">
        <f>HYPERLINK("https://stat100.ameba.jp/tnk47/ratio20/illustrations/card/ill_93982_kambiramia02.jpg?202012-i_prefecture_active_user", "■")</f>
        <v>■</v>
      </c>
      <c r="F398" s="14" t="s">
        <v>16506</v>
      </c>
      <c r="G398" s="14">
        <v>135906</v>
      </c>
      <c r="H398" s="14">
        <v>76472</v>
      </c>
      <c r="I398" s="14">
        <v>28</v>
      </c>
      <c r="J398" s="14" t="s">
        <v>104</v>
      </c>
      <c r="K398" s="14" t="s">
        <v>16505</v>
      </c>
      <c r="L398" s="14" t="s">
        <v>3502</v>
      </c>
      <c r="M398" s="14" t="s">
        <v>9158</v>
      </c>
      <c r="N398" s="14" t="s">
        <v>9158</v>
      </c>
      <c r="O398" s="14" t="s">
        <v>9158</v>
      </c>
      <c r="P398" s="14" t="s">
        <v>9158</v>
      </c>
      <c r="Q398" s="14" t="s">
        <v>9158</v>
      </c>
    </row>
    <row r="399" spans="1:17">
      <c r="A399" s="14">
        <v>93981</v>
      </c>
      <c r="B399" s="14" t="s">
        <v>0</v>
      </c>
      <c r="C399" s="14" t="s">
        <v>107</v>
      </c>
      <c r="D399" s="14" t="s">
        <v>16507</v>
      </c>
      <c r="E399" s="15" t="str">
        <f>HYPERLINK("https://stat100.ameba.jp/tnk47/ratio20/illustrations/card/ill_93981_kambiramia01.jpg?202012-i_prefecture_active_user", "■")</f>
        <v>■</v>
      </c>
      <c r="F399" s="14" t="s">
        <v>16506</v>
      </c>
      <c r="G399" s="14">
        <v>104272</v>
      </c>
      <c r="H399" s="14">
        <v>58688</v>
      </c>
      <c r="I399" s="14">
        <v>28</v>
      </c>
      <c r="J399" s="14" t="s">
        <v>104</v>
      </c>
      <c r="K399" s="14" t="s">
        <v>16505</v>
      </c>
      <c r="L399" s="14" t="s">
        <v>4443</v>
      </c>
      <c r="M399" s="14" t="s">
        <v>9158</v>
      </c>
      <c r="N399" s="14" t="s">
        <v>9158</v>
      </c>
      <c r="O399" s="14" t="s">
        <v>9158</v>
      </c>
      <c r="P399" s="14" t="s">
        <v>9158</v>
      </c>
      <c r="Q399" s="14" t="s">
        <v>9158</v>
      </c>
    </row>
    <row r="400" spans="1:17">
      <c r="A400" s="14">
        <v>93993</v>
      </c>
      <c r="B400" s="14" t="s">
        <v>0</v>
      </c>
      <c r="C400" s="14" t="s">
        <v>14</v>
      </c>
      <c r="D400" s="14" t="s">
        <v>16510</v>
      </c>
      <c r="E400" s="15" t="str">
        <f>HYPERLINK("https://stat100.ameba.jp/tnk47/ratio20/illustrations/card/ill_93993_shiryotanteizarakku03.jpg?202012-i_prefecture_active_user", "■")</f>
        <v>■</v>
      </c>
      <c r="F400" s="14" t="s">
        <v>16509</v>
      </c>
      <c r="G400" s="14">
        <v>135038</v>
      </c>
      <c r="H400" s="14">
        <v>75984</v>
      </c>
      <c r="I400" s="14">
        <v>28</v>
      </c>
      <c r="J400" s="14" t="s">
        <v>73</v>
      </c>
      <c r="K400" s="14" t="s">
        <v>16508</v>
      </c>
      <c r="L400" s="14" t="s">
        <v>12211</v>
      </c>
      <c r="M400" s="14" t="s">
        <v>9158</v>
      </c>
      <c r="N400" s="14" t="s">
        <v>9158</v>
      </c>
      <c r="O400" s="14" t="s">
        <v>9158</v>
      </c>
      <c r="P400" s="14" t="s">
        <v>9158</v>
      </c>
      <c r="Q400" s="14" t="s">
        <v>9158</v>
      </c>
    </row>
    <row r="401" spans="1:19">
      <c r="A401" s="14">
        <v>93992</v>
      </c>
      <c r="B401" s="14" t="s">
        <v>0</v>
      </c>
      <c r="C401" s="14" t="s">
        <v>14</v>
      </c>
      <c r="D401" s="14" t="s">
        <v>16510</v>
      </c>
      <c r="E401" s="15" t="str">
        <f>HYPERLINK("https://stat100.ameba.jp/tnk47/ratio20/illustrations/card/ill_93992_shiryotanteizarakku02.jpg?202012-i_prefecture_active_user", "■")</f>
        <v>■</v>
      </c>
      <c r="F401" s="14" t="s">
        <v>16509</v>
      </c>
      <c r="G401" s="14">
        <v>112392</v>
      </c>
      <c r="H401" s="14">
        <v>63240</v>
      </c>
      <c r="I401" s="14">
        <v>28</v>
      </c>
      <c r="J401" s="14" t="s">
        <v>73</v>
      </c>
      <c r="K401" s="14" t="s">
        <v>16508</v>
      </c>
      <c r="L401" s="14" t="s">
        <v>14332</v>
      </c>
      <c r="M401" s="14" t="s">
        <v>9158</v>
      </c>
      <c r="N401" s="14" t="s">
        <v>9158</v>
      </c>
      <c r="O401" s="14" t="s">
        <v>9158</v>
      </c>
      <c r="P401" s="14" t="s">
        <v>9158</v>
      </c>
      <c r="Q401" s="14" t="s">
        <v>9158</v>
      </c>
    </row>
    <row r="402" spans="1:19">
      <c r="A402" s="14">
        <v>93991</v>
      </c>
      <c r="B402" s="14" t="s">
        <v>0</v>
      </c>
      <c r="C402" s="14" t="s">
        <v>14</v>
      </c>
      <c r="D402" s="14" t="s">
        <v>16510</v>
      </c>
      <c r="E402" s="15" t="str">
        <f>HYPERLINK("https://stat100.ameba.jp/tnk47/ratio20/illustrations/card/ill_93991_shiryotanteizarakku01.jpg?202012-i_prefecture_active_user", "■")</f>
        <v>■</v>
      </c>
      <c r="F402" s="14" t="s">
        <v>16509</v>
      </c>
      <c r="G402" s="14">
        <v>86240</v>
      </c>
      <c r="H402" s="14">
        <v>48524</v>
      </c>
      <c r="I402" s="14">
        <v>28</v>
      </c>
      <c r="J402" s="14" t="s">
        <v>73</v>
      </c>
      <c r="K402" s="14" t="s">
        <v>16508</v>
      </c>
      <c r="L402" s="14" t="s">
        <v>4348</v>
      </c>
      <c r="M402" s="14" t="s">
        <v>9158</v>
      </c>
      <c r="N402" s="14" t="s">
        <v>9158</v>
      </c>
      <c r="O402" s="14" t="s">
        <v>9158</v>
      </c>
      <c r="P402" s="14" t="s">
        <v>9158</v>
      </c>
      <c r="Q402" s="14" t="s">
        <v>9158</v>
      </c>
    </row>
    <row r="404" spans="1:19">
      <c r="A404" s="14" t="s">
        <v>4012</v>
      </c>
    </row>
    <row r="405" spans="1:19">
      <c r="A405" s="14">
        <v>235277</v>
      </c>
      <c r="B405" s="14" t="s">
        <v>16504</v>
      </c>
    </row>
    <row r="406" spans="1:19">
      <c r="A406" s="14" t="s">
        <v>5603</v>
      </c>
      <c r="B406" s="14" t="s">
        <v>330</v>
      </c>
      <c r="C406" s="14" t="s">
        <v>205</v>
      </c>
      <c r="D406" s="20" t="s">
        <v>611</v>
      </c>
      <c r="E406" s="15" t="str">
        <f>HYPERLINK("https://stat100.ameba.jp/tnk47/ratio20/illustrations/card/ill_61893_0_onikirishumiyamotomusashi03.jpg?202012-i_prefecture_active_user", "■")</f>
        <v>■</v>
      </c>
      <c r="F406" s="14" t="s">
        <v>612</v>
      </c>
      <c r="G406" s="14">
        <v>252030</v>
      </c>
      <c r="H406" s="14">
        <v>234350</v>
      </c>
      <c r="I406" s="14">
        <v>27</v>
      </c>
      <c r="J406" s="14" t="s">
        <v>310</v>
      </c>
      <c r="K406" s="14" t="s">
        <v>613</v>
      </c>
      <c r="L406" s="14" t="s">
        <v>312</v>
      </c>
      <c r="M406" s="14" t="s">
        <v>9158</v>
      </c>
      <c r="N406" s="14" t="s">
        <v>9158</v>
      </c>
      <c r="O406" s="19" t="s">
        <v>10071</v>
      </c>
      <c r="P406" s="14" t="s">
        <v>3253</v>
      </c>
      <c r="Q406" s="14">
        <v>1</v>
      </c>
    </row>
    <row r="407" spans="1:19">
      <c r="A407" s="14" t="s">
        <v>5617</v>
      </c>
      <c r="B407" s="14" t="s">
        <v>330</v>
      </c>
      <c r="C407" s="14" t="s">
        <v>308</v>
      </c>
      <c r="D407" s="19" t="s">
        <v>385</v>
      </c>
      <c r="E407" s="15" t="str">
        <f>HYPERLINK("https://stat100.ameba.jp/tnk47/ratio20/illustrations/card/ill_59673_0_oheyashutendoji03.jpg?202012-i_prefecture_active_user", "■")</f>
        <v>■</v>
      </c>
      <c r="F407" s="14" t="s">
        <v>386</v>
      </c>
      <c r="G407" s="14">
        <v>189983</v>
      </c>
      <c r="H407" s="14">
        <v>204345</v>
      </c>
      <c r="I407" s="14">
        <v>27</v>
      </c>
      <c r="J407" s="14" t="s">
        <v>320</v>
      </c>
      <c r="K407" s="14" t="s">
        <v>387</v>
      </c>
      <c r="L407" s="14" t="s">
        <v>388</v>
      </c>
      <c r="M407" s="14" t="s">
        <v>9158</v>
      </c>
      <c r="N407" s="14" t="s">
        <v>9158</v>
      </c>
      <c r="O407" s="19" t="s">
        <v>10078</v>
      </c>
      <c r="P407" s="14" t="s">
        <v>3022</v>
      </c>
      <c r="Q407" s="14">
        <v>1</v>
      </c>
    </row>
    <row r="408" spans="1:19">
      <c r="A408" s="14" t="s">
        <v>5830</v>
      </c>
      <c r="B408" s="14" t="s">
        <v>330</v>
      </c>
      <c r="C408" s="14" t="s">
        <v>191</v>
      </c>
      <c r="D408" s="19" t="s">
        <v>793</v>
      </c>
      <c r="E408" s="15" t="str">
        <f>HYPERLINK("https://stat100.ameba.jp/tnk47/ratio20/illustrations/card/ill_39933_0_reihiiinaotora03.jpg?202012-i_prefecture_active_user", "■")</f>
        <v>■</v>
      </c>
      <c r="F408" s="14" t="s">
        <v>794</v>
      </c>
      <c r="G408" s="14">
        <v>147980</v>
      </c>
      <c r="H408" s="14">
        <v>158004</v>
      </c>
      <c r="I408" s="14">
        <v>27</v>
      </c>
      <c r="J408" s="14" t="s">
        <v>315</v>
      </c>
      <c r="K408" s="14" t="s">
        <v>795</v>
      </c>
      <c r="L408" s="14" t="s">
        <v>796</v>
      </c>
      <c r="M408" s="14" t="s">
        <v>9158</v>
      </c>
      <c r="N408" s="14" t="s">
        <v>9158</v>
      </c>
      <c r="O408" s="14" t="s">
        <v>9158</v>
      </c>
      <c r="P408" s="14" t="s">
        <v>9158</v>
      </c>
      <c r="Q408" s="14" t="s">
        <v>9158</v>
      </c>
    </row>
    <row r="409" spans="1:19">
      <c r="A409" s="14">
        <v>86123</v>
      </c>
      <c r="B409" s="14" t="s">
        <v>0</v>
      </c>
      <c r="C409" s="14" t="s">
        <v>35</v>
      </c>
      <c r="D409" s="14" t="s">
        <v>16513</v>
      </c>
      <c r="E409" s="15" t="str">
        <f>HYPERLINK("https://stat100.ameba.jp/tnk47/ratio20/illustrations/card/ill_86123_hagoitataisenoginoginko03.jpg?202012-i_prefecture_active_user", "■")</f>
        <v>■</v>
      </c>
      <c r="F409" s="14" t="s">
        <v>16512</v>
      </c>
      <c r="G409" s="14">
        <v>114576</v>
      </c>
      <c r="H409" s="14">
        <v>106592</v>
      </c>
      <c r="I409" s="14">
        <v>27</v>
      </c>
      <c r="J409" s="14" t="s">
        <v>16</v>
      </c>
      <c r="K409" s="14" t="s">
        <v>16511</v>
      </c>
      <c r="L409" s="14" t="s">
        <v>7794</v>
      </c>
      <c r="M409" s="14" t="s">
        <v>9158</v>
      </c>
      <c r="N409" s="14" t="s">
        <v>9158</v>
      </c>
      <c r="O409" s="14" t="s">
        <v>9158</v>
      </c>
      <c r="P409" s="14" t="s">
        <v>9158</v>
      </c>
      <c r="Q409" s="14" t="s">
        <v>9158</v>
      </c>
      <c r="S409" s="14" t="s">
        <v>16230</v>
      </c>
    </row>
    <row r="410" spans="1:19">
      <c r="A410" s="14">
        <v>85163</v>
      </c>
      <c r="B410" s="14" t="s">
        <v>0</v>
      </c>
      <c r="C410" s="14" t="s">
        <v>41</v>
      </c>
      <c r="D410" s="14" t="s">
        <v>16517</v>
      </c>
      <c r="E410" s="15" t="str">
        <f>HYPERLINK("https://stat100.ameba.jp/tnk47/ratio20/illustrations/card/ill_85163_kimononohichojugiga03.jpg?202012-i_prefecture_active_user", "■")</f>
        <v>■</v>
      </c>
      <c r="F410" s="14" t="s">
        <v>16516</v>
      </c>
      <c r="G410" s="14">
        <v>98019</v>
      </c>
      <c r="H410" s="14">
        <v>105465</v>
      </c>
      <c r="I410" s="14">
        <v>27</v>
      </c>
      <c r="J410" s="14" t="s">
        <v>38</v>
      </c>
      <c r="K410" s="14" t="s">
        <v>16515</v>
      </c>
      <c r="L410" s="14" t="s">
        <v>16514</v>
      </c>
      <c r="M410" s="14" t="s">
        <v>9158</v>
      </c>
      <c r="N410" s="14" t="s">
        <v>9158</v>
      </c>
      <c r="O410" s="14" t="s">
        <v>9158</v>
      </c>
      <c r="P410" s="14" t="s">
        <v>9158</v>
      </c>
      <c r="Q410" s="14" t="s">
        <v>9158</v>
      </c>
      <c r="S410" s="14" t="s">
        <v>16531</v>
      </c>
    </row>
    <row r="411" spans="1:19">
      <c r="A411" s="14">
        <v>85893</v>
      </c>
      <c r="B411" s="14" t="s">
        <v>0</v>
      </c>
      <c r="C411" s="14" t="s">
        <v>47</v>
      </c>
      <c r="D411" s="14" t="s">
        <v>16520</v>
      </c>
      <c r="E411" s="15" t="str">
        <f>HYPERLINK("https://stat100.ameba.jp/tnk47/ratio20/illustrations/card/ill_85893_toshikoshishojo03.jpg?202012-i_prefecture_active_user", "■")</f>
        <v>■</v>
      </c>
      <c r="F411" s="14" t="s">
        <v>16519</v>
      </c>
      <c r="G411" s="14">
        <v>109481</v>
      </c>
      <c r="H411" s="14">
        <v>101837</v>
      </c>
      <c r="I411" s="14">
        <v>27</v>
      </c>
      <c r="J411" s="14" t="s">
        <v>73</v>
      </c>
      <c r="K411" s="14" t="s">
        <v>16518</v>
      </c>
      <c r="L411" s="14" t="s">
        <v>13101</v>
      </c>
      <c r="M411" s="14" t="s">
        <v>9158</v>
      </c>
      <c r="N411" s="14" t="s">
        <v>9158</v>
      </c>
      <c r="O411" s="14" t="s">
        <v>9158</v>
      </c>
      <c r="P411" s="14" t="s">
        <v>9158</v>
      </c>
      <c r="Q411" s="14" t="s">
        <v>9158</v>
      </c>
      <c r="S411" s="14" t="s">
        <v>16235</v>
      </c>
    </row>
    <row r="412" spans="1:19">
      <c r="A412" s="14">
        <v>83703</v>
      </c>
      <c r="B412" s="14" t="s">
        <v>15</v>
      </c>
      <c r="C412" s="14" t="s">
        <v>23</v>
      </c>
      <c r="D412" s="14" t="s">
        <v>16523</v>
      </c>
      <c r="E412" s="15" t="str">
        <f>HYPERLINK("https://stat100.ameba.jp/tnk47/ratio20/illustrations/card/ill_83703_susukichan03.jpg?202012-i_prefecture_active_user", "■")</f>
        <v>■</v>
      </c>
      <c r="F412" s="14" t="s">
        <v>16522</v>
      </c>
      <c r="G412" s="14">
        <v>71136</v>
      </c>
      <c r="H412" s="14">
        <v>64520</v>
      </c>
      <c r="I412" s="14">
        <v>24</v>
      </c>
      <c r="J412" s="14" t="s">
        <v>26</v>
      </c>
      <c r="K412" s="14" t="s">
        <v>16521</v>
      </c>
      <c r="L412" s="14" t="s">
        <v>924</v>
      </c>
      <c r="M412" s="14" t="s">
        <v>9158</v>
      </c>
      <c r="N412" s="14" t="s">
        <v>9158</v>
      </c>
      <c r="O412" s="14" t="s">
        <v>9158</v>
      </c>
      <c r="P412" s="14" t="s">
        <v>9158</v>
      </c>
      <c r="Q412" s="14" t="s">
        <v>9158</v>
      </c>
      <c r="S412" s="14" t="s">
        <v>14314</v>
      </c>
    </row>
    <row r="413" spans="1:19">
      <c r="A413" s="14">
        <v>85293</v>
      </c>
      <c r="B413" s="14" t="s">
        <v>15</v>
      </c>
      <c r="C413" s="14" t="s">
        <v>107</v>
      </c>
      <c r="D413" s="14" t="s">
        <v>16526</v>
      </c>
      <c r="E413" s="15" t="str">
        <f>HYPERLINK("https://stat100.ameba.jp/tnk47/ratio20/illustrations/card/ill_85293_okinawasobachan03.jpg?202012-i_prefecture_active_user", "■")</f>
        <v>■</v>
      </c>
      <c r="F413" s="14" t="s">
        <v>16525</v>
      </c>
      <c r="G413" s="14">
        <v>64520</v>
      </c>
      <c r="H413" s="14">
        <v>71136</v>
      </c>
      <c r="I413" s="14">
        <v>24</v>
      </c>
      <c r="J413" s="14" t="s">
        <v>104</v>
      </c>
      <c r="K413" s="14" t="s">
        <v>16524</v>
      </c>
      <c r="L413" s="14" t="s">
        <v>5225</v>
      </c>
      <c r="M413" s="14" t="s">
        <v>9158</v>
      </c>
      <c r="N413" s="14" t="s">
        <v>9158</v>
      </c>
      <c r="O413" s="14" t="s">
        <v>9158</v>
      </c>
      <c r="P413" s="14" t="s">
        <v>9158</v>
      </c>
      <c r="Q413" s="14" t="s">
        <v>9158</v>
      </c>
      <c r="S413" s="14" t="s">
        <v>15296</v>
      </c>
    </row>
    <row r="414" spans="1:19">
      <c r="A414" s="14">
        <v>83423</v>
      </c>
      <c r="B414" s="14" t="s">
        <v>15</v>
      </c>
      <c r="C414" s="14" t="s">
        <v>14</v>
      </c>
      <c r="D414" s="14" t="s">
        <v>16530</v>
      </c>
      <c r="E414" s="15" t="str">
        <f>HYPERLINK("https://stat100.ameba.jp/tnk47/ratio20/illustrations/card/ill_83423_onikirishunakanotakeko03.jpg?202012-i_prefecture_active_user", "■")</f>
        <v>■</v>
      </c>
      <c r="F414" s="14" t="s">
        <v>16529</v>
      </c>
      <c r="G414" s="14">
        <v>64520</v>
      </c>
      <c r="H414" s="14">
        <v>71136</v>
      </c>
      <c r="I414" s="14">
        <v>24</v>
      </c>
      <c r="J414" s="14" t="s">
        <v>143</v>
      </c>
      <c r="K414" s="14" t="s">
        <v>16528</v>
      </c>
      <c r="L414" s="14" t="s">
        <v>16527</v>
      </c>
      <c r="M414" s="14" t="s">
        <v>9158</v>
      </c>
      <c r="N414" s="14" t="s">
        <v>9158</v>
      </c>
      <c r="O414" s="14" t="s">
        <v>9158</v>
      </c>
      <c r="P414" s="14" t="s">
        <v>9158</v>
      </c>
      <c r="Q414" s="14" t="s">
        <v>9158</v>
      </c>
      <c r="S414" s="14" t="s">
        <v>16532</v>
      </c>
    </row>
    <row r="416" spans="1:19">
      <c r="A416" s="14" t="s">
        <v>4076</v>
      </c>
    </row>
    <row r="417" spans="1:17">
      <c r="A417" s="14">
        <v>235296</v>
      </c>
      <c r="B417" s="14" t="s">
        <v>1919</v>
      </c>
    </row>
    <row r="418" spans="1:17">
      <c r="A418" s="14" t="s">
        <v>5618</v>
      </c>
      <c r="B418" s="14" t="s">
        <v>52</v>
      </c>
      <c r="C418" s="14" t="s">
        <v>23</v>
      </c>
      <c r="D418" s="19" t="s">
        <v>665</v>
      </c>
      <c r="E418" s="15" t="str">
        <f>HYPERLINK("https://stat100.ameba.jp/tnk47/ratio20/illustrations/card/ill_63173_0_minazukikonakaiteruko03.jpg?202012-i_prefecture_active_user", "■")</f>
        <v>■</v>
      </c>
      <c r="F418" s="14" t="s">
        <v>1188</v>
      </c>
      <c r="G418" s="14">
        <v>173592</v>
      </c>
      <c r="H418" s="14">
        <v>186688</v>
      </c>
      <c r="I418" s="14">
        <v>20</v>
      </c>
      <c r="J418" s="14" t="s">
        <v>143</v>
      </c>
      <c r="K418" s="14" t="s">
        <v>1189</v>
      </c>
      <c r="L418" s="14" t="s">
        <v>1190</v>
      </c>
      <c r="M418" s="14" t="s">
        <v>9158</v>
      </c>
      <c r="N418" s="14" t="s">
        <v>9158</v>
      </c>
      <c r="O418" s="19" t="s">
        <v>10079</v>
      </c>
      <c r="P418" s="14" t="s">
        <v>3329</v>
      </c>
      <c r="Q418" s="14">
        <v>1</v>
      </c>
    </row>
    <row r="419" spans="1:17">
      <c r="A419" s="14">
        <v>94003</v>
      </c>
      <c r="B419" s="14" t="s">
        <v>0</v>
      </c>
      <c r="C419" s="14" t="s">
        <v>1</v>
      </c>
      <c r="D419" s="14" t="s">
        <v>16496</v>
      </c>
      <c r="E419" s="15" t="str">
        <f>HYPERLINK("https://stat100.ameba.jp/tnk47/ratio20/illustrations/card/ill_94003_nataku03.jpg?202012-i_prefecture_active_user", "■")</f>
        <v>■</v>
      </c>
      <c r="F419" s="14" t="s">
        <v>16495</v>
      </c>
      <c r="G419" s="14">
        <v>78908</v>
      </c>
      <c r="H419" s="14">
        <v>140238</v>
      </c>
      <c r="I419" s="14">
        <v>28</v>
      </c>
      <c r="J419" s="14" t="s">
        <v>38</v>
      </c>
      <c r="K419" s="14" t="s">
        <v>16494</v>
      </c>
      <c r="L419" s="14" t="s">
        <v>12136</v>
      </c>
      <c r="M419" s="14" t="s">
        <v>9158</v>
      </c>
      <c r="N419" s="14" t="s">
        <v>9158</v>
      </c>
      <c r="O419" s="14" t="s">
        <v>9158</v>
      </c>
      <c r="P419" s="14" t="s">
        <v>9158</v>
      </c>
      <c r="Q419" s="14" t="s">
        <v>9158</v>
      </c>
    </row>
    <row r="420" spans="1:17">
      <c r="A420" s="14">
        <v>94002</v>
      </c>
      <c r="B420" s="14" t="s">
        <v>0</v>
      </c>
      <c r="C420" s="14" t="s">
        <v>1</v>
      </c>
      <c r="D420" s="14" t="s">
        <v>16496</v>
      </c>
      <c r="E420" s="15" t="str">
        <f>HYPERLINK("https://stat100.ameba.jp/tnk47/ratio20/illustrations/card/ill_94002_nataku02.jpg?202012-i_prefecture_active_user", "■")</f>
        <v>■</v>
      </c>
      <c r="F420" s="14" t="s">
        <v>16495</v>
      </c>
      <c r="G420" s="14">
        <v>65688</v>
      </c>
      <c r="H420" s="14">
        <v>116692</v>
      </c>
      <c r="I420" s="14">
        <v>28</v>
      </c>
      <c r="J420" s="14" t="s">
        <v>38</v>
      </c>
      <c r="K420" s="14" t="s">
        <v>16494</v>
      </c>
      <c r="L420" s="14" t="s">
        <v>16497</v>
      </c>
      <c r="M420" s="14" t="s">
        <v>9158</v>
      </c>
      <c r="N420" s="14" t="s">
        <v>9158</v>
      </c>
      <c r="O420" s="14" t="s">
        <v>9158</v>
      </c>
      <c r="P420" s="14" t="s">
        <v>9158</v>
      </c>
      <c r="Q420" s="14" t="s">
        <v>9158</v>
      </c>
    </row>
    <row r="421" spans="1:17">
      <c r="A421" s="14">
        <v>94001</v>
      </c>
      <c r="B421" s="14" t="s">
        <v>0</v>
      </c>
      <c r="C421" s="14" t="s">
        <v>1</v>
      </c>
      <c r="D421" s="14" t="s">
        <v>16496</v>
      </c>
      <c r="E421" s="15" t="str">
        <f>HYPERLINK("https://stat100.ameba.jp/tnk47/ratio20/illustrations/card/ill_94001_nataku01.jpg?202012-i_prefecture_active_user", "■")</f>
        <v>■</v>
      </c>
      <c r="F421" s="14" t="s">
        <v>16495</v>
      </c>
      <c r="G421" s="14">
        <v>50400</v>
      </c>
      <c r="H421" s="14">
        <v>89544</v>
      </c>
      <c r="I421" s="14">
        <v>28</v>
      </c>
      <c r="J421" s="14" t="s">
        <v>38</v>
      </c>
      <c r="K421" s="14" t="s">
        <v>16494</v>
      </c>
      <c r="L421" s="14" t="s">
        <v>16498</v>
      </c>
      <c r="M421" s="14" t="s">
        <v>9158</v>
      </c>
      <c r="N421" s="14" t="s">
        <v>9158</v>
      </c>
      <c r="O421" s="14" t="s">
        <v>9158</v>
      </c>
      <c r="P421" s="14" t="s">
        <v>9158</v>
      </c>
      <c r="Q421" s="14" t="s">
        <v>9158</v>
      </c>
    </row>
    <row r="422" spans="1:17">
      <c r="A422" s="14">
        <v>94013</v>
      </c>
      <c r="B422" s="14" t="s">
        <v>0</v>
      </c>
      <c r="C422" s="14" t="s">
        <v>96</v>
      </c>
      <c r="D422" s="14" t="s">
        <v>16501</v>
      </c>
      <c r="E422" s="15" t="str">
        <f>HYPERLINK("https://stat100.ameba.jp/tnk47/ratio20/illustrations/card/ill_94013_fuantazumu03.jpg?202012-i_prefecture_active_user", "■")</f>
        <v>■</v>
      </c>
      <c r="F422" s="14" t="s">
        <v>16500</v>
      </c>
      <c r="G422" s="14">
        <v>75984</v>
      </c>
      <c r="H422" s="14">
        <v>135038</v>
      </c>
      <c r="I422" s="14">
        <v>28</v>
      </c>
      <c r="J422" s="14" t="s">
        <v>77</v>
      </c>
      <c r="K422" s="14" t="s">
        <v>16499</v>
      </c>
      <c r="L422" s="14" t="s">
        <v>12139</v>
      </c>
      <c r="M422" s="14" t="s">
        <v>9158</v>
      </c>
      <c r="N422" s="14" t="s">
        <v>9158</v>
      </c>
      <c r="O422" s="14" t="s">
        <v>9158</v>
      </c>
      <c r="P422" s="14" t="s">
        <v>9158</v>
      </c>
      <c r="Q422" s="14" t="s">
        <v>9158</v>
      </c>
    </row>
    <row r="423" spans="1:17">
      <c r="A423" s="14">
        <v>94012</v>
      </c>
      <c r="B423" s="14" t="s">
        <v>0</v>
      </c>
      <c r="C423" s="14" t="s">
        <v>96</v>
      </c>
      <c r="D423" s="14" t="s">
        <v>16501</v>
      </c>
      <c r="E423" s="15" t="str">
        <f>HYPERLINK("https://stat100.ameba.jp/tnk47/ratio20/illustrations/card/ill_94012_fuantazumu02.jpg?202012-i_prefecture_active_user", "■")</f>
        <v>■</v>
      </c>
      <c r="F423" s="14" t="s">
        <v>16500</v>
      </c>
      <c r="G423" s="14">
        <v>63240</v>
      </c>
      <c r="H423" s="14">
        <v>112392</v>
      </c>
      <c r="I423" s="14">
        <v>28</v>
      </c>
      <c r="J423" s="14" t="s">
        <v>77</v>
      </c>
      <c r="K423" s="14" t="s">
        <v>16499</v>
      </c>
      <c r="L423" s="14" t="s">
        <v>16072</v>
      </c>
      <c r="M423" s="14" t="s">
        <v>9158</v>
      </c>
      <c r="N423" s="14" t="s">
        <v>9158</v>
      </c>
      <c r="O423" s="14" t="s">
        <v>9158</v>
      </c>
      <c r="P423" s="14" t="s">
        <v>9158</v>
      </c>
      <c r="Q423" s="14" t="s">
        <v>9158</v>
      </c>
    </row>
    <row r="424" spans="1:17">
      <c r="A424" s="14">
        <v>94011</v>
      </c>
      <c r="B424" s="14" t="s">
        <v>0</v>
      </c>
      <c r="C424" s="14" t="s">
        <v>96</v>
      </c>
      <c r="D424" s="14" t="s">
        <v>16501</v>
      </c>
      <c r="E424" s="15" t="str">
        <f>HYPERLINK("https://stat100.ameba.jp/tnk47/ratio20/illustrations/card/ill_94011_fuantazumu01.jpg?202012-i_prefecture_active_user", "■")</f>
        <v>■</v>
      </c>
      <c r="F424" s="14" t="s">
        <v>16500</v>
      </c>
      <c r="G424" s="14">
        <v>48524</v>
      </c>
      <c r="H424" s="14">
        <v>86240</v>
      </c>
      <c r="I424" s="14">
        <v>28</v>
      </c>
      <c r="J424" s="14" t="s">
        <v>77</v>
      </c>
      <c r="K424" s="14" t="s">
        <v>16499</v>
      </c>
      <c r="L424" s="14" t="s">
        <v>16502</v>
      </c>
      <c r="M424" s="14" t="s">
        <v>9158</v>
      </c>
      <c r="N424" s="14" t="s">
        <v>9158</v>
      </c>
      <c r="O424" s="14" t="s">
        <v>9158</v>
      </c>
      <c r="P424" s="14" t="s">
        <v>9158</v>
      </c>
      <c r="Q424" s="14" t="s">
        <v>9158</v>
      </c>
    </row>
    <row r="426" spans="1:17">
      <c r="A426" s="14" t="s">
        <v>8239</v>
      </c>
    </row>
    <row r="427" spans="1:17">
      <c r="A427" s="14">
        <v>235398</v>
      </c>
      <c r="B427" s="14" t="s">
        <v>16489</v>
      </c>
    </row>
    <row r="428" spans="1:17">
      <c r="A428" s="14">
        <v>235434</v>
      </c>
      <c r="B428" s="14" t="s">
        <v>18549</v>
      </c>
    </row>
    <row r="429" spans="1:17">
      <c r="A429" s="14" t="s">
        <v>16493</v>
      </c>
      <c r="B429" s="14" t="s">
        <v>117</v>
      </c>
      <c r="C429" s="14" t="s">
        <v>35</v>
      </c>
      <c r="D429" s="14" t="s">
        <v>16454</v>
      </c>
      <c r="E429" s="15" t="str">
        <f>HYPERLINK("https://stat100.ameba.jp/tnk47/ratio20/illustrations/card/ill_94133_0_tenkuromeikendaishugo03.jpg?202012-i_prefecture_active_user", "■")</f>
        <v>■</v>
      </c>
      <c r="F429" s="14" t="s">
        <v>16492</v>
      </c>
      <c r="G429" s="14">
        <v>421576</v>
      </c>
      <c r="H429" s="14">
        <v>466453</v>
      </c>
      <c r="I429" s="14">
        <v>35</v>
      </c>
      <c r="J429" s="14" t="s">
        <v>44</v>
      </c>
      <c r="K429" s="14" t="s">
        <v>16491</v>
      </c>
      <c r="L429" s="14" t="s">
        <v>16490</v>
      </c>
      <c r="M429" s="14" t="s">
        <v>9158</v>
      </c>
      <c r="N429" s="14" t="s">
        <v>9158</v>
      </c>
      <c r="O429" s="14" t="s">
        <v>9158</v>
      </c>
      <c r="P429" s="14" t="s">
        <v>9158</v>
      </c>
      <c r="Q429" s="14" t="s">
        <v>9158</v>
      </c>
    </row>
    <row r="430" spans="1:17">
      <c r="A430" s="14" t="s">
        <v>14364</v>
      </c>
      <c r="B430" s="14" t="s">
        <v>117</v>
      </c>
      <c r="C430" s="14" t="s">
        <v>35</v>
      </c>
      <c r="D430" s="14" t="s">
        <v>14363</v>
      </c>
      <c r="E430" s="15" t="str">
        <f>HYPERLINK("https://stat100.ameba.jp/tnk47/ratio20/illustrations/card/ill_90843_0_tenkurokawanonushi03.jpg?202012-i_prefecture_active_user", "■")</f>
        <v>■</v>
      </c>
      <c r="F430" s="14" t="s">
        <v>14362</v>
      </c>
      <c r="G430" s="14">
        <v>464097</v>
      </c>
      <c r="H430" s="14">
        <v>419443</v>
      </c>
      <c r="I430" s="14">
        <v>35</v>
      </c>
      <c r="J430" s="14" t="s">
        <v>26</v>
      </c>
      <c r="K430" s="14" t="s">
        <v>14361</v>
      </c>
      <c r="L430" s="14" t="s">
        <v>14360</v>
      </c>
      <c r="M430" s="14" t="s">
        <v>9158</v>
      </c>
      <c r="N430" s="14" t="s">
        <v>9158</v>
      </c>
      <c r="O430" s="14" t="s">
        <v>9158</v>
      </c>
      <c r="P430" s="14" t="s">
        <v>9158</v>
      </c>
      <c r="Q430" s="14" t="s">
        <v>9158</v>
      </c>
    </row>
    <row r="431" spans="1:17">
      <c r="A431" s="14" t="s">
        <v>14383</v>
      </c>
      <c r="B431" s="14" t="s">
        <v>117</v>
      </c>
      <c r="C431" s="14" t="s">
        <v>35</v>
      </c>
      <c r="D431" s="14" t="s">
        <v>14382</v>
      </c>
      <c r="E431" s="15" t="str">
        <f>HYPERLINK("https://stat100.ameba.jp/tnk47/ratio20/illustrations/card/ill_91533_0_tenkuronatsuironotome03.jpg?202012-i_prefecture_active_user", "■")</f>
        <v>■</v>
      </c>
      <c r="F431" s="14" t="s">
        <v>14381</v>
      </c>
      <c r="G431" s="14">
        <v>420154</v>
      </c>
      <c r="H431" s="14">
        <v>464851</v>
      </c>
      <c r="I431" s="14">
        <v>35</v>
      </c>
      <c r="J431" s="14" t="s">
        <v>104</v>
      </c>
      <c r="K431" s="14" t="s">
        <v>14380</v>
      </c>
      <c r="L431" s="14" t="s">
        <v>14379</v>
      </c>
      <c r="M431" s="14" t="s">
        <v>9158</v>
      </c>
      <c r="N431" s="14" t="s">
        <v>9158</v>
      </c>
      <c r="O431" s="14" t="s">
        <v>9158</v>
      </c>
      <c r="P431" s="14" t="s">
        <v>9158</v>
      </c>
      <c r="Q431" s="14" t="s">
        <v>9158</v>
      </c>
    </row>
    <row r="432" spans="1:17">
      <c r="A432" s="14" t="s">
        <v>16503</v>
      </c>
      <c r="B432" s="14" t="s">
        <v>117</v>
      </c>
      <c r="C432" s="14" t="s">
        <v>35</v>
      </c>
      <c r="D432" s="14" t="s">
        <v>15418</v>
      </c>
      <c r="E432" s="15" t="str">
        <f>HYPERLINK("https://stat100.ameba.jp/tnk47/ratio20/illustrations/card/ill_92863_0_tenkuroshidenissen03.jpg?202012-i_prefecture_active_user", "■")</f>
        <v>■</v>
      </c>
      <c r="F432" s="14" t="s">
        <v>15417</v>
      </c>
      <c r="G432" s="14">
        <v>464851</v>
      </c>
      <c r="H432" s="14">
        <v>420154</v>
      </c>
      <c r="I432" s="14">
        <v>35</v>
      </c>
      <c r="J432" s="14" t="s">
        <v>143</v>
      </c>
      <c r="K432" s="14" t="s">
        <v>15415</v>
      </c>
      <c r="L432" s="14" t="s">
        <v>15414</v>
      </c>
      <c r="M432" s="14" t="s">
        <v>9158</v>
      </c>
      <c r="N432" s="14" t="s">
        <v>9158</v>
      </c>
      <c r="O432" s="14" t="s">
        <v>9158</v>
      </c>
      <c r="P432" s="14" t="s">
        <v>9158</v>
      </c>
      <c r="Q432" s="14" t="s">
        <v>9158</v>
      </c>
    </row>
    <row r="433" spans="1:17">
      <c r="A433" s="14" t="s">
        <v>5787</v>
      </c>
      <c r="B433" s="14" t="s">
        <v>330</v>
      </c>
      <c r="C433" s="14" t="s">
        <v>270</v>
      </c>
      <c r="D433" s="19" t="s">
        <v>331</v>
      </c>
      <c r="E433" s="15" t="str">
        <f>HYPERLINK("https://stat100.ameba.jp/tnk47/ratio20/illustrations/card/ill_76303_0_haroinkaguya03.jpg?202012-i_prefecture_active_user", "■")</f>
        <v>■</v>
      </c>
      <c r="F433" s="14" t="s">
        <v>332</v>
      </c>
      <c r="G433" s="14">
        <v>261812</v>
      </c>
      <c r="H433" s="14">
        <v>243398</v>
      </c>
      <c r="I433" s="14">
        <v>22</v>
      </c>
      <c r="J433" s="14" t="s">
        <v>274</v>
      </c>
      <c r="K433" s="14" t="s">
        <v>333</v>
      </c>
      <c r="L433" s="14" t="s">
        <v>276</v>
      </c>
      <c r="M433" s="14" t="s">
        <v>9158</v>
      </c>
      <c r="N433" s="14" t="s">
        <v>9158</v>
      </c>
      <c r="O433" s="7" t="s">
        <v>2723</v>
      </c>
      <c r="P433" s="14" t="s">
        <v>2724</v>
      </c>
      <c r="Q433" s="14">
        <v>1</v>
      </c>
    </row>
    <row r="434" spans="1:17">
      <c r="A434" s="9">
        <v>77243</v>
      </c>
      <c r="B434" s="14" t="s">
        <v>334</v>
      </c>
      <c r="C434" s="14" t="s">
        <v>185</v>
      </c>
      <c r="D434" s="14" t="s">
        <v>3880</v>
      </c>
      <c r="E434" s="15" t="str">
        <f>HYPERLINK("https://stat100.ameba.jp/tnk47/ratio20/illustrations/card/ill_77243_seikimatsuniijimayae03.jpg?202012-i_prefecture_active_user", "■")</f>
        <v>■</v>
      </c>
      <c r="F434" s="14" t="s">
        <v>1436</v>
      </c>
      <c r="G434" s="14">
        <v>109370</v>
      </c>
      <c r="H434" s="14">
        <v>101650</v>
      </c>
      <c r="I434" s="9">
        <v>28</v>
      </c>
      <c r="J434" s="14" t="s">
        <v>351</v>
      </c>
      <c r="K434" s="14" t="s">
        <v>1437</v>
      </c>
      <c r="L434" s="14" t="s">
        <v>1438</v>
      </c>
      <c r="M434" s="14" t="s">
        <v>9158</v>
      </c>
      <c r="N434" s="14" t="s">
        <v>9158</v>
      </c>
      <c r="O434" s="14" t="s">
        <v>9158</v>
      </c>
      <c r="P434" s="14" t="s">
        <v>9158</v>
      </c>
      <c r="Q434" s="14" t="s">
        <v>9158</v>
      </c>
    </row>
    <row r="435" spans="1:17">
      <c r="A435" s="9">
        <v>80283</v>
      </c>
      <c r="B435" s="14" t="s">
        <v>0</v>
      </c>
      <c r="C435" s="14" t="s">
        <v>200</v>
      </c>
      <c r="D435" s="14" t="s">
        <v>3934</v>
      </c>
      <c r="E435" s="15" t="str">
        <f>HYPERLINK("https://stat100.ameba.jp/tnk47/ratio20/illustrations/card/ill_80283_howaitodehanakosan03.jpg?202012-i_prefecture_active_user", "■")</f>
        <v>■</v>
      </c>
      <c r="F435" s="14" t="s">
        <v>3935</v>
      </c>
      <c r="G435" s="14">
        <v>116662</v>
      </c>
      <c r="H435" s="14">
        <v>108494</v>
      </c>
      <c r="I435" s="9">
        <v>28</v>
      </c>
      <c r="J435" s="14" t="s">
        <v>73</v>
      </c>
      <c r="K435" s="14" t="s">
        <v>3936</v>
      </c>
      <c r="L435" s="14" t="s">
        <v>3937</v>
      </c>
      <c r="M435" s="14" t="s">
        <v>9158</v>
      </c>
      <c r="N435" s="14" t="s">
        <v>9158</v>
      </c>
      <c r="O435" s="14" t="s">
        <v>9158</v>
      </c>
      <c r="P435" s="14" t="s">
        <v>9158</v>
      </c>
      <c r="Q435" s="14" t="s">
        <v>9158</v>
      </c>
    </row>
    <row r="436" spans="1:17">
      <c r="A436" s="9">
        <v>87893</v>
      </c>
      <c r="B436" s="9" t="s">
        <v>0</v>
      </c>
      <c r="C436" s="9" t="s">
        <v>191</v>
      </c>
      <c r="D436" s="9" t="s">
        <v>11525</v>
      </c>
      <c r="E436" s="15" t="str">
        <f>HYPERLINK("https://stat100.ameba.jp/tnk47/ratio20/illustrations/card/ill_87893_ginyushijinoreiria03.jpg?202012-i_prefecture_active_user", "■")</f>
        <v>■</v>
      </c>
      <c r="F436" s="9" t="s">
        <v>11526</v>
      </c>
      <c r="G436" s="9">
        <v>114208</v>
      </c>
      <c r="H436" s="9">
        <v>106178</v>
      </c>
      <c r="I436" s="9">
        <v>28</v>
      </c>
      <c r="J436" s="9" t="s">
        <v>169</v>
      </c>
      <c r="K436" s="9" t="s">
        <v>11527</v>
      </c>
      <c r="L436" s="9" t="s">
        <v>13219</v>
      </c>
      <c r="M436" s="14" t="s">
        <v>9158</v>
      </c>
      <c r="N436" s="14" t="s">
        <v>9158</v>
      </c>
      <c r="O436" s="14" t="s">
        <v>9158</v>
      </c>
      <c r="P436" s="14" t="s">
        <v>9158</v>
      </c>
      <c r="Q436" s="14" t="s">
        <v>9158</v>
      </c>
    </row>
    <row r="437" spans="1:17">
      <c r="A437" s="9">
        <v>87833</v>
      </c>
      <c r="B437" s="9" t="s">
        <v>0</v>
      </c>
      <c r="C437" s="9" t="s">
        <v>165</v>
      </c>
      <c r="D437" s="9" t="s">
        <v>11592</v>
      </c>
      <c r="E437" s="15" t="str">
        <f>HYPERLINK("https://stat100.ameba.jp/tnk47/ratio20/illustrations/card/ill_87833_howaitodepateishieru03.jpg?202012-i_prefecture_active_user", "■")</f>
        <v>■</v>
      </c>
      <c r="F437" s="9" t="s">
        <v>11593</v>
      </c>
      <c r="G437" s="9">
        <v>166452</v>
      </c>
      <c r="H437" s="9">
        <v>154768</v>
      </c>
      <c r="I437" s="9">
        <v>28</v>
      </c>
      <c r="J437" s="9" t="s">
        <v>216</v>
      </c>
      <c r="K437" s="9" t="s">
        <v>11594</v>
      </c>
      <c r="L437" s="9" t="s">
        <v>13230</v>
      </c>
      <c r="M437" s="14" t="s">
        <v>9158</v>
      </c>
      <c r="N437" s="14" t="s">
        <v>9158</v>
      </c>
      <c r="O437" s="14" t="s">
        <v>9158</v>
      </c>
      <c r="P437" s="14" t="s">
        <v>9158</v>
      </c>
      <c r="Q437" s="14" t="s">
        <v>9158</v>
      </c>
    </row>
    <row r="438" spans="1:17">
      <c r="A438" s="14">
        <v>83353</v>
      </c>
      <c r="B438" s="14" t="s">
        <v>0</v>
      </c>
      <c r="C438" s="14" t="s">
        <v>267</v>
      </c>
      <c r="D438" s="19" t="s">
        <v>10532</v>
      </c>
      <c r="E438" s="15" t="str">
        <f>HYPERLINK("https://stat100.ameba.jp/tnk47/ratio20/illustrations/card/ill_83353_kunoichikumanofudechan03.jpg?202012-i_prefecture_active_user", "■")</f>
        <v>■</v>
      </c>
      <c r="F438" s="14" t="s">
        <v>6475</v>
      </c>
      <c r="G438" s="14">
        <v>127556</v>
      </c>
      <c r="H438" s="14">
        <v>118598</v>
      </c>
      <c r="I438" s="7">
        <v>28</v>
      </c>
      <c r="J438" s="14" t="s">
        <v>229</v>
      </c>
      <c r="K438" s="14" t="s">
        <v>6474</v>
      </c>
      <c r="L438" s="14" t="s">
        <v>6473</v>
      </c>
      <c r="M438" s="14" t="s">
        <v>9158</v>
      </c>
      <c r="N438" s="14" t="s">
        <v>9158</v>
      </c>
      <c r="O438" s="14" t="s">
        <v>9158</v>
      </c>
      <c r="P438" s="14" t="s">
        <v>9158</v>
      </c>
      <c r="Q438" s="14" t="s">
        <v>9158</v>
      </c>
    </row>
    <row r="439" spans="1:17">
      <c r="A439" s="9">
        <v>77433</v>
      </c>
      <c r="B439" s="14" t="s">
        <v>334</v>
      </c>
      <c r="C439" s="14" t="s">
        <v>344</v>
      </c>
      <c r="D439" s="14" t="s">
        <v>1723</v>
      </c>
      <c r="E439" s="15" t="str">
        <f>HYPERLINK("https://stat100.ameba.jp/tnk47/ratio20/illustrations/card/ill_77433_yamagaruakinomurabotoni03.jpg?202012-i_prefecture_active_user", "■")</f>
        <v>■</v>
      </c>
      <c r="F439" s="14" t="s">
        <v>1724</v>
      </c>
      <c r="G439" s="14">
        <v>113536</v>
      </c>
      <c r="H439" s="14">
        <v>105610</v>
      </c>
      <c r="I439" s="7">
        <v>28</v>
      </c>
      <c r="J439" s="14" t="s">
        <v>414</v>
      </c>
      <c r="K439" s="14" t="s">
        <v>1665</v>
      </c>
      <c r="L439" s="14" t="s">
        <v>855</v>
      </c>
      <c r="M439" s="14" t="s">
        <v>9158</v>
      </c>
      <c r="N439" s="14" t="s">
        <v>9158</v>
      </c>
      <c r="O439" s="14" t="s">
        <v>9158</v>
      </c>
      <c r="P439" s="14" t="s">
        <v>9158</v>
      </c>
      <c r="Q439" s="14" t="s">
        <v>9158</v>
      </c>
    </row>
    <row r="441" spans="1:17">
      <c r="A441" s="14" t="s">
        <v>4065</v>
      </c>
    </row>
    <row r="442" spans="1:17">
      <c r="A442" s="14">
        <v>104884</v>
      </c>
      <c r="B442" s="14" t="s">
        <v>16564</v>
      </c>
    </row>
    <row r="443" spans="1:17">
      <c r="A443" s="14" t="s">
        <v>7789</v>
      </c>
      <c r="B443" s="14" t="s">
        <v>52</v>
      </c>
      <c r="C443" s="14" t="s">
        <v>202</v>
      </c>
      <c r="D443" s="19" t="s">
        <v>10741</v>
      </c>
      <c r="E443" s="15" t="str">
        <f>HYPERLINK("https://stat100.ameba.jp/tnk47/ratio20/illustrations/card/ill_84923_0_onsengainansosatomihakkenden03.jpg?202012-i_prefecture_active_user", "■")</f>
        <v>■</v>
      </c>
      <c r="F443" s="14" t="s">
        <v>7792</v>
      </c>
      <c r="G443" s="14">
        <v>300364</v>
      </c>
      <c r="H443" s="14">
        <v>332328</v>
      </c>
      <c r="I443" s="14">
        <v>26</v>
      </c>
      <c r="J443" s="14" t="s">
        <v>155</v>
      </c>
      <c r="K443" s="14" t="s">
        <v>7791</v>
      </c>
      <c r="L443" s="14" t="s">
        <v>7790</v>
      </c>
      <c r="M443" s="14" t="s">
        <v>9158</v>
      </c>
      <c r="N443" s="14" t="s">
        <v>9158</v>
      </c>
      <c r="O443" s="19" t="s">
        <v>10131</v>
      </c>
      <c r="P443" s="14" t="s">
        <v>7793</v>
      </c>
      <c r="Q443" s="14">
        <v>0</v>
      </c>
    </row>
    <row r="444" spans="1:17">
      <c r="A444" s="7">
        <v>85053</v>
      </c>
      <c r="B444" s="7" t="s">
        <v>0</v>
      </c>
      <c r="C444" s="7" t="s">
        <v>158</v>
      </c>
      <c r="D444" s="19" t="s">
        <v>10768</v>
      </c>
      <c r="E444" s="15" t="str">
        <f>HYPERLINK("https://stat100.ameba.jp/tnk47/ratio20/illustrations/card/ill_85053_heideirumu03.jpg?202012-i_prefecture_active_user", "■")</f>
        <v>■</v>
      </c>
      <c r="F444" s="7" t="s">
        <v>7969</v>
      </c>
      <c r="G444" s="7">
        <v>118684</v>
      </c>
      <c r="H444" s="7">
        <v>85962</v>
      </c>
      <c r="I444" s="14">
        <v>26</v>
      </c>
      <c r="J444" s="7" t="s">
        <v>169</v>
      </c>
      <c r="K444" s="7" t="s">
        <v>7968</v>
      </c>
      <c r="L444" s="7" t="s">
        <v>7967</v>
      </c>
      <c r="M444" s="14" t="s">
        <v>9158</v>
      </c>
      <c r="N444" s="14" t="s">
        <v>9158</v>
      </c>
      <c r="O444" s="19" t="s">
        <v>10085</v>
      </c>
      <c r="P444" s="7" t="s">
        <v>4374</v>
      </c>
      <c r="Q444" s="7">
        <v>1</v>
      </c>
    </row>
    <row r="445" spans="1:17">
      <c r="A445" s="16">
        <v>75853</v>
      </c>
      <c r="B445" s="14" t="s">
        <v>334</v>
      </c>
      <c r="C445" s="14" t="s">
        <v>41</v>
      </c>
      <c r="D445" s="19" t="s">
        <v>10224</v>
      </c>
      <c r="E445" s="15" t="str">
        <f>HYPERLINK("https://stat100.ameba.jp/tnk47/ratio20/illustrations/card/ill_75853_moruganoyuki03.jpg?202012-i_prefecture_active_user", "■")</f>
        <v>■</v>
      </c>
      <c r="F445" s="14" t="s">
        <v>5106</v>
      </c>
      <c r="G445" s="14">
        <v>130000</v>
      </c>
      <c r="H445" s="14">
        <v>120874</v>
      </c>
      <c r="I445" s="14">
        <v>26</v>
      </c>
      <c r="J445" s="14" t="s">
        <v>16</v>
      </c>
      <c r="K445" s="14" t="s">
        <v>5108</v>
      </c>
      <c r="L445" s="14" t="s">
        <v>1881</v>
      </c>
      <c r="M445" s="14" t="s">
        <v>9158</v>
      </c>
      <c r="N445" s="14" t="s">
        <v>9158</v>
      </c>
      <c r="O445" s="7" t="s">
        <v>3578</v>
      </c>
      <c r="P445" s="14" t="s">
        <v>3579</v>
      </c>
      <c r="Q445" s="14">
        <v>1</v>
      </c>
    </row>
    <row r="446" spans="1:17">
      <c r="A446" s="14">
        <v>80173</v>
      </c>
      <c r="B446" s="14" t="s">
        <v>334</v>
      </c>
      <c r="C446" s="14" t="s">
        <v>47</v>
      </c>
      <c r="D446" s="20" t="s">
        <v>10390</v>
      </c>
      <c r="E446" s="15" t="str">
        <f>HYPERLINK("https://stat100.ameba.jp/tnk47/ratio20/illustrations/card/ill_80173_jusomedeia03.jpg?202012-i_prefecture_active_user", "■")</f>
        <v>■</v>
      </c>
      <c r="F446" s="14" t="s">
        <v>3914</v>
      </c>
      <c r="G446" s="14">
        <v>99532</v>
      </c>
      <c r="H446" s="14">
        <v>137430</v>
      </c>
      <c r="I446" s="14">
        <v>26</v>
      </c>
      <c r="J446" s="14" t="s">
        <v>73</v>
      </c>
      <c r="K446" s="14" t="s">
        <v>3915</v>
      </c>
      <c r="L446" s="14" t="s">
        <v>1033</v>
      </c>
      <c r="M446" s="14" t="s">
        <v>9158</v>
      </c>
      <c r="N446" s="14" t="s">
        <v>9158</v>
      </c>
      <c r="O446" s="19" t="s">
        <v>10074</v>
      </c>
      <c r="P446" s="14" t="s">
        <v>3592</v>
      </c>
      <c r="Q446" s="14">
        <v>1</v>
      </c>
    </row>
    <row r="448" spans="1:17">
      <c r="A448" s="14" t="s">
        <v>3916</v>
      </c>
    </row>
    <row r="449" spans="1:17">
      <c r="A449" s="14">
        <v>104889</v>
      </c>
      <c r="B449" s="14" t="s">
        <v>16565</v>
      </c>
    </row>
    <row r="450" spans="1:17">
      <c r="A450" s="14">
        <v>76103</v>
      </c>
      <c r="B450" s="14" t="s">
        <v>334</v>
      </c>
      <c r="C450" s="14" t="s">
        <v>154</v>
      </c>
      <c r="D450" s="19" t="s">
        <v>570</v>
      </c>
      <c r="E450" s="15" t="str">
        <f>HYPERLINK("https://stat100.ameba.jp/tnk47/ratio20/illustrations/card/ill_76103_shibuaji03.jpg?202012-i_prefecture_active_user", "■")</f>
        <v>■</v>
      </c>
      <c r="F450" s="14" t="s">
        <v>1122</v>
      </c>
      <c r="G450" s="14">
        <v>116452</v>
      </c>
      <c r="H450" s="14">
        <v>108276</v>
      </c>
      <c r="I450" s="14">
        <v>27</v>
      </c>
      <c r="J450" s="14" t="s">
        <v>143</v>
      </c>
      <c r="K450" s="14" t="s">
        <v>1123</v>
      </c>
      <c r="L450" s="14" t="s">
        <v>1124</v>
      </c>
      <c r="M450" s="14" t="s">
        <v>9864</v>
      </c>
      <c r="N450" s="14" t="s">
        <v>9158</v>
      </c>
      <c r="O450" s="14" t="s">
        <v>9158</v>
      </c>
      <c r="P450" s="14" t="s">
        <v>9158</v>
      </c>
      <c r="Q450" s="14" t="s">
        <v>9158</v>
      </c>
    </row>
    <row r="451" spans="1:17">
      <c r="A451" s="14">
        <v>76113</v>
      </c>
      <c r="B451" s="14" t="s">
        <v>334</v>
      </c>
      <c r="C451" s="14" t="s">
        <v>158</v>
      </c>
      <c r="D451" s="19" t="s">
        <v>10268</v>
      </c>
      <c r="E451" s="15" t="str">
        <f>HYPERLINK("https://stat100.ameba.jp/tnk47/ratio20/illustrations/card/ill_76113_jannudaruku03.jpg?202012-i_prefecture_active_user", "■")</f>
        <v>■</v>
      </c>
      <c r="F451" s="14" t="s">
        <v>1126</v>
      </c>
      <c r="G451" s="14">
        <v>116452</v>
      </c>
      <c r="H451" s="14">
        <v>108276</v>
      </c>
      <c r="I451" s="14">
        <v>27</v>
      </c>
      <c r="J451" s="14" t="s">
        <v>10</v>
      </c>
      <c r="K451" s="14" t="s">
        <v>1127</v>
      </c>
      <c r="L451" s="14" t="s">
        <v>1128</v>
      </c>
      <c r="M451" s="14" t="s">
        <v>9158</v>
      </c>
      <c r="N451" s="14" t="s">
        <v>9158</v>
      </c>
      <c r="O451" s="14" t="s">
        <v>9158</v>
      </c>
      <c r="P451" s="14" t="s">
        <v>9158</v>
      </c>
      <c r="Q451" s="14" t="s">
        <v>9158</v>
      </c>
    </row>
    <row r="452" spans="1:17">
      <c r="A452" s="14">
        <v>63323</v>
      </c>
      <c r="B452" s="14" t="s">
        <v>0</v>
      </c>
      <c r="C452" s="14" t="s">
        <v>200</v>
      </c>
      <c r="D452" s="19" t="s">
        <v>10269</v>
      </c>
      <c r="E452" s="15" t="str">
        <f>HYPERLINK("https://stat100.ameba.jp/tnk47/ratio20/illustrations/card/ill_63323_ajisaikushinadahime03.jpg?202012-i_prefecture_active_user", "■")</f>
        <v>■</v>
      </c>
      <c r="F452" s="14" t="s">
        <v>3583</v>
      </c>
      <c r="G452" s="14">
        <v>102386</v>
      </c>
      <c r="H452" s="14">
        <v>110129</v>
      </c>
      <c r="I452" s="14">
        <v>27</v>
      </c>
      <c r="J452" s="14" t="s">
        <v>44</v>
      </c>
      <c r="K452" s="14" t="s">
        <v>3584</v>
      </c>
      <c r="L452" s="14" t="s">
        <v>2400</v>
      </c>
      <c r="M452" s="14" t="s">
        <v>9158</v>
      </c>
      <c r="N452" s="14" t="s">
        <v>9158</v>
      </c>
      <c r="O452" s="14" t="s">
        <v>9158</v>
      </c>
      <c r="P452" s="14" t="s">
        <v>9158</v>
      </c>
      <c r="Q452" s="14" t="s">
        <v>9158</v>
      </c>
    </row>
    <row r="453" spans="1:17">
      <c r="A453" s="14">
        <v>59863</v>
      </c>
      <c r="B453" s="14" t="s">
        <v>334</v>
      </c>
      <c r="C453" s="14" t="s">
        <v>165</v>
      </c>
      <c r="D453" s="19" t="s">
        <v>318</v>
      </c>
      <c r="E453" s="15" t="str">
        <f>HYPERLINK("https://stat100.ameba.jp/tnk47/ratio20/illustrations/card/ill_59863_yoseiichimokuren03.jpg?202012-i_prefecture_active_user", "■")</f>
        <v>■</v>
      </c>
      <c r="F453" s="14" t="s">
        <v>319</v>
      </c>
      <c r="G453" s="14">
        <v>112496</v>
      </c>
      <c r="H453" s="14">
        <v>104619</v>
      </c>
      <c r="I453" s="14">
        <v>27</v>
      </c>
      <c r="J453" s="14" t="s">
        <v>320</v>
      </c>
      <c r="K453" s="14" t="s">
        <v>321</v>
      </c>
      <c r="L453" s="14" t="s">
        <v>322</v>
      </c>
      <c r="M453" s="14" t="s">
        <v>9158</v>
      </c>
      <c r="N453" s="14" t="s">
        <v>9158</v>
      </c>
      <c r="O453" s="14" t="s">
        <v>9158</v>
      </c>
      <c r="P453" s="14" t="s">
        <v>9158</v>
      </c>
      <c r="Q453" s="14" t="s">
        <v>9158</v>
      </c>
    </row>
    <row r="454" spans="1:17">
      <c r="A454" s="14">
        <v>51823</v>
      </c>
      <c r="B454" s="14" t="s">
        <v>15</v>
      </c>
      <c r="C454" s="14" t="s">
        <v>101</v>
      </c>
      <c r="D454" s="19" t="s">
        <v>10587</v>
      </c>
      <c r="E454" s="15" t="str">
        <f>HYPERLINK("https://stat100.ameba.jp/tnk47/ratio20/illustrations/card/ill_51823_jukimatsu03.jpg?202012-i_prefecture_active_user", "■")</f>
        <v>■</v>
      </c>
      <c r="F454" s="14" t="s">
        <v>6742</v>
      </c>
      <c r="G454" s="14">
        <v>59144</v>
      </c>
      <c r="H454" s="14">
        <v>65208</v>
      </c>
      <c r="I454" s="14">
        <v>22</v>
      </c>
      <c r="J454" s="14" t="s">
        <v>77</v>
      </c>
      <c r="K454" s="14" t="s">
        <v>6743</v>
      </c>
      <c r="L454" s="14" t="s">
        <v>6744</v>
      </c>
      <c r="M454" s="14" t="s">
        <v>9158</v>
      </c>
      <c r="N454" s="14" t="s">
        <v>9158</v>
      </c>
      <c r="O454" s="14" t="s">
        <v>9158</v>
      </c>
      <c r="P454" s="14" t="s">
        <v>9158</v>
      </c>
      <c r="Q454" s="14" t="s">
        <v>9158</v>
      </c>
    </row>
    <row r="455" spans="1:17">
      <c r="A455" s="14">
        <v>51773</v>
      </c>
      <c r="B455" s="14" t="s">
        <v>15</v>
      </c>
      <c r="C455" s="14" t="s">
        <v>205</v>
      </c>
      <c r="D455" s="19" t="s">
        <v>10588</v>
      </c>
      <c r="E455" s="15" t="str">
        <f>HYPERLINK("https://stat100.ameba.jp/tnk47/ratio20/illustrations/card/ill_51773_kawaasobikanekomisuzu03.jpg?202012-i_prefecture_active_user", "■")</f>
        <v>■</v>
      </c>
      <c r="F455" s="14" t="s">
        <v>6747</v>
      </c>
      <c r="G455" s="14">
        <v>65208</v>
      </c>
      <c r="H455" s="14">
        <v>59144</v>
      </c>
      <c r="I455" s="14">
        <v>22</v>
      </c>
      <c r="J455" s="14" t="s">
        <v>10</v>
      </c>
      <c r="K455" s="14" t="s">
        <v>6746</v>
      </c>
      <c r="L455" s="14" t="s">
        <v>6745</v>
      </c>
      <c r="M455" s="14" t="s">
        <v>9158</v>
      </c>
      <c r="N455" s="14" t="s">
        <v>9158</v>
      </c>
      <c r="O455" s="14" t="s">
        <v>9158</v>
      </c>
      <c r="P455" s="14" t="s">
        <v>9158</v>
      </c>
      <c r="Q455" s="14" t="s">
        <v>9158</v>
      </c>
    </row>
    <row r="456" spans="1:17">
      <c r="A456" s="14">
        <v>51733</v>
      </c>
      <c r="B456" s="14" t="s">
        <v>15</v>
      </c>
      <c r="C456" s="14" t="s">
        <v>185</v>
      </c>
      <c r="D456" s="19" t="s">
        <v>10589</v>
      </c>
      <c r="E456" s="15" t="str">
        <f>HYPERLINK("https://stat100.ameba.jp/tnk47/ratio20/illustrations/card/ill_51733_ekusoshisutopoiyampe03.jpg?202012-i_prefecture_active_user", "■")</f>
        <v>■</v>
      </c>
      <c r="F456" s="14" t="s">
        <v>6750</v>
      </c>
      <c r="G456" s="14">
        <v>59144</v>
      </c>
      <c r="H456" s="14">
        <v>65208</v>
      </c>
      <c r="I456" s="14">
        <v>22</v>
      </c>
      <c r="J456" s="14" t="s">
        <v>274</v>
      </c>
      <c r="K456" s="14" t="s">
        <v>6749</v>
      </c>
      <c r="L456" s="14" t="s">
        <v>6748</v>
      </c>
      <c r="M456" s="14" t="s">
        <v>9158</v>
      </c>
      <c r="N456" s="14" t="s">
        <v>9158</v>
      </c>
      <c r="O456" s="14" t="s">
        <v>9158</v>
      </c>
      <c r="P456" s="14" t="s">
        <v>9158</v>
      </c>
      <c r="Q456" s="14" t="s">
        <v>9158</v>
      </c>
    </row>
    <row r="457" spans="1:17">
      <c r="A457" s="14">
        <v>55743</v>
      </c>
      <c r="B457" s="14" t="s">
        <v>15</v>
      </c>
      <c r="C457" s="14" t="s">
        <v>96</v>
      </c>
      <c r="D457" s="19" t="s">
        <v>10590</v>
      </c>
      <c r="E457" s="15" t="str">
        <f>HYPERLINK("https://stat100.ameba.jp/tnk47/ratio20/illustrations/card/ill_55743_nankoume03.jpg?202012-i_prefecture_active_user", "■")</f>
        <v>■</v>
      </c>
      <c r="F457" s="14" t="s">
        <v>4308</v>
      </c>
      <c r="G457" s="14">
        <v>59144</v>
      </c>
      <c r="H457" s="14">
        <v>65208</v>
      </c>
      <c r="I457" s="14">
        <v>22</v>
      </c>
      <c r="J457" s="14" t="s">
        <v>216</v>
      </c>
      <c r="K457" s="14" t="s">
        <v>4310</v>
      </c>
      <c r="L457" s="14" t="s">
        <v>4311</v>
      </c>
      <c r="M457" s="14" t="s">
        <v>9158</v>
      </c>
      <c r="N457" s="14" t="s">
        <v>9158</v>
      </c>
      <c r="O457" s="14" t="s">
        <v>9158</v>
      </c>
      <c r="P457" s="14" t="s">
        <v>9158</v>
      </c>
      <c r="Q457" s="14" t="s">
        <v>9158</v>
      </c>
    </row>
    <row r="459" spans="1:17">
      <c r="A459" s="14" t="s">
        <v>6512</v>
      </c>
    </row>
    <row r="460" spans="1:17">
      <c r="A460" s="14">
        <v>104902</v>
      </c>
      <c r="B460" s="14" t="s">
        <v>16566</v>
      </c>
    </row>
    <row r="461" spans="1:17">
      <c r="A461" s="14" t="s">
        <v>5733</v>
      </c>
      <c r="B461" s="14" t="s">
        <v>330</v>
      </c>
      <c r="C461" s="14" t="s">
        <v>202</v>
      </c>
      <c r="D461" s="19" t="s">
        <v>2744</v>
      </c>
      <c r="E461" s="15" t="str">
        <f>HYPERLINK("https://stat100.ameba.jp/tnk47/ratio20/illustrations/card/ill_78693_0_kyupittokoinomikoto03.jpg?202012-i_prefecture_active_user", "■")</f>
        <v>■</v>
      </c>
      <c r="F461" s="14" t="s">
        <v>2745</v>
      </c>
      <c r="G461" s="14">
        <v>251516</v>
      </c>
      <c r="H461" s="14">
        <v>278294</v>
      </c>
      <c r="I461" s="14">
        <v>24</v>
      </c>
      <c r="J461" s="14" t="s">
        <v>274</v>
      </c>
      <c r="K461" s="14" t="s">
        <v>2746</v>
      </c>
      <c r="L461" s="14" t="s">
        <v>2747</v>
      </c>
      <c r="M461" s="14" t="s">
        <v>9158</v>
      </c>
      <c r="N461" s="14" t="s">
        <v>9158</v>
      </c>
      <c r="O461" s="19" t="s">
        <v>10097</v>
      </c>
      <c r="P461" s="14" t="s">
        <v>2748</v>
      </c>
      <c r="Q461" s="14">
        <v>1</v>
      </c>
    </row>
    <row r="462" spans="1:17">
      <c r="A462" s="14" t="s">
        <v>5901</v>
      </c>
      <c r="B462" s="14" t="s">
        <v>52</v>
      </c>
      <c r="C462" s="14" t="s">
        <v>101</v>
      </c>
      <c r="D462" s="19" t="s">
        <v>1426</v>
      </c>
      <c r="E462" s="15" t="str">
        <f>HYPERLINK("https://stat100.ameba.jp/tnk47/ratio20/illustrations/card/ill_64953_0_yukatatokugawayoshinobu03.jpg?202012-i_prefecture_active_user", "■")</f>
        <v>■</v>
      </c>
      <c r="F462" s="14" t="s">
        <v>2090</v>
      </c>
      <c r="G462" s="14">
        <v>149520</v>
      </c>
      <c r="H462" s="14">
        <v>160804</v>
      </c>
      <c r="I462" s="14">
        <v>24</v>
      </c>
      <c r="J462" s="14" t="s">
        <v>10</v>
      </c>
      <c r="K462" s="14" t="s">
        <v>2091</v>
      </c>
      <c r="L462" s="14" t="s">
        <v>2092</v>
      </c>
      <c r="M462" s="14" t="s">
        <v>9158</v>
      </c>
      <c r="N462" s="14" t="s">
        <v>9158</v>
      </c>
      <c r="O462" s="19" t="s">
        <v>2889</v>
      </c>
      <c r="P462" s="14" t="s">
        <v>2890</v>
      </c>
      <c r="Q462" s="14">
        <v>1</v>
      </c>
    </row>
    <row r="463" spans="1:17">
      <c r="A463" s="14" t="s">
        <v>5902</v>
      </c>
      <c r="B463" s="14" t="s">
        <v>330</v>
      </c>
      <c r="C463" s="14" t="s">
        <v>206</v>
      </c>
      <c r="D463" s="19" t="s">
        <v>483</v>
      </c>
      <c r="E463" s="15" t="str">
        <f>HYPERLINK("https://stat100.ameba.jp/tnk47/ratio20/illustrations/card/ill_40343_0_heshikirihasebekurodakambe03.jpg?202012-i_prefecture_active_user", "■")</f>
        <v>■</v>
      </c>
      <c r="F463" s="14" t="s">
        <v>906</v>
      </c>
      <c r="G463" s="14">
        <v>140448</v>
      </c>
      <c r="H463" s="14">
        <v>131538</v>
      </c>
      <c r="I463" s="14">
        <v>24</v>
      </c>
      <c r="J463" s="14" t="s">
        <v>16</v>
      </c>
      <c r="K463" s="14" t="s">
        <v>907</v>
      </c>
      <c r="L463" s="14" t="s">
        <v>908</v>
      </c>
      <c r="M463" s="14" t="s">
        <v>9158</v>
      </c>
      <c r="N463" s="14" t="s">
        <v>9158</v>
      </c>
      <c r="O463" s="14" t="s">
        <v>9158</v>
      </c>
      <c r="P463" s="14" t="s">
        <v>9158</v>
      </c>
      <c r="Q463" s="14" t="s">
        <v>9158</v>
      </c>
    </row>
    <row r="464" spans="1:17">
      <c r="A464" s="14">
        <v>75093</v>
      </c>
      <c r="B464" s="14" t="s">
        <v>334</v>
      </c>
      <c r="C464" s="14" t="s">
        <v>158</v>
      </c>
      <c r="D464" s="20" t="s">
        <v>10403</v>
      </c>
      <c r="E464" s="15" t="str">
        <f>HYPERLINK("https://stat100.ameba.jp/tnk47/ratio20/illustrations/card/ill_75093_hangonko03.jpg?202012-i_prefecture_active_user", "■")</f>
        <v>■</v>
      </c>
      <c r="F464" s="14" t="s">
        <v>2614</v>
      </c>
      <c r="G464" s="14">
        <v>137430</v>
      </c>
      <c r="H464" s="14">
        <v>99532</v>
      </c>
      <c r="I464" s="14">
        <v>26</v>
      </c>
      <c r="J464" s="14" t="s">
        <v>44</v>
      </c>
      <c r="K464" s="14" t="s">
        <v>2615</v>
      </c>
      <c r="L464" s="14" t="s">
        <v>1108</v>
      </c>
      <c r="M464" s="14" t="s">
        <v>9158</v>
      </c>
      <c r="N464" s="14" t="s">
        <v>9158</v>
      </c>
      <c r="O464" s="19" t="s">
        <v>2951</v>
      </c>
      <c r="P464" s="14" t="s">
        <v>13122</v>
      </c>
      <c r="Q464" s="14">
        <v>1</v>
      </c>
    </row>
    <row r="465" spans="1:18">
      <c r="A465" s="9">
        <v>78043</v>
      </c>
      <c r="B465" s="14" t="s">
        <v>15</v>
      </c>
      <c r="C465" s="14" t="s">
        <v>165</v>
      </c>
      <c r="D465" s="14" t="s">
        <v>2212</v>
      </c>
      <c r="E465" s="15" t="str">
        <f>HYPERLINK("https://stat100.ameba.jp/tnk47/ratio20/illustrations/card/ill_78043_yushinaishinno03.jpg?202012-i_prefecture_active_user", "■")</f>
        <v>■</v>
      </c>
      <c r="F465" s="14" t="s">
        <v>2213</v>
      </c>
      <c r="G465" s="14">
        <v>69898</v>
      </c>
      <c r="H465" s="14">
        <v>77064</v>
      </c>
      <c r="I465" s="14">
        <v>26</v>
      </c>
      <c r="J465" s="14" t="s">
        <v>16</v>
      </c>
      <c r="K465" s="14" t="s">
        <v>2214</v>
      </c>
      <c r="L465" s="14" t="s">
        <v>981</v>
      </c>
      <c r="M465" s="14" t="s">
        <v>9158</v>
      </c>
      <c r="N465" s="14" t="s">
        <v>9158</v>
      </c>
      <c r="O465" s="14" t="s">
        <v>9158</v>
      </c>
      <c r="P465" s="14" t="s">
        <v>9158</v>
      </c>
      <c r="Q465" s="14" t="s">
        <v>9158</v>
      </c>
    </row>
    <row r="466" spans="1:18">
      <c r="A466" s="9">
        <v>79013</v>
      </c>
      <c r="B466" s="14" t="s">
        <v>362</v>
      </c>
      <c r="C466" s="14" t="s">
        <v>185</v>
      </c>
      <c r="D466" s="14" t="s">
        <v>3104</v>
      </c>
      <c r="E466" s="15" t="str">
        <f>HYPERLINK("https://stat100.ameba.jp/tnk47/ratio20/illustrations/card/ill_79013_yukiwatari03.jpg?202012-i_prefecture_active_user", "■")</f>
        <v>■</v>
      </c>
      <c r="F466" s="14" t="s">
        <v>3105</v>
      </c>
      <c r="G466" s="14">
        <v>54058</v>
      </c>
      <c r="H466" s="14">
        <v>44948</v>
      </c>
      <c r="I466" s="14">
        <v>26</v>
      </c>
      <c r="J466" s="14" t="s">
        <v>274</v>
      </c>
      <c r="K466" s="14" t="s">
        <v>3106</v>
      </c>
      <c r="L466" s="14" t="s">
        <v>600</v>
      </c>
      <c r="M466" s="14" t="s">
        <v>9158</v>
      </c>
      <c r="N466" s="14" t="s">
        <v>9158</v>
      </c>
      <c r="O466" s="14" t="s">
        <v>9158</v>
      </c>
      <c r="P466" s="14" t="s">
        <v>9158</v>
      </c>
      <c r="Q466" s="14" t="s">
        <v>9158</v>
      </c>
    </row>
    <row r="467" spans="1:18">
      <c r="A467" s="9">
        <v>64533</v>
      </c>
      <c r="B467" s="14" t="s">
        <v>362</v>
      </c>
      <c r="C467" s="14" t="s">
        <v>23</v>
      </c>
      <c r="D467" s="14" t="s">
        <v>16570</v>
      </c>
      <c r="E467" s="15" t="str">
        <f>HYPERLINK("https://stat100.ameba.jp/tnk47/ratio20/illustrations/card/ill_64533_hinoemma03.jpg?202012-i_prefecture_active_user", "■")</f>
        <v>■</v>
      </c>
      <c r="F467" s="14" t="s">
        <v>16569</v>
      </c>
      <c r="G467" s="14">
        <v>54058</v>
      </c>
      <c r="H467" s="14">
        <v>44948</v>
      </c>
      <c r="I467" s="14">
        <v>26</v>
      </c>
      <c r="J467" s="14" t="s">
        <v>73</v>
      </c>
      <c r="K467" s="14" t="s">
        <v>16568</v>
      </c>
      <c r="L467" s="14" t="s">
        <v>4556</v>
      </c>
      <c r="M467" s="14" t="s">
        <v>9158</v>
      </c>
      <c r="N467" s="14" t="s">
        <v>9158</v>
      </c>
      <c r="O467" s="14" t="s">
        <v>9158</v>
      </c>
      <c r="P467" s="14" t="s">
        <v>9158</v>
      </c>
      <c r="Q467" s="14" t="s">
        <v>9158</v>
      </c>
    </row>
    <row r="469" spans="1:18">
      <c r="A469" s="14" t="s">
        <v>13327</v>
      </c>
    </row>
    <row r="470" spans="1:18">
      <c r="A470" s="14">
        <v>104925</v>
      </c>
      <c r="B470" s="14" t="s">
        <v>16567</v>
      </c>
    </row>
    <row r="471" spans="1:18">
      <c r="A471" s="14">
        <v>83973</v>
      </c>
      <c r="B471" s="14" t="s">
        <v>334</v>
      </c>
      <c r="C471" s="14" t="s">
        <v>14</v>
      </c>
      <c r="D471" s="19" t="s">
        <v>10570</v>
      </c>
      <c r="E471" s="15" t="str">
        <f>HYPERLINK("https://stat100.ameba.jp/tnk47/ratio20/illustrations/card/ill_83973_nekokishiirurosu03.jpg?202012-i_prefecture_active_user", "■")</f>
        <v>■</v>
      </c>
      <c r="F471" s="14" t="s">
        <v>6706</v>
      </c>
      <c r="G471" s="14">
        <v>137846</v>
      </c>
      <c r="H471" s="14">
        <v>128160</v>
      </c>
      <c r="I471" s="14">
        <v>28</v>
      </c>
      <c r="J471" s="14" t="s">
        <v>229</v>
      </c>
      <c r="K471" s="14" t="s">
        <v>6707</v>
      </c>
      <c r="L471" s="14" t="s">
        <v>13202</v>
      </c>
      <c r="M471" s="14" t="s">
        <v>13130</v>
      </c>
      <c r="N471" s="14" t="s">
        <v>343</v>
      </c>
      <c r="O471" s="14" t="s">
        <v>9158</v>
      </c>
      <c r="P471" s="14" t="s">
        <v>9158</v>
      </c>
      <c r="Q471" s="14" t="s">
        <v>9158</v>
      </c>
      <c r="R471" s="14" t="s">
        <v>14748</v>
      </c>
    </row>
    <row r="472" spans="1:18">
      <c r="A472" s="14">
        <v>83972</v>
      </c>
      <c r="B472" s="14" t="s">
        <v>334</v>
      </c>
      <c r="C472" s="14" t="s">
        <v>14</v>
      </c>
      <c r="D472" s="19" t="s">
        <v>10570</v>
      </c>
      <c r="E472" s="15" t="str">
        <f>HYPERLINK("https://stat100.ameba.jp/tnk47/ratio20/illustrations/card/ill_83972_nekokishiirurosu02.jpg?202012-i_prefecture_active_user", "■")</f>
        <v>■</v>
      </c>
      <c r="F472" s="14" t="s">
        <v>6706</v>
      </c>
      <c r="G472" s="14">
        <v>115230</v>
      </c>
      <c r="H472" s="14">
        <v>106148</v>
      </c>
      <c r="I472" s="14">
        <v>28</v>
      </c>
      <c r="J472" s="14" t="s">
        <v>229</v>
      </c>
      <c r="K472" s="14" t="s">
        <v>6707</v>
      </c>
      <c r="L472" s="14" t="s">
        <v>13201</v>
      </c>
      <c r="M472" s="14" t="s">
        <v>13131</v>
      </c>
      <c r="N472" s="14" t="s">
        <v>251</v>
      </c>
      <c r="O472" s="14" t="s">
        <v>9158</v>
      </c>
      <c r="P472" s="14" t="s">
        <v>9158</v>
      </c>
      <c r="Q472" s="14" t="s">
        <v>9158</v>
      </c>
      <c r="R472" s="14" t="s">
        <v>14748</v>
      </c>
    </row>
    <row r="473" spans="1:18">
      <c r="A473" s="14">
        <v>83971</v>
      </c>
      <c r="B473" s="14" t="s">
        <v>0</v>
      </c>
      <c r="C473" s="14" t="s">
        <v>14</v>
      </c>
      <c r="D473" s="19" t="s">
        <v>10570</v>
      </c>
      <c r="E473" s="15" t="str">
        <f>HYPERLINK("https://stat100.ameba.jp/tnk47/ratio20/illustrations/card/ill_83971_nekokishiirurosu01.jpg?202012-i_prefecture_active_user", "■")</f>
        <v>■</v>
      </c>
      <c r="F473" s="14" t="s">
        <v>6706</v>
      </c>
      <c r="G473" s="14">
        <v>87976</v>
      </c>
      <c r="H473" s="14">
        <v>81900</v>
      </c>
      <c r="I473" s="14">
        <v>28</v>
      </c>
      <c r="J473" s="14" t="s">
        <v>229</v>
      </c>
      <c r="K473" s="14" t="s">
        <v>6707</v>
      </c>
      <c r="L473" s="14" t="s">
        <v>13201</v>
      </c>
      <c r="M473" s="14" t="s">
        <v>13131</v>
      </c>
      <c r="N473" s="14" t="s">
        <v>251</v>
      </c>
      <c r="O473" s="14" t="s">
        <v>9158</v>
      </c>
      <c r="P473" s="14" t="s">
        <v>9158</v>
      </c>
      <c r="Q473" s="14" t="s">
        <v>9158</v>
      </c>
      <c r="R473" s="14" t="s">
        <v>14748</v>
      </c>
    </row>
    <row r="474" spans="1:18">
      <c r="A474" s="14">
        <v>83983</v>
      </c>
      <c r="B474" s="14" t="s">
        <v>334</v>
      </c>
      <c r="C474" s="14" t="s">
        <v>23</v>
      </c>
      <c r="D474" s="19" t="s">
        <v>10571</v>
      </c>
      <c r="E474" s="15" t="str">
        <f>HYPERLINK("https://stat100.ameba.jp/tnk47/ratio20/illustrations/card/ill_83983_ryujinsui03.jpg?202012-i_prefecture_active_user", "■")</f>
        <v>■</v>
      </c>
      <c r="F474" s="14" t="s">
        <v>6708</v>
      </c>
      <c r="G474" s="14">
        <v>128160</v>
      </c>
      <c r="H474" s="14">
        <v>137846</v>
      </c>
      <c r="I474" s="14">
        <v>28</v>
      </c>
      <c r="J474" s="14" t="s">
        <v>169</v>
      </c>
      <c r="K474" s="14" t="s">
        <v>6710</v>
      </c>
      <c r="L474" s="14" t="s">
        <v>6721</v>
      </c>
      <c r="M474" s="14" t="s">
        <v>13130</v>
      </c>
      <c r="N474" s="14" t="s">
        <v>343</v>
      </c>
      <c r="O474" s="14" t="s">
        <v>9158</v>
      </c>
      <c r="P474" s="14" t="s">
        <v>9158</v>
      </c>
      <c r="Q474" s="14" t="s">
        <v>9158</v>
      </c>
      <c r="R474" s="14" t="s">
        <v>14748</v>
      </c>
    </row>
    <row r="475" spans="1:18">
      <c r="A475" s="14">
        <v>83993</v>
      </c>
      <c r="B475" s="14" t="s">
        <v>334</v>
      </c>
      <c r="C475" s="14" t="s">
        <v>101</v>
      </c>
      <c r="D475" s="19" t="s">
        <v>10572</v>
      </c>
      <c r="E475" s="15" t="str">
        <f>HYPERLINK("https://stat100.ameba.jp/tnk47/ratio20/illustrations/card/ill_83993_enjieruzuranotamagochan03.jpg?202012-i_prefecture_active_user", "■")</f>
        <v>■</v>
      </c>
      <c r="F475" s="14" t="s">
        <v>6722</v>
      </c>
      <c r="G475" s="14">
        <v>128160</v>
      </c>
      <c r="H475" s="14">
        <v>137846</v>
      </c>
      <c r="I475" s="14">
        <v>28</v>
      </c>
      <c r="J475" s="14" t="s">
        <v>216</v>
      </c>
      <c r="K475" s="14" t="s">
        <v>6723</v>
      </c>
      <c r="L475" s="14" t="s">
        <v>6724</v>
      </c>
      <c r="M475" s="14" t="s">
        <v>13130</v>
      </c>
      <c r="N475" s="14" t="s">
        <v>343</v>
      </c>
      <c r="O475" s="14" t="s">
        <v>9158</v>
      </c>
      <c r="P475" s="14" t="s">
        <v>9158</v>
      </c>
      <c r="Q475" s="14" t="s">
        <v>9158</v>
      </c>
      <c r="R475" s="14" t="s">
        <v>14748</v>
      </c>
    </row>
    <row r="476" spans="1:18">
      <c r="A476" s="14">
        <v>84003</v>
      </c>
      <c r="B476" s="14" t="s">
        <v>0</v>
      </c>
      <c r="C476" s="14" t="s">
        <v>96</v>
      </c>
      <c r="D476" s="19" t="s">
        <v>10573</v>
      </c>
      <c r="E476" s="15" t="str">
        <f>HYPERLINK("https://stat100.ameba.jp/tnk47/ratio20/illustrations/card/ill_84003_sukoropendora03.jpg?202012-i_prefecture_active_user", "■")</f>
        <v>■</v>
      </c>
      <c r="F476" s="14" t="s">
        <v>6725</v>
      </c>
      <c r="G476" s="14">
        <v>137846</v>
      </c>
      <c r="H476" s="14">
        <v>128160</v>
      </c>
      <c r="I476" s="14">
        <v>28</v>
      </c>
      <c r="J476" s="14" t="s">
        <v>182</v>
      </c>
      <c r="K476" s="14" t="s">
        <v>6727</v>
      </c>
      <c r="L476" s="14" t="s">
        <v>6728</v>
      </c>
      <c r="M476" s="14" t="s">
        <v>13130</v>
      </c>
      <c r="N476" s="14" t="s">
        <v>343</v>
      </c>
      <c r="O476" s="14" t="s">
        <v>9158</v>
      </c>
      <c r="P476" s="14" t="s">
        <v>9158</v>
      </c>
      <c r="Q476" s="14" t="s">
        <v>9158</v>
      </c>
      <c r="R476" s="14" t="s">
        <v>14748</v>
      </c>
    </row>
    <row r="477" spans="1:18">
      <c r="A477" s="14">
        <v>84013</v>
      </c>
      <c r="B477" s="14" t="s">
        <v>334</v>
      </c>
      <c r="C477" s="14" t="s">
        <v>205</v>
      </c>
      <c r="D477" s="19" t="s">
        <v>10574</v>
      </c>
      <c r="E477" s="15" t="str">
        <f>HYPERLINK("https://stat100.ameba.jp/tnk47/ratio20/illustrations/card/ill_84013_neikiddo03.jpg?202012-i_prefecture_active_user", "■")</f>
        <v>■</v>
      </c>
      <c r="F477" s="14" t="s">
        <v>6729</v>
      </c>
      <c r="G477" s="14">
        <v>128160</v>
      </c>
      <c r="H477" s="14">
        <v>137846</v>
      </c>
      <c r="I477" s="14">
        <v>28</v>
      </c>
      <c r="J477" s="14" t="s">
        <v>194</v>
      </c>
      <c r="K477" s="14" t="s">
        <v>6731</v>
      </c>
      <c r="L477" s="14" t="s">
        <v>6732</v>
      </c>
      <c r="M477" s="14" t="s">
        <v>13130</v>
      </c>
      <c r="N477" s="14" t="s">
        <v>343</v>
      </c>
      <c r="O477" s="14" t="s">
        <v>9158</v>
      </c>
      <c r="P477" s="14" t="s">
        <v>9158</v>
      </c>
      <c r="Q477" s="14" t="s">
        <v>9158</v>
      </c>
      <c r="R477" s="14" t="s">
        <v>14748</v>
      </c>
    </row>
    <row r="478" spans="1:18">
      <c r="A478" s="14">
        <v>76763</v>
      </c>
      <c r="B478" s="14" t="s">
        <v>334</v>
      </c>
      <c r="C478" s="14" t="s">
        <v>107</v>
      </c>
      <c r="D478" s="19" t="s">
        <v>10575</v>
      </c>
      <c r="E478" s="15" t="str">
        <f>HYPERLINK("https://stat100.ameba.jp/tnk47/ratio20/illustrations/card/ill_76763_monsutanabeshimakeiginni03.jpg?202012-i_prefecture_active_user", "■")</f>
        <v>■</v>
      </c>
      <c r="F478" s="14" t="s">
        <v>6733</v>
      </c>
      <c r="G478" s="14">
        <v>137846</v>
      </c>
      <c r="H478" s="14">
        <v>128160</v>
      </c>
      <c r="I478" s="14">
        <v>28</v>
      </c>
      <c r="J478" s="14" t="s">
        <v>187</v>
      </c>
      <c r="K478" s="14" t="s">
        <v>6735</v>
      </c>
      <c r="L478" s="14" t="s">
        <v>6736</v>
      </c>
      <c r="M478" s="14" t="s">
        <v>13130</v>
      </c>
      <c r="N478" s="14" t="s">
        <v>343</v>
      </c>
      <c r="O478" s="14" t="s">
        <v>9158</v>
      </c>
      <c r="P478" s="14" t="s">
        <v>9158</v>
      </c>
      <c r="Q478" s="14" t="s">
        <v>9158</v>
      </c>
      <c r="R478" s="14" t="s">
        <v>14748</v>
      </c>
    </row>
    <row r="480" spans="1:18">
      <c r="A480" s="14" t="s">
        <v>15731</v>
      </c>
    </row>
    <row r="481" spans="1:17">
      <c r="A481" s="14">
        <v>235343</v>
      </c>
      <c r="B481" s="14" t="s">
        <v>15733</v>
      </c>
    </row>
    <row r="482" spans="1:17">
      <c r="A482" s="14">
        <v>235349</v>
      </c>
      <c r="B482" s="14" t="s">
        <v>15732</v>
      </c>
    </row>
    <row r="483" spans="1:17">
      <c r="A483" s="14" t="s">
        <v>15440</v>
      </c>
      <c r="B483" s="7" t="s">
        <v>52</v>
      </c>
      <c r="C483" s="14" t="s">
        <v>202</v>
      </c>
      <c r="D483" s="18" t="s">
        <v>15441</v>
      </c>
      <c r="E483" s="15" t="str">
        <f>HYPERLINK("https://stat100.ameba.jp/tnk47/ratio20/illustrations/card/ill_93683_0_yukemurionsenshirowainchan03.jpg?202012-i_prefecture_active_user", "■")</f>
        <v>■</v>
      </c>
      <c r="F483" s="14" t="s">
        <v>15444</v>
      </c>
      <c r="G483" s="14">
        <v>277564</v>
      </c>
      <c r="H483" s="14">
        <v>339272</v>
      </c>
      <c r="I483" s="7">
        <v>28</v>
      </c>
      <c r="J483" s="14" t="s">
        <v>104</v>
      </c>
      <c r="K483" s="14" t="s">
        <v>15443</v>
      </c>
      <c r="L483" s="14" t="s">
        <v>15442</v>
      </c>
      <c r="M483" s="14" t="s">
        <v>9158</v>
      </c>
      <c r="N483" s="14" t="s">
        <v>9158</v>
      </c>
      <c r="O483" s="6" t="s">
        <v>15445</v>
      </c>
      <c r="P483" s="7" t="s">
        <v>15446</v>
      </c>
      <c r="Q483" s="7">
        <v>1</v>
      </c>
    </row>
    <row r="484" spans="1:17">
      <c r="A484" s="14">
        <v>94083</v>
      </c>
      <c r="B484" s="14" t="s">
        <v>15742</v>
      </c>
      <c r="C484" s="14" t="s">
        <v>15741</v>
      </c>
      <c r="D484" s="14" t="s">
        <v>15740</v>
      </c>
      <c r="E484" s="15" t="str">
        <f>HYPERLINK("https://stat100.ameba.jp/tnk47/ratio20/illustrations/card/ill_94083_bojorenubogo03.jpg?202012-i_prefecture_active_user", "■")</f>
        <v>■</v>
      </c>
      <c r="F484" s="14" t="s">
        <v>15739</v>
      </c>
      <c r="G484" s="14">
        <v>101650</v>
      </c>
      <c r="H484" s="14">
        <v>109370</v>
      </c>
      <c r="I484" s="14">
        <v>28</v>
      </c>
      <c r="J484" s="14" t="s">
        <v>15738</v>
      </c>
      <c r="K484" s="14" t="s">
        <v>15737</v>
      </c>
      <c r="L484" s="14" t="s">
        <v>15736</v>
      </c>
      <c r="M484" s="14" t="s">
        <v>9158</v>
      </c>
      <c r="N484" s="14" t="s">
        <v>9158</v>
      </c>
      <c r="O484" s="14" t="s">
        <v>9158</v>
      </c>
      <c r="P484" s="14" t="s">
        <v>9158</v>
      </c>
      <c r="Q484" s="14" t="s">
        <v>9158</v>
      </c>
    </row>
    <row r="485" spans="1:17">
      <c r="A485" s="14">
        <v>94093</v>
      </c>
      <c r="B485" s="14" t="s">
        <v>15742</v>
      </c>
      <c r="C485" s="14" t="s">
        <v>15750</v>
      </c>
      <c r="D485" s="14" t="s">
        <v>15749</v>
      </c>
      <c r="E485" s="15" t="str">
        <f>HYPERLINK("https://stat100.ameba.jp/tnk47/ratio20/illustrations/card/ill_94093_baresukuizumishikibu03.jpg?202012-i_prefecture_active_user", "■")</f>
        <v>■</v>
      </c>
      <c r="F485" s="14" t="s">
        <v>15748</v>
      </c>
      <c r="G485" s="14">
        <v>113536</v>
      </c>
      <c r="H485" s="14">
        <v>105610</v>
      </c>
      <c r="I485" s="14">
        <v>28</v>
      </c>
      <c r="J485" s="14" t="s">
        <v>15747</v>
      </c>
      <c r="K485" s="14" t="s">
        <v>15746</v>
      </c>
      <c r="L485" s="14" t="s">
        <v>15745</v>
      </c>
      <c r="M485" s="14" t="s">
        <v>9158</v>
      </c>
      <c r="N485" s="14" t="s">
        <v>9158</v>
      </c>
      <c r="O485" s="14" t="s">
        <v>9158</v>
      </c>
      <c r="P485" s="14" t="s">
        <v>9158</v>
      </c>
      <c r="Q485" s="14" t="s">
        <v>9158</v>
      </c>
    </row>
    <row r="486" spans="1:17">
      <c r="A486" s="14">
        <v>94103</v>
      </c>
      <c r="B486" s="14" t="s">
        <v>15743</v>
      </c>
      <c r="C486" s="14" t="s">
        <v>15755</v>
      </c>
      <c r="D486" s="14" t="s">
        <v>15754</v>
      </c>
      <c r="E486" s="15" t="str">
        <f>HYPERLINK("https://stat100.ameba.jp/tnk47/ratio20/illustrations/card/ill_94103_kareinaruyamanouenokura03.jpg?202012-i_prefecture_active_user", "■")</f>
        <v>■</v>
      </c>
      <c r="F486" s="14" t="s">
        <v>15753</v>
      </c>
      <c r="G486" s="14">
        <v>75274</v>
      </c>
      <c r="H486" s="14">
        <v>82992</v>
      </c>
      <c r="I486" s="14">
        <v>28</v>
      </c>
      <c r="J486" s="14" t="s">
        <v>15747</v>
      </c>
      <c r="K486" s="14" t="s">
        <v>15752</v>
      </c>
      <c r="L486" s="14" t="s">
        <v>15751</v>
      </c>
      <c r="M486" s="14" t="s">
        <v>9158</v>
      </c>
      <c r="N486" s="14" t="s">
        <v>9158</v>
      </c>
      <c r="O486" s="14" t="s">
        <v>9158</v>
      </c>
      <c r="P486" s="14" t="s">
        <v>9158</v>
      </c>
      <c r="Q486" s="14" t="s">
        <v>9158</v>
      </c>
    </row>
    <row r="487" spans="1:17">
      <c r="A487" s="14">
        <v>94113</v>
      </c>
      <c r="B487" s="14" t="s">
        <v>15744</v>
      </c>
      <c r="C487" s="14" t="s">
        <v>15761</v>
      </c>
      <c r="D487" s="14" t="s">
        <v>15760</v>
      </c>
      <c r="E487" s="15" t="str">
        <f>HYPERLINK("https://stat100.ameba.jp/tnk47/ratio20/illustrations/card/ill_94113_kurabuhapusosha03.jpg?202012-i_prefecture_active_user", "■")</f>
        <v>■</v>
      </c>
      <c r="F487" s="14" t="s">
        <v>15759</v>
      </c>
      <c r="G487" s="14">
        <v>58216</v>
      </c>
      <c r="H487" s="14">
        <v>48406</v>
      </c>
      <c r="I487" s="14">
        <v>28</v>
      </c>
      <c r="J487" s="14" t="s">
        <v>15758</v>
      </c>
      <c r="K487" s="14" t="s">
        <v>15757</v>
      </c>
      <c r="L487" s="14" t="s">
        <v>15756</v>
      </c>
      <c r="M487" s="14" t="s">
        <v>9158</v>
      </c>
      <c r="N487" s="14" t="s">
        <v>9158</v>
      </c>
      <c r="O487" s="14" t="s">
        <v>9158</v>
      </c>
      <c r="P487" s="14" t="s">
        <v>9158</v>
      </c>
      <c r="Q487" s="14" t="s">
        <v>9158</v>
      </c>
    </row>
    <row r="488" spans="1:17">
      <c r="A488" s="14">
        <v>94123</v>
      </c>
      <c r="B488" s="14" t="s">
        <v>15744</v>
      </c>
      <c r="C488" s="14" t="s">
        <v>15767</v>
      </c>
      <c r="D488" s="14" t="s">
        <v>15766</v>
      </c>
      <c r="E488" s="15" t="str">
        <f>HYPERLINK("https://stat100.ameba.jp/tnk47/ratio20/illustrations/card/ill_94123_yuzuwain03.jpg?202012-i_prefecture_active_user", "■")</f>
        <v>■</v>
      </c>
      <c r="F488" s="14" t="s">
        <v>15765</v>
      </c>
      <c r="G488" s="14">
        <v>48406</v>
      </c>
      <c r="H488" s="14">
        <v>58216</v>
      </c>
      <c r="I488" s="14">
        <v>28</v>
      </c>
      <c r="J488" s="14" t="s">
        <v>15764</v>
      </c>
      <c r="K488" s="14" t="s">
        <v>15763</v>
      </c>
      <c r="L488" s="14" t="s">
        <v>15762</v>
      </c>
      <c r="M488" s="14" t="s">
        <v>9158</v>
      </c>
      <c r="N488" s="14" t="s">
        <v>9158</v>
      </c>
      <c r="O488" s="14" t="s">
        <v>9158</v>
      </c>
      <c r="P488" s="14" t="s">
        <v>9158</v>
      </c>
      <c r="Q488" s="14" t="s">
        <v>9158</v>
      </c>
    </row>
    <row r="490" spans="1:17">
      <c r="A490" s="14" t="s">
        <v>15734</v>
      </c>
    </row>
    <row r="491" spans="1:17">
      <c r="A491" s="14">
        <v>235375</v>
      </c>
      <c r="B491" s="14" t="s">
        <v>15735</v>
      </c>
    </row>
    <row r="492" spans="1:17">
      <c r="A492" s="9" t="s">
        <v>5609</v>
      </c>
      <c r="B492" s="14" t="s">
        <v>52</v>
      </c>
      <c r="C492" s="14" t="s">
        <v>200</v>
      </c>
      <c r="D492" s="14" t="s">
        <v>1713</v>
      </c>
      <c r="E492" s="15" t="str">
        <f>HYPERLINK("https://stat100.ameba.jp/tnk47/ratio20/illustrations/card/ill_53753_0_natsumatsuritokugawaieyasu03.jpg?202012-i_prefecture_active_user", "■")</f>
        <v>■</v>
      </c>
      <c r="F492" s="14" t="s">
        <v>902</v>
      </c>
      <c r="G492" s="14">
        <v>138212</v>
      </c>
      <c r="H492" s="14">
        <v>122776</v>
      </c>
      <c r="I492" s="14">
        <v>22</v>
      </c>
      <c r="J492" s="14" t="s">
        <v>194</v>
      </c>
      <c r="K492" s="14" t="s">
        <v>1714</v>
      </c>
      <c r="L492" s="14" t="s">
        <v>904</v>
      </c>
      <c r="M492" s="14" t="s">
        <v>9158</v>
      </c>
      <c r="N492" s="14" t="s">
        <v>9158</v>
      </c>
      <c r="O492" s="17" t="s">
        <v>10052</v>
      </c>
      <c r="P492" s="14" t="s">
        <v>13121</v>
      </c>
      <c r="Q492" s="14">
        <v>1</v>
      </c>
    </row>
    <row r="493" spans="1:17">
      <c r="A493" s="14" t="s">
        <v>5620</v>
      </c>
      <c r="B493" s="14" t="s">
        <v>330</v>
      </c>
      <c r="C493" s="14" t="s">
        <v>206</v>
      </c>
      <c r="D493" s="20" t="s">
        <v>669</v>
      </c>
      <c r="E493" s="15" t="str">
        <f>HYPERLINK("https://stat100.ameba.jp/tnk47/ratio20/illustrations/card/ill_67173_0_yukemuriawamorichan03.jpg?202012-i_prefecture_active_user", "■")</f>
        <v>■</v>
      </c>
      <c r="F493" s="14" t="s">
        <v>670</v>
      </c>
      <c r="G493" s="14">
        <v>169032</v>
      </c>
      <c r="H493" s="14">
        <v>157150</v>
      </c>
      <c r="I493" s="14">
        <v>22</v>
      </c>
      <c r="J493" s="14" t="s">
        <v>283</v>
      </c>
      <c r="K493" s="14" t="s">
        <v>671</v>
      </c>
      <c r="L493" s="14" t="s">
        <v>672</v>
      </c>
      <c r="M493" s="14" t="s">
        <v>9158</v>
      </c>
      <c r="N493" s="14" t="s">
        <v>9158</v>
      </c>
      <c r="O493" s="19" t="s">
        <v>10087</v>
      </c>
      <c r="P493" s="14" t="s">
        <v>3455</v>
      </c>
      <c r="Q493" s="14">
        <v>1</v>
      </c>
    </row>
    <row r="494" spans="1:17">
      <c r="A494" s="14" t="s">
        <v>5622</v>
      </c>
      <c r="B494" s="14" t="s">
        <v>330</v>
      </c>
      <c r="C494" s="14" t="s">
        <v>335</v>
      </c>
      <c r="D494" s="19" t="s">
        <v>509</v>
      </c>
      <c r="E494" s="15" t="str">
        <f>HYPERLINK("https://stat100.ameba.jp/tnk47/ratio20/illustrations/card/ill_49953_0_yushamarihime03.jpg?202012-i_prefecture_active_user", "■")</f>
        <v>■</v>
      </c>
      <c r="F494" s="14" t="s">
        <v>510</v>
      </c>
      <c r="G494" s="14">
        <v>138212</v>
      </c>
      <c r="H494" s="14">
        <v>122776</v>
      </c>
      <c r="I494" s="14">
        <v>22</v>
      </c>
      <c r="J494" s="14" t="s">
        <v>315</v>
      </c>
      <c r="K494" s="14" t="s">
        <v>511</v>
      </c>
      <c r="L494" s="14" t="s">
        <v>512</v>
      </c>
      <c r="M494" s="14" t="s">
        <v>9158</v>
      </c>
      <c r="N494" s="14" t="s">
        <v>9158</v>
      </c>
      <c r="O494" s="14" t="s">
        <v>9158</v>
      </c>
      <c r="P494" s="14" t="s">
        <v>9158</v>
      </c>
      <c r="Q494" s="14" t="s">
        <v>9158</v>
      </c>
    </row>
    <row r="495" spans="1:17">
      <c r="A495" s="14">
        <v>85243</v>
      </c>
      <c r="B495" s="14" t="s">
        <v>334</v>
      </c>
      <c r="C495" s="14" t="s">
        <v>200</v>
      </c>
      <c r="D495" s="19" t="s">
        <v>10790</v>
      </c>
      <c r="E495" s="15" t="str">
        <f>HYPERLINK("https://stat100.ameba.jp/tnk47/ratio20/illustrations/card/ill_85243_daikokaijidaikonjikihime03.jpg?202012-i_prefecture_active_user", "■")</f>
        <v>■</v>
      </c>
      <c r="F495" s="14" t="s">
        <v>8159</v>
      </c>
      <c r="G495" s="14">
        <v>122539</v>
      </c>
      <c r="H495" s="14">
        <v>88781</v>
      </c>
      <c r="I495" s="14">
        <v>27</v>
      </c>
      <c r="J495" s="14" t="s">
        <v>155</v>
      </c>
      <c r="K495" s="14" t="s">
        <v>8158</v>
      </c>
      <c r="L495" s="14" t="s">
        <v>8157</v>
      </c>
      <c r="M495" s="14" t="s">
        <v>9158</v>
      </c>
      <c r="N495" s="14" t="s">
        <v>9158</v>
      </c>
      <c r="O495" s="14" t="s">
        <v>9158</v>
      </c>
      <c r="P495" s="14" t="s">
        <v>9158</v>
      </c>
      <c r="Q495" s="14" t="s">
        <v>9158</v>
      </c>
    </row>
    <row r="496" spans="1:17">
      <c r="A496" s="14">
        <v>74323</v>
      </c>
      <c r="B496" s="14" t="s">
        <v>334</v>
      </c>
      <c r="C496" s="14" t="s">
        <v>165</v>
      </c>
      <c r="D496" s="19" t="s">
        <v>10222</v>
      </c>
      <c r="E496" s="15" t="str">
        <f>HYPERLINK("https://stat100.ameba.jp/tnk47/ratio20/illustrations/card/ill_74323_nadanosake03.jpg?202012-i_prefecture_active_user", "■")</f>
        <v>■</v>
      </c>
      <c r="F496" s="14" t="s">
        <v>5092</v>
      </c>
      <c r="G496" s="14">
        <v>157484</v>
      </c>
      <c r="H496" s="14">
        <v>88593</v>
      </c>
      <c r="I496" s="14">
        <v>27</v>
      </c>
      <c r="J496" s="14" t="s">
        <v>216</v>
      </c>
      <c r="K496" s="14" t="s">
        <v>5094</v>
      </c>
      <c r="L496" s="14" t="s">
        <v>2409</v>
      </c>
      <c r="M496" s="14" t="s">
        <v>9158</v>
      </c>
      <c r="N496" s="14" t="s">
        <v>9158</v>
      </c>
      <c r="O496" s="14" t="s">
        <v>9158</v>
      </c>
      <c r="P496" s="14" t="s">
        <v>9158</v>
      </c>
      <c r="Q496" s="14" t="s">
        <v>9158</v>
      </c>
    </row>
    <row r="497" spans="1:18">
      <c r="A497" s="9">
        <v>86323</v>
      </c>
      <c r="B497" s="9" t="s">
        <v>0</v>
      </c>
      <c r="C497" s="9" t="s">
        <v>185</v>
      </c>
      <c r="D497" s="20" t="s">
        <v>10895</v>
      </c>
      <c r="E497" s="15" t="str">
        <f>HYPERLINK("https://stat100.ameba.jp/tnk47/ratio20/illustrations/card/ill_86323_hagoitataisemmatsukawahime03.jpg?202012-i_prefecture_active_user", "■")</f>
        <v>■</v>
      </c>
      <c r="F497" s="9" t="s">
        <v>8909</v>
      </c>
      <c r="G497" s="9">
        <v>160507</v>
      </c>
      <c r="H497" s="9">
        <v>149240</v>
      </c>
      <c r="I497" s="14">
        <v>27</v>
      </c>
      <c r="J497" s="14" t="s">
        <v>73</v>
      </c>
      <c r="K497" s="9" t="s">
        <v>8908</v>
      </c>
      <c r="L497" s="9" t="s">
        <v>5251</v>
      </c>
      <c r="M497" s="14" t="s">
        <v>9158</v>
      </c>
      <c r="N497" s="14" t="s">
        <v>9158</v>
      </c>
      <c r="O497" s="14" t="s">
        <v>9158</v>
      </c>
      <c r="P497" s="14" t="s">
        <v>9158</v>
      </c>
      <c r="Q497" s="14" t="s">
        <v>9158</v>
      </c>
    </row>
    <row r="499" spans="1:18">
      <c r="A499" s="14" t="s">
        <v>15772</v>
      </c>
    </row>
    <row r="500" spans="1:18">
      <c r="A500" s="14">
        <v>105023</v>
      </c>
      <c r="B500" s="14" t="s">
        <v>15773</v>
      </c>
    </row>
    <row r="501" spans="1:18">
      <c r="A501" s="14">
        <v>90485</v>
      </c>
      <c r="B501" s="14" t="s">
        <v>0</v>
      </c>
      <c r="C501" s="14" t="s">
        <v>202</v>
      </c>
      <c r="D501" s="18" t="s">
        <v>13763</v>
      </c>
      <c r="E501" s="15" t="str">
        <f>HYPERLINK("https://stat100.ameba.jp/tnk47/ratio20/illustrations/card/ill_90485_daikaizokunoboreikamaitachi05.jpg?202012-i_prefecture_active_user", "■")</f>
        <v>■</v>
      </c>
      <c r="F501" s="14" t="s">
        <v>13765</v>
      </c>
      <c r="G501" s="14">
        <v>210358</v>
      </c>
      <c r="H501" s="14">
        <v>152322</v>
      </c>
      <c r="I501" s="14">
        <v>28</v>
      </c>
      <c r="J501" s="14" t="s">
        <v>73</v>
      </c>
      <c r="K501" s="14" t="s">
        <v>13767</v>
      </c>
      <c r="L501" s="14" t="s">
        <v>13766</v>
      </c>
      <c r="M501" s="14" t="s">
        <v>9158</v>
      </c>
      <c r="N501" s="14" t="s">
        <v>9158</v>
      </c>
      <c r="O501" s="14" t="s">
        <v>9158</v>
      </c>
      <c r="P501" s="14" t="s">
        <v>9158</v>
      </c>
      <c r="Q501" s="14" t="s">
        <v>9158</v>
      </c>
      <c r="R501" s="14" t="s">
        <v>174</v>
      </c>
    </row>
    <row r="502" spans="1:18">
      <c r="A502" s="14">
        <v>90483</v>
      </c>
      <c r="B502" s="14" t="s">
        <v>15</v>
      </c>
      <c r="C502" s="14" t="s">
        <v>158</v>
      </c>
      <c r="D502" s="18" t="s">
        <v>13763</v>
      </c>
      <c r="E502" s="15" t="str">
        <f>HYPERLINK("https://stat100.ameba.jp/tnk47/ratio20/illustrations/card/ill_90483_daikaizokunoboreikamaitachi03.jpg?202012-i_prefecture_active_user", "■")</f>
        <v>■</v>
      </c>
      <c r="F502" s="14" t="s">
        <v>13765</v>
      </c>
      <c r="G502" s="14">
        <v>154992</v>
      </c>
      <c r="H502" s="14">
        <v>112234</v>
      </c>
      <c r="I502" s="14">
        <v>28</v>
      </c>
      <c r="J502" s="14" t="s">
        <v>73</v>
      </c>
      <c r="K502" s="14" t="s">
        <v>13767</v>
      </c>
      <c r="L502" s="14" t="s">
        <v>13769</v>
      </c>
      <c r="M502" s="14" t="s">
        <v>9158</v>
      </c>
      <c r="N502" s="14" t="s">
        <v>9158</v>
      </c>
      <c r="O502" s="14" t="s">
        <v>9158</v>
      </c>
      <c r="P502" s="14" t="s">
        <v>9158</v>
      </c>
      <c r="Q502" s="14" t="s">
        <v>9158</v>
      </c>
      <c r="R502" s="14" t="s">
        <v>175</v>
      </c>
    </row>
    <row r="503" spans="1:18">
      <c r="A503" s="14">
        <v>90481</v>
      </c>
      <c r="B503" s="14" t="s">
        <v>15</v>
      </c>
      <c r="C503" s="14" t="s">
        <v>158</v>
      </c>
      <c r="D503" s="18" t="s">
        <v>13763</v>
      </c>
      <c r="E503" s="15" t="str">
        <f>HYPERLINK("https://stat100.ameba.jp/tnk47/ratio20/illustrations/card/ill_90481_daikaizokunoboreikamaitachi01.jpg?202012-i_prefecture_active_user", "■")</f>
        <v>■</v>
      </c>
      <c r="F503" s="14" t="s">
        <v>13765</v>
      </c>
      <c r="G503" s="14">
        <v>98588</v>
      </c>
      <c r="H503" s="14">
        <v>71400</v>
      </c>
      <c r="I503" s="14">
        <v>28</v>
      </c>
      <c r="J503" s="14" t="s">
        <v>73</v>
      </c>
      <c r="K503" s="14" t="s">
        <v>13767</v>
      </c>
      <c r="L503" s="14" t="s">
        <v>13770</v>
      </c>
      <c r="M503" s="14" t="s">
        <v>9158</v>
      </c>
      <c r="N503" s="14" t="s">
        <v>9158</v>
      </c>
      <c r="O503" s="14" t="s">
        <v>9158</v>
      </c>
      <c r="P503" s="14" t="s">
        <v>9158</v>
      </c>
      <c r="Q503" s="14" t="s">
        <v>9158</v>
      </c>
      <c r="R503" s="14" t="s">
        <v>176</v>
      </c>
    </row>
    <row r="504" spans="1:18">
      <c r="A504" s="9">
        <v>80155</v>
      </c>
      <c r="B504" s="14" t="s">
        <v>0</v>
      </c>
      <c r="C504" s="14" t="s">
        <v>202</v>
      </c>
      <c r="D504" s="14" t="s">
        <v>3899</v>
      </c>
      <c r="E504" s="15" t="str">
        <f>HYPERLINK("https://stat100.ameba.jp/tnk47/ratio20/illustrations/card/ill_80155_asashinsukurutsuneyamagozen05.jpg?202012-i_prefecture_active_user", "■")</f>
        <v>■</v>
      </c>
      <c r="F504" s="14" t="s">
        <v>3900</v>
      </c>
      <c r="G504" s="14">
        <v>100052</v>
      </c>
      <c r="H504" s="14">
        <v>138202</v>
      </c>
      <c r="I504" s="14">
        <v>28</v>
      </c>
      <c r="J504" s="14" t="s">
        <v>143</v>
      </c>
      <c r="K504" s="14" t="s">
        <v>3901</v>
      </c>
      <c r="L504" s="14" t="s">
        <v>3902</v>
      </c>
      <c r="M504" s="14" t="s">
        <v>9158</v>
      </c>
      <c r="N504" s="14" t="s">
        <v>9158</v>
      </c>
      <c r="O504" s="14" t="s">
        <v>9158</v>
      </c>
      <c r="P504" s="14" t="s">
        <v>9158</v>
      </c>
      <c r="Q504" s="14" t="s">
        <v>9158</v>
      </c>
      <c r="R504" s="14" t="s">
        <v>174</v>
      </c>
    </row>
    <row r="505" spans="1:18">
      <c r="A505" s="9">
        <v>80153</v>
      </c>
      <c r="B505" s="14" t="s">
        <v>15</v>
      </c>
      <c r="C505" s="14" t="s">
        <v>158</v>
      </c>
      <c r="D505" s="14" t="s">
        <v>3899</v>
      </c>
      <c r="E505" s="15" t="str">
        <f>HYPERLINK("https://stat100.ameba.jp/tnk47/ratio20/illustrations/card/ill_80153_asashinsukurutsuneyamagozen03.jpg?202012-i_prefecture_active_user", "■")</f>
        <v>■</v>
      </c>
      <c r="F505" s="14" t="s">
        <v>3900</v>
      </c>
      <c r="G505" s="14">
        <v>73710</v>
      </c>
      <c r="H505" s="14">
        <v>101816</v>
      </c>
      <c r="I505" s="14">
        <v>28</v>
      </c>
      <c r="J505" s="14" t="s">
        <v>143</v>
      </c>
      <c r="K505" s="14" t="s">
        <v>3901</v>
      </c>
      <c r="L505" s="14" t="s">
        <v>2619</v>
      </c>
      <c r="M505" s="14" t="s">
        <v>9158</v>
      </c>
      <c r="N505" s="14" t="s">
        <v>9158</v>
      </c>
      <c r="O505" s="14" t="s">
        <v>9158</v>
      </c>
      <c r="P505" s="14" t="s">
        <v>9158</v>
      </c>
      <c r="Q505" s="14" t="s">
        <v>9158</v>
      </c>
      <c r="R505" s="14" t="s">
        <v>175</v>
      </c>
    </row>
    <row r="506" spans="1:18">
      <c r="A506" s="9">
        <v>80151</v>
      </c>
      <c r="B506" s="14" t="s">
        <v>15</v>
      </c>
      <c r="C506" s="14" t="s">
        <v>158</v>
      </c>
      <c r="D506" s="14" t="s">
        <v>3899</v>
      </c>
      <c r="E506" s="15" t="str">
        <f>HYPERLINK("https://stat100.ameba.jp/tnk47/ratio20/illustrations/card/ill_80151_asashinsukurutsuneyamagozen01.jpg?202012-i_prefecture_active_user", "■")</f>
        <v>■</v>
      </c>
      <c r="F506" s="14" t="s">
        <v>3900</v>
      </c>
      <c r="G506" s="14">
        <v>46872</v>
      </c>
      <c r="H506" s="14">
        <v>64764</v>
      </c>
      <c r="I506" s="14">
        <v>28</v>
      </c>
      <c r="J506" s="14" t="s">
        <v>143</v>
      </c>
      <c r="K506" s="14" t="s">
        <v>3901</v>
      </c>
      <c r="L506" s="14" t="s">
        <v>1148</v>
      </c>
      <c r="M506" s="14" t="s">
        <v>9158</v>
      </c>
      <c r="N506" s="14" t="s">
        <v>9158</v>
      </c>
      <c r="O506" s="14" t="s">
        <v>9158</v>
      </c>
      <c r="P506" s="14" t="s">
        <v>9158</v>
      </c>
      <c r="Q506" s="14" t="s">
        <v>9158</v>
      </c>
      <c r="R506" s="14" t="s">
        <v>176</v>
      </c>
    </row>
    <row r="507" spans="1:18">
      <c r="A507" s="14">
        <v>89805</v>
      </c>
      <c r="B507" s="14" t="s">
        <v>334</v>
      </c>
      <c r="C507" s="14" t="s">
        <v>202</v>
      </c>
      <c r="D507" s="14" t="s">
        <v>13866</v>
      </c>
      <c r="E507" s="15" t="str">
        <f>HYPERLINK("https://stat100.ameba.jp/tnk47/ratio20/illustrations/card/ill_89805_cheripai05.jpg?202012-i_prefecture_active_user", "■")</f>
        <v>■</v>
      </c>
      <c r="F507" s="14" t="s">
        <v>13867</v>
      </c>
      <c r="G507" s="14">
        <v>200370</v>
      </c>
      <c r="H507" s="14">
        <v>145082</v>
      </c>
      <c r="I507" s="14">
        <v>28</v>
      </c>
      <c r="J507" s="14" t="s">
        <v>104</v>
      </c>
      <c r="K507" s="14" t="s">
        <v>13868</v>
      </c>
      <c r="L507" s="14" t="s">
        <v>4443</v>
      </c>
      <c r="M507" s="14" t="s">
        <v>9158</v>
      </c>
      <c r="N507" s="14" t="s">
        <v>9158</v>
      </c>
      <c r="O507" s="14" t="s">
        <v>9158</v>
      </c>
      <c r="P507" s="14" t="s">
        <v>9158</v>
      </c>
      <c r="Q507" s="14" t="s">
        <v>9158</v>
      </c>
      <c r="R507" s="14" t="s">
        <v>174</v>
      </c>
    </row>
    <row r="508" spans="1:18">
      <c r="A508" s="14">
        <v>89803</v>
      </c>
      <c r="B508" s="14" t="s">
        <v>15</v>
      </c>
      <c r="C508" s="14" t="s">
        <v>209</v>
      </c>
      <c r="D508" s="14" t="s">
        <v>13866</v>
      </c>
      <c r="E508" s="15" t="str">
        <f>HYPERLINK("https://stat100.ameba.jp/tnk47/ratio20/illustrations/card/ill_89803_cheripai03.jpg?202012-i_prefecture_active_user", "■")</f>
        <v>■</v>
      </c>
      <c r="F508" s="14" t="s">
        <v>13867</v>
      </c>
      <c r="G508" s="14">
        <v>147630</v>
      </c>
      <c r="H508" s="14">
        <v>106890</v>
      </c>
      <c r="I508" s="14">
        <v>28</v>
      </c>
      <c r="J508" s="14" t="s">
        <v>104</v>
      </c>
      <c r="K508" s="14" t="s">
        <v>13868</v>
      </c>
      <c r="L508" s="14" t="s">
        <v>13873</v>
      </c>
      <c r="M508" s="14" t="s">
        <v>9158</v>
      </c>
      <c r="N508" s="14" t="s">
        <v>9158</v>
      </c>
      <c r="O508" s="14" t="s">
        <v>9158</v>
      </c>
      <c r="P508" s="14" t="s">
        <v>9158</v>
      </c>
      <c r="Q508" s="14" t="s">
        <v>9158</v>
      </c>
      <c r="R508" s="14" t="s">
        <v>175</v>
      </c>
    </row>
    <row r="509" spans="1:18">
      <c r="A509" s="14">
        <v>89801</v>
      </c>
      <c r="B509" s="14" t="s">
        <v>15</v>
      </c>
      <c r="C509" s="14" t="s">
        <v>209</v>
      </c>
      <c r="D509" s="14" t="s">
        <v>13866</v>
      </c>
      <c r="E509" s="15" t="str">
        <f>HYPERLINK("https://stat100.ameba.jp/tnk47/ratio20/illustrations/card/ill_89801_cheripai01.jpg?202012-i_prefecture_active_user", "■")</f>
        <v>■</v>
      </c>
      <c r="F509" s="14" t="s">
        <v>13867</v>
      </c>
      <c r="G509" s="14">
        <v>93912</v>
      </c>
      <c r="H509" s="14">
        <v>68012</v>
      </c>
      <c r="I509" s="14">
        <v>28</v>
      </c>
      <c r="J509" s="14" t="s">
        <v>104</v>
      </c>
      <c r="K509" s="14" t="s">
        <v>13868</v>
      </c>
      <c r="L509" s="14" t="s">
        <v>5193</v>
      </c>
      <c r="M509" s="14" t="s">
        <v>9158</v>
      </c>
      <c r="N509" s="14" t="s">
        <v>9158</v>
      </c>
      <c r="O509" s="14" t="s">
        <v>9158</v>
      </c>
      <c r="P509" s="14" t="s">
        <v>9158</v>
      </c>
      <c r="Q509" s="14" t="s">
        <v>9158</v>
      </c>
      <c r="R509" s="14" t="s">
        <v>176</v>
      </c>
    </row>
    <row r="511" spans="1:18">
      <c r="A511" s="14" t="s">
        <v>15774</v>
      </c>
    </row>
    <row r="512" spans="1:18">
      <c r="A512" s="14">
        <v>104945</v>
      </c>
      <c r="B512" s="14" t="s">
        <v>15775</v>
      </c>
    </row>
    <row r="513" spans="1:17">
      <c r="A513" s="14" t="s">
        <v>5734</v>
      </c>
      <c r="B513" s="14" t="s">
        <v>330</v>
      </c>
      <c r="C513" s="14" t="s">
        <v>202</v>
      </c>
      <c r="D513" s="20" t="s">
        <v>1497</v>
      </c>
      <c r="E513" s="15" t="str">
        <f>HYPERLINK("https://stat100.ameba.jp/tnk47/ratio20/illustrations/card/ill_74593_0_natsuyuenchikoshihikari03.jpg?202012-i_prefecture_active_user", "■")</f>
        <v>■</v>
      </c>
      <c r="F513" s="14" t="s">
        <v>1498</v>
      </c>
      <c r="G513" s="14">
        <v>281662</v>
      </c>
      <c r="H513" s="14">
        <v>261852</v>
      </c>
      <c r="I513" s="14">
        <v>26</v>
      </c>
      <c r="J513" s="14" t="s">
        <v>283</v>
      </c>
      <c r="K513" s="14" t="s">
        <v>1499</v>
      </c>
      <c r="L513" s="14" t="s">
        <v>1500</v>
      </c>
      <c r="M513" s="14" t="s">
        <v>9158</v>
      </c>
      <c r="N513" s="14" t="s">
        <v>9158</v>
      </c>
      <c r="O513" s="19" t="s">
        <v>2731</v>
      </c>
      <c r="P513" s="14" t="s">
        <v>2732</v>
      </c>
      <c r="Q513" s="14">
        <v>1</v>
      </c>
    </row>
    <row r="514" spans="1:17">
      <c r="A514" s="14">
        <v>80573</v>
      </c>
      <c r="B514" s="14" t="s">
        <v>334</v>
      </c>
      <c r="C514" s="14" t="s">
        <v>165</v>
      </c>
      <c r="D514" s="20" t="s">
        <v>10301</v>
      </c>
      <c r="E514" s="15" t="str">
        <f>HYPERLINK("https://stat100.ameba.jp/tnk47/ratio20/illustrations/card/ill_80573_ohanamigurampingusotorihime03.jpg?202012-i_prefecture_active_user", "■")</f>
        <v>■</v>
      </c>
      <c r="F514" s="14" t="s">
        <v>4176</v>
      </c>
      <c r="G514" s="14">
        <v>118656</v>
      </c>
      <c r="H514" s="14">
        <v>110126</v>
      </c>
      <c r="I514" s="14">
        <v>26</v>
      </c>
      <c r="J514" s="14" t="s">
        <v>38</v>
      </c>
      <c r="K514" s="14" t="s">
        <v>4177</v>
      </c>
      <c r="L514" s="14" t="s">
        <v>4178</v>
      </c>
      <c r="M514" s="14" t="s">
        <v>9158</v>
      </c>
      <c r="N514" s="14" t="s">
        <v>9158</v>
      </c>
      <c r="O514" s="19" t="s">
        <v>10119</v>
      </c>
      <c r="P514" s="14" t="s">
        <v>3662</v>
      </c>
      <c r="Q514" s="14">
        <v>1</v>
      </c>
    </row>
    <row r="515" spans="1:17">
      <c r="A515" s="14">
        <v>88323</v>
      </c>
      <c r="B515" s="14" t="s">
        <v>0</v>
      </c>
      <c r="C515" s="14" t="s">
        <v>205</v>
      </c>
      <c r="D515" s="18" t="s">
        <v>12019</v>
      </c>
      <c r="E515" s="15" t="str">
        <f>HYPERLINK("https://stat100.ameba.jp/tnk47/ratio20/illustrations/card/ill_88323_hanamibakedanuki03.jpg?202012-i_prefecture_active_user", "■")</f>
        <v>■</v>
      </c>
      <c r="F515" s="14" t="s">
        <v>12020</v>
      </c>
      <c r="G515" s="14">
        <v>100744</v>
      </c>
      <c r="H515" s="14">
        <v>108330</v>
      </c>
      <c r="I515" s="14">
        <v>26</v>
      </c>
      <c r="J515" s="14" t="s">
        <v>73</v>
      </c>
      <c r="K515" s="14" t="s">
        <v>12021</v>
      </c>
      <c r="L515" s="14" t="s">
        <v>12022</v>
      </c>
      <c r="M515" s="14" t="s">
        <v>9158</v>
      </c>
      <c r="N515" s="14" t="s">
        <v>9158</v>
      </c>
      <c r="O515" s="6" t="s">
        <v>10064</v>
      </c>
      <c r="P515" s="7" t="s">
        <v>13150</v>
      </c>
      <c r="Q515" s="7">
        <v>1</v>
      </c>
    </row>
    <row r="516" spans="1:17">
      <c r="A516" s="9">
        <v>71323</v>
      </c>
      <c r="B516" s="14" t="s">
        <v>0</v>
      </c>
      <c r="C516" s="14" t="s">
        <v>154</v>
      </c>
      <c r="D516" s="14" t="s">
        <v>1878</v>
      </c>
      <c r="E516" s="15" t="str">
        <f>HYPERLINK("https://stat100.ameba.jp/tnk47/ratio20/illustrations/card/ill_71323_kodanobu03.jpg?202012-i_prefecture_active_user", "■")</f>
        <v>■</v>
      </c>
      <c r="F516" s="14" t="s">
        <v>1879</v>
      </c>
      <c r="G516" s="14">
        <v>130000</v>
      </c>
      <c r="H516" s="14">
        <v>120874</v>
      </c>
      <c r="I516" s="14">
        <v>26</v>
      </c>
      <c r="J516" s="14" t="s">
        <v>16</v>
      </c>
      <c r="K516" s="14" t="s">
        <v>1880</v>
      </c>
      <c r="L516" s="14" t="s">
        <v>1881</v>
      </c>
      <c r="M516" s="14" t="s">
        <v>9158</v>
      </c>
      <c r="N516" s="14" t="s">
        <v>9158</v>
      </c>
      <c r="O516" s="17" t="s">
        <v>10055</v>
      </c>
      <c r="P516" s="14" t="s">
        <v>13124</v>
      </c>
      <c r="Q516" s="14">
        <v>1</v>
      </c>
    </row>
    <row r="518" spans="1:17">
      <c r="A518" s="14" t="s">
        <v>1176</v>
      </c>
    </row>
    <row r="519" spans="1:17">
      <c r="A519" s="14">
        <v>104948</v>
      </c>
      <c r="B519" s="14" t="s">
        <v>2032</v>
      </c>
    </row>
    <row r="520" spans="1:17">
      <c r="A520" s="14" t="s">
        <v>5617</v>
      </c>
      <c r="B520" s="14" t="s">
        <v>330</v>
      </c>
      <c r="C520" s="14" t="s">
        <v>308</v>
      </c>
      <c r="D520" s="19" t="s">
        <v>385</v>
      </c>
      <c r="E520" s="15" t="str">
        <f>HYPERLINK("https://stat100.ameba.jp/tnk47/ratio20/illustrations/card/ill_59673_0_oheyashutendoji03.jpg?202012-5-RELEASE-marathon-506", "■")</f>
        <v>■</v>
      </c>
      <c r="F520" s="14" t="s">
        <v>386</v>
      </c>
      <c r="G520" s="14">
        <v>168874</v>
      </c>
      <c r="H520" s="14">
        <v>181640</v>
      </c>
      <c r="I520" s="14">
        <v>24</v>
      </c>
      <c r="J520" s="14" t="s">
        <v>320</v>
      </c>
      <c r="K520" s="14" t="s">
        <v>387</v>
      </c>
      <c r="L520" s="14" t="s">
        <v>388</v>
      </c>
      <c r="M520" s="14" t="s">
        <v>9158</v>
      </c>
      <c r="N520" s="14" t="s">
        <v>9158</v>
      </c>
      <c r="O520" s="19" t="s">
        <v>10078</v>
      </c>
      <c r="P520" s="14" t="s">
        <v>3022</v>
      </c>
      <c r="Q520" s="14">
        <v>1</v>
      </c>
    </row>
    <row r="521" spans="1:17">
      <c r="A521" s="14" t="s">
        <v>5602</v>
      </c>
      <c r="B521" s="14" t="s">
        <v>52</v>
      </c>
      <c r="C521" s="14" t="s">
        <v>14</v>
      </c>
      <c r="D521" s="19" t="s">
        <v>813</v>
      </c>
      <c r="E521" s="15" t="str">
        <f>HYPERLINK("https://stat100.ameba.jp/tnk47/ratio20/illustrations/card/ill_55313_0_haroinononokomachi03.jpg?202012-5-RELEASE-marathon-506", "■")</f>
        <v>■</v>
      </c>
      <c r="F521" s="14" t="s">
        <v>2094</v>
      </c>
      <c r="G521" s="14">
        <v>150776</v>
      </c>
      <c r="H521" s="14">
        <v>133938</v>
      </c>
      <c r="I521" s="14">
        <v>24</v>
      </c>
      <c r="J521" s="14" t="s">
        <v>10</v>
      </c>
      <c r="K521" s="14" t="s">
        <v>2095</v>
      </c>
      <c r="L521" s="14" t="s">
        <v>2096</v>
      </c>
      <c r="M521" s="14" t="s">
        <v>9158</v>
      </c>
      <c r="N521" s="14" t="s">
        <v>9158</v>
      </c>
      <c r="O521" s="19" t="s">
        <v>2733</v>
      </c>
      <c r="P521" s="14" t="s">
        <v>2734</v>
      </c>
      <c r="Q521" s="14">
        <v>1</v>
      </c>
    </row>
    <row r="522" spans="1:17">
      <c r="A522" s="14" t="s">
        <v>5627</v>
      </c>
      <c r="B522" s="14" t="s">
        <v>330</v>
      </c>
      <c r="C522" s="14" t="s">
        <v>191</v>
      </c>
      <c r="D522" s="19" t="s">
        <v>393</v>
      </c>
      <c r="E522" s="15" t="str">
        <f>HYPERLINK("https://stat100.ameba.jp/tnk47/ratio20/illustrations/card/ill_46283_0_odanobunaga03.jpg?202012-5-RELEASE-marathon-506", "■")</f>
        <v>■</v>
      </c>
      <c r="F522" s="14" t="s">
        <v>1073</v>
      </c>
      <c r="G522" s="14">
        <v>131538</v>
      </c>
      <c r="H522" s="14">
        <v>140448</v>
      </c>
      <c r="I522" s="14">
        <v>24</v>
      </c>
      <c r="J522" s="14" t="s">
        <v>143</v>
      </c>
      <c r="K522" s="14" t="s">
        <v>1074</v>
      </c>
      <c r="L522" s="14" t="s">
        <v>1075</v>
      </c>
      <c r="M522" s="14" t="s">
        <v>9158</v>
      </c>
      <c r="N522" s="14" t="s">
        <v>9158</v>
      </c>
      <c r="O522" s="14" t="s">
        <v>9158</v>
      </c>
      <c r="P522" s="14" t="s">
        <v>9158</v>
      </c>
      <c r="Q522" s="14" t="s">
        <v>9158</v>
      </c>
    </row>
    <row r="523" spans="1:17">
      <c r="A523" s="14">
        <v>94083</v>
      </c>
      <c r="B523" s="14" t="s">
        <v>0</v>
      </c>
      <c r="C523" s="14" t="s">
        <v>23</v>
      </c>
      <c r="D523" s="14" t="s">
        <v>15740</v>
      </c>
      <c r="E523" s="15" t="str">
        <f>HYPERLINK("https://stat100.ameba.jp/tnk47/ratio20/illustrations/card/ill_94083_bojorenubogo03.jpg?202012-5-RELEASE-marathon-506", "■")</f>
        <v>■</v>
      </c>
      <c r="F523" s="14" t="s">
        <v>15739</v>
      </c>
      <c r="G523" s="14">
        <v>94390</v>
      </c>
      <c r="H523" s="14">
        <v>101558</v>
      </c>
      <c r="I523" s="14">
        <v>26</v>
      </c>
      <c r="J523" s="14" t="s">
        <v>77</v>
      </c>
      <c r="K523" s="14" t="s">
        <v>15737</v>
      </c>
      <c r="L523" s="14" t="s">
        <v>13612</v>
      </c>
      <c r="M523" s="14" t="s">
        <v>9158</v>
      </c>
      <c r="N523" s="14" t="s">
        <v>9158</v>
      </c>
      <c r="O523" s="14" t="s">
        <v>9158</v>
      </c>
      <c r="P523" s="14" t="s">
        <v>9158</v>
      </c>
      <c r="Q523" s="14" t="s">
        <v>9158</v>
      </c>
    </row>
    <row r="524" spans="1:17">
      <c r="A524" s="14">
        <v>94103</v>
      </c>
      <c r="B524" s="14" t="s">
        <v>15</v>
      </c>
      <c r="C524" s="14" t="s">
        <v>107</v>
      </c>
      <c r="D524" s="14" t="s">
        <v>15754</v>
      </c>
      <c r="E524" s="15" t="str">
        <f>HYPERLINK("https://stat100.ameba.jp/tnk47/ratio20/illustrations/card/ill_94103_kareinaruyamanouenokura03.jpg?202012-5-RELEASE-marathon-506", "■")</f>
        <v>■</v>
      </c>
      <c r="F524" s="14" t="s">
        <v>15753</v>
      </c>
      <c r="G524" s="14">
        <v>69898</v>
      </c>
      <c r="H524" s="14">
        <v>77064</v>
      </c>
      <c r="I524" s="14">
        <v>26</v>
      </c>
      <c r="J524" s="14" t="s">
        <v>16</v>
      </c>
      <c r="K524" s="14" t="s">
        <v>15752</v>
      </c>
      <c r="L524" s="14" t="s">
        <v>981</v>
      </c>
      <c r="M524" s="14" t="s">
        <v>9158</v>
      </c>
      <c r="N524" s="14" t="s">
        <v>9158</v>
      </c>
      <c r="O524" s="14" t="s">
        <v>9158</v>
      </c>
      <c r="P524" s="14" t="s">
        <v>9158</v>
      </c>
      <c r="Q524" s="14" t="s">
        <v>9158</v>
      </c>
    </row>
    <row r="525" spans="1:17">
      <c r="A525" s="14">
        <v>94113</v>
      </c>
      <c r="B525" s="14" t="s">
        <v>22</v>
      </c>
      <c r="C525" s="14" t="s">
        <v>101</v>
      </c>
      <c r="D525" s="14" t="s">
        <v>15760</v>
      </c>
      <c r="E525" s="15" t="str">
        <f>HYPERLINK("https://stat100.ameba.jp/tnk47/ratio20/illustrations/card/ill_94113_kurabuhapusosha03.jpg?202012-5-RELEASE-marathon-506", "■")</f>
        <v>■</v>
      </c>
      <c r="F525" s="14" t="s">
        <v>15759</v>
      </c>
      <c r="G525" s="14">
        <v>54058</v>
      </c>
      <c r="H525" s="14">
        <v>44948</v>
      </c>
      <c r="I525" s="14">
        <v>26</v>
      </c>
      <c r="J525" s="14" t="s">
        <v>26</v>
      </c>
      <c r="K525" s="14" t="s">
        <v>15757</v>
      </c>
      <c r="L525" s="14" t="s">
        <v>2635</v>
      </c>
      <c r="M525" s="14" t="s">
        <v>9158</v>
      </c>
      <c r="N525" s="14" t="s">
        <v>9158</v>
      </c>
      <c r="O525" s="14" t="s">
        <v>9158</v>
      </c>
      <c r="P525" s="14" t="s">
        <v>9158</v>
      </c>
      <c r="Q525" s="14" t="s">
        <v>9158</v>
      </c>
    </row>
    <row r="526" spans="1:17">
      <c r="A526" s="14">
        <v>94123</v>
      </c>
      <c r="B526" s="14" t="s">
        <v>22</v>
      </c>
      <c r="C526" s="14" t="s">
        <v>1</v>
      </c>
      <c r="D526" s="14" t="s">
        <v>15766</v>
      </c>
      <c r="E526" s="15" t="str">
        <f>HYPERLINK("https://stat100.ameba.jp/tnk47/ratio20/illustrations/card/ill_94123_yuzuwain03.jpg?202012-5-RELEASE-marathon-506", "■")</f>
        <v>■</v>
      </c>
      <c r="F526" s="14" t="s">
        <v>15765</v>
      </c>
      <c r="G526" s="14">
        <v>44948</v>
      </c>
      <c r="H526" s="14">
        <v>54058</v>
      </c>
      <c r="I526" s="14">
        <v>26</v>
      </c>
      <c r="J526" s="14" t="s">
        <v>104</v>
      </c>
      <c r="K526" s="14" t="s">
        <v>15763</v>
      </c>
      <c r="L526" s="14" t="s">
        <v>3839</v>
      </c>
      <c r="M526" s="14" t="s">
        <v>9158</v>
      </c>
      <c r="N526" s="14" t="s">
        <v>9158</v>
      </c>
      <c r="O526" s="14" t="s">
        <v>9158</v>
      </c>
      <c r="P526" s="14" t="s">
        <v>9158</v>
      </c>
      <c r="Q526" s="14" t="s">
        <v>9158</v>
      </c>
    </row>
    <row r="528" spans="1:17">
      <c r="A528" s="14" t="s">
        <v>4065</v>
      </c>
    </row>
    <row r="529" spans="1:17">
      <c r="A529" s="14">
        <v>104971</v>
      </c>
      <c r="B529" s="14" t="s">
        <v>8300</v>
      </c>
    </row>
    <row r="530" spans="1:17">
      <c r="A530" s="14" t="s">
        <v>5963</v>
      </c>
      <c r="B530" s="14" t="s">
        <v>330</v>
      </c>
      <c r="C530" s="14" t="s">
        <v>35</v>
      </c>
      <c r="D530" s="20" t="s">
        <v>10438</v>
      </c>
      <c r="E530" s="15" t="str">
        <f>HYPERLINK("https://stat100.ameba.jp/tnk47/ratio20/illustrations/card/ill_82963_0_yukatamatsuritomokazuki03.jpg?202012-5-RELEASE-marathon-506", "■")</f>
        <v>■</v>
      </c>
      <c r="F530" s="14" t="s">
        <v>5964</v>
      </c>
      <c r="G530" s="14">
        <v>309714</v>
      </c>
      <c r="H530" s="14">
        <v>342692</v>
      </c>
      <c r="I530" s="14">
        <v>26</v>
      </c>
      <c r="J530" s="14" t="s">
        <v>73</v>
      </c>
      <c r="K530" s="14" t="s">
        <v>5966</v>
      </c>
      <c r="L530" s="14" t="s">
        <v>5967</v>
      </c>
      <c r="M530" s="14" t="s">
        <v>9158</v>
      </c>
      <c r="N530" s="14" t="s">
        <v>9158</v>
      </c>
      <c r="O530" s="19" t="s">
        <v>10115</v>
      </c>
      <c r="P530" s="14" t="s">
        <v>5968</v>
      </c>
      <c r="Q530" s="14">
        <v>1</v>
      </c>
    </row>
    <row r="531" spans="1:17">
      <c r="A531" s="14">
        <v>76803</v>
      </c>
      <c r="B531" s="14" t="s">
        <v>334</v>
      </c>
      <c r="C531" s="14" t="s">
        <v>202</v>
      </c>
      <c r="D531" s="19" t="s">
        <v>673</v>
      </c>
      <c r="E531" s="15" t="str">
        <f>HYPERLINK("https://stat100.ameba.jp/tnk47/ratio20/illustrations/card/ill_76803_monsutakujirachan03.jpg?202012-5-RELEASE-marathon-506", "■")</f>
        <v>■</v>
      </c>
      <c r="F531" s="14" t="s">
        <v>674</v>
      </c>
      <c r="G531" s="14">
        <v>172982</v>
      </c>
      <c r="H531" s="14">
        <v>125296</v>
      </c>
      <c r="I531" s="14">
        <v>26</v>
      </c>
      <c r="J531" s="14" t="s">
        <v>283</v>
      </c>
      <c r="K531" s="14" t="s">
        <v>675</v>
      </c>
      <c r="L531" s="14" t="s">
        <v>435</v>
      </c>
      <c r="M531" s="14" t="s">
        <v>9158</v>
      </c>
      <c r="N531" s="14" t="s">
        <v>9158</v>
      </c>
      <c r="O531" s="19" t="s">
        <v>3165</v>
      </c>
      <c r="P531" s="14" t="s">
        <v>13139</v>
      </c>
      <c r="Q531" s="14">
        <v>1</v>
      </c>
    </row>
    <row r="532" spans="1:17">
      <c r="A532" s="14">
        <v>67643</v>
      </c>
      <c r="B532" s="14" t="s">
        <v>334</v>
      </c>
      <c r="C532" s="14" t="s">
        <v>209</v>
      </c>
      <c r="D532" s="20" t="s">
        <v>3033</v>
      </c>
      <c r="E532" s="15" t="str">
        <f>HYPERLINK("https://stat100.ameba.jp/tnk47/ratio20/illustrations/card/ill_67643_edokarakamichan03.jpg?202012-5-RELEASE-marathon-506", "■")</f>
        <v>■</v>
      </c>
      <c r="F532" s="6" t="s">
        <v>1196</v>
      </c>
      <c r="G532" s="14">
        <v>122784</v>
      </c>
      <c r="H532" s="14">
        <v>114176</v>
      </c>
      <c r="I532" s="14">
        <v>26</v>
      </c>
      <c r="J532" s="14" t="s">
        <v>26</v>
      </c>
      <c r="K532" s="14" t="s">
        <v>1197</v>
      </c>
      <c r="L532" s="14" t="s">
        <v>1198</v>
      </c>
      <c r="M532" s="14" t="s">
        <v>9158</v>
      </c>
      <c r="N532" s="14" t="s">
        <v>9158</v>
      </c>
      <c r="O532" s="19" t="s">
        <v>3037</v>
      </c>
      <c r="P532" s="14" t="s">
        <v>13128</v>
      </c>
      <c r="Q532" s="14">
        <v>1</v>
      </c>
    </row>
    <row r="533" spans="1:17">
      <c r="A533" s="9">
        <v>85363</v>
      </c>
      <c r="B533" s="9" t="s">
        <v>0</v>
      </c>
      <c r="C533" s="9" t="s">
        <v>158</v>
      </c>
      <c r="D533" s="19" t="s">
        <v>10708</v>
      </c>
      <c r="E533" s="15" t="str">
        <f>HYPERLINK("https://stat100.ameba.jp/tnk47/ratio20/illustrations/card/ill_85363_sukarunetaisa03.jpg?202012-5-RELEASE-marathon-506", "■")</f>
        <v>■</v>
      </c>
      <c r="F533" s="9" t="s">
        <v>7506</v>
      </c>
      <c r="G533" s="9">
        <v>125296</v>
      </c>
      <c r="H533" s="9">
        <v>172982</v>
      </c>
      <c r="I533" s="9">
        <v>26</v>
      </c>
      <c r="J533" s="9" t="s">
        <v>194</v>
      </c>
      <c r="K533" s="9" t="s">
        <v>7504</v>
      </c>
      <c r="L533" s="9" t="s">
        <v>1148</v>
      </c>
      <c r="M533" s="14" t="s">
        <v>9864</v>
      </c>
      <c r="N533" s="14" t="s">
        <v>9158</v>
      </c>
      <c r="O533" s="19" t="s">
        <v>10106</v>
      </c>
      <c r="P533" s="14" t="s">
        <v>3330</v>
      </c>
      <c r="Q533" s="14">
        <v>2</v>
      </c>
    </row>
    <row r="535" spans="1:17">
      <c r="A535" s="14" t="s">
        <v>1176</v>
      </c>
    </row>
    <row r="536" spans="1:17">
      <c r="A536" s="14">
        <v>104976</v>
      </c>
      <c r="B536" s="14" t="s">
        <v>16571</v>
      </c>
    </row>
    <row r="537" spans="1:17">
      <c r="A537" s="14" t="s">
        <v>6905</v>
      </c>
      <c r="B537" s="14" t="s">
        <v>330</v>
      </c>
      <c r="C537" s="14" t="s">
        <v>35</v>
      </c>
      <c r="D537" s="19" t="s">
        <v>10299</v>
      </c>
      <c r="E537" s="15" t="str">
        <f>HYPERLINK("https://stat100.ameba.jp/tnk47/ratio20/illustrations/card/ill_80623_0_ohanamigurampingutominushihime03.jpg?202012-5-RELEASE-marathon-506", "■")</f>
        <v>■</v>
      </c>
      <c r="F537" s="14" t="s">
        <v>4162</v>
      </c>
      <c r="G537" s="14">
        <v>289274</v>
      </c>
      <c r="H537" s="14">
        <v>261472</v>
      </c>
      <c r="I537" s="14">
        <v>24</v>
      </c>
      <c r="J537" s="14" t="s">
        <v>44</v>
      </c>
      <c r="K537" s="14" t="s">
        <v>4163</v>
      </c>
      <c r="L537" s="14" t="s">
        <v>4164</v>
      </c>
      <c r="M537" s="14" t="s">
        <v>9158</v>
      </c>
      <c r="N537" s="14" t="s">
        <v>9158</v>
      </c>
      <c r="O537" s="19" t="s">
        <v>10126</v>
      </c>
      <c r="P537" s="14" t="s">
        <v>4166</v>
      </c>
      <c r="Q537" s="14">
        <v>1</v>
      </c>
    </row>
    <row r="538" spans="1:17">
      <c r="A538" s="14" t="s">
        <v>6598</v>
      </c>
      <c r="B538" s="14" t="s">
        <v>330</v>
      </c>
      <c r="C538" s="14" t="s">
        <v>35</v>
      </c>
      <c r="D538" s="19" t="s">
        <v>10555</v>
      </c>
      <c r="E538" s="15" t="str">
        <f>HYPERLINK("https://stat100.ameba.jp/tnk47/ratio20/illustrations/card/ill_83553_0_kajuenamoronagu03.jpg?202012-5-RELEASE-marathon-506", "■")</f>
        <v>■</v>
      </c>
      <c r="F538" s="14" t="s">
        <v>6597</v>
      </c>
      <c r="G538" s="14">
        <v>252640</v>
      </c>
      <c r="H538" s="14">
        <v>279536</v>
      </c>
      <c r="I538" s="14">
        <v>24</v>
      </c>
      <c r="J538" s="14" t="s">
        <v>44</v>
      </c>
      <c r="K538" s="14" t="s">
        <v>6595</v>
      </c>
      <c r="L538" s="14" t="s">
        <v>6594</v>
      </c>
      <c r="M538" s="14" t="s">
        <v>9158</v>
      </c>
      <c r="N538" s="14" t="s">
        <v>9158</v>
      </c>
      <c r="O538" s="19" t="s">
        <v>10125</v>
      </c>
      <c r="P538" s="14" t="s">
        <v>6599</v>
      </c>
      <c r="Q538" s="14">
        <v>1</v>
      </c>
    </row>
    <row r="539" spans="1:17">
      <c r="A539" s="14" t="s">
        <v>5721</v>
      </c>
      <c r="B539" s="14" t="s">
        <v>52</v>
      </c>
      <c r="C539" s="14" t="s">
        <v>1</v>
      </c>
      <c r="D539" s="19" t="s">
        <v>513</v>
      </c>
      <c r="E539" s="15" t="str">
        <f>HYPERLINK("https://stat100.ameba.jp/tnk47/ratio20/illustrations/card/ill_44283_0_izumonokuni03.jpg?202012-5-RELEASE-marathon-506", "■")</f>
        <v>■</v>
      </c>
      <c r="F539" s="14" t="s">
        <v>1716</v>
      </c>
      <c r="G539" s="14">
        <v>140448</v>
      </c>
      <c r="H539" s="14">
        <v>131538</v>
      </c>
      <c r="I539" s="14">
        <v>24</v>
      </c>
      <c r="J539" s="14" t="s">
        <v>16</v>
      </c>
      <c r="K539" s="14" t="s">
        <v>2254</v>
      </c>
      <c r="L539" s="14" t="s">
        <v>1718</v>
      </c>
      <c r="M539" s="14" t="s">
        <v>9158</v>
      </c>
      <c r="N539" s="14" t="s">
        <v>9158</v>
      </c>
      <c r="O539" s="14" t="s">
        <v>9158</v>
      </c>
      <c r="P539" s="14" t="s">
        <v>9158</v>
      </c>
      <c r="Q539" s="14" t="s">
        <v>9158</v>
      </c>
    </row>
    <row r="540" spans="1:17">
      <c r="A540" s="14">
        <v>94093</v>
      </c>
      <c r="B540" s="14" t="s">
        <v>0</v>
      </c>
      <c r="C540" s="14" t="s">
        <v>96</v>
      </c>
      <c r="D540" s="14" t="s">
        <v>15749</v>
      </c>
      <c r="E540" s="15" t="str">
        <f>HYPERLINK("https://stat100.ameba.jp/tnk47/ratio20/illustrations/card/ill_94093_baresukuizumishikibu03.jpg?202012-5-RELEASE-marathon-506", "■")</f>
        <v>■</v>
      </c>
      <c r="F540" s="14" t="s">
        <v>15748</v>
      </c>
      <c r="G540" s="14">
        <v>105426</v>
      </c>
      <c r="H540" s="14">
        <v>98066</v>
      </c>
      <c r="I540" s="14">
        <v>26</v>
      </c>
      <c r="J540" s="14" t="s">
        <v>16</v>
      </c>
      <c r="K540" s="14" t="s">
        <v>12238</v>
      </c>
      <c r="L540" s="14" t="s">
        <v>12415</v>
      </c>
      <c r="M540" s="14" t="s">
        <v>9158</v>
      </c>
      <c r="N540" s="14" t="s">
        <v>9158</v>
      </c>
      <c r="O540" s="14" t="s">
        <v>9158</v>
      </c>
      <c r="P540" s="14" t="s">
        <v>9158</v>
      </c>
      <c r="Q540" s="14" t="s">
        <v>9158</v>
      </c>
    </row>
    <row r="541" spans="1:17">
      <c r="A541" s="14">
        <v>94103</v>
      </c>
      <c r="B541" s="14" t="s">
        <v>15</v>
      </c>
      <c r="C541" s="14" t="s">
        <v>107</v>
      </c>
      <c r="D541" s="14" t="s">
        <v>15754</v>
      </c>
      <c r="E541" s="15" t="str">
        <f>HYPERLINK("https://stat100.ameba.jp/tnk47/ratio20/illustrations/card/ill_94103_kareinaruyamanouenokura03.jpg?202012-5-RELEASE-marathon-506", "■")</f>
        <v>■</v>
      </c>
      <c r="F541" s="14" t="s">
        <v>15753</v>
      </c>
      <c r="G541" s="14">
        <v>69898</v>
      </c>
      <c r="H541" s="14">
        <v>77064</v>
      </c>
      <c r="I541" s="14">
        <v>26</v>
      </c>
      <c r="J541" s="14" t="s">
        <v>16</v>
      </c>
      <c r="K541" s="14" t="s">
        <v>15752</v>
      </c>
      <c r="L541" s="14" t="s">
        <v>981</v>
      </c>
      <c r="M541" s="14" t="s">
        <v>9158</v>
      </c>
      <c r="N541" s="14" t="s">
        <v>9158</v>
      </c>
      <c r="O541" s="14" t="s">
        <v>9158</v>
      </c>
      <c r="P541" s="14" t="s">
        <v>9158</v>
      </c>
      <c r="Q541" s="14" t="s">
        <v>9158</v>
      </c>
    </row>
    <row r="542" spans="1:17">
      <c r="A542" s="14">
        <v>94113</v>
      </c>
      <c r="B542" s="14" t="s">
        <v>22</v>
      </c>
      <c r="C542" s="14" t="s">
        <v>101</v>
      </c>
      <c r="D542" s="14" t="s">
        <v>15760</v>
      </c>
      <c r="E542" s="15" t="str">
        <f>HYPERLINK("https://stat100.ameba.jp/tnk47/ratio20/illustrations/card/ill_94113_kurabuhapusosha03.jpg?202012-5-RELEASE-marathon-506", "■")</f>
        <v>■</v>
      </c>
      <c r="F542" s="14" t="s">
        <v>15759</v>
      </c>
      <c r="G542" s="14">
        <v>54058</v>
      </c>
      <c r="H542" s="14">
        <v>44948</v>
      </c>
      <c r="I542" s="14">
        <v>26</v>
      </c>
      <c r="J542" s="14" t="s">
        <v>26</v>
      </c>
      <c r="K542" s="14" t="s">
        <v>15757</v>
      </c>
      <c r="L542" s="14" t="s">
        <v>2635</v>
      </c>
      <c r="M542" s="14" t="s">
        <v>9158</v>
      </c>
      <c r="N542" s="14" t="s">
        <v>9158</v>
      </c>
      <c r="O542" s="14" t="s">
        <v>9158</v>
      </c>
      <c r="P542" s="14" t="s">
        <v>9158</v>
      </c>
      <c r="Q542" s="14" t="s">
        <v>9158</v>
      </c>
    </row>
    <row r="543" spans="1:17">
      <c r="A543" s="14">
        <v>94123</v>
      </c>
      <c r="B543" s="14" t="s">
        <v>22</v>
      </c>
      <c r="C543" s="14" t="s">
        <v>1</v>
      </c>
      <c r="D543" s="14" t="s">
        <v>15766</v>
      </c>
      <c r="E543" s="15" t="str">
        <f>HYPERLINK("https://stat100.ameba.jp/tnk47/ratio20/illustrations/card/ill_94123_yuzuwain03.jpg?202012-5-RELEASE-marathon-506", "■")</f>
        <v>■</v>
      </c>
      <c r="F543" s="14" t="s">
        <v>15765</v>
      </c>
      <c r="G543" s="14">
        <v>44948</v>
      </c>
      <c r="H543" s="14">
        <v>54058</v>
      </c>
      <c r="I543" s="14">
        <v>26</v>
      </c>
      <c r="J543" s="14" t="s">
        <v>104</v>
      </c>
      <c r="K543" s="14" t="s">
        <v>15763</v>
      </c>
      <c r="L543" s="14" t="s">
        <v>3839</v>
      </c>
      <c r="M543" s="14" t="s">
        <v>9158</v>
      </c>
      <c r="N543" s="14" t="s">
        <v>9158</v>
      </c>
      <c r="O543" s="14" t="s">
        <v>9158</v>
      </c>
      <c r="P543" s="14" t="s">
        <v>9158</v>
      </c>
      <c r="Q543" s="14" t="s">
        <v>9158</v>
      </c>
    </row>
    <row r="545" spans="1:17">
      <c r="A545" s="14" t="s">
        <v>3911</v>
      </c>
    </row>
    <row r="546" spans="1:17">
      <c r="A546" s="14">
        <v>104999</v>
      </c>
      <c r="B546" s="14" t="s">
        <v>16572</v>
      </c>
    </row>
    <row r="547" spans="1:17">
      <c r="A547" s="14">
        <v>105009</v>
      </c>
      <c r="B547" s="14" t="s">
        <v>15721</v>
      </c>
    </row>
    <row r="548" spans="1:17">
      <c r="A548" s="7" t="s">
        <v>8437</v>
      </c>
      <c r="B548" s="7" t="s">
        <v>52</v>
      </c>
      <c r="C548" s="7" t="s">
        <v>202</v>
      </c>
      <c r="D548" s="20" t="s">
        <v>10806</v>
      </c>
      <c r="E548" s="15" t="str">
        <f>HYPERLINK("https://stat100.ameba.jp/tnk47/ratio20/illustrations/card/ill_85523_0_seitankuronikurukusumotoine03.jpg?202012-5-RELEASE-marathon-506", "■")</f>
        <v>■</v>
      </c>
      <c r="F548" s="7" t="s">
        <v>8440</v>
      </c>
      <c r="G548" s="7">
        <v>327089</v>
      </c>
      <c r="H548" s="7">
        <v>295640</v>
      </c>
      <c r="I548" s="7">
        <v>27</v>
      </c>
      <c r="J548" s="14" t="s">
        <v>77</v>
      </c>
      <c r="K548" s="7" t="s">
        <v>8446</v>
      </c>
      <c r="L548" s="7" t="s">
        <v>8439</v>
      </c>
      <c r="M548" s="14" t="s">
        <v>9158</v>
      </c>
      <c r="N548" s="14" t="s">
        <v>9158</v>
      </c>
      <c r="O548" s="19" t="s">
        <v>10133</v>
      </c>
      <c r="P548" s="7" t="s">
        <v>8441</v>
      </c>
      <c r="Q548" s="7">
        <v>1</v>
      </c>
    </row>
    <row r="549" spans="1:17">
      <c r="A549" s="14" t="s">
        <v>7150</v>
      </c>
      <c r="B549" s="14" t="s">
        <v>52</v>
      </c>
      <c r="C549" s="14" t="s">
        <v>202</v>
      </c>
      <c r="D549" s="20" t="s">
        <v>10656</v>
      </c>
      <c r="E549" s="15" t="str">
        <f>HYPERLINK("https://stat100.ameba.jp/tnk47/ratio20/illustrations/card/ill_84203_0_tarottofujiwaranoshoshi03.jpg?202012-5-RELEASE-marathon-506", "■")</f>
        <v>■</v>
      </c>
      <c r="F549" s="14" t="s">
        <v>7153</v>
      </c>
      <c r="G549" s="14">
        <v>397406</v>
      </c>
      <c r="H549" s="14">
        <v>359198</v>
      </c>
      <c r="I549" s="14">
        <v>27</v>
      </c>
      <c r="J549" s="14" t="s">
        <v>10</v>
      </c>
      <c r="K549" s="14" t="s">
        <v>7152</v>
      </c>
      <c r="L549" s="14" t="s">
        <v>7151</v>
      </c>
      <c r="M549" s="14" t="s">
        <v>9158</v>
      </c>
      <c r="N549" s="14" t="s">
        <v>9158</v>
      </c>
      <c r="O549" s="19" t="s">
        <v>10128</v>
      </c>
      <c r="P549" s="14" t="s">
        <v>7154</v>
      </c>
      <c r="Q549" s="14">
        <v>1</v>
      </c>
    </row>
    <row r="550" spans="1:17">
      <c r="A550" s="14" t="s">
        <v>5897</v>
      </c>
      <c r="B550" s="14" t="s">
        <v>52</v>
      </c>
      <c r="C550" s="14" t="s">
        <v>23</v>
      </c>
      <c r="D550" s="19" t="s">
        <v>277</v>
      </c>
      <c r="E550" s="15" t="str">
        <f>HYPERLINK("https://stat100.ameba.jp/tnk47/ratio20/illustrations/card/ill_40913_0_reigyokudensetsufusehime03.jpg?202012-5-RELEASE-marathon-506", "■")</f>
        <v>■</v>
      </c>
      <c r="F550" s="14" t="s">
        <v>955</v>
      </c>
      <c r="G550" s="14">
        <v>147980</v>
      </c>
      <c r="H550" s="14">
        <v>158004</v>
      </c>
      <c r="I550" s="14">
        <v>27</v>
      </c>
      <c r="J550" s="14" t="s">
        <v>38</v>
      </c>
      <c r="K550" s="14" t="s">
        <v>956</v>
      </c>
      <c r="L550" s="14" t="s">
        <v>957</v>
      </c>
      <c r="M550" s="14" t="s">
        <v>9158</v>
      </c>
      <c r="N550" s="14" t="s">
        <v>9158</v>
      </c>
      <c r="O550" s="14" t="s">
        <v>9158</v>
      </c>
      <c r="P550" s="14" t="s">
        <v>9158</v>
      </c>
      <c r="Q550" s="14" t="s">
        <v>9158</v>
      </c>
    </row>
    <row r="551" spans="1:17">
      <c r="A551" s="14">
        <v>81303</v>
      </c>
      <c r="B551" s="14" t="s">
        <v>334</v>
      </c>
      <c r="C551" s="14" t="s">
        <v>41</v>
      </c>
      <c r="D551" s="20" t="s">
        <v>10349</v>
      </c>
      <c r="E551" s="15" t="str">
        <f>HYPERLINK("https://stat100.ameba.jp/tnk47/ratio20/illustrations/card/ill_81303_suteirukuin03.jpg?202012-5-RELEASE-marathon-506", "■")</f>
        <v>■</v>
      </c>
      <c r="F551" s="14" t="s">
        <v>4581</v>
      </c>
      <c r="G551" s="14">
        <v>130113</v>
      </c>
      <c r="H551" s="14">
        <v>179634</v>
      </c>
      <c r="I551" s="9">
        <v>27</v>
      </c>
      <c r="J551" s="14" t="s">
        <v>104</v>
      </c>
      <c r="K551" s="14" t="s">
        <v>4582</v>
      </c>
      <c r="L551" s="14" t="s">
        <v>2304</v>
      </c>
      <c r="M551" s="14" t="s">
        <v>9158</v>
      </c>
      <c r="N551" s="14" t="s">
        <v>9158</v>
      </c>
      <c r="O551" s="19" t="s">
        <v>10084</v>
      </c>
      <c r="P551" s="14" t="s">
        <v>4584</v>
      </c>
      <c r="Q551" s="14">
        <v>1</v>
      </c>
    </row>
    <row r="552" spans="1:17">
      <c r="A552" s="14">
        <v>60763</v>
      </c>
      <c r="B552" s="14" t="s">
        <v>334</v>
      </c>
      <c r="C552" s="14" t="s">
        <v>203</v>
      </c>
      <c r="D552" s="20" t="s">
        <v>10420</v>
      </c>
      <c r="E552" s="15" t="str">
        <f>HYPERLINK("https://stat100.ameba.jp/tnk47/ratio20/illustrations/card/ill_60763_fujiwarakagekiyo03.jpg?202012-5-RELEASE-marathon-506", "■")</f>
        <v>■</v>
      </c>
      <c r="F552" s="14" t="s">
        <v>1146</v>
      </c>
      <c r="G552" s="14">
        <v>130113</v>
      </c>
      <c r="H552" s="14">
        <v>179634</v>
      </c>
      <c r="I552" s="9">
        <v>27</v>
      </c>
      <c r="J552" s="14" t="s">
        <v>143</v>
      </c>
      <c r="K552" s="14" t="s">
        <v>1147</v>
      </c>
      <c r="L552" s="14" t="s">
        <v>1148</v>
      </c>
      <c r="M552" s="14" t="s">
        <v>9158</v>
      </c>
      <c r="N552" s="14" t="s">
        <v>9158</v>
      </c>
      <c r="O552" s="19" t="s">
        <v>10112</v>
      </c>
      <c r="P552" s="14" t="s">
        <v>13150</v>
      </c>
      <c r="Q552" s="14">
        <v>1</v>
      </c>
    </row>
    <row r="553" spans="1:17">
      <c r="A553" s="14">
        <v>63273</v>
      </c>
      <c r="B553" s="14" t="s">
        <v>334</v>
      </c>
      <c r="C553" s="14" t="s">
        <v>158</v>
      </c>
      <c r="D553" s="19" t="s">
        <v>828</v>
      </c>
      <c r="E553" s="15" t="str">
        <f>HYPERLINK("https://stat100.ameba.jp/tnk47/ratio20/illustrations/card/ill_63273_tsukushimai03.jpg?202012-5-RELEASE-marathon-506", "■")</f>
        <v>■</v>
      </c>
      <c r="F553" s="14" t="s">
        <v>1211</v>
      </c>
      <c r="G553" s="14">
        <v>137786</v>
      </c>
      <c r="H553" s="14">
        <v>99796</v>
      </c>
      <c r="I553" s="9">
        <v>27</v>
      </c>
      <c r="J553" s="14" t="s">
        <v>38</v>
      </c>
      <c r="K553" s="14" t="s">
        <v>1212</v>
      </c>
      <c r="L553" s="14" t="s">
        <v>1213</v>
      </c>
      <c r="M553" s="14" t="s">
        <v>9158</v>
      </c>
      <c r="N553" s="14" t="s">
        <v>9158</v>
      </c>
      <c r="O553" s="19" t="s">
        <v>10110</v>
      </c>
      <c r="P553" s="14" t="s">
        <v>13128</v>
      </c>
      <c r="Q553" s="14">
        <v>1</v>
      </c>
    </row>
    <row r="554" spans="1:17">
      <c r="A554" s="14">
        <v>78123</v>
      </c>
      <c r="B554" s="14" t="s">
        <v>334</v>
      </c>
      <c r="C554" s="14" t="s">
        <v>209</v>
      </c>
      <c r="D554" s="6" t="s">
        <v>10010</v>
      </c>
      <c r="E554" s="15" t="str">
        <f>HYPERLINK("https://stat100.ameba.jp/tnk47/ratio20/illustrations/card/ill_78123_madannoteirusorushieru03.jpg?202012-5-RELEASE-marathon-506", "■")</f>
        <v>■</v>
      </c>
      <c r="F554" s="14" t="s">
        <v>3024</v>
      </c>
      <c r="G554" s="14">
        <v>179634</v>
      </c>
      <c r="H554" s="14">
        <v>130113</v>
      </c>
      <c r="I554" s="9">
        <v>27</v>
      </c>
      <c r="J554" s="14" t="s">
        <v>310</v>
      </c>
      <c r="K554" s="14" t="s">
        <v>3025</v>
      </c>
      <c r="L554" s="14" t="s">
        <v>443</v>
      </c>
      <c r="M554" s="14" t="s">
        <v>9158</v>
      </c>
      <c r="N554" s="14" t="s">
        <v>9158</v>
      </c>
      <c r="O554" s="17" t="s">
        <v>3414</v>
      </c>
      <c r="P554" s="14" t="s">
        <v>13122</v>
      </c>
      <c r="Q554" s="14">
        <v>1</v>
      </c>
    </row>
    <row r="555" spans="1:17">
      <c r="A555" s="14">
        <v>64043</v>
      </c>
      <c r="B555" s="14" t="s">
        <v>334</v>
      </c>
      <c r="C555" s="14" t="s">
        <v>209</v>
      </c>
      <c r="D555" s="20" t="s">
        <v>10262</v>
      </c>
      <c r="E555" s="15" t="str">
        <f>HYPERLINK("https://stat100.ameba.jp/tnk47/ratio20/illustrations/card/ill_64043_kegonnotaki03.jpg?202012-5-RELEASE-marathon-506", "■")</f>
        <v>■</v>
      </c>
      <c r="F555" s="14" t="s">
        <v>759</v>
      </c>
      <c r="G555" s="14">
        <v>128431</v>
      </c>
      <c r="H555" s="14">
        <v>93030</v>
      </c>
      <c r="I555" s="9">
        <v>27</v>
      </c>
      <c r="J555" s="14" t="s">
        <v>229</v>
      </c>
      <c r="K555" s="14" t="s">
        <v>230</v>
      </c>
      <c r="L555" s="14" t="s">
        <v>13143</v>
      </c>
      <c r="M555" s="14" t="s">
        <v>9158</v>
      </c>
      <c r="N555" s="14" t="s">
        <v>9158</v>
      </c>
      <c r="O555" s="19" t="s">
        <v>10070</v>
      </c>
      <c r="P555" s="14" t="s">
        <v>3579</v>
      </c>
      <c r="Q555" s="14">
        <v>1</v>
      </c>
    </row>
    <row r="556" spans="1:17">
      <c r="A556" s="14">
        <v>58743</v>
      </c>
      <c r="B556" s="14" t="s">
        <v>334</v>
      </c>
      <c r="C556" s="14" t="s">
        <v>209</v>
      </c>
      <c r="D556" s="20" t="s">
        <v>10273</v>
      </c>
      <c r="E556" s="15" t="str">
        <f>HYPERLINK("https://stat100.ameba.jp/tnk47/ratio20/illustrations/card/ill_58743_enkirienoki03.jpg?202012-5-RELEASE-marathon-506", "■")</f>
        <v>■</v>
      </c>
      <c r="F556" s="14" t="s">
        <v>2550</v>
      </c>
      <c r="G556" s="14">
        <v>81705</v>
      </c>
      <c r="H556" s="14">
        <v>111432</v>
      </c>
      <c r="I556" s="9">
        <v>27</v>
      </c>
      <c r="J556" s="14" t="s">
        <v>44</v>
      </c>
      <c r="K556" s="14" t="s">
        <v>2551</v>
      </c>
      <c r="L556" s="14" t="s">
        <v>95</v>
      </c>
      <c r="M556" s="14" t="s">
        <v>9158</v>
      </c>
      <c r="N556" s="14" t="s">
        <v>9158</v>
      </c>
      <c r="O556" s="19" t="s">
        <v>10091</v>
      </c>
      <c r="P556" s="14" t="s">
        <v>3670</v>
      </c>
      <c r="Q556" s="14">
        <v>1</v>
      </c>
    </row>
    <row r="558" spans="1:17">
      <c r="A558" s="14" t="s">
        <v>15768</v>
      </c>
    </row>
    <row r="559" spans="1:17">
      <c r="A559" s="14">
        <v>105040</v>
      </c>
      <c r="B559" s="14" t="s">
        <v>15769</v>
      </c>
    </row>
    <row r="560" spans="1:17">
      <c r="A560" s="14" t="s">
        <v>5778</v>
      </c>
      <c r="B560" s="14" t="s">
        <v>330</v>
      </c>
      <c r="C560" s="14" t="s">
        <v>205</v>
      </c>
      <c r="D560" s="19" t="s">
        <v>272</v>
      </c>
      <c r="E560" s="15" t="str">
        <f>HYPERLINK("https://stat100.ameba.jp/tnk47/ratio20/illustrations/card/ill_68783_0_gantammomotaro03.jpg?202012-5-RELEASE-marathon-506", "■")</f>
        <v>■</v>
      </c>
      <c r="F560" s="14" t="s">
        <v>2273</v>
      </c>
      <c r="G560" s="14">
        <v>177824</v>
      </c>
      <c r="H560" s="14">
        <v>165310</v>
      </c>
      <c r="I560" s="14">
        <v>26</v>
      </c>
      <c r="J560" s="14" t="s">
        <v>274</v>
      </c>
      <c r="K560" s="14" t="s">
        <v>275</v>
      </c>
      <c r="L560" s="14" t="s">
        <v>276</v>
      </c>
      <c r="M560" s="14" t="s">
        <v>9158</v>
      </c>
      <c r="N560" s="14" t="s">
        <v>9158</v>
      </c>
      <c r="O560" s="19" t="s">
        <v>10099</v>
      </c>
      <c r="P560" s="14" t="s">
        <v>3085</v>
      </c>
      <c r="Q560" s="14">
        <v>1</v>
      </c>
    </row>
    <row r="561" spans="1:17">
      <c r="A561" s="14">
        <v>81743</v>
      </c>
      <c r="B561" s="14" t="s">
        <v>334</v>
      </c>
      <c r="C561" s="14" t="s">
        <v>107</v>
      </c>
      <c r="D561" s="19" t="s">
        <v>10171</v>
      </c>
      <c r="E561" s="15" t="str">
        <f>HYPERLINK("https://stat100.ameba.jp/tnk47/ratio20/illustrations/card/ill_81743_denshagarusakyogabashinohebi03.jpg?202012-5-RELEASE-marathon-506", "■")</f>
        <v>■</v>
      </c>
      <c r="F561" s="14" t="s">
        <v>4853</v>
      </c>
      <c r="G561" s="14">
        <v>118656</v>
      </c>
      <c r="H561" s="14">
        <v>110126</v>
      </c>
      <c r="I561" s="14">
        <v>26</v>
      </c>
      <c r="J561" s="14" t="s">
        <v>38</v>
      </c>
      <c r="K561" s="14" t="s">
        <v>4855</v>
      </c>
      <c r="L561" s="14" t="s">
        <v>4856</v>
      </c>
      <c r="M561" s="14" t="s">
        <v>9158</v>
      </c>
      <c r="N561" s="14" t="s">
        <v>9158</v>
      </c>
      <c r="O561" s="19" t="s">
        <v>10091</v>
      </c>
      <c r="P561" s="14" t="s">
        <v>3670</v>
      </c>
      <c r="Q561" s="14">
        <v>1</v>
      </c>
    </row>
    <row r="562" spans="1:17">
      <c r="A562" s="14">
        <v>75333</v>
      </c>
      <c r="B562" s="14" t="s">
        <v>334</v>
      </c>
      <c r="C562" s="14" t="s">
        <v>200</v>
      </c>
      <c r="D562" s="19" t="s">
        <v>3206</v>
      </c>
      <c r="E562" s="15" t="str">
        <f>HYPERLINK("https://stat100.ameba.jp/tnk47/ratio20/illustrations/card/ill_75333_resukuintamamonomae03.jpg?202012-5-RELEASE-marathon-506", "■")</f>
        <v>■</v>
      </c>
      <c r="F562" s="14" t="s">
        <v>3207</v>
      </c>
      <c r="G562" s="14">
        <v>100744</v>
      </c>
      <c r="H562" s="14">
        <v>108330</v>
      </c>
      <c r="I562" s="14">
        <v>26</v>
      </c>
      <c r="J562" s="14" t="s">
        <v>320</v>
      </c>
      <c r="K562" s="14" t="s">
        <v>3208</v>
      </c>
      <c r="L562" s="14" t="s">
        <v>3209</v>
      </c>
      <c r="M562" s="14" t="s">
        <v>9158</v>
      </c>
      <c r="N562" s="14" t="s">
        <v>9158</v>
      </c>
      <c r="O562" s="19" t="s">
        <v>10074</v>
      </c>
      <c r="P562" s="14" t="s">
        <v>2822</v>
      </c>
      <c r="Q562" s="14">
        <v>1</v>
      </c>
    </row>
    <row r="563" spans="1:17">
      <c r="A563" s="9">
        <v>65653</v>
      </c>
      <c r="B563" s="14" t="s">
        <v>334</v>
      </c>
      <c r="C563" s="14" t="s">
        <v>335</v>
      </c>
      <c r="D563" s="14" t="s">
        <v>3411</v>
      </c>
      <c r="E563" s="15" t="str">
        <f>HYPERLINK("https://stat100.ameba.jp/tnk47/ratio20/illustrations/card/ill_65653_undokaitakamurachieko03.jpg?202012-5-RELEASE-marathon-506", "■")</f>
        <v>■</v>
      </c>
      <c r="F563" s="14" t="s">
        <v>853</v>
      </c>
      <c r="G563" s="14">
        <v>105426</v>
      </c>
      <c r="H563" s="14">
        <v>98066</v>
      </c>
      <c r="I563" s="14">
        <v>26</v>
      </c>
      <c r="J563" s="14" t="s">
        <v>414</v>
      </c>
      <c r="K563" s="14" t="s">
        <v>854</v>
      </c>
      <c r="L563" s="14" t="s">
        <v>855</v>
      </c>
      <c r="M563" s="14" t="s">
        <v>9158</v>
      </c>
      <c r="N563" s="14" t="s">
        <v>9158</v>
      </c>
      <c r="O563" s="9" t="s">
        <v>3414</v>
      </c>
      <c r="P563" s="14" t="s">
        <v>13122</v>
      </c>
      <c r="Q563" s="14">
        <v>1</v>
      </c>
    </row>
    <row r="565" spans="1:17">
      <c r="A565" s="14" t="s">
        <v>15770</v>
      </c>
    </row>
    <row r="566" spans="1:17">
      <c r="A566" s="14">
        <v>105043</v>
      </c>
      <c r="B566" s="14" t="s">
        <v>15771</v>
      </c>
    </row>
    <row r="567" spans="1:17">
      <c r="A567" s="14">
        <v>62203</v>
      </c>
      <c r="B567" s="14" t="s">
        <v>334</v>
      </c>
      <c r="C567" s="14" t="s">
        <v>154</v>
      </c>
      <c r="D567" s="20" t="s">
        <v>2260</v>
      </c>
      <c r="E567" s="15" t="str">
        <f>HYPERLINK("https://stat100.ameba.jp/tnk47/ratio20/illustrations/card/ill_62203_keishoimmasahime03.jpg?202012-5-RELEASE-marathon-506", "■")</f>
        <v>■</v>
      </c>
      <c r="F567" s="14" t="s">
        <v>2261</v>
      </c>
      <c r="G567" s="14">
        <v>108276</v>
      </c>
      <c r="H567" s="14">
        <v>116452</v>
      </c>
      <c r="I567" s="14">
        <v>27</v>
      </c>
      <c r="J567" s="14" t="s">
        <v>77</v>
      </c>
      <c r="K567" s="14" t="s">
        <v>2262</v>
      </c>
      <c r="L567" s="14" t="s">
        <v>2263</v>
      </c>
      <c r="M567" s="14" t="s">
        <v>9158</v>
      </c>
      <c r="N567" s="14" t="s">
        <v>9158</v>
      </c>
      <c r="O567" s="14" t="s">
        <v>9158</v>
      </c>
      <c r="P567" s="14" t="s">
        <v>9158</v>
      </c>
      <c r="Q567" s="14" t="s">
        <v>9158</v>
      </c>
    </row>
    <row r="568" spans="1:17">
      <c r="A568" s="14">
        <v>69723</v>
      </c>
      <c r="B568" s="14" t="s">
        <v>334</v>
      </c>
      <c r="C568" s="14" t="s">
        <v>158</v>
      </c>
      <c r="D568" s="20" t="s">
        <v>3042</v>
      </c>
      <c r="E568" s="15" t="str">
        <f>HYPERLINK("https://stat100.ameba.jp/tnk47/ratio20/illustrations/card/ill_69723_nakaurajurian03.jpg?202012-5-RELEASE-marathon-506", "■")</f>
        <v>■</v>
      </c>
      <c r="F568" s="14" t="s">
        <v>2257</v>
      </c>
      <c r="G568" s="14">
        <v>108276</v>
      </c>
      <c r="H568" s="14">
        <v>116452</v>
      </c>
      <c r="I568" s="14">
        <v>27</v>
      </c>
      <c r="J568" s="14" t="s">
        <v>173</v>
      </c>
      <c r="K568" s="14" t="s">
        <v>2258</v>
      </c>
      <c r="L568" s="14" t="s">
        <v>2259</v>
      </c>
      <c r="M568" s="14" t="s">
        <v>9158</v>
      </c>
      <c r="N568" s="14" t="s">
        <v>9158</v>
      </c>
      <c r="O568" s="14" t="s">
        <v>9158</v>
      </c>
      <c r="P568" s="14" t="s">
        <v>9158</v>
      </c>
      <c r="Q568" s="14" t="s">
        <v>9158</v>
      </c>
    </row>
    <row r="569" spans="1:17">
      <c r="A569" s="14">
        <v>76483</v>
      </c>
      <c r="B569" s="14" t="s">
        <v>334</v>
      </c>
      <c r="C569" s="14" t="s">
        <v>307</v>
      </c>
      <c r="D569" s="20" t="s">
        <v>589</v>
      </c>
      <c r="E569" s="15" t="str">
        <f>HYPERLINK("https://stat100.ameba.jp/tnk47/ratio20/illustrations/card/ill_76483_yukemurimizuhanome03.jpg?202012-5-RELEASE-marathon-506", "■")</f>
        <v>■</v>
      </c>
      <c r="F569" s="14" t="s">
        <v>590</v>
      </c>
      <c r="G569" s="14">
        <v>110129</v>
      </c>
      <c r="H569" s="14">
        <v>102386</v>
      </c>
      <c r="I569" s="14">
        <v>27</v>
      </c>
      <c r="J569" s="14" t="s">
        <v>401</v>
      </c>
      <c r="K569" s="14" t="s">
        <v>591</v>
      </c>
      <c r="L569" s="14" t="s">
        <v>592</v>
      </c>
      <c r="M569" s="14" t="s">
        <v>9158</v>
      </c>
      <c r="N569" s="14" t="s">
        <v>9158</v>
      </c>
      <c r="O569" s="14" t="s">
        <v>9158</v>
      </c>
      <c r="P569" s="14" t="s">
        <v>9158</v>
      </c>
      <c r="Q569" s="14" t="s">
        <v>9158</v>
      </c>
    </row>
    <row r="570" spans="1:17">
      <c r="A570" s="14">
        <v>70023</v>
      </c>
      <c r="B570" s="14" t="s">
        <v>334</v>
      </c>
      <c r="C570" s="14" t="s">
        <v>344</v>
      </c>
      <c r="D570" s="20" t="s">
        <v>10230</v>
      </c>
      <c r="E570" s="15" t="str">
        <f>HYPERLINK("https://stat100.ameba.jp/tnk47/ratio20/illustrations/card/ill_70023_yukinoukokunabeshimanobakeneko03.jpg?202012-5-RELEASE-marathon-506", "■")</f>
        <v>■</v>
      </c>
      <c r="F570" s="14" t="s">
        <v>769</v>
      </c>
      <c r="G570" s="14">
        <v>104619</v>
      </c>
      <c r="H570" s="14">
        <v>112496</v>
      </c>
      <c r="I570" s="14">
        <v>27</v>
      </c>
      <c r="J570" s="14" t="s">
        <v>320</v>
      </c>
      <c r="K570" s="14" t="s">
        <v>770</v>
      </c>
      <c r="L570" s="14" t="s">
        <v>771</v>
      </c>
      <c r="M570" s="14" t="s">
        <v>9158</v>
      </c>
      <c r="N570" s="14" t="s">
        <v>9158</v>
      </c>
      <c r="O570" s="14" t="s">
        <v>9158</v>
      </c>
      <c r="P570" s="14" t="s">
        <v>9158</v>
      </c>
      <c r="Q570" s="14" t="s">
        <v>9158</v>
      </c>
    </row>
    <row r="571" spans="1:17">
      <c r="A571" s="14">
        <v>52733</v>
      </c>
      <c r="B571" s="14" t="s">
        <v>15</v>
      </c>
      <c r="C571" s="14" t="s">
        <v>185</v>
      </c>
      <c r="D571" s="20" t="s">
        <v>10491</v>
      </c>
      <c r="E571" s="15" t="str">
        <f>HYPERLINK("https://stat100.ameba.jp/tnk47/ratio20/illustrations/card/ill_52733_sekkinambutsuruhime03.jpg?202012-5-RELEASE-marathon-506", "■")</f>
        <v>■</v>
      </c>
      <c r="F571" s="14" t="s">
        <v>6246</v>
      </c>
      <c r="G571" s="14">
        <v>59144</v>
      </c>
      <c r="H571" s="14">
        <v>65208</v>
      </c>
      <c r="I571" s="14">
        <v>22</v>
      </c>
      <c r="J571" s="14" t="s">
        <v>77</v>
      </c>
      <c r="K571" s="14" t="s">
        <v>6248</v>
      </c>
      <c r="L571" s="14" t="s">
        <v>6249</v>
      </c>
      <c r="M571" s="14" t="s">
        <v>9158</v>
      </c>
      <c r="N571" s="14" t="s">
        <v>9158</v>
      </c>
      <c r="O571" s="14" t="s">
        <v>9158</v>
      </c>
      <c r="P571" s="14" t="s">
        <v>9158</v>
      </c>
      <c r="Q571" s="14" t="s">
        <v>9158</v>
      </c>
    </row>
    <row r="572" spans="1:17">
      <c r="A572" s="14">
        <v>54003</v>
      </c>
      <c r="B572" s="14" t="s">
        <v>15</v>
      </c>
      <c r="C572" s="14" t="s">
        <v>200</v>
      </c>
      <c r="D572" s="20" t="s">
        <v>10492</v>
      </c>
      <c r="E572" s="15" t="str">
        <f>HYPERLINK("https://stat100.ameba.jp/tnk47/ratio20/illustrations/card/ill_54003_seiryumegurihiguchiichiyo03.jpg?202012-5-RELEASE-marathon-506", "■")</f>
        <v>■</v>
      </c>
      <c r="F572" s="14" t="s">
        <v>6250</v>
      </c>
      <c r="G572" s="14">
        <v>65208</v>
      </c>
      <c r="H572" s="14">
        <v>59144</v>
      </c>
      <c r="I572" s="14">
        <v>22</v>
      </c>
      <c r="J572" s="14" t="s">
        <v>10</v>
      </c>
      <c r="K572" s="14" t="s">
        <v>6252</v>
      </c>
      <c r="L572" s="14" t="s">
        <v>6253</v>
      </c>
      <c r="M572" s="14" t="s">
        <v>9158</v>
      </c>
      <c r="N572" s="14" t="s">
        <v>9158</v>
      </c>
      <c r="O572" s="14" t="s">
        <v>9158</v>
      </c>
      <c r="P572" s="14" t="s">
        <v>9158</v>
      </c>
      <c r="Q572" s="14" t="s">
        <v>9158</v>
      </c>
    </row>
    <row r="573" spans="1:17">
      <c r="A573" s="14">
        <v>51833</v>
      </c>
      <c r="B573" s="14" t="s">
        <v>15</v>
      </c>
      <c r="C573" s="14" t="s">
        <v>205</v>
      </c>
      <c r="D573" s="20" t="s">
        <v>10493</v>
      </c>
      <c r="E573" s="15" t="str">
        <f>HYPERLINK("https://stat100.ameba.jp/tnk47/ratio20/illustrations/card/ill_51833_jukimakitsuhikonomikoto03.jpg?202012-5-RELEASE-marathon-506", "■")</f>
        <v>■</v>
      </c>
      <c r="F573" s="14" t="s">
        <v>6254</v>
      </c>
      <c r="G573" s="14">
        <v>65208</v>
      </c>
      <c r="H573" s="14">
        <v>59144</v>
      </c>
      <c r="I573" s="14">
        <v>22</v>
      </c>
      <c r="J573" s="14" t="s">
        <v>44</v>
      </c>
      <c r="K573" s="14" t="s">
        <v>6257</v>
      </c>
      <c r="L573" s="14" t="s">
        <v>6256</v>
      </c>
      <c r="M573" s="14" t="s">
        <v>9158</v>
      </c>
      <c r="N573" s="14" t="s">
        <v>9158</v>
      </c>
      <c r="O573" s="14" t="s">
        <v>9158</v>
      </c>
      <c r="P573" s="14" t="s">
        <v>9158</v>
      </c>
      <c r="Q573" s="14" t="s">
        <v>9158</v>
      </c>
    </row>
    <row r="574" spans="1:17">
      <c r="A574" s="14">
        <v>53203</v>
      </c>
      <c r="B574" s="14" t="s">
        <v>15</v>
      </c>
      <c r="C574" s="14" t="s">
        <v>165</v>
      </c>
      <c r="D574" s="20" t="s">
        <v>10494</v>
      </c>
      <c r="E574" s="15" t="str">
        <f>HYPERLINK("https://stat100.ameba.jp/tnk47/ratio20/illustrations/card/ill_53203_buruhawaichan03.jpg?202012-5-RELEASE-marathon-506", "■")</f>
        <v>■</v>
      </c>
      <c r="F574" s="14" t="s">
        <v>6258</v>
      </c>
      <c r="G574" s="14">
        <v>59144</v>
      </c>
      <c r="H574" s="14">
        <v>65208</v>
      </c>
      <c r="I574" s="14">
        <v>22</v>
      </c>
      <c r="J574" s="14" t="s">
        <v>104</v>
      </c>
      <c r="K574" s="14" t="s">
        <v>6261</v>
      </c>
      <c r="L574" s="14" t="s">
        <v>6260</v>
      </c>
      <c r="M574" s="14" t="s">
        <v>9158</v>
      </c>
      <c r="N574" s="14" t="s">
        <v>9158</v>
      </c>
      <c r="O574" s="14" t="s">
        <v>9158</v>
      </c>
      <c r="P574" s="14" t="s">
        <v>9158</v>
      </c>
      <c r="Q574" s="14" t="s">
        <v>9158</v>
      </c>
    </row>
    <row r="576" spans="1:17">
      <c r="A576" s="14" t="s">
        <v>3643</v>
      </c>
    </row>
    <row r="577" spans="1:18">
      <c r="A577" s="14">
        <v>105061</v>
      </c>
      <c r="B577" s="14" t="s">
        <v>8321</v>
      </c>
    </row>
    <row r="578" spans="1:18">
      <c r="A578" s="9">
        <v>88465</v>
      </c>
      <c r="B578" s="9" t="s">
        <v>334</v>
      </c>
      <c r="C578" s="9" t="s">
        <v>202</v>
      </c>
      <c r="D578" s="9" t="s">
        <v>12145</v>
      </c>
      <c r="E578" s="15" t="str">
        <f>HYPERLINK("https://stat100.ameba.jp/tnk47/ratio20/illustrations/card/ill_88465_sotonoarubebira05.jpg?202012-5-RELEASE-marathon-506x", "■")</f>
        <v>■</v>
      </c>
      <c r="F578" s="9" t="s">
        <v>12156</v>
      </c>
      <c r="G578" s="9">
        <v>200370</v>
      </c>
      <c r="H578" s="9">
        <v>145082</v>
      </c>
      <c r="I578" s="9">
        <v>28</v>
      </c>
      <c r="J578" s="9" t="s">
        <v>143</v>
      </c>
      <c r="K578" s="9" t="s">
        <v>12154</v>
      </c>
      <c r="L578" s="9" t="s">
        <v>12153</v>
      </c>
      <c r="M578" s="14" t="s">
        <v>9158</v>
      </c>
      <c r="N578" s="14" t="s">
        <v>9158</v>
      </c>
      <c r="O578" s="14" t="s">
        <v>9158</v>
      </c>
      <c r="P578" s="14" t="s">
        <v>9158</v>
      </c>
      <c r="Q578" s="14" t="s">
        <v>9158</v>
      </c>
      <c r="R578" s="9" t="s">
        <v>174</v>
      </c>
    </row>
    <row r="579" spans="1:18">
      <c r="A579" s="9">
        <v>88463</v>
      </c>
      <c r="B579" s="9" t="s">
        <v>348</v>
      </c>
      <c r="C579" s="9" t="s">
        <v>158</v>
      </c>
      <c r="D579" s="9" t="s">
        <v>12145</v>
      </c>
      <c r="E579" s="15" t="str">
        <f>HYPERLINK("https://stat100.ameba.jp/tnk47/ratio20/illustrations/card/ill_88463_sotonoarubebira03.jpg?202012-5-RELEASE-marathon-506x", "■")</f>
        <v>■</v>
      </c>
      <c r="F579" s="9" t="s">
        <v>12156</v>
      </c>
      <c r="G579" s="9">
        <v>147630</v>
      </c>
      <c r="H579" s="9">
        <v>106890</v>
      </c>
      <c r="I579" s="9">
        <v>28</v>
      </c>
      <c r="J579" s="9" t="s">
        <v>143</v>
      </c>
      <c r="K579" s="9" t="s">
        <v>12154</v>
      </c>
      <c r="L579" s="9" t="s">
        <v>12157</v>
      </c>
      <c r="M579" s="14" t="s">
        <v>9158</v>
      </c>
      <c r="N579" s="14" t="s">
        <v>9158</v>
      </c>
      <c r="O579" s="14" t="s">
        <v>9158</v>
      </c>
      <c r="P579" s="14" t="s">
        <v>9158</v>
      </c>
      <c r="Q579" s="14" t="s">
        <v>9158</v>
      </c>
      <c r="R579" s="9" t="s">
        <v>175</v>
      </c>
    </row>
    <row r="580" spans="1:18">
      <c r="A580" s="9">
        <v>88461</v>
      </c>
      <c r="B580" s="9" t="s">
        <v>348</v>
      </c>
      <c r="C580" s="9" t="s">
        <v>158</v>
      </c>
      <c r="D580" s="9" t="s">
        <v>12145</v>
      </c>
      <c r="E580" s="15" t="str">
        <f>HYPERLINK("https://stat100.ameba.jp/tnk47/ratio20/illustrations/card/ill_88461_sotonoarubebira01.jpg?202012-5-RELEASE-marathon-506x", "■")</f>
        <v>■</v>
      </c>
      <c r="F580" s="9" t="s">
        <v>12156</v>
      </c>
      <c r="G580" s="9">
        <v>93912</v>
      </c>
      <c r="H580" s="9">
        <v>68012</v>
      </c>
      <c r="I580" s="9">
        <v>28</v>
      </c>
      <c r="J580" s="9" t="s">
        <v>143</v>
      </c>
      <c r="K580" s="9" t="s">
        <v>12154</v>
      </c>
      <c r="L580" s="9" t="s">
        <v>12158</v>
      </c>
      <c r="M580" s="14" t="s">
        <v>9158</v>
      </c>
      <c r="N580" s="14" t="s">
        <v>9158</v>
      </c>
      <c r="O580" s="14" t="s">
        <v>9158</v>
      </c>
      <c r="P580" s="14" t="s">
        <v>9158</v>
      </c>
      <c r="Q580" s="14" t="s">
        <v>9158</v>
      </c>
      <c r="R580" s="9" t="s">
        <v>176</v>
      </c>
    </row>
    <row r="581" spans="1:18">
      <c r="A581" s="14">
        <v>81285</v>
      </c>
      <c r="B581" s="14" t="s">
        <v>0</v>
      </c>
      <c r="C581" s="14" t="s">
        <v>202</v>
      </c>
      <c r="D581" s="19" t="s">
        <v>4695</v>
      </c>
      <c r="E581" s="15" t="str">
        <f>HYPERLINK("https://stat100.ameba.jp/tnk47/ratio20/illustrations/card/ill_81285_iwaposoinkara05.jpg?202012-5-RELEASE-marathon-506x", "■")</f>
        <v>■</v>
      </c>
      <c r="F581" s="14" t="s">
        <v>4696</v>
      </c>
      <c r="G581" s="14">
        <v>95308</v>
      </c>
      <c r="H581" s="14">
        <v>131636</v>
      </c>
      <c r="I581" s="9">
        <v>28</v>
      </c>
      <c r="J581" s="14" t="s">
        <v>73</v>
      </c>
      <c r="K581" s="14" t="s">
        <v>4697</v>
      </c>
      <c r="L581" s="14" t="s">
        <v>4612</v>
      </c>
      <c r="M581" s="14" t="s">
        <v>9158</v>
      </c>
      <c r="N581" s="14" t="s">
        <v>9158</v>
      </c>
      <c r="O581" s="14" t="s">
        <v>9158</v>
      </c>
      <c r="P581" s="14" t="s">
        <v>9158</v>
      </c>
      <c r="Q581" s="14" t="s">
        <v>9158</v>
      </c>
      <c r="R581" s="14" t="s">
        <v>174</v>
      </c>
    </row>
    <row r="582" spans="1:18">
      <c r="A582" s="14">
        <v>81283</v>
      </c>
      <c r="B582" s="14" t="s">
        <v>15</v>
      </c>
      <c r="C582" s="14" t="s">
        <v>154</v>
      </c>
      <c r="D582" s="19" t="s">
        <v>4695</v>
      </c>
      <c r="E582" s="15" t="str">
        <f>HYPERLINK("https://stat100.ameba.jp/tnk47/ratio20/illustrations/card/ill_81283_iwaposoinkara03.jpg?202012-5-RELEASE-marathon-506x", "■")</f>
        <v>■</v>
      </c>
      <c r="F582" s="14" t="s">
        <v>4696</v>
      </c>
      <c r="G582" s="14">
        <v>70218</v>
      </c>
      <c r="H582" s="14">
        <v>96978</v>
      </c>
      <c r="I582" s="9">
        <v>28</v>
      </c>
      <c r="J582" s="14" t="s">
        <v>73</v>
      </c>
      <c r="K582" s="14" t="s">
        <v>4697</v>
      </c>
      <c r="L582" s="14" t="s">
        <v>4698</v>
      </c>
      <c r="M582" s="14" t="s">
        <v>9158</v>
      </c>
      <c r="N582" s="14" t="s">
        <v>9158</v>
      </c>
      <c r="O582" s="14" t="s">
        <v>9158</v>
      </c>
      <c r="P582" s="14" t="s">
        <v>9158</v>
      </c>
      <c r="Q582" s="14" t="s">
        <v>9158</v>
      </c>
      <c r="R582" s="14" t="s">
        <v>175</v>
      </c>
    </row>
    <row r="583" spans="1:18">
      <c r="A583" s="14">
        <v>81281</v>
      </c>
      <c r="B583" s="14" t="s">
        <v>15</v>
      </c>
      <c r="C583" s="14" t="s">
        <v>154</v>
      </c>
      <c r="D583" s="19" t="s">
        <v>4695</v>
      </c>
      <c r="E583" s="15" t="str">
        <f>HYPERLINK("https://stat100.ameba.jp/tnk47/ratio20/illustrations/card/ill_81281_iwaposoinkara01.jpg?202012-5-RELEASE-marathon-506x", "■")</f>
        <v>■</v>
      </c>
      <c r="F583" s="14" t="s">
        <v>4696</v>
      </c>
      <c r="G583" s="14">
        <v>44660</v>
      </c>
      <c r="H583" s="14">
        <v>61684</v>
      </c>
      <c r="I583" s="9">
        <v>28</v>
      </c>
      <c r="J583" s="14" t="s">
        <v>73</v>
      </c>
      <c r="K583" s="14" t="s">
        <v>4697</v>
      </c>
      <c r="L583" s="14" t="s">
        <v>4699</v>
      </c>
      <c r="M583" s="14" t="s">
        <v>9158</v>
      </c>
      <c r="N583" s="14" t="s">
        <v>9158</v>
      </c>
      <c r="O583" s="14" t="s">
        <v>9158</v>
      </c>
      <c r="P583" s="14" t="s">
        <v>9158</v>
      </c>
      <c r="Q583" s="14" t="s">
        <v>9158</v>
      </c>
      <c r="R583" s="14" t="s">
        <v>176</v>
      </c>
    </row>
    <row r="584" spans="1:18">
      <c r="A584" s="9">
        <v>81885</v>
      </c>
      <c r="B584" s="14" t="s">
        <v>334</v>
      </c>
      <c r="C584" s="14" t="s">
        <v>35</v>
      </c>
      <c r="D584" s="14" t="s">
        <v>16574</v>
      </c>
      <c r="E584" s="15" t="str">
        <f>HYPERLINK("https://stat100.ameba.jp/tnk47/ratio20/illustrations/card/ill_81885_beruzandei05.jpg?202012-5-RELEASE-marathon-506x", "■")</f>
        <v>■</v>
      </c>
      <c r="F584" s="14" t="s">
        <v>5159</v>
      </c>
      <c r="G584" s="14">
        <v>131636</v>
      </c>
      <c r="H584" s="14">
        <v>95308</v>
      </c>
      <c r="I584" s="9">
        <v>28</v>
      </c>
      <c r="J584" s="14" t="s">
        <v>44</v>
      </c>
      <c r="K584" s="14" t="s">
        <v>5161</v>
      </c>
      <c r="L584" s="14" t="s">
        <v>3613</v>
      </c>
      <c r="M584" s="14" t="s">
        <v>9158</v>
      </c>
      <c r="N584" s="14" t="s">
        <v>9158</v>
      </c>
      <c r="O584" s="14" t="s">
        <v>9158</v>
      </c>
      <c r="P584" s="14" t="s">
        <v>9158</v>
      </c>
      <c r="Q584" s="14" t="s">
        <v>9158</v>
      </c>
      <c r="R584" s="14" t="s">
        <v>174</v>
      </c>
    </row>
    <row r="585" spans="1:18">
      <c r="A585" s="9">
        <v>81883</v>
      </c>
      <c r="B585" s="14" t="s">
        <v>15</v>
      </c>
      <c r="C585" s="14" t="s">
        <v>209</v>
      </c>
      <c r="D585" s="14" t="s">
        <v>16574</v>
      </c>
      <c r="E585" s="15" t="str">
        <f>HYPERLINK("https://stat100.ameba.jp/tnk47/ratio20/illustrations/card/ill_81883_beruzandei03.jpg?202012-5-RELEASE-marathon-506x", "■")</f>
        <v>■</v>
      </c>
      <c r="F585" s="14" t="s">
        <v>5159</v>
      </c>
      <c r="G585" s="14">
        <v>96978</v>
      </c>
      <c r="H585" s="14">
        <v>70218</v>
      </c>
      <c r="I585" s="9">
        <v>28</v>
      </c>
      <c r="J585" s="14" t="s">
        <v>44</v>
      </c>
      <c r="K585" s="14" t="s">
        <v>5161</v>
      </c>
      <c r="L585" s="14" t="s">
        <v>4590</v>
      </c>
      <c r="M585" s="14" t="s">
        <v>9158</v>
      </c>
      <c r="N585" s="14" t="s">
        <v>9158</v>
      </c>
      <c r="O585" s="14" t="s">
        <v>9158</v>
      </c>
      <c r="P585" s="14" t="s">
        <v>9158</v>
      </c>
      <c r="Q585" s="14" t="s">
        <v>9158</v>
      </c>
      <c r="R585" s="14" t="s">
        <v>175</v>
      </c>
    </row>
    <row r="586" spans="1:18">
      <c r="A586" s="9">
        <v>81881</v>
      </c>
      <c r="B586" s="14" t="s">
        <v>15</v>
      </c>
      <c r="C586" s="14" t="s">
        <v>209</v>
      </c>
      <c r="D586" s="14" t="s">
        <v>16574</v>
      </c>
      <c r="E586" s="15" t="str">
        <f>HYPERLINK("https://stat100.ameba.jp/tnk47/ratio20/illustrations/card/ill_81881_beruzandei01.jpg?202012-5-RELEASE-marathon-506x", "■")</f>
        <v>■</v>
      </c>
      <c r="F586" s="14" t="s">
        <v>5159</v>
      </c>
      <c r="G586" s="14">
        <v>61684</v>
      </c>
      <c r="H586" s="14">
        <v>44660</v>
      </c>
      <c r="I586" s="9">
        <v>28</v>
      </c>
      <c r="J586" s="14" t="s">
        <v>44</v>
      </c>
      <c r="K586" s="14" t="s">
        <v>5161</v>
      </c>
      <c r="L586" s="14" t="s">
        <v>4591</v>
      </c>
      <c r="M586" s="14" t="s">
        <v>9158</v>
      </c>
      <c r="N586" s="14" t="s">
        <v>9158</v>
      </c>
      <c r="O586" s="14" t="s">
        <v>9158</v>
      </c>
      <c r="P586" s="14" t="s">
        <v>9158</v>
      </c>
      <c r="Q586" s="14" t="s">
        <v>9158</v>
      </c>
      <c r="R586" s="14" t="s">
        <v>176</v>
      </c>
    </row>
    <row r="588" spans="1:18">
      <c r="A588" s="14" t="s">
        <v>13327</v>
      </c>
    </row>
    <row r="589" spans="1:18">
      <c r="A589" s="14">
        <v>105078</v>
      </c>
      <c r="B589" s="14" t="s">
        <v>16573</v>
      </c>
    </row>
    <row r="590" spans="1:18">
      <c r="A590" s="14">
        <v>88153</v>
      </c>
      <c r="B590" s="14" t="s">
        <v>334</v>
      </c>
      <c r="C590" s="14" t="s">
        <v>14</v>
      </c>
      <c r="D590" s="6" t="s">
        <v>10011</v>
      </c>
      <c r="E590" s="15" t="str">
        <f>HYPERLINK("https://stat100.ameba.jp/tnk47/ratio20/illustrations/card/ill_88153_sunofueari03.jpg?202012-5-RELEASE-marathon-506x", "■")</f>
        <v>■</v>
      </c>
      <c r="F590" s="14" t="s">
        <v>9960</v>
      </c>
      <c r="G590" s="14">
        <v>137846</v>
      </c>
      <c r="H590" s="14">
        <v>128160</v>
      </c>
      <c r="I590" s="14">
        <v>28</v>
      </c>
      <c r="J590" s="14" t="s">
        <v>169</v>
      </c>
      <c r="K590" s="14" t="s">
        <v>9961</v>
      </c>
      <c r="L590" s="14" t="s">
        <v>9962</v>
      </c>
      <c r="M590" s="14" t="s">
        <v>13130</v>
      </c>
      <c r="N590" s="14" t="s">
        <v>343</v>
      </c>
      <c r="O590" s="14" t="s">
        <v>9158</v>
      </c>
      <c r="P590" s="14" t="s">
        <v>9158</v>
      </c>
      <c r="Q590" s="14" t="s">
        <v>9158</v>
      </c>
      <c r="R590" s="14" t="s">
        <v>14748</v>
      </c>
    </row>
    <row r="591" spans="1:18">
      <c r="A591" s="14">
        <v>88152</v>
      </c>
      <c r="B591" s="14" t="s">
        <v>334</v>
      </c>
      <c r="C591" s="14" t="s">
        <v>14</v>
      </c>
      <c r="D591" s="6" t="s">
        <v>10011</v>
      </c>
      <c r="E591" s="15" t="str">
        <f>HYPERLINK("https://stat100.ameba.jp/tnk47/ratio20/illustrations/card/ill_88152_sunofueari02.jpg?202012-5-RELEASE-marathon-506x", "■")</f>
        <v>■</v>
      </c>
      <c r="F591" s="14" t="s">
        <v>9960</v>
      </c>
      <c r="G591" s="14">
        <v>115230</v>
      </c>
      <c r="H591" s="14">
        <v>106148</v>
      </c>
      <c r="I591" s="14">
        <v>28</v>
      </c>
      <c r="J591" s="14" t="s">
        <v>169</v>
      </c>
      <c r="K591" s="14" t="s">
        <v>9961</v>
      </c>
      <c r="L591" s="14" t="s">
        <v>9962</v>
      </c>
      <c r="M591" s="14" t="s">
        <v>13131</v>
      </c>
      <c r="N591" s="14" t="s">
        <v>251</v>
      </c>
      <c r="O591" s="14" t="s">
        <v>9158</v>
      </c>
      <c r="P591" s="14" t="s">
        <v>9158</v>
      </c>
      <c r="Q591" s="14" t="s">
        <v>9158</v>
      </c>
      <c r="R591" s="14" t="s">
        <v>14748</v>
      </c>
    </row>
    <row r="592" spans="1:18">
      <c r="A592" s="14">
        <v>88151</v>
      </c>
      <c r="B592" s="14" t="s">
        <v>0</v>
      </c>
      <c r="C592" s="14" t="s">
        <v>14</v>
      </c>
      <c r="D592" s="6" t="s">
        <v>10011</v>
      </c>
      <c r="E592" s="15" t="str">
        <f>HYPERLINK("https://stat100.ameba.jp/tnk47/ratio20/illustrations/card/ill_88151_sunofueari01.jpg?202012-5-RELEASE-marathon-506x", "■")</f>
        <v>■</v>
      </c>
      <c r="F592" s="14" t="s">
        <v>9960</v>
      </c>
      <c r="G592" s="14">
        <v>87976</v>
      </c>
      <c r="H592" s="14">
        <v>81900</v>
      </c>
      <c r="I592" s="14">
        <v>28</v>
      </c>
      <c r="J592" s="14" t="s">
        <v>169</v>
      </c>
      <c r="K592" s="14" t="s">
        <v>9961</v>
      </c>
      <c r="L592" s="14" t="s">
        <v>9962</v>
      </c>
      <c r="M592" s="14" t="s">
        <v>13131</v>
      </c>
      <c r="N592" s="14" t="s">
        <v>251</v>
      </c>
      <c r="O592" s="14" t="s">
        <v>9158</v>
      </c>
      <c r="P592" s="14" t="s">
        <v>9158</v>
      </c>
      <c r="Q592" s="14" t="s">
        <v>9158</v>
      </c>
      <c r="R592" s="14" t="s">
        <v>14748</v>
      </c>
    </row>
    <row r="593" spans="1:18">
      <c r="A593" s="14">
        <v>88163</v>
      </c>
      <c r="B593" s="14" t="s">
        <v>334</v>
      </c>
      <c r="C593" s="14" t="s">
        <v>23</v>
      </c>
      <c r="D593" s="6" t="s">
        <v>10012</v>
      </c>
      <c r="E593" s="15" t="str">
        <f>HYPERLINK("https://stat100.ameba.jp/tnk47/ratio20/illustrations/card/ill_88163_shitsujitanteimagi03.jpg?202012-5-RELEASE-marathon-506x", "■")</f>
        <v>■</v>
      </c>
      <c r="F593" s="14" t="s">
        <v>9963</v>
      </c>
      <c r="G593" s="14">
        <v>137846</v>
      </c>
      <c r="H593" s="14">
        <v>128160</v>
      </c>
      <c r="I593" s="14">
        <v>28</v>
      </c>
      <c r="J593" s="14" t="s">
        <v>159</v>
      </c>
      <c r="K593" s="14" t="s">
        <v>9964</v>
      </c>
      <c r="L593" s="14" t="s">
        <v>9965</v>
      </c>
      <c r="M593" s="14" t="s">
        <v>13130</v>
      </c>
      <c r="N593" s="14" t="s">
        <v>343</v>
      </c>
      <c r="O593" s="14" t="s">
        <v>9158</v>
      </c>
      <c r="P593" s="14" t="s">
        <v>9158</v>
      </c>
      <c r="Q593" s="14" t="s">
        <v>9158</v>
      </c>
      <c r="R593" s="14" t="s">
        <v>14748</v>
      </c>
    </row>
    <row r="594" spans="1:18">
      <c r="A594" s="14">
        <v>88173</v>
      </c>
      <c r="B594" s="14" t="s">
        <v>334</v>
      </c>
      <c r="C594" s="14" t="s">
        <v>101</v>
      </c>
      <c r="D594" s="6" t="s">
        <v>10013</v>
      </c>
      <c r="E594" s="15" t="str">
        <f>HYPERLINK("https://stat100.ameba.jp/tnk47/ratio20/illustrations/card/ill_88173_pichipurinsesu03.jpg?202012-5-RELEASE-marathon-506x", "■")</f>
        <v>■</v>
      </c>
      <c r="F594" s="14" t="s">
        <v>9966</v>
      </c>
      <c r="G594" s="14">
        <v>128160</v>
      </c>
      <c r="H594" s="14">
        <v>137846</v>
      </c>
      <c r="I594" s="14">
        <v>28</v>
      </c>
      <c r="J594" s="14" t="s">
        <v>187</v>
      </c>
      <c r="K594" s="14" t="s">
        <v>9967</v>
      </c>
      <c r="L594" s="14" t="s">
        <v>9968</v>
      </c>
      <c r="M594" s="14" t="s">
        <v>13130</v>
      </c>
      <c r="N594" s="14" t="s">
        <v>343</v>
      </c>
      <c r="O594" s="14" t="s">
        <v>9158</v>
      </c>
      <c r="P594" s="14" t="s">
        <v>9158</v>
      </c>
      <c r="Q594" s="14" t="s">
        <v>9158</v>
      </c>
      <c r="R594" s="14" t="s">
        <v>14748</v>
      </c>
    </row>
    <row r="595" spans="1:18">
      <c r="A595" s="14">
        <v>88183</v>
      </c>
      <c r="B595" s="14" t="s">
        <v>0</v>
      </c>
      <c r="C595" s="14" t="s">
        <v>96</v>
      </c>
      <c r="D595" s="6" t="s">
        <v>10014</v>
      </c>
      <c r="E595" s="15" t="str">
        <f>HYPERLINK("https://stat100.ameba.jp/tnk47/ratio20/illustrations/card/ill_88183_saikiringugaru03.jpg?202012-5-RELEASE-marathon-506x", "■")</f>
        <v>■</v>
      </c>
      <c r="F595" s="14" t="s">
        <v>9969</v>
      </c>
      <c r="G595" s="14">
        <v>128160</v>
      </c>
      <c r="H595" s="14">
        <v>137846</v>
      </c>
      <c r="I595" s="14">
        <v>28</v>
      </c>
      <c r="J595" s="14" t="s">
        <v>182</v>
      </c>
      <c r="K595" s="14" t="s">
        <v>9970</v>
      </c>
      <c r="L595" s="14" t="s">
        <v>9971</v>
      </c>
      <c r="M595" s="14" t="s">
        <v>13130</v>
      </c>
      <c r="N595" s="14" t="s">
        <v>343</v>
      </c>
      <c r="O595" s="14" t="s">
        <v>9158</v>
      </c>
      <c r="P595" s="14" t="s">
        <v>9158</v>
      </c>
      <c r="Q595" s="14" t="s">
        <v>9158</v>
      </c>
      <c r="R595" s="14" t="s">
        <v>14748</v>
      </c>
    </row>
    <row r="596" spans="1:18">
      <c r="A596" s="14">
        <v>88193</v>
      </c>
      <c r="B596" s="14" t="s">
        <v>334</v>
      </c>
      <c r="C596" s="14" t="s">
        <v>205</v>
      </c>
      <c r="D596" s="6" t="s">
        <v>10015</v>
      </c>
      <c r="E596" s="15" t="str">
        <f>HYPERLINK("https://stat100.ameba.jp/tnk47/ratio20/illustrations/card/ill_88193_sakasunomajo03.jpg?202012-5-RELEASE-marathon-506x", "■")</f>
        <v>■</v>
      </c>
      <c r="F596" s="14" t="s">
        <v>9972</v>
      </c>
      <c r="G596" s="14">
        <v>128160</v>
      </c>
      <c r="H596" s="14">
        <v>137846</v>
      </c>
      <c r="I596" s="14">
        <v>28</v>
      </c>
      <c r="J596" s="14" t="s">
        <v>155</v>
      </c>
      <c r="K596" s="14" t="s">
        <v>9977</v>
      </c>
      <c r="L596" s="14" t="s">
        <v>9973</v>
      </c>
      <c r="M596" s="14" t="s">
        <v>13130</v>
      </c>
      <c r="N596" s="14" t="s">
        <v>343</v>
      </c>
      <c r="O596" s="14" t="s">
        <v>9158</v>
      </c>
      <c r="P596" s="14" t="s">
        <v>9158</v>
      </c>
      <c r="Q596" s="14" t="s">
        <v>9158</v>
      </c>
      <c r="R596" s="14" t="s">
        <v>14748</v>
      </c>
    </row>
    <row r="597" spans="1:18">
      <c r="A597" s="14">
        <v>88203</v>
      </c>
      <c r="B597" s="14" t="s">
        <v>334</v>
      </c>
      <c r="C597" s="14" t="s">
        <v>107</v>
      </c>
      <c r="D597" s="6" t="s">
        <v>10016</v>
      </c>
      <c r="E597" s="15" t="str">
        <f>HYPERLINK("https://stat100.ameba.jp/tnk47/ratio20/illustrations/card/ill_88203_soingumasuta03.jpg?202012-5-RELEASE-marathon-506x", "■")</f>
        <v>■</v>
      </c>
      <c r="F597" s="14" t="s">
        <v>9976</v>
      </c>
      <c r="G597" s="14">
        <v>137846</v>
      </c>
      <c r="H597" s="14">
        <v>128160</v>
      </c>
      <c r="I597" s="14">
        <v>28</v>
      </c>
      <c r="J597" s="14" t="s">
        <v>173</v>
      </c>
      <c r="K597" s="14" t="s">
        <v>9974</v>
      </c>
      <c r="L597" s="14" t="s">
        <v>9975</v>
      </c>
      <c r="M597" s="14" t="s">
        <v>13130</v>
      </c>
      <c r="N597" s="14" t="s">
        <v>343</v>
      </c>
      <c r="O597" s="14" t="s">
        <v>9158</v>
      </c>
      <c r="P597" s="14" t="s">
        <v>9158</v>
      </c>
      <c r="Q597" s="14" t="s">
        <v>9158</v>
      </c>
      <c r="R597" s="14" t="s">
        <v>14748</v>
      </c>
    </row>
  </sheetData>
  <phoneticPr fontId="1"/>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1DA3-3D7F-4B01-AF37-4B09EDCECD60}">
  <dimension ref="A1:S625"/>
  <sheetViews>
    <sheetView zoomScale="55" zoomScaleNormal="55" workbookViewId="0">
      <pane ySplit="1" topLeftCell="A431" activePane="bottomLeft" state="frozen"/>
      <selection pane="bottomLeft" activeCell="D448" sqref="D448"/>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15824</v>
      </c>
    </row>
    <row r="4" spans="1:19">
      <c r="A4" s="14">
        <v>311424</v>
      </c>
      <c r="B4" s="14" t="s">
        <v>15864</v>
      </c>
    </row>
    <row r="5" spans="1:19">
      <c r="A5" s="14">
        <v>311473</v>
      </c>
      <c r="B5" s="14" t="s">
        <v>15865</v>
      </c>
    </row>
    <row r="6" spans="1:19">
      <c r="A6" s="14" t="s">
        <v>15831</v>
      </c>
      <c r="B6" s="7" t="s">
        <v>52</v>
      </c>
      <c r="C6" s="14" t="s">
        <v>202</v>
      </c>
      <c r="D6" s="18" t="s">
        <v>15825</v>
      </c>
      <c r="E6" s="15" t="str">
        <f>HYPERLINK("https://stat100.ameba.jp/tnk47/ratio20/illustrations/card/ill_94293_0_kurisumasupurezentofukudahideko03.jpg?202012-5-RELEASE-marathon-506x", "■")</f>
        <v>■</v>
      </c>
      <c r="F6" s="14" t="s">
        <v>15830</v>
      </c>
      <c r="G6" s="14">
        <v>352118</v>
      </c>
      <c r="H6" s="14">
        <v>318252</v>
      </c>
      <c r="I6" s="7">
        <v>32</v>
      </c>
      <c r="J6" s="14" t="s">
        <v>16</v>
      </c>
      <c r="K6" s="14" t="s">
        <v>15829</v>
      </c>
      <c r="L6" s="14" t="s">
        <v>15828</v>
      </c>
      <c r="M6" s="14" t="s">
        <v>9158</v>
      </c>
      <c r="N6" s="14" t="s">
        <v>9158</v>
      </c>
      <c r="O6" s="6" t="s">
        <v>15827</v>
      </c>
      <c r="P6" s="7" t="s">
        <v>15826</v>
      </c>
      <c r="Q6" s="7">
        <v>1</v>
      </c>
    </row>
    <row r="7" spans="1:19">
      <c r="A7" s="14">
        <v>94233</v>
      </c>
      <c r="B7" s="14" t="s">
        <v>0</v>
      </c>
      <c r="C7" s="14" t="s">
        <v>14</v>
      </c>
      <c r="D7" s="18" t="s">
        <v>15838</v>
      </c>
      <c r="E7" s="15" t="str">
        <f>HYPERLINK("https://stat100.ameba.jp/tnk47/ratio20/illustrations/card/ill_94233_kurisumasupurezentoyukiusagichan03.jpg?202012-5-RELEASE-marathon-506x", "■")</f>
        <v>■</v>
      </c>
      <c r="F7" s="14" t="s">
        <v>15837</v>
      </c>
      <c r="G7" s="14">
        <v>127556</v>
      </c>
      <c r="H7" s="14">
        <v>118598</v>
      </c>
      <c r="I7" s="14">
        <v>28</v>
      </c>
      <c r="J7" s="14" t="s">
        <v>26</v>
      </c>
      <c r="K7" s="14" t="s">
        <v>15836</v>
      </c>
      <c r="L7" s="14" t="s">
        <v>15835</v>
      </c>
      <c r="M7" s="14" t="s">
        <v>9158</v>
      </c>
      <c r="N7" s="14" t="s">
        <v>9158</v>
      </c>
      <c r="O7" s="6" t="s">
        <v>10025</v>
      </c>
      <c r="P7" s="7" t="s">
        <v>3701</v>
      </c>
      <c r="Q7" s="7">
        <v>1</v>
      </c>
    </row>
    <row r="8" spans="1:19">
      <c r="A8" s="14">
        <v>94253</v>
      </c>
      <c r="B8" s="14" t="s">
        <v>0</v>
      </c>
      <c r="C8" s="14" t="s">
        <v>107</v>
      </c>
      <c r="D8" s="18" t="s">
        <v>15845</v>
      </c>
      <c r="E8" s="15" t="str">
        <f>HYPERLINK("https://stat100.ameba.jp/tnk47/ratio20/illustrations/card/ill_94253_kurisumasupurezentoorakei03.jpg?202012-5-RELEASE-marathon-506x", "■")</f>
        <v>■</v>
      </c>
      <c r="F8" s="14" t="s">
        <v>15844</v>
      </c>
      <c r="G8" s="14">
        <v>101650</v>
      </c>
      <c r="H8" s="14">
        <v>109370</v>
      </c>
      <c r="I8" s="14">
        <v>28</v>
      </c>
      <c r="J8" s="14" t="s">
        <v>10</v>
      </c>
      <c r="K8" s="14" t="s">
        <v>15843</v>
      </c>
      <c r="L8" s="14" t="s">
        <v>12916</v>
      </c>
      <c r="M8" s="14" t="s">
        <v>2138</v>
      </c>
      <c r="N8" s="14" t="s">
        <v>2139</v>
      </c>
      <c r="O8" s="14" t="s">
        <v>9158</v>
      </c>
      <c r="P8" s="14" t="s">
        <v>9158</v>
      </c>
      <c r="Q8" s="14" t="s">
        <v>9158</v>
      </c>
      <c r="R8" s="14" t="s">
        <v>13120</v>
      </c>
    </row>
    <row r="9" spans="1:19">
      <c r="A9" s="14">
        <v>94243</v>
      </c>
      <c r="B9" s="14" t="s">
        <v>0</v>
      </c>
      <c r="C9" s="14" t="s">
        <v>101</v>
      </c>
      <c r="D9" s="18" t="s">
        <v>15842</v>
      </c>
      <c r="E9" s="15" t="str">
        <f>HYPERLINK("https://stat100.ameba.jp/tnk47/ratio20/illustrations/card/ill_94243_kurisumasupurezentonoeria03.jpg?202012-5-RELEASE-marathon-506x", "■")</f>
        <v>■</v>
      </c>
      <c r="F9" s="14" t="s">
        <v>15841</v>
      </c>
      <c r="G9" s="14">
        <v>105610</v>
      </c>
      <c r="H9" s="14">
        <v>113536</v>
      </c>
      <c r="I9" s="14">
        <v>28</v>
      </c>
      <c r="J9" s="14" t="s">
        <v>16</v>
      </c>
      <c r="K9" s="14" t="s">
        <v>15840</v>
      </c>
      <c r="L9" s="14" t="s">
        <v>15839</v>
      </c>
      <c r="M9" s="14" t="s">
        <v>2138</v>
      </c>
      <c r="N9" s="14" t="s">
        <v>2139</v>
      </c>
      <c r="O9" s="14" t="s">
        <v>9158</v>
      </c>
      <c r="P9" s="14" t="s">
        <v>9158</v>
      </c>
      <c r="Q9" s="14" t="s">
        <v>9158</v>
      </c>
      <c r="R9" s="14" t="s">
        <v>13120</v>
      </c>
    </row>
    <row r="10" spans="1:19">
      <c r="A10" s="14">
        <v>94263</v>
      </c>
      <c r="B10" s="14" t="s">
        <v>15</v>
      </c>
      <c r="C10" s="14" t="s">
        <v>96</v>
      </c>
      <c r="D10" s="18" t="s">
        <v>15848</v>
      </c>
      <c r="E10" s="15" t="str">
        <f>HYPERLINK("https://stat100.ameba.jp/tnk47/ratio20/illustrations/card/ill_94263_kuripatakoyakichan03.jpg?202012-5-RELEASE-marathon-506x", "■")</f>
        <v>■</v>
      </c>
      <c r="F10" s="14" t="s">
        <v>15847</v>
      </c>
      <c r="G10" s="14">
        <v>80028</v>
      </c>
      <c r="H10" s="14">
        <v>72586</v>
      </c>
      <c r="I10" s="14">
        <v>27</v>
      </c>
      <c r="J10" s="14" t="s">
        <v>104</v>
      </c>
      <c r="K10" s="14" t="s">
        <v>15846</v>
      </c>
      <c r="L10" s="14" t="s">
        <v>3502</v>
      </c>
      <c r="M10" s="14" t="s">
        <v>9158</v>
      </c>
      <c r="N10" s="14" t="s">
        <v>9158</v>
      </c>
      <c r="O10" s="14" t="s">
        <v>9158</v>
      </c>
      <c r="P10" s="14" t="s">
        <v>9158</v>
      </c>
      <c r="Q10" s="14" t="s">
        <v>9158</v>
      </c>
    </row>
    <row r="11" spans="1:19">
      <c r="A11" s="14">
        <v>94273</v>
      </c>
      <c r="B11" s="14" t="s">
        <v>15</v>
      </c>
      <c r="C11" s="14" t="s">
        <v>1</v>
      </c>
      <c r="D11" s="18" t="s">
        <v>15851</v>
      </c>
      <c r="E11" s="15" t="str">
        <f>HYPERLINK("https://stat100.ameba.jp/tnk47/ratio20/illustrations/card/ill_94273_kurisumasuakiyamamasayuki03.jpg?202012-5-RELEASE-marathon-506x", "■")</f>
        <v>■</v>
      </c>
      <c r="F11" s="14" t="s">
        <v>15850</v>
      </c>
      <c r="G11" s="14">
        <v>72586</v>
      </c>
      <c r="H11" s="14">
        <v>80028</v>
      </c>
      <c r="I11" s="14">
        <v>27</v>
      </c>
      <c r="J11" s="14" t="s">
        <v>143</v>
      </c>
      <c r="K11" s="14" t="s">
        <v>15849</v>
      </c>
      <c r="L11" s="14" t="s">
        <v>5404</v>
      </c>
      <c r="M11" s="14" t="s">
        <v>9158</v>
      </c>
      <c r="N11" s="14" t="s">
        <v>9158</v>
      </c>
      <c r="O11" s="14" t="s">
        <v>9158</v>
      </c>
      <c r="P11" s="14" t="s">
        <v>9158</v>
      </c>
      <c r="Q11" s="14" t="s">
        <v>9158</v>
      </c>
    </row>
    <row r="12" spans="1:19">
      <c r="A12" s="14">
        <v>94283</v>
      </c>
      <c r="B12" s="14" t="s">
        <v>15</v>
      </c>
      <c r="C12" s="14" t="s">
        <v>23</v>
      </c>
      <c r="D12" s="18" t="s">
        <v>15853</v>
      </c>
      <c r="E12" s="15" t="str">
        <f>HYPERLINK("https://stat100.ameba.jp/tnk47/ratio20/illustrations/card/ill_94283_otohime03.jpg?202012-5-RELEASE-marathon-506x", "■")</f>
        <v>■</v>
      </c>
      <c r="F12" s="14" t="s">
        <v>15854</v>
      </c>
      <c r="G12" s="14">
        <v>80028</v>
      </c>
      <c r="H12" s="14">
        <v>72586</v>
      </c>
      <c r="I12" s="14">
        <v>27</v>
      </c>
      <c r="J12" s="14" t="s">
        <v>38</v>
      </c>
      <c r="K12" s="14" t="s">
        <v>15852</v>
      </c>
      <c r="L12" s="14" t="s">
        <v>5407</v>
      </c>
      <c r="M12" s="14" t="s">
        <v>9158</v>
      </c>
      <c r="N12" s="14" t="s">
        <v>9158</v>
      </c>
      <c r="O12" s="14" t="s">
        <v>9158</v>
      </c>
      <c r="P12" s="14" t="s">
        <v>9158</v>
      </c>
      <c r="Q12" s="14" t="s">
        <v>9158</v>
      </c>
    </row>
    <row r="13" spans="1:19">
      <c r="A13" s="14">
        <v>94303</v>
      </c>
      <c r="B13" s="14" t="s">
        <v>22</v>
      </c>
      <c r="C13" s="14" t="s">
        <v>14</v>
      </c>
      <c r="D13" s="18" t="s">
        <v>15857</v>
      </c>
      <c r="E13" s="15" t="str">
        <f>HYPERLINK("https://stat100.ameba.jp/tnk47/ratio20/illustrations/card/ill_94303_kurisumasukiritampochan03.jpg?202012-5-RELEASE-marathon-506x", "■")</f>
        <v>■</v>
      </c>
      <c r="F13" s="14" t="s">
        <v>15856</v>
      </c>
      <c r="G13" s="14">
        <v>39762</v>
      </c>
      <c r="H13" s="14">
        <v>47820</v>
      </c>
      <c r="I13" s="14">
        <v>23</v>
      </c>
      <c r="J13" s="14" t="s">
        <v>104</v>
      </c>
      <c r="K13" s="14" t="s">
        <v>15855</v>
      </c>
      <c r="L13" s="14" t="s">
        <v>8875</v>
      </c>
      <c r="M13" s="14" t="s">
        <v>9158</v>
      </c>
      <c r="N13" s="14" t="s">
        <v>9158</v>
      </c>
      <c r="O13" s="14" t="s">
        <v>9158</v>
      </c>
      <c r="P13" s="14" t="s">
        <v>9158</v>
      </c>
      <c r="Q13" s="14" t="s">
        <v>9158</v>
      </c>
    </row>
    <row r="14" spans="1:19">
      <c r="A14" s="14">
        <v>94313</v>
      </c>
      <c r="B14" s="14" t="s">
        <v>22</v>
      </c>
      <c r="C14" s="14" t="s">
        <v>23</v>
      </c>
      <c r="D14" s="18" t="s">
        <v>15834</v>
      </c>
      <c r="E14" s="15" t="str">
        <f>HYPERLINK("https://stat100.ameba.jp/tnk47/ratio20/illustrations/card/ill_94313_handoberuchan03.jpg?202012-5-RELEASE-marathon-506x", "■")</f>
        <v>■</v>
      </c>
      <c r="F14" s="14" t="s">
        <v>15833</v>
      </c>
      <c r="G14" s="14">
        <v>47820</v>
      </c>
      <c r="H14" s="14">
        <v>39762</v>
      </c>
      <c r="I14" s="14">
        <v>23</v>
      </c>
      <c r="J14" s="14" t="s">
        <v>26</v>
      </c>
      <c r="K14" s="14" t="s">
        <v>15832</v>
      </c>
      <c r="L14" s="14" t="s">
        <v>2162</v>
      </c>
      <c r="M14" s="14" t="s">
        <v>9158</v>
      </c>
      <c r="N14" s="14" t="s">
        <v>9158</v>
      </c>
      <c r="O14" s="14" t="s">
        <v>9158</v>
      </c>
      <c r="P14" s="14" t="s">
        <v>9158</v>
      </c>
      <c r="Q14" s="14" t="s">
        <v>9158</v>
      </c>
    </row>
    <row r="15" spans="1:19">
      <c r="A15" s="14">
        <v>94333</v>
      </c>
      <c r="B15" s="14" t="s">
        <v>30</v>
      </c>
      <c r="C15" s="14" t="s">
        <v>15859</v>
      </c>
      <c r="D15" s="18" t="s">
        <v>15858</v>
      </c>
      <c r="E15" s="15" t="str">
        <f>HYPERLINK("https://stat100.ameba.jp/tnk47/ratio20/illustrations/card/ill_94333_kurumichan03.jpg?202012-5-RELEASE-marathon-506x", "■")</f>
        <v>■</v>
      </c>
      <c r="F15" s="14" t="s">
        <v>15860</v>
      </c>
      <c r="G15" s="7" t="s">
        <v>12934</v>
      </c>
      <c r="H15" s="7" t="s">
        <v>12934</v>
      </c>
      <c r="I15" s="14">
        <v>19</v>
      </c>
      <c r="J15" s="14" t="s">
        <v>104</v>
      </c>
      <c r="K15" s="7" t="s">
        <v>12934</v>
      </c>
      <c r="L15" s="7" t="s">
        <v>12934</v>
      </c>
      <c r="M15" s="14" t="s">
        <v>9158</v>
      </c>
      <c r="N15" s="14" t="s">
        <v>9158</v>
      </c>
      <c r="O15" s="14" t="s">
        <v>9158</v>
      </c>
      <c r="P15" s="14" t="s">
        <v>9158</v>
      </c>
      <c r="Q15" s="14" t="s">
        <v>9158</v>
      </c>
    </row>
    <row r="16" spans="1:19">
      <c r="A16" s="14">
        <v>94323</v>
      </c>
      <c r="B16" s="14" t="s">
        <v>30</v>
      </c>
      <c r="C16" s="14" t="s">
        <v>15862</v>
      </c>
      <c r="D16" s="18" t="s">
        <v>15861</v>
      </c>
      <c r="E16" s="15" t="str">
        <f>HYPERLINK("https://stat100.ameba.jp/tnk47/ratio20/illustrations/card/ill_94323_tonakainarajikachan03.jpg?202012-5-RELEASE-marathon-506x", "■")</f>
        <v>■</v>
      </c>
      <c r="F16" s="14" t="s">
        <v>15863</v>
      </c>
      <c r="G16" s="7" t="s">
        <v>12934</v>
      </c>
      <c r="H16" s="7" t="s">
        <v>12934</v>
      </c>
      <c r="I16" s="14">
        <v>19</v>
      </c>
      <c r="J16" s="14" t="s">
        <v>26</v>
      </c>
      <c r="K16" s="7" t="s">
        <v>12934</v>
      </c>
      <c r="L16" s="7" t="s">
        <v>12934</v>
      </c>
      <c r="M16" s="14" t="s">
        <v>9158</v>
      </c>
      <c r="N16" s="14" t="s">
        <v>9158</v>
      </c>
      <c r="O16" s="14" t="s">
        <v>9158</v>
      </c>
      <c r="P16" s="14" t="s">
        <v>9158</v>
      </c>
      <c r="Q16" s="14" t="s">
        <v>9158</v>
      </c>
    </row>
    <row r="17" spans="1:18">
      <c r="D17" s="7"/>
    </row>
    <row r="18" spans="1:18">
      <c r="A18" s="14" t="s">
        <v>16575</v>
      </c>
      <c r="D18" s="7"/>
    </row>
    <row r="19" spans="1:18">
      <c r="A19" s="14">
        <v>235446</v>
      </c>
      <c r="B19" s="14" t="s">
        <v>2170</v>
      </c>
      <c r="D19" s="7"/>
    </row>
    <row r="20" spans="1:18">
      <c r="A20" s="14">
        <v>94385</v>
      </c>
      <c r="B20" s="14" t="s">
        <v>0</v>
      </c>
      <c r="C20" s="14" t="s">
        <v>35</v>
      </c>
      <c r="D20" s="18" t="s">
        <v>16579</v>
      </c>
      <c r="E20" s="15" t="str">
        <f>HYPERLINK("https://stat100.ameba.jp/tnk47/ratio20/illustrations/card/ill_94385_santabutaimurakamisuigun05.jpg?202012-5-RELEASE-marathon-506x", "■")</f>
        <v>■</v>
      </c>
      <c r="F20" s="14" t="s">
        <v>16578</v>
      </c>
      <c r="G20" s="14">
        <v>167158</v>
      </c>
      <c r="H20" s="14">
        <v>121038</v>
      </c>
      <c r="I20" s="14">
        <v>28</v>
      </c>
      <c r="J20" s="14" t="s">
        <v>143</v>
      </c>
      <c r="K20" s="14" t="s">
        <v>16577</v>
      </c>
      <c r="L20" s="14" t="s">
        <v>16576</v>
      </c>
      <c r="M20" s="14" t="s">
        <v>9158</v>
      </c>
      <c r="N20" s="14" t="s">
        <v>9158</v>
      </c>
      <c r="O20" s="14" t="s">
        <v>9158</v>
      </c>
      <c r="P20" s="14" t="s">
        <v>9158</v>
      </c>
      <c r="Q20" s="14" t="s">
        <v>9158</v>
      </c>
      <c r="R20" s="14" t="s">
        <v>174</v>
      </c>
    </row>
    <row r="21" spans="1:18">
      <c r="A21" s="14">
        <v>94383</v>
      </c>
      <c r="B21" s="14" t="s">
        <v>15</v>
      </c>
      <c r="C21" s="14" t="s">
        <v>41</v>
      </c>
      <c r="D21" s="18" t="s">
        <v>16579</v>
      </c>
      <c r="E21" s="15" t="str">
        <f>HYPERLINK("https://stat100.ameba.jp/tnk47/ratio20/illustrations/card/ill_94383_santabutaimurakamisuigun03.jpg?202012-5-RELEASE-marathon-506x", "■")</f>
        <v>■</v>
      </c>
      <c r="F21" s="14" t="s">
        <v>16578</v>
      </c>
      <c r="G21" s="14">
        <v>123158</v>
      </c>
      <c r="H21" s="14">
        <v>89174</v>
      </c>
      <c r="I21" s="14">
        <v>28</v>
      </c>
      <c r="J21" s="14" t="s">
        <v>143</v>
      </c>
      <c r="K21" s="14" t="s">
        <v>16577</v>
      </c>
      <c r="L21" s="14" t="s">
        <v>1219</v>
      </c>
      <c r="M21" s="14" t="s">
        <v>9158</v>
      </c>
      <c r="N21" s="14" t="s">
        <v>9158</v>
      </c>
      <c r="O21" s="14" t="s">
        <v>9158</v>
      </c>
      <c r="P21" s="14" t="s">
        <v>9158</v>
      </c>
      <c r="Q21" s="14" t="s">
        <v>9158</v>
      </c>
      <c r="R21" s="14" t="s">
        <v>175</v>
      </c>
    </row>
    <row r="22" spans="1:18">
      <c r="A22" s="14">
        <v>94381</v>
      </c>
      <c r="B22" s="14" t="s">
        <v>15</v>
      </c>
      <c r="C22" s="14" t="s">
        <v>41</v>
      </c>
      <c r="D22" s="18" t="s">
        <v>16579</v>
      </c>
      <c r="E22" s="15" t="str">
        <f>HYPERLINK("https://stat100.ameba.jp/tnk47/ratio20/illustrations/card/ill_94381_santabutaimurakamisuigun01.jpg?202012-5-RELEASE-marathon-506x", "■")</f>
        <v>■</v>
      </c>
      <c r="F22" s="14" t="s">
        <v>16578</v>
      </c>
      <c r="G22" s="14">
        <v>78344</v>
      </c>
      <c r="H22" s="14">
        <v>56728</v>
      </c>
      <c r="I22" s="14">
        <v>28</v>
      </c>
      <c r="J22" s="14" t="s">
        <v>143</v>
      </c>
      <c r="K22" s="14" t="s">
        <v>16577</v>
      </c>
      <c r="L22" s="14" t="s">
        <v>16580</v>
      </c>
      <c r="M22" s="14" t="s">
        <v>9158</v>
      </c>
      <c r="N22" s="14" t="s">
        <v>9158</v>
      </c>
      <c r="O22" s="14" t="s">
        <v>9158</v>
      </c>
      <c r="P22" s="14" t="s">
        <v>9158</v>
      </c>
      <c r="Q22" s="14" t="s">
        <v>9158</v>
      </c>
      <c r="R22" s="14" t="s">
        <v>176</v>
      </c>
    </row>
    <row r="23" spans="1:18">
      <c r="D23" s="7"/>
    </row>
    <row r="24" spans="1:18">
      <c r="A24" s="14" t="s">
        <v>3785</v>
      </c>
      <c r="D24" s="7"/>
    </row>
    <row r="25" spans="1:18">
      <c r="A25" s="14">
        <v>235477</v>
      </c>
      <c r="B25" s="14" t="s">
        <v>16131</v>
      </c>
      <c r="D25" s="7"/>
    </row>
    <row r="26" spans="1:18">
      <c r="A26" s="14" t="s">
        <v>5822</v>
      </c>
      <c r="B26" s="14" t="s">
        <v>330</v>
      </c>
      <c r="C26" s="14" t="s">
        <v>307</v>
      </c>
      <c r="D26" s="19" t="s">
        <v>306</v>
      </c>
      <c r="E26" s="15" t="str">
        <f>HYPERLINK("https://stat100.ameba.jp/tnk47/ratio20/illustrations/card/ill_71403_0_ohanamisanadayukimura03.jpg?202012-5-RELEASE-marathon-506x", "■")</f>
        <v>■</v>
      </c>
      <c r="F26" s="14" t="s">
        <v>309</v>
      </c>
      <c r="G26" s="14">
        <v>205358</v>
      </c>
      <c r="H26" s="14">
        <v>190952</v>
      </c>
      <c r="I26" s="14">
        <v>22</v>
      </c>
      <c r="J26" s="14" t="s">
        <v>310</v>
      </c>
      <c r="K26" s="14" t="s">
        <v>311</v>
      </c>
      <c r="L26" s="14" t="s">
        <v>312</v>
      </c>
      <c r="M26" s="14" t="s">
        <v>9158</v>
      </c>
      <c r="N26" s="14" t="s">
        <v>9158</v>
      </c>
      <c r="O26" s="6" t="s">
        <v>10060</v>
      </c>
      <c r="P26" s="14" t="s">
        <v>3418</v>
      </c>
      <c r="Q26" s="14">
        <v>2</v>
      </c>
    </row>
    <row r="27" spans="1:18">
      <c r="A27" s="14" t="s">
        <v>5603</v>
      </c>
      <c r="B27" s="14" t="s">
        <v>330</v>
      </c>
      <c r="C27" s="14" t="s">
        <v>205</v>
      </c>
      <c r="D27" s="20" t="s">
        <v>611</v>
      </c>
      <c r="E27" s="15" t="str">
        <f>HYPERLINK("https://stat100.ameba.jp/tnk47/ratio20/illustrations/card/ill_61893_0_onikirishumiyamotomusashi03.jpg?202012-5-RELEASE-marathon-506x", "■")</f>
        <v>■</v>
      </c>
      <c r="F27" s="14" t="s">
        <v>612</v>
      </c>
      <c r="G27" s="14">
        <v>205358</v>
      </c>
      <c r="H27" s="14">
        <v>190952</v>
      </c>
      <c r="I27" s="14">
        <v>22</v>
      </c>
      <c r="J27" s="14" t="s">
        <v>310</v>
      </c>
      <c r="K27" s="14" t="s">
        <v>613</v>
      </c>
      <c r="L27" s="14" t="s">
        <v>312</v>
      </c>
      <c r="M27" s="14" t="s">
        <v>9158</v>
      </c>
      <c r="N27" s="14" t="s">
        <v>9158</v>
      </c>
      <c r="O27" s="19" t="s">
        <v>10071</v>
      </c>
      <c r="P27" s="14" t="s">
        <v>3253</v>
      </c>
      <c r="Q27" s="14">
        <v>1</v>
      </c>
    </row>
    <row r="28" spans="1:18">
      <c r="A28" s="14" t="s">
        <v>5608</v>
      </c>
      <c r="B28" s="14" t="s">
        <v>52</v>
      </c>
      <c r="C28" s="14" t="s">
        <v>96</v>
      </c>
      <c r="D28" s="20" t="s">
        <v>634</v>
      </c>
      <c r="E28" s="15" t="str">
        <f>HYPERLINK("https://stat100.ameba.jp/tnk47/ratio20/illustrations/card/ill_40963_0_makami03.jpg?202012-5-RELEASE-marathon-506x", "■")</f>
        <v>■</v>
      </c>
      <c r="F28" s="14" t="s">
        <v>2038</v>
      </c>
      <c r="G28" s="14">
        <v>128744</v>
      </c>
      <c r="H28" s="14">
        <v>120576</v>
      </c>
      <c r="I28" s="14">
        <v>22</v>
      </c>
      <c r="J28" s="14" t="s">
        <v>44</v>
      </c>
      <c r="K28" s="14" t="s">
        <v>2039</v>
      </c>
      <c r="L28" s="14" t="s">
        <v>2040</v>
      </c>
      <c r="M28" s="14" t="s">
        <v>9158</v>
      </c>
      <c r="N28" s="14" t="s">
        <v>9158</v>
      </c>
      <c r="O28" s="14" t="s">
        <v>9158</v>
      </c>
      <c r="P28" s="14" t="s">
        <v>9158</v>
      </c>
      <c r="Q28" s="14" t="s">
        <v>9158</v>
      </c>
    </row>
    <row r="29" spans="1:18">
      <c r="A29" s="14">
        <v>91393</v>
      </c>
      <c r="B29" s="14" t="s">
        <v>334</v>
      </c>
      <c r="C29" s="14" t="s">
        <v>107</v>
      </c>
      <c r="D29" s="14" t="s">
        <v>14144</v>
      </c>
      <c r="E29" s="15" t="str">
        <f>HYPERLINK("https://stat100.ameba.jp/tnk47/ratio20/illustrations/card/ill_91393_toriton03.jpg?202012-5-RELEASE-marathon-506x", "■")</f>
        <v>■</v>
      </c>
      <c r="F29" s="14" t="s">
        <v>14143</v>
      </c>
      <c r="G29" s="14">
        <v>157512</v>
      </c>
      <c r="H29" s="14">
        <v>88642</v>
      </c>
      <c r="I29" s="7">
        <v>28</v>
      </c>
      <c r="J29" s="14" t="s">
        <v>26</v>
      </c>
      <c r="K29" s="14" t="s">
        <v>14141</v>
      </c>
      <c r="L29" s="14" t="s">
        <v>12208</v>
      </c>
      <c r="M29" s="14" t="s">
        <v>9158</v>
      </c>
      <c r="N29" s="14" t="s">
        <v>9158</v>
      </c>
      <c r="O29" s="14" t="s">
        <v>9158</v>
      </c>
      <c r="P29" s="14" t="s">
        <v>9158</v>
      </c>
      <c r="Q29" s="14" t="s">
        <v>9158</v>
      </c>
    </row>
    <row r="30" spans="1:18">
      <c r="A30" s="9">
        <v>59443</v>
      </c>
      <c r="B30" s="14" t="s">
        <v>334</v>
      </c>
      <c r="C30" s="14" t="s">
        <v>267</v>
      </c>
      <c r="D30" s="14" t="s">
        <v>3875</v>
      </c>
      <c r="E30" s="15" t="str">
        <f>HYPERLINK("https://stat100.ameba.jp/tnk47/ratio20/illustrations/card/ill_59443_kumanokusubinomikoto03.jpg?202012-5-RELEASE-marathon-506x", "■")</f>
        <v>■</v>
      </c>
      <c r="F30" s="14" t="s">
        <v>801</v>
      </c>
      <c r="G30" s="14">
        <v>121486</v>
      </c>
      <c r="H30" s="14">
        <v>87336</v>
      </c>
      <c r="I30" s="7">
        <v>28</v>
      </c>
      <c r="J30" s="14" t="s">
        <v>401</v>
      </c>
      <c r="K30" s="14" t="s">
        <v>802</v>
      </c>
      <c r="L30" s="14" t="s">
        <v>803</v>
      </c>
      <c r="M30" s="14" t="s">
        <v>9158</v>
      </c>
      <c r="N30" s="14" t="s">
        <v>9158</v>
      </c>
      <c r="O30" s="14" t="s">
        <v>9158</v>
      </c>
      <c r="P30" s="14" t="s">
        <v>9158</v>
      </c>
      <c r="Q30" s="14" t="s">
        <v>9158</v>
      </c>
    </row>
    <row r="31" spans="1:18">
      <c r="A31" s="14">
        <v>81983</v>
      </c>
      <c r="B31" s="14" t="s">
        <v>0</v>
      </c>
      <c r="C31" s="14" t="s">
        <v>101</v>
      </c>
      <c r="D31" s="19" t="s">
        <v>10206</v>
      </c>
      <c r="E31" s="15" t="str">
        <f>HYPERLINK("https://stat100.ameba.jp/tnk47/ratio20/illustrations/card/ill_81983_otenkinonesammatsushitaotome03.jpg?202012-5-RELEASE-marathon-506x", "■")</f>
        <v>■</v>
      </c>
      <c r="F31" s="14" t="s">
        <v>5022</v>
      </c>
      <c r="G31" s="14">
        <v>109370</v>
      </c>
      <c r="H31" s="14">
        <v>101650</v>
      </c>
      <c r="I31" s="7">
        <v>28</v>
      </c>
      <c r="J31" s="14" t="s">
        <v>77</v>
      </c>
      <c r="K31" s="14" t="s">
        <v>5024</v>
      </c>
      <c r="L31" s="14" t="s">
        <v>4678</v>
      </c>
      <c r="M31" s="14" t="s">
        <v>9158</v>
      </c>
      <c r="N31" s="14" t="s">
        <v>9158</v>
      </c>
      <c r="O31" s="9" t="s">
        <v>9158</v>
      </c>
      <c r="P31" s="14" t="s">
        <v>9158</v>
      </c>
      <c r="Q31" s="14" t="s">
        <v>9158</v>
      </c>
    </row>
    <row r="33" spans="1:17">
      <c r="A33" s="14" t="s">
        <v>13431</v>
      </c>
    </row>
    <row r="34" spans="1:17">
      <c r="A34" s="14">
        <v>105157</v>
      </c>
      <c r="B34" s="14" t="s">
        <v>16132</v>
      </c>
    </row>
    <row r="35" spans="1:17">
      <c r="A35" s="14" t="s">
        <v>12012</v>
      </c>
      <c r="B35" s="7" t="s">
        <v>52</v>
      </c>
      <c r="C35" s="14" t="s">
        <v>202</v>
      </c>
      <c r="D35" s="18" t="s">
        <v>12013</v>
      </c>
      <c r="E35" s="15" t="str">
        <f>HYPERLINK("https://stat100.ameba.jp/tnk47/ratio20/illustrations/card/ill_88363_0_hanamijingukogo03.jpg?202012-5-RELEASE-marathon-506x", "■")</f>
        <v>■</v>
      </c>
      <c r="F35" s="14" t="s">
        <v>12014</v>
      </c>
      <c r="G35" s="14">
        <v>328614</v>
      </c>
      <c r="H35" s="14">
        <v>296998</v>
      </c>
      <c r="I35" s="7">
        <v>27</v>
      </c>
      <c r="J35" s="14" t="s">
        <v>10</v>
      </c>
      <c r="K35" s="14" t="s">
        <v>12015</v>
      </c>
      <c r="L35" s="14" t="s">
        <v>12016</v>
      </c>
      <c r="M35" s="14" t="s">
        <v>9158</v>
      </c>
      <c r="N35" s="14" t="s">
        <v>9158</v>
      </c>
      <c r="O35" s="6" t="s">
        <v>12017</v>
      </c>
      <c r="P35" s="7" t="s">
        <v>12018</v>
      </c>
      <c r="Q35" s="7">
        <v>1</v>
      </c>
    </row>
    <row r="36" spans="1:17">
      <c r="A36" s="9" t="s">
        <v>9891</v>
      </c>
      <c r="B36" s="7" t="s">
        <v>52</v>
      </c>
      <c r="C36" s="9" t="s">
        <v>202</v>
      </c>
      <c r="D36" s="6" t="s">
        <v>9978</v>
      </c>
      <c r="E36" s="15" t="str">
        <f>HYPERLINK("https://stat100.ameba.jp/tnk47/ratio20/illustrations/card/ill_87643_0_oendanotohime03.jpg?202012-5-RELEASE-marathon-506x", "■")</f>
        <v>■</v>
      </c>
      <c r="F36" s="14" t="s">
        <v>9928</v>
      </c>
      <c r="G36" s="9">
        <v>281156</v>
      </c>
      <c r="H36" s="9">
        <v>343608</v>
      </c>
      <c r="I36" s="7">
        <v>27</v>
      </c>
      <c r="J36" s="9" t="s">
        <v>155</v>
      </c>
      <c r="K36" s="14" t="s">
        <v>9932</v>
      </c>
      <c r="L36" s="14" t="s">
        <v>9933</v>
      </c>
      <c r="M36" s="14" t="s">
        <v>9158</v>
      </c>
      <c r="N36" s="14" t="s">
        <v>9158</v>
      </c>
      <c r="O36" s="6" t="s">
        <v>9989</v>
      </c>
      <c r="P36" s="7" t="s">
        <v>9944</v>
      </c>
      <c r="Q36" s="7">
        <v>1</v>
      </c>
    </row>
    <row r="37" spans="1:17">
      <c r="A37" s="14" t="s">
        <v>6598</v>
      </c>
      <c r="B37" s="14" t="s">
        <v>330</v>
      </c>
      <c r="C37" s="14" t="s">
        <v>35</v>
      </c>
      <c r="D37" s="19" t="s">
        <v>10555</v>
      </c>
      <c r="E37" s="15" t="str">
        <f>HYPERLINK("https://stat100.ameba.jp/tnk47/ratio20/illustrations/card/ill_83553_0_kajuenamoronagu03.jpg?202012-5-RELEASE-marathon-506x", "■")</f>
        <v>■</v>
      </c>
      <c r="F37" s="14" t="s">
        <v>6597</v>
      </c>
      <c r="G37" s="14">
        <v>284219</v>
      </c>
      <c r="H37" s="14">
        <v>314478</v>
      </c>
      <c r="I37" s="14">
        <v>27</v>
      </c>
      <c r="J37" s="14" t="s">
        <v>44</v>
      </c>
      <c r="K37" s="14" t="s">
        <v>6595</v>
      </c>
      <c r="L37" s="14" t="s">
        <v>6594</v>
      </c>
      <c r="M37" s="14" t="s">
        <v>9158</v>
      </c>
      <c r="N37" s="14" t="s">
        <v>9158</v>
      </c>
      <c r="O37" s="19" t="s">
        <v>10125</v>
      </c>
      <c r="P37" s="14" t="s">
        <v>6599</v>
      </c>
      <c r="Q37" s="14">
        <v>1</v>
      </c>
    </row>
    <row r="38" spans="1:17">
      <c r="A38" s="9" t="s">
        <v>9325</v>
      </c>
      <c r="B38" s="7" t="s">
        <v>52</v>
      </c>
      <c r="C38" s="9" t="s">
        <v>202</v>
      </c>
      <c r="D38" s="19" t="s">
        <v>10947</v>
      </c>
      <c r="E38" s="15" t="str">
        <f>HYPERLINK("https://stat100.ameba.jp/tnk47/ratio20/illustrations/card/ill_86893_0_chokonohisukeban03.jpg?202012-5-RELEASE-marathon-506x", "■")</f>
        <v>■</v>
      </c>
      <c r="F38" s="14" t="s">
        <v>9332</v>
      </c>
      <c r="G38" s="9">
        <v>351727</v>
      </c>
      <c r="H38" s="9">
        <v>317873</v>
      </c>
      <c r="I38" s="7">
        <v>27</v>
      </c>
      <c r="J38" s="9" t="s">
        <v>187</v>
      </c>
      <c r="K38" s="14" t="s">
        <v>9330</v>
      </c>
      <c r="L38" s="14" t="s">
        <v>9331</v>
      </c>
      <c r="M38" s="14" t="s">
        <v>9158</v>
      </c>
      <c r="N38" s="14" t="s">
        <v>9158</v>
      </c>
      <c r="O38" s="19" t="s">
        <v>10136</v>
      </c>
      <c r="P38" s="7" t="s">
        <v>9324</v>
      </c>
      <c r="Q38" s="7">
        <v>1</v>
      </c>
    </row>
    <row r="39" spans="1:17">
      <c r="A39" s="14" t="s">
        <v>5891</v>
      </c>
      <c r="B39" s="14" t="s">
        <v>330</v>
      </c>
      <c r="C39" s="14" t="s">
        <v>202</v>
      </c>
      <c r="D39" s="20" t="s">
        <v>1371</v>
      </c>
      <c r="E39" s="15" t="str">
        <f>HYPERLINK("https://stat100.ameba.jp/tnk47/ratio20/illustrations/card/ill_77173_0_yukemuritomoegozen03.jpg?202012-5-RELEASE-marathon-506x", "■")</f>
        <v>■</v>
      </c>
      <c r="F39" s="14" t="s">
        <v>1372</v>
      </c>
      <c r="G39" s="14">
        <v>270658</v>
      </c>
      <c r="H39" s="14">
        <v>299465</v>
      </c>
      <c r="I39" s="14">
        <v>27</v>
      </c>
      <c r="J39" s="14" t="s">
        <v>310</v>
      </c>
      <c r="K39" s="14" t="s">
        <v>1373</v>
      </c>
      <c r="L39" s="14" t="s">
        <v>1374</v>
      </c>
      <c r="M39" s="14" t="s">
        <v>9158</v>
      </c>
      <c r="N39" s="14" t="s">
        <v>9158</v>
      </c>
      <c r="O39" s="19" t="s">
        <v>4067</v>
      </c>
      <c r="P39" s="14" t="s">
        <v>3879</v>
      </c>
      <c r="Q39" s="14">
        <v>2</v>
      </c>
    </row>
    <row r="40" spans="1:17">
      <c r="A40" s="14">
        <v>80353</v>
      </c>
      <c r="B40" s="14" t="s">
        <v>0</v>
      </c>
      <c r="C40" s="14" t="s">
        <v>185</v>
      </c>
      <c r="D40" s="14" t="s">
        <v>4093</v>
      </c>
      <c r="E40" s="15" t="str">
        <f>HYPERLINK("https://stat100.ameba.jp/tnk47/ratio20/illustrations/card/ill_80353_seibugekisentoin03.jpg?202012-5-RELEASE-marathon-506x", "■")</f>
        <v>■</v>
      </c>
      <c r="F40" s="14" t="s">
        <v>4094</v>
      </c>
      <c r="G40" s="14">
        <v>109370</v>
      </c>
      <c r="H40" s="14">
        <v>101650</v>
      </c>
      <c r="I40" s="7">
        <v>28</v>
      </c>
      <c r="J40" s="14" t="s">
        <v>77</v>
      </c>
      <c r="K40" s="14" t="s">
        <v>4095</v>
      </c>
      <c r="L40" s="14" t="s">
        <v>4096</v>
      </c>
      <c r="M40" s="14" t="s">
        <v>9158</v>
      </c>
      <c r="N40" s="14" t="s">
        <v>9158</v>
      </c>
      <c r="O40" s="14" t="s">
        <v>9158</v>
      </c>
      <c r="P40" s="14" t="s">
        <v>9158</v>
      </c>
      <c r="Q40" s="14" t="s">
        <v>9158</v>
      </c>
    </row>
    <row r="41" spans="1:17">
      <c r="A41" s="14">
        <v>83163</v>
      </c>
      <c r="B41" s="14" t="s">
        <v>0</v>
      </c>
      <c r="C41" s="14" t="s">
        <v>200</v>
      </c>
      <c r="D41" s="20" t="s">
        <v>10480</v>
      </c>
      <c r="E41" s="15" t="str">
        <f>HYPERLINK("https://stat100.ameba.jp/tnk47/ratio20/illustrations/card/ill_83163_mangamatsurifutomakimatsurizushi03.jpg?202012-5-RELEASE-marathon-506x", "■")</f>
        <v>■</v>
      </c>
      <c r="F41" s="14" t="s">
        <v>6164</v>
      </c>
      <c r="G41" s="14">
        <v>132230</v>
      </c>
      <c r="H41" s="14">
        <v>122960</v>
      </c>
      <c r="I41" s="7">
        <v>28</v>
      </c>
      <c r="J41" s="14" t="s">
        <v>104</v>
      </c>
      <c r="K41" s="14" t="s">
        <v>6166</v>
      </c>
      <c r="L41" s="14" t="s">
        <v>2409</v>
      </c>
      <c r="M41" s="14" t="s">
        <v>9158</v>
      </c>
      <c r="N41" s="14" t="s">
        <v>9158</v>
      </c>
      <c r="O41" s="14" t="s">
        <v>9158</v>
      </c>
      <c r="P41" s="14" t="s">
        <v>9158</v>
      </c>
      <c r="Q41" s="14" t="s">
        <v>9158</v>
      </c>
    </row>
    <row r="42" spans="1:17">
      <c r="A42" s="9">
        <v>87153</v>
      </c>
      <c r="B42" s="9" t="s">
        <v>0</v>
      </c>
      <c r="C42" s="9" t="s">
        <v>191</v>
      </c>
      <c r="D42" s="19" t="s">
        <v>10973</v>
      </c>
      <c r="E42" s="15" t="str">
        <f>HYPERLINK("https://stat100.ameba.jp/tnk47/ratio20/illustrations/card/ill_87153_doragonteimaryanda03.jpg?202012-5-RELEASE-marathon-506x", "■")</f>
        <v>■</v>
      </c>
      <c r="F42" s="9" t="s">
        <v>9549</v>
      </c>
      <c r="G42" s="14">
        <v>166452</v>
      </c>
      <c r="H42" s="14">
        <v>154768</v>
      </c>
      <c r="I42" s="7">
        <v>28</v>
      </c>
      <c r="J42" s="9" t="s">
        <v>194</v>
      </c>
      <c r="K42" s="9" t="s">
        <v>9548</v>
      </c>
      <c r="L42" s="9" t="s">
        <v>3459</v>
      </c>
      <c r="M42" s="14" t="s">
        <v>9158</v>
      </c>
      <c r="N42" s="14" t="s">
        <v>9158</v>
      </c>
      <c r="O42" s="14" t="s">
        <v>9158</v>
      </c>
      <c r="P42" s="14" t="s">
        <v>9158</v>
      </c>
      <c r="Q42" s="14" t="s">
        <v>9158</v>
      </c>
    </row>
    <row r="43" spans="1:17">
      <c r="A43" s="14">
        <v>82663</v>
      </c>
      <c r="B43" s="14" t="s">
        <v>0</v>
      </c>
      <c r="C43" s="14" t="s">
        <v>165</v>
      </c>
      <c r="D43" s="20" t="s">
        <v>10368</v>
      </c>
      <c r="E43" s="15" t="str">
        <f>HYPERLINK("https://stat100.ameba.jp/tnk47/ratio20/illustrations/card/ill_82663_fuisshingukoshikibunonaishi03.jpg?202012-5-RELEASE-marathon-506x", "■")</f>
        <v>■</v>
      </c>
      <c r="F43" s="14" t="s">
        <v>5662</v>
      </c>
      <c r="G43" s="14">
        <v>113536</v>
      </c>
      <c r="H43" s="14">
        <v>105610</v>
      </c>
      <c r="I43" s="7">
        <v>28</v>
      </c>
      <c r="J43" s="14" t="s">
        <v>414</v>
      </c>
      <c r="K43" s="14" t="s">
        <v>5663</v>
      </c>
      <c r="L43" s="14" t="s">
        <v>920</v>
      </c>
      <c r="M43" s="14" t="s">
        <v>9158</v>
      </c>
      <c r="N43" s="14" t="s">
        <v>9158</v>
      </c>
      <c r="O43" s="14" t="s">
        <v>9158</v>
      </c>
      <c r="P43" s="14" t="s">
        <v>9158</v>
      </c>
      <c r="Q43" s="14" t="s">
        <v>9158</v>
      </c>
    </row>
    <row r="44" spans="1:17">
      <c r="A44" s="14">
        <v>88633</v>
      </c>
      <c r="B44" s="14" t="s">
        <v>0</v>
      </c>
      <c r="C44" s="14" t="s">
        <v>205</v>
      </c>
      <c r="D44" s="14" t="s">
        <v>12209</v>
      </c>
      <c r="E44" s="15" t="str">
        <f>HYPERLINK("https://stat100.ameba.jp/tnk47/ratio20/illustrations/card/ill_88633_obentonekodanuki03.jpg?202012-5-RELEASE-marathon-506x", "■")</f>
        <v>■</v>
      </c>
      <c r="F44" s="14" t="s">
        <v>12210</v>
      </c>
      <c r="G44" s="14">
        <v>116662</v>
      </c>
      <c r="H44" s="14">
        <v>108494</v>
      </c>
      <c r="I44" s="14">
        <v>28</v>
      </c>
      <c r="J44" s="14" t="s">
        <v>73</v>
      </c>
      <c r="K44" s="14" t="s">
        <v>12212</v>
      </c>
      <c r="L44" s="14" t="s">
        <v>12211</v>
      </c>
      <c r="M44" s="14" t="s">
        <v>9158</v>
      </c>
      <c r="N44" s="14" t="s">
        <v>9158</v>
      </c>
      <c r="O44" s="14" t="s">
        <v>9158</v>
      </c>
      <c r="P44" s="14" t="s">
        <v>9158</v>
      </c>
      <c r="Q44" s="14" t="s">
        <v>9158</v>
      </c>
    </row>
    <row r="45" spans="1:17">
      <c r="A45" s="14">
        <v>80943</v>
      </c>
      <c r="B45" s="14" t="s">
        <v>334</v>
      </c>
      <c r="C45" s="14" t="s">
        <v>107</v>
      </c>
      <c r="D45" s="20" t="s">
        <v>10707</v>
      </c>
      <c r="E45" s="15" t="str">
        <f>HYPERLINK("https://stat100.ameba.jp/tnk47/ratio20/illustrations/card/ill_80943_shinshakaijimburakkuparu03.jpg?202012-5-RELEASE-marathon-506x", "■")</f>
        <v>■</v>
      </c>
      <c r="F45" s="14" t="s">
        <v>4453</v>
      </c>
      <c r="G45" s="14">
        <v>109370</v>
      </c>
      <c r="H45" s="14">
        <v>101650</v>
      </c>
      <c r="I45" s="7">
        <v>28</v>
      </c>
      <c r="J45" s="14" t="s">
        <v>16</v>
      </c>
      <c r="K45" s="14" t="s">
        <v>4454</v>
      </c>
      <c r="L45" s="14" t="s">
        <v>4455</v>
      </c>
      <c r="M45" s="14" t="s">
        <v>9158</v>
      </c>
      <c r="N45" s="14" t="s">
        <v>9158</v>
      </c>
      <c r="O45" s="14" t="s">
        <v>9158</v>
      </c>
      <c r="P45" s="14" t="s">
        <v>9158</v>
      </c>
      <c r="Q45" s="14" t="s">
        <v>9158</v>
      </c>
    </row>
    <row r="47" spans="1:17">
      <c r="A47" s="14" t="s">
        <v>4065</v>
      </c>
    </row>
    <row r="48" spans="1:17">
      <c r="A48" s="14">
        <v>105122</v>
      </c>
      <c r="B48" s="14" t="s">
        <v>8389</v>
      </c>
      <c r="I48" s="7"/>
    </row>
    <row r="49" spans="1:18">
      <c r="A49" s="14" t="s">
        <v>6030</v>
      </c>
      <c r="B49" s="14" t="s">
        <v>52</v>
      </c>
      <c r="C49" s="14" t="s">
        <v>202</v>
      </c>
      <c r="D49" s="19" t="s">
        <v>10453</v>
      </c>
      <c r="E49" s="15" t="str">
        <f>HYPERLINK("https://stat100.ameba.jp/tnk47/ratio20/illustrations/card/ill_80023_0_hinamatsurikyogokumaria03.jpg?202012-5-RELEASE-marathon-506x", "■")</f>
        <v>■</v>
      </c>
      <c r="F49" s="14" t="s">
        <v>3709</v>
      </c>
      <c r="G49" s="14">
        <v>350382</v>
      </c>
      <c r="H49" s="14">
        <v>387714</v>
      </c>
      <c r="I49" s="14">
        <v>26</v>
      </c>
      <c r="J49" s="14" t="s">
        <v>26</v>
      </c>
      <c r="K49" s="14" t="s">
        <v>3710</v>
      </c>
      <c r="L49" s="14" t="s">
        <v>3711</v>
      </c>
      <c r="M49" s="14" t="s">
        <v>9158</v>
      </c>
      <c r="N49" s="14" t="s">
        <v>9158</v>
      </c>
      <c r="O49" s="19" t="s">
        <v>10116</v>
      </c>
      <c r="P49" s="14" t="s">
        <v>3713</v>
      </c>
      <c r="Q49" s="14">
        <v>1</v>
      </c>
    </row>
    <row r="50" spans="1:18">
      <c r="A50" s="14">
        <v>83083</v>
      </c>
      <c r="B50" s="14" t="s">
        <v>0</v>
      </c>
      <c r="C50" s="14" t="s">
        <v>209</v>
      </c>
      <c r="D50" s="20" t="s">
        <v>10469</v>
      </c>
      <c r="E50" s="15" t="str">
        <f>HYPERLINK("https://stat100.ameba.jp/tnk47/ratio20/illustrations/card/ill_83083_burakkukingu03.jpg?202012-5-RELEASE-marathon-506x", "■")</f>
        <v>■</v>
      </c>
      <c r="F50" s="14" t="s">
        <v>6093</v>
      </c>
      <c r="G50" s="14">
        <v>125296</v>
      </c>
      <c r="H50" s="14">
        <v>172982</v>
      </c>
      <c r="I50" s="14">
        <v>26</v>
      </c>
      <c r="J50" s="14" t="s">
        <v>194</v>
      </c>
      <c r="K50" s="14" t="s">
        <v>6095</v>
      </c>
      <c r="L50" s="14" t="s">
        <v>1148</v>
      </c>
      <c r="M50" s="14" t="s">
        <v>9158</v>
      </c>
      <c r="N50" s="14" t="s">
        <v>9158</v>
      </c>
      <c r="O50" s="19" t="s">
        <v>10117</v>
      </c>
      <c r="P50" s="14" t="s">
        <v>3625</v>
      </c>
      <c r="Q50" s="14">
        <v>1</v>
      </c>
    </row>
    <row r="51" spans="1:18">
      <c r="A51" s="14">
        <v>84633</v>
      </c>
      <c r="B51" s="14" t="s">
        <v>334</v>
      </c>
      <c r="C51" s="14" t="s">
        <v>154</v>
      </c>
      <c r="D51" s="20" t="s">
        <v>10586</v>
      </c>
      <c r="E51" s="15" t="str">
        <f>HYPERLINK("https://stat100.ameba.jp/tnk47/ratio20/illustrations/card/ill_84633_akubishoppu03.jpg?202012-5-RELEASE-marathon-506x", "■")</f>
        <v>■</v>
      </c>
      <c r="F51" s="14" t="s">
        <v>6762</v>
      </c>
      <c r="G51" s="14">
        <v>113630</v>
      </c>
      <c r="H51" s="14">
        <v>82318</v>
      </c>
      <c r="I51" s="14">
        <v>26</v>
      </c>
      <c r="J51" s="14" t="s">
        <v>10</v>
      </c>
      <c r="K51" s="14" t="s">
        <v>6764</v>
      </c>
      <c r="L51" s="14" t="s">
        <v>6763</v>
      </c>
      <c r="M51" s="14" t="s">
        <v>9158</v>
      </c>
      <c r="N51" s="14" t="s">
        <v>9158</v>
      </c>
      <c r="O51" s="19" t="s">
        <v>10090</v>
      </c>
      <c r="P51" s="14" t="s">
        <v>3460</v>
      </c>
      <c r="Q51" s="14">
        <v>1</v>
      </c>
    </row>
    <row r="52" spans="1:18">
      <c r="A52" s="14">
        <v>62473</v>
      </c>
      <c r="B52" s="14" t="s">
        <v>334</v>
      </c>
      <c r="C52" s="14" t="s">
        <v>203</v>
      </c>
      <c r="D52" s="20" t="s">
        <v>2834</v>
      </c>
      <c r="E52" s="15" t="str">
        <f>HYPERLINK("https://stat100.ameba.jp/tnk47/ratio20/illustrations/card/ill_62473_kokuriko03.jpg?202012-5-RELEASE-marathon-506x", "■")</f>
        <v>■</v>
      </c>
      <c r="F52" s="14" t="s">
        <v>2835</v>
      </c>
      <c r="G52" s="14">
        <v>118684</v>
      </c>
      <c r="H52" s="14">
        <v>85962</v>
      </c>
      <c r="I52" s="14">
        <v>26</v>
      </c>
      <c r="J52" s="14" t="s">
        <v>401</v>
      </c>
      <c r="K52" s="14" t="s">
        <v>2836</v>
      </c>
      <c r="L52" s="14" t="s">
        <v>2837</v>
      </c>
      <c r="M52" s="14" t="s">
        <v>9158</v>
      </c>
      <c r="N52" s="14" t="s">
        <v>9158</v>
      </c>
      <c r="O52" s="19" t="s">
        <v>2838</v>
      </c>
      <c r="P52" s="14" t="s">
        <v>2839</v>
      </c>
      <c r="Q52" s="14">
        <v>1</v>
      </c>
    </row>
    <row r="54" spans="1:18">
      <c r="A54" s="14" t="s">
        <v>13327</v>
      </c>
    </row>
    <row r="55" spans="1:18">
      <c r="A55" s="14">
        <v>105127</v>
      </c>
      <c r="B55" s="14" t="s">
        <v>2205</v>
      </c>
    </row>
    <row r="56" spans="1:18">
      <c r="A56" s="14">
        <v>94773</v>
      </c>
      <c r="B56" s="14" t="s">
        <v>0</v>
      </c>
      <c r="C56" s="14" t="s">
        <v>335</v>
      </c>
      <c r="D56" s="14" t="s">
        <v>15781</v>
      </c>
      <c r="E56" s="15" t="str">
        <f>HYPERLINK("https://stat100.ameba.jp/tnk47/ratio20/illustrations/card/ill_94773_baiorinisutosuru03.jpg?202012-5-RELEASE-marathon-506x", "■")</f>
        <v>■</v>
      </c>
      <c r="F56" s="14" t="s">
        <v>15780</v>
      </c>
      <c r="G56" s="14">
        <v>128160</v>
      </c>
      <c r="H56" s="14">
        <v>137846</v>
      </c>
      <c r="I56" s="14">
        <v>28</v>
      </c>
      <c r="J56" s="14" t="s">
        <v>16</v>
      </c>
      <c r="K56" s="14" t="s">
        <v>15779</v>
      </c>
      <c r="L56" s="14" t="s">
        <v>15778</v>
      </c>
      <c r="M56" s="14" t="s">
        <v>2138</v>
      </c>
      <c r="N56" s="14" t="s">
        <v>2139</v>
      </c>
      <c r="O56" s="14" t="s">
        <v>9158</v>
      </c>
      <c r="P56" s="14" t="s">
        <v>9158</v>
      </c>
      <c r="Q56" s="14" t="s">
        <v>9158</v>
      </c>
      <c r="R56" s="14" t="s">
        <v>14748</v>
      </c>
    </row>
    <row r="57" spans="1:18">
      <c r="A57" s="14">
        <v>94772</v>
      </c>
      <c r="B57" s="14" t="s">
        <v>0</v>
      </c>
      <c r="C57" s="14" t="s">
        <v>335</v>
      </c>
      <c r="D57" s="14" t="s">
        <v>15781</v>
      </c>
      <c r="E57" s="15" t="str">
        <f>HYPERLINK("https://stat100.ameba.jp/tnk47/ratio20/illustrations/card/ill_94772_baiorinisutosuru02.jpg?202012-5-RELEASE-marathon-506x", "■")</f>
        <v>■</v>
      </c>
      <c r="F57" s="14" t="s">
        <v>15780</v>
      </c>
      <c r="G57" s="14">
        <v>106148</v>
      </c>
      <c r="H57" s="14">
        <v>115230</v>
      </c>
      <c r="I57" s="14">
        <v>28</v>
      </c>
      <c r="J57" s="14" t="s">
        <v>16</v>
      </c>
      <c r="K57" s="14" t="s">
        <v>15779</v>
      </c>
      <c r="L57" s="14" t="s">
        <v>15778</v>
      </c>
      <c r="M57" s="14" t="s">
        <v>13270</v>
      </c>
      <c r="N57" s="14" t="s">
        <v>13271</v>
      </c>
      <c r="O57" s="14" t="s">
        <v>9158</v>
      </c>
      <c r="P57" s="14" t="s">
        <v>9158</v>
      </c>
      <c r="Q57" s="14" t="s">
        <v>9158</v>
      </c>
      <c r="R57" s="14" t="s">
        <v>14748</v>
      </c>
    </row>
    <row r="58" spans="1:18">
      <c r="A58" s="14">
        <v>94771</v>
      </c>
      <c r="B58" s="14" t="s">
        <v>0</v>
      </c>
      <c r="C58" s="14" t="s">
        <v>335</v>
      </c>
      <c r="D58" s="14" t="s">
        <v>15781</v>
      </c>
      <c r="E58" s="15" t="str">
        <f>HYPERLINK("https://stat100.ameba.jp/tnk47/ratio20/illustrations/card/ill_94771_baiorinisutosuru01.jpg?202012-5-RELEASE-marathon-506x", "■")</f>
        <v>■</v>
      </c>
      <c r="F58" s="14" t="s">
        <v>15780</v>
      </c>
      <c r="G58" s="14">
        <v>81900</v>
      </c>
      <c r="H58" s="14">
        <v>87976</v>
      </c>
      <c r="I58" s="14">
        <v>28</v>
      </c>
      <c r="J58" s="14" t="s">
        <v>16</v>
      </c>
      <c r="K58" s="14" t="s">
        <v>15779</v>
      </c>
      <c r="L58" s="14" t="s">
        <v>15778</v>
      </c>
      <c r="M58" s="14" t="s">
        <v>13270</v>
      </c>
      <c r="N58" s="14" t="s">
        <v>13271</v>
      </c>
      <c r="O58" s="14" t="s">
        <v>9158</v>
      </c>
      <c r="P58" s="14" t="s">
        <v>9158</v>
      </c>
      <c r="Q58" s="14" t="s">
        <v>9158</v>
      </c>
      <c r="R58" s="14" t="s">
        <v>14748</v>
      </c>
    </row>
    <row r="59" spans="1:18">
      <c r="A59" s="14">
        <v>94783</v>
      </c>
      <c r="B59" s="14" t="s">
        <v>0</v>
      </c>
      <c r="C59" s="14" t="s">
        <v>200</v>
      </c>
      <c r="D59" s="14" t="s">
        <v>15784</v>
      </c>
      <c r="E59" s="15" t="str">
        <f>HYPERLINK("https://stat100.ameba.jp/tnk47/ratio20/illustrations/card/ill_94783_deusuekusumashina03.jpg?202012-5-RELEASE-marathon-506x", "■")</f>
        <v>■</v>
      </c>
      <c r="F59" s="14" t="s">
        <v>15785</v>
      </c>
      <c r="G59" s="14">
        <v>128160</v>
      </c>
      <c r="H59" s="14">
        <v>137846</v>
      </c>
      <c r="I59" s="14">
        <v>28</v>
      </c>
      <c r="J59" s="14" t="s">
        <v>10</v>
      </c>
      <c r="K59" s="14" t="s">
        <v>15783</v>
      </c>
      <c r="L59" s="14" t="s">
        <v>15782</v>
      </c>
      <c r="M59" s="14" t="s">
        <v>2138</v>
      </c>
      <c r="N59" s="14" t="s">
        <v>2139</v>
      </c>
      <c r="O59" s="14" t="s">
        <v>9158</v>
      </c>
      <c r="P59" s="14" t="s">
        <v>9158</v>
      </c>
      <c r="Q59" s="14" t="s">
        <v>9158</v>
      </c>
      <c r="R59" s="14" t="s">
        <v>14748</v>
      </c>
    </row>
    <row r="60" spans="1:18">
      <c r="A60" s="14">
        <v>94793</v>
      </c>
      <c r="B60" s="14" t="s">
        <v>0</v>
      </c>
      <c r="C60" s="14" t="s">
        <v>307</v>
      </c>
      <c r="D60" s="14" t="s">
        <v>15789</v>
      </c>
      <c r="E60" s="15" t="str">
        <f>HYPERLINK("https://stat100.ameba.jp/tnk47/ratio20/illustrations/card/ill_94793_eiyukohoseiashuramu03.jpg?202012-5-RELEASE-marathon-506x", "■")</f>
        <v>■</v>
      </c>
      <c r="F60" s="14" t="s">
        <v>15788</v>
      </c>
      <c r="G60" s="14">
        <v>137846</v>
      </c>
      <c r="H60" s="14">
        <v>128160</v>
      </c>
      <c r="I60" s="14">
        <v>28</v>
      </c>
      <c r="J60" s="14" t="s">
        <v>143</v>
      </c>
      <c r="K60" s="14" t="s">
        <v>15787</v>
      </c>
      <c r="L60" s="14" t="s">
        <v>15786</v>
      </c>
      <c r="M60" s="14" t="s">
        <v>2138</v>
      </c>
      <c r="N60" s="14" t="s">
        <v>2139</v>
      </c>
      <c r="O60" s="14" t="s">
        <v>9158</v>
      </c>
      <c r="P60" s="14" t="s">
        <v>9158</v>
      </c>
      <c r="Q60" s="14" t="s">
        <v>9158</v>
      </c>
      <c r="R60" s="14" t="s">
        <v>14748</v>
      </c>
    </row>
    <row r="61" spans="1:18">
      <c r="A61" s="14">
        <v>94803</v>
      </c>
      <c r="B61" s="14" t="s">
        <v>0</v>
      </c>
      <c r="C61" s="14" t="s">
        <v>165</v>
      </c>
      <c r="D61" s="14" t="s">
        <v>15793</v>
      </c>
      <c r="E61" s="15" t="str">
        <f>HYPERLINK("https://stat100.ameba.jp/tnk47/ratio20/illustrations/card/ill_94803_pideiria03.jpg?202012-5-RELEASE-marathon-506x", "■")</f>
        <v>■</v>
      </c>
      <c r="F61" s="14" t="s">
        <v>15792</v>
      </c>
      <c r="G61" s="14">
        <v>137846</v>
      </c>
      <c r="H61" s="14">
        <v>128160</v>
      </c>
      <c r="I61" s="14">
        <v>28</v>
      </c>
      <c r="J61" s="14" t="s">
        <v>77</v>
      </c>
      <c r="K61" s="14" t="s">
        <v>15791</v>
      </c>
      <c r="L61" s="14" t="s">
        <v>15790</v>
      </c>
      <c r="M61" s="14" t="s">
        <v>2138</v>
      </c>
      <c r="N61" s="14" t="s">
        <v>2139</v>
      </c>
      <c r="O61" s="14" t="s">
        <v>9158</v>
      </c>
      <c r="P61" s="14" t="s">
        <v>9158</v>
      </c>
      <c r="Q61" s="14" t="s">
        <v>9158</v>
      </c>
      <c r="R61" s="14" t="s">
        <v>14748</v>
      </c>
    </row>
    <row r="62" spans="1:18">
      <c r="A62" s="14">
        <v>94813</v>
      </c>
      <c r="B62" s="14" t="s">
        <v>0</v>
      </c>
      <c r="C62" s="9" t="s">
        <v>205</v>
      </c>
      <c r="D62" s="14" t="s">
        <v>15796</v>
      </c>
      <c r="E62" s="15" t="str">
        <f>HYPERLINK("https://stat100.ameba.jp/tnk47/ratio20/illustrations/card/ill_94813_satogashinomajoshukuru03.jpg?202012-5-RELEASE-marathon-506x", "■")</f>
        <v>■</v>
      </c>
      <c r="F62" s="14" t="s">
        <v>15795</v>
      </c>
      <c r="G62" s="14">
        <v>137846</v>
      </c>
      <c r="H62" s="14">
        <v>128160</v>
      </c>
      <c r="I62" s="14">
        <v>28</v>
      </c>
      <c r="J62" s="14" t="s">
        <v>104</v>
      </c>
      <c r="K62" s="14" t="s">
        <v>15794</v>
      </c>
      <c r="L62" s="14" t="s">
        <v>13292</v>
      </c>
      <c r="M62" s="14" t="s">
        <v>2138</v>
      </c>
      <c r="N62" s="14" t="s">
        <v>2139</v>
      </c>
      <c r="O62" s="14" t="s">
        <v>9158</v>
      </c>
      <c r="P62" s="14" t="s">
        <v>9158</v>
      </c>
      <c r="Q62" s="14" t="s">
        <v>9158</v>
      </c>
      <c r="R62" s="14" t="s">
        <v>14748</v>
      </c>
    </row>
    <row r="63" spans="1:18">
      <c r="A63" s="14">
        <v>94823</v>
      </c>
      <c r="B63" s="14" t="s">
        <v>0</v>
      </c>
      <c r="C63" s="14" t="s">
        <v>206</v>
      </c>
      <c r="D63" s="14" t="s">
        <v>15800</v>
      </c>
      <c r="E63" s="15" t="str">
        <f>HYPERLINK("https://stat100.ameba.jp/tnk47/ratio20/illustrations/card/ill_94823_sandorizado03.jpg?202012-5-RELEASE-marathon-506x", "■")</f>
        <v>■</v>
      </c>
      <c r="F63" s="14" t="s">
        <v>15799</v>
      </c>
      <c r="G63" s="14">
        <v>128160</v>
      </c>
      <c r="H63" s="14">
        <v>137846</v>
      </c>
      <c r="I63" s="14">
        <v>28</v>
      </c>
      <c r="J63" s="14" t="s">
        <v>73</v>
      </c>
      <c r="K63" s="14" t="s">
        <v>15798</v>
      </c>
      <c r="L63" s="14" t="s">
        <v>15797</v>
      </c>
      <c r="M63" s="14" t="s">
        <v>2138</v>
      </c>
      <c r="N63" s="14" t="s">
        <v>2139</v>
      </c>
      <c r="O63" s="14" t="s">
        <v>9158</v>
      </c>
      <c r="P63" s="14" t="s">
        <v>9158</v>
      </c>
      <c r="Q63" s="14" t="s">
        <v>9158</v>
      </c>
      <c r="R63" s="14" t="s">
        <v>14748</v>
      </c>
    </row>
    <row r="65" spans="1:17">
      <c r="A65" s="14" t="s">
        <v>16629</v>
      </c>
    </row>
    <row r="66" spans="1:17">
      <c r="A66" s="14">
        <v>235522</v>
      </c>
      <c r="B66" s="14" t="s">
        <v>8436</v>
      </c>
    </row>
    <row r="67" spans="1:17">
      <c r="A67" s="14">
        <v>235528</v>
      </c>
      <c r="B67" s="14" t="s">
        <v>8435</v>
      </c>
    </row>
    <row r="68" spans="1:17">
      <c r="A68" s="14" t="s">
        <v>15831</v>
      </c>
      <c r="B68" s="7" t="s">
        <v>52</v>
      </c>
      <c r="C68" s="14" t="s">
        <v>202</v>
      </c>
      <c r="D68" s="18" t="s">
        <v>15825</v>
      </c>
      <c r="E68" s="15" t="str">
        <f>HYPERLINK("https://stat100.ameba.jp/tnk47/ratio20/illustrations/card/ill_94293_0_kurisumasupurezentofukudahideko03.jpg?202012-5-RELEASE-marathon-506x", "■")</f>
        <v>■</v>
      </c>
      <c r="F68" s="14" t="s">
        <v>15830</v>
      </c>
      <c r="G68" s="14">
        <v>308104</v>
      </c>
      <c r="H68" s="14">
        <v>278470</v>
      </c>
      <c r="I68" s="7">
        <v>28</v>
      </c>
      <c r="J68" s="14" t="s">
        <v>16</v>
      </c>
      <c r="K68" s="14" t="s">
        <v>15829</v>
      </c>
      <c r="L68" s="14" t="s">
        <v>15828</v>
      </c>
      <c r="M68" s="14" t="s">
        <v>9158</v>
      </c>
      <c r="N68" s="14" t="s">
        <v>9158</v>
      </c>
      <c r="O68" s="6" t="s">
        <v>15827</v>
      </c>
      <c r="P68" s="7" t="s">
        <v>15826</v>
      </c>
      <c r="Q68" s="7">
        <v>1</v>
      </c>
    </row>
    <row r="69" spans="1:17">
      <c r="A69" s="14">
        <v>94343</v>
      </c>
      <c r="B69" s="14" t="s">
        <v>0</v>
      </c>
      <c r="C69" s="14" t="s">
        <v>96</v>
      </c>
      <c r="D69" s="14" t="s">
        <v>16634</v>
      </c>
      <c r="E69" s="15" t="str">
        <f>HYPERLINK("https://stat100.ameba.jp/tnk47/ratio20/illustrations/card/ill_94343_santabutaikasuganokami03.jpg?202012-5-RELEASE-marathon-506x", "■")</f>
        <v>■</v>
      </c>
      <c r="F69" s="14" t="s">
        <v>16633</v>
      </c>
      <c r="G69" s="14">
        <v>106178</v>
      </c>
      <c r="H69" s="14">
        <v>114208</v>
      </c>
      <c r="I69" s="14">
        <v>28</v>
      </c>
      <c r="J69" s="14" t="s">
        <v>44</v>
      </c>
      <c r="K69" s="14" t="s">
        <v>16632</v>
      </c>
      <c r="L69" s="14" t="s">
        <v>16631</v>
      </c>
      <c r="M69" s="14" t="s">
        <v>9158</v>
      </c>
      <c r="N69" s="14" t="s">
        <v>9158</v>
      </c>
      <c r="O69" s="14" t="s">
        <v>9158</v>
      </c>
      <c r="P69" s="14" t="s">
        <v>9158</v>
      </c>
      <c r="Q69" s="14" t="s">
        <v>9158</v>
      </c>
    </row>
    <row r="70" spans="1:17">
      <c r="A70" s="14">
        <v>94353</v>
      </c>
      <c r="B70" s="14" t="s">
        <v>15</v>
      </c>
      <c r="C70" s="14" t="s">
        <v>23</v>
      </c>
      <c r="D70" s="14" t="s">
        <v>16637</v>
      </c>
      <c r="E70" s="15" t="str">
        <f>HYPERLINK("https://stat100.ameba.jp/tnk47/ratio20/illustrations/card/ill_94353_poppukurisumasuyukizukainarinobyakko03.jpg?202012-5-RELEASE-marathon-506x", "■")</f>
        <v>■</v>
      </c>
      <c r="F70" s="14" t="s">
        <v>16636</v>
      </c>
      <c r="G70" s="14">
        <v>82992</v>
      </c>
      <c r="H70" s="14">
        <v>75274</v>
      </c>
      <c r="I70" s="7">
        <v>28</v>
      </c>
      <c r="J70" s="14" t="s">
        <v>73</v>
      </c>
      <c r="K70" s="14" t="s">
        <v>16635</v>
      </c>
      <c r="L70" s="14" t="s">
        <v>3835</v>
      </c>
      <c r="M70" s="14" t="s">
        <v>9158</v>
      </c>
      <c r="N70" s="14" t="s">
        <v>9158</v>
      </c>
      <c r="O70" s="14" t="s">
        <v>9158</v>
      </c>
      <c r="P70" s="14" t="s">
        <v>9158</v>
      </c>
      <c r="Q70" s="14" t="s">
        <v>9158</v>
      </c>
    </row>
    <row r="71" spans="1:17">
      <c r="A71" s="14">
        <v>94363</v>
      </c>
      <c r="B71" s="14" t="s">
        <v>22</v>
      </c>
      <c r="C71" s="14" t="s">
        <v>1</v>
      </c>
      <c r="D71" s="14" t="s">
        <v>16640</v>
      </c>
      <c r="E71" s="15" t="str">
        <f>HYPERLINK("https://stat100.ameba.jp/tnk47/ratio20/illustrations/card/ill_94363_kuripayamatanorochinomiko03.jpg?202012-5-RELEASE-marathon-506x", "■")</f>
        <v>■</v>
      </c>
      <c r="F71" s="14" t="s">
        <v>16639</v>
      </c>
      <c r="G71" s="14">
        <v>48406</v>
      </c>
      <c r="H71" s="14">
        <v>58216</v>
      </c>
      <c r="I71" s="14">
        <v>28</v>
      </c>
      <c r="J71" s="14" t="s">
        <v>73</v>
      </c>
      <c r="K71" s="14" t="s">
        <v>16638</v>
      </c>
      <c r="L71" s="14" t="s">
        <v>5881</v>
      </c>
      <c r="M71" s="14" t="s">
        <v>9158</v>
      </c>
      <c r="N71" s="14" t="s">
        <v>9158</v>
      </c>
      <c r="O71" s="14" t="s">
        <v>9158</v>
      </c>
      <c r="P71" s="14" t="s">
        <v>9158</v>
      </c>
      <c r="Q71" s="14" t="s">
        <v>9158</v>
      </c>
    </row>
    <row r="72" spans="1:17">
      <c r="A72" s="14">
        <v>94373</v>
      </c>
      <c r="B72" s="14" t="s">
        <v>22</v>
      </c>
      <c r="C72" s="14" t="s">
        <v>107</v>
      </c>
      <c r="D72" s="14" t="s">
        <v>16643</v>
      </c>
      <c r="E72" s="15" t="str">
        <f>HYPERLINK("https://stat100.ameba.jp/tnk47/ratio20/illustrations/card/ill_94373_seiyainasayamasan03.jpg?202012-5-RELEASE-marathon-506x", "■")</f>
        <v>■</v>
      </c>
      <c r="F72" s="14" t="s">
        <v>16642</v>
      </c>
      <c r="G72" s="14">
        <v>58216</v>
      </c>
      <c r="H72" s="14">
        <v>48406</v>
      </c>
      <c r="I72" s="7">
        <v>28</v>
      </c>
      <c r="J72" s="14" t="s">
        <v>26</v>
      </c>
      <c r="K72" s="14" t="s">
        <v>16641</v>
      </c>
      <c r="L72" s="14" t="s">
        <v>2635</v>
      </c>
      <c r="M72" s="14" t="s">
        <v>9158</v>
      </c>
      <c r="N72" s="14" t="s">
        <v>9158</v>
      </c>
      <c r="O72" s="14" t="s">
        <v>9158</v>
      </c>
      <c r="P72" s="14" t="s">
        <v>9158</v>
      </c>
      <c r="Q72" s="14" t="s">
        <v>9158</v>
      </c>
    </row>
    <row r="74" spans="1:17">
      <c r="A74" s="14" t="s">
        <v>3844</v>
      </c>
    </row>
    <row r="75" spans="1:17">
      <c r="A75" s="14">
        <v>105154</v>
      </c>
      <c r="B75" s="14" t="s">
        <v>16630</v>
      </c>
    </row>
    <row r="76" spans="1:17">
      <c r="A76" s="7" t="s">
        <v>5620</v>
      </c>
      <c r="B76" s="14" t="s">
        <v>330</v>
      </c>
      <c r="C76" s="14" t="s">
        <v>206</v>
      </c>
      <c r="D76" s="14" t="s">
        <v>2042</v>
      </c>
      <c r="E76" s="15" t="str">
        <f>HYPERLINK("https://stat100.ameba.jp/tnk47/ratio20/illustrations/card/ill_67173_0_yukemuriawamorichan03.jpg?202012-5-RELEASE-marathon-506x", "■")</f>
        <v>■</v>
      </c>
      <c r="F76" s="14" t="s">
        <v>670</v>
      </c>
      <c r="G76" s="14">
        <v>199766</v>
      </c>
      <c r="H76" s="14">
        <v>185722</v>
      </c>
      <c r="I76" s="14">
        <v>26</v>
      </c>
      <c r="J76" s="14" t="s">
        <v>283</v>
      </c>
      <c r="K76" s="14" t="s">
        <v>671</v>
      </c>
      <c r="L76" s="14" t="s">
        <v>672</v>
      </c>
      <c r="M76" s="14" t="s">
        <v>9158</v>
      </c>
      <c r="N76" s="14" t="s">
        <v>9158</v>
      </c>
      <c r="O76" s="17" t="s">
        <v>10061</v>
      </c>
      <c r="P76" s="14" t="s">
        <v>3455</v>
      </c>
      <c r="Q76" s="14">
        <v>1</v>
      </c>
    </row>
    <row r="77" spans="1:17">
      <c r="A77" s="9">
        <v>87583</v>
      </c>
      <c r="B77" s="14" t="s">
        <v>0</v>
      </c>
      <c r="C77" s="9" t="s">
        <v>165</v>
      </c>
      <c r="D77" s="6" t="s">
        <v>9981</v>
      </c>
      <c r="E77" s="15" t="str">
        <f>HYPERLINK("https://stat100.ameba.jp/tnk47/ratio20/illustrations/card/ill_87583_oendanise03.jpg?202012-5-RELEASE-marathon-506x", "■")</f>
        <v>■</v>
      </c>
      <c r="F77" s="9" t="s">
        <v>9929</v>
      </c>
      <c r="G77" s="9">
        <v>105426</v>
      </c>
      <c r="H77" s="9">
        <v>98066</v>
      </c>
      <c r="I77" s="14">
        <v>26</v>
      </c>
      <c r="J77" s="9" t="s">
        <v>159</v>
      </c>
      <c r="K77" s="9" t="s">
        <v>9934</v>
      </c>
      <c r="L77" s="9" t="s">
        <v>9927</v>
      </c>
      <c r="M77" s="14" t="s">
        <v>9158</v>
      </c>
      <c r="N77" s="14" t="s">
        <v>9158</v>
      </c>
      <c r="O77" s="6" t="s">
        <v>4373</v>
      </c>
      <c r="P77" s="14" t="s">
        <v>4374</v>
      </c>
      <c r="Q77" s="14">
        <v>1</v>
      </c>
    </row>
    <row r="78" spans="1:17">
      <c r="A78" s="14">
        <v>63853</v>
      </c>
      <c r="B78" s="14" t="s">
        <v>334</v>
      </c>
      <c r="C78" s="14" t="s">
        <v>200</v>
      </c>
      <c r="D78" s="20" t="s">
        <v>10284</v>
      </c>
      <c r="E78" s="15" t="str">
        <f>HYPERLINK("https://stat100.ameba.jp/tnk47/ratio20/illustrations/card/ill_63853_daikokaijidainansosatomihakkenden03.jpg?202012-5-RELEASE-marathon-506x", "■")</f>
        <v>■</v>
      </c>
      <c r="F78" s="14" t="s">
        <v>941</v>
      </c>
      <c r="G78" s="14">
        <v>110126</v>
      </c>
      <c r="H78" s="14">
        <v>118656</v>
      </c>
      <c r="I78" s="14">
        <v>26</v>
      </c>
      <c r="J78" s="14" t="s">
        <v>155</v>
      </c>
      <c r="K78" s="14" t="s">
        <v>942</v>
      </c>
      <c r="L78" s="14" t="s">
        <v>13149</v>
      </c>
      <c r="M78" s="14" t="s">
        <v>9158</v>
      </c>
      <c r="N78" s="14" t="s">
        <v>9158</v>
      </c>
      <c r="O78" s="19" t="s">
        <v>10121</v>
      </c>
      <c r="P78" s="14" t="s">
        <v>3330</v>
      </c>
      <c r="Q78" s="14">
        <v>1</v>
      </c>
    </row>
    <row r="79" spans="1:17">
      <c r="A79" s="14">
        <v>82903</v>
      </c>
      <c r="B79" s="14" t="s">
        <v>334</v>
      </c>
      <c r="C79" s="14" t="s">
        <v>185</v>
      </c>
      <c r="D79" s="19" t="s">
        <v>10439</v>
      </c>
      <c r="E79" s="15" t="str">
        <f>HYPERLINK("https://stat100.ameba.jp/tnk47/ratio20/illustrations/card/ill_82903_yukatamatsurisonobehideo03.jpg?202012-5-RELEASE-marathon-506x", "■")</f>
        <v>■</v>
      </c>
      <c r="F79" s="14" t="s">
        <v>5970</v>
      </c>
      <c r="G79" s="14">
        <v>101558</v>
      </c>
      <c r="H79" s="14">
        <v>94390</v>
      </c>
      <c r="I79" s="14">
        <v>26</v>
      </c>
      <c r="J79" s="14" t="s">
        <v>10</v>
      </c>
      <c r="K79" s="14" t="s">
        <v>5972</v>
      </c>
      <c r="L79" s="14" t="s">
        <v>5973</v>
      </c>
      <c r="M79" s="14" t="s">
        <v>9158</v>
      </c>
      <c r="N79" s="14" t="s">
        <v>9158</v>
      </c>
      <c r="O79" s="19" t="s">
        <v>10102</v>
      </c>
      <c r="P79" s="14" t="s">
        <v>3672</v>
      </c>
      <c r="Q79" s="14">
        <v>1</v>
      </c>
    </row>
    <row r="81" spans="1:17">
      <c r="A81" s="14" t="s">
        <v>180</v>
      </c>
    </row>
    <row r="82" spans="1:17">
      <c r="A82" s="14">
        <v>105200</v>
      </c>
      <c r="B82" s="14" t="s">
        <v>2252</v>
      </c>
    </row>
    <row r="83" spans="1:17">
      <c r="A83" s="14" t="s">
        <v>5804</v>
      </c>
      <c r="B83" s="14" t="s">
        <v>52</v>
      </c>
      <c r="C83" s="14" t="s">
        <v>14</v>
      </c>
      <c r="D83" s="19" t="s">
        <v>3195</v>
      </c>
      <c r="E83" s="15" t="str">
        <f>HYPERLINK("https://stat100.ameba.jp/tnk47/ratio20/illustrations/card/ill_75393_0_resukuinotsukisamaniittausagi03.jpg?202012-5-RELEASE-marathon-506x", "■")</f>
        <v>■</v>
      </c>
      <c r="F83" s="14" t="s">
        <v>3248</v>
      </c>
      <c r="G83" s="14">
        <v>273368</v>
      </c>
      <c r="H83" s="14">
        <v>254160</v>
      </c>
      <c r="I83" s="14">
        <v>24</v>
      </c>
      <c r="J83" s="14" t="s">
        <v>26</v>
      </c>
      <c r="K83" s="14" t="s">
        <v>3249</v>
      </c>
      <c r="L83" s="14" t="s">
        <v>3250</v>
      </c>
      <c r="M83" s="14" t="s">
        <v>9158</v>
      </c>
      <c r="N83" s="14" t="s">
        <v>9158</v>
      </c>
      <c r="O83" s="19" t="s">
        <v>10101</v>
      </c>
      <c r="P83" s="14" t="s">
        <v>3251</v>
      </c>
      <c r="Q83" s="14">
        <v>2</v>
      </c>
    </row>
    <row r="84" spans="1:17">
      <c r="A84" s="14" t="s">
        <v>5899</v>
      </c>
      <c r="B84" s="14" t="s">
        <v>330</v>
      </c>
      <c r="C84" s="14" t="s">
        <v>205</v>
      </c>
      <c r="D84" s="20" t="s">
        <v>1559</v>
      </c>
      <c r="E84" s="15" t="str">
        <f>HYPERLINK("https://stat100.ameba.jp/tnk47/ratio20/illustrations/card/ill_73773_0_umibirakiinugamigyobu03.jpg?202012-5-RELEASE-marathon-506x", "■")</f>
        <v>■</v>
      </c>
      <c r="F84" s="14" t="s">
        <v>935</v>
      </c>
      <c r="G84" s="14">
        <v>208256</v>
      </c>
      <c r="H84" s="14">
        <v>224000</v>
      </c>
      <c r="I84" s="14">
        <v>24</v>
      </c>
      <c r="J84" s="14" t="s">
        <v>182</v>
      </c>
      <c r="K84" s="14" t="s">
        <v>936</v>
      </c>
      <c r="L84" s="14" t="s">
        <v>13147</v>
      </c>
      <c r="M84" s="14" t="s">
        <v>9158</v>
      </c>
      <c r="N84" s="14" t="s">
        <v>9158</v>
      </c>
      <c r="O84" s="19" t="s">
        <v>2978</v>
      </c>
      <c r="P84" s="14" t="s">
        <v>2979</v>
      </c>
      <c r="Q84" s="14">
        <v>2</v>
      </c>
    </row>
    <row r="85" spans="1:17">
      <c r="A85" s="14" t="s">
        <v>5830</v>
      </c>
      <c r="B85" s="14" t="s">
        <v>330</v>
      </c>
      <c r="C85" s="14" t="s">
        <v>191</v>
      </c>
      <c r="D85" s="19" t="s">
        <v>793</v>
      </c>
      <c r="E85" s="15" t="str">
        <f>HYPERLINK("https://stat100.ameba.jp/tnk47/ratio20/illustrations/card/ill_39933_0_reihiiinaotora03.jpg?202012-5-RELEASE-marathon-506x", "■")</f>
        <v>■</v>
      </c>
      <c r="F85" s="14" t="s">
        <v>794</v>
      </c>
      <c r="G85" s="14">
        <v>131538</v>
      </c>
      <c r="H85" s="14">
        <v>140448</v>
      </c>
      <c r="I85" s="14">
        <v>24</v>
      </c>
      <c r="J85" s="14" t="s">
        <v>315</v>
      </c>
      <c r="K85" s="14" t="s">
        <v>795</v>
      </c>
      <c r="L85" s="14" t="s">
        <v>796</v>
      </c>
      <c r="M85" s="14" t="s">
        <v>9158</v>
      </c>
      <c r="N85" s="14" t="s">
        <v>9158</v>
      </c>
      <c r="O85" s="14" t="s">
        <v>9158</v>
      </c>
      <c r="P85" s="14" t="s">
        <v>9158</v>
      </c>
      <c r="Q85" s="14" t="s">
        <v>9158</v>
      </c>
    </row>
    <row r="86" spans="1:17">
      <c r="A86" s="14">
        <v>94343</v>
      </c>
      <c r="B86" s="14" t="s">
        <v>0</v>
      </c>
      <c r="C86" s="14" t="s">
        <v>96</v>
      </c>
      <c r="D86" s="14" t="s">
        <v>16634</v>
      </c>
      <c r="E86" s="15" t="str">
        <f>HYPERLINK("https://stat100.ameba.jp/tnk47/ratio20/illustrations/card/ill_94343_santabutaikasuganokami03.jpg?202012-5-RELEASE-marathon-506x", "■")</f>
        <v>■</v>
      </c>
      <c r="F86" s="14" t="s">
        <v>16633</v>
      </c>
      <c r="G86" s="14">
        <v>98594</v>
      </c>
      <c r="H86" s="14">
        <v>106050</v>
      </c>
      <c r="I86" s="14">
        <v>26</v>
      </c>
      <c r="J86" s="14" t="s">
        <v>44</v>
      </c>
      <c r="K86" s="14" t="s">
        <v>16632</v>
      </c>
      <c r="L86" s="14" t="s">
        <v>16631</v>
      </c>
      <c r="M86" s="14" t="s">
        <v>9158</v>
      </c>
      <c r="N86" s="14" t="s">
        <v>9158</v>
      </c>
      <c r="O86" s="14" t="s">
        <v>9158</v>
      </c>
      <c r="P86" s="14" t="s">
        <v>9158</v>
      </c>
      <c r="Q86" s="14" t="s">
        <v>9158</v>
      </c>
    </row>
    <row r="87" spans="1:17">
      <c r="A87" s="14">
        <v>94353</v>
      </c>
      <c r="B87" s="14" t="s">
        <v>15</v>
      </c>
      <c r="C87" s="14" t="s">
        <v>23</v>
      </c>
      <c r="D87" s="14" t="s">
        <v>16637</v>
      </c>
      <c r="E87" s="15" t="str">
        <f>HYPERLINK("https://stat100.ameba.jp/tnk47/ratio20/illustrations/card/ill_94353_poppukurisumasuyukizukainarinobyakko03.jpg?202012-5-RELEASE-marathon-506x", "■")</f>
        <v>■</v>
      </c>
      <c r="F87" s="14" t="s">
        <v>16636</v>
      </c>
      <c r="G87" s="14">
        <v>77064</v>
      </c>
      <c r="H87" s="14">
        <v>69898</v>
      </c>
      <c r="I87" s="14">
        <v>26</v>
      </c>
      <c r="J87" s="14" t="s">
        <v>73</v>
      </c>
      <c r="K87" s="14" t="s">
        <v>16635</v>
      </c>
      <c r="L87" s="14" t="s">
        <v>3835</v>
      </c>
      <c r="M87" s="14" t="s">
        <v>9158</v>
      </c>
      <c r="N87" s="14" t="s">
        <v>9158</v>
      </c>
      <c r="O87" s="14" t="s">
        <v>9158</v>
      </c>
      <c r="P87" s="14" t="s">
        <v>9158</v>
      </c>
      <c r="Q87" s="14" t="s">
        <v>9158</v>
      </c>
    </row>
    <row r="88" spans="1:17">
      <c r="A88" s="14">
        <v>94363</v>
      </c>
      <c r="B88" s="14" t="s">
        <v>22</v>
      </c>
      <c r="C88" s="14" t="s">
        <v>1</v>
      </c>
      <c r="D88" s="14" t="s">
        <v>16640</v>
      </c>
      <c r="E88" s="15" t="str">
        <f>HYPERLINK("https://stat100.ameba.jp/tnk47/ratio20/illustrations/card/ill_94363_kuripayamatanorochinomiko03.jpg?202012-5-RELEASE-marathon-506x", "■")</f>
        <v>■</v>
      </c>
      <c r="F88" s="14" t="s">
        <v>16639</v>
      </c>
      <c r="G88" s="14">
        <v>44948</v>
      </c>
      <c r="H88" s="14">
        <v>54058</v>
      </c>
      <c r="I88" s="14">
        <v>26</v>
      </c>
      <c r="J88" s="14" t="s">
        <v>73</v>
      </c>
      <c r="K88" s="14" t="s">
        <v>16638</v>
      </c>
      <c r="L88" s="14" t="s">
        <v>5881</v>
      </c>
      <c r="M88" s="14" t="s">
        <v>9158</v>
      </c>
      <c r="N88" s="14" t="s">
        <v>9158</v>
      </c>
      <c r="O88" s="14" t="s">
        <v>9158</v>
      </c>
      <c r="P88" s="14" t="s">
        <v>9158</v>
      </c>
      <c r="Q88" s="14" t="s">
        <v>9158</v>
      </c>
    </row>
    <row r="89" spans="1:17">
      <c r="A89" s="14">
        <v>94373</v>
      </c>
      <c r="B89" s="14" t="s">
        <v>22</v>
      </c>
      <c r="C89" s="14" t="s">
        <v>107</v>
      </c>
      <c r="D89" s="14" t="s">
        <v>16643</v>
      </c>
      <c r="E89" s="15" t="str">
        <f>HYPERLINK("https://stat100.ameba.jp/tnk47/ratio20/illustrations/card/ill_94373_seiyainasayamasan03.jpg?202012-5-RELEASE-marathon-506x", "■")</f>
        <v>■</v>
      </c>
      <c r="F89" s="14" t="s">
        <v>16642</v>
      </c>
      <c r="G89" s="14">
        <v>54058</v>
      </c>
      <c r="H89" s="14">
        <v>44948</v>
      </c>
      <c r="I89" s="14">
        <v>26</v>
      </c>
      <c r="J89" s="14" t="s">
        <v>26</v>
      </c>
      <c r="K89" s="14" t="s">
        <v>16641</v>
      </c>
      <c r="L89" s="14" t="s">
        <v>2635</v>
      </c>
      <c r="M89" s="14" t="s">
        <v>9158</v>
      </c>
      <c r="N89" s="14" t="s">
        <v>9158</v>
      </c>
      <c r="O89" s="14" t="s">
        <v>9158</v>
      </c>
      <c r="P89" s="14" t="s">
        <v>9158</v>
      </c>
      <c r="Q89" s="14" t="s">
        <v>9158</v>
      </c>
    </row>
    <row r="91" spans="1:17">
      <c r="A91" s="14" t="s">
        <v>3911</v>
      </c>
    </row>
    <row r="92" spans="1:17">
      <c r="A92" s="14">
        <v>105223</v>
      </c>
      <c r="B92" s="14" t="s">
        <v>16644</v>
      </c>
      <c r="I92" s="7"/>
    </row>
    <row r="93" spans="1:17">
      <c r="A93" s="14">
        <v>105233</v>
      </c>
      <c r="B93" s="14" t="s">
        <v>15721</v>
      </c>
    </row>
    <row r="94" spans="1:17">
      <c r="A94" s="14" t="s">
        <v>14268</v>
      </c>
      <c r="B94" s="14" t="s">
        <v>117</v>
      </c>
      <c r="C94" s="14" t="s">
        <v>35</v>
      </c>
      <c r="D94" s="14" t="s">
        <v>14262</v>
      </c>
      <c r="E94" s="15" t="str">
        <f>HYPERLINK("https://stat100.ameba.jp/tnk47/ratio20/illustrations/card/ill_91543_0_reihosammeizan03.jpg?202012-5-RELEASE-marathon-506x", "■")</f>
        <v>■</v>
      </c>
      <c r="F94" s="14" t="s">
        <v>14267</v>
      </c>
      <c r="G94" s="14">
        <v>358458</v>
      </c>
      <c r="H94" s="14">
        <v>323964</v>
      </c>
      <c r="I94" s="14">
        <v>30</v>
      </c>
      <c r="J94" s="14" t="s">
        <v>44</v>
      </c>
      <c r="K94" s="14" t="s">
        <v>14266</v>
      </c>
      <c r="L94" s="14" t="s">
        <v>14265</v>
      </c>
      <c r="M94" s="14" t="s">
        <v>9158</v>
      </c>
      <c r="N94" s="14" t="s">
        <v>9158</v>
      </c>
      <c r="O94" s="14" t="s">
        <v>14269</v>
      </c>
      <c r="P94" s="14" t="s">
        <v>7154</v>
      </c>
      <c r="Q94" s="14">
        <v>1</v>
      </c>
    </row>
    <row r="95" spans="1:17">
      <c r="A95" s="14">
        <v>80163</v>
      </c>
      <c r="B95" s="14" t="s">
        <v>334</v>
      </c>
      <c r="C95" s="14" t="s">
        <v>158</v>
      </c>
      <c r="D95" s="19" t="s">
        <v>10391</v>
      </c>
      <c r="E95" s="15" t="str">
        <f>HYPERLINK("https://stat100.ameba.jp/tnk47/ratio20/illustrations/card/ill_80163_kuronosu03.jpg?202012-5-RELEASE-marathon-506x", "■")</f>
        <v>■</v>
      </c>
      <c r="F95" s="14" t="s">
        <v>3766</v>
      </c>
      <c r="G95" s="14">
        <v>89268</v>
      </c>
      <c r="H95" s="14">
        <v>123249</v>
      </c>
      <c r="I95" s="14">
        <v>27</v>
      </c>
      <c r="J95" s="14" t="s">
        <v>44</v>
      </c>
      <c r="K95" s="14" t="s">
        <v>3767</v>
      </c>
      <c r="L95" s="14" t="s">
        <v>1209</v>
      </c>
      <c r="M95" s="14" t="s">
        <v>9158</v>
      </c>
      <c r="N95" s="14" t="s">
        <v>9158</v>
      </c>
      <c r="O95" s="19" t="s">
        <v>2752</v>
      </c>
      <c r="P95" s="14" t="s">
        <v>13123</v>
      </c>
      <c r="Q95" s="14">
        <v>1</v>
      </c>
    </row>
    <row r="96" spans="1:17">
      <c r="A96" s="14">
        <v>77673</v>
      </c>
      <c r="B96" s="14" t="s">
        <v>334</v>
      </c>
      <c r="C96" s="14" t="s">
        <v>158</v>
      </c>
      <c r="D96" s="19" t="s">
        <v>10270</v>
      </c>
      <c r="E96" s="15" t="str">
        <f>HYPERLINK("https://stat100.ameba.jp/tnk47/ratio20/illustrations/card/ill_77673_ryunochoji03.jpg?202012-5-RELEASE-marathon-506x", "■")</f>
        <v>■</v>
      </c>
      <c r="F96" s="14" t="s">
        <v>1777</v>
      </c>
      <c r="G96" s="14">
        <v>125903</v>
      </c>
      <c r="H96" s="14">
        <v>91212</v>
      </c>
      <c r="I96" s="14">
        <v>27</v>
      </c>
      <c r="J96" s="14" t="s">
        <v>73</v>
      </c>
      <c r="K96" s="14" t="s">
        <v>1778</v>
      </c>
      <c r="L96" s="14" t="s">
        <v>1779</v>
      </c>
      <c r="M96" s="14" t="s">
        <v>9158</v>
      </c>
      <c r="N96" s="14" t="s">
        <v>9158</v>
      </c>
      <c r="O96" s="19" t="s">
        <v>10090</v>
      </c>
      <c r="P96" s="14" t="s">
        <v>3460</v>
      </c>
      <c r="Q96" s="14">
        <v>1</v>
      </c>
    </row>
    <row r="97" spans="1:17">
      <c r="A97" s="14">
        <v>81023</v>
      </c>
      <c r="B97" s="14" t="s">
        <v>334</v>
      </c>
      <c r="C97" s="14" t="s">
        <v>41</v>
      </c>
      <c r="D97" s="19" t="s">
        <v>10274</v>
      </c>
      <c r="E97" s="15" t="str">
        <f>HYPERLINK("https://stat100.ameba.jp/tnk47/ratio20/illustrations/card/ill_81023_momonokenki03.jpg?202012-5-RELEASE-marathon-506x", "■")</f>
        <v>■</v>
      </c>
      <c r="F97" s="14" t="s">
        <v>4088</v>
      </c>
      <c r="G97" s="14">
        <v>142716</v>
      </c>
      <c r="H97" s="14">
        <v>103361</v>
      </c>
      <c r="I97" s="14">
        <v>27</v>
      </c>
      <c r="J97" s="14" t="s">
        <v>143</v>
      </c>
      <c r="K97" s="14" t="s">
        <v>4089</v>
      </c>
      <c r="L97" s="14" t="s">
        <v>2049</v>
      </c>
      <c r="M97" s="14" t="s">
        <v>9158</v>
      </c>
      <c r="N97" s="14" t="s">
        <v>9158</v>
      </c>
      <c r="O97" s="19" t="s">
        <v>10096</v>
      </c>
      <c r="P97" s="14" t="s">
        <v>3245</v>
      </c>
      <c r="Q97" s="14">
        <v>1</v>
      </c>
    </row>
    <row r="98" spans="1:17">
      <c r="A98" s="14">
        <v>79513</v>
      </c>
      <c r="B98" s="14" t="s">
        <v>334</v>
      </c>
      <c r="C98" s="14" t="s">
        <v>209</v>
      </c>
      <c r="D98" s="19" t="s">
        <v>10404</v>
      </c>
      <c r="E98" s="15" t="str">
        <f>HYPERLINK("https://stat100.ameba.jp/tnk47/ratio20/illustrations/card/ill_79513_suzafuonia03.jpg?202012-5-RELEASE-marathon-506x", "■")</f>
        <v>■</v>
      </c>
      <c r="F98" s="14" t="s">
        <v>3529</v>
      </c>
      <c r="G98" s="14">
        <v>85483</v>
      </c>
      <c r="H98" s="14">
        <v>118001</v>
      </c>
      <c r="I98" s="14">
        <v>27</v>
      </c>
      <c r="J98" s="14" t="s">
        <v>10</v>
      </c>
      <c r="K98" s="14" t="s">
        <v>3532</v>
      </c>
      <c r="L98" s="14" t="s">
        <v>12</v>
      </c>
      <c r="M98" s="14" t="s">
        <v>9158</v>
      </c>
      <c r="N98" s="14" t="s">
        <v>9158</v>
      </c>
      <c r="O98" s="19" t="s">
        <v>2917</v>
      </c>
      <c r="P98" s="14" t="s">
        <v>3531</v>
      </c>
      <c r="Q98" s="14">
        <v>1</v>
      </c>
    </row>
    <row r="99" spans="1:17">
      <c r="A99" s="14">
        <v>69503</v>
      </c>
      <c r="B99" s="14" t="s">
        <v>0</v>
      </c>
      <c r="C99" s="14" t="s">
        <v>47</v>
      </c>
      <c r="D99" s="14" t="s">
        <v>65</v>
      </c>
      <c r="E99" s="15" t="str">
        <f>HYPERLINK("https://stat100.ameba.jp/tnk47/ratio20/illustrations/card/ill_69503_azusayumi03.jpg?202012-5-RELEASE-marathon-506x", "■")</f>
        <v>■</v>
      </c>
      <c r="F99" s="14" t="s">
        <v>66</v>
      </c>
      <c r="G99" s="14">
        <v>122539</v>
      </c>
      <c r="H99" s="14">
        <v>88781</v>
      </c>
      <c r="I99" s="14">
        <v>27</v>
      </c>
      <c r="J99" s="14" t="s">
        <v>38</v>
      </c>
      <c r="K99" s="14" t="s">
        <v>67</v>
      </c>
      <c r="L99" s="14" t="s">
        <v>68</v>
      </c>
      <c r="M99" s="14" t="s">
        <v>9158</v>
      </c>
      <c r="N99" s="14" t="s">
        <v>9158</v>
      </c>
      <c r="O99" s="7" t="s">
        <v>2951</v>
      </c>
      <c r="P99" s="14" t="s">
        <v>13122</v>
      </c>
      <c r="Q99" s="14">
        <v>1</v>
      </c>
    </row>
    <row r="100" spans="1:17">
      <c r="A100" s="14">
        <v>80743</v>
      </c>
      <c r="B100" s="14" t="s">
        <v>0</v>
      </c>
      <c r="C100" s="14" t="s">
        <v>209</v>
      </c>
      <c r="D100" s="20" t="s">
        <v>10414</v>
      </c>
      <c r="E100" s="15" t="str">
        <f>HYPERLINK("https://stat100.ameba.jp/tnk47/ratio20/illustrations/card/ill_80743_senseijutsushi03.jpg?202012-5-RELEASE-marathon-506x", "■")</f>
        <v>■</v>
      </c>
      <c r="F100" s="14" t="s">
        <v>4249</v>
      </c>
      <c r="G100" s="14">
        <v>85483</v>
      </c>
      <c r="H100" s="14">
        <v>118001</v>
      </c>
      <c r="I100" s="14">
        <v>27</v>
      </c>
      <c r="J100" s="14" t="s">
        <v>16</v>
      </c>
      <c r="K100" s="14" t="s">
        <v>4250</v>
      </c>
      <c r="L100" s="14" t="s">
        <v>4251</v>
      </c>
      <c r="M100" s="14" t="s">
        <v>9158</v>
      </c>
      <c r="N100" s="14" t="s">
        <v>9158</v>
      </c>
      <c r="O100" s="19" t="s">
        <v>10109</v>
      </c>
      <c r="P100" s="14" t="s">
        <v>3625</v>
      </c>
      <c r="Q100" s="14">
        <v>1</v>
      </c>
    </row>
    <row r="102" spans="1:17">
      <c r="A102" s="14" t="s">
        <v>3905</v>
      </c>
    </row>
    <row r="103" spans="1:17">
      <c r="A103" s="14">
        <v>235498</v>
      </c>
      <c r="B103" s="14" t="s">
        <v>8423</v>
      </c>
    </row>
    <row r="104" spans="1:17">
      <c r="A104" s="9" t="s">
        <v>5611</v>
      </c>
      <c r="B104" s="14" t="s">
        <v>330</v>
      </c>
      <c r="C104" s="14" t="s">
        <v>185</v>
      </c>
      <c r="D104" s="14" t="s">
        <v>539</v>
      </c>
      <c r="E104" s="15" t="str">
        <f>HYPERLINK("https://stat100.ameba.jp/tnk47/ratio20/illustrations/card/ill_60633_0_harumaisentoin03.jpg?202012-5-RELEASE-marathon-506x", "■")</f>
        <v>■</v>
      </c>
      <c r="F104" s="14" t="s">
        <v>540</v>
      </c>
      <c r="G104" s="14">
        <v>139878</v>
      </c>
      <c r="H104" s="14">
        <v>150466</v>
      </c>
      <c r="I104" s="14">
        <v>22</v>
      </c>
      <c r="J104" s="14" t="s">
        <v>274</v>
      </c>
      <c r="K104" s="14" t="s">
        <v>541</v>
      </c>
      <c r="L104" s="14" t="s">
        <v>542</v>
      </c>
      <c r="M104" s="14" t="s">
        <v>9158</v>
      </c>
      <c r="N104" s="14" t="s">
        <v>9158</v>
      </c>
      <c r="O104" s="9" t="s">
        <v>2888</v>
      </c>
      <c r="P104" s="14" t="s">
        <v>3144</v>
      </c>
      <c r="Q104" s="14">
        <v>1</v>
      </c>
    </row>
    <row r="105" spans="1:17">
      <c r="A105" s="9" t="s">
        <v>5725</v>
      </c>
      <c r="B105" s="14" t="s">
        <v>52</v>
      </c>
      <c r="C105" s="14" t="s">
        <v>107</v>
      </c>
      <c r="D105" s="14" t="s">
        <v>55</v>
      </c>
      <c r="E105" s="15" t="str">
        <f>HYPERLINK("https://stat100.ameba.jp/tnk47/ratio20/illustrations/card/ill_52693_0_sengokumibirakiyanagiharabyakuren03.jpg?202012-5-RELEASE-marathon-506x", "■")</f>
        <v>■</v>
      </c>
      <c r="F105" s="14" t="s">
        <v>1246</v>
      </c>
      <c r="G105" s="14">
        <v>122776</v>
      </c>
      <c r="H105" s="14">
        <v>138212</v>
      </c>
      <c r="I105" s="14">
        <v>22</v>
      </c>
      <c r="J105" s="14" t="s">
        <v>16</v>
      </c>
      <c r="K105" s="14" t="s">
        <v>1247</v>
      </c>
      <c r="L105" s="14" t="s">
        <v>1248</v>
      </c>
      <c r="M105" s="14" t="s">
        <v>9158</v>
      </c>
      <c r="N105" s="14" t="s">
        <v>9158</v>
      </c>
      <c r="O105" s="9" t="s">
        <v>3303</v>
      </c>
      <c r="P105" s="14" t="s">
        <v>3304</v>
      </c>
      <c r="Q105" s="14">
        <v>1</v>
      </c>
    </row>
    <row r="106" spans="1:17">
      <c r="A106" s="14" t="s">
        <v>5897</v>
      </c>
      <c r="B106" s="14" t="s">
        <v>52</v>
      </c>
      <c r="C106" s="14" t="s">
        <v>23</v>
      </c>
      <c r="D106" s="19" t="s">
        <v>277</v>
      </c>
      <c r="E106" s="15" t="str">
        <f>HYPERLINK("https://stat100.ameba.jp/tnk47/ratio20/illustrations/card/ill_40913_0_reigyokudensetsufusehime03.jpg?202012-5-RELEASE-marathon-506x", "■")</f>
        <v>■</v>
      </c>
      <c r="F106" s="14" t="s">
        <v>955</v>
      </c>
      <c r="G106" s="14">
        <v>120576</v>
      </c>
      <c r="H106" s="14">
        <v>128744</v>
      </c>
      <c r="I106" s="14">
        <v>22</v>
      </c>
      <c r="J106" s="14" t="s">
        <v>38</v>
      </c>
      <c r="K106" s="14" t="s">
        <v>956</v>
      </c>
      <c r="L106" s="14" t="s">
        <v>957</v>
      </c>
      <c r="M106" s="14" t="s">
        <v>9158</v>
      </c>
      <c r="N106" s="14" t="s">
        <v>9158</v>
      </c>
      <c r="O106" s="14" t="s">
        <v>9158</v>
      </c>
      <c r="P106" s="14" t="s">
        <v>9158</v>
      </c>
      <c r="Q106" s="14" t="s">
        <v>9158</v>
      </c>
    </row>
    <row r="107" spans="1:17">
      <c r="A107" s="14">
        <v>91403</v>
      </c>
      <c r="B107" s="14" t="s">
        <v>0</v>
      </c>
      <c r="C107" s="14" t="s">
        <v>96</v>
      </c>
      <c r="D107" s="14" t="s">
        <v>14367</v>
      </c>
      <c r="E107" s="15" t="str">
        <f>HYPERLINK("https://stat100.ameba.jp/tnk47/ratio20/illustrations/card/ill_91403_manananmakuriru03.jpg?202012-5-RELEASE-marathon-506x", "■")</f>
        <v>■</v>
      </c>
      <c r="F107" s="14" t="s">
        <v>14371</v>
      </c>
      <c r="G107" s="14">
        <v>115654</v>
      </c>
      <c r="H107" s="14">
        <v>205568</v>
      </c>
      <c r="I107" s="14">
        <v>28</v>
      </c>
      <c r="J107" s="14" t="s">
        <v>10</v>
      </c>
      <c r="K107" s="14" t="s">
        <v>14370</v>
      </c>
      <c r="L107" s="14" t="s">
        <v>14369</v>
      </c>
      <c r="M107" s="14" t="s">
        <v>9158</v>
      </c>
      <c r="N107" s="14" t="s">
        <v>9158</v>
      </c>
      <c r="O107" s="14" t="s">
        <v>9158</v>
      </c>
      <c r="P107" s="14" t="s">
        <v>9158</v>
      </c>
      <c r="Q107" s="14" t="s">
        <v>9158</v>
      </c>
    </row>
    <row r="108" spans="1:17">
      <c r="A108" s="14">
        <v>75713</v>
      </c>
      <c r="B108" s="14" t="s">
        <v>0</v>
      </c>
      <c r="C108" s="14" t="s">
        <v>14</v>
      </c>
      <c r="D108" s="19" t="s">
        <v>10372</v>
      </c>
      <c r="E108" s="15" t="str">
        <f>HYPERLINK("https://stat100.ameba.jp/tnk47/ratio20/illustrations/card/ill_75713_chanchanyaki03.jpg?202012-5-RELEASE-marathon-506x", "■")</f>
        <v>■</v>
      </c>
      <c r="F108" s="14" t="s">
        <v>5679</v>
      </c>
      <c r="G108" s="14">
        <v>78908</v>
      </c>
      <c r="H108" s="14">
        <v>140238</v>
      </c>
      <c r="I108" s="14">
        <v>28</v>
      </c>
      <c r="J108" s="14" t="s">
        <v>104</v>
      </c>
      <c r="K108" s="14" t="s">
        <v>5680</v>
      </c>
      <c r="L108" s="14" t="s">
        <v>1924</v>
      </c>
      <c r="M108" s="14" t="s">
        <v>9158</v>
      </c>
      <c r="N108" s="14" t="s">
        <v>9158</v>
      </c>
      <c r="O108" s="14" t="s">
        <v>9158</v>
      </c>
      <c r="P108" s="14" t="s">
        <v>9158</v>
      </c>
      <c r="Q108" s="14" t="s">
        <v>9158</v>
      </c>
    </row>
    <row r="109" spans="1:17">
      <c r="A109" s="14">
        <v>89883</v>
      </c>
      <c r="B109" s="14" t="s">
        <v>0</v>
      </c>
      <c r="C109" s="14" t="s">
        <v>23</v>
      </c>
      <c r="D109" s="14" t="s">
        <v>13843</v>
      </c>
      <c r="E109" s="15" t="str">
        <f>HYPERLINK("https://stat100.ameba.jp/tnk47/ratio20/illustrations/card/ill_89883_yojutsukuriozuna03.jpg?202012-5-RELEASE-marathon-506x", "■")</f>
        <v>■</v>
      </c>
      <c r="F109" s="14" t="s">
        <v>13844</v>
      </c>
      <c r="G109" s="14">
        <v>118598</v>
      </c>
      <c r="H109" s="14">
        <v>127556</v>
      </c>
      <c r="I109" s="14">
        <v>28</v>
      </c>
      <c r="J109" s="14" t="s">
        <v>38</v>
      </c>
      <c r="K109" s="14" t="s">
        <v>13846</v>
      </c>
      <c r="L109" s="14" t="s">
        <v>13845</v>
      </c>
      <c r="M109" s="14" t="s">
        <v>9158</v>
      </c>
      <c r="N109" s="14" t="s">
        <v>9158</v>
      </c>
      <c r="O109" s="14" t="s">
        <v>9158</v>
      </c>
      <c r="P109" s="14" t="s">
        <v>9158</v>
      </c>
      <c r="Q109" s="14" t="s">
        <v>9158</v>
      </c>
    </row>
    <row r="111" spans="1:17">
      <c r="A111" s="14" t="s">
        <v>4065</v>
      </c>
    </row>
    <row r="112" spans="1:17">
      <c r="A112" s="14">
        <v>105247</v>
      </c>
      <c r="B112" s="14" t="s">
        <v>2271</v>
      </c>
    </row>
    <row r="113" spans="1:17">
      <c r="A113" s="14" t="s">
        <v>5733</v>
      </c>
      <c r="B113" s="14" t="s">
        <v>330</v>
      </c>
      <c r="C113" s="14" t="s">
        <v>202</v>
      </c>
      <c r="D113" s="19" t="s">
        <v>2744</v>
      </c>
      <c r="E113" s="15" t="str">
        <f>HYPERLINK("https://stat100.ameba.jp/tnk47/ratio20/illustrations/card/ill_78693_0_kyupittokoinomikoto03.jpg?202012-5-RELEASE-marathon-506x", "■")</f>
        <v>■</v>
      </c>
      <c r="F113" s="14" t="s">
        <v>2745</v>
      </c>
      <c r="G113" s="14">
        <v>272476</v>
      </c>
      <c r="H113" s="14">
        <v>301486</v>
      </c>
      <c r="I113" s="14">
        <v>26</v>
      </c>
      <c r="J113" s="14" t="s">
        <v>274</v>
      </c>
      <c r="K113" s="14" t="s">
        <v>2746</v>
      </c>
      <c r="L113" s="14" t="s">
        <v>2747</v>
      </c>
      <c r="M113" s="14" t="s">
        <v>9158</v>
      </c>
      <c r="N113" s="14" t="s">
        <v>9158</v>
      </c>
      <c r="O113" s="19" t="s">
        <v>10097</v>
      </c>
      <c r="P113" s="14" t="s">
        <v>2748</v>
      </c>
      <c r="Q113" s="14">
        <v>1</v>
      </c>
    </row>
    <row r="114" spans="1:17">
      <c r="A114" s="14">
        <v>81313</v>
      </c>
      <c r="B114" s="14" t="s">
        <v>0</v>
      </c>
      <c r="C114" s="14" t="s">
        <v>154</v>
      </c>
      <c r="D114" s="20" t="s">
        <v>10511</v>
      </c>
      <c r="E114" s="15" t="str">
        <f>HYPERLINK("https://stat100.ameba.jp/tnk47/ratio20/illustrations/card/ill_81313_harihara03.jpg?202012-5-RELEASE-marathon-506x", "■")</f>
        <v>■</v>
      </c>
      <c r="F114" s="14" t="s">
        <v>4667</v>
      </c>
      <c r="G114" s="14">
        <v>172982</v>
      </c>
      <c r="H114" s="14">
        <v>125296</v>
      </c>
      <c r="I114" s="14">
        <v>26</v>
      </c>
      <c r="J114" s="14" t="s">
        <v>44</v>
      </c>
      <c r="K114" s="14" t="s">
        <v>4668</v>
      </c>
      <c r="L114" s="14" t="s">
        <v>4669</v>
      </c>
      <c r="M114" s="14" t="s">
        <v>9158</v>
      </c>
      <c r="N114" s="14" t="s">
        <v>9158</v>
      </c>
      <c r="O114" s="19" t="s">
        <v>10114</v>
      </c>
      <c r="P114" s="14" t="s">
        <v>3658</v>
      </c>
      <c r="Q114" s="14">
        <v>1</v>
      </c>
    </row>
    <row r="115" spans="1:17">
      <c r="A115" s="14">
        <v>78143</v>
      </c>
      <c r="B115" s="14" t="s">
        <v>334</v>
      </c>
      <c r="C115" s="14" t="s">
        <v>203</v>
      </c>
      <c r="D115" s="20" t="s">
        <v>10285</v>
      </c>
      <c r="E115" s="15" t="str">
        <f>HYPERLINK("https://stat100.ameba.jp/tnk47/ratio20/illustrations/card/ill_78143_kanibarukuin03.jpg?202012-5-RELEASE-marathon-506x", "■")</f>
        <v>■</v>
      </c>
      <c r="F115" s="14" t="s">
        <v>2687</v>
      </c>
      <c r="G115" s="14">
        <v>96010</v>
      </c>
      <c r="H115" s="14">
        <v>132562</v>
      </c>
      <c r="I115" s="14">
        <v>26</v>
      </c>
      <c r="J115" s="14" t="s">
        <v>26</v>
      </c>
      <c r="K115" s="14" t="s">
        <v>2688</v>
      </c>
      <c r="L115" s="14" t="s">
        <v>2137</v>
      </c>
      <c r="M115" s="14" t="s">
        <v>9158</v>
      </c>
      <c r="N115" s="14" t="s">
        <v>9158</v>
      </c>
      <c r="O115" s="19" t="s">
        <v>10103</v>
      </c>
      <c r="P115" s="14" t="s">
        <v>3897</v>
      </c>
      <c r="Q115" s="14">
        <v>1</v>
      </c>
    </row>
    <row r="116" spans="1:17">
      <c r="A116" s="14">
        <v>73893</v>
      </c>
      <c r="B116" s="14" t="s">
        <v>334</v>
      </c>
      <c r="C116" s="14" t="s">
        <v>203</v>
      </c>
      <c r="D116" s="19" t="s">
        <v>10388</v>
      </c>
      <c r="E116" s="15" t="str">
        <f>HYPERLINK("https://stat100.ameba.jp/tnk47/ratio20/illustrations/card/ill_73893_kurohachidaimyojintookami03.jpg?202012-5-RELEASE-marathon-506x", "■")</f>
        <v>■</v>
      </c>
      <c r="F116" s="14" t="s">
        <v>685</v>
      </c>
      <c r="G116" s="14">
        <v>132684</v>
      </c>
      <c r="H116" s="14">
        <v>96100</v>
      </c>
      <c r="I116" s="14">
        <v>26</v>
      </c>
      <c r="J116" s="14" t="s">
        <v>274</v>
      </c>
      <c r="K116" s="14" t="s">
        <v>686</v>
      </c>
      <c r="L116" s="14" t="s">
        <v>428</v>
      </c>
      <c r="M116" s="14" t="s">
        <v>9158</v>
      </c>
      <c r="N116" s="14" t="s">
        <v>9158</v>
      </c>
      <c r="O116" s="19" t="s">
        <v>10100</v>
      </c>
      <c r="P116" s="14" t="s">
        <v>3810</v>
      </c>
      <c r="Q116" s="14">
        <v>1</v>
      </c>
    </row>
    <row r="118" spans="1:17">
      <c r="A118" s="14" t="s">
        <v>3916</v>
      </c>
    </row>
    <row r="119" spans="1:17">
      <c r="A119" s="14">
        <v>105252</v>
      </c>
      <c r="B119" s="14" t="s">
        <v>2255</v>
      </c>
    </row>
    <row r="120" spans="1:17">
      <c r="A120" s="14">
        <v>71013</v>
      </c>
      <c r="B120" s="14" t="s">
        <v>334</v>
      </c>
      <c r="C120" s="14" t="s">
        <v>154</v>
      </c>
      <c r="D120" s="19" t="s">
        <v>837</v>
      </c>
      <c r="E120" s="15" t="str">
        <f>HYPERLINK("https://stat100.ameba.jp/tnk47/ratio20/illustrations/card/ill_71013_fujutsushisarashina03.jpg?202012-5-RELEASE-marathon-506x", "■")</f>
        <v>■</v>
      </c>
      <c r="F120" s="14" t="s">
        <v>838</v>
      </c>
      <c r="G120" s="14">
        <v>112286</v>
      </c>
      <c r="H120" s="14">
        <v>120766</v>
      </c>
      <c r="I120" s="14">
        <v>28</v>
      </c>
      <c r="J120" s="14" t="s">
        <v>155</v>
      </c>
      <c r="K120" s="14" t="s">
        <v>1231</v>
      </c>
      <c r="L120" s="14" t="s">
        <v>13152</v>
      </c>
      <c r="M120" s="14" t="s">
        <v>9864</v>
      </c>
      <c r="N120" s="14" t="s">
        <v>9158</v>
      </c>
      <c r="O120" s="14" t="s">
        <v>9158</v>
      </c>
      <c r="P120" s="14" t="s">
        <v>9158</v>
      </c>
      <c r="Q120" s="14" t="s">
        <v>9158</v>
      </c>
    </row>
    <row r="121" spans="1:17">
      <c r="A121" s="14">
        <v>71023</v>
      </c>
      <c r="B121" s="14" t="s">
        <v>334</v>
      </c>
      <c r="C121" s="14" t="s">
        <v>158</v>
      </c>
      <c r="D121" s="19" t="s">
        <v>841</v>
      </c>
      <c r="E121" s="15" t="str">
        <f>HYPERLINK("https://stat100.ameba.jp/tnk47/ratio20/illustrations/card/ill_71023_ommyojiiroha03.jpg?202012-5-RELEASE-marathon-506x", "■")</f>
        <v>■</v>
      </c>
      <c r="F121" s="14" t="s">
        <v>842</v>
      </c>
      <c r="G121" s="14">
        <v>112286</v>
      </c>
      <c r="H121" s="14">
        <v>120766</v>
      </c>
      <c r="I121" s="14">
        <v>28</v>
      </c>
      <c r="J121" s="14" t="s">
        <v>159</v>
      </c>
      <c r="K121" s="14" t="s">
        <v>1232</v>
      </c>
      <c r="L121" s="14" t="s">
        <v>1233</v>
      </c>
      <c r="M121" s="14" t="s">
        <v>9158</v>
      </c>
      <c r="N121" s="14" t="s">
        <v>9158</v>
      </c>
      <c r="O121" s="14" t="s">
        <v>9158</v>
      </c>
      <c r="P121" s="14" t="s">
        <v>9158</v>
      </c>
      <c r="Q121" s="14" t="s">
        <v>9158</v>
      </c>
    </row>
    <row r="122" spans="1:17">
      <c r="A122" s="14">
        <v>66053</v>
      </c>
      <c r="B122" s="14" t="s">
        <v>334</v>
      </c>
      <c r="C122" s="14" t="s">
        <v>205</v>
      </c>
      <c r="D122" s="19" t="s">
        <v>3046</v>
      </c>
      <c r="E122" s="15" t="str">
        <f>HYPERLINK("https://stat100.ameba.jp/tnk47/ratio20/illustrations/card/ill_66053_serebukushiyatamanokami03.jpg?202012-5-RELEASE-marathon-506x", "■")</f>
        <v>■</v>
      </c>
      <c r="F122" s="14" t="s">
        <v>2265</v>
      </c>
      <c r="G122" s="14">
        <v>114208</v>
      </c>
      <c r="H122" s="14">
        <v>106178</v>
      </c>
      <c r="I122" s="14">
        <v>28</v>
      </c>
      <c r="J122" s="14" t="s">
        <v>44</v>
      </c>
      <c r="K122" s="14" t="s">
        <v>2266</v>
      </c>
      <c r="L122" s="14" t="s">
        <v>1860</v>
      </c>
      <c r="M122" s="14" t="s">
        <v>9158</v>
      </c>
      <c r="N122" s="14" t="s">
        <v>9158</v>
      </c>
      <c r="O122" s="14" t="s">
        <v>9158</v>
      </c>
      <c r="P122" s="14" t="s">
        <v>9158</v>
      </c>
      <c r="Q122" s="14" t="s">
        <v>9158</v>
      </c>
    </row>
    <row r="123" spans="1:17">
      <c r="A123" s="14">
        <v>65923</v>
      </c>
      <c r="B123" s="14" t="s">
        <v>334</v>
      </c>
      <c r="C123" s="14" t="s">
        <v>185</v>
      </c>
      <c r="D123" s="19" t="s">
        <v>10204</v>
      </c>
      <c r="E123" s="15" t="str">
        <f>HYPERLINK("https://stat100.ameba.jp/tnk47/ratio20/illustrations/card/ill_65923_arabianginko03.jpg?202012-5-RELEASE-marathon-506x", "■")</f>
        <v>■</v>
      </c>
      <c r="F123" s="14" t="s">
        <v>4978</v>
      </c>
      <c r="G123" s="14">
        <v>116662</v>
      </c>
      <c r="H123" s="14">
        <v>108494</v>
      </c>
      <c r="I123" s="14">
        <v>28</v>
      </c>
      <c r="J123" s="14" t="s">
        <v>182</v>
      </c>
      <c r="K123" s="14" t="s">
        <v>3679</v>
      </c>
      <c r="L123" s="14" t="s">
        <v>13188</v>
      </c>
      <c r="M123" s="14" t="s">
        <v>9158</v>
      </c>
      <c r="N123" s="14" t="s">
        <v>9158</v>
      </c>
      <c r="O123" s="14" t="s">
        <v>9158</v>
      </c>
      <c r="P123" s="14" t="s">
        <v>9158</v>
      </c>
      <c r="Q123" s="14" t="s">
        <v>9158</v>
      </c>
    </row>
    <row r="124" spans="1:17">
      <c r="A124" s="14">
        <v>52863</v>
      </c>
      <c r="B124" s="14" t="s">
        <v>15</v>
      </c>
      <c r="C124" s="14" t="s">
        <v>191</v>
      </c>
      <c r="D124" s="19" t="s">
        <v>10516</v>
      </c>
      <c r="E124" s="15" t="str">
        <f>HYPERLINK("https://stat100.ameba.jp/tnk47/ratio20/illustrations/card/ill_52863_andoroidokingyonota03.jpg?202012-5-RELEASE-marathon-506x", "■")</f>
        <v>■</v>
      </c>
      <c r="F124" s="14" t="s">
        <v>6409</v>
      </c>
      <c r="G124" s="14">
        <v>59144</v>
      </c>
      <c r="H124" s="14">
        <v>65208</v>
      </c>
      <c r="I124" s="14">
        <v>22</v>
      </c>
      <c r="J124" s="14" t="s">
        <v>38</v>
      </c>
      <c r="K124" s="14" t="s">
        <v>6407</v>
      </c>
      <c r="L124" s="14" t="s">
        <v>6406</v>
      </c>
      <c r="M124" s="14" t="s">
        <v>9158</v>
      </c>
      <c r="N124" s="14" t="s">
        <v>9158</v>
      </c>
      <c r="O124" s="14" t="s">
        <v>9158</v>
      </c>
      <c r="P124" s="14" t="s">
        <v>9158</v>
      </c>
      <c r="Q124" s="14" t="s">
        <v>9158</v>
      </c>
    </row>
    <row r="125" spans="1:17">
      <c r="A125" s="14">
        <v>51593</v>
      </c>
      <c r="B125" s="14" t="s">
        <v>15</v>
      </c>
      <c r="C125" s="14" t="s">
        <v>200</v>
      </c>
      <c r="D125" s="19" t="s">
        <v>10517</v>
      </c>
      <c r="E125" s="15" t="str">
        <f>HYPERLINK("https://stat100.ameba.jp/tnk47/ratio20/illustrations/card/ill_51593_kishuhondatadakatsu03.jpg?202012-5-RELEASE-marathon-506x", "■")</f>
        <v>■</v>
      </c>
      <c r="F125" s="14" t="s">
        <v>6413</v>
      </c>
      <c r="G125" s="14">
        <v>59144</v>
      </c>
      <c r="H125" s="14">
        <v>65208</v>
      </c>
      <c r="I125" s="14">
        <v>22</v>
      </c>
      <c r="J125" s="14" t="s">
        <v>143</v>
      </c>
      <c r="K125" s="14" t="s">
        <v>6411</v>
      </c>
      <c r="L125" s="14" t="s">
        <v>6410</v>
      </c>
      <c r="M125" s="14" t="s">
        <v>9158</v>
      </c>
      <c r="N125" s="14" t="s">
        <v>9158</v>
      </c>
      <c r="O125" s="14" t="s">
        <v>9158</v>
      </c>
      <c r="P125" s="14" t="s">
        <v>9158</v>
      </c>
      <c r="Q125" s="14" t="s">
        <v>9158</v>
      </c>
    </row>
    <row r="126" spans="1:17">
      <c r="A126" s="14">
        <v>55403</v>
      </c>
      <c r="B126" s="14" t="s">
        <v>15</v>
      </c>
      <c r="C126" s="14" t="s">
        <v>165</v>
      </c>
      <c r="D126" s="19" t="s">
        <v>10518</v>
      </c>
      <c r="E126" s="15" t="str">
        <f>HYPERLINK("https://stat100.ameba.jp/tnk47/ratio20/illustrations/card/ill_55403_undokaikyogokumaria03.jpg?202012-5-RELEASE-marathon-506x", "■")</f>
        <v>■</v>
      </c>
      <c r="F126" s="14" t="s">
        <v>6417</v>
      </c>
      <c r="G126" s="14">
        <v>65208</v>
      </c>
      <c r="H126" s="14">
        <v>59144</v>
      </c>
      <c r="I126" s="14">
        <v>22</v>
      </c>
      <c r="J126" s="14" t="s">
        <v>77</v>
      </c>
      <c r="K126" s="14" t="s">
        <v>6415</v>
      </c>
      <c r="L126" s="14" t="s">
        <v>6414</v>
      </c>
      <c r="M126" s="14" t="s">
        <v>9158</v>
      </c>
      <c r="N126" s="14" t="s">
        <v>9158</v>
      </c>
      <c r="O126" s="14" t="s">
        <v>9158</v>
      </c>
      <c r="P126" s="14" t="s">
        <v>9158</v>
      </c>
      <c r="Q126" s="14" t="s">
        <v>9158</v>
      </c>
    </row>
    <row r="127" spans="1:17">
      <c r="A127" s="14">
        <v>52973</v>
      </c>
      <c r="B127" s="14" t="s">
        <v>15</v>
      </c>
      <c r="C127" s="14" t="s">
        <v>206</v>
      </c>
      <c r="D127" s="19" t="s">
        <v>10519</v>
      </c>
      <c r="E127" s="15" t="str">
        <f>HYPERLINK("https://stat100.ameba.jp/tnk47/ratio20/illustrations/card/ill_52973_torampuamoronagu03.jpg?202012-5-RELEASE-marathon-506x", "■")</f>
        <v>■</v>
      </c>
      <c r="F127" s="14" t="s">
        <v>6421</v>
      </c>
      <c r="G127" s="14">
        <v>65208</v>
      </c>
      <c r="H127" s="14">
        <v>59144</v>
      </c>
      <c r="I127" s="14">
        <v>22</v>
      </c>
      <c r="J127" s="14" t="s">
        <v>44</v>
      </c>
      <c r="K127" s="14" t="s">
        <v>6419</v>
      </c>
      <c r="L127" s="14" t="s">
        <v>6418</v>
      </c>
      <c r="M127" s="14" t="s">
        <v>9158</v>
      </c>
      <c r="N127" s="14" t="s">
        <v>9158</v>
      </c>
      <c r="O127" s="14" t="s">
        <v>9158</v>
      </c>
      <c r="P127" s="14" t="s">
        <v>9158</v>
      </c>
      <c r="Q127" s="14" t="s">
        <v>9158</v>
      </c>
    </row>
    <row r="129" spans="1:17">
      <c r="A129" s="14" t="s">
        <v>12630</v>
      </c>
      <c r="G129" s="7"/>
      <c r="H129" s="7"/>
      <c r="I129" s="7"/>
    </row>
    <row r="130" spans="1:17">
      <c r="A130" s="14">
        <v>235629</v>
      </c>
      <c r="B130" s="14" t="s">
        <v>16645</v>
      </c>
    </row>
    <row r="131" spans="1:17">
      <c r="A131" s="14">
        <v>235639</v>
      </c>
      <c r="B131" s="14" t="s">
        <v>15725</v>
      </c>
      <c r="I131" s="7"/>
    </row>
    <row r="132" spans="1:17">
      <c r="A132" s="14" t="s">
        <v>12742</v>
      </c>
    </row>
    <row r="133" spans="1:17">
      <c r="A133" s="14" t="s">
        <v>5963</v>
      </c>
      <c r="B133" s="14" t="s">
        <v>330</v>
      </c>
      <c r="C133" s="14" t="s">
        <v>35</v>
      </c>
      <c r="D133" s="19" t="s">
        <v>10438</v>
      </c>
      <c r="E133" s="15" t="str">
        <f>HYPERLINK("https://stat100.ameba.jp/tnk47/ratio20/illustrations/card/ill_82963_0_yukatamatsuritomokazuki03.jpg?202012-5-RELEASE-marathon-506x", "■")</f>
        <v>■</v>
      </c>
      <c r="F133" s="14" t="s">
        <v>5964</v>
      </c>
      <c r="G133" s="14">
        <v>321625</v>
      </c>
      <c r="H133" s="14">
        <v>355871</v>
      </c>
      <c r="I133" s="14">
        <v>27</v>
      </c>
      <c r="J133" s="14" t="s">
        <v>73</v>
      </c>
      <c r="K133" s="14" t="s">
        <v>5966</v>
      </c>
      <c r="L133" s="14" t="s">
        <v>5967</v>
      </c>
      <c r="M133" s="14" t="s">
        <v>9158</v>
      </c>
      <c r="N133" s="14" t="s">
        <v>9158</v>
      </c>
      <c r="O133" s="19" t="s">
        <v>10115</v>
      </c>
      <c r="P133" s="14" t="s">
        <v>5968</v>
      </c>
      <c r="Q133" s="14">
        <v>1</v>
      </c>
    </row>
    <row r="134" spans="1:17">
      <c r="A134" s="9" t="s">
        <v>5787</v>
      </c>
      <c r="B134" s="14" t="s">
        <v>330</v>
      </c>
      <c r="C134" s="14" t="s">
        <v>270</v>
      </c>
      <c r="D134" s="14" t="s">
        <v>1101</v>
      </c>
      <c r="E134" s="15" t="str">
        <f>HYPERLINK("https://stat100.ameba.jp/tnk47/ratio20/illustrations/card/ill_76303_0_haroinkaguya03.jpg?202012-5-RELEASE-marathon-506x", "■")</f>
        <v>■</v>
      </c>
      <c r="F134" s="14" t="s">
        <v>332</v>
      </c>
      <c r="G134" s="14">
        <v>321315</v>
      </c>
      <c r="H134" s="14">
        <v>298717</v>
      </c>
      <c r="I134" s="14">
        <v>27</v>
      </c>
      <c r="J134" s="14" t="s">
        <v>274</v>
      </c>
      <c r="K134" s="14" t="s">
        <v>333</v>
      </c>
      <c r="L134" s="14" t="s">
        <v>276</v>
      </c>
      <c r="M134" s="14" t="s">
        <v>9158</v>
      </c>
      <c r="N134" s="14" t="s">
        <v>9158</v>
      </c>
      <c r="O134" s="9" t="s">
        <v>2723</v>
      </c>
      <c r="P134" s="14" t="s">
        <v>2724</v>
      </c>
      <c r="Q134" s="14">
        <v>1</v>
      </c>
    </row>
    <row r="135" spans="1:17">
      <c r="A135" s="14" t="s">
        <v>5601</v>
      </c>
      <c r="B135" s="14" t="s">
        <v>330</v>
      </c>
      <c r="C135" s="14" t="s">
        <v>35</v>
      </c>
      <c r="D135" s="19" t="s">
        <v>10318</v>
      </c>
      <c r="E135" s="15" t="str">
        <f>HYPERLINK("https://stat100.ameba.jp/tnk47/ratio20/illustrations/card/ill_82423_0_bikinigarukishi03.jpg?202012-5-RELEASE-marathon-506x", "■")</f>
        <v>■</v>
      </c>
      <c r="F135" s="14" t="s">
        <v>5391</v>
      </c>
      <c r="G135" s="14">
        <v>326924</v>
      </c>
      <c r="H135" s="14">
        <v>295479</v>
      </c>
      <c r="I135" s="14">
        <v>27</v>
      </c>
      <c r="J135" s="14" t="s">
        <v>77</v>
      </c>
      <c r="K135" s="14" t="s">
        <v>5392</v>
      </c>
      <c r="L135" s="14" t="s">
        <v>5393</v>
      </c>
      <c r="M135" s="14" t="s">
        <v>9158</v>
      </c>
      <c r="N135" s="14" t="s">
        <v>9158</v>
      </c>
      <c r="O135" s="19" t="s">
        <v>10069</v>
      </c>
      <c r="P135" s="14" t="s">
        <v>5394</v>
      </c>
      <c r="Q135" s="14">
        <v>1</v>
      </c>
    </row>
    <row r="136" spans="1:17">
      <c r="A136" s="14">
        <v>83793</v>
      </c>
      <c r="B136" s="14" t="s">
        <v>0</v>
      </c>
      <c r="C136" s="14" t="s">
        <v>185</v>
      </c>
      <c r="D136" s="19" t="s">
        <v>10606</v>
      </c>
      <c r="E136" s="15" t="str">
        <f>HYPERLINK("https://stat100.ameba.jp/tnk47/ratio20/illustrations/card/ill_83793_danjirisakurambochan03.jpg?202012-5-RELEASE-marathon-506x", "■")</f>
        <v>■</v>
      </c>
      <c r="F136" s="14" t="s">
        <v>6872</v>
      </c>
      <c r="G136" s="14">
        <v>122960</v>
      </c>
      <c r="H136" s="14">
        <v>132230</v>
      </c>
      <c r="I136" s="14">
        <v>28</v>
      </c>
      <c r="J136" s="14" t="s">
        <v>104</v>
      </c>
      <c r="K136" s="14" t="s">
        <v>6870</v>
      </c>
      <c r="L136" s="14" t="s">
        <v>131</v>
      </c>
      <c r="M136" s="14" t="s">
        <v>9158</v>
      </c>
      <c r="N136" s="14" t="s">
        <v>9158</v>
      </c>
      <c r="O136" s="14" t="s">
        <v>9158</v>
      </c>
      <c r="P136" s="14" t="s">
        <v>9158</v>
      </c>
      <c r="Q136" s="14" t="s">
        <v>9158</v>
      </c>
    </row>
    <row r="137" spans="1:17">
      <c r="A137" s="14">
        <v>81833</v>
      </c>
      <c r="B137" s="14" t="s">
        <v>0</v>
      </c>
      <c r="C137" s="14" t="s">
        <v>200</v>
      </c>
      <c r="D137" s="19" t="s">
        <v>10191</v>
      </c>
      <c r="E137" s="15" t="str">
        <f>HYPERLINK("https://stat100.ameba.jp/tnk47/ratio20/illustrations/card/ill_81833_amehimenogyakushuhojotsunataka03.jpg?202012-5-RELEASE-marathon-506x", "■")</f>
        <v>■</v>
      </c>
      <c r="F137" s="14" t="s">
        <v>4941</v>
      </c>
      <c r="G137" s="14">
        <v>166452</v>
      </c>
      <c r="H137" s="14">
        <v>154768</v>
      </c>
      <c r="I137" s="14">
        <v>28</v>
      </c>
      <c r="J137" s="14" t="s">
        <v>143</v>
      </c>
      <c r="K137" s="14" t="s">
        <v>4943</v>
      </c>
      <c r="L137" s="14" t="s">
        <v>3459</v>
      </c>
      <c r="M137" s="14" t="s">
        <v>9158</v>
      </c>
      <c r="N137" s="14" t="s">
        <v>9158</v>
      </c>
      <c r="O137" s="14" t="s">
        <v>9158</v>
      </c>
      <c r="P137" s="14" t="s">
        <v>9158</v>
      </c>
      <c r="Q137" s="14" t="s">
        <v>9158</v>
      </c>
    </row>
    <row r="138" spans="1:17">
      <c r="A138" s="7">
        <v>85573</v>
      </c>
      <c r="B138" s="7" t="s">
        <v>0</v>
      </c>
      <c r="C138" s="7" t="s">
        <v>191</v>
      </c>
      <c r="D138" s="20" t="s">
        <v>10824</v>
      </c>
      <c r="E138" s="15" t="str">
        <f>HYPERLINK("https://stat100.ameba.jp/tnk47/ratio20/illustrations/card/ill_85573_kurisumasuotezutsuhanabisan03.jpg?202012-5-RELEASE-marathon-506x", "■")</f>
        <v>■</v>
      </c>
      <c r="F138" s="7" t="s">
        <v>8404</v>
      </c>
      <c r="G138" s="14">
        <v>118598</v>
      </c>
      <c r="H138" s="14">
        <v>127556</v>
      </c>
      <c r="I138" s="14">
        <v>28</v>
      </c>
      <c r="J138" s="7" t="s">
        <v>229</v>
      </c>
      <c r="K138" s="7" t="s">
        <v>8403</v>
      </c>
      <c r="L138" s="7" t="s">
        <v>7427</v>
      </c>
      <c r="M138" s="14" t="s">
        <v>9158</v>
      </c>
      <c r="N138" s="14" t="s">
        <v>9158</v>
      </c>
      <c r="O138" s="14" t="s">
        <v>9158</v>
      </c>
      <c r="P138" s="14" t="s">
        <v>9158</v>
      </c>
      <c r="Q138" s="14" t="s">
        <v>9158</v>
      </c>
    </row>
    <row r="139" spans="1:17">
      <c r="A139" s="14">
        <v>78993</v>
      </c>
      <c r="B139" s="14" t="s">
        <v>0</v>
      </c>
      <c r="C139" s="14" t="s">
        <v>165</v>
      </c>
      <c r="D139" s="19" t="s">
        <v>14606</v>
      </c>
      <c r="E139" s="15" t="str">
        <f>HYPERLINK("https://stat100.ameba.jp/tnk47/ratio20/illustrations/card/ill_78993_uintasupotsutsukimizakechan03.jpg?202012-5-RELEASE-marathon-506x", "■")</f>
        <v>■</v>
      </c>
      <c r="F139" s="14" t="s">
        <v>6842</v>
      </c>
      <c r="G139" s="14">
        <v>132230</v>
      </c>
      <c r="H139" s="14">
        <v>122960</v>
      </c>
      <c r="I139" s="14">
        <v>28</v>
      </c>
      <c r="J139" s="14" t="s">
        <v>216</v>
      </c>
      <c r="K139" s="14" t="s">
        <v>6841</v>
      </c>
      <c r="L139" s="14" t="s">
        <v>1108</v>
      </c>
      <c r="M139" s="14" t="s">
        <v>9158</v>
      </c>
      <c r="N139" s="14" t="s">
        <v>9158</v>
      </c>
      <c r="O139" s="14" t="s">
        <v>9158</v>
      </c>
      <c r="P139" s="14" t="s">
        <v>9158</v>
      </c>
      <c r="Q139" s="14" t="s">
        <v>9158</v>
      </c>
    </row>
    <row r="140" spans="1:17">
      <c r="A140" s="14">
        <v>91313</v>
      </c>
      <c r="B140" s="14" t="s">
        <v>334</v>
      </c>
      <c r="C140" s="14" t="s">
        <v>1</v>
      </c>
      <c r="D140" s="14" t="s">
        <v>13488</v>
      </c>
      <c r="E140" s="15" t="str">
        <f>HYPERLINK("https://stat100.ameba.jp/tnk47/ratio20/illustrations/card/ill_91313_miruhie03.jpg?202012-5-RELEASE-marathon-506x", "■")</f>
        <v>■</v>
      </c>
      <c r="F140" s="14" t="s">
        <v>13492</v>
      </c>
      <c r="G140" s="14">
        <v>109370</v>
      </c>
      <c r="H140" s="14">
        <v>101650</v>
      </c>
      <c r="I140" s="14">
        <v>28</v>
      </c>
      <c r="J140" s="14" t="s">
        <v>77</v>
      </c>
      <c r="K140" s="14" t="s">
        <v>13490</v>
      </c>
      <c r="L140" s="14" t="s">
        <v>13491</v>
      </c>
      <c r="M140" s="14" t="s">
        <v>9158</v>
      </c>
      <c r="N140" s="14" t="s">
        <v>9158</v>
      </c>
      <c r="O140" s="14" t="s">
        <v>9158</v>
      </c>
      <c r="P140" s="14" t="s">
        <v>9158</v>
      </c>
      <c r="Q140" s="14" t="s">
        <v>9158</v>
      </c>
    </row>
    <row r="141" spans="1:17">
      <c r="A141" s="14">
        <v>60943</v>
      </c>
      <c r="B141" s="14" t="s">
        <v>334</v>
      </c>
      <c r="C141" s="14" t="s">
        <v>206</v>
      </c>
      <c r="D141" s="20" t="s">
        <v>10465</v>
      </c>
      <c r="E141" s="15" t="str">
        <f>HYPERLINK("https://stat100.ameba.jp/tnk47/ratio20/illustrations/card/ill_60943_sukurugarutenshoin03.jpg?202012-5-RELEASE-marathon-506x", "■")</f>
        <v>■</v>
      </c>
      <c r="F141" s="14" t="s">
        <v>3958</v>
      </c>
      <c r="G141" s="14">
        <v>101650</v>
      </c>
      <c r="H141" s="14">
        <v>109370</v>
      </c>
      <c r="I141" s="14">
        <v>28</v>
      </c>
      <c r="J141" s="14" t="s">
        <v>10</v>
      </c>
      <c r="K141" s="14" t="s">
        <v>3959</v>
      </c>
      <c r="L141" s="14" t="s">
        <v>12</v>
      </c>
      <c r="M141" s="14" t="s">
        <v>9158</v>
      </c>
      <c r="N141" s="14" t="s">
        <v>9158</v>
      </c>
      <c r="O141" s="14" t="s">
        <v>9158</v>
      </c>
      <c r="P141" s="14" t="s">
        <v>9158</v>
      </c>
      <c r="Q141" s="14" t="s">
        <v>9158</v>
      </c>
    </row>
    <row r="143" spans="1:17">
      <c r="A143" s="14" t="s">
        <v>13327</v>
      </c>
    </row>
    <row r="144" spans="1:17">
      <c r="A144" s="14">
        <v>105168</v>
      </c>
      <c r="B144" s="14" t="s">
        <v>16646</v>
      </c>
    </row>
    <row r="145" spans="1:18">
      <c r="A145" s="14">
        <v>92173</v>
      </c>
      <c r="B145" s="14" t="s">
        <v>0</v>
      </c>
      <c r="C145" s="14" t="s">
        <v>335</v>
      </c>
      <c r="D145" s="14" t="s">
        <v>14616</v>
      </c>
      <c r="E145" s="15" t="str">
        <f>HYPERLINK("https://stat100.ameba.jp/tnk47/ratio20/illustrations/card/ill_92173_atorasu03.jpg?202012-5-RELEASE-marathon-506x", "■")</f>
        <v>■</v>
      </c>
      <c r="F145" s="14" t="s">
        <v>14617</v>
      </c>
      <c r="G145" s="14">
        <v>137846</v>
      </c>
      <c r="H145" s="14">
        <v>128160</v>
      </c>
      <c r="I145" s="14">
        <v>28</v>
      </c>
      <c r="J145" s="14" t="s">
        <v>77</v>
      </c>
      <c r="K145" s="14" t="s">
        <v>14619</v>
      </c>
      <c r="L145" s="14" t="s">
        <v>14618</v>
      </c>
      <c r="M145" s="14" t="s">
        <v>2138</v>
      </c>
      <c r="N145" s="14" t="s">
        <v>2139</v>
      </c>
      <c r="O145" s="14" t="s">
        <v>9158</v>
      </c>
      <c r="P145" s="14" t="s">
        <v>9158</v>
      </c>
      <c r="Q145" s="14" t="s">
        <v>9158</v>
      </c>
      <c r="R145" s="14" t="s">
        <v>14748</v>
      </c>
    </row>
    <row r="146" spans="1:18">
      <c r="A146" s="14">
        <v>92172</v>
      </c>
      <c r="B146" s="14" t="s">
        <v>0</v>
      </c>
      <c r="C146" s="14" t="s">
        <v>335</v>
      </c>
      <c r="D146" s="14" t="s">
        <v>14616</v>
      </c>
      <c r="E146" s="15" t="str">
        <f>HYPERLINK("https://stat100.ameba.jp/tnk47/ratio20/illustrations/card/ill_92172_atorasu02.jpg?202012-5-RELEASE-marathon-506x", "■")</f>
        <v>■</v>
      </c>
      <c r="F146" s="14" t="s">
        <v>14617</v>
      </c>
      <c r="G146" s="14">
        <v>115230</v>
      </c>
      <c r="H146" s="14">
        <v>106148</v>
      </c>
      <c r="I146" s="14">
        <v>28</v>
      </c>
      <c r="J146" s="14" t="s">
        <v>77</v>
      </c>
      <c r="K146" s="14" t="s">
        <v>14619</v>
      </c>
      <c r="L146" s="14" t="s">
        <v>14618</v>
      </c>
      <c r="M146" s="14" t="s">
        <v>13270</v>
      </c>
      <c r="N146" s="14" t="s">
        <v>13271</v>
      </c>
      <c r="O146" s="14" t="s">
        <v>9158</v>
      </c>
      <c r="P146" s="14" t="s">
        <v>9158</v>
      </c>
      <c r="Q146" s="14" t="s">
        <v>9158</v>
      </c>
      <c r="R146" s="14" t="s">
        <v>14748</v>
      </c>
    </row>
    <row r="147" spans="1:18">
      <c r="A147" s="14">
        <v>92171</v>
      </c>
      <c r="B147" s="14" t="s">
        <v>0</v>
      </c>
      <c r="C147" s="14" t="s">
        <v>335</v>
      </c>
      <c r="D147" s="14" t="s">
        <v>14616</v>
      </c>
      <c r="E147" s="15" t="str">
        <f>HYPERLINK("https://stat100.ameba.jp/tnk47/ratio20/illustrations/card/ill_92171_atorasu01.jpg?202012-5-RELEASE-marathon-506x", "■")</f>
        <v>■</v>
      </c>
      <c r="F147" s="14" t="s">
        <v>14617</v>
      </c>
      <c r="G147" s="14">
        <v>87976</v>
      </c>
      <c r="H147" s="14">
        <v>81900</v>
      </c>
      <c r="I147" s="14">
        <v>28</v>
      </c>
      <c r="J147" s="14" t="s">
        <v>77</v>
      </c>
      <c r="K147" s="14" t="s">
        <v>14619</v>
      </c>
      <c r="L147" s="14" t="s">
        <v>14618</v>
      </c>
      <c r="M147" s="14" t="s">
        <v>13270</v>
      </c>
      <c r="N147" s="14" t="s">
        <v>13271</v>
      </c>
      <c r="O147" s="14" t="s">
        <v>9158</v>
      </c>
      <c r="P147" s="14" t="s">
        <v>9158</v>
      </c>
      <c r="Q147" s="14" t="s">
        <v>9158</v>
      </c>
      <c r="R147" s="14" t="s">
        <v>14748</v>
      </c>
    </row>
    <row r="148" spans="1:18">
      <c r="A148" s="14">
        <v>92183</v>
      </c>
      <c r="B148" s="14" t="s">
        <v>0</v>
      </c>
      <c r="C148" s="14" t="s">
        <v>200</v>
      </c>
      <c r="D148" s="14" t="s">
        <v>14624</v>
      </c>
      <c r="E148" s="15" t="str">
        <f>HYPERLINK("https://stat100.ameba.jp/tnk47/ratio20/illustrations/card/ill_92183_shokorafue03.jpg?202012-5-RELEASE-marathon-506x", "■")</f>
        <v>■</v>
      </c>
      <c r="F148" s="14" t="s">
        <v>14623</v>
      </c>
      <c r="G148" s="14">
        <v>137846</v>
      </c>
      <c r="H148" s="14">
        <v>128160</v>
      </c>
      <c r="I148" s="14">
        <v>28</v>
      </c>
      <c r="J148" s="14" t="s">
        <v>104</v>
      </c>
      <c r="K148" s="14" t="s">
        <v>14621</v>
      </c>
      <c r="L148" s="14" t="s">
        <v>14620</v>
      </c>
      <c r="M148" s="14" t="s">
        <v>2138</v>
      </c>
      <c r="N148" s="14" t="s">
        <v>2139</v>
      </c>
      <c r="O148" s="14" t="s">
        <v>9158</v>
      </c>
      <c r="P148" s="14" t="s">
        <v>9158</v>
      </c>
      <c r="Q148" s="14" t="s">
        <v>9158</v>
      </c>
      <c r="R148" s="14" t="s">
        <v>14748</v>
      </c>
    </row>
    <row r="149" spans="1:18">
      <c r="A149" s="14">
        <v>92193</v>
      </c>
      <c r="B149" s="14" t="s">
        <v>0</v>
      </c>
      <c r="C149" s="14" t="s">
        <v>307</v>
      </c>
      <c r="D149" s="14" t="s">
        <v>14629</v>
      </c>
      <c r="E149" s="15" t="str">
        <f>HYPERLINK("https://stat100.ameba.jp/tnk47/ratio20/illustrations/card/ill_92193_kerubu03.jpg?202012-5-RELEASE-marathon-506x", "■")</f>
        <v>■</v>
      </c>
      <c r="F149" s="14" t="s">
        <v>14628</v>
      </c>
      <c r="G149" s="14">
        <v>137846</v>
      </c>
      <c r="H149" s="14">
        <v>128160</v>
      </c>
      <c r="I149" s="14">
        <v>28</v>
      </c>
      <c r="J149" s="14" t="s">
        <v>44</v>
      </c>
      <c r="K149" s="14" t="s">
        <v>14626</v>
      </c>
      <c r="L149" s="14" t="s">
        <v>14625</v>
      </c>
      <c r="M149" s="14" t="s">
        <v>2138</v>
      </c>
      <c r="N149" s="14" t="s">
        <v>2139</v>
      </c>
      <c r="O149" s="14" t="s">
        <v>9158</v>
      </c>
      <c r="P149" s="14" t="s">
        <v>9158</v>
      </c>
      <c r="Q149" s="14" t="s">
        <v>9158</v>
      </c>
      <c r="R149" s="14" t="s">
        <v>14748</v>
      </c>
    </row>
    <row r="150" spans="1:18">
      <c r="A150" s="14">
        <v>92203</v>
      </c>
      <c r="B150" s="14" t="s">
        <v>0</v>
      </c>
      <c r="C150" s="14" t="s">
        <v>165</v>
      </c>
      <c r="D150" s="14" t="s">
        <v>14634</v>
      </c>
      <c r="E150" s="15" t="str">
        <f>HYPERLINK("https://stat100.ameba.jp/tnk47/ratio20/illustrations/card/ill_92203_tarazetotoreda03.jpg?202012-5-RELEASE-marathon-506x", "■")</f>
        <v>■</v>
      </c>
      <c r="F150" s="14" t="s">
        <v>14633</v>
      </c>
      <c r="G150" s="14">
        <v>128160</v>
      </c>
      <c r="H150" s="14">
        <v>137846</v>
      </c>
      <c r="I150" s="14">
        <v>28</v>
      </c>
      <c r="J150" s="14" t="s">
        <v>73</v>
      </c>
      <c r="K150" s="14" t="s">
        <v>14631</v>
      </c>
      <c r="L150" s="14" t="s">
        <v>14630</v>
      </c>
      <c r="M150" s="14" t="s">
        <v>2138</v>
      </c>
      <c r="N150" s="14" t="s">
        <v>2139</v>
      </c>
      <c r="O150" s="14" t="s">
        <v>9158</v>
      </c>
      <c r="P150" s="14" t="s">
        <v>9158</v>
      </c>
      <c r="Q150" s="14" t="s">
        <v>9158</v>
      </c>
      <c r="R150" s="14" t="s">
        <v>14748</v>
      </c>
    </row>
    <row r="151" spans="1:18">
      <c r="A151" s="14">
        <v>92213</v>
      </c>
      <c r="B151" s="14" t="s">
        <v>0</v>
      </c>
      <c r="C151" s="9" t="s">
        <v>205</v>
      </c>
      <c r="D151" s="14" t="s">
        <v>14639</v>
      </c>
      <c r="E151" s="15" t="str">
        <f>HYPERLINK("https://stat100.ameba.jp/tnk47/ratio20/illustrations/card/ill_92213_pushikopompoi03.jpg?202012-5-RELEASE-marathon-506x", "■")</f>
        <v>■</v>
      </c>
      <c r="F151" s="14" t="s">
        <v>14638</v>
      </c>
      <c r="G151" s="14">
        <v>128160</v>
      </c>
      <c r="H151" s="14">
        <v>137846</v>
      </c>
      <c r="I151" s="14">
        <v>28</v>
      </c>
      <c r="J151" s="14" t="s">
        <v>38</v>
      </c>
      <c r="K151" s="14" t="s">
        <v>14636</v>
      </c>
      <c r="L151" s="14" t="s">
        <v>14635</v>
      </c>
      <c r="M151" s="14" t="s">
        <v>2138</v>
      </c>
      <c r="N151" s="14" t="s">
        <v>2139</v>
      </c>
      <c r="O151" s="14" t="s">
        <v>9158</v>
      </c>
      <c r="P151" s="14" t="s">
        <v>9158</v>
      </c>
      <c r="Q151" s="14" t="s">
        <v>9158</v>
      </c>
      <c r="R151" s="14" t="s">
        <v>14748</v>
      </c>
    </row>
    <row r="152" spans="1:18">
      <c r="A152" s="14">
        <v>92223</v>
      </c>
      <c r="B152" s="14" t="s">
        <v>0</v>
      </c>
      <c r="C152" s="14" t="s">
        <v>206</v>
      </c>
      <c r="D152" s="14" t="s">
        <v>14644</v>
      </c>
      <c r="E152" s="15" t="str">
        <f>HYPERLINK("https://stat100.ameba.jp/tnk47/ratio20/illustrations/card/ill_92223_sanfuraua03.jpg?202012-5-RELEASE-marathon-506x", "■")</f>
        <v>■</v>
      </c>
      <c r="F152" s="14" t="s">
        <v>14643</v>
      </c>
      <c r="G152" s="14">
        <v>128160</v>
      </c>
      <c r="H152" s="14">
        <v>137846</v>
      </c>
      <c r="I152" s="14">
        <v>28</v>
      </c>
      <c r="J152" s="14" t="s">
        <v>26</v>
      </c>
      <c r="K152" s="14" t="s">
        <v>14641</v>
      </c>
      <c r="L152" s="14" t="s">
        <v>14640</v>
      </c>
      <c r="M152" s="14" t="s">
        <v>2138</v>
      </c>
      <c r="N152" s="14" t="s">
        <v>2139</v>
      </c>
      <c r="O152" s="14" t="s">
        <v>9158</v>
      </c>
      <c r="P152" s="14" t="s">
        <v>9158</v>
      </c>
      <c r="Q152" s="14" t="s">
        <v>9158</v>
      </c>
      <c r="R152" s="14" t="s">
        <v>14748</v>
      </c>
    </row>
    <row r="154" spans="1:18">
      <c r="A154" s="14" t="s">
        <v>16361</v>
      </c>
    </row>
    <row r="155" spans="1:18">
      <c r="A155" s="14">
        <v>235553</v>
      </c>
      <c r="B155" s="14" t="s">
        <v>2310</v>
      </c>
    </row>
    <row r="156" spans="1:18">
      <c r="A156" s="14">
        <v>235559</v>
      </c>
      <c r="B156" s="14" t="s">
        <v>8485</v>
      </c>
    </row>
    <row r="157" spans="1:18">
      <c r="A157" s="14" t="s">
        <v>15831</v>
      </c>
      <c r="B157" s="7" t="s">
        <v>52</v>
      </c>
      <c r="C157" s="14" t="s">
        <v>202</v>
      </c>
      <c r="D157" s="18" t="s">
        <v>15825</v>
      </c>
      <c r="E157" s="15" t="str">
        <f>HYPERLINK("https://stat100.ameba.jp/tnk47/ratio20/illustrations/card/ill_94293_0_kurisumasupurezentofukudahideko03.jpg?202012-5-RELEASE-marathon-506x", "■")</f>
        <v>■</v>
      </c>
      <c r="F157" s="14" t="s">
        <v>15830</v>
      </c>
      <c r="G157" s="14">
        <v>308104</v>
      </c>
      <c r="H157" s="14">
        <v>278470</v>
      </c>
      <c r="I157" s="7">
        <v>28</v>
      </c>
      <c r="J157" s="14" t="s">
        <v>16</v>
      </c>
      <c r="K157" s="14" t="s">
        <v>15829</v>
      </c>
      <c r="L157" s="14" t="s">
        <v>15828</v>
      </c>
      <c r="M157" s="14" t="s">
        <v>9158</v>
      </c>
      <c r="N157" s="14" t="s">
        <v>9158</v>
      </c>
      <c r="O157" s="6" t="s">
        <v>15827</v>
      </c>
      <c r="P157" s="7" t="s">
        <v>15826</v>
      </c>
      <c r="Q157" s="7">
        <v>1</v>
      </c>
    </row>
    <row r="158" spans="1:18">
      <c r="A158" s="14">
        <v>94473</v>
      </c>
      <c r="B158" s="14" t="s">
        <v>0</v>
      </c>
      <c r="C158" s="14" t="s">
        <v>1</v>
      </c>
      <c r="D158" s="14" t="s">
        <v>16365</v>
      </c>
      <c r="E158" s="15" t="str">
        <f>HYPERLINK("https://stat100.ameba.jp/tnk47/ratio20/illustrations/card/ill_94473_majonodeshierito03.jpg?202012-5-RELEASE-marathon-506x", "■")</f>
        <v>■</v>
      </c>
      <c r="F158" s="14" t="s">
        <v>16364</v>
      </c>
      <c r="G158" s="14">
        <v>105610</v>
      </c>
      <c r="H158" s="14">
        <v>113536</v>
      </c>
      <c r="I158" s="7">
        <v>28</v>
      </c>
      <c r="J158" s="14" t="s">
        <v>16</v>
      </c>
      <c r="K158" s="14" t="s">
        <v>16363</v>
      </c>
      <c r="L158" s="14" t="s">
        <v>16362</v>
      </c>
      <c r="M158" s="14" t="s">
        <v>9158</v>
      </c>
      <c r="N158" s="14" t="s">
        <v>9158</v>
      </c>
      <c r="O158" s="14" t="s">
        <v>9158</v>
      </c>
      <c r="P158" s="14" t="s">
        <v>9158</v>
      </c>
      <c r="Q158" s="14" t="s">
        <v>9158</v>
      </c>
    </row>
    <row r="159" spans="1:18">
      <c r="A159" s="14">
        <v>94483</v>
      </c>
      <c r="B159" s="14" t="s">
        <v>0</v>
      </c>
      <c r="C159" s="14" t="s">
        <v>101</v>
      </c>
      <c r="D159" s="14" t="s">
        <v>16368</v>
      </c>
      <c r="E159" s="15" t="str">
        <f>HYPERLINK("https://stat100.ameba.jp/tnk47/ratio20/illustrations/card/ill_94483_yamabiko03.jpg?202012-5-RELEASE-marathon-506x", "■")</f>
        <v>■</v>
      </c>
      <c r="F159" s="14" t="s">
        <v>16367</v>
      </c>
      <c r="G159" s="14">
        <v>154768</v>
      </c>
      <c r="H159" s="14">
        <v>166452</v>
      </c>
      <c r="I159" s="7">
        <v>28</v>
      </c>
      <c r="J159" s="14" t="s">
        <v>73</v>
      </c>
      <c r="K159" s="14" t="s">
        <v>16366</v>
      </c>
      <c r="L159" s="14" t="s">
        <v>12721</v>
      </c>
      <c r="M159" s="14" t="s">
        <v>9158</v>
      </c>
      <c r="N159" s="14" t="s">
        <v>9158</v>
      </c>
      <c r="O159" s="14" t="s">
        <v>9158</v>
      </c>
      <c r="P159" s="14" t="s">
        <v>9158</v>
      </c>
      <c r="Q159" s="14" t="s">
        <v>9158</v>
      </c>
    </row>
    <row r="160" spans="1:18">
      <c r="A160" s="14">
        <v>94493</v>
      </c>
      <c r="B160" s="14" t="s">
        <v>15</v>
      </c>
      <c r="C160" s="14" t="s">
        <v>96</v>
      </c>
      <c r="D160" s="14" t="s">
        <v>16371</v>
      </c>
      <c r="E160" s="15" t="str">
        <f>HYPERLINK("https://stat100.ameba.jp/tnk47/ratio20/illustrations/card/ill_94493_monsutahebigami03.jpg?202012-5-RELEASE-marathon-506x", "■")</f>
        <v>■</v>
      </c>
      <c r="F160" s="14" t="s">
        <v>16370</v>
      </c>
      <c r="G160" s="14">
        <v>82992</v>
      </c>
      <c r="H160" s="14">
        <v>75274</v>
      </c>
      <c r="I160" s="7">
        <v>28</v>
      </c>
      <c r="J160" s="14" t="s">
        <v>38</v>
      </c>
      <c r="K160" s="14" t="s">
        <v>16369</v>
      </c>
      <c r="L160" s="14" t="s">
        <v>3267</v>
      </c>
      <c r="M160" s="14" t="s">
        <v>9158</v>
      </c>
      <c r="N160" s="14" t="s">
        <v>9158</v>
      </c>
      <c r="O160" s="14" t="s">
        <v>9158</v>
      </c>
      <c r="P160" s="14" t="s">
        <v>9158</v>
      </c>
      <c r="Q160" s="14" t="s">
        <v>9158</v>
      </c>
    </row>
    <row r="161" spans="1:19">
      <c r="A161" s="14">
        <v>94503</v>
      </c>
      <c r="B161" s="14" t="s">
        <v>22</v>
      </c>
      <c r="C161" s="14" t="s">
        <v>14</v>
      </c>
      <c r="D161" s="14" t="s">
        <v>16374</v>
      </c>
      <c r="E161" s="15" t="str">
        <f>HYPERLINK("https://stat100.ameba.jp/tnk47/ratio20/illustrations/card/ill_94503_makaiezoshikachan03.jpg?202012-5-RELEASE-marathon-506x", "■")</f>
        <v>■</v>
      </c>
      <c r="F161" s="14" t="s">
        <v>16373</v>
      </c>
      <c r="G161" s="14">
        <v>48406</v>
      </c>
      <c r="H161" s="14">
        <v>58216</v>
      </c>
      <c r="I161" s="7">
        <v>28</v>
      </c>
      <c r="J161" s="14" t="s">
        <v>26</v>
      </c>
      <c r="K161" s="14" t="s">
        <v>16372</v>
      </c>
      <c r="L161" s="14" t="s">
        <v>28</v>
      </c>
      <c r="M161" s="14" t="s">
        <v>9158</v>
      </c>
      <c r="N161" s="14" t="s">
        <v>9158</v>
      </c>
      <c r="O161" s="14" t="s">
        <v>9158</v>
      </c>
      <c r="P161" s="14" t="s">
        <v>9158</v>
      </c>
      <c r="Q161" s="14" t="s">
        <v>9158</v>
      </c>
    </row>
    <row r="162" spans="1:19">
      <c r="A162" s="14">
        <v>94513</v>
      </c>
      <c r="B162" s="14" t="s">
        <v>22</v>
      </c>
      <c r="C162" s="14" t="s">
        <v>107</v>
      </c>
      <c r="D162" s="14" t="s">
        <v>16377</v>
      </c>
      <c r="E162" s="15" t="str">
        <f>HYPERLINK("https://stat100.ameba.jp/tnk47/ratio20/illustrations/card/ill_94513_monsutaamaminokurosagichan03.jpg?202012-5-RELEASE-marathon-506x", "■")</f>
        <v>■</v>
      </c>
      <c r="F162" s="14" t="s">
        <v>16376</v>
      </c>
      <c r="G162" s="14">
        <v>58216</v>
      </c>
      <c r="H162" s="14">
        <v>48406</v>
      </c>
      <c r="I162" s="7">
        <v>28</v>
      </c>
      <c r="J162" s="14" t="s">
        <v>26</v>
      </c>
      <c r="K162" s="14" t="s">
        <v>16375</v>
      </c>
      <c r="L162" s="14" t="s">
        <v>2635</v>
      </c>
      <c r="M162" s="14" t="s">
        <v>9158</v>
      </c>
      <c r="N162" s="14" t="s">
        <v>9158</v>
      </c>
      <c r="O162" s="14" t="s">
        <v>9158</v>
      </c>
      <c r="P162" s="14" t="s">
        <v>9158</v>
      </c>
      <c r="Q162" s="14" t="s">
        <v>9158</v>
      </c>
    </row>
    <row r="164" spans="1:19">
      <c r="A164" s="14" t="s">
        <v>4012</v>
      </c>
    </row>
    <row r="165" spans="1:19">
      <c r="A165" s="14">
        <v>235586</v>
      </c>
      <c r="B165" s="14" t="s">
        <v>8514</v>
      </c>
    </row>
    <row r="166" spans="1:19">
      <c r="A166" s="14" t="s">
        <v>5614</v>
      </c>
      <c r="B166" s="14" t="s">
        <v>330</v>
      </c>
      <c r="C166" s="14" t="s">
        <v>267</v>
      </c>
      <c r="D166" s="19" t="s">
        <v>313</v>
      </c>
      <c r="E166" s="15" t="str">
        <f>HYPERLINK("https://stat100.ameba.jp/tnk47/ratio20/illustrations/card/ill_56223_0_onsempanikkugohime03.jpg?202012-5-RELEASE-marathon-506x", "■")</f>
        <v>■</v>
      </c>
      <c r="F166" s="14" t="s">
        <v>314</v>
      </c>
      <c r="G166" s="14">
        <v>133938</v>
      </c>
      <c r="H166" s="14">
        <v>150776</v>
      </c>
      <c r="I166" s="14">
        <v>24</v>
      </c>
      <c r="J166" s="14" t="s">
        <v>315</v>
      </c>
      <c r="K166" s="14" t="s">
        <v>316</v>
      </c>
      <c r="L166" s="14" t="s">
        <v>317</v>
      </c>
      <c r="M166" s="14" t="s">
        <v>9158</v>
      </c>
      <c r="N166" s="14" t="s">
        <v>9158</v>
      </c>
      <c r="O166" s="19" t="s">
        <v>3021</v>
      </c>
      <c r="P166" s="14" t="s">
        <v>2890</v>
      </c>
      <c r="Q166" s="14">
        <v>1</v>
      </c>
    </row>
    <row r="167" spans="1:19">
      <c r="A167" s="14" t="s">
        <v>5609</v>
      </c>
      <c r="B167" s="14" t="s">
        <v>52</v>
      </c>
      <c r="C167" s="14" t="s">
        <v>200</v>
      </c>
      <c r="D167" s="19" t="s">
        <v>389</v>
      </c>
      <c r="E167" s="15" t="str">
        <f>HYPERLINK("https://stat100.ameba.jp/tnk47/ratio20/illustrations/card/ill_53753_0_natsumatsuritokugawaieyasu03.jpg?202012-5-RELEASE-marathon-506x", "■")</f>
        <v>■</v>
      </c>
      <c r="F167" s="14" t="s">
        <v>902</v>
      </c>
      <c r="G167" s="14">
        <v>150776</v>
      </c>
      <c r="H167" s="14">
        <v>133938</v>
      </c>
      <c r="I167" s="14">
        <v>24</v>
      </c>
      <c r="J167" s="14" t="s">
        <v>194</v>
      </c>
      <c r="K167" s="14" t="s">
        <v>1714</v>
      </c>
      <c r="L167" s="14" t="s">
        <v>904</v>
      </c>
      <c r="M167" s="14" t="s">
        <v>9158</v>
      </c>
      <c r="N167" s="14" t="s">
        <v>9158</v>
      </c>
      <c r="O167" s="19" t="s">
        <v>10076</v>
      </c>
      <c r="P167" s="14" t="s">
        <v>13121</v>
      </c>
      <c r="Q167" s="14">
        <v>1</v>
      </c>
    </row>
    <row r="168" spans="1:19">
      <c r="A168" s="14" t="s">
        <v>5612</v>
      </c>
      <c r="B168" s="14" t="s">
        <v>52</v>
      </c>
      <c r="C168" s="14" t="s">
        <v>165</v>
      </c>
      <c r="D168" s="19" t="s">
        <v>789</v>
      </c>
      <c r="E168" s="15" t="str">
        <f>HYPERLINK("https://stat100.ameba.jp/tnk47/ratio20/illustrations/card/ill_49193_0_onmyoudouabenoseimei03.jpg?202012-5-RELEASE-marathon-506x", "■")</f>
        <v>■</v>
      </c>
      <c r="F168" s="14" t="s">
        <v>1896</v>
      </c>
      <c r="G168" s="14">
        <v>133938</v>
      </c>
      <c r="H168" s="14">
        <v>150776</v>
      </c>
      <c r="I168" s="14">
        <v>24</v>
      </c>
      <c r="J168" s="14" t="s">
        <v>10</v>
      </c>
      <c r="K168" s="14" t="s">
        <v>1897</v>
      </c>
      <c r="L168" s="14" t="s">
        <v>1898</v>
      </c>
      <c r="M168" s="14" t="s">
        <v>9158</v>
      </c>
      <c r="N168" s="14" t="s">
        <v>9158</v>
      </c>
      <c r="O168" s="14" t="s">
        <v>9158</v>
      </c>
      <c r="P168" s="14" t="s">
        <v>9158</v>
      </c>
      <c r="Q168" s="14" t="s">
        <v>9158</v>
      </c>
    </row>
    <row r="169" spans="1:19">
      <c r="A169" s="14">
        <v>86743</v>
      </c>
      <c r="B169" s="14" t="s">
        <v>0</v>
      </c>
      <c r="C169" s="14" t="s">
        <v>35</v>
      </c>
      <c r="D169" s="14" t="s">
        <v>16380</v>
      </c>
      <c r="E169" s="15" t="str">
        <f>HYPERLINK("https://stat100.ameba.jp/tnk47/ratio20/illustrations/card/ill_86743_setsubunhakoneonsenchan03.jpg?202012-5-RELEASE-marathon-506x", "■")</f>
        <v>■</v>
      </c>
      <c r="F169" s="14" t="s">
        <v>16379</v>
      </c>
      <c r="G169" s="14">
        <v>127556</v>
      </c>
      <c r="H169" s="14">
        <v>118598</v>
      </c>
      <c r="I169" s="14">
        <v>28</v>
      </c>
      <c r="J169" s="14" t="s">
        <v>26</v>
      </c>
      <c r="K169" s="14" t="s">
        <v>16378</v>
      </c>
      <c r="L169" s="14" t="s">
        <v>5235</v>
      </c>
      <c r="M169" s="14" t="s">
        <v>9158</v>
      </c>
      <c r="N169" s="14" t="s">
        <v>9158</v>
      </c>
      <c r="O169" s="14" t="s">
        <v>9158</v>
      </c>
      <c r="P169" s="14" t="s">
        <v>9158</v>
      </c>
      <c r="Q169" s="14" t="s">
        <v>9158</v>
      </c>
      <c r="S169" s="14" t="s">
        <v>16396</v>
      </c>
    </row>
    <row r="170" spans="1:19">
      <c r="A170" s="14">
        <v>87033</v>
      </c>
      <c r="B170" s="14" t="s">
        <v>0</v>
      </c>
      <c r="C170" s="14" t="s">
        <v>41</v>
      </c>
      <c r="D170" s="14" t="s">
        <v>16384</v>
      </c>
      <c r="E170" s="15" t="str">
        <f>HYPERLINK("https://stat100.ameba.jp/tnk47/ratio20/illustrations/card/ill_87033_togijoburossamunaito03.jpg?202012-5-RELEASE-marathon-506x", "■")</f>
        <v>■</v>
      </c>
      <c r="F170" s="14" t="s">
        <v>16383</v>
      </c>
      <c r="G170" s="14">
        <v>122960</v>
      </c>
      <c r="H170" s="14">
        <v>132230</v>
      </c>
      <c r="I170" s="14">
        <v>28</v>
      </c>
      <c r="J170" s="14" t="s">
        <v>104</v>
      </c>
      <c r="K170" s="14" t="s">
        <v>16382</v>
      </c>
      <c r="L170" s="14" t="s">
        <v>16381</v>
      </c>
      <c r="M170" s="14" t="s">
        <v>9158</v>
      </c>
      <c r="N170" s="14" t="s">
        <v>9158</v>
      </c>
      <c r="O170" s="14" t="s">
        <v>9158</v>
      </c>
      <c r="P170" s="14" t="s">
        <v>9158</v>
      </c>
      <c r="Q170" s="14" t="s">
        <v>9158</v>
      </c>
      <c r="S170" s="14" t="s">
        <v>16397</v>
      </c>
    </row>
    <row r="171" spans="1:19">
      <c r="A171" s="14">
        <v>86413</v>
      </c>
      <c r="B171" s="14" t="s">
        <v>0</v>
      </c>
      <c r="C171" s="14" t="s">
        <v>154</v>
      </c>
      <c r="D171" s="14" t="s">
        <v>16387</v>
      </c>
      <c r="E171" s="15" t="str">
        <f>HYPERLINK("https://stat100.ameba.jp/tnk47/ratio20/illustrations/card/ill_86413_mochitsukitakedashingen03.jpg?202012-5-RELEASE-marathon-506x", "■")</f>
        <v>■</v>
      </c>
      <c r="F171" s="14" t="s">
        <v>16386</v>
      </c>
      <c r="G171" s="14">
        <v>105610</v>
      </c>
      <c r="H171" s="14">
        <v>113536</v>
      </c>
      <c r="I171" s="14">
        <v>28</v>
      </c>
      <c r="J171" s="14" t="s">
        <v>143</v>
      </c>
      <c r="K171" s="14" t="s">
        <v>16385</v>
      </c>
      <c r="L171" s="14" t="s">
        <v>13845</v>
      </c>
      <c r="M171" s="14" t="s">
        <v>9158</v>
      </c>
      <c r="N171" s="14" t="s">
        <v>9158</v>
      </c>
      <c r="O171" s="14" t="s">
        <v>9158</v>
      </c>
      <c r="P171" s="14" t="s">
        <v>9158</v>
      </c>
      <c r="Q171" s="14" t="s">
        <v>9158</v>
      </c>
      <c r="S171" s="14" t="s">
        <v>16398</v>
      </c>
    </row>
    <row r="172" spans="1:19">
      <c r="A172" s="14">
        <v>84793</v>
      </c>
      <c r="B172" s="14" t="s">
        <v>15</v>
      </c>
      <c r="C172" s="14" t="s">
        <v>107</v>
      </c>
      <c r="D172" s="14" t="s">
        <v>16390</v>
      </c>
      <c r="E172" s="15" t="str">
        <f>HYPERLINK("https://stat100.ameba.jp/tnk47/ratio20/illustrations/card/ill_84793_magatsuhinokami03.jpg?202012-5-RELEASE-marathon-506x", "■")</f>
        <v>■</v>
      </c>
      <c r="F172" s="14" t="s">
        <v>16389</v>
      </c>
      <c r="G172" s="14">
        <v>71136</v>
      </c>
      <c r="H172" s="14">
        <v>64520</v>
      </c>
      <c r="I172" s="14">
        <v>24</v>
      </c>
      <c r="J172" s="14" t="s">
        <v>10</v>
      </c>
      <c r="K172" s="14" t="s">
        <v>16388</v>
      </c>
      <c r="L172" s="14" t="s">
        <v>5599</v>
      </c>
      <c r="M172" s="14" t="s">
        <v>9158</v>
      </c>
      <c r="N172" s="14" t="s">
        <v>9158</v>
      </c>
      <c r="O172" s="14" t="s">
        <v>9158</v>
      </c>
      <c r="P172" s="14" t="s">
        <v>9158</v>
      </c>
      <c r="Q172" s="14" t="s">
        <v>9158</v>
      </c>
      <c r="S172" s="14" t="s">
        <v>15294</v>
      </c>
    </row>
    <row r="173" spans="1:19">
      <c r="A173" s="14">
        <v>86423</v>
      </c>
      <c r="B173" s="14" t="s">
        <v>15</v>
      </c>
      <c r="C173" s="14" t="s">
        <v>14</v>
      </c>
      <c r="D173" s="14" t="s">
        <v>16392</v>
      </c>
      <c r="E173" s="15" t="str">
        <f>HYPERLINK("https://stat100.ameba.jp/tnk47/ratio20/illustrations/card/ill_86423_kanibaruotsukisamaniittausagi03.jpg?202012-5-RELEASE-marathon-506x", "■")</f>
        <v>■</v>
      </c>
      <c r="F173" s="14" t="s">
        <v>16391</v>
      </c>
      <c r="G173" s="14">
        <v>71136</v>
      </c>
      <c r="H173" s="14">
        <v>64520</v>
      </c>
      <c r="I173" s="14">
        <v>24</v>
      </c>
      <c r="J173" s="14" t="s">
        <v>38</v>
      </c>
      <c r="K173" s="14" t="s">
        <v>1097</v>
      </c>
      <c r="L173" s="14" t="s">
        <v>8213</v>
      </c>
      <c r="M173" s="14" t="s">
        <v>9158</v>
      </c>
      <c r="N173" s="14" t="s">
        <v>9158</v>
      </c>
      <c r="O173" s="14" t="s">
        <v>9158</v>
      </c>
      <c r="P173" s="14" t="s">
        <v>9158</v>
      </c>
      <c r="Q173" s="14" t="s">
        <v>9158</v>
      </c>
      <c r="S173" s="14" t="s">
        <v>16398</v>
      </c>
    </row>
    <row r="174" spans="1:19">
      <c r="A174" s="14">
        <v>78903</v>
      </c>
      <c r="B174" s="14" t="s">
        <v>15</v>
      </c>
      <c r="C174" s="14" t="s">
        <v>101</v>
      </c>
      <c r="D174" s="14" t="s">
        <v>16395</v>
      </c>
      <c r="E174" s="15" t="str">
        <f>HYPERLINK("https://stat100.ameba.jp/tnk47/ratio20/illustrations/card/ill_78903_makiryoko03.jpg?202012-5-RELEASE-marathon-506x", "■")</f>
        <v>■</v>
      </c>
      <c r="F174" s="14" t="s">
        <v>16394</v>
      </c>
      <c r="G174" s="14">
        <v>64520</v>
      </c>
      <c r="H174" s="14">
        <v>71136</v>
      </c>
      <c r="I174" s="14">
        <v>24</v>
      </c>
      <c r="J174" s="14" t="s">
        <v>16</v>
      </c>
      <c r="K174" s="14" t="s">
        <v>16393</v>
      </c>
      <c r="L174" s="14" t="s">
        <v>3436</v>
      </c>
      <c r="M174" s="14" t="s">
        <v>9158</v>
      </c>
      <c r="N174" s="14" t="s">
        <v>9158</v>
      </c>
      <c r="O174" s="14" t="s">
        <v>9158</v>
      </c>
      <c r="P174" s="14" t="s">
        <v>9158</v>
      </c>
      <c r="Q174" s="14" t="s">
        <v>9158</v>
      </c>
      <c r="S174" s="14" t="s">
        <v>11850</v>
      </c>
    </row>
    <row r="176" spans="1:19">
      <c r="A176" s="14" t="s">
        <v>16590</v>
      </c>
    </row>
    <row r="177" spans="1:18">
      <c r="A177" s="14">
        <v>235646</v>
      </c>
      <c r="B177" s="14" t="s">
        <v>2325</v>
      </c>
    </row>
    <row r="178" spans="1:18">
      <c r="A178" s="14">
        <v>94395</v>
      </c>
      <c r="B178" s="14" t="s">
        <v>0</v>
      </c>
      <c r="C178" s="14" t="s">
        <v>202</v>
      </c>
      <c r="D178" s="19" t="s">
        <v>16594</v>
      </c>
      <c r="E178" s="15" t="str">
        <f>HYPERLINK("https://stat100.ameba.jp/tnk47/ratio20/illustrations/card/ill_94395_kikaimegamiengotto05.jpg?202012-5-RELEASE-marathon-506x", "■")</f>
        <v>■</v>
      </c>
      <c r="F178" s="14" t="s">
        <v>16593</v>
      </c>
      <c r="G178" s="14">
        <v>95308</v>
      </c>
      <c r="H178" s="14">
        <v>131636</v>
      </c>
      <c r="I178" s="9">
        <v>28</v>
      </c>
      <c r="J178" s="14" t="s">
        <v>16</v>
      </c>
      <c r="K178" s="14" t="s">
        <v>16592</v>
      </c>
      <c r="L178" s="14" t="s">
        <v>12599</v>
      </c>
      <c r="M178" s="14" t="s">
        <v>9158</v>
      </c>
      <c r="N178" s="14" t="s">
        <v>9158</v>
      </c>
      <c r="O178" s="14" t="s">
        <v>9158</v>
      </c>
      <c r="P178" s="14" t="s">
        <v>9158</v>
      </c>
      <c r="Q178" s="14" t="s">
        <v>9158</v>
      </c>
      <c r="R178" s="14" t="s">
        <v>174</v>
      </c>
    </row>
    <row r="179" spans="1:18">
      <c r="A179" s="14">
        <v>94393</v>
      </c>
      <c r="B179" s="14" t="s">
        <v>15</v>
      </c>
      <c r="C179" s="14" t="s">
        <v>154</v>
      </c>
      <c r="D179" s="19" t="s">
        <v>16594</v>
      </c>
      <c r="E179" s="15" t="str">
        <f>HYPERLINK("https://stat100.ameba.jp/tnk47/ratio20/illustrations/card/ill_94393_kikaimegamiengotto03.jpg?202012-5-RELEASE-marathon-506x", "■")</f>
        <v>■</v>
      </c>
      <c r="F179" s="14" t="s">
        <v>16593</v>
      </c>
      <c r="G179" s="14">
        <v>70218</v>
      </c>
      <c r="H179" s="14">
        <v>96978</v>
      </c>
      <c r="I179" s="9">
        <v>28</v>
      </c>
      <c r="J179" s="14" t="s">
        <v>16</v>
      </c>
      <c r="K179" s="14" t="s">
        <v>16592</v>
      </c>
      <c r="L179" s="14" t="s">
        <v>13999</v>
      </c>
      <c r="M179" s="14" t="s">
        <v>9158</v>
      </c>
      <c r="N179" s="14" t="s">
        <v>9158</v>
      </c>
      <c r="O179" s="14" t="s">
        <v>9158</v>
      </c>
      <c r="P179" s="14" t="s">
        <v>9158</v>
      </c>
      <c r="Q179" s="14" t="s">
        <v>9158</v>
      </c>
      <c r="R179" s="14" t="s">
        <v>175</v>
      </c>
    </row>
    <row r="180" spans="1:18">
      <c r="A180" s="14">
        <v>94391</v>
      </c>
      <c r="B180" s="14" t="s">
        <v>15</v>
      </c>
      <c r="C180" s="14" t="s">
        <v>154</v>
      </c>
      <c r="D180" s="19" t="s">
        <v>16594</v>
      </c>
      <c r="E180" s="15" t="str">
        <f>HYPERLINK("https://stat100.ameba.jp/tnk47/ratio20/illustrations/card/ill_94391_kikaimegamiengotto01.jpg?202012-5-RELEASE-marathon-506x", "■")</f>
        <v>■</v>
      </c>
      <c r="F180" s="14" t="s">
        <v>16593</v>
      </c>
      <c r="G180" s="14">
        <v>44660</v>
      </c>
      <c r="H180" s="14">
        <v>61684</v>
      </c>
      <c r="I180" s="9">
        <v>28</v>
      </c>
      <c r="J180" s="14" t="s">
        <v>16</v>
      </c>
      <c r="K180" s="14" t="s">
        <v>16592</v>
      </c>
      <c r="L180" s="14" t="s">
        <v>16595</v>
      </c>
      <c r="M180" s="14" t="s">
        <v>9158</v>
      </c>
      <c r="N180" s="14" t="s">
        <v>9158</v>
      </c>
      <c r="O180" s="14" t="s">
        <v>9158</v>
      </c>
      <c r="P180" s="14" t="s">
        <v>9158</v>
      </c>
      <c r="Q180" s="14" t="s">
        <v>9158</v>
      </c>
      <c r="R180" s="14" t="s">
        <v>176</v>
      </c>
    </row>
    <row r="182" spans="1:18">
      <c r="A182" s="14" t="s">
        <v>3844</v>
      </c>
    </row>
    <row r="183" spans="1:18">
      <c r="A183" s="14">
        <v>105187</v>
      </c>
      <c r="B183" s="14" t="s">
        <v>16591</v>
      </c>
    </row>
    <row r="184" spans="1:18">
      <c r="A184" s="9" t="s">
        <v>5843</v>
      </c>
      <c r="B184" s="14" t="s">
        <v>52</v>
      </c>
      <c r="C184" s="14" t="s">
        <v>202</v>
      </c>
      <c r="D184" s="14" t="s">
        <v>2126</v>
      </c>
      <c r="E184" s="15" t="str">
        <f>HYPERLINK("https://stat100.ameba.jp/tnk47/ratio20/illustrations/card/ill_77963_0_kurisumasudaisakusentakiyashahime03.jpg?202012-5-RELEASE-marathon-506x", "■")</f>
        <v>■</v>
      </c>
      <c r="F184" s="14" t="s">
        <v>2127</v>
      </c>
      <c r="G184" s="14">
        <v>319308</v>
      </c>
      <c r="H184" s="14">
        <v>288586</v>
      </c>
      <c r="I184" s="14">
        <v>26</v>
      </c>
      <c r="J184" s="14" t="s">
        <v>77</v>
      </c>
      <c r="K184" s="14" t="s">
        <v>2128</v>
      </c>
      <c r="L184" s="14" t="s">
        <v>2129</v>
      </c>
      <c r="M184" s="14" t="s">
        <v>9158</v>
      </c>
      <c r="N184" s="14" t="s">
        <v>9158</v>
      </c>
      <c r="O184" s="9" t="s">
        <v>3588</v>
      </c>
      <c r="P184" s="14" t="s">
        <v>3589</v>
      </c>
      <c r="Q184" s="14">
        <v>2</v>
      </c>
    </row>
    <row r="185" spans="1:18">
      <c r="A185" s="14">
        <v>77123</v>
      </c>
      <c r="B185" s="14" t="s">
        <v>334</v>
      </c>
      <c r="C185" s="14" t="s">
        <v>191</v>
      </c>
      <c r="D185" s="20" t="s">
        <v>10424</v>
      </c>
      <c r="E185" s="15" t="str">
        <f>HYPERLINK("https://stat100.ameba.jp/tnk47/ratio20/illustrations/card/ill_77123_yukemuriizuna03.jpg?202012-5-RELEASE-marathon-506x", "■")</f>
        <v>■</v>
      </c>
      <c r="F185" s="14" t="s">
        <v>1377</v>
      </c>
      <c r="G185" s="14">
        <v>108330</v>
      </c>
      <c r="H185" s="14">
        <v>100744</v>
      </c>
      <c r="I185" s="14">
        <v>26</v>
      </c>
      <c r="J185" s="14" t="s">
        <v>320</v>
      </c>
      <c r="K185" s="14" t="s">
        <v>1378</v>
      </c>
      <c r="L185" s="14" t="s">
        <v>1379</v>
      </c>
      <c r="M185" s="14" t="s">
        <v>9158</v>
      </c>
      <c r="N185" s="14" t="s">
        <v>9158</v>
      </c>
      <c r="O185" s="19" t="s">
        <v>2838</v>
      </c>
      <c r="P185" s="14" t="s">
        <v>3579</v>
      </c>
      <c r="Q185" s="14">
        <v>1</v>
      </c>
    </row>
    <row r="186" spans="1:18">
      <c r="A186" s="14">
        <v>58803</v>
      </c>
      <c r="B186" s="14" t="s">
        <v>0</v>
      </c>
      <c r="C186" s="14" t="s">
        <v>205</v>
      </c>
      <c r="D186" s="19" t="s">
        <v>10210</v>
      </c>
      <c r="E186" s="15" t="str">
        <f>HYPERLINK("https://stat100.ameba.jp/tnk47/ratio20/illustrations/card/ill_58803_setsubumpanikkumimuratsuru03.jpg?202012-5-RELEASE-marathon-506x", "■")</f>
        <v>■</v>
      </c>
      <c r="F186" s="14" t="s">
        <v>2028</v>
      </c>
      <c r="G186" s="14">
        <v>154128</v>
      </c>
      <c r="H186" s="14">
        <v>93172</v>
      </c>
      <c r="I186" s="14">
        <v>26</v>
      </c>
      <c r="J186" s="14" t="s">
        <v>194</v>
      </c>
      <c r="K186" s="14" t="s">
        <v>2029</v>
      </c>
      <c r="L186" s="14" t="s">
        <v>13171</v>
      </c>
      <c r="M186" s="14" t="s">
        <v>9158</v>
      </c>
      <c r="N186" s="14" t="s">
        <v>9158</v>
      </c>
      <c r="O186" s="19" t="s">
        <v>10092</v>
      </c>
      <c r="P186" s="14" t="s">
        <v>3704</v>
      </c>
      <c r="Q186" s="14">
        <v>1</v>
      </c>
    </row>
    <row r="187" spans="1:18">
      <c r="A187" s="14">
        <v>89013</v>
      </c>
      <c r="B187" s="14" t="s">
        <v>0</v>
      </c>
      <c r="C187" s="14" t="s">
        <v>23</v>
      </c>
      <c r="D187" s="18" t="s">
        <v>12538</v>
      </c>
      <c r="E187" s="15" t="str">
        <f>HYPERLINK("https://stat100.ameba.jp/tnk47/ratio20/illustrations/card/ill_89013_efuwanresutokugawaieyasu03.jpg?202012-5-RELEASE-marathon-506x", "■")</f>
        <v>■</v>
      </c>
      <c r="F187" s="14" t="s">
        <v>12539</v>
      </c>
      <c r="G187" s="14">
        <v>143714</v>
      </c>
      <c r="H187" s="14">
        <v>154562</v>
      </c>
      <c r="I187" s="14">
        <v>26</v>
      </c>
      <c r="J187" s="14" t="s">
        <v>143</v>
      </c>
      <c r="K187" s="14" t="s">
        <v>12540</v>
      </c>
      <c r="L187" s="14" t="s">
        <v>12026</v>
      </c>
      <c r="M187" s="14" t="s">
        <v>9158</v>
      </c>
      <c r="N187" s="14" t="s">
        <v>9158</v>
      </c>
      <c r="O187" s="6" t="s">
        <v>3624</v>
      </c>
      <c r="P187" s="7" t="s">
        <v>3625</v>
      </c>
      <c r="Q187" s="7">
        <v>1</v>
      </c>
    </row>
    <row r="189" spans="1:18">
      <c r="A189" s="14" t="s">
        <v>207</v>
      </c>
    </row>
    <row r="190" spans="1:18">
      <c r="A190" s="14">
        <v>105264</v>
      </c>
      <c r="B190" s="14" t="s">
        <v>2345</v>
      </c>
    </row>
    <row r="191" spans="1:18">
      <c r="A191" s="14" t="s">
        <v>5901</v>
      </c>
      <c r="B191" s="14" t="s">
        <v>52</v>
      </c>
      <c r="C191" s="14" t="s">
        <v>101</v>
      </c>
      <c r="D191" s="19" t="s">
        <v>1426</v>
      </c>
      <c r="E191" s="15" t="str">
        <f>HYPERLINK("https://stat100.ameba.jp/tnk47/ratio20/illustrations/card/ill_64953_0_yukatatokugawayoshinobu03.jpg?202012-5-RELEASE-marathon-506x", "■")</f>
        <v>■</v>
      </c>
      <c r="F191" s="14" t="s">
        <v>2090</v>
      </c>
      <c r="G191" s="14">
        <v>149520</v>
      </c>
      <c r="H191" s="14">
        <v>160804</v>
      </c>
      <c r="I191" s="14">
        <v>24</v>
      </c>
      <c r="J191" s="14" t="s">
        <v>10</v>
      </c>
      <c r="K191" s="14" t="s">
        <v>2091</v>
      </c>
      <c r="L191" s="14" t="s">
        <v>2092</v>
      </c>
      <c r="M191" s="14" t="s">
        <v>9158</v>
      </c>
      <c r="N191" s="14" t="s">
        <v>9158</v>
      </c>
      <c r="O191" s="19" t="s">
        <v>2889</v>
      </c>
      <c r="P191" s="14" t="s">
        <v>2890</v>
      </c>
      <c r="Q191" s="14">
        <v>1</v>
      </c>
    </row>
    <row r="192" spans="1:18">
      <c r="A192" s="14" t="s">
        <v>5607</v>
      </c>
      <c r="B192" s="14" t="s">
        <v>330</v>
      </c>
      <c r="C192" s="14" t="s">
        <v>200</v>
      </c>
      <c r="D192" s="19" t="s">
        <v>421</v>
      </c>
      <c r="E192" s="15" t="str">
        <f>HYPERLINK("https://stat100.ameba.jp/tnk47/ratio20/illustrations/card/ill_58853_0_setsubumpanikkuhiratsukaraicho03.jpg?202012-5-RELEASE-marathon-506x", "■")</f>
        <v>■</v>
      </c>
      <c r="F192" s="14" t="s">
        <v>1040</v>
      </c>
      <c r="G192" s="14">
        <v>150776</v>
      </c>
      <c r="H192" s="14">
        <v>133938</v>
      </c>
      <c r="I192" s="14">
        <v>24</v>
      </c>
      <c r="J192" s="14" t="s">
        <v>16</v>
      </c>
      <c r="K192" s="14" t="s">
        <v>1041</v>
      </c>
      <c r="L192" s="14" t="s">
        <v>1042</v>
      </c>
      <c r="M192" s="14" t="s">
        <v>9158</v>
      </c>
      <c r="N192" s="14" t="s">
        <v>9158</v>
      </c>
      <c r="O192" s="19" t="s">
        <v>10075</v>
      </c>
      <c r="P192" s="14" t="s">
        <v>2870</v>
      </c>
      <c r="Q192" s="14">
        <v>1</v>
      </c>
    </row>
    <row r="193" spans="1:17">
      <c r="A193" s="14" t="s">
        <v>5902</v>
      </c>
      <c r="B193" s="14" t="s">
        <v>330</v>
      </c>
      <c r="C193" s="14" t="s">
        <v>206</v>
      </c>
      <c r="D193" s="19" t="s">
        <v>483</v>
      </c>
      <c r="E193" s="15" t="str">
        <f>HYPERLINK("https://stat100.ameba.jp/tnk47/ratio20/illustrations/card/ill_40343_0_heshikirihasebekurodakambe03.jpg?202012-5-RELEASE-marathon-506x", "■")</f>
        <v>■</v>
      </c>
      <c r="F193" s="14" t="s">
        <v>906</v>
      </c>
      <c r="G193" s="14">
        <v>140448</v>
      </c>
      <c r="H193" s="14">
        <v>131538</v>
      </c>
      <c r="I193" s="14">
        <v>24</v>
      </c>
      <c r="J193" s="14" t="s">
        <v>16</v>
      </c>
      <c r="K193" s="14" t="s">
        <v>907</v>
      </c>
      <c r="L193" s="14" t="s">
        <v>908</v>
      </c>
      <c r="M193" s="14" t="s">
        <v>9158</v>
      </c>
      <c r="N193" s="14" t="s">
        <v>9158</v>
      </c>
      <c r="O193" s="14" t="s">
        <v>9158</v>
      </c>
      <c r="P193" s="14" t="s">
        <v>9158</v>
      </c>
      <c r="Q193" s="14" t="s">
        <v>9158</v>
      </c>
    </row>
    <row r="194" spans="1:17">
      <c r="A194" s="14">
        <v>94473</v>
      </c>
      <c r="B194" s="14" t="s">
        <v>0</v>
      </c>
      <c r="C194" s="14" t="s">
        <v>1</v>
      </c>
      <c r="D194" s="14" t="s">
        <v>16365</v>
      </c>
      <c r="E194" s="15" t="str">
        <f>HYPERLINK("https://stat100.ameba.jp/tnk47/ratio20/illustrations/card/ill_94473_majonodeshierito03.jpg?202012-5-RELEASE-marathon-506x", "■")</f>
        <v>■</v>
      </c>
      <c r="F194" s="14" t="s">
        <v>16364</v>
      </c>
      <c r="G194" s="14">
        <v>98066</v>
      </c>
      <c r="H194" s="14">
        <v>105426</v>
      </c>
      <c r="I194" s="14">
        <v>26</v>
      </c>
      <c r="J194" s="14" t="s">
        <v>16</v>
      </c>
      <c r="K194" s="14" t="s">
        <v>16363</v>
      </c>
      <c r="L194" s="14" t="s">
        <v>16362</v>
      </c>
      <c r="M194" s="14" t="s">
        <v>9158</v>
      </c>
      <c r="N194" s="14" t="s">
        <v>9158</v>
      </c>
      <c r="O194" s="14" t="s">
        <v>9158</v>
      </c>
      <c r="P194" s="14" t="s">
        <v>9158</v>
      </c>
      <c r="Q194" s="14" t="s">
        <v>9158</v>
      </c>
    </row>
    <row r="195" spans="1:17">
      <c r="A195" s="14">
        <v>94493</v>
      </c>
      <c r="B195" s="14" t="s">
        <v>15</v>
      </c>
      <c r="C195" s="14" t="s">
        <v>96</v>
      </c>
      <c r="D195" s="14" t="s">
        <v>16371</v>
      </c>
      <c r="E195" s="15" t="str">
        <f>HYPERLINK("https://stat100.ameba.jp/tnk47/ratio20/illustrations/card/ill_94493_monsutahebigami03.jpg?202012-5-RELEASE-marathon-506x", "■")</f>
        <v>■</v>
      </c>
      <c r="F195" s="14" t="s">
        <v>16370</v>
      </c>
      <c r="G195" s="14">
        <v>77064</v>
      </c>
      <c r="H195" s="14">
        <v>69898</v>
      </c>
      <c r="I195" s="14">
        <v>26</v>
      </c>
      <c r="J195" s="14" t="s">
        <v>38</v>
      </c>
      <c r="K195" s="14" t="s">
        <v>16369</v>
      </c>
      <c r="L195" s="14" t="s">
        <v>3267</v>
      </c>
      <c r="M195" s="14" t="s">
        <v>9158</v>
      </c>
      <c r="N195" s="14" t="s">
        <v>9158</v>
      </c>
      <c r="O195" s="14" t="s">
        <v>9158</v>
      </c>
      <c r="P195" s="14" t="s">
        <v>9158</v>
      </c>
      <c r="Q195" s="14" t="s">
        <v>9158</v>
      </c>
    </row>
    <row r="196" spans="1:17">
      <c r="A196" s="14">
        <v>94503</v>
      </c>
      <c r="B196" s="14" t="s">
        <v>22</v>
      </c>
      <c r="C196" s="14" t="s">
        <v>14</v>
      </c>
      <c r="D196" s="14" t="s">
        <v>16374</v>
      </c>
      <c r="E196" s="15" t="str">
        <f>HYPERLINK("https://stat100.ameba.jp/tnk47/ratio20/illustrations/card/ill_94503_makaiezoshikachan03.jpg?202012-5-RELEASE-marathon-506x", "■")</f>
        <v>■</v>
      </c>
      <c r="F196" s="14" t="s">
        <v>16373</v>
      </c>
      <c r="G196" s="14">
        <v>44948</v>
      </c>
      <c r="H196" s="14">
        <v>54058</v>
      </c>
      <c r="I196" s="14">
        <v>26</v>
      </c>
      <c r="J196" s="14" t="s">
        <v>26</v>
      </c>
      <c r="K196" s="14" t="s">
        <v>16372</v>
      </c>
      <c r="L196" s="14" t="s">
        <v>28</v>
      </c>
      <c r="M196" s="14" t="s">
        <v>9158</v>
      </c>
      <c r="N196" s="14" t="s">
        <v>9158</v>
      </c>
      <c r="O196" s="14" t="s">
        <v>9158</v>
      </c>
      <c r="P196" s="14" t="s">
        <v>9158</v>
      </c>
      <c r="Q196" s="14" t="s">
        <v>9158</v>
      </c>
    </row>
    <row r="197" spans="1:17">
      <c r="A197" s="14">
        <v>94513</v>
      </c>
      <c r="B197" s="14" t="s">
        <v>22</v>
      </c>
      <c r="C197" s="14" t="s">
        <v>107</v>
      </c>
      <c r="D197" s="14" t="s">
        <v>16377</v>
      </c>
      <c r="E197" s="15" t="str">
        <f>HYPERLINK("https://stat100.ameba.jp/tnk47/ratio20/illustrations/card/ill_94513_monsutaamaminokurosagichan03.jpg?202012-5-RELEASE-marathon-506x", "■")</f>
        <v>■</v>
      </c>
      <c r="F197" s="14" t="s">
        <v>16376</v>
      </c>
      <c r="G197" s="14">
        <v>54058</v>
      </c>
      <c r="H197" s="14">
        <v>44948</v>
      </c>
      <c r="I197" s="14">
        <v>26</v>
      </c>
      <c r="J197" s="14" t="s">
        <v>26</v>
      </c>
      <c r="K197" s="14" t="s">
        <v>16375</v>
      </c>
      <c r="L197" s="14" t="s">
        <v>2635</v>
      </c>
      <c r="M197" s="14" t="s">
        <v>9158</v>
      </c>
      <c r="N197" s="14" t="s">
        <v>9158</v>
      </c>
      <c r="O197" s="14" t="s">
        <v>9158</v>
      </c>
      <c r="P197" s="14" t="s">
        <v>9158</v>
      </c>
      <c r="Q197" s="14" t="s">
        <v>9158</v>
      </c>
    </row>
    <row r="199" spans="1:17">
      <c r="A199" s="14" t="s">
        <v>4065</v>
      </c>
      <c r="I199" s="7"/>
    </row>
    <row r="200" spans="1:17">
      <c r="A200" s="14">
        <v>105190</v>
      </c>
      <c r="B200" s="14" t="s">
        <v>16626</v>
      </c>
      <c r="I200" s="7"/>
    </row>
    <row r="201" spans="1:17">
      <c r="A201" s="14" t="s">
        <v>5605</v>
      </c>
      <c r="B201" s="14" t="s">
        <v>52</v>
      </c>
      <c r="C201" s="14" t="s">
        <v>202</v>
      </c>
      <c r="D201" s="20" t="s">
        <v>10332</v>
      </c>
      <c r="E201" s="15" t="str">
        <f>HYPERLINK("https://stat100.ameba.jp/tnk47/ratio20/illustrations/card/ill_79373_0_hommeichokotennyohime03.jpg?202012-5-RELEASE-marathon-506x", "■")</f>
        <v>■</v>
      </c>
      <c r="F201" s="14" t="s">
        <v>3495</v>
      </c>
      <c r="G201" s="14">
        <v>321496</v>
      </c>
      <c r="H201" s="14">
        <v>268230</v>
      </c>
      <c r="I201" s="14">
        <v>26</v>
      </c>
      <c r="J201" s="14" t="s">
        <v>104</v>
      </c>
      <c r="K201" s="14" t="s">
        <v>3496</v>
      </c>
      <c r="L201" s="14" t="s">
        <v>3497</v>
      </c>
      <c r="M201" s="14" t="s">
        <v>9158</v>
      </c>
      <c r="N201" s="14" t="s">
        <v>9158</v>
      </c>
      <c r="O201" s="19" t="s">
        <v>10072</v>
      </c>
      <c r="P201" s="14" t="s">
        <v>3498</v>
      </c>
      <c r="Q201" s="14">
        <v>1</v>
      </c>
    </row>
    <row r="202" spans="1:17">
      <c r="A202" s="14">
        <v>81903</v>
      </c>
      <c r="B202" s="14" t="s">
        <v>334</v>
      </c>
      <c r="C202" s="14" t="s">
        <v>47</v>
      </c>
      <c r="D202" s="20" t="s">
        <v>10200</v>
      </c>
      <c r="E202" s="15" t="str">
        <f>HYPERLINK("https://stat100.ameba.jp/tnk47/ratio20/illustrations/card/ill_81903_kiryuhimeiren03.jpg?202012-5-RELEASE-marathon-506x", "■")</f>
        <v>■</v>
      </c>
      <c r="F202" s="14" t="s">
        <v>4983</v>
      </c>
      <c r="G202" s="14">
        <v>85962</v>
      </c>
      <c r="H202" s="14">
        <v>118684</v>
      </c>
      <c r="I202" s="14">
        <v>26</v>
      </c>
      <c r="J202" s="14" t="s">
        <v>77</v>
      </c>
      <c r="K202" s="14" t="s">
        <v>4985</v>
      </c>
      <c r="L202" s="14" t="s">
        <v>4986</v>
      </c>
      <c r="M202" s="14" t="s">
        <v>9158</v>
      </c>
      <c r="N202" s="14" t="s">
        <v>9158</v>
      </c>
      <c r="O202" s="19" t="s">
        <v>10112</v>
      </c>
      <c r="P202" s="14" t="s">
        <v>13150</v>
      </c>
      <c r="Q202" s="14">
        <v>1</v>
      </c>
    </row>
    <row r="203" spans="1:17">
      <c r="A203" s="14">
        <v>84663</v>
      </c>
      <c r="B203" s="14" t="s">
        <v>334</v>
      </c>
      <c r="C203" s="14" t="s">
        <v>158</v>
      </c>
      <c r="D203" s="20" t="s">
        <v>10648</v>
      </c>
      <c r="E203" s="15" t="str">
        <f>HYPERLINK("https://stat100.ameba.jp/tnk47/ratio20/illustrations/card/ill_84663_juwannonefuerufuito03.jpg?202012-5-RELEASE-marathon-506x", "■")</f>
        <v>■</v>
      </c>
      <c r="F203" s="14" t="s">
        <v>7095</v>
      </c>
      <c r="G203" s="14">
        <v>87834</v>
      </c>
      <c r="H203" s="14">
        <v>121240</v>
      </c>
      <c r="I203" s="14">
        <v>26</v>
      </c>
      <c r="J203" s="14" t="s">
        <v>182</v>
      </c>
      <c r="K203" s="14" t="s">
        <v>7094</v>
      </c>
      <c r="L203" s="14" t="s">
        <v>7093</v>
      </c>
      <c r="M203" s="14" t="s">
        <v>9158</v>
      </c>
      <c r="N203" s="14" t="s">
        <v>9158</v>
      </c>
      <c r="O203" s="19" t="s">
        <v>10091</v>
      </c>
      <c r="P203" s="14" t="s">
        <v>3670</v>
      </c>
      <c r="Q203" s="14">
        <v>1</v>
      </c>
    </row>
    <row r="204" spans="1:17">
      <c r="A204" s="7">
        <v>85043</v>
      </c>
      <c r="B204" s="7" t="s">
        <v>0</v>
      </c>
      <c r="C204" s="14" t="s">
        <v>209</v>
      </c>
      <c r="D204" s="19" t="s">
        <v>10752</v>
      </c>
      <c r="E204" s="15" t="str">
        <f>HYPERLINK("https://stat100.ameba.jp/tnk47/ratio20/illustrations/card/ill_85043_sutoroberireddo03.jpg?202012-5-RELEASE-marathon-506x", "■")</f>
        <v>■</v>
      </c>
      <c r="F204" s="7" t="s">
        <v>7843</v>
      </c>
      <c r="G204" s="7">
        <v>137430</v>
      </c>
      <c r="H204" s="7">
        <v>99532</v>
      </c>
      <c r="I204" s="14">
        <v>26</v>
      </c>
      <c r="J204" s="7" t="s">
        <v>104</v>
      </c>
      <c r="K204" s="7" t="s">
        <v>7841</v>
      </c>
      <c r="L204" s="7" t="s">
        <v>2409</v>
      </c>
      <c r="M204" s="14" t="s">
        <v>9158</v>
      </c>
      <c r="N204" s="14" t="s">
        <v>9158</v>
      </c>
      <c r="O204" s="19" t="s">
        <v>10102</v>
      </c>
      <c r="P204" s="14" t="s">
        <v>3672</v>
      </c>
      <c r="Q204" s="14">
        <v>1</v>
      </c>
    </row>
    <row r="206" spans="1:17">
      <c r="A206" s="14" t="s">
        <v>3911</v>
      </c>
    </row>
    <row r="207" spans="1:17">
      <c r="A207" s="14">
        <v>105287</v>
      </c>
      <c r="B207" s="14" t="s">
        <v>16627</v>
      </c>
    </row>
    <row r="208" spans="1:17">
      <c r="A208" s="14">
        <v>105297</v>
      </c>
      <c r="B208" s="14" t="s">
        <v>15721</v>
      </c>
    </row>
    <row r="209" spans="1:17">
      <c r="A209" s="14" t="s">
        <v>13435</v>
      </c>
      <c r="B209" s="7" t="s">
        <v>52</v>
      </c>
      <c r="C209" s="14" t="s">
        <v>202</v>
      </c>
      <c r="D209" s="18" t="s">
        <v>13434</v>
      </c>
      <c r="E209" s="15" t="str">
        <f>HYPERLINK("https://stat100.ameba.jp/tnk47/ratio20/illustrations/card/ill_91073_0_mizugiaidorusarukanigassen03.jpg?202012-5-RELEASE-marathon-506x", "■")</f>
        <v>■</v>
      </c>
      <c r="F209" s="14" t="s">
        <v>13436</v>
      </c>
      <c r="G209" s="14">
        <v>312433</v>
      </c>
      <c r="H209" s="14">
        <v>282374</v>
      </c>
      <c r="I209" s="7">
        <v>27</v>
      </c>
      <c r="J209" s="14" t="s">
        <v>38</v>
      </c>
      <c r="K209" s="14" t="s">
        <v>13437</v>
      </c>
      <c r="L209" s="14" t="s">
        <v>13438</v>
      </c>
      <c r="M209" s="14" t="s">
        <v>9158</v>
      </c>
      <c r="N209" s="14" t="s">
        <v>9158</v>
      </c>
      <c r="O209" s="6" t="s">
        <v>13439</v>
      </c>
      <c r="P209" s="7" t="s">
        <v>13440</v>
      </c>
      <c r="Q209" s="7">
        <v>1</v>
      </c>
    </row>
    <row r="210" spans="1:17">
      <c r="A210" s="9" t="s">
        <v>6905</v>
      </c>
      <c r="B210" s="14" t="s">
        <v>330</v>
      </c>
      <c r="C210" s="14" t="s">
        <v>35</v>
      </c>
      <c r="D210" s="14" t="s">
        <v>4161</v>
      </c>
      <c r="E210" s="15" t="str">
        <f>HYPERLINK("https://stat100.ameba.jp/tnk47/ratio20/illustrations/card/ill_80623_0_ohanamigurampingutominushihime03.jpg?202012-5-RELEASE-marathon-506x", "■")</f>
        <v>■</v>
      </c>
      <c r="F210" s="14" t="s">
        <v>4162</v>
      </c>
      <c r="G210" s="14">
        <v>325434</v>
      </c>
      <c r="H210" s="14">
        <v>294156</v>
      </c>
      <c r="I210" s="14">
        <v>27</v>
      </c>
      <c r="J210" s="14" t="s">
        <v>44</v>
      </c>
      <c r="K210" s="14" t="s">
        <v>4163</v>
      </c>
      <c r="L210" s="14" t="s">
        <v>4164</v>
      </c>
      <c r="M210" s="14" t="s">
        <v>9158</v>
      </c>
      <c r="N210" s="14" t="s">
        <v>9158</v>
      </c>
      <c r="O210" s="9" t="s">
        <v>4165</v>
      </c>
      <c r="P210" s="14" t="s">
        <v>4166</v>
      </c>
      <c r="Q210" s="14">
        <v>1</v>
      </c>
    </row>
    <row r="211" spans="1:17">
      <c r="A211" s="14" t="s">
        <v>5616</v>
      </c>
      <c r="B211" s="14" t="s">
        <v>52</v>
      </c>
      <c r="C211" s="14" t="s">
        <v>14</v>
      </c>
      <c r="D211" s="19" t="s">
        <v>638</v>
      </c>
      <c r="E211" s="15" t="str">
        <f>HYPERLINK("https://stat100.ameba.jp/tnk47/ratio20/illustrations/card/ill_44253_0_dokuganryudatemasamune03.jpg?202012-5-RELEASE-marathon-506x", "■")</f>
        <v>■</v>
      </c>
      <c r="F211" s="14" t="s">
        <v>1181</v>
      </c>
      <c r="G211" s="14">
        <v>147980</v>
      </c>
      <c r="H211" s="14">
        <v>158004</v>
      </c>
      <c r="I211" s="14">
        <v>27</v>
      </c>
      <c r="J211" s="14" t="s">
        <v>143</v>
      </c>
      <c r="K211" s="14" t="s">
        <v>1182</v>
      </c>
      <c r="L211" s="14" t="s">
        <v>1183</v>
      </c>
      <c r="M211" s="14" t="s">
        <v>9158</v>
      </c>
      <c r="N211" s="14" t="s">
        <v>9158</v>
      </c>
      <c r="O211" s="14" t="s">
        <v>9158</v>
      </c>
      <c r="P211" s="14" t="s">
        <v>9158</v>
      </c>
      <c r="Q211" s="14" t="s">
        <v>9158</v>
      </c>
    </row>
    <row r="212" spans="1:17">
      <c r="A212" s="14">
        <v>62043</v>
      </c>
      <c r="B212" s="14" t="s">
        <v>0</v>
      </c>
      <c r="C212" s="14" t="s">
        <v>158</v>
      </c>
      <c r="D212" s="20" t="s">
        <v>10233</v>
      </c>
      <c r="E212" s="15" t="str">
        <f>HYPERLINK("https://stat100.ameba.jp/tnk47/ratio20/illustrations/card/ill_62043_niutsuhimenookami03.jpg?202012-5-RELEASE-marathon-506x", "■")</f>
        <v>■</v>
      </c>
      <c r="F212" s="14" t="s">
        <v>2022</v>
      </c>
      <c r="G212" s="14">
        <v>89268</v>
      </c>
      <c r="H212" s="14">
        <v>123249</v>
      </c>
      <c r="I212" s="14">
        <v>27</v>
      </c>
      <c r="J212" s="14" t="s">
        <v>169</v>
      </c>
      <c r="K212" s="14" t="s">
        <v>2023</v>
      </c>
      <c r="L212" s="14" t="s">
        <v>13144</v>
      </c>
      <c r="M212" s="14" t="s">
        <v>9158</v>
      </c>
      <c r="N212" s="14" t="s">
        <v>9158</v>
      </c>
      <c r="O212" s="19" t="s">
        <v>10093</v>
      </c>
      <c r="P212" s="14" t="s">
        <v>13145</v>
      </c>
      <c r="Q212" s="14">
        <v>1</v>
      </c>
    </row>
    <row r="213" spans="1:17">
      <c r="A213" s="14">
        <v>71333</v>
      </c>
      <c r="B213" s="14" t="s">
        <v>0</v>
      </c>
      <c r="C213" s="14" t="s">
        <v>41</v>
      </c>
      <c r="D213" s="19" t="s">
        <v>10256</v>
      </c>
      <c r="E213" s="15" t="str">
        <f>HYPERLINK("https://stat100.ameba.jp/tnk47/ratio20/illustrations/card/ill_71333_fujiwaranokamatari03.jpg?202012-5-RELEASE-marathon-506x", "■")</f>
        <v>■</v>
      </c>
      <c r="F213" s="14" t="s">
        <v>58</v>
      </c>
      <c r="G213" s="14">
        <v>118001</v>
      </c>
      <c r="H213" s="14">
        <v>85483</v>
      </c>
      <c r="I213" s="14">
        <v>27</v>
      </c>
      <c r="J213" s="14" t="s">
        <v>10</v>
      </c>
      <c r="K213" s="14" t="s">
        <v>59</v>
      </c>
      <c r="L213" s="14" t="s">
        <v>60</v>
      </c>
      <c r="M213" s="14" t="s">
        <v>9158</v>
      </c>
      <c r="N213" s="14" t="s">
        <v>9158</v>
      </c>
      <c r="O213" s="19" t="s">
        <v>10098</v>
      </c>
      <c r="P213" s="14" t="s">
        <v>3491</v>
      </c>
      <c r="Q213" s="14">
        <v>1</v>
      </c>
    </row>
    <row r="214" spans="1:17">
      <c r="A214" s="14">
        <v>84643</v>
      </c>
      <c r="B214" s="14" t="s">
        <v>0</v>
      </c>
      <c r="C214" s="14" t="s">
        <v>203</v>
      </c>
      <c r="D214" s="20" t="s">
        <v>10605</v>
      </c>
      <c r="E214" s="15" t="str">
        <f>HYPERLINK("https://stat100.ameba.jp/tnk47/ratio20/illustrations/card/ill_84643_rikayaojo03.jpg?202012-5-RELEASE-marathon-506x", "■")</f>
        <v>■</v>
      </c>
      <c r="F214" s="14" t="s">
        <v>6853</v>
      </c>
      <c r="G214" s="14">
        <v>179634</v>
      </c>
      <c r="H214" s="14">
        <v>130113</v>
      </c>
      <c r="I214" s="14">
        <v>27</v>
      </c>
      <c r="J214" s="14" t="s">
        <v>315</v>
      </c>
      <c r="K214" s="14" t="s">
        <v>6852</v>
      </c>
      <c r="L214" s="14" t="s">
        <v>6851</v>
      </c>
      <c r="M214" s="14" t="s">
        <v>9158</v>
      </c>
      <c r="N214" s="14" t="s">
        <v>9158</v>
      </c>
      <c r="O214" s="19" t="s">
        <v>10082</v>
      </c>
      <c r="P214" s="14" t="s">
        <v>13124</v>
      </c>
      <c r="Q214" s="14">
        <v>1</v>
      </c>
    </row>
    <row r="215" spans="1:17">
      <c r="A215" s="14">
        <v>70363</v>
      </c>
      <c r="B215" s="14" t="s">
        <v>334</v>
      </c>
      <c r="C215" s="14" t="s">
        <v>209</v>
      </c>
      <c r="D215" s="20" t="s">
        <v>10266</v>
      </c>
      <c r="E215" s="15" t="str">
        <f>HYPERLINK("https://stat100.ameba.jp/tnk47/ratio20/illustrations/card/ill_70363_hokushimmyokembosatsu03.jpg?202012-5-RELEASE-marathon-506x", "■")</f>
        <v>■</v>
      </c>
      <c r="F215" s="14" t="s">
        <v>2502</v>
      </c>
      <c r="G215" s="14">
        <v>179634</v>
      </c>
      <c r="H215" s="14">
        <v>130113</v>
      </c>
      <c r="I215" s="14">
        <v>27</v>
      </c>
      <c r="J215" s="14" t="s">
        <v>44</v>
      </c>
      <c r="K215" s="14" t="s">
        <v>2503</v>
      </c>
      <c r="L215" s="14" t="s">
        <v>2504</v>
      </c>
      <c r="M215" s="14" t="s">
        <v>9158</v>
      </c>
      <c r="N215" s="14" t="s">
        <v>9158</v>
      </c>
      <c r="O215" s="19" t="s">
        <v>10114</v>
      </c>
      <c r="P215" s="14" t="s">
        <v>3658</v>
      </c>
      <c r="Q215" s="14">
        <v>1</v>
      </c>
    </row>
    <row r="216" spans="1:17">
      <c r="A216" s="14">
        <v>78133</v>
      </c>
      <c r="B216" s="14" t="s">
        <v>0</v>
      </c>
      <c r="C216" s="14" t="s">
        <v>154</v>
      </c>
      <c r="D216" s="20" t="s">
        <v>10313</v>
      </c>
      <c r="E216" s="15" t="str">
        <f>HYPERLINK("https://stat100.ameba.jp/tnk47/ratio20/illustrations/card/ill_78133_akazukin03.jpg?202012-5-RELEASE-marathon-506x", "■")</f>
        <v>■</v>
      </c>
      <c r="F216" s="14" t="s">
        <v>2202</v>
      </c>
      <c r="G216" s="14">
        <v>99796</v>
      </c>
      <c r="H216" s="14">
        <v>137786</v>
      </c>
      <c r="I216" s="14">
        <v>27</v>
      </c>
      <c r="J216" s="14" t="s">
        <v>38</v>
      </c>
      <c r="K216" s="14" t="s">
        <v>2203</v>
      </c>
      <c r="L216" s="14" t="s">
        <v>2204</v>
      </c>
      <c r="M216" s="14" t="s">
        <v>9158</v>
      </c>
      <c r="N216" s="14" t="s">
        <v>9158</v>
      </c>
      <c r="O216" s="19" t="s">
        <v>2917</v>
      </c>
      <c r="P216" s="14" t="s">
        <v>3531</v>
      </c>
      <c r="Q216" s="14">
        <v>1</v>
      </c>
    </row>
    <row r="217" spans="1:17">
      <c r="A217" s="14">
        <v>78873</v>
      </c>
      <c r="B217" s="14" t="s">
        <v>334</v>
      </c>
      <c r="C217" s="14" t="s">
        <v>209</v>
      </c>
      <c r="D217" s="19" t="s">
        <v>2818</v>
      </c>
      <c r="E217" s="15" t="str">
        <f>HYPERLINK("https://stat100.ameba.jp/tnk47/ratio20/illustrations/card/ill_78873_furutsutomato03.jpg?202012-5-RELEASE-marathon-506x", "■")</f>
        <v>■</v>
      </c>
      <c r="F217" s="14" t="s">
        <v>2819</v>
      </c>
      <c r="G217" s="14">
        <v>103361</v>
      </c>
      <c r="H217" s="14">
        <v>142716</v>
      </c>
      <c r="I217" s="14">
        <v>27</v>
      </c>
      <c r="J217" s="14" t="s">
        <v>283</v>
      </c>
      <c r="K217" s="14" t="s">
        <v>2820</v>
      </c>
      <c r="L217" s="14" t="s">
        <v>2821</v>
      </c>
      <c r="M217" s="14" t="s">
        <v>9158</v>
      </c>
      <c r="N217" s="14" t="s">
        <v>9158</v>
      </c>
      <c r="O217" s="19" t="s">
        <v>10074</v>
      </c>
      <c r="P217" s="14" t="s">
        <v>2822</v>
      </c>
      <c r="Q217" s="14">
        <v>1</v>
      </c>
    </row>
    <row r="219" spans="1:17">
      <c r="A219" s="14" t="s">
        <v>3785</v>
      </c>
    </row>
    <row r="220" spans="1:17">
      <c r="A220" s="14">
        <v>235605</v>
      </c>
      <c r="B220" s="14" t="s">
        <v>8556</v>
      </c>
    </row>
    <row r="221" spans="1:17">
      <c r="A221" s="14" t="s">
        <v>5822</v>
      </c>
      <c r="B221" s="14" t="s">
        <v>330</v>
      </c>
      <c r="C221" s="14" t="s">
        <v>307</v>
      </c>
      <c r="D221" s="19" t="s">
        <v>306</v>
      </c>
      <c r="E221" s="15" t="str">
        <f>HYPERLINK("https://stat100.ameba.jp/tnk47/ratio20/illustrations/card/ill_71403_0_ohanamisanadayukimura03.jpg?202012-5-RELEASE-marathon-506x", "■")</f>
        <v>■</v>
      </c>
      <c r="F221" s="14" t="s">
        <v>309</v>
      </c>
      <c r="G221" s="14">
        <v>205358</v>
      </c>
      <c r="H221" s="14">
        <v>190952</v>
      </c>
      <c r="I221" s="14">
        <v>22</v>
      </c>
      <c r="J221" s="14" t="s">
        <v>310</v>
      </c>
      <c r="K221" s="14" t="s">
        <v>311</v>
      </c>
      <c r="L221" s="14" t="s">
        <v>312</v>
      </c>
      <c r="M221" s="14" t="s">
        <v>9158</v>
      </c>
      <c r="N221" s="14" t="s">
        <v>9158</v>
      </c>
      <c r="O221" s="6" t="s">
        <v>10060</v>
      </c>
      <c r="P221" s="14" t="s">
        <v>3418</v>
      </c>
      <c r="Q221" s="14">
        <v>2</v>
      </c>
    </row>
    <row r="222" spans="1:17">
      <c r="A222" s="14" t="s">
        <v>5603</v>
      </c>
      <c r="B222" s="14" t="s">
        <v>330</v>
      </c>
      <c r="C222" s="14" t="s">
        <v>205</v>
      </c>
      <c r="D222" s="20" t="s">
        <v>611</v>
      </c>
      <c r="E222" s="15" t="str">
        <f>HYPERLINK("https://stat100.ameba.jp/tnk47/ratio20/illustrations/card/ill_61893_0_onikirishumiyamotomusashi03.jpg?202012-5-RELEASE-marathon-506x", "■")</f>
        <v>■</v>
      </c>
      <c r="F222" s="14" t="s">
        <v>612</v>
      </c>
      <c r="G222" s="14">
        <v>205358</v>
      </c>
      <c r="H222" s="14">
        <v>190952</v>
      </c>
      <c r="I222" s="14">
        <v>22</v>
      </c>
      <c r="J222" s="14" t="s">
        <v>310</v>
      </c>
      <c r="K222" s="14" t="s">
        <v>613</v>
      </c>
      <c r="L222" s="14" t="s">
        <v>312</v>
      </c>
      <c r="M222" s="14" t="s">
        <v>9158</v>
      </c>
      <c r="N222" s="14" t="s">
        <v>9158</v>
      </c>
      <c r="O222" s="19" t="s">
        <v>10071</v>
      </c>
      <c r="P222" s="14" t="s">
        <v>3253</v>
      </c>
      <c r="Q222" s="14">
        <v>1</v>
      </c>
    </row>
    <row r="223" spans="1:17">
      <c r="A223" s="14" t="s">
        <v>5608</v>
      </c>
      <c r="B223" s="14" t="s">
        <v>52</v>
      </c>
      <c r="C223" s="14" t="s">
        <v>96</v>
      </c>
      <c r="D223" s="20" t="s">
        <v>634</v>
      </c>
      <c r="E223" s="15" t="str">
        <f>HYPERLINK("https://stat100.ameba.jp/tnk47/ratio20/illustrations/card/ill_40963_0_makami03.jpg?202012-5-RELEASE-marathon-506x", "■")</f>
        <v>■</v>
      </c>
      <c r="F223" s="14" t="s">
        <v>2038</v>
      </c>
      <c r="G223" s="14">
        <v>128744</v>
      </c>
      <c r="H223" s="14">
        <v>120576</v>
      </c>
      <c r="I223" s="14">
        <v>22</v>
      </c>
      <c r="J223" s="14" t="s">
        <v>44</v>
      </c>
      <c r="K223" s="14" t="s">
        <v>2039</v>
      </c>
      <c r="L223" s="14" t="s">
        <v>2040</v>
      </c>
      <c r="M223" s="14" t="s">
        <v>9158</v>
      </c>
      <c r="N223" s="14" t="s">
        <v>9158</v>
      </c>
      <c r="O223" s="14" t="s">
        <v>9158</v>
      </c>
      <c r="P223" s="14" t="s">
        <v>9158</v>
      </c>
      <c r="Q223" s="14" t="s">
        <v>9158</v>
      </c>
    </row>
    <row r="224" spans="1:17">
      <c r="A224" s="9">
        <v>87233</v>
      </c>
      <c r="B224" s="9" t="s">
        <v>0</v>
      </c>
      <c r="C224" s="9" t="s">
        <v>185</v>
      </c>
      <c r="D224" s="19" t="s">
        <v>10990</v>
      </c>
      <c r="E224" s="15" t="str">
        <f>HYPERLINK("https://stat100.ameba.jp/tnk47/ratio20/illustrations/card/ill_87233_shubuarie03.jpg?202012-5-RELEASE-marathon-506x", "■")</f>
        <v>■</v>
      </c>
      <c r="F224" s="9" t="s">
        <v>9748</v>
      </c>
      <c r="G224" s="9">
        <v>135038</v>
      </c>
      <c r="H224" s="9">
        <v>75984</v>
      </c>
      <c r="I224" s="7">
        <v>28</v>
      </c>
      <c r="J224" s="9" t="s">
        <v>194</v>
      </c>
      <c r="K224" s="9" t="s">
        <v>9747</v>
      </c>
      <c r="L224" s="9" t="s">
        <v>912</v>
      </c>
      <c r="M224" s="14" t="s">
        <v>9158</v>
      </c>
      <c r="N224" s="14" t="s">
        <v>9158</v>
      </c>
      <c r="O224" s="14" t="s">
        <v>9158</v>
      </c>
      <c r="P224" s="14" t="s">
        <v>9158</v>
      </c>
      <c r="Q224" s="14" t="s">
        <v>9158</v>
      </c>
    </row>
    <row r="225" spans="1:17">
      <c r="A225" s="14">
        <v>88693</v>
      </c>
      <c r="B225" s="14" t="s">
        <v>334</v>
      </c>
      <c r="C225" s="14" t="s">
        <v>96</v>
      </c>
      <c r="D225" s="14" t="s">
        <v>12334</v>
      </c>
      <c r="E225" s="15" t="str">
        <f>HYPERLINK("https://stat100.ameba.jp/tnk47/ratio20/illustrations/card/ill_88693_pammatsuribekonepi03.jpg?202012-5-RELEASE-marathon-506x", "■")</f>
        <v>■</v>
      </c>
      <c r="F225" s="14" t="s">
        <v>12336</v>
      </c>
      <c r="G225" s="14">
        <v>135038</v>
      </c>
      <c r="H225" s="14">
        <v>75984</v>
      </c>
      <c r="I225" s="7">
        <v>28</v>
      </c>
      <c r="J225" s="14" t="s">
        <v>104</v>
      </c>
      <c r="K225" s="14" t="s">
        <v>12337</v>
      </c>
      <c r="L225" s="14" t="s">
        <v>12339</v>
      </c>
      <c r="M225" s="14" t="s">
        <v>9158</v>
      </c>
      <c r="N225" s="14" t="s">
        <v>9158</v>
      </c>
      <c r="O225" s="14" t="s">
        <v>9158</v>
      </c>
      <c r="P225" s="14" t="s">
        <v>9158</v>
      </c>
      <c r="Q225" s="14" t="s">
        <v>9158</v>
      </c>
    </row>
    <row r="226" spans="1:17">
      <c r="A226" s="14">
        <v>91933</v>
      </c>
      <c r="B226" s="14" t="s">
        <v>0</v>
      </c>
      <c r="C226" s="14" t="s">
        <v>23</v>
      </c>
      <c r="D226" s="14" t="s">
        <v>14788</v>
      </c>
      <c r="E226" s="15" t="str">
        <f>HYPERLINK("https://stat100.ameba.jp/tnk47/ratio20/illustrations/card/ill_91933_gekkomaihimekureburu03.jpg?202012-5-RELEASE-marathon-506x", "■")</f>
        <v>■</v>
      </c>
      <c r="F226" s="14" t="s">
        <v>14787</v>
      </c>
      <c r="G226" s="14">
        <v>166452</v>
      </c>
      <c r="H226" s="14">
        <v>154768</v>
      </c>
      <c r="I226" s="7">
        <v>28</v>
      </c>
      <c r="J226" s="14" t="s">
        <v>73</v>
      </c>
      <c r="K226" s="14" t="s">
        <v>14790</v>
      </c>
      <c r="L226" s="14" t="s">
        <v>13766</v>
      </c>
      <c r="M226" s="14" t="s">
        <v>9158</v>
      </c>
      <c r="N226" s="14" t="s">
        <v>9158</v>
      </c>
      <c r="O226" s="14" t="s">
        <v>9158</v>
      </c>
      <c r="P226" s="14" t="s">
        <v>9158</v>
      </c>
      <c r="Q226" s="14" t="s">
        <v>9158</v>
      </c>
    </row>
    <row r="228" spans="1:17">
      <c r="A228" s="14" t="s">
        <v>207</v>
      </c>
    </row>
    <row r="229" spans="1:17">
      <c r="A229" s="14">
        <v>105311</v>
      </c>
      <c r="B229" s="14" t="s">
        <v>8555</v>
      </c>
    </row>
    <row r="230" spans="1:17">
      <c r="A230" s="14" t="s">
        <v>6508</v>
      </c>
      <c r="B230" s="14" t="s">
        <v>330</v>
      </c>
      <c r="C230" s="14" t="s">
        <v>35</v>
      </c>
      <c r="D230" s="19" t="s">
        <v>10168</v>
      </c>
      <c r="E230" s="15" t="str">
        <f>HYPERLINK("https://stat100.ameba.jp/tnk47/ratio20/illustrations/card/ill_81783_0_denshagarukoteipenginchan03.jpg?202012-5-RELEASE-marathon-506x", "■")</f>
        <v>■</v>
      </c>
      <c r="F230" s="14" t="s">
        <v>4834</v>
      </c>
      <c r="G230" s="14">
        <v>279102</v>
      </c>
      <c r="H230" s="14">
        <v>252236</v>
      </c>
      <c r="I230" s="14">
        <v>24</v>
      </c>
      <c r="J230" s="14" t="s">
        <v>26</v>
      </c>
      <c r="K230" s="14" t="s">
        <v>4836</v>
      </c>
      <c r="L230" s="14" t="s">
        <v>1783</v>
      </c>
      <c r="M230" s="14" t="s">
        <v>9158</v>
      </c>
      <c r="N230" s="14" t="s">
        <v>9158</v>
      </c>
      <c r="O230" s="19" t="s">
        <v>9993</v>
      </c>
      <c r="P230" s="14" t="s">
        <v>4838</v>
      </c>
      <c r="Q230" s="14">
        <v>1</v>
      </c>
    </row>
    <row r="231" spans="1:17">
      <c r="A231" s="14" t="s">
        <v>5623</v>
      </c>
      <c r="B231" s="14" t="s">
        <v>330</v>
      </c>
      <c r="C231" s="14" t="s">
        <v>165</v>
      </c>
      <c r="D231" s="19" t="s">
        <v>3146</v>
      </c>
      <c r="E231" s="15" t="str">
        <f>HYPERLINK("https://stat100.ameba.jp/tnk47/ratio20/illustrations/card/ill_65713_0_undokaionikirimaru03.jpg?202012-5-RELEASE-marathon-506x", "■")</f>
        <v>■</v>
      </c>
      <c r="F231" s="14" t="s">
        <v>535</v>
      </c>
      <c r="G231" s="14">
        <v>181640</v>
      </c>
      <c r="H231" s="14">
        <v>168874</v>
      </c>
      <c r="I231" s="14">
        <v>24</v>
      </c>
      <c r="J231" s="14" t="s">
        <v>320</v>
      </c>
      <c r="K231" s="14" t="s">
        <v>3147</v>
      </c>
      <c r="L231" s="14" t="s">
        <v>3148</v>
      </c>
      <c r="M231" s="14" t="s">
        <v>9158</v>
      </c>
      <c r="N231" s="14" t="s">
        <v>9158</v>
      </c>
      <c r="O231" s="19" t="s">
        <v>2869</v>
      </c>
      <c r="P231" s="14" t="s">
        <v>2870</v>
      </c>
      <c r="Q231" s="14">
        <v>1</v>
      </c>
    </row>
    <row r="232" spans="1:17">
      <c r="A232" s="14" t="s">
        <v>6132</v>
      </c>
      <c r="B232" s="14" t="s">
        <v>52</v>
      </c>
      <c r="C232" s="14" t="s">
        <v>205</v>
      </c>
      <c r="D232" s="19" t="s">
        <v>702</v>
      </c>
      <c r="E232" s="15" t="str">
        <f>HYPERLINK("https://stat100.ameba.jp/tnk47/ratio20/illustrations/card/ill_50693_0_hanamizugimimuratsuru03.jpg?202012-5-RELEASE-marathon-506x", "■")</f>
        <v>■</v>
      </c>
      <c r="F232" s="14" t="s">
        <v>2282</v>
      </c>
      <c r="G232" s="14">
        <v>133938</v>
      </c>
      <c r="H232" s="14">
        <v>150776</v>
      </c>
      <c r="I232" s="14">
        <v>24</v>
      </c>
      <c r="J232" s="14" t="s">
        <v>143</v>
      </c>
      <c r="K232" s="14" t="s">
        <v>2283</v>
      </c>
      <c r="L232" s="14" t="s">
        <v>2284</v>
      </c>
      <c r="M232" s="14" t="s">
        <v>9158</v>
      </c>
      <c r="N232" s="14" t="s">
        <v>9158</v>
      </c>
      <c r="O232" s="14" t="s">
        <v>9158</v>
      </c>
      <c r="P232" s="14" t="s">
        <v>9158</v>
      </c>
      <c r="Q232" s="14" t="s">
        <v>9158</v>
      </c>
    </row>
    <row r="233" spans="1:17">
      <c r="A233" s="14">
        <v>94483</v>
      </c>
      <c r="B233" s="14" t="s">
        <v>0</v>
      </c>
      <c r="C233" s="14" t="s">
        <v>101</v>
      </c>
      <c r="D233" s="14" t="s">
        <v>16368</v>
      </c>
      <c r="E233" s="15" t="str">
        <f>HYPERLINK("https://stat100.ameba.jp/tnk47/ratio20/illustrations/card/ill_94483_yamabiko03.jpg?202012-5-RELEASE-marathon-506x", "■")</f>
        <v>■</v>
      </c>
      <c r="F233" s="14" t="s">
        <v>16367</v>
      </c>
      <c r="G233" s="14">
        <v>143714</v>
      </c>
      <c r="H233" s="14">
        <v>154562</v>
      </c>
      <c r="I233" s="14">
        <v>26</v>
      </c>
      <c r="J233" s="14" t="s">
        <v>73</v>
      </c>
      <c r="K233" s="14" t="s">
        <v>16366</v>
      </c>
      <c r="L233" s="14" t="s">
        <v>12721</v>
      </c>
      <c r="M233" s="14" t="s">
        <v>9158</v>
      </c>
      <c r="N233" s="14" t="s">
        <v>9158</v>
      </c>
      <c r="O233" s="14" t="s">
        <v>9158</v>
      </c>
      <c r="P233" s="14" t="s">
        <v>9158</v>
      </c>
      <c r="Q233" s="14" t="s">
        <v>9158</v>
      </c>
    </row>
    <row r="234" spans="1:17">
      <c r="A234" s="14">
        <v>94493</v>
      </c>
      <c r="B234" s="14" t="s">
        <v>15</v>
      </c>
      <c r="C234" s="14" t="s">
        <v>96</v>
      </c>
      <c r="D234" s="14" t="s">
        <v>16371</v>
      </c>
      <c r="E234" s="15" t="str">
        <f>HYPERLINK("https://stat100.ameba.jp/tnk47/ratio20/illustrations/card/ill_94493_monsutahebigami03.jpg?202012-5-RELEASE-marathon-506x", "■")</f>
        <v>■</v>
      </c>
      <c r="F234" s="14" t="s">
        <v>16370</v>
      </c>
      <c r="G234" s="14">
        <v>77064</v>
      </c>
      <c r="H234" s="14">
        <v>69898</v>
      </c>
      <c r="I234" s="14">
        <v>26</v>
      </c>
      <c r="J234" s="14" t="s">
        <v>38</v>
      </c>
      <c r="K234" s="14" t="s">
        <v>16369</v>
      </c>
      <c r="L234" s="14" t="s">
        <v>3267</v>
      </c>
      <c r="M234" s="14" t="s">
        <v>9158</v>
      </c>
      <c r="N234" s="14" t="s">
        <v>9158</v>
      </c>
      <c r="O234" s="14" t="s">
        <v>9158</v>
      </c>
      <c r="P234" s="14" t="s">
        <v>9158</v>
      </c>
      <c r="Q234" s="14" t="s">
        <v>9158</v>
      </c>
    </row>
    <row r="235" spans="1:17">
      <c r="A235" s="14">
        <v>94503</v>
      </c>
      <c r="B235" s="14" t="s">
        <v>22</v>
      </c>
      <c r="C235" s="14" t="s">
        <v>14</v>
      </c>
      <c r="D235" s="14" t="s">
        <v>16374</v>
      </c>
      <c r="E235" s="15" t="str">
        <f>HYPERLINK("https://stat100.ameba.jp/tnk47/ratio20/illustrations/card/ill_94503_makaiezoshikachan03.jpg?202012-5-RELEASE-marathon-506x", "■")</f>
        <v>■</v>
      </c>
      <c r="F235" s="14" t="s">
        <v>16373</v>
      </c>
      <c r="G235" s="14">
        <v>44948</v>
      </c>
      <c r="H235" s="14">
        <v>54058</v>
      </c>
      <c r="I235" s="14">
        <v>26</v>
      </c>
      <c r="J235" s="14" t="s">
        <v>26</v>
      </c>
      <c r="K235" s="14" t="s">
        <v>16372</v>
      </c>
      <c r="L235" s="14" t="s">
        <v>28</v>
      </c>
      <c r="M235" s="14" t="s">
        <v>9158</v>
      </c>
      <c r="N235" s="14" t="s">
        <v>9158</v>
      </c>
      <c r="O235" s="14" t="s">
        <v>9158</v>
      </c>
      <c r="P235" s="14" t="s">
        <v>9158</v>
      </c>
      <c r="Q235" s="14" t="s">
        <v>9158</v>
      </c>
    </row>
    <row r="236" spans="1:17">
      <c r="A236" s="14">
        <v>94513</v>
      </c>
      <c r="B236" s="14" t="s">
        <v>22</v>
      </c>
      <c r="C236" s="14" t="s">
        <v>107</v>
      </c>
      <c r="D236" s="14" t="s">
        <v>16377</v>
      </c>
      <c r="E236" s="15" t="str">
        <f>HYPERLINK("https://stat100.ameba.jp/tnk47/ratio20/illustrations/card/ill_94513_monsutaamaminokurosagichan03.jpg?202012-5-RELEASE-marathon-506x", "■")</f>
        <v>■</v>
      </c>
      <c r="F236" s="14" t="s">
        <v>16376</v>
      </c>
      <c r="G236" s="14">
        <v>54058</v>
      </c>
      <c r="H236" s="14">
        <v>44948</v>
      </c>
      <c r="I236" s="14">
        <v>26</v>
      </c>
      <c r="J236" s="14" t="s">
        <v>26</v>
      </c>
      <c r="K236" s="14" t="s">
        <v>16375</v>
      </c>
      <c r="L236" s="14" t="s">
        <v>2635</v>
      </c>
      <c r="M236" s="14" t="s">
        <v>9158</v>
      </c>
      <c r="N236" s="14" t="s">
        <v>9158</v>
      </c>
      <c r="O236" s="14" t="s">
        <v>9158</v>
      </c>
      <c r="P236" s="14" t="s">
        <v>9158</v>
      </c>
      <c r="Q236" s="14" t="s">
        <v>9158</v>
      </c>
    </row>
    <row r="238" spans="1:17">
      <c r="A238" s="14" t="s">
        <v>3916</v>
      </c>
    </row>
    <row r="239" spans="1:17">
      <c r="A239" s="14">
        <v>105334</v>
      </c>
      <c r="B239" s="14" t="s">
        <v>8581</v>
      </c>
    </row>
    <row r="240" spans="1:17">
      <c r="A240" s="14">
        <v>84733</v>
      </c>
      <c r="B240" s="14" t="s">
        <v>0</v>
      </c>
      <c r="C240" s="14" t="s">
        <v>154</v>
      </c>
      <c r="D240" s="19" t="s">
        <v>10677</v>
      </c>
      <c r="E240" s="15" t="str">
        <f>HYPERLINK("https://stat100.ameba.jp/tnk47/ratio20/illustrations/card/ill_84733_madadoru03.jpg?202012-5-RELEASE-marathon-506x", "■")</f>
        <v>■</v>
      </c>
      <c r="F240" s="14" t="s">
        <v>7293</v>
      </c>
      <c r="G240" s="14">
        <v>120766</v>
      </c>
      <c r="H240" s="14">
        <v>112286</v>
      </c>
      <c r="I240" s="14">
        <v>28</v>
      </c>
      <c r="J240" s="14" t="s">
        <v>182</v>
      </c>
      <c r="K240" s="14" t="s">
        <v>7296</v>
      </c>
      <c r="L240" s="14" t="s">
        <v>7295</v>
      </c>
      <c r="M240" s="14" t="s">
        <v>9158</v>
      </c>
      <c r="N240" s="14" t="s">
        <v>9158</v>
      </c>
      <c r="O240" s="14" t="s">
        <v>9158</v>
      </c>
      <c r="P240" s="14" t="s">
        <v>9158</v>
      </c>
      <c r="Q240" s="14" t="s">
        <v>9158</v>
      </c>
    </row>
    <row r="241" spans="1:17">
      <c r="A241" s="14">
        <v>84743</v>
      </c>
      <c r="B241" s="14" t="s">
        <v>0</v>
      </c>
      <c r="C241" s="14" t="s">
        <v>158</v>
      </c>
      <c r="D241" s="19" t="s">
        <v>10678</v>
      </c>
      <c r="E241" s="15" t="str">
        <f>HYPERLINK("https://stat100.ameba.jp/tnk47/ratio20/illustrations/card/ill_84743_rinnenonyumpe03.jpg?202012-5-RELEASE-marathon-506x", "■")</f>
        <v>■</v>
      </c>
      <c r="F241" s="14" t="s">
        <v>7294</v>
      </c>
      <c r="G241" s="14">
        <v>120766</v>
      </c>
      <c r="H241" s="14">
        <v>112286</v>
      </c>
      <c r="I241" s="14">
        <v>28</v>
      </c>
      <c r="J241" s="14" t="s">
        <v>169</v>
      </c>
      <c r="K241" s="14" t="s">
        <v>7297</v>
      </c>
      <c r="L241" s="14" t="s">
        <v>7298</v>
      </c>
      <c r="M241" s="14" t="s">
        <v>9158</v>
      </c>
      <c r="N241" s="14" t="s">
        <v>9158</v>
      </c>
      <c r="O241" s="14" t="s">
        <v>9158</v>
      </c>
      <c r="P241" s="14" t="s">
        <v>9158</v>
      </c>
      <c r="Q241" s="14" t="s">
        <v>9158</v>
      </c>
    </row>
    <row r="242" spans="1:17">
      <c r="A242" s="14">
        <v>69883</v>
      </c>
      <c r="B242" s="14" t="s">
        <v>334</v>
      </c>
      <c r="C242" s="14" t="s">
        <v>185</v>
      </c>
      <c r="D242" s="19" t="s">
        <v>10293</v>
      </c>
      <c r="E242" s="15" t="str">
        <f>HYPERLINK("https://stat100.ameba.jp/tnk47/ratio20/illustrations/card/ill_69883_kyupiddotominushihime03.jpg?202012-5-RELEASE-marathon-506x", "■")</f>
        <v>■</v>
      </c>
      <c r="F242" s="14" t="s">
        <v>4142</v>
      </c>
      <c r="G242" s="14">
        <v>106178</v>
      </c>
      <c r="H242" s="14">
        <v>114208</v>
      </c>
      <c r="I242" s="14">
        <v>28</v>
      </c>
      <c r="J242" s="14" t="s">
        <v>169</v>
      </c>
      <c r="K242" s="14" t="s">
        <v>4143</v>
      </c>
      <c r="L242" s="14" t="s">
        <v>13190</v>
      </c>
      <c r="M242" s="14" t="s">
        <v>9158</v>
      </c>
      <c r="N242" s="14" t="s">
        <v>9158</v>
      </c>
      <c r="O242" s="14" t="s">
        <v>9158</v>
      </c>
      <c r="P242" s="14" t="s">
        <v>9158</v>
      </c>
      <c r="Q242" s="14" t="s">
        <v>9158</v>
      </c>
    </row>
    <row r="243" spans="1:17">
      <c r="A243" s="14">
        <v>67243</v>
      </c>
      <c r="B243" s="14" t="s">
        <v>334</v>
      </c>
      <c r="C243" s="14" t="s">
        <v>205</v>
      </c>
      <c r="D243" s="20" t="s">
        <v>10199</v>
      </c>
      <c r="E243" s="15" t="str">
        <f>HYPERLINK("https://stat100.ameba.jp/tnk47/ratio20/illustrations/card/ill_67243_onsenyadomoryo03.jpg?202012-5-RELEASE-marathon-506x", "■")</f>
        <v>■</v>
      </c>
      <c r="F243" s="14" t="s">
        <v>3638</v>
      </c>
      <c r="G243" s="14">
        <v>108494</v>
      </c>
      <c r="H243" s="14">
        <v>116662</v>
      </c>
      <c r="I243" s="14">
        <v>28</v>
      </c>
      <c r="J243" s="14" t="s">
        <v>182</v>
      </c>
      <c r="K243" s="14" t="s">
        <v>3639</v>
      </c>
      <c r="L243" s="14" t="s">
        <v>3640</v>
      </c>
      <c r="M243" s="14" t="s">
        <v>9158</v>
      </c>
      <c r="N243" s="14" t="s">
        <v>9158</v>
      </c>
      <c r="O243" s="14" t="s">
        <v>9158</v>
      </c>
      <c r="P243" s="14" t="s">
        <v>9158</v>
      </c>
      <c r="Q243" s="14" t="s">
        <v>9158</v>
      </c>
    </row>
    <row r="244" spans="1:17">
      <c r="A244" s="14">
        <v>52973</v>
      </c>
      <c r="B244" s="14" t="s">
        <v>15</v>
      </c>
      <c r="C244" s="14" t="s">
        <v>206</v>
      </c>
      <c r="D244" s="19" t="s">
        <v>10519</v>
      </c>
      <c r="E244" s="15" t="str">
        <f>HYPERLINK("https://stat100.ameba.jp/tnk47/ratio20/illustrations/card/ill_52973_torampuamoronagu03.jpg?202012-5-RELEASE-marathon-506x", "■")</f>
        <v>■</v>
      </c>
      <c r="F244" s="14" t="s">
        <v>6421</v>
      </c>
      <c r="G244" s="14">
        <v>65208</v>
      </c>
      <c r="H244" s="14">
        <v>59144</v>
      </c>
      <c r="I244" s="14">
        <v>22</v>
      </c>
      <c r="J244" s="14" t="s">
        <v>44</v>
      </c>
      <c r="K244" s="14" t="s">
        <v>6419</v>
      </c>
      <c r="L244" s="14" t="s">
        <v>6418</v>
      </c>
      <c r="M244" s="14" t="s">
        <v>9158</v>
      </c>
      <c r="N244" s="14" t="s">
        <v>9158</v>
      </c>
      <c r="O244" s="14" t="s">
        <v>9158</v>
      </c>
      <c r="P244" s="14" t="s">
        <v>9158</v>
      </c>
      <c r="Q244" s="14" t="s">
        <v>9158</v>
      </c>
    </row>
    <row r="245" spans="1:17">
      <c r="A245" s="14">
        <v>52333</v>
      </c>
      <c r="B245" s="14" t="s">
        <v>15</v>
      </c>
      <c r="C245" s="14" t="s">
        <v>200</v>
      </c>
      <c r="D245" s="19" t="s">
        <v>10537</v>
      </c>
      <c r="E245" s="15" t="str">
        <f>HYPERLINK("https://stat100.ameba.jp/tnk47/ratio20/illustrations/card/ill_52333_chichibuyomatsuri03.jpg?202012-5-RELEASE-marathon-506x", "■")</f>
        <v>■</v>
      </c>
      <c r="F245" s="14" t="s">
        <v>3614</v>
      </c>
      <c r="G245" s="14">
        <v>65208</v>
      </c>
      <c r="H245" s="14">
        <v>59144</v>
      </c>
      <c r="I245" s="14">
        <v>22</v>
      </c>
      <c r="J245" s="14" t="s">
        <v>38</v>
      </c>
      <c r="K245" s="14" t="s">
        <v>3615</v>
      </c>
      <c r="L245" s="14" t="s">
        <v>3616</v>
      </c>
      <c r="M245" s="14" t="s">
        <v>9158</v>
      </c>
      <c r="N245" s="14" t="s">
        <v>9158</v>
      </c>
      <c r="O245" s="14" t="s">
        <v>9158</v>
      </c>
      <c r="P245" s="14" t="s">
        <v>9158</v>
      </c>
      <c r="Q245" s="14" t="s">
        <v>9158</v>
      </c>
    </row>
    <row r="246" spans="1:17">
      <c r="A246" s="14">
        <v>51913</v>
      </c>
      <c r="B246" s="14" t="s">
        <v>15</v>
      </c>
      <c r="C246" s="14" t="s">
        <v>191</v>
      </c>
      <c r="D246" s="19" t="s">
        <v>10538</v>
      </c>
      <c r="E246" s="15" t="str">
        <f>HYPERLINK("https://stat100.ameba.jp/tnk47/ratio20/illustrations/card/ill_51913_kemonomizugihamahime03.jpg?202012-5-RELEASE-marathon-506x", "■")</f>
        <v>■</v>
      </c>
      <c r="F246" s="14" t="s">
        <v>6501</v>
      </c>
      <c r="G246" s="14">
        <v>59144</v>
      </c>
      <c r="H246" s="14">
        <v>65208</v>
      </c>
      <c r="I246" s="14">
        <v>22</v>
      </c>
      <c r="J246" s="14" t="s">
        <v>182</v>
      </c>
      <c r="K246" s="14" t="s">
        <v>6500</v>
      </c>
      <c r="L246" s="14" t="s">
        <v>6499</v>
      </c>
      <c r="M246" s="14" t="s">
        <v>9158</v>
      </c>
      <c r="N246" s="14" t="s">
        <v>9158</v>
      </c>
      <c r="O246" s="14" t="s">
        <v>9158</v>
      </c>
      <c r="P246" s="14" t="s">
        <v>9158</v>
      </c>
      <c r="Q246" s="14" t="s">
        <v>9158</v>
      </c>
    </row>
    <row r="247" spans="1:17">
      <c r="A247" s="14">
        <v>53203</v>
      </c>
      <c r="B247" s="14" t="s">
        <v>15</v>
      </c>
      <c r="C247" s="14" t="s">
        <v>165</v>
      </c>
      <c r="D247" s="20" t="s">
        <v>10494</v>
      </c>
      <c r="E247" s="15" t="str">
        <f>HYPERLINK("https://stat100.ameba.jp/tnk47/ratio20/illustrations/card/ill_53203_buruhawaichan03.jpg?202012-5-RELEASE-marathon-506x", "■")</f>
        <v>■</v>
      </c>
      <c r="F247" s="14" t="s">
        <v>6258</v>
      </c>
      <c r="G247" s="14">
        <v>59144</v>
      </c>
      <c r="H247" s="14">
        <v>65208</v>
      </c>
      <c r="I247" s="14">
        <v>22</v>
      </c>
      <c r="J247" s="14" t="s">
        <v>104</v>
      </c>
      <c r="K247" s="14" t="s">
        <v>6261</v>
      </c>
      <c r="L247" s="14" t="s">
        <v>6260</v>
      </c>
      <c r="M247" s="14" t="s">
        <v>9158</v>
      </c>
      <c r="N247" s="14" t="s">
        <v>9158</v>
      </c>
      <c r="O247" s="14" t="s">
        <v>9158</v>
      </c>
      <c r="P247" s="14" t="s">
        <v>9158</v>
      </c>
      <c r="Q247" s="14" t="s">
        <v>9158</v>
      </c>
    </row>
    <row r="249" spans="1:17">
      <c r="A249" s="14" t="s">
        <v>4065</v>
      </c>
    </row>
    <row r="250" spans="1:17">
      <c r="A250" s="14">
        <v>105195</v>
      </c>
      <c r="B250" s="14" t="s">
        <v>2377</v>
      </c>
    </row>
    <row r="251" spans="1:17">
      <c r="A251" s="14" t="s">
        <v>5619</v>
      </c>
      <c r="B251" s="14" t="s">
        <v>330</v>
      </c>
      <c r="C251" s="14" t="s">
        <v>202</v>
      </c>
      <c r="D251" s="20" t="s">
        <v>10348</v>
      </c>
      <c r="E251" s="15" t="str">
        <f>HYPERLINK("https://stat100.ameba.jp/tnk47/ratio20/illustrations/card/ill_81183_0_shinryokunokisetsuamaterasu03.jpg?202012-5-RELEASE-marathon-506x", "■")</f>
        <v>■</v>
      </c>
      <c r="F251" s="14" t="s">
        <v>4505</v>
      </c>
      <c r="G251" s="14">
        <v>273132</v>
      </c>
      <c r="H251" s="14">
        <v>302232</v>
      </c>
      <c r="I251" s="14">
        <v>26</v>
      </c>
      <c r="J251" s="14" t="s">
        <v>44</v>
      </c>
      <c r="K251" s="14" t="s">
        <v>4506</v>
      </c>
      <c r="L251" s="14" t="s">
        <v>4507</v>
      </c>
      <c r="M251" s="14" t="s">
        <v>9158</v>
      </c>
      <c r="N251" s="14" t="s">
        <v>9158</v>
      </c>
      <c r="O251" s="19" t="s">
        <v>10083</v>
      </c>
      <c r="P251" s="14" t="s">
        <v>4509</v>
      </c>
      <c r="Q251" s="14">
        <v>0</v>
      </c>
    </row>
    <row r="252" spans="1:17">
      <c r="A252" s="14">
        <v>84323</v>
      </c>
      <c r="B252" s="14" t="s">
        <v>0</v>
      </c>
      <c r="C252" s="14" t="s">
        <v>158</v>
      </c>
      <c r="D252" s="19" t="s">
        <v>10669</v>
      </c>
      <c r="E252" s="15" t="str">
        <f>HYPERLINK("https://stat100.ameba.jp/tnk47/ratio20/illustrations/card/ill_84323_kagizumebyakko03.jpg?202012-5-RELEASE-marathon-506x", "■")</f>
        <v>■</v>
      </c>
      <c r="F252" s="14" t="s">
        <v>7284</v>
      </c>
      <c r="G252" s="14">
        <v>132562</v>
      </c>
      <c r="H252" s="14">
        <v>96010</v>
      </c>
      <c r="I252" s="14">
        <v>26</v>
      </c>
      <c r="J252" s="14" t="s">
        <v>155</v>
      </c>
      <c r="K252" s="14" t="s">
        <v>7283</v>
      </c>
      <c r="L252" s="14" t="s">
        <v>7282</v>
      </c>
      <c r="M252" s="14" t="s">
        <v>9158</v>
      </c>
      <c r="N252" s="14" t="s">
        <v>9158</v>
      </c>
      <c r="O252" s="19" t="s">
        <v>10109</v>
      </c>
      <c r="P252" s="14" t="s">
        <v>3625</v>
      </c>
      <c r="Q252" s="14">
        <v>1</v>
      </c>
    </row>
    <row r="253" spans="1:17">
      <c r="A253" s="14">
        <v>64043</v>
      </c>
      <c r="B253" s="14" t="s">
        <v>334</v>
      </c>
      <c r="C253" s="14" t="s">
        <v>209</v>
      </c>
      <c r="D253" s="20" t="s">
        <v>10262</v>
      </c>
      <c r="E253" s="15" t="str">
        <f>HYPERLINK("https://stat100.ameba.jp/tnk47/ratio20/illustrations/card/ill_64043_kegonnotaki03.jpg?202012-5-RELEASE-marathon-506x", "■")</f>
        <v>■</v>
      </c>
      <c r="F253" s="14" t="s">
        <v>759</v>
      </c>
      <c r="G253" s="14">
        <v>123674</v>
      </c>
      <c r="H253" s="14">
        <v>89584</v>
      </c>
      <c r="I253" s="14">
        <v>26</v>
      </c>
      <c r="J253" s="14" t="s">
        <v>229</v>
      </c>
      <c r="K253" s="14" t="s">
        <v>230</v>
      </c>
      <c r="L253" s="14" t="s">
        <v>13143</v>
      </c>
      <c r="M253" s="14" t="s">
        <v>9158</v>
      </c>
      <c r="N253" s="14" t="s">
        <v>9158</v>
      </c>
      <c r="O253" s="19" t="s">
        <v>10070</v>
      </c>
      <c r="P253" s="14" t="s">
        <v>3579</v>
      </c>
      <c r="Q253" s="14">
        <v>1</v>
      </c>
    </row>
    <row r="254" spans="1:17">
      <c r="A254" s="14">
        <v>66363</v>
      </c>
      <c r="B254" s="14" t="s">
        <v>334</v>
      </c>
      <c r="C254" s="14" t="s">
        <v>158</v>
      </c>
      <c r="D254" s="19" t="s">
        <v>2910</v>
      </c>
      <c r="E254" s="15" t="str">
        <f>HYPERLINK("https://stat100.ameba.jp/tnk47/ratio20/illustrations/card/ill_66363_iharasaikaku03.jpg?202012-5-RELEASE-marathon-506x", "■")</f>
        <v>■</v>
      </c>
      <c r="F254" s="14" t="s">
        <v>122</v>
      </c>
      <c r="G254" s="9">
        <v>85492</v>
      </c>
      <c r="H254" s="9">
        <v>118000</v>
      </c>
      <c r="I254" s="14">
        <v>26</v>
      </c>
      <c r="J254" s="14" t="s">
        <v>414</v>
      </c>
      <c r="K254" s="14" t="s">
        <v>2911</v>
      </c>
      <c r="L254" s="14" t="s">
        <v>1575</v>
      </c>
      <c r="M254" s="14" t="s">
        <v>9158</v>
      </c>
      <c r="N254" s="14" t="s">
        <v>9158</v>
      </c>
      <c r="O254" s="19" t="s">
        <v>10074</v>
      </c>
      <c r="P254" s="14" t="s">
        <v>2822</v>
      </c>
      <c r="Q254" s="14">
        <v>1</v>
      </c>
    </row>
    <row r="256" spans="1:17">
      <c r="A256" s="14" t="s">
        <v>13327</v>
      </c>
    </row>
    <row r="257" spans="1:18">
      <c r="A257" s="14">
        <v>105346</v>
      </c>
      <c r="B257" s="14" t="s">
        <v>8593</v>
      </c>
    </row>
    <row r="258" spans="1:18">
      <c r="A258" s="14">
        <v>90183</v>
      </c>
      <c r="B258" s="14" t="s">
        <v>0</v>
      </c>
      <c r="C258" s="14" t="s">
        <v>335</v>
      </c>
      <c r="D258" s="14" t="s">
        <v>13264</v>
      </c>
      <c r="E258" s="15" t="str">
        <f>HYPERLINK("https://stat100.ameba.jp/tnk47/ratio20/illustrations/card/ill_90183_shinsetsunojou03.jpg?202012-5-RELEASE-marathon-506x", "■")</f>
        <v>■</v>
      </c>
      <c r="F258" s="14" t="s">
        <v>13267</v>
      </c>
      <c r="G258" s="14">
        <v>128160</v>
      </c>
      <c r="H258" s="14">
        <v>137846</v>
      </c>
      <c r="I258" s="14">
        <v>28</v>
      </c>
      <c r="J258" s="14" t="s">
        <v>44</v>
      </c>
      <c r="K258" s="14" t="s">
        <v>13266</v>
      </c>
      <c r="L258" s="14" t="s">
        <v>13272</v>
      </c>
      <c r="M258" s="14" t="s">
        <v>2138</v>
      </c>
      <c r="N258" s="14" t="s">
        <v>2139</v>
      </c>
      <c r="O258" s="14" t="s">
        <v>9158</v>
      </c>
      <c r="P258" s="14" t="s">
        <v>9158</v>
      </c>
      <c r="Q258" s="14" t="s">
        <v>9158</v>
      </c>
      <c r="R258" s="14" t="s">
        <v>14748</v>
      </c>
    </row>
    <row r="259" spans="1:18">
      <c r="A259" s="14">
        <v>90182</v>
      </c>
      <c r="B259" s="14" t="s">
        <v>0</v>
      </c>
      <c r="C259" s="14" t="s">
        <v>335</v>
      </c>
      <c r="D259" s="14" t="s">
        <v>13264</v>
      </c>
      <c r="E259" s="15" t="str">
        <f>HYPERLINK("https://stat100.ameba.jp/tnk47/ratio20/illustrations/card/ill_90182_shinsetsunojou02.jpg?202012-5-RELEASE-marathon-506x", "■")</f>
        <v>■</v>
      </c>
      <c r="F259" s="14" t="s">
        <v>13267</v>
      </c>
      <c r="G259" s="14">
        <v>106148</v>
      </c>
      <c r="H259" s="14">
        <v>115230</v>
      </c>
      <c r="I259" s="14">
        <v>28</v>
      </c>
      <c r="J259" s="14" t="s">
        <v>44</v>
      </c>
      <c r="K259" s="14" t="s">
        <v>13266</v>
      </c>
      <c r="L259" s="14" t="s">
        <v>13272</v>
      </c>
      <c r="M259" s="14" t="s">
        <v>13270</v>
      </c>
      <c r="N259" s="14" t="s">
        <v>13271</v>
      </c>
      <c r="O259" s="14" t="s">
        <v>9158</v>
      </c>
      <c r="P259" s="14" t="s">
        <v>9158</v>
      </c>
      <c r="Q259" s="14" t="s">
        <v>9158</v>
      </c>
      <c r="R259" s="14" t="s">
        <v>14748</v>
      </c>
    </row>
    <row r="260" spans="1:18">
      <c r="A260" s="14">
        <v>90181</v>
      </c>
      <c r="B260" s="14" t="s">
        <v>0</v>
      </c>
      <c r="C260" s="14" t="s">
        <v>335</v>
      </c>
      <c r="D260" s="14" t="s">
        <v>13264</v>
      </c>
      <c r="E260" s="15" t="str">
        <f>HYPERLINK("https://stat100.ameba.jp/tnk47/ratio20/illustrations/card/ill_90181_shinsetsunojou01.jpg?202012-5-RELEASE-marathon-506x", "■")</f>
        <v>■</v>
      </c>
      <c r="F260" s="14" t="s">
        <v>13267</v>
      </c>
      <c r="G260" s="14">
        <v>81900</v>
      </c>
      <c r="H260" s="14">
        <v>87976</v>
      </c>
      <c r="I260" s="14">
        <v>28</v>
      </c>
      <c r="J260" s="14" t="s">
        <v>44</v>
      </c>
      <c r="K260" s="14" t="s">
        <v>13266</v>
      </c>
      <c r="L260" s="14" t="s">
        <v>13272</v>
      </c>
      <c r="M260" s="14" t="s">
        <v>13270</v>
      </c>
      <c r="N260" s="14" t="s">
        <v>13271</v>
      </c>
      <c r="O260" s="14" t="s">
        <v>9158</v>
      </c>
      <c r="P260" s="14" t="s">
        <v>9158</v>
      </c>
      <c r="Q260" s="14" t="s">
        <v>9158</v>
      </c>
      <c r="R260" s="14" t="s">
        <v>14748</v>
      </c>
    </row>
    <row r="261" spans="1:18">
      <c r="A261" s="14">
        <v>90193</v>
      </c>
      <c r="B261" s="14" t="s">
        <v>0</v>
      </c>
      <c r="C261" s="14" t="s">
        <v>200</v>
      </c>
      <c r="D261" s="14" t="s">
        <v>13273</v>
      </c>
      <c r="E261" s="15" t="str">
        <f>HYPERLINK("https://stat100.ameba.jp/tnk47/ratio20/illustrations/card/ill_90193_puchidebirubani03.jpg?202012-5-RELEASE-marathon-506x", "■")</f>
        <v>■</v>
      </c>
      <c r="F261" s="14" t="s">
        <v>13274</v>
      </c>
      <c r="G261" s="14">
        <v>128160</v>
      </c>
      <c r="H261" s="14">
        <v>137846</v>
      </c>
      <c r="I261" s="14">
        <v>28</v>
      </c>
      <c r="J261" s="14" t="s">
        <v>73</v>
      </c>
      <c r="K261" s="14" t="s">
        <v>13277</v>
      </c>
      <c r="L261" s="14" t="s">
        <v>13276</v>
      </c>
      <c r="M261" s="14" t="s">
        <v>2138</v>
      </c>
      <c r="N261" s="14" t="s">
        <v>2139</v>
      </c>
      <c r="O261" s="14" t="s">
        <v>9158</v>
      </c>
      <c r="P261" s="14" t="s">
        <v>9158</v>
      </c>
      <c r="Q261" s="14" t="s">
        <v>9158</v>
      </c>
      <c r="R261" s="14" t="s">
        <v>14748</v>
      </c>
    </row>
    <row r="262" spans="1:18">
      <c r="A262" s="14">
        <v>90203</v>
      </c>
      <c r="B262" s="14" t="s">
        <v>0</v>
      </c>
      <c r="C262" s="14" t="s">
        <v>307</v>
      </c>
      <c r="D262" s="14" t="s">
        <v>13278</v>
      </c>
      <c r="E262" s="15" t="str">
        <f>HYPERLINK("https://stat100.ameba.jp/tnk47/ratio20/illustrations/card/ill_90203_kyuteigakademeru03.jpg?202012-5-RELEASE-marathon-506x", "■")</f>
        <v>■</v>
      </c>
      <c r="F262" s="14" t="s">
        <v>13279</v>
      </c>
      <c r="G262" s="14">
        <v>128160</v>
      </c>
      <c r="H262" s="14">
        <v>137846</v>
      </c>
      <c r="I262" s="14">
        <v>28</v>
      </c>
      <c r="J262" s="14" t="s">
        <v>10</v>
      </c>
      <c r="K262" s="14" t="s">
        <v>13281</v>
      </c>
      <c r="L262" s="14" t="s">
        <v>13282</v>
      </c>
      <c r="M262" s="14" t="s">
        <v>2138</v>
      </c>
      <c r="N262" s="14" t="s">
        <v>2139</v>
      </c>
      <c r="O262" s="14" t="s">
        <v>9158</v>
      </c>
      <c r="P262" s="14" t="s">
        <v>9158</v>
      </c>
      <c r="Q262" s="14" t="s">
        <v>9158</v>
      </c>
      <c r="R262" s="14" t="s">
        <v>14748</v>
      </c>
    </row>
    <row r="263" spans="1:18">
      <c r="A263" s="14">
        <v>90213</v>
      </c>
      <c r="B263" s="14" t="s">
        <v>0</v>
      </c>
      <c r="C263" s="14" t="s">
        <v>165</v>
      </c>
      <c r="D263" s="14" t="s">
        <v>13283</v>
      </c>
      <c r="E263" s="15" t="str">
        <f>HYPERLINK("https://stat100.ameba.jp/tnk47/ratio20/illustrations/card/ill_90213_kenkyushinomaruyo03.jpg?202012-5-RELEASE-marathon-506x", "■")</f>
        <v>■</v>
      </c>
      <c r="F263" s="14" t="s">
        <v>13284</v>
      </c>
      <c r="G263" s="14">
        <v>137846</v>
      </c>
      <c r="H263" s="14">
        <v>128160</v>
      </c>
      <c r="I263" s="14">
        <v>28</v>
      </c>
      <c r="J263" s="14" t="s">
        <v>16</v>
      </c>
      <c r="K263" s="14" t="s">
        <v>13286</v>
      </c>
      <c r="L263" s="14" t="s">
        <v>13287</v>
      </c>
      <c r="M263" s="14" t="s">
        <v>2138</v>
      </c>
      <c r="N263" s="14" t="s">
        <v>2139</v>
      </c>
      <c r="O263" s="14" t="s">
        <v>9158</v>
      </c>
      <c r="P263" s="14" t="s">
        <v>9158</v>
      </c>
      <c r="Q263" s="14" t="s">
        <v>9158</v>
      </c>
      <c r="R263" s="14" t="s">
        <v>14748</v>
      </c>
    </row>
    <row r="264" spans="1:18">
      <c r="A264" s="14">
        <v>90223</v>
      </c>
      <c r="B264" s="14" t="s">
        <v>0</v>
      </c>
      <c r="C264" s="9" t="s">
        <v>205</v>
      </c>
      <c r="D264" s="14" t="s">
        <v>13288</v>
      </c>
      <c r="E264" s="15" t="str">
        <f>HYPERLINK("https://stat100.ameba.jp/tnk47/ratio20/illustrations/card/ill_90223_karunepurinshipe03.jpg?202012-5-RELEASE-marathon-506x", "■")</f>
        <v>■</v>
      </c>
      <c r="F264" s="14" t="s">
        <v>13289</v>
      </c>
      <c r="G264" s="14">
        <v>137846</v>
      </c>
      <c r="H264" s="14">
        <v>128160</v>
      </c>
      <c r="I264" s="14">
        <v>28</v>
      </c>
      <c r="J264" s="14" t="s">
        <v>104</v>
      </c>
      <c r="K264" s="14" t="s">
        <v>13291</v>
      </c>
      <c r="L264" s="14" t="s">
        <v>13292</v>
      </c>
      <c r="M264" s="14" t="s">
        <v>2138</v>
      </c>
      <c r="N264" s="14" t="s">
        <v>2139</v>
      </c>
      <c r="O264" s="14" t="s">
        <v>9158</v>
      </c>
      <c r="P264" s="14" t="s">
        <v>9158</v>
      </c>
      <c r="Q264" s="14" t="s">
        <v>9158</v>
      </c>
      <c r="R264" s="14" t="s">
        <v>14748</v>
      </c>
    </row>
    <row r="265" spans="1:18">
      <c r="A265" s="14">
        <v>90233</v>
      </c>
      <c r="B265" s="14" t="s">
        <v>0</v>
      </c>
      <c r="C265" s="14" t="s">
        <v>206</v>
      </c>
      <c r="D265" s="14" t="s">
        <v>13293</v>
      </c>
      <c r="E265" s="15" t="str">
        <f>HYPERLINK("https://stat100.ameba.jp/tnk47/ratio20/illustrations/card/ill_90233_kakutokafuante03.jpg?202012-5-RELEASE-marathon-506x", "■")</f>
        <v>■</v>
      </c>
      <c r="F265" s="14" t="s">
        <v>13294</v>
      </c>
      <c r="G265" s="14">
        <v>137846</v>
      </c>
      <c r="H265" s="14">
        <v>128160</v>
      </c>
      <c r="I265" s="14">
        <v>28</v>
      </c>
      <c r="J265" s="14" t="s">
        <v>143</v>
      </c>
      <c r="K265" s="14" t="s">
        <v>13296</v>
      </c>
      <c r="L265" s="14" t="s">
        <v>13297</v>
      </c>
      <c r="M265" s="14" t="s">
        <v>2138</v>
      </c>
      <c r="N265" s="14" t="s">
        <v>2139</v>
      </c>
      <c r="O265" s="14" t="s">
        <v>9158</v>
      </c>
      <c r="P265" s="14" t="s">
        <v>9158</v>
      </c>
      <c r="Q265" s="14" t="s">
        <v>9158</v>
      </c>
      <c r="R265" s="14" t="s">
        <v>14748</v>
      </c>
    </row>
    <row r="267" spans="1:18">
      <c r="A267" s="14" t="s">
        <v>16628</v>
      </c>
    </row>
    <row r="268" spans="1:18">
      <c r="A268" s="14">
        <v>235701</v>
      </c>
      <c r="B268" s="14" t="s">
        <v>2414</v>
      </c>
    </row>
    <row r="269" spans="1:18">
      <c r="A269" s="14">
        <v>235707</v>
      </c>
      <c r="B269" s="14" t="s">
        <v>8609</v>
      </c>
    </row>
    <row r="270" spans="1:18">
      <c r="A270" s="14" t="s">
        <v>15831</v>
      </c>
      <c r="B270" s="7" t="s">
        <v>52</v>
      </c>
      <c r="C270" s="14" t="s">
        <v>202</v>
      </c>
      <c r="D270" s="18" t="s">
        <v>15825</v>
      </c>
      <c r="E270" s="15" t="str">
        <f>HYPERLINK("https://stat100.ameba.jp/tnk47/ratio20/illustrations/card/ill_94293_0_kurisumasupurezentofukudahideko03.jpg?202012-5-RELEASE-marathon-506xxx", "■")</f>
        <v>■</v>
      </c>
      <c r="F270" s="14" t="s">
        <v>15830</v>
      </c>
      <c r="G270" s="14">
        <v>308104</v>
      </c>
      <c r="H270" s="14">
        <v>278470</v>
      </c>
      <c r="I270" s="14">
        <v>28</v>
      </c>
      <c r="J270" s="14" t="s">
        <v>16</v>
      </c>
      <c r="K270" s="14" t="s">
        <v>15829</v>
      </c>
      <c r="L270" s="14" t="s">
        <v>15828</v>
      </c>
      <c r="M270" s="14" t="s">
        <v>9158</v>
      </c>
      <c r="N270" s="14" t="s">
        <v>9158</v>
      </c>
      <c r="O270" s="6" t="s">
        <v>15827</v>
      </c>
      <c r="P270" s="7" t="s">
        <v>15826</v>
      </c>
      <c r="Q270" s="7">
        <v>1</v>
      </c>
    </row>
    <row r="271" spans="1:18">
      <c r="A271" s="14">
        <v>94533</v>
      </c>
      <c r="B271" s="14" t="s">
        <v>334</v>
      </c>
      <c r="C271" s="14" t="s">
        <v>107</v>
      </c>
      <c r="D271" s="14" t="s">
        <v>16619</v>
      </c>
      <c r="E271" s="15" t="str">
        <f>HYPERLINK("https://stat100.ameba.jp/tnk47/ratio20/illustrations/card/ill_94533_fuyunotozurekeitotsukaiyumu03.jpg?202012-5-RELEASE-marathon-506xxx", "■")</f>
        <v>■</v>
      </c>
      <c r="F271" s="14" t="s">
        <v>16618</v>
      </c>
      <c r="G271" s="14">
        <v>166452</v>
      </c>
      <c r="H271" s="14">
        <v>154768</v>
      </c>
      <c r="I271" s="14">
        <v>28</v>
      </c>
      <c r="J271" s="14" t="s">
        <v>26</v>
      </c>
      <c r="K271" s="14" t="s">
        <v>16617</v>
      </c>
      <c r="L271" s="14" t="s">
        <v>5053</v>
      </c>
      <c r="M271" s="14" t="s">
        <v>9158</v>
      </c>
      <c r="N271" s="14" t="s">
        <v>9158</v>
      </c>
      <c r="O271" s="14" t="s">
        <v>9158</v>
      </c>
      <c r="P271" s="14" t="s">
        <v>9158</v>
      </c>
      <c r="Q271" s="14" t="s">
        <v>9158</v>
      </c>
    </row>
    <row r="272" spans="1:18">
      <c r="A272" s="14">
        <v>94543</v>
      </c>
      <c r="B272" s="14" t="s">
        <v>0</v>
      </c>
      <c r="C272" s="14" t="s">
        <v>23</v>
      </c>
      <c r="D272" s="14" t="s">
        <v>16402</v>
      </c>
      <c r="E272" s="15" t="str">
        <f>HYPERLINK("https://stat100.ameba.jp/tnk47/ratio20/illustrations/card/ill_94543_yuenchiraguzatama03.jpg?202012-5-RELEASE-marathon-506xxx", "■")</f>
        <v>■</v>
      </c>
      <c r="F272" s="14" t="s">
        <v>16401</v>
      </c>
      <c r="G272" s="14">
        <v>113536</v>
      </c>
      <c r="H272" s="14">
        <v>105610</v>
      </c>
      <c r="I272" s="14">
        <v>28</v>
      </c>
      <c r="J272" s="14" t="s">
        <v>16</v>
      </c>
      <c r="K272" s="14" t="s">
        <v>8601</v>
      </c>
      <c r="L272" s="14" t="s">
        <v>16400</v>
      </c>
      <c r="M272" s="14" t="s">
        <v>9158</v>
      </c>
      <c r="N272" s="14" t="s">
        <v>9158</v>
      </c>
      <c r="O272" s="14" t="s">
        <v>9158</v>
      </c>
      <c r="P272" s="14" t="s">
        <v>9158</v>
      </c>
      <c r="Q272" s="14" t="s">
        <v>9158</v>
      </c>
    </row>
    <row r="273" spans="1:18">
      <c r="A273" s="14">
        <v>94553</v>
      </c>
      <c r="B273" s="14" t="s">
        <v>15</v>
      </c>
      <c r="C273" s="14" t="s">
        <v>101</v>
      </c>
      <c r="D273" s="14" t="s">
        <v>16405</v>
      </c>
      <c r="E273" s="15" t="str">
        <f>HYPERLINK("https://stat100.ameba.jp/tnk47/ratio20/illustrations/card/ill_94553_yukigassen03.jpg?202012-5-RELEASE-marathon-506xxx", "■")</f>
        <v>■</v>
      </c>
      <c r="F273" s="14" t="s">
        <v>16404</v>
      </c>
      <c r="G273" s="14">
        <v>75274</v>
      </c>
      <c r="H273" s="14">
        <v>82992</v>
      </c>
      <c r="I273" s="14">
        <v>28</v>
      </c>
      <c r="J273" s="14" t="s">
        <v>38</v>
      </c>
      <c r="K273" s="14" t="s">
        <v>16403</v>
      </c>
      <c r="L273" s="14" t="s">
        <v>1753</v>
      </c>
      <c r="M273" s="14" t="s">
        <v>9158</v>
      </c>
      <c r="N273" s="14" t="s">
        <v>9158</v>
      </c>
      <c r="O273" s="14" t="s">
        <v>9158</v>
      </c>
      <c r="P273" s="14" t="s">
        <v>9158</v>
      </c>
      <c r="Q273" s="14" t="s">
        <v>9158</v>
      </c>
    </row>
    <row r="274" spans="1:18">
      <c r="A274" s="14">
        <v>94563</v>
      </c>
      <c r="B274" s="14" t="s">
        <v>22</v>
      </c>
      <c r="C274" s="14" t="s">
        <v>1</v>
      </c>
      <c r="D274" s="14" t="s">
        <v>16408</v>
      </c>
      <c r="E274" s="15" t="str">
        <f>HYPERLINK("https://stat100.ameba.jp/tnk47/ratio20/illustrations/card/ill_94563_mukashibanashitsurunongaeshi03.jpg?202012-5-RELEASE-marathon-506xxx", "■")</f>
        <v>■</v>
      </c>
      <c r="F274" s="14" t="s">
        <v>16407</v>
      </c>
      <c r="G274" s="14">
        <v>58216</v>
      </c>
      <c r="H274" s="14">
        <v>48406</v>
      </c>
      <c r="I274" s="14">
        <v>28</v>
      </c>
      <c r="J274" s="14" t="s">
        <v>38</v>
      </c>
      <c r="K274" s="14" t="s">
        <v>16406</v>
      </c>
      <c r="L274" s="14" t="s">
        <v>7248</v>
      </c>
      <c r="M274" s="14" t="s">
        <v>9158</v>
      </c>
      <c r="N274" s="14" t="s">
        <v>9158</v>
      </c>
      <c r="O274" s="14" t="s">
        <v>9158</v>
      </c>
      <c r="P274" s="14" t="s">
        <v>9158</v>
      </c>
      <c r="Q274" s="14" t="s">
        <v>9158</v>
      </c>
    </row>
    <row r="275" spans="1:18">
      <c r="A275" s="14">
        <v>94573</v>
      </c>
      <c r="B275" s="14" t="s">
        <v>22</v>
      </c>
      <c r="C275" s="14" t="s">
        <v>14</v>
      </c>
      <c r="D275" s="14" t="s">
        <v>16411</v>
      </c>
      <c r="E275" s="15" t="str">
        <f>HYPERLINK("https://stat100.ameba.jp/tnk47/ratio20/illustrations/card/ill_94573_daiyamondodasuto03.jpg?202012-5-RELEASE-marathon-506xxx", "■")</f>
        <v>■</v>
      </c>
      <c r="F275" s="14" t="s">
        <v>16410</v>
      </c>
      <c r="G275" s="14">
        <v>48406</v>
      </c>
      <c r="H275" s="14">
        <v>58216</v>
      </c>
      <c r="I275" s="14">
        <v>28</v>
      </c>
      <c r="J275" s="14" t="s">
        <v>26</v>
      </c>
      <c r="K275" s="14" t="s">
        <v>16409</v>
      </c>
      <c r="L275" s="14" t="s">
        <v>28</v>
      </c>
      <c r="M275" s="14" t="s">
        <v>9158</v>
      </c>
      <c r="N275" s="14" t="s">
        <v>9158</v>
      </c>
      <c r="O275" s="14" t="s">
        <v>9158</v>
      </c>
      <c r="P275" s="14" t="s">
        <v>9158</v>
      </c>
      <c r="Q275" s="14" t="s">
        <v>9158</v>
      </c>
    </row>
    <row r="277" spans="1:18">
      <c r="A277" s="14" t="s">
        <v>3844</v>
      </c>
      <c r="I277" s="7"/>
    </row>
    <row r="278" spans="1:18">
      <c r="A278" s="14">
        <v>105373</v>
      </c>
      <c r="B278" s="14" t="s">
        <v>2429</v>
      </c>
    </row>
    <row r="279" spans="1:18">
      <c r="A279" s="14" t="s">
        <v>5618</v>
      </c>
      <c r="B279" s="14" t="s">
        <v>52</v>
      </c>
      <c r="C279" s="14" t="s">
        <v>23</v>
      </c>
      <c r="D279" s="19" t="s">
        <v>665</v>
      </c>
      <c r="E279" s="15" t="str">
        <f>HYPERLINK("https://stat100.ameba.jp/tnk47/ratio20/illustrations/card/ill_63173_0_minazukikonakaiteruko03.jpg?202012-5-RELEASE-marathon-506xxx", "■")</f>
        <v>■</v>
      </c>
      <c r="F279" s="14" t="s">
        <v>1188</v>
      </c>
      <c r="G279" s="14">
        <v>225670</v>
      </c>
      <c r="H279" s="14">
        <v>242696</v>
      </c>
      <c r="I279" s="14">
        <v>26</v>
      </c>
      <c r="J279" s="14" t="s">
        <v>143</v>
      </c>
      <c r="K279" s="14" t="s">
        <v>1189</v>
      </c>
      <c r="L279" s="14" t="s">
        <v>1190</v>
      </c>
      <c r="M279" s="14" t="s">
        <v>9158</v>
      </c>
      <c r="N279" s="14" t="s">
        <v>9158</v>
      </c>
      <c r="O279" s="19" t="s">
        <v>10079</v>
      </c>
      <c r="P279" s="14" t="s">
        <v>3329</v>
      </c>
      <c r="Q279" s="14">
        <v>1</v>
      </c>
    </row>
    <row r="280" spans="1:18">
      <c r="A280" s="7">
        <v>85653</v>
      </c>
      <c r="B280" s="7" t="s">
        <v>0</v>
      </c>
      <c r="C280" s="14" t="s">
        <v>158</v>
      </c>
      <c r="D280" s="20" t="s">
        <v>10846</v>
      </c>
      <c r="E280" s="15" t="str">
        <f>HYPERLINK("https://stat100.ameba.jp/tnk47/ratio20/illustrations/card/ill_85653_onashiefumizuno03.jpg?202012-5-RELEASE-marathon-506xxx", "■")</f>
        <v>■</v>
      </c>
      <c r="F280" s="7" t="s">
        <v>8587</v>
      </c>
      <c r="G280" s="7">
        <v>99532</v>
      </c>
      <c r="H280" s="7">
        <v>137430</v>
      </c>
      <c r="I280" s="7">
        <v>26</v>
      </c>
      <c r="J280" s="7" t="s">
        <v>216</v>
      </c>
      <c r="K280" s="7" t="s">
        <v>8586</v>
      </c>
      <c r="L280" s="7" t="s">
        <v>131</v>
      </c>
      <c r="M280" s="14" t="s">
        <v>9158</v>
      </c>
      <c r="N280" s="14" t="s">
        <v>9158</v>
      </c>
      <c r="O280" s="19" t="s">
        <v>4074</v>
      </c>
      <c r="P280" s="14" t="s">
        <v>3462</v>
      </c>
      <c r="Q280" s="14">
        <v>1</v>
      </c>
    </row>
    <row r="281" spans="1:18">
      <c r="A281" s="14">
        <v>77903</v>
      </c>
      <c r="B281" s="14" t="s">
        <v>0</v>
      </c>
      <c r="C281" s="14" t="s">
        <v>185</v>
      </c>
      <c r="D281" s="20" t="s">
        <v>10405</v>
      </c>
      <c r="E281" s="15" t="str">
        <f>HYPERLINK("https://stat100.ameba.jp/tnk47/ratio20/illustrations/card/ill_77903_kurisumasudaisakusendongurikorokoro03.jpg?202012-5-RELEASE-marathon-506xxx", "■")</f>
        <v>■</v>
      </c>
      <c r="F281" s="14" t="s">
        <v>2131</v>
      </c>
      <c r="G281" s="14">
        <v>118656</v>
      </c>
      <c r="H281" s="14">
        <v>110126</v>
      </c>
      <c r="I281" s="14">
        <v>26</v>
      </c>
      <c r="J281" s="14" t="s">
        <v>38</v>
      </c>
      <c r="K281" s="14" t="s">
        <v>2132</v>
      </c>
      <c r="L281" s="14" t="s">
        <v>2133</v>
      </c>
      <c r="M281" s="14" t="s">
        <v>9158</v>
      </c>
      <c r="N281" s="14" t="s">
        <v>9158</v>
      </c>
      <c r="O281" s="19" t="s">
        <v>10090</v>
      </c>
      <c r="P281" s="14" t="s">
        <v>3460</v>
      </c>
      <c r="Q281" s="14">
        <v>1</v>
      </c>
    </row>
    <row r="282" spans="1:18">
      <c r="A282" s="9">
        <v>56183</v>
      </c>
      <c r="B282" s="14" t="s">
        <v>0</v>
      </c>
      <c r="C282" s="14" t="s">
        <v>191</v>
      </c>
      <c r="D282" s="14" t="s">
        <v>2024</v>
      </c>
      <c r="E282" s="15" t="str">
        <f>HYPERLINK("https://stat100.ameba.jp/tnk47/ratio20/illustrations/card/ill_56183_onsempanikkukoteipenginchan03.jpg?202012-5-RELEASE-marathon-506xxx", "■")</f>
        <v>■</v>
      </c>
      <c r="F282" s="14" t="s">
        <v>2025</v>
      </c>
      <c r="G282" s="14">
        <v>100214</v>
      </c>
      <c r="H282" s="14">
        <v>93172</v>
      </c>
      <c r="I282" s="14">
        <v>26</v>
      </c>
      <c r="J282" s="14" t="s">
        <v>229</v>
      </c>
      <c r="K282" s="14" t="s">
        <v>2026</v>
      </c>
      <c r="L282" s="14" t="s">
        <v>13170</v>
      </c>
      <c r="M282" s="14" t="s">
        <v>9158</v>
      </c>
      <c r="N282" s="14" t="s">
        <v>9158</v>
      </c>
      <c r="O282" s="9" t="s">
        <v>3894</v>
      </c>
      <c r="P282" s="14" t="s">
        <v>3895</v>
      </c>
      <c r="Q282" s="14">
        <v>1</v>
      </c>
    </row>
    <row r="284" spans="1:18">
      <c r="A284" s="14" t="s">
        <v>16599</v>
      </c>
    </row>
    <row r="285" spans="1:18">
      <c r="A285" s="14">
        <v>235735</v>
      </c>
      <c r="B285" s="14" t="s">
        <v>2441</v>
      </c>
    </row>
    <row r="286" spans="1:18">
      <c r="A286" s="14">
        <v>94405</v>
      </c>
      <c r="B286" s="14" t="s">
        <v>0</v>
      </c>
      <c r="C286" s="14" t="s">
        <v>35</v>
      </c>
      <c r="D286" s="14" t="s">
        <v>16603</v>
      </c>
      <c r="E286" s="15" t="str">
        <f>HYPERLINK("https://stat100.ameba.jp/tnk47/ratio20/illustrations/card/ill_94405_fuyunotozurefuanukka05.jpg?202012-5-RELEASE-marathon-506xxx", "■")</f>
        <v>■</v>
      </c>
      <c r="F286" s="14" t="s">
        <v>16602</v>
      </c>
      <c r="G286" s="14">
        <v>154182</v>
      </c>
      <c r="H286" s="14">
        <v>111630</v>
      </c>
      <c r="I286" s="14">
        <v>28</v>
      </c>
      <c r="J286" s="14" t="s">
        <v>26</v>
      </c>
      <c r="K286" s="14" t="s">
        <v>16601</v>
      </c>
      <c r="L286" s="14" t="s">
        <v>16600</v>
      </c>
      <c r="M286" s="14" t="s">
        <v>9158</v>
      </c>
      <c r="N286" s="14" t="s">
        <v>9158</v>
      </c>
      <c r="O286" s="14" t="s">
        <v>9158</v>
      </c>
      <c r="P286" s="14" t="s">
        <v>9158</v>
      </c>
      <c r="Q286" s="14" t="s">
        <v>9158</v>
      </c>
      <c r="R286" s="14" t="s">
        <v>174</v>
      </c>
    </row>
    <row r="287" spans="1:18">
      <c r="A287" s="14">
        <v>94403</v>
      </c>
      <c r="B287" s="14" t="s">
        <v>15</v>
      </c>
      <c r="C287" s="14" t="s">
        <v>158</v>
      </c>
      <c r="D287" s="14" t="s">
        <v>16603</v>
      </c>
      <c r="E287" s="15" t="str">
        <f>HYPERLINK("https://stat100.ameba.jp/tnk47/ratio20/illustrations/card/ill_94403_fuyunotozurefuanukka03.jpg?202012-5-RELEASE-marathon-506xxx", "■")</f>
        <v>■</v>
      </c>
      <c r="F287" s="14" t="s">
        <v>16602</v>
      </c>
      <c r="G287" s="14">
        <v>111414</v>
      </c>
      <c r="H287" s="14">
        <v>80662</v>
      </c>
      <c r="I287" s="14">
        <v>28</v>
      </c>
      <c r="J287" s="14" t="s">
        <v>26</v>
      </c>
      <c r="K287" s="14" t="s">
        <v>16601</v>
      </c>
      <c r="L287" s="14" t="s">
        <v>16604</v>
      </c>
      <c r="M287" s="14" t="s">
        <v>9158</v>
      </c>
      <c r="N287" s="14" t="s">
        <v>9158</v>
      </c>
      <c r="O287" s="14" t="s">
        <v>9158</v>
      </c>
      <c r="P287" s="14" t="s">
        <v>9158</v>
      </c>
      <c r="Q287" s="14" t="s">
        <v>9158</v>
      </c>
      <c r="R287" s="14" t="s">
        <v>175</v>
      </c>
    </row>
    <row r="288" spans="1:18">
      <c r="A288" s="14">
        <v>94401</v>
      </c>
      <c r="B288" s="14" t="s">
        <v>15</v>
      </c>
      <c r="C288" s="14" t="s">
        <v>158</v>
      </c>
      <c r="D288" s="14" t="s">
        <v>16603</v>
      </c>
      <c r="E288" s="15" t="str">
        <f>HYPERLINK("https://stat100.ameba.jp/tnk47/ratio20/illustrations/card/ill_94401_fuyunotozurefuanukka01.jpg?202012-5-RELEASE-marathon-506xxx", "■")</f>
        <v>■</v>
      </c>
      <c r="F288" s="14" t="s">
        <v>16602</v>
      </c>
      <c r="G288" s="14">
        <v>64624</v>
      </c>
      <c r="H288" s="14">
        <v>46788</v>
      </c>
      <c r="I288" s="14">
        <v>28</v>
      </c>
      <c r="J288" s="14" t="s">
        <v>26</v>
      </c>
      <c r="K288" s="14" t="s">
        <v>16601</v>
      </c>
      <c r="L288" s="14" t="s">
        <v>16605</v>
      </c>
      <c r="M288" s="14" t="s">
        <v>9158</v>
      </c>
      <c r="N288" s="14" t="s">
        <v>9158</v>
      </c>
      <c r="O288" s="14" t="s">
        <v>9158</v>
      </c>
      <c r="P288" s="14" t="s">
        <v>9158</v>
      </c>
      <c r="Q288" s="14" t="s">
        <v>9158</v>
      </c>
      <c r="R288" s="14" t="s">
        <v>176</v>
      </c>
    </row>
    <row r="290" spans="1:19">
      <c r="A290" s="14" t="s">
        <v>16606</v>
      </c>
    </row>
    <row r="291" spans="1:19">
      <c r="A291" s="14">
        <v>105376</v>
      </c>
      <c r="B291" s="14" t="s">
        <v>2448</v>
      </c>
    </row>
    <row r="292" spans="1:19">
      <c r="A292" s="14">
        <v>66943</v>
      </c>
      <c r="B292" s="14" t="s">
        <v>0</v>
      </c>
      <c r="C292" s="14" t="s">
        <v>154</v>
      </c>
      <c r="D292" s="14" t="s">
        <v>11789</v>
      </c>
      <c r="E292" s="15" t="str">
        <f>HYPERLINK("https://stat100.ameba.jp/tnk47/ratio20/illustrations/card/ill_66943_ikusawakuno03.jpg?202012-5-RELEASE-marathon-506xxx", "■")</f>
        <v>■</v>
      </c>
      <c r="F292" s="14" t="s">
        <v>5072</v>
      </c>
      <c r="G292" s="14">
        <v>109481</v>
      </c>
      <c r="H292" s="14">
        <v>101837</v>
      </c>
      <c r="I292" s="14">
        <v>27</v>
      </c>
      <c r="J292" s="14" t="s">
        <v>16</v>
      </c>
      <c r="K292" s="14" t="s">
        <v>5074</v>
      </c>
      <c r="L292" s="14" t="s">
        <v>2100</v>
      </c>
      <c r="M292" s="14" t="s">
        <v>9158</v>
      </c>
      <c r="N292" s="14" t="s">
        <v>9158</v>
      </c>
      <c r="O292" s="14" t="s">
        <v>9158</v>
      </c>
      <c r="P292" s="14" t="s">
        <v>9158</v>
      </c>
      <c r="Q292" s="14" t="s">
        <v>9158</v>
      </c>
      <c r="S292" s="14" t="s">
        <v>11741</v>
      </c>
    </row>
    <row r="293" spans="1:19">
      <c r="A293" s="7">
        <v>84973</v>
      </c>
      <c r="B293" s="7" t="s">
        <v>0</v>
      </c>
      <c r="C293" s="14" t="s">
        <v>308</v>
      </c>
      <c r="D293" s="19" t="s">
        <v>10753</v>
      </c>
      <c r="E293" s="15" t="str">
        <f>HYPERLINK("https://stat100.ameba.jp/tnk47/ratio20/illustrations/card/ill_84973_yukimomijiuchidenokozuchi03.jpg?202012-5-RELEASE-marathon-506xxx", "■")</f>
        <v>■</v>
      </c>
      <c r="F293" s="7" t="s">
        <v>7849</v>
      </c>
      <c r="G293" s="7">
        <v>123002</v>
      </c>
      <c r="H293" s="7">
        <v>114362</v>
      </c>
      <c r="I293" s="14">
        <v>27</v>
      </c>
      <c r="J293" s="14" t="s">
        <v>38</v>
      </c>
      <c r="K293" s="7" t="s">
        <v>7848</v>
      </c>
      <c r="L293" s="7" t="s">
        <v>7847</v>
      </c>
      <c r="M293" s="14" t="s">
        <v>9158</v>
      </c>
      <c r="N293" s="14" t="s">
        <v>9158</v>
      </c>
      <c r="O293" s="14" t="s">
        <v>9158</v>
      </c>
      <c r="P293" s="14" t="s">
        <v>9158</v>
      </c>
      <c r="Q293" s="14" t="s">
        <v>9158</v>
      </c>
    </row>
    <row r="294" spans="1:19">
      <c r="A294" s="7">
        <v>85123</v>
      </c>
      <c r="B294" s="7" t="s">
        <v>0</v>
      </c>
      <c r="C294" s="7" t="s">
        <v>205</v>
      </c>
      <c r="D294" s="19" t="s">
        <v>10761</v>
      </c>
      <c r="E294" s="15" t="str">
        <f>HYPERLINK("https://stat100.ameba.jp/tnk47/ratio20/illustrations/card/ill_85123_burabankatsurakogoro03.jpg?202012-5-RELEASE-marathon-506xxx", "■")</f>
        <v>■</v>
      </c>
      <c r="F294" s="7" t="s">
        <v>7904</v>
      </c>
      <c r="G294" s="7">
        <v>102386</v>
      </c>
      <c r="H294" s="7">
        <v>110129</v>
      </c>
      <c r="I294" s="14">
        <v>27</v>
      </c>
      <c r="J294" s="7" t="s">
        <v>173</v>
      </c>
      <c r="K294" s="7" t="s">
        <v>7903</v>
      </c>
      <c r="L294" s="7" t="s">
        <v>7902</v>
      </c>
      <c r="M294" s="14" t="s">
        <v>9158</v>
      </c>
      <c r="N294" s="14" t="s">
        <v>9158</v>
      </c>
      <c r="O294" s="14" t="s">
        <v>9158</v>
      </c>
      <c r="P294" s="14" t="s">
        <v>9158</v>
      </c>
      <c r="Q294" s="14" t="s">
        <v>9158</v>
      </c>
    </row>
    <row r="295" spans="1:19">
      <c r="A295" s="14">
        <v>73123</v>
      </c>
      <c r="B295" s="14" t="s">
        <v>15</v>
      </c>
      <c r="C295" s="14" t="s">
        <v>206</v>
      </c>
      <c r="D295" s="19" t="s">
        <v>10283</v>
      </c>
      <c r="E295" s="15" t="str">
        <f>HYPERLINK("https://stat100.ameba.jp/tnk47/ratio20/illustrations/card/ill_73123_raikiri03.jpg?202012-5-RELEASE-marathon-506xxx", "■")</f>
        <v>■</v>
      </c>
      <c r="F295" s="14" t="s">
        <v>4436</v>
      </c>
      <c r="G295" s="14">
        <v>53768</v>
      </c>
      <c r="H295" s="14">
        <v>59280</v>
      </c>
      <c r="I295" s="14">
        <v>20</v>
      </c>
      <c r="J295" s="14" t="s">
        <v>44</v>
      </c>
      <c r="K295" s="14" t="s">
        <v>4437</v>
      </c>
      <c r="L295" s="14" t="s">
        <v>3319</v>
      </c>
      <c r="M295" s="14" t="s">
        <v>9158</v>
      </c>
      <c r="N295" s="14" t="s">
        <v>9158</v>
      </c>
      <c r="O295" s="14" t="s">
        <v>9158</v>
      </c>
      <c r="P295" s="14" t="s">
        <v>9158</v>
      </c>
      <c r="Q295" s="14" t="s">
        <v>9158</v>
      </c>
    </row>
    <row r="296" spans="1:19">
      <c r="A296" s="14">
        <v>79723</v>
      </c>
      <c r="B296" s="14" t="s">
        <v>15</v>
      </c>
      <c r="C296" s="14" t="s">
        <v>23</v>
      </c>
      <c r="D296" s="19" t="s">
        <v>10639</v>
      </c>
      <c r="E296" s="15" t="str">
        <f>HYPERLINK("https://stat100.ameba.jp/tnk47/ratio20/illustrations/card/ill_79723_inazumaraigoro03.jpg?202012-5-RELEASE-marathon-506xxx", "■")</f>
        <v>■</v>
      </c>
      <c r="F296" s="14" t="s">
        <v>3691</v>
      </c>
      <c r="G296" s="14">
        <v>53768</v>
      </c>
      <c r="H296" s="14">
        <v>59280</v>
      </c>
      <c r="I296" s="14">
        <v>20</v>
      </c>
      <c r="J296" s="14" t="s">
        <v>143</v>
      </c>
      <c r="K296" s="14" t="s">
        <v>3692</v>
      </c>
      <c r="L296" s="14" t="s">
        <v>3326</v>
      </c>
      <c r="M296" s="14" t="s">
        <v>9158</v>
      </c>
      <c r="N296" s="14" t="s">
        <v>9158</v>
      </c>
      <c r="O296" s="14" t="s">
        <v>9158</v>
      </c>
      <c r="P296" s="14" t="s">
        <v>9158</v>
      </c>
      <c r="Q296" s="14" t="s">
        <v>9158</v>
      </c>
    </row>
    <row r="297" spans="1:19">
      <c r="A297" s="14">
        <v>72453</v>
      </c>
      <c r="B297" s="14" t="s">
        <v>15</v>
      </c>
      <c r="C297" s="14" t="s">
        <v>101</v>
      </c>
      <c r="D297" s="20" t="s">
        <v>10340</v>
      </c>
      <c r="E297" s="15" t="str">
        <f>HYPERLINK("https://stat100.ameba.jp/tnk47/ratio20/illustrations/card/ill_72453_rengeso03.jpg?202012-5-RELEASE-marathon-506xxx", "■")</f>
        <v>■</v>
      </c>
      <c r="F297" s="14" t="s">
        <v>5478</v>
      </c>
      <c r="G297" s="14">
        <v>59280</v>
      </c>
      <c r="H297" s="14">
        <v>53768</v>
      </c>
      <c r="I297" s="14">
        <v>20</v>
      </c>
      <c r="J297" s="14" t="s">
        <v>26</v>
      </c>
      <c r="K297" s="14" t="s">
        <v>5479</v>
      </c>
      <c r="L297" s="14" t="s">
        <v>2011</v>
      </c>
      <c r="M297" s="14" t="s">
        <v>9158</v>
      </c>
      <c r="N297" s="14" t="s">
        <v>9158</v>
      </c>
      <c r="O297" s="14" t="s">
        <v>9158</v>
      </c>
      <c r="P297" s="14" t="s">
        <v>9158</v>
      </c>
      <c r="Q297" s="14" t="s">
        <v>9158</v>
      </c>
    </row>
    <row r="299" spans="1:19">
      <c r="A299" s="14" t="s">
        <v>16607</v>
      </c>
    </row>
    <row r="300" spans="1:19">
      <c r="A300" s="14">
        <v>105456</v>
      </c>
      <c r="B300" s="14" t="s">
        <v>16608</v>
      </c>
    </row>
    <row r="301" spans="1:19">
      <c r="A301" s="14">
        <v>105484</v>
      </c>
      <c r="B301" s="14" t="s">
        <v>16609</v>
      </c>
    </row>
    <row r="302" spans="1:19">
      <c r="A302" s="14">
        <v>105485</v>
      </c>
      <c r="B302" s="14" t="s">
        <v>16610</v>
      </c>
    </row>
    <row r="303" spans="1:19">
      <c r="A303" s="14">
        <v>94763</v>
      </c>
      <c r="B303" s="14" t="s">
        <v>117</v>
      </c>
      <c r="C303" s="14" t="s">
        <v>35</v>
      </c>
      <c r="D303" s="14" t="s">
        <v>16616</v>
      </c>
      <c r="E303" s="15" t="str">
        <f>HYPERLINK("https://stat100.ameba.jp/tnk47/ratio20/illustrations/card/ill_94763_sosenkyotenshoinatsuhime03.jpg?202012-5-RELEASE-marathon-506xxx", "■")</f>
        <v>■</v>
      </c>
      <c r="F303" s="14" t="s">
        <v>16615</v>
      </c>
      <c r="G303" s="14">
        <v>397612</v>
      </c>
      <c r="H303" s="14">
        <v>359360</v>
      </c>
      <c r="I303" s="14">
        <v>31</v>
      </c>
      <c r="J303" s="14" t="s">
        <v>10</v>
      </c>
      <c r="K303" s="14" t="s">
        <v>16614</v>
      </c>
      <c r="L303" s="14" t="s">
        <v>16611</v>
      </c>
      <c r="M303" s="14" t="s">
        <v>9158</v>
      </c>
      <c r="N303" s="14" t="s">
        <v>9158</v>
      </c>
      <c r="O303" s="14" t="s">
        <v>16612</v>
      </c>
      <c r="P303" s="14" t="s">
        <v>16613</v>
      </c>
      <c r="Q303" s="14">
        <v>1</v>
      </c>
    </row>
    <row r="304" spans="1:19">
      <c r="A304" s="14">
        <v>82473</v>
      </c>
      <c r="B304" s="14" t="s">
        <v>0</v>
      </c>
      <c r="C304" s="14" t="s">
        <v>14</v>
      </c>
      <c r="D304" s="19" t="s">
        <v>10335</v>
      </c>
      <c r="E304" s="15" t="str">
        <f>HYPERLINK("https://stat100.ameba.jp/tnk47/ratio20/illustrations/card/ill_82473_tanabataakitainukun03.jpg?202012-5-RELEASE-marathon-506xxx", "■")</f>
        <v>■</v>
      </c>
      <c r="F304" s="14" t="s">
        <v>5453</v>
      </c>
      <c r="G304" s="14">
        <v>149240</v>
      </c>
      <c r="H304" s="14">
        <v>160507</v>
      </c>
      <c r="I304" s="14">
        <v>27</v>
      </c>
      <c r="J304" s="14" t="s">
        <v>26</v>
      </c>
      <c r="K304" s="14" t="s">
        <v>5455</v>
      </c>
      <c r="L304" s="14" t="s">
        <v>5456</v>
      </c>
      <c r="M304" s="14" t="s">
        <v>9158</v>
      </c>
      <c r="N304" s="14" t="s">
        <v>9158</v>
      </c>
      <c r="O304" s="14" t="s">
        <v>9158</v>
      </c>
      <c r="P304" s="14" t="s">
        <v>9158</v>
      </c>
      <c r="Q304" s="14" t="s">
        <v>9158</v>
      </c>
    </row>
    <row r="305" spans="1:17">
      <c r="A305" s="14">
        <v>89313</v>
      </c>
      <c r="B305" s="14" t="s">
        <v>0</v>
      </c>
      <c r="C305" s="14" t="s">
        <v>23</v>
      </c>
      <c r="D305" s="14" t="s">
        <v>12716</v>
      </c>
      <c r="E305" s="15" t="str">
        <f>HYPERLINK("https://stat100.ameba.jp/tnk47/ratio20/illustrations/card/ill_89313_hantahiimisama03.jpg?202012-5-RELEASE-marathon-506xxx", "■")</f>
        <v>■</v>
      </c>
      <c r="F305" s="14" t="s">
        <v>12718</v>
      </c>
      <c r="G305" s="14">
        <v>149240</v>
      </c>
      <c r="H305" s="14">
        <v>160507</v>
      </c>
      <c r="I305" s="14">
        <v>27</v>
      </c>
      <c r="J305" s="14" t="s">
        <v>73</v>
      </c>
      <c r="K305" s="14" t="s">
        <v>12720</v>
      </c>
      <c r="L305" s="14" t="s">
        <v>12721</v>
      </c>
      <c r="M305" s="14" t="s">
        <v>9158</v>
      </c>
      <c r="N305" s="14" t="s">
        <v>9158</v>
      </c>
      <c r="O305" s="14" t="s">
        <v>9158</v>
      </c>
      <c r="P305" s="14" t="s">
        <v>9158</v>
      </c>
      <c r="Q305" s="14" t="s">
        <v>9158</v>
      </c>
    </row>
    <row r="306" spans="1:17">
      <c r="A306" s="14">
        <v>83213</v>
      </c>
      <c r="B306" s="14" t="s">
        <v>0</v>
      </c>
      <c r="C306" s="14" t="s">
        <v>191</v>
      </c>
      <c r="D306" s="19" t="s">
        <v>14434</v>
      </c>
      <c r="E306" s="15" t="str">
        <f>HYPERLINK("https://stat100.ameba.jp/tnk47/ratio20/illustrations/card/ill_83213_hanabishiechizenganinabechan03.jpg?202012-5-RELEASE-marathon-506xxx", "■")</f>
        <v>■</v>
      </c>
      <c r="F306" s="14" t="s">
        <v>6282</v>
      </c>
      <c r="G306" s="14">
        <v>118568</v>
      </c>
      <c r="H306" s="14">
        <v>127507</v>
      </c>
      <c r="I306" s="14">
        <v>27</v>
      </c>
      <c r="J306" s="14" t="s">
        <v>104</v>
      </c>
      <c r="K306" s="14" t="s">
        <v>6285</v>
      </c>
      <c r="L306" s="14" t="s">
        <v>131</v>
      </c>
      <c r="M306" s="14" t="s">
        <v>9158</v>
      </c>
      <c r="N306" s="14" t="s">
        <v>9158</v>
      </c>
      <c r="O306" s="14" t="s">
        <v>9158</v>
      </c>
      <c r="P306" s="14" t="s">
        <v>9158</v>
      </c>
      <c r="Q306" s="14" t="s">
        <v>9158</v>
      </c>
    </row>
    <row r="307" spans="1:17">
      <c r="A307" s="9">
        <v>87323</v>
      </c>
      <c r="B307" s="9" t="s">
        <v>0</v>
      </c>
      <c r="C307" s="9" t="s">
        <v>165</v>
      </c>
      <c r="D307" s="19" t="s">
        <v>10995</v>
      </c>
      <c r="E307" s="15" t="str">
        <f>HYPERLINK("https://stat100.ameba.jp/tnk47/ratio20/illustrations/card/ill_87323_takopakuidaorechan03.jpg?202012-5-RELEASE-marathon-506xxx", "■")</f>
        <v>■</v>
      </c>
      <c r="F307" s="9" t="s">
        <v>9830</v>
      </c>
      <c r="G307" s="9">
        <v>114362</v>
      </c>
      <c r="H307" s="9">
        <v>123002</v>
      </c>
      <c r="I307" s="14">
        <v>27</v>
      </c>
      <c r="J307" s="9" t="s">
        <v>229</v>
      </c>
      <c r="K307" s="9" t="s">
        <v>9829</v>
      </c>
      <c r="L307" s="9" t="s">
        <v>7427</v>
      </c>
      <c r="M307" s="14" t="s">
        <v>9158</v>
      </c>
      <c r="N307" s="14" t="s">
        <v>9158</v>
      </c>
      <c r="O307" s="14" t="s">
        <v>9158</v>
      </c>
      <c r="P307" s="14" t="s">
        <v>9158</v>
      </c>
      <c r="Q307" s="14" t="s">
        <v>9158</v>
      </c>
    </row>
    <row r="308" spans="1:17">
      <c r="A308" s="9">
        <v>88033</v>
      </c>
      <c r="B308" s="9" t="s">
        <v>0</v>
      </c>
      <c r="C308" s="9" t="s">
        <v>205</v>
      </c>
      <c r="D308" s="9" t="s">
        <v>11979</v>
      </c>
      <c r="E308" s="15" t="str">
        <f>HYPERLINK("https://stat100.ameba.jp/tnk47/ratio20/illustrations/card/ill_88033_meishuandorudeisu03.jpg?202012-5-RELEASE-marathon-506xxx", "■")</f>
        <v>■</v>
      </c>
      <c r="F308" s="9" t="s">
        <v>11980</v>
      </c>
      <c r="G308" s="9">
        <v>98019</v>
      </c>
      <c r="H308" s="9">
        <v>105465</v>
      </c>
      <c r="I308" s="7">
        <v>27</v>
      </c>
      <c r="J308" s="9" t="s">
        <v>187</v>
      </c>
      <c r="K308" s="9" t="s">
        <v>11981</v>
      </c>
      <c r="L308" s="9" t="s">
        <v>13252</v>
      </c>
      <c r="M308" s="14" t="s">
        <v>9158</v>
      </c>
      <c r="N308" s="14" t="s">
        <v>9158</v>
      </c>
      <c r="O308" s="7" t="s">
        <v>9158</v>
      </c>
      <c r="P308" s="14" t="s">
        <v>9158</v>
      </c>
      <c r="Q308" s="14" t="s">
        <v>9158</v>
      </c>
    </row>
    <row r="309" spans="1:17">
      <c r="A309" s="14">
        <v>82613</v>
      </c>
      <c r="B309" s="14" t="s">
        <v>0</v>
      </c>
      <c r="C309" s="14" t="s">
        <v>107</v>
      </c>
      <c r="D309" s="19" t="s">
        <v>10354</v>
      </c>
      <c r="E309" s="15" t="str">
        <f>HYPERLINK("https://stat100.ameba.jp/tnk47/ratio20/illustrations/card/ill_82613_hyokanokisetsumyorinni03.jpg?202012-5-RELEASE-marathon-506xxx", "■")</f>
        <v>■</v>
      </c>
      <c r="F309" s="14" t="s">
        <v>5538</v>
      </c>
      <c r="G309" s="14">
        <v>149240</v>
      </c>
      <c r="H309" s="14">
        <v>160507</v>
      </c>
      <c r="I309" s="14">
        <v>27</v>
      </c>
      <c r="J309" s="14" t="s">
        <v>143</v>
      </c>
      <c r="K309" s="14" t="s">
        <v>5540</v>
      </c>
      <c r="L309" s="14" t="s">
        <v>5541</v>
      </c>
      <c r="M309" s="14" t="s">
        <v>9158</v>
      </c>
      <c r="N309" s="14" t="s">
        <v>9158</v>
      </c>
      <c r="O309" s="14" t="s">
        <v>9158</v>
      </c>
      <c r="P309" s="14" t="s">
        <v>9158</v>
      </c>
      <c r="Q309" s="14" t="s">
        <v>9158</v>
      </c>
    </row>
    <row r="311" spans="1:17">
      <c r="A311" s="14" t="s">
        <v>1711</v>
      </c>
    </row>
    <row r="312" spans="1:17">
      <c r="A312" s="14">
        <v>105392</v>
      </c>
      <c r="B312" s="14" t="s">
        <v>2463</v>
      </c>
    </row>
    <row r="313" spans="1:17">
      <c r="A313" s="14" t="s">
        <v>5848</v>
      </c>
      <c r="B313" s="14" t="s">
        <v>52</v>
      </c>
      <c r="C313" s="14" t="s">
        <v>200</v>
      </c>
      <c r="D313" s="20" t="s">
        <v>3160</v>
      </c>
      <c r="E313" s="15" t="str">
        <f>HYPERLINK("https://stat100.ameba.jp/tnk47/ratio20/illustrations/card/ill_72963_0_amenohanayomehiguchiichiyo03.jpg?202012-5-RELEASE-marathon-506xxx", "■")</f>
        <v>■</v>
      </c>
      <c r="F313" s="14" t="s">
        <v>1139</v>
      </c>
      <c r="G313" s="14">
        <v>160804</v>
      </c>
      <c r="H313" s="14">
        <v>149520</v>
      </c>
      <c r="I313" s="14">
        <v>24</v>
      </c>
      <c r="J313" s="14" t="s">
        <v>10</v>
      </c>
      <c r="K313" s="14" t="s">
        <v>1140</v>
      </c>
      <c r="L313" s="14" t="s">
        <v>1141</v>
      </c>
      <c r="M313" s="14" t="s">
        <v>9158</v>
      </c>
      <c r="N313" s="14" t="s">
        <v>9158</v>
      </c>
      <c r="O313" s="19" t="s">
        <v>3162</v>
      </c>
      <c r="P313" s="14" t="s">
        <v>3410</v>
      </c>
      <c r="Q313" s="14">
        <v>1</v>
      </c>
    </row>
    <row r="314" spans="1:17">
      <c r="A314" s="14" t="s">
        <v>5724</v>
      </c>
      <c r="B314" s="14" t="s">
        <v>330</v>
      </c>
      <c r="C314" s="14" t="s">
        <v>335</v>
      </c>
      <c r="D314" s="19" t="s">
        <v>698</v>
      </c>
      <c r="E314" s="15" t="str">
        <f>HYPERLINK("https://stat100.ameba.jp/tnk47/ratio20/illustrations/card/ill_66433_0_haroinfujishirogozen03.jpg?202012-5-RELEASE-marathon-506xxx", "■")</f>
        <v>■</v>
      </c>
      <c r="F314" s="14" t="s">
        <v>699</v>
      </c>
      <c r="G314" s="14">
        <v>146892</v>
      </c>
      <c r="H314" s="14">
        <v>158000</v>
      </c>
      <c r="I314" s="14">
        <v>24</v>
      </c>
      <c r="J314" s="14" t="s">
        <v>315</v>
      </c>
      <c r="K314" s="14" t="s">
        <v>700</v>
      </c>
      <c r="L314" s="14" t="s">
        <v>701</v>
      </c>
      <c r="M314" s="14" t="s">
        <v>9158</v>
      </c>
      <c r="N314" s="14" t="s">
        <v>9158</v>
      </c>
      <c r="O314" s="19" t="s">
        <v>10095</v>
      </c>
      <c r="P314" s="14" t="s">
        <v>3345</v>
      </c>
      <c r="Q314" s="14">
        <v>1</v>
      </c>
    </row>
    <row r="315" spans="1:17">
      <c r="A315" s="14" t="s">
        <v>5612</v>
      </c>
      <c r="B315" s="14" t="s">
        <v>52</v>
      </c>
      <c r="C315" s="14" t="s">
        <v>165</v>
      </c>
      <c r="D315" s="19" t="s">
        <v>789</v>
      </c>
      <c r="E315" s="15" t="str">
        <f>HYPERLINK("https://stat100.ameba.jp/tnk47/ratio20/illustrations/card/ill_49193_0_onmyoudouabenoseimei03.jpg?202012-5-RELEASE-marathon-506xxx", "■")</f>
        <v>■</v>
      </c>
      <c r="F315" s="14" t="s">
        <v>1896</v>
      </c>
      <c r="G315" s="14">
        <v>133938</v>
      </c>
      <c r="H315" s="14">
        <v>150776</v>
      </c>
      <c r="I315" s="14">
        <v>24</v>
      </c>
      <c r="J315" s="14" t="s">
        <v>10</v>
      </c>
      <c r="K315" s="14" t="s">
        <v>1897</v>
      </c>
      <c r="L315" s="14" t="s">
        <v>1898</v>
      </c>
      <c r="M315" s="14" t="s">
        <v>9158</v>
      </c>
      <c r="N315" s="14" t="s">
        <v>9158</v>
      </c>
      <c r="O315" s="14" t="s">
        <v>9158</v>
      </c>
      <c r="P315" s="14" t="s">
        <v>9158</v>
      </c>
      <c r="Q315" s="14" t="s">
        <v>9158</v>
      </c>
    </row>
    <row r="316" spans="1:17">
      <c r="A316" s="14">
        <v>94533</v>
      </c>
      <c r="B316" s="14" t="s">
        <v>334</v>
      </c>
      <c r="C316" s="14" t="s">
        <v>107</v>
      </c>
      <c r="D316" s="14" t="s">
        <v>16619</v>
      </c>
      <c r="E316" s="15" t="str">
        <f>HYPERLINK("https://stat100.ameba.jp/tnk47/ratio20/illustrations/card/ill_94533_fuyunotozurekeitotsukaiyumu03.jpg?202012-5-RELEASE-marathon-506xxx", "■")</f>
        <v>■</v>
      </c>
      <c r="F316" s="14" t="s">
        <v>16618</v>
      </c>
      <c r="G316" s="14">
        <v>154562</v>
      </c>
      <c r="H316" s="14">
        <v>143714</v>
      </c>
      <c r="I316" s="14">
        <v>26</v>
      </c>
      <c r="J316" s="14" t="s">
        <v>26</v>
      </c>
      <c r="K316" s="14" t="s">
        <v>16617</v>
      </c>
      <c r="L316" s="14" t="s">
        <v>5053</v>
      </c>
      <c r="M316" s="14" t="s">
        <v>9158</v>
      </c>
      <c r="N316" s="14" t="s">
        <v>9158</v>
      </c>
      <c r="O316" s="14" t="s">
        <v>9158</v>
      </c>
      <c r="P316" s="14" t="s">
        <v>9158</v>
      </c>
      <c r="Q316" s="14" t="s">
        <v>9158</v>
      </c>
    </row>
    <row r="317" spans="1:17">
      <c r="A317" s="14">
        <v>94553</v>
      </c>
      <c r="B317" s="14" t="s">
        <v>15</v>
      </c>
      <c r="C317" s="14" t="s">
        <v>101</v>
      </c>
      <c r="D317" s="14" t="s">
        <v>16405</v>
      </c>
      <c r="E317" s="15" t="str">
        <f>HYPERLINK("https://stat100.ameba.jp/tnk47/ratio20/illustrations/card/ill_94553_yukigassen03.jpg?202012-5-RELEASE-marathon-506xxx", "■")</f>
        <v>■</v>
      </c>
      <c r="F317" s="14" t="s">
        <v>16404</v>
      </c>
      <c r="G317" s="14">
        <v>69898</v>
      </c>
      <c r="H317" s="14">
        <v>77064</v>
      </c>
      <c r="I317" s="14">
        <v>26</v>
      </c>
      <c r="J317" s="14" t="s">
        <v>38</v>
      </c>
      <c r="K317" s="14" t="s">
        <v>16403</v>
      </c>
      <c r="L317" s="14" t="s">
        <v>1753</v>
      </c>
      <c r="M317" s="14" t="s">
        <v>9158</v>
      </c>
      <c r="N317" s="14" t="s">
        <v>9158</v>
      </c>
      <c r="O317" s="14" t="s">
        <v>9158</v>
      </c>
      <c r="P317" s="14" t="s">
        <v>9158</v>
      </c>
      <c r="Q317" s="14" t="s">
        <v>9158</v>
      </c>
    </row>
    <row r="318" spans="1:17">
      <c r="A318" s="14">
        <v>94563</v>
      </c>
      <c r="B318" s="14" t="s">
        <v>22</v>
      </c>
      <c r="C318" s="14" t="s">
        <v>1</v>
      </c>
      <c r="D318" s="14" t="s">
        <v>16408</v>
      </c>
      <c r="E318" s="15" t="str">
        <f>HYPERLINK("https://stat100.ameba.jp/tnk47/ratio20/illustrations/card/ill_94563_mukashibanashitsurunongaeshi03.jpg?202012-5-RELEASE-marathon-506xxx", "■")</f>
        <v>■</v>
      </c>
      <c r="F318" s="14" t="s">
        <v>16407</v>
      </c>
      <c r="G318" s="14">
        <v>54058</v>
      </c>
      <c r="H318" s="14">
        <v>44948</v>
      </c>
      <c r="I318" s="14">
        <v>26</v>
      </c>
      <c r="J318" s="14" t="s">
        <v>38</v>
      </c>
      <c r="K318" s="14" t="s">
        <v>16406</v>
      </c>
      <c r="L318" s="14" t="s">
        <v>7248</v>
      </c>
      <c r="M318" s="14" t="s">
        <v>9158</v>
      </c>
      <c r="N318" s="14" t="s">
        <v>9158</v>
      </c>
      <c r="O318" s="14" t="s">
        <v>9158</v>
      </c>
      <c r="P318" s="14" t="s">
        <v>9158</v>
      </c>
      <c r="Q318" s="14" t="s">
        <v>9158</v>
      </c>
    </row>
    <row r="319" spans="1:17">
      <c r="A319" s="14">
        <v>94573</v>
      </c>
      <c r="B319" s="14" t="s">
        <v>22</v>
      </c>
      <c r="C319" s="14" t="s">
        <v>14</v>
      </c>
      <c r="D319" s="14" t="s">
        <v>16411</v>
      </c>
      <c r="E319" s="15" t="str">
        <f>HYPERLINK("https://stat100.ameba.jp/tnk47/ratio20/illustrations/card/ill_94573_daiyamondodasuto03.jpg?202012-5-RELEASE-marathon-506xxx", "■")</f>
        <v>■</v>
      </c>
      <c r="F319" s="14" t="s">
        <v>16410</v>
      </c>
      <c r="G319" s="14">
        <v>44948</v>
      </c>
      <c r="H319" s="14">
        <v>54058</v>
      </c>
      <c r="I319" s="14">
        <v>26</v>
      </c>
      <c r="J319" s="14" t="s">
        <v>26</v>
      </c>
      <c r="K319" s="14" t="s">
        <v>16409</v>
      </c>
      <c r="L319" s="14" t="s">
        <v>28</v>
      </c>
      <c r="M319" s="14" t="s">
        <v>9158</v>
      </c>
      <c r="N319" s="14" t="s">
        <v>9158</v>
      </c>
      <c r="O319" s="14" t="s">
        <v>9158</v>
      </c>
      <c r="P319" s="14" t="s">
        <v>9158</v>
      </c>
      <c r="Q319" s="14" t="s">
        <v>9158</v>
      </c>
    </row>
    <row r="321" spans="1:17">
      <c r="A321" s="14" t="s">
        <v>3905</v>
      </c>
    </row>
    <row r="322" spans="1:17">
      <c r="A322" s="14">
        <v>235677</v>
      </c>
      <c r="B322" s="14" t="s">
        <v>2464</v>
      </c>
    </row>
    <row r="323" spans="1:17">
      <c r="A323" s="9" t="s">
        <v>5611</v>
      </c>
      <c r="B323" s="14" t="s">
        <v>330</v>
      </c>
      <c r="C323" s="14" t="s">
        <v>185</v>
      </c>
      <c r="D323" s="14" t="s">
        <v>539</v>
      </c>
      <c r="E323" s="15" t="str">
        <f>HYPERLINK("https://stat100.ameba.jp/tnk47/ratio20/illustrations/card/ill_60633_0_harumaisentoin03.jpg?202012-5-RELEASE-marathon-506xxx", "■")</f>
        <v>■</v>
      </c>
      <c r="F323" s="14" t="s">
        <v>540</v>
      </c>
      <c r="G323" s="14">
        <v>139878</v>
      </c>
      <c r="H323" s="14">
        <v>150466</v>
      </c>
      <c r="I323" s="14">
        <v>22</v>
      </c>
      <c r="J323" s="14" t="s">
        <v>274</v>
      </c>
      <c r="K323" s="14" t="s">
        <v>541</v>
      </c>
      <c r="L323" s="14" t="s">
        <v>542</v>
      </c>
      <c r="M323" s="14" t="s">
        <v>9158</v>
      </c>
      <c r="N323" s="14" t="s">
        <v>9158</v>
      </c>
      <c r="O323" s="9" t="s">
        <v>2888</v>
      </c>
      <c r="P323" s="14" t="s">
        <v>3144</v>
      </c>
      <c r="Q323" s="14">
        <v>1</v>
      </c>
    </row>
    <row r="324" spans="1:17">
      <c r="A324" s="9" t="s">
        <v>5725</v>
      </c>
      <c r="B324" s="14" t="s">
        <v>52</v>
      </c>
      <c r="C324" s="14" t="s">
        <v>107</v>
      </c>
      <c r="D324" s="14" t="s">
        <v>55</v>
      </c>
      <c r="E324" s="15" t="str">
        <f>HYPERLINK("https://stat100.ameba.jp/tnk47/ratio20/illustrations/card/ill_52693_0_sengokumibirakiyanagiharabyakuren03.jpg?202012-5-RELEASE-marathon-506xxx", "■")</f>
        <v>■</v>
      </c>
      <c r="F324" s="14" t="s">
        <v>1246</v>
      </c>
      <c r="G324" s="14">
        <v>122776</v>
      </c>
      <c r="H324" s="14">
        <v>138212</v>
      </c>
      <c r="I324" s="14">
        <v>22</v>
      </c>
      <c r="J324" s="14" t="s">
        <v>16</v>
      </c>
      <c r="K324" s="14" t="s">
        <v>1247</v>
      </c>
      <c r="L324" s="14" t="s">
        <v>1248</v>
      </c>
      <c r="M324" s="14" t="s">
        <v>9158</v>
      </c>
      <c r="N324" s="14" t="s">
        <v>9158</v>
      </c>
      <c r="O324" s="9" t="s">
        <v>3303</v>
      </c>
      <c r="P324" s="14" t="s">
        <v>3304</v>
      </c>
      <c r="Q324" s="14">
        <v>1</v>
      </c>
    </row>
    <row r="325" spans="1:17">
      <c r="A325" s="14" t="s">
        <v>5897</v>
      </c>
      <c r="B325" s="14" t="s">
        <v>52</v>
      </c>
      <c r="C325" s="14" t="s">
        <v>23</v>
      </c>
      <c r="D325" s="19" t="s">
        <v>277</v>
      </c>
      <c r="E325" s="15" t="str">
        <f>HYPERLINK("https://stat100.ameba.jp/tnk47/ratio20/illustrations/card/ill_40913_0_reigyokudensetsufusehime03.jpg?202012-5-RELEASE-marathon-506xxx", "■")</f>
        <v>■</v>
      </c>
      <c r="F325" s="14" t="s">
        <v>955</v>
      </c>
      <c r="G325" s="14">
        <v>120576</v>
      </c>
      <c r="H325" s="14">
        <v>128744</v>
      </c>
      <c r="I325" s="14">
        <v>22</v>
      </c>
      <c r="J325" s="14" t="s">
        <v>38</v>
      </c>
      <c r="K325" s="14" t="s">
        <v>956</v>
      </c>
      <c r="L325" s="14" t="s">
        <v>957</v>
      </c>
      <c r="M325" s="14" t="s">
        <v>9158</v>
      </c>
      <c r="N325" s="14" t="s">
        <v>9158</v>
      </c>
      <c r="O325" s="14" t="s">
        <v>9158</v>
      </c>
      <c r="P325" s="14" t="s">
        <v>9158</v>
      </c>
      <c r="Q325" s="14" t="s">
        <v>9158</v>
      </c>
    </row>
    <row r="326" spans="1:17">
      <c r="A326" s="9">
        <v>55993</v>
      </c>
      <c r="B326" s="14" t="s">
        <v>334</v>
      </c>
      <c r="C326" s="14" t="s">
        <v>307</v>
      </c>
      <c r="D326" s="14" t="s">
        <v>732</v>
      </c>
      <c r="E326" s="15" t="str">
        <f>HYPERLINK("https://stat100.ameba.jp/tnk47/ratio20/illustrations/card/ill_55993_taiyakichan03.jpg?202012-5-RELEASE-marathon-506xxx", "■")</f>
        <v>■</v>
      </c>
      <c r="F326" s="14" t="s">
        <v>733</v>
      </c>
      <c r="G326" s="14">
        <v>91874</v>
      </c>
      <c r="H326" s="14">
        <v>163316</v>
      </c>
      <c r="I326" s="14">
        <v>28</v>
      </c>
      <c r="J326" s="14" t="s">
        <v>283</v>
      </c>
      <c r="K326" s="14" t="s">
        <v>734</v>
      </c>
      <c r="L326" s="14" t="s">
        <v>735</v>
      </c>
      <c r="M326" s="14" t="s">
        <v>9158</v>
      </c>
      <c r="N326" s="14" t="s">
        <v>9158</v>
      </c>
      <c r="O326" s="14" t="s">
        <v>9158</v>
      </c>
      <c r="P326" s="14" t="s">
        <v>9158</v>
      </c>
      <c r="Q326" s="14" t="s">
        <v>9158</v>
      </c>
    </row>
    <row r="327" spans="1:17">
      <c r="A327" s="14">
        <v>67533</v>
      </c>
      <c r="B327" s="14" t="s">
        <v>334</v>
      </c>
      <c r="C327" s="14" t="s">
        <v>206</v>
      </c>
      <c r="D327" s="19" t="s">
        <v>890</v>
      </c>
      <c r="E327" s="15" t="str">
        <f>HYPERLINK("https://stat100.ameba.jp/tnk47/ratio20/illustrations/card/ill_67533_makkurazore03.jpg?202012-5-RELEASE-marathon-506xxx", "■")</f>
        <v>■</v>
      </c>
      <c r="F327" s="14" t="s">
        <v>891</v>
      </c>
      <c r="G327" s="14">
        <v>78908</v>
      </c>
      <c r="H327" s="14">
        <v>140238</v>
      </c>
      <c r="I327" s="14">
        <v>28</v>
      </c>
      <c r="J327" s="14" t="s">
        <v>320</v>
      </c>
      <c r="K327" s="14" t="s">
        <v>892</v>
      </c>
      <c r="L327" s="14" t="s">
        <v>893</v>
      </c>
      <c r="M327" s="14" t="s">
        <v>9158</v>
      </c>
      <c r="N327" s="14" t="s">
        <v>9158</v>
      </c>
      <c r="O327" s="14" t="s">
        <v>9158</v>
      </c>
      <c r="P327" s="14" t="s">
        <v>9158</v>
      </c>
      <c r="Q327" s="14" t="s">
        <v>9158</v>
      </c>
    </row>
    <row r="328" spans="1:17">
      <c r="A328" s="9">
        <v>87693</v>
      </c>
      <c r="B328" s="9" t="s">
        <v>0</v>
      </c>
      <c r="C328" s="9" t="s">
        <v>205</v>
      </c>
      <c r="D328" s="9" t="s">
        <v>10039</v>
      </c>
      <c r="E328" s="15" t="str">
        <f>HYPERLINK("https://stat100.ameba.jp/tnk47/ratio20/illustrations/card/ill_87693_seikasodatsusenizumotaisha03.jpg?202012-5-RELEASE-marathon-506xxx", "■")</f>
        <v>■</v>
      </c>
      <c r="F328" s="9" t="s">
        <v>10040</v>
      </c>
      <c r="G328" s="9">
        <v>118598</v>
      </c>
      <c r="H328" s="9">
        <v>127556</v>
      </c>
      <c r="I328" s="14">
        <v>28</v>
      </c>
      <c r="J328" s="9" t="s">
        <v>229</v>
      </c>
      <c r="K328" s="9" t="s">
        <v>10041</v>
      </c>
      <c r="L328" s="9" t="s">
        <v>13215</v>
      </c>
      <c r="M328" s="14" t="s">
        <v>9158</v>
      </c>
      <c r="N328" s="14" t="s">
        <v>9158</v>
      </c>
      <c r="O328" s="7" t="s">
        <v>9158</v>
      </c>
      <c r="P328" s="14" t="s">
        <v>9158</v>
      </c>
      <c r="Q328" s="14" t="s">
        <v>9158</v>
      </c>
    </row>
    <row r="330" spans="1:17">
      <c r="A330" s="14" t="s">
        <v>4065</v>
      </c>
    </row>
    <row r="331" spans="1:17">
      <c r="A331" s="14">
        <v>105417</v>
      </c>
      <c r="B331" s="14" t="s">
        <v>16620</v>
      </c>
    </row>
    <row r="332" spans="1:17">
      <c r="A332" s="14" t="s">
        <v>5963</v>
      </c>
      <c r="B332" s="14" t="s">
        <v>330</v>
      </c>
      <c r="C332" s="14" t="s">
        <v>35</v>
      </c>
      <c r="D332" s="20" t="s">
        <v>10438</v>
      </c>
      <c r="E332" s="15" t="str">
        <f>HYPERLINK("https://stat100.ameba.jp/tnk47/ratio20/illustrations/card/ill_82963_0_yukatamatsuritomokazuki03.jpg?202001-i_prefecture_active_user", "■")</f>
        <v>■</v>
      </c>
      <c r="F332" s="14" t="s">
        <v>5964</v>
      </c>
      <c r="G332" s="14">
        <v>309714</v>
      </c>
      <c r="H332" s="14">
        <v>342692</v>
      </c>
      <c r="I332" s="14">
        <v>26</v>
      </c>
      <c r="J332" s="14" t="s">
        <v>73</v>
      </c>
      <c r="K332" s="14" t="s">
        <v>5966</v>
      </c>
      <c r="L332" s="14" t="s">
        <v>5967</v>
      </c>
      <c r="M332" s="14" t="s">
        <v>9158</v>
      </c>
      <c r="N332" s="14" t="s">
        <v>9158</v>
      </c>
      <c r="O332" s="19" t="s">
        <v>10115</v>
      </c>
      <c r="P332" s="14" t="s">
        <v>5968</v>
      </c>
      <c r="Q332" s="14">
        <v>1</v>
      </c>
    </row>
    <row r="333" spans="1:17">
      <c r="A333" s="14">
        <v>82543</v>
      </c>
      <c r="B333" s="14" t="s">
        <v>334</v>
      </c>
      <c r="C333" s="14" t="s">
        <v>41</v>
      </c>
      <c r="D333" s="20" t="s">
        <v>10342</v>
      </c>
      <c r="E333" s="15" t="str">
        <f>HYPERLINK("https://stat100.ameba.jp/tnk47/ratio20/illustrations/card/ill_82543_nabeshimanagako03.jpg?202001-i_prefecture_active_user", "■")</f>
        <v>■</v>
      </c>
      <c r="F333" s="14" t="s">
        <v>5491</v>
      </c>
      <c r="G333" s="14">
        <v>113630</v>
      </c>
      <c r="H333" s="14">
        <v>82318</v>
      </c>
      <c r="I333" s="14">
        <v>26</v>
      </c>
      <c r="J333" s="14" t="s">
        <v>10</v>
      </c>
      <c r="K333" s="14" t="s">
        <v>5493</v>
      </c>
      <c r="L333" s="14" t="s">
        <v>5494</v>
      </c>
      <c r="M333" s="14" t="s">
        <v>9158</v>
      </c>
      <c r="N333" s="14" t="s">
        <v>9158</v>
      </c>
      <c r="O333" s="19" t="s">
        <v>10080</v>
      </c>
      <c r="P333" s="14" t="s">
        <v>3705</v>
      </c>
      <c r="Q333" s="14">
        <v>1</v>
      </c>
    </row>
    <row r="334" spans="1:17">
      <c r="A334" s="7">
        <v>85043</v>
      </c>
      <c r="B334" s="7" t="s">
        <v>0</v>
      </c>
      <c r="C334" s="14" t="s">
        <v>209</v>
      </c>
      <c r="D334" s="19" t="s">
        <v>10752</v>
      </c>
      <c r="E334" s="15" t="str">
        <f>HYPERLINK("https://stat100.ameba.jp/tnk47/ratio20/illustrations/card/ill_85043_sutoroberireddo03.jpg?202001-i_prefecture_active_user", "■")</f>
        <v>■</v>
      </c>
      <c r="F334" s="7" t="s">
        <v>7843</v>
      </c>
      <c r="G334" s="7">
        <v>137430</v>
      </c>
      <c r="H334" s="7">
        <v>99532</v>
      </c>
      <c r="I334" s="14">
        <v>26</v>
      </c>
      <c r="J334" s="7" t="s">
        <v>104</v>
      </c>
      <c r="K334" s="7" t="s">
        <v>7841</v>
      </c>
      <c r="L334" s="7" t="s">
        <v>2409</v>
      </c>
      <c r="M334" s="14" t="s">
        <v>9158</v>
      </c>
      <c r="N334" s="14" t="s">
        <v>9158</v>
      </c>
      <c r="O334" s="19" t="s">
        <v>10102</v>
      </c>
      <c r="P334" s="14" t="s">
        <v>3672</v>
      </c>
      <c r="Q334" s="14">
        <v>1</v>
      </c>
    </row>
    <row r="335" spans="1:17">
      <c r="A335" s="14">
        <v>75883</v>
      </c>
      <c r="B335" s="14" t="s">
        <v>334</v>
      </c>
      <c r="C335" s="14" t="s">
        <v>154</v>
      </c>
      <c r="D335" s="19" t="s">
        <v>10402</v>
      </c>
      <c r="E335" s="15" t="str">
        <f>HYPERLINK("https://stat100.ameba.jp/tnk47/ratio20/illustrations/card/ill_75883_kitajokagehiro03.jpg?202001-i_prefecture_active_user", "■")</f>
        <v>■</v>
      </c>
      <c r="F335" s="14" t="s">
        <v>2411</v>
      </c>
      <c r="G335" s="14">
        <v>125296</v>
      </c>
      <c r="H335" s="14">
        <v>172982</v>
      </c>
      <c r="I335" s="14">
        <v>26</v>
      </c>
      <c r="J335" s="14" t="s">
        <v>143</v>
      </c>
      <c r="K335" s="14" t="s">
        <v>2412</v>
      </c>
      <c r="L335" s="14" t="s">
        <v>1148</v>
      </c>
      <c r="M335" s="14" t="s">
        <v>9158</v>
      </c>
      <c r="N335" s="14" t="s">
        <v>9158</v>
      </c>
      <c r="O335" s="19" t="s">
        <v>10106</v>
      </c>
      <c r="P335" s="14" t="s">
        <v>3330</v>
      </c>
      <c r="Q335" s="14">
        <v>2</v>
      </c>
    </row>
    <row r="337" spans="1:17">
      <c r="A337" s="14" t="s">
        <v>3916</v>
      </c>
    </row>
    <row r="338" spans="1:17">
      <c r="A338" s="14">
        <v>105422</v>
      </c>
      <c r="B338" s="14" t="s">
        <v>2499</v>
      </c>
    </row>
    <row r="339" spans="1:17">
      <c r="A339" s="14">
        <v>76103</v>
      </c>
      <c r="B339" s="14" t="s">
        <v>334</v>
      </c>
      <c r="C339" s="14" t="s">
        <v>154</v>
      </c>
      <c r="D339" s="19" t="s">
        <v>570</v>
      </c>
      <c r="E339" s="15" t="str">
        <f>HYPERLINK("https://stat100.ameba.jp/tnk47/ratio20/illustrations/card/ill_76103_shibuaji03.jpg?202001-i_prefecture_active_user", "■")</f>
        <v>■</v>
      </c>
      <c r="F339" s="14" t="s">
        <v>1122</v>
      </c>
      <c r="G339" s="14">
        <v>120766</v>
      </c>
      <c r="H339" s="14">
        <v>112286</v>
      </c>
      <c r="I339" s="14">
        <v>28</v>
      </c>
      <c r="J339" s="14" t="s">
        <v>143</v>
      </c>
      <c r="K339" s="14" t="s">
        <v>1123</v>
      </c>
      <c r="L339" s="14" t="s">
        <v>1124</v>
      </c>
      <c r="M339" s="14" t="s">
        <v>9864</v>
      </c>
      <c r="N339" s="14" t="s">
        <v>9158</v>
      </c>
      <c r="O339" s="14" t="s">
        <v>9158</v>
      </c>
      <c r="P339" s="14" t="s">
        <v>9158</v>
      </c>
      <c r="Q339" s="14" t="s">
        <v>9158</v>
      </c>
    </row>
    <row r="340" spans="1:17">
      <c r="A340" s="14">
        <v>76113</v>
      </c>
      <c r="B340" s="14" t="s">
        <v>334</v>
      </c>
      <c r="C340" s="14" t="s">
        <v>158</v>
      </c>
      <c r="D340" s="19" t="s">
        <v>10268</v>
      </c>
      <c r="E340" s="15" t="str">
        <f>HYPERLINK("https://stat100.ameba.jp/tnk47/ratio20/illustrations/card/ill_76113_jannudaruku03.jpg?202001-i_prefecture_active_user", "■")</f>
        <v>■</v>
      </c>
      <c r="F340" s="14" t="s">
        <v>1126</v>
      </c>
      <c r="G340" s="14">
        <v>120766</v>
      </c>
      <c r="H340" s="14">
        <v>112286</v>
      </c>
      <c r="I340" s="14">
        <v>28</v>
      </c>
      <c r="J340" s="14" t="s">
        <v>10</v>
      </c>
      <c r="K340" s="14" t="s">
        <v>1127</v>
      </c>
      <c r="L340" s="14" t="s">
        <v>1128</v>
      </c>
      <c r="M340" s="14" t="s">
        <v>9158</v>
      </c>
      <c r="N340" s="14" t="s">
        <v>9158</v>
      </c>
      <c r="O340" s="14" t="s">
        <v>9158</v>
      </c>
      <c r="P340" s="14" t="s">
        <v>9158</v>
      </c>
      <c r="Q340" s="14" t="s">
        <v>9158</v>
      </c>
    </row>
    <row r="341" spans="1:17">
      <c r="A341" s="14">
        <v>63323</v>
      </c>
      <c r="B341" s="14" t="s">
        <v>0</v>
      </c>
      <c r="C341" s="14" t="s">
        <v>200</v>
      </c>
      <c r="D341" s="19" t="s">
        <v>10269</v>
      </c>
      <c r="E341" s="15" t="str">
        <f>HYPERLINK("https://stat100.ameba.jp/tnk47/ratio20/illustrations/card/ill_63323_ajisaikushinadahime03.jpg?202001-i_prefecture_active_user", "■")</f>
        <v>■</v>
      </c>
      <c r="F341" s="14" t="s">
        <v>3583</v>
      </c>
      <c r="G341" s="14">
        <v>106178</v>
      </c>
      <c r="H341" s="14">
        <v>114208</v>
      </c>
      <c r="I341" s="14">
        <v>28</v>
      </c>
      <c r="J341" s="14" t="s">
        <v>44</v>
      </c>
      <c r="K341" s="14" t="s">
        <v>3584</v>
      </c>
      <c r="L341" s="14" t="s">
        <v>2400</v>
      </c>
      <c r="M341" s="14" t="s">
        <v>9158</v>
      </c>
      <c r="N341" s="14" t="s">
        <v>9158</v>
      </c>
      <c r="O341" s="14" t="s">
        <v>9158</v>
      </c>
      <c r="P341" s="14" t="s">
        <v>9158</v>
      </c>
      <c r="Q341" s="14" t="s">
        <v>9158</v>
      </c>
    </row>
    <row r="342" spans="1:17">
      <c r="A342" s="14">
        <v>59863</v>
      </c>
      <c r="B342" s="14" t="s">
        <v>334</v>
      </c>
      <c r="C342" s="14" t="s">
        <v>165</v>
      </c>
      <c r="D342" s="19" t="s">
        <v>318</v>
      </c>
      <c r="E342" s="15" t="str">
        <f>HYPERLINK("https://stat100.ameba.jp/tnk47/ratio20/illustrations/card/ill_59863_yoseiichimokuren03.jpg?202001-i_prefecture_active_user", "■")</f>
        <v>■</v>
      </c>
      <c r="F342" s="14" t="s">
        <v>319</v>
      </c>
      <c r="G342" s="14">
        <v>116662</v>
      </c>
      <c r="H342" s="14">
        <v>108494</v>
      </c>
      <c r="I342" s="14">
        <v>28</v>
      </c>
      <c r="J342" s="14" t="s">
        <v>320</v>
      </c>
      <c r="K342" s="14" t="s">
        <v>321</v>
      </c>
      <c r="L342" s="14" t="s">
        <v>322</v>
      </c>
      <c r="M342" s="14" t="s">
        <v>9158</v>
      </c>
      <c r="N342" s="14" t="s">
        <v>9158</v>
      </c>
      <c r="O342" s="14" t="s">
        <v>9158</v>
      </c>
      <c r="P342" s="14" t="s">
        <v>9158</v>
      </c>
      <c r="Q342" s="14" t="s">
        <v>9158</v>
      </c>
    </row>
    <row r="343" spans="1:17">
      <c r="A343" s="14">
        <v>51823</v>
      </c>
      <c r="B343" s="14" t="s">
        <v>15</v>
      </c>
      <c r="C343" s="14" t="s">
        <v>101</v>
      </c>
      <c r="D343" s="19" t="s">
        <v>10587</v>
      </c>
      <c r="E343" s="15" t="str">
        <f>HYPERLINK("https://stat100.ameba.jp/tnk47/ratio20/illustrations/card/ill_51823_jukimatsu03.jpg?202001-i_prefecture_active_user", "■")</f>
        <v>■</v>
      </c>
      <c r="F343" s="14" t="s">
        <v>6742</v>
      </c>
      <c r="G343" s="14">
        <v>59144</v>
      </c>
      <c r="H343" s="14">
        <v>65208</v>
      </c>
      <c r="I343" s="14">
        <v>22</v>
      </c>
      <c r="J343" s="14" t="s">
        <v>77</v>
      </c>
      <c r="K343" s="14" t="s">
        <v>6743</v>
      </c>
      <c r="L343" s="14" t="s">
        <v>6744</v>
      </c>
      <c r="M343" s="14" t="s">
        <v>9158</v>
      </c>
      <c r="N343" s="14" t="s">
        <v>9158</v>
      </c>
      <c r="O343" s="14" t="s">
        <v>9158</v>
      </c>
      <c r="P343" s="14" t="s">
        <v>9158</v>
      </c>
      <c r="Q343" s="14" t="s">
        <v>9158</v>
      </c>
    </row>
    <row r="344" spans="1:17">
      <c r="A344" s="14">
        <v>51773</v>
      </c>
      <c r="B344" s="14" t="s">
        <v>15</v>
      </c>
      <c r="C344" s="14" t="s">
        <v>205</v>
      </c>
      <c r="D344" s="19" t="s">
        <v>10588</v>
      </c>
      <c r="E344" s="15" t="str">
        <f>HYPERLINK("https://stat100.ameba.jp/tnk47/ratio20/illustrations/card/ill_51773_kawaasobikanekomisuzu03.jpg?202001-i_prefecture_active_user", "■")</f>
        <v>■</v>
      </c>
      <c r="F344" s="14" t="s">
        <v>6747</v>
      </c>
      <c r="G344" s="14">
        <v>65208</v>
      </c>
      <c r="H344" s="14">
        <v>59144</v>
      </c>
      <c r="I344" s="14">
        <v>22</v>
      </c>
      <c r="J344" s="14" t="s">
        <v>10</v>
      </c>
      <c r="K344" s="14" t="s">
        <v>6746</v>
      </c>
      <c r="L344" s="14" t="s">
        <v>6745</v>
      </c>
      <c r="M344" s="14" t="s">
        <v>9158</v>
      </c>
      <c r="N344" s="14" t="s">
        <v>9158</v>
      </c>
      <c r="O344" s="14" t="s">
        <v>9158</v>
      </c>
      <c r="P344" s="14" t="s">
        <v>9158</v>
      </c>
      <c r="Q344" s="14" t="s">
        <v>9158</v>
      </c>
    </row>
    <row r="345" spans="1:17">
      <c r="A345" s="14">
        <v>51733</v>
      </c>
      <c r="B345" s="14" t="s">
        <v>15</v>
      </c>
      <c r="C345" s="14" t="s">
        <v>185</v>
      </c>
      <c r="D345" s="19" t="s">
        <v>10589</v>
      </c>
      <c r="E345" s="15" t="str">
        <f>HYPERLINK("https://stat100.ameba.jp/tnk47/ratio20/illustrations/card/ill_51733_ekusoshisutopoiyampe03.jpg?202001-i_prefecture_active_user", "■")</f>
        <v>■</v>
      </c>
      <c r="F345" s="14" t="s">
        <v>6750</v>
      </c>
      <c r="G345" s="14">
        <v>59144</v>
      </c>
      <c r="H345" s="14">
        <v>65208</v>
      </c>
      <c r="I345" s="14">
        <v>22</v>
      </c>
      <c r="J345" s="14" t="s">
        <v>274</v>
      </c>
      <c r="K345" s="14" t="s">
        <v>6749</v>
      </c>
      <c r="L345" s="14" t="s">
        <v>6748</v>
      </c>
      <c r="M345" s="14" t="s">
        <v>9158</v>
      </c>
      <c r="N345" s="14" t="s">
        <v>9158</v>
      </c>
      <c r="O345" s="14" t="s">
        <v>9158</v>
      </c>
      <c r="P345" s="14" t="s">
        <v>9158</v>
      </c>
      <c r="Q345" s="14" t="s">
        <v>9158</v>
      </c>
    </row>
    <row r="346" spans="1:17">
      <c r="A346" s="14">
        <v>55743</v>
      </c>
      <c r="B346" s="14" t="s">
        <v>15</v>
      </c>
      <c r="C346" s="14" t="s">
        <v>96</v>
      </c>
      <c r="D346" s="19" t="s">
        <v>10590</v>
      </c>
      <c r="E346" s="15" t="str">
        <f>HYPERLINK("https://stat100.ameba.jp/tnk47/ratio20/illustrations/card/ill_55743_nankoume03.jpg?202001-i_prefecture_active_user", "■")</f>
        <v>■</v>
      </c>
      <c r="F346" s="14" t="s">
        <v>4308</v>
      </c>
      <c r="G346" s="14">
        <v>59144</v>
      </c>
      <c r="H346" s="14">
        <v>65208</v>
      </c>
      <c r="I346" s="14">
        <v>22</v>
      </c>
      <c r="J346" s="14" t="s">
        <v>216</v>
      </c>
      <c r="K346" s="14" t="s">
        <v>4310</v>
      </c>
      <c r="L346" s="14" t="s">
        <v>4311</v>
      </c>
      <c r="M346" s="14" t="s">
        <v>9158</v>
      </c>
      <c r="N346" s="14" t="s">
        <v>9158</v>
      </c>
      <c r="O346" s="14" t="s">
        <v>9158</v>
      </c>
      <c r="P346" s="14" t="s">
        <v>9158</v>
      </c>
      <c r="Q346" s="14" t="s">
        <v>9158</v>
      </c>
    </row>
    <row r="348" spans="1:17">
      <c r="A348" s="14" t="s">
        <v>3844</v>
      </c>
    </row>
    <row r="349" spans="1:17">
      <c r="A349" s="14">
        <v>105434</v>
      </c>
      <c r="B349" s="14" t="s">
        <v>8703</v>
      </c>
    </row>
    <row r="350" spans="1:17">
      <c r="A350" s="14" t="s">
        <v>5734</v>
      </c>
      <c r="B350" s="14" t="s">
        <v>330</v>
      </c>
      <c r="C350" s="14" t="s">
        <v>202</v>
      </c>
      <c r="D350" s="20" t="s">
        <v>1497</v>
      </c>
      <c r="E350" s="15" t="str">
        <f>HYPERLINK("https://stat100.ameba.jp/tnk47/ratio20/illustrations/card/ill_74593_0_natsuyuenchikoshihikari03.jpg?202001-i_prefecture_active_user", "■")</f>
        <v>■</v>
      </c>
      <c r="F350" s="14" t="s">
        <v>1498</v>
      </c>
      <c r="G350" s="14">
        <v>281662</v>
      </c>
      <c r="H350" s="14">
        <v>261852</v>
      </c>
      <c r="I350" s="14">
        <v>26</v>
      </c>
      <c r="J350" s="14" t="s">
        <v>283</v>
      </c>
      <c r="K350" s="14" t="s">
        <v>1499</v>
      </c>
      <c r="L350" s="14" t="s">
        <v>1500</v>
      </c>
      <c r="M350" s="14" t="s">
        <v>9158</v>
      </c>
      <c r="N350" s="14" t="s">
        <v>9158</v>
      </c>
      <c r="O350" s="19" t="s">
        <v>2731</v>
      </c>
      <c r="P350" s="14" t="s">
        <v>2732</v>
      </c>
      <c r="Q350" s="14">
        <v>1</v>
      </c>
    </row>
    <row r="351" spans="1:17">
      <c r="A351" s="14">
        <v>84153</v>
      </c>
      <c r="B351" s="14" t="s">
        <v>0</v>
      </c>
      <c r="C351" s="14" t="s">
        <v>165</v>
      </c>
      <c r="D351" s="20" t="s">
        <v>14065</v>
      </c>
      <c r="E351" s="15" t="str">
        <f>HYPERLINK("https://stat100.ameba.jp/tnk47/ratio20/illustrations/card/ill_84153_tarottotoyotomihideyori03.jpg?202001-i_prefecture_active_user", "■")</f>
        <v>■</v>
      </c>
      <c r="F351" s="14" t="s">
        <v>7155</v>
      </c>
      <c r="G351" s="14">
        <v>154562</v>
      </c>
      <c r="H351" s="14">
        <v>143714</v>
      </c>
      <c r="I351" s="14">
        <v>26</v>
      </c>
      <c r="J351" s="14" t="s">
        <v>143</v>
      </c>
      <c r="K351" s="14" t="s">
        <v>7156</v>
      </c>
      <c r="L351" s="14" t="s">
        <v>145</v>
      </c>
      <c r="M351" s="14" t="s">
        <v>9158</v>
      </c>
      <c r="N351" s="14" t="s">
        <v>9158</v>
      </c>
      <c r="O351" s="19" t="s">
        <v>10090</v>
      </c>
      <c r="P351" s="14" t="s">
        <v>3460</v>
      </c>
      <c r="Q351" s="14">
        <v>1</v>
      </c>
    </row>
    <row r="352" spans="1:17">
      <c r="A352" s="14">
        <v>56443</v>
      </c>
      <c r="B352" s="14" t="s">
        <v>0</v>
      </c>
      <c r="C352" s="14" t="s">
        <v>205</v>
      </c>
      <c r="D352" s="20" t="s">
        <v>10314</v>
      </c>
      <c r="E352" s="15" t="str">
        <f>HYPERLINK("https://stat100.ameba.jp/tnk47/ratio20/illustrations/card/ill_56443_poppukurisumasuizumonokuni03.jpg?202001-i_prefecture_active_user", "■")</f>
        <v>■</v>
      </c>
      <c r="F352" s="14" t="s">
        <v>1151</v>
      </c>
      <c r="G352" s="14">
        <v>93172</v>
      </c>
      <c r="H352" s="14">
        <v>100214</v>
      </c>
      <c r="I352" s="14">
        <v>26</v>
      </c>
      <c r="J352" s="14" t="s">
        <v>10</v>
      </c>
      <c r="K352" s="14" t="s">
        <v>1152</v>
      </c>
      <c r="L352" s="14" t="s">
        <v>1153</v>
      </c>
      <c r="M352" s="14" t="s">
        <v>9864</v>
      </c>
      <c r="N352" s="14" t="s">
        <v>9158</v>
      </c>
      <c r="O352" s="19" t="s">
        <v>10119</v>
      </c>
      <c r="P352" s="14" t="s">
        <v>3662</v>
      </c>
      <c r="Q352" s="14">
        <v>1</v>
      </c>
    </row>
    <row r="353" spans="1:18">
      <c r="A353" s="7">
        <v>59423</v>
      </c>
      <c r="B353" s="14" t="s">
        <v>334</v>
      </c>
      <c r="C353" s="14" t="s">
        <v>209</v>
      </c>
      <c r="D353" s="19" t="s">
        <v>10286</v>
      </c>
      <c r="E353" s="15" t="str">
        <f>HYPERLINK("https://stat100.ameba.jp/tnk47/ratio20/illustrations/card/ill_59423_yuishosetsu03.jpg?202001-i_prefecture_active_user", "■")</f>
        <v>■</v>
      </c>
      <c r="F353" s="14" t="s">
        <v>1143</v>
      </c>
      <c r="G353" s="14">
        <v>118000</v>
      </c>
      <c r="H353" s="14">
        <v>85492</v>
      </c>
      <c r="I353" s="14">
        <v>26</v>
      </c>
      <c r="J353" s="14" t="s">
        <v>16</v>
      </c>
      <c r="K353" s="14" t="s">
        <v>1144</v>
      </c>
      <c r="L353" s="14" t="s">
        <v>1149</v>
      </c>
      <c r="M353" s="14" t="s">
        <v>9158</v>
      </c>
      <c r="N353" s="14" t="s">
        <v>9158</v>
      </c>
      <c r="O353" s="19" t="s">
        <v>2951</v>
      </c>
      <c r="P353" s="14" t="s">
        <v>13122</v>
      </c>
      <c r="Q353" s="14">
        <v>1</v>
      </c>
    </row>
    <row r="355" spans="1:18">
      <c r="A355" s="14" t="s">
        <v>13327</v>
      </c>
    </row>
    <row r="356" spans="1:18">
      <c r="A356" s="14">
        <v>105437</v>
      </c>
      <c r="B356" s="14" t="s">
        <v>2509</v>
      </c>
    </row>
    <row r="357" spans="1:18">
      <c r="A357" s="14">
        <v>83973</v>
      </c>
      <c r="B357" s="14" t="s">
        <v>334</v>
      </c>
      <c r="C357" s="14" t="s">
        <v>14</v>
      </c>
      <c r="D357" s="19" t="s">
        <v>10570</v>
      </c>
      <c r="E357" s="15" t="str">
        <f>HYPERLINK("https://stat100.ameba.jp/tnk47/ratio20/illustrations/card/ill_83973_nekokishiirurosu03.jpg?202001-i_prefecture_active_user", "■")</f>
        <v>■</v>
      </c>
      <c r="F357" s="14" t="s">
        <v>6706</v>
      </c>
      <c r="G357" s="14">
        <v>137846</v>
      </c>
      <c r="H357" s="14">
        <v>128160</v>
      </c>
      <c r="I357" s="14">
        <v>28</v>
      </c>
      <c r="J357" s="14" t="s">
        <v>229</v>
      </c>
      <c r="K357" s="14" t="s">
        <v>6707</v>
      </c>
      <c r="L357" s="14" t="s">
        <v>13202</v>
      </c>
      <c r="M357" s="14" t="s">
        <v>13130</v>
      </c>
      <c r="N357" s="14" t="s">
        <v>343</v>
      </c>
      <c r="O357" s="14" t="s">
        <v>9158</v>
      </c>
      <c r="P357" s="14" t="s">
        <v>9158</v>
      </c>
      <c r="Q357" s="14" t="s">
        <v>9158</v>
      </c>
      <c r="R357" s="14" t="s">
        <v>14748</v>
      </c>
    </row>
    <row r="358" spans="1:18">
      <c r="A358" s="14">
        <v>83972</v>
      </c>
      <c r="B358" s="14" t="s">
        <v>334</v>
      </c>
      <c r="C358" s="14" t="s">
        <v>14</v>
      </c>
      <c r="D358" s="19" t="s">
        <v>10570</v>
      </c>
      <c r="E358" s="15" t="str">
        <f>HYPERLINK("https://stat100.ameba.jp/tnk47/ratio20/illustrations/card/ill_83972_nekokishiirurosu02.jpg?202001-i_prefecture_active_user", "■")</f>
        <v>■</v>
      </c>
      <c r="F358" s="14" t="s">
        <v>6706</v>
      </c>
      <c r="G358" s="14">
        <v>115230</v>
      </c>
      <c r="H358" s="14">
        <v>106148</v>
      </c>
      <c r="I358" s="14">
        <v>28</v>
      </c>
      <c r="J358" s="14" t="s">
        <v>229</v>
      </c>
      <c r="K358" s="14" t="s">
        <v>6707</v>
      </c>
      <c r="L358" s="14" t="s">
        <v>13201</v>
      </c>
      <c r="M358" s="14" t="s">
        <v>13131</v>
      </c>
      <c r="N358" s="14" t="s">
        <v>251</v>
      </c>
      <c r="O358" s="14" t="s">
        <v>9158</v>
      </c>
      <c r="P358" s="14" t="s">
        <v>9158</v>
      </c>
      <c r="Q358" s="14" t="s">
        <v>9158</v>
      </c>
      <c r="R358" s="14" t="s">
        <v>14748</v>
      </c>
    </row>
    <row r="359" spans="1:18">
      <c r="A359" s="14">
        <v>83971</v>
      </c>
      <c r="B359" s="14" t="s">
        <v>0</v>
      </c>
      <c r="C359" s="14" t="s">
        <v>14</v>
      </c>
      <c r="D359" s="19" t="s">
        <v>10570</v>
      </c>
      <c r="E359" s="15" t="str">
        <f>HYPERLINK("https://stat100.ameba.jp/tnk47/ratio20/illustrations/card/ill_83971_nekokishiirurosu01.jpg?202001-i_prefecture_active_user", "■")</f>
        <v>■</v>
      </c>
      <c r="F359" s="14" t="s">
        <v>6706</v>
      </c>
      <c r="G359" s="14">
        <v>87976</v>
      </c>
      <c r="H359" s="14">
        <v>81900</v>
      </c>
      <c r="I359" s="14">
        <v>28</v>
      </c>
      <c r="J359" s="14" t="s">
        <v>229</v>
      </c>
      <c r="K359" s="14" t="s">
        <v>6707</v>
      </c>
      <c r="L359" s="14" t="s">
        <v>13201</v>
      </c>
      <c r="M359" s="14" t="s">
        <v>13131</v>
      </c>
      <c r="N359" s="14" t="s">
        <v>251</v>
      </c>
      <c r="O359" s="14" t="s">
        <v>9158</v>
      </c>
      <c r="P359" s="14" t="s">
        <v>9158</v>
      </c>
      <c r="Q359" s="14" t="s">
        <v>9158</v>
      </c>
      <c r="R359" s="14" t="s">
        <v>14748</v>
      </c>
    </row>
    <row r="360" spans="1:18">
      <c r="A360" s="14">
        <v>83983</v>
      </c>
      <c r="B360" s="14" t="s">
        <v>334</v>
      </c>
      <c r="C360" s="14" t="s">
        <v>23</v>
      </c>
      <c r="D360" s="19" t="s">
        <v>10571</v>
      </c>
      <c r="E360" s="15" t="str">
        <f>HYPERLINK("https://stat100.ameba.jp/tnk47/ratio20/illustrations/card/ill_83983_ryujinsui03.jpg?202001-i_prefecture_active_user", "■")</f>
        <v>■</v>
      </c>
      <c r="F360" s="14" t="s">
        <v>6708</v>
      </c>
      <c r="G360" s="14">
        <v>128160</v>
      </c>
      <c r="H360" s="14">
        <v>137846</v>
      </c>
      <c r="I360" s="14">
        <v>28</v>
      </c>
      <c r="J360" s="14" t="s">
        <v>169</v>
      </c>
      <c r="K360" s="14" t="s">
        <v>6710</v>
      </c>
      <c r="L360" s="14" t="s">
        <v>6721</v>
      </c>
      <c r="M360" s="14" t="s">
        <v>13130</v>
      </c>
      <c r="N360" s="14" t="s">
        <v>343</v>
      </c>
      <c r="O360" s="14" t="s">
        <v>9158</v>
      </c>
      <c r="P360" s="14" t="s">
        <v>9158</v>
      </c>
      <c r="Q360" s="14" t="s">
        <v>9158</v>
      </c>
      <c r="R360" s="14" t="s">
        <v>14748</v>
      </c>
    </row>
    <row r="361" spans="1:18">
      <c r="A361" s="14">
        <v>83993</v>
      </c>
      <c r="B361" s="14" t="s">
        <v>334</v>
      </c>
      <c r="C361" s="14" t="s">
        <v>101</v>
      </c>
      <c r="D361" s="19" t="s">
        <v>10572</v>
      </c>
      <c r="E361" s="15" t="str">
        <f>HYPERLINK("https://stat100.ameba.jp/tnk47/ratio20/illustrations/card/ill_83993_enjieruzuranotamagochan03.jpg?202001-i_prefecture_active_user", "■")</f>
        <v>■</v>
      </c>
      <c r="F361" s="14" t="s">
        <v>6722</v>
      </c>
      <c r="G361" s="14">
        <v>128160</v>
      </c>
      <c r="H361" s="14">
        <v>137846</v>
      </c>
      <c r="I361" s="14">
        <v>28</v>
      </c>
      <c r="J361" s="14" t="s">
        <v>216</v>
      </c>
      <c r="K361" s="14" t="s">
        <v>6723</v>
      </c>
      <c r="L361" s="14" t="s">
        <v>6724</v>
      </c>
      <c r="M361" s="14" t="s">
        <v>13130</v>
      </c>
      <c r="N361" s="14" t="s">
        <v>343</v>
      </c>
      <c r="O361" s="14" t="s">
        <v>9158</v>
      </c>
      <c r="P361" s="14" t="s">
        <v>9158</v>
      </c>
      <c r="Q361" s="14" t="s">
        <v>9158</v>
      </c>
      <c r="R361" s="14" t="s">
        <v>14748</v>
      </c>
    </row>
    <row r="362" spans="1:18">
      <c r="A362" s="14">
        <v>84003</v>
      </c>
      <c r="B362" s="14" t="s">
        <v>0</v>
      </c>
      <c r="C362" s="14" t="s">
        <v>96</v>
      </c>
      <c r="D362" s="19" t="s">
        <v>10573</v>
      </c>
      <c r="E362" s="15" t="str">
        <f>HYPERLINK("https://stat100.ameba.jp/tnk47/ratio20/illustrations/card/ill_84003_sukoropendora03.jpg?202001-i_prefecture_active_user", "■")</f>
        <v>■</v>
      </c>
      <c r="F362" s="14" t="s">
        <v>6725</v>
      </c>
      <c r="G362" s="14">
        <v>137846</v>
      </c>
      <c r="H362" s="14">
        <v>128160</v>
      </c>
      <c r="I362" s="14">
        <v>28</v>
      </c>
      <c r="J362" s="14" t="s">
        <v>182</v>
      </c>
      <c r="K362" s="14" t="s">
        <v>6727</v>
      </c>
      <c r="L362" s="14" t="s">
        <v>6728</v>
      </c>
      <c r="M362" s="14" t="s">
        <v>13130</v>
      </c>
      <c r="N362" s="14" t="s">
        <v>343</v>
      </c>
      <c r="O362" s="14" t="s">
        <v>9158</v>
      </c>
      <c r="P362" s="14" t="s">
        <v>9158</v>
      </c>
      <c r="Q362" s="14" t="s">
        <v>9158</v>
      </c>
      <c r="R362" s="14" t="s">
        <v>14748</v>
      </c>
    </row>
    <row r="363" spans="1:18">
      <c r="A363" s="14">
        <v>84013</v>
      </c>
      <c r="B363" s="14" t="s">
        <v>334</v>
      </c>
      <c r="C363" s="14" t="s">
        <v>205</v>
      </c>
      <c r="D363" s="19" t="s">
        <v>10574</v>
      </c>
      <c r="E363" s="15" t="str">
        <f>HYPERLINK("https://stat100.ameba.jp/tnk47/ratio20/illustrations/card/ill_84013_neikiddo03.jpg?202001-i_prefecture_active_user", "■")</f>
        <v>■</v>
      </c>
      <c r="F363" s="14" t="s">
        <v>6729</v>
      </c>
      <c r="G363" s="14">
        <v>128160</v>
      </c>
      <c r="H363" s="14">
        <v>137846</v>
      </c>
      <c r="I363" s="14">
        <v>28</v>
      </c>
      <c r="J363" s="14" t="s">
        <v>194</v>
      </c>
      <c r="K363" s="14" t="s">
        <v>6731</v>
      </c>
      <c r="L363" s="14" t="s">
        <v>6732</v>
      </c>
      <c r="M363" s="14" t="s">
        <v>13130</v>
      </c>
      <c r="N363" s="14" t="s">
        <v>343</v>
      </c>
      <c r="O363" s="14" t="s">
        <v>9158</v>
      </c>
      <c r="P363" s="14" t="s">
        <v>9158</v>
      </c>
      <c r="Q363" s="14" t="s">
        <v>9158</v>
      </c>
      <c r="R363" s="14" t="s">
        <v>14748</v>
      </c>
    </row>
    <row r="364" spans="1:18">
      <c r="A364" s="14">
        <v>76763</v>
      </c>
      <c r="B364" s="14" t="s">
        <v>334</v>
      </c>
      <c r="C364" s="14" t="s">
        <v>107</v>
      </c>
      <c r="D364" s="19" t="s">
        <v>10575</v>
      </c>
      <c r="E364" s="15" t="str">
        <f>HYPERLINK("https://stat100.ameba.jp/tnk47/ratio20/illustrations/card/ill_76763_monsutanabeshimakeiginni03.jpg?202001-i_prefecture_active_user", "■")</f>
        <v>■</v>
      </c>
      <c r="F364" s="14" t="s">
        <v>6733</v>
      </c>
      <c r="G364" s="14">
        <v>137846</v>
      </c>
      <c r="H364" s="14">
        <v>128160</v>
      </c>
      <c r="I364" s="14">
        <v>28</v>
      </c>
      <c r="J364" s="14" t="s">
        <v>187</v>
      </c>
      <c r="K364" s="14" t="s">
        <v>6735</v>
      </c>
      <c r="L364" s="14" t="s">
        <v>6736</v>
      </c>
      <c r="M364" s="14" t="s">
        <v>13130</v>
      </c>
      <c r="N364" s="14" t="s">
        <v>343</v>
      </c>
      <c r="O364" s="14" t="s">
        <v>9158</v>
      </c>
      <c r="P364" s="14" t="s">
        <v>9158</v>
      </c>
      <c r="Q364" s="14" t="s">
        <v>9158</v>
      </c>
      <c r="R364" s="14" t="s">
        <v>14748</v>
      </c>
    </row>
    <row r="366" spans="1:18">
      <c r="A366" s="14" t="s">
        <v>4012</v>
      </c>
    </row>
    <row r="367" spans="1:18">
      <c r="A367" s="14">
        <v>235898</v>
      </c>
      <c r="B367" s="14" t="s">
        <v>16399</v>
      </c>
    </row>
    <row r="368" spans="1:18">
      <c r="A368" s="14" t="s">
        <v>5614</v>
      </c>
      <c r="B368" s="14" t="s">
        <v>330</v>
      </c>
      <c r="C368" s="14" t="s">
        <v>267</v>
      </c>
      <c r="D368" s="19" t="s">
        <v>313</v>
      </c>
      <c r="E368" s="15" t="str">
        <f>HYPERLINK("https://stat100.ameba.jp/tnk47/ratio20/illustrations/card/ill_56223_0_onsempanikkugohime03.jpg?202001-i_prefecture_active_user", "■")</f>
        <v>■</v>
      </c>
      <c r="F368" s="14" t="s">
        <v>314</v>
      </c>
      <c r="G368" s="14">
        <v>133938</v>
      </c>
      <c r="H368" s="14">
        <v>150776</v>
      </c>
      <c r="I368" s="14">
        <v>24</v>
      </c>
      <c r="J368" s="14" t="s">
        <v>315</v>
      </c>
      <c r="K368" s="14" t="s">
        <v>316</v>
      </c>
      <c r="L368" s="14" t="s">
        <v>317</v>
      </c>
      <c r="M368" s="14" t="s">
        <v>9158</v>
      </c>
      <c r="N368" s="14" t="s">
        <v>9158</v>
      </c>
      <c r="O368" s="19" t="s">
        <v>3021</v>
      </c>
      <c r="P368" s="14" t="s">
        <v>2890</v>
      </c>
      <c r="Q368" s="14">
        <v>1</v>
      </c>
    </row>
    <row r="369" spans="1:19">
      <c r="A369" s="14" t="s">
        <v>5609</v>
      </c>
      <c r="B369" s="14" t="s">
        <v>52</v>
      </c>
      <c r="C369" s="14" t="s">
        <v>200</v>
      </c>
      <c r="D369" s="19" t="s">
        <v>389</v>
      </c>
      <c r="E369" s="15" t="str">
        <f>HYPERLINK("https://stat100.ameba.jp/tnk47/ratio20/illustrations/card/ill_53753_0_natsumatsuritokugawaieyasu03.jpg?202001-i_prefecture_active_user", "■")</f>
        <v>■</v>
      </c>
      <c r="F369" s="14" t="s">
        <v>902</v>
      </c>
      <c r="G369" s="14">
        <v>150776</v>
      </c>
      <c r="H369" s="14">
        <v>133938</v>
      </c>
      <c r="I369" s="14">
        <v>24</v>
      </c>
      <c r="J369" s="14" t="s">
        <v>194</v>
      </c>
      <c r="K369" s="14" t="s">
        <v>1714</v>
      </c>
      <c r="L369" s="14" t="s">
        <v>904</v>
      </c>
      <c r="M369" s="14" t="s">
        <v>9158</v>
      </c>
      <c r="N369" s="14" t="s">
        <v>9158</v>
      </c>
      <c r="O369" s="19" t="s">
        <v>10076</v>
      </c>
      <c r="P369" s="14" t="s">
        <v>13121</v>
      </c>
      <c r="Q369" s="14">
        <v>1</v>
      </c>
    </row>
    <row r="370" spans="1:19">
      <c r="A370" s="14" t="s">
        <v>5612</v>
      </c>
      <c r="B370" s="14" t="s">
        <v>52</v>
      </c>
      <c r="C370" s="14" t="s">
        <v>165</v>
      </c>
      <c r="D370" s="19" t="s">
        <v>789</v>
      </c>
      <c r="E370" s="15" t="str">
        <f>HYPERLINK("https://stat100.ameba.jp/tnk47/ratio20/illustrations/card/ill_49193_0_onmyoudouabenoseimei03.jpg?202001-i_prefecture_active_user", "■")</f>
        <v>■</v>
      </c>
      <c r="F370" s="14" t="s">
        <v>1896</v>
      </c>
      <c r="G370" s="14">
        <v>133938</v>
      </c>
      <c r="H370" s="14">
        <v>150776</v>
      </c>
      <c r="I370" s="14">
        <v>24</v>
      </c>
      <c r="J370" s="14" t="s">
        <v>10</v>
      </c>
      <c r="K370" s="14" t="s">
        <v>1897</v>
      </c>
      <c r="L370" s="14" t="s">
        <v>1898</v>
      </c>
      <c r="M370" s="14" t="s">
        <v>9158</v>
      </c>
      <c r="N370" s="14" t="s">
        <v>9158</v>
      </c>
      <c r="O370" s="14" t="s">
        <v>9158</v>
      </c>
      <c r="P370" s="14" t="s">
        <v>9158</v>
      </c>
      <c r="Q370" s="14" t="s">
        <v>9158</v>
      </c>
    </row>
    <row r="371" spans="1:19">
      <c r="A371" s="14">
        <v>86743</v>
      </c>
      <c r="B371" s="14" t="s">
        <v>0</v>
      </c>
      <c r="C371" s="14" t="s">
        <v>35</v>
      </c>
      <c r="D371" s="14" t="s">
        <v>16380</v>
      </c>
      <c r="E371" s="15" t="str">
        <f>HYPERLINK("https://stat100.ameba.jp/tnk47/ratio20/illustrations/card/ill_86743_setsubunhakoneonsenchan03.jpg?202001-i_prefecture_active_user", "■")</f>
        <v>■</v>
      </c>
      <c r="F371" s="14" t="s">
        <v>16379</v>
      </c>
      <c r="G371" s="14">
        <v>127556</v>
      </c>
      <c r="H371" s="14">
        <v>118598</v>
      </c>
      <c r="I371" s="14">
        <v>28</v>
      </c>
      <c r="J371" s="14" t="s">
        <v>26</v>
      </c>
      <c r="K371" s="14" t="s">
        <v>16378</v>
      </c>
      <c r="L371" s="14" t="s">
        <v>5235</v>
      </c>
      <c r="M371" s="14" t="s">
        <v>9158</v>
      </c>
      <c r="N371" s="14" t="s">
        <v>9158</v>
      </c>
      <c r="O371" s="14" t="s">
        <v>9158</v>
      </c>
      <c r="P371" s="14" t="s">
        <v>9158</v>
      </c>
      <c r="Q371" s="14" t="s">
        <v>9158</v>
      </c>
      <c r="S371" s="14" t="s">
        <v>16396</v>
      </c>
    </row>
    <row r="372" spans="1:19">
      <c r="A372" s="14">
        <v>87033</v>
      </c>
      <c r="B372" s="14" t="s">
        <v>0</v>
      </c>
      <c r="C372" s="14" t="s">
        <v>41</v>
      </c>
      <c r="D372" s="14" t="s">
        <v>16384</v>
      </c>
      <c r="E372" s="15" t="str">
        <f>HYPERLINK("https://stat100.ameba.jp/tnk47/ratio20/illustrations/card/ill_87033_togijoburossamunaito03.jpg?202001-i_prefecture_active_user", "■")</f>
        <v>■</v>
      </c>
      <c r="F372" s="14" t="s">
        <v>16383</v>
      </c>
      <c r="G372" s="14">
        <v>122960</v>
      </c>
      <c r="H372" s="14">
        <v>132230</v>
      </c>
      <c r="I372" s="14">
        <v>28</v>
      </c>
      <c r="J372" s="14" t="s">
        <v>104</v>
      </c>
      <c r="K372" s="14" t="s">
        <v>16382</v>
      </c>
      <c r="L372" s="14" t="s">
        <v>16381</v>
      </c>
      <c r="M372" s="14" t="s">
        <v>9158</v>
      </c>
      <c r="N372" s="14" t="s">
        <v>9158</v>
      </c>
      <c r="O372" s="14" t="s">
        <v>9158</v>
      </c>
      <c r="P372" s="14" t="s">
        <v>9158</v>
      </c>
      <c r="Q372" s="14" t="s">
        <v>9158</v>
      </c>
      <c r="S372" s="14" t="s">
        <v>16397</v>
      </c>
    </row>
    <row r="373" spans="1:19">
      <c r="A373" s="14">
        <v>86413</v>
      </c>
      <c r="B373" s="14" t="s">
        <v>0</v>
      </c>
      <c r="C373" s="14" t="s">
        <v>154</v>
      </c>
      <c r="D373" s="14" t="s">
        <v>16387</v>
      </c>
      <c r="E373" s="15" t="str">
        <f>HYPERLINK("https://stat100.ameba.jp/tnk47/ratio20/illustrations/card/ill_86413_mochitsukitakedashingen03.jpg?202001-i_prefecture_active_user", "■")</f>
        <v>■</v>
      </c>
      <c r="F373" s="14" t="s">
        <v>16386</v>
      </c>
      <c r="G373" s="14">
        <v>105610</v>
      </c>
      <c r="H373" s="14">
        <v>113536</v>
      </c>
      <c r="I373" s="14">
        <v>28</v>
      </c>
      <c r="J373" s="14" t="s">
        <v>143</v>
      </c>
      <c r="K373" s="14" t="s">
        <v>16385</v>
      </c>
      <c r="L373" s="14" t="s">
        <v>13845</v>
      </c>
      <c r="M373" s="14" t="s">
        <v>9158</v>
      </c>
      <c r="N373" s="14" t="s">
        <v>9158</v>
      </c>
      <c r="O373" s="14" t="s">
        <v>9158</v>
      </c>
      <c r="P373" s="14" t="s">
        <v>9158</v>
      </c>
      <c r="Q373" s="14" t="s">
        <v>9158</v>
      </c>
      <c r="S373" s="14" t="s">
        <v>16398</v>
      </c>
    </row>
    <row r="374" spans="1:19">
      <c r="A374" s="14">
        <v>84793</v>
      </c>
      <c r="B374" s="14" t="s">
        <v>15</v>
      </c>
      <c r="C374" s="14" t="s">
        <v>107</v>
      </c>
      <c r="D374" s="14" t="s">
        <v>16390</v>
      </c>
      <c r="E374" s="15" t="str">
        <f>HYPERLINK("https://stat100.ameba.jp/tnk47/ratio20/illustrations/card/ill_84793_magatsuhinokami03.jpg?202001-i_prefecture_active_user", "■")</f>
        <v>■</v>
      </c>
      <c r="F374" s="14" t="s">
        <v>16389</v>
      </c>
      <c r="G374" s="14">
        <v>71136</v>
      </c>
      <c r="H374" s="14">
        <v>64520</v>
      </c>
      <c r="I374" s="14">
        <v>24</v>
      </c>
      <c r="J374" s="14" t="s">
        <v>10</v>
      </c>
      <c r="K374" s="14" t="s">
        <v>16388</v>
      </c>
      <c r="L374" s="14" t="s">
        <v>5599</v>
      </c>
      <c r="M374" s="14" t="s">
        <v>9158</v>
      </c>
      <c r="N374" s="14" t="s">
        <v>9158</v>
      </c>
      <c r="O374" s="14" t="s">
        <v>9158</v>
      </c>
      <c r="P374" s="14" t="s">
        <v>9158</v>
      </c>
      <c r="Q374" s="14" t="s">
        <v>9158</v>
      </c>
      <c r="S374" s="14" t="s">
        <v>15294</v>
      </c>
    </row>
    <row r="375" spans="1:19">
      <c r="A375" s="14">
        <v>86423</v>
      </c>
      <c r="B375" s="14" t="s">
        <v>15</v>
      </c>
      <c r="C375" s="14" t="s">
        <v>14</v>
      </c>
      <c r="D375" s="14" t="s">
        <v>16392</v>
      </c>
      <c r="E375" s="15" t="str">
        <f>HYPERLINK("https://stat100.ameba.jp/tnk47/ratio20/illustrations/card/ill_86423_kanibaruotsukisamaniittausagi03.jpg?202001-i_prefecture_active_user", "■")</f>
        <v>■</v>
      </c>
      <c r="F375" s="14" t="s">
        <v>16391</v>
      </c>
      <c r="G375" s="14">
        <v>71136</v>
      </c>
      <c r="H375" s="14">
        <v>64520</v>
      </c>
      <c r="I375" s="14">
        <v>24</v>
      </c>
      <c r="J375" s="14" t="s">
        <v>38</v>
      </c>
      <c r="K375" s="14" t="s">
        <v>1097</v>
      </c>
      <c r="L375" s="14" t="s">
        <v>8213</v>
      </c>
      <c r="M375" s="14" t="s">
        <v>9158</v>
      </c>
      <c r="N375" s="14" t="s">
        <v>9158</v>
      </c>
      <c r="O375" s="14" t="s">
        <v>9158</v>
      </c>
      <c r="P375" s="14" t="s">
        <v>9158</v>
      </c>
      <c r="Q375" s="14" t="s">
        <v>9158</v>
      </c>
      <c r="S375" s="14" t="s">
        <v>16398</v>
      </c>
    </row>
    <row r="376" spans="1:19">
      <c r="A376" s="14">
        <v>78903</v>
      </c>
      <c r="B376" s="14" t="s">
        <v>15</v>
      </c>
      <c r="C376" s="14" t="s">
        <v>101</v>
      </c>
      <c r="D376" s="14" t="s">
        <v>16395</v>
      </c>
      <c r="E376" s="15" t="str">
        <f>HYPERLINK("https://stat100.ameba.jp/tnk47/ratio20/illustrations/card/ill_78903_makiryoko03.jpg?202001-i_prefecture_active_user", "■")</f>
        <v>■</v>
      </c>
      <c r="F376" s="14" t="s">
        <v>16394</v>
      </c>
      <c r="G376" s="14">
        <v>64520</v>
      </c>
      <c r="H376" s="14">
        <v>71136</v>
      </c>
      <c r="I376" s="14">
        <v>24</v>
      </c>
      <c r="J376" s="14" t="s">
        <v>16</v>
      </c>
      <c r="K376" s="14" t="s">
        <v>16393</v>
      </c>
      <c r="L376" s="14" t="s">
        <v>3436</v>
      </c>
      <c r="M376" s="14" t="s">
        <v>9158</v>
      </c>
      <c r="N376" s="14" t="s">
        <v>9158</v>
      </c>
      <c r="O376" s="14" t="s">
        <v>9158</v>
      </c>
      <c r="P376" s="14" t="s">
        <v>9158</v>
      </c>
      <c r="Q376" s="14" t="s">
        <v>9158</v>
      </c>
      <c r="S376" s="14" t="s">
        <v>11850</v>
      </c>
    </row>
    <row r="378" spans="1:19">
      <c r="A378" s="14" t="s">
        <v>1711</v>
      </c>
    </row>
    <row r="379" spans="1:19">
      <c r="A379" s="14">
        <v>105495</v>
      </c>
      <c r="B379" s="14" t="s">
        <v>2510</v>
      </c>
    </row>
    <row r="380" spans="1:19">
      <c r="A380" s="14" t="s">
        <v>7150</v>
      </c>
      <c r="B380" s="14" t="s">
        <v>52</v>
      </c>
      <c r="C380" s="14" t="s">
        <v>202</v>
      </c>
      <c r="D380" s="20" t="s">
        <v>10656</v>
      </c>
      <c r="E380" s="15" t="str">
        <f>HYPERLINK("https://stat100.ameba.jp/tnk47/ratio20/illustrations/card/ill_84203_0_tarottofujiwaranoshoshi03.jpg?202001-i_prefecture_active_user", "■")</f>
        <v>■</v>
      </c>
      <c r="F380" s="14" t="s">
        <v>7153</v>
      </c>
      <c r="G380" s="14">
        <v>353250</v>
      </c>
      <c r="H380" s="14">
        <v>319286</v>
      </c>
      <c r="I380" s="14">
        <v>24</v>
      </c>
      <c r="J380" s="14" t="s">
        <v>10</v>
      </c>
      <c r="K380" s="14" t="s">
        <v>7152</v>
      </c>
      <c r="L380" s="14" t="s">
        <v>7151</v>
      </c>
      <c r="M380" s="14" t="s">
        <v>9158</v>
      </c>
      <c r="N380" s="14" t="s">
        <v>9158</v>
      </c>
      <c r="O380" s="19" t="s">
        <v>10128</v>
      </c>
      <c r="P380" s="14" t="s">
        <v>7154</v>
      </c>
      <c r="Q380" s="14">
        <v>1</v>
      </c>
    </row>
    <row r="381" spans="1:19">
      <c r="A381" s="14" t="s">
        <v>6598</v>
      </c>
      <c r="B381" s="14" t="s">
        <v>330</v>
      </c>
      <c r="C381" s="14" t="s">
        <v>35</v>
      </c>
      <c r="D381" s="19" t="s">
        <v>10555</v>
      </c>
      <c r="E381" s="15" t="str">
        <f>HYPERLINK("https://stat100.ameba.jp/tnk47/ratio20/illustrations/card/ill_83553_0_kajuenamoronagu03.jpg?202001-i_prefecture_active_user", "■")</f>
        <v>■</v>
      </c>
      <c r="F381" s="14" t="s">
        <v>6597</v>
      </c>
      <c r="G381" s="14">
        <v>252640</v>
      </c>
      <c r="H381" s="14">
        <v>279536</v>
      </c>
      <c r="I381" s="14">
        <v>24</v>
      </c>
      <c r="J381" s="14" t="s">
        <v>44</v>
      </c>
      <c r="K381" s="14" t="s">
        <v>6595</v>
      </c>
      <c r="L381" s="14" t="s">
        <v>6594</v>
      </c>
      <c r="M381" s="14" t="s">
        <v>9158</v>
      </c>
      <c r="N381" s="14" t="s">
        <v>9158</v>
      </c>
      <c r="O381" s="19" t="s">
        <v>10125</v>
      </c>
      <c r="P381" s="14" t="s">
        <v>6599</v>
      </c>
      <c r="Q381" s="14">
        <v>1</v>
      </c>
    </row>
    <row r="382" spans="1:19">
      <c r="A382" s="14" t="s">
        <v>5604</v>
      </c>
      <c r="B382" s="14" t="s">
        <v>330</v>
      </c>
      <c r="C382" s="14" t="s">
        <v>206</v>
      </c>
      <c r="D382" s="19" t="s">
        <v>614</v>
      </c>
      <c r="E382" s="15" t="str">
        <f>HYPERLINK("https://stat100.ameba.jp/tnk47/ratio20/illustrations/card/ill_47263_0_oukyuuatsuhime03.jpg?202001-i_prefecture_active_user", "■")</f>
        <v>■</v>
      </c>
      <c r="F382" s="14" t="s">
        <v>615</v>
      </c>
      <c r="G382" s="14">
        <v>150776</v>
      </c>
      <c r="H382" s="14">
        <v>133938</v>
      </c>
      <c r="I382" s="14">
        <v>24</v>
      </c>
      <c r="J382" s="14" t="s">
        <v>315</v>
      </c>
      <c r="K382" s="14" t="s">
        <v>616</v>
      </c>
      <c r="L382" s="14" t="s">
        <v>617</v>
      </c>
      <c r="M382" s="14" t="s">
        <v>9158</v>
      </c>
      <c r="N382" s="14" t="s">
        <v>9158</v>
      </c>
      <c r="O382" s="14" t="s">
        <v>9158</v>
      </c>
      <c r="P382" s="14" t="s">
        <v>9158</v>
      </c>
      <c r="Q382" s="14" t="s">
        <v>9158</v>
      </c>
    </row>
    <row r="383" spans="1:19">
      <c r="A383" s="14">
        <v>94543</v>
      </c>
      <c r="B383" s="14" t="s">
        <v>0</v>
      </c>
      <c r="C383" s="14" t="s">
        <v>23</v>
      </c>
      <c r="D383" s="14" t="s">
        <v>16402</v>
      </c>
      <c r="E383" s="15" t="str">
        <f>HYPERLINK("https://stat100.ameba.jp/tnk47/ratio20/illustrations/card/ill_94543_yuenchiraguzatama03.jpg?202001-i_prefecture_active_user", "■")</f>
        <v>■</v>
      </c>
      <c r="F383" s="14" t="s">
        <v>16401</v>
      </c>
      <c r="G383" s="14">
        <v>105426</v>
      </c>
      <c r="H383" s="14">
        <v>98066</v>
      </c>
      <c r="I383" s="14">
        <v>26</v>
      </c>
      <c r="J383" s="14" t="s">
        <v>16</v>
      </c>
      <c r="K383" s="14" t="s">
        <v>8601</v>
      </c>
      <c r="L383" s="14" t="s">
        <v>16400</v>
      </c>
      <c r="M383" s="14" t="s">
        <v>9158</v>
      </c>
      <c r="N383" s="14" t="s">
        <v>9158</v>
      </c>
      <c r="O383" s="14" t="s">
        <v>9158</v>
      </c>
      <c r="P383" s="14" t="s">
        <v>9158</v>
      </c>
      <c r="Q383" s="14" t="s">
        <v>9158</v>
      </c>
    </row>
    <row r="384" spans="1:19">
      <c r="A384" s="14">
        <v>94553</v>
      </c>
      <c r="B384" s="14" t="s">
        <v>15</v>
      </c>
      <c r="C384" s="14" t="s">
        <v>101</v>
      </c>
      <c r="D384" s="14" t="s">
        <v>16405</v>
      </c>
      <c r="E384" s="15" t="str">
        <f>HYPERLINK("https://stat100.ameba.jp/tnk47/ratio20/illustrations/card/ill_94553_yukigassen03.jpg?202001-i_prefecture_active_user", "■")</f>
        <v>■</v>
      </c>
      <c r="F384" s="14" t="s">
        <v>16404</v>
      </c>
      <c r="G384" s="14">
        <v>69898</v>
      </c>
      <c r="H384" s="14">
        <v>77064</v>
      </c>
      <c r="I384" s="14">
        <v>26</v>
      </c>
      <c r="J384" s="14" t="s">
        <v>38</v>
      </c>
      <c r="K384" s="14" t="s">
        <v>16403</v>
      </c>
      <c r="L384" s="14" t="s">
        <v>1753</v>
      </c>
      <c r="M384" s="14" t="s">
        <v>9158</v>
      </c>
      <c r="N384" s="14" t="s">
        <v>9158</v>
      </c>
      <c r="O384" s="14" t="s">
        <v>9158</v>
      </c>
      <c r="P384" s="14" t="s">
        <v>9158</v>
      </c>
      <c r="Q384" s="14" t="s">
        <v>9158</v>
      </c>
    </row>
    <row r="385" spans="1:17">
      <c r="A385" s="14">
        <v>94563</v>
      </c>
      <c r="B385" s="14" t="s">
        <v>22</v>
      </c>
      <c r="C385" s="14" t="s">
        <v>1</v>
      </c>
      <c r="D385" s="14" t="s">
        <v>16408</v>
      </c>
      <c r="E385" s="15" t="str">
        <f>HYPERLINK("https://stat100.ameba.jp/tnk47/ratio20/illustrations/card/ill_94563_mukashibanashitsurunongaeshi03.jpg?202001-i_prefecture_active_user", "■")</f>
        <v>■</v>
      </c>
      <c r="F385" s="14" t="s">
        <v>16407</v>
      </c>
      <c r="G385" s="14">
        <v>54058</v>
      </c>
      <c r="H385" s="14">
        <v>44948</v>
      </c>
      <c r="I385" s="14">
        <v>26</v>
      </c>
      <c r="J385" s="14" t="s">
        <v>38</v>
      </c>
      <c r="K385" s="14" t="s">
        <v>16406</v>
      </c>
      <c r="L385" s="14" t="s">
        <v>7248</v>
      </c>
      <c r="M385" s="14" t="s">
        <v>9158</v>
      </c>
      <c r="N385" s="14" t="s">
        <v>9158</v>
      </c>
      <c r="O385" s="14" t="s">
        <v>9158</v>
      </c>
      <c r="P385" s="14" t="s">
        <v>9158</v>
      </c>
      <c r="Q385" s="14" t="s">
        <v>9158</v>
      </c>
    </row>
    <row r="386" spans="1:17">
      <c r="A386" s="14">
        <v>94573</v>
      </c>
      <c r="B386" s="14" t="s">
        <v>22</v>
      </c>
      <c r="C386" s="14" t="s">
        <v>14</v>
      </c>
      <c r="D386" s="14" t="s">
        <v>16411</v>
      </c>
      <c r="E386" s="15" t="str">
        <f>HYPERLINK("https://stat100.ameba.jp/tnk47/ratio20/illustrations/card/ill_94573_daiyamondodasuto03.jpg?202001-i_prefecture_active_user", "■")</f>
        <v>■</v>
      </c>
      <c r="F386" s="14" t="s">
        <v>16410</v>
      </c>
      <c r="G386" s="14">
        <v>44948</v>
      </c>
      <c r="H386" s="14">
        <v>54058</v>
      </c>
      <c r="I386" s="14">
        <v>26</v>
      </c>
      <c r="J386" s="14" t="s">
        <v>26</v>
      </c>
      <c r="K386" s="14" t="s">
        <v>16409</v>
      </c>
      <c r="L386" s="14" t="s">
        <v>28</v>
      </c>
      <c r="M386" s="14" t="s">
        <v>9158</v>
      </c>
      <c r="N386" s="14" t="s">
        <v>9158</v>
      </c>
      <c r="O386" s="14" t="s">
        <v>9158</v>
      </c>
      <c r="P386" s="14" t="s">
        <v>9158</v>
      </c>
      <c r="Q386" s="14" t="s">
        <v>9158</v>
      </c>
    </row>
    <row r="388" spans="1:17">
      <c r="A388" s="14" t="s">
        <v>3911</v>
      </c>
    </row>
    <row r="389" spans="1:17">
      <c r="A389" s="14">
        <v>105518</v>
      </c>
      <c r="B389" s="14" t="s">
        <v>16412</v>
      </c>
    </row>
    <row r="390" spans="1:17">
      <c r="A390" s="14">
        <v>105528</v>
      </c>
      <c r="B390" s="14" t="s">
        <v>15721</v>
      </c>
    </row>
    <row r="391" spans="1:17">
      <c r="A391" s="7" t="s">
        <v>8100</v>
      </c>
      <c r="B391" s="7" t="s">
        <v>117</v>
      </c>
      <c r="C391" s="7" t="s">
        <v>202</v>
      </c>
      <c r="D391" s="19" t="s">
        <v>10784</v>
      </c>
      <c r="E391" s="15" t="str">
        <f>HYPERLINK("https://stat100.ameba.jp/tnk47/ratio20/illustrations/card/ill_86013_0_somemonosansaishiki03.jpg?202001-i_prefecture_active_user", "■")</f>
        <v>■</v>
      </c>
      <c r="F391" s="7" t="s">
        <v>8103</v>
      </c>
      <c r="G391" s="7">
        <v>349420</v>
      </c>
      <c r="H391" s="7">
        <v>315800</v>
      </c>
      <c r="I391" s="7">
        <v>30</v>
      </c>
      <c r="J391" s="7" t="s">
        <v>187</v>
      </c>
      <c r="K391" s="7" t="s">
        <v>8102</v>
      </c>
      <c r="L391" s="7" t="s">
        <v>8101</v>
      </c>
      <c r="M391" s="14" t="s">
        <v>9158</v>
      </c>
      <c r="N391" s="14" t="s">
        <v>9158</v>
      </c>
      <c r="O391" s="19" t="s">
        <v>10132</v>
      </c>
      <c r="P391" s="14" t="s">
        <v>3277</v>
      </c>
      <c r="Q391" s="14">
        <v>1</v>
      </c>
    </row>
    <row r="392" spans="1:17">
      <c r="A392" s="14">
        <v>81023</v>
      </c>
      <c r="B392" s="14" t="s">
        <v>334</v>
      </c>
      <c r="C392" s="14" t="s">
        <v>41</v>
      </c>
      <c r="D392" s="19" t="s">
        <v>10274</v>
      </c>
      <c r="E392" s="15" t="str">
        <f>HYPERLINK("https://stat100.ameba.jp/tnk47/ratio20/illustrations/card/ill_81023_momonokenki03.jpg?202001-i_prefecture_active_user", "■")</f>
        <v>■</v>
      </c>
      <c r="F392" s="14" t="s">
        <v>4088</v>
      </c>
      <c r="G392" s="14">
        <v>142716</v>
      </c>
      <c r="H392" s="14">
        <v>103361</v>
      </c>
      <c r="I392" s="14">
        <v>27</v>
      </c>
      <c r="J392" s="14" t="s">
        <v>143</v>
      </c>
      <c r="K392" s="14" t="s">
        <v>4089</v>
      </c>
      <c r="L392" s="14" t="s">
        <v>2049</v>
      </c>
      <c r="M392" s="14" t="s">
        <v>9158</v>
      </c>
      <c r="N392" s="14" t="s">
        <v>9158</v>
      </c>
      <c r="O392" s="19" t="s">
        <v>10096</v>
      </c>
      <c r="P392" s="14" t="s">
        <v>3245</v>
      </c>
      <c r="Q392" s="14">
        <v>1</v>
      </c>
    </row>
    <row r="393" spans="1:17">
      <c r="A393" s="16">
        <v>75853</v>
      </c>
      <c r="B393" s="14" t="s">
        <v>334</v>
      </c>
      <c r="C393" s="14" t="s">
        <v>41</v>
      </c>
      <c r="D393" s="19" t="s">
        <v>10224</v>
      </c>
      <c r="E393" s="15" t="str">
        <f>HYPERLINK("https://stat100.ameba.jp/tnk47/ratio20/illustrations/card/ill_75853_moruganoyuki03.jpg?202001-i_prefecture_active_user", "■")</f>
        <v>■</v>
      </c>
      <c r="F393" s="14" t="s">
        <v>5106</v>
      </c>
      <c r="G393" s="14">
        <v>135000</v>
      </c>
      <c r="H393" s="14">
        <v>125523</v>
      </c>
      <c r="I393" s="14">
        <v>27</v>
      </c>
      <c r="J393" s="14" t="s">
        <v>16</v>
      </c>
      <c r="K393" s="14" t="s">
        <v>5108</v>
      </c>
      <c r="L393" s="14" t="s">
        <v>1881</v>
      </c>
      <c r="M393" s="14" t="s">
        <v>9158</v>
      </c>
      <c r="N393" s="14" t="s">
        <v>9158</v>
      </c>
      <c r="O393" s="7" t="s">
        <v>3578</v>
      </c>
      <c r="P393" s="14" t="s">
        <v>3579</v>
      </c>
      <c r="Q393" s="14">
        <v>1</v>
      </c>
    </row>
    <row r="394" spans="1:17">
      <c r="A394" s="9">
        <v>73103</v>
      </c>
      <c r="B394" s="14" t="s">
        <v>334</v>
      </c>
      <c r="C394" s="14" t="s">
        <v>41</v>
      </c>
      <c r="D394" s="14" t="s">
        <v>2105</v>
      </c>
      <c r="E394" s="15" t="str">
        <f>HYPERLINK("https://stat100.ameba.jp/tnk47/ratio20/illustrations/card/ill_73103_nominookata03.jpg?202001-i_prefecture_active_user", "■")</f>
        <v>■</v>
      </c>
      <c r="F394" s="14" t="s">
        <v>2106</v>
      </c>
      <c r="G394" s="14">
        <v>85483</v>
      </c>
      <c r="H394" s="14">
        <v>118001</v>
      </c>
      <c r="I394" s="14">
        <v>27</v>
      </c>
      <c r="J394" s="14" t="s">
        <v>77</v>
      </c>
      <c r="K394" s="14" t="s">
        <v>2107</v>
      </c>
      <c r="L394" s="14" t="s">
        <v>969</v>
      </c>
      <c r="M394" s="14" t="s">
        <v>9158</v>
      </c>
      <c r="N394" s="14" t="s">
        <v>9158</v>
      </c>
      <c r="O394" s="9" t="s">
        <v>2717</v>
      </c>
      <c r="P394" s="14" t="s">
        <v>13173</v>
      </c>
      <c r="Q394" s="14">
        <v>1</v>
      </c>
    </row>
    <row r="395" spans="1:17">
      <c r="A395" s="14">
        <v>84653</v>
      </c>
      <c r="B395" s="14" t="s">
        <v>334</v>
      </c>
      <c r="C395" s="14" t="s">
        <v>209</v>
      </c>
      <c r="D395" s="20" t="s">
        <v>10626</v>
      </c>
      <c r="E395" s="15" t="str">
        <f>HYPERLINK("https://stat100.ameba.jp/tnk47/ratio20/illustrations/card/ill_84653_soru03.jpg?202001-i_prefecture_active_user", "■")</f>
        <v>■</v>
      </c>
      <c r="F395" s="14" t="s">
        <v>6954</v>
      </c>
      <c r="G395" s="14">
        <v>85483</v>
      </c>
      <c r="H395" s="14">
        <v>118001</v>
      </c>
      <c r="I395" s="14">
        <v>27</v>
      </c>
      <c r="J395" s="14" t="s">
        <v>44</v>
      </c>
      <c r="K395" s="14" t="s">
        <v>6956</v>
      </c>
      <c r="L395" s="14" t="s">
        <v>3652</v>
      </c>
      <c r="M395" s="14" t="s">
        <v>9158</v>
      </c>
      <c r="N395" s="14" t="s">
        <v>9158</v>
      </c>
      <c r="O395" s="19" t="s">
        <v>10103</v>
      </c>
      <c r="P395" s="14" t="s">
        <v>3897</v>
      </c>
      <c r="Q395" s="14">
        <v>1</v>
      </c>
    </row>
    <row r="396" spans="1:17">
      <c r="A396" s="14">
        <v>73093</v>
      </c>
      <c r="B396" s="14" t="s">
        <v>334</v>
      </c>
      <c r="C396" s="14" t="s">
        <v>209</v>
      </c>
      <c r="D396" s="20" t="s">
        <v>433</v>
      </c>
      <c r="E396" s="15" t="str">
        <f>HYPERLINK("https://stat100.ameba.jp/tnk47/ratio20/illustrations/card/ill_73093_aisukurinchan03.jpg?202001-i_prefecture_active_user", "■")</f>
        <v>■</v>
      </c>
      <c r="F396" s="14" t="s">
        <v>1027</v>
      </c>
      <c r="G396" s="14">
        <v>179634</v>
      </c>
      <c r="H396" s="14">
        <v>130113</v>
      </c>
      <c r="I396" s="14">
        <v>27</v>
      </c>
      <c r="J396" s="14" t="s">
        <v>104</v>
      </c>
      <c r="K396" s="14" t="s">
        <v>1028</v>
      </c>
      <c r="L396" s="14" t="s">
        <v>1029</v>
      </c>
      <c r="M396" s="14" t="s">
        <v>9158</v>
      </c>
      <c r="N396" s="14" t="s">
        <v>9158</v>
      </c>
      <c r="O396" s="19" t="s">
        <v>2741</v>
      </c>
      <c r="P396" s="14" t="s">
        <v>2742</v>
      </c>
      <c r="Q396" s="14">
        <v>1</v>
      </c>
    </row>
    <row r="397" spans="1:17">
      <c r="A397" s="9">
        <v>67953</v>
      </c>
      <c r="B397" s="14" t="s">
        <v>334</v>
      </c>
      <c r="C397" s="14" t="s">
        <v>209</v>
      </c>
      <c r="D397" s="14" t="s">
        <v>2486</v>
      </c>
      <c r="E397" s="15" t="str">
        <f>HYPERLINK("https://stat100.ameba.jp/tnk47/ratio20/illustrations/card/ill_67953_kutaniyaki03.jpg?202001-i_prefecture_active_user", "■")</f>
        <v>■</v>
      </c>
      <c r="F397" s="14" t="s">
        <v>2487</v>
      </c>
      <c r="G397" s="14">
        <v>88781</v>
      </c>
      <c r="H397" s="14">
        <v>122539</v>
      </c>
      <c r="I397" s="14">
        <v>27</v>
      </c>
      <c r="J397" s="14" t="s">
        <v>26</v>
      </c>
      <c r="K397" s="14" t="s">
        <v>2488</v>
      </c>
      <c r="L397" s="14" t="s">
        <v>2489</v>
      </c>
      <c r="M397" s="14" t="s">
        <v>9158</v>
      </c>
      <c r="N397" s="14" t="s">
        <v>9158</v>
      </c>
      <c r="O397" s="17" t="s">
        <v>10053</v>
      </c>
      <c r="P397" s="14" t="s">
        <v>3592</v>
      </c>
      <c r="Q397" s="14">
        <v>1</v>
      </c>
    </row>
    <row r="399" spans="1:17">
      <c r="A399" s="14" t="s">
        <v>4065</v>
      </c>
    </row>
    <row r="400" spans="1:17">
      <c r="A400" s="14">
        <v>105541</v>
      </c>
      <c r="B400" s="14" t="s">
        <v>16562</v>
      </c>
    </row>
    <row r="401" spans="1:17">
      <c r="A401" s="14" t="s">
        <v>7789</v>
      </c>
      <c r="B401" s="14" t="s">
        <v>52</v>
      </c>
      <c r="C401" s="14" t="s">
        <v>202</v>
      </c>
      <c r="D401" s="19" t="s">
        <v>10741</v>
      </c>
      <c r="E401" s="15" t="str">
        <f>HYPERLINK("https://stat100.ameba.jp/tnk47/ratio20/illustrations/card/ill_84923_0_onsengainansosatomihakkenden03.jpg?202012-X-RELEASE-GP-insert-battleleague", "■")</f>
        <v>■</v>
      </c>
      <c r="F401" s="14" t="s">
        <v>7792</v>
      </c>
      <c r="G401" s="14">
        <v>300364</v>
      </c>
      <c r="H401" s="14">
        <v>332328</v>
      </c>
      <c r="I401" s="14">
        <v>26</v>
      </c>
      <c r="J401" s="14" t="s">
        <v>155</v>
      </c>
      <c r="K401" s="14" t="s">
        <v>7791</v>
      </c>
      <c r="L401" s="14" t="s">
        <v>7790</v>
      </c>
      <c r="M401" s="14" t="s">
        <v>9158</v>
      </c>
      <c r="N401" s="14" t="s">
        <v>9158</v>
      </c>
      <c r="O401" s="19" t="s">
        <v>10131</v>
      </c>
      <c r="P401" s="14" t="s">
        <v>7793</v>
      </c>
      <c r="Q401" s="14">
        <v>0</v>
      </c>
    </row>
    <row r="402" spans="1:17">
      <c r="A402" s="14">
        <v>83393</v>
      </c>
      <c r="B402" s="14" t="s">
        <v>334</v>
      </c>
      <c r="C402" s="14" t="s">
        <v>209</v>
      </c>
      <c r="D402" s="19" t="s">
        <v>10381</v>
      </c>
      <c r="E402" s="15" t="str">
        <f>HYPERLINK("https://stat100.ameba.jp/tnk47/ratio20/illustrations/card/ill_83393_rito03.jpg?202012-X-RELEASE-GP-insert-battleleague", "■")</f>
        <v>■</v>
      </c>
      <c r="F402" s="14" t="s">
        <v>5735</v>
      </c>
      <c r="G402" s="14">
        <v>132684</v>
      </c>
      <c r="H402" s="14">
        <v>96100</v>
      </c>
      <c r="I402" s="14">
        <v>26</v>
      </c>
      <c r="J402" s="14" t="s">
        <v>38</v>
      </c>
      <c r="K402" s="14" t="s">
        <v>5738</v>
      </c>
      <c r="L402" s="14" t="s">
        <v>5400</v>
      </c>
      <c r="M402" s="14" t="s">
        <v>9158</v>
      </c>
      <c r="N402" s="14" t="s">
        <v>9158</v>
      </c>
      <c r="O402" s="19" t="s">
        <v>10098</v>
      </c>
      <c r="P402" s="14" t="s">
        <v>3491</v>
      </c>
      <c r="Q402" s="14">
        <v>1</v>
      </c>
    </row>
    <row r="403" spans="1:17">
      <c r="A403" s="14">
        <v>76783</v>
      </c>
      <c r="B403" s="14" t="s">
        <v>334</v>
      </c>
      <c r="C403" s="14" t="s">
        <v>203</v>
      </c>
      <c r="D403" s="19" t="s">
        <v>10367</v>
      </c>
      <c r="E403" s="15" t="str">
        <f>HYPERLINK("https://stat100.ameba.jp/tnk47/ratio20/illustrations/card/ill_76783_monsutaakashirejina03.jpg?202012-X-RELEASE-GP-insert-battleleague", "■")</f>
        <v>■</v>
      </c>
      <c r="F403" s="14" t="s">
        <v>1192</v>
      </c>
      <c r="G403" s="14">
        <v>82318</v>
      </c>
      <c r="H403" s="14">
        <v>113630</v>
      </c>
      <c r="I403" s="14">
        <v>26</v>
      </c>
      <c r="J403" s="14" t="s">
        <v>10</v>
      </c>
      <c r="K403" s="14" t="s">
        <v>1193</v>
      </c>
      <c r="L403" s="14" t="s">
        <v>1194</v>
      </c>
      <c r="M403" s="14" t="s">
        <v>9158</v>
      </c>
      <c r="N403" s="14" t="s">
        <v>9158</v>
      </c>
      <c r="O403" s="19" t="s">
        <v>2752</v>
      </c>
      <c r="P403" s="14" t="s">
        <v>13123</v>
      </c>
      <c r="Q403" s="14">
        <v>1</v>
      </c>
    </row>
    <row r="404" spans="1:17">
      <c r="A404" s="14">
        <v>83093</v>
      </c>
      <c r="B404" s="14" t="s">
        <v>0</v>
      </c>
      <c r="C404" s="14" t="s">
        <v>158</v>
      </c>
      <c r="D404" s="20" t="s">
        <v>10490</v>
      </c>
      <c r="E404" s="15" t="str">
        <f>HYPERLINK("https://stat100.ameba.jp/tnk47/ratio20/illustrations/card/ill_83093_yusuraume03.jpg?202012-X-RELEASE-GP-insert-battleleague", "■")</f>
        <v>■</v>
      </c>
      <c r="F404" s="14" t="s">
        <v>6267</v>
      </c>
      <c r="G404" s="14">
        <v>137430</v>
      </c>
      <c r="H404" s="14">
        <v>99532</v>
      </c>
      <c r="I404" s="14">
        <v>26</v>
      </c>
      <c r="J404" s="14" t="s">
        <v>104</v>
      </c>
      <c r="K404" s="14" t="s">
        <v>6266</v>
      </c>
      <c r="L404" s="14" t="s">
        <v>2409</v>
      </c>
      <c r="M404" s="14" t="s">
        <v>9158</v>
      </c>
      <c r="N404" s="14" t="s">
        <v>9158</v>
      </c>
      <c r="O404" s="19" t="s">
        <v>10090</v>
      </c>
      <c r="P404" s="14" t="s">
        <v>3460</v>
      </c>
      <c r="Q404" s="14">
        <v>1</v>
      </c>
    </row>
    <row r="406" spans="1:17">
      <c r="A406" s="14" t="s">
        <v>3844</v>
      </c>
    </row>
    <row r="407" spans="1:17">
      <c r="A407" s="14">
        <v>105546</v>
      </c>
      <c r="B407" s="14" t="s">
        <v>16563</v>
      </c>
    </row>
    <row r="408" spans="1:17">
      <c r="A408" s="14" t="s">
        <v>5804</v>
      </c>
      <c r="B408" s="14" t="s">
        <v>52</v>
      </c>
      <c r="C408" s="14" t="s">
        <v>14</v>
      </c>
      <c r="D408" s="19" t="s">
        <v>3195</v>
      </c>
      <c r="E408" s="15" t="str">
        <f>HYPERLINK("https://stat100.ameba.jp/tnk47/ratio20/illustrations/card/ill_75393_0_resukuinotsukisamaniittausagi03.jpg?202012-X-RELEASE-GP-insert-battleleague", "■")</f>
        <v>■</v>
      </c>
      <c r="F408" s="14" t="s">
        <v>3248</v>
      </c>
      <c r="G408" s="14">
        <v>296150</v>
      </c>
      <c r="H408" s="14">
        <v>275342</v>
      </c>
      <c r="I408" s="14">
        <v>26</v>
      </c>
      <c r="J408" s="14" t="s">
        <v>26</v>
      </c>
      <c r="K408" s="14" t="s">
        <v>3249</v>
      </c>
      <c r="L408" s="14" t="s">
        <v>3250</v>
      </c>
      <c r="M408" s="14" t="s">
        <v>9158</v>
      </c>
      <c r="N408" s="14" t="s">
        <v>9158</v>
      </c>
      <c r="O408" s="19" t="s">
        <v>10101</v>
      </c>
      <c r="P408" s="14" t="s">
        <v>3251</v>
      </c>
      <c r="Q408" s="14">
        <v>2</v>
      </c>
    </row>
    <row r="409" spans="1:17">
      <c r="A409" s="14">
        <v>90353</v>
      </c>
      <c r="B409" s="14" t="s">
        <v>0</v>
      </c>
      <c r="C409" s="14" t="s">
        <v>107</v>
      </c>
      <c r="D409" s="18" t="s">
        <v>13656</v>
      </c>
      <c r="E409" s="15" t="str">
        <f>HYPERLINK("https://stat100.ameba.jp/tnk47/ratio20/illustrations/card/ill_90353_nangokubakansumyorinni03.jpg?202012-X-RELEASE-GP-insert-battleleague", "■")</f>
        <v>■</v>
      </c>
      <c r="F409" s="14" t="s">
        <v>13658</v>
      </c>
      <c r="G409" s="14">
        <v>154562</v>
      </c>
      <c r="H409" s="14">
        <v>143714</v>
      </c>
      <c r="I409" s="14">
        <v>26</v>
      </c>
      <c r="J409" s="14" t="s">
        <v>143</v>
      </c>
      <c r="K409" s="14" t="s">
        <v>13660</v>
      </c>
      <c r="L409" s="14" t="s">
        <v>13661</v>
      </c>
      <c r="M409" s="14" t="s">
        <v>9158</v>
      </c>
      <c r="N409" s="14" t="s">
        <v>9158</v>
      </c>
      <c r="O409" s="6" t="s">
        <v>3578</v>
      </c>
      <c r="P409" s="7" t="s">
        <v>3579</v>
      </c>
      <c r="Q409" s="7">
        <v>1</v>
      </c>
    </row>
    <row r="410" spans="1:17">
      <c r="A410" s="14">
        <v>69533</v>
      </c>
      <c r="B410" s="14" t="s">
        <v>0</v>
      </c>
      <c r="C410" s="14" t="s">
        <v>101</v>
      </c>
      <c r="D410" s="20" t="s">
        <v>10418</v>
      </c>
      <c r="E410" s="15" t="str">
        <f>HYPERLINK("https://stat100.ameba.jp/tnk47/ratio20/illustrations/card/ill_69533_setsubunodainokata03.jpg?202012-X-RELEASE-GP-insert-battleleague", "■")</f>
        <v>■</v>
      </c>
      <c r="F410" s="14" t="s">
        <v>138</v>
      </c>
      <c r="G410" s="14">
        <v>101558</v>
      </c>
      <c r="H410" s="14">
        <v>94390</v>
      </c>
      <c r="I410" s="14">
        <v>26</v>
      </c>
      <c r="J410" s="14" t="s">
        <v>10</v>
      </c>
      <c r="K410" s="14" t="s">
        <v>139</v>
      </c>
      <c r="L410" s="14" t="s">
        <v>140</v>
      </c>
      <c r="M410" s="14" t="s">
        <v>9158</v>
      </c>
      <c r="N410" s="14" t="s">
        <v>9158</v>
      </c>
      <c r="O410" s="19" t="s">
        <v>10082</v>
      </c>
      <c r="P410" s="14" t="s">
        <v>13124</v>
      </c>
      <c r="Q410" s="14">
        <v>1</v>
      </c>
    </row>
    <row r="411" spans="1:17">
      <c r="A411" s="14">
        <v>78633</v>
      </c>
      <c r="B411" s="14" t="s">
        <v>334</v>
      </c>
      <c r="C411" s="14" t="s">
        <v>200</v>
      </c>
      <c r="D411" s="19" t="s">
        <v>2749</v>
      </c>
      <c r="E411" s="15" t="str">
        <f>HYPERLINK("https://stat100.ameba.jp/tnk47/ratio20/illustrations/card/ill_78633_geishunyuramyoinni03.jpg?202012-X-RELEASE-GP-insert-battleleague", "■")</f>
        <v>■</v>
      </c>
      <c r="F411" s="14" t="s">
        <v>2750</v>
      </c>
      <c r="G411" s="14">
        <v>94390</v>
      </c>
      <c r="H411" s="14">
        <v>101558</v>
      </c>
      <c r="I411" s="14">
        <v>26</v>
      </c>
      <c r="J411" s="14" t="s">
        <v>315</v>
      </c>
      <c r="K411" s="14" t="s">
        <v>2751</v>
      </c>
      <c r="L411" s="14" t="s">
        <v>608</v>
      </c>
      <c r="M411" s="14" t="s">
        <v>9158</v>
      </c>
      <c r="N411" s="14" t="s">
        <v>9158</v>
      </c>
      <c r="O411" s="19" t="s">
        <v>2752</v>
      </c>
      <c r="P411" s="14" t="s">
        <v>13123</v>
      </c>
      <c r="Q411" s="14">
        <v>1</v>
      </c>
    </row>
    <row r="413" spans="1:17">
      <c r="A413" s="14" t="s">
        <v>4422</v>
      </c>
    </row>
    <row r="414" spans="1:17">
      <c r="A414" s="14">
        <v>235767</v>
      </c>
      <c r="B414" s="14" t="s">
        <v>2552</v>
      </c>
    </row>
    <row r="415" spans="1:17">
      <c r="A415" s="14" t="s">
        <v>5621</v>
      </c>
      <c r="B415" s="14" t="s">
        <v>330</v>
      </c>
      <c r="C415" s="14" t="s">
        <v>191</v>
      </c>
      <c r="D415" s="19" t="s">
        <v>2871</v>
      </c>
      <c r="E415" s="15" t="str">
        <f>HYPERLINK("https://stat100.ameba.jp/tnk47/ratio20/illustrations/card/ill_51973_0_kemonomizugikuroyuridensetsu03.jpg?202012-X-RELEASE-GP-insert-battleleague", "■")</f>
        <v>■</v>
      </c>
      <c r="F415" s="14" t="s">
        <v>2034</v>
      </c>
      <c r="G415" s="14">
        <v>125648</v>
      </c>
      <c r="H415" s="14">
        <v>111616</v>
      </c>
      <c r="I415" s="14">
        <v>20</v>
      </c>
      <c r="J415" s="14" t="s">
        <v>38</v>
      </c>
      <c r="K415" s="14" t="s">
        <v>2035</v>
      </c>
      <c r="L415" s="14" t="s">
        <v>2036</v>
      </c>
      <c r="M415" s="14" t="s">
        <v>9158</v>
      </c>
      <c r="N415" s="14" t="s">
        <v>9158</v>
      </c>
      <c r="O415" s="19" t="s">
        <v>10088</v>
      </c>
      <c r="P415" s="14" t="s">
        <v>13172</v>
      </c>
      <c r="Q415" s="14">
        <v>1</v>
      </c>
    </row>
    <row r="416" spans="1:17">
      <c r="A416" s="14">
        <v>94603</v>
      </c>
      <c r="B416" s="14" t="s">
        <v>0</v>
      </c>
      <c r="C416" s="14" t="s">
        <v>23</v>
      </c>
      <c r="D416" s="14" t="s">
        <v>16472</v>
      </c>
      <c r="E416" s="15" t="str">
        <f>HYPERLINK("https://stat100.ameba.jp/tnk47/ratio20/illustrations/card/ill_94603_tenshitoakumamikkureina03.jpg?202012-X-RELEASE-GP-insert-battleleague", "■")</f>
        <v>■</v>
      </c>
      <c r="F416" s="14" t="s">
        <v>16471</v>
      </c>
      <c r="G416" s="14">
        <v>163316</v>
      </c>
      <c r="H416" s="14">
        <v>91874</v>
      </c>
      <c r="I416" s="14">
        <v>28</v>
      </c>
      <c r="J416" s="14" t="s">
        <v>104</v>
      </c>
      <c r="K416" s="14" t="s">
        <v>16470</v>
      </c>
      <c r="L416" s="14" t="s">
        <v>13093</v>
      </c>
      <c r="M416" s="14" t="s">
        <v>9158</v>
      </c>
      <c r="N416" s="14" t="s">
        <v>9158</v>
      </c>
      <c r="O416" s="14" t="s">
        <v>9158</v>
      </c>
      <c r="P416" s="14" t="s">
        <v>9158</v>
      </c>
      <c r="Q416" s="14" t="s">
        <v>9158</v>
      </c>
    </row>
    <row r="417" spans="1:19">
      <c r="A417" s="14">
        <v>94602</v>
      </c>
      <c r="B417" s="14" t="s">
        <v>0</v>
      </c>
      <c r="C417" s="14" t="s">
        <v>23</v>
      </c>
      <c r="D417" s="14" t="s">
        <v>16472</v>
      </c>
      <c r="E417" s="15" t="str">
        <f>HYPERLINK("https://stat100.ameba.jp/tnk47/ratio20/illustrations/card/ill_94602_tenshitoakumamikkureina02.jpg?202012-X-RELEASE-GP-insert-battleleague", "■")</f>
        <v>■</v>
      </c>
      <c r="F417" s="14" t="s">
        <v>16471</v>
      </c>
      <c r="G417" s="14">
        <v>135906</v>
      </c>
      <c r="H417" s="14">
        <v>76472</v>
      </c>
      <c r="I417" s="14">
        <v>28</v>
      </c>
      <c r="J417" s="14" t="s">
        <v>104</v>
      </c>
      <c r="K417" s="14" t="s">
        <v>16470</v>
      </c>
      <c r="L417" s="14" t="s">
        <v>3502</v>
      </c>
      <c r="M417" s="14" t="s">
        <v>9158</v>
      </c>
      <c r="N417" s="14" t="s">
        <v>9158</v>
      </c>
      <c r="O417" s="14" t="s">
        <v>9158</v>
      </c>
      <c r="P417" s="14" t="s">
        <v>9158</v>
      </c>
      <c r="Q417" s="14" t="s">
        <v>9158</v>
      </c>
    </row>
    <row r="418" spans="1:19">
      <c r="A418" s="14">
        <v>94601</v>
      </c>
      <c r="B418" s="14" t="s">
        <v>0</v>
      </c>
      <c r="C418" s="14" t="s">
        <v>23</v>
      </c>
      <c r="D418" s="14" t="s">
        <v>16472</v>
      </c>
      <c r="E418" s="15" t="str">
        <f>HYPERLINK("https://stat100.ameba.jp/tnk47/ratio20/illustrations/card/ill_94601_tenshitoakumamikkureina01.jpg?202012-X-RELEASE-GP-insert-battleleague", "■")</f>
        <v>■</v>
      </c>
      <c r="F418" s="14" t="s">
        <v>16471</v>
      </c>
      <c r="G418" s="14">
        <v>104272</v>
      </c>
      <c r="H418" s="14">
        <v>58688</v>
      </c>
      <c r="I418" s="14">
        <v>28</v>
      </c>
      <c r="J418" s="14" t="s">
        <v>104</v>
      </c>
      <c r="K418" s="14" t="s">
        <v>16470</v>
      </c>
      <c r="L418" s="14" t="s">
        <v>4443</v>
      </c>
      <c r="M418" s="14" t="s">
        <v>9158</v>
      </c>
      <c r="N418" s="14" t="s">
        <v>9158</v>
      </c>
      <c r="O418" s="14" t="s">
        <v>9158</v>
      </c>
      <c r="P418" s="14" t="s">
        <v>9158</v>
      </c>
      <c r="Q418" s="14" t="s">
        <v>9158</v>
      </c>
    </row>
    <row r="419" spans="1:19">
      <c r="A419" s="14">
        <v>94613</v>
      </c>
      <c r="B419" s="14" t="s">
        <v>0</v>
      </c>
      <c r="C419" s="14" t="s">
        <v>1</v>
      </c>
      <c r="D419" s="14" t="s">
        <v>16475</v>
      </c>
      <c r="E419" s="15" t="str">
        <f>HYPERLINK("https://stat100.ameba.jp/tnk47/ratio20/illustrations/card/ill_94613_tenshitoakumaazurairu03.jpg?202012-X-RELEASE-GP-insert-battleleague", "■")</f>
        <v>■</v>
      </c>
      <c r="F419" s="14" t="s">
        <v>16474</v>
      </c>
      <c r="G419" s="14">
        <v>205568</v>
      </c>
      <c r="H419" s="14">
        <v>115654</v>
      </c>
      <c r="I419" s="14">
        <v>28</v>
      </c>
      <c r="J419" s="14" t="s">
        <v>73</v>
      </c>
      <c r="K419" s="14" t="s">
        <v>16473</v>
      </c>
      <c r="L419" s="14" t="s">
        <v>16278</v>
      </c>
      <c r="M419" s="14" t="s">
        <v>9158</v>
      </c>
      <c r="N419" s="14" t="s">
        <v>9158</v>
      </c>
      <c r="O419" s="14" t="s">
        <v>9158</v>
      </c>
      <c r="P419" s="14" t="s">
        <v>9158</v>
      </c>
      <c r="Q419" s="14" t="s">
        <v>9158</v>
      </c>
    </row>
    <row r="420" spans="1:19">
      <c r="A420" s="14">
        <v>94612</v>
      </c>
      <c r="B420" s="14" t="s">
        <v>0</v>
      </c>
      <c r="C420" s="14" t="s">
        <v>1</v>
      </c>
      <c r="D420" s="14" t="s">
        <v>16475</v>
      </c>
      <c r="E420" s="15" t="str">
        <f>HYPERLINK("https://stat100.ameba.jp/tnk47/ratio20/illustrations/card/ill_94612_tenshitoakumaazurairu02.jpg?202012-X-RELEASE-GP-insert-battleleague", "■")</f>
        <v>■</v>
      </c>
      <c r="F420" s="14" t="s">
        <v>16474</v>
      </c>
      <c r="G420" s="14">
        <v>171040</v>
      </c>
      <c r="H420" s="14">
        <v>96252</v>
      </c>
      <c r="I420" s="14">
        <v>28</v>
      </c>
      <c r="J420" s="14" t="s">
        <v>73</v>
      </c>
      <c r="K420" s="14" t="s">
        <v>16473</v>
      </c>
      <c r="L420" s="14" t="s">
        <v>16282</v>
      </c>
      <c r="M420" s="14" t="s">
        <v>9158</v>
      </c>
      <c r="N420" s="14" t="s">
        <v>9158</v>
      </c>
      <c r="O420" s="14" t="s">
        <v>9158</v>
      </c>
      <c r="P420" s="14" t="s">
        <v>9158</v>
      </c>
      <c r="Q420" s="14" t="s">
        <v>9158</v>
      </c>
    </row>
    <row r="421" spans="1:19">
      <c r="A421" s="14">
        <v>94611</v>
      </c>
      <c r="B421" s="14" t="s">
        <v>0</v>
      </c>
      <c r="C421" s="14" t="s">
        <v>1</v>
      </c>
      <c r="D421" s="14" t="s">
        <v>16475</v>
      </c>
      <c r="E421" s="15" t="str">
        <f>HYPERLINK("https://stat100.ameba.jp/tnk47/ratio20/illustrations/card/ill_94611_tenshitoakumaazurairu01.jpg?202012-X-RELEASE-GP-insert-battleleague", "■")</f>
        <v>■</v>
      </c>
      <c r="F421" s="14" t="s">
        <v>16474</v>
      </c>
      <c r="G421" s="14">
        <v>131264</v>
      </c>
      <c r="H421" s="14">
        <v>73864</v>
      </c>
      <c r="I421" s="14">
        <v>28</v>
      </c>
      <c r="J421" s="14" t="s">
        <v>73</v>
      </c>
      <c r="K421" s="14" t="s">
        <v>16473</v>
      </c>
      <c r="L421" s="14" t="s">
        <v>16476</v>
      </c>
      <c r="M421" s="14" t="s">
        <v>9158</v>
      </c>
      <c r="N421" s="14" t="s">
        <v>9158</v>
      </c>
      <c r="O421" s="14" t="s">
        <v>9158</v>
      </c>
      <c r="P421" s="14" t="s">
        <v>9158</v>
      </c>
      <c r="Q421" s="14" t="s">
        <v>9158</v>
      </c>
    </row>
    <row r="422" spans="1:19">
      <c r="M422" s="14" t="s">
        <v>9158</v>
      </c>
      <c r="N422" s="14" t="s">
        <v>9158</v>
      </c>
      <c r="O422" s="14" t="s">
        <v>9158</v>
      </c>
      <c r="P422" s="14" t="s">
        <v>9158</v>
      </c>
      <c r="Q422" s="14" t="s">
        <v>9158</v>
      </c>
    </row>
    <row r="423" spans="1:19">
      <c r="A423" s="14" t="s">
        <v>4012</v>
      </c>
    </row>
    <row r="424" spans="1:19">
      <c r="A424" s="14">
        <v>235798</v>
      </c>
      <c r="B424" s="14" t="s">
        <v>16469</v>
      </c>
    </row>
    <row r="425" spans="1:19">
      <c r="A425" s="14" t="s">
        <v>5614</v>
      </c>
      <c r="B425" s="14" t="s">
        <v>330</v>
      </c>
      <c r="C425" s="14" t="s">
        <v>267</v>
      </c>
      <c r="D425" s="19" t="s">
        <v>313</v>
      </c>
      <c r="E425" s="15" t="str">
        <f>HYPERLINK("https://stat100.ameba.jp/tnk47/ratio20/illustrations/card/ill_56223_0_onsempanikkugohime03.jpg?202012-X-RELEASE-GP-insert-battleleague", "■")</f>
        <v>■</v>
      </c>
      <c r="F425" s="14" t="s">
        <v>314</v>
      </c>
      <c r="G425" s="14">
        <v>133938</v>
      </c>
      <c r="H425" s="14">
        <v>150776</v>
      </c>
      <c r="I425" s="14">
        <v>24</v>
      </c>
      <c r="J425" s="14" t="s">
        <v>315</v>
      </c>
      <c r="K425" s="14" t="s">
        <v>316</v>
      </c>
      <c r="L425" s="14" t="s">
        <v>317</v>
      </c>
      <c r="M425" s="14" t="s">
        <v>9158</v>
      </c>
      <c r="N425" s="14" t="s">
        <v>9158</v>
      </c>
      <c r="O425" s="19" t="s">
        <v>3021</v>
      </c>
      <c r="P425" s="14" t="s">
        <v>2890</v>
      </c>
      <c r="Q425" s="14">
        <v>1</v>
      </c>
    </row>
    <row r="426" spans="1:19">
      <c r="A426" s="14" t="s">
        <v>5609</v>
      </c>
      <c r="B426" s="14" t="s">
        <v>52</v>
      </c>
      <c r="C426" s="14" t="s">
        <v>200</v>
      </c>
      <c r="D426" s="19" t="s">
        <v>389</v>
      </c>
      <c r="E426" s="15" t="str">
        <f>HYPERLINK("https://stat100.ameba.jp/tnk47/ratio20/illustrations/card/ill_53753_0_natsumatsuritokugawaieyasu03.jpg?202012-X-RELEASE-GP-insert-battleleague", "■")</f>
        <v>■</v>
      </c>
      <c r="F426" s="14" t="s">
        <v>902</v>
      </c>
      <c r="G426" s="14">
        <v>150776</v>
      </c>
      <c r="H426" s="14">
        <v>133938</v>
      </c>
      <c r="I426" s="14">
        <v>24</v>
      </c>
      <c r="J426" s="14" t="s">
        <v>194</v>
      </c>
      <c r="K426" s="14" t="s">
        <v>1714</v>
      </c>
      <c r="L426" s="14" t="s">
        <v>904</v>
      </c>
      <c r="M426" s="14" t="s">
        <v>9158</v>
      </c>
      <c r="N426" s="14" t="s">
        <v>9158</v>
      </c>
      <c r="O426" s="19" t="s">
        <v>10076</v>
      </c>
      <c r="P426" s="14" t="s">
        <v>13121</v>
      </c>
      <c r="Q426" s="14">
        <v>1</v>
      </c>
    </row>
    <row r="427" spans="1:19">
      <c r="A427" s="14" t="s">
        <v>5608</v>
      </c>
      <c r="B427" s="14" t="s">
        <v>52</v>
      </c>
      <c r="C427" s="14" t="s">
        <v>96</v>
      </c>
      <c r="D427" s="19" t="s">
        <v>634</v>
      </c>
      <c r="E427" s="15" t="str">
        <f>HYPERLINK("https://stat100.ameba.jp/tnk47/ratio20/illustrations/card/ill_40963_0_makami03.jpg?202012-X-RELEASE-GP-insert-battleleague", "■")</f>
        <v>■</v>
      </c>
      <c r="F427" s="14" t="s">
        <v>2038</v>
      </c>
      <c r="G427" s="14">
        <v>140448</v>
      </c>
      <c r="H427" s="14">
        <v>131538</v>
      </c>
      <c r="I427" s="14">
        <v>24</v>
      </c>
      <c r="J427" s="14" t="s">
        <v>44</v>
      </c>
      <c r="K427" s="14" t="s">
        <v>2039</v>
      </c>
      <c r="L427" s="14" t="s">
        <v>2040</v>
      </c>
      <c r="M427" s="14" t="s">
        <v>9158</v>
      </c>
      <c r="N427" s="14" t="s">
        <v>9158</v>
      </c>
      <c r="O427" s="14" t="s">
        <v>9158</v>
      </c>
      <c r="P427" s="14" t="s">
        <v>9158</v>
      </c>
      <c r="Q427" s="14" t="s">
        <v>9158</v>
      </c>
    </row>
    <row r="428" spans="1:19">
      <c r="A428" s="14">
        <v>87493</v>
      </c>
      <c r="B428" s="14" t="s">
        <v>0</v>
      </c>
      <c r="C428" s="14" t="s">
        <v>35</v>
      </c>
      <c r="D428" s="14" t="s">
        <v>16479</v>
      </c>
      <c r="E428" s="15" t="str">
        <f>HYPERLINK("https://stat100.ameba.jp/tnk47/ratio20/illustrations/card/ill_87493_seikasodatsusenhatsumenotsubone03.jpg?202012-X-RELEASE-GP-insert-battleleague", "■")</f>
        <v>■</v>
      </c>
      <c r="F428" s="14" t="s">
        <v>16478</v>
      </c>
      <c r="G428" s="14">
        <v>114452</v>
      </c>
      <c r="H428" s="14">
        <v>106386</v>
      </c>
      <c r="I428" s="14">
        <v>28</v>
      </c>
      <c r="J428" s="14" t="s">
        <v>77</v>
      </c>
      <c r="K428" s="14" t="s">
        <v>16477</v>
      </c>
      <c r="L428" s="14" t="s">
        <v>76</v>
      </c>
      <c r="M428" s="14" t="s">
        <v>9158</v>
      </c>
      <c r="N428" s="14" t="s">
        <v>9158</v>
      </c>
      <c r="O428" s="14" t="s">
        <v>9158</v>
      </c>
      <c r="P428" s="14" t="s">
        <v>9158</v>
      </c>
      <c r="Q428" s="14" t="s">
        <v>9158</v>
      </c>
      <c r="S428" s="14" t="s">
        <v>16487</v>
      </c>
    </row>
    <row r="429" spans="1:19">
      <c r="A429" s="14">
        <v>85663</v>
      </c>
      <c r="B429" s="14" t="s">
        <v>0</v>
      </c>
      <c r="C429" s="14" t="s">
        <v>41</v>
      </c>
      <c r="D429" s="14" t="s">
        <v>16483</v>
      </c>
      <c r="E429" s="15" t="str">
        <f>HYPERLINK("https://stat100.ameba.jp/tnk47/ratio20/illustrations/card/ill_85663_nemmatsukenkoshindanjinzuchan03.jpg?202012-X-RELEASE-GP-insert-battleleague", "■")</f>
        <v>■</v>
      </c>
      <c r="F429" s="14" t="s">
        <v>16482</v>
      </c>
      <c r="G429" s="14">
        <v>166452</v>
      </c>
      <c r="H429" s="14">
        <v>154768</v>
      </c>
      <c r="I429" s="14">
        <v>28</v>
      </c>
      <c r="J429" s="14" t="s">
        <v>26</v>
      </c>
      <c r="K429" s="14" t="s">
        <v>16481</v>
      </c>
      <c r="L429" s="14" t="s">
        <v>16480</v>
      </c>
      <c r="M429" s="14" t="s">
        <v>9158</v>
      </c>
      <c r="N429" s="14" t="s">
        <v>9158</v>
      </c>
      <c r="O429" s="14" t="s">
        <v>9158</v>
      </c>
      <c r="P429" s="14" t="s">
        <v>9158</v>
      </c>
      <c r="Q429" s="14" t="s">
        <v>9158</v>
      </c>
      <c r="S429" s="14" t="s">
        <v>14316</v>
      </c>
    </row>
    <row r="430" spans="1:19">
      <c r="A430" s="14">
        <v>83783</v>
      </c>
      <c r="B430" s="14" t="s">
        <v>0</v>
      </c>
      <c r="C430" s="14" t="s">
        <v>47</v>
      </c>
      <c r="D430" s="14" t="s">
        <v>16486</v>
      </c>
      <c r="E430" s="15" t="str">
        <f>HYPERLINK("https://stat100.ameba.jp/tnk47/ratio20/illustrations/card/ill_83783_danjirigotoshimpei03.jpg?202012-X-RELEASE-GP-insert-battleleague", "■")</f>
        <v>■</v>
      </c>
      <c r="F430" s="14" t="s">
        <v>16485</v>
      </c>
      <c r="G430" s="14">
        <v>105610</v>
      </c>
      <c r="H430" s="14">
        <v>113536</v>
      </c>
      <c r="I430" s="14">
        <v>28</v>
      </c>
      <c r="J430" s="14" t="s">
        <v>16</v>
      </c>
      <c r="K430" s="14" t="s">
        <v>16484</v>
      </c>
      <c r="L430" s="14" t="s">
        <v>8216</v>
      </c>
      <c r="M430" s="14" t="s">
        <v>9158</v>
      </c>
      <c r="N430" s="14" t="s">
        <v>9158</v>
      </c>
      <c r="O430" s="14" t="s">
        <v>9158</v>
      </c>
      <c r="P430" s="14" t="s">
        <v>9158</v>
      </c>
      <c r="Q430" s="14" t="s">
        <v>9158</v>
      </c>
      <c r="S430" s="14" t="s">
        <v>16488</v>
      </c>
    </row>
    <row r="431" spans="1:19">
      <c r="A431" s="14">
        <v>84793</v>
      </c>
      <c r="B431" s="14" t="s">
        <v>15</v>
      </c>
      <c r="C431" s="14" t="s">
        <v>107</v>
      </c>
      <c r="D431" s="14" t="s">
        <v>16390</v>
      </c>
      <c r="E431" s="15" t="str">
        <f>HYPERLINK("https://stat100.ameba.jp/tnk47/ratio20/illustrations/card/ill_84793_magatsuhinokami03.jpg?202012-5-RELEASE-marathon-506x", "■")</f>
        <v>■</v>
      </c>
      <c r="F431" s="14" t="s">
        <v>16389</v>
      </c>
      <c r="G431" s="14">
        <v>71136</v>
      </c>
      <c r="H431" s="14">
        <v>64520</v>
      </c>
      <c r="I431" s="14">
        <v>24</v>
      </c>
      <c r="J431" s="14" t="s">
        <v>10</v>
      </c>
      <c r="K431" s="14" t="s">
        <v>16388</v>
      </c>
      <c r="L431" s="14" t="s">
        <v>5599</v>
      </c>
      <c r="M431" s="14" t="s">
        <v>9158</v>
      </c>
      <c r="N431" s="14" t="s">
        <v>9158</v>
      </c>
      <c r="O431" s="14" t="s">
        <v>9158</v>
      </c>
      <c r="P431" s="14" t="s">
        <v>9158</v>
      </c>
      <c r="Q431" s="14" t="s">
        <v>9158</v>
      </c>
      <c r="S431" s="14" t="s">
        <v>15294</v>
      </c>
    </row>
    <row r="432" spans="1:19">
      <c r="A432" s="14">
        <v>86423</v>
      </c>
      <c r="B432" s="14" t="s">
        <v>15</v>
      </c>
      <c r="C432" s="14" t="s">
        <v>14</v>
      </c>
      <c r="D432" s="14" t="s">
        <v>16392</v>
      </c>
      <c r="E432" s="15" t="str">
        <f>HYPERLINK("https://stat100.ameba.jp/tnk47/ratio20/illustrations/card/ill_86423_kanibaruotsukisamaniittausagi03.jpg?202012-5-RELEASE-marathon-506x", "■")</f>
        <v>■</v>
      </c>
      <c r="F432" s="14" t="s">
        <v>16391</v>
      </c>
      <c r="G432" s="14">
        <v>71136</v>
      </c>
      <c r="H432" s="14">
        <v>64520</v>
      </c>
      <c r="I432" s="14">
        <v>24</v>
      </c>
      <c r="J432" s="14" t="s">
        <v>38</v>
      </c>
      <c r="K432" s="14" t="s">
        <v>1097</v>
      </c>
      <c r="L432" s="14" t="s">
        <v>8213</v>
      </c>
      <c r="M432" s="14" t="s">
        <v>9158</v>
      </c>
      <c r="N432" s="14" t="s">
        <v>9158</v>
      </c>
      <c r="O432" s="14" t="s">
        <v>9158</v>
      </c>
      <c r="P432" s="14" t="s">
        <v>9158</v>
      </c>
      <c r="Q432" s="14" t="s">
        <v>9158</v>
      </c>
      <c r="S432" s="14" t="s">
        <v>16398</v>
      </c>
    </row>
    <row r="433" spans="1:19">
      <c r="A433" s="14">
        <v>78903</v>
      </c>
      <c r="B433" s="14" t="s">
        <v>15</v>
      </c>
      <c r="C433" s="14" t="s">
        <v>101</v>
      </c>
      <c r="D433" s="14" t="s">
        <v>16395</v>
      </c>
      <c r="E433" s="15" t="str">
        <f>HYPERLINK("https://stat100.ameba.jp/tnk47/ratio20/illustrations/card/ill_78903_makiryoko03.jpg?202012-5-RELEASE-marathon-506x", "■")</f>
        <v>■</v>
      </c>
      <c r="F433" s="14" t="s">
        <v>16394</v>
      </c>
      <c r="G433" s="14">
        <v>64520</v>
      </c>
      <c r="H433" s="14">
        <v>71136</v>
      </c>
      <c r="I433" s="14">
        <v>24</v>
      </c>
      <c r="J433" s="14" t="s">
        <v>16</v>
      </c>
      <c r="K433" s="14" t="s">
        <v>16393</v>
      </c>
      <c r="L433" s="14" t="s">
        <v>3436</v>
      </c>
      <c r="M433" s="14" t="s">
        <v>9158</v>
      </c>
      <c r="N433" s="14" t="s">
        <v>9158</v>
      </c>
      <c r="O433" s="14" t="s">
        <v>9158</v>
      </c>
      <c r="P433" s="14" t="s">
        <v>9158</v>
      </c>
      <c r="Q433" s="14" t="s">
        <v>9158</v>
      </c>
      <c r="S433" s="14" t="s">
        <v>11850</v>
      </c>
    </row>
    <row r="435" spans="1:19">
      <c r="A435" s="14" t="s">
        <v>4076</v>
      </c>
    </row>
    <row r="436" spans="1:19">
      <c r="A436" s="14">
        <v>235817</v>
      </c>
      <c r="B436" s="14" t="s">
        <v>2590</v>
      </c>
    </row>
    <row r="437" spans="1:19">
      <c r="A437" s="14" t="s">
        <v>5615</v>
      </c>
      <c r="B437" s="14" t="s">
        <v>330</v>
      </c>
      <c r="C437" s="14" t="s">
        <v>206</v>
      </c>
      <c r="D437" s="19" t="s">
        <v>2814</v>
      </c>
      <c r="E437" s="15" t="str">
        <f>HYPERLINK("https://stat100.ameba.jp/tnk47/ratio20/illustrations/card/ill_57733_0_shogatsunisenjunanaamakusashiro03.jpg?202012-X-RELEASE-GP-insert-battleleague", "■")</f>
        <v>■</v>
      </c>
      <c r="F437" s="14" t="s">
        <v>2815</v>
      </c>
      <c r="G437" s="14">
        <v>111616</v>
      </c>
      <c r="H437" s="14">
        <v>125648</v>
      </c>
      <c r="I437" s="14">
        <v>20</v>
      </c>
      <c r="J437" s="14" t="s">
        <v>351</v>
      </c>
      <c r="K437" s="14" t="s">
        <v>2816</v>
      </c>
      <c r="L437" s="14" t="s">
        <v>2817</v>
      </c>
      <c r="M437" s="14" t="s">
        <v>9158</v>
      </c>
      <c r="N437" s="14" t="s">
        <v>9158</v>
      </c>
      <c r="O437" s="19" t="s">
        <v>10077</v>
      </c>
      <c r="P437" s="14" t="s">
        <v>3062</v>
      </c>
      <c r="Q437" s="14">
        <v>1</v>
      </c>
    </row>
    <row r="438" spans="1:19">
      <c r="A438" s="14">
        <v>94623</v>
      </c>
      <c r="B438" s="14" t="s">
        <v>0</v>
      </c>
      <c r="C438" s="14" t="s">
        <v>14</v>
      </c>
      <c r="D438" s="14" t="s">
        <v>16463</v>
      </c>
      <c r="E438" s="15" t="str">
        <f>HYPERLINK("https://stat100.ameba.jp/tnk47/ratio20/illustrations/card/ill_94623_tenshitoakumadaitenshiarumatei03.jpg?202012-X-RELEASE-GP-insert-battleleague", "■")</f>
        <v>■</v>
      </c>
      <c r="F438" s="14" t="s">
        <v>16462</v>
      </c>
      <c r="G438" s="14">
        <v>115654</v>
      </c>
      <c r="H438" s="14">
        <v>205568</v>
      </c>
      <c r="I438" s="7">
        <v>28</v>
      </c>
      <c r="J438" s="14" t="s">
        <v>143</v>
      </c>
      <c r="K438" s="14" t="s">
        <v>16461</v>
      </c>
      <c r="L438" s="14" t="s">
        <v>12361</v>
      </c>
      <c r="M438" s="14" t="s">
        <v>9158</v>
      </c>
      <c r="N438" s="14" t="s">
        <v>9158</v>
      </c>
      <c r="O438" s="14" t="s">
        <v>9158</v>
      </c>
      <c r="P438" s="14" t="s">
        <v>9158</v>
      </c>
      <c r="Q438" s="14" t="s">
        <v>9158</v>
      </c>
    </row>
    <row r="439" spans="1:19">
      <c r="A439" s="14">
        <v>94622</v>
      </c>
      <c r="B439" s="14" t="s">
        <v>0</v>
      </c>
      <c r="C439" s="14" t="s">
        <v>14</v>
      </c>
      <c r="D439" s="14" t="s">
        <v>16463</v>
      </c>
      <c r="E439" s="15" t="str">
        <f>HYPERLINK("https://stat100.ameba.jp/tnk47/ratio20/illustrations/card/ill_94622_tenshitoakumadaitenshiarumatei02.jpg?202012-X-RELEASE-GP-insert-battleleague", "■")</f>
        <v>■</v>
      </c>
      <c r="F439" s="14" t="s">
        <v>16462</v>
      </c>
      <c r="G439" s="14">
        <v>96252</v>
      </c>
      <c r="H439" s="14">
        <v>171040</v>
      </c>
      <c r="I439" s="7">
        <v>28</v>
      </c>
      <c r="J439" s="14" t="s">
        <v>143</v>
      </c>
      <c r="K439" s="14" t="s">
        <v>16461</v>
      </c>
      <c r="L439" s="14" t="s">
        <v>12365</v>
      </c>
      <c r="M439" s="14" t="s">
        <v>9158</v>
      </c>
      <c r="N439" s="14" t="s">
        <v>9158</v>
      </c>
      <c r="O439" s="14" t="s">
        <v>9158</v>
      </c>
      <c r="P439" s="14" t="s">
        <v>9158</v>
      </c>
      <c r="Q439" s="14" t="s">
        <v>9158</v>
      </c>
    </row>
    <row r="440" spans="1:19">
      <c r="A440" s="14">
        <v>94621</v>
      </c>
      <c r="B440" s="14" t="s">
        <v>0</v>
      </c>
      <c r="C440" s="14" t="s">
        <v>14</v>
      </c>
      <c r="D440" s="14" t="s">
        <v>16463</v>
      </c>
      <c r="E440" s="15" t="str">
        <f>HYPERLINK("https://stat100.ameba.jp/tnk47/ratio20/illustrations/card/ill_94621_tenshitoakumadaitenshiarumatei01.jpg?202012-X-RELEASE-GP-insert-battleleague", "■")</f>
        <v>■</v>
      </c>
      <c r="F440" s="14" t="s">
        <v>16462</v>
      </c>
      <c r="G440" s="14">
        <v>73864</v>
      </c>
      <c r="H440" s="14">
        <v>131264</v>
      </c>
      <c r="I440" s="7">
        <v>28</v>
      </c>
      <c r="J440" s="14" t="s">
        <v>143</v>
      </c>
      <c r="K440" s="14" t="s">
        <v>16461</v>
      </c>
      <c r="L440" s="14" t="s">
        <v>12364</v>
      </c>
      <c r="M440" s="14" t="s">
        <v>9158</v>
      </c>
      <c r="N440" s="14" t="s">
        <v>9158</v>
      </c>
      <c r="O440" s="14" t="s">
        <v>9158</v>
      </c>
      <c r="P440" s="14" t="s">
        <v>9158</v>
      </c>
      <c r="Q440" s="14" t="s">
        <v>9158</v>
      </c>
    </row>
    <row r="441" spans="1:19">
      <c r="A441" s="14">
        <v>94633</v>
      </c>
      <c r="B441" s="14" t="s">
        <v>0</v>
      </c>
      <c r="C441" s="14" t="s">
        <v>101</v>
      </c>
      <c r="D441" s="14" t="s">
        <v>16466</v>
      </c>
      <c r="E441" s="15" t="str">
        <f>HYPERLINK("https://stat100.ameba.jp/tnk47/ratio20/illustrations/card/ill_94633_tenshitoakumamaso03.jpg?202012-X-RELEASE-GP-insert-battleleague", "■")</f>
        <v>■</v>
      </c>
      <c r="F441" s="14" t="s">
        <v>16465</v>
      </c>
      <c r="G441" s="14">
        <v>79346</v>
      </c>
      <c r="H441" s="14">
        <v>141042</v>
      </c>
      <c r="I441" s="7">
        <v>28</v>
      </c>
      <c r="J441" s="14" t="s">
        <v>44</v>
      </c>
      <c r="K441" s="14" t="s">
        <v>16464</v>
      </c>
      <c r="L441" s="14" t="s">
        <v>15905</v>
      </c>
      <c r="M441" s="14" t="s">
        <v>9158</v>
      </c>
      <c r="N441" s="14" t="s">
        <v>9158</v>
      </c>
      <c r="O441" s="14" t="s">
        <v>9158</v>
      </c>
      <c r="P441" s="14" t="s">
        <v>9158</v>
      </c>
      <c r="Q441" s="14" t="s">
        <v>9158</v>
      </c>
    </row>
    <row r="442" spans="1:19">
      <c r="A442" s="14">
        <v>94632</v>
      </c>
      <c r="B442" s="14" t="s">
        <v>0</v>
      </c>
      <c r="C442" s="14" t="s">
        <v>101</v>
      </c>
      <c r="D442" s="14" t="s">
        <v>16466</v>
      </c>
      <c r="E442" s="15" t="str">
        <f>HYPERLINK("https://stat100.ameba.jp/tnk47/ratio20/illustrations/card/ill_94632_tenshitoakumamaso02.jpg?202012-X-RELEASE-GP-insert-battleleague", "■")</f>
        <v>■</v>
      </c>
      <c r="F442" s="14" t="s">
        <v>16465</v>
      </c>
      <c r="G442" s="14">
        <v>66052</v>
      </c>
      <c r="H442" s="14">
        <v>117352</v>
      </c>
      <c r="I442" s="7">
        <v>28</v>
      </c>
      <c r="J442" s="14" t="s">
        <v>44</v>
      </c>
      <c r="K442" s="14" t="s">
        <v>16464</v>
      </c>
      <c r="L442" s="14" t="s">
        <v>16467</v>
      </c>
      <c r="M442" s="14" t="s">
        <v>9158</v>
      </c>
      <c r="N442" s="14" t="s">
        <v>9158</v>
      </c>
      <c r="O442" s="14" t="s">
        <v>9158</v>
      </c>
      <c r="P442" s="14" t="s">
        <v>9158</v>
      </c>
      <c r="Q442" s="14" t="s">
        <v>9158</v>
      </c>
    </row>
    <row r="443" spans="1:19">
      <c r="A443" s="14">
        <v>94631</v>
      </c>
      <c r="B443" s="14" t="s">
        <v>0</v>
      </c>
      <c r="C443" s="14" t="s">
        <v>101</v>
      </c>
      <c r="D443" s="14" t="s">
        <v>16466</v>
      </c>
      <c r="E443" s="15" t="str">
        <f>HYPERLINK("https://stat100.ameba.jp/tnk47/ratio20/illustrations/card/ill_94631_tenshitoakumamaso01.jpg?202012-X-RELEASE-GP-insert-battleleague", "■")</f>
        <v>■</v>
      </c>
      <c r="F443" s="14" t="s">
        <v>16465</v>
      </c>
      <c r="G443" s="14">
        <v>50680</v>
      </c>
      <c r="H443" s="14">
        <v>90048</v>
      </c>
      <c r="I443" s="7">
        <v>28</v>
      </c>
      <c r="J443" s="14" t="s">
        <v>44</v>
      </c>
      <c r="K443" s="14" t="s">
        <v>16464</v>
      </c>
      <c r="L443" s="14" t="s">
        <v>16468</v>
      </c>
      <c r="M443" s="14" t="s">
        <v>9158</v>
      </c>
      <c r="N443" s="14" t="s">
        <v>9158</v>
      </c>
      <c r="O443" s="14" t="s">
        <v>9158</v>
      </c>
      <c r="P443" s="14" t="s">
        <v>9158</v>
      </c>
      <c r="Q443" s="14" t="s">
        <v>9158</v>
      </c>
    </row>
    <row r="445" spans="1:19">
      <c r="A445" s="14" t="s">
        <v>8239</v>
      </c>
    </row>
    <row r="446" spans="1:19">
      <c r="A446" s="14">
        <v>235909</v>
      </c>
      <c r="B446" s="14" t="s">
        <v>16456</v>
      </c>
    </row>
    <row r="447" spans="1:19">
      <c r="A447" s="14">
        <v>235945</v>
      </c>
      <c r="B447" s="14" t="s">
        <v>18548</v>
      </c>
    </row>
    <row r="448" spans="1:19">
      <c r="A448" s="14" t="s">
        <v>16460</v>
      </c>
      <c r="B448" s="14" t="s">
        <v>117</v>
      </c>
      <c r="C448" s="14" t="s">
        <v>35</v>
      </c>
      <c r="D448" s="14" t="s">
        <v>16455</v>
      </c>
      <c r="E448" s="15" t="str">
        <f>HYPERLINK("https://stat100.ameba.jp/tnk47/ratio20/illustrations/card/ill_94753_0_tenkurokesutora03.jpg?202012-X-RELEASE-GP-insert-battleleague", "■")</f>
        <v>■</v>
      </c>
      <c r="F448" s="14" t="s">
        <v>16459</v>
      </c>
      <c r="G448" s="14">
        <v>466453</v>
      </c>
      <c r="H448" s="14">
        <v>421576</v>
      </c>
      <c r="I448" s="14">
        <v>35</v>
      </c>
      <c r="J448" s="14" t="s">
        <v>73</v>
      </c>
      <c r="K448" s="14" t="s">
        <v>16458</v>
      </c>
      <c r="L448" s="14" t="s">
        <v>16457</v>
      </c>
      <c r="M448" s="14" t="s">
        <v>9158</v>
      </c>
      <c r="N448" s="14" t="s">
        <v>9158</v>
      </c>
      <c r="O448" s="14" t="s">
        <v>9158</v>
      </c>
      <c r="P448" s="14" t="s">
        <v>9158</v>
      </c>
      <c r="Q448" s="14" t="s">
        <v>9158</v>
      </c>
    </row>
    <row r="449" spans="1:17">
      <c r="A449" s="14" t="s">
        <v>14383</v>
      </c>
      <c r="B449" s="14" t="s">
        <v>117</v>
      </c>
      <c r="C449" s="14" t="s">
        <v>35</v>
      </c>
      <c r="D449" s="14" t="s">
        <v>14382</v>
      </c>
      <c r="E449" s="15" t="str">
        <f>HYPERLINK("https://stat100.ameba.jp/tnk47/ratio20/illustrations/card/ill_91533_0_tenkuronatsuironotome03.jpg?202012-X-RELEASE-GP-insert-battleleague", "■")</f>
        <v>■</v>
      </c>
      <c r="F449" s="14" t="s">
        <v>14381</v>
      </c>
      <c r="G449" s="14">
        <v>420154</v>
      </c>
      <c r="H449" s="14">
        <v>464851</v>
      </c>
      <c r="I449" s="14">
        <v>35</v>
      </c>
      <c r="J449" s="14" t="s">
        <v>104</v>
      </c>
      <c r="K449" s="14" t="s">
        <v>14380</v>
      </c>
      <c r="L449" s="14" t="s">
        <v>14379</v>
      </c>
      <c r="M449" s="14" t="s">
        <v>9158</v>
      </c>
      <c r="N449" s="14" t="s">
        <v>9158</v>
      </c>
      <c r="O449" s="14" t="s">
        <v>9158</v>
      </c>
      <c r="P449" s="14" t="s">
        <v>9158</v>
      </c>
      <c r="Q449" s="14" t="s">
        <v>9158</v>
      </c>
    </row>
    <row r="450" spans="1:17">
      <c r="A450" s="14" t="s">
        <v>16503</v>
      </c>
      <c r="B450" s="14" t="s">
        <v>117</v>
      </c>
      <c r="C450" s="14" t="s">
        <v>35</v>
      </c>
      <c r="D450" s="14" t="s">
        <v>15418</v>
      </c>
      <c r="E450" s="15" t="str">
        <f>HYPERLINK("https://stat100.ameba.jp/tnk47/ratio20/illustrations/card/ill_92863_0_tenkuroshidenissen03.jpg?202012-X-RELEASE-GP-insert-battleleague", "■")</f>
        <v>■</v>
      </c>
      <c r="F450" s="14" t="s">
        <v>15417</v>
      </c>
      <c r="G450" s="14">
        <v>464851</v>
      </c>
      <c r="H450" s="14">
        <v>420154</v>
      </c>
      <c r="I450" s="14">
        <v>35</v>
      </c>
      <c r="J450" s="14" t="s">
        <v>143</v>
      </c>
      <c r="K450" s="14" t="s">
        <v>15415</v>
      </c>
      <c r="L450" s="14" t="s">
        <v>15414</v>
      </c>
      <c r="M450" s="14" t="s">
        <v>9158</v>
      </c>
      <c r="N450" s="14" t="s">
        <v>9158</v>
      </c>
      <c r="O450" s="14" t="s">
        <v>9158</v>
      </c>
      <c r="P450" s="14" t="s">
        <v>9158</v>
      </c>
      <c r="Q450" s="14" t="s">
        <v>9158</v>
      </c>
    </row>
    <row r="451" spans="1:17">
      <c r="A451" s="14" t="s">
        <v>16493</v>
      </c>
      <c r="B451" s="14" t="s">
        <v>117</v>
      </c>
      <c r="C451" s="14" t="s">
        <v>35</v>
      </c>
      <c r="D451" s="14" t="s">
        <v>16454</v>
      </c>
      <c r="E451" s="15" t="str">
        <f>HYPERLINK("https://stat100.ameba.jp/tnk47/ratio20/illustrations/card/ill_94133_0_tenkuromeikendaishugo03.jpg?202012-X-RELEASE-GP-insert-battleleague", "■")</f>
        <v>■</v>
      </c>
      <c r="F451" s="14" t="s">
        <v>16492</v>
      </c>
      <c r="G451" s="14">
        <v>421576</v>
      </c>
      <c r="H451" s="14">
        <v>466453</v>
      </c>
      <c r="I451" s="14">
        <v>35</v>
      </c>
      <c r="J451" s="14" t="s">
        <v>44</v>
      </c>
      <c r="K451" s="14" t="s">
        <v>16491</v>
      </c>
      <c r="L451" s="14" t="s">
        <v>16490</v>
      </c>
      <c r="M451" s="14" t="s">
        <v>9158</v>
      </c>
      <c r="N451" s="14" t="s">
        <v>9158</v>
      </c>
      <c r="O451" s="14" t="s">
        <v>9158</v>
      </c>
      <c r="P451" s="14" t="s">
        <v>9158</v>
      </c>
      <c r="Q451" s="14" t="s">
        <v>9158</v>
      </c>
    </row>
    <row r="452" spans="1:17">
      <c r="A452" s="14" t="s">
        <v>5620</v>
      </c>
      <c r="B452" s="14" t="s">
        <v>330</v>
      </c>
      <c r="C452" s="14" t="s">
        <v>206</v>
      </c>
      <c r="D452" s="20" t="s">
        <v>669</v>
      </c>
      <c r="E452" s="15" t="str">
        <f>HYPERLINK("https://stat100.ameba.jp/tnk47/ratio20/illustrations/card/ill_67173_0_yukemuriawamorichan03.jpg?202012-X-RELEASE-GP-insert-battleleague", "■")</f>
        <v>■</v>
      </c>
      <c r="F452" s="14" t="s">
        <v>670</v>
      </c>
      <c r="G452" s="14">
        <v>169032</v>
      </c>
      <c r="H452" s="14">
        <v>157150</v>
      </c>
      <c r="I452" s="14">
        <v>22</v>
      </c>
      <c r="J452" s="14" t="s">
        <v>283</v>
      </c>
      <c r="K452" s="14" t="s">
        <v>671</v>
      </c>
      <c r="L452" s="14" t="s">
        <v>672</v>
      </c>
      <c r="M452" s="14" t="s">
        <v>9158</v>
      </c>
      <c r="N452" s="14" t="s">
        <v>9158</v>
      </c>
      <c r="O452" s="19" t="s">
        <v>10087</v>
      </c>
      <c r="P452" s="14" t="s">
        <v>3455</v>
      </c>
      <c r="Q452" s="14">
        <v>1</v>
      </c>
    </row>
    <row r="453" spans="1:17">
      <c r="A453" s="14">
        <v>90633</v>
      </c>
      <c r="B453" s="14" t="s">
        <v>0</v>
      </c>
      <c r="C453" t="s">
        <v>14</v>
      </c>
      <c r="D453" s="14" t="s">
        <v>14242</v>
      </c>
      <c r="E453" s="15" t="str">
        <f>HYPERLINK("https://stat100.ameba.jp/tnk47/ratio20/illustrations/card/ill_90633_tamayohime03.jpg?202012-X-RELEASE-GP-insert-battleleague", "■")</f>
        <v>■</v>
      </c>
      <c r="F453" s="14" t="s">
        <v>14241</v>
      </c>
      <c r="G453" s="14">
        <v>101650</v>
      </c>
      <c r="H453" s="14">
        <v>109370</v>
      </c>
      <c r="I453" s="7">
        <v>28</v>
      </c>
      <c r="J453" s="14" t="s">
        <v>77</v>
      </c>
      <c r="K453" s="14" t="s">
        <v>14239</v>
      </c>
      <c r="L453" s="14" t="s">
        <v>12139</v>
      </c>
      <c r="M453" s="14" t="s">
        <v>9158</v>
      </c>
      <c r="N453" s="14" t="s">
        <v>9158</v>
      </c>
      <c r="O453" s="14" t="s">
        <v>9158</v>
      </c>
      <c r="P453" s="14" t="s">
        <v>9158</v>
      </c>
      <c r="Q453" s="14" t="s">
        <v>9158</v>
      </c>
    </row>
    <row r="454" spans="1:17">
      <c r="A454" s="14">
        <v>90113</v>
      </c>
      <c r="B454" s="14" t="s">
        <v>0</v>
      </c>
      <c r="C454" s="14" t="s">
        <v>23</v>
      </c>
      <c r="D454" s="14" t="s">
        <v>14052</v>
      </c>
      <c r="E454" s="15" t="str">
        <f>HYPERLINK("https://stat100.ameba.jp/tnk47/ratio20/illustrations/card/ill_90113_hotarumatsuribenzaiten03.jpg?202012-X-RELEASE-GP-insert-battleleague", "■")</f>
        <v>■</v>
      </c>
      <c r="F454" s="14" t="s">
        <v>14051</v>
      </c>
      <c r="G454" s="14">
        <v>106178</v>
      </c>
      <c r="H454" s="14">
        <v>114208</v>
      </c>
      <c r="I454" s="7">
        <v>28</v>
      </c>
      <c r="J454" s="14" t="s">
        <v>44</v>
      </c>
      <c r="K454" s="14" t="s">
        <v>14050</v>
      </c>
      <c r="L454" s="14" t="s">
        <v>14049</v>
      </c>
      <c r="M454" s="14" t="s">
        <v>9158</v>
      </c>
      <c r="N454" s="14" t="s">
        <v>9158</v>
      </c>
      <c r="O454" s="14" t="s">
        <v>9158</v>
      </c>
      <c r="P454" s="14" t="s">
        <v>9158</v>
      </c>
      <c r="Q454" s="14" t="s">
        <v>9158</v>
      </c>
    </row>
    <row r="455" spans="1:17">
      <c r="A455" s="14">
        <v>89123</v>
      </c>
      <c r="B455" s="14" t="s">
        <v>334</v>
      </c>
      <c r="C455" s="14" t="s">
        <v>101</v>
      </c>
      <c r="D455" s="14" t="s">
        <v>12591</v>
      </c>
      <c r="E455" s="15" t="str">
        <f>HYPERLINK("https://stat100.ameba.jp/tnk47/ratio20/illustrations/card/ill_89123_uchusensoyasharyujin03.jpg?202012-X-RELEASE-GP-insert-battleleague", "■")</f>
        <v>■</v>
      </c>
      <c r="F455" s="14" t="s">
        <v>12596</v>
      </c>
      <c r="G455" s="14">
        <v>101650</v>
      </c>
      <c r="H455" s="14">
        <v>109370</v>
      </c>
      <c r="I455" s="7">
        <v>28</v>
      </c>
      <c r="J455" s="14" t="s">
        <v>44</v>
      </c>
      <c r="K455" s="14" t="s">
        <v>12598</v>
      </c>
      <c r="L455" s="14" t="s">
        <v>12599</v>
      </c>
      <c r="M455" s="14" t="s">
        <v>9158</v>
      </c>
      <c r="N455" s="14" t="s">
        <v>9158</v>
      </c>
      <c r="O455" s="14" t="s">
        <v>9158</v>
      </c>
      <c r="P455" s="14" t="s">
        <v>9158</v>
      </c>
      <c r="Q455" s="14" t="s">
        <v>9158</v>
      </c>
    </row>
    <row r="456" spans="1:17">
      <c r="A456" s="14">
        <v>89253</v>
      </c>
      <c r="B456" s="14" t="s">
        <v>0</v>
      </c>
      <c r="C456" s="14" t="s">
        <v>96</v>
      </c>
      <c r="D456" s="14" t="s">
        <v>12651</v>
      </c>
      <c r="E456" s="15" t="str">
        <f>HYPERLINK("https://stat100.ameba.jp/tnk47/ratio20/illustrations/card/ill_89253_ushirogami03.jpg?202012-X-RELEASE-GP-insert-battleleague", "■")</f>
        <v>■</v>
      </c>
      <c r="F456" s="14" t="s">
        <v>12653</v>
      </c>
      <c r="G456" s="14">
        <v>106178</v>
      </c>
      <c r="H456" s="14">
        <v>114208</v>
      </c>
      <c r="I456" s="7">
        <v>28</v>
      </c>
      <c r="J456" s="14" t="s">
        <v>73</v>
      </c>
      <c r="K456" s="14" t="s">
        <v>12655</v>
      </c>
      <c r="L456" s="14" t="s">
        <v>12656</v>
      </c>
      <c r="M456" s="14" t="s">
        <v>9158</v>
      </c>
      <c r="N456" s="14" t="s">
        <v>9158</v>
      </c>
      <c r="O456" s="14" t="s">
        <v>9158</v>
      </c>
      <c r="P456" s="14" t="s">
        <v>9158</v>
      </c>
      <c r="Q456" s="14" t="s">
        <v>9158</v>
      </c>
    </row>
    <row r="457" spans="1:17">
      <c r="A457" s="14">
        <v>90793</v>
      </c>
      <c r="B457" s="14" t="s">
        <v>0</v>
      </c>
      <c r="C457" s="14" t="s">
        <v>1</v>
      </c>
      <c r="D457" s="14" t="s">
        <v>14411</v>
      </c>
      <c r="E457" s="15" t="str">
        <f>HYPERLINK("https://stat100.ameba.jp/tnk47/ratio20/illustrations/card/ill_90793_suitsuzammaininko03.jpg?202012-X-RELEASE-GP-insert-battleleague", "■")</f>
        <v>■</v>
      </c>
      <c r="F457" s="14" t="s">
        <v>14410</v>
      </c>
      <c r="G457" s="14">
        <v>122960</v>
      </c>
      <c r="H457" s="14">
        <v>132230</v>
      </c>
      <c r="I457" s="7">
        <v>28</v>
      </c>
      <c r="J457" s="14" t="s">
        <v>73</v>
      </c>
      <c r="K457" s="14" t="s">
        <v>14408</v>
      </c>
      <c r="L457" s="14" t="s">
        <v>13096</v>
      </c>
      <c r="M457" s="14" t="s">
        <v>9158</v>
      </c>
      <c r="N457" s="14" t="s">
        <v>9158</v>
      </c>
      <c r="O457" s="14" t="s">
        <v>9158</v>
      </c>
      <c r="P457" s="14" t="s">
        <v>9158</v>
      </c>
      <c r="Q457" s="14" t="s">
        <v>9158</v>
      </c>
    </row>
    <row r="458" spans="1:17">
      <c r="A458" s="14">
        <v>89943</v>
      </c>
      <c r="B458" s="14" t="s">
        <v>0</v>
      </c>
      <c r="C458" s="14" t="s">
        <v>107</v>
      </c>
      <c r="D458" s="14" t="s">
        <v>13809</v>
      </c>
      <c r="E458" s="15" t="str">
        <f>HYPERLINK("https://stat100.ameba.jp/tnk47/ratio20/illustrations/card/ill_89943_erementarumururu03.jpg?202012-X-RELEASE-GP-insert-battleleague", "■")</f>
        <v>■</v>
      </c>
      <c r="F458" s="14" t="s">
        <v>13811</v>
      </c>
      <c r="G458" s="14">
        <v>106178</v>
      </c>
      <c r="H458" s="14">
        <v>114208</v>
      </c>
      <c r="I458" s="7">
        <v>28</v>
      </c>
      <c r="J458" s="14" t="s">
        <v>44</v>
      </c>
      <c r="K458" s="14" t="s">
        <v>13813</v>
      </c>
      <c r="L458" s="14" t="s">
        <v>13812</v>
      </c>
      <c r="M458" s="14" t="s">
        <v>9158</v>
      </c>
      <c r="N458" s="14" t="s">
        <v>9158</v>
      </c>
      <c r="O458" s="14" t="s">
        <v>9158</v>
      </c>
      <c r="P458" s="14" t="s">
        <v>9158</v>
      </c>
      <c r="Q458" s="14" t="s">
        <v>9158</v>
      </c>
    </row>
    <row r="460" spans="1:17">
      <c r="A460" s="14" t="s">
        <v>4065</v>
      </c>
    </row>
    <row r="461" spans="1:17">
      <c r="A461" s="14">
        <v>105549</v>
      </c>
      <c r="B461" s="14" t="s">
        <v>16581</v>
      </c>
    </row>
    <row r="462" spans="1:17">
      <c r="A462" s="9" t="s">
        <v>5891</v>
      </c>
      <c r="B462" s="14" t="s">
        <v>330</v>
      </c>
      <c r="C462" s="14" t="s">
        <v>202</v>
      </c>
      <c r="D462" s="14" t="s">
        <v>1999</v>
      </c>
      <c r="E462" s="15" t="str">
        <f>HYPERLINK("https://stat100.ameba.jp/tnk47/ratio20/illustrations/card/ill_77173_0_yukemuritomoegozen03.jpg?202012-X-RELEASE-GP-insert-battleleaguex", "■")</f>
        <v>■</v>
      </c>
      <c r="F462" s="14" t="s">
        <v>1372</v>
      </c>
      <c r="G462" s="14">
        <v>260634</v>
      </c>
      <c r="H462" s="14">
        <v>288374</v>
      </c>
      <c r="I462" s="14">
        <v>26</v>
      </c>
      <c r="J462" s="14" t="s">
        <v>194</v>
      </c>
      <c r="K462" s="14" t="s">
        <v>1373</v>
      </c>
      <c r="L462" s="14" t="s">
        <v>1374</v>
      </c>
      <c r="M462" s="14" t="s">
        <v>9158</v>
      </c>
      <c r="N462" s="14" t="s">
        <v>9158</v>
      </c>
      <c r="O462" s="9" t="s">
        <v>3878</v>
      </c>
      <c r="P462" s="14" t="s">
        <v>3879</v>
      </c>
      <c r="Q462" s="14">
        <v>2</v>
      </c>
    </row>
    <row r="463" spans="1:17">
      <c r="A463" s="14">
        <v>77663</v>
      </c>
      <c r="B463" s="14" t="s">
        <v>334</v>
      </c>
      <c r="C463" s="14" t="s">
        <v>202</v>
      </c>
      <c r="D463" s="20" t="s">
        <v>10614</v>
      </c>
      <c r="E463" s="15" t="str">
        <f>HYPERLINK("https://stat100.ameba.jp/tnk47/ratio20/illustrations/card/ill_77663_deipuburu03.jpg?202012-X-RELEASE-GP-insert-battleleaguex", "■")</f>
        <v>■</v>
      </c>
      <c r="F463" s="14" t="s">
        <v>1573</v>
      </c>
      <c r="G463" s="14">
        <v>85492</v>
      </c>
      <c r="H463" s="14">
        <v>118000</v>
      </c>
      <c r="I463" s="14">
        <v>26</v>
      </c>
      <c r="J463" s="14" t="s">
        <v>414</v>
      </c>
      <c r="K463" s="14" t="s">
        <v>1574</v>
      </c>
      <c r="L463" s="14" t="s">
        <v>1575</v>
      </c>
      <c r="M463" s="14" t="s">
        <v>9158</v>
      </c>
      <c r="N463" s="14" t="s">
        <v>9158</v>
      </c>
      <c r="O463" s="19" t="s">
        <v>10117</v>
      </c>
      <c r="P463" s="14" t="s">
        <v>3625</v>
      </c>
      <c r="Q463" s="14">
        <v>1</v>
      </c>
    </row>
    <row r="464" spans="1:17">
      <c r="A464" s="14">
        <v>75083</v>
      </c>
      <c r="B464" s="14" t="s">
        <v>334</v>
      </c>
      <c r="C464" s="14" t="s">
        <v>209</v>
      </c>
      <c r="D464" s="19" t="s">
        <v>10401</v>
      </c>
      <c r="E464" s="15" t="str">
        <f>HYPERLINK("https://stat100.ameba.jp/tnk47/ratio20/illustrations/card/ill_75083_sukumizuhanakosan03.jpg?202012-X-RELEASE-GP-insert-battleleaguex", "■")</f>
        <v>■</v>
      </c>
      <c r="F464" s="14" t="s">
        <v>1020</v>
      </c>
      <c r="G464" s="14">
        <v>121240</v>
      </c>
      <c r="H464" s="14">
        <v>87834</v>
      </c>
      <c r="I464" s="14">
        <v>26</v>
      </c>
      <c r="J464" s="14" t="s">
        <v>73</v>
      </c>
      <c r="K464" s="14" t="s">
        <v>1021</v>
      </c>
      <c r="L464" s="14" t="s">
        <v>1022</v>
      </c>
      <c r="M464" s="14" t="s">
        <v>9158</v>
      </c>
      <c r="N464" s="14" t="s">
        <v>9158</v>
      </c>
      <c r="O464" s="19" t="s">
        <v>10105</v>
      </c>
      <c r="P464" s="14" t="s">
        <v>3416</v>
      </c>
      <c r="Q464" s="14">
        <v>1</v>
      </c>
    </row>
    <row r="465" spans="1:17">
      <c r="A465" s="14">
        <v>66353</v>
      </c>
      <c r="B465" s="14" t="s">
        <v>0</v>
      </c>
      <c r="C465" s="14" t="s">
        <v>41</v>
      </c>
      <c r="D465" s="14" t="s">
        <v>141</v>
      </c>
      <c r="E465" s="15" t="str">
        <f>HYPERLINK("https://stat100.ameba.jp/tnk47/ratio20/illustrations/card/ill_66353_kajiwaranyudotoan03.jpg?202012-X-RELEASE-GP-insert-battleleaguex", "■")</f>
        <v>■</v>
      </c>
      <c r="F465" s="14" t="s">
        <v>142</v>
      </c>
      <c r="G465" s="14">
        <v>172982</v>
      </c>
      <c r="H465" s="14">
        <v>125296</v>
      </c>
      <c r="I465" s="7">
        <v>26</v>
      </c>
      <c r="J465" s="14" t="s">
        <v>143</v>
      </c>
      <c r="K465" s="14" t="s">
        <v>144</v>
      </c>
      <c r="L465" s="14" t="s">
        <v>145</v>
      </c>
      <c r="M465" s="14" t="s">
        <v>9158</v>
      </c>
      <c r="N465" s="14" t="s">
        <v>9158</v>
      </c>
      <c r="O465" s="17" t="s">
        <v>10054</v>
      </c>
      <c r="P465" s="14" t="s">
        <v>3672</v>
      </c>
      <c r="Q465" s="14">
        <v>1</v>
      </c>
    </row>
    <row r="467" spans="1:17">
      <c r="A467" s="14" t="s">
        <v>3916</v>
      </c>
    </row>
    <row r="468" spans="1:17">
      <c r="A468" s="14">
        <v>105554</v>
      </c>
      <c r="B468" s="14" t="s">
        <v>16582</v>
      </c>
    </row>
    <row r="469" spans="1:17">
      <c r="A469" s="14">
        <v>62203</v>
      </c>
      <c r="B469" s="14" t="s">
        <v>334</v>
      </c>
      <c r="C469" s="14" t="s">
        <v>154</v>
      </c>
      <c r="D469" s="20" t="s">
        <v>2260</v>
      </c>
      <c r="E469" s="15" t="str">
        <f>HYPERLINK("https://stat100.ameba.jp/tnk47/ratio20/illustrations/card/ill_62203_keishoimmasahime03.jpg?202012-X-RELEASE-GP-insert-battleleaguex", "■")</f>
        <v>■</v>
      </c>
      <c r="F469" s="14" t="s">
        <v>2261</v>
      </c>
      <c r="G469" s="14">
        <v>112286</v>
      </c>
      <c r="H469" s="14">
        <v>120766</v>
      </c>
      <c r="I469" s="14">
        <v>28</v>
      </c>
      <c r="J469" s="14" t="s">
        <v>77</v>
      </c>
      <c r="K469" s="14" t="s">
        <v>2262</v>
      </c>
      <c r="L469" s="14" t="s">
        <v>2263</v>
      </c>
      <c r="M469" s="14" t="s">
        <v>9158</v>
      </c>
      <c r="N469" s="14" t="s">
        <v>9158</v>
      </c>
      <c r="O469" s="14" t="s">
        <v>9158</v>
      </c>
      <c r="P469" s="14" t="s">
        <v>9158</v>
      </c>
      <c r="Q469" s="14" t="s">
        <v>9158</v>
      </c>
    </row>
    <row r="470" spans="1:17">
      <c r="A470" s="14">
        <v>69723</v>
      </c>
      <c r="B470" s="14" t="s">
        <v>334</v>
      </c>
      <c r="C470" s="14" t="s">
        <v>158</v>
      </c>
      <c r="D470" s="20" t="s">
        <v>3042</v>
      </c>
      <c r="E470" s="15" t="str">
        <f>HYPERLINK("https://stat100.ameba.jp/tnk47/ratio20/illustrations/card/ill_69723_nakaurajurian03.jpg?202012-X-RELEASE-GP-insert-battleleaguex", "■")</f>
        <v>■</v>
      </c>
      <c r="F470" s="14" t="s">
        <v>2257</v>
      </c>
      <c r="G470" s="14">
        <v>112286</v>
      </c>
      <c r="H470" s="14">
        <v>120766</v>
      </c>
      <c r="I470" s="14">
        <v>28</v>
      </c>
      <c r="J470" s="14" t="s">
        <v>173</v>
      </c>
      <c r="K470" s="14" t="s">
        <v>2258</v>
      </c>
      <c r="L470" s="14" t="s">
        <v>2259</v>
      </c>
      <c r="M470" s="14" t="s">
        <v>9158</v>
      </c>
      <c r="N470" s="14" t="s">
        <v>9158</v>
      </c>
      <c r="O470" s="14" t="s">
        <v>9158</v>
      </c>
      <c r="P470" s="14" t="s">
        <v>9158</v>
      </c>
      <c r="Q470" s="14" t="s">
        <v>9158</v>
      </c>
    </row>
    <row r="471" spans="1:17">
      <c r="A471" s="14">
        <v>62153</v>
      </c>
      <c r="B471" s="14" t="s">
        <v>334</v>
      </c>
      <c r="C471" s="14" t="s">
        <v>1</v>
      </c>
      <c r="D471" s="20" t="s">
        <v>16317</v>
      </c>
      <c r="E471" s="15" t="str">
        <f>HYPERLINK("https://stat100.ameba.jp/tnk47/ratio20/illustrations/card/ill_62153_obentonekodanuki03.jpg?202012-X-RELEASE-GP-insert-battleleaguex", "■")</f>
        <v>■</v>
      </c>
      <c r="F471" s="14" t="s">
        <v>16318</v>
      </c>
      <c r="G471" s="14">
        <v>116662</v>
      </c>
      <c r="H471" s="14">
        <v>108494</v>
      </c>
      <c r="I471" s="14">
        <v>28</v>
      </c>
      <c r="J471" s="14" t="s">
        <v>73</v>
      </c>
      <c r="K471" s="14" t="s">
        <v>12212</v>
      </c>
      <c r="L471" s="14" t="s">
        <v>16319</v>
      </c>
      <c r="M471" s="14" t="s">
        <v>9158</v>
      </c>
      <c r="N471" s="14" t="s">
        <v>9158</v>
      </c>
      <c r="O471" s="14" t="s">
        <v>9158</v>
      </c>
      <c r="P471" s="14" t="s">
        <v>9158</v>
      </c>
      <c r="Q471" s="14" t="s">
        <v>9158</v>
      </c>
    </row>
    <row r="472" spans="1:17">
      <c r="A472" s="14">
        <v>65173</v>
      </c>
      <c r="B472" s="14" t="s">
        <v>334</v>
      </c>
      <c r="C472" s="14" t="s">
        <v>101</v>
      </c>
      <c r="D472" s="20" t="s">
        <v>16320</v>
      </c>
      <c r="E472" s="15" t="str">
        <f>HYPERLINK("https://stat100.ameba.jp/tnk47/ratio20/illustrations/card/ill_65173_kimodameshihorahamahime03.jpg?202012-X-RELEASE-GP-insert-battleleaguex", "■")</f>
        <v>■</v>
      </c>
      <c r="F472" s="14" t="s">
        <v>3565</v>
      </c>
      <c r="G472" s="14">
        <v>108494</v>
      </c>
      <c r="H472" s="14">
        <v>116662</v>
      </c>
      <c r="I472" s="14">
        <v>28</v>
      </c>
      <c r="J472" s="14" t="s">
        <v>73</v>
      </c>
      <c r="K472" s="14" t="s">
        <v>16321</v>
      </c>
      <c r="L472" s="14" t="s">
        <v>16322</v>
      </c>
      <c r="M472" s="14" t="s">
        <v>9158</v>
      </c>
      <c r="N472" s="14" t="s">
        <v>9158</v>
      </c>
      <c r="O472" s="14" t="s">
        <v>9158</v>
      </c>
      <c r="P472" s="14" t="s">
        <v>9158</v>
      </c>
      <c r="Q472" s="14" t="s">
        <v>9158</v>
      </c>
    </row>
    <row r="473" spans="1:17">
      <c r="A473" s="14">
        <v>51923</v>
      </c>
      <c r="B473" s="14" t="s">
        <v>15</v>
      </c>
      <c r="C473" s="14" t="s">
        <v>165</v>
      </c>
      <c r="D473" s="20" t="s">
        <v>15362</v>
      </c>
      <c r="E473" s="15" t="str">
        <f>HYPERLINK("https://stat100.ameba.jp/tnk47/ratio20/illustrations/card/ill_51923_kemonomizugikokyu03.jpg?202012-X-RELEASE-GP-insert-battleleaguex", "■")</f>
        <v>■</v>
      </c>
      <c r="F473" s="14" t="s">
        <v>15367</v>
      </c>
      <c r="G473" s="14">
        <v>65208</v>
      </c>
      <c r="H473" s="14">
        <v>59144</v>
      </c>
      <c r="I473" s="14">
        <v>22</v>
      </c>
      <c r="J473" s="14" t="s">
        <v>38</v>
      </c>
      <c r="K473" s="14" t="s">
        <v>15365</v>
      </c>
      <c r="L473" s="14" t="s">
        <v>15364</v>
      </c>
      <c r="M473" s="14" t="s">
        <v>9158</v>
      </c>
      <c r="N473" s="14" t="s">
        <v>9158</v>
      </c>
      <c r="O473" s="14" t="s">
        <v>9158</v>
      </c>
      <c r="P473" s="14" t="s">
        <v>9158</v>
      </c>
      <c r="Q473" s="14" t="s">
        <v>9158</v>
      </c>
    </row>
    <row r="474" spans="1:17">
      <c r="A474" s="14">
        <v>52963</v>
      </c>
      <c r="B474" s="14" t="s">
        <v>15</v>
      </c>
      <c r="C474" s="14" t="s">
        <v>101</v>
      </c>
      <c r="D474" s="20" t="s">
        <v>102</v>
      </c>
      <c r="E474" s="15" t="str">
        <f>HYPERLINK("https://stat100.ameba.jp/tnk47/ratio20/illustrations/card/ill_52963_torampumomochan03.jpg?202012-X-RELEASE-GP-insert-battleleaguex", "■")</f>
        <v>■</v>
      </c>
      <c r="F474" s="14" t="s">
        <v>103</v>
      </c>
      <c r="G474" s="14">
        <v>59144</v>
      </c>
      <c r="H474" s="14">
        <v>65208</v>
      </c>
      <c r="I474" s="14">
        <v>22</v>
      </c>
      <c r="J474" s="14" t="s">
        <v>104</v>
      </c>
      <c r="K474" s="14" t="s">
        <v>105</v>
      </c>
      <c r="L474" s="14" t="s">
        <v>106</v>
      </c>
      <c r="M474" s="14" t="s">
        <v>9158</v>
      </c>
      <c r="N474" s="14" t="s">
        <v>9158</v>
      </c>
      <c r="O474" s="14" t="s">
        <v>9158</v>
      </c>
      <c r="P474" s="14" t="s">
        <v>9158</v>
      </c>
      <c r="Q474" s="14" t="s">
        <v>9158</v>
      </c>
    </row>
    <row r="475" spans="1:17">
      <c r="A475" s="14">
        <v>51383</v>
      </c>
      <c r="B475" s="14" t="s">
        <v>15</v>
      </c>
      <c r="C475" s="14" t="s">
        <v>1</v>
      </c>
      <c r="D475" s="20" t="s">
        <v>15363</v>
      </c>
      <c r="E475" s="15" t="str">
        <f>HYPERLINK("https://stat100.ameba.jp/tnk47/ratio20/illustrations/card/ill_51383_ozashikikyogokuichiko03.jpg?202012-X-RELEASE-GP-insert-battleleaguex", "■")</f>
        <v>■</v>
      </c>
      <c r="F475" s="14" t="s">
        <v>15371</v>
      </c>
      <c r="G475" s="14">
        <v>65208</v>
      </c>
      <c r="H475" s="14">
        <v>59144</v>
      </c>
      <c r="I475" s="14">
        <v>22</v>
      </c>
      <c r="J475" s="14" t="s">
        <v>16</v>
      </c>
      <c r="K475" s="14" t="s">
        <v>15369</v>
      </c>
      <c r="L475" s="14" t="s">
        <v>15368</v>
      </c>
      <c r="M475" s="14" t="s">
        <v>9158</v>
      </c>
      <c r="N475" s="14" t="s">
        <v>9158</v>
      </c>
      <c r="O475" s="14" t="s">
        <v>9158</v>
      </c>
      <c r="P475" s="14" t="s">
        <v>9158</v>
      </c>
      <c r="Q475" s="14" t="s">
        <v>9158</v>
      </c>
    </row>
    <row r="476" spans="1:17">
      <c r="A476" s="14">
        <v>51903</v>
      </c>
      <c r="B476" s="14" t="s">
        <v>15</v>
      </c>
      <c r="C476" s="14" t="s">
        <v>14</v>
      </c>
      <c r="D476" s="20" t="s">
        <v>16323</v>
      </c>
      <c r="E476" s="15" t="str">
        <f>HYPERLINK("https://stat100.ameba.jp/tnk47/ratio20/illustrations/card/ill_51903_kemonomizugiringochan03.jpg?202012-X-RELEASE-GP-insert-battleleaguex", "■")</f>
        <v>■</v>
      </c>
      <c r="F476" s="14" t="s">
        <v>16324</v>
      </c>
      <c r="G476" s="14">
        <v>65208</v>
      </c>
      <c r="H476" s="14">
        <v>59144</v>
      </c>
      <c r="I476" s="14">
        <v>22</v>
      </c>
      <c r="J476" s="14" t="s">
        <v>104</v>
      </c>
      <c r="K476" s="14" t="s">
        <v>16325</v>
      </c>
      <c r="L476" s="14" t="s">
        <v>16326</v>
      </c>
      <c r="M476" s="14" t="s">
        <v>9158</v>
      </c>
      <c r="N476" s="14" t="s">
        <v>9158</v>
      </c>
      <c r="O476" s="14" t="s">
        <v>9158</v>
      </c>
      <c r="P476" s="14" t="s">
        <v>9158</v>
      </c>
      <c r="Q476" s="14" t="s">
        <v>9158</v>
      </c>
    </row>
    <row r="478" spans="1:17">
      <c r="A478" s="14" t="s">
        <v>6512</v>
      </c>
    </row>
    <row r="479" spans="1:17">
      <c r="A479" s="14">
        <v>105566</v>
      </c>
      <c r="B479" s="14" t="s">
        <v>16621</v>
      </c>
    </row>
    <row r="480" spans="1:17">
      <c r="A480" s="14" t="s">
        <v>5650</v>
      </c>
      <c r="B480" s="14" t="s">
        <v>52</v>
      </c>
      <c r="C480" s="14" t="s">
        <v>23</v>
      </c>
      <c r="D480" s="19" t="s">
        <v>136</v>
      </c>
      <c r="E480" s="15" t="str">
        <f>HYPERLINK("https://stat100.ameba.jp/tnk47/ratio20/illustrations/card/ill_68033_0_kurisumasupateikandamyojin03.jpg?202012-X-RELEASE-GP-insert-battleleaguex", "■")</f>
        <v>■</v>
      </c>
      <c r="F480" s="14" t="s">
        <v>1871</v>
      </c>
      <c r="G480" s="14">
        <v>152594</v>
      </c>
      <c r="H480" s="14">
        <v>164144</v>
      </c>
      <c r="I480" s="14">
        <v>24</v>
      </c>
      <c r="J480" s="14" t="s">
        <v>44</v>
      </c>
      <c r="K480" s="14" t="s">
        <v>1872</v>
      </c>
      <c r="L480" s="14" t="s">
        <v>1873</v>
      </c>
      <c r="M480" s="14" t="s">
        <v>9158</v>
      </c>
      <c r="N480" s="14" t="s">
        <v>9158</v>
      </c>
      <c r="O480" s="19" t="s">
        <v>2997</v>
      </c>
      <c r="P480" s="14" t="s">
        <v>3483</v>
      </c>
      <c r="Q480" s="14">
        <v>2</v>
      </c>
    </row>
    <row r="481" spans="1:18">
      <c r="A481" s="14" t="s">
        <v>5778</v>
      </c>
      <c r="B481" s="14" t="s">
        <v>330</v>
      </c>
      <c r="C481" s="14" t="s">
        <v>205</v>
      </c>
      <c r="D481" s="19" t="s">
        <v>272</v>
      </c>
      <c r="E481" s="15" t="str">
        <f>HYPERLINK("https://stat100.ameba.jp/tnk47/ratio20/illustrations/card/ill_68783_0_gantammomotaro03.jpg?202012-X-RELEASE-GP-insert-battleleaguex", "■")</f>
        <v>■</v>
      </c>
      <c r="F481" s="14" t="s">
        <v>273</v>
      </c>
      <c r="G481" s="14">
        <v>164144</v>
      </c>
      <c r="H481" s="14">
        <v>152594</v>
      </c>
      <c r="I481" s="14">
        <v>24</v>
      </c>
      <c r="J481" s="14" t="s">
        <v>274</v>
      </c>
      <c r="K481" s="14" t="s">
        <v>275</v>
      </c>
      <c r="L481" s="14" t="s">
        <v>276</v>
      </c>
      <c r="M481" s="14" t="s">
        <v>9158</v>
      </c>
      <c r="N481" s="14" t="s">
        <v>9158</v>
      </c>
      <c r="O481" s="19" t="s">
        <v>10099</v>
      </c>
      <c r="P481" s="14" t="s">
        <v>3085</v>
      </c>
      <c r="Q481" s="14">
        <v>1</v>
      </c>
    </row>
    <row r="482" spans="1:18">
      <c r="A482" s="14" t="s">
        <v>5627</v>
      </c>
      <c r="B482" s="14" t="s">
        <v>330</v>
      </c>
      <c r="C482" s="14" t="s">
        <v>191</v>
      </c>
      <c r="D482" s="19" t="s">
        <v>393</v>
      </c>
      <c r="E482" s="15" t="str">
        <f>HYPERLINK("https://stat100.ameba.jp/tnk47/ratio20/illustrations/card/ill_46283_0_odanobunaga03.jpg?202012-X-RELEASE-GP-insert-battleleaguex", "■")</f>
        <v>■</v>
      </c>
      <c r="F482" s="14" t="s">
        <v>1073</v>
      </c>
      <c r="G482" s="14">
        <v>131538</v>
      </c>
      <c r="H482" s="14">
        <v>140448</v>
      </c>
      <c r="I482" s="14">
        <v>24</v>
      </c>
      <c r="J482" s="14" t="s">
        <v>143</v>
      </c>
      <c r="K482" s="14" t="s">
        <v>1074</v>
      </c>
      <c r="L482" s="14" t="s">
        <v>1075</v>
      </c>
      <c r="M482" s="14" t="s">
        <v>9158</v>
      </c>
      <c r="N482" s="14" t="s">
        <v>9158</v>
      </c>
      <c r="O482" s="14" t="s">
        <v>9158</v>
      </c>
      <c r="P482" s="14" t="s">
        <v>9158</v>
      </c>
      <c r="Q482" s="14" t="s">
        <v>9158</v>
      </c>
    </row>
    <row r="483" spans="1:18">
      <c r="A483" s="14">
        <v>56613</v>
      </c>
      <c r="B483" s="14" t="s">
        <v>0</v>
      </c>
      <c r="C483" s="14" t="s">
        <v>150</v>
      </c>
      <c r="D483" s="14" t="s">
        <v>146</v>
      </c>
      <c r="E483" s="15" t="str">
        <f>HYPERLINK("https://stat100.ameba.jp/tnk47/ratio20/illustrations/card/ill_56613_genjushimasakon03.jpg?202012-X-RELEASE-GP-insert-battleleaguex", "■")</f>
        <v>■</v>
      </c>
      <c r="F483" s="14" t="s">
        <v>147</v>
      </c>
      <c r="G483" s="14">
        <v>154128</v>
      </c>
      <c r="H483" s="14">
        <v>93172</v>
      </c>
      <c r="I483" s="9">
        <v>26</v>
      </c>
      <c r="J483" s="14" t="s">
        <v>143</v>
      </c>
      <c r="K483" s="14" t="s">
        <v>148</v>
      </c>
      <c r="L483" s="14" t="s">
        <v>149</v>
      </c>
      <c r="M483" s="14" t="s">
        <v>9158</v>
      </c>
      <c r="N483" s="14" t="s">
        <v>9158</v>
      </c>
      <c r="O483" s="17" t="s">
        <v>10056</v>
      </c>
      <c r="P483" s="14" t="s">
        <v>3853</v>
      </c>
      <c r="Q483" s="14">
        <v>1</v>
      </c>
    </row>
    <row r="484" spans="1:18">
      <c r="A484" s="14">
        <v>76493</v>
      </c>
      <c r="B484" s="14" t="s">
        <v>348</v>
      </c>
      <c r="C484" s="14" t="s">
        <v>165</v>
      </c>
      <c r="D484" s="19" t="s">
        <v>593</v>
      </c>
      <c r="E484" s="15" t="str">
        <f>HYPERLINK("https://stat100.ameba.jp/tnk47/ratio20/illustrations/card/ill_76493_yukemurikyogokumaria03.jpg?202012-X-RELEASE-GP-insert-battleleaguex", "■")</f>
        <v>■</v>
      </c>
      <c r="F484" s="14" t="s">
        <v>594</v>
      </c>
      <c r="G484" s="14">
        <v>58240</v>
      </c>
      <c r="H484" s="14">
        <v>64220</v>
      </c>
      <c r="I484" s="14">
        <v>26</v>
      </c>
      <c r="J484" s="14" t="s">
        <v>315</v>
      </c>
      <c r="K484" s="14" t="s">
        <v>595</v>
      </c>
      <c r="L484" s="14" t="s">
        <v>596</v>
      </c>
      <c r="M484" s="14" t="s">
        <v>9158</v>
      </c>
      <c r="N484" s="14" t="s">
        <v>9158</v>
      </c>
      <c r="O484" s="14" t="s">
        <v>9158</v>
      </c>
      <c r="P484" s="14" t="s">
        <v>9158</v>
      </c>
      <c r="Q484" s="14" t="s">
        <v>9158</v>
      </c>
    </row>
    <row r="485" spans="1:18">
      <c r="A485" s="14">
        <v>54913</v>
      </c>
      <c r="B485" s="14" t="s">
        <v>22</v>
      </c>
      <c r="C485" s="14" t="s">
        <v>14</v>
      </c>
      <c r="D485" s="14" t="s">
        <v>16624</v>
      </c>
      <c r="E485" s="15" t="str">
        <f>HYPERLINK("https://stat100.ameba.jp/tnk47/ratio20/illustrations/card/ill_54913_shinseiamerikanakita03.jpg?202012-X-RELEASE-GP-insert-battleleaguex", "■")</f>
        <v>■</v>
      </c>
      <c r="F485" s="14" t="s">
        <v>16623</v>
      </c>
      <c r="G485" s="14">
        <v>44980</v>
      </c>
      <c r="H485" s="14">
        <v>37440</v>
      </c>
      <c r="I485" s="14">
        <v>26</v>
      </c>
      <c r="J485" s="14" t="s">
        <v>26</v>
      </c>
      <c r="K485" s="14" t="s">
        <v>16622</v>
      </c>
      <c r="L485" s="14" t="s">
        <v>4531</v>
      </c>
      <c r="M485" s="14" t="s">
        <v>9158</v>
      </c>
      <c r="N485" s="14" t="s">
        <v>9158</v>
      </c>
      <c r="O485" s="9" t="s">
        <v>9158</v>
      </c>
      <c r="P485" s="14" t="s">
        <v>9158</v>
      </c>
      <c r="Q485" s="14" t="s">
        <v>9158</v>
      </c>
    </row>
    <row r="486" spans="1:18">
      <c r="A486" s="16">
        <v>82153</v>
      </c>
      <c r="B486" s="14" t="s">
        <v>22</v>
      </c>
      <c r="C486" s="14" t="s">
        <v>206</v>
      </c>
      <c r="D486" s="19" t="s">
        <v>10297</v>
      </c>
      <c r="E486" s="15" t="str">
        <f>HYPERLINK("https://stat100.ameba.jp/tnk47/ratio20/illustrations/card/ill_82153_shirokumachan03.jpg?202012-X-RELEASE-GP-insert-battleleaguex", "■")</f>
        <v>■</v>
      </c>
      <c r="F486" s="14" t="s">
        <v>5310</v>
      </c>
      <c r="G486" s="14">
        <v>37440</v>
      </c>
      <c r="H486" s="14">
        <v>44980</v>
      </c>
      <c r="I486" s="14">
        <v>26</v>
      </c>
      <c r="J486" s="14" t="s">
        <v>104</v>
      </c>
      <c r="K486" s="14" t="s">
        <v>5313</v>
      </c>
      <c r="L486" s="14" t="s">
        <v>3839</v>
      </c>
      <c r="M486" s="14" t="s">
        <v>9158</v>
      </c>
      <c r="N486" s="14" t="s">
        <v>9158</v>
      </c>
      <c r="O486" s="9" t="s">
        <v>9158</v>
      </c>
      <c r="P486" s="14" t="s">
        <v>9158</v>
      </c>
      <c r="Q486" s="14" t="s">
        <v>9158</v>
      </c>
    </row>
    <row r="488" spans="1:18">
      <c r="A488" s="14" t="s">
        <v>13327</v>
      </c>
    </row>
    <row r="489" spans="1:18">
      <c r="A489" s="14">
        <v>105589</v>
      </c>
      <c r="B489" s="14" t="s">
        <v>16625</v>
      </c>
    </row>
    <row r="490" spans="1:18">
      <c r="A490" s="14">
        <v>86063</v>
      </c>
      <c r="B490" s="14" t="s">
        <v>334</v>
      </c>
      <c r="C490" s="14" t="s">
        <v>14</v>
      </c>
      <c r="D490" s="19" t="s">
        <v>10818</v>
      </c>
      <c r="E490" s="15" t="str">
        <f>HYPERLINK("https://stat100.ameba.jp/tnk47/ratio20/illustrations/card/ill_86063_uotchimeika03.jpg?202012-X-RELEASE-GP-insert-battleleaguex", "■")</f>
        <v>■</v>
      </c>
      <c r="F490" s="14" t="s">
        <v>8368</v>
      </c>
      <c r="G490" s="14">
        <v>128160</v>
      </c>
      <c r="H490" s="14">
        <v>137846</v>
      </c>
      <c r="I490" s="14">
        <v>28</v>
      </c>
      <c r="J490" s="14" t="s">
        <v>173</v>
      </c>
      <c r="K490" s="14" t="s">
        <v>8367</v>
      </c>
      <c r="L490" s="14" t="s">
        <v>8366</v>
      </c>
      <c r="M490" s="14" t="s">
        <v>13130</v>
      </c>
      <c r="N490" s="14" t="s">
        <v>343</v>
      </c>
      <c r="O490" s="14" t="s">
        <v>9158</v>
      </c>
      <c r="P490" s="14" t="s">
        <v>9158</v>
      </c>
      <c r="Q490" s="14" t="s">
        <v>9158</v>
      </c>
      <c r="R490" s="14" t="s">
        <v>14748</v>
      </c>
    </row>
    <row r="491" spans="1:18">
      <c r="A491" s="14">
        <v>86062</v>
      </c>
      <c r="B491" s="14" t="s">
        <v>334</v>
      </c>
      <c r="C491" s="14" t="s">
        <v>14</v>
      </c>
      <c r="D491" s="19" t="s">
        <v>10818</v>
      </c>
      <c r="E491" s="15" t="str">
        <f>HYPERLINK("https://stat100.ameba.jp/tnk47/ratio20/illustrations/card/ill_86062_uotchimeika02.jpg?202012-X-RELEASE-GP-insert-battleleaguex", "■")</f>
        <v>■</v>
      </c>
      <c r="F491" s="14" t="s">
        <v>8368</v>
      </c>
      <c r="G491" s="14">
        <v>106148</v>
      </c>
      <c r="H491" s="14">
        <v>115230</v>
      </c>
      <c r="I491" s="14">
        <v>28</v>
      </c>
      <c r="J491" s="14" t="s">
        <v>173</v>
      </c>
      <c r="K491" s="14" t="s">
        <v>8367</v>
      </c>
      <c r="L491" s="14" t="s">
        <v>8366</v>
      </c>
      <c r="M491" s="14" t="s">
        <v>13131</v>
      </c>
      <c r="N491" s="14" t="s">
        <v>251</v>
      </c>
      <c r="O491" s="14" t="s">
        <v>9158</v>
      </c>
      <c r="P491" s="14" t="s">
        <v>9158</v>
      </c>
      <c r="Q491" s="14" t="s">
        <v>9158</v>
      </c>
      <c r="R491" s="14" t="s">
        <v>14748</v>
      </c>
    </row>
    <row r="492" spans="1:18">
      <c r="A492" s="14">
        <v>86061</v>
      </c>
      <c r="B492" s="14" t="s">
        <v>0</v>
      </c>
      <c r="C492" s="14" t="s">
        <v>14</v>
      </c>
      <c r="D492" s="19" t="s">
        <v>10818</v>
      </c>
      <c r="E492" s="15" t="str">
        <f>HYPERLINK("https://stat100.ameba.jp/tnk47/ratio20/illustrations/card/ill_86061_uotchimeika01.jpg?202012-X-RELEASE-GP-insert-battleleaguex", "■")</f>
        <v>■</v>
      </c>
      <c r="F492" s="14" t="s">
        <v>8368</v>
      </c>
      <c r="G492" s="14">
        <v>81900</v>
      </c>
      <c r="H492" s="14">
        <v>87976</v>
      </c>
      <c r="I492" s="14">
        <v>28</v>
      </c>
      <c r="J492" s="14" t="s">
        <v>173</v>
      </c>
      <c r="K492" s="14" t="s">
        <v>8367</v>
      </c>
      <c r="L492" s="14" t="s">
        <v>8366</v>
      </c>
      <c r="M492" s="14" t="s">
        <v>13131</v>
      </c>
      <c r="N492" s="14" t="s">
        <v>251</v>
      </c>
      <c r="O492" s="14" t="s">
        <v>9158</v>
      </c>
      <c r="P492" s="14" t="s">
        <v>9158</v>
      </c>
      <c r="Q492" s="14" t="s">
        <v>9158</v>
      </c>
      <c r="R492" s="14" t="s">
        <v>14748</v>
      </c>
    </row>
    <row r="493" spans="1:18">
      <c r="A493" s="14">
        <v>86073</v>
      </c>
      <c r="B493" s="14" t="s">
        <v>334</v>
      </c>
      <c r="C493" s="14" t="s">
        <v>23</v>
      </c>
      <c r="D493" s="19" t="s">
        <v>10819</v>
      </c>
      <c r="E493" s="15" t="str">
        <f>HYPERLINK("https://stat100.ameba.jp/tnk47/ratio20/illustrations/card/ill_86073_maddohatta03.jpg?202012-X-RELEASE-GP-insert-battleleaguex", "■")</f>
        <v>■</v>
      </c>
      <c r="F493" s="14" t="s">
        <v>8371</v>
      </c>
      <c r="G493" s="14">
        <v>128160</v>
      </c>
      <c r="H493" s="14">
        <v>137846</v>
      </c>
      <c r="I493" s="14">
        <v>28</v>
      </c>
      <c r="J493" s="14" t="s">
        <v>155</v>
      </c>
      <c r="K493" s="14" t="s">
        <v>8370</v>
      </c>
      <c r="L493" s="14" t="s">
        <v>8369</v>
      </c>
      <c r="M493" s="14" t="s">
        <v>13130</v>
      </c>
      <c r="N493" s="14" t="s">
        <v>343</v>
      </c>
      <c r="O493" s="14" t="s">
        <v>9158</v>
      </c>
      <c r="P493" s="14" t="s">
        <v>9158</v>
      </c>
      <c r="Q493" s="14" t="s">
        <v>9158</v>
      </c>
      <c r="R493" s="14" t="s">
        <v>14748</v>
      </c>
    </row>
    <row r="494" spans="1:18">
      <c r="A494" s="14">
        <v>86083</v>
      </c>
      <c r="B494" s="14" t="s">
        <v>334</v>
      </c>
      <c r="C494" s="14" t="s">
        <v>101</v>
      </c>
      <c r="D494" s="19" t="s">
        <v>10820</v>
      </c>
      <c r="E494" s="15" t="str">
        <f>HYPERLINK("https://stat100.ameba.jp/tnk47/ratio20/illustrations/card/ill_86083_keieinochojomeruro03.jpg?202012-X-RELEASE-GP-insert-battleleaguex", "■")</f>
        <v>■</v>
      </c>
      <c r="F494" s="14" t="s">
        <v>8375</v>
      </c>
      <c r="G494" s="14">
        <v>137846</v>
      </c>
      <c r="H494" s="14">
        <v>128160</v>
      </c>
      <c r="I494" s="14">
        <v>28</v>
      </c>
      <c r="J494" s="14" t="s">
        <v>229</v>
      </c>
      <c r="K494" s="14" t="s">
        <v>8374</v>
      </c>
      <c r="L494" s="14" t="s">
        <v>8373</v>
      </c>
      <c r="M494" s="14" t="s">
        <v>13130</v>
      </c>
      <c r="N494" s="14" t="s">
        <v>343</v>
      </c>
      <c r="O494" s="14" t="s">
        <v>9158</v>
      </c>
      <c r="P494" s="14" t="s">
        <v>9158</v>
      </c>
      <c r="Q494" s="14" t="s">
        <v>9158</v>
      </c>
      <c r="R494" s="14" t="s">
        <v>14748</v>
      </c>
    </row>
    <row r="495" spans="1:18">
      <c r="A495" s="14">
        <v>86093</v>
      </c>
      <c r="B495" s="14" t="s">
        <v>0</v>
      </c>
      <c r="C495" s="14" t="s">
        <v>96</v>
      </c>
      <c r="D495" s="19" t="s">
        <v>10821</v>
      </c>
      <c r="E495" s="15" t="str">
        <f>HYPERLINK("https://stat100.ameba.jp/tnk47/ratio20/illustrations/card/ill_86093_minamotonoyoshimitsu03.jpg?202012-X-RELEASE-GP-insert-battleleaguex", "■")</f>
        <v>■</v>
      </c>
      <c r="F495" s="14" t="s">
        <v>8379</v>
      </c>
      <c r="G495" s="14">
        <v>137846</v>
      </c>
      <c r="H495" s="14">
        <v>128160</v>
      </c>
      <c r="I495" s="14">
        <v>28</v>
      </c>
      <c r="J495" s="14" t="s">
        <v>194</v>
      </c>
      <c r="K495" s="14" t="s">
        <v>8377</v>
      </c>
      <c r="L495" s="14" t="s">
        <v>8376</v>
      </c>
      <c r="M495" s="14" t="s">
        <v>13130</v>
      </c>
      <c r="N495" s="14" t="s">
        <v>343</v>
      </c>
      <c r="O495" s="14" t="s">
        <v>9158</v>
      </c>
      <c r="P495" s="14" t="s">
        <v>9158</v>
      </c>
      <c r="Q495" s="14" t="s">
        <v>9158</v>
      </c>
      <c r="R495" s="14" t="s">
        <v>14748</v>
      </c>
    </row>
    <row r="496" spans="1:18">
      <c r="A496" s="14">
        <v>86103</v>
      </c>
      <c r="B496" s="14" t="s">
        <v>334</v>
      </c>
      <c r="C496" s="14" t="s">
        <v>205</v>
      </c>
      <c r="D496" s="19" t="s">
        <v>10822</v>
      </c>
      <c r="E496" s="15" t="str">
        <f>HYPERLINK("https://stat100.ameba.jp/tnk47/ratio20/illustrations/card/ill_86103_omatsudaimyojin03.jpg?202012-X-RELEASE-GP-insert-battleleaguex", "■")</f>
        <v>■</v>
      </c>
      <c r="F496" s="14" t="s">
        <v>8383</v>
      </c>
      <c r="G496" s="14">
        <v>137846</v>
      </c>
      <c r="H496" s="14">
        <v>128160</v>
      </c>
      <c r="I496" s="14">
        <v>28</v>
      </c>
      <c r="J496" s="14" t="s">
        <v>169</v>
      </c>
      <c r="K496" s="14" t="s">
        <v>8381</v>
      </c>
      <c r="L496" s="14" t="s">
        <v>8380</v>
      </c>
      <c r="M496" s="14" t="s">
        <v>13130</v>
      </c>
      <c r="N496" s="14" t="s">
        <v>343</v>
      </c>
      <c r="O496" s="14" t="s">
        <v>9158</v>
      </c>
      <c r="P496" s="14" t="s">
        <v>9158</v>
      </c>
      <c r="Q496" s="14" t="s">
        <v>9158</v>
      </c>
      <c r="R496" s="14" t="s">
        <v>14748</v>
      </c>
    </row>
    <row r="497" spans="1:18">
      <c r="A497" s="14">
        <v>86113</v>
      </c>
      <c r="B497" s="14" t="s">
        <v>334</v>
      </c>
      <c r="C497" s="14" t="s">
        <v>107</v>
      </c>
      <c r="D497" s="19" t="s">
        <v>10823</v>
      </c>
      <c r="E497" s="15" t="str">
        <f>HYPERLINK("https://stat100.ameba.jp/tnk47/ratio20/illustrations/card/ill_86113_yuno03.jpg?202012-X-RELEASE-GP-insert-battleleaguex", "■")</f>
        <v>■</v>
      </c>
      <c r="F497" s="14" t="s">
        <v>8387</v>
      </c>
      <c r="G497" s="14">
        <v>128160</v>
      </c>
      <c r="H497" s="14">
        <v>137846</v>
      </c>
      <c r="I497" s="14">
        <v>28</v>
      </c>
      <c r="J497" s="14" t="s">
        <v>159</v>
      </c>
      <c r="K497" s="14" t="s">
        <v>8385</v>
      </c>
      <c r="L497" s="14" t="s">
        <v>8384</v>
      </c>
      <c r="M497" s="14" t="s">
        <v>13130</v>
      </c>
      <c r="N497" s="14" t="s">
        <v>343</v>
      </c>
      <c r="O497" s="14" t="s">
        <v>9158</v>
      </c>
      <c r="P497" s="14" t="s">
        <v>9158</v>
      </c>
      <c r="Q497" s="14" t="s">
        <v>9158</v>
      </c>
      <c r="R497" s="14" t="s">
        <v>14748</v>
      </c>
    </row>
    <row r="499" spans="1:18">
      <c r="A499" s="14" t="s">
        <v>16652</v>
      </c>
    </row>
    <row r="500" spans="1:18">
      <c r="A500" s="14">
        <v>235847</v>
      </c>
      <c r="B500" s="14" t="s">
        <v>9426</v>
      </c>
    </row>
    <row r="501" spans="1:18">
      <c r="A501" s="14">
        <v>235853</v>
      </c>
      <c r="B501" s="14" t="s">
        <v>9427</v>
      </c>
    </row>
    <row r="502" spans="1:18">
      <c r="A502" s="14" t="s">
        <v>15831</v>
      </c>
      <c r="B502" s="7" t="s">
        <v>52</v>
      </c>
      <c r="C502" s="14" t="s">
        <v>202</v>
      </c>
      <c r="D502" s="18" t="s">
        <v>15825</v>
      </c>
      <c r="E502" s="15" t="str">
        <f>HYPERLINK("https://stat100.ameba.jp/tnk47/ratio20/illustrations/card/ill_94293_0_kurisumasupurezentofukudahideko03.jpg?202101-5-RELEASE-marathon-511", "■")</f>
        <v>■</v>
      </c>
      <c r="F502" s="14" t="s">
        <v>15830</v>
      </c>
      <c r="G502" s="14">
        <v>308104</v>
      </c>
      <c r="H502" s="14">
        <v>278470</v>
      </c>
      <c r="I502" s="14">
        <v>28</v>
      </c>
      <c r="J502" s="14" t="s">
        <v>16</v>
      </c>
      <c r="K502" s="14" t="s">
        <v>15829</v>
      </c>
      <c r="L502" s="14" t="s">
        <v>15828</v>
      </c>
      <c r="M502" s="14" t="s">
        <v>9158</v>
      </c>
      <c r="N502" s="14" t="s">
        <v>9158</v>
      </c>
      <c r="O502" s="6" t="s">
        <v>15827</v>
      </c>
      <c r="P502" s="7" t="s">
        <v>15826</v>
      </c>
      <c r="Q502" s="7">
        <v>1</v>
      </c>
    </row>
    <row r="503" spans="1:18">
      <c r="A503" s="14">
        <v>94703</v>
      </c>
      <c r="B503" s="14" t="s">
        <v>0</v>
      </c>
      <c r="C503" s="14" t="s">
        <v>14</v>
      </c>
      <c r="D503" s="14" t="s">
        <v>16657</v>
      </c>
      <c r="E503" s="15" t="str">
        <f>HYPERLINK("https://stat100.ameba.jp/tnk47/ratio20/illustrations/card/ill_94703_seiyadetojimboyuki03.jpg?202101-5-RELEASE-marathon-511", "■")</f>
        <v>■</v>
      </c>
      <c r="F503" s="14" t="s">
        <v>16656</v>
      </c>
      <c r="G503" s="14">
        <v>109370</v>
      </c>
      <c r="H503" s="14">
        <v>101650</v>
      </c>
      <c r="I503" s="14">
        <v>28</v>
      </c>
      <c r="J503" s="14" t="s">
        <v>10</v>
      </c>
      <c r="K503" s="14" t="s">
        <v>16655</v>
      </c>
      <c r="L503" s="14" t="s">
        <v>14881</v>
      </c>
      <c r="M503" s="14" t="s">
        <v>9158</v>
      </c>
      <c r="N503" s="14" t="s">
        <v>9158</v>
      </c>
      <c r="O503" s="9" t="s">
        <v>9158</v>
      </c>
      <c r="P503" s="14" t="s">
        <v>9158</v>
      </c>
      <c r="Q503" s="14" t="s">
        <v>9158</v>
      </c>
    </row>
    <row r="504" spans="1:18">
      <c r="A504" s="14">
        <v>94713</v>
      </c>
      <c r="B504" s="14" t="s">
        <v>0</v>
      </c>
      <c r="C504" s="14" t="s">
        <v>107</v>
      </c>
      <c r="D504" s="14" t="s">
        <v>16659</v>
      </c>
      <c r="E504" s="15" t="str">
        <f>HYPERLINK("https://stat100.ameba.jp/tnk47/ratio20/illustrations/card/ill_94713_shirokitsunenooshibai03.jpg?202101-5-RELEASE-marathon-511", "■")</f>
        <v>■</v>
      </c>
      <c r="F504" s="14" t="s">
        <v>16658</v>
      </c>
      <c r="G504" s="14">
        <v>127556</v>
      </c>
      <c r="H504" s="14">
        <v>118598</v>
      </c>
      <c r="I504" s="14">
        <v>28</v>
      </c>
      <c r="J504" s="14" t="s">
        <v>38</v>
      </c>
      <c r="K504" s="14" t="s">
        <v>8524</v>
      </c>
      <c r="L504" s="14" t="s">
        <v>12715</v>
      </c>
      <c r="M504" s="14" t="s">
        <v>9158</v>
      </c>
      <c r="N504" s="14" t="s">
        <v>9158</v>
      </c>
      <c r="O504" s="9" t="s">
        <v>9158</v>
      </c>
      <c r="P504" s="14" t="s">
        <v>9158</v>
      </c>
      <c r="Q504" s="14" t="s">
        <v>9158</v>
      </c>
    </row>
    <row r="505" spans="1:18">
      <c r="A505" s="14">
        <v>94723</v>
      </c>
      <c r="B505" s="14" t="s">
        <v>15</v>
      </c>
      <c r="C505" s="14" t="s">
        <v>96</v>
      </c>
      <c r="D505" s="14" t="s">
        <v>16662</v>
      </c>
      <c r="E505" s="15" t="str">
        <f>HYPERLINK("https://stat100.ameba.jp/tnk47/ratio20/illustrations/card/ill_94723_kurisumasushinjuchan03.jpg?202101-5-RELEASE-marathon-511", "■")</f>
        <v>■</v>
      </c>
      <c r="F505" s="14" t="s">
        <v>16661</v>
      </c>
      <c r="G505" s="14">
        <v>75274</v>
      </c>
      <c r="H505" s="14">
        <v>82992</v>
      </c>
      <c r="I505" s="14">
        <v>28</v>
      </c>
      <c r="J505" s="14" t="s">
        <v>26</v>
      </c>
      <c r="K505" s="14" t="s">
        <v>16660</v>
      </c>
      <c r="L505" s="14" t="s">
        <v>977</v>
      </c>
      <c r="M505" s="14" t="s">
        <v>9158</v>
      </c>
      <c r="N505" s="14" t="s">
        <v>9158</v>
      </c>
      <c r="O505" s="9" t="s">
        <v>9158</v>
      </c>
      <c r="P505" s="14" t="s">
        <v>9158</v>
      </c>
      <c r="Q505" s="14" t="s">
        <v>9158</v>
      </c>
    </row>
    <row r="506" spans="1:18">
      <c r="A506" s="14">
        <v>94733</v>
      </c>
      <c r="B506" s="14" t="s">
        <v>22</v>
      </c>
      <c r="C506" s="14" t="s">
        <v>1</v>
      </c>
      <c r="D506" s="14" t="s">
        <v>16665</v>
      </c>
      <c r="E506" s="15" t="str">
        <f>HYPERLINK("https://stat100.ameba.jp/tnk47/ratio20/illustrations/card/ill_94733_seiyasantakurosurodochan03.jpg?202101-5-RELEASE-marathon-511", "■")</f>
        <v>■</v>
      </c>
      <c r="F506" s="14" t="s">
        <v>16664</v>
      </c>
      <c r="G506" s="14">
        <v>58216</v>
      </c>
      <c r="H506" s="14">
        <v>48406</v>
      </c>
      <c r="I506" s="14">
        <v>28</v>
      </c>
      <c r="J506" s="14" t="s">
        <v>26</v>
      </c>
      <c r="K506" s="14" t="s">
        <v>16663</v>
      </c>
      <c r="L506" s="14" t="s">
        <v>2635</v>
      </c>
      <c r="M506" s="14" t="s">
        <v>9158</v>
      </c>
      <c r="N506" s="14" t="s">
        <v>9158</v>
      </c>
      <c r="O506" s="9" t="s">
        <v>9158</v>
      </c>
      <c r="P506" s="14" t="s">
        <v>9158</v>
      </c>
      <c r="Q506" s="14" t="s">
        <v>9158</v>
      </c>
    </row>
    <row r="507" spans="1:18">
      <c r="A507" s="14">
        <v>94743</v>
      </c>
      <c r="B507" s="14" t="s">
        <v>22</v>
      </c>
      <c r="C507" s="14" t="s">
        <v>23</v>
      </c>
      <c r="D507" s="14" t="s">
        <v>16668</v>
      </c>
      <c r="E507" s="15" t="str">
        <f>HYPERLINK("https://stat100.ameba.jp/tnk47/ratio20/illustrations/card/ill_94743_kurisumasumashumarochan03.jpg?202101-5-RELEASE-marathon-511", "■")</f>
        <v>■</v>
      </c>
      <c r="F507" s="14" t="s">
        <v>16667</v>
      </c>
      <c r="G507" s="14">
        <v>48406</v>
      </c>
      <c r="H507" s="14">
        <v>58216</v>
      </c>
      <c r="I507" s="14">
        <v>28</v>
      </c>
      <c r="J507" s="14" t="s">
        <v>104</v>
      </c>
      <c r="K507" s="14" t="s">
        <v>16666</v>
      </c>
      <c r="L507" s="14" t="s">
        <v>3839</v>
      </c>
      <c r="M507" s="14" t="s">
        <v>9158</v>
      </c>
      <c r="N507" s="14" t="s">
        <v>9158</v>
      </c>
      <c r="O507" s="9" t="s">
        <v>9158</v>
      </c>
      <c r="P507" s="14" t="s">
        <v>9158</v>
      </c>
      <c r="Q507" s="14" t="s">
        <v>9158</v>
      </c>
    </row>
    <row r="509" spans="1:18">
      <c r="A509" s="14" t="s">
        <v>16653</v>
      </c>
    </row>
    <row r="510" spans="1:18">
      <c r="A510" s="14">
        <v>105764</v>
      </c>
      <c r="B510" s="14" t="s">
        <v>16654</v>
      </c>
    </row>
    <row r="511" spans="1:18">
      <c r="A511" s="14" t="s">
        <v>14533</v>
      </c>
      <c r="B511" s="7" t="s">
        <v>52</v>
      </c>
      <c r="C511" s="14" t="s">
        <v>202</v>
      </c>
      <c r="D511" s="18" t="s">
        <v>14532</v>
      </c>
      <c r="E511" s="15" t="str">
        <f>HYPERLINK("https://stat100.ameba.jp/tnk47/ratio20/illustrations/card/ill_91703_0_ninjashugyohanakosan03.jpg?202101-5-RELEASE-marathon-511", "■")</f>
        <v>■</v>
      </c>
      <c r="F511" s="14" t="s">
        <v>14534</v>
      </c>
      <c r="G511" s="14">
        <v>282374</v>
      </c>
      <c r="H511" s="14">
        <v>312433</v>
      </c>
      <c r="I511" s="7">
        <v>27</v>
      </c>
      <c r="J511" s="14" t="s">
        <v>77</v>
      </c>
      <c r="K511" s="14" t="s">
        <v>14536</v>
      </c>
      <c r="L511" s="14" t="s">
        <v>14535</v>
      </c>
      <c r="M511" s="14" t="s">
        <v>9158</v>
      </c>
      <c r="N511" s="14" t="s">
        <v>9158</v>
      </c>
      <c r="O511" s="6" t="s">
        <v>14539</v>
      </c>
      <c r="P511" s="7" t="s">
        <v>14538</v>
      </c>
      <c r="Q511" s="7">
        <v>1</v>
      </c>
    </row>
    <row r="512" spans="1:18">
      <c r="A512" s="14" t="s">
        <v>5650</v>
      </c>
      <c r="B512" s="14" t="s">
        <v>52</v>
      </c>
      <c r="C512" s="14" t="s">
        <v>23</v>
      </c>
      <c r="D512" s="20" t="s">
        <v>809</v>
      </c>
      <c r="E512" s="15" t="str">
        <f>HYPERLINK("https://stat100.ameba.jp/tnk47/ratio20/illustrations/card/ill_68033_0_kurisumasupateikandamyojin03.jpg?202101-5-RELEASE-marathon-511", "■")</f>
        <v>■</v>
      </c>
      <c r="F512" s="14" t="s">
        <v>1871</v>
      </c>
      <c r="G512" s="14">
        <v>171669</v>
      </c>
      <c r="H512" s="14">
        <v>184662</v>
      </c>
      <c r="I512" s="14">
        <v>27</v>
      </c>
      <c r="J512" s="14" t="s">
        <v>44</v>
      </c>
      <c r="K512" s="14" t="s">
        <v>1872</v>
      </c>
      <c r="L512" s="14" t="s">
        <v>1873</v>
      </c>
      <c r="M512" s="14" t="s">
        <v>9158</v>
      </c>
      <c r="N512" s="14" t="s">
        <v>9158</v>
      </c>
      <c r="O512" s="19" t="s">
        <v>2997</v>
      </c>
      <c r="P512" s="14" t="s">
        <v>3483</v>
      </c>
      <c r="Q512" s="14">
        <v>2</v>
      </c>
    </row>
    <row r="513" spans="1:18">
      <c r="A513" s="7" t="s">
        <v>8437</v>
      </c>
      <c r="B513" s="7" t="s">
        <v>52</v>
      </c>
      <c r="C513" s="7" t="s">
        <v>202</v>
      </c>
      <c r="D513" s="20" t="s">
        <v>10806</v>
      </c>
      <c r="E513" s="15" t="str">
        <f>HYPERLINK("https://stat100.ameba.jp/tnk47/ratio20/illustrations/card/ill_85523_0_seitankuronikurukusumotoine03.jpg?202101-5-RELEASE-marathon-511", "■")</f>
        <v>■</v>
      </c>
      <c r="F513" s="7" t="s">
        <v>8440</v>
      </c>
      <c r="G513" s="7">
        <v>327089</v>
      </c>
      <c r="H513" s="7">
        <v>295640</v>
      </c>
      <c r="I513" s="7">
        <v>27</v>
      </c>
      <c r="J513" s="14" t="s">
        <v>77</v>
      </c>
      <c r="K513" s="7" t="s">
        <v>8446</v>
      </c>
      <c r="L513" s="7" t="s">
        <v>8439</v>
      </c>
      <c r="M513" s="14" t="s">
        <v>9158</v>
      </c>
      <c r="N513" s="14" t="s">
        <v>9158</v>
      </c>
      <c r="O513" s="19" t="s">
        <v>10133</v>
      </c>
      <c r="P513" s="7" t="s">
        <v>8441</v>
      </c>
      <c r="Q513" s="7">
        <v>1</v>
      </c>
    </row>
    <row r="514" spans="1:18">
      <c r="A514" s="14" t="s">
        <v>7150</v>
      </c>
      <c r="B514" s="14" t="s">
        <v>52</v>
      </c>
      <c r="C514" s="14" t="s">
        <v>202</v>
      </c>
      <c r="D514" s="20" t="s">
        <v>10656</v>
      </c>
      <c r="E514" s="15" t="str">
        <f>HYPERLINK("https://stat100.ameba.jp/tnk47/ratio20/illustrations/card/ill_84203_0_tarottofujiwaranoshoshi03.jpg?202101-5-RELEASE-marathon-511", "■")</f>
        <v>■</v>
      </c>
      <c r="F514" s="14" t="s">
        <v>7153</v>
      </c>
      <c r="G514" s="14">
        <v>397406</v>
      </c>
      <c r="H514" s="14">
        <v>359198</v>
      </c>
      <c r="I514" s="14">
        <v>27</v>
      </c>
      <c r="J514" s="14" t="s">
        <v>10</v>
      </c>
      <c r="K514" s="14" t="s">
        <v>7152</v>
      </c>
      <c r="L514" s="14" t="s">
        <v>7151</v>
      </c>
      <c r="M514" s="14" t="s">
        <v>9158</v>
      </c>
      <c r="N514" s="14" t="s">
        <v>9158</v>
      </c>
      <c r="O514" s="19" t="s">
        <v>10128</v>
      </c>
      <c r="P514" s="14" t="s">
        <v>7154</v>
      </c>
      <c r="Q514" s="14">
        <v>1</v>
      </c>
    </row>
    <row r="515" spans="1:18">
      <c r="A515" s="9" t="s">
        <v>5642</v>
      </c>
      <c r="B515" s="14" t="s">
        <v>330</v>
      </c>
      <c r="C515" s="14" t="s">
        <v>185</v>
      </c>
      <c r="D515" s="14" t="s">
        <v>3086</v>
      </c>
      <c r="E515" s="15" t="str">
        <f>HYPERLINK("https://stat100.ameba.jp/tnk47/ratio20/illustrations/card/ill_69593_0_setsubunyukionna03.jpg?202101-5-RELEASE-marathon-511", "■")</f>
        <v>■</v>
      </c>
      <c r="F515" s="14" t="s">
        <v>3087</v>
      </c>
      <c r="G515" s="14">
        <v>192866</v>
      </c>
      <c r="H515" s="14">
        <v>207449</v>
      </c>
      <c r="I515" s="14">
        <v>27</v>
      </c>
      <c r="J515" s="14" t="s">
        <v>320</v>
      </c>
      <c r="K515" s="14" t="s">
        <v>3088</v>
      </c>
      <c r="L515" s="14" t="s">
        <v>3089</v>
      </c>
      <c r="M515" s="14" t="s">
        <v>9158</v>
      </c>
      <c r="N515" s="14" t="s">
        <v>9158</v>
      </c>
      <c r="O515" s="7" t="s">
        <v>3090</v>
      </c>
      <c r="P515" s="14" t="s">
        <v>3091</v>
      </c>
      <c r="Q515" s="14">
        <v>2</v>
      </c>
    </row>
    <row r="516" spans="1:18">
      <c r="A516" s="9" t="s">
        <v>9568</v>
      </c>
      <c r="B516" s="9" t="s">
        <v>117</v>
      </c>
      <c r="C516" s="9" t="s">
        <v>202</v>
      </c>
      <c r="D516" s="19" t="s">
        <v>10978</v>
      </c>
      <c r="E516" s="15" t="str">
        <f>HYPERLINK("https://stat100.ameba.jp/tnk47/ratio20/illustrations/card/ill_88083_0_seirennosammegami03.jpg?202101-5-RELEASE-marathon-511", "■")</f>
        <v>■</v>
      </c>
      <c r="F516" s="9" t="s">
        <v>9573</v>
      </c>
      <c r="G516" s="14">
        <v>295512</v>
      </c>
      <c r="H516" s="14">
        <v>326957</v>
      </c>
      <c r="I516" s="14">
        <v>27</v>
      </c>
      <c r="J516" s="9" t="s">
        <v>216</v>
      </c>
      <c r="K516" s="9" t="s">
        <v>9572</v>
      </c>
      <c r="L516" s="9" t="s">
        <v>9571</v>
      </c>
      <c r="M516" s="14" t="s">
        <v>9158</v>
      </c>
      <c r="N516" s="14" t="s">
        <v>9158</v>
      </c>
      <c r="O516" s="19" t="s">
        <v>10137</v>
      </c>
      <c r="P516" s="9" t="s">
        <v>9564</v>
      </c>
      <c r="Q516" s="9">
        <v>0</v>
      </c>
    </row>
    <row r="517" spans="1:18">
      <c r="A517" s="9" t="s">
        <v>11574</v>
      </c>
      <c r="B517" s="9" t="s">
        <v>117</v>
      </c>
      <c r="C517" s="9" t="s">
        <v>202</v>
      </c>
      <c r="D517" s="9" t="s">
        <v>11568</v>
      </c>
      <c r="E517" s="15" t="str">
        <f>HYPERLINK("https://stat100.ameba.jp/tnk47/ratio20/illustrations/card/ill_88133_0_henreisankammi03.jpg?202101-5-RELEASE-marathon-511", "■")</f>
        <v>■</v>
      </c>
      <c r="F517" s="9" t="s">
        <v>11573</v>
      </c>
      <c r="G517" s="14">
        <v>322192</v>
      </c>
      <c r="H517" s="14">
        <v>291207</v>
      </c>
      <c r="I517" s="14">
        <v>27</v>
      </c>
      <c r="J517" s="9" t="s">
        <v>216</v>
      </c>
      <c r="K517" s="9" t="s">
        <v>11570</v>
      </c>
      <c r="L517" s="9" t="s">
        <v>13227</v>
      </c>
      <c r="M517" s="14" t="s">
        <v>9158</v>
      </c>
      <c r="N517" s="14" t="s">
        <v>9158</v>
      </c>
      <c r="O517" s="9" t="s">
        <v>11571</v>
      </c>
      <c r="P517" s="9" t="s">
        <v>11572</v>
      </c>
      <c r="Q517" s="9">
        <v>1</v>
      </c>
    </row>
    <row r="518" spans="1:18">
      <c r="A518" s="14" t="s">
        <v>12178</v>
      </c>
      <c r="B518" s="14" t="s">
        <v>117</v>
      </c>
      <c r="C518" s="14" t="s">
        <v>202</v>
      </c>
      <c r="D518" s="14" t="s">
        <v>12177</v>
      </c>
      <c r="E518" s="15" t="str">
        <f>HYPERLINK("https://stat100.ameba.jp/tnk47/ratio20/illustrations/card/ill_89533_0_harukazesangakudan03.jpg?202101-5-RELEASE-marathon-511", "■")</f>
        <v>■</v>
      </c>
      <c r="F518" s="14" t="s">
        <v>12183</v>
      </c>
      <c r="G518" s="14">
        <v>322318</v>
      </c>
      <c r="H518" s="14">
        <v>291273</v>
      </c>
      <c r="I518" s="14">
        <v>27</v>
      </c>
      <c r="J518" s="14" t="s">
        <v>169</v>
      </c>
      <c r="K518" s="14" t="s">
        <v>12182</v>
      </c>
      <c r="L518" s="14" t="s">
        <v>12181</v>
      </c>
      <c r="M518" s="14" t="s">
        <v>9158</v>
      </c>
      <c r="N518" s="14" t="s">
        <v>9158</v>
      </c>
      <c r="O518" s="14" t="s">
        <v>12186</v>
      </c>
      <c r="P518" s="14" t="s">
        <v>12187</v>
      </c>
      <c r="Q518" s="14">
        <v>1</v>
      </c>
    </row>
    <row r="519" spans="1:18">
      <c r="A519" s="14" t="s">
        <v>12809</v>
      </c>
      <c r="B519" s="14" t="s">
        <v>117</v>
      </c>
      <c r="C519" s="14" t="s">
        <v>35</v>
      </c>
      <c r="D519" s="14" t="s">
        <v>12807</v>
      </c>
      <c r="E519" s="15" t="str">
        <f>HYPERLINK("https://stat100.ameba.jp/tnk47/ratio20/illustrations/card/ill_90173_0_yurakunekomusume03.jpg?202101-5-RELEASE-marathon-511", "■")</f>
        <v>■</v>
      </c>
      <c r="F519" s="14" t="s">
        <v>12810</v>
      </c>
      <c r="G519" s="14">
        <v>322452</v>
      </c>
      <c r="H519" s="14">
        <v>291467</v>
      </c>
      <c r="I519" s="9">
        <v>27</v>
      </c>
      <c r="J519" s="14" t="s">
        <v>38</v>
      </c>
      <c r="K519" s="14" t="s">
        <v>12812</v>
      </c>
      <c r="L519" s="14" t="s">
        <v>12813</v>
      </c>
      <c r="M519" s="14" t="s">
        <v>9158</v>
      </c>
      <c r="N519" s="14" t="s">
        <v>9158</v>
      </c>
      <c r="O519" s="14" t="s">
        <v>12805</v>
      </c>
      <c r="P519" s="14" t="s">
        <v>3491</v>
      </c>
      <c r="Q519" s="14">
        <v>1</v>
      </c>
    </row>
    <row r="520" spans="1:18">
      <c r="A520" s="9">
        <v>80563</v>
      </c>
      <c r="B520" s="14" t="s">
        <v>334</v>
      </c>
      <c r="C520" s="14" t="s">
        <v>185</v>
      </c>
      <c r="D520" s="14" t="s">
        <v>4171</v>
      </c>
      <c r="E520" s="15" t="str">
        <f>HYPERLINK("https://stat100.ameba.jp/tnk47/ratio20/illustrations/card/ill_80563_ohanamigurampingu03.jpg?202101-5-RELEASE-marathon-511", "■")</f>
        <v>■</v>
      </c>
      <c r="F520" s="14" t="s">
        <v>4172</v>
      </c>
      <c r="G520" s="14">
        <v>106178</v>
      </c>
      <c r="H520" s="14">
        <v>114208</v>
      </c>
      <c r="I520" s="14">
        <v>28</v>
      </c>
      <c r="J520" s="14" t="s">
        <v>44</v>
      </c>
      <c r="K520" s="14" t="s">
        <v>4173</v>
      </c>
      <c r="L520" s="14" t="s">
        <v>4174</v>
      </c>
      <c r="M520" s="14" t="s">
        <v>2138</v>
      </c>
      <c r="N520" s="14" t="s">
        <v>2139</v>
      </c>
      <c r="O520" s="14" t="s">
        <v>9158</v>
      </c>
      <c r="P520" s="14" t="s">
        <v>9158</v>
      </c>
      <c r="Q520" s="14" t="s">
        <v>9158</v>
      </c>
      <c r="R520" s="14" t="s">
        <v>13120</v>
      </c>
    </row>
    <row r="521" spans="1:18">
      <c r="A521" s="9">
        <v>81123</v>
      </c>
      <c r="B521" s="14" t="s">
        <v>334</v>
      </c>
      <c r="C521" s="14" t="s">
        <v>200</v>
      </c>
      <c r="D521" s="14" t="s">
        <v>4510</v>
      </c>
      <c r="E521" s="15" t="str">
        <f>HYPERLINK("https://stat100.ameba.jp/tnk47/ratio20/illustrations/card/ill_81123_shinryokunokisetsushiratakihime03.jpg?202101-5-RELEASE-marathon-511", "■")</f>
        <v>■</v>
      </c>
      <c r="F521" s="14" t="s">
        <v>4511</v>
      </c>
      <c r="G521" s="14">
        <v>118598</v>
      </c>
      <c r="H521" s="14">
        <v>127784</v>
      </c>
      <c r="I521" s="14">
        <v>28</v>
      </c>
      <c r="J521" s="14" t="s">
        <v>38</v>
      </c>
      <c r="K521" s="14" t="s">
        <v>4512</v>
      </c>
      <c r="L521" s="14" t="s">
        <v>2204</v>
      </c>
      <c r="M521" s="14" t="s">
        <v>2138</v>
      </c>
      <c r="N521" s="14" t="s">
        <v>2139</v>
      </c>
      <c r="O521" s="14" t="s">
        <v>9158</v>
      </c>
      <c r="P521" s="14" t="s">
        <v>9158</v>
      </c>
      <c r="Q521" s="14" t="s">
        <v>9158</v>
      </c>
      <c r="R521" s="14" t="s">
        <v>13120</v>
      </c>
    </row>
    <row r="522" spans="1:18">
      <c r="A522" s="9">
        <v>79973</v>
      </c>
      <c r="B522" s="14" t="s">
        <v>334</v>
      </c>
      <c r="C522" s="14" t="s">
        <v>101</v>
      </c>
      <c r="D522" s="14" t="s">
        <v>3717</v>
      </c>
      <c r="E522" s="15" t="str">
        <f>HYPERLINK("https://stat100.ameba.jp/tnk47/ratio20/illustrations/card/ill_79973_hinamatsurihangakugozen03.jpg?202101-5-RELEASE-marathon-511", "■")</f>
        <v>■</v>
      </c>
      <c r="F522" s="14" t="s">
        <v>3718</v>
      </c>
      <c r="G522" s="14">
        <v>154768</v>
      </c>
      <c r="H522" s="14">
        <v>166452</v>
      </c>
      <c r="I522" s="7">
        <v>28</v>
      </c>
      <c r="J522" s="14" t="s">
        <v>143</v>
      </c>
      <c r="K522" s="14" t="s">
        <v>3719</v>
      </c>
      <c r="L522" s="14" t="s">
        <v>1148</v>
      </c>
      <c r="M522" s="14" t="s">
        <v>2138</v>
      </c>
      <c r="N522" s="14" t="s">
        <v>2139</v>
      </c>
      <c r="O522" s="14" t="s">
        <v>9158</v>
      </c>
      <c r="P522" s="14" t="s">
        <v>9158</v>
      </c>
      <c r="Q522" s="14" t="s">
        <v>9158</v>
      </c>
      <c r="R522" s="14" t="s">
        <v>13120</v>
      </c>
    </row>
    <row r="523" spans="1:18">
      <c r="A523" s="9">
        <v>77913</v>
      </c>
      <c r="B523" s="14" t="s">
        <v>0</v>
      </c>
      <c r="C523" s="14" t="s">
        <v>165</v>
      </c>
      <c r="D523" s="14" t="s">
        <v>2134</v>
      </c>
      <c r="E523" s="15" t="str">
        <f>HYPERLINK("https://stat100.ameba.jp/tnk47/ratio20/illustrations/card/ill_77913_kurisumasudaisakusenjaiantotasumaniankurabu03.jpg?202101-5-RELEASE-marathon-511", "■")</f>
        <v>■</v>
      </c>
      <c r="F523" s="14" t="s">
        <v>2135</v>
      </c>
      <c r="G523" s="14">
        <v>118598</v>
      </c>
      <c r="H523" s="14">
        <v>127556</v>
      </c>
      <c r="I523" s="14">
        <v>28</v>
      </c>
      <c r="J523" s="14" t="s">
        <v>26</v>
      </c>
      <c r="K523" s="14" t="s">
        <v>2136</v>
      </c>
      <c r="L523" s="14" t="s">
        <v>2137</v>
      </c>
      <c r="M523" s="14" t="s">
        <v>2138</v>
      </c>
      <c r="N523" s="14" t="s">
        <v>2139</v>
      </c>
      <c r="O523" s="14" t="s">
        <v>9158</v>
      </c>
      <c r="P523" s="14" t="s">
        <v>9158</v>
      </c>
      <c r="Q523" s="14" t="s">
        <v>9158</v>
      </c>
      <c r="R523" s="14" t="s">
        <v>13120</v>
      </c>
    </row>
    <row r="524" spans="1:18">
      <c r="A524" s="9">
        <v>77133</v>
      </c>
      <c r="B524" s="14" t="s">
        <v>334</v>
      </c>
      <c r="C524" s="14" t="s">
        <v>205</v>
      </c>
      <c r="D524" s="14" t="s">
        <v>9854</v>
      </c>
      <c r="E524" s="15" t="str">
        <f>HYPERLINK("https://stat100.ameba.jp/tnk47/ratio20/illustrations/card/ill_77133_yukemuriyozenin03.jpg?202101-5-RELEASE-marathon-511", "■")</f>
        <v>■</v>
      </c>
      <c r="F524" s="14" t="s">
        <v>13710</v>
      </c>
      <c r="G524" s="14">
        <v>101650</v>
      </c>
      <c r="H524" s="14">
        <v>109370</v>
      </c>
      <c r="I524" s="14">
        <v>28</v>
      </c>
      <c r="J524" s="14" t="s">
        <v>315</v>
      </c>
      <c r="K524" s="14" t="s">
        <v>1380</v>
      </c>
      <c r="L524" s="14" t="s">
        <v>608</v>
      </c>
      <c r="M524" s="14" t="s">
        <v>342</v>
      </c>
      <c r="N524" s="14" t="s">
        <v>343</v>
      </c>
      <c r="O524" s="14" t="s">
        <v>9158</v>
      </c>
      <c r="P524" s="14" t="s">
        <v>9158</v>
      </c>
      <c r="Q524" s="14" t="s">
        <v>9158</v>
      </c>
      <c r="R524" s="14" t="s">
        <v>13120</v>
      </c>
    </row>
    <row r="525" spans="1:18">
      <c r="A525" s="9">
        <v>77923</v>
      </c>
      <c r="B525" s="14" t="s">
        <v>0</v>
      </c>
      <c r="C525" s="14" t="s">
        <v>206</v>
      </c>
      <c r="D525" s="14" t="s">
        <v>2140</v>
      </c>
      <c r="E525" s="15" t="str">
        <f>HYPERLINK("https://stat100.ameba.jp/tnk47/ratio20/illustrations/card/ill_77923_kurisumasudaisakusemmomotofumiagari03.jpg?202101-5-RELEASE-marathon-511", "■")</f>
        <v>■</v>
      </c>
      <c r="F525" s="14" t="s">
        <v>2141</v>
      </c>
      <c r="G525" s="14">
        <v>101650</v>
      </c>
      <c r="H525" s="14">
        <v>109370</v>
      </c>
      <c r="I525" s="14">
        <v>28</v>
      </c>
      <c r="J525" s="14" t="s">
        <v>77</v>
      </c>
      <c r="K525" s="14" t="s">
        <v>2142</v>
      </c>
      <c r="L525" s="14" t="s">
        <v>969</v>
      </c>
      <c r="M525" s="14" t="s">
        <v>2138</v>
      </c>
      <c r="N525" s="14" t="s">
        <v>2139</v>
      </c>
      <c r="O525" s="14" t="s">
        <v>9158</v>
      </c>
      <c r="P525" s="14" t="s">
        <v>9158</v>
      </c>
      <c r="Q525" s="14" t="s">
        <v>9158</v>
      </c>
      <c r="R525" s="14" t="s">
        <v>13120</v>
      </c>
    </row>
    <row r="527" spans="1:18">
      <c r="A527" s="14" t="s">
        <v>3643</v>
      </c>
    </row>
    <row r="528" spans="1:18">
      <c r="A528" s="14">
        <v>105617</v>
      </c>
      <c r="B528" s="14" t="s">
        <v>16669</v>
      </c>
    </row>
    <row r="529" spans="1:18">
      <c r="A529" s="14">
        <v>91175</v>
      </c>
      <c r="B529" s="14" t="s">
        <v>334</v>
      </c>
      <c r="C529" s="14" t="s">
        <v>35</v>
      </c>
      <c r="D529" s="14" t="s">
        <v>13636</v>
      </c>
      <c r="E529" s="15" t="str">
        <f>HYPERLINK("https://stat100.ameba.jp/tnk47/ratio20/illustrations/card/ill_91175_mieshatsu05.jpg?202101-5-RELEASE-marathon-511", "■")</f>
        <v>■</v>
      </c>
      <c r="F529" s="14" t="s">
        <v>13637</v>
      </c>
      <c r="G529" s="14">
        <v>137492</v>
      </c>
      <c r="H529" s="14">
        <v>99544</v>
      </c>
      <c r="I529" s="14">
        <v>28</v>
      </c>
      <c r="J529" s="14" t="s">
        <v>44</v>
      </c>
      <c r="K529" s="14" t="s">
        <v>13640</v>
      </c>
      <c r="L529" s="14" t="s">
        <v>13641</v>
      </c>
      <c r="M529" s="14" t="s">
        <v>9158</v>
      </c>
      <c r="N529" s="14" t="s">
        <v>9158</v>
      </c>
      <c r="O529" s="14" t="s">
        <v>9158</v>
      </c>
      <c r="P529" s="14" t="s">
        <v>9158</v>
      </c>
      <c r="Q529" s="14" t="s">
        <v>9158</v>
      </c>
      <c r="R529" s="14" t="s">
        <v>174</v>
      </c>
    </row>
    <row r="530" spans="1:18">
      <c r="A530" s="14">
        <v>91173</v>
      </c>
      <c r="B530" s="14" t="s">
        <v>15</v>
      </c>
      <c r="C530" s="14" t="s">
        <v>41</v>
      </c>
      <c r="D530" s="14" t="s">
        <v>13636</v>
      </c>
      <c r="E530" s="15" t="str">
        <f>HYPERLINK("https://stat100.ameba.jp/tnk47/ratio20/illustrations/card/ill_91173_mieshatsu03.jpg?202101-5-RELEASE-marathon-511", "■")</f>
        <v>■</v>
      </c>
      <c r="F530" s="14" t="s">
        <v>13637</v>
      </c>
      <c r="G530" s="14">
        <v>101282</v>
      </c>
      <c r="H530" s="14">
        <v>73344</v>
      </c>
      <c r="I530" s="14">
        <v>28</v>
      </c>
      <c r="J530" s="14" t="s">
        <v>44</v>
      </c>
      <c r="K530" s="14" t="s">
        <v>13640</v>
      </c>
      <c r="L530" s="14" t="s">
        <v>13644</v>
      </c>
      <c r="M530" s="14" t="s">
        <v>9158</v>
      </c>
      <c r="N530" s="14" t="s">
        <v>9158</v>
      </c>
      <c r="O530" s="14" t="s">
        <v>9158</v>
      </c>
      <c r="P530" s="14" t="s">
        <v>9158</v>
      </c>
      <c r="Q530" s="14" t="s">
        <v>9158</v>
      </c>
      <c r="R530" s="14" t="s">
        <v>175</v>
      </c>
    </row>
    <row r="531" spans="1:18">
      <c r="A531" s="14">
        <v>91171</v>
      </c>
      <c r="B531" s="14" t="s">
        <v>15</v>
      </c>
      <c r="C531" s="14" t="s">
        <v>41</v>
      </c>
      <c r="D531" s="14" t="s">
        <v>13636</v>
      </c>
      <c r="E531" s="15" t="str">
        <f>HYPERLINK("https://stat100.ameba.jp/tnk47/ratio20/illustrations/card/ill_91171_mieshatsu01.jpg?202101-5-RELEASE-marathon-511", "■")</f>
        <v>■</v>
      </c>
      <c r="F531" s="14" t="s">
        <v>13637</v>
      </c>
      <c r="G531" s="14">
        <v>64428</v>
      </c>
      <c r="H531" s="14">
        <v>46648</v>
      </c>
      <c r="I531" s="14">
        <v>28</v>
      </c>
      <c r="J531" s="14" t="s">
        <v>44</v>
      </c>
      <c r="K531" s="14" t="s">
        <v>13640</v>
      </c>
      <c r="L531" s="14" t="s">
        <v>13643</v>
      </c>
      <c r="M531" s="14" t="s">
        <v>9158</v>
      </c>
      <c r="N531" s="14" t="s">
        <v>9158</v>
      </c>
      <c r="O531" s="14" t="s">
        <v>9158</v>
      </c>
      <c r="P531" s="14" t="s">
        <v>9158</v>
      </c>
      <c r="Q531" s="14" t="s">
        <v>9158</v>
      </c>
      <c r="R531" s="14" t="s">
        <v>176</v>
      </c>
    </row>
    <row r="532" spans="1:18">
      <c r="A532" s="14">
        <v>89815</v>
      </c>
      <c r="B532" s="14" t="s">
        <v>334</v>
      </c>
      <c r="C532" s="14" t="s">
        <v>202</v>
      </c>
      <c r="D532" s="14" t="s">
        <v>13889</v>
      </c>
      <c r="E532" s="15" t="str">
        <f>HYPERLINK("https://stat100.ameba.jp/tnk47/ratio20/illustrations/card/ill_89815_bukenohanayomekuchinashi05.jpg?202101-5-RELEASE-marathon-511", "■")</f>
        <v>■</v>
      </c>
      <c r="F532" s="14" t="s">
        <v>13890</v>
      </c>
      <c r="G532" s="9">
        <v>98966</v>
      </c>
      <c r="H532" s="9">
        <v>136686</v>
      </c>
      <c r="I532" s="9">
        <v>28</v>
      </c>
      <c r="J532" s="14" t="s">
        <v>26</v>
      </c>
      <c r="K532" s="14" t="s">
        <v>13891</v>
      </c>
      <c r="L532" s="14" t="s">
        <v>13892</v>
      </c>
      <c r="M532" s="14" t="s">
        <v>9158</v>
      </c>
      <c r="N532" s="14" t="s">
        <v>9158</v>
      </c>
      <c r="O532" s="14" t="s">
        <v>9158</v>
      </c>
      <c r="P532" s="14" t="s">
        <v>9158</v>
      </c>
      <c r="Q532" s="14" t="s">
        <v>9158</v>
      </c>
      <c r="R532" s="14" t="s">
        <v>174</v>
      </c>
    </row>
    <row r="533" spans="1:18">
      <c r="A533" s="14">
        <v>89813</v>
      </c>
      <c r="B533" s="14" t="s">
        <v>15</v>
      </c>
      <c r="C533" s="14" t="s">
        <v>158</v>
      </c>
      <c r="D533" s="14" t="s">
        <v>13889</v>
      </c>
      <c r="E533" s="15" t="str">
        <f>HYPERLINK("https://stat100.ameba.jp/tnk47/ratio20/illustrations/card/ill_89813_bukenohanayomekuchinashi03.jpg?202101-5-RELEASE-marathon-511", "■")</f>
        <v>■</v>
      </c>
      <c r="F533" s="14" t="s">
        <v>13890</v>
      </c>
      <c r="G533" s="9">
        <v>72908</v>
      </c>
      <c r="H533" s="9">
        <v>100708</v>
      </c>
      <c r="I533" s="9">
        <v>28</v>
      </c>
      <c r="J533" s="14" t="s">
        <v>26</v>
      </c>
      <c r="K533" s="14" t="s">
        <v>13891</v>
      </c>
      <c r="L533" s="14" t="s">
        <v>13893</v>
      </c>
      <c r="M533" s="14" t="s">
        <v>9158</v>
      </c>
      <c r="N533" s="14" t="s">
        <v>9158</v>
      </c>
      <c r="O533" s="14" t="s">
        <v>9158</v>
      </c>
      <c r="P533" s="14" t="s">
        <v>9158</v>
      </c>
      <c r="Q533" s="14" t="s">
        <v>9158</v>
      </c>
      <c r="R533" s="14" t="s">
        <v>175</v>
      </c>
    </row>
    <row r="534" spans="1:18">
      <c r="A534" s="14">
        <v>89811</v>
      </c>
      <c r="B534" s="14" t="s">
        <v>15</v>
      </c>
      <c r="C534" s="14" t="s">
        <v>158</v>
      </c>
      <c r="D534" s="14" t="s">
        <v>13889</v>
      </c>
      <c r="E534" s="15" t="str">
        <f>HYPERLINK("https://stat100.ameba.jp/tnk47/ratio20/illustrations/card/ill_89811_bukenohanayomekuchinashi01.jpg?202101-5-RELEASE-marathon-511", "■")</f>
        <v>■</v>
      </c>
      <c r="F534" s="14" t="s">
        <v>13890</v>
      </c>
      <c r="G534" s="9">
        <v>46396</v>
      </c>
      <c r="H534" s="9">
        <v>64064</v>
      </c>
      <c r="I534" s="9">
        <v>28</v>
      </c>
      <c r="J534" s="14" t="s">
        <v>26</v>
      </c>
      <c r="K534" s="14" t="s">
        <v>13891</v>
      </c>
      <c r="L534" s="14" t="s">
        <v>13894</v>
      </c>
      <c r="M534" s="14" t="s">
        <v>9158</v>
      </c>
      <c r="N534" s="14" t="s">
        <v>9158</v>
      </c>
      <c r="O534" s="14" t="s">
        <v>9158</v>
      </c>
      <c r="P534" s="14" t="s">
        <v>9158</v>
      </c>
      <c r="Q534" s="14" t="s">
        <v>9158</v>
      </c>
      <c r="R534" s="14" t="s">
        <v>176</v>
      </c>
    </row>
    <row r="535" spans="1:18">
      <c r="A535" s="14">
        <v>91165</v>
      </c>
      <c r="B535" s="14" t="s">
        <v>334</v>
      </c>
      <c r="C535" s="14" t="s">
        <v>35</v>
      </c>
      <c r="D535" s="14" t="s">
        <v>13425</v>
      </c>
      <c r="E535" s="15" t="str">
        <f>HYPERLINK("https://stat100.ameba.jp/tnk47/ratio20/illustrations/card/ill_91165_mizugimanejayukioni05.jpg?202101-5-RELEASE-marathon-511", "■")</f>
        <v>■</v>
      </c>
      <c r="F535" s="14" t="s">
        <v>13433</v>
      </c>
      <c r="G535" s="14">
        <v>144364</v>
      </c>
      <c r="H535" s="14">
        <v>104518</v>
      </c>
      <c r="I535" s="14">
        <v>28</v>
      </c>
      <c r="J535" s="14" t="s">
        <v>38</v>
      </c>
      <c r="K535" s="14" t="s">
        <v>13426</v>
      </c>
      <c r="L535" s="14" t="s">
        <v>13427</v>
      </c>
      <c r="M535" s="14" t="s">
        <v>9158</v>
      </c>
      <c r="N535" s="14" t="s">
        <v>9158</v>
      </c>
      <c r="O535" s="14" t="s">
        <v>9158</v>
      </c>
      <c r="P535" s="14" t="s">
        <v>9158</v>
      </c>
      <c r="Q535" s="14" t="s">
        <v>9158</v>
      </c>
      <c r="R535" s="14" t="s">
        <v>174</v>
      </c>
    </row>
    <row r="536" spans="1:18">
      <c r="A536" s="14">
        <v>91163</v>
      </c>
      <c r="B536" s="14" t="s">
        <v>15</v>
      </c>
      <c r="C536" s="14" t="s">
        <v>13428</v>
      </c>
      <c r="D536" s="14" t="s">
        <v>13425</v>
      </c>
      <c r="E536" s="15" t="str">
        <f>HYPERLINK("https://stat100.ameba.jp/tnk47/ratio20/illustrations/card/ill_91163_mizugimanejayukioni03.jpg?202101-5-RELEASE-marathon-511", "■")</f>
        <v>■</v>
      </c>
      <c r="F536" s="14" t="s">
        <v>13433</v>
      </c>
      <c r="G536" s="14">
        <v>106328</v>
      </c>
      <c r="H536" s="14">
        <v>77004</v>
      </c>
      <c r="I536" s="14">
        <v>28</v>
      </c>
      <c r="J536" s="14" t="s">
        <v>38</v>
      </c>
      <c r="K536" s="14" t="s">
        <v>13426</v>
      </c>
      <c r="L536" s="14" t="s">
        <v>13429</v>
      </c>
      <c r="M536" s="14" t="s">
        <v>9158</v>
      </c>
      <c r="N536" s="14" t="s">
        <v>9158</v>
      </c>
      <c r="O536" s="14" t="s">
        <v>9158</v>
      </c>
      <c r="P536" s="14" t="s">
        <v>9158</v>
      </c>
      <c r="Q536" s="14" t="s">
        <v>9158</v>
      </c>
      <c r="R536" s="14" t="s">
        <v>175</v>
      </c>
    </row>
    <row r="537" spans="1:18">
      <c r="A537" s="14">
        <v>91161</v>
      </c>
      <c r="B537" s="14" t="s">
        <v>15</v>
      </c>
      <c r="C537" s="14" t="s">
        <v>13428</v>
      </c>
      <c r="D537" s="14" t="s">
        <v>13425</v>
      </c>
      <c r="E537" s="15" t="str">
        <f>HYPERLINK("https://stat100.ameba.jp/tnk47/ratio20/illustrations/card/ill_91161_mizugimanejayukioni01.jpg?202101-5-RELEASE-marathon-511", "■")</f>
        <v>■</v>
      </c>
      <c r="F537" s="14" t="s">
        <v>13433</v>
      </c>
      <c r="G537" s="14">
        <v>67648</v>
      </c>
      <c r="H537" s="14">
        <v>48972</v>
      </c>
      <c r="I537" s="14">
        <v>28</v>
      </c>
      <c r="J537" s="14" t="s">
        <v>38</v>
      </c>
      <c r="K537" s="14" t="s">
        <v>13426</v>
      </c>
      <c r="L537" s="14" t="s">
        <v>13430</v>
      </c>
      <c r="M537" s="14" t="s">
        <v>9158</v>
      </c>
      <c r="N537" s="14" t="s">
        <v>9158</v>
      </c>
      <c r="O537" s="14" t="s">
        <v>9158</v>
      </c>
      <c r="P537" s="14" t="s">
        <v>9158</v>
      </c>
      <c r="Q537" s="14" t="s">
        <v>9158</v>
      </c>
      <c r="R537" s="14" t="s">
        <v>176</v>
      </c>
    </row>
    <row r="539" spans="1:18">
      <c r="A539" s="14" t="s">
        <v>3844</v>
      </c>
    </row>
    <row r="540" spans="1:18">
      <c r="A540" s="14">
        <v>105608</v>
      </c>
      <c r="B540" s="14" t="s">
        <v>16670</v>
      </c>
    </row>
    <row r="541" spans="1:18">
      <c r="A541" s="9" t="s">
        <v>6195</v>
      </c>
      <c r="B541" s="14" t="s">
        <v>52</v>
      </c>
      <c r="C541" s="14" t="s">
        <v>191</v>
      </c>
      <c r="D541" s="14" t="s">
        <v>1768</v>
      </c>
      <c r="E541" s="15" t="str">
        <f>HYPERLINK("https://stat100.ameba.jp/tnk47/ratio20/illustrations/card/ill_56493_0_poppukurisumasuikomakitsuno03.jpg?202101-5-RELEASE-marathon-511", "■")</f>
        <v>■</v>
      </c>
      <c r="F541" s="14" t="s">
        <v>1769</v>
      </c>
      <c r="G541" s="14">
        <v>163342</v>
      </c>
      <c r="H541" s="14">
        <v>145100</v>
      </c>
      <c r="I541" s="14">
        <v>26</v>
      </c>
      <c r="J541" s="14" t="s">
        <v>77</v>
      </c>
      <c r="K541" s="14" t="s">
        <v>1770</v>
      </c>
      <c r="L541" s="14" t="s">
        <v>1771</v>
      </c>
      <c r="M541" s="14" t="s">
        <v>9158</v>
      </c>
      <c r="N541" s="14" t="s">
        <v>9158</v>
      </c>
      <c r="O541" s="9" t="s">
        <v>3893</v>
      </c>
      <c r="P541" s="14" t="s">
        <v>2724</v>
      </c>
      <c r="Q541" s="14">
        <v>1</v>
      </c>
    </row>
    <row r="542" spans="1:18">
      <c r="A542" s="14">
        <v>65643</v>
      </c>
      <c r="B542" s="14" t="s">
        <v>0</v>
      </c>
      <c r="C542" s="14" t="s">
        <v>209</v>
      </c>
      <c r="D542" s="20" t="s">
        <v>1681</v>
      </c>
      <c r="E542" s="15" t="str">
        <f>HYPERLINK("https://stat100.ameba.jp/tnk47/ratio20/illustrations/card/ill_65643_shitompekamui03.jpg?202101-5-RELEASE-marathon-511", "■")</f>
        <v>■</v>
      </c>
      <c r="F542" s="14" t="s">
        <v>1250</v>
      </c>
      <c r="G542" s="14">
        <v>85962</v>
      </c>
      <c r="H542" s="14">
        <v>118684</v>
      </c>
      <c r="I542" s="14">
        <v>26</v>
      </c>
      <c r="J542" s="14" t="s">
        <v>44</v>
      </c>
      <c r="K542" s="14" t="s">
        <v>1251</v>
      </c>
      <c r="L542" s="14" t="s">
        <v>1252</v>
      </c>
      <c r="M542" s="14" t="s">
        <v>9158</v>
      </c>
      <c r="N542" s="14" t="s">
        <v>9158</v>
      </c>
      <c r="O542" s="19" t="s">
        <v>10096</v>
      </c>
      <c r="P542" s="14" t="s">
        <v>3245</v>
      </c>
      <c r="Q542" s="14">
        <v>1</v>
      </c>
    </row>
    <row r="543" spans="1:18">
      <c r="A543" s="14">
        <v>67993</v>
      </c>
      <c r="B543" s="14" t="s">
        <v>334</v>
      </c>
      <c r="C543" s="14" t="s">
        <v>205</v>
      </c>
      <c r="D543" s="6" t="s">
        <v>2546</v>
      </c>
      <c r="E543" s="15" t="str">
        <f>HYPERLINK("https://stat100.ameba.jp/tnk47/ratio20/illustrations/card/ill_67993_kurisumasupateikanekomisuzu03.jpg?202101-5-RELEASE-marathon-511", "■")</f>
        <v>■</v>
      </c>
      <c r="F543" s="14" t="s">
        <v>1286</v>
      </c>
      <c r="G543" s="14">
        <v>101558</v>
      </c>
      <c r="H543" s="14">
        <v>94390</v>
      </c>
      <c r="I543" s="14">
        <v>26</v>
      </c>
      <c r="J543" s="14" t="s">
        <v>10</v>
      </c>
      <c r="K543" s="14" t="s">
        <v>2547</v>
      </c>
      <c r="L543" s="14" t="s">
        <v>2548</v>
      </c>
      <c r="M543" s="14" t="s">
        <v>9158</v>
      </c>
      <c r="N543" s="14" t="s">
        <v>9158</v>
      </c>
      <c r="O543" s="6" t="s">
        <v>10025</v>
      </c>
      <c r="P543" s="14" t="s">
        <v>3701</v>
      </c>
      <c r="Q543" s="14">
        <v>1</v>
      </c>
    </row>
    <row r="544" spans="1:18">
      <c r="A544" s="14">
        <v>80573</v>
      </c>
      <c r="B544" s="14" t="s">
        <v>334</v>
      </c>
      <c r="C544" s="14" t="s">
        <v>165</v>
      </c>
      <c r="D544" s="20" t="s">
        <v>10301</v>
      </c>
      <c r="E544" s="15" t="str">
        <f>HYPERLINK("https://stat100.ameba.jp/tnk47/ratio20/illustrations/card/ill_80573_ohanamigurampingusotorihime03.jpg?202101-5-RELEASE-marathon-511", "■")</f>
        <v>■</v>
      </c>
      <c r="F544" s="14" t="s">
        <v>4176</v>
      </c>
      <c r="G544" s="14">
        <v>118656</v>
      </c>
      <c r="H544" s="14">
        <v>110126</v>
      </c>
      <c r="I544" s="14">
        <v>26</v>
      </c>
      <c r="J544" s="14" t="s">
        <v>38</v>
      </c>
      <c r="K544" s="14" t="s">
        <v>4177</v>
      </c>
      <c r="L544" s="14" t="s">
        <v>4178</v>
      </c>
      <c r="M544" s="14" t="s">
        <v>9158</v>
      </c>
      <c r="N544" s="14" t="s">
        <v>9158</v>
      </c>
      <c r="O544" s="19" t="s">
        <v>10119</v>
      </c>
      <c r="P544" s="14" t="s">
        <v>3662</v>
      </c>
      <c r="Q544" s="14">
        <v>1</v>
      </c>
    </row>
    <row r="546" spans="1:17">
      <c r="A546" s="14" t="s">
        <v>1176</v>
      </c>
    </row>
    <row r="547" spans="1:17">
      <c r="A547" s="14">
        <v>105634</v>
      </c>
      <c r="B547" s="14" t="s">
        <v>2685</v>
      </c>
    </row>
    <row r="548" spans="1:17">
      <c r="A548" s="14" t="s">
        <v>5617</v>
      </c>
      <c r="B548" s="14" t="s">
        <v>330</v>
      </c>
      <c r="C548" s="14" t="s">
        <v>308</v>
      </c>
      <c r="D548" s="19" t="s">
        <v>385</v>
      </c>
      <c r="E548" s="15" t="str">
        <f>HYPERLINK("https://stat100.ameba.jp/tnk47/ratio20/illustrations/card/ill_59673_0_oheyashutendoji03.jpg?202101-5-RELEASE-marathon-511", "■")</f>
        <v>■</v>
      </c>
      <c r="F548" s="14" t="s">
        <v>386</v>
      </c>
      <c r="G548" s="14">
        <v>168874</v>
      </c>
      <c r="H548" s="14">
        <v>181640</v>
      </c>
      <c r="I548" s="14">
        <v>24</v>
      </c>
      <c r="J548" s="14" t="s">
        <v>320</v>
      </c>
      <c r="K548" s="14" t="s">
        <v>387</v>
      </c>
      <c r="L548" s="14" t="s">
        <v>388</v>
      </c>
      <c r="M548" s="14" t="s">
        <v>9158</v>
      </c>
      <c r="N548" s="14" t="s">
        <v>9158</v>
      </c>
      <c r="O548" s="19" t="s">
        <v>10078</v>
      </c>
      <c r="P548" s="14" t="s">
        <v>3022</v>
      </c>
      <c r="Q548" s="14">
        <v>1</v>
      </c>
    </row>
    <row r="549" spans="1:17">
      <c r="A549" s="14" t="s">
        <v>5620</v>
      </c>
      <c r="B549" s="14" t="s">
        <v>52</v>
      </c>
      <c r="C549" s="14" t="s">
        <v>344</v>
      </c>
      <c r="D549" s="19" t="s">
        <v>669</v>
      </c>
      <c r="E549" s="15" t="str">
        <f>HYPERLINK("https://stat100.ameba.jp/tnk47/ratio20/illustrations/card/ill_67173_0_yukemuriawamorichan03.jpg?202101-5-RELEASE-marathon-511", "■")</f>
        <v>■</v>
      </c>
      <c r="F549" s="14" t="s">
        <v>2043</v>
      </c>
      <c r="G549" s="14">
        <v>184400</v>
      </c>
      <c r="H549" s="14">
        <v>171436</v>
      </c>
      <c r="I549" s="14">
        <v>24</v>
      </c>
      <c r="J549" s="14" t="s">
        <v>104</v>
      </c>
      <c r="K549" s="14" t="s">
        <v>2044</v>
      </c>
      <c r="L549" s="14" t="s">
        <v>2045</v>
      </c>
      <c r="M549" s="14" t="s">
        <v>9158</v>
      </c>
      <c r="N549" s="14" t="s">
        <v>9158</v>
      </c>
      <c r="O549" s="19" t="s">
        <v>10087</v>
      </c>
      <c r="P549" s="14" t="s">
        <v>3455</v>
      </c>
      <c r="Q549" s="14">
        <v>1</v>
      </c>
    </row>
    <row r="550" spans="1:17">
      <c r="A550" s="14" t="s">
        <v>5625</v>
      </c>
      <c r="B550" s="14" t="s">
        <v>330</v>
      </c>
      <c r="C550" s="14" t="s">
        <v>200</v>
      </c>
      <c r="D550" s="19" t="s">
        <v>630</v>
      </c>
      <c r="E550" s="15" t="str">
        <f>HYPERLINK("https://stat100.ameba.jp/tnk47/ratio20/illustrations/card/ill_48283_0_kyuubitamamonomae03.jpg?202101-5-RELEASE-marathon-511", "■")</f>
        <v>■</v>
      </c>
      <c r="F550" s="14" t="s">
        <v>631</v>
      </c>
      <c r="G550" s="14">
        <v>150776</v>
      </c>
      <c r="H550" s="14">
        <v>133938</v>
      </c>
      <c r="I550" s="14">
        <v>24</v>
      </c>
      <c r="J550" s="14" t="s">
        <v>320</v>
      </c>
      <c r="K550" s="14" t="s">
        <v>632</v>
      </c>
      <c r="L550" s="14" t="s">
        <v>633</v>
      </c>
      <c r="M550" s="14" t="s">
        <v>9158</v>
      </c>
      <c r="N550" s="14" t="s">
        <v>9158</v>
      </c>
      <c r="O550" s="14" t="s">
        <v>9158</v>
      </c>
      <c r="P550" s="14" t="s">
        <v>9158</v>
      </c>
      <c r="Q550" s="14" t="s">
        <v>9158</v>
      </c>
    </row>
    <row r="551" spans="1:17">
      <c r="A551" s="14">
        <v>94703</v>
      </c>
      <c r="B551" s="14" t="s">
        <v>0</v>
      </c>
      <c r="C551" s="14" t="s">
        <v>14</v>
      </c>
      <c r="D551" s="14" t="s">
        <v>16657</v>
      </c>
      <c r="E551" s="15" t="str">
        <f>HYPERLINK("https://stat100.ameba.jp/tnk47/ratio20/illustrations/card/ill_94703_seiyadetojimboyuki03.jpg?202101-5-RELEASE-marathon-511", "■")</f>
        <v>■</v>
      </c>
      <c r="F551" s="14" t="s">
        <v>16656</v>
      </c>
      <c r="G551" s="14">
        <v>101558</v>
      </c>
      <c r="H551" s="14">
        <v>94390</v>
      </c>
      <c r="I551" s="14">
        <v>26</v>
      </c>
      <c r="J551" s="14" t="s">
        <v>10</v>
      </c>
      <c r="K551" s="14" t="s">
        <v>16655</v>
      </c>
      <c r="L551" s="14" t="s">
        <v>14881</v>
      </c>
      <c r="M551" s="14" t="s">
        <v>9158</v>
      </c>
      <c r="N551" s="14" t="s">
        <v>9158</v>
      </c>
      <c r="O551" s="9" t="s">
        <v>9158</v>
      </c>
      <c r="P551" s="14" t="s">
        <v>9158</v>
      </c>
      <c r="Q551" s="14" t="s">
        <v>9158</v>
      </c>
    </row>
    <row r="552" spans="1:17">
      <c r="A552" s="14">
        <v>94723</v>
      </c>
      <c r="B552" s="14" t="s">
        <v>15</v>
      </c>
      <c r="C552" s="14" t="s">
        <v>96</v>
      </c>
      <c r="D552" s="14" t="s">
        <v>16662</v>
      </c>
      <c r="E552" s="15" t="str">
        <f>HYPERLINK("https://stat100.ameba.jp/tnk47/ratio20/illustrations/card/ill_94723_kurisumasushinjuchan03.jpg?202101-5-RELEASE-marathon-511", "■")</f>
        <v>■</v>
      </c>
      <c r="F552" s="14" t="s">
        <v>16661</v>
      </c>
      <c r="G552" s="14">
        <v>69898</v>
      </c>
      <c r="H552" s="14">
        <v>77064</v>
      </c>
      <c r="I552" s="14">
        <v>26</v>
      </c>
      <c r="J552" s="14" t="s">
        <v>26</v>
      </c>
      <c r="K552" s="14" t="s">
        <v>16660</v>
      </c>
      <c r="L552" s="14" t="s">
        <v>977</v>
      </c>
      <c r="M552" s="14" t="s">
        <v>9158</v>
      </c>
      <c r="N552" s="14" t="s">
        <v>9158</v>
      </c>
      <c r="O552" s="9" t="s">
        <v>9158</v>
      </c>
      <c r="P552" s="14" t="s">
        <v>9158</v>
      </c>
      <c r="Q552" s="14" t="s">
        <v>9158</v>
      </c>
    </row>
    <row r="553" spans="1:17">
      <c r="A553" s="14">
        <v>94733</v>
      </c>
      <c r="B553" s="14" t="s">
        <v>22</v>
      </c>
      <c r="C553" s="14" t="s">
        <v>1</v>
      </c>
      <c r="D553" s="14" t="s">
        <v>16665</v>
      </c>
      <c r="E553" s="15" t="str">
        <f>HYPERLINK("https://stat100.ameba.jp/tnk47/ratio20/illustrations/card/ill_94733_seiyasantakurosurodochan03.jpg?202101-5-RELEASE-marathon-511", "■")</f>
        <v>■</v>
      </c>
      <c r="F553" s="14" t="s">
        <v>16664</v>
      </c>
      <c r="G553" s="14">
        <v>54058</v>
      </c>
      <c r="H553" s="14">
        <v>44948</v>
      </c>
      <c r="I553" s="14">
        <v>26</v>
      </c>
      <c r="J553" s="14" t="s">
        <v>26</v>
      </c>
      <c r="K553" s="14" t="s">
        <v>16663</v>
      </c>
      <c r="L553" s="14" t="s">
        <v>2635</v>
      </c>
      <c r="M553" s="14" t="s">
        <v>9158</v>
      </c>
      <c r="N553" s="14" t="s">
        <v>9158</v>
      </c>
      <c r="O553" s="9" t="s">
        <v>9158</v>
      </c>
      <c r="P553" s="14" t="s">
        <v>9158</v>
      </c>
      <c r="Q553" s="14" t="s">
        <v>9158</v>
      </c>
    </row>
    <row r="554" spans="1:17">
      <c r="A554" s="14">
        <v>94743</v>
      </c>
      <c r="B554" s="14" t="s">
        <v>22</v>
      </c>
      <c r="C554" s="14" t="s">
        <v>23</v>
      </c>
      <c r="D554" s="14" t="s">
        <v>16668</v>
      </c>
      <c r="E554" s="15" t="str">
        <f>HYPERLINK("https://stat100.ameba.jp/tnk47/ratio20/illustrations/card/ill_94743_kurisumasumashumarochan03.jpg?202101-5-RELEASE-marathon-511", "■")</f>
        <v>■</v>
      </c>
      <c r="F554" s="14" t="s">
        <v>16667</v>
      </c>
      <c r="G554" s="14">
        <v>44948</v>
      </c>
      <c r="H554" s="14">
        <v>54058</v>
      </c>
      <c r="I554" s="14">
        <v>26</v>
      </c>
      <c r="J554" s="14" t="s">
        <v>104</v>
      </c>
      <c r="K554" s="14" t="s">
        <v>16666</v>
      </c>
      <c r="L554" s="14" t="s">
        <v>3839</v>
      </c>
      <c r="M554" s="14" t="s">
        <v>9158</v>
      </c>
      <c r="N554" s="14" t="s">
        <v>9158</v>
      </c>
      <c r="O554" s="9" t="s">
        <v>9158</v>
      </c>
      <c r="P554" s="14" t="s">
        <v>9158</v>
      </c>
      <c r="Q554" s="14" t="s">
        <v>9158</v>
      </c>
    </row>
    <row r="556" spans="1:17">
      <c r="A556" s="14" t="s">
        <v>4065</v>
      </c>
    </row>
    <row r="557" spans="1:17">
      <c r="A557" s="14">
        <v>105611</v>
      </c>
      <c r="B557" s="14" t="s">
        <v>16671</v>
      </c>
    </row>
    <row r="558" spans="1:17">
      <c r="A558" s="14" t="s">
        <v>6508</v>
      </c>
      <c r="B558" s="14" t="s">
        <v>330</v>
      </c>
      <c r="C558" s="14" t="s">
        <v>35</v>
      </c>
      <c r="D558" s="20" t="s">
        <v>10168</v>
      </c>
      <c r="E558" s="15" t="str">
        <f>HYPERLINK("https://stat100.ameba.jp/tnk47/ratio20/illustrations/card/ill_81783_0_denshagarukoteipenginchan03.jpg?202101-5-RELEASE-marathon-511", "■")</f>
        <v>■</v>
      </c>
      <c r="F558" s="14" t="s">
        <v>4834</v>
      </c>
      <c r="G558" s="14">
        <v>302360</v>
      </c>
      <c r="H558" s="14">
        <v>273254</v>
      </c>
      <c r="I558" s="14">
        <v>26</v>
      </c>
      <c r="J558" s="14" t="s">
        <v>26</v>
      </c>
      <c r="K558" s="14" t="s">
        <v>4836</v>
      </c>
      <c r="L558" s="14" t="s">
        <v>1783</v>
      </c>
      <c r="M558" s="14" t="s">
        <v>9158</v>
      </c>
      <c r="N558" s="14" t="s">
        <v>9158</v>
      </c>
      <c r="O558" s="19" t="s">
        <v>10124</v>
      </c>
      <c r="P558" s="14" t="s">
        <v>4838</v>
      </c>
      <c r="Q558" s="14">
        <v>1</v>
      </c>
    </row>
    <row r="559" spans="1:17">
      <c r="A559" s="7">
        <v>85053</v>
      </c>
      <c r="B559" s="7" t="s">
        <v>0</v>
      </c>
      <c r="C559" s="7" t="s">
        <v>158</v>
      </c>
      <c r="D559" s="19" t="s">
        <v>10768</v>
      </c>
      <c r="E559" s="15" t="str">
        <f>HYPERLINK("https://stat100.ameba.jp/tnk47/ratio20/illustrations/card/ill_85053_heideirumu03.jpg?202101-5-RELEASE-marathon-511", "■")</f>
        <v>■</v>
      </c>
      <c r="F559" s="7" t="s">
        <v>7969</v>
      </c>
      <c r="G559" s="7">
        <v>118684</v>
      </c>
      <c r="H559" s="7">
        <v>85962</v>
      </c>
      <c r="I559" s="14">
        <v>26</v>
      </c>
      <c r="J559" s="7" t="s">
        <v>169</v>
      </c>
      <c r="K559" s="7" t="s">
        <v>7968</v>
      </c>
      <c r="L559" s="7" t="s">
        <v>7967</v>
      </c>
      <c r="M559" s="14" t="s">
        <v>9158</v>
      </c>
      <c r="N559" s="14" t="s">
        <v>9158</v>
      </c>
      <c r="O559" s="19" t="s">
        <v>10085</v>
      </c>
      <c r="P559" s="7" t="s">
        <v>4374</v>
      </c>
      <c r="Q559" s="7">
        <v>1</v>
      </c>
    </row>
    <row r="560" spans="1:17">
      <c r="A560" s="9">
        <v>85363</v>
      </c>
      <c r="B560" s="9" t="s">
        <v>0</v>
      </c>
      <c r="C560" s="9" t="s">
        <v>158</v>
      </c>
      <c r="D560" s="19" t="s">
        <v>10708</v>
      </c>
      <c r="E560" s="15" t="str">
        <f>HYPERLINK("https://stat100.ameba.jp/tnk47/ratio20/illustrations/card/ill_85363_sukarunetaisa03.jpg?202101-5-RELEASE-marathon-511", "■")</f>
        <v>■</v>
      </c>
      <c r="F560" s="9" t="s">
        <v>7506</v>
      </c>
      <c r="G560" s="9">
        <v>125296</v>
      </c>
      <c r="H560" s="9">
        <v>172982</v>
      </c>
      <c r="I560" s="9">
        <v>26</v>
      </c>
      <c r="J560" s="9" t="s">
        <v>194</v>
      </c>
      <c r="K560" s="9" t="s">
        <v>7504</v>
      </c>
      <c r="L560" s="9" t="s">
        <v>1148</v>
      </c>
      <c r="M560" s="14" t="s">
        <v>9864</v>
      </c>
      <c r="N560" s="14" t="s">
        <v>9158</v>
      </c>
      <c r="O560" s="19" t="s">
        <v>10106</v>
      </c>
      <c r="P560" s="14" t="s">
        <v>3330</v>
      </c>
      <c r="Q560" s="14">
        <v>2</v>
      </c>
    </row>
    <row r="561" spans="1:17">
      <c r="A561" s="7">
        <v>85643</v>
      </c>
      <c r="B561" s="7" t="s">
        <v>0</v>
      </c>
      <c r="C561" s="7" t="s">
        <v>154</v>
      </c>
      <c r="D561" s="20" t="s">
        <v>10828</v>
      </c>
      <c r="E561" s="15" t="str">
        <f>HYPERLINK("https://stat100.ameba.jp/tnk47/ratio20/illustrations/card/ill_85643_hosekisho03.jpg?202101-5-RELEASE-marathon-511", "■")</f>
        <v>■</v>
      </c>
      <c r="F561" s="7" t="s">
        <v>8420</v>
      </c>
      <c r="G561" s="7">
        <v>113630</v>
      </c>
      <c r="H561" s="7">
        <v>82318</v>
      </c>
      <c r="I561" s="14">
        <v>26</v>
      </c>
      <c r="J561" s="7" t="s">
        <v>26</v>
      </c>
      <c r="K561" s="7" t="s">
        <v>8418</v>
      </c>
      <c r="L561" s="7" t="s">
        <v>3260</v>
      </c>
      <c r="M561" s="14" t="s">
        <v>9158</v>
      </c>
      <c r="N561" s="14" t="s">
        <v>9158</v>
      </c>
      <c r="O561" s="19" t="s">
        <v>10091</v>
      </c>
      <c r="P561" s="7" t="s">
        <v>3670</v>
      </c>
      <c r="Q561" s="7">
        <v>1</v>
      </c>
    </row>
    <row r="563" spans="1:17">
      <c r="A563" s="14" t="s">
        <v>3916</v>
      </c>
    </row>
    <row r="564" spans="1:17">
      <c r="A564" s="14">
        <v>105657</v>
      </c>
      <c r="B564" s="14" t="s">
        <v>16672</v>
      </c>
    </row>
    <row r="565" spans="1:17">
      <c r="A565" s="9">
        <v>66093</v>
      </c>
      <c r="B565" s="14" t="s">
        <v>0</v>
      </c>
      <c r="C565" s="14" t="s">
        <v>209</v>
      </c>
      <c r="D565" s="14" t="s">
        <v>1759</v>
      </c>
      <c r="E565" s="15" t="str">
        <f>HYPERLINK("https://stat100.ameba.jp/tnk47/ratio20/illustrations/card/ill_66093_sasanishiki03.jpg?202101-5-RELEASE-marathon-511", "■")</f>
        <v>■</v>
      </c>
      <c r="F565" s="14" t="s">
        <v>1760</v>
      </c>
      <c r="G565" s="14">
        <v>120766</v>
      </c>
      <c r="H565" s="14">
        <v>112286</v>
      </c>
      <c r="I565" s="14">
        <v>28</v>
      </c>
      <c r="J565" s="14" t="s">
        <v>104</v>
      </c>
      <c r="K565" s="14" t="s">
        <v>1761</v>
      </c>
      <c r="L565" s="14" t="s">
        <v>1762</v>
      </c>
      <c r="M565" s="14" t="s">
        <v>9158</v>
      </c>
      <c r="N565" s="14" t="s">
        <v>9158</v>
      </c>
      <c r="O565" s="14" t="s">
        <v>9158</v>
      </c>
      <c r="P565" s="14" t="s">
        <v>9158</v>
      </c>
      <c r="Q565" s="14" t="s">
        <v>9158</v>
      </c>
    </row>
    <row r="566" spans="1:17">
      <c r="A566" s="9">
        <v>66103</v>
      </c>
      <c r="B566" s="14" t="s">
        <v>0</v>
      </c>
      <c r="C566" s="14" t="s">
        <v>158</v>
      </c>
      <c r="D566" s="14" t="s">
        <v>1763</v>
      </c>
      <c r="E566" s="15" t="str">
        <f>HYPERLINK("https://stat100.ameba.jp/tnk47/ratio20/illustrations/card/ill_66103_kokentenno03.jpg?202101-5-RELEASE-marathon-511", "■")</f>
        <v>■</v>
      </c>
      <c r="F566" s="14" t="s">
        <v>1764</v>
      </c>
      <c r="G566" s="14">
        <v>120766</v>
      </c>
      <c r="H566" s="14">
        <v>112286</v>
      </c>
      <c r="I566" s="14">
        <v>28</v>
      </c>
      <c r="J566" s="14" t="s">
        <v>77</v>
      </c>
      <c r="K566" s="14" t="s">
        <v>1765</v>
      </c>
      <c r="L566" s="14" t="s">
        <v>1766</v>
      </c>
      <c r="M566" s="14" t="s">
        <v>9158</v>
      </c>
      <c r="N566" s="14" t="s">
        <v>9158</v>
      </c>
      <c r="O566" s="14" t="s">
        <v>9158</v>
      </c>
      <c r="P566" s="14" t="s">
        <v>9158</v>
      </c>
      <c r="Q566" s="14" t="s">
        <v>9158</v>
      </c>
    </row>
    <row r="567" spans="1:17">
      <c r="A567" s="14">
        <v>76483</v>
      </c>
      <c r="B567" s="14" t="s">
        <v>334</v>
      </c>
      <c r="C567" s="14" t="s">
        <v>307</v>
      </c>
      <c r="D567" s="20" t="s">
        <v>589</v>
      </c>
      <c r="E567" s="15" t="str">
        <f>HYPERLINK("https://stat100.ameba.jp/tnk47/ratio20/illustrations/card/ill_76483_yukemurimizuhanome03.jpg?202101-5-RELEASE-marathon-511", "■")</f>
        <v>■</v>
      </c>
      <c r="F567" s="14" t="s">
        <v>590</v>
      </c>
      <c r="G567" s="14">
        <v>114208</v>
      </c>
      <c r="H567" s="14">
        <v>106178</v>
      </c>
      <c r="I567" s="14">
        <v>28</v>
      </c>
      <c r="J567" s="14" t="s">
        <v>401</v>
      </c>
      <c r="K567" s="14" t="s">
        <v>591</v>
      </c>
      <c r="L567" s="14" t="s">
        <v>592</v>
      </c>
      <c r="M567" s="14" t="s">
        <v>9158</v>
      </c>
      <c r="N567" s="14" t="s">
        <v>9158</v>
      </c>
      <c r="O567" s="14" t="s">
        <v>9158</v>
      </c>
      <c r="P567" s="14" t="s">
        <v>9158</v>
      </c>
      <c r="Q567" s="14" t="s">
        <v>9158</v>
      </c>
    </row>
    <row r="568" spans="1:17">
      <c r="A568" s="14">
        <v>70023</v>
      </c>
      <c r="B568" s="14" t="s">
        <v>334</v>
      </c>
      <c r="C568" s="14" t="s">
        <v>344</v>
      </c>
      <c r="D568" s="20" t="s">
        <v>10230</v>
      </c>
      <c r="E568" s="15" t="str">
        <f>HYPERLINK("https://stat100.ameba.jp/tnk47/ratio20/illustrations/card/ill_70023_yukinoukokunabeshimanobakeneko03.jpg?202101-5-RELEASE-marathon-511", "■")</f>
        <v>■</v>
      </c>
      <c r="F568" s="14" t="s">
        <v>769</v>
      </c>
      <c r="G568" s="14">
        <v>108494</v>
      </c>
      <c r="H568" s="14">
        <v>116662</v>
      </c>
      <c r="I568" s="14">
        <v>28</v>
      </c>
      <c r="J568" s="14" t="s">
        <v>320</v>
      </c>
      <c r="K568" s="14" t="s">
        <v>770</v>
      </c>
      <c r="L568" s="14" t="s">
        <v>771</v>
      </c>
      <c r="M568" s="14" t="s">
        <v>9158</v>
      </c>
      <c r="N568" s="14" t="s">
        <v>9158</v>
      </c>
      <c r="O568" s="14" t="s">
        <v>9158</v>
      </c>
      <c r="P568" s="14" t="s">
        <v>9158</v>
      </c>
      <c r="Q568" s="14" t="s">
        <v>9158</v>
      </c>
    </row>
    <row r="569" spans="1:17">
      <c r="A569" s="14">
        <v>52733</v>
      </c>
      <c r="B569" s="14" t="s">
        <v>15</v>
      </c>
      <c r="C569" s="14" t="s">
        <v>185</v>
      </c>
      <c r="D569" s="20" t="s">
        <v>10491</v>
      </c>
      <c r="E569" s="15" t="str">
        <f>HYPERLINK("https://stat100.ameba.jp/tnk47/ratio20/illustrations/card/ill_52733_sekkinambutsuruhime03.jpg?202101-5-RELEASE-marathon-511", "■")</f>
        <v>■</v>
      </c>
      <c r="F569" s="14" t="s">
        <v>6246</v>
      </c>
      <c r="G569" s="14">
        <v>59144</v>
      </c>
      <c r="H569" s="14">
        <v>65208</v>
      </c>
      <c r="I569" s="14">
        <v>22</v>
      </c>
      <c r="J569" s="14" t="s">
        <v>77</v>
      </c>
      <c r="K569" s="14" t="s">
        <v>6248</v>
      </c>
      <c r="L569" s="14" t="s">
        <v>6249</v>
      </c>
      <c r="M569" s="14" t="s">
        <v>9158</v>
      </c>
      <c r="N569" s="14" t="s">
        <v>9158</v>
      </c>
      <c r="O569" s="14" t="s">
        <v>9158</v>
      </c>
      <c r="P569" s="14" t="s">
        <v>9158</v>
      </c>
      <c r="Q569" s="14" t="s">
        <v>9158</v>
      </c>
    </row>
    <row r="570" spans="1:17">
      <c r="A570" s="14">
        <v>54003</v>
      </c>
      <c r="B570" s="14" t="s">
        <v>15</v>
      </c>
      <c r="C570" s="14" t="s">
        <v>200</v>
      </c>
      <c r="D570" s="20" t="s">
        <v>10492</v>
      </c>
      <c r="E570" s="15" t="str">
        <f>HYPERLINK("https://stat100.ameba.jp/tnk47/ratio20/illustrations/card/ill_54003_seiryumegurihiguchiichiyo03.jpg?202101-5-RELEASE-marathon-511", "■")</f>
        <v>■</v>
      </c>
      <c r="F570" s="14" t="s">
        <v>6250</v>
      </c>
      <c r="G570" s="14">
        <v>65208</v>
      </c>
      <c r="H570" s="14">
        <v>59144</v>
      </c>
      <c r="I570" s="14">
        <v>22</v>
      </c>
      <c r="J570" s="14" t="s">
        <v>10</v>
      </c>
      <c r="K570" s="14" t="s">
        <v>6252</v>
      </c>
      <c r="L570" s="14" t="s">
        <v>6253</v>
      </c>
      <c r="M570" s="14" t="s">
        <v>9158</v>
      </c>
      <c r="N570" s="14" t="s">
        <v>9158</v>
      </c>
      <c r="O570" s="14" t="s">
        <v>9158</v>
      </c>
      <c r="P570" s="14" t="s">
        <v>9158</v>
      </c>
      <c r="Q570" s="14" t="s">
        <v>9158</v>
      </c>
    </row>
    <row r="571" spans="1:17">
      <c r="A571" s="14">
        <v>51833</v>
      </c>
      <c r="B571" s="14" t="s">
        <v>15</v>
      </c>
      <c r="C571" s="14" t="s">
        <v>205</v>
      </c>
      <c r="D571" s="20" t="s">
        <v>10493</v>
      </c>
      <c r="E571" s="15" t="str">
        <f>HYPERLINK("https://stat100.ameba.jp/tnk47/ratio20/illustrations/card/ill_51833_jukimakitsuhikonomikoto03.jpg?202101-5-RELEASE-marathon-511", "■")</f>
        <v>■</v>
      </c>
      <c r="F571" s="14" t="s">
        <v>6254</v>
      </c>
      <c r="G571" s="14">
        <v>65208</v>
      </c>
      <c r="H571" s="14">
        <v>59144</v>
      </c>
      <c r="I571" s="14">
        <v>22</v>
      </c>
      <c r="J571" s="14" t="s">
        <v>44</v>
      </c>
      <c r="K571" s="14" t="s">
        <v>6257</v>
      </c>
      <c r="L571" s="14" t="s">
        <v>6256</v>
      </c>
      <c r="M571" s="14" t="s">
        <v>9158</v>
      </c>
      <c r="N571" s="14" t="s">
        <v>9158</v>
      </c>
      <c r="O571" s="14" t="s">
        <v>9158</v>
      </c>
      <c r="P571" s="14" t="s">
        <v>9158</v>
      </c>
      <c r="Q571" s="14" t="s">
        <v>9158</v>
      </c>
    </row>
    <row r="572" spans="1:17">
      <c r="A572" s="14">
        <v>53203</v>
      </c>
      <c r="B572" s="14" t="s">
        <v>15</v>
      </c>
      <c r="C572" s="14" t="s">
        <v>165</v>
      </c>
      <c r="D572" s="20" t="s">
        <v>10494</v>
      </c>
      <c r="E572" s="15" t="str">
        <f>HYPERLINK("https://stat100.ameba.jp/tnk47/ratio20/illustrations/card/ill_53203_buruhawaichan03.jpg?202101-5-RELEASE-marathon-511", "■")</f>
        <v>■</v>
      </c>
      <c r="F572" s="14" t="s">
        <v>6258</v>
      </c>
      <c r="G572" s="14">
        <v>59144</v>
      </c>
      <c r="H572" s="14">
        <v>65208</v>
      </c>
      <c r="I572" s="14">
        <v>22</v>
      </c>
      <c r="J572" s="14" t="s">
        <v>104</v>
      </c>
      <c r="K572" s="14" t="s">
        <v>6261</v>
      </c>
      <c r="L572" s="14" t="s">
        <v>6260</v>
      </c>
      <c r="M572" s="14" t="s">
        <v>9158</v>
      </c>
      <c r="N572" s="14" t="s">
        <v>9158</v>
      </c>
      <c r="O572" s="14" t="s">
        <v>9158</v>
      </c>
      <c r="P572" s="14" t="s">
        <v>9158</v>
      </c>
      <c r="Q572" s="14" t="s">
        <v>9158</v>
      </c>
    </row>
    <row r="574" spans="1:17">
      <c r="A574" s="14" t="s">
        <v>1176</v>
      </c>
    </row>
    <row r="575" spans="1:17">
      <c r="A575" s="14">
        <v>105678</v>
      </c>
      <c r="B575" s="14" t="s">
        <v>16673</v>
      </c>
    </row>
    <row r="576" spans="1:17">
      <c r="A576" s="14" t="s">
        <v>6905</v>
      </c>
      <c r="B576" s="14" t="s">
        <v>330</v>
      </c>
      <c r="C576" s="14" t="s">
        <v>35</v>
      </c>
      <c r="D576" s="19" t="s">
        <v>10299</v>
      </c>
      <c r="E576" s="15" t="str">
        <f>HYPERLINK("https://stat100.ameba.jp/tnk47/ratio20/illustrations/card/ill_80623_0_ohanamigurampingutominushihime03.jpg?202101-5-RELEASE-marathon-511x", "■")</f>
        <v>■</v>
      </c>
      <c r="F576" s="14" t="s">
        <v>4162</v>
      </c>
      <c r="G576" s="14">
        <v>289274</v>
      </c>
      <c r="H576" s="14">
        <v>261472</v>
      </c>
      <c r="I576" s="14">
        <v>24</v>
      </c>
      <c r="J576" s="14" t="s">
        <v>44</v>
      </c>
      <c r="K576" s="14" t="s">
        <v>4163</v>
      </c>
      <c r="L576" s="14" t="s">
        <v>4164</v>
      </c>
      <c r="M576" s="14" t="s">
        <v>9158</v>
      </c>
      <c r="N576" s="14" t="s">
        <v>9158</v>
      </c>
      <c r="O576" s="19" t="s">
        <v>10126</v>
      </c>
      <c r="P576" s="14" t="s">
        <v>4166</v>
      </c>
      <c r="Q576" s="14">
        <v>1</v>
      </c>
    </row>
    <row r="577" spans="1:17">
      <c r="A577" s="14" t="s">
        <v>5963</v>
      </c>
      <c r="B577" s="14" t="s">
        <v>330</v>
      </c>
      <c r="C577" s="14" t="s">
        <v>35</v>
      </c>
      <c r="D577" s="19" t="s">
        <v>10438</v>
      </c>
      <c r="E577" s="15" t="str">
        <f>HYPERLINK("https://stat100.ameba.jp/tnk47/ratio20/illustrations/card/ill_82963_0_yukatamatsuritomokazuki03.jpg?202101-5-RELEASE-marathon-511x", "■")</f>
        <v>■</v>
      </c>
      <c r="F577" s="14" t="s">
        <v>5964</v>
      </c>
      <c r="G577" s="14">
        <v>285888</v>
      </c>
      <c r="H577" s="14">
        <v>316330</v>
      </c>
      <c r="I577" s="14">
        <v>24</v>
      </c>
      <c r="J577" s="14" t="s">
        <v>73</v>
      </c>
      <c r="K577" s="14" t="s">
        <v>5966</v>
      </c>
      <c r="L577" s="14" t="s">
        <v>5967</v>
      </c>
      <c r="M577" s="14" t="s">
        <v>9158</v>
      </c>
      <c r="N577" s="14" t="s">
        <v>9158</v>
      </c>
      <c r="O577" s="19" t="s">
        <v>10115</v>
      </c>
      <c r="P577" s="14" t="s">
        <v>5968</v>
      </c>
      <c r="Q577" s="14">
        <v>1</v>
      </c>
    </row>
    <row r="578" spans="1:17">
      <c r="A578" s="14" t="s">
        <v>5616</v>
      </c>
      <c r="B578" s="14" t="s">
        <v>52</v>
      </c>
      <c r="C578" s="14" t="s">
        <v>14</v>
      </c>
      <c r="D578" s="19" t="s">
        <v>638</v>
      </c>
      <c r="E578" s="15" t="str">
        <f>HYPERLINK("https://stat100.ameba.jp/tnk47/ratio20/illustrations/card/ill_44253_0_dokuganryudatemasamune03.jpg?202101-5-RELEASE-marathon-511x", "■")</f>
        <v>■</v>
      </c>
      <c r="F578" s="14" t="s">
        <v>1181</v>
      </c>
      <c r="G578" s="14">
        <v>131538</v>
      </c>
      <c r="H578" s="14">
        <v>140448</v>
      </c>
      <c r="I578" s="14">
        <v>24</v>
      </c>
      <c r="J578" s="14" t="s">
        <v>143</v>
      </c>
      <c r="K578" s="14" t="s">
        <v>1182</v>
      </c>
      <c r="L578" s="14" t="s">
        <v>1183</v>
      </c>
      <c r="M578" s="14" t="s">
        <v>9158</v>
      </c>
      <c r="N578" s="14" t="s">
        <v>9158</v>
      </c>
      <c r="O578" s="14" t="s">
        <v>9158</v>
      </c>
      <c r="P578" s="14" t="s">
        <v>9158</v>
      </c>
      <c r="Q578" s="14" t="s">
        <v>9158</v>
      </c>
    </row>
    <row r="579" spans="1:17">
      <c r="A579" s="14">
        <v>94713</v>
      </c>
      <c r="B579" s="14" t="s">
        <v>0</v>
      </c>
      <c r="C579" s="14" t="s">
        <v>107</v>
      </c>
      <c r="D579" s="14" t="s">
        <v>16659</v>
      </c>
      <c r="E579" s="15" t="str">
        <f>HYPERLINK("https://stat100.ameba.jp/tnk47/ratio20/illustrations/card/ill_94713_shirokitsunenooshibai03.jpg?202101-5-RELEASE-marathon-511x", "■")</f>
        <v>■</v>
      </c>
      <c r="F579" s="14" t="s">
        <v>16658</v>
      </c>
      <c r="G579" s="14">
        <v>118446</v>
      </c>
      <c r="H579" s="14">
        <v>110126</v>
      </c>
      <c r="I579" s="14">
        <v>26</v>
      </c>
      <c r="J579" s="14" t="s">
        <v>38</v>
      </c>
      <c r="K579" s="14" t="s">
        <v>8524</v>
      </c>
      <c r="L579" s="14" t="s">
        <v>12715</v>
      </c>
      <c r="M579" s="14" t="s">
        <v>9158</v>
      </c>
      <c r="N579" s="14" t="s">
        <v>9158</v>
      </c>
      <c r="O579" s="9" t="s">
        <v>9158</v>
      </c>
      <c r="P579" s="14" t="s">
        <v>9158</v>
      </c>
      <c r="Q579" s="14" t="s">
        <v>9158</v>
      </c>
    </row>
    <row r="580" spans="1:17">
      <c r="A580" s="14">
        <v>94723</v>
      </c>
      <c r="B580" s="14" t="s">
        <v>15</v>
      </c>
      <c r="C580" s="14" t="s">
        <v>96</v>
      </c>
      <c r="D580" s="14" t="s">
        <v>16662</v>
      </c>
      <c r="E580" s="15" t="str">
        <f>HYPERLINK("https://stat100.ameba.jp/tnk47/ratio20/illustrations/card/ill_94723_kurisumasushinjuchan03.jpg?202101-5-RELEASE-marathon-511x", "■")</f>
        <v>■</v>
      </c>
      <c r="F580" s="14" t="s">
        <v>16661</v>
      </c>
      <c r="G580" s="14">
        <v>69898</v>
      </c>
      <c r="H580" s="14">
        <v>77064</v>
      </c>
      <c r="I580" s="14">
        <v>26</v>
      </c>
      <c r="J580" s="14" t="s">
        <v>26</v>
      </c>
      <c r="K580" s="14" t="s">
        <v>16660</v>
      </c>
      <c r="L580" s="14" t="s">
        <v>977</v>
      </c>
      <c r="M580" s="14" t="s">
        <v>9158</v>
      </c>
      <c r="N580" s="14" t="s">
        <v>9158</v>
      </c>
      <c r="O580" s="9" t="s">
        <v>9158</v>
      </c>
      <c r="P580" s="14" t="s">
        <v>9158</v>
      </c>
      <c r="Q580" s="14" t="s">
        <v>9158</v>
      </c>
    </row>
    <row r="581" spans="1:17">
      <c r="A581" s="14">
        <v>94733</v>
      </c>
      <c r="B581" s="14" t="s">
        <v>22</v>
      </c>
      <c r="C581" s="14" t="s">
        <v>1</v>
      </c>
      <c r="D581" s="14" t="s">
        <v>16665</v>
      </c>
      <c r="E581" s="15" t="str">
        <f>HYPERLINK("https://stat100.ameba.jp/tnk47/ratio20/illustrations/card/ill_94733_seiyasantakurosurodochan03.jpg?202101-5-RELEASE-marathon-511x", "■")</f>
        <v>■</v>
      </c>
      <c r="F581" s="14" t="s">
        <v>16664</v>
      </c>
      <c r="G581" s="14">
        <v>54058</v>
      </c>
      <c r="H581" s="14">
        <v>44948</v>
      </c>
      <c r="I581" s="14">
        <v>26</v>
      </c>
      <c r="J581" s="14" t="s">
        <v>26</v>
      </c>
      <c r="K581" s="14" t="s">
        <v>16663</v>
      </c>
      <c r="L581" s="14" t="s">
        <v>2635</v>
      </c>
      <c r="M581" s="14" t="s">
        <v>9158</v>
      </c>
      <c r="N581" s="14" t="s">
        <v>9158</v>
      </c>
      <c r="O581" s="9" t="s">
        <v>9158</v>
      </c>
      <c r="P581" s="14" t="s">
        <v>9158</v>
      </c>
      <c r="Q581" s="14" t="s">
        <v>9158</v>
      </c>
    </row>
    <row r="582" spans="1:17">
      <c r="A582" s="14">
        <v>94743</v>
      </c>
      <c r="B582" s="14" t="s">
        <v>22</v>
      </c>
      <c r="C582" s="14" t="s">
        <v>23</v>
      </c>
      <c r="D582" s="14" t="s">
        <v>16668</v>
      </c>
      <c r="E582" s="15" t="str">
        <f>HYPERLINK("https://stat100.ameba.jp/tnk47/ratio20/illustrations/card/ill_94743_kurisumasumashumarochan03.jpg?202101-5-RELEASE-marathon-511x", "■")</f>
        <v>■</v>
      </c>
      <c r="F582" s="14" t="s">
        <v>16667</v>
      </c>
      <c r="G582" s="14">
        <v>44948</v>
      </c>
      <c r="H582" s="14">
        <v>54058</v>
      </c>
      <c r="I582" s="14">
        <v>26</v>
      </c>
      <c r="J582" s="14" t="s">
        <v>104</v>
      </c>
      <c r="K582" s="14" t="s">
        <v>16666</v>
      </c>
      <c r="L582" s="14" t="s">
        <v>3839</v>
      </c>
      <c r="M582" s="14" t="s">
        <v>9158</v>
      </c>
      <c r="N582" s="14" t="s">
        <v>9158</v>
      </c>
      <c r="O582" s="9" t="s">
        <v>9158</v>
      </c>
      <c r="P582" s="14" t="s">
        <v>9158</v>
      </c>
      <c r="Q582" s="14" t="s">
        <v>9158</v>
      </c>
    </row>
    <row r="584" spans="1:17">
      <c r="A584" s="14" t="s">
        <v>3911</v>
      </c>
    </row>
    <row r="585" spans="1:17">
      <c r="A585" s="14">
        <v>105701</v>
      </c>
      <c r="B585" s="14" t="s">
        <v>16674</v>
      </c>
    </row>
    <row r="586" spans="1:17">
      <c r="A586" s="14">
        <v>105711</v>
      </c>
      <c r="B586" s="14" t="s">
        <v>15721</v>
      </c>
    </row>
    <row r="587" spans="1:17">
      <c r="A587" s="14" t="s">
        <v>12012</v>
      </c>
      <c r="B587" s="7" t="s">
        <v>52</v>
      </c>
      <c r="C587" s="14" t="s">
        <v>202</v>
      </c>
      <c r="D587" s="18" t="s">
        <v>12013</v>
      </c>
      <c r="E587" s="15" t="str">
        <f>HYPERLINK("https://stat100.ameba.jp/tnk47/ratio20/illustrations/card/ill_88363_0_hanamijingukogo03.jpg?202101-5-RELEASE-marathon-511x", "■")</f>
        <v>■</v>
      </c>
      <c r="F587" s="14" t="s">
        <v>12014</v>
      </c>
      <c r="G587" s="14">
        <v>328614</v>
      </c>
      <c r="H587" s="14">
        <v>296998</v>
      </c>
      <c r="I587" s="7">
        <v>27</v>
      </c>
      <c r="J587" s="14" t="s">
        <v>10</v>
      </c>
      <c r="K587" s="14" t="s">
        <v>12015</v>
      </c>
      <c r="L587" s="14" t="s">
        <v>12016</v>
      </c>
      <c r="M587" s="14" t="s">
        <v>9158</v>
      </c>
      <c r="N587" s="14" t="s">
        <v>9158</v>
      </c>
      <c r="O587" s="6" t="s">
        <v>12017</v>
      </c>
      <c r="P587" s="7" t="s">
        <v>12018</v>
      </c>
      <c r="Q587" s="7">
        <v>1</v>
      </c>
    </row>
    <row r="588" spans="1:17">
      <c r="A588" s="14" t="s">
        <v>7150</v>
      </c>
      <c r="B588" s="14" t="s">
        <v>52</v>
      </c>
      <c r="C588" s="14" t="s">
        <v>202</v>
      </c>
      <c r="D588" s="20" t="s">
        <v>10656</v>
      </c>
      <c r="E588" s="15" t="str">
        <f>HYPERLINK("https://stat100.ameba.jp/tnk47/ratio20/illustrations/card/ill_84203_0_tarottofujiwaranoshoshi03.jpg?202101-5-RELEASE-marathon-511x", "■")</f>
        <v>■</v>
      </c>
      <c r="F588" s="14" t="s">
        <v>7153</v>
      </c>
      <c r="G588" s="14">
        <v>397406</v>
      </c>
      <c r="H588" s="14">
        <v>359198</v>
      </c>
      <c r="I588" s="14">
        <v>27</v>
      </c>
      <c r="J588" s="14" t="s">
        <v>10</v>
      </c>
      <c r="K588" s="14" t="s">
        <v>7152</v>
      </c>
      <c r="L588" s="14" t="s">
        <v>7151</v>
      </c>
      <c r="M588" s="14" t="s">
        <v>9158</v>
      </c>
      <c r="N588" s="14" t="s">
        <v>9158</v>
      </c>
      <c r="O588" s="19" t="s">
        <v>10128</v>
      </c>
      <c r="P588" s="14" t="s">
        <v>7154</v>
      </c>
      <c r="Q588" s="14">
        <v>1</v>
      </c>
    </row>
    <row r="589" spans="1:17">
      <c r="A589" s="14" t="s">
        <v>5721</v>
      </c>
      <c r="B589" s="14" t="s">
        <v>52</v>
      </c>
      <c r="C589" s="14" t="s">
        <v>1</v>
      </c>
      <c r="D589" s="19" t="s">
        <v>513</v>
      </c>
      <c r="E589" s="15" t="str">
        <f>HYPERLINK("https://stat100.ameba.jp/tnk47/ratio20/illustrations/card/ill_44283_0_izumonokuni03.jpg?202101-5-RELEASE-marathon-511x", "■")</f>
        <v>■</v>
      </c>
      <c r="F589" s="14" t="s">
        <v>1716</v>
      </c>
      <c r="G589" s="14">
        <v>158004</v>
      </c>
      <c r="H589" s="14">
        <v>147980</v>
      </c>
      <c r="I589" s="14">
        <v>27</v>
      </c>
      <c r="J589" s="14" t="s">
        <v>16</v>
      </c>
      <c r="K589" s="14" t="s">
        <v>2254</v>
      </c>
      <c r="L589" s="14" t="s">
        <v>1718</v>
      </c>
      <c r="M589" s="14" t="s">
        <v>9158</v>
      </c>
      <c r="N589" s="14" t="s">
        <v>9158</v>
      </c>
      <c r="O589" s="14" t="s">
        <v>9158</v>
      </c>
      <c r="P589" s="14" t="s">
        <v>9158</v>
      </c>
      <c r="Q589" s="14" t="s">
        <v>9158</v>
      </c>
    </row>
    <row r="590" spans="1:17">
      <c r="A590" s="9">
        <v>80753</v>
      </c>
      <c r="B590" s="14" t="s">
        <v>334</v>
      </c>
      <c r="C590" s="14" t="s">
        <v>41</v>
      </c>
      <c r="D590" s="14" t="s">
        <v>4317</v>
      </c>
      <c r="E590" s="15" t="str">
        <f>HYPERLINK("https://stat100.ameba.jp/tnk47/ratio20/illustrations/card/ill_80753_hakubutsukannojoze03.jpg?202101-5-RELEASE-marathon-511x", "■")</f>
        <v>■</v>
      </c>
      <c r="F590" s="14" t="s">
        <v>4318</v>
      </c>
      <c r="G590" s="14">
        <v>88781</v>
      </c>
      <c r="H590" s="14">
        <v>122539</v>
      </c>
      <c r="I590" s="14">
        <v>27</v>
      </c>
      <c r="J590" s="14" t="s">
        <v>38</v>
      </c>
      <c r="K590" s="14" t="s">
        <v>4319</v>
      </c>
      <c r="L590" s="14" t="s">
        <v>4320</v>
      </c>
      <c r="M590" s="14" t="s">
        <v>9158</v>
      </c>
      <c r="N590" s="14" t="s">
        <v>9158</v>
      </c>
      <c r="O590" s="17" t="s">
        <v>10053</v>
      </c>
      <c r="P590" s="14" t="s">
        <v>3592</v>
      </c>
      <c r="Q590" s="14">
        <v>1</v>
      </c>
    </row>
    <row r="591" spans="1:17">
      <c r="A591" s="14">
        <v>75093</v>
      </c>
      <c r="B591" s="14" t="s">
        <v>334</v>
      </c>
      <c r="C591" s="14" t="s">
        <v>158</v>
      </c>
      <c r="D591" s="20" t="s">
        <v>10403</v>
      </c>
      <c r="E591" s="15" t="str">
        <f>HYPERLINK("https://stat100.ameba.jp/tnk47/ratio20/illustrations/card/ill_75093_hangonko03.jpg?202101-5-RELEASE-marathon-511x", "■")</f>
        <v>■</v>
      </c>
      <c r="F591" s="14" t="s">
        <v>2614</v>
      </c>
      <c r="G591" s="14">
        <v>142716</v>
      </c>
      <c r="H591" s="14">
        <v>103361</v>
      </c>
      <c r="I591" s="14">
        <v>27</v>
      </c>
      <c r="J591" s="14" t="s">
        <v>44</v>
      </c>
      <c r="K591" s="14" t="s">
        <v>2615</v>
      </c>
      <c r="L591" s="14" t="s">
        <v>1108</v>
      </c>
      <c r="M591" s="14" t="s">
        <v>9158</v>
      </c>
      <c r="N591" s="14" t="s">
        <v>9158</v>
      </c>
      <c r="O591" s="19" t="s">
        <v>2951</v>
      </c>
      <c r="P591" s="14" t="s">
        <v>13122</v>
      </c>
      <c r="Q591" s="14">
        <v>1</v>
      </c>
    </row>
    <row r="592" spans="1:17">
      <c r="A592" s="14">
        <v>60763</v>
      </c>
      <c r="B592" s="14" t="s">
        <v>334</v>
      </c>
      <c r="C592" s="14" t="s">
        <v>203</v>
      </c>
      <c r="D592" s="20" t="s">
        <v>10420</v>
      </c>
      <c r="E592" s="15" t="str">
        <f>HYPERLINK("https://stat100.ameba.jp/tnk47/ratio20/illustrations/card/ill_60763_fujiwarakagekiyo03.jpg?202101-5-RELEASE-marathon-511x", "■")</f>
        <v>■</v>
      </c>
      <c r="F592" s="14" t="s">
        <v>1146</v>
      </c>
      <c r="G592" s="14">
        <v>130113</v>
      </c>
      <c r="H592" s="14">
        <v>179634</v>
      </c>
      <c r="I592" s="9">
        <v>27</v>
      </c>
      <c r="J592" s="14" t="s">
        <v>143</v>
      </c>
      <c r="K592" s="14" t="s">
        <v>1147</v>
      </c>
      <c r="L592" s="14" t="s">
        <v>1148</v>
      </c>
      <c r="M592" s="14" t="s">
        <v>9158</v>
      </c>
      <c r="N592" s="14" t="s">
        <v>9158</v>
      </c>
      <c r="O592" s="19" t="s">
        <v>10112</v>
      </c>
      <c r="P592" s="14" t="s">
        <v>13150</v>
      </c>
      <c r="Q592" s="14">
        <v>1</v>
      </c>
    </row>
    <row r="593" spans="1:18">
      <c r="A593" s="14">
        <v>67103</v>
      </c>
      <c r="B593" s="14" t="s">
        <v>334</v>
      </c>
      <c r="C593" s="14" t="s">
        <v>154</v>
      </c>
      <c r="D593" s="20" t="s">
        <v>10253</v>
      </c>
      <c r="E593" s="15" t="str">
        <f>HYPERLINK("https://stat100.ameba.jp/tnk47/ratio20/illustrations/card/ill_67103_ankonabe03.jpg?202101-5-RELEASE-marathon-511x", "■")</f>
        <v>■</v>
      </c>
      <c r="F593" s="14" t="s">
        <v>1283</v>
      </c>
      <c r="G593" s="14">
        <v>103361</v>
      </c>
      <c r="H593" s="14">
        <v>142716</v>
      </c>
      <c r="I593" s="14">
        <v>27</v>
      </c>
      <c r="J593" s="14" t="s">
        <v>216</v>
      </c>
      <c r="K593" s="14" t="s">
        <v>1284</v>
      </c>
      <c r="L593" s="14" t="s">
        <v>13153</v>
      </c>
      <c r="M593" s="14" t="s">
        <v>9158</v>
      </c>
      <c r="N593" s="14" t="s">
        <v>9158</v>
      </c>
      <c r="O593" s="19" t="s">
        <v>4074</v>
      </c>
      <c r="P593" s="14" t="s">
        <v>3462</v>
      </c>
      <c r="Q593" s="14">
        <v>1</v>
      </c>
    </row>
    <row r="594" spans="1:18">
      <c r="A594" s="14">
        <v>84333</v>
      </c>
      <c r="B594" s="14" t="s">
        <v>0</v>
      </c>
      <c r="C594" s="14" t="s">
        <v>209</v>
      </c>
      <c r="D594" s="19" t="s">
        <v>10692</v>
      </c>
      <c r="E594" s="15" t="str">
        <f>HYPERLINK("https://stat100.ameba.jp/tnk47/ratio20/illustrations/card/ill_84333_otometeia03.jpg?202101-5-RELEASE-marathon-511x", "■")</f>
        <v>■</v>
      </c>
      <c r="F594" s="14" t="s">
        <v>7401</v>
      </c>
      <c r="G594" s="14">
        <v>118001</v>
      </c>
      <c r="H594" s="14">
        <v>85483</v>
      </c>
      <c r="I594" s="14">
        <v>27</v>
      </c>
      <c r="J594" s="14" t="s">
        <v>16</v>
      </c>
      <c r="K594" s="14" t="s">
        <v>7399</v>
      </c>
      <c r="L594" s="14" t="s">
        <v>4046</v>
      </c>
      <c r="M594" s="14" t="s">
        <v>9158</v>
      </c>
      <c r="N594" s="14" t="s">
        <v>9158</v>
      </c>
      <c r="O594" s="19" t="s">
        <v>10129</v>
      </c>
      <c r="P594" s="14" t="s">
        <v>3581</v>
      </c>
      <c r="Q594" s="14">
        <v>1</v>
      </c>
    </row>
    <row r="595" spans="1:18">
      <c r="A595" s="14">
        <v>76793</v>
      </c>
      <c r="B595" s="14" t="s">
        <v>334</v>
      </c>
      <c r="C595" s="14" t="s">
        <v>268</v>
      </c>
      <c r="D595" s="20" t="s">
        <v>425</v>
      </c>
      <c r="E595" s="15" t="str">
        <f>HYPERLINK("https://stat100.ameba.jp/tnk47/ratio20/illustrations/card/ill_76793_monsutatamatebako03.jpg?202101-5-RELEASE-marathon-511x", "■")</f>
        <v>■</v>
      </c>
      <c r="F595" s="14" t="s">
        <v>426</v>
      </c>
      <c r="G595" s="14">
        <v>122539</v>
      </c>
      <c r="H595" s="14">
        <v>88781</v>
      </c>
      <c r="I595" s="9">
        <v>27</v>
      </c>
      <c r="J595" s="14" t="s">
        <v>274</v>
      </c>
      <c r="K595" s="14" t="s">
        <v>427</v>
      </c>
      <c r="L595" s="14" t="s">
        <v>428</v>
      </c>
      <c r="M595" s="14" t="s">
        <v>9158</v>
      </c>
      <c r="N595" s="14" t="s">
        <v>9158</v>
      </c>
      <c r="O595" s="19" t="s">
        <v>3037</v>
      </c>
      <c r="P595" s="14" t="s">
        <v>13128</v>
      </c>
      <c r="Q595" s="14">
        <v>1</v>
      </c>
    </row>
    <row r="597" spans="1:18">
      <c r="A597" s="14" t="s">
        <v>3844</v>
      </c>
    </row>
    <row r="598" spans="1:18">
      <c r="A598" s="14">
        <v>105725</v>
      </c>
      <c r="B598" s="14" t="s">
        <v>16675</v>
      </c>
    </row>
    <row r="599" spans="1:18">
      <c r="A599" s="9" t="s">
        <v>5787</v>
      </c>
      <c r="B599" s="14" t="s">
        <v>330</v>
      </c>
      <c r="C599" s="14" t="s">
        <v>270</v>
      </c>
      <c r="D599" s="14" t="s">
        <v>1101</v>
      </c>
      <c r="E599" s="15" t="str">
        <f>HYPERLINK("https://stat100.ameba.jp/tnk47/ratio20/illustrations/card/ill_76303_0_haroinkaguya03.jpg?202101-5-RELEASE-marathon-511x", "■")</f>
        <v>■</v>
      </c>
      <c r="F599" s="14" t="s">
        <v>332</v>
      </c>
      <c r="G599" s="14">
        <v>309414</v>
      </c>
      <c r="H599" s="14">
        <v>287652</v>
      </c>
      <c r="I599" s="14">
        <v>26</v>
      </c>
      <c r="J599" s="14" t="s">
        <v>274</v>
      </c>
      <c r="K599" s="14" t="s">
        <v>333</v>
      </c>
      <c r="L599" s="14" t="s">
        <v>276</v>
      </c>
      <c r="M599" s="14" t="s">
        <v>9158</v>
      </c>
      <c r="N599" s="14" t="s">
        <v>9158</v>
      </c>
      <c r="O599" s="9" t="s">
        <v>2723</v>
      </c>
      <c r="P599" s="14" t="s">
        <v>2724</v>
      </c>
      <c r="Q599" s="14">
        <v>1</v>
      </c>
    </row>
    <row r="600" spans="1:18">
      <c r="A600" s="14">
        <v>85483</v>
      </c>
      <c r="B600" s="14" t="s">
        <v>0</v>
      </c>
      <c r="C600" s="14" t="s">
        <v>206</v>
      </c>
      <c r="D600" s="20" t="s">
        <v>10807</v>
      </c>
      <c r="E600" s="15" t="str">
        <f>HYPERLINK("https://stat100.ameba.jp/tnk47/ratio20/illustrations/card/ill_85483_seitankuronikururirimu03.jpg?202101-5-RELEASE-marathon-511x", "■")</f>
        <v>■</v>
      </c>
      <c r="F600" s="14" t="s">
        <v>8445</v>
      </c>
      <c r="G600" s="14">
        <v>108330</v>
      </c>
      <c r="H600" s="14">
        <v>100744</v>
      </c>
      <c r="I600" s="14">
        <v>26</v>
      </c>
      <c r="J600" s="14" t="s">
        <v>182</v>
      </c>
      <c r="K600" s="14" t="s">
        <v>8444</v>
      </c>
      <c r="L600" s="14" t="s">
        <v>2308</v>
      </c>
      <c r="M600" s="14" t="s">
        <v>9158</v>
      </c>
      <c r="N600" s="14" t="s">
        <v>9158</v>
      </c>
      <c r="O600" s="19" t="s">
        <v>10086</v>
      </c>
      <c r="P600" s="14" t="s">
        <v>3701</v>
      </c>
      <c r="Q600" s="14">
        <v>1</v>
      </c>
    </row>
    <row r="601" spans="1:18">
      <c r="A601" s="14">
        <v>91013</v>
      </c>
      <c r="B601" s="14" t="s">
        <v>0</v>
      </c>
      <c r="C601" s="14" t="s">
        <v>14</v>
      </c>
      <c r="D601" s="18" t="s">
        <v>13451</v>
      </c>
      <c r="E601" s="15" t="str">
        <f>HYPERLINK("https://stat100.ameba.jp/tnk47/ratio20/illustrations/card/ill_91013_mizugiaidorusakurambochan03.jpg?202101-5-RELEASE-marathon-511x", "■")</f>
        <v>■</v>
      </c>
      <c r="F601" s="14" t="s">
        <v>13452</v>
      </c>
      <c r="G601" s="14">
        <v>122786</v>
      </c>
      <c r="H601" s="14">
        <v>114176</v>
      </c>
      <c r="I601" s="14">
        <v>26</v>
      </c>
      <c r="J601" s="14" t="s">
        <v>104</v>
      </c>
      <c r="K601" s="14" t="s">
        <v>13454</v>
      </c>
      <c r="L601" s="14" t="s">
        <v>12340</v>
      </c>
      <c r="M601" s="14" t="s">
        <v>9158</v>
      </c>
      <c r="N601" s="14" t="s">
        <v>9158</v>
      </c>
      <c r="O601" s="6" t="s">
        <v>3768</v>
      </c>
      <c r="P601" s="7" t="s">
        <v>13453</v>
      </c>
      <c r="Q601" s="7">
        <v>1</v>
      </c>
    </row>
    <row r="602" spans="1:18">
      <c r="A602" s="14">
        <v>70373</v>
      </c>
      <c r="B602" s="14" t="s">
        <v>334</v>
      </c>
      <c r="C602" s="14" t="s">
        <v>209</v>
      </c>
      <c r="D602" s="20" t="s">
        <v>10226</v>
      </c>
      <c r="E602" s="15" t="str">
        <f>HYPERLINK("https://stat100.ameba.jp/tnk47/ratio20/illustrations/card/ill_70373_amanoyasukage03.jpg?202101-5-RELEASE-marathon-511x", "■")</f>
        <v>■</v>
      </c>
      <c r="F602" s="14" t="s">
        <v>2617</v>
      </c>
      <c r="G602" s="14">
        <v>134306</v>
      </c>
      <c r="H602" s="14">
        <v>144446</v>
      </c>
      <c r="I602" s="14">
        <v>26</v>
      </c>
      <c r="J602" s="14" t="s">
        <v>143</v>
      </c>
      <c r="K602" s="14" t="s">
        <v>2618</v>
      </c>
      <c r="L602" s="14" t="s">
        <v>2619</v>
      </c>
      <c r="M602" s="14" t="s">
        <v>9158</v>
      </c>
      <c r="N602" s="14" t="s">
        <v>9158</v>
      </c>
      <c r="O602" s="19" t="s">
        <v>10081</v>
      </c>
      <c r="P602" s="14" t="s">
        <v>4146</v>
      </c>
      <c r="Q602" s="14">
        <v>1</v>
      </c>
    </row>
    <row r="604" spans="1:18">
      <c r="A604" s="14" t="s">
        <v>13327</v>
      </c>
    </row>
    <row r="605" spans="1:18">
      <c r="A605" s="14">
        <v>105728</v>
      </c>
      <c r="B605" s="14" t="s">
        <v>2709</v>
      </c>
    </row>
    <row r="606" spans="1:18">
      <c r="A606" s="14">
        <v>82213</v>
      </c>
      <c r="B606" s="14" t="s">
        <v>0</v>
      </c>
      <c r="C606" s="14" t="s">
        <v>185</v>
      </c>
      <c r="D606" s="19" t="s">
        <v>10185</v>
      </c>
      <c r="E606" s="15" t="str">
        <f>HYPERLINK("https://stat100.ameba.jp/tnk47/ratio20/illustrations/card/ill_82213_tatarimokke03.jpg?202101-5-RELEASE-marathon-511x", "■")</f>
        <v>■</v>
      </c>
      <c r="F606" s="14" t="s">
        <v>4935</v>
      </c>
      <c r="G606" s="14">
        <v>128160</v>
      </c>
      <c r="H606" s="14">
        <v>137846</v>
      </c>
      <c r="I606" s="7">
        <v>28</v>
      </c>
      <c r="J606" s="14" t="s">
        <v>182</v>
      </c>
      <c r="K606" s="14" t="s">
        <v>4937</v>
      </c>
      <c r="L606" s="14" t="s">
        <v>13191</v>
      </c>
      <c r="M606" s="14" t="s">
        <v>13130</v>
      </c>
      <c r="N606" s="14" t="s">
        <v>343</v>
      </c>
      <c r="O606" s="14" t="s">
        <v>9158</v>
      </c>
      <c r="P606" s="14" t="s">
        <v>9158</v>
      </c>
      <c r="Q606" s="14" t="s">
        <v>9158</v>
      </c>
      <c r="R606" s="14" t="s">
        <v>14748</v>
      </c>
    </row>
    <row r="607" spans="1:18">
      <c r="A607" s="14">
        <v>82212</v>
      </c>
      <c r="B607" s="14" t="s">
        <v>334</v>
      </c>
      <c r="C607" s="14" t="s">
        <v>185</v>
      </c>
      <c r="D607" s="19" t="s">
        <v>10185</v>
      </c>
      <c r="E607" s="15" t="str">
        <f>HYPERLINK("https://stat100.ameba.jp/tnk47/ratio20/illustrations/card/ill_82212_tatarimokke02.jpg?202101-5-RELEASE-marathon-511x", "■")</f>
        <v>■</v>
      </c>
      <c r="F607" s="14" t="s">
        <v>4935</v>
      </c>
      <c r="G607" s="14">
        <v>106148</v>
      </c>
      <c r="H607" s="14">
        <v>115230</v>
      </c>
      <c r="I607" s="7">
        <v>28</v>
      </c>
      <c r="J607" s="14" t="s">
        <v>182</v>
      </c>
      <c r="K607" s="14" t="s">
        <v>4937</v>
      </c>
      <c r="L607" s="14" t="s">
        <v>13191</v>
      </c>
      <c r="M607" s="14" t="s">
        <v>13131</v>
      </c>
      <c r="N607" s="14" t="s">
        <v>251</v>
      </c>
      <c r="O607" s="14" t="s">
        <v>9158</v>
      </c>
      <c r="P607" s="14" t="s">
        <v>9158</v>
      </c>
      <c r="Q607" s="14" t="s">
        <v>9158</v>
      </c>
      <c r="R607" s="14" t="s">
        <v>14748</v>
      </c>
    </row>
    <row r="608" spans="1:18">
      <c r="A608" s="14">
        <v>82211</v>
      </c>
      <c r="B608" s="14" t="s">
        <v>0</v>
      </c>
      <c r="C608" s="14" t="s">
        <v>185</v>
      </c>
      <c r="D608" s="19" t="s">
        <v>10185</v>
      </c>
      <c r="E608" s="15" t="str">
        <f>HYPERLINK("https://stat100.ameba.jp/tnk47/ratio20/illustrations/card/ill_82211_tatarimokke01.jpg?202101-5-RELEASE-marathon-511x", "■")</f>
        <v>■</v>
      </c>
      <c r="F608" s="14" t="s">
        <v>4935</v>
      </c>
      <c r="G608" s="14">
        <v>81900</v>
      </c>
      <c r="H608" s="14">
        <v>87976</v>
      </c>
      <c r="I608" s="7">
        <v>28</v>
      </c>
      <c r="J608" s="14" t="s">
        <v>182</v>
      </c>
      <c r="K608" s="14" t="s">
        <v>4937</v>
      </c>
      <c r="L608" s="14" t="s">
        <v>13191</v>
      </c>
      <c r="M608" s="14" t="s">
        <v>13131</v>
      </c>
      <c r="N608" s="14" t="s">
        <v>251</v>
      </c>
      <c r="O608" s="14" t="s">
        <v>9158</v>
      </c>
      <c r="P608" s="14" t="s">
        <v>9158</v>
      </c>
      <c r="Q608" s="14" t="s">
        <v>9158</v>
      </c>
      <c r="R608" s="14" t="s">
        <v>14748</v>
      </c>
    </row>
    <row r="609" spans="1:18">
      <c r="A609" s="14">
        <v>82223</v>
      </c>
      <c r="B609" s="14" t="s">
        <v>334</v>
      </c>
      <c r="C609" s="14" t="s">
        <v>200</v>
      </c>
      <c r="D609" s="19" t="s">
        <v>10186</v>
      </c>
      <c r="E609" s="15" t="str">
        <f>HYPERLINK("https://stat100.ameba.jp/tnk47/ratio20/illustrations/card/ill_82223_oyayubihime03.jpg?202101-5-RELEASE-marathon-511x", "■")</f>
        <v>■</v>
      </c>
      <c r="F609" s="14" t="s">
        <v>4931</v>
      </c>
      <c r="G609" s="14">
        <v>137846</v>
      </c>
      <c r="H609" s="14">
        <v>128160</v>
      </c>
      <c r="I609" s="7">
        <v>28</v>
      </c>
      <c r="J609" s="14" t="s">
        <v>155</v>
      </c>
      <c r="K609" s="14" t="s">
        <v>4933</v>
      </c>
      <c r="L609" s="14" t="s">
        <v>4934</v>
      </c>
      <c r="M609" s="14" t="s">
        <v>13130</v>
      </c>
      <c r="N609" s="14" t="s">
        <v>343</v>
      </c>
      <c r="O609" s="14" t="s">
        <v>9158</v>
      </c>
      <c r="P609" s="14" t="s">
        <v>9158</v>
      </c>
      <c r="Q609" s="14" t="s">
        <v>9158</v>
      </c>
      <c r="R609" s="14" t="s">
        <v>14748</v>
      </c>
    </row>
    <row r="610" spans="1:18">
      <c r="A610" s="14">
        <v>82233</v>
      </c>
      <c r="B610" s="14" t="s">
        <v>334</v>
      </c>
      <c r="C610" s="14" t="s">
        <v>191</v>
      </c>
      <c r="D610" s="19" t="s">
        <v>10187</v>
      </c>
      <c r="E610" s="15" t="str">
        <f>HYPERLINK("https://stat100.ameba.jp/tnk47/ratio20/illustrations/card/ill_82233_iseokiku03.jpg?202101-5-RELEASE-marathon-511x", "■")</f>
        <v>■</v>
      </c>
      <c r="F610" s="14" t="s">
        <v>4924</v>
      </c>
      <c r="G610" s="14">
        <v>137846</v>
      </c>
      <c r="H610" s="14">
        <v>128160</v>
      </c>
      <c r="I610" s="7">
        <v>28</v>
      </c>
      <c r="J610" s="14" t="s">
        <v>187</v>
      </c>
      <c r="K610" s="14" t="s">
        <v>4926</v>
      </c>
      <c r="L610" s="14" t="s">
        <v>4930</v>
      </c>
      <c r="M610" s="14" t="s">
        <v>13130</v>
      </c>
      <c r="N610" s="14" t="s">
        <v>343</v>
      </c>
      <c r="O610" s="14" t="s">
        <v>9158</v>
      </c>
      <c r="P610" s="14" t="s">
        <v>9158</v>
      </c>
      <c r="Q610" s="14" t="s">
        <v>9158</v>
      </c>
      <c r="R610" s="14" t="s">
        <v>14748</v>
      </c>
    </row>
    <row r="611" spans="1:18">
      <c r="A611" s="14">
        <v>82243</v>
      </c>
      <c r="B611" s="14" t="s">
        <v>0</v>
      </c>
      <c r="C611" s="14" t="s">
        <v>165</v>
      </c>
      <c r="D611" s="19" t="s">
        <v>10188</v>
      </c>
      <c r="E611" s="15" t="str">
        <f>HYPERLINK("https://stat100.ameba.jp/tnk47/ratio20/illustrations/card/ill_82243_nanohana03.jpg?202101-5-RELEASE-marathon-511x", "■")</f>
        <v>■</v>
      </c>
      <c r="F611" s="14" t="s">
        <v>4921</v>
      </c>
      <c r="G611" s="14">
        <v>137846</v>
      </c>
      <c r="H611" s="14">
        <v>128160</v>
      </c>
      <c r="I611" s="7">
        <v>28</v>
      </c>
      <c r="J611" s="14" t="s">
        <v>229</v>
      </c>
      <c r="K611" s="14" t="s">
        <v>4923</v>
      </c>
      <c r="L611" s="14" t="s">
        <v>4929</v>
      </c>
      <c r="M611" s="14" t="s">
        <v>13130</v>
      </c>
      <c r="N611" s="14" t="s">
        <v>343</v>
      </c>
      <c r="O611" s="14" t="s">
        <v>9158</v>
      </c>
      <c r="P611" s="14" t="s">
        <v>9158</v>
      </c>
      <c r="Q611" s="14" t="s">
        <v>9158</v>
      </c>
      <c r="R611" s="14" t="s">
        <v>14748</v>
      </c>
    </row>
    <row r="612" spans="1:18">
      <c r="A612" s="14">
        <v>82253</v>
      </c>
      <c r="B612" s="14" t="s">
        <v>334</v>
      </c>
      <c r="C612" s="14" t="s">
        <v>205</v>
      </c>
      <c r="D612" s="19" t="s">
        <v>10189</v>
      </c>
      <c r="E612" s="15" t="str">
        <f>HYPERLINK("https://stat100.ameba.jp/tnk47/ratio20/illustrations/card/ill_82253_ajisaikyogokuichiko03.jpg?202101-5-RELEASE-marathon-511x", "■")</f>
        <v>■</v>
      </c>
      <c r="F612" s="14" t="s">
        <v>4920</v>
      </c>
      <c r="G612" s="14">
        <v>128160</v>
      </c>
      <c r="H612" s="14">
        <v>137846</v>
      </c>
      <c r="I612" s="7">
        <v>28</v>
      </c>
      <c r="J612" s="14" t="s">
        <v>159</v>
      </c>
      <c r="K612" s="14" t="s">
        <v>4919</v>
      </c>
      <c r="L612" s="14" t="s">
        <v>4927</v>
      </c>
      <c r="M612" s="14" t="s">
        <v>13130</v>
      </c>
      <c r="N612" s="14" t="s">
        <v>343</v>
      </c>
      <c r="O612" s="14" t="s">
        <v>9158</v>
      </c>
      <c r="P612" s="14" t="s">
        <v>9158</v>
      </c>
      <c r="Q612" s="14" t="s">
        <v>9158</v>
      </c>
      <c r="R612" s="14" t="s">
        <v>14748</v>
      </c>
    </row>
    <row r="613" spans="1:18">
      <c r="A613" s="14">
        <v>82263</v>
      </c>
      <c r="B613" s="14" t="s">
        <v>334</v>
      </c>
      <c r="C613" s="14" t="s">
        <v>206</v>
      </c>
      <c r="D613" s="19" t="s">
        <v>10190</v>
      </c>
      <c r="E613" s="15" t="str">
        <f>HYPERLINK("https://stat100.ameba.jp/tnk47/ratio20/illustrations/card/ill_82263_euterupe03.jpg?202101-5-RELEASE-marathon-511x", "■")</f>
        <v>■</v>
      </c>
      <c r="F613" s="14" t="s">
        <v>4915</v>
      </c>
      <c r="G613" s="14">
        <v>128160</v>
      </c>
      <c r="H613" s="14">
        <v>137846</v>
      </c>
      <c r="I613" s="7">
        <v>28</v>
      </c>
      <c r="J613" s="14" t="s">
        <v>169</v>
      </c>
      <c r="K613" s="14" t="s">
        <v>4917</v>
      </c>
      <c r="L613" s="14" t="s">
        <v>4928</v>
      </c>
      <c r="M613" s="14" t="s">
        <v>13130</v>
      </c>
      <c r="N613" s="14" t="s">
        <v>343</v>
      </c>
      <c r="O613" s="14" t="s">
        <v>9158</v>
      </c>
      <c r="P613" s="14" t="s">
        <v>9158</v>
      </c>
      <c r="Q613" s="14" t="s">
        <v>9158</v>
      </c>
      <c r="R613" s="14" t="s">
        <v>14748</v>
      </c>
    </row>
    <row r="615" spans="1:18">
      <c r="A615" s="14" t="s">
        <v>3643</v>
      </c>
    </row>
    <row r="616" spans="1:18">
      <c r="A616" s="14">
        <v>105747</v>
      </c>
      <c r="B616" s="14" t="s">
        <v>2710</v>
      </c>
    </row>
    <row r="617" spans="1:18">
      <c r="A617" s="9">
        <v>89185</v>
      </c>
      <c r="B617" s="9" t="s">
        <v>334</v>
      </c>
      <c r="C617" s="9" t="s">
        <v>202</v>
      </c>
      <c r="D617" s="9" t="s">
        <v>12751</v>
      </c>
      <c r="E617" s="15" t="str">
        <f>HYPERLINK("https://stat100.ameba.jp/tnk47/ratio20/illustrations/card/ill_89185_funsaimetaruroddo05.jpg?202101-5-RELEASE-marathon-511x", "■")</f>
        <v>■</v>
      </c>
      <c r="F617" s="9" t="s">
        <v>12752</v>
      </c>
      <c r="G617" s="9">
        <v>98966</v>
      </c>
      <c r="H617" s="9">
        <v>136686</v>
      </c>
      <c r="I617" s="9">
        <v>28</v>
      </c>
      <c r="J617" s="9" t="s">
        <v>38</v>
      </c>
      <c r="K617" s="9" t="s">
        <v>12757</v>
      </c>
      <c r="L617" s="9" t="s">
        <v>12136</v>
      </c>
      <c r="M617" s="14" t="s">
        <v>9158</v>
      </c>
      <c r="N617" s="14" t="s">
        <v>9158</v>
      </c>
      <c r="O617" s="14" t="s">
        <v>9158</v>
      </c>
      <c r="P617" s="14" t="s">
        <v>9158</v>
      </c>
      <c r="Q617" s="14" t="s">
        <v>9158</v>
      </c>
      <c r="R617" s="9" t="s">
        <v>174</v>
      </c>
    </row>
    <row r="618" spans="1:18">
      <c r="A618" s="9">
        <v>89183</v>
      </c>
      <c r="B618" s="9" t="s">
        <v>348</v>
      </c>
      <c r="C618" s="9" t="s">
        <v>158</v>
      </c>
      <c r="D618" s="9" t="s">
        <v>12751</v>
      </c>
      <c r="E618" s="15" t="str">
        <f>HYPERLINK("https://stat100.ameba.jp/tnk47/ratio20/illustrations/card/ill_89183_funsaimetaruroddo03.jpg?202101-5-RELEASE-marathon-511x", "■")</f>
        <v>■</v>
      </c>
      <c r="F618" s="9" t="s">
        <v>12752</v>
      </c>
      <c r="G618" s="9">
        <v>72908</v>
      </c>
      <c r="H618" s="9">
        <v>100708</v>
      </c>
      <c r="I618" s="9">
        <v>28</v>
      </c>
      <c r="J618" s="9" t="s">
        <v>38</v>
      </c>
      <c r="K618" s="9" t="s">
        <v>12757</v>
      </c>
      <c r="L618" s="9" t="s">
        <v>12761</v>
      </c>
      <c r="M618" s="14" t="s">
        <v>9158</v>
      </c>
      <c r="N618" s="14" t="s">
        <v>9158</v>
      </c>
      <c r="O618" s="14" t="s">
        <v>9158</v>
      </c>
      <c r="P618" s="14" t="s">
        <v>9158</v>
      </c>
      <c r="Q618" s="14" t="s">
        <v>9158</v>
      </c>
      <c r="R618" s="9" t="s">
        <v>175</v>
      </c>
    </row>
    <row r="619" spans="1:18">
      <c r="A619" s="9">
        <v>89181</v>
      </c>
      <c r="B619" s="9" t="s">
        <v>348</v>
      </c>
      <c r="C619" s="9" t="s">
        <v>158</v>
      </c>
      <c r="D619" s="9" t="s">
        <v>12751</v>
      </c>
      <c r="E619" s="15" t="str">
        <f>HYPERLINK("https://stat100.ameba.jp/tnk47/ratio20/illustrations/card/ill_89181_funsaimetaruroddo01.jpg?202101-5-RELEASE-marathon-511x", "■")</f>
        <v>■</v>
      </c>
      <c r="F619" s="9" t="s">
        <v>12752</v>
      </c>
      <c r="G619" s="9">
        <v>46396</v>
      </c>
      <c r="H619" s="9">
        <v>64064</v>
      </c>
      <c r="I619" s="9">
        <v>28</v>
      </c>
      <c r="J619" s="9" t="s">
        <v>38</v>
      </c>
      <c r="K619" s="9" t="s">
        <v>12757</v>
      </c>
      <c r="L619" s="9" t="s">
        <v>12762</v>
      </c>
      <c r="M619" s="14" t="s">
        <v>9158</v>
      </c>
      <c r="N619" s="14" t="s">
        <v>9158</v>
      </c>
      <c r="O619" s="14" t="s">
        <v>9158</v>
      </c>
      <c r="P619" s="14" t="s">
        <v>9158</v>
      </c>
      <c r="Q619" s="14" t="s">
        <v>9158</v>
      </c>
      <c r="R619" s="9" t="s">
        <v>176</v>
      </c>
    </row>
    <row r="620" spans="1:18">
      <c r="A620" s="14">
        <v>90505</v>
      </c>
      <c r="B620" s="14" t="s">
        <v>0</v>
      </c>
      <c r="C620" s="14" t="s">
        <v>202</v>
      </c>
      <c r="D620" s="19" t="s">
        <v>13404</v>
      </c>
      <c r="E620" s="15" t="str">
        <f>HYPERLINK("https://stat100.ameba.jp/tnk47/ratio20/illustrations/card/ill_90505_jijoberite05.jpg?202101-5-RELEASE-marathon-511x", "■")</f>
        <v>■</v>
      </c>
      <c r="F620" s="14" t="s">
        <v>13405</v>
      </c>
      <c r="G620" s="14">
        <v>200370</v>
      </c>
      <c r="H620" s="14">
        <v>145082</v>
      </c>
      <c r="I620" s="9">
        <v>28</v>
      </c>
      <c r="J620" s="14" t="s">
        <v>10</v>
      </c>
      <c r="K620" s="14" t="s">
        <v>13406</v>
      </c>
      <c r="L620" s="14" t="s">
        <v>13407</v>
      </c>
      <c r="M620" s="14" t="s">
        <v>9158</v>
      </c>
      <c r="N620" s="14" t="s">
        <v>9158</v>
      </c>
      <c r="O620" s="14" t="s">
        <v>9158</v>
      </c>
      <c r="P620" s="14" t="s">
        <v>9158</v>
      </c>
      <c r="Q620" s="14" t="s">
        <v>9158</v>
      </c>
      <c r="R620" s="14" t="s">
        <v>174</v>
      </c>
    </row>
    <row r="621" spans="1:18">
      <c r="A621" s="14">
        <v>90503</v>
      </c>
      <c r="B621" s="14" t="s">
        <v>15</v>
      </c>
      <c r="C621" s="9" t="s">
        <v>158</v>
      </c>
      <c r="D621" s="19" t="s">
        <v>13404</v>
      </c>
      <c r="E621" s="15" t="str">
        <f>HYPERLINK("https://stat100.ameba.jp/tnk47/ratio20/illustrations/card/ill_90503_jijoberite03.jpg?202101-5-RELEASE-marathon-511x", "■")</f>
        <v>■</v>
      </c>
      <c r="F621" s="14" t="s">
        <v>13405</v>
      </c>
      <c r="G621" s="14">
        <v>147630</v>
      </c>
      <c r="H621" s="14">
        <v>106890</v>
      </c>
      <c r="I621" s="9">
        <v>28</v>
      </c>
      <c r="J621" s="14" t="s">
        <v>10</v>
      </c>
      <c r="K621" s="14" t="s">
        <v>13406</v>
      </c>
      <c r="L621" s="14" t="s">
        <v>13408</v>
      </c>
      <c r="M621" s="14" t="s">
        <v>9158</v>
      </c>
      <c r="N621" s="14" t="s">
        <v>9158</v>
      </c>
      <c r="O621" s="14" t="s">
        <v>9158</v>
      </c>
      <c r="P621" s="14" t="s">
        <v>9158</v>
      </c>
      <c r="Q621" s="14" t="s">
        <v>9158</v>
      </c>
      <c r="R621" s="14" t="s">
        <v>175</v>
      </c>
    </row>
    <row r="622" spans="1:18">
      <c r="A622" s="14">
        <v>90501</v>
      </c>
      <c r="B622" s="14" t="s">
        <v>15</v>
      </c>
      <c r="C622" s="9" t="s">
        <v>158</v>
      </c>
      <c r="D622" s="19" t="s">
        <v>13404</v>
      </c>
      <c r="E622" s="15" t="str">
        <f>HYPERLINK("https://stat100.ameba.jp/tnk47/ratio20/illustrations/card/ill_90501_jijoberite01.jpg?202101-5-RELEASE-marathon-511x", "■")</f>
        <v>■</v>
      </c>
      <c r="F622" s="14" t="s">
        <v>13405</v>
      </c>
      <c r="G622" s="14">
        <v>93912</v>
      </c>
      <c r="H622" s="14">
        <v>68012</v>
      </c>
      <c r="I622" s="9">
        <v>28</v>
      </c>
      <c r="J622" s="14" t="s">
        <v>10</v>
      </c>
      <c r="K622" s="14" t="s">
        <v>13406</v>
      </c>
      <c r="L622" s="14" t="s">
        <v>6370</v>
      </c>
      <c r="M622" s="14" t="s">
        <v>9158</v>
      </c>
      <c r="N622" s="14" t="s">
        <v>9158</v>
      </c>
      <c r="O622" s="14" t="s">
        <v>9158</v>
      </c>
      <c r="P622" s="14" t="s">
        <v>9158</v>
      </c>
      <c r="Q622" s="14" t="s">
        <v>9158</v>
      </c>
      <c r="R622" s="14" t="s">
        <v>176</v>
      </c>
    </row>
    <row r="623" spans="1:18">
      <c r="A623" s="9">
        <v>90495</v>
      </c>
      <c r="B623" s="14" t="s">
        <v>334</v>
      </c>
      <c r="C623" s="14" t="s">
        <v>35</v>
      </c>
      <c r="D623" s="14" t="s">
        <v>14102</v>
      </c>
      <c r="E623" s="15" t="str">
        <f>HYPERLINK("https://stat100.ameba.jp/tnk47/ratio20/illustrations/card/ill_90495_rosutotekunoroji05.jpg?202101-5-RELEASE-marathon-511x", "■")</f>
        <v>■</v>
      </c>
      <c r="F623" s="14" t="s">
        <v>14105</v>
      </c>
      <c r="G623" s="14">
        <v>136686</v>
      </c>
      <c r="H623" s="14">
        <v>98966</v>
      </c>
      <c r="I623" s="9">
        <v>28</v>
      </c>
      <c r="J623" s="14" t="s">
        <v>16</v>
      </c>
      <c r="K623" s="14" t="s">
        <v>14107</v>
      </c>
      <c r="L623" s="14" t="s">
        <v>14106</v>
      </c>
      <c r="M623" s="14" t="s">
        <v>9158</v>
      </c>
      <c r="N623" s="14" t="s">
        <v>9158</v>
      </c>
      <c r="O623" s="14" t="s">
        <v>9158</v>
      </c>
      <c r="P623" s="14" t="s">
        <v>9158</v>
      </c>
      <c r="Q623" s="14" t="s">
        <v>9158</v>
      </c>
      <c r="R623" s="14" t="s">
        <v>174</v>
      </c>
    </row>
    <row r="624" spans="1:18">
      <c r="A624" s="9">
        <v>90493</v>
      </c>
      <c r="B624" s="14" t="s">
        <v>15</v>
      </c>
      <c r="C624" s="14" t="s">
        <v>209</v>
      </c>
      <c r="D624" s="14" t="s">
        <v>14102</v>
      </c>
      <c r="E624" s="15" t="str">
        <f>HYPERLINK("https://stat100.ameba.jp/tnk47/ratio20/illustrations/card/ill_90493_rosutotekunoroji03.jpg?202101-5-RELEASE-marathon-511x", "■")</f>
        <v>■</v>
      </c>
      <c r="F624" s="14" t="s">
        <v>14105</v>
      </c>
      <c r="G624" s="14">
        <v>100708</v>
      </c>
      <c r="H624" s="14">
        <v>72908</v>
      </c>
      <c r="I624" s="9">
        <v>28</v>
      </c>
      <c r="J624" s="14" t="s">
        <v>16</v>
      </c>
      <c r="K624" s="14" t="s">
        <v>14107</v>
      </c>
      <c r="L624" s="14" t="s">
        <v>14108</v>
      </c>
      <c r="M624" s="14" t="s">
        <v>9158</v>
      </c>
      <c r="N624" s="14" t="s">
        <v>9158</v>
      </c>
      <c r="O624" s="14" t="s">
        <v>9158</v>
      </c>
      <c r="P624" s="14" t="s">
        <v>9158</v>
      </c>
      <c r="Q624" s="14" t="s">
        <v>9158</v>
      </c>
      <c r="R624" s="14" t="s">
        <v>175</v>
      </c>
    </row>
    <row r="625" spans="1:18">
      <c r="A625" s="9">
        <v>90491</v>
      </c>
      <c r="B625" s="14" t="s">
        <v>15</v>
      </c>
      <c r="C625" s="14" t="s">
        <v>209</v>
      </c>
      <c r="D625" s="14" t="s">
        <v>14102</v>
      </c>
      <c r="E625" s="15" t="str">
        <f>HYPERLINK("https://stat100.ameba.jp/tnk47/ratio20/illustrations/card/ill_90491_rosutotekunoroji01.jpg?202101-5-RELEASE-marathon-511x", "■")</f>
        <v>■</v>
      </c>
      <c r="F625" s="14" t="s">
        <v>14105</v>
      </c>
      <c r="G625" s="14">
        <v>64064</v>
      </c>
      <c r="H625" s="14">
        <v>46396</v>
      </c>
      <c r="I625" s="9">
        <v>28</v>
      </c>
      <c r="J625" s="14" t="s">
        <v>16</v>
      </c>
      <c r="K625" s="14" t="s">
        <v>14107</v>
      </c>
      <c r="L625" s="14" t="s">
        <v>12577</v>
      </c>
      <c r="M625" s="14" t="s">
        <v>9158</v>
      </c>
      <c r="N625" s="14" t="s">
        <v>9158</v>
      </c>
      <c r="O625" s="14" t="s">
        <v>9158</v>
      </c>
      <c r="P625" s="14" t="s">
        <v>9158</v>
      </c>
      <c r="Q625" s="14" t="s">
        <v>9158</v>
      </c>
      <c r="R625" s="14" t="s">
        <v>176</v>
      </c>
    </row>
  </sheetData>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7E336-4184-4CFF-B7DA-869187C64058}">
  <dimension ref="A1:S608"/>
  <sheetViews>
    <sheetView zoomScale="55" zoomScaleNormal="55" workbookViewId="0">
      <pane ySplit="1" topLeftCell="A425" activePane="bottomLeft" state="frozen"/>
      <selection pane="bottomLeft" activeCell="C439" sqref="C439"/>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17472</v>
      </c>
    </row>
    <row r="4" spans="1:19">
      <c r="A4" s="14">
        <v>311521</v>
      </c>
      <c r="B4" s="14" t="s">
        <v>15777</v>
      </c>
    </row>
    <row r="5" spans="1:19">
      <c r="A5" s="14">
        <v>311570</v>
      </c>
      <c r="B5" s="14" t="s">
        <v>15776</v>
      </c>
    </row>
    <row r="6" spans="1:19">
      <c r="A6" s="14" t="s">
        <v>15807</v>
      </c>
      <c r="B6" s="14" t="s">
        <v>52</v>
      </c>
      <c r="C6" s="14" t="s">
        <v>35</v>
      </c>
      <c r="D6" s="14" t="s">
        <v>15808</v>
      </c>
      <c r="E6" s="15" t="str">
        <f>HYPERLINK("https://stat100.ameba.jp/tnk47/ratio20/illustrations/card/ill_95013_0_shinshunnisennijuichiayakashi03.jpg?202101-5-RELEASE-marathon-511x", "■")</f>
        <v>■</v>
      </c>
      <c r="F6" s="14" t="s">
        <v>15806</v>
      </c>
      <c r="G6" s="14">
        <v>328198</v>
      </c>
      <c r="H6" s="14">
        <v>363122</v>
      </c>
      <c r="I6" s="14">
        <v>33</v>
      </c>
      <c r="J6" s="14" t="s">
        <v>73</v>
      </c>
      <c r="K6" s="14" t="s">
        <v>15805</v>
      </c>
      <c r="L6" s="14" t="s">
        <v>15804</v>
      </c>
      <c r="M6" s="14" t="s">
        <v>9158</v>
      </c>
      <c r="N6" s="14" t="s">
        <v>9158</v>
      </c>
      <c r="O6" s="14" t="s">
        <v>15802</v>
      </c>
      <c r="P6" s="14" t="s">
        <v>15803</v>
      </c>
      <c r="Q6" s="14">
        <v>0</v>
      </c>
    </row>
    <row r="7" spans="1:19">
      <c r="A7" s="14">
        <v>94973</v>
      </c>
      <c r="B7" s="14" t="s">
        <v>0</v>
      </c>
      <c r="C7" s="14" t="s">
        <v>107</v>
      </c>
      <c r="D7" s="18" t="s">
        <v>15868</v>
      </c>
      <c r="E7" s="15" t="str">
        <f>HYPERLINK("https://stat100.ameba.jp/tnk47/ratio20/illustrations/card/ill_94973_shinshunnisennijuichimiyamotomusashi03.jpg?202101-5-RELEASE-marathon-511x", "■")</f>
        <v>■</v>
      </c>
      <c r="F7" s="14" t="s">
        <v>15867</v>
      </c>
      <c r="G7" s="14">
        <v>132230</v>
      </c>
      <c r="H7" s="14">
        <v>122960</v>
      </c>
      <c r="I7" s="14">
        <v>28</v>
      </c>
      <c r="J7" s="14" t="s">
        <v>143</v>
      </c>
      <c r="K7" s="14" t="s">
        <v>15866</v>
      </c>
      <c r="L7" s="14" t="s">
        <v>13460</v>
      </c>
      <c r="M7" s="14" t="s">
        <v>9158</v>
      </c>
      <c r="N7" s="14" t="s">
        <v>9158</v>
      </c>
      <c r="O7" s="6" t="s">
        <v>3244</v>
      </c>
      <c r="P7" s="7" t="s">
        <v>3245</v>
      </c>
      <c r="Q7" s="7">
        <v>1</v>
      </c>
    </row>
    <row r="8" spans="1:19">
      <c r="A8" s="14">
        <v>94933</v>
      </c>
      <c r="B8" s="14" t="s">
        <v>0</v>
      </c>
      <c r="C8" s="14" t="s">
        <v>23</v>
      </c>
      <c r="D8" s="18" t="s">
        <v>15871</v>
      </c>
      <c r="E8" s="15" t="str">
        <f>HYPERLINK("https://stat100.ameba.jp/tnk47/ratio20/illustrations/card/ill_94933_shinshunnisennijuichibenzaiten03.jpg?202101-5-RELEASE-marathon-511x", "■")</f>
        <v>■</v>
      </c>
      <c r="F8" s="14" t="s">
        <v>15870</v>
      </c>
      <c r="G8" s="14">
        <v>127556</v>
      </c>
      <c r="H8" s="14">
        <v>118598</v>
      </c>
      <c r="I8" s="14">
        <v>28</v>
      </c>
      <c r="J8" s="14" t="s">
        <v>44</v>
      </c>
      <c r="K8" s="14" t="s">
        <v>15869</v>
      </c>
      <c r="L8" s="14" t="s">
        <v>7794</v>
      </c>
      <c r="M8" s="14" t="s">
        <v>2138</v>
      </c>
      <c r="N8" s="14" t="s">
        <v>2139</v>
      </c>
      <c r="O8" s="14" t="s">
        <v>9158</v>
      </c>
      <c r="P8" s="14" t="s">
        <v>9158</v>
      </c>
      <c r="Q8" s="14" t="s">
        <v>9158</v>
      </c>
      <c r="R8" s="14" t="s">
        <v>13120</v>
      </c>
    </row>
    <row r="9" spans="1:19">
      <c r="A9" s="14">
        <v>94953</v>
      </c>
      <c r="B9" s="14" t="s">
        <v>0</v>
      </c>
      <c r="C9" s="14" t="s">
        <v>96</v>
      </c>
      <c r="D9" s="18" t="s">
        <v>15874</v>
      </c>
      <c r="E9" s="15" t="str">
        <f>HYPERLINK("https://stat100.ameba.jp/tnk47/ratio20/illustrations/card/ill_94953_shinshunnisennijuichikomyokogo03.jpg?202101-5-RELEASE-marathon-511x", "■")</f>
        <v>■</v>
      </c>
      <c r="F9" s="14" t="s">
        <v>15873</v>
      </c>
      <c r="G9" s="14">
        <v>109370</v>
      </c>
      <c r="H9" s="14">
        <v>101650</v>
      </c>
      <c r="I9" s="14">
        <v>28</v>
      </c>
      <c r="J9" s="14" t="s">
        <v>10</v>
      </c>
      <c r="K9" s="14" t="s">
        <v>15872</v>
      </c>
      <c r="L9" s="14" t="s">
        <v>2645</v>
      </c>
      <c r="M9" s="14" t="s">
        <v>2138</v>
      </c>
      <c r="N9" s="14" t="s">
        <v>2139</v>
      </c>
      <c r="O9" s="14" t="s">
        <v>9158</v>
      </c>
      <c r="P9" s="14" t="s">
        <v>9158</v>
      </c>
      <c r="Q9" s="14" t="s">
        <v>9158</v>
      </c>
      <c r="R9" s="14" t="s">
        <v>13120</v>
      </c>
    </row>
    <row r="10" spans="1:19">
      <c r="A10" s="14">
        <v>94943</v>
      </c>
      <c r="B10" s="14" t="s">
        <v>0</v>
      </c>
      <c r="C10" s="14" t="s">
        <v>101</v>
      </c>
      <c r="D10" s="18" t="s">
        <v>15879</v>
      </c>
      <c r="E10" s="15" t="str">
        <f>HYPERLINK("https://stat100.ameba.jp/tnk47/ratio20/illustrations/card/ill_94943_shinshunnisennijuichiosechichan03.jpg?202101-5-RELEASE-marathon-511x", "■")</f>
        <v>■</v>
      </c>
      <c r="F10" s="14" t="s">
        <v>15878</v>
      </c>
      <c r="G10" s="14">
        <v>122960</v>
      </c>
      <c r="H10" s="14">
        <v>132230</v>
      </c>
      <c r="I10" s="14">
        <v>28</v>
      </c>
      <c r="J10" s="14" t="s">
        <v>104</v>
      </c>
      <c r="K10" s="14" t="s">
        <v>15877</v>
      </c>
      <c r="L10" s="14" t="s">
        <v>14590</v>
      </c>
      <c r="M10" s="14" t="s">
        <v>2138</v>
      </c>
      <c r="N10" s="14" t="s">
        <v>2139</v>
      </c>
      <c r="O10" s="14" t="s">
        <v>9158</v>
      </c>
      <c r="P10" s="14" t="s">
        <v>9158</v>
      </c>
      <c r="Q10" s="14" t="s">
        <v>9158</v>
      </c>
      <c r="R10" s="14" t="s">
        <v>13120</v>
      </c>
    </row>
    <row r="11" spans="1:19">
      <c r="A11" s="14">
        <v>94923</v>
      </c>
      <c r="B11" s="14" t="s">
        <v>0</v>
      </c>
      <c r="C11" s="14" t="s">
        <v>14</v>
      </c>
      <c r="D11" s="18" t="s">
        <v>15882</v>
      </c>
      <c r="E11" s="15" t="str">
        <f>HYPERLINK("https://stat100.ameba.jp/tnk47/ratio20/illustrations/card/ill_94923_shinshunnisennijuichishinkirochan03.jpg?202101-5-RELEASE-marathon-511x", "■")</f>
        <v>■</v>
      </c>
      <c r="F11" s="14" t="s">
        <v>15881</v>
      </c>
      <c r="G11" s="14">
        <v>109370</v>
      </c>
      <c r="H11" s="14">
        <v>101650</v>
      </c>
      <c r="I11" s="14">
        <v>28</v>
      </c>
      <c r="J11" s="14" t="s">
        <v>44</v>
      </c>
      <c r="K11" s="14" t="s">
        <v>15880</v>
      </c>
      <c r="L11" s="14" t="s">
        <v>14197</v>
      </c>
      <c r="M11" s="14" t="s">
        <v>2138</v>
      </c>
      <c r="N11" s="14" t="s">
        <v>2139</v>
      </c>
      <c r="O11" s="14" t="s">
        <v>9158</v>
      </c>
      <c r="P11" s="14" t="s">
        <v>9158</v>
      </c>
      <c r="Q11" s="14" t="s">
        <v>9158</v>
      </c>
      <c r="R11" s="14" t="s">
        <v>13120</v>
      </c>
    </row>
    <row r="12" spans="1:19">
      <c r="A12" s="14">
        <v>94963</v>
      </c>
      <c r="B12" s="14" t="s">
        <v>0</v>
      </c>
      <c r="C12" s="14" t="s">
        <v>1</v>
      </c>
      <c r="D12" s="18" t="s">
        <v>15885</v>
      </c>
      <c r="E12" s="15" t="str">
        <f>HYPERLINK("https://stat100.ameba.jp/tnk47/ratio20/illustrations/card/ill_94963_shinshunnisennijuichijikoin03.jpg?202101-5-RELEASE-marathon-511x", "■")</f>
        <v>■</v>
      </c>
      <c r="F12" s="14" t="s">
        <v>15884</v>
      </c>
      <c r="G12" s="14">
        <v>101650</v>
      </c>
      <c r="H12" s="14">
        <v>109370</v>
      </c>
      <c r="I12" s="14">
        <v>28</v>
      </c>
      <c r="J12" s="14" t="s">
        <v>77</v>
      </c>
      <c r="K12" s="14" t="s">
        <v>15883</v>
      </c>
      <c r="L12" s="14" t="s">
        <v>13612</v>
      </c>
      <c r="M12" s="14" t="s">
        <v>2138</v>
      </c>
      <c r="N12" s="14" t="s">
        <v>2139</v>
      </c>
      <c r="O12" s="14" t="s">
        <v>9158</v>
      </c>
      <c r="P12" s="14" t="s">
        <v>9158</v>
      </c>
      <c r="Q12" s="14" t="s">
        <v>9158</v>
      </c>
      <c r="R12" s="14" t="s">
        <v>13120</v>
      </c>
    </row>
    <row r="13" spans="1:19">
      <c r="A13" s="14">
        <v>95003</v>
      </c>
      <c r="B13" s="14" t="s">
        <v>15</v>
      </c>
      <c r="C13" s="14" t="s">
        <v>23</v>
      </c>
      <c r="D13" s="18" t="s">
        <v>15886</v>
      </c>
      <c r="E13" s="15" t="str">
        <f>HYPERLINK("https://stat100.ameba.jp/tnk47/ratio20/illustrations/card/ill_95003_gantaniinaomasa03.jpg?202101-5-RELEASE-marathon-511x", "■")</f>
        <v>■</v>
      </c>
      <c r="F13" s="14" t="s">
        <v>15895</v>
      </c>
      <c r="G13" s="7" t="s">
        <v>12934</v>
      </c>
      <c r="H13" s="7" t="s">
        <v>12934</v>
      </c>
      <c r="I13" s="7">
        <v>27</v>
      </c>
      <c r="J13" s="14" t="s">
        <v>143</v>
      </c>
      <c r="K13" s="7" t="s">
        <v>12934</v>
      </c>
      <c r="L13" s="7" t="s">
        <v>12934</v>
      </c>
      <c r="M13" s="14" t="s">
        <v>9158</v>
      </c>
      <c r="N13" s="14" t="s">
        <v>9158</v>
      </c>
      <c r="O13" s="14" t="s">
        <v>9158</v>
      </c>
      <c r="P13" s="14" t="s">
        <v>9158</v>
      </c>
      <c r="Q13" s="14" t="s">
        <v>9158</v>
      </c>
    </row>
    <row r="14" spans="1:19">
      <c r="A14" s="14">
        <v>94993</v>
      </c>
      <c r="B14" s="14" t="s">
        <v>15</v>
      </c>
      <c r="C14" s="14" t="s">
        <v>101</v>
      </c>
      <c r="D14" s="18" t="s">
        <v>15887</v>
      </c>
      <c r="E14" s="15" t="str">
        <f>HYPERLINK("https://stat100.ameba.jp/tnk47/ratio20/illustrations/card/ill_94993_seijinshikikasekihakkutsumusume03.jpg?202101-5-RELEASE-marathon-511x", "■")</f>
        <v>■</v>
      </c>
      <c r="F14" s="14" t="s">
        <v>15893</v>
      </c>
      <c r="G14" s="14">
        <v>72586</v>
      </c>
      <c r="H14" s="14">
        <v>80028</v>
      </c>
      <c r="I14" s="7">
        <v>27</v>
      </c>
      <c r="J14" s="14" t="s">
        <v>26</v>
      </c>
      <c r="K14" s="14" t="s">
        <v>15894</v>
      </c>
      <c r="L14" s="14" t="s">
        <v>3383</v>
      </c>
      <c r="M14" s="14" t="s">
        <v>9158</v>
      </c>
      <c r="N14" s="14" t="s">
        <v>9158</v>
      </c>
      <c r="O14" s="14" t="s">
        <v>9158</v>
      </c>
      <c r="P14" s="14" t="s">
        <v>9158</v>
      </c>
      <c r="Q14" s="14" t="s">
        <v>9158</v>
      </c>
    </row>
    <row r="15" spans="1:19">
      <c r="A15" s="14">
        <v>94983</v>
      </c>
      <c r="B15" s="14" t="s">
        <v>15</v>
      </c>
      <c r="C15" s="14" t="s">
        <v>1</v>
      </c>
      <c r="D15" s="18" t="s">
        <v>15888</v>
      </c>
      <c r="E15" s="15" t="str">
        <f>HYPERLINK("https://stat100.ameba.jp/tnk47/ratio20/illustrations/card/ill_94983_shogatsunisenjunananarahime03.jpg?202101-5-RELEASE-marathon-511x", "■")</f>
        <v>■</v>
      </c>
      <c r="F15" s="14" t="s">
        <v>15896</v>
      </c>
      <c r="G15" s="7" t="s">
        <v>12934</v>
      </c>
      <c r="H15" s="7" t="s">
        <v>12934</v>
      </c>
      <c r="I15" s="7">
        <v>27</v>
      </c>
      <c r="J15" s="14" t="s">
        <v>77</v>
      </c>
      <c r="K15" s="7" t="s">
        <v>12934</v>
      </c>
      <c r="L15" s="7" t="s">
        <v>12934</v>
      </c>
      <c r="M15" s="14" t="s">
        <v>9158</v>
      </c>
      <c r="N15" s="14" t="s">
        <v>9158</v>
      </c>
      <c r="O15" s="14" t="s">
        <v>9158</v>
      </c>
      <c r="P15" s="14" t="s">
        <v>9158</v>
      </c>
      <c r="Q15" s="14" t="s">
        <v>9158</v>
      </c>
    </row>
    <row r="16" spans="1:19">
      <c r="A16" s="14">
        <v>95033</v>
      </c>
      <c r="B16" s="14" t="s">
        <v>22</v>
      </c>
      <c r="C16" s="14" t="s">
        <v>14</v>
      </c>
      <c r="D16" s="18" t="s">
        <v>15889</v>
      </c>
      <c r="E16" s="15" t="str">
        <f>HYPERLINK("https://stat100.ameba.jp/tnk47/ratio20/illustrations/card/ill_95033_seijinshikiyukiusagichan03.jpg?202101-5-RELEASE-marathon-511x", "■")</f>
        <v>■</v>
      </c>
      <c r="F16" s="14" t="s">
        <v>15897</v>
      </c>
      <c r="G16" s="9">
        <v>51980</v>
      </c>
      <c r="H16" s="9">
        <v>43220</v>
      </c>
      <c r="I16" s="7">
        <v>25</v>
      </c>
      <c r="J16" s="14" t="s">
        <v>26</v>
      </c>
      <c r="K16" s="7" t="s">
        <v>15902</v>
      </c>
      <c r="L16" s="7" t="s">
        <v>2162</v>
      </c>
      <c r="M16" s="14" t="s">
        <v>9158</v>
      </c>
      <c r="N16" s="14" t="s">
        <v>9158</v>
      </c>
      <c r="O16" s="14" t="s">
        <v>9158</v>
      </c>
      <c r="P16" s="14" t="s">
        <v>9158</v>
      </c>
      <c r="Q16" s="14" t="s">
        <v>9158</v>
      </c>
    </row>
    <row r="17" spans="1:18">
      <c r="A17" s="14">
        <v>95023</v>
      </c>
      <c r="B17" s="14" t="s">
        <v>22</v>
      </c>
      <c r="C17" s="14" t="s">
        <v>96</v>
      </c>
      <c r="D17" s="18" t="s">
        <v>15890</v>
      </c>
      <c r="E17" s="15" t="str">
        <f>HYPERLINK("https://stat100.ameba.jp/tnk47/ratio20/illustrations/card/ill_95023_mikonarajikachan03.jpg?202101-5-RELEASE-marathon-511x", "■")</f>
        <v>■</v>
      </c>
      <c r="F17" s="14" t="s">
        <v>15898</v>
      </c>
      <c r="G17" s="9">
        <v>43220</v>
      </c>
      <c r="H17" s="9">
        <v>51980</v>
      </c>
      <c r="I17" s="7">
        <v>25</v>
      </c>
      <c r="J17" s="14" t="s">
        <v>26</v>
      </c>
      <c r="K17" s="7" t="s">
        <v>15901</v>
      </c>
      <c r="L17" s="7" t="s">
        <v>5415</v>
      </c>
      <c r="M17" s="14" t="s">
        <v>9158</v>
      </c>
      <c r="N17" s="14" t="s">
        <v>9158</v>
      </c>
      <c r="O17" s="14" t="s">
        <v>9158</v>
      </c>
      <c r="P17" s="14" t="s">
        <v>9158</v>
      </c>
      <c r="Q17" s="14" t="s">
        <v>9158</v>
      </c>
    </row>
    <row r="18" spans="1:18">
      <c r="A18" s="14">
        <v>95043</v>
      </c>
      <c r="B18" s="14" t="s">
        <v>30</v>
      </c>
      <c r="C18" s="14" t="s">
        <v>12735</v>
      </c>
      <c r="D18" s="18" t="s">
        <v>15891</v>
      </c>
      <c r="E18" s="15" t="str">
        <f>HYPERLINK("https://stat100.ameba.jp/tnk47/ratio20/illustrations/card/ill_95043_kendama03.jpg?202101-5-RELEASE-marathon-511x", "■")</f>
        <v>■</v>
      </c>
      <c r="F18" s="14" t="s">
        <v>15899</v>
      </c>
      <c r="G18" s="7" t="s">
        <v>12934</v>
      </c>
      <c r="H18" s="7" t="s">
        <v>12934</v>
      </c>
      <c r="I18" s="7">
        <v>19</v>
      </c>
      <c r="J18" s="14" t="s">
        <v>38</v>
      </c>
      <c r="K18" s="7" t="s">
        <v>12934</v>
      </c>
      <c r="L18" s="7" t="s">
        <v>12934</v>
      </c>
      <c r="M18" s="14" t="s">
        <v>9158</v>
      </c>
      <c r="N18" s="14" t="s">
        <v>9158</v>
      </c>
      <c r="O18" s="14" t="s">
        <v>9158</v>
      </c>
      <c r="P18" s="14" t="s">
        <v>9158</v>
      </c>
      <c r="Q18" s="14" t="s">
        <v>9158</v>
      </c>
    </row>
    <row r="19" spans="1:18">
      <c r="A19" s="14">
        <v>95053</v>
      </c>
      <c r="B19" s="14" t="s">
        <v>30</v>
      </c>
      <c r="C19" s="14" t="s">
        <v>101</v>
      </c>
      <c r="D19" s="18" t="s">
        <v>15892</v>
      </c>
      <c r="E19" s="15" t="str">
        <f>HYPERLINK("https://stat100.ameba.jp/tnk47/ratio20/illustrations/card/ill_95053_chuubunoozounichan03.jpg?202101-5-RELEASE-marathon-511x", "■")</f>
        <v>■</v>
      </c>
      <c r="F19" s="14" t="s">
        <v>15900</v>
      </c>
      <c r="G19" s="7" t="s">
        <v>12934</v>
      </c>
      <c r="H19" s="7" t="s">
        <v>12934</v>
      </c>
      <c r="I19" s="7">
        <v>19</v>
      </c>
      <c r="J19" s="14" t="s">
        <v>104</v>
      </c>
      <c r="K19" s="7" t="s">
        <v>12934</v>
      </c>
      <c r="L19" s="7" t="s">
        <v>12934</v>
      </c>
      <c r="M19" s="14" t="s">
        <v>9158</v>
      </c>
      <c r="N19" s="14" t="s">
        <v>9158</v>
      </c>
      <c r="O19" s="14" t="s">
        <v>9158</v>
      </c>
      <c r="P19" s="14" t="s">
        <v>9158</v>
      </c>
      <c r="Q19" s="14" t="s">
        <v>9158</v>
      </c>
    </row>
    <row r="20" spans="1:18">
      <c r="D20" s="7"/>
    </row>
    <row r="21" spans="1:18">
      <c r="A21" s="14" t="s">
        <v>15909</v>
      </c>
      <c r="D21" s="7"/>
    </row>
    <row r="22" spans="1:18">
      <c r="A22" s="14">
        <v>235981</v>
      </c>
      <c r="B22" s="14" t="s">
        <v>8878</v>
      </c>
      <c r="D22" s="7"/>
    </row>
    <row r="23" spans="1:18">
      <c r="A23" s="14">
        <v>95105</v>
      </c>
      <c r="B23" s="14" t="s">
        <v>0</v>
      </c>
      <c r="C23" s="14" t="s">
        <v>202</v>
      </c>
      <c r="D23" s="18" t="s">
        <v>15908</v>
      </c>
      <c r="E23" s="15" t="str">
        <f>HYPERLINK("https://stat100.ameba.jp/tnk47/ratio20/illustrations/card/ill_95105_daikichimurakumogo05.jpg?202101-5-RELEASE-marathon-511x", "■")</f>
        <v>■</v>
      </c>
      <c r="F23" s="14" t="s">
        <v>15907</v>
      </c>
      <c r="G23" s="14">
        <v>104518</v>
      </c>
      <c r="H23" s="14">
        <v>144364</v>
      </c>
      <c r="I23" s="14">
        <v>28</v>
      </c>
      <c r="J23" s="14" t="s">
        <v>44</v>
      </c>
      <c r="K23" s="14" t="s">
        <v>15906</v>
      </c>
      <c r="L23" s="14" t="s">
        <v>15905</v>
      </c>
      <c r="M23" s="14" t="s">
        <v>9158</v>
      </c>
      <c r="N23" s="14" t="s">
        <v>9158</v>
      </c>
      <c r="O23" s="14" t="s">
        <v>9158</v>
      </c>
      <c r="P23" s="14" t="s">
        <v>9158</v>
      </c>
      <c r="Q23" s="14" t="s">
        <v>9158</v>
      </c>
      <c r="R23" s="14" t="s">
        <v>174</v>
      </c>
    </row>
    <row r="24" spans="1:18">
      <c r="A24" s="14">
        <v>95103</v>
      </c>
      <c r="B24" s="14" t="s">
        <v>15</v>
      </c>
      <c r="C24" s="14" t="s">
        <v>47</v>
      </c>
      <c r="D24" s="18" t="s">
        <v>15908</v>
      </c>
      <c r="E24" s="15" t="str">
        <f>HYPERLINK("https://stat100.ameba.jp/tnk47/ratio20/illustrations/card/ill_95103_daikichimurakumogo03.jpg?202101-5-RELEASE-marathon-511x", "■")</f>
        <v>■</v>
      </c>
      <c r="F24" s="14" t="s">
        <v>15907</v>
      </c>
      <c r="G24" s="14">
        <v>77004</v>
      </c>
      <c r="H24" s="14">
        <v>106328</v>
      </c>
      <c r="I24" s="14">
        <v>28</v>
      </c>
      <c r="J24" s="14" t="s">
        <v>44</v>
      </c>
      <c r="K24" s="14" t="s">
        <v>15906</v>
      </c>
      <c r="L24" s="14" t="s">
        <v>15910</v>
      </c>
      <c r="M24" s="14" t="s">
        <v>9158</v>
      </c>
      <c r="N24" s="14" t="s">
        <v>9158</v>
      </c>
      <c r="O24" s="14" t="s">
        <v>9158</v>
      </c>
      <c r="P24" s="14" t="s">
        <v>9158</v>
      </c>
      <c r="Q24" s="14" t="s">
        <v>9158</v>
      </c>
      <c r="R24" s="14" t="s">
        <v>175</v>
      </c>
    </row>
    <row r="25" spans="1:18">
      <c r="A25" s="14">
        <v>95101</v>
      </c>
      <c r="B25" s="14" t="s">
        <v>15</v>
      </c>
      <c r="C25" s="14" t="s">
        <v>47</v>
      </c>
      <c r="D25" s="18" t="s">
        <v>15908</v>
      </c>
      <c r="E25" s="15" t="str">
        <f>HYPERLINK("https://stat100.ameba.jp/tnk47/ratio20/illustrations/card/ill_95101_daikichimurakumogo01.jpg?202101-5-RELEASE-marathon-511x", "■")</f>
        <v>■</v>
      </c>
      <c r="F25" s="14" t="s">
        <v>15907</v>
      </c>
      <c r="G25" s="14">
        <v>48972</v>
      </c>
      <c r="H25" s="14">
        <v>67648</v>
      </c>
      <c r="I25" s="14">
        <v>28</v>
      </c>
      <c r="J25" s="14" t="s">
        <v>44</v>
      </c>
      <c r="K25" s="14" t="s">
        <v>15906</v>
      </c>
      <c r="L25" s="14" t="s">
        <v>15911</v>
      </c>
      <c r="M25" s="14" t="s">
        <v>9158</v>
      </c>
      <c r="N25" s="14" t="s">
        <v>9158</v>
      </c>
      <c r="O25" s="14" t="s">
        <v>9158</v>
      </c>
      <c r="P25" s="14" t="s">
        <v>9158</v>
      </c>
      <c r="Q25" s="14" t="s">
        <v>9158</v>
      </c>
      <c r="R25" s="14" t="s">
        <v>176</v>
      </c>
    </row>
    <row r="26" spans="1:18">
      <c r="D26" s="7"/>
    </row>
    <row r="27" spans="1:18">
      <c r="A27" s="14" t="s">
        <v>204</v>
      </c>
      <c r="D27" s="7"/>
    </row>
    <row r="28" spans="1:18">
      <c r="A28" s="14">
        <v>235957</v>
      </c>
      <c r="B28" s="14" t="s">
        <v>15904</v>
      </c>
      <c r="D28" s="7"/>
    </row>
    <row r="29" spans="1:18">
      <c r="A29" s="14" t="s">
        <v>5602</v>
      </c>
      <c r="B29" s="14" t="s">
        <v>330</v>
      </c>
      <c r="C29" s="14" t="s">
        <v>185</v>
      </c>
      <c r="D29" s="19" t="s">
        <v>813</v>
      </c>
      <c r="E29" s="15" t="str">
        <f>HYPERLINK("https://stat100.ameba.jp/tnk47/ratio20/illustrations/card/ill_55313_0_haroinononokomachi03.jpg?202101-5-RELEASE-marathon-511x", "■")</f>
        <v>■</v>
      </c>
      <c r="F29" s="14" t="s">
        <v>814</v>
      </c>
      <c r="G29" s="14">
        <v>138212</v>
      </c>
      <c r="H29" s="14">
        <v>122776</v>
      </c>
      <c r="I29" s="14">
        <v>22</v>
      </c>
      <c r="J29" s="14" t="s">
        <v>351</v>
      </c>
      <c r="K29" s="14" t="s">
        <v>815</v>
      </c>
      <c r="L29" s="14" t="s">
        <v>816</v>
      </c>
      <c r="M29" s="14" t="s">
        <v>9158</v>
      </c>
      <c r="N29" s="14" t="s">
        <v>9158</v>
      </c>
      <c r="O29" s="7" t="s">
        <v>2733</v>
      </c>
      <c r="P29" s="14" t="s">
        <v>2734</v>
      </c>
      <c r="Q29" s="14">
        <v>1</v>
      </c>
    </row>
    <row r="30" spans="1:18">
      <c r="A30" s="14" t="s">
        <v>6195</v>
      </c>
      <c r="B30" s="14" t="s">
        <v>52</v>
      </c>
      <c r="C30" s="14" t="s">
        <v>191</v>
      </c>
      <c r="D30" s="20" t="s">
        <v>10217</v>
      </c>
      <c r="E30" s="15" t="str">
        <f>HYPERLINK("https://stat100.ameba.jp/tnk47/ratio20/illustrations/card/ill_56493_0_poppukurisumasuikomakitsuno03.jpg?202101-5-RELEASE-marathon-511x", "■")</f>
        <v>■</v>
      </c>
      <c r="F30" s="14" t="s">
        <v>1769</v>
      </c>
      <c r="G30" s="14">
        <v>138212</v>
      </c>
      <c r="H30" s="14">
        <v>122776</v>
      </c>
      <c r="I30" s="14">
        <v>22</v>
      </c>
      <c r="J30" s="14" t="s">
        <v>77</v>
      </c>
      <c r="K30" s="14" t="s">
        <v>1770</v>
      </c>
      <c r="L30" s="14" t="s">
        <v>1771</v>
      </c>
      <c r="M30" s="14" t="s">
        <v>9158</v>
      </c>
      <c r="N30" s="14" t="s">
        <v>9158</v>
      </c>
      <c r="O30" s="19" t="s">
        <v>10120</v>
      </c>
      <c r="P30" s="14" t="s">
        <v>2724</v>
      </c>
      <c r="Q30" s="14">
        <v>1</v>
      </c>
    </row>
    <row r="31" spans="1:18">
      <c r="A31" s="14" t="s">
        <v>5604</v>
      </c>
      <c r="B31" s="14" t="s">
        <v>330</v>
      </c>
      <c r="C31" s="14" t="s">
        <v>206</v>
      </c>
      <c r="D31" s="19" t="s">
        <v>614</v>
      </c>
      <c r="E31" s="15" t="str">
        <f>HYPERLINK("https://stat100.ameba.jp/tnk47/ratio20/illustrations/card/ill_47263_0_oukyuuatsuhime03.jpg?202101-5-RELEASE-marathon-511x", "■")</f>
        <v>■</v>
      </c>
      <c r="F31" s="14" t="s">
        <v>615</v>
      </c>
      <c r="G31" s="14">
        <v>138212</v>
      </c>
      <c r="H31" s="14">
        <v>122776</v>
      </c>
      <c r="I31" s="14">
        <v>22</v>
      </c>
      <c r="J31" s="14" t="s">
        <v>315</v>
      </c>
      <c r="K31" s="14" t="s">
        <v>616</v>
      </c>
      <c r="L31" s="14" t="s">
        <v>617</v>
      </c>
      <c r="M31" s="14" t="s">
        <v>9158</v>
      </c>
      <c r="N31" s="14" t="s">
        <v>9158</v>
      </c>
      <c r="O31" s="14" t="s">
        <v>9158</v>
      </c>
      <c r="P31" s="14" t="s">
        <v>9158</v>
      </c>
      <c r="Q31" s="14" t="s">
        <v>9158</v>
      </c>
    </row>
    <row r="32" spans="1:18">
      <c r="A32" s="14">
        <v>92013</v>
      </c>
      <c r="B32" s="14" t="s">
        <v>0</v>
      </c>
      <c r="C32" s="14" t="s">
        <v>1</v>
      </c>
      <c r="D32" s="14" t="s">
        <v>14885</v>
      </c>
      <c r="E32" s="15" t="str">
        <f>HYPERLINK("https://stat100.ameba.jp/tnk47/ratio20/illustrations/card/ill_92013_hibikiwataruneiroseruma03.jpg?202101-5-RELEASE-marathon-511x", "■")</f>
        <v>■</v>
      </c>
      <c r="F32" s="14" t="s">
        <v>14884</v>
      </c>
      <c r="G32" s="14">
        <v>135038</v>
      </c>
      <c r="H32" s="14">
        <v>75984</v>
      </c>
      <c r="I32" s="14">
        <v>28</v>
      </c>
      <c r="J32" s="14" t="s">
        <v>10</v>
      </c>
      <c r="K32" s="14" t="s">
        <v>14882</v>
      </c>
      <c r="L32" s="14" t="s">
        <v>14881</v>
      </c>
      <c r="M32" s="14" t="s">
        <v>9158</v>
      </c>
      <c r="N32" s="14" t="s">
        <v>9158</v>
      </c>
      <c r="O32" s="14" t="s">
        <v>9158</v>
      </c>
      <c r="P32" s="14" t="s">
        <v>9158</v>
      </c>
      <c r="Q32" s="14" t="s">
        <v>9158</v>
      </c>
    </row>
    <row r="33" spans="1:17">
      <c r="A33" s="9">
        <v>74913</v>
      </c>
      <c r="B33" s="14" t="s">
        <v>334</v>
      </c>
      <c r="C33" s="14" t="s">
        <v>191</v>
      </c>
      <c r="D33" s="14" t="s">
        <v>3984</v>
      </c>
      <c r="E33" s="15" t="str">
        <f>HYPERLINK("https://stat100.ameba.jp/tnk47/ratio20/illustrations/card/ill_74913_nekomatainari03.jpg?202101-5-RELEASE-marathon-511x", "■")</f>
        <v>■</v>
      </c>
      <c r="F33" s="14" t="s">
        <v>3985</v>
      </c>
      <c r="G33" s="14">
        <v>157654</v>
      </c>
      <c r="H33" s="14">
        <v>88728</v>
      </c>
      <c r="I33" s="14">
        <v>28</v>
      </c>
      <c r="J33" s="14" t="s">
        <v>38</v>
      </c>
      <c r="K33" s="14" t="s">
        <v>3986</v>
      </c>
      <c r="L33" s="14" t="s">
        <v>3987</v>
      </c>
      <c r="M33" s="14" t="s">
        <v>9158</v>
      </c>
      <c r="N33" s="14" t="s">
        <v>9158</v>
      </c>
      <c r="O33" s="14" t="s">
        <v>9158</v>
      </c>
      <c r="P33" s="14" t="s">
        <v>9158</v>
      </c>
      <c r="Q33" s="14" t="s">
        <v>9158</v>
      </c>
    </row>
    <row r="34" spans="1:17">
      <c r="A34" s="9">
        <v>86943</v>
      </c>
      <c r="B34" s="9" t="s">
        <v>0</v>
      </c>
      <c r="C34" s="9" t="s">
        <v>206</v>
      </c>
      <c r="D34" s="19" t="s">
        <v>10958</v>
      </c>
      <c r="E34" s="15" t="str">
        <f>HYPERLINK("https://stat100.ameba.jp/tnk47/ratio20/illustrations/card/ill_86943_setsubunhaniyasu03.jpg?202101-5-RELEASE-marathon-511x", "■")</f>
        <v>■</v>
      </c>
      <c r="F34" s="9" t="s">
        <v>9355</v>
      </c>
      <c r="G34" s="14">
        <v>114208</v>
      </c>
      <c r="H34" s="14">
        <v>106178</v>
      </c>
      <c r="I34" s="14">
        <v>28</v>
      </c>
      <c r="J34" s="9" t="s">
        <v>169</v>
      </c>
      <c r="K34" s="9" t="s">
        <v>9354</v>
      </c>
      <c r="L34" s="9" t="s">
        <v>7243</v>
      </c>
      <c r="M34" s="14" t="s">
        <v>9158</v>
      </c>
      <c r="N34" s="14" t="s">
        <v>9158</v>
      </c>
      <c r="O34" s="14" t="s">
        <v>9158</v>
      </c>
      <c r="P34" s="14" t="s">
        <v>9158</v>
      </c>
      <c r="Q34" s="14" t="s">
        <v>9158</v>
      </c>
    </row>
    <row r="36" spans="1:17">
      <c r="A36" s="14" t="s">
        <v>13431</v>
      </c>
    </row>
    <row r="37" spans="1:17">
      <c r="A37" s="14">
        <v>105802</v>
      </c>
      <c r="B37" s="14" t="s">
        <v>15903</v>
      </c>
    </row>
    <row r="38" spans="1:17">
      <c r="A38" s="14" t="s">
        <v>14997</v>
      </c>
      <c r="B38" s="7" t="s">
        <v>52</v>
      </c>
      <c r="C38" s="14" t="s">
        <v>202</v>
      </c>
      <c r="D38" s="18" t="s">
        <v>14996</v>
      </c>
      <c r="E38" s="15" t="str">
        <f>HYPERLINK("https://stat100.ameba.jp/tnk47/ratio20/illustrations/card/ill_92403_0_haroimmochizukichiyome03.jpg?202101-5-RELEASE-marathon-511x", "■")</f>
        <v>■</v>
      </c>
      <c r="F38" s="14" t="s">
        <v>15003</v>
      </c>
      <c r="G38" s="7">
        <v>327154</v>
      </c>
      <c r="H38" s="7">
        <v>267651</v>
      </c>
      <c r="I38" s="7">
        <v>27</v>
      </c>
      <c r="J38" s="14" t="s">
        <v>16</v>
      </c>
      <c r="K38" s="14" t="s">
        <v>15001</v>
      </c>
      <c r="L38" s="14" t="s">
        <v>15000</v>
      </c>
      <c r="M38" s="14" t="s">
        <v>9158</v>
      </c>
      <c r="N38" s="14" t="s">
        <v>9158</v>
      </c>
      <c r="O38" s="6" t="s">
        <v>14998</v>
      </c>
      <c r="P38" s="7" t="s">
        <v>14999</v>
      </c>
      <c r="Q38" s="7">
        <v>1</v>
      </c>
    </row>
    <row r="39" spans="1:17">
      <c r="A39" s="14" t="s">
        <v>13086</v>
      </c>
      <c r="B39" s="7" t="s">
        <v>52</v>
      </c>
      <c r="C39" s="14" t="s">
        <v>202</v>
      </c>
      <c r="D39" s="18" t="s">
        <v>13084</v>
      </c>
      <c r="E39" s="15" t="str">
        <f>HYPERLINK("https://stat100.ameba.jp/tnk47/ratio20/illustrations/card/ill_89703_0_jumburaidohimiko03.jpg?202101-5-RELEASE-marathon-511x", "■")</f>
        <v>■</v>
      </c>
      <c r="F39" s="14" t="s">
        <v>13085</v>
      </c>
      <c r="G39" s="14">
        <v>344095</v>
      </c>
      <c r="H39" s="14">
        <v>281517</v>
      </c>
      <c r="I39" s="7">
        <v>27</v>
      </c>
      <c r="J39" s="14" t="s">
        <v>10</v>
      </c>
      <c r="K39" s="14" t="s">
        <v>13087</v>
      </c>
      <c r="L39" s="14" t="s">
        <v>12016</v>
      </c>
      <c r="M39" s="14" t="s">
        <v>9158</v>
      </c>
      <c r="N39" s="14" t="s">
        <v>9158</v>
      </c>
      <c r="O39" s="6" t="s">
        <v>13088</v>
      </c>
      <c r="P39" s="7" t="s">
        <v>13089</v>
      </c>
      <c r="Q39" s="7">
        <v>1</v>
      </c>
    </row>
    <row r="40" spans="1:17">
      <c r="A40" s="14" t="s">
        <v>12532</v>
      </c>
      <c r="B40" s="7" t="s">
        <v>52</v>
      </c>
      <c r="C40" s="14" t="s">
        <v>202</v>
      </c>
      <c r="D40" s="18" t="s">
        <v>12528</v>
      </c>
      <c r="E40" s="15" t="str">
        <f>HYPERLINK("https://stat100.ameba.jp/tnk47/ratio20/illustrations/card/ill_89073_0_efuwanresuyokohamaserachan03.jpg?202101-5-RELEASE-marathon-511x", "■")</f>
        <v>■</v>
      </c>
      <c r="F40" s="14" t="s">
        <v>12529</v>
      </c>
      <c r="G40" s="14">
        <v>296998</v>
      </c>
      <c r="H40" s="14">
        <v>328614</v>
      </c>
      <c r="I40" s="7">
        <v>27</v>
      </c>
      <c r="J40" s="14" t="s">
        <v>229</v>
      </c>
      <c r="K40" s="14" t="s">
        <v>12530</v>
      </c>
      <c r="L40" s="14" t="s">
        <v>12531</v>
      </c>
      <c r="M40" s="14" t="s">
        <v>9158</v>
      </c>
      <c r="N40" s="14" t="s">
        <v>9158</v>
      </c>
      <c r="O40" s="6" t="s">
        <v>12533</v>
      </c>
      <c r="P40" s="7" t="s">
        <v>12534</v>
      </c>
      <c r="Q40" s="7">
        <v>1</v>
      </c>
    </row>
    <row r="41" spans="1:17">
      <c r="A41" s="7" t="s">
        <v>8839</v>
      </c>
      <c r="B41" s="7" t="s">
        <v>52</v>
      </c>
      <c r="C41" s="7" t="s">
        <v>202</v>
      </c>
      <c r="D41" s="20" t="s">
        <v>10880</v>
      </c>
      <c r="E41" s="15" t="str">
        <f>HYPERLINK("https://stat100.ameba.jp/tnk47/ratio20/illustrations/card/ill_86273_0_oshogatsuniijimayae03.jpg?202101-5-RELEASE-marathon-511x", "■")</f>
        <v>■</v>
      </c>
      <c r="F41" s="7" t="s">
        <v>8838</v>
      </c>
      <c r="G41" s="7">
        <v>296321</v>
      </c>
      <c r="H41" s="7">
        <v>327865</v>
      </c>
      <c r="I41" s="7">
        <v>27</v>
      </c>
      <c r="J41" s="14" t="s">
        <v>173</v>
      </c>
      <c r="K41" s="7" t="s">
        <v>8837</v>
      </c>
      <c r="L41" s="7" t="s">
        <v>13211</v>
      </c>
      <c r="M41" s="14" t="s">
        <v>9158</v>
      </c>
      <c r="N41" s="14" t="s">
        <v>9158</v>
      </c>
      <c r="O41" s="19" t="s">
        <v>10134</v>
      </c>
      <c r="P41" s="7" t="s">
        <v>8870</v>
      </c>
      <c r="Q41" s="7">
        <v>1</v>
      </c>
    </row>
    <row r="42" spans="1:17">
      <c r="A42" s="14" t="s">
        <v>5891</v>
      </c>
      <c r="B42" s="14" t="s">
        <v>330</v>
      </c>
      <c r="C42" s="14" t="s">
        <v>202</v>
      </c>
      <c r="D42" s="20" t="s">
        <v>1371</v>
      </c>
      <c r="E42" s="15" t="str">
        <f>HYPERLINK("https://stat100.ameba.jp/tnk47/ratio20/illustrations/card/ill_77173_0_yukemuritomoegozen03.jpg?202101-5-RELEASE-marathon-511x", "■")</f>
        <v>■</v>
      </c>
      <c r="F42" s="14" t="s">
        <v>1372</v>
      </c>
      <c r="G42" s="14">
        <v>270658</v>
      </c>
      <c r="H42" s="14">
        <v>299465</v>
      </c>
      <c r="I42" s="14">
        <v>27</v>
      </c>
      <c r="J42" s="14" t="s">
        <v>310</v>
      </c>
      <c r="K42" s="14" t="s">
        <v>1373</v>
      </c>
      <c r="L42" s="14" t="s">
        <v>1374</v>
      </c>
      <c r="M42" s="14" t="s">
        <v>9158</v>
      </c>
      <c r="N42" s="14" t="s">
        <v>9158</v>
      </c>
      <c r="O42" s="19" t="s">
        <v>4067</v>
      </c>
      <c r="P42" s="14" t="s">
        <v>3879</v>
      </c>
      <c r="Q42" s="14">
        <v>2</v>
      </c>
    </row>
    <row r="43" spans="1:17">
      <c r="A43" s="14">
        <v>83793</v>
      </c>
      <c r="B43" s="14" t="s">
        <v>0</v>
      </c>
      <c r="C43" s="14" t="s">
        <v>185</v>
      </c>
      <c r="D43" s="19" t="s">
        <v>10606</v>
      </c>
      <c r="E43" s="15" t="str">
        <f>HYPERLINK("https://stat100.ameba.jp/tnk47/ratio20/illustrations/card/ill_83793_danjirisakurambochan03.jpg?202101-5-RELEASE-marathon-511x", "■")</f>
        <v>■</v>
      </c>
      <c r="F43" s="14" t="s">
        <v>6872</v>
      </c>
      <c r="G43" s="14">
        <v>122960</v>
      </c>
      <c r="H43" s="14">
        <v>132230</v>
      </c>
      <c r="I43" s="14">
        <v>28</v>
      </c>
      <c r="J43" s="14" t="s">
        <v>104</v>
      </c>
      <c r="K43" s="14" t="s">
        <v>6870</v>
      </c>
      <c r="L43" s="14" t="s">
        <v>131</v>
      </c>
      <c r="M43" s="14" t="s">
        <v>9158</v>
      </c>
      <c r="N43" s="14" t="s">
        <v>9158</v>
      </c>
      <c r="O43" s="14" t="s">
        <v>9158</v>
      </c>
      <c r="P43" s="14" t="s">
        <v>9158</v>
      </c>
      <c r="Q43" s="14" t="s">
        <v>9158</v>
      </c>
    </row>
    <row r="44" spans="1:17">
      <c r="A44" s="14">
        <v>84453</v>
      </c>
      <c r="B44" s="14" t="s">
        <v>0</v>
      </c>
      <c r="C44" s="14" t="s">
        <v>200</v>
      </c>
      <c r="D44" s="19" t="s">
        <v>10695</v>
      </c>
      <c r="E44" s="15" t="str">
        <f>HYPERLINK("https://stat100.ameba.jp/tnk47/ratio20/illustrations/card/ill_84453_joginguasakusanokaminarimon03.jpg?202101-5-RELEASE-marathon-511x", "■")</f>
        <v>■</v>
      </c>
      <c r="F44" s="14" t="s">
        <v>7429</v>
      </c>
      <c r="G44" s="14">
        <v>118598</v>
      </c>
      <c r="H44" s="14">
        <v>127556</v>
      </c>
      <c r="I44" s="7">
        <v>28</v>
      </c>
      <c r="J44" s="14" t="s">
        <v>229</v>
      </c>
      <c r="K44" s="14" t="s">
        <v>7428</v>
      </c>
      <c r="L44" s="14" t="s">
        <v>7427</v>
      </c>
      <c r="M44" s="14" t="s">
        <v>9158</v>
      </c>
      <c r="N44" s="14" t="s">
        <v>9158</v>
      </c>
      <c r="O44" s="14" t="s">
        <v>9158</v>
      </c>
      <c r="P44" s="14" t="s">
        <v>9158</v>
      </c>
      <c r="Q44" s="14" t="s">
        <v>9158</v>
      </c>
    </row>
    <row r="45" spans="1:17">
      <c r="A45" s="9">
        <v>84593</v>
      </c>
      <c r="B45" s="9" t="s">
        <v>0</v>
      </c>
      <c r="C45" s="9" t="s">
        <v>191</v>
      </c>
      <c r="D45" s="19" t="s">
        <v>10727</v>
      </c>
      <c r="E45" s="15" t="str">
        <f>HYPERLINK("https://stat100.ameba.jp/tnk47/ratio20/illustrations/card/ill_84593_sarugundanhashibahideyoshi03.jpg?202101-5-RELEASE-marathon-511x", "■")</f>
        <v>■</v>
      </c>
      <c r="F45" s="9" t="s">
        <v>7681</v>
      </c>
      <c r="G45" s="14">
        <v>154768</v>
      </c>
      <c r="H45" s="14">
        <v>166452</v>
      </c>
      <c r="I45" s="14">
        <v>28</v>
      </c>
      <c r="J45" s="9" t="s">
        <v>194</v>
      </c>
      <c r="K45" s="9" t="s">
        <v>7680</v>
      </c>
      <c r="L45" s="9" t="s">
        <v>1148</v>
      </c>
      <c r="M45" s="14" t="s">
        <v>9158</v>
      </c>
      <c r="N45" s="14" t="s">
        <v>9158</v>
      </c>
      <c r="O45" s="14" t="s">
        <v>9158</v>
      </c>
      <c r="P45" s="14" t="s">
        <v>9158</v>
      </c>
      <c r="Q45" s="14" t="s">
        <v>9158</v>
      </c>
    </row>
    <row r="46" spans="1:17">
      <c r="A46" s="14">
        <v>81373</v>
      </c>
      <c r="B46" s="14" t="s">
        <v>0</v>
      </c>
      <c r="C46" s="14" t="s">
        <v>165</v>
      </c>
      <c r="D46" s="19" t="s">
        <v>10710</v>
      </c>
      <c r="E46" s="15" t="str">
        <f>HYPERLINK("https://stat100.ameba.jp/tnk47/ratio20/illustrations/card/ill_81373_hakatadontakuhayamisosei03.jpg?202101-5-RELEASE-marathon-511x", "■")</f>
        <v>■</v>
      </c>
      <c r="F46" s="14" t="s">
        <v>4610</v>
      </c>
      <c r="G46" s="14">
        <v>101650</v>
      </c>
      <c r="H46" s="14">
        <v>109370</v>
      </c>
      <c r="I46" s="14">
        <v>28</v>
      </c>
      <c r="J46" s="14" t="s">
        <v>10</v>
      </c>
      <c r="K46" s="14" t="s">
        <v>4611</v>
      </c>
      <c r="L46" s="14" t="s">
        <v>4612</v>
      </c>
      <c r="M46" s="14" t="s">
        <v>9158</v>
      </c>
      <c r="N46" s="14" t="s">
        <v>9158</v>
      </c>
      <c r="O46" s="14" t="s">
        <v>9158</v>
      </c>
      <c r="P46" s="14" t="s">
        <v>9158</v>
      </c>
      <c r="Q46" s="14" t="s">
        <v>9158</v>
      </c>
    </row>
    <row r="47" spans="1:17">
      <c r="A47" s="14">
        <v>83013</v>
      </c>
      <c r="B47" s="14" t="s">
        <v>0</v>
      </c>
      <c r="C47" s="14" t="s">
        <v>205</v>
      </c>
      <c r="D47" s="20" t="s">
        <v>10454</v>
      </c>
      <c r="E47" s="15" t="str">
        <f>HYPERLINK("https://stat100.ameba.jp/tnk47/ratio20/illustrations/card/ill_83013_kyofunobyotosuseribime03.jpg?202101-5-RELEASE-marathon-511x", "■")</f>
        <v>■</v>
      </c>
      <c r="F47" s="14" t="s">
        <v>6035</v>
      </c>
      <c r="G47" s="14">
        <v>106178</v>
      </c>
      <c r="H47" s="14">
        <v>114208</v>
      </c>
      <c r="I47" s="14">
        <v>28</v>
      </c>
      <c r="J47" s="14" t="s">
        <v>169</v>
      </c>
      <c r="K47" s="14" t="s">
        <v>6037</v>
      </c>
      <c r="L47" s="14" t="s">
        <v>13194</v>
      </c>
      <c r="M47" s="14" t="s">
        <v>9158</v>
      </c>
      <c r="N47" s="14" t="s">
        <v>9158</v>
      </c>
      <c r="O47" s="14" t="s">
        <v>9158</v>
      </c>
      <c r="P47" s="14" t="s">
        <v>9158</v>
      </c>
      <c r="Q47" s="14" t="s">
        <v>9158</v>
      </c>
    </row>
    <row r="48" spans="1:17">
      <c r="A48" s="14">
        <v>83603</v>
      </c>
      <c r="B48" s="14" t="s">
        <v>0</v>
      </c>
      <c r="C48" s="14" t="s">
        <v>107</v>
      </c>
      <c r="D48" s="20" t="s">
        <v>10576</v>
      </c>
      <c r="E48" s="15" t="str">
        <f>HYPERLINK("https://stat100.ameba.jp/tnk47/ratio20/illustrations/card/ill_83603_yuenchihazadojingukogo03.jpg?202101-5-RELEASE-marathon-511x", "■")</f>
        <v>■</v>
      </c>
      <c r="F48" s="14" t="s">
        <v>6668</v>
      </c>
      <c r="G48" s="14">
        <v>101650</v>
      </c>
      <c r="H48" s="14">
        <v>109370</v>
      </c>
      <c r="I48" s="14">
        <v>28</v>
      </c>
      <c r="J48" s="14" t="s">
        <v>10</v>
      </c>
      <c r="K48" s="14" t="s">
        <v>6666</v>
      </c>
      <c r="L48" s="14" t="s">
        <v>2057</v>
      </c>
      <c r="M48" s="14" t="s">
        <v>9158</v>
      </c>
      <c r="N48" s="14" t="s">
        <v>9158</v>
      </c>
      <c r="O48" s="14" t="s">
        <v>9158</v>
      </c>
      <c r="P48" s="14" t="s">
        <v>9158</v>
      </c>
      <c r="Q48" s="14" t="s">
        <v>9158</v>
      </c>
    </row>
    <row r="50" spans="1:18">
      <c r="A50" s="14" t="s">
        <v>4065</v>
      </c>
    </row>
    <row r="51" spans="1:18">
      <c r="A51" s="14">
        <v>105813</v>
      </c>
      <c r="B51" s="14" t="s">
        <v>8892</v>
      </c>
    </row>
    <row r="52" spans="1:18">
      <c r="A52" s="9" t="s">
        <v>6030</v>
      </c>
      <c r="B52" s="14" t="s">
        <v>330</v>
      </c>
      <c r="C52" s="14" t="s">
        <v>202</v>
      </c>
      <c r="D52" s="14" t="s">
        <v>3708</v>
      </c>
      <c r="E52" s="15" t="str">
        <f>HYPERLINK("https://stat100.ameba.jp/tnk47/ratio20/illustrations/card/ill_80023_0_hinamatsurikyogokumaria03.jpg?202101-5-RELEASE-marathon-511x", "■")</f>
        <v>■</v>
      </c>
      <c r="F52" s="14" t="s">
        <v>3709</v>
      </c>
      <c r="G52" s="14">
        <v>363858</v>
      </c>
      <c r="H52" s="14">
        <v>402625</v>
      </c>
      <c r="I52" s="14">
        <v>27</v>
      </c>
      <c r="J52" s="14" t="s">
        <v>26</v>
      </c>
      <c r="K52" s="14" t="s">
        <v>3710</v>
      </c>
      <c r="L52" s="14" t="s">
        <v>3711</v>
      </c>
      <c r="M52" s="14" t="s">
        <v>9158</v>
      </c>
      <c r="N52" s="14" t="s">
        <v>9158</v>
      </c>
      <c r="O52" s="9" t="s">
        <v>3712</v>
      </c>
      <c r="P52" s="14" t="s">
        <v>3713</v>
      </c>
      <c r="Q52" s="14">
        <v>1</v>
      </c>
    </row>
    <row r="53" spans="1:18">
      <c r="A53" s="14">
        <v>84323</v>
      </c>
      <c r="B53" s="14" t="s">
        <v>0</v>
      </c>
      <c r="C53" s="14" t="s">
        <v>158</v>
      </c>
      <c r="D53" s="19" t="s">
        <v>10669</v>
      </c>
      <c r="E53" s="15" t="str">
        <f>HYPERLINK("https://stat100.ameba.jp/tnk47/ratio20/illustrations/card/ill_84323_kagizumebyakko03.jpg?202101-5-RELEASE-marathon-511x", "■")</f>
        <v>■</v>
      </c>
      <c r="F53" s="14" t="s">
        <v>7284</v>
      </c>
      <c r="G53" s="14">
        <v>132562</v>
      </c>
      <c r="H53" s="14">
        <v>96010</v>
      </c>
      <c r="I53" s="14">
        <v>26</v>
      </c>
      <c r="J53" s="14" t="s">
        <v>155</v>
      </c>
      <c r="K53" s="14" t="s">
        <v>7283</v>
      </c>
      <c r="L53" s="14" t="s">
        <v>7282</v>
      </c>
      <c r="M53" s="14" t="s">
        <v>9158</v>
      </c>
      <c r="N53" s="14" t="s">
        <v>9158</v>
      </c>
      <c r="O53" s="19" t="s">
        <v>10109</v>
      </c>
      <c r="P53" s="14" t="s">
        <v>3625</v>
      </c>
      <c r="Q53" s="14">
        <v>1</v>
      </c>
    </row>
    <row r="54" spans="1:18">
      <c r="A54" s="14">
        <v>58743</v>
      </c>
      <c r="B54" s="14" t="s">
        <v>334</v>
      </c>
      <c r="C54" s="14" t="s">
        <v>209</v>
      </c>
      <c r="D54" s="20" t="s">
        <v>10273</v>
      </c>
      <c r="E54" s="15" t="str">
        <f>HYPERLINK("https://stat100.ameba.jp/tnk47/ratio20/illustrations/card/ill_58743_enkirienoki03.jpg?202101-5-RELEASE-marathon-511x", "■")</f>
        <v>■</v>
      </c>
      <c r="F54" s="14" t="s">
        <v>2550</v>
      </c>
      <c r="G54" s="14">
        <v>78678</v>
      </c>
      <c r="H54" s="14">
        <v>107304</v>
      </c>
      <c r="I54" s="14">
        <v>26</v>
      </c>
      <c r="J54" s="14" t="s">
        <v>44</v>
      </c>
      <c r="K54" s="14" t="s">
        <v>2551</v>
      </c>
      <c r="L54" s="14" t="s">
        <v>95</v>
      </c>
      <c r="M54" s="14" t="s">
        <v>9158</v>
      </c>
      <c r="N54" s="14" t="s">
        <v>9158</v>
      </c>
      <c r="O54" s="19" t="s">
        <v>10091</v>
      </c>
      <c r="P54" s="14" t="s">
        <v>3670</v>
      </c>
      <c r="Q54" s="14">
        <v>1</v>
      </c>
    </row>
    <row r="55" spans="1:18">
      <c r="A55" s="14">
        <v>67643</v>
      </c>
      <c r="B55" s="14" t="s">
        <v>334</v>
      </c>
      <c r="C55" s="14" t="s">
        <v>209</v>
      </c>
      <c r="D55" s="20" t="s">
        <v>3033</v>
      </c>
      <c r="E55" s="15" t="str">
        <f>HYPERLINK("https://stat100.ameba.jp/tnk47/ratio20/illustrations/card/ill_67643_edokarakamichan03.jpg?202101-5-RELEASE-marathon-511x", "■")</f>
        <v>■</v>
      </c>
      <c r="F55" s="6" t="s">
        <v>1196</v>
      </c>
      <c r="G55" s="14">
        <v>122784</v>
      </c>
      <c r="H55" s="14">
        <v>114176</v>
      </c>
      <c r="I55" s="14">
        <v>26</v>
      </c>
      <c r="J55" s="14" t="s">
        <v>26</v>
      </c>
      <c r="K55" s="14" t="s">
        <v>1197</v>
      </c>
      <c r="L55" s="14" t="s">
        <v>1198</v>
      </c>
      <c r="M55" s="14" t="s">
        <v>9158</v>
      </c>
      <c r="N55" s="14" t="s">
        <v>9158</v>
      </c>
      <c r="O55" s="19" t="s">
        <v>3037</v>
      </c>
      <c r="P55" s="14" t="s">
        <v>13128</v>
      </c>
      <c r="Q55" s="14">
        <v>1</v>
      </c>
    </row>
    <row r="57" spans="1:18">
      <c r="A57" s="14" t="s">
        <v>13327</v>
      </c>
    </row>
    <row r="58" spans="1:18">
      <c r="A58" s="14">
        <v>105818</v>
      </c>
      <c r="B58" s="14" t="s">
        <v>8893</v>
      </c>
    </row>
    <row r="59" spans="1:18">
      <c r="A59" s="14">
        <v>94773</v>
      </c>
      <c r="B59" s="14" t="s">
        <v>0</v>
      </c>
      <c r="C59" s="14" t="s">
        <v>335</v>
      </c>
      <c r="D59" s="14" t="s">
        <v>15781</v>
      </c>
      <c r="E59" s="15" t="str">
        <f>HYPERLINK("https://stat100.ameba.jp/tnk47/ratio20/illustrations/card/ill_94773_baiorinisutosuru03.jpg?202101-5-RELEASE-marathon-511x", "■")</f>
        <v>■</v>
      </c>
      <c r="F59" s="14" t="s">
        <v>15780</v>
      </c>
      <c r="G59" s="14">
        <v>128160</v>
      </c>
      <c r="H59" s="14">
        <v>137846</v>
      </c>
      <c r="I59" s="14">
        <v>28</v>
      </c>
      <c r="J59" s="14" t="s">
        <v>16</v>
      </c>
      <c r="K59" s="14" t="s">
        <v>15779</v>
      </c>
      <c r="L59" s="14" t="s">
        <v>15778</v>
      </c>
      <c r="M59" s="14" t="s">
        <v>2138</v>
      </c>
      <c r="N59" s="14" t="s">
        <v>2139</v>
      </c>
      <c r="O59" s="14" t="s">
        <v>9158</v>
      </c>
      <c r="P59" s="14" t="s">
        <v>9158</v>
      </c>
      <c r="Q59" s="14" t="s">
        <v>9158</v>
      </c>
      <c r="R59" s="14" t="s">
        <v>14748</v>
      </c>
    </row>
    <row r="60" spans="1:18">
      <c r="A60" s="14">
        <v>94772</v>
      </c>
      <c r="B60" s="14" t="s">
        <v>0</v>
      </c>
      <c r="C60" s="14" t="s">
        <v>335</v>
      </c>
      <c r="D60" s="14" t="s">
        <v>15781</v>
      </c>
      <c r="E60" s="15" t="str">
        <f>HYPERLINK("https://stat100.ameba.jp/tnk47/ratio20/illustrations/card/ill_94772_baiorinisutosuru02.jpg?202101-5-RELEASE-marathon-511x", "■")</f>
        <v>■</v>
      </c>
      <c r="F60" s="14" t="s">
        <v>15780</v>
      </c>
      <c r="G60" s="14">
        <v>106148</v>
      </c>
      <c r="H60" s="14">
        <v>115230</v>
      </c>
      <c r="I60" s="14">
        <v>28</v>
      </c>
      <c r="J60" s="14" t="s">
        <v>16</v>
      </c>
      <c r="K60" s="14" t="s">
        <v>15779</v>
      </c>
      <c r="L60" s="14" t="s">
        <v>15778</v>
      </c>
      <c r="M60" s="14" t="s">
        <v>13270</v>
      </c>
      <c r="N60" s="14" t="s">
        <v>13271</v>
      </c>
      <c r="O60" s="14" t="s">
        <v>9158</v>
      </c>
      <c r="P60" s="14" t="s">
        <v>9158</v>
      </c>
      <c r="Q60" s="14" t="s">
        <v>9158</v>
      </c>
      <c r="R60" s="14" t="s">
        <v>14748</v>
      </c>
    </row>
    <row r="61" spans="1:18">
      <c r="A61" s="14">
        <v>94771</v>
      </c>
      <c r="B61" s="14" t="s">
        <v>0</v>
      </c>
      <c r="C61" s="14" t="s">
        <v>335</v>
      </c>
      <c r="D61" s="14" t="s">
        <v>15781</v>
      </c>
      <c r="E61" s="15" t="str">
        <f>HYPERLINK("https://stat100.ameba.jp/tnk47/ratio20/illustrations/card/ill_94771_baiorinisutosuru01.jpg?202101-5-RELEASE-marathon-511x", "■")</f>
        <v>■</v>
      </c>
      <c r="F61" s="14" t="s">
        <v>15780</v>
      </c>
      <c r="G61" s="14">
        <v>81900</v>
      </c>
      <c r="H61" s="14">
        <v>87976</v>
      </c>
      <c r="I61" s="14">
        <v>28</v>
      </c>
      <c r="J61" s="14" t="s">
        <v>16</v>
      </c>
      <c r="K61" s="14" t="s">
        <v>15779</v>
      </c>
      <c r="L61" s="14" t="s">
        <v>15778</v>
      </c>
      <c r="M61" s="14" t="s">
        <v>13270</v>
      </c>
      <c r="N61" s="14" t="s">
        <v>13271</v>
      </c>
      <c r="O61" s="14" t="s">
        <v>9158</v>
      </c>
      <c r="P61" s="14" t="s">
        <v>9158</v>
      </c>
      <c r="Q61" s="14" t="s">
        <v>9158</v>
      </c>
      <c r="R61" s="14" t="s">
        <v>14748</v>
      </c>
    </row>
    <row r="62" spans="1:18">
      <c r="A62" s="14">
        <v>94783</v>
      </c>
      <c r="B62" s="14" t="s">
        <v>0</v>
      </c>
      <c r="C62" s="14" t="s">
        <v>200</v>
      </c>
      <c r="D62" s="14" t="s">
        <v>15784</v>
      </c>
      <c r="E62" s="15" t="str">
        <f>HYPERLINK("https://stat100.ameba.jp/tnk47/ratio20/illustrations/card/ill_94783_deusuekusumashina03.jpg?202101-5-RELEASE-marathon-511x", "■")</f>
        <v>■</v>
      </c>
      <c r="F62" s="14" t="s">
        <v>15785</v>
      </c>
      <c r="G62" s="14">
        <v>128160</v>
      </c>
      <c r="H62" s="14">
        <v>137846</v>
      </c>
      <c r="I62" s="14">
        <v>28</v>
      </c>
      <c r="J62" s="14" t="s">
        <v>10</v>
      </c>
      <c r="K62" s="14" t="s">
        <v>15783</v>
      </c>
      <c r="L62" s="14" t="s">
        <v>15782</v>
      </c>
      <c r="M62" s="14" t="s">
        <v>2138</v>
      </c>
      <c r="N62" s="14" t="s">
        <v>2139</v>
      </c>
      <c r="O62" s="14" t="s">
        <v>9158</v>
      </c>
      <c r="P62" s="14" t="s">
        <v>9158</v>
      </c>
      <c r="Q62" s="14" t="s">
        <v>9158</v>
      </c>
      <c r="R62" s="14" t="s">
        <v>14748</v>
      </c>
    </row>
    <row r="63" spans="1:18">
      <c r="A63" s="14">
        <v>94793</v>
      </c>
      <c r="B63" s="14" t="s">
        <v>0</v>
      </c>
      <c r="C63" s="14" t="s">
        <v>307</v>
      </c>
      <c r="D63" s="14" t="s">
        <v>15789</v>
      </c>
      <c r="E63" s="15" t="str">
        <f>HYPERLINK("https://stat100.ameba.jp/tnk47/ratio20/illustrations/card/ill_94793_eiyukohoseiashuramu03.jpg?202101-5-RELEASE-marathon-511x", "■")</f>
        <v>■</v>
      </c>
      <c r="F63" s="14" t="s">
        <v>15788</v>
      </c>
      <c r="G63" s="14">
        <v>137846</v>
      </c>
      <c r="H63" s="14">
        <v>128160</v>
      </c>
      <c r="I63" s="14">
        <v>28</v>
      </c>
      <c r="J63" s="14" t="s">
        <v>143</v>
      </c>
      <c r="K63" s="14" t="s">
        <v>15787</v>
      </c>
      <c r="L63" s="14" t="s">
        <v>15786</v>
      </c>
      <c r="M63" s="14" t="s">
        <v>2138</v>
      </c>
      <c r="N63" s="14" t="s">
        <v>2139</v>
      </c>
      <c r="O63" s="14" t="s">
        <v>9158</v>
      </c>
      <c r="P63" s="14" t="s">
        <v>9158</v>
      </c>
      <c r="Q63" s="14" t="s">
        <v>9158</v>
      </c>
      <c r="R63" s="14" t="s">
        <v>14748</v>
      </c>
    </row>
    <row r="64" spans="1:18">
      <c r="A64" s="14">
        <v>94803</v>
      </c>
      <c r="B64" s="14" t="s">
        <v>0</v>
      </c>
      <c r="C64" s="14" t="s">
        <v>165</v>
      </c>
      <c r="D64" s="14" t="s">
        <v>15793</v>
      </c>
      <c r="E64" s="15" t="str">
        <f>HYPERLINK("https://stat100.ameba.jp/tnk47/ratio20/illustrations/card/ill_94803_pideiria03.jpg?202101-5-RELEASE-marathon-511x", "■")</f>
        <v>■</v>
      </c>
      <c r="F64" s="14" t="s">
        <v>15792</v>
      </c>
      <c r="G64" s="14">
        <v>137846</v>
      </c>
      <c r="H64" s="14">
        <v>128160</v>
      </c>
      <c r="I64" s="14">
        <v>28</v>
      </c>
      <c r="J64" s="14" t="s">
        <v>77</v>
      </c>
      <c r="K64" s="14" t="s">
        <v>15791</v>
      </c>
      <c r="L64" s="14" t="s">
        <v>15790</v>
      </c>
      <c r="M64" s="14" t="s">
        <v>2138</v>
      </c>
      <c r="N64" s="14" t="s">
        <v>2139</v>
      </c>
      <c r="O64" s="14" t="s">
        <v>9158</v>
      </c>
      <c r="P64" s="14" t="s">
        <v>9158</v>
      </c>
      <c r="Q64" s="14" t="s">
        <v>9158</v>
      </c>
      <c r="R64" s="14" t="s">
        <v>14748</v>
      </c>
    </row>
    <row r="65" spans="1:18">
      <c r="A65" s="14">
        <v>94813</v>
      </c>
      <c r="B65" s="14" t="s">
        <v>0</v>
      </c>
      <c r="C65" s="9" t="s">
        <v>205</v>
      </c>
      <c r="D65" s="14" t="s">
        <v>15796</v>
      </c>
      <c r="E65" s="15" t="str">
        <f>HYPERLINK("https://stat100.ameba.jp/tnk47/ratio20/illustrations/card/ill_94813_satogashinomajoshukuru03.jpg?202101-5-RELEASE-marathon-511x", "■")</f>
        <v>■</v>
      </c>
      <c r="F65" s="14" t="s">
        <v>15795</v>
      </c>
      <c r="G65" s="14">
        <v>137846</v>
      </c>
      <c r="H65" s="14">
        <v>128160</v>
      </c>
      <c r="I65" s="14">
        <v>28</v>
      </c>
      <c r="J65" s="14" t="s">
        <v>104</v>
      </c>
      <c r="K65" s="14" t="s">
        <v>15794</v>
      </c>
      <c r="L65" s="14" t="s">
        <v>13292</v>
      </c>
      <c r="M65" s="14" t="s">
        <v>2138</v>
      </c>
      <c r="N65" s="14" t="s">
        <v>2139</v>
      </c>
      <c r="O65" s="14" t="s">
        <v>9158</v>
      </c>
      <c r="P65" s="14" t="s">
        <v>9158</v>
      </c>
      <c r="Q65" s="14" t="s">
        <v>9158</v>
      </c>
      <c r="R65" s="14" t="s">
        <v>14748</v>
      </c>
    </row>
    <row r="66" spans="1:18">
      <c r="A66" s="14">
        <v>94823</v>
      </c>
      <c r="B66" s="14" t="s">
        <v>0</v>
      </c>
      <c r="C66" s="14" t="s">
        <v>206</v>
      </c>
      <c r="D66" s="14" t="s">
        <v>15800</v>
      </c>
      <c r="E66" s="15" t="str">
        <f>HYPERLINK("https://stat100.ameba.jp/tnk47/ratio20/illustrations/card/ill_94823_sandorizado03.jpg?202101-5-RELEASE-marathon-511x", "■")</f>
        <v>■</v>
      </c>
      <c r="F66" s="14" t="s">
        <v>15799</v>
      </c>
      <c r="G66" s="14">
        <v>128160</v>
      </c>
      <c r="H66" s="14">
        <v>137846</v>
      </c>
      <c r="I66" s="14">
        <v>28</v>
      </c>
      <c r="J66" s="14" t="s">
        <v>73</v>
      </c>
      <c r="K66" s="14" t="s">
        <v>15798</v>
      </c>
      <c r="L66" s="14" t="s">
        <v>15797</v>
      </c>
      <c r="M66" s="14" t="s">
        <v>2138</v>
      </c>
      <c r="N66" s="14" t="s">
        <v>2139</v>
      </c>
      <c r="O66" s="14" t="s">
        <v>9158</v>
      </c>
      <c r="P66" s="14" t="s">
        <v>9158</v>
      </c>
      <c r="Q66" s="14" t="s">
        <v>9158</v>
      </c>
      <c r="R66" s="14" t="s">
        <v>14748</v>
      </c>
    </row>
    <row r="68" spans="1:18">
      <c r="A68" s="14" t="s">
        <v>15801</v>
      </c>
    </row>
    <row r="69" spans="1:18">
      <c r="A69" s="14">
        <v>236009</v>
      </c>
      <c r="B69" s="14" t="s">
        <v>8898</v>
      </c>
    </row>
    <row r="70" spans="1:18">
      <c r="A70" s="14">
        <v>236015</v>
      </c>
      <c r="B70" s="14" t="s">
        <v>8897</v>
      </c>
    </row>
    <row r="71" spans="1:18">
      <c r="A71" s="14" t="s">
        <v>15807</v>
      </c>
      <c r="B71" s="14" t="s">
        <v>52</v>
      </c>
      <c r="C71" s="14" t="s">
        <v>35</v>
      </c>
      <c r="D71" s="14" t="s">
        <v>15808</v>
      </c>
      <c r="E71" s="15" t="str">
        <f>HYPERLINK("https://stat100.ameba.jp/tnk47/ratio20/illustrations/card/ill_95013_0_shinshunnisennijuichiayakashi03.jpg?202101-5-RELEASE-marathon-511x", "■")</f>
        <v>■</v>
      </c>
      <c r="F71" s="14" t="s">
        <v>15806</v>
      </c>
      <c r="G71" s="14">
        <v>278470</v>
      </c>
      <c r="H71" s="14">
        <v>308104</v>
      </c>
      <c r="I71" s="14">
        <v>28</v>
      </c>
      <c r="J71" s="14" t="s">
        <v>73</v>
      </c>
      <c r="K71" s="14" t="s">
        <v>15805</v>
      </c>
      <c r="L71" s="14" t="s">
        <v>15804</v>
      </c>
      <c r="M71" s="14" t="s">
        <v>9158</v>
      </c>
      <c r="N71" s="14" t="s">
        <v>9158</v>
      </c>
      <c r="O71" s="14" t="s">
        <v>15802</v>
      </c>
      <c r="P71" s="14" t="s">
        <v>15803</v>
      </c>
      <c r="Q71" s="14">
        <v>0</v>
      </c>
    </row>
    <row r="72" spans="1:18">
      <c r="A72" s="14">
        <v>95063</v>
      </c>
      <c r="B72" s="14" t="s">
        <v>0</v>
      </c>
      <c r="C72" s="14" t="s">
        <v>14</v>
      </c>
      <c r="D72" s="14" t="s">
        <v>15812</v>
      </c>
      <c r="E72" s="15" t="str">
        <f>HYPERLINK("https://stat100.ameba.jp/tnk47/ratio20/illustrations/card/ill_95063_daikichitokachinoraijin03.jpg?202101-5-RELEASE-marathon-511x", "■")</f>
        <v>■</v>
      </c>
      <c r="F72" s="14" t="s">
        <v>15811</v>
      </c>
      <c r="G72" s="14">
        <v>127556</v>
      </c>
      <c r="H72" s="14">
        <v>118598</v>
      </c>
      <c r="I72" s="14">
        <v>28</v>
      </c>
      <c r="J72" s="14" t="s">
        <v>38</v>
      </c>
      <c r="K72" s="14" t="s">
        <v>15810</v>
      </c>
      <c r="L72" s="14" t="s">
        <v>15809</v>
      </c>
      <c r="M72" s="14" t="s">
        <v>9158</v>
      </c>
      <c r="N72" s="14" t="s">
        <v>9158</v>
      </c>
      <c r="O72" s="14" t="s">
        <v>9158</v>
      </c>
      <c r="P72" s="14" t="s">
        <v>9158</v>
      </c>
      <c r="Q72" s="14" t="s">
        <v>9158</v>
      </c>
    </row>
    <row r="73" spans="1:18">
      <c r="A73" s="14">
        <v>95073</v>
      </c>
      <c r="B73" s="14" t="s">
        <v>15</v>
      </c>
      <c r="C73" s="14" t="s">
        <v>107</v>
      </c>
      <c r="D73" s="14" t="s">
        <v>15815</v>
      </c>
      <c r="E73" s="15" t="str">
        <f>HYPERLINK("https://stat100.ameba.jp/tnk47/ratio20/illustrations/card/ill_95073_koinomikoto03.jpg?202101-5-RELEASE-marathon-511x", "■")</f>
        <v>■</v>
      </c>
      <c r="F73" s="14" t="s">
        <v>15814</v>
      </c>
      <c r="G73" s="14">
        <v>75274</v>
      </c>
      <c r="H73" s="14">
        <v>82992</v>
      </c>
      <c r="I73" s="14">
        <v>28</v>
      </c>
      <c r="J73" s="14" t="s">
        <v>44</v>
      </c>
      <c r="K73" s="14" t="s">
        <v>15813</v>
      </c>
      <c r="L73" s="14" t="s">
        <v>3319</v>
      </c>
      <c r="M73" s="14" t="s">
        <v>9158</v>
      </c>
      <c r="N73" s="14" t="s">
        <v>9158</v>
      </c>
      <c r="O73" s="14" t="s">
        <v>9158</v>
      </c>
      <c r="P73" s="14" t="s">
        <v>9158</v>
      </c>
      <c r="Q73" s="14" t="s">
        <v>9158</v>
      </c>
    </row>
    <row r="74" spans="1:18">
      <c r="A74" s="14">
        <v>96213</v>
      </c>
      <c r="B74" s="14" t="s">
        <v>22</v>
      </c>
      <c r="C74" s="14" t="s">
        <v>96</v>
      </c>
      <c r="D74" s="14" t="s">
        <v>15818</v>
      </c>
      <c r="E74" s="15" t="str">
        <f>HYPERLINK("https://stat100.ameba.jp/tnk47/ratio20/illustrations/card/ill_96213_shogatsuisebi03.jpg?202101-5-RELEASE-marathon-511x", "■")</f>
        <v>■</v>
      </c>
      <c r="F74" s="14" t="s">
        <v>15817</v>
      </c>
      <c r="G74" s="14">
        <v>58216</v>
      </c>
      <c r="H74" s="14">
        <v>48406</v>
      </c>
      <c r="I74" s="14">
        <v>28</v>
      </c>
      <c r="J74" s="14" t="s">
        <v>104</v>
      </c>
      <c r="K74" s="14" t="s">
        <v>15816</v>
      </c>
      <c r="L74" s="14" t="s">
        <v>2674</v>
      </c>
      <c r="M74" s="14" t="s">
        <v>9158</v>
      </c>
      <c r="N74" s="14" t="s">
        <v>9158</v>
      </c>
      <c r="O74" s="14" t="s">
        <v>9158</v>
      </c>
      <c r="P74" s="14" t="s">
        <v>9158</v>
      </c>
      <c r="Q74" s="14" t="s">
        <v>9158</v>
      </c>
    </row>
    <row r="75" spans="1:18">
      <c r="A75" s="14">
        <v>95093</v>
      </c>
      <c r="B75" s="14" t="s">
        <v>22</v>
      </c>
      <c r="C75" s="14" t="s">
        <v>23</v>
      </c>
      <c r="D75" s="14" t="s">
        <v>15821</v>
      </c>
      <c r="E75" s="15" t="str">
        <f>HYPERLINK("https://stat100.ameba.jp/tnk47/ratio20/illustrations/card/ill_95093_seijinshikiseijinshikimagatamachan03.jpg?202101-5-RELEASE-marathon-511x", "■")</f>
        <v>■</v>
      </c>
      <c r="F75" s="14" t="s">
        <v>15820</v>
      </c>
      <c r="G75" s="14">
        <v>48406</v>
      </c>
      <c r="H75" s="14">
        <v>58216</v>
      </c>
      <c r="I75" s="14">
        <v>28</v>
      </c>
      <c r="J75" s="14" t="s">
        <v>26</v>
      </c>
      <c r="K75" s="14" t="s">
        <v>15819</v>
      </c>
      <c r="L75" s="14" t="s">
        <v>28</v>
      </c>
      <c r="M75" s="14" t="s">
        <v>9158</v>
      </c>
      <c r="N75" s="14" t="s">
        <v>9158</v>
      </c>
      <c r="O75" s="14" t="s">
        <v>9158</v>
      </c>
      <c r="P75" s="14" t="s">
        <v>9158</v>
      </c>
      <c r="Q75" s="14" t="s">
        <v>9158</v>
      </c>
    </row>
    <row r="77" spans="1:18">
      <c r="A77" s="14" t="s">
        <v>3844</v>
      </c>
    </row>
    <row r="78" spans="1:18">
      <c r="A78" s="14">
        <v>105843</v>
      </c>
      <c r="B78" s="14" t="s">
        <v>15822</v>
      </c>
    </row>
    <row r="79" spans="1:18">
      <c r="A79" s="9" t="s">
        <v>5843</v>
      </c>
      <c r="B79" s="14" t="s">
        <v>52</v>
      </c>
      <c r="C79" s="14" t="s">
        <v>202</v>
      </c>
      <c r="D79" s="14" t="s">
        <v>2126</v>
      </c>
      <c r="E79" s="15" t="str">
        <f>HYPERLINK("https://stat100.ameba.jp/tnk47/ratio20/illustrations/card/ill_77963_0_kurisumasudaisakusentakiyashahime03.jpg?202101-5-RELEASE-marathon-511x", "■")</f>
        <v>■</v>
      </c>
      <c r="F79" s="14" t="s">
        <v>2127</v>
      </c>
      <c r="G79" s="14">
        <v>319308</v>
      </c>
      <c r="H79" s="14">
        <v>288586</v>
      </c>
      <c r="I79" s="14">
        <v>26</v>
      </c>
      <c r="J79" s="14" t="s">
        <v>77</v>
      </c>
      <c r="K79" s="14" t="s">
        <v>2128</v>
      </c>
      <c r="L79" s="14" t="s">
        <v>2129</v>
      </c>
      <c r="M79" s="14" t="s">
        <v>9158</v>
      </c>
      <c r="N79" s="14" t="s">
        <v>9158</v>
      </c>
      <c r="O79" s="9" t="s">
        <v>3588</v>
      </c>
      <c r="P79" s="14" t="s">
        <v>3589</v>
      </c>
      <c r="Q79" s="14">
        <v>2</v>
      </c>
    </row>
    <row r="80" spans="1:18">
      <c r="A80" s="14">
        <v>91653</v>
      </c>
      <c r="B80" s="14" t="s">
        <v>0</v>
      </c>
      <c r="C80" s="14" t="s">
        <v>96</v>
      </c>
      <c r="D80" s="18" t="s">
        <v>14544</v>
      </c>
      <c r="E80" s="15" t="str">
        <f>HYPERLINK("https://stat100.ameba.jp/tnk47/ratio20/illustrations/card/ill_91653_ninjashugyosunakakemusume03.jpg?202101-5-RELEASE-marathon-511x", "■")</f>
        <v>■</v>
      </c>
      <c r="F80" s="14" t="s">
        <v>14543</v>
      </c>
      <c r="G80" s="14">
        <v>101558</v>
      </c>
      <c r="H80" s="14">
        <v>94390</v>
      </c>
      <c r="I80" s="14">
        <v>26</v>
      </c>
      <c r="J80" s="14" t="s">
        <v>73</v>
      </c>
      <c r="K80" s="14" t="s">
        <v>14541</v>
      </c>
      <c r="L80" s="14" t="s">
        <v>12211</v>
      </c>
      <c r="M80" s="14" t="s">
        <v>9158</v>
      </c>
      <c r="N80" s="14" t="s">
        <v>9158</v>
      </c>
      <c r="O80" s="6" t="s">
        <v>10054</v>
      </c>
      <c r="P80" s="7" t="s">
        <v>3672</v>
      </c>
      <c r="Q80" s="7">
        <v>1</v>
      </c>
    </row>
    <row r="81" spans="1:17">
      <c r="A81" s="14">
        <v>84863</v>
      </c>
      <c r="B81" s="14" t="s">
        <v>0</v>
      </c>
      <c r="C81" s="14" t="s">
        <v>200</v>
      </c>
      <c r="D81" s="19" t="s">
        <v>10742</v>
      </c>
      <c r="E81" s="15" t="str">
        <f>HYPERLINK("https://stat100.ameba.jp/tnk47/ratio20/illustrations/card/ill_84863_onsengaiarisubekon03.jpg?202101-5-RELEASE-marathon-511x", "■")</f>
        <v>■</v>
      </c>
      <c r="F81" s="14" t="s">
        <v>7796</v>
      </c>
      <c r="G81" s="14">
        <v>105426</v>
      </c>
      <c r="H81" s="14">
        <v>98066</v>
      </c>
      <c r="I81" s="14">
        <v>26</v>
      </c>
      <c r="J81" s="14" t="s">
        <v>159</v>
      </c>
      <c r="K81" s="14" t="s">
        <v>7795</v>
      </c>
      <c r="L81" s="14" t="s">
        <v>7794</v>
      </c>
      <c r="M81" s="14" t="s">
        <v>9158</v>
      </c>
      <c r="N81" s="14" t="s">
        <v>9158</v>
      </c>
      <c r="O81" s="19" t="s">
        <v>2951</v>
      </c>
      <c r="P81" s="14" t="s">
        <v>13122</v>
      </c>
      <c r="Q81" s="14">
        <v>1</v>
      </c>
    </row>
    <row r="82" spans="1:17">
      <c r="A82" s="14">
        <v>86223</v>
      </c>
      <c r="B82" s="14" t="s">
        <v>0</v>
      </c>
      <c r="C82" s="14" t="s">
        <v>191</v>
      </c>
      <c r="D82" s="20" t="s">
        <v>10881</v>
      </c>
      <c r="E82" s="15" t="str">
        <f>HYPERLINK("https://stat100.ameba.jp/tnk47/ratio20/illustrations/card/ill_86223_oshogatsumiyoshino03.jpg?202101-5-RELEASE-marathon-511x", "■")</f>
        <v>■</v>
      </c>
      <c r="F82" s="14" t="s">
        <v>8871</v>
      </c>
      <c r="G82" s="14">
        <v>94390</v>
      </c>
      <c r="H82" s="14">
        <v>101558</v>
      </c>
      <c r="I82" s="14">
        <v>26</v>
      </c>
      <c r="J82" s="14" t="s">
        <v>187</v>
      </c>
      <c r="K82" s="14" t="s">
        <v>8845</v>
      </c>
      <c r="L82" s="14" t="s">
        <v>13212</v>
      </c>
      <c r="M82" s="14" t="s">
        <v>9158</v>
      </c>
      <c r="N82" s="14" t="s">
        <v>9158</v>
      </c>
      <c r="O82" s="19" t="s">
        <v>10119</v>
      </c>
      <c r="P82" s="14" t="s">
        <v>3662</v>
      </c>
      <c r="Q82" s="14">
        <v>1</v>
      </c>
    </row>
    <row r="84" spans="1:17">
      <c r="A84" s="14" t="s">
        <v>15912</v>
      </c>
    </row>
    <row r="85" spans="1:17">
      <c r="A85" s="14">
        <v>105846</v>
      </c>
      <c r="B85" s="14" t="s">
        <v>15913</v>
      </c>
    </row>
    <row r="86" spans="1:17">
      <c r="A86" s="14" t="s">
        <v>5619</v>
      </c>
      <c r="B86" s="14" t="s">
        <v>330</v>
      </c>
      <c r="C86" s="14" t="s">
        <v>202</v>
      </c>
      <c r="D86" s="19" t="s">
        <v>10348</v>
      </c>
      <c r="E86" s="15" t="str">
        <f>HYPERLINK("https://stat100.ameba.jp/tnk47/ratio20/illustrations/card/ill_81183_0_shinryokunokisetsuamaterasu03.jpg?202101-5-RELEASE-marathon-511x", "■")</f>
        <v>■</v>
      </c>
      <c r="F86" s="14" t="s">
        <v>4505</v>
      </c>
      <c r="G86" s="14">
        <v>252122</v>
      </c>
      <c r="H86" s="14">
        <v>278984</v>
      </c>
      <c r="I86" s="14">
        <v>24</v>
      </c>
      <c r="J86" s="14" t="s">
        <v>44</v>
      </c>
      <c r="K86" s="14" t="s">
        <v>4506</v>
      </c>
      <c r="L86" s="14" t="s">
        <v>4507</v>
      </c>
      <c r="M86" s="14" t="s">
        <v>9158</v>
      </c>
      <c r="N86" s="14" t="s">
        <v>9158</v>
      </c>
      <c r="O86" s="19" t="s">
        <v>10083</v>
      </c>
      <c r="P86" s="14" t="s">
        <v>4509</v>
      </c>
      <c r="Q86" s="14">
        <v>0</v>
      </c>
    </row>
    <row r="87" spans="1:17">
      <c r="A87" s="14" t="s">
        <v>5822</v>
      </c>
      <c r="B87" s="14" t="s">
        <v>330</v>
      </c>
      <c r="C87" s="14" t="s">
        <v>307</v>
      </c>
      <c r="D87" s="19" t="s">
        <v>306</v>
      </c>
      <c r="E87" s="15" t="str">
        <f>HYPERLINK("https://stat100.ameba.jp/tnk47/ratio20/illustrations/card/ill_71403_0_ohanamisanadayukimura03.jpg?202101-5-RELEASE-marathon-511x", "■")</f>
        <v>■</v>
      </c>
      <c r="F87" s="14" t="s">
        <v>309</v>
      </c>
      <c r="G87" s="14">
        <v>224026</v>
      </c>
      <c r="H87" s="14">
        <v>208310</v>
      </c>
      <c r="I87" s="14">
        <v>24</v>
      </c>
      <c r="J87" s="14" t="s">
        <v>310</v>
      </c>
      <c r="K87" s="14" t="s">
        <v>311</v>
      </c>
      <c r="L87" s="14" t="s">
        <v>312</v>
      </c>
      <c r="M87" s="14" t="s">
        <v>9158</v>
      </c>
      <c r="N87" s="14" t="s">
        <v>9158</v>
      </c>
      <c r="O87" s="19" t="s">
        <v>10104</v>
      </c>
      <c r="P87" s="14" t="s">
        <v>3418</v>
      </c>
      <c r="Q87" s="14">
        <v>2</v>
      </c>
    </row>
    <row r="88" spans="1:17">
      <c r="A88" s="14" t="s">
        <v>5608</v>
      </c>
      <c r="B88" s="14" t="s">
        <v>52</v>
      </c>
      <c r="C88" s="14" t="s">
        <v>96</v>
      </c>
      <c r="D88" s="19" t="s">
        <v>634</v>
      </c>
      <c r="E88" s="15" t="str">
        <f>HYPERLINK("https://stat100.ameba.jp/tnk47/ratio20/illustrations/card/ill_40963_0_makami03.jpg?202101-5-RELEASE-marathon-511x", "■")</f>
        <v>■</v>
      </c>
      <c r="F88" s="14" t="s">
        <v>2038</v>
      </c>
      <c r="G88" s="14">
        <v>140448</v>
      </c>
      <c r="H88" s="14">
        <v>131538</v>
      </c>
      <c r="I88" s="14">
        <v>24</v>
      </c>
      <c r="J88" s="14" t="s">
        <v>44</v>
      </c>
      <c r="K88" s="14" t="s">
        <v>2039</v>
      </c>
      <c r="L88" s="14" t="s">
        <v>2040</v>
      </c>
      <c r="M88" s="14" t="s">
        <v>9158</v>
      </c>
      <c r="N88" s="14" t="s">
        <v>9158</v>
      </c>
      <c r="O88" s="14" t="s">
        <v>9158</v>
      </c>
      <c r="P88" s="14" t="s">
        <v>9158</v>
      </c>
      <c r="Q88" s="14" t="s">
        <v>9158</v>
      </c>
    </row>
    <row r="89" spans="1:17">
      <c r="A89" s="14">
        <v>95063</v>
      </c>
      <c r="B89" s="14" t="s">
        <v>0</v>
      </c>
      <c r="C89" s="14" t="s">
        <v>14</v>
      </c>
      <c r="D89" s="14" t="s">
        <v>15812</v>
      </c>
      <c r="E89" s="15" t="str">
        <f>HYPERLINK("https://stat100.ameba.jp/tnk47/ratio20/illustrations/card/ill_95063_daikichitokachinoraijin03.jpg?202101-5-RELEASE-marathon-511x", "■")</f>
        <v>■</v>
      </c>
      <c r="F89" s="14" t="s">
        <v>15811</v>
      </c>
      <c r="G89" s="14">
        <v>118446</v>
      </c>
      <c r="H89" s="14">
        <v>110126</v>
      </c>
      <c r="I89" s="14">
        <v>26</v>
      </c>
      <c r="J89" s="14" t="s">
        <v>38</v>
      </c>
      <c r="K89" s="14" t="s">
        <v>15810</v>
      </c>
      <c r="L89" s="14" t="s">
        <v>15809</v>
      </c>
      <c r="M89" s="14" t="s">
        <v>9158</v>
      </c>
      <c r="N89" s="14" t="s">
        <v>9158</v>
      </c>
      <c r="O89" s="14" t="s">
        <v>9158</v>
      </c>
      <c r="P89" s="14" t="s">
        <v>9158</v>
      </c>
      <c r="Q89" s="14" t="s">
        <v>9158</v>
      </c>
    </row>
    <row r="90" spans="1:17">
      <c r="A90" s="14">
        <v>95073</v>
      </c>
      <c r="B90" s="14" t="s">
        <v>15</v>
      </c>
      <c r="C90" s="14" t="s">
        <v>107</v>
      </c>
      <c r="D90" s="14" t="s">
        <v>15815</v>
      </c>
      <c r="E90" s="15" t="str">
        <f>HYPERLINK("https://stat100.ameba.jp/tnk47/ratio20/illustrations/card/ill_95073_koinomikoto03.jpg?202101-5-RELEASE-marathon-511x", "■")</f>
        <v>■</v>
      </c>
      <c r="F90" s="14" t="s">
        <v>15814</v>
      </c>
      <c r="G90" s="14">
        <v>69898</v>
      </c>
      <c r="H90" s="14">
        <v>77064</v>
      </c>
      <c r="I90" s="14">
        <v>26</v>
      </c>
      <c r="J90" s="14" t="s">
        <v>44</v>
      </c>
      <c r="K90" s="14" t="s">
        <v>15813</v>
      </c>
      <c r="L90" s="14" t="s">
        <v>3319</v>
      </c>
      <c r="M90" s="14" t="s">
        <v>9158</v>
      </c>
      <c r="N90" s="14" t="s">
        <v>9158</v>
      </c>
      <c r="O90" s="14" t="s">
        <v>9158</v>
      </c>
      <c r="P90" s="14" t="s">
        <v>9158</v>
      </c>
      <c r="Q90" s="14" t="s">
        <v>9158</v>
      </c>
    </row>
    <row r="91" spans="1:17">
      <c r="A91" s="14">
        <v>96213</v>
      </c>
      <c r="B91" s="14" t="s">
        <v>22</v>
      </c>
      <c r="C91" s="14" t="s">
        <v>96</v>
      </c>
      <c r="D91" s="14" t="s">
        <v>15818</v>
      </c>
      <c r="E91" s="15" t="str">
        <f>HYPERLINK("https://stat100.ameba.jp/tnk47/ratio20/illustrations/card/ill_96213_shogatsuisebi03.jpg?202101-5-RELEASE-marathon-511x", "■")</f>
        <v>■</v>
      </c>
      <c r="F91" s="14" t="s">
        <v>15817</v>
      </c>
      <c r="G91" s="14">
        <v>54058</v>
      </c>
      <c r="H91" s="14">
        <v>44948</v>
      </c>
      <c r="I91" s="14">
        <v>26</v>
      </c>
      <c r="J91" s="14" t="s">
        <v>104</v>
      </c>
      <c r="K91" s="14" t="s">
        <v>15816</v>
      </c>
      <c r="L91" s="14" t="s">
        <v>2674</v>
      </c>
      <c r="M91" s="14" t="s">
        <v>9158</v>
      </c>
      <c r="N91" s="14" t="s">
        <v>9158</v>
      </c>
      <c r="O91" s="14" t="s">
        <v>9158</v>
      </c>
      <c r="P91" s="14" t="s">
        <v>9158</v>
      </c>
      <c r="Q91" s="14" t="s">
        <v>9158</v>
      </c>
    </row>
    <row r="92" spans="1:17">
      <c r="A92" s="14">
        <v>95093</v>
      </c>
      <c r="B92" s="14" t="s">
        <v>22</v>
      </c>
      <c r="C92" s="14" t="s">
        <v>23</v>
      </c>
      <c r="D92" s="14" t="s">
        <v>15821</v>
      </c>
      <c r="E92" s="15" t="str">
        <f>HYPERLINK("https://stat100.ameba.jp/tnk47/ratio20/illustrations/card/ill_95093_seijinshikiseijinshikimagatamachan03.jpg?202101-5-RELEASE-marathon-511x", "■")</f>
        <v>■</v>
      </c>
      <c r="F92" s="14" t="s">
        <v>15820</v>
      </c>
      <c r="G92" s="14">
        <v>44948</v>
      </c>
      <c r="H92" s="14">
        <v>54058</v>
      </c>
      <c r="I92" s="14">
        <v>26</v>
      </c>
      <c r="J92" s="14" t="s">
        <v>26</v>
      </c>
      <c r="K92" s="14" t="s">
        <v>15819</v>
      </c>
      <c r="L92" s="14" t="s">
        <v>28</v>
      </c>
      <c r="M92" s="14" t="s">
        <v>9158</v>
      </c>
      <c r="N92" s="14" t="s">
        <v>9158</v>
      </c>
      <c r="O92" s="14" t="s">
        <v>9158</v>
      </c>
      <c r="P92" s="14" t="s">
        <v>9158</v>
      </c>
      <c r="Q92" s="14" t="s">
        <v>9158</v>
      </c>
    </row>
    <row r="94" spans="1:17">
      <c r="A94" s="14" t="s">
        <v>15914</v>
      </c>
    </row>
    <row r="95" spans="1:17">
      <c r="A95" s="14">
        <v>236039</v>
      </c>
      <c r="B95" s="14" t="s">
        <v>15916</v>
      </c>
    </row>
    <row r="96" spans="1:17">
      <c r="A96" s="14" t="s">
        <v>5650</v>
      </c>
      <c r="B96" s="14" t="s">
        <v>52</v>
      </c>
      <c r="C96" s="14" t="s">
        <v>23</v>
      </c>
      <c r="D96" s="14" t="s">
        <v>136</v>
      </c>
      <c r="E96" s="15" t="str">
        <f>HYPERLINK("https://stat100.ameba.jp/tnk47/ratio20/illustrations/card/ill_68033_0_kurisumasupateikandamyojin03.jpg?202101-5-RELEASE-marathon-511x", "■")</f>
        <v>■</v>
      </c>
      <c r="F96" s="14" t="s">
        <v>1871</v>
      </c>
      <c r="G96" s="14">
        <v>139878</v>
      </c>
      <c r="H96" s="14">
        <v>150466</v>
      </c>
      <c r="I96" s="14">
        <v>22</v>
      </c>
      <c r="J96" s="14" t="s">
        <v>44</v>
      </c>
      <c r="K96" s="14" t="s">
        <v>1872</v>
      </c>
      <c r="L96" s="14" t="s">
        <v>1873</v>
      </c>
      <c r="M96" s="14" t="s">
        <v>9158</v>
      </c>
      <c r="N96" s="14" t="s">
        <v>9158</v>
      </c>
      <c r="O96" s="7" t="s">
        <v>3482</v>
      </c>
      <c r="P96" s="14" t="s">
        <v>3483</v>
      </c>
      <c r="Q96" s="14">
        <v>2</v>
      </c>
    </row>
    <row r="97" spans="1:17">
      <c r="A97" s="14" t="s">
        <v>5617</v>
      </c>
      <c r="B97" s="14" t="s">
        <v>330</v>
      </c>
      <c r="C97" s="14" t="s">
        <v>308</v>
      </c>
      <c r="D97" s="19" t="s">
        <v>385</v>
      </c>
      <c r="E97" s="15" t="str">
        <f>HYPERLINK("https://stat100.ameba.jp/tnk47/ratio20/illustrations/card/ill_59673_0_oheyashutendoji03.jpg?202101-5-RELEASE-marathon-511x", "■")</f>
        <v>■</v>
      </c>
      <c r="F97" s="14" t="s">
        <v>386</v>
      </c>
      <c r="G97" s="14">
        <v>154800</v>
      </c>
      <c r="H97" s="14">
        <v>166504</v>
      </c>
      <c r="I97" s="14">
        <v>22</v>
      </c>
      <c r="J97" s="14" t="s">
        <v>320</v>
      </c>
      <c r="K97" s="14" t="s">
        <v>387</v>
      </c>
      <c r="L97" s="14" t="s">
        <v>388</v>
      </c>
      <c r="M97" s="14" t="s">
        <v>9158</v>
      </c>
      <c r="N97" s="14" t="s">
        <v>9158</v>
      </c>
      <c r="O97" s="19" t="s">
        <v>10078</v>
      </c>
      <c r="P97" s="14" t="s">
        <v>3022</v>
      </c>
      <c r="Q97" s="14">
        <v>1</v>
      </c>
    </row>
    <row r="98" spans="1:17">
      <c r="A98" s="14" t="s">
        <v>6132</v>
      </c>
      <c r="B98" s="14" t="s">
        <v>330</v>
      </c>
      <c r="C98" s="14" t="s">
        <v>205</v>
      </c>
      <c r="D98" s="19" t="s">
        <v>702</v>
      </c>
      <c r="E98" s="15" t="str">
        <f>HYPERLINK("https://stat100.ameba.jp/tnk47/ratio20/illustrations/card/ill_50693_0_hanamizugimimuratsuru03.jpg?202101-5-RELEASE-marathon-511x", "■")</f>
        <v>■</v>
      </c>
      <c r="F98" s="14" t="s">
        <v>703</v>
      </c>
      <c r="G98" s="14">
        <v>122776</v>
      </c>
      <c r="H98" s="14">
        <v>138212</v>
      </c>
      <c r="I98" s="14">
        <v>22</v>
      </c>
      <c r="J98" s="14" t="s">
        <v>310</v>
      </c>
      <c r="K98" s="14" t="s">
        <v>704</v>
      </c>
      <c r="L98" s="14" t="s">
        <v>705</v>
      </c>
      <c r="M98" s="14" t="s">
        <v>9158</v>
      </c>
      <c r="N98" s="14" t="s">
        <v>9158</v>
      </c>
      <c r="O98" s="9" t="s">
        <v>9158</v>
      </c>
      <c r="P98" s="14" t="s">
        <v>9158</v>
      </c>
      <c r="Q98" s="14" t="s">
        <v>9158</v>
      </c>
    </row>
    <row r="99" spans="1:17">
      <c r="A99" s="14">
        <v>90033</v>
      </c>
      <c r="B99" s="14" t="s">
        <v>0</v>
      </c>
      <c r="C99" s="14" t="s">
        <v>14</v>
      </c>
      <c r="D99" s="14" t="s">
        <v>13998</v>
      </c>
      <c r="E99" s="15" t="str">
        <f>HYPERLINK("https://stat100.ameba.jp/tnk47/ratio20/illustrations/card/ill_90033_buiranzukodonemueru03.jpg?202101-5-RELEASE-marathon-511x", "■")</f>
        <v>■</v>
      </c>
      <c r="F99" s="14" t="s">
        <v>13997</v>
      </c>
      <c r="G99" s="14">
        <v>75984</v>
      </c>
      <c r="H99" s="14">
        <v>135038</v>
      </c>
      <c r="I99" s="14">
        <v>28</v>
      </c>
      <c r="J99" s="14" t="s">
        <v>16</v>
      </c>
      <c r="K99" s="14" t="s">
        <v>13996</v>
      </c>
      <c r="L99" s="14" t="s">
        <v>12599</v>
      </c>
      <c r="M99" s="14" t="s">
        <v>9158</v>
      </c>
      <c r="N99" s="14" t="s">
        <v>9158</v>
      </c>
      <c r="O99" s="14" t="s">
        <v>9158</v>
      </c>
      <c r="P99" s="14" t="s">
        <v>9158</v>
      </c>
      <c r="Q99" s="14" t="s">
        <v>9158</v>
      </c>
    </row>
    <row r="100" spans="1:17">
      <c r="A100" s="14">
        <v>90713</v>
      </c>
      <c r="B100" s="14" t="s">
        <v>0</v>
      </c>
      <c r="C100" s="14" t="s">
        <v>23</v>
      </c>
      <c r="D100" s="14" t="s">
        <v>14349</v>
      </c>
      <c r="E100" s="15" t="str">
        <f>HYPERLINK("https://stat100.ameba.jp/tnk47/ratio20/illustrations/card/ill_90713_hamabenotosu03.jpg?202101-5-RELEASE-marathon-511x", "■")</f>
        <v>■</v>
      </c>
      <c r="F100" s="14" t="s">
        <v>14348</v>
      </c>
      <c r="G100" s="14">
        <v>75984</v>
      </c>
      <c r="H100" s="14">
        <v>135038</v>
      </c>
      <c r="I100" s="14">
        <v>28</v>
      </c>
      <c r="J100" s="14" t="s">
        <v>77</v>
      </c>
      <c r="K100" s="14" t="s">
        <v>14347</v>
      </c>
      <c r="L100" s="14" t="s">
        <v>14346</v>
      </c>
      <c r="M100" s="14" t="s">
        <v>9158</v>
      </c>
      <c r="N100" s="14" t="s">
        <v>9158</v>
      </c>
      <c r="O100" s="14" t="s">
        <v>9158</v>
      </c>
      <c r="P100" s="14" t="s">
        <v>9158</v>
      </c>
      <c r="Q100" s="14" t="s">
        <v>9158</v>
      </c>
    </row>
    <row r="101" spans="1:17">
      <c r="A101" s="9">
        <v>87323</v>
      </c>
      <c r="B101" s="9" t="s">
        <v>0</v>
      </c>
      <c r="C101" s="9" t="s">
        <v>165</v>
      </c>
      <c r="D101" s="19" t="s">
        <v>10995</v>
      </c>
      <c r="E101" s="15" t="str">
        <f>HYPERLINK("https://stat100.ameba.jp/tnk47/ratio20/illustrations/card/ill_87323_takopakuidaorechan03.jpg?202101-5-RELEASE-marathon-511x", "■")</f>
        <v>■</v>
      </c>
      <c r="F101" s="9" t="s">
        <v>9830</v>
      </c>
      <c r="G101" s="9">
        <v>118598</v>
      </c>
      <c r="H101" s="9">
        <v>127556</v>
      </c>
      <c r="I101" s="9">
        <v>28</v>
      </c>
      <c r="J101" s="9" t="s">
        <v>229</v>
      </c>
      <c r="K101" s="9" t="s">
        <v>9829</v>
      </c>
      <c r="L101" s="9" t="s">
        <v>7427</v>
      </c>
      <c r="M101" s="14" t="s">
        <v>9158</v>
      </c>
      <c r="N101" s="14" t="s">
        <v>9158</v>
      </c>
      <c r="O101" s="14" t="s">
        <v>9158</v>
      </c>
      <c r="P101" s="14" t="s">
        <v>9158</v>
      </c>
      <c r="Q101" s="14" t="s">
        <v>9158</v>
      </c>
    </row>
    <row r="103" spans="1:17">
      <c r="A103" s="14" t="s">
        <v>15915</v>
      </c>
    </row>
    <row r="104" spans="1:17">
      <c r="A104" s="14">
        <v>105869</v>
      </c>
      <c r="B104" s="14" t="s">
        <v>15917</v>
      </c>
    </row>
    <row r="105" spans="1:17">
      <c r="A105" s="14">
        <v>105879</v>
      </c>
      <c r="B105" s="14" t="s">
        <v>15721</v>
      </c>
    </row>
    <row r="106" spans="1:17">
      <c r="A106" s="14" t="s">
        <v>13793</v>
      </c>
      <c r="B106" s="14" t="s">
        <v>117</v>
      </c>
      <c r="C106" s="14" t="s">
        <v>35</v>
      </c>
      <c r="D106" s="14" t="s">
        <v>13790</v>
      </c>
      <c r="E106" s="15" t="str">
        <f>HYPERLINK("https://stat100.ameba.jp/tnk47/ratio20/illustrations/card/ill_90853_0_meijosanki03.jpg?202101-5-RELEASE-marathon-511x", "■")</f>
        <v>■</v>
      </c>
      <c r="F106" s="14" t="s">
        <v>13794</v>
      </c>
      <c r="G106" s="14">
        <v>323852</v>
      </c>
      <c r="H106" s="14">
        <v>358280</v>
      </c>
      <c r="I106" s="14">
        <v>30</v>
      </c>
      <c r="J106" s="14" t="s">
        <v>26</v>
      </c>
      <c r="K106" s="14" t="s">
        <v>13796</v>
      </c>
      <c r="L106" s="14" t="s">
        <v>13797</v>
      </c>
      <c r="M106" s="14" t="s">
        <v>9158</v>
      </c>
      <c r="N106" s="14" t="s">
        <v>9158</v>
      </c>
      <c r="O106" s="14" t="s">
        <v>13798</v>
      </c>
      <c r="P106" s="14" t="s">
        <v>11958</v>
      </c>
      <c r="Q106" s="14">
        <v>1</v>
      </c>
    </row>
    <row r="107" spans="1:17">
      <c r="A107" s="14" t="s">
        <v>13547</v>
      </c>
      <c r="B107" s="14" t="s">
        <v>117</v>
      </c>
      <c r="C107" s="14" t="s">
        <v>35</v>
      </c>
      <c r="D107" s="14" t="s">
        <v>13545</v>
      </c>
      <c r="E107" s="15" t="str">
        <f>HYPERLINK("https://stat100.ameba.jp/tnk47/ratio20/illustrations/card/ill_92163_0_jinraisanki03.jpg?202101-5-RELEASE-marathon-511x", "■")</f>
        <v>■</v>
      </c>
      <c r="F107" s="14" t="s">
        <v>13548</v>
      </c>
      <c r="G107" s="14">
        <v>358638</v>
      </c>
      <c r="H107" s="14">
        <v>324106</v>
      </c>
      <c r="I107" s="14">
        <v>30</v>
      </c>
      <c r="J107" s="14" t="s">
        <v>44</v>
      </c>
      <c r="K107" s="14" t="s">
        <v>13550</v>
      </c>
      <c r="L107" s="14" t="s">
        <v>13551</v>
      </c>
      <c r="M107" s="14" t="s">
        <v>9158</v>
      </c>
      <c r="N107" s="14" t="s">
        <v>9158</v>
      </c>
      <c r="O107" s="14" t="s">
        <v>13552</v>
      </c>
      <c r="P107" s="14" t="s">
        <v>5394</v>
      </c>
      <c r="Q107" s="14">
        <v>1</v>
      </c>
    </row>
    <row r="108" spans="1:17">
      <c r="A108" s="14" t="s">
        <v>15240</v>
      </c>
      <c r="B108" s="14" t="s">
        <v>117</v>
      </c>
      <c r="C108" s="14" t="s">
        <v>35</v>
      </c>
      <c r="D108" s="14" t="s">
        <v>15242</v>
      </c>
      <c r="E108" s="15" t="str">
        <f>HYPERLINK("https://stat100.ameba.jp/tnk47/ratio20/illustrations/card/ill_93503_0_reimeisammaki03.jpg?202101-5-RELEASE-marathon-511x", "■")</f>
        <v>■</v>
      </c>
      <c r="F108" s="14" t="s">
        <v>15239</v>
      </c>
      <c r="G108" s="14">
        <v>337732</v>
      </c>
      <c r="H108" s="14">
        <v>363248</v>
      </c>
      <c r="I108" s="14">
        <v>30</v>
      </c>
      <c r="J108" s="14" t="s">
        <v>44</v>
      </c>
      <c r="K108" s="14" t="s">
        <v>15238</v>
      </c>
      <c r="L108" s="14" t="s">
        <v>15237</v>
      </c>
      <c r="M108" s="14" t="s">
        <v>9158</v>
      </c>
      <c r="N108" s="14" t="s">
        <v>9158</v>
      </c>
      <c r="O108" s="14" t="s">
        <v>15577</v>
      </c>
      <c r="P108" s="14" t="s">
        <v>5968</v>
      </c>
      <c r="Q108" s="14">
        <v>1</v>
      </c>
    </row>
    <row r="109" spans="1:17">
      <c r="A109" s="14">
        <v>78143</v>
      </c>
      <c r="B109" s="14" t="s">
        <v>334</v>
      </c>
      <c r="C109" s="14" t="s">
        <v>203</v>
      </c>
      <c r="D109" s="19" t="s">
        <v>10285</v>
      </c>
      <c r="E109" s="15" t="str">
        <f>HYPERLINK("https://stat100.ameba.jp/tnk47/ratio20/illustrations/card/ill_78143_kanibarukuin03.jpg?202101-5-RELEASE-marathon-511x", "■")</f>
        <v>■</v>
      </c>
      <c r="F109" s="14" t="s">
        <v>2687</v>
      </c>
      <c r="G109" s="14">
        <v>103396</v>
      </c>
      <c r="H109" s="14">
        <v>142760</v>
      </c>
      <c r="I109" s="14">
        <v>28</v>
      </c>
      <c r="J109" s="14" t="s">
        <v>26</v>
      </c>
      <c r="K109" s="14" t="s">
        <v>2688</v>
      </c>
      <c r="L109" s="14" t="s">
        <v>2137</v>
      </c>
      <c r="M109" s="14" t="s">
        <v>9158</v>
      </c>
      <c r="N109" s="14" t="s">
        <v>9158</v>
      </c>
      <c r="O109" s="19" t="s">
        <v>10103</v>
      </c>
      <c r="P109" s="14" t="s">
        <v>3897</v>
      </c>
      <c r="Q109" s="14">
        <v>1</v>
      </c>
    </row>
    <row r="110" spans="1:17">
      <c r="A110" s="14">
        <v>77683</v>
      </c>
      <c r="B110" s="14" t="s">
        <v>0</v>
      </c>
      <c r="C110" s="14" t="s">
        <v>203</v>
      </c>
      <c r="D110" s="20" t="s">
        <v>10220</v>
      </c>
      <c r="E110" s="15" t="str">
        <f>HYPERLINK("https://stat100.ameba.jp/tnk47/ratio20/illustrations/card/ill_77683_shukusainoujohoride03.jpg?202101-5-RELEASE-marathon-511x", "■")</f>
        <v>■</v>
      </c>
      <c r="F110" s="14" t="s">
        <v>1430</v>
      </c>
      <c r="G110" s="14">
        <v>122372</v>
      </c>
      <c r="H110" s="14">
        <v>88650</v>
      </c>
      <c r="I110" s="14">
        <v>28</v>
      </c>
      <c r="J110" s="14" t="s">
        <v>315</v>
      </c>
      <c r="K110" s="14" t="s">
        <v>1431</v>
      </c>
      <c r="L110" s="14" t="s">
        <v>1432</v>
      </c>
      <c r="M110" s="14" t="s">
        <v>9158</v>
      </c>
      <c r="N110" s="14" t="s">
        <v>9158</v>
      </c>
      <c r="O110" s="19" t="s">
        <v>10090</v>
      </c>
      <c r="P110" s="14" t="s">
        <v>3460</v>
      </c>
      <c r="Q110" s="14">
        <v>1</v>
      </c>
    </row>
    <row r="111" spans="1:17">
      <c r="A111" s="14">
        <v>81303</v>
      </c>
      <c r="B111" s="14" t="s">
        <v>334</v>
      </c>
      <c r="C111" s="14" t="s">
        <v>41</v>
      </c>
      <c r="D111" s="20" t="s">
        <v>10349</v>
      </c>
      <c r="E111" s="15" t="str">
        <f>HYPERLINK("https://stat100.ameba.jp/tnk47/ratio20/illustrations/card/ill_81303_suteirukuin03.jpg?202101-5-RELEASE-marathon-511x", "■")</f>
        <v>■</v>
      </c>
      <c r="F111" s="14" t="s">
        <v>4581</v>
      </c>
      <c r="G111" s="14">
        <v>134934</v>
      </c>
      <c r="H111" s="14">
        <v>186288</v>
      </c>
      <c r="I111" s="14">
        <v>28</v>
      </c>
      <c r="J111" s="14" t="s">
        <v>104</v>
      </c>
      <c r="K111" s="14" t="s">
        <v>4582</v>
      </c>
      <c r="L111" s="14" t="s">
        <v>2304</v>
      </c>
      <c r="M111" s="14" t="s">
        <v>9158</v>
      </c>
      <c r="N111" s="14" t="s">
        <v>9158</v>
      </c>
      <c r="O111" s="19" t="s">
        <v>10084</v>
      </c>
      <c r="P111" s="14" t="s">
        <v>4584</v>
      </c>
      <c r="Q111" s="14">
        <v>1</v>
      </c>
    </row>
    <row r="112" spans="1:17">
      <c r="A112" s="14">
        <v>80743</v>
      </c>
      <c r="B112" s="14" t="s">
        <v>0</v>
      </c>
      <c r="C112" s="14" t="s">
        <v>209</v>
      </c>
      <c r="D112" s="20" t="s">
        <v>10414</v>
      </c>
      <c r="E112" s="15" t="str">
        <f>HYPERLINK("https://stat100.ameba.jp/tnk47/ratio20/illustrations/card/ill_80743_senseijutsushi03.jpg?202101-5-RELEASE-marathon-511x", "■")</f>
        <v>■</v>
      </c>
      <c r="F112" s="14" t="s">
        <v>4249</v>
      </c>
      <c r="G112" s="14">
        <v>88650</v>
      </c>
      <c r="H112" s="14">
        <v>122372</v>
      </c>
      <c r="I112" s="14">
        <v>28</v>
      </c>
      <c r="J112" s="14" t="s">
        <v>16</v>
      </c>
      <c r="K112" s="14" t="s">
        <v>4250</v>
      </c>
      <c r="L112" s="14" t="s">
        <v>4251</v>
      </c>
      <c r="M112" s="14" t="s">
        <v>9158</v>
      </c>
      <c r="N112" s="14" t="s">
        <v>9158</v>
      </c>
      <c r="O112" s="19" t="s">
        <v>10109</v>
      </c>
      <c r="P112" s="14" t="s">
        <v>3625</v>
      </c>
      <c r="Q112" s="14">
        <v>1</v>
      </c>
    </row>
    <row r="113" spans="1:17">
      <c r="A113" s="14">
        <v>81313</v>
      </c>
      <c r="B113" s="14" t="s">
        <v>0</v>
      </c>
      <c r="C113" s="14" t="s">
        <v>154</v>
      </c>
      <c r="D113" s="20" t="s">
        <v>10511</v>
      </c>
      <c r="E113" s="15" t="str">
        <f>HYPERLINK("https://stat100.ameba.jp/tnk47/ratio20/illustrations/card/ill_81313_harihara03.jpg?202101-5-RELEASE-marathon-511x", "■")</f>
        <v>■</v>
      </c>
      <c r="F113" s="14" t="s">
        <v>4667</v>
      </c>
      <c r="G113" s="14">
        <v>186288</v>
      </c>
      <c r="H113" s="14">
        <v>134934</v>
      </c>
      <c r="I113" s="14">
        <v>28</v>
      </c>
      <c r="J113" s="14" t="s">
        <v>44</v>
      </c>
      <c r="K113" s="14" t="s">
        <v>4668</v>
      </c>
      <c r="L113" s="14" t="s">
        <v>4669</v>
      </c>
      <c r="M113" s="14" t="s">
        <v>9158</v>
      </c>
      <c r="N113" s="14" t="s">
        <v>9158</v>
      </c>
      <c r="O113" s="19" t="s">
        <v>10114</v>
      </c>
      <c r="P113" s="14" t="s">
        <v>3658</v>
      </c>
      <c r="Q113" s="14">
        <v>1</v>
      </c>
    </row>
    <row r="114" spans="1:17">
      <c r="A114" s="9">
        <v>68693</v>
      </c>
      <c r="B114" s="14" t="s">
        <v>334</v>
      </c>
      <c r="C114" s="14" t="s">
        <v>154</v>
      </c>
      <c r="D114" s="14" t="s">
        <v>3465</v>
      </c>
      <c r="E114" s="15" t="str">
        <f>HYPERLINK("https://stat100.ameba.jp/tnk47/ratio20/illustrations/card/ill_68693_mayoiga03.jpg?202101-5-RELEASE-marathon-511x", "■")</f>
        <v>■</v>
      </c>
      <c r="F114" s="14" t="s">
        <v>3466</v>
      </c>
      <c r="G114" s="14">
        <v>148002</v>
      </c>
      <c r="H114" s="14">
        <v>107188</v>
      </c>
      <c r="I114" s="14">
        <v>28</v>
      </c>
      <c r="J114" s="14" t="s">
        <v>73</v>
      </c>
      <c r="K114" s="14" t="s">
        <v>3467</v>
      </c>
      <c r="L114" s="14" t="s">
        <v>3468</v>
      </c>
      <c r="M114" s="14" t="s">
        <v>9158</v>
      </c>
      <c r="N114" s="14" t="s">
        <v>9158</v>
      </c>
      <c r="O114" s="7" t="s">
        <v>3469</v>
      </c>
      <c r="P114" s="14" t="s">
        <v>13128</v>
      </c>
      <c r="Q114" s="14">
        <v>1</v>
      </c>
    </row>
    <row r="116" spans="1:17">
      <c r="A116" s="14" t="s">
        <v>15918</v>
      </c>
    </row>
    <row r="117" spans="1:17">
      <c r="A117" s="14">
        <v>105892</v>
      </c>
      <c r="B117" s="14" t="s">
        <v>15919</v>
      </c>
    </row>
    <row r="118" spans="1:17">
      <c r="A118" s="14" t="s">
        <v>5605</v>
      </c>
      <c r="B118" s="14" t="s">
        <v>52</v>
      </c>
      <c r="C118" s="14" t="s">
        <v>202</v>
      </c>
      <c r="D118" s="19" t="s">
        <v>10332</v>
      </c>
      <c r="E118" s="15" t="str">
        <f>HYPERLINK("https://stat100.ameba.jp/tnk47/ratio20/illustrations/card/ill_79373_0_hommeichokotennyohime03.jpg?202101-5-RELEASE-marathon-511x", "■")</f>
        <v>■</v>
      </c>
      <c r="F118" s="14" t="s">
        <v>3495</v>
      </c>
      <c r="G118" s="14">
        <v>333862</v>
      </c>
      <c r="H118" s="14">
        <v>301759</v>
      </c>
      <c r="I118" s="14">
        <v>27</v>
      </c>
      <c r="J118" s="14" t="s">
        <v>104</v>
      </c>
      <c r="K118" s="14" t="s">
        <v>3496</v>
      </c>
      <c r="L118" s="14" t="s">
        <v>3497</v>
      </c>
      <c r="M118" s="14" t="s">
        <v>9158</v>
      </c>
      <c r="N118" s="14" t="s">
        <v>9158</v>
      </c>
      <c r="O118" s="19" t="s">
        <v>10072</v>
      </c>
      <c r="P118" s="14" t="s">
        <v>3498</v>
      </c>
      <c r="Q118" s="14">
        <v>1</v>
      </c>
    </row>
    <row r="119" spans="1:17">
      <c r="A119" s="14">
        <v>81023</v>
      </c>
      <c r="B119" s="14" t="s">
        <v>334</v>
      </c>
      <c r="C119" s="14" t="s">
        <v>41</v>
      </c>
      <c r="D119" s="19" t="s">
        <v>10274</v>
      </c>
      <c r="E119" s="15" t="str">
        <f>HYPERLINK("https://stat100.ameba.jp/tnk47/ratio20/illustrations/card/ill_81023_momonokenki03.jpg?202101-5-RELEASE-marathon-511x", "■")</f>
        <v>■</v>
      </c>
      <c r="F119" s="14" t="s">
        <v>4088</v>
      </c>
      <c r="G119" s="14">
        <v>137430</v>
      </c>
      <c r="H119" s="14">
        <v>99532</v>
      </c>
      <c r="I119" s="14">
        <v>26</v>
      </c>
      <c r="J119" s="14" t="s">
        <v>143</v>
      </c>
      <c r="K119" s="14" t="s">
        <v>4089</v>
      </c>
      <c r="L119" s="14" t="s">
        <v>2049</v>
      </c>
      <c r="M119" s="14" t="s">
        <v>9158</v>
      </c>
      <c r="N119" s="14" t="s">
        <v>9158</v>
      </c>
      <c r="O119" s="19" t="s">
        <v>10096</v>
      </c>
      <c r="P119" s="14" t="s">
        <v>3245</v>
      </c>
      <c r="Q119" s="14">
        <v>1</v>
      </c>
    </row>
    <row r="120" spans="1:17">
      <c r="A120" s="14">
        <v>80163</v>
      </c>
      <c r="B120" s="14" t="s">
        <v>334</v>
      </c>
      <c r="C120" s="14" t="s">
        <v>158</v>
      </c>
      <c r="D120" s="19" t="s">
        <v>10391</v>
      </c>
      <c r="E120" s="15" t="str">
        <f>HYPERLINK("https://stat100.ameba.jp/tnk47/ratio20/illustrations/card/ill_80163_kuronosu03.jpg?202101-5-RELEASE-marathon-511x", "■")</f>
        <v>■</v>
      </c>
      <c r="F120" s="14" t="s">
        <v>3766</v>
      </c>
      <c r="G120" s="14">
        <v>85962</v>
      </c>
      <c r="H120" s="14">
        <v>118684</v>
      </c>
      <c r="I120" s="14">
        <v>26</v>
      </c>
      <c r="J120" s="14" t="s">
        <v>44</v>
      </c>
      <c r="K120" s="14" t="s">
        <v>3767</v>
      </c>
      <c r="L120" s="14" t="s">
        <v>1209</v>
      </c>
      <c r="M120" s="14" t="s">
        <v>9158</v>
      </c>
      <c r="N120" s="14" t="s">
        <v>9158</v>
      </c>
      <c r="O120" s="19" t="s">
        <v>2752</v>
      </c>
      <c r="P120" s="14" t="s">
        <v>13123</v>
      </c>
      <c r="Q120" s="14">
        <v>1</v>
      </c>
    </row>
    <row r="121" spans="1:17">
      <c r="A121" s="14">
        <v>75053</v>
      </c>
      <c r="B121" s="14" t="s">
        <v>334</v>
      </c>
      <c r="C121" s="14" t="s">
        <v>47</v>
      </c>
      <c r="D121" s="19" t="s">
        <v>10366</v>
      </c>
      <c r="E121" s="15" t="str">
        <f>HYPERLINK("https://stat100.ameba.jp/tnk47/ratio20/illustrations/card/ill_75053_goshikinuma03.jpg?202101-5-RELEASE-marathon-511x", "■")</f>
        <v>■</v>
      </c>
      <c r="F121" s="14" t="s">
        <v>5644</v>
      </c>
      <c r="G121" s="14">
        <v>96010</v>
      </c>
      <c r="H121" s="14">
        <v>132562</v>
      </c>
      <c r="I121" s="14">
        <v>26</v>
      </c>
      <c r="J121" s="14" t="s">
        <v>26</v>
      </c>
      <c r="K121" s="14" t="s">
        <v>5646</v>
      </c>
      <c r="L121" s="14" t="s">
        <v>2137</v>
      </c>
      <c r="M121" s="14" t="s">
        <v>9158</v>
      </c>
      <c r="N121" s="14" t="s">
        <v>9158</v>
      </c>
      <c r="O121" s="19" t="s">
        <v>10093</v>
      </c>
      <c r="P121" s="14" t="s">
        <v>13145</v>
      </c>
      <c r="Q121" s="14">
        <v>1</v>
      </c>
    </row>
    <row r="123" spans="1:17">
      <c r="A123" s="14" t="s">
        <v>15920</v>
      </c>
    </row>
    <row r="124" spans="1:17">
      <c r="A124" s="14">
        <v>105897</v>
      </c>
      <c r="B124" s="14" t="s">
        <v>15921</v>
      </c>
    </row>
    <row r="125" spans="1:17">
      <c r="A125" s="14">
        <v>71013</v>
      </c>
      <c r="B125" s="14" t="s">
        <v>334</v>
      </c>
      <c r="C125" s="14" t="s">
        <v>154</v>
      </c>
      <c r="D125" s="19" t="s">
        <v>837</v>
      </c>
      <c r="E125" s="15" t="str">
        <f>HYPERLINK("https://stat100.ameba.jp/tnk47/ratio20/illustrations/card/ill_71013_fujutsushisarashina03.jpg?202101-5-RELEASE-marathon-511x", "■")</f>
        <v>■</v>
      </c>
      <c r="F125" s="14" t="s">
        <v>838</v>
      </c>
      <c r="G125" s="14">
        <v>112286</v>
      </c>
      <c r="H125" s="14">
        <v>120766</v>
      </c>
      <c r="I125" s="14">
        <v>28</v>
      </c>
      <c r="J125" s="14" t="s">
        <v>155</v>
      </c>
      <c r="K125" s="14" t="s">
        <v>1231</v>
      </c>
      <c r="L125" s="14" t="s">
        <v>13152</v>
      </c>
      <c r="M125" s="14" t="s">
        <v>9864</v>
      </c>
      <c r="N125" s="14" t="s">
        <v>9158</v>
      </c>
      <c r="O125" s="14" t="s">
        <v>9158</v>
      </c>
      <c r="P125" s="14" t="s">
        <v>9158</v>
      </c>
      <c r="Q125" s="14" t="s">
        <v>9158</v>
      </c>
    </row>
    <row r="126" spans="1:17">
      <c r="A126" s="14">
        <v>71023</v>
      </c>
      <c r="B126" s="14" t="s">
        <v>334</v>
      </c>
      <c r="C126" s="14" t="s">
        <v>158</v>
      </c>
      <c r="D126" s="19" t="s">
        <v>841</v>
      </c>
      <c r="E126" s="15" t="str">
        <f>HYPERLINK("https://stat100.ameba.jp/tnk47/ratio20/illustrations/card/ill_71023_ommyojiiroha03.jpg?202101-5-RELEASE-marathon-511x", "■")</f>
        <v>■</v>
      </c>
      <c r="F126" s="14" t="s">
        <v>842</v>
      </c>
      <c r="G126" s="14">
        <v>112286</v>
      </c>
      <c r="H126" s="14">
        <v>120766</v>
      </c>
      <c r="I126" s="14">
        <v>28</v>
      </c>
      <c r="J126" s="14" t="s">
        <v>159</v>
      </c>
      <c r="K126" s="14" t="s">
        <v>1232</v>
      </c>
      <c r="L126" s="14" t="s">
        <v>1233</v>
      </c>
      <c r="M126" s="14" t="s">
        <v>9158</v>
      </c>
      <c r="N126" s="14" t="s">
        <v>9158</v>
      </c>
      <c r="O126" s="14" t="s">
        <v>9158</v>
      </c>
      <c r="P126" s="14" t="s">
        <v>9158</v>
      </c>
      <c r="Q126" s="14" t="s">
        <v>9158</v>
      </c>
    </row>
    <row r="127" spans="1:17">
      <c r="A127" s="14">
        <v>66053</v>
      </c>
      <c r="B127" s="14" t="s">
        <v>334</v>
      </c>
      <c r="C127" s="14" t="s">
        <v>205</v>
      </c>
      <c r="D127" s="19" t="s">
        <v>3046</v>
      </c>
      <c r="E127" s="15" t="str">
        <f>HYPERLINK("https://stat100.ameba.jp/tnk47/ratio20/illustrations/card/ill_66053_serebukushiyatamanokami03.jpg?202101-5-RELEASE-marathon-511x", "■")</f>
        <v>■</v>
      </c>
      <c r="F127" s="14" t="s">
        <v>2265</v>
      </c>
      <c r="G127" s="14">
        <v>114208</v>
      </c>
      <c r="H127" s="14">
        <v>106178</v>
      </c>
      <c r="I127" s="14">
        <v>28</v>
      </c>
      <c r="J127" s="14" t="s">
        <v>44</v>
      </c>
      <c r="K127" s="14" t="s">
        <v>2266</v>
      </c>
      <c r="L127" s="14" t="s">
        <v>1860</v>
      </c>
      <c r="M127" s="14" t="s">
        <v>9158</v>
      </c>
      <c r="N127" s="14" t="s">
        <v>9158</v>
      </c>
      <c r="O127" s="14" t="s">
        <v>9158</v>
      </c>
      <c r="P127" s="14" t="s">
        <v>9158</v>
      </c>
      <c r="Q127" s="14" t="s">
        <v>9158</v>
      </c>
    </row>
    <row r="128" spans="1:17">
      <c r="A128" s="14">
        <v>65923</v>
      </c>
      <c r="B128" s="14" t="s">
        <v>334</v>
      </c>
      <c r="C128" s="14" t="s">
        <v>185</v>
      </c>
      <c r="D128" s="19" t="s">
        <v>10204</v>
      </c>
      <c r="E128" s="15" t="str">
        <f>HYPERLINK("https://stat100.ameba.jp/tnk47/ratio20/illustrations/card/ill_65923_arabianginko03.jpg?202101-5-RELEASE-marathon-511x", "■")</f>
        <v>■</v>
      </c>
      <c r="F128" s="14" t="s">
        <v>4978</v>
      </c>
      <c r="G128" s="14">
        <v>116662</v>
      </c>
      <c r="H128" s="14">
        <v>108494</v>
      </c>
      <c r="I128" s="14">
        <v>28</v>
      </c>
      <c r="J128" s="14" t="s">
        <v>182</v>
      </c>
      <c r="K128" s="14" t="s">
        <v>3679</v>
      </c>
      <c r="L128" s="14" t="s">
        <v>13188</v>
      </c>
      <c r="M128" s="14" t="s">
        <v>9158</v>
      </c>
      <c r="N128" s="14" t="s">
        <v>9158</v>
      </c>
      <c r="O128" s="14" t="s">
        <v>9158</v>
      </c>
      <c r="P128" s="14" t="s">
        <v>9158</v>
      </c>
      <c r="Q128" s="14" t="s">
        <v>9158</v>
      </c>
    </row>
    <row r="129" spans="1:17">
      <c r="A129" s="14">
        <v>52863</v>
      </c>
      <c r="B129" s="14" t="s">
        <v>15</v>
      </c>
      <c r="C129" s="14" t="s">
        <v>191</v>
      </c>
      <c r="D129" s="19" t="s">
        <v>10516</v>
      </c>
      <c r="E129" s="15" t="str">
        <f>HYPERLINK("https://stat100.ameba.jp/tnk47/ratio20/illustrations/card/ill_52863_andoroidokingyonota03.jpg?202101-5-RELEASE-marathon-511x", "■")</f>
        <v>■</v>
      </c>
      <c r="F129" s="14" t="s">
        <v>6409</v>
      </c>
      <c r="G129" s="14">
        <v>64520</v>
      </c>
      <c r="H129" s="14">
        <v>71136</v>
      </c>
      <c r="I129" s="14">
        <v>24</v>
      </c>
      <c r="J129" s="14" t="s">
        <v>38</v>
      </c>
      <c r="K129" s="14" t="s">
        <v>6407</v>
      </c>
      <c r="L129" s="14" t="s">
        <v>6406</v>
      </c>
      <c r="M129" s="14" t="s">
        <v>9158</v>
      </c>
      <c r="N129" s="14" t="s">
        <v>9158</v>
      </c>
      <c r="O129" s="14" t="s">
        <v>9158</v>
      </c>
      <c r="P129" s="14" t="s">
        <v>9158</v>
      </c>
      <c r="Q129" s="14" t="s">
        <v>9158</v>
      </c>
    </row>
    <row r="130" spans="1:17">
      <c r="A130" s="14">
        <v>51593</v>
      </c>
      <c r="B130" s="14" t="s">
        <v>15</v>
      </c>
      <c r="C130" s="14" t="s">
        <v>200</v>
      </c>
      <c r="D130" s="19" t="s">
        <v>10517</v>
      </c>
      <c r="E130" s="15" t="str">
        <f>HYPERLINK("https://stat100.ameba.jp/tnk47/ratio20/illustrations/card/ill_51593_kishuhondatadakatsu03.jpg?202101-5-RELEASE-marathon-511x", "■")</f>
        <v>■</v>
      </c>
      <c r="F130" s="14" t="s">
        <v>6413</v>
      </c>
      <c r="G130" s="14">
        <v>64520</v>
      </c>
      <c r="H130" s="14">
        <v>71136</v>
      </c>
      <c r="I130" s="14">
        <v>24</v>
      </c>
      <c r="J130" s="14" t="s">
        <v>143</v>
      </c>
      <c r="K130" s="14" t="s">
        <v>6411</v>
      </c>
      <c r="L130" s="14" t="s">
        <v>6410</v>
      </c>
      <c r="M130" s="14" t="s">
        <v>9158</v>
      </c>
      <c r="N130" s="14" t="s">
        <v>9158</v>
      </c>
      <c r="O130" s="14" t="s">
        <v>9158</v>
      </c>
      <c r="P130" s="14" t="s">
        <v>9158</v>
      </c>
      <c r="Q130" s="14" t="s">
        <v>9158</v>
      </c>
    </row>
    <row r="131" spans="1:17">
      <c r="A131" s="14">
        <v>55403</v>
      </c>
      <c r="B131" s="14" t="s">
        <v>15</v>
      </c>
      <c r="C131" s="14" t="s">
        <v>165</v>
      </c>
      <c r="D131" s="19" t="s">
        <v>10518</v>
      </c>
      <c r="E131" s="15" t="str">
        <f>HYPERLINK("https://stat100.ameba.jp/tnk47/ratio20/illustrations/card/ill_55403_undokaikyogokumaria03.jpg?202101-5-RELEASE-marathon-511x", "■")</f>
        <v>■</v>
      </c>
      <c r="F131" s="14" t="s">
        <v>6417</v>
      </c>
      <c r="G131" s="14">
        <v>71136</v>
      </c>
      <c r="H131" s="14">
        <v>64520</v>
      </c>
      <c r="I131" s="14">
        <v>24</v>
      </c>
      <c r="J131" s="14" t="s">
        <v>77</v>
      </c>
      <c r="K131" s="14" t="s">
        <v>6415</v>
      </c>
      <c r="L131" s="14" t="s">
        <v>6414</v>
      </c>
      <c r="M131" s="14" t="s">
        <v>9158</v>
      </c>
      <c r="N131" s="14" t="s">
        <v>9158</v>
      </c>
      <c r="O131" s="14" t="s">
        <v>9158</v>
      </c>
      <c r="P131" s="14" t="s">
        <v>9158</v>
      </c>
      <c r="Q131" s="14" t="s">
        <v>9158</v>
      </c>
    </row>
    <row r="132" spans="1:17">
      <c r="A132" s="14">
        <v>52973</v>
      </c>
      <c r="B132" s="14" t="s">
        <v>15</v>
      </c>
      <c r="C132" s="14" t="s">
        <v>206</v>
      </c>
      <c r="D132" s="19" t="s">
        <v>10519</v>
      </c>
      <c r="E132" s="15" t="str">
        <f>HYPERLINK("https://stat100.ameba.jp/tnk47/ratio20/illustrations/card/ill_55403_undokaikyogokumaria03.jpg?202101-5-RELEASE-marathon-511x", "■")</f>
        <v>■</v>
      </c>
      <c r="F132" s="14" t="s">
        <v>6421</v>
      </c>
      <c r="G132" s="14">
        <v>71136</v>
      </c>
      <c r="H132" s="14">
        <v>64520</v>
      </c>
      <c r="I132" s="14">
        <v>24</v>
      </c>
      <c r="J132" s="14" t="s">
        <v>44</v>
      </c>
      <c r="K132" s="14" t="s">
        <v>6419</v>
      </c>
      <c r="L132" s="14" t="s">
        <v>6418</v>
      </c>
      <c r="M132" s="14" t="s">
        <v>9158</v>
      </c>
      <c r="N132" s="14" t="s">
        <v>9158</v>
      </c>
      <c r="O132" s="14" t="s">
        <v>9158</v>
      </c>
      <c r="P132" s="14" t="s">
        <v>9158</v>
      </c>
      <c r="Q132" s="14" t="s">
        <v>9158</v>
      </c>
    </row>
    <row r="134" spans="1:17">
      <c r="A134" s="14" t="s">
        <v>15922</v>
      </c>
    </row>
    <row r="135" spans="1:17">
      <c r="A135" s="14">
        <v>236063</v>
      </c>
      <c r="B135" s="14" t="s">
        <v>15924</v>
      </c>
    </row>
    <row r="136" spans="1:17">
      <c r="A136" s="14">
        <v>236073</v>
      </c>
      <c r="B136" s="14" t="s">
        <v>15923</v>
      </c>
    </row>
    <row r="137" spans="1:17">
      <c r="A137" s="14" t="s">
        <v>12742</v>
      </c>
    </row>
    <row r="138" spans="1:17">
      <c r="A138" s="7" t="s">
        <v>8839</v>
      </c>
      <c r="B138" s="7" t="s">
        <v>52</v>
      </c>
      <c r="C138" s="7" t="s">
        <v>202</v>
      </c>
      <c r="D138" s="20" t="s">
        <v>10880</v>
      </c>
      <c r="E138" s="15" t="str">
        <f>HYPERLINK("https://stat100.ameba.jp/tnk47/ratio20/illustrations/card/ill_86273_0_oshogatsuniijimayae03.jpg?202101-5-RELEASE-marathon-511x", "■")</f>
        <v>■</v>
      </c>
      <c r="F138" s="7" t="s">
        <v>8838</v>
      </c>
      <c r="G138" s="7">
        <v>296321</v>
      </c>
      <c r="H138" s="7">
        <v>327865</v>
      </c>
      <c r="I138" s="7">
        <v>27</v>
      </c>
      <c r="J138" s="14" t="s">
        <v>173</v>
      </c>
      <c r="K138" s="7" t="s">
        <v>8837</v>
      </c>
      <c r="L138" s="7" t="s">
        <v>13211</v>
      </c>
      <c r="M138" s="14" t="s">
        <v>9158</v>
      </c>
      <c r="N138" s="14" t="s">
        <v>9158</v>
      </c>
      <c r="O138" s="19" t="s">
        <v>10134</v>
      </c>
      <c r="P138" s="7" t="s">
        <v>8870</v>
      </c>
      <c r="Q138" s="7">
        <v>1</v>
      </c>
    </row>
    <row r="139" spans="1:17">
      <c r="A139" s="14" t="s">
        <v>6508</v>
      </c>
      <c r="B139" s="14" t="s">
        <v>330</v>
      </c>
      <c r="C139" s="14" t="s">
        <v>35</v>
      </c>
      <c r="D139" s="20" t="s">
        <v>10168</v>
      </c>
      <c r="E139" s="15" t="str">
        <f>HYPERLINK("https://stat100.ameba.jp/tnk47/ratio20/illustrations/card/ill_81783_0_denshagarukoteipenginchan03.jpg?202101-5-RELEASE-marathon-511x", "■")</f>
        <v>■</v>
      </c>
      <c r="F139" s="14" t="s">
        <v>4834</v>
      </c>
      <c r="G139" s="14">
        <v>313989</v>
      </c>
      <c r="H139" s="14">
        <v>283765</v>
      </c>
      <c r="I139" s="14">
        <v>27</v>
      </c>
      <c r="J139" s="14" t="s">
        <v>26</v>
      </c>
      <c r="K139" s="14" t="s">
        <v>4836</v>
      </c>
      <c r="L139" s="14" t="s">
        <v>1783</v>
      </c>
      <c r="M139" s="14" t="s">
        <v>9158</v>
      </c>
      <c r="N139" s="14" t="s">
        <v>9158</v>
      </c>
      <c r="O139" s="19" t="s">
        <v>10124</v>
      </c>
      <c r="P139" s="14" t="s">
        <v>4838</v>
      </c>
      <c r="Q139" s="14">
        <v>1</v>
      </c>
    </row>
    <row r="140" spans="1:17">
      <c r="A140" s="7" t="s">
        <v>8437</v>
      </c>
      <c r="B140" s="7" t="s">
        <v>52</v>
      </c>
      <c r="C140" s="7" t="s">
        <v>202</v>
      </c>
      <c r="D140" s="20" t="s">
        <v>10806</v>
      </c>
      <c r="E140" s="15" t="str">
        <f>HYPERLINK("https://stat100.ameba.jp/tnk47/ratio20/illustrations/card/ill_85523_0_seitankuronikurukusumotoine03.jpg?202101-5-RELEASE-marathon-511x", "■")</f>
        <v>■</v>
      </c>
      <c r="F140" s="7" t="s">
        <v>8440</v>
      </c>
      <c r="G140" s="7">
        <v>327089</v>
      </c>
      <c r="H140" s="7">
        <v>295640</v>
      </c>
      <c r="I140" s="7">
        <v>27</v>
      </c>
      <c r="J140" s="14" t="s">
        <v>77</v>
      </c>
      <c r="K140" s="7" t="s">
        <v>8446</v>
      </c>
      <c r="L140" s="7" t="s">
        <v>8439</v>
      </c>
      <c r="M140" s="14" t="s">
        <v>9158</v>
      </c>
      <c r="N140" s="14" t="s">
        <v>9158</v>
      </c>
      <c r="O140" s="19" t="s">
        <v>10133</v>
      </c>
      <c r="P140" s="7" t="s">
        <v>8441</v>
      </c>
      <c r="Q140" s="7">
        <v>1</v>
      </c>
    </row>
    <row r="141" spans="1:17">
      <c r="A141" s="7">
        <v>85113</v>
      </c>
      <c r="B141" s="7" t="s">
        <v>0</v>
      </c>
      <c r="C141" s="7" t="s">
        <v>185</v>
      </c>
      <c r="D141" s="19" t="s">
        <v>10760</v>
      </c>
      <c r="E141" s="15" t="str">
        <f>HYPERLINK("https://stat100.ameba.jp/tnk47/ratio20/illustrations/card/ill_85113_gakuensainaoekanetsugu03.jpg?202101-5-RELEASE-marathon-511x", "■")</f>
        <v>■</v>
      </c>
      <c r="F141" s="7" t="s">
        <v>7901</v>
      </c>
      <c r="G141" s="7">
        <v>166452</v>
      </c>
      <c r="H141" s="7">
        <v>154768</v>
      </c>
      <c r="I141" s="7">
        <v>28</v>
      </c>
      <c r="J141" s="7" t="s">
        <v>194</v>
      </c>
      <c r="K141" s="7" t="s">
        <v>7900</v>
      </c>
      <c r="L141" s="7" t="s">
        <v>3459</v>
      </c>
      <c r="M141" s="14" t="s">
        <v>9158</v>
      </c>
      <c r="N141" s="14" t="s">
        <v>9158</v>
      </c>
      <c r="O141" s="14" t="s">
        <v>9158</v>
      </c>
      <c r="P141" s="14" t="s">
        <v>9158</v>
      </c>
      <c r="Q141" s="14" t="s">
        <v>9158</v>
      </c>
    </row>
    <row r="142" spans="1:17">
      <c r="A142" s="14">
        <v>88803</v>
      </c>
      <c r="B142" s="9" t="s">
        <v>0</v>
      </c>
      <c r="C142" s="14" t="s">
        <v>23</v>
      </c>
      <c r="D142" s="14" t="s">
        <v>12413</v>
      </c>
      <c r="E142" s="15" t="str">
        <f>HYPERLINK("https://stat100.ameba.jp/tnk47/ratio20/illustrations/card/ill_88803_buruberitei03.jpg?202101-5-RELEASE-marathon-511x", "■")</f>
        <v>■</v>
      </c>
      <c r="F142" s="14" t="s">
        <v>12418</v>
      </c>
      <c r="G142" s="14">
        <v>113536</v>
      </c>
      <c r="H142" s="14">
        <v>105610</v>
      </c>
      <c r="I142" s="7">
        <v>28</v>
      </c>
      <c r="J142" s="14" t="s">
        <v>104</v>
      </c>
      <c r="K142" s="14" t="s">
        <v>12416</v>
      </c>
      <c r="L142" s="14" t="s">
        <v>12415</v>
      </c>
      <c r="M142" s="14" t="s">
        <v>9158</v>
      </c>
      <c r="N142" s="14" t="s">
        <v>9158</v>
      </c>
      <c r="O142" s="14" t="s">
        <v>9158</v>
      </c>
      <c r="P142" s="14" t="s">
        <v>9158</v>
      </c>
      <c r="Q142" s="14" t="s">
        <v>9158</v>
      </c>
    </row>
    <row r="143" spans="1:17">
      <c r="A143" s="14">
        <v>91753</v>
      </c>
      <c r="B143" s="14" t="s">
        <v>0</v>
      </c>
      <c r="C143" s="14" t="s">
        <v>101</v>
      </c>
      <c r="D143" s="14" t="s">
        <v>14655</v>
      </c>
      <c r="E143" s="15" t="str">
        <f>HYPERLINK("https://stat100.ameba.jp/tnk47/ratio20/illustrations/card/ill_91753_porisuyureiika03.jpg?202101-5-RELEASE-marathon-511x", "■")</f>
        <v>■</v>
      </c>
      <c r="F143" s="14" t="s">
        <v>14654</v>
      </c>
      <c r="G143" s="14">
        <v>109370</v>
      </c>
      <c r="H143" s="14">
        <v>101650</v>
      </c>
      <c r="I143" s="7">
        <v>28</v>
      </c>
      <c r="J143" s="14" t="s">
        <v>44</v>
      </c>
      <c r="K143" s="14" t="s">
        <v>14652</v>
      </c>
      <c r="L143" s="14" t="s">
        <v>14651</v>
      </c>
      <c r="M143" s="14" t="s">
        <v>9158</v>
      </c>
      <c r="N143" s="14" t="s">
        <v>9158</v>
      </c>
      <c r="O143" s="14" t="s">
        <v>9158</v>
      </c>
      <c r="P143" s="14" t="s">
        <v>9158</v>
      </c>
      <c r="Q143" s="14" t="s">
        <v>9158</v>
      </c>
    </row>
    <row r="144" spans="1:17">
      <c r="A144" s="14">
        <v>91483</v>
      </c>
      <c r="B144" s="14" t="s">
        <v>334</v>
      </c>
      <c r="C144" s="14" t="s">
        <v>165</v>
      </c>
      <c r="D144" s="14" t="s">
        <v>14459</v>
      </c>
      <c r="E144" s="15" t="str">
        <f>HYPERLINK("https://stat100.ameba.jp/tnk47/ratio20/illustrations/card/ill_91483_suizokukanzuwaiganichan03.jpg?202101-5-RELEASE-marathon-511x", "■")</f>
        <v>■</v>
      </c>
      <c r="F144" s="14" t="s">
        <v>14474</v>
      </c>
      <c r="G144" s="14">
        <v>154768</v>
      </c>
      <c r="H144" s="14">
        <v>166452</v>
      </c>
      <c r="I144" s="7">
        <v>28</v>
      </c>
      <c r="J144" s="14" t="s">
        <v>104</v>
      </c>
      <c r="K144" s="14" t="s">
        <v>14472</v>
      </c>
      <c r="L144" s="14" t="s">
        <v>12356</v>
      </c>
      <c r="M144" s="14" t="s">
        <v>9158</v>
      </c>
      <c r="N144" s="14" t="s">
        <v>9158</v>
      </c>
      <c r="O144" s="14" t="s">
        <v>9158</v>
      </c>
      <c r="P144" s="14" t="s">
        <v>9158</v>
      </c>
      <c r="Q144" s="14" t="s">
        <v>9158</v>
      </c>
    </row>
    <row r="145" spans="1:18">
      <c r="A145" s="14">
        <v>92113</v>
      </c>
      <c r="B145" s="14" t="s">
        <v>0</v>
      </c>
      <c r="C145" s="14" t="s">
        <v>1</v>
      </c>
      <c r="D145" s="14" t="s">
        <v>14942</v>
      </c>
      <c r="E145" s="15" t="str">
        <f>HYPERLINK("https://stat100.ameba.jp/tnk47/ratio20/illustrations/card/ill_92113_tankentaihoshigamisama03.jpg?202101-5-RELEASE-marathon-511x", "■")</f>
        <v>■</v>
      </c>
      <c r="F145" s="14" t="s">
        <v>14941</v>
      </c>
      <c r="G145" s="14">
        <v>106178</v>
      </c>
      <c r="H145" s="14">
        <v>114208</v>
      </c>
      <c r="I145" s="7">
        <v>28</v>
      </c>
      <c r="J145" s="14" t="s">
        <v>38</v>
      </c>
      <c r="K145" s="14" t="s">
        <v>14939</v>
      </c>
      <c r="L145" s="14" t="s">
        <v>14938</v>
      </c>
      <c r="M145" s="14" t="s">
        <v>9158</v>
      </c>
      <c r="N145" s="14" t="s">
        <v>9158</v>
      </c>
      <c r="O145" s="14" t="s">
        <v>9158</v>
      </c>
      <c r="P145" s="14" t="s">
        <v>9158</v>
      </c>
      <c r="Q145" s="14" t="s">
        <v>9158</v>
      </c>
    </row>
    <row r="146" spans="1:18">
      <c r="A146" s="14">
        <v>89893</v>
      </c>
      <c r="B146" s="14" t="s">
        <v>0</v>
      </c>
      <c r="C146" s="14" t="s">
        <v>107</v>
      </c>
      <c r="D146" s="14" t="s">
        <v>13848</v>
      </c>
      <c r="E146" s="15" t="str">
        <f>HYPERLINK("https://stat100.ameba.jp/tnk47/ratio20/illustrations/card/ill_89893_shijuhachitenguhikozambuzembo03.jpg?202101-5-RELEASE-marathon-511x", "■")</f>
        <v>■</v>
      </c>
      <c r="F146" s="14" t="s">
        <v>13851</v>
      </c>
      <c r="G146" s="14">
        <v>166452</v>
      </c>
      <c r="H146" s="14">
        <v>154768</v>
      </c>
      <c r="I146" s="7">
        <v>28</v>
      </c>
      <c r="J146" s="14" t="s">
        <v>73</v>
      </c>
      <c r="K146" s="14" t="s">
        <v>3667</v>
      </c>
      <c r="L146" s="14" t="s">
        <v>13766</v>
      </c>
      <c r="M146" s="14" t="s">
        <v>9158</v>
      </c>
      <c r="N146" s="14" t="s">
        <v>9158</v>
      </c>
      <c r="O146" s="14" t="s">
        <v>9158</v>
      </c>
      <c r="P146" s="14" t="s">
        <v>9158</v>
      </c>
      <c r="Q146" s="14" t="s">
        <v>9158</v>
      </c>
    </row>
    <row r="148" spans="1:18">
      <c r="A148" s="14" t="s">
        <v>13327</v>
      </c>
    </row>
    <row r="149" spans="1:18">
      <c r="A149" s="14">
        <v>105915</v>
      </c>
      <c r="B149" s="14" t="s">
        <v>15925</v>
      </c>
    </row>
    <row r="150" spans="1:18">
      <c r="A150" s="14">
        <v>92173</v>
      </c>
      <c r="B150" s="14" t="s">
        <v>0</v>
      </c>
      <c r="C150" s="14" t="s">
        <v>335</v>
      </c>
      <c r="D150" s="14" t="s">
        <v>14616</v>
      </c>
      <c r="E150" s="15" t="str">
        <f>HYPERLINK("https://stat100.ameba.jp/tnk47/ratio20/illustrations/card/ill_92173_atorasu03.jpg?202101-5-RELEASE-marathon-511x", "■")</f>
        <v>■</v>
      </c>
      <c r="F150" s="14" t="s">
        <v>14617</v>
      </c>
      <c r="G150" s="14">
        <v>137846</v>
      </c>
      <c r="H150" s="14">
        <v>128160</v>
      </c>
      <c r="I150" s="14">
        <v>28</v>
      </c>
      <c r="J150" s="14" t="s">
        <v>77</v>
      </c>
      <c r="K150" s="14" t="s">
        <v>14619</v>
      </c>
      <c r="L150" s="14" t="s">
        <v>14618</v>
      </c>
      <c r="M150" s="14" t="s">
        <v>2138</v>
      </c>
      <c r="N150" s="14" t="s">
        <v>2139</v>
      </c>
      <c r="O150" s="14" t="s">
        <v>9158</v>
      </c>
      <c r="P150" s="14" t="s">
        <v>9158</v>
      </c>
      <c r="Q150" s="14" t="s">
        <v>9158</v>
      </c>
      <c r="R150" s="14" t="s">
        <v>14748</v>
      </c>
    </row>
    <row r="151" spans="1:18">
      <c r="A151" s="14">
        <v>92172</v>
      </c>
      <c r="B151" s="14" t="s">
        <v>0</v>
      </c>
      <c r="C151" s="14" t="s">
        <v>335</v>
      </c>
      <c r="D151" s="14" t="s">
        <v>14616</v>
      </c>
      <c r="E151" s="15" t="str">
        <f>HYPERLINK("https://stat100.ameba.jp/tnk47/ratio20/illustrations/card/ill_92172_atorasu02.jpg?202101-5-RELEASE-marathon-511x", "■")</f>
        <v>■</v>
      </c>
      <c r="F151" s="14" t="s">
        <v>14617</v>
      </c>
      <c r="G151" s="14">
        <v>115230</v>
      </c>
      <c r="H151" s="14">
        <v>106148</v>
      </c>
      <c r="I151" s="14">
        <v>28</v>
      </c>
      <c r="J151" s="14" t="s">
        <v>77</v>
      </c>
      <c r="K151" s="14" t="s">
        <v>14619</v>
      </c>
      <c r="L151" s="14" t="s">
        <v>14618</v>
      </c>
      <c r="M151" s="14" t="s">
        <v>13270</v>
      </c>
      <c r="N151" s="14" t="s">
        <v>13271</v>
      </c>
      <c r="O151" s="14" t="s">
        <v>9158</v>
      </c>
      <c r="P151" s="14" t="s">
        <v>9158</v>
      </c>
      <c r="Q151" s="14" t="s">
        <v>9158</v>
      </c>
      <c r="R151" s="14" t="s">
        <v>14748</v>
      </c>
    </row>
    <row r="152" spans="1:18">
      <c r="A152" s="14">
        <v>92171</v>
      </c>
      <c r="B152" s="14" t="s">
        <v>0</v>
      </c>
      <c r="C152" s="14" t="s">
        <v>335</v>
      </c>
      <c r="D152" s="14" t="s">
        <v>14616</v>
      </c>
      <c r="E152" s="15" t="str">
        <f>HYPERLINK("https://stat100.ameba.jp/tnk47/ratio20/illustrations/card/ill_92171_atorasu01.jpg?202101-5-RELEASE-marathon-511x", "■")</f>
        <v>■</v>
      </c>
      <c r="F152" s="14" t="s">
        <v>14617</v>
      </c>
      <c r="G152" s="14">
        <v>87976</v>
      </c>
      <c r="H152" s="14">
        <v>81900</v>
      </c>
      <c r="I152" s="14">
        <v>28</v>
      </c>
      <c r="J152" s="14" t="s">
        <v>77</v>
      </c>
      <c r="K152" s="14" t="s">
        <v>14619</v>
      </c>
      <c r="L152" s="14" t="s">
        <v>14618</v>
      </c>
      <c r="M152" s="14" t="s">
        <v>13270</v>
      </c>
      <c r="N152" s="14" t="s">
        <v>13271</v>
      </c>
      <c r="O152" s="14" t="s">
        <v>9158</v>
      </c>
      <c r="P152" s="14" t="s">
        <v>9158</v>
      </c>
      <c r="Q152" s="14" t="s">
        <v>9158</v>
      </c>
      <c r="R152" s="14" t="s">
        <v>14748</v>
      </c>
    </row>
    <row r="153" spans="1:18">
      <c r="A153" s="14">
        <v>92183</v>
      </c>
      <c r="B153" s="14" t="s">
        <v>0</v>
      </c>
      <c r="C153" s="14" t="s">
        <v>200</v>
      </c>
      <c r="D153" s="14" t="s">
        <v>14624</v>
      </c>
      <c r="E153" s="15" t="str">
        <f>HYPERLINK("https://stat100.ameba.jp/tnk47/ratio20/illustrations/card/ill_92183_shokorafue03.jpg?202101-5-RELEASE-marathon-511x", "■")</f>
        <v>■</v>
      </c>
      <c r="F153" s="14" t="s">
        <v>14623</v>
      </c>
      <c r="G153" s="14">
        <v>137846</v>
      </c>
      <c r="H153" s="14">
        <v>128160</v>
      </c>
      <c r="I153" s="14">
        <v>28</v>
      </c>
      <c r="J153" s="14" t="s">
        <v>104</v>
      </c>
      <c r="K153" s="14" t="s">
        <v>14621</v>
      </c>
      <c r="L153" s="14" t="s">
        <v>14620</v>
      </c>
      <c r="M153" s="14" t="s">
        <v>2138</v>
      </c>
      <c r="N153" s="14" t="s">
        <v>2139</v>
      </c>
      <c r="O153" s="14" t="s">
        <v>9158</v>
      </c>
      <c r="P153" s="14" t="s">
        <v>9158</v>
      </c>
      <c r="Q153" s="14" t="s">
        <v>9158</v>
      </c>
      <c r="R153" s="14" t="s">
        <v>14748</v>
      </c>
    </row>
    <row r="154" spans="1:18">
      <c r="A154" s="14">
        <v>92193</v>
      </c>
      <c r="B154" s="14" t="s">
        <v>0</v>
      </c>
      <c r="C154" s="14" t="s">
        <v>307</v>
      </c>
      <c r="D154" s="14" t="s">
        <v>14629</v>
      </c>
      <c r="E154" s="15" t="str">
        <f>HYPERLINK("https://stat100.ameba.jp/tnk47/ratio20/illustrations/card/ill_92193_kerubu03.jpg?202101-5-RELEASE-marathon-511x", "■")</f>
        <v>■</v>
      </c>
      <c r="F154" s="14" t="s">
        <v>14628</v>
      </c>
      <c r="G154" s="14">
        <v>137846</v>
      </c>
      <c r="H154" s="14">
        <v>128160</v>
      </c>
      <c r="I154" s="14">
        <v>28</v>
      </c>
      <c r="J154" s="14" t="s">
        <v>44</v>
      </c>
      <c r="K154" s="14" t="s">
        <v>14626</v>
      </c>
      <c r="L154" s="14" t="s">
        <v>14625</v>
      </c>
      <c r="M154" s="14" t="s">
        <v>2138</v>
      </c>
      <c r="N154" s="14" t="s">
        <v>2139</v>
      </c>
      <c r="O154" s="14" t="s">
        <v>9158</v>
      </c>
      <c r="P154" s="14" t="s">
        <v>9158</v>
      </c>
      <c r="Q154" s="14" t="s">
        <v>9158</v>
      </c>
      <c r="R154" s="14" t="s">
        <v>14748</v>
      </c>
    </row>
    <row r="155" spans="1:18">
      <c r="A155" s="14">
        <v>92203</v>
      </c>
      <c r="B155" s="14" t="s">
        <v>0</v>
      </c>
      <c r="C155" s="14" t="s">
        <v>165</v>
      </c>
      <c r="D155" s="14" t="s">
        <v>14634</v>
      </c>
      <c r="E155" s="15" t="str">
        <f>HYPERLINK("https://stat100.ameba.jp/tnk47/ratio20/illustrations/card/ill_92203_tarazetotoreda03.jpg?202101-5-RELEASE-marathon-511x", "■")</f>
        <v>■</v>
      </c>
      <c r="F155" s="14" t="s">
        <v>14633</v>
      </c>
      <c r="G155" s="14">
        <v>128160</v>
      </c>
      <c r="H155" s="14">
        <v>137846</v>
      </c>
      <c r="I155" s="14">
        <v>28</v>
      </c>
      <c r="J155" s="14" t="s">
        <v>73</v>
      </c>
      <c r="K155" s="14" t="s">
        <v>14631</v>
      </c>
      <c r="L155" s="14" t="s">
        <v>14630</v>
      </c>
      <c r="M155" s="14" t="s">
        <v>2138</v>
      </c>
      <c r="N155" s="14" t="s">
        <v>2139</v>
      </c>
      <c r="O155" s="14" t="s">
        <v>9158</v>
      </c>
      <c r="P155" s="14" t="s">
        <v>9158</v>
      </c>
      <c r="Q155" s="14" t="s">
        <v>9158</v>
      </c>
      <c r="R155" s="14" t="s">
        <v>14748</v>
      </c>
    </row>
    <row r="156" spans="1:18">
      <c r="A156" s="14">
        <v>92213</v>
      </c>
      <c r="B156" s="14" t="s">
        <v>0</v>
      </c>
      <c r="C156" s="9" t="s">
        <v>205</v>
      </c>
      <c r="D156" s="14" t="s">
        <v>14639</v>
      </c>
      <c r="E156" s="15" t="str">
        <f>HYPERLINK("https://stat100.ameba.jp/tnk47/ratio20/illustrations/card/ill_92213_pushikopompoi03.jpg?202101-5-RELEASE-marathon-511x", "■")</f>
        <v>■</v>
      </c>
      <c r="F156" s="14" t="s">
        <v>14638</v>
      </c>
      <c r="G156" s="14">
        <v>128160</v>
      </c>
      <c r="H156" s="14">
        <v>137846</v>
      </c>
      <c r="I156" s="14">
        <v>28</v>
      </c>
      <c r="J156" s="14" t="s">
        <v>38</v>
      </c>
      <c r="K156" s="14" t="s">
        <v>14636</v>
      </c>
      <c r="L156" s="14" t="s">
        <v>14635</v>
      </c>
      <c r="M156" s="14" t="s">
        <v>2138</v>
      </c>
      <c r="N156" s="14" t="s">
        <v>2139</v>
      </c>
      <c r="O156" s="14" t="s">
        <v>9158</v>
      </c>
      <c r="P156" s="14" t="s">
        <v>9158</v>
      </c>
      <c r="Q156" s="14" t="s">
        <v>9158</v>
      </c>
      <c r="R156" s="14" t="s">
        <v>14748</v>
      </c>
    </row>
    <row r="157" spans="1:18">
      <c r="A157" s="14">
        <v>92223</v>
      </c>
      <c r="B157" s="14" t="s">
        <v>0</v>
      </c>
      <c r="C157" s="14" t="s">
        <v>206</v>
      </c>
      <c r="D157" s="14" t="s">
        <v>14644</v>
      </c>
      <c r="E157" s="15" t="str">
        <f>HYPERLINK("https://stat100.ameba.jp/tnk47/ratio20/illustrations/card/ill_92223_sanfuraua03.jpg?202101-5-RELEASE-marathon-511x", "■")</f>
        <v>■</v>
      </c>
      <c r="F157" s="14" t="s">
        <v>14643</v>
      </c>
      <c r="G157" s="14">
        <v>128160</v>
      </c>
      <c r="H157" s="14">
        <v>137846</v>
      </c>
      <c r="I157" s="14">
        <v>28</v>
      </c>
      <c r="J157" s="14" t="s">
        <v>26</v>
      </c>
      <c r="K157" s="14" t="s">
        <v>14641</v>
      </c>
      <c r="L157" s="14" t="s">
        <v>14640</v>
      </c>
      <c r="M157" s="14" t="s">
        <v>2138</v>
      </c>
      <c r="N157" s="14" t="s">
        <v>2139</v>
      </c>
      <c r="O157" s="14" t="s">
        <v>9158</v>
      </c>
      <c r="P157" s="14" t="s">
        <v>9158</v>
      </c>
      <c r="Q157" s="14" t="s">
        <v>9158</v>
      </c>
      <c r="R157" s="14" t="s">
        <v>14748</v>
      </c>
    </row>
    <row r="159" spans="1:18">
      <c r="A159" s="14" t="s">
        <v>15926</v>
      </c>
    </row>
    <row r="160" spans="1:18">
      <c r="A160" s="14">
        <v>236080</v>
      </c>
      <c r="B160" s="14" t="s">
        <v>15928</v>
      </c>
    </row>
    <row r="161" spans="1:19">
      <c r="A161" s="14">
        <v>236086</v>
      </c>
      <c r="B161" s="14" t="s">
        <v>15927</v>
      </c>
    </row>
    <row r="162" spans="1:19">
      <c r="A162" s="14" t="s">
        <v>15807</v>
      </c>
      <c r="B162" s="14" t="s">
        <v>52</v>
      </c>
      <c r="C162" s="14" t="s">
        <v>35</v>
      </c>
      <c r="D162" s="14" t="s">
        <v>15808</v>
      </c>
      <c r="E162" s="15" t="str">
        <f>HYPERLINK("https://stat100.ameba.jp/tnk47/ratio20/illustrations/card/ill_95013_0_shinshunnisennijuichiayakashi03.jpg?202101-5-RELEASE-marathon-511x", "■")</f>
        <v>■</v>
      </c>
      <c r="F162" s="14" t="s">
        <v>15806</v>
      </c>
      <c r="G162" s="14">
        <v>278470</v>
      </c>
      <c r="H162" s="14">
        <v>308104</v>
      </c>
      <c r="I162" s="14">
        <v>28</v>
      </c>
      <c r="J162" s="14" t="s">
        <v>73</v>
      </c>
      <c r="K162" s="14" t="s">
        <v>15805</v>
      </c>
      <c r="L162" s="14" t="s">
        <v>15804</v>
      </c>
      <c r="M162" s="14" t="s">
        <v>9158</v>
      </c>
      <c r="N162" s="14" t="s">
        <v>9158</v>
      </c>
      <c r="O162" s="14" t="s">
        <v>15802</v>
      </c>
      <c r="P162" s="14" t="s">
        <v>15803</v>
      </c>
      <c r="Q162" s="14">
        <v>0</v>
      </c>
    </row>
    <row r="163" spans="1:19">
      <c r="A163" s="14">
        <v>95183</v>
      </c>
      <c r="B163" s="14" t="s">
        <v>15932</v>
      </c>
      <c r="C163" s="14" t="s">
        <v>15937</v>
      </c>
      <c r="D163" s="14" t="s">
        <v>15936</v>
      </c>
      <c r="E163" s="15" t="str">
        <f>HYPERLINK("https://stat100.ameba.jp/tnk47/ratio20/illustrations/card/ill_95183_samuzorarukusukanderachan03.jpg?202101-5-RELEASE-marathon-511x", "■")</f>
        <v>■</v>
      </c>
      <c r="F163" s="14" t="s">
        <v>15935</v>
      </c>
      <c r="G163" s="14">
        <v>154768</v>
      </c>
      <c r="H163" s="14">
        <v>166452</v>
      </c>
      <c r="I163" s="14">
        <v>28</v>
      </c>
      <c r="J163" s="14" t="s">
        <v>15931</v>
      </c>
      <c r="K163" s="14" t="s">
        <v>15930</v>
      </c>
      <c r="L163" s="14" t="s">
        <v>15929</v>
      </c>
      <c r="M163" s="14" t="s">
        <v>9158</v>
      </c>
      <c r="N163" s="14" t="s">
        <v>9158</v>
      </c>
      <c r="O163" s="14" t="s">
        <v>9158</v>
      </c>
      <c r="P163" s="14" t="s">
        <v>9158</v>
      </c>
      <c r="Q163" s="14" t="s">
        <v>9158</v>
      </c>
    </row>
    <row r="164" spans="1:19">
      <c r="A164" s="14">
        <v>95193</v>
      </c>
      <c r="B164" s="14" t="s">
        <v>15932</v>
      </c>
      <c r="C164" s="14" t="s">
        <v>15943</v>
      </c>
      <c r="D164" s="14" t="s">
        <v>15942</v>
      </c>
      <c r="E164" s="15" t="str">
        <f>HYPERLINK("https://stat100.ameba.jp/tnk47/ratio20/illustrations/card/ill_95193_shiramikiyo03.jpg?202101-5-RELEASE-marathon-511x", "■")</f>
        <v>■</v>
      </c>
      <c r="F164" s="14" t="s">
        <v>15941</v>
      </c>
      <c r="G164" s="14">
        <v>101650</v>
      </c>
      <c r="H164" s="14">
        <v>109370</v>
      </c>
      <c r="I164" s="14">
        <v>28</v>
      </c>
      <c r="J164" s="14" t="s">
        <v>15940</v>
      </c>
      <c r="K164" s="14" t="s">
        <v>15939</v>
      </c>
      <c r="L164" s="14" t="s">
        <v>15938</v>
      </c>
      <c r="M164" s="14" t="s">
        <v>9158</v>
      </c>
      <c r="N164" s="14" t="s">
        <v>9158</v>
      </c>
      <c r="O164" s="14" t="s">
        <v>9158</v>
      </c>
      <c r="P164" s="14" t="s">
        <v>9158</v>
      </c>
      <c r="Q164" s="14" t="s">
        <v>9158</v>
      </c>
    </row>
    <row r="165" spans="1:19">
      <c r="A165" s="14">
        <v>95203</v>
      </c>
      <c r="B165" s="14" t="s">
        <v>15933</v>
      </c>
      <c r="C165" s="14" t="s">
        <v>15949</v>
      </c>
      <c r="D165" s="14" t="s">
        <v>15948</v>
      </c>
      <c r="E165" s="15" t="str">
        <f>HYPERLINK("https://stat100.ameba.jp/tnk47/ratio20/illustrations/card/ill_95203_yukinoukokukingyonota03.jpg?202101-5-RELEASE-marathon-511x", "■")</f>
        <v>■</v>
      </c>
      <c r="F165" s="14" t="s">
        <v>15947</v>
      </c>
      <c r="G165" s="14">
        <v>82992</v>
      </c>
      <c r="H165" s="14">
        <v>75274</v>
      </c>
      <c r="I165" s="14">
        <v>28</v>
      </c>
      <c r="J165" s="14" t="s">
        <v>15946</v>
      </c>
      <c r="K165" s="14" t="s">
        <v>15945</v>
      </c>
      <c r="L165" s="14" t="s">
        <v>15944</v>
      </c>
      <c r="M165" s="14" t="s">
        <v>9158</v>
      </c>
      <c r="N165" s="14" t="s">
        <v>9158</v>
      </c>
      <c r="O165" s="14" t="s">
        <v>9158</v>
      </c>
      <c r="P165" s="14" t="s">
        <v>9158</v>
      </c>
      <c r="Q165" s="14" t="s">
        <v>9158</v>
      </c>
    </row>
    <row r="166" spans="1:19">
      <c r="A166" s="14">
        <v>95213</v>
      </c>
      <c r="B166" s="14" t="s">
        <v>15934</v>
      </c>
      <c r="C166" s="14" t="s">
        <v>15955</v>
      </c>
      <c r="D166" s="14" t="s">
        <v>15954</v>
      </c>
      <c r="E166" s="15" t="str">
        <f>HYPERLINK("https://stat100.ameba.jp/tnk47/ratio20/illustrations/card/ill_95213_tsubakiabura03.jpg?202101-5-RELEASE-marathon-511x", "■")</f>
        <v>■</v>
      </c>
      <c r="F166" s="14" t="s">
        <v>15953</v>
      </c>
      <c r="G166" s="14">
        <v>48406</v>
      </c>
      <c r="H166" s="14">
        <v>58216</v>
      </c>
      <c r="I166" s="14">
        <v>28</v>
      </c>
      <c r="J166" s="14" t="s">
        <v>15952</v>
      </c>
      <c r="K166" s="14" t="s">
        <v>15951</v>
      </c>
      <c r="L166" s="14" t="s">
        <v>15950</v>
      </c>
      <c r="M166" s="14" t="s">
        <v>9158</v>
      </c>
      <c r="N166" s="14" t="s">
        <v>9158</v>
      </c>
      <c r="O166" s="14" t="s">
        <v>9158</v>
      </c>
      <c r="P166" s="14" t="s">
        <v>9158</v>
      </c>
      <c r="Q166" s="14" t="s">
        <v>9158</v>
      </c>
    </row>
    <row r="167" spans="1:19">
      <c r="A167" s="14">
        <v>95223</v>
      </c>
      <c r="B167" s="14" t="s">
        <v>15934</v>
      </c>
      <c r="C167" s="14" t="s">
        <v>15960</v>
      </c>
      <c r="D167" s="14" t="s">
        <v>15959</v>
      </c>
      <c r="E167" s="15" t="str">
        <f>HYPERLINK("https://stat100.ameba.jp/tnk47/ratio20/illustrations/card/ill_95223_iwaisepo03.jpg?202101-5-RELEASE-marathon-511x", "■")</f>
        <v>■</v>
      </c>
      <c r="F167" s="14" t="s">
        <v>15958</v>
      </c>
      <c r="G167" s="14">
        <v>58216</v>
      </c>
      <c r="H167" s="14">
        <v>48406</v>
      </c>
      <c r="I167" s="14">
        <v>28</v>
      </c>
      <c r="J167" s="14" t="s">
        <v>15931</v>
      </c>
      <c r="K167" s="14" t="s">
        <v>15957</v>
      </c>
      <c r="L167" s="14" t="s">
        <v>15956</v>
      </c>
      <c r="M167" s="14" t="s">
        <v>9158</v>
      </c>
      <c r="N167" s="14" t="s">
        <v>9158</v>
      </c>
      <c r="O167" s="14" t="s">
        <v>9158</v>
      </c>
      <c r="P167" s="14" t="s">
        <v>9158</v>
      </c>
      <c r="Q167" s="14" t="s">
        <v>9158</v>
      </c>
    </row>
    <row r="169" spans="1:19">
      <c r="A169" s="14" t="s">
        <v>15961</v>
      </c>
    </row>
    <row r="170" spans="1:19">
      <c r="A170" s="14">
        <v>236112</v>
      </c>
      <c r="B170" s="14" t="s">
        <v>15962</v>
      </c>
    </row>
    <row r="171" spans="1:19">
      <c r="A171" s="14" t="s">
        <v>5724</v>
      </c>
      <c r="B171" s="14" t="s">
        <v>330</v>
      </c>
      <c r="C171" s="14" t="s">
        <v>335</v>
      </c>
      <c r="D171" s="20" t="s">
        <v>698</v>
      </c>
      <c r="E171" s="15" t="str">
        <f>HYPERLINK("https://stat100.ameba.jp/tnk47/ratio20/illustrations/card/ill_66433_0_haroinfujishirogozen03.jpg?202101-5-RELEASE-marathon-511x", "■")</f>
        <v>■</v>
      </c>
      <c r="F171" s="14" t="s">
        <v>699</v>
      </c>
      <c r="G171" s="14">
        <v>159134</v>
      </c>
      <c r="H171" s="14">
        <v>171168</v>
      </c>
      <c r="I171" s="14">
        <v>26</v>
      </c>
      <c r="J171" s="14" t="s">
        <v>315</v>
      </c>
      <c r="K171" s="14" t="s">
        <v>700</v>
      </c>
      <c r="L171" s="14" t="s">
        <v>701</v>
      </c>
      <c r="M171" s="14" t="s">
        <v>9158</v>
      </c>
      <c r="N171" s="14" t="s">
        <v>9158</v>
      </c>
      <c r="O171" s="19" t="s">
        <v>10095</v>
      </c>
      <c r="P171" s="14" t="s">
        <v>3345</v>
      </c>
      <c r="Q171" s="14">
        <v>1</v>
      </c>
    </row>
    <row r="172" spans="1:19">
      <c r="A172" s="14" t="s">
        <v>5901</v>
      </c>
      <c r="B172" s="14" t="s">
        <v>52</v>
      </c>
      <c r="C172" s="14" t="s">
        <v>101</v>
      </c>
      <c r="D172" s="19" t="s">
        <v>1426</v>
      </c>
      <c r="E172" s="15" t="str">
        <f>HYPERLINK("https://stat100.ameba.jp/tnk47/ratio20/illustrations/card/ill_64953_0_yukatatokugawayoshinobu03.jpg?202101-5-RELEASE-marathon-511x", "■")</f>
        <v>■</v>
      </c>
      <c r="F172" s="14" t="s">
        <v>2090</v>
      </c>
      <c r="G172" s="14">
        <v>161980</v>
      </c>
      <c r="H172" s="14">
        <v>174206</v>
      </c>
      <c r="I172" s="14">
        <v>26</v>
      </c>
      <c r="J172" s="14" t="s">
        <v>10</v>
      </c>
      <c r="K172" s="14" t="s">
        <v>2091</v>
      </c>
      <c r="L172" s="14" t="s">
        <v>2092</v>
      </c>
      <c r="M172" s="14" t="s">
        <v>9158</v>
      </c>
      <c r="N172" s="14" t="s">
        <v>9158</v>
      </c>
      <c r="O172" s="19" t="s">
        <v>2889</v>
      </c>
      <c r="P172" s="14" t="s">
        <v>2890</v>
      </c>
      <c r="Q172" s="14">
        <v>1</v>
      </c>
    </row>
    <row r="173" spans="1:19">
      <c r="A173" s="14" t="s">
        <v>5902</v>
      </c>
      <c r="B173" s="14" t="s">
        <v>330</v>
      </c>
      <c r="C173" s="14" t="s">
        <v>206</v>
      </c>
      <c r="D173" s="19" t="s">
        <v>483</v>
      </c>
      <c r="E173" s="15" t="str">
        <f>HYPERLINK("https://stat100.ameba.jp/tnk47/ratio20/illustrations/card/ill_40343_0_heshikirihasebekurodakambe03.jpg?202101-5-RELEASE-marathon-511x", "■")</f>
        <v>■</v>
      </c>
      <c r="F173" s="14" t="s">
        <v>906</v>
      </c>
      <c r="G173" s="14">
        <v>152152</v>
      </c>
      <c r="H173" s="14">
        <v>142500</v>
      </c>
      <c r="I173" s="14">
        <v>26</v>
      </c>
      <c r="J173" s="14" t="s">
        <v>16</v>
      </c>
      <c r="K173" s="14" t="s">
        <v>907</v>
      </c>
      <c r="L173" s="14" t="s">
        <v>908</v>
      </c>
      <c r="M173" s="14" t="s">
        <v>9158</v>
      </c>
      <c r="N173" s="14" t="s">
        <v>9158</v>
      </c>
      <c r="O173" s="14" t="s">
        <v>9158</v>
      </c>
      <c r="P173" s="14" t="s">
        <v>9158</v>
      </c>
      <c r="Q173" s="14" t="s">
        <v>9158</v>
      </c>
    </row>
    <row r="174" spans="1:19">
      <c r="A174" s="14">
        <v>88213</v>
      </c>
      <c r="B174" s="14" t="s">
        <v>0</v>
      </c>
      <c r="C174" s="14" t="s">
        <v>15968</v>
      </c>
      <c r="D174" s="14" t="s">
        <v>15967</v>
      </c>
      <c r="E174" s="15" t="str">
        <f>HYPERLINK("https://stat100.ameba.jp/tnk47/ratio20/illustrations/card/ill_88213_puroresuhokkaidogyunyuchan03.jpg?202101-5-RELEASE-marathon-511x", "■")</f>
        <v>■</v>
      </c>
      <c r="F174" s="14" t="s">
        <v>15966</v>
      </c>
      <c r="G174" s="14">
        <v>128666</v>
      </c>
      <c r="H174" s="14">
        <v>138386</v>
      </c>
      <c r="I174" s="14">
        <v>28</v>
      </c>
      <c r="J174" s="14" t="s">
        <v>15965</v>
      </c>
      <c r="K174" s="14" t="s">
        <v>15964</v>
      </c>
      <c r="L174" s="14" t="s">
        <v>15963</v>
      </c>
      <c r="M174" s="14" t="s">
        <v>9158</v>
      </c>
      <c r="N174" s="14" t="s">
        <v>9158</v>
      </c>
      <c r="O174" s="14" t="s">
        <v>9158</v>
      </c>
      <c r="P174" s="14" t="s">
        <v>9158</v>
      </c>
      <c r="Q174" s="14" t="s">
        <v>9158</v>
      </c>
      <c r="S174" s="14" t="s">
        <v>16232</v>
      </c>
    </row>
    <row r="175" spans="1:19">
      <c r="A175" s="14">
        <v>86633</v>
      </c>
      <c r="B175" s="14" t="s">
        <v>0</v>
      </c>
      <c r="C175" s="14" t="s">
        <v>15974</v>
      </c>
      <c r="D175" s="14" t="s">
        <v>15973</v>
      </c>
      <c r="E175" s="15" t="str">
        <f>HYPERLINK("https://stat100.ameba.jp/tnk47/ratio20/illustrations/card/ill_86633_darumaichiakaude03.jpg?202101-5-RELEASE-marathon-511x", "■")</f>
        <v>■</v>
      </c>
      <c r="F175" s="14" t="s">
        <v>15972</v>
      </c>
      <c r="G175" s="14">
        <v>109370</v>
      </c>
      <c r="H175" s="14">
        <v>101650</v>
      </c>
      <c r="I175" s="14">
        <v>28</v>
      </c>
      <c r="J175" s="14" t="s">
        <v>15971</v>
      </c>
      <c r="K175" s="14" t="s">
        <v>15969</v>
      </c>
      <c r="L175" s="14" t="s">
        <v>15970</v>
      </c>
      <c r="M175" s="14" t="s">
        <v>9158</v>
      </c>
      <c r="N175" s="14" t="s">
        <v>9158</v>
      </c>
      <c r="O175" s="14" t="s">
        <v>9158</v>
      </c>
      <c r="P175" s="14" t="s">
        <v>9158</v>
      </c>
      <c r="Q175" s="14" t="s">
        <v>9158</v>
      </c>
      <c r="S175" s="14" t="s">
        <v>16233</v>
      </c>
    </row>
    <row r="176" spans="1:19">
      <c r="A176" s="14">
        <v>87783</v>
      </c>
      <c r="B176" s="14" t="s">
        <v>0</v>
      </c>
      <c r="C176" s="14" t="s">
        <v>15980</v>
      </c>
      <c r="D176" s="14" t="s">
        <v>15979</v>
      </c>
      <c r="E176" s="15" t="str">
        <f>HYPERLINK("https://stat100.ameba.jp/tnk47/ratio20/illustrations/card/ill_87783_guranshiefusofui03.jpg?202101-5-RELEASE-marathon-511x", "■")</f>
        <v>■</v>
      </c>
      <c r="F176" s="14" t="s">
        <v>15978</v>
      </c>
      <c r="G176" s="14">
        <v>105610</v>
      </c>
      <c r="H176" s="14">
        <v>113536</v>
      </c>
      <c r="I176" s="14">
        <v>28</v>
      </c>
      <c r="J176" s="14" t="s">
        <v>15977</v>
      </c>
      <c r="K176" s="14" t="s">
        <v>15976</v>
      </c>
      <c r="L176" s="14" t="s">
        <v>15975</v>
      </c>
      <c r="M176" s="14" t="s">
        <v>9158</v>
      </c>
      <c r="N176" s="14" t="s">
        <v>9158</v>
      </c>
      <c r="O176" s="14" t="s">
        <v>9158</v>
      </c>
      <c r="P176" s="14" t="s">
        <v>9158</v>
      </c>
      <c r="Q176" s="14" t="s">
        <v>9158</v>
      </c>
      <c r="S176" s="14" t="s">
        <v>16234</v>
      </c>
    </row>
    <row r="177" spans="1:19">
      <c r="A177" s="14">
        <v>86143</v>
      </c>
      <c r="B177" s="14" t="s">
        <v>15</v>
      </c>
      <c r="C177" s="14" t="s">
        <v>15986</v>
      </c>
      <c r="D177" s="14" t="s">
        <v>15985</v>
      </c>
      <c r="E177" s="15" t="str">
        <f>HYPERLINK("https://stat100.ameba.jp/tnk47/ratio20/illustrations/card/ill_86143_onikirishukurohime03.jpg?202101-5-RELEASE-marathon-511x", "■")</f>
        <v>■</v>
      </c>
      <c r="F177" s="14" t="s">
        <v>15984</v>
      </c>
      <c r="G177" s="14">
        <v>77064</v>
      </c>
      <c r="H177" s="14">
        <v>69898</v>
      </c>
      <c r="I177" s="14">
        <v>26</v>
      </c>
      <c r="J177" s="14" t="s">
        <v>15983</v>
      </c>
      <c r="K177" s="14" t="s">
        <v>15982</v>
      </c>
      <c r="L177" s="14" t="s">
        <v>15981</v>
      </c>
      <c r="M177" s="14" t="s">
        <v>9158</v>
      </c>
      <c r="N177" s="14" t="s">
        <v>9158</v>
      </c>
      <c r="O177" s="14" t="s">
        <v>9158</v>
      </c>
      <c r="P177" s="14" t="s">
        <v>9158</v>
      </c>
      <c r="Q177" s="14" t="s">
        <v>9158</v>
      </c>
      <c r="S177" s="14" t="s">
        <v>16230</v>
      </c>
    </row>
    <row r="178" spans="1:19">
      <c r="A178" s="14">
        <v>85913</v>
      </c>
      <c r="B178" s="14" t="s">
        <v>15</v>
      </c>
      <c r="C178" s="14" t="s">
        <v>15991</v>
      </c>
      <c r="D178" s="14" t="s">
        <v>15990</v>
      </c>
      <c r="E178" s="15" t="str">
        <f>HYPERLINK("https://stat100.ameba.jp/tnk47/ratio20/illustrations/card/ill_85913_yukizukainarijinjanobyakkodensetsu03.jpg?202101-5-RELEASE-marathon-511x", "■")</f>
        <v>■</v>
      </c>
      <c r="F178" s="14" t="s">
        <v>15989</v>
      </c>
      <c r="G178" s="14">
        <v>77064</v>
      </c>
      <c r="H178" s="14">
        <v>69898</v>
      </c>
      <c r="I178" s="14">
        <v>26</v>
      </c>
      <c r="J178" s="14" t="s">
        <v>15977</v>
      </c>
      <c r="K178" s="14" t="s">
        <v>15988</v>
      </c>
      <c r="L178" s="14" t="s">
        <v>15987</v>
      </c>
      <c r="M178" s="14" t="s">
        <v>9158</v>
      </c>
      <c r="N178" s="14" t="s">
        <v>9158</v>
      </c>
      <c r="O178" s="14" t="s">
        <v>9158</v>
      </c>
      <c r="P178" s="14" t="s">
        <v>9158</v>
      </c>
      <c r="Q178" s="14" t="s">
        <v>9158</v>
      </c>
      <c r="S178" s="14" t="s">
        <v>16235</v>
      </c>
    </row>
    <row r="179" spans="1:19">
      <c r="A179" s="14">
        <v>81333</v>
      </c>
      <c r="B179" s="14" t="s">
        <v>15</v>
      </c>
      <c r="C179" s="14" t="s">
        <v>15997</v>
      </c>
      <c r="D179" s="14" t="s">
        <v>15996</v>
      </c>
      <c r="E179" s="15" t="str">
        <f>HYPERLINK("https://stat100.ameba.jp/tnk47/ratio20/illustrations/card/ill_81333_otokomatsuriishikawagoemon03.jpg?202101-5-RELEASE-marathon-511x", "■")</f>
        <v>■</v>
      </c>
      <c r="F179" s="14" t="s">
        <v>15995</v>
      </c>
      <c r="G179" s="14">
        <v>69898</v>
      </c>
      <c r="H179" s="14">
        <v>77064</v>
      </c>
      <c r="I179" s="14">
        <v>26</v>
      </c>
      <c r="J179" s="14" t="s">
        <v>15994</v>
      </c>
      <c r="K179" s="14" t="s">
        <v>15993</v>
      </c>
      <c r="L179" s="14" t="s">
        <v>15992</v>
      </c>
      <c r="M179" s="14" t="s">
        <v>9158</v>
      </c>
      <c r="N179" s="14" t="s">
        <v>9158</v>
      </c>
      <c r="O179" s="14" t="s">
        <v>9158</v>
      </c>
      <c r="P179" s="14" t="s">
        <v>9158</v>
      </c>
      <c r="Q179" s="14" t="s">
        <v>9158</v>
      </c>
      <c r="S179" s="14" t="s">
        <v>16231</v>
      </c>
    </row>
    <row r="181" spans="1:19">
      <c r="A181" s="14" t="s">
        <v>15998</v>
      </c>
    </row>
    <row r="182" spans="1:19">
      <c r="A182" s="14">
        <v>236131</v>
      </c>
      <c r="B182" s="14" t="s">
        <v>15999</v>
      </c>
    </row>
    <row r="183" spans="1:19">
      <c r="A183" s="14">
        <v>95115</v>
      </c>
      <c r="B183" s="14" t="s">
        <v>0</v>
      </c>
      <c r="C183" s="14" t="s">
        <v>202</v>
      </c>
      <c r="D183" s="18" t="s">
        <v>16006</v>
      </c>
      <c r="E183" s="15" t="str">
        <f>HYPERLINK("https://stat100.ameba.jp/tnk47/ratio20/illustrations/card/ill_95115_komainuchan05.jpg?202101-5-RELEASE-marathon-511x", "■")</f>
        <v>■</v>
      </c>
      <c r="F183" s="14" t="s">
        <v>16005</v>
      </c>
      <c r="G183" s="14">
        <v>115284</v>
      </c>
      <c r="H183" s="14">
        <v>159200</v>
      </c>
      <c r="I183" s="14">
        <v>28</v>
      </c>
      <c r="J183" s="14" t="s">
        <v>16004</v>
      </c>
      <c r="K183" s="14" t="s">
        <v>16003</v>
      </c>
      <c r="L183" s="14" t="s">
        <v>16002</v>
      </c>
      <c r="M183" s="14" t="s">
        <v>9158</v>
      </c>
      <c r="N183" s="14" t="s">
        <v>9158</v>
      </c>
      <c r="O183" s="14" t="s">
        <v>9158</v>
      </c>
      <c r="P183" s="14" t="s">
        <v>9158</v>
      </c>
      <c r="Q183" s="14" t="s">
        <v>9158</v>
      </c>
      <c r="R183" s="14" t="s">
        <v>174</v>
      </c>
    </row>
    <row r="184" spans="1:19">
      <c r="A184" s="14">
        <v>95113</v>
      </c>
      <c r="B184" s="14" t="s">
        <v>15</v>
      </c>
      <c r="C184" s="14" t="s">
        <v>15974</v>
      </c>
      <c r="D184" s="18" t="s">
        <v>16006</v>
      </c>
      <c r="E184" s="15" t="str">
        <f>HYPERLINK("https://stat100.ameba.jp/tnk47/ratio20/illustrations/card/ill_95113_komainuchan03.jpg?202101-5-RELEASE-marathon-511x", "■")</f>
        <v>■</v>
      </c>
      <c r="F184" s="14" t="s">
        <v>16005</v>
      </c>
      <c r="G184" s="14">
        <v>84940</v>
      </c>
      <c r="H184" s="14">
        <v>117308</v>
      </c>
      <c r="I184" s="14">
        <v>28</v>
      </c>
      <c r="J184" s="14" t="s">
        <v>16004</v>
      </c>
      <c r="K184" s="14" t="s">
        <v>16003</v>
      </c>
      <c r="L184" s="14" t="s">
        <v>16007</v>
      </c>
      <c r="M184" s="14" t="s">
        <v>9158</v>
      </c>
      <c r="N184" s="14" t="s">
        <v>9158</v>
      </c>
      <c r="O184" s="14" t="s">
        <v>9158</v>
      </c>
      <c r="P184" s="14" t="s">
        <v>9158</v>
      </c>
      <c r="Q184" s="14" t="s">
        <v>9158</v>
      </c>
      <c r="R184" s="14" t="s">
        <v>175</v>
      </c>
    </row>
    <row r="185" spans="1:19">
      <c r="A185" s="14">
        <v>95111</v>
      </c>
      <c r="B185" s="14" t="s">
        <v>15</v>
      </c>
      <c r="C185" s="14" t="s">
        <v>15974</v>
      </c>
      <c r="D185" s="18" t="s">
        <v>16006</v>
      </c>
      <c r="E185" s="15" t="str">
        <f>HYPERLINK("https://stat100.ameba.jp/tnk47/ratio20/illustrations/card/ill_95111_komainuchan01.jpg?202101-5-RELEASE-marathon-511x", "■")</f>
        <v>■</v>
      </c>
      <c r="F185" s="14" t="s">
        <v>16005</v>
      </c>
      <c r="G185" s="14">
        <v>54040</v>
      </c>
      <c r="H185" s="14">
        <v>74620</v>
      </c>
      <c r="I185" s="14">
        <v>28</v>
      </c>
      <c r="J185" s="14" t="s">
        <v>16004</v>
      </c>
      <c r="K185" s="14" t="s">
        <v>16003</v>
      </c>
      <c r="L185" s="14" t="s">
        <v>16008</v>
      </c>
      <c r="M185" s="14" t="s">
        <v>9158</v>
      </c>
      <c r="N185" s="14" t="s">
        <v>9158</v>
      </c>
      <c r="O185" s="14" t="s">
        <v>9158</v>
      </c>
      <c r="P185" s="14" t="s">
        <v>9158</v>
      </c>
      <c r="Q185" s="14" t="s">
        <v>9158</v>
      </c>
      <c r="R185" s="14" t="s">
        <v>176</v>
      </c>
    </row>
    <row r="187" spans="1:19">
      <c r="A187" s="14" t="s">
        <v>16000</v>
      </c>
    </row>
    <row r="188" spans="1:19">
      <c r="A188" s="14">
        <v>105940</v>
      </c>
      <c r="B188" s="14" t="s">
        <v>16001</v>
      </c>
    </row>
    <row r="189" spans="1:19">
      <c r="A189" s="14" t="s">
        <v>5650</v>
      </c>
      <c r="B189" s="14" t="s">
        <v>52</v>
      </c>
      <c r="C189" s="14" t="s">
        <v>23</v>
      </c>
      <c r="D189" s="20" t="s">
        <v>809</v>
      </c>
      <c r="E189" s="15" t="str">
        <f>HYPERLINK("https://stat100.ameba.jp/tnk47/ratio20/illustrations/card/ill_68033_0_kurisumasupateikandamyojin03.jpg?202101-5-RELEASE-marathon-511x", "■")</f>
        <v>■</v>
      </c>
      <c r="F189" s="14" t="s">
        <v>1871</v>
      </c>
      <c r="G189" s="14">
        <v>158951</v>
      </c>
      <c r="H189" s="14">
        <v>170984</v>
      </c>
      <c r="I189" s="14">
        <v>25</v>
      </c>
      <c r="J189" s="14" t="s">
        <v>44</v>
      </c>
      <c r="K189" s="14" t="s">
        <v>1872</v>
      </c>
      <c r="L189" s="14" t="s">
        <v>1873</v>
      </c>
      <c r="M189" s="14" t="s">
        <v>9158</v>
      </c>
      <c r="N189" s="14" t="s">
        <v>9158</v>
      </c>
      <c r="O189" s="19" t="s">
        <v>2997</v>
      </c>
      <c r="P189" s="14" t="s">
        <v>3483</v>
      </c>
      <c r="Q189" s="14">
        <v>2</v>
      </c>
    </row>
    <row r="190" spans="1:19">
      <c r="A190" s="14">
        <v>72193</v>
      </c>
      <c r="B190" s="14" t="s">
        <v>334</v>
      </c>
      <c r="C190" s="14" t="s">
        <v>165</v>
      </c>
      <c r="D190" s="19" t="s">
        <v>3112</v>
      </c>
      <c r="E190" s="15" t="str">
        <f>HYPERLINK("https://stat100.ameba.jp/tnk47/ratio20/illustrations/card/ill_72193_koinoborikomyokogo03.jpg?202101-5-RELEASE-marathon-511x", "■")</f>
        <v>■</v>
      </c>
      <c r="F190" s="14" t="s">
        <v>2539</v>
      </c>
      <c r="G190" s="14">
        <v>101558</v>
      </c>
      <c r="H190" s="14">
        <v>94390</v>
      </c>
      <c r="I190" s="14">
        <v>26</v>
      </c>
      <c r="J190" s="14" t="s">
        <v>10</v>
      </c>
      <c r="K190" s="14" t="s">
        <v>2540</v>
      </c>
      <c r="L190" s="14" t="s">
        <v>60</v>
      </c>
      <c r="M190" s="14" t="s">
        <v>9158</v>
      </c>
      <c r="N190" s="14" t="s">
        <v>9158</v>
      </c>
      <c r="O190" s="19" t="s">
        <v>10090</v>
      </c>
      <c r="P190" s="14" t="s">
        <v>3460</v>
      </c>
      <c r="Q190" s="14">
        <v>1</v>
      </c>
    </row>
    <row r="191" spans="1:19">
      <c r="A191" s="14">
        <v>89653</v>
      </c>
      <c r="B191" s="14" t="s">
        <v>0</v>
      </c>
      <c r="C191" s="14" t="s">
        <v>101</v>
      </c>
      <c r="D191" s="18" t="s">
        <v>13090</v>
      </c>
      <c r="E191" s="15" t="str">
        <f>HYPERLINK("https://stat100.ameba.jp/tnk47/ratio20/illustrations/card/ill_89653_jumburaidochakkariozonichan03.jpg?202101-5-RELEASE-marathon-511x", "■")</f>
        <v>■</v>
      </c>
      <c r="F191" s="14" t="s">
        <v>13091</v>
      </c>
      <c r="G191" s="14">
        <v>122786</v>
      </c>
      <c r="H191" s="14">
        <v>114176</v>
      </c>
      <c r="I191" s="14">
        <v>26</v>
      </c>
      <c r="J191" s="14" t="s">
        <v>104</v>
      </c>
      <c r="K191" s="14" t="s">
        <v>13092</v>
      </c>
      <c r="L191" s="14" t="s">
        <v>13093</v>
      </c>
      <c r="M191" s="14" t="s">
        <v>9158</v>
      </c>
      <c r="N191" s="14" t="s">
        <v>9158</v>
      </c>
      <c r="O191" s="6" t="s">
        <v>4583</v>
      </c>
      <c r="P191" s="7" t="s">
        <v>4584</v>
      </c>
      <c r="Q191" s="7">
        <v>1</v>
      </c>
    </row>
    <row r="192" spans="1:19">
      <c r="A192" s="14">
        <v>83513</v>
      </c>
      <c r="B192" s="14" t="s">
        <v>334</v>
      </c>
      <c r="C192" s="14" t="s">
        <v>1</v>
      </c>
      <c r="D192" s="20" t="s">
        <v>10556</v>
      </c>
      <c r="E192" s="15" t="str">
        <f>HYPERLINK("https://stat100.ameba.jp/tnk47/ratio20/illustrations/card/ill_83513_kajuemmimuratsuru03.jpg?202101-5-RELEASE-marathon-511x", "■")</f>
        <v>■</v>
      </c>
      <c r="F192" s="14" t="s">
        <v>6603</v>
      </c>
      <c r="G192" s="14">
        <v>154562</v>
      </c>
      <c r="H192" s="14">
        <v>143714</v>
      </c>
      <c r="I192" s="14">
        <v>26</v>
      </c>
      <c r="J192" s="14" t="s">
        <v>143</v>
      </c>
      <c r="K192" s="14" t="s">
        <v>6601</v>
      </c>
      <c r="L192" s="14" t="s">
        <v>6600</v>
      </c>
      <c r="M192" s="14" t="s">
        <v>9158</v>
      </c>
      <c r="N192" s="14" t="s">
        <v>9158</v>
      </c>
      <c r="O192" s="19" t="s">
        <v>2951</v>
      </c>
      <c r="P192" s="14" t="s">
        <v>13122</v>
      </c>
      <c r="Q192" s="14">
        <v>1</v>
      </c>
    </row>
    <row r="194" spans="1:17">
      <c r="A194" s="14" t="s">
        <v>207</v>
      </c>
    </row>
    <row r="195" spans="1:17">
      <c r="A195" s="14">
        <v>105943</v>
      </c>
      <c r="B195" s="14" t="s">
        <v>8982</v>
      </c>
    </row>
    <row r="196" spans="1:17">
      <c r="A196" s="14" t="s">
        <v>5734</v>
      </c>
      <c r="B196" s="14" t="s">
        <v>330</v>
      </c>
      <c r="C196" s="14" t="s">
        <v>202</v>
      </c>
      <c r="D196" s="20" t="s">
        <v>1497</v>
      </c>
      <c r="E196" s="15" t="str">
        <f>HYPERLINK("https://stat100.ameba.jp/tnk47/ratio20/illustrations/card/ill_74593_0_natsuyuenchikoshihikari03.jpg?202101-5-RELEASE-marathon-511x", "■")</f>
        <v>■</v>
      </c>
      <c r="F196" s="14" t="s">
        <v>1498</v>
      </c>
      <c r="G196" s="14">
        <v>259994</v>
      </c>
      <c r="H196" s="14">
        <v>241708</v>
      </c>
      <c r="I196" s="14">
        <v>24</v>
      </c>
      <c r="J196" s="14" t="s">
        <v>283</v>
      </c>
      <c r="K196" s="14" t="s">
        <v>1499</v>
      </c>
      <c r="L196" s="14" t="s">
        <v>1500</v>
      </c>
      <c r="M196" s="14" t="s">
        <v>9158</v>
      </c>
      <c r="N196" s="14" t="s">
        <v>9158</v>
      </c>
      <c r="O196" s="19" t="s">
        <v>2731</v>
      </c>
      <c r="P196" s="14" t="s">
        <v>2732</v>
      </c>
      <c r="Q196" s="14">
        <v>1</v>
      </c>
    </row>
    <row r="197" spans="1:17">
      <c r="A197" s="14" t="s">
        <v>5615</v>
      </c>
      <c r="B197" s="14" t="s">
        <v>330</v>
      </c>
      <c r="C197" s="14" t="s">
        <v>206</v>
      </c>
      <c r="D197" s="19" t="s">
        <v>2814</v>
      </c>
      <c r="E197" s="15" t="str">
        <f>HYPERLINK("https://stat100.ameba.jp/tnk47/ratio20/illustrations/card/ill_57733_0_shogatsunisenjunanaamakusashiro03.jpg?202101-5-RELEASE-marathon-511x", "■")</f>
        <v>■</v>
      </c>
      <c r="F197" s="14" t="s">
        <v>2815</v>
      </c>
      <c r="G197" s="14">
        <v>133938</v>
      </c>
      <c r="H197" s="14">
        <v>150776</v>
      </c>
      <c r="I197" s="14">
        <v>24</v>
      </c>
      <c r="J197" s="14" t="s">
        <v>351</v>
      </c>
      <c r="K197" s="14" t="s">
        <v>2816</v>
      </c>
      <c r="L197" s="14" t="s">
        <v>2817</v>
      </c>
      <c r="M197" s="14" t="s">
        <v>9158</v>
      </c>
      <c r="N197" s="14" t="s">
        <v>9158</v>
      </c>
      <c r="O197" s="19" t="s">
        <v>10077</v>
      </c>
      <c r="P197" s="14" t="s">
        <v>3062</v>
      </c>
      <c r="Q197" s="14">
        <v>1</v>
      </c>
    </row>
    <row r="198" spans="1:17">
      <c r="A198" s="14" t="s">
        <v>6132</v>
      </c>
      <c r="B198" s="14" t="s">
        <v>52</v>
      </c>
      <c r="C198" s="14" t="s">
        <v>205</v>
      </c>
      <c r="D198" s="19" t="s">
        <v>702</v>
      </c>
      <c r="E198" s="15" t="str">
        <f>HYPERLINK("https://stat100.ameba.jp/tnk47/ratio20/illustrations/card/ill_50693_0_hanamizugimimuratsuru03.jpg?202101-5-RELEASE-marathon-511x", "■")</f>
        <v>■</v>
      </c>
      <c r="F198" s="14" t="s">
        <v>2282</v>
      </c>
      <c r="G198" s="14">
        <v>133938</v>
      </c>
      <c r="H198" s="14">
        <v>150776</v>
      </c>
      <c r="I198" s="14">
        <v>24</v>
      </c>
      <c r="J198" s="14" t="s">
        <v>143</v>
      </c>
      <c r="K198" s="14" t="s">
        <v>2283</v>
      </c>
      <c r="L198" s="14" t="s">
        <v>2284</v>
      </c>
      <c r="M198" s="14" t="s">
        <v>9158</v>
      </c>
      <c r="N198" s="14" t="s">
        <v>9158</v>
      </c>
      <c r="O198" s="14" t="s">
        <v>9158</v>
      </c>
      <c r="P198" s="14" t="s">
        <v>9158</v>
      </c>
      <c r="Q198" s="14" t="s">
        <v>9158</v>
      </c>
    </row>
    <row r="199" spans="1:17">
      <c r="A199" s="14">
        <v>95183</v>
      </c>
      <c r="B199" s="14" t="s">
        <v>0</v>
      </c>
      <c r="C199" s="14" t="s">
        <v>96</v>
      </c>
      <c r="D199" s="14" t="s">
        <v>15936</v>
      </c>
      <c r="E199" s="15" t="str">
        <f>HYPERLINK("https://stat100.ameba.jp/tnk47/ratio20/illustrations/card/ill_95183_samuzorarukusukanderachan03.jpg?202101-5-RELEASE-marathon-511x", "■")</f>
        <v>■</v>
      </c>
      <c r="F199" s="14" t="s">
        <v>15935</v>
      </c>
      <c r="G199" s="14">
        <v>143714</v>
      </c>
      <c r="H199" s="14">
        <v>154562</v>
      </c>
      <c r="I199" s="14">
        <v>26</v>
      </c>
      <c r="J199" s="14" t="s">
        <v>73</v>
      </c>
      <c r="K199" s="14" t="s">
        <v>15930</v>
      </c>
      <c r="L199" s="14" t="s">
        <v>12721</v>
      </c>
      <c r="M199" s="14" t="s">
        <v>9158</v>
      </c>
      <c r="N199" s="14" t="s">
        <v>9158</v>
      </c>
      <c r="O199" s="14" t="s">
        <v>9158</v>
      </c>
      <c r="P199" s="14" t="s">
        <v>9158</v>
      </c>
      <c r="Q199" s="14" t="s">
        <v>9158</v>
      </c>
    </row>
    <row r="200" spans="1:17">
      <c r="A200" s="14">
        <v>95203</v>
      </c>
      <c r="B200" s="14" t="s">
        <v>15</v>
      </c>
      <c r="C200" s="14" t="s">
        <v>101</v>
      </c>
      <c r="D200" s="14" t="s">
        <v>15948</v>
      </c>
      <c r="E200" s="15" t="str">
        <f>HYPERLINK("https://stat100.ameba.jp/tnk47/ratio20/illustrations/card/ill_95203_yukinoukokukingyonota03.jpg?202101-5-RELEASE-marathon-511x", "■")</f>
        <v>■</v>
      </c>
      <c r="F200" s="14" t="s">
        <v>15947</v>
      </c>
      <c r="G200" s="14">
        <v>77064</v>
      </c>
      <c r="H200" s="14">
        <v>69898</v>
      </c>
      <c r="I200" s="14">
        <v>26</v>
      </c>
      <c r="J200" s="14" t="s">
        <v>38</v>
      </c>
      <c r="K200" s="14" t="s">
        <v>15945</v>
      </c>
      <c r="L200" s="14" t="s">
        <v>3267</v>
      </c>
      <c r="M200" s="14" t="s">
        <v>9158</v>
      </c>
      <c r="N200" s="14" t="s">
        <v>9158</v>
      </c>
      <c r="O200" s="14" t="s">
        <v>9158</v>
      </c>
      <c r="P200" s="14" t="s">
        <v>9158</v>
      </c>
      <c r="Q200" s="14" t="s">
        <v>9158</v>
      </c>
    </row>
    <row r="201" spans="1:17">
      <c r="A201" s="14">
        <v>95213</v>
      </c>
      <c r="B201" s="14" t="s">
        <v>22</v>
      </c>
      <c r="C201" s="14" t="s">
        <v>23</v>
      </c>
      <c r="D201" s="14" t="s">
        <v>15954</v>
      </c>
      <c r="E201" s="15" t="str">
        <f>HYPERLINK("https://stat100.ameba.jp/tnk47/ratio20/illustrations/card/ill_95213_tsubakiabura03.jpg?202101-5-RELEASE-marathon-511x", "■")</f>
        <v>■</v>
      </c>
      <c r="F201" s="14" t="s">
        <v>15953</v>
      </c>
      <c r="G201" s="14">
        <v>44948</v>
      </c>
      <c r="H201" s="14">
        <v>54058</v>
      </c>
      <c r="I201" s="14">
        <v>26</v>
      </c>
      <c r="J201" s="14" t="s">
        <v>26</v>
      </c>
      <c r="K201" s="14" t="s">
        <v>15951</v>
      </c>
      <c r="L201" s="14" t="s">
        <v>28</v>
      </c>
      <c r="M201" s="14" t="s">
        <v>9158</v>
      </c>
      <c r="N201" s="14" t="s">
        <v>9158</v>
      </c>
      <c r="O201" s="14" t="s">
        <v>9158</v>
      </c>
      <c r="P201" s="14" t="s">
        <v>9158</v>
      </c>
      <c r="Q201" s="14" t="s">
        <v>9158</v>
      </c>
    </row>
    <row r="202" spans="1:17">
      <c r="A202" s="14">
        <v>95223</v>
      </c>
      <c r="B202" s="14" t="s">
        <v>22</v>
      </c>
      <c r="C202" s="14" t="s">
        <v>14</v>
      </c>
      <c r="D202" s="14" t="s">
        <v>15959</v>
      </c>
      <c r="E202" s="15" t="str">
        <f>HYPERLINK("https://stat100.ameba.jp/tnk47/ratio20/illustrations/card/ill_95223_iwaisepo03.jpg?202101-5-RELEASE-marathon-511x", "■")</f>
        <v>■</v>
      </c>
      <c r="F202" s="14" t="s">
        <v>15958</v>
      </c>
      <c r="G202" s="14">
        <v>54058</v>
      </c>
      <c r="H202" s="14">
        <v>44948</v>
      </c>
      <c r="I202" s="14">
        <v>26</v>
      </c>
      <c r="J202" s="14" t="s">
        <v>73</v>
      </c>
      <c r="K202" s="14" t="s">
        <v>15957</v>
      </c>
      <c r="L202" s="14" t="s">
        <v>4556</v>
      </c>
      <c r="M202" s="14" t="s">
        <v>9158</v>
      </c>
      <c r="N202" s="14" t="s">
        <v>9158</v>
      </c>
      <c r="O202" s="14" t="s">
        <v>9158</v>
      </c>
      <c r="P202" s="14" t="s">
        <v>9158</v>
      </c>
      <c r="Q202" s="14" t="s">
        <v>9158</v>
      </c>
    </row>
    <row r="204" spans="1:17">
      <c r="A204" s="14" t="s">
        <v>4065</v>
      </c>
    </row>
    <row r="205" spans="1:17">
      <c r="A205" s="14">
        <v>105974</v>
      </c>
      <c r="B205" s="14" t="s">
        <v>16207</v>
      </c>
    </row>
    <row r="206" spans="1:17">
      <c r="A206" s="14" t="s">
        <v>7789</v>
      </c>
      <c r="B206" s="14" t="s">
        <v>52</v>
      </c>
      <c r="C206" s="14" t="s">
        <v>202</v>
      </c>
      <c r="D206" s="19" t="s">
        <v>10741</v>
      </c>
      <c r="E206" s="15" t="str">
        <f>HYPERLINK("https://stat100.ameba.jp/tnk47/ratio20/illustrations/card/ill_84923_0_onsengainansosatomihakkenden03.jpg?202101-5-RELEASE-marathon-511x", "■")</f>
        <v>■</v>
      </c>
      <c r="F206" s="14" t="s">
        <v>7792</v>
      </c>
      <c r="G206" s="14">
        <v>311915</v>
      </c>
      <c r="H206" s="14">
        <v>345111</v>
      </c>
      <c r="I206" s="14">
        <v>27</v>
      </c>
      <c r="J206" s="14" t="s">
        <v>155</v>
      </c>
      <c r="K206" s="14" t="s">
        <v>7791</v>
      </c>
      <c r="L206" s="14" t="s">
        <v>7790</v>
      </c>
      <c r="M206" s="14" t="s">
        <v>9158</v>
      </c>
      <c r="N206" s="14" t="s">
        <v>9158</v>
      </c>
      <c r="O206" s="19" t="s">
        <v>10131</v>
      </c>
      <c r="P206" s="14" t="s">
        <v>7793</v>
      </c>
      <c r="Q206" s="14">
        <v>0</v>
      </c>
    </row>
    <row r="207" spans="1:17">
      <c r="A207" s="14">
        <v>77673</v>
      </c>
      <c r="B207" s="14" t="s">
        <v>334</v>
      </c>
      <c r="C207" s="14" t="s">
        <v>158</v>
      </c>
      <c r="D207" s="19" t="s">
        <v>10270</v>
      </c>
      <c r="E207" s="15" t="str">
        <f>HYPERLINK("https://stat100.ameba.jp/tnk47/ratio20/illustrations/card/ill_77673_ryunochoji03.jpg?202101-5-RELEASE-marathon-511x", "■")</f>
        <v>■</v>
      </c>
      <c r="F207" s="14" t="s">
        <v>1777</v>
      </c>
      <c r="G207" s="14">
        <v>121240</v>
      </c>
      <c r="H207" s="14">
        <v>87834</v>
      </c>
      <c r="I207" s="14">
        <v>26</v>
      </c>
      <c r="J207" s="14" t="s">
        <v>73</v>
      </c>
      <c r="K207" s="14" t="s">
        <v>1778</v>
      </c>
      <c r="L207" s="14" t="s">
        <v>1779</v>
      </c>
      <c r="M207" s="14" t="s">
        <v>9158</v>
      </c>
      <c r="N207" s="14" t="s">
        <v>9158</v>
      </c>
      <c r="O207" s="19" t="s">
        <v>10090</v>
      </c>
      <c r="P207" s="14" t="s">
        <v>3460</v>
      </c>
      <c r="Q207" s="14">
        <v>1</v>
      </c>
    </row>
    <row r="208" spans="1:17">
      <c r="A208" s="14">
        <v>81903</v>
      </c>
      <c r="B208" s="14" t="s">
        <v>334</v>
      </c>
      <c r="C208" s="14" t="s">
        <v>47</v>
      </c>
      <c r="D208" s="20" t="s">
        <v>10200</v>
      </c>
      <c r="E208" s="15" t="str">
        <f>HYPERLINK("https://stat100.ameba.jp/tnk47/ratio20/illustrations/card/ill_81903_kiryuhimeiren03.jpg?202101-5-RELEASE-marathon-511x", "■")</f>
        <v>■</v>
      </c>
      <c r="F208" s="14" t="s">
        <v>4983</v>
      </c>
      <c r="G208" s="14">
        <v>85962</v>
      </c>
      <c r="H208" s="14">
        <v>118684</v>
      </c>
      <c r="I208" s="14">
        <v>26</v>
      </c>
      <c r="J208" s="14" t="s">
        <v>77</v>
      </c>
      <c r="K208" s="14" t="s">
        <v>4985</v>
      </c>
      <c r="L208" s="14" t="s">
        <v>4986</v>
      </c>
      <c r="M208" s="14" t="s">
        <v>9158</v>
      </c>
      <c r="N208" s="14" t="s">
        <v>9158</v>
      </c>
      <c r="O208" s="19" t="s">
        <v>10112</v>
      </c>
      <c r="P208" s="14" t="s">
        <v>13150</v>
      </c>
      <c r="Q208" s="14">
        <v>1</v>
      </c>
    </row>
    <row r="209" spans="1:17">
      <c r="A209" s="14">
        <v>73093</v>
      </c>
      <c r="B209" s="14" t="s">
        <v>334</v>
      </c>
      <c r="C209" s="14" t="s">
        <v>209</v>
      </c>
      <c r="D209" s="20" t="s">
        <v>433</v>
      </c>
      <c r="E209" s="15" t="str">
        <f>HYPERLINK("https://stat100.ameba.jp/tnk47/ratio20/illustrations/card/ill_73093_aisukurinchan03.jpg?202101-5-RELEASE-marathon-511x", "■")</f>
        <v>■</v>
      </c>
      <c r="F209" s="14" t="s">
        <v>1027</v>
      </c>
      <c r="G209" s="14">
        <v>172982</v>
      </c>
      <c r="H209" s="14">
        <v>125296</v>
      </c>
      <c r="I209" s="14">
        <v>26</v>
      </c>
      <c r="J209" s="14" t="s">
        <v>104</v>
      </c>
      <c r="K209" s="14" t="s">
        <v>1028</v>
      </c>
      <c r="L209" s="14" t="s">
        <v>1029</v>
      </c>
      <c r="M209" s="14" t="s">
        <v>9158</v>
      </c>
      <c r="N209" s="14" t="s">
        <v>9158</v>
      </c>
      <c r="O209" s="19" t="s">
        <v>2741</v>
      </c>
      <c r="P209" s="14" t="s">
        <v>2742</v>
      </c>
      <c r="Q209" s="14">
        <v>1</v>
      </c>
    </row>
    <row r="211" spans="1:17">
      <c r="A211" s="14" t="s">
        <v>3785</v>
      </c>
    </row>
    <row r="212" spans="1:17">
      <c r="A212" s="14">
        <v>236162</v>
      </c>
      <c r="B212" s="14" t="s">
        <v>16208</v>
      </c>
    </row>
    <row r="213" spans="1:17">
      <c r="A213" s="14" t="s">
        <v>5602</v>
      </c>
      <c r="B213" s="14" t="s">
        <v>330</v>
      </c>
      <c r="C213" s="14" t="s">
        <v>185</v>
      </c>
      <c r="D213" s="19" t="s">
        <v>813</v>
      </c>
      <c r="E213" s="15" t="str">
        <f>HYPERLINK("https://stat100.ameba.jp/tnk47/ratio20/illustrations/card/ill_55313_0_haroinononokomachi03.jpg?202101-5-RELEASE-marathon-511x", "■")</f>
        <v>■</v>
      </c>
      <c r="F213" s="14" t="s">
        <v>814</v>
      </c>
      <c r="G213" s="14">
        <v>138212</v>
      </c>
      <c r="H213" s="14">
        <v>122776</v>
      </c>
      <c r="I213" s="14">
        <v>22</v>
      </c>
      <c r="J213" s="14" t="s">
        <v>351</v>
      </c>
      <c r="K213" s="14" t="s">
        <v>815</v>
      </c>
      <c r="L213" s="14" t="s">
        <v>816</v>
      </c>
      <c r="M213" s="14" t="s">
        <v>9158</v>
      </c>
      <c r="N213" s="14" t="s">
        <v>9158</v>
      </c>
      <c r="O213" s="7" t="s">
        <v>2733</v>
      </c>
      <c r="P213" s="14" t="s">
        <v>2734</v>
      </c>
      <c r="Q213" s="14">
        <v>1</v>
      </c>
    </row>
    <row r="214" spans="1:17">
      <c r="A214" s="14" t="s">
        <v>6195</v>
      </c>
      <c r="B214" s="14" t="s">
        <v>52</v>
      </c>
      <c r="C214" s="14" t="s">
        <v>191</v>
      </c>
      <c r="D214" s="20" t="s">
        <v>10217</v>
      </c>
      <c r="E214" s="15" t="str">
        <f>HYPERLINK("https://stat100.ameba.jp/tnk47/ratio20/illustrations/card/ill_56493_0_poppukurisumasuikomakitsuno03.jpg?202101-5-RELEASE-marathon-511x", "■")</f>
        <v>■</v>
      </c>
      <c r="F214" s="14" t="s">
        <v>1769</v>
      </c>
      <c r="G214" s="14">
        <v>138212</v>
      </c>
      <c r="H214" s="14">
        <v>122776</v>
      </c>
      <c r="I214" s="14">
        <v>22</v>
      </c>
      <c r="J214" s="14" t="s">
        <v>77</v>
      </c>
      <c r="K214" s="14" t="s">
        <v>1770</v>
      </c>
      <c r="L214" s="14" t="s">
        <v>1771</v>
      </c>
      <c r="M214" s="14" t="s">
        <v>9158</v>
      </c>
      <c r="N214" s="14" t="s">
        <v>9158</v>
      </c>
      <c r="O214" s="19" t="s">
        <v>10120</v>
      </c>
      <c r="P214" s="14" t="s">
        <v>2724</v>
      </c>
      <c r="Q214" s="14">
        <v>1</v>
      </c>
    </row>
    <row r="215" spans="1:17">
      <c r="A215" s="14" t="s">
        <v>5604</v>
      </c>
      <c r="B215" s="14" t="s">
        <v>330</v>
      </c>
      <c r="C215" s="14" t="s">
        <v>206</v>
      </c>
      <c r="D215" s="19" t="s">
        <v>614</v>
      </c>
      <c r="E215" s="15" t="str">
        <f>HYPERLINK("https://stat100.ameba.jp/tnk47/ratio20/illustrations/card/ill_47263_0_oukyuuatsuhime03.jpg?202101-5-RELEASE-marathon-511x", "■")</f>
        <v>■</v>
      </c>
      <c r="F215" s="14" t="s">
        <v>615</v>
      </c>
      <c r="G215" s="14">
        <v>138212</v>
      </c>
      <c r="H215" s="14">
        <v>122776</v>
      </c>
      <c r="I215" s="14">
        <v>22</v>
      </c>
      <c r="J215" s="14" t="s">
        <v>315</v>
      </c>
      <c r="K215" s="14" t="s">
        <v>616</v>
      </c>
      <c r="L215" s="14" t="s">
        <v>617</v>
      </c>
      <c r="M215" s="14" t="s">
        <v>9158</v>
      </c>
      <c r="N215" s="14" t="s">
        <v>9158</v>
      </c>
      <c r="O215" s="14" t="s">
        <v>9158</v>
      </c>
      <c r="P215" s="14" t="s">
        <v>9158</v>
      </c>
      <c r="Q215" s="14" t="s">
        <v>9158</v>
      </c>
    </row>
    <row r="216" spans="1:17">
      <c r="A216" s="14">
        <v>90013</v>
      </c>
      <c r="B216" s="14" t="s">
        <v>0</v>
      </c>
      <c r="C216" s="14" t="s">
        <v>23</v>
      </c>
      <c r="D216" s="14" t="s">
        <v>13981</v>
      </c>
      <c r="E216" s="15" t="str">
        <f>HYPERLINK("https://stat100.ameba.jp/tnk47/ratio20/illustrations/card/ill_90013_buiranzumarisondemonia03.jpg?202101-5-RELEASE-marathon-511x", "■")</f>
        <v>■</v>
      </c>
      <c r="F216" s="14" t="s">
        <v>13982</v>
      </c>
      <c r="G216" s="14">
        <v>163316</v>
      </c>
      <c r="H216" s="14">
        <v>91874</v>
      </c>
      <c r="I216" s="14">
        <v>28</v>
      </c>
      <c r="J216" s="14" t="s">
        <v>26</v>
      </c>
      <c r="K216" s="14" t="s">
        <v>13983</v>
      </c>
      <c r="L216" s="14" t="s">
        <v>2388</v>
      </c>
      <c r="M216" s="14" t="s">
        <v>9158</v>
      </c>
      <c r="N216" s="14" t="s">
        <v>9158</v>
      </c>
      <c r="O216" s="14" t="s">
        <v>9158</v>
      </c>
      <c r="P216" s="14" t="s">
        <v>9158</v>
      </c>
      <c r="Q216" s="14" t="s">
        <v>9158</v>
      </c>
    </row>
    <row r="217" spans="1:17">
      <c r="A217" s="9">
        <v>79163</v>
      </c>
      <c r="B217" s="14" t="s">
        <v>334</v>
      </c>
      <c r="C217" s="14" t="s">
        <v>185</v>
      </c>
      <c r="D217" s="14" t="s">
        <v>3254</v>
      </c>
      <c r="E217" s="15" t="str">
        <f>HYPERLINK("https://stat100.ameba.jp/tnk47/ratio20/illustrations/card/ill_79163_karutaonamihime03.jpg?202101-5-RELEASE-marathon-511x", "■")</f>
        <v>■</v>
      </c>
      <c r="F217" s="14" t="s">
        <v>3255</v>
      </c>
      <c r="G217" s="14">
        <v>205568</v>
      </c>
      <c r="H217" s="14">
        <v>115654</v>
      </c>
      <c r="I217" s="14">
        <v>28</v>
      </c>
      <c r="J217" s="14" t="s">
        <v>143</v>
      </c>
      <c r="K217" s="14" t="s">
        <v>3256</v>
      </c>
      <c r="L217" s="14" t="s">
        <v>145</v>
      </c>
      <c r="M217" s="14" t="s">
        <v>9158</v>
      </c>
      <c r="N217" s="14" t="s">
        <v>9158</v>
      </c>
      <c r="O217" s="14" t="s">
        <v>9158</v>
      </c>
      <c r="P217" s="14" t="s">
        <v>9158</v>
      </c>
      <c r="Q217" s="14" t="s">
        <v>9158</v>
      </c>
    </row>
    <row r="218" spans="1:17">
      <c r="A218" s="9">
        <v>87833</v>
      </c>
      <c r="B218" s="9" t="s">
        <v>0</v>
      </c>
      <c r="C218" s="9" t="s">
        <v>165</v>
      </c>
      <c r="D218" s="9" t="s">
        <v>11592</v>
      </c>
      <c r="E218" s="15" t="str">
        <f>HYPERLINK("https://stat100.ameba.jp/tnk47/ratio20/illustrations/card/ill_87833_howaitodepateishieru03.jpg?202101-5-RELEASE-marathon-511x", "■")</f>
        <v>■</v>
      </c>
      <c r="F218" s="9" t="s">
        <v>11593</v>
      </c>
      <c r="G218" s="9">
        <v>166452</v>
      </c>
      <c r="H218" s="9">
        <v>154768</v>
      </c>
      <c r="I218" s="9">
        <v>28</v>
      </c>
      <c r="J218" s="9" t="s">
        <v>216</v>
      </c>
      <c r="K218" s="9" t="s">
        <v>11594</v>
      </c>
      <c r="L218" s="9" t="s">
        <v>13230</v>
      </c>
      <c r="M218" s="14" t="s">
        <v>9158</v>
      </c>
      <c r="N218" s="14" t="s">
        <v>9158</v>
      </c>
      <c r="O218" s="14" t="s">
        <v>9158</v>
      </c>
      <c r="P218" s="14" t="s">
        <v>9158</v>
      </c>
      <c r="Q218" s="14" t="s">
        <v>9158</v>
      </c>
    </row>
    <row r="220" spans="1:17">
      <c r="A220" s="14" t="s">
        <v>3911</v>
      </c>
    </row>
    <row r="221" spans="1:17">
      <c r="A221" s="14">
        <v>105979</v>
      </c>
      <c r="B221" s="14" t="s">
        <v>16209</v>
      </c>
    </row>
    <row r="222" spans="1:17">
      <c r="A222" s="14">
        <v>105989</v>
      </c>
      <c r="B222" s="14" t="s">
        <v>15721</v>
      </c>
    </row>
    <row r="223" spans="1:17">
      <c r="A223" s="14" t="s">
        <v>14533</v>
      </c>
      <c r="B223" s="7" t="s">
        <v>52</v>
      </c>
      <c r="C223" s="14" t="s">
        <v>202</v>
      </c>
      <c r="D223" s="18" t="s">
        <v>14532</v>
      </c>
      <c r="E223" s="15" t="str">
        <f>HYPERLINK("https://stat100.ameba.jp/tnk47/ratio20/illustrations/card/ill_91703_0_ninjashugyohanakosan03.jpg?202101-5-RELEASE-marathon-511x", "■")</f>
        <v>■</v>
      </c>
      <c r="F223" s="14" t="s">
        <v>14534</v>
      </c>
      <c r="G223" s="14">
        <v>292832</v>
      </c>
      <c r="H223" s="14">
        <v>324004</v>
      </c>
      <c r="I223" s="7">
        <v>28</v>
      </c>
      <c r="J223" s="14" t="s">
        <v>77</v>
      </c>
      <c r="K223" s="14" t="s">
        <v>14536</v>
      </c>
      <c r="L223" s="14" t="s">
        <v>14535</v>
      </c>
      <c r="M223" s="14" t="s">
        <v>9158</v>
      </c>
      <c r="N223" s="14" t="s">
        <v>9158</v>
      </c>
      <c r="O223" s="6" t="s">
        <v>14539</v>
      </c>
      <c r="P223" s="7" t="s">
        <v>14538</v>
      </c>
      <c r="Q223" s="7">
        <v>1</v>
      </c>
    </row>
    <row r="224" spans="1:17">
      <c r="A224" s="9" t="s">
        <v>9891</v>
      </c>
      <c r="B224" s="7" t="s">
        <v>52</v>
      </c>
      <c r="C224" s="9" t="s">
        <v>202</v>
      </c>
      <c r="D224" s="6" t="s">
        <v>9978</v>
      </c>
      <c r="E224" s="15" t="str">
        <f>HYPERLINK("https://stat100.ameba.jp/tnk47/ratio20/illustrations/card/ill_87643_0_oendanotohime03.jpg?202101-5-RELEASE-marathon-511x", "■")</f>
        <v>■</v>
      </c>
      <c r="F224" s="14" t="s">
        <v>9928</v>
      </c>
      <c r="G224" s="9">
        <v>291568</v>
      </c>
      <c r="H224" s="9">
        <v>356334</v>
      </c>
      <c r="I224" s="7">
        <v>28</v>
      </c>
      <c r="J224" s="9" t="s">
        <v>155</v>
      </c>
      <c r="K224" s="14" t="s">
        <v>9932</v>
      </c>
      <c r="L224" s="14" t="s">
        <v>9933</v>
      </c>
      <c r="M224" s="14" t="s">
        <v>9158</v>
      </c>
      <c r="N224" s="14" t="s">
        <v>9158</v>
      </c>
      <c r="O224" s="6" t="s">
        <v>9989</v>
      </c>
      <c r="P224" s="7" t="s">
        <v>9944</v>
      </c>
      <c r="Q224" s="7">
        <v>1</v>
      </c>
    </row>
    <row r="225" spans="1:17">
      <c r="A225" s="14" t="s">
        <v>5625</v>
      </c>
      <c r="B225" s="14" t="s">
        <v>330</v>
      </c>
      <c r="C225" s="14" t="s">
        <v>200</v>
      </c>
      <c r="D225" s="20" t="s">
        <v>630</v>
      </c>
      <c r="E225" s="15" t="str">
        <f>HYPERLINK("https://stat100.ameba.jp/tnk47/ratio20/illustrations/card/ill_48283_0_kyuubitamamonomae03.jpg?202101-5-RELEASE-marathon-511x", "■")</f>
        <v>■</v>
      </c>
      <c r="F225" s="14" t="s">
        <v>631</v>
      </c>
      <c r="G225" s="14">
        <v>175906</v>
      </c>
      <c r="H225" s="14">
        <v>156262</v>
      </c>
      <c r="I225" s="14">
        <v>28</v>
      </c>
      <c r="J225" s="14" t="s">
        <v>320</v>
      </c>
      <c r="K225" s="14" t="s">
        <v>632</v>
      </c>
      <c r="L225" s="14" t="s">
        <v>633</v>
      </c>
      <c r="M225" s="14" t="s">
        <v>9158</v>
      </c>
      <c r="N225" s="14" t="s">
        <v>9158</v>
      </c>
      <c r="O225" s="14" t="s">
        <v>9158</v>
      </c>
      <c r="P225" s="14" t="s">
        <v>9158</v>
      </c>
      <c r="Q225" s="14" t="s">
        <v>9158</v>
      </c>
    </row>
    <row r="226" spans="1:17">
      <c r="A226" s="14">
        <v>52083</v>
      </c>
      <c r="B226" s="14" t="s">
        <v>0</v>
      </c>
      <c r="C226" s="14" t="s">
        <v>158</v>
      </c>
      <c r="D226" s="19" t="s">
        <v>2913</v>
      </c>
      <c r="E226" s="15" t="str">
        <f>HYPERLINK("https://stat100.ameba.jp/tnk47/ratio20/illustrations/card/ill_52083_berubetto03.jpg?202101-5-RELEASE-marathon-511x", "■")</f>
        <v>■</v>
      </c>
      <c r="F226" s="14" t="s">
        <v>944</v>
      </c>
      <c r="G226" s="14">
        <v>96476</v>
      </c>
      <c r="H226" s="14">
        <v>133188</v>
      </c>
      <c r="I226" s="14">
        <v>28</v>
      </c>
      <c r="J226" s="14" t="s">
        <v>26</v>
      </c>
      <c r="K226" s="14" t="s">
        <v>1864</v>
      </c>
      <c r="L226" s="14" t="s">
        <v>1865</v>
      </c>
      <c r="M226" s="14" t="s">
        <v>9158</v>
      </c>
      <c r="N226" s="14" t="s">
        <v>9158</v>
      </c>
      <c r="O226" s="19" t="s">
        <v>2917</v>
      </c>
      <c r="P226" s="14" t="s">
        <v>2918</v>
      </c>
      <c r="Q226" s="14">
        <v>1</v>
      </c>
    </row>
    <row r="227" spans="1:17">
      <c r="A227" s="14">
        <v>79523</v>
      </c>
      <c r="B227" s="14" t="s">
        <v>0</v>
      </c>
      <c r="C227" s="14" t="s">
        <v>203</v>
      </c>
      <c r="D227" s="20" t="s">
        <v>10309</v>
      </c>
      <c r="E227" s="15" t="str">
        <f>HYPERLINK("https://stat100.ameba.jp/tnk47/ratio20/illustrations/card/ill_79523_shikyokunoashurato03.jpg?202101-5-RELEASE-marathon-511x", "■")</f>
        <v>■</v>
      </c>
      <c r="F227" s="14" t="s">
        <v>3590</v>
      </c>
      <c r="G227" s="14">
        <v>88650</v>
      </c>
      <c r="H227" s="14">
        <v>122372</v>
      </c>
      <c r="I227" s="14">
        <v>28</v>
      </c>
      <c r="J227" s="14" t="s">
        <v>77</v>
      </c>
      <c r="K227" s="14" t="s">
        <v>3591</v>
      </c>
      <c r="L227" s="14" t="s">
        <v>1955</v>
      </c>
      <c r="M227" s="14" t="s">
        <v>9158</v>
      </c>
      <c r="N227" s="14" t="s">
        <v>9158</v>
      </c>
      <c r="O227" s="19" t="s">
        <v>10074</v>
      </c>
      <c r="P227" s="14" t="s">
        <v>3592</v>
      </c>
      <c r="Q227" s="14">
        <v>1</v>
      </c>
    </row>
    <row r="228" spans="1:17">
      <c r="A228" s="14">
        <v>62473</v>
      </c>
      <c r="B228" s="14" t="s">
        <v>334</v>
      </c>
      <c r="C228" s="14" t="s">
        <v>203</v>
      </c>
      <c r="D228" s="20" t="s">
        <v>2834</v>
      </c>
      <c r="E228" s="15" t="str">
        <f>HYPERLINK("https://stat100.ameba.jp/tnk47/ratio20/illustrations/card/ill_62473_kokuriko03.jpg?202101-5-RELEASE-marathon-511x", "■")</f>
        <v>■</v>
      </c>
      <c r="F228" s="14" t="s">
        <v>2835</v>
      </c>
      <c r="G228" s="14">
        <v>127814</v>
      </c>
      <c r="H228" s="14">
        <v>92574</v>
      </c>
      <c r="I228" s="14">
        <v>28</v>
      </c>
      <c r="J228" s="14" t="s">
        <v>401</v>
      </c>
      <c r="K228" s="14" t="s">
        <v>2836</v>
      </c>
      <c r="L228" s="14" t="s">
        <v>2837</v>
      </c>
      <c r="M228" s="14" t="s">
        <v>9158</v>
      </c>
      <c r="N228" s="14" t="s">
        <v>9158</v>
      </c>
      <c r="O228" s="19" t="s">
        <v>2838</v>
      </c>
      <c r="P228" s="14" t="s">
        <v>2839</v>
      </c>
      <c r="Q228" s="14">
        <v>1</v>
      </c>
    </row>
    <row r="229" spans="1:17">
      <c r="A229" s="14">
        <v>84633</v>
      </c>
      <c r="B229" s="14" t="s">
        <v>334</v>
      </c>
      <c r="C229" s="14" t="s">
        <v>154</v>
      </c>
      <c r="D229" s="20" t="s">
        <v>10586</v>
      </c>
      <c r="E229" s="15" t="str">
        <f>HYPERLINK("https://stat100.ameba.jp/tnk47/ratio20/illustrations/card/ill_84633_akubishoppu03.jpg?202101-5-RELEASE-marathon-511x", "■")</f>
        <v>■</v>
      </c>
      <c r="F229" s="14" t="s">
        <v>6762</v>
      </c>
      <c r="G229" s="14">
        <v>122372</v>
      </c>
      <c r="H229" s="14">
        <v>88650</v>
      </c>
      <c r="I229" s="14">
        <v>28</v>
      </c>
      <c r="J229" s="14" t="s">
        <v>10</v>
      </c>
      <c r="K229" s="14" t="s">
        <v>6764</v>
      </c>
      <c r="L229" s="14" t="s">
        <v>6763</v>
      </c>
      <c r="M229" s="14" t="s">
        <v>9158</v>
      </c>
      <c r="N229" s="14" t="s">
        <v>9158</v>
      </c>
      <c r="O229" s="19" t="s">
        <v>10090</v>
      </c>
      <c r="P229" s="14" t="s">
        <v>3460</v>
      </c>
      <c r="Q229" s="14">
        <v>1</v>
      </c>
    </row>
    <row r="230" spans="1:17">
      <c r="A230" s="14">
        <v>63283</v>
      </c>
      <c r="B230" s="14" t="s">
        <v>334</v>
      </c>
      <c r="C230" s="14" t="s">
        <v>209</v>
      </c>
      <c r="D230" s="19" t="s">
        <v>327</v>
      </c>
      <c r="E230" s="15" t="str">
        <f>HYPERLINK("https://stat100.ameba.jp/tnk47/ratio20/illustrations/card/ill_63283_mizuyokanchan03.jpg?202101-5-RELEASE-marathon-511x", "■")</f>
        <v>■</v>
      </c>
      <c r="F230" s="14" t="s">
        <v>327</v>
      </c>
      <c r="G230" s="14">
        <v>132230</v>
      </c>
      <c r="H230" s="14">
        <v>122960</v>
      </c>
      <c r="I230" s="14">
        <v>28</v>
      </c>
      <c r="J230" s="14" t="s">
        <v>283</v>
      </c>
      <c r="K230" s="14" t="s">
        <v>328</v>
      </c>
      <c r="L230" s="14" t="s">
        <v>329</v>
      </c>
      <c r="M230" s="14" t="s">
        <v>9158</v>
      </c>
      <c r="N230" s="14" t="s">
        <v>9158</v>
      </c>
      <c r="O230" s="19" t="s">
        <v>10084</v>
      </c>
      <c r="P230" s="14" t="s">
        <v>3563</v>
      </c>
      <c r="Q230" s="14">
        <v>1</v>
      </c>
    </row>
    <row r="231" spans="1:17">
      <c r="A231" s="14">
        <v>83083</v>
      </c>
      <c r="B231" s="14" t="s">
        <v>0</v>
      </c>
      <c r="C231" s="14" t="s">
        <v>209</v>
      </c>
      <c r="D231" s="19" t="s">
        <v>10469</v>
      </c>
      <c r="E231" s="15" t="str">
        <f>HYPERLINK("https://stat100.ameba.jp/tnk47/ratio20/illustrations/card/ill_83083_burakkukingu03.jpg?202101-5-RELEASE-marathon-511x", "■")</f>
        <v>■</v>
      </c>
      <c r="F231" s="14" t="s">
        <v>6093</v>
      </c>
      <c r="G231" s="14">
        <v>134934</v>
      </c>
      <c r="H231" s="14">
        <v>186288</v>
      </c>
      <c r="I231" s="14">
        <v>28</v>
      </c>
      <c r="J231" s="14" t="s">
        <v>194</v>
      </c>
      <c r="K231" s="14" t="s">
        <v>6095</v>
      </c>
      <c r="L231" s="14" t="s">
        <v>1148</v>
      </c>
      <c r="M231" s="14" t="s">
        <v>9158</v>
      </c>
      <c r="N231" s="14" t="s">
        <v>9158</v>
      </c>
      <c r="O231" s="19" t="s">
        <v>10117</v>
      </c>
      <c r="P231" s="14" t="s">
        <v>3625</v>
      </c>
      <c r="Q231" s="14">
        <v>1</v>
      </c>
    </row>
    <row r="233" spans="1:17">
      <c r="A233" s="14" t="s">
        <v>207</v>
      </c>
    </row>
    <row r="234" spans="1:17">
      <c r="A234" s="14">
        <v>106003</v>
      </c>
      <c r="B234" s="14" t="s">
        <v>16211</v>
      </c>
    </row>
    <row r="235" spans="1:17">
      <c r="A235" s="14" t="s">
        <v>6598</v>
      </c>
      <c r="B235" s="14" t="s">
        <v>330</v>
      </c>
      <c r="C235" s="14" t="s">
        <v>35</v>
      </c>
      <c r="D235" s="19" t="s">
        <v>11497</v>
      </c>
      <c r="E235" s="15" t="str">
        <f>HYPERLINK("https://stat100.ameba.jp/tnk47/ratio20/illustrations/card/ill_83553_0_kajuenamoronagu03.jpg?202101-5-RELEASE-marathon-511x", "■")</f>
        <v>■</v>
      </c>
      <c r="F235" s="14" t="s">
        <v>6597</v>
      </c>
      <c r="G235" s="14">
        <v>252640</v>
      </c>
      <c r="H235" s="14">
        <v>279536</v>
      </c>
      <c r="I235" s="14">
        <v>24</v>
      </c>
      <c r="J235" s="14" t="s">
        <v>44</v>
      </c>
      <c r="K235" s="14" t="s">
        <v>6595</v>
      </c>
      <c r="L235" s="14" t="s">
        <v>6594</v>
      </c>
      <c r="M235" s="14" t="s">
        <v>9158</v>
      </c>
      <c r="N235" s="14" t="s">
        <v>9158</v>
      </c>
      <c r="O235" s="19" t="s">
        <v>10125</v>
      </c>
      <c r="P235" s="14" t="s">
        <v>6599</v>
      </c>
      <c r="Q235" s="14">
        <v>1</v>
      </c>
    </row>
    <row r="236" spans="1:17">
      <c r="A236" s="14" t="s">
        <v>5623</v>
      </c>
      <c r="B236" s="14" t="s">
        <v>330</v>
      </c>
      <c r="C236" s="14" t="s">
        <v>165</v>
      </c>
      <c r="D236" s="19" t="s">
        <v>3146</v>
      </c>
      <c r="E236" s="15" t="str">
        <f>HYPERLINK("https://stat100.ameba.jp/tnk47/ratio20/illustrations/card/ill_65713_0_undokaionikirimaru03.jpg?202101-5-RELEASE-marathon-511x", "■")</f>
        <v>■</v>
      </c>
      <c r="F236" s="14" t="s">
        <v>535</v>
      </c>
      <c r="G236" s="14">
        <v>181640</v>
      </c>
      <c r="H236" s="14">
        <v>168874</v>
      </c>
      <c r="I236" s="14">
        <v>24</v>
      </c>
      <c r="J236" s="14" t="s">
        <v>320</v>
      </c>
      <c r="K236" s="14" t="s">
        <v>3147</v>
      </c>
      <c r="L236" s="14" t="s">
        <v>3148</v>
      </c>
      <c r="M236" s="14" t="s">
        <v>9158</v>
      </c>
      <c r="N236" s="14" t="s">
        <v>9158</v>
      </c>
      <c r="O236" s="19" t="s">
        <v>2869</v>
      </c>
      <c r="P236" s="14" t="s">
        <v>2870</v>
      </c>
      <c r="Q236" s="14">
        <v>1</v>
      </c>
    </row>
    <row r="237" spans="1:17">
      <c r="A237" s="14" t="s">
        <v>5622</v>
      </c>
      <c r="B237" s="14" t="s">
        <v>330</v>
      </c>
      <c r="C237" s="14" t="s">
        <v>335</v>
      </c>
      <c r="D237" s="19" t="s">
        <v>1043</v>
      </c>
      <c r="E237" s="15" t="str">
        <f>HYPERLINK("https://stat100.ameba.jp/tnk47/ratio20/illustrations/card/ill_49953_0_yushamarihime03.jpg?202101-5-RELEASE-marathon-511x", "■")</f>
        <v>■</v>
      </c>
      <c r="F237" s="14" t="s">
        <v>510</v>
      </c>
      <c r="G237" s="14">
        <v>150776</v>
      </c>
      <c r="H237" s="14">
        <v>133938</v>
      </c>
      <c r="I237" s="14">
        <v>24</v>
      </c>
      <c r="J237" s="14" t="s">
        <v>315</v>
      </c>
      <c r="K237" s="14" t="s">
        <v>511</v>
      </c>
      <c r="L237" s="14" t="s">
        <v>512</v>
      </c>
      <c r="M237" s="14" t="s">
        <v>9158</v>
      </c>
      <c r="N237" s="14" t="s">
        <v>9158</v>
      </c>
      <c r="O237" s="14" t="s">
        <v>9158</v>
      </c>
      <c r="P237" s="14" t="s">
        <v>9158</v>
      </c>
      <c r="Q237" s="14" t="s">
        <v>9158</v>
      </c>
    </row>
    <row r="238" spans="1:17">
      <c r="A238" s="14">
        <v>95193</v>
      </c>
      <c r="B238" s="14" t="s">
        <v>0</v>
      </c>
      <c r="C238" s="14" t="s">
        <v>107</v>
      </c>
      <c r="D238" s="14" t="s">
        <v>15942</v>
      </c>
      <c r="E238" s="15" t="str">
        <f>HYPERLINK("https://stat100.ameba.jp/tnk47/ratio20/illustrations/card/ill_95193_shiramikiyo03.jpg?202101-5-RELEASE-marathon-511x", "■")</f>
        <v>■</v>
      </c>
      <c r="F238" s="14" t="s">
        <v>15941</v>
      </c>
      <c r="G238" s="14">
        <v>94390</v>
      </c>
      <c r="H238" s="14">
        <v>101558</v>
      </c>
      <c r="I238" s="14">
        <v>26</v>
      </c>
      <c r="J238" s="14" t="s">
        <v>44</v>
      </c>
      <c r="K238" s="14" t="s">
        <v>7264</v>
      </c>
      <c r="L238" s="14" t="s">
        <v>15938</v>
      </c>
      <c r="M238" s="14" t="s">
        <v>9158</v>
      </c>
      <c r="N238" s="14" t="s">
        <v>9158</v>
      </c>
      <c r="O238" s="14" t="s">
        <v>9158</v>
      </c>
      <c r="P238" s="14" t="s">
        <v>9158</v>
      </c>
      <c r="Q238" s="14" t="s">
        <v>9158</v>
      </c>
    </row>
    <row r="239" spans="1:17">
      <c r="A239" s="14">
        <v>95203</v>
      </c>
      <c r="B239" s="14" t="s">
        <v>15</v>
      </c>
      <c r="C239" s="14" t="s">
        <v>101</v>
      </c>
      <c r="D239" s="14" t="s">
        <v>15948</v>
      </c>
      <c r="E239" s="15" t="str">
        <f>HYPERLINK("https://stat100.ameba.jp/tnk47/ratio20/illustrations/card/ill_95203_yukinoukokukingyonota03.jpg?202101-5-RELEASE-marathon-511x", "■")</f>
        <v>■</v>
      </c>
      <c r="F239" s="14" t="s">
        <v>15947</v>
      </c>
      <c r="G239" s="14">
        <v>77064</v>
      </c>
      <c r="H239" s="14">
        <v>69898</v>
      </c>
      <c r="I239" s="14">
        <v>26</v>
      </c>
      <c r="J239" s="14" t="s">
        <v>38</v>
      </c>
      <c r="K239" s="14" t="s">
        <v>15945</v>
      </c>
      <c r="L239" s="14" t="s">
        <v>3267</v>
      </c>
      <c r="M239" s="14" t="s">
        <v>9158</v>
      </c>
      <c r="N239" s="14" t="s">
        <v>9158</v>
      </c>
      <c r="O239" s="14" t="s">
        <v>9158</v>
      </c>
      <c r="P239" s="14" t="s">
        <v>9158</v>
      </c>
      <c r="Q239" s="14" t="s">
        <v>9158</v>
      </c>
    </row>
    <row r="240" spans="1:17">
      <c r="A240" s="14">
        <v>95213</v>
      </c>
      <c r="B240" s="14" t="s">
        <v>22</v>
      </c>
      <c r="C240" s="14" t="s">
        <v>23</v>
      </c>
      <c r="D240" s="14" t="s">
        <v>15954</v>
      </c>
      <c r="E240" s="15" t="str">
        <f>HYPERLINK("https://stat100.ameba.jp/tnk47/ratio20/illustrations/card/ill_95213_tsubakiabura03.jpg?202101-5-RELEASE-marathon-511x", "■")</f>
        <v>■</v>
      </c>
      <c r="F240" s="14" t="s">
        <v>15953</v>
      </c>
      <c r="G240" s="14">
        <v>44948</v>
      </c>
      <c r="H240" s="14">
        <v>54058</v>
      </c>
      <c r="I240" s="14">
        <v>26</v>
      </c>
      <c r="J240" s="14" t="s">
        <v>26</v>
      </c>
      <c r="K240" s="14" t="s">
        <v>15951</v>
      </c>
      <c r="L240" s="14" t="s">
        <v>28</v>
      </c>
      <c r="M240" s="14" t="s">
        <v>9158</v>
      </c>
      <c r="N240" s="14" t="s">
        <v>9158</v>
      </c>
      <c r="O240" s="14" t="s">
        <v>9158</v>
      </c>
      <c r="P240" s="14" t="s">
        <v>9158</v>
      </c>
      <c r="Q240" s="14" t="s">
        <v>9158</v>
      </c>
    </row>
    <row r="241" spans="1:17">
      <c r="A241" s="14">
        <v>95223</v>
      </c>
      <c r="B241" s="14" t="s">
        <v>22</v>
      </c>
      <c r="C241" s="14" t="s">
        <v>14</v>
      </c>
      <c r="D241" s="14" t="s">
        <v>15959</v>
      </c>
      <c r="E241" s="15" t="str">
        <f>HYPERLINK("https://stat100.ameba.jp/tnk47/ratio20/illustrations/card/ill_95223_iwaisepo03.jpg?202101-5-RELEASE-marathon-511x", "■")</f>
        <v>■</v>
      </c>
      <c r="F241" s="14" t="s">
        <v>15958</v>
      </c>
      <c r="G241" s="14">
        <v>54058</v>
      </c>
      <c r="H241" s="14">
        <v>44948</v>
      </c>
      <c r="I241" s="14">
        <v>26</v>
      </c>
      <c r="J241" s="14" t="s">
        <v>73</v>
      </c>
      <c r="K241" s="14" t="s">
        <v>15957</v>
      </c>
      <c r="L241" s="14" t="s">
        <v>4556</v>
      </c>
      <c r="M241" s="14" t="s">
        <v>9158</v>
      </c>
      <c r="N241" s="14" t="s">
        <v>9158</v>
      </c>
      <c r="O241" s="14" t="s">
        <v>9158</v>
      </c>
      <c r="P241" s="14" t="s">
        <v>9158</v>
      </c>
      <c r="Q241" s="14" t="s">
        <v>9158</v>
      </c>
    </row>
    <row r="243" spans="1:17">
      <c r="A243" s="14" t="s">
        <v>3916</v>
      </c>
    </row>
    <row r="244" spans="1:17">
      <c r="A244" s="14">
        <v>106026</v>
      </c>
      <c r="B244" s="14" t="s">
        <v>16212</v>
      </c>
    </row>
    <row r="245" spans="1:17">
      <c r="A245" s="14">
        <v>76103</v>
      </c>
      <c r="B245" s="14" t="s">
        <v>334</v>
      </c>
      <c r="C245" s="14" t="s">
        <v>154</v>
      </c>
      <c r="D245" s="19" t="s">
        <v>570</v>
      </c>
      <c r="E245" s="15" t="str">
        <f>HYPERLINK("https://stat100.ameba.jp/tnk47/ratio20/illustrations/card/ill_76103_shibuaji03.jpg?202101-5-RELEASE-marathon-511x", "■")</f>
        <v>■</v>
      </c>
      <c r="F245" s="14" t="s">
        <v>1122</v>
      </c>
      <c r="G245" s="14">
        <v>120766</v>
      </c>
      <c r="H245" s="14">
        <v>112286</v>
      </c>
      <c r="I245" s="14">
        <v>28</v>
      </c>
      <c r="J245" s="14" t="s">
        <v>143</v>
      </c>
      <c r="K245" s="14" t="s">
        <v>1123</v>
      </c>
      <c r="L245" s="14" t="s">
        <v>1124</v>
      </c>
      <c r="M245" s="14" t="s">
        <v>9864</v>
      </c>
      <c r="N245" s="14" t="s">
        <v>9158</v>
      </c>
      <c r="O245" s="14" t="s">
        <v>9158</v>
      </c>
      <c r="P245" s="14" t="s">
        <v>9158</v>
      </c>
      <c r="Q245" s="14" t="s">
        <v>9158</v>
      </c>
    </row>
    <row r="246" spans="1:17">
      <c r="A246" s="14">
        <v>76113</v>
      </c>
      <c r="B246" s="14" t="s">
        <v>334</v>
      </c>
      <c r="C246" s="14" t="s">
        <v>158</v>
      </c>
      <c r="D246" s="19" t="s">
        <v>10268</v>
      </c>
      <c r="E246" s="15" t="str">
        <f>HYPERLINK("https://stat100.ameba.jp/tnk47/ratio20/illustrations/card/ill_76113_jannudaruku03.jpg?202101-5-RELEASE-marathon-511x", "■")</f>
        <v>■</v>
      </c>
      <c r="F246" s="14" t="s">
        <v>1126</v>
      </c>
      <c r="G246" s="14">
        <v>120766</v>
      </c>
      <c r="H246" s="14">
        <v>112286</v>
      </c>
      <c r="I246" s="14">
        <v>28</v>
      </c>
      <c r="J246" s="14" t="s">
        <v>10</v>
      </c>
      <c r="K246" s="14" t="s">
        <v>1127</v>
      </c>
      <c r="L246" s="14" t="s">
        <v>1128</v>
      </c>
      <c r="M246" s="14" t="s">
        <v>9158</v>
      </c>
      <c r="N246" s="14" t="s">
        <v>9158</v>
      </c>
      <c r="O246" s="14" t="s">
        <v>9158</v>
      </c>
      <c r="P246" s="14" t="s">
        <v>9158</v>
      </c>
      <c r="Q246" s="14" t="s">
        <v>9158</v>
      </c>
    </row>
    <row r="247" spans="1:17">
      <c r="A247" s="14">
        <v>63323</v>
      </c>
      <c r="B247" s="14" t="s">
        <v>0</v>
      </c>
      <c r="C247" s="14" t="s">
        <v>200</v>
      </c>
      <c r="D247" s="19" t="s">
        <v>10269</v>
      </c>
      <c r="E247" s="15" t="str">
        <f>HYPERLINK("https://stat100.ameba.jp/tnk47/ratio20/illustrations/card/ill_63323_ajisaikushinadahime03.jpg?202101-5-RELEASE-marathon-511x", "■")</f>
        <v>■</v>
      </c>
      <c r="F247" s="14" t="s">
        <v>3583</v>
      </c>
      <c r="G247" s="14">
        <v>106178</v>
      </c>
      <c r="H247" s="14">
        <v>114208</v>
      </c>
      <c r="I247" s="14">
        <v>28</v>
      </c>
      <c r="J247" s="14" t="s">
        <v>44</v>
      </c>
      <c r="K247" s="14" t="s">
        <v>3584</v>
      </c>
      <c r="L247" s="14" t="s">
        <v>2400</v>
      </c>
      <c r="M247" s="14" t="s">
        <v>9158</v>
      </c>
      <c r="N247" s="14" t="s">
        <v>9158</v>
      </c>
      <c r="O247" s="14" t="s">
        <v>9158</v>
      </c>
      <c r="P247" s="14" t="s">
        <v>9158</v>
      </c>
      <c r="Q247" s="14" t="s">
        <v>9158</v>
      </c>
    </row>
    <row r="248" spans="1:17">
      <c r="A248" s="14">
        <v>59863</v>
      </c>
      <c r="B248" s="14" t="s">
        <v>334</v>
      </c>
      <c r="C248" s="14" t="s">
        <v>165</v>
      </c>
      <c r="D248" s="19" t="s">
        <v>318</v>
      </c>
      <c r="E248" s="15" t="str">
        <f>HYPERLINK("https://stat100.ameba.jp/tnk47/ratio20/illustrations/card/ill_59863_yoseiichimokuren03.jpg?202101-5-RELEASE-marathon-511x", "■")</f>
        <v>■</v>
      </c>
      <c r="F248" s="14" t="s">
        <v>319</v>
      </c>
      <c r="G248" s="14">
        <v>116662</v>
      </c>
      <c r="H248" s="14">
        <v>108494</v>
      </c>
      <c r="I248" s="14">
        <v>28</v>
      </c>
      <c r="J248" s="14" t="s">
        <v>320</v>
      </c>
      <c r="K248" s="14" t="s">
        <v>321</v>
      </c>
      <c r="L248" s="14" t="s">
        <v>322</v>
      </c>
      <c r="M248" s="14" t="s">
        <v>9158</v>
      </c>
      <c r="N248" s="14" t="s">
        <v>9158</v>
      </c>
      <c r="O248" s="14" t="s">
        <v>9158</v>
      </c>
      <c r="P248" s="14" t="s">
        <v>9158</v>
      </c>
      <c r="Q248" s="14" t="s">
        <v>9158</v>
      </c>
    </row>
    <row r="249" spans="1:17">
      <c r="A249" s="14">
        <v>51823</v>
      </c>
      <c r="B249" s="14" t="s">
        <v>15</v>
      </c>
      <c r="C249" s="14" t="s">
        <v>101</v>
      </c>
      <c r="D249" s="19" t="s">
        <v>10587</v>
      </c>
      <c r="E249" s="15" t="str">
        <f>HYPERLINK("https://stat100.ameba.jp/tnk47/ratio20/illustrations/card/ill_51823_jukimatsu03.jpg?202101-5-RELEASE-marathon-511x", "■")</f>
        <v>■</v>
      </c>
      <c r="F249" s="14" t="s">
        <v>6742</v>
      </c>
      <c r="G249" s="14">
        <v>64520</v>
      </c>
      <c r="H249" s="14">
        <v>71136</v>
      </c>
      <c r="I249" s="14">
        <v>24</v>
      </c>
      <c r="J249" s="14" t="s">
        <v>77</v>
      </c>
      <c r="K249" s="14" t="s">
        <v>6743</v>
      </c>
      <c r="L249" s="14" t="s">
        <v>6744</v>
      </c>
      <c r="M249" s="14" t="s">
        <v>9158</v>
      </c>
      <c r="N249" s="14" t="s">
        <v>9158</v>
      </c>
      <c r="O249" s="14" t="s">
        <v>9158</v>
      </c>
      <c r="P249" s="14" t="s">
        <v>9158</v>
      </c>
      <c r="Q249" s="14" t="s">
        <v>9158</v>
      </c>
    </row>
    <row r="250" spans="1:17">
      <c r="A250" s="14">
        <v>51773</v>
      </c>
      <c r="B250" s="14" t="s">
        <v>15</v>
      </c>
      <c r="C250" s="14" t="s">
        <v>205</v>
      </c>
      <c r="D250" s="19" t="s">
        <v>10588</v>
      </c>
      <c r="E250" s="15" t="str">
        <f>HYPERLINK("https://stat100.ameba.jp/tnk47/ratio20/illustrations/card/ill_51773_kawaasobikanekomisuzu03.jpg?202101-5-RELEASE-marathon-511x", "■")</f>
        <v>■</v>
      </c>
      <c r="F250" s="14" t="s">
        <v>6747</v>
      </c>
      <c r="G250" s="14">
        <v>71136</v>
      </c>
      <c r="H250" s="14">
        <v>64520</v>
      </c>
      <c r="I250" s="14">
        <v>24</v>
      </c>
      <c r="J250" s="14" t="s">
        <v>10</v>
      </c>
      <c r="K250" s="14" t="s">
        <v>6746</v>
      </c>
      <c r="L250" s="14" t="s">
        <v>6745</v>
      </c>
      <c r="M250" s="14" t="s">
        <v>9158</v>
      </c>
      <c r="N250" s="14" t="s">
        <v>9158</v>
      </c>
      <c r="O250" s="14" t="s">
        <v>9158</v>
      </c>
      <c r="P250" s="14" t="s">
        <v>9158</v>
      </c>
      <c r="Q250" s="14" t="s">
        <v>9158</v>
      </c>
    </row>
    <row r="251" spans="1:17">
      <c r="A251" s="14">
        <v>51733</v>
      </c>
      <c r="B251" s="14" t="s">
        <v>15</v>
      </c>
      <c r="C251" s="14" t="s">
        <v>185</v>
      </c>
      <c r="D251" s="19" t="s">
        <v>10589</v>
      </c>
      <c r="E251" s="15" t="str">
        <f>HYPERLINK("https://stat100.ameba.jp/tnk47/ratio20/illustrations/card/ill_51733_ekusoshisutopoiyampe03.jpg?202101-5-RELEASE-marathon-511x", "■")</f>
        <v>■</v>
      </c>
      <c r="F251" s="14" t="s">
        <v>6750</v>
      </c>
      <c r="G251" s="14">
        <v>64520</v>
      </c>
      <c r="H251" s="14">
        <v>71136</v>
      </c>
      <c r="I251" s="14">
        <v>24</v>
      </c>
      <c r="J251" s="14" t="s">
        <v>274</v>
      </c>
      <c r="K251" s="14" t="s">
        <v>6749</v>
      </c>
      <c r="L251" s="14" t="s">
        <v>6748</v>
      </c>
      <c r="M251" s="14" t="s">
        <v>9158</v>
      </c>
      <c r="N251" s="14" t="s">
        <v>9158</v>
      </c>
      <c r="O251" s="14" t="s">
        <v>9158</v>
      </c>
      <c r="P251" s="14" t="s">
        <v>9158</v>
      </c>
      <c r="Q251" s="14" t="s">
        <v>9158</v>
      </c>
    </row>
    <row r="252" spans="1:17">
      <c r="A252" s="14">
        <v>55743</v>
      </c>
      <c r="B252" s="14" t="s">
        <v>15</v>
      </c>
      <c r="C252" s="14" t="s">
        <v>96</v>
      </c>
      <c r="D252" s="19" t="s">
        <v>10590</v>
      </c>
      <c r="E252" s="15" t="str">
        <f>HYPERLINK("https://stat100.ameba.jp/tnk47/ratio20/illustrations/card/ill_55743_nankoume03.jpg?202101-5-RELEASE-marathon-511x", "■")</f>
        <v>■</v>
      </c>
      <c r="F252" s="14" t="s">
        <v>4308</v>
      </c>
      <c r="G252" s="14">
        <v>64520</v>
      </c>
      <c r="H252" s="14">
        <v>71136</v>
      </c>
      <c r="I252" s="14">
        <v>24</v>
      </c>
      <c r="J252" s="14" t="s">
        <v>216</v>
      </c>
      <c r="K252" s="14" t="s">
        <v>4310</v>
      </c>
      <c r="L252" s="14" t="s">
        <v>4311</v>
      </c>
      <c r="M252" s="14" t="s">
        <v>9158</v>
      </c>
      <c r="N252" s="14" t="s">
        <v>9158</v>
      </c>
      <c r="O252" s="14" t="s">
        <v>9158</v>
      </c>
      <c r="P252" s="14" t="s">
        <v>9158</v>
      </c>
      <c r="Q252" s="14" t="s">
        <v>9158</v>
      </c>
    </row>
    <row r="254" spans="1:17">
      <c r="A254" s="14" t="s">
        <v>4065</v>
      </c>
    </row>
    <row r="255" spans="1:17">
      <c r="A255" s="14">
        <v>106044</v>
      </c>
      <c r="B255" s="14" t="s">
        <v>16240</v>
      </c>
    </row>
    <row r="256" spans="1:17">
      <c r="A256" s="9" t="s">
        <v>5733</v>
      </c>
      <c r="B256" s="14" t="s">
        <v>330</v>
      </c>
      <c r="C256" s="14" t="s">
        <v>202</v>
      </c>
      <c r="D256" s="14" t="s">
        <v>2744</v>
      </c>
      <c r="E256" s="15" t="str">
        <f>HYPERLINK("https://stat100.ameba.jp/tnk47/ratio20/illustrations/card/ill_78693_0_kyupittokoinomikoto03.jpg?202101-5-RELEASE-marathon-511x", "■")</f>
        <v>■</v>
      </c>
      <c r="F256" s="14" t="s">
        <v>2745</v>
      </c>
      <c r="G256" s="14">
        <v>282956</v>
      </c>
      <c r="H256" s="14">
        <v>313081</v>
      </c>
      <c r="I256" s="14">
        <v>27</v>
      </c>
      <c r="J256" s="14" t="s">
        <v>274</v>
      </c>
      <c r="K256" s="14" t="s">
        <v>2746</v>
      </c>
      <c r="L256" s="14" t="s">
        <v>2747</v>
      </c>
      <c r="M256" s="14" t="s">
        <v>9158</v>
      </c>
      <c r="N256" s="14" t="s">
        <v>9158</v>
      </c>
      <c r="O256" s="18" t="s">
        <v>10067</v>
      </c>
      <c r="P256" s="14" t="s">
        <v>2748</v>
      </c>
      <c r="Q256" s="14">
        <v>1</v>
      </c>
    </row>
    <row r="257" spans="1:18">
      <c r="A257" s="14">
        <v>76803</v>
      </c>
      <c r="B257" s="14" t="s">
        <v>334</v>
      </c>
      <c r="C257" s="14" t="s">
        <v>202</v>
      </c>
      <c r="D257" s="19" t="s">
        <v>673</v>
      </c>
      <c r="E257" s="15" t="str">
        <f>HYPERLINK("https://stat100.ameba.jp/tnk47/ratio20/illustrations/card/ill_76803_monsutakujirachan03.jpg?202101-5-RELEASE-marathon-511x", "■")</f>
        <v>■</v>
      </c>
      <c r="F257" s="14" t="s">
        <v>674</v>
      </c>
      <c r="G257" s="14">
        <v>172982</v>
      </c>
      <c r="H257" s="14">
        <v>125296</v>
      </c>
      <c r="I257" s="14">
        <v>26</v>
      </c>
      <c r="J257" s="14" t="s">
        <v>283</v>
      </c>
      <c r="K257" s="14" t="s">
        <v>675</v>
      </c>
      <c r="L257" s="14" t="s">
        <v>435</v>
      </c>
      <c r="M257" s="14" t="s">
        <v>9158</v>
      </c>
      <c r="N257" s="14" t="s">
        <v>9158</v>
      </c>
      <c r="O257" s="19" t="s">
        <v>3165</v>
      </c>
      <c r="P257" s="14" t="s">
        <v>13139</v>
      </c>
      <c r="Q257" s="14">
        <v>1</v>
      </c>
    </row>
    <row r="258" spans="1:18">
      <c r="A258" s="14">
        <v>78133</v>
      </c>
      <c r="B258" s="14" t="s">
        <v>0</v>
      </c>
      <c r="C258" s="14" t="s">
        <v>154</v>
      </c>
      <c r="D258" s="20" t="s">
        <v>10313</v>
      </c>
      <c r="E258" s="15" t="str">
        <f>HYPERLINK("https://stat100.ameba.jp/tnk47/ratio20/illustrations/card/ill_78133_akazukin03.jpg?202101-5-RELEASE-marathon-511x", "■")</f>
        <v>■</v>
      </c>
      <c r="F258" s="14" t="s">
        <v>2202</v>
      </c>
      <c r="G258" s="14">
        <v>96100</v>
      </c>
      <c r="H258" s="14">
        <v>132684</v>
      </c>
      <c r="I258" s="14">
        <v>26</v>
      </c>
      <c r="J258" s="14" t="s">
        <v>38</v>
      </c>
      <c r="K258" s="14" t="s">
        <v>2203</v>
      </c>
      <c r="L258" s="14" t="s">
        <v>2204</v>
      </c>
      <c r="M258" s="14" t="s">
        <v>9158</v>
      </c>
      <c r="N258" s="14" t="s">
        <v>9158</v>
      </c>
      <c r="O258" s="19" t="s">
        <v>2917</v>
      </c>
      <c r="P258" s="14" t="s">
        <v>3531</v>
      </c>
      <c r="Q258" s="14">
        <v>1</v>
      </c>
    </row>
    <row r="259" spans="1:18">
      <c r="A259" s="14">
        <v>71333</v>
      </c>
      <c r="B259" s="14" t="s">
        <v>0</v>
      </c>
      <c r="C259" s="14" t="s">
        <v>41</v>
      </c>
      <c r="D259" s="19" t="s">
        <v>10256</v>
      </c>
      <c r="E259" s="15" t="str">
        <f>HYPERLINK("https://stat100.ameba.jp/tnk47/ratio20/illustrations/card/ill_71333_fujiwaranokamatari03.jpg?202101-5-RELEASE-marathon-511x", "■")</f>
        <v>■</v>
      </c>
      <c r="F259" s="14" t="s">
        <v>58</v>
      </c>
      <c r="G259" s="14">
        <v>113630</v>
      </c>
      <c r="H259" s="14">
        <v>82318</v>
      </c>
      <c r="I259" s="14">
        <v>26</v>
      </c>
      <c r="J259" s="14" t="s">
        <v>10</v>
      </c>
      <c r="K259" s="14" t="s">
        <v>59</v>
      </c>
      <c r="L259" s="14" t="s">
        <v>60</v>
      </c>
      <c r="M259" s="14" t="s">
        <v>9158</v>
      </c>
      <c r="N259" s="14" t="s">
        <v>9158</v>
      </c>
      <c r="O259" s="19" t="s">
        <v>10098</v>
      </c>
      <c r="P259" s="14" t="s">
        <v>3491</v>
      </c>
      <c r="Q259" s="14">
        <v>1</v>
      </c>
    </row>
    <row r="261" spans="1:18">
      <c r="A261" s="14" t="s">
        <v>13327</v>
      </c>
    </row>
    <row r="262" spans="1:18">
      <c r="A262" s="14">
        <v>106049</v>
      </c>
      <c r="B262" s="14" t="s">
        <v>9002</v>
      </c>
    </row>
    <row r="263" spans="1:18">
      <c r="A263" s="14">
        <v>90183</v>
      </c>
      <c r="B263" s="14" t="s">
        <v>0</v>
      </c>
      <c r="C263" s="14" t="s">
        <v>335</v>
      </c>
      <c r="D263" s="14" t="s">
        <v>13264</v>
      </c>
      <c r="E263" s="15" t="str">
        <f>HYPERLINK("https://stat100.ameba.jp/tnk47/ratio20/illustrations/card/ill_90183_shinsetsunojou03.jpg?202101-5-RELEASE-marathon-511x", "■")</f>
        <v>■</v>
      </c>
      <c r="F263" s="14" t="s">
        <v>13267</v>
      </c>
      <c r="G263" s="14">
        <v>128160</v>
      </c>
      <c r="H263" s="14">
        <v>137846</v>
      </c>
      <c r="I263" s="14">
        <v>28</v>
      </c>
      <c r="J263" s="14" t="s">
        <v>44</v>
      </c>
      <c r="K263" s="14" t="s">
        <v>13266</v>
      </c>
      <c r="L263" s="14" t="s">
        <v>13272</v>
      </c>
      <c r="M263" s="14" t="s">
        <v>2138</v>
      </c>
      <c r="N263" s="14" t="s">
        <v>2139</v>
      </c>
      <c r="O263" s="14" t="s">
        <v>9158</v>
      </c>
      <c r="P263" s="14" t="s">
        <v>9158</v>
      </c>
      <c r="Q263" s="14" t="s">
        <v>9158</v>
      </c>
      <c r="R263" s="14" t="s">
        <v>14748</v>
      </c>
    </row>
    <row r="264" spans="1:18">
      <c r="A264" s="14">
        <v>90182</v>
      </c>
      <c r="B264" s="14" t="s">
        <v>0</v>
      </c>
      <c r="C264" s="14" t="s">
        <v>335</v>
      </c>
      <c r="D264" s="14" t="s">
        <v>13264</v>
      </c>
      <c r="E264" s="15" t="str">
        <f>HYPERLINK("https://stat100.ameba.jp/tnk47/ratio20/illustrations/card/ill_90182_shinsetsunojou02.jpg?202101-5-RELEASE-marathon-511x", "■")</f>
        <v>■</v>
      </c>
      <c r="F264" s="14" t="s">
        <v>13267</v>
      </c>
      <c r="G264" s="14">
        <v>106148</v>
      </c>
      <c r="H264" s="14">
        <v>115230</v>
      </c>
      <c r="I264" s="14">
        <v>28</v>
      </c>
      <c r="J264" s="14" t="s">
        <v>44</v>
      </c>
      <c r="K264" s="14" t="s">
        <v>13266</v>
      </c>
      <c r="L264" s="14" t="s">
        <v>13272</v>
      </c>
      <c r="M264" s="14" t="s">
        <v>13270</v>
      </c>
      <c r="N264" s="14" t="s">
        <v>13271</v>
      </c>
      <c r="O264" s="14" t="s">
        <v>9158</v>
      </c>
      <c r="P264" s="14" t="s">
        <v>9158</v>
      </c>
      <c r="Q264" s="14" t="s">
        <v>9158</v>
      </c>
      <c r="R264" s="14" t="s">
        <v>14748</v>
      </c>
    </row>
    <row r="265" spans="1:18">
      <c r="A265" s="14">
        <v>90181</v>
      </c>
      <c r="B265" s="14" t="s">
        <v>0</v>
      </c>
      <c r="C265" s="14" t="s">
        <v>335</v>
      </c>
      <c r="D265" s="14" t="s">
        <v>13264</v>
      </c>
      <c r="E265" s="15" t="str">
        <f>HYPERLINK("https://stat100.ameba.jp/tnk47/ratio20/illustrations/card/ill_90181_shinsetsunojou01.jpg?202101-5-RELEASE-marathon-511x", "■")</f>
        <v>■</v>
      </c>
      <c r="F265" s="14" t="s">
        <v>13267</v>
      </c>
      <c r="G265" s="14">
        <v>81900</v>
      </c>
      <c r="H265" s="14">
        <v>87976</v>
      </c>
      <c r="I265" s="14">
        <v>28</v>
      </c>
      <c r="J265" s="14" t="s">
        <v>44</v>
      </c>
      <c r="K265" s="14" t="s">
        <v>13266</v>
      </c>
      <c r="L265" s="14" t="s">
        <v>13272</v>
      </c>
      <c r="M265" s="14" t="s">
        <v>13270</v>
      </c>
      <c r="N265" s="14" t="s">
        <v>13271</v>
      </c>
      <c r="O265" s="14" t="s">
        <v>9158</v>
      </c>
      <c r="P265" s="14" t="s">
        <v>9158</v>
      </c>
      <c r="Q265" s="14" t="s">
        <v>9158</v>
      </c>
      <c r="R265" s="14" t="s">
        <v>14748</v>
      </c>
    </row>
    <row r="266" spans="1:18">
      <c r="A266" s="14">
        <v>90193</v>
      </c>
      <c r="B266" s="14" t="s">
        <v>0</v>
      </c>
      <c r="C266" s="14" t="s">
        <v>200</v>
      </c>
      <c r="D266" s="14" t="s">
        <v>13273</v>
      </c>
      <c r="E266" s="15" t="str">
        <f>HYPERLINK("https://stat100.ameba.jp/tnk47/ratio20/illustrations/card/ill_90193_puchidebirubani03.jpg?202101-5-RELEASE-marathon-511x", "■")</f>
        <v>■</v>
      </c>
      <c r="F266" s="14" t="s">
        <v>13274</v>
      </c>
      <c r="G266" s="14">
        <v>128160</v>
      </c>
      <c r="H266" s="14">
        <v>137846</v>
      </c>
      <c r="I266" s="14">
        <v>28</v>
      </c>
      <c r="J266" s="14" t="s">
        <v>73</v>
      </c>
      <c r="K266" s="14" t="s">
        <v>13277</v>
      </c>
      <c r="L266" s="14" t="s">
        <v>13276</v>
      </c>
      <c r="M266" s="14" t="s">
        <v>2138</v>
      </c>
      <c r="N266" s="14" t="s">
        <v>2139</v>
      </c>
      <c r="O266" s="14" t="s">
        <v>9158</v>
      </c>
      <c r="P266" s="14" t="s">
        <v>9158</v>
      </c>
      <c r="Q266" s="14" t="s">
        <v>9158</v>
      </c>
      <c r="R266" s="14" t="s">
        <v>14748</v>
      </c>
    </row>
    <row r="267" spans="1:18">
      <c r="A267" s="14">
        <v>90203</v>
      </c>
      <c r="B267" s="14" t="s">
        <v>0</v>
      </c>
      <c r="C267" s="14" t="s">
        <v>307</v>
      </c>
      <c r="D267" s="14" t="s">
        <v>13278</v>
      </c>
      <c r="E267" s="15" t="str">
        <f>HYPERLINK("https://stat100.ameba.jp/tnk47/ratio20/illustrations/card/ill_90203_kyuteigakademeru03.jpg?202101-5-RELEASE-marathon-511x", "■")</f>
        <v>■</v>
      </c>
      <c r="F267" s="14" t="s">
        <v>13279</v>
      </c>
      <c r="G267" s="14">
        <v>128160</v>
      </c>
      <c r="H267" s="14">
        <v>137846</v>
      </c>
      <c r="I267" s="14">
        <v>28</v>
      </c>
      <c r="J267" s="14" t="s">
        <v>10</v>
      </c>
      <c r="K267" s="14" t="s">
        <v>13281</v>
      </c>
      <c r="L267" s="14" t="s">
        <v>13282</v>
      </c>
      <c r="M267" s="14" t="s">
        <v>2138</v>
      </c>
      <c r="N267" s="14" t="s">
        <v>2139</v>
      </c>
      <c r="O267" s="14" t="s">
        <v>9158</v>
      </c>
      <c r="P267" s="14" t="s">
        <v>9158</v>
      </c>
      <c r="Q267" s="14" t="s">
        <v>9158</v>
      </c>
      <c r="R267" s="14" t="s">
        <v>14748</v>
      </c>
    </row>
    <row r="268" spans="1:18">
      <c r="A268" s="14">
        <v>90213</v>
      </c>
      <c r="B268" s="14" t="s">
        <v>0</v>
      </c>
      <c r="C268" s="14" t="s">
        <v>165</v>
      </c>
      <c r="D268" s="14" t="s">
        <v>13283</v>
      </c>
      <c r="E268" s="15" t="str">
        <f>HYPERLINK("https://stat100.ameba.jp/tnk47/ratio20/illustrations/card/ill_90213_kenkyushinomaruyo03.jpg?202101-5-RELEASE-marathon-511x", "■")</f>
        <v>■</v>
      </c>
      <c r="F268" s="14" t="s">
        <v>13284</v>
      </c>
      <c r="G268" s="14">
        <v>137846</v>
      </c>
      <c r="H268" s="14">
        <v>128160</v>
      </c>
      <c r="I268" s="14">
        <v>28</v>
      </c>
      <c r="J268" s="14" t="s">
        <v>16</v>
      </c>
      <c r="K268" s="14" t="s">
        <v>13286</v>
      </c>
      <c r="L268" s="14" t="s">
        <v>13287</v>
      </c>
      <c r="M268" s="14" t="s">
        <v>2138</v>
      </c>
      <c r="N268" s="14" t="s">
        <v>2139</v>
      </c>
      <c r="O268" s="14" t="s">
        <v>9158</v>
      </c>
      <c r="P268" s="14" t="s">
        <v>9158</v>
      </c>
      <c r="Q268" s="14" t="s">
        <v>9158</v>
      </c>
      <c r="R268" s="14" t="s">
        <v>14748</v>
      </c>
    </row>
    <row r="269" spans="1:18">
      <c r="A269" s="14">
        <v>90223</v>
      </c>
      <c r="B269" s="14" t="s">
        <v>0</v>
      </c>
      <c r="C269" s="9" t="s">
        <v>205</v>
      </c>
      <c r="D269" s="14" t="s">
        <v>13288</v>
      </c>
      <c r="E269" s="15" t="str">
        <f>HYPERLINK("https://stat100.ameba.jp/tnk47/ratio20/illustrations/card/ill_90223_karunepurinshipe03.jpg?202101-5-RELEASE-marathon-511x", "■")</f>
        <v>■</v>
      </c>
      <c r="F269" s="14" t="s">
        <v>13289</v>
      </c>
      <c r="G269" s="14">
        <v>137846</v>
      </c>
      <c r="H269" s="14">
        <v>128160</v>
      </c>
      <c r="I269" s="14">
        <v>28</v>
      </c>
      <c r="J269" s="14" t="s">
        <v>104</v>
      </c>
      <c r="K269" s="14" t="s">
        <v>13291</v>
      </c>
      <c r="L269" s="14" t="s">
        <v>13292</v>
      </c>
      <c r="M269" s="14" t="s">
        <v>2138</v>
      </c>
      <c r="N269" s="14" t="s">
        <v>2139</v>
      </c>
      <c r="O269" s="14" t="s">
        <v>9158</v>
      </c>
      <c r="P269" s="14" t="s">
        <v>9158</v>
      </c>
      <c r="Q269" s="14" t="s">
        <v>9158</v>
      </c>
      <c r="R269" s="14" t="s">
        <v>14748</v>
      </c>
    </row>
    <row r="270" spans="1:18">
      <c r="A270" s="14">
        <v>90233</v>
      </c>
      <c r="B270" s="14" t="s">
        <v>0</v>
      </c>
      <c r="C270" s="14" t="s">
        <v>206</v>
      </c>
      <c r="D270" s="14" t="s">
        <v>13293</v>
      </c>
      <c r="E270" s="15" t="str">
        <f>HYPERLINK("https://stat100.ameba.jp/tnk47/ratio20/illustrations/card/ill_90233_kakutokafuante03.jpg?202101-5-RELEASE-marathon-511x", "■")</f>
        <v>■</v>
      </c>
      <c r="F270" s="14" t="s">
        <v>13294</v>
      </c>
      <c r="G270" s="14">
        <v>137846</v>
      </c>
      <c r="H270" s="14">
        <v>128160</v>
      </c>
      <c r="I270" s="14">
        <v>28</v>
      </c>
      <c r="J270" s="14" t="s">
        <v>143</v>
      </c>
      <c r="K270" s="14" t="s">
        <v>13296</v>
      </c>
      <c r="L270" s="14" t="s">
        <v>13297</v>
      </c>
      <c r="M270" s="14" t="s">
        <v>2138</v>
      </c>
      <c r="N270" s="14" t="s">
        <v>2139</v>
      </c>
      <c r="O270" s="14" t="s">
        <v>9158</v>
      </c>
      <c r="P270" s="14" t="s">
        <v>9158</v>
      </c>
      <c r="Q270" s="14" t="s">
        <v>9158</v>
      </c>
      <c r="R270" s="14" t="s">
        <v>14748</v>
      </c>
    </row>
    <row r="272" spans="1:18">
      <c r="A272" s="14" t="s">
        <v>16241</v>
      </c>
    </row>
    <row r="273" spans="1:17">
      <c r="A273" s="14">
        <v>236186</v>
      </c>
      <c r="B273" s="14" t="s">
        <v>9005</v>
      </c>
    </row>
    <row r="274" spans="1:17">
      <c r="A274" s="14">
        <v>236193</v>
      </c>
      <c r="B274" s="14" t="s">
        <v>9004</v>
      </c>
    </row>
    <row r="275" spans="1:17">
      <c r="A275" s="14" t="s">
        <v>15807</v>
      </c>
      <c r="B275" s="14" t="s">
        <v>52</v>
      </c>
      <c r="C275" s="14" t="s">
        <v>35</v>
      </c>
      <c r="D275" s="14" t="s">
        <v>15808</v>
      </c>
      <c r="E275" s="15" t="str">
        <f>HYPERLINK("https://stat100.ameba.jp/tnk47/ratio20/illustrations/card/ill_95013_0_shinshunnisennijuichiayakashi03.jpg?202101-5-RELEASE-marathon-511x", "■")</f>
        <v>■</v>
      </c>
      <c r="F275" s="14" t="s">
        <v>15806</v>
      </c>
      <c r="G275" s="14">
        <v>278470</v>
      </c>
      <c r="H275" s="14">
        <v>308104</v>
      </c>
      <c r="I275" s="14">
        <v>28</v>
      </c>
      <c r="J275" s="14" t="s">
        <v>73</v>
      </c>
      <c r="K275" s="14" t="s">
        <v>15805</v>
      </c>
      <c r="L275" s="14" t="s">
        <v>15804</v>
      </c>
      <c r="M275" s="14" t="s">
        <v>9158</v>
      </c>
      <c r="N275" s="14" t="s">
        <v>9158</v>
      </c>
      <c r="O275" s="14" t="s">
        <v>15802</v>
      </c>
      <c r="P275" s="14" t="s">
        <v>15803</v>
      </c>
      <c r="Q275" s="14">
        <v>0</v>
      </c>
    </row>
    <row r="276" spans="1:17">
      <c r="A276" s="14">
        <v>95243</v>
      </c>
      <c r="B276" s="14" t="s">
        <v>0</v>
      </c>
      <c r="C276" s="14" t="s">
        <v>1</v>
      </c>
      <c r="D276" s="14" t="s">
        <v>16245</v>
      </c>
      <c r="E276" s="15" t="str">
        <f>HYPERLINK("https://stat100.ameba.jp/tnk47/ratio20/illustrations/card/ill_95243_kaizokushunne03.jpg?202101-5-RELEASE-marathon-511x", "■")</f>
        <v>■</v>
      </c>
      <c r="F276" s="14" t="s">
        <v>16244</v>
      </c>
      <c r="G276" s="14">
        <v>114208</v>
      </c>
      <c r="H276" s="14">
        <v>106178</v>
      </c>
      <c r="I276" s="14">
        <v>28</v>
      </c>
      <c r="J276" s="14" t="s">
        <v>10</v>
      </c>
      <c r="K276" s="14" t="s">
        <v>16243</v>
      </c>
      <c r="L276" s="14" t="s">
        <v>16242</v>
      </c>
      <c r="M276" s="14" t="s">
        <v>9158</v>
      </c>
      <c r="N276" s="14" t="s">
        <v>9158</v>
      </c>
      <c r="O276" s="14" t="s">
        <v>9158</v>
      </c>
      <c r="P276" s="14" t="s">
        <v>9158</v>
      </c>
      <c r="Q276" s="14" t="s">
        <v>9158</v>
      </c>
    </row>
    <row r="277" spans="1:17">
      <c r="A277" s="14">
        <v>95253</v>
      </c>
      <c r="B277" s="14" t="s">
        <v>0</v>
      </c>
      <c r="C277" s="14" t="s">
        <v>14</v>
      </c>
      <c r="D277" s="14" t="s">
        <v>16248</v>
      </c>
      <c r="E277" s="15" t="str">
        <f>HYPERLINK("https://stat100.ameba.jp/tnk47/ratio20/illustrations/card/ill_95253_amekomifukuhime03.jpg?202101-5-RELEASE-marathon-511x", "■")</f>
        <v>■</v>
      </c>
      <c r="F277" s="14" t="s">
        <v>16247</v>
      </c>
      <c r="G277" s="14">
        <v>101650</v>
      </c>
      <c r="H277" s="14">
        <v>109370</v>
      </c>
      <c r="I277" s="14">
        <v>28</v>
      </c>
      <c r="J277" s="14" t="s">
        <v>77</v>
      </c>
      <c r="K277" s="14" t="s">
        <v>16246</v>
      </c>
      <c r="L277" s="14" t="s">
        <v>13612</v>
      </c>
      <c r="M277" s="14" t="s">
        <v>9158</v>
      </c>
      <c r="N277" s="14" t="s">
        <v>9158</v>
      </c>
      <c r="O277" s="14" t="s">
        <v>9158</v>
      </c>
      <c r="P277" s="14" t="s">
        <v>9158</v>
      </c>
      <c r="Q277" s="14" t="s">
        <v>9158</v>
      </c>
    </row>
    <row r="278" spans="1:17">
      <c r="A278" s="14">
        <v>95263</v>
      </c>
      <c r="B278" s="14" t="s">
        <v>15</v>
      </c>
      <c r="C278" s="14" t="s">
        <v>101</v>
      </c>
      <c r="D278" s="14" t="s">
        <v>16251</v>
      </c>
      <c r="E278" s="15" t="str">
        <f>HYPERLINK("https://stat100.ameba.jp/tnk47/ratio20/illustrations/card/ill_95263_kaizokuhamanakochan03.jpg?202101-5-RELEASE-marathon-511x", "■")</f>
        <v>■</v>
      </c>
      <c r="F278" s="14" t="s">
        <v>16250</v>
      </c>
      <c r="G278" s="14">
        <v>82992</v>
      </c>
      <c r="H278" s="14">
        <v>75274</v>
      </c>
      <c r="I278" s="14">
        <v>28</v>
      </c>
      <c r="J278" s="14" t="s">
        <v>26</v>
      </c>
      <c r="K278" s="14" t="s">
        <v>16249</v>
      </c>
      <c r="L278" s="14" t="s">
        <v>2011</v>
      </c>
      <c r="M278" s="14" t="s">
        <v>9158</v>
      </c>
      <c r="N278" s="14" t="s">
        <v>9158</v>
      </c>
      <c r="O278" s="14" t="s">
        <v>9158</v>
      </c>
      <c r="P278" s="14" t="s">
        <v>9158</v>
      </c>
      <c r="Q278" s="14" t="s">
        <v>9158</v>
      </c>
    </row>
    <row r="279" spans="1:17">
      <c r="A279" s="14">
        <v>95273</v>
      </c>
      <c r="B279" s="14" t="s">
        <v>22</v>
      </c>
      <c r="C279" s="14" t="s">
        <v>96</v>
      </c>
      <c r="D279" s="14" t="s">
        <v>16254</v>
      </c>
      <c r="E279" s="15" t="str">
        <f>HYPERLINK("https://stat100.ameba.jp/tnk47/ratio20/illustrations/card/ill_95273_kaiheisennorikyu03.jpg?202101-5-RELEASE-marathon-511x", "■")</f>
        <v>■</v>
      </c>
      <c r="F279" s="14" t="s">
        <v>16253</v>
      </c>
      <c r="G279" s="14">
        <v>48406</v>
      </c>
      <c r="H279" s="14">
        <v>58216</v>
      </c>
      <c r="I279" s="14">
        <v>28</v>
      </c>
      <c r="J279" s="14" t="s">
        <v>10</v>
      </c>
      <c r="K279" s="14" t="s">
        <v>16252</v>
      </c>
      <c r="L279" s="14" t="s">
        <v>4228</v>
      </c>
      <c r="M279" s="14" t="s">
        <v>9158</v>
      </c>
      <c r="N279" s="14" t="s">
        <v>9158</v>
      </c>
      <c r="O279" s="14" t="s">
        <v>9158</v>
      </c>
      <c r="P279" s="14" t="s">
        <v>9158</v>
      </c>
      <c r="Q279" s="14" t="s">
        <v>9158</v>
      </c>
    </row>
    <row r="280" spans="1:17">
      <c r="A280" s="14">
        <v>95283</v>
      </c>
      <c r="B280" s="14" t="s">
        <v>22</v>
      </c>
      <c r="C280" s="14" t="s">
        <v>107</v>
      </c>
      <c r="D280" s="14" t="s">
        <v>16257</v>
      </c>
      <c r="E280" s="15" t="str">
        <f>HYPERLINK("https://stat100.ameba.jp/tnk47/ratio20/illustrations/card/ill_95283_jukigazamichan03.jpg?202101-5-RELEASE-marathon-511x", "■")</f>
        <v>■</v>
      </c>
      <c r="F280" s="14" t="s">
        <v>16256</v>
      </c>
      <c r="G280" s="14">
        <v>58216</v>
      </c>
      <c r="H280" s="14">
        <v>48406</v>
      </c>
      <c r="I280" s="14">
        <v>28</v>
      </c>
      <c r="J280" s="14" t="s">
        <v>104</v>
      </c>
      <c r="K280" s="14" t="s">
        <v>16255</v>
      </c>
      <c r="L280" s="14" t="s">
        <v>2674</v>
      </c>
      <c r="M280" s="14" t="s">
        <v>9158</v>
      </c>
      <c r="N280" s="14" t="s">
        <v>9158</v>
      </c>
      <c r="O280" s="14" t="s">
        <v>9158</v>
      </c>
      <c r="P280" s="14" t="s">
        <v>9158</v>
      </c>
      <c r="Q280" s="14" t="s">
        <v>9158</v>
      </c>
    </row>
    <row r="282" spans="1:17">
      <c r="A282" s="14" t="s">
        <v>3905</v>
      </c>
    </row>
    <row r="283" spans="1:17">
      <c r="A283" s="14">
        <v>236219</v>
      </c>
      <c r="B283" s="14" t="s">
        <v>9035</v>
      </c>
    </row>
    <row r="284" spans="1:17">
      <c r="A284" s="14" t="s">
        <v>5650</v>
      </c>
      <c r="B284" s="14" t="s">
        <v>52</v>
      </c>
      <c r="C284" s="14" t="s">
        <v>23</v>
      </c>
      <c r="D284" s="14" t="s">
        <v>136</v>
      </c>
      <c r="E284" s="15" t="str">
        <f>HYPERLINK("https://stat100.ameba.jp/tnk47/ratio20/illustrations/card/ill_68033_0_kurisumasupateikandamyojin03.jpg?202101-5-RELEASE-marathon-511x", "■")</f>
        <v>■</v>
      </c>
      <c r="F284" s="14" t="s">
        <v>1871</v>
      </c>
      <c r="G284" s="14">
        <v>139878</v>
      </c>
      <c r="H284" s="14">
        <v>150466</v>
      </c>
      <c r="I284" s="14">
        <v>22</v>
      </c>
      <c r="J284" s="14" t="s">
        <v>44</v>
      </c>
      <c r="K284" s="14" t="s">
        <v>1872</v>
      </c>
      <c r="L284" s="14" t="s">
        <v>1873</v>
      </c>
      <c r="M284" s="14" t="s">
        <v>9158</v>
      </c>
      <c r="N284" s="14" t="s">
        <v>9158</v>
      </c>
      <c r="O284" s="7" t="s">
        <v>3482</v>
      </c>
      <c r="P284" s="14" t="s">
        <v>3483</v>
      </c>
      <c r="Q284" s="14">
        <v>2</v>
      </c>
    </row>
    <row r="285" spans="1:17">
      <c r="A285" s="14" t="s">
        <v>5617</v>
      </c>
      <c r="B285" s="14" t="s">
        <v>330</v>
      </c>
      <c r="C285" s="14" t="s">
        <v>308</v>
      </c>
      <c r="D285" s="19" t="s">
        <v>385</v>
      </c>
      <c r="E285" s="15" t="str">
        <f>HYPERLINK("https://stat100.ameba.jp/tnk47/ratio20/illustrations/card/ill_59673_0_oheyashutendoji03.jpg?202101-5-RELEASE-marathon-511x", "■")</f>
        <v>■</v>
      </c>
      <c r="F285" s="14" t="s">
        <v>386</v>
      </c>
      <c r="G285" s="14">
        <v>154800</v>
      </c>
      <c r="H285" s="14">
        <v>166504</v>
      </c>
      <c r="I285" s="14">
        <v>22</v>
      </c>
      <c r="J285" s="14" t="s">
        <v>320</v>
      </c>
      <c r="K285" s="14" t="s">
        <v>387</v>
      </c>
      <c r="L285" s="14" t="s">
        <v>388</v>
      </c>
      <c r="M285" s="14" t="s">
        <v>9158</v>
      </c>
      <c r="N285" s="14" t="s">
        <v>9158</v>
      </c>
      <c r="O285" s="19" t="s">
        <v>10078</v>
      </c>
      <c r="P285" s="14" t="s">
        <v>3022</v>
      </c>
      <c r="Q285" s="14">
        <v>1</v>
      </c>
    </row>
    <row r="286" spans="1:17">
      <c r="A286" s="14" t="s">
        <v>6132</v>
      </c>
      <c r="B286" s="14" t="s">
        <v>330</v>
      </c>
      <c r="C286" s="14" t="s">
        <v>205</v>
      </c>
      <c r="D286" s="19" t="s">
        <v>702</v>
      </c>
      <c r="E286" s="15" t="str">
        <f>HYPERLINK("https://stat100.ameba.jp/tnk47/ratio20/illustrations/card/ill_50693_0_hanamizugimimuratsuru03.jpg?202101-5-RELEASE-marathon-511x", "■")</f>
        <v>■</v>
      </c>
      <c r="F286" s="14" t="s">
        <v>703</v>
      </c>
      <c r="G286" s="14">
        <v>122776</v>
      </c>
      <c r="H286" s="14">
        <v>138212</v>
      </c>
      <c r="I286" s="14">
        <v>22</v>
      </c>
      <c r="J286" s="14" t="s">
        <v>310</v>
      </c>
      <c r="K286" s="14" t="s">
        <v>704</v>
      </c>
      <c r="L286" s="14" t="s">
        <v>705</v>
      </c>
      <c r="M286" s="14" t="s">
        <v>9158</v>
      </c>
      <c r="N286" s="14" t="s">
        <v>9158</v>
      </c>
      <c r="O286" s="9" t="s">
        <v>9158</v>
      </c>
      <c r="P286" s="14" t="s">
        <v>9158</v>
      </c>
      <c r="Q286" s="14" t="s">
        <v>9158</v>
      </c>
    </row>
    <row r="287" spans="1:17">
      <c r="A287" s="14">
        <v>91413</v>
      </c>
      <c r="B287" s="14" t="s">
        <v>0</v>
      </c>
      <c r="C287" s="14" t="s">
        <v>1</v>
      </c>
      <c r="D287" s="14" t="s">
        <v>14368</v>
      </c>
      <c r="E287" s="15" t="str">
        <f>HYPERLINK("https://stat100.ameba.jp/tnk47/ratio20/illustrations/card/ill_91413_poseidon03.jpg?202101-5-RELEASE-marathon-511x", "■")</f>
        <v>■</v>
      </c>
      <c r="F287" s="14" t="s">
        <v>14376</v>
      </c>
      <c r="G287" s="14">
        <v>79346</v>
      </c>
      <c r="H287" s="14">
        <v>141042</v>
      </c>
      <c r="I287" s="14">
        <v>28</v>
      </c>
      <c r="J287" s="14" t="s">
        <v>44</v>
      </c>
      <c r="K287" s="14" t="s">
        <v>14375</v>
      </c>
      <c r="L287" s="14" t="s">
        <v>14374</v>
      </c>
      <c r="M287" s="14" t="s">
        <v>9158</v>
      </c>
      <c r="N287" s="14" t="s">
        <v>9158</v>
      </c>
      <c r="O287" s="14" t="s">
        <v>9158</v>
      </c>
      <c r="P287" s="14" t="s">
        <v>9158</v>
      </c>
      <c r="Q287" s="14" t="s">
        <v>9158</v>
      </c>
    </row>
    <row r="288" spans="1:17">
      <c r="A288" s="14">
        <v>68393</v>
      </c>
      <c r="B288" s="14" t="s">
        <v>334</v>
      </c>
      <c r="C288" s="14" t="s">
        <v>101</v>
      </c>
      <c r="D288" s="19" t="s">
        <v>10197</v>
      </c>
      <c r="E288" s="15" t="str">
        <f>HYPERLINK("https://stat100.ameba.jp/tnk47/ratio20/illustrations/card/ill_68393_soseikinokain03.jpg?202101-5-RELEASE-marathon-511x", "■")</f>
        <v>■</v>
      </c>
      <c r="F288" s="14" t="s">
        <v>4974</v>
      </c>
      <c r="G288" s="14">
        <v>88728</v>
      </c>
      <c r="H288" s="14">
        <v>157654</v>
      </c>
      <c r="I288" s="14">
        <v>28</v>
      </c>
      <c r="J288" s="14" t="s">
        <v>38</v>
      </c>
      <c r="K288" s="14" t="s">
        <v>4976</v>
      </c>
      <c r="L288" s="14" t="s">
        <v>4977</v>
      </c>
      <c r="M288" s="14" t="s">
        <v>9158</v>
      </c>
      <c r="N288" s="14" t="s">
        <v>9158</v>
      </c>
      <c r="O288" s="9" t="s">
        <v>9158</v>
      </c>
      <c r="P288" s="14" t="s">
        <v>9158</v>
      </c>
      <c r="Q288" s="14" t="s">
        <v>9158</v>
      </c>
    </row>
    <row r="289" spans="1:19">
      <c r="A289" s="14">
        <v>91123</v>
      </c>
      <c r="B289" s="14" t="s">
        <v>0</v>
      </c>
      <c r="C289" s="14" t="s">
        <v>107</v>
      </c>
      <c r="D289" s="14" t="s">
        <v>13566</v>
      </c>
      <c r="E289" s="15" t="str">
        <f>HYPERLINK("https://stat100.ameba.jp/tnk47/ratio20/illustrations/card/ill_91123_mizugiaidorunurikabe03.jpg?202101-5-RELEASE-marathon-511x", "■")</f>
        <v>■</v>
      </c>
      <c r="F289" s="14" t="s">
        <v>13569</v>
      </c>
      <c r="G289" s="14">
        <v>154768</v>
      </c>
      <c r="H289" s="14">
        <v>166452</v>
      </c>
      <c r="I289" s="14">
        <v>28</v>
      </c>
      <c r="J289" s="14" t="s">
        <v>73</v>
      </c>
      <c r="K289" s="14" t="s">
        <v>13571</v>
      </c>
      <c r="L289" s="14" t="s">
        <v>12721</v>
      </c>
      <c r="M289" s="14" t="s">
        <v>9158</v>
      </c>
      <c r="N289" s="14" t="s">
        <v>9158</v>
      </c>
      <c r="O289" s="14" t="s">
        <v>9158</v>
      </c>
      <c r="P289" s="14" t="s">
        <v>9158</v>
      </c>
      <c r="Q289" s="14" t="s">
        <v>9158</v>
      </c>
    </row>
    <row r="291" spans="1:19">
      <c r="A291" s="14" t="s">
        <v>16295</v>
      </c>
    </row>
    <row r="292" spans="1:19">
      <c r="A292" s="14">
        <v>236243</v>
      </c>
      <c r="B292" s="14" t="s">
        <v>9045</v>
      </c>
    </row>
    <row r="293" spans="1:19">
      <c r="A293" s="14">
        <v>95125</v>
      </c>
      <c r="B293" s="14" t="s">
        <v>0</v>
      </c>
      <c r="C293" s="14" t="s">
        <v>35</v>
      </c>
      <c r="D293" s="14" t="s">
        <v>16292</v>
      </c>
      <c r="E293" s="15" t="str">
        <f>HYPERLINK("https://stat100.ameba.jp/tnk47/ratio20/illustrations/card/ill_95125_kanzashikurikintonchan05.jpg?202101-5-RELEASE-marathon-511x", "■")</f>
        <v>■</v>
      </c>
      <c r="F293" s="14" t="s">
        <v>16291</v>
      </c>
      <c r="G293" s="14">
        <v>115284</v>
      </c>
      <c r="H293" s="14">
        <v>159200</v>
      </c>
      <c r="I293" s="14">
        <v>28</v>
      </c>
      <c r="J293" s="14" t="s">
        <v>104</v>
      </c>
      <c r="K293" s="14" t="s">
        <v>16290</v>
      </c>
      <c r="L293" s="14" t="s">
        <v>16289</v>
      </c>
      <c r="M293" s="14" t="s">
        <v>9158</v>
      </c>
      <c r="N293" s="14" t="s">
        <v>9158</v>
      </c>
      <c r="O293" s="14" t="s">
        <v>9158</v>
      </c>
      <c r="P293" s="14" t="s">
        <v>9158</v>
      </c>
      <c r="Q293" s="14" t="s">
        <v>9158</v>
      </c>
      <c r="R293" s="14" t="s">
        <v>174</v>
      </c>
    </row>
    <row r="294" spans="1:19">
      <c r="A294" s="14">
        <v>95123</v>
      </c>
      <c r="B294" s="14" t="s">
        <v>15</v>
      </c>
      <c r="C294" s="14" t="s">
        <v>154</v>
      </c>
      <c r="D294" s="14" t="s">
        <v>16292</v>
      </c>
      <c r="E294" s="15" t="str">
        <f>HYPERLINK("https://stat100.ameba.jp/tnk47/ratio20/illustrations/card/ill_95123_kanzashikurikintonchan03.jpg?202101-5-RELEASE-marathon-511x", "■")</f>
        <v>■</v>
      </c>
      <c r="F294" s="14" t="s">
        <v>16291</v>
      </c>
      <c r="G294" s="14">
        <v>84940</v>
      </c>
      <c r="H294" s="14">
        <v>117308</v>
      </c>
      <c r="I294" s="14">
        <v>28</v>
      </c>
      <c r="J294" s="14" t="s">
        <v>104</v>
      </c>
      <c r="K294" s="14" t="s">
        <v>16290</v>
      </c>
      <c r="L294" s="14" t="s">
        <v>16293</v>
      </c>
      <c r="M294" s="14" t="s">
        <v>9158</v>
      </c>
      <c r="N294" s="14" t="s">
        <v>9158</v>
      </c>
      <c r="O294" s="14" t="s">
        <v>9158</v>
      </c>
      <c r="P294" s="14" t="s">
        <v>9158</v>
      </c>
      <c r="Q294" s="14" t="s">
        <v>9158</v>
      </c>
      <c r="R294" s="14" t="s">
        <v>175</v>
      </c>
    </row>
    <row r="295" spans="1:19">
      <c r="A295" s="14">
        <v>95121</v>
      </c>
      <c r="B295" s="14" t="s">
        <v>15</v>
      </c>
      <c r="C295" s="14" t="s">
        <v>154</v>
      </c>
      <c r="D295" s="14" t="s">
        <v>16292</v>
      </c>
      <c r="E295" s="15" t="str">
        <f>HYPERLINK("https://stat100.ameba.jp/tnk47/ratio20/illustrations/card/ill_95121_kanzashikurikintonchan01.jpg?202101-5-RELEASE-marathon-511x", "■")</f>
        <v>■</v>
      </c>
      <c r="F295" s="14" t="s">
        <v>16291</v>
      </c>
      <c r="G295" s="14">
        <v>54040</v>
      </c>
      <c r="H295" s="14">
        <v>74620</v>
      </c>
      <c r="I295" s="14">
        <v>28</v>
      </c>
      <c r="J295" s="14" t="s">
        <v>104</v>
      </c>
      <c r="K295" s="14" t="s">
        <v>16290</v>
      </c>
      <c r="L295" s="14" t="s">
        <v>14358</v>
      </c>
      <c r="M295" s="14" t="s">
        <v>9158</v>
      </c>
      <c r="N295" s="14" t="s">
        <v>9158</v>
      </c>
      <c r="O295" s="14" t="s">
        <v>9158</v>
      </c>
      <c r="P295" s="14" t="s">
        <v>9158</v>
      </c>
      <c r="Q295" s="14" t="s">
        <v>9158</v>
      </c>
      <c r="R295" s="14" t="s">
        <v>176</v>
      </c>
    </row>
    <row r="297" spans="1:19">
      <c r="A297" s="14" t="s">
        <v>16296</v>
      </c>
    </row>
    <row r="298" spans="1:19">
      <c r="A298" s="14">
        <v>106074</v>
      </c>
      <c r="B298" s="14" t="s">
        <v>16297</v>
      </c>
    </row>
    <row r="299" spans="1:19">
      <c r="A299" s="14">
        <v>66543</v>
      </c>
      <c r="B299" s="14" t="s">
        <v>0</v>
      </c>
      <c r="C299" s="14" t="s">
        <v>41</v>
      </c>
      <c r="D299" s="14" t="s">
        <v>4390</v>
      </c>
      <c r="E299" s="15" t="str">
        <f>HYPERLINK("https://stat100.ameba.jp/tnk47/ratio20/illustrations/card/ill_66543_kanimeshibentochan03.jpg?202101-5-RELEASE-marathon-511x", "■")</f>
        <v>■</v>
      </c>
      <c r="F299" s="14" t="s">
        <v>4391</v>
      </c>
      <c r="G299" s="14">
        <v>127507</v>
      </c>
      <c r="H299" s="14">
        <v>118568</v>
      </c>
      <c r="I299" s="14">
        <v>27</v>
      </c>
      <c r="J299" s="14" t="s">
        <v>104</v>
      </c>
      <c r="K299" s="14" t="s">
        <v>4392</v>
      </c>
      <c r="L299" s="14" t="s">
        <v>2409</v>
      </c>
      <c r="M299" s="14" t="s">
        <v>9158</v>
      </c>
      <c r="N299" s="14" t="s">
        <v>9158</v>
      </c>
      <c r="O299" s="14" t="s">
        <v>9158</v>
      </c>
      <c r="P299" s="14" t="s">
        <v>9158</v>
      </c>
      <c r="Q299" s="14" t="s">
        <v>9158</v>
      </c>
      <c r="S299" s="14" t="s">
        <v>16299</v>
      </c>
    </row>
    <row r="300" spans="1:19">
      <c r="A300" s="14">
        <v>68323</v>
      </c>
      <c r="B300" s="14" t="s">
        <v>0</v>
      </c>
      <c r="C300" s="14" t="s">
        <v>23</v>
      </c>
      <c r="D300" s="14" t="s">
        <v>16298</v>
      </c>
      <c r="E300" s="15" t="str">
        <f>HYPERLINK("https://stat100.ameba.jp/tnk47/ratio20/illustrations/card/ill_68323_shurambonenkaihayashifumiko03.jpg?202101-5-RELEASE-marathon-511x", "■")</f>
        <v>■</v>
      </c>
      <c r="F300" s="14" t="s">
        <v>7410</v>
      </c>
      <c r="G300" s="14">
        <v>109481</v>
      </c>
      <c r="H300" s="14">
        <v>101837</v>
      </c>
      <c r="I300" s="14">
        <v>27</v>
      </c>
      <c r="J300" s="14" t="s">
        <v>16</v>
      </c>
      <c r="K300" s="14" t="s">
        <v>7409</v>
      </c>
      <c r="L300" s="14" t="s">
        <v>1149</v>
      </c>
      <c r="M300" s="14" t="s">
        <v>9158</v>
      </c>
      <c r="N300" s="14" t="s">
        <v>9158</v>
      </c>
      <c r="O300" s="14" t="s">
        <v>9158</v>
      </c>
      <c r="P300" s="14" t="s">
        <v>9158</v>
      </c>
      <c r="Q300" s="14" t="s">
        <v>9158</v>
      </c>
    </row>
    <row r="301" spans="1:19">
      <c r="A301" s="14">
        <v>84683</v>
      </c>
      <c r="B301" s="14" t="s">
        <v>0</v>
      </c>
      <c r="C301" s="14" t="s">
        <v>191</v>
      </c>
      <c r="D301" s="19" t="s">
        <v>10644</v>
      </c>
      <c r="E301" s="15" t="str">
        <f>HYPERLINK("https://stat100.ameba.jp/tnk47/ratio20/illustrations/card/ill_84683_kyupiddodainokata03.jpg?202101-5-RELEASE-marathon-511x", "■")</f>
        <v>■</v>
      </c>
      <c r="F301" s="14" t="s">
        <v>7081</v>
      </c>
      <c r="G301" s="14">
        <v>98019</v>
      </c>
      <c r="H301" s="14">
        <v>105465</v>
      </c>
      <c r="I301" s="14">
        <v>27</v>
      </c>
      <c r="J301" s="14" t="s">
        <v>10</v>
      </c>
      <c r="K301" s="14" t="s">
        <v>5100</v>
      </c>
      <c r="L301" s="14" t="s">
        <v>3546</v>
      </c>
      <c r="M301" s="14" t="s">
        <v>9158</v>
      </c>
      <c r="N301" s="14" t="s">
        <v>9158</v>
      </c>
      <c r="O301" s="14" t="s">
        <v>9158</v>
      </c>
      <c r="P301" s="14" t="s">
        <v>9158</v>
      </c>
      <c r="Q301" s="14" t="s">
        <v>9158</v>
      </c>
    </row>
    <row r="302" spans="1:19">
      <c r="A302" s="9">
        <v>76573</v>
      </c>
      <c r="B302" s="14" t="s">
        <v>348</v>
      </c>
      <c r="C302" s="14" t="s">
        <v>335</v>
      </c>
      <c r="D302" s="14" t="s">
        <v>744</v>
      </c>
      <c r="E302" s="15" t="str">
        <f>HYPERLINK("https://stat100.ameba.jp/tnk47/ratio20/illustrations/card/ill_76573_daria03.jpg?202101-5-RELEASE-marathon-511x", "■")</f>
        <v>■</v>
      </c>
      <c r="F302" s="14" t="s">
        <v>14733</v>
      </c>
      <c r="G302" s="14">
        <v>53768</v>
      </c>
      <c r="H302" s="14">
        <v>59280</v>
      </c>
      <c r="I302" s="14">
        <v>20</v>
      </c>
      <c r="J302" s="14" t="s">
        <v>369</v>
      </c>
      <c r="K302" s="14" t="s">
        <v>746</v>
      </c>
      <c r="L302" s="14" t="s">
        <v>747</v>
      </c>
      <c r="M302" s="14" t="s">
        <v>9158</v>
      </c>
      <c r="N302" s="14" t="s">
        <v>9158</v>
      </c>
      <c r="O302" s="14" t="s">
        <v>9158</v>
      </c>
      <c r="P302" s="14" t="s">
        <v>9158</v>
      </c>
      <c r="Q302" s="14" t="s">
        <v>9158</v>
      </c>
    </row>
    <row r="303" spans="1:19">
      <c r="A303" s="9">
        <v>81243</v>
      </c>
      <c r="B303" s="14" t="s">
        <v>15</v>
      </c>
      <c r="C303" s="14" t="s">
        <v>206</v>
      </c>
      <c r="D303" s="14" t="s">
        <v>4550</v>
      </c>
      <c r="E303" s="15" t="str">
        <f>HYPERLINK("https://stat100.ameba.jp/tnk47/ratio20/illustrations/card/ill_81243_sakasuochihime03.jpg?202101-5-RELEASE-marathon-511x", "■")</f>
        <v>■</v>
      </c>
      <c r="F303" s="14" t="s">
        <v>4551</v>
      </c>
      <c r="G303" s="14">
        <v>53768</v>
      </c>
      <c r="H303" s="14">
        <v>59280</v>
      </c>
      <c r="I303" s="14">
        <v>20</v>
      </c>
      <c r="J303" s="14" t="s">
        <v>38</v>
      </c>
      <c r="K303" s="14" t="s">
        <v>4552</v>
      </c>
      <c r="L303" s="14" t="s">
        <v>1753</v>
      </c>
      <c r="M303" s="14" t="s">
        <v>9158</v>
      </c>
      <c r="N303" s="14" t="s">
        <v>9158</v>
      </c>
      <c r="O303" s="14" t="s">
        <v>9158</v>
      </c>
      <c r="P303" s="14" t="s">
        <v>9158</v>
      </c>
      <c r="Q303" s="14" t="s">
        <v>9158</v>
      </c>
    </row>
    <row r="304" spans="1:19">
      <c r="A304" s="9">
        <v>57913</v>
      </c>
      <c r="B304" s="14" t="s">
        <v>15</v>
      </c>
      <c r="C304" s="14" t="s">
        <v>165</v>
      </c>
      <c r="D304" s="14" t="s">
        <v>1001</v>
      </c>
      <c r="E304" s="15" t="str">
        <f>HYPERLINK("https://stat100.ameba.jp/tnk47/ratio20/illustrations/card/ill_57913_otokuchurusahohime03.jpg?202101-5-RELEASE-marathon-511x", "■")</f>
        <v>■</v>
      </c>
      <c r="F304" s="14" t="s">
        <v>1002</v>
      </c>
      <c r="G304" s="14">
        <v>59280</v>
      </c>
      <c r="H304" s="14">
        <v>53768</v>
      </c>
      <c r="I304" s="14">
        <v>20</v>
      </c>
      <c r="J304" s="14" t="s">
        <v>44</v>
      </c>
      <c r="K304" s="14" t="s">
        <v>1003</v>
      </c>
      <c r="L304" s="14" t="s">
        <v>1004</v>
      </c>
      <c r="M304" s="14" t="s">
        <v>9158</v>
      </c>
      <c r="N304" s="14" t="s">
        <v>9158</v>
      </c>
      <c r="O304" s="14" t="s">
        <v>9158</v>
      </c>
      <c r="P304" s="14" t="s">
        <v>9158</v>
      </c>
      <c r="Q304" s="14" t="s">
        <v>9158</v>
      </c>
    </row>
    <row r="306" spans="1:17">
      <c r="A306" s="14" t="s">
        <v>16300</v>
      </c>
    </row>
    <row r="307" spans="1:17">
      <c r="A307" s="14">
        <v>106091</v>
      </c>
      <c r="B307" s="14" t="s">
        <v>9086</v>
      </c>
    </row>
    <row r="308" spans="1:17">
      <c r="A308" s="14" t="s">
        <v>5848</v>
      </c>
      <c r="B308" s="14" t="s">
        <v>52</v>
      </c>
      <c r="C308" s="14" t="s">
        <v>200</v>
      </c>
      <c r="D308" s="20" t="s">
        <v>3160</v>
      </c>
      <c r="E308" s="15" t="str">
        <f>HYPERLINK("https://stat100.ameba.jp/tnk47/ratio20/illustrations/card/ill_72963_0_amenohanayomehiguchiichiyo03.jpg?202101-5-RELEASE-marathon-511xx", "■")</f>
        <v>■</v>
      </c>
      <c r="F308" s="14" t="s">
        <v>1139</v>
      </c>
      <c r="G308" s="14">
        <v>160804</v>
      </c>
      <c r="H308" s="14">
        <v>149520</v>
      </c>
      <c r="I308" s="14">
        <v>24</v>
      </c>
      <c r="J308" s="14" t="s">
        <v>10</v>
      </c>
      <c r="K308" s="14" t="s">
        <v>1140</v>
      </c>
      <c r="L308" s="14" t="s">
        <v>1141</v>
      </c>
      <c r="M308" s="14" t="s">
        <v>9158</v>
      </c>
      <c r="N308" s="14" t="s">
        <v>9158</v>
      </c>
      <c r="O308" s="19" t="s">
        <v>3162</v>
      </c>
      <c r="P308" s="14" t="s">
        <v>3410</v>
      </c>
      <c r="Q308" s="14">
        <v>1</v>
      </c>
    </row>
    <row r="309" spans="1:17">
      <c r="A309" s="14" t="s">
        <v>5610</v>
      </c>
      <c r="B309" s="14" t="s">
        <v>330</v>
      </c>
      <c r="C309" s="14" t="s">
        <v>185</v>
      </c>
      <c r="D309" s="19" t="s">
        <v>539</v>
      </c>
      <c r="E309" s="15" t="str">
        <f>HYPERLINK("https://stat100.ameba.jp/tnk47/ratio20/illustrations/card/ill_60633_0_harumaisentoin03.jpg?202101-5-RELEASE-marathon-511xx", "■")</f>
        <v>■</v>
      </c>
      <c r="F309" s="14" t="s">
        <v>540</v>
      </c>
      <c r="G309" s="14">
        <v>152594</v>
      </c>
      <c r="H309" s="14">
        <v>164144</v>
      </c>
      <c r="I309" s="14">
        <v>24</v>
      </c>
      <c r="J309" s="14" t="s">
        <v>274</v>
      </c>
      <c r="K309" s="14" t="s">
        <v>541</v>
      </c>
      <c r="L309" s="14" t="s">
        <v>542</v>
      </c>
      <c r="M309" s="14" t="s">
        <v>9158</v>
      </c>
      <c r="N309" s="14" t="s">
        <v>9158</v>
      </c>
      <c r="O309" s="19" t="s">
        <v>2888</v>
      </c>
      <c r="P309" s="14" t="s">
        <v>3144</v>
      </c>
      <c r="Q309" s="14">
        <v>1</v>
      </c>
    </row>
    <row r="310" spans="1:17">
      <c r="A310" s="14" t="s">
        <v>5902</v>
      </c>
      <c r="B310" s="14" t="s">
        <v>330</v>
      </c>
      <c r="C310" s="14" t="s">
        <v>206</v>
      </c>
      <c r="D310" s="19" t="s">
        <v>483</v>
      </c>
      <c r="E310" s="15" t="str">
        <f>HYPERLINK("https://stat100.ameba.jp/tnk47/ratio20/illustrations/card/ill_40343_0_heshikirihasebekurodakambe03.jpg?202101-5-RELEASE-marathon-511xx", "■")</f>
        <v>■</v>
      </c>
      <c r="F310" s="14" t="s">
        <v>906</v>
      </c>
      <c r="G310" s="14">
        <v>140448</v>
      </c>
      <c r="H310" s="14">
        <v>131538</v>
      </c>
      <c r="I310" s="14">
        <v>24</v>
      </c>
      <c r="J310" s="14" t="s">
        <v>16</v>
      </c>
      <c r="K310" s="14" t="s">
        <v>907</v>
      </c>
      <c r="L310" s="14" t="s">
        <v>908</v>
      </c>
      <c r="M310" s="14" t="s">
        <v>9158</v>
      </c>
      <c r="N310" s="14" t="s">
        <v>9158</v>
      </c>
      <c r="O310" s="14" t="s">
        <v>9158</v>
      </c>
      <c r="P310" s="14" t="s">
        <v>9158</v>
      </c>
      <c r="Q310" s="14" t="s">
        <v>9158</v>
      </c>
    </row>
    <row r="311" spans="1:17">
      <c r="A311" s="14">
        <v>95243</v>
      </c>
      <c r="B311" s="14" t="s">
        <v>0</v>
      </c>
      <c r="C311" s="14" t="s">
        <v>1</v>
      </c>
      <c r="D311" s="14" t="s">
        <v>16245</v>
      </c>
      <c r="E311" s="15" t="str">
        <f>HYPERLINK("https://stat100.ameba.jp/tnk47/ratio20/illustrations/card/ill_95243_kaizokushunne03.jpg?202101-5-RELEASE-marathon-511xx", "■")</f>
        <v>■</v>
      </c>
      <c r="F311" s="14" t="s">
        <v>16244</v>
      </c>
      <c r="G311" s="14">
        <v>106050</v>
      </c>
      <c r="H311" s="14">
        <v>98594</v>
      </c>
      <c r="I311" s="14">
        <v>26</v>
      </c>
      <c r="J311" s="14" t="s">
        <v>10</v>
      </c>
      <c r="K311" s="14" t="s">
        <v>16243</v>
      </c>
      <c r="L311" s="14" t="s">
        <v>16242</v>
      </c>
      <c r="M311" s="14" t="s">
        <v>9158</v>
      </c>
      <c r="N311" s="14" t="s">
        <v>9158</v>
      </c>
      <c r="O311" s="14" t="s">
        <v>9158</v>
      </c>
      <c r="P311" s="14" t="s">
        <v>9158</v>
      </c>
      <c r="Q311" s="14" t="s">
        <v>9158</v>
      </c>
    </row>
    <row r="312" spans="1:17">
      <c r="A312" s="14">
        <v>95263</v>
      </c>
      <c r="B312" s="14" t="s">
        <v>15</v>
      </c>
      <c r="C312" s="14" t="s">
        <v>101</v>
      </c>
      <c r="D312" s="14" t="s">
        <v>16251</v>
      </c>
      <c r="E312" s="15" t="str">
        <f>HYPERLINK("https://stat100.ameba.jp/tnk47/ratio20/illustrations/card/ill_95263_kaizokuhamanakochan03.jpg?202101-5-RELEASE-marathon-511xx", "■")</f>
        <v>■</v>
      </c>
      <c r="F312" s="14" t="s">
        <v>16250</v>
      </c>
      <c r="G312" s="14">
        <v>77064</v>
      </c>
      <c r="H312" s="14">
        <v>69898</v>
      </c>
      <c r="I312" s="14">
        <v>26</v>
      </c>
      <c r="J312" s="14" t="s">
        <v>26</v>
      </c>
      <c r="K312" s="14" t="s">
        <v>16249</v>
      </c>
      <c r="L312" s="14" t="s">
        <v>2011</v>
      </c>
      <c r="M312" s="14" t="s">
        <v>9158</v>
      </c>
      <c r="N312" s="14" t="s">
        <v>9158</v>
      </c>
      <c r="O312" s="14" t="s">
        <v>9158</v>
      </c>
      <c r="P312" s="14" t="s">
        <v>9158</v>
      </c>
      <c r="Q312" s="14" t="s">
        <v>9158</v>
      </c>
    </row>
    <row r="313" spans="1:17">
      <c r="A313" s="14">
        <v>95273</v>
      </c>
      <c r="B313" s="14" t="s">
        <v>22</v>
      </c>
      <c r="C313" s="14" t="s">
        <v>96</v>
      </c>
      <c r="D313" s="14" t="s">
        <v>16254</v>
      </c>
      <c r="E313" s="15" t="str">
        <f>HYPERLINK("https://stat100.ameba.jp/tnk47/ratio20/illustrations/card/ill_95273_kaiheisennorikyu03.jpg?202101-5-RELEASE-marathon-511xx", "■")</f>
        <v>■</v>
      </c>
      <c r="F313" s="14" t="s">
        <v>16253</v>
      </c>
      <c r="G313" s="14">
        <v>44948</v>
      </c>
      <c r="H313" s="14">
        <v>54058</v>
      </c>
      <c r="I313" s="14">
        <v>26</v>
      </c>
      <c r="J313" s="14" t="s">
        <v>10</v>
      </c>
      <c r="K313" s="14" t="s">
        <v>16252</v>
      </c>
      <c r="L313" s="14" t="s">
        <v>4228</v>
      </c>
      <c r="M313" s="14" t="s">
        <v>9158</v>
      </c>
      <c r="N313" s="14" t="s">
        <v>9158</v>
      </c>
      <c r="O313" s="14" t="s">
        <v>9158</v>
      </c>
      <c r="P313" s="14" t="s">
        <v>9158</v>
      </c>
      <c r="Q313" s="14" t="s">
        <v>9158</v>
      </c>
    </row>
    <row r="314" spans="1:17">
      <c r="A314" s="14">
        <v>95283</v>
      </c>
      <c r="B314" s="14" t="s">
        <v>22</v>
      </c>
      <c r="C314" s="14" t="s">
        <v>107</v>
      </c>
      <c r="D314" s="14" t="s">
        <v>16257</v>
      </c>
      <c r="E314" s="15" t="str">
        <f>HYPERLINK("https://stat100.ameba.jp/tnk47/ratio20/illustrations/card/ill_95283_jukigazamichan03.jpg?202101-5-RELEASE-marathon-511xx", "■")</f>
        <v>■</v>
      </c>
      <c r="F314" s="14" t="s">
        <v>16256</v>
      </c>
      <c r="G314" s="14">
        <v>54058</v>
      </c>
      <c r="H314" s="14">
        <v>44948</v>
      </c>
      <c r="I314" s="14">
        <v>26</v>
      </c>
      <c r="J314" s="14" t="s">
        <v>104</v>
      </c>
      <c r="K314" s="14" t="s">
        <v>16255</v>
      </c>
      <c r="L314" s="14" t="s">
        <v>2674</v>
      </c>
      <c r="M314" s="14" t="s">
        <v>9158</v>
      </c>
      <c r="N314" s="14" t="s">
        <v>9158</v>
      </c>
      <c r="O314" s="14" t="s">
        <v>9158</v>
      </c>
      <c r="P314" s="14" t="s">
        <v>9158</v>
      </c>
      <c r="Q314" s="14" t="s">
        <v>9158</v>
      </c>
    </row>
    <row r="316" spans="1:17">
      <c r="A316" s="14" t="s">
        <v>3844</v>
      </c>
    </row>
    <row r="317" spans="1:17">
      <c r="A317" s="14">
        <v>106217</v>
      </c>
      <c r="B317" s="14" t="s">
        <v>16309</v>
      </c>
    </row>
    <row r="318" spans="1:17">
      <c r="A318" s="14" t="s">
        <v>5899</v>
      </c>
      <c r="B318" s="14" t="s">
        <v>330</v>
      </c>
      <c r="C318" s="14" t="s">
        <v>205</v>
      </c>
      <c r="D318" s="20" t="s">
        <v>1559</v>
      </c>
      <c r="E318" s="15" t="str">
        <f>HYPERLINK("https://stat100.ameba.jp/tnk47/ratio20/illustrations/card/ill_73773_0_umibirakiinugamigyobu03.jpg?202101-5-RELEASE-marathon-511xx", "■")</f>
        <v>■</v>
      </c>
      <c r="F318" s="14" t="s">
        <v>935</v>
      </c>
      <c r="G318" s="14">
        <v>225612</v>
      </c>
      <c r="H318" s="14">
        <v>242668</v>
      </c>
      <c r="I318" s="14">
        <v>26</v>
      </c>
      <c r="J318" s="14" t="s">
        <v>182</v>
      </c>
      <c r="K318" s="14" t="s">
        <v>936</v>
      </c>
      <c r="L318" s="14" t="s">
        <v>13147</v>
      </c>
      <c r="M318" s="14" t="s">
        <v>9158</v>
      </c>
      <c r="N318" s="14" t="s">
        <v>9158</v>
      </c>
      <c r="O318" s="19" t="s">
        <v>2978</v>
      </c>
      <c r="P318" s="14" t="s">
        <v>2979</v>
      </c>
      <c r="Q318" s="14">
        <v>2</v>
      </c>
    </row>
    <row r="319" spans="1:17">
      <c r="A319" s="14">
        <v>81743</v>
      </c>
      <c r="B319" s="14" t="s">
        <v>334</v>
      </c>
      <c r="C319" s="14" t="s">
        <v>107</v>
      </c>
      <c r="D319" s="19" t="s">
        <v>10171</v>
      </c>
      <c r="E319" s="15" t="str">
        <f>HYPERLINK("https://stat100.ameba.jp/tnk47/ratio20/illustrations/card/ill_81743_denshagarusakyogabashinohebi03.jpg?202101-5-RELEASE-marathon-511xx", "■")</f>
        <v>■</v>
      </c>
      <c r="F319" s="14" t="s">
        <v>4853</v>
      </c>
      <c r="G319" s="14">
        <v>118656</v>
      </c>
      <c r="H319" s="14">
        <v>110126</v>
      </c>
      <c r="I319" s="14">
        <v>26</v>
      </c>
      <c r="J319" s="14" t="s">
        <v>38</v>
      </c>
      <c r="K319" s="14" t="s">
        <v>4855</v>
      </c>
      <c r="L319" s="14" t="s">
        <v>4856</v>
      </c>
      <c r="M319" s="14" t="s">
        <v>9158</v>
      </c>
      <c r="N319" s="14" t="s">
        <v>9158</v>
      </c>
      <c r="O319" s="19" t="s">
        <v>10091</v>
      </c>
      <c r="P319" s="14" t="s">
        <v>3670</v>
      </c>
      <c r="Q319" s="14">
        <v>1</v>
      </c>
    </row>
    <row r="320" spans="1:17">
      <c r="A320" s="9">
        <v>86833</v>
      </c>
      <c r="B320" s="14" t="s">
        <v>0</v>
      </c>
      <c r="C320" s="9" t="s">
        <v>185</v>
      </c>
      <c r="D320" s="19" t="s">
        <v>12619</v>
      </c>
      <c r="E320" s="15" t="str">
        <f>HYPERLINK("https://stat100.ameba.jp/tnk47/ratio20/illustrations/card/ill_86833_chokonohidosankochan03.jpg?202101-5-RELEASE-marathon-511xx", "■")</f>
        <v>■</v>
      </c>
      <c r="F320" s="9" t="s">
        <v>9335</v>
      </c>
      <c r="G320" s="9">
        <v>98066</v>
      </c>
      <c r="H320" s="9">
        <v>105426</v>
      </c>
      <c r="I320" s="14">
        <v>26</v>
      </c>
      <c r="J320" s="9" t="s">
        <v>229</v>
      </c>
      <c r="K320" s="9" t="s">
        <v>9334</v>
      </c>
      <c r="L320" s="9" t="s">
        <v>9333</v>
      </c>
      <c r="M320" s="14" t="s">
        <v>9158</v>
      </c>
      <c r="N320" s="14" t="s">
        <v>9158</v>
      </c>
      <c r="O320" s="19" t="s">
        <v>2752</v>
      </c>
      <c r="P320" s="14" t="s">
        <v>13123</v>
      </c>
      <c r="Q320" s="14">
        <v>1</v>
      </c>
    </row>
    <row r="321" spans="1:17">
      <c r="A321" s="14">
        <v>82373</v>
      </c>
      <c r="B321" s="14" t="s">
        <v>334</v>
      </c>
      <c r="C321" s="14" t="s">
        <v>191</v>
      </c>
      <c r="D321" s="6" t="s">
        <v>10020</v>
      </c>
      <c r="E321" s="15" t="str">
        <f>HYPERLINK("https://stat100.ameba.jp/tnk47/ratio20/illustrations/card/ill_82373_bikinigaruyasharyujin03.jpg?202101-5-RELEASE-marathon-511xx", "■")</f>
        <v>■</v>
      </c>
      <c r="F321" s="14" t="s">
        <v>5397</v>
      </c>
      <c r="G321" s="14">
        <v>106050</v>
      </c>
      <c r="H321" s="14">
        <v>98594</v>
      </c>
      <c r="I321" s="14">
        <v>26</v>
      </c>
      <c r="J321" s="14" t="s">
        <v>44</v>
      </c>
      <c r="K321" s="14" t="s">
        <v>5398</v>
      </c>
      <c r="L321" s="14" t="s">
        <v>3356</v>
      </c>
      <c r="M321" s="14" t="s">
        <v>9158</v>
      </c>
      <c r="N321" s="14" t="s">
        <v>9158</v>
      </c>
      <c r="O321" s="6" t="s">
        <v>3578</v>
      </c>
      <c r="P321" s="14" t="s">
        <v>3579</v>
      </c>
      <c r="Q321" s="14">
        <v>1</v>
      </c>
    </row>
    <row r="323" spans="1:17">
      <c r="A323" s="14" t="s">
        <v>16306</v>
      </c>
    </row>
    <row r="324" spans="1:17">
      <c r="A324" s="14">
        <v>106179</v>
      </c>
      <c r="B324" s="14" t="s">
        <v>16307</v>
      </c>
    </row>
    <row r="325" spans="1:17">
      <c r="A325" s="14">
        <v>106207</v>
      </c>
      <c r="B325" s="14" t="s">
        <v>16308</v>
      </c>
    </row>
    <row r="326" spans="1:17">
      <c r="A326" s="14" t="s">
        <v>16315</v>
      </c>
      <c r="B326" s="14" t="s">
        <v>117</v>
      </c>
      <c r="C326" s="14" t="s">
        <v>35</v>
      </c>
      <c r="D326" s="14" t="s">
        <v>16314</v>
      </c>
      <c r="E326" s="15" t="str">
        <f>HYPERLINK("https://stat100.ameba.jp/tnk47/ratio20/illustrations/card/ill_95293_0_kajinobatoru03.jpg?202101-5-RELEASE-marathon-511xx", "■")</f>
        <v>■</v>
      </c>
      <c r="F326" s="14" t="s">
        <v>16313</v>
      </c>
      <c r="G326" s="14">
        <v>375763</v>
      </c>
      <c r="H326" s="14">
        <v>349326</v>
      </c>
      <c r="I326" s="14">
        <v>31</v>
      </c>
      <c r="J326" s="14" t="s">
        <v>194</v>
      </c>
      <c r="K326" s="14" t="s">
        <v>16312</v>
      </c>
      <c r="L326" s="14" t="s">
        <v>16311</v>
      </c>
      <c r="M326" s="14" t="s">
        <v>9158</v>
      </c>
      <c r="N326" s="14" t="s">
        <v>9158</v>
      </c>
      <c r="O326" s="14" t="s">
        <v>16310</v>
      </c>
      <c r="P326" s="14" t="s">
        <v>8441</v>
      </c>
      <c r="Q326" s="14">
        <v>1</v>
      </c>
    </row>
    <row r="327" spans="1:17">
      <c r="A327" s="14">
        <v>91493</v>
      </c>
      <c r="B327" s="14" t="s">
        <v>334</v>
      </c>
      <c r="C327" s="14" t="s">
        <v>185</v>
      </c>
      <c r="D327" s="14" t="s">
        <v>14460</v>
      </c>
      <c r="E327" s="15" t="str">
        <f>HYPERLINK("https://stat100.ameba.jp/tnk47/ratio20/illustrations/card/ill_91493_kakizakisuehiro03.jpg?202101-5-RELEASE-marathon-511xx", "■")</f>
        <v>■</v>
      </c>
      <c r="F327" s="14" t="s">
        <v>14478</v>
      </c>
      <c r="G327" s="14">
        <v>154768</v>
      </c>
      <c r="H327" s="14">
        <v>166452</v>
      </c>
      <c r="I327" s="7">
        <v>28</v>
      </c>
      <c r="J327" s="14" t="s">
        <v>143</v>
      </c>
      <c r="K327" s="14" t="s">
        <v>14476</v>
      </c>
      <c r="L327" s="14" t="s">
        <v>14475</v>
      </c>
      <c r="M327" s="14" t="s">
        <v>9158</v>
      </c>
      <c r="N327" s="14" t="s">
        <v>9158</v>
      </c>
      <c r="O327" s="14" t="s">
        <v>9158</v>
      </c>
      <c r="P327" s="14" t="s">
        <v>9158</v>
      </c>
      <c r="Q327" s="14" t="s">
        <v>9158</v>
      </c>
    </row>
    <row r="328" spans="1:17">
      <c r="A328" s="14">
        <v>91263</v>
      </c>
      <c r="B328" s="14" t="s">
        <v>0</v>
      </c>
      <c r="C328" s="14" t="s">
        <v>23</v>
      </c>
      <c r="D328" s="14" t="s">
        <v>13613</v>
      </c>
      <c r="E328" s="15" t="str">
        <f>HYPERLINK("https://stat100.ameba.jp/tnk47/ratio20/illustrations/card/ill_91263_toriimototada03.jpg?202101-5-RELEASE-marathon-511xx", "■")</f>
        <v>■</v>
      </c>
      <c r="F328" s="14" t="s">
        <v>13614</v>
      </c>
      <c r="G328" s="14">
        <v>154768</v>
      </c>
      <c r="H328" s="14">
        <v>166452</v>
      </c>
      <c r="I328" s="7">
        <v>28</v>
      </c>
      <c r="J328" s="14" t="s">
        <v>143</v>
      </c>
      <c r="K328" s="14" t="s">
        <v>1205</v>
      </c>
      <c r="L328" s="14" t="s">
        <v>12361</v>
      </c>
      <c r="M328" s="14" t="s">
        <v>9158</v>
      </c>
      <c r="N328" s="14" t="s">
        <v>9158</v>
      </c>
      <c r="O328" s="14" t="s">
        <v>9158</v>
      </c>
      <c r="P328" s="14" t="s">
        <v>9158</v>
      </c>
      <c r="Q328" s="14" t="s">
        <v>9158</v>
      </c>
    </row>
    <row r="329" spans="1:17">
      <c r="A329" s="14">
        <v>91883</v>
      </c>
      <c r="B329" s="14" t="s">
        <v>0</v>
      </c>
      <c r="C329" s="14" t="s">
        <v>101</v>
      </c>
      <c r="D329" s="14" t="s">
        <v>14703</v>
      </c>
      <c r="E329" s="15" t="str">
        <f>HYPERLINK("https://stat100.ameba.jp/tnk47/ratio20/illustrations/card/ill_91883_sangokushikobayashiissa03.jpg?202101-5-RELEASE-marathon-511xx", "■")</f>
        <v>■</v>
      </c>
      <c r="F329" s="14" t="s">
        <v>14702</v>
      </c>
      <c r="G329" s="14">
        <v>101650</v>
      </c>
      <c r="H329" s="14">
        <v>109370</v>
      </c>
      <c r="I329" s="7">
        <v>28</v>
      </c>
      <c r="J329" s="14" t="s">
        <v>10</v>
      </c>
      <c r="K329" s="14" t="s">
        <v>14700</v>
      </c>
      <c r="L329" s="14" t="s">
        <v>12916</v>
      </c>
      <c r="M329" s="14" t="s">
        <v>9158</v>
      </c>
      <c r="N329" s="14" t="s">
        <v>9158</v>
      </c>
      <c r="O329" s="14" t="s">
        <v>9158</v>
      </c>
      <c r="P329" s="14" t="s">
        <v>9158</v>
      </c>
      <c r="Q329" s="14" t="s">
        <v>9158</v>
      </c>
    </row>
    <row r="330" spans="1:17">
      <c r="A330" s="14">
        <v>88563</v>
      </c>
      <c r="B330" s="7" t="s">
        <v>0</v>
      </c>
      <c r="C330" s="14" t="s">
        <v>165</v>
      </c>
      <c r="D330" s="18" t="s">
        <v>12108</v>
      </c>
      <c r="E330" s="15" t="str">
        <f>HYPERLINK("https://stat100.ameba.jp/tnk47/ratio20/illustrations/card/ill_88563_furawagadenrishieru03.jpg?202101-5-RELEASE-marathon-511xx", "■")</f>
        <v>■</v>
      </c>
      <c r="F330" s="14" t="s">
        <v>12141</v>
      </c>
      <c r="G330" s="14">
        <v>101650</v>
      </c>
      <c r="H330" s="14">
        <v>109370</v>
      </c>
      <c r="I330" s="7">
        <v>28</v>
      </c>
      <c r="J330" s="14" t="s">
        <v>187</v>
      </c>
      <c r="K330" s="14" t="s">
        <v>12140</v>
      </c>
      <c r="L330" s="14" t="s">
        <v>12139</v>
      </c>
      <c r="M330" s="14" t="s">
        <v>9158</v>
      </c>
      <c r="N330" s="14" t="s">
        <v>9158</v>
      </c>
      <c r="O330" s="14" t="s">
        <v>9158</v>
      </c>
      <c r="P330" s="14" t="s">
        <v>9158</v>
      </c>
      <c r="Q330" s="14" t="s">
        <v>9158</v>
      </c>
    </row>
    <row r="331" spans="1:17">
      <c r="A331" s="14">
        <v>90793</v>
      </c>
      <c r="B331" s="14" t="s">
        <v>0</v>
      </c>
      <c r="C331" s="14" t="s">
        <v>1</v>
      </c>
      <c r="D331" s="14" t="s">
        <v>14411</v>
      </c>
      <c r="E331" s="15" t="str">
        <f>HYPERLINK("https://stat100.ameba.jp/tnk47/ratio20/illustrations/card/ill_90793_suitsuzammaininko03.jpg?202101-5-RELEASE-marathon-511xx", "■")</f>
        <v>■</v>
      </c>
      <c r="F331" s="14" t="s">
        <v>14410</v>
      </c>
      <c r="G331" s="14">
        <v>122960</v>
      </c>
      <c r="H331" s="14">
        <v>132230</v>
      </c>
      <c r="I331" s="7">
        <v>28</v>
      </c>
      <c r="J331" s="14" t="s">
        <v>73</v>
      </c>
      <c r="K331" s="14" t="s">
        <v>14408</v>
      </c>
      <c r="L331" s="14" t="s">
        <v>13096</v>
      </c>
      <c r="M331" s="14" t="s">
        <v>9158</v>
      </c>
      <c r="N331" s="14" t="s">
        <v>9158</v>
      </c>
      <c r="O331" s="14" t="s">
        <v>9158</v>
      </c>
      <c r="P331" s="14" t="s">
        <v>9158</v>
      </c>
      <c r="Q331" s="14" t="s">
        <v>9158</v>
      </c>
    </row>
    <row r="332" spans="1:17">
      <c r="A332" s="14">
        <v>92103</v>
      </c>
      <c r="B332" s="14" t="s">
        <v>0</v>
      </c>
      <c r="C332" s="14" t="s">
        <v>107</v>
      </c>
      <c r="D332" s="14" t="s">
        <v>14936</v>
      </c>
      <c r="E332" s="15" t="str">
        <f>HYPERLINK("https://stat100.ameba.jp/tnk47/ratio20/illustrations/card/ill_92103_kyampujoshimomotofumiagari03.jpg?202101-5-RELEASE-marathon-511xx", "■")</f>
        <v>■</v>
      </c>
      <c r="F332" s="14" t="s">
        <v>14935</v>
      </c>
      <c r="G332" s="14">
        <v>101650</v>
      </c>
      <c r="H332" s="14">
        <v>109370</v>
      </c>
      <c r="I332" s="7">
        <v>28</v>
      </c>
      <c r="J332" s="14" t="s">
        <v>77</v>
      </c>
      <c r="K332" s="14" t="s">
        <v>14933</v>
      </c>
      <c r="L332" s="14" t="s">
        <v>12139</v>
      </c>
      <c r="M332" s="14" t="s">
        <v>9158</v>
      </c>
      <c r="N332" s="14" t="s">
        <v>9158</v>
      </c>
      <c r="O332" s="14" t="s">
        <v>9158</v>
      </c>
      <c r="P332" s="14" t="s">
        <v>9158</v>
      </c>
      <c r="Q332" s="14" t="s">
        <v>9158</v>
      </c>
    </row>
    <row r="334" spans="1:17">
      <c r="A334" s="14" t="s">
        <v>4065</v>
      </c>
    </row>
    <row r="335" spans="1:17">
      <c r="A335" s="14">
        <v>106220</v>
      </c>
      <c r="B335" s="14" t="s">
        <v>16316</v>
      </c>
    </row>
    <row r="336" spans="1:17">
      <c r="A336" s="14" t="s">
        <v>5963</v>
      </c>
      <c r="B336" s="14" t="s">
        <v>330</v>
      </c>
      <c r="C336" s="14" t="s">
        <v>35</v>
      </c>
      <c r="D336" s="19" t="s">
        <v>10438</v>
      </c>
      <c r="E336" s="15" t="str">
        <f>HYPERLINK("https://stat100.ameba.jp/tnk47/ratio20/illustrations/card/ill_82963_0_yukatamatsuritomokazuki03.jpg?202101-5-RELEASE-marathon-511xx", "■")</f>
        <v>■</v>
      </c>
      <c r="F336" s="14" t="s">
        <v>5964</v>
      </c>
      <c r="G336" s="14">
        <v>321625</v>
      </c>
      <c r="H336" s="14">
        <v>355871</v>
      </c>
      <c r="I336" s="14">
        <v>27</v>
      </c>
      <c r="J336" s="14" t="s">
        <v>73</v>
      </c>
      <c r="K336" s="14" t="s">
        <v>5966</v>
      </c>
      <c r="L336" s="14" t="s">
        <v>5967</v>
      </c>
      <c r="M336" s="14" t="s">
        <v>9158</v>
      </c>
      <c r="N336" s="14" t="s">
        <v>9158</v>
      </c>
      <c r="O336" s="19" t="s">
        <v>10115</v>
      </c>
      <c r="P336" s="14" t="s">
        <v>5968</v>
      </c>
      <c r="Q336" s="14">
        <v>1</v>
      </c>
    </row>
    <row r="337" spans="1:17">
      <c r="A337" s="14">
        <v>77663</v>
      </c>
      <c r="B337" s="14" t="s">
        <v>334</v>
      </c>
      <c r="C337" s="14" t="s">
        <v>202</v>
      </c>
      <c r="D337" s="20" t="s">
        <v>10614</v>
      </c>
      <c r="E337" s="15" t="str">
        <f>HYPERLINK("https://stat100.ameba.jp/tnk47/ratio20/illustrations/card/ill_77663_deipuburu03.jpg?202101-5-RELEASE-marathon-511xx", "■")</f>
        <v>■</v>
      </c>
      <c r="F337" s="14" t="s">
        <v>1573</v>
      </c>
      <c r="G337" s="14">
        <v>85492</v>
      </c>
      <c r="H337" s="14">
        <v>118000</v>
      </c>
      <c r="I337" s="14">
        <v>26</v>
      </c>
      <c r="J337" s="14" t="s">
        <v>414</v>
      </c>
      <c r="K337" s="14" t="s">
        <v>1574</v>
      </c>
      <c r="L337" s="14" t="s">
        <v>1575</v>
      </c>
      <c r="M337" s="14" t="s">
        <v>9158</v>
      </c>
      <c r="N337" s="14" t="s">
        <v>9158</v>
      </c>
      <c r="O337" s="19" t="s">
        <v>10117</v>
      </c>
      <c r="P337" s="14" t="s">
        <v>3625</v>
      </c>
      <c r="Q337" s="14">
        <v>1</v>
      </c>
    </row>
    <row r="338" spans="1:17">
      <c r="A338" s="14">
        <v>82543</v>
      </c>
      <c r="B338" s="14" t="s">
        <v>334</v>
      </c>
      <c r="C338" s="14" t="s">
        <v>41</v>
      </c>
      <c r="D338" s="20" t="s">
        <v>10342</v>
      </c>
      <c r="E338" s="15" t="str">
        <f>HYPERLINK("https://stat100.ameba.jp/tnk47/ratio20/illustrations/card/ill_82543_nabeshimanagako03.jpg?202101-5-RELEASE-marathon-511xx", "■")</f>
        <v>■</v>
      </c>
      <c r="F338" s="14" t="s">
        <v>5491</v>
      </c>
      <c r="G338" s="14">
        <v>113630</v>
      </c>
      <c r="H338" s="14">
        <v>82318</v>
      </c>
      <c r="I338" s="14">
        <v>26</v>
      </c>
      <c r="J338" s="14" t="s">
        <v>10</v>
      </c>
      <c r="K338" s="14" t="s">
        <v>5493</v>
      </c>
      <c r="L338" s="14" t="s">
        <v>5494</v>
      </c>
      <c r="M338" s="14" t="s">
        <v>9158</v>
      </c>
      <c r="N338" s="14" t="s">
        <v>9158</v>
      </c>
      <c r="O338" s="19" t="s">
        <v>10080</v>
      </c>
      <c r="P338" s="14" t="s">
        <v>3705</v>
      </c>
      <c r="Q338" s="14">
        <v>1</v>
      </c>
    </row>
    <row r="339" spans="1:17">
      <c r="A339" s="14">
        <v>83393</v>
      </c>
      <c r="B339" s="14" t="s">
        <v>334</v>
      </c>
      <c r="C339" s="14" t="s">
        <v>209</v>
      </c>
      <c r="D339" s="19" t="s">
        <v>10381</v>
      </c>
      <c r="E339" s="15" t="str">
        <f>HYPERLINK("https://stat100.ameba.jp/tnk47/ratio20/illustrations/card/ill_83393_rito03.jpg?202101-5-RELEASE-marathon-511xx", "■")</f>
        <v>■</v>
      </c>
      <c r="F339" s="14" t="s">
        <v>5735</v>
      </c>
      <c r="G339" s="14">
        <v>132684</v>
      </c>
      <c r="H339" s="14">
        <v>96100</v>
      </c>
      <c r="I339" s="14">
        <v>26</v>
      </c>
      <c r="J339" s="14" t="s">
        <v>38</v>
      </c>
      <c r="K339" s="14" t="s">
        <v>5738</v>
      </c>
      <c r="L339" s="14" t="s">
        <v>5400</v>
      </c>
      <c r="M339" s="14" t="s">
        <v>9158</v>
      </c>
      <c r="N339" s="14" t="s">
        <v>9158</v>
      </c>
      <c r="O339" s="19" t="s">
        <v>10098</v>
      </c>
      <c r="P339" s="14" t="s">
        <v>3491</v>
      </c>
      <c r="Q339" s="14">
        <v>1</v>
      </c>
    </row>
    <row r="340" spans="1:17">
      <c r="D340" s="20"/>
      <c r="E340" s="15"/>
      <c r="O340" s="19"/>
    </row>
    <row r="341" spans="1:17">
      <c r="A341" s="14" t="s">
        <v>3916</v>
      </c>
    </row>
    <row r="342" spans="1:17">
      <c r="A342" s="14">
        <v>106113</v>
      </c>
      <c r="B342" s="14" t="s">
        <v>9090</v>
      </c>
    </row>
    <row r="343" spans="1:17">
      <c r="A343" s="14">
        <v>62203</v>
      </c>
      <c r="B343" s="14" t="s">
        <v>334</v>
      </c>
      <c r="C343" s="14" t="s">
        <v>154</v>
      </c>
      <c r="D343" s="20" t="s">
        <v>2260</v>
      </c>
      <c r="E343" s="15" t="str">
        <f>HYPERLINK("https://stat100.ameba.jp/tnk47/ratio20/illustrations/card/ill_62203_keishoimmasahime03.jpg?202101-5-RELEASE-marathon-511xx", "■")</f>
        <v>■</v>
      </c>
      <c r="F343" s="14" t="s">
        <v>2261</v>
      </c>
      <c r="G343" s="14">
        <v>112286</v>
      </c>
      <c r="H343" s="14">
        <v>120766</v>
      </c>
      <c r="I343" s="14">
        <v>28</v>
      </c>
      <c r="J343" s="14" t="s">
        <v>77</v>
      </c>
      <c r="K343" s="14" t="s">
        <v>2262</v>
      </c>
      <c r="L343" s="14" t="s">
        <v>2263</v>
      </c>
      <c r="M343" s="14" t="s">
        <v>9158</v>
      </c>
      <c r="N343" s="14" t="s">
        <v>9158</v>
      </c>
      <c r="O343" s="14" t="s">
        <v>9158</v>
      </c>
      <c r="P343" s="14" t="s">
        <v>9158</v>
      </c>
      <c r="Q343" s="14" t="s">
        <v>9158</v>
      </c>
    </row>
    <row r="344" spans="1:17">
      <c r="A344" s="14">
        <v>69723</v>
      </c>
      <c r="B344" s="14" t="s">
        <v>334</v>
      </c>
      <c r="C344" s="14" t="s">
        <v>158</v>
      </c>
      <c r="D344" s="20" t="s">
        <v>3042</v>
      </c>
      <c r="E344" s="15" t="str">
        <f>HYPERLINK("https://stat100.ameba.jp/tnk47/ratio20/illustrations/card/ill_69723_nakaurajurian03.jpg?202101-5-RELEASE-marathon-511xx", "■")</f>
        <v>■</v>
      </c>
      <c r="F344" s="14" t="s">
        <v>2257</v>
      </c>
      <c r="G344" s="14">
        <v>112286</v>
      </c>
      <c r="H344" s="14">
        <v>120766</v>
      </c>
      <c r="I344" s="14">
        <v>28</v>
      </c>
      <c r="J344" s="14" t="s">
        <v>173</v>
      </c>
      <c r="K344" s="14" t="s">
        <v>2258</v>
      </c>
      <c r="L344" s="14" t="s">
        <v>2259</v>
      </c>
      <c r="M344" s="14" t="s">
        <v>9158</v>
      </c>
      <c r="N344" s="14" t="s">
        <v>9158</v>
      </c>
      <c r="O344" s="14" t="s">
        <v>9158</v>
      </c>
      <c r="P344" s="14" t="s">
        <v>9158</v>
      </c>
      <c r="Q344" s="14" t="s">
        <v>9158</v>
      </c>
    </row>
    <row r="345" spans="1:17">
      <c r="A345" s="14">
        <v>62153</v>
      </c>
      <c r="B345" s="14" t="s">
        <v>334</v>
      </c>
      <c r="C345" s="14" t="s">
        <v>1</v>
      </c>
      <c r="D345" s="20" t="s">
        <v>16317</v>
      </c>
      <c r="E345" s="15" t="str">
        <f>HYPERLINK("https://stat100.ameba.jp/tnk47/ratio20/illustrations/card/ill_62153_obentonekodanuki03.jpg?202101-5-RELEASE-marathon-511xx", "■")</f>
        <v>■</v>
      </c>
      <c r="F345" s="14" t="s">
        <v>16318</v>
      </c>
      <c r="G345" s="14">
        <v>116662</v>
      </c>
      <c r="H345" s="14">
        <v>108494</v>
      </c>
      <c r="I345" s="14">
        <v>28</v>
      </c>
      <c r="J345" s="14" t="s">
        <v>73</v>
      </c>
      <c r="K345" s="14" t="s">
        <v>12212</v>
      </c>
      <c r="L345" s="14" t="s">
        <v>16319</v>
      </c>
      <c r="M345" s="14" t="s">
        <v>9158</v>
      </c>
      <c r="N345" s="14" t="s">
        <v>9158</v>
      </c>
      <c r="O345" s="14" t="s">
        <v>9158</v>
      </c>
      <c r="P345" s="14" t="s">
        <v>9158</v>
      </c>
      <c r="Q345" s="14" t="s">
        <v>9158</v>
      </c>
    </row>
    <row r="346" spans="1:17">
      <c r="A346" s="14">
        <v>65173</v>
      </c>
      <c r="B346" s="14" t="s">
        <v>334</v>
      </c>
      <c r="C346" s="14" t="s">
        <v>101</v>
      </c>
      <c r="D346" s="20" t="s">
        <v>16320</v>
      </c>
      <c r="E346" s="15" t="str">
        <f>HYPERLINK("https://stat100.ameba.jp/tnk47/ratio20/illustrations/card/ill_65173_kimodameshihorahamahime03.jpg?202101-5-RELEASE-marathon-511xx", "■")</f>
        <v>■</v>
      </c>
      <c r="F346" s="14" t="s">
        <v>3565</v>
      </c>
      <c r="G346" s="14">
        <v>108494</v>
      </c>
      <c r="H346" s="14">
        <v>116662</v>
      </c>
      <c r="I346" s="14">
        <v>28</v>
      </c>
      <c r="J346" s="14" t="s">
        <v>73</v>
      </c>
      <c r="K346" s="14" t="s">
        <v>16321</v>
      </c>
      <c r="L346" s="14" t="s">
        <v>16322</v>
      </c>
      <c r="M346" s="14" t="s">
        <v>9158</v>
      </c>
      <c r="N346" s="14" t="s">
        <v>9158</v>
      </c>
      <c r="O346" s="14" t="s">
        <v>9158</v>
      </c>
      <c r="P346" s="14" t="s">
        <v>9158</v>
      </c>
      <c r="Q346" s="14" t="s">
        <v>9158</v>
      </c>
    </row>
    <row r="347" spans="1:17">
      <c r="A347" s="14">
        <v>51923</v>
      </c>
      <c r="B347" s="14" t="s">
        <v>15</v>
      </c>
      <c r="C347" s="14" t="s">
        <v>165</v>
      </c>
      <c r="D347" s="20" t="s">
        <v>15362</v>
      </c>
      <c r="E347" s="15" t="str">
        <f>HYPERLINK("https://stat100.ameba.jp/tnk47/ratio20/illustrations/card/ill_51923_kemonomizugikokyu03.jpg?202101-5-RELEASE-marathon-511xx", "■")</f>
        <v>■</v>
      </c>
      <c r="F347" s="14" t="s">
        <v>15367</v>
      </c>
      <c r="G347" s="14">
        <v>71136</v>
      </c>
      <c r="H347" s="14">
        <v>64520</v>
      </c>
      <c r="I347" s="14">
        <v>24</v>
      </c>
      <c r="J347" s="14" t="s">
        <v>38</v>
      </c>
      <c r="K347" s="14" t="s">
        <v>15365</v>
      </c>
      <c r="L347" s="14" t="s">
        <v>15364</v>
      </c>
      <c r="M347" s="14" t="s">
        <v>9158</v>
      </c>
      <c r="N347" s="14" t="s">
        <v>9158</v>
      </c>
      <c r="O347" s="14" t="s">
        <v>9158</v>
      </c>
      <c r="P347" s="14" t="s">
        <v>9158</v>
      </c>
      <c r="Q347" s="14" t="s">
        <v>9158</v>
      </c>
    </row>
    <row r="348" spans="1:17">
      <c r="A348" s="14">
        <v>52963</v>
      </c>
      <c r="B348" s="14" t="s">
        <v>15</v>
      </c>
      <c r="C348" s="14" t="s">
        <v>101</v>
      </c>
      <c r="D348" s="20" t="s">
        <v>102</v>
      </c>
      <c r="E348" s="15" t="str">
        <f>HYPERLINK("https://stat100.ameba.jp/tnk47/ratio20/illustrations/card/ill_52963_torampumomochan03.jpg?202101-5-RELEASE-marathon-511xx", "■")</f>
        <v>■</v>
      </c>
      <c r="F348" s="14" t="s">
        <v>103</v>
      </c>
      <c r="G348" s="14">
        <v>64520</v>
      </c>
      <c r="H348" s="14">
        <v>71136</v>
      </c>
      <c r="I348" s="14">
        <v>24</v>
      </c>
      <c r="J348" s="14" t="s">
        <v>104</v>
      </c>
      <c r="K348" s="14" t="s">
        <v>105</v>
      </c>
      <c r="L348" s="14" t="s">
        <v>106</v>
      </c>
      <c r="M348" s="14" t="s">
        <v>9158</v>
      </c>
      <c r="N348" s="14" t="s">
        <v>9158</v>
      </c>
      <c r="O348" s="14" t="s">
        <v>9158</v>
      </c>
      <c r="P348" s="14" t="s">
        <v>9158</v>
      </c>
      <c r="Q348" s="14" t="s">
        <v>9158</v>
      </c>
    </row>
    <row r="349" spans="1:17">
      <c r="A349" s="14">
        <v>51383</v>
      </c>
      <c r="B349" s="14" t="s">
        <v>15</v>
      </c>
      <c r="C349" s="14" t="s">
        <v>1</v>
      </c>
      <c r="D349" s="20" t="s">
        <v>15363</v>
      </c>
      <c r="E349" s="15" t="str">
        <f>HYPERLINK("https://stat100.ameba.jp/tnk47/ratio20/illustrations/card/ill_51383_ozashikikyogokuichiko03.jpg?202101-5-RELEASE-marathon-511xx", "■")</f>
        <v>■</v>
      </c>
      <c r="F349" s="14" t="s">
        <v>15371</v>
      </c>
      <c r="G349" s="14">
        <v>71136</v>
      </c>
      <c r="H349" s="14">
        <v>64520</v>
      </c>
      <c r="I349" s="14">
        <v>24</v>
      </c>
      <c r="J349" s="14" t="s">
        <v>16</v>
      </c>
      <c r="K349" s="14" t="s">
        <v>15369</v>
      </c>
      <c r="L349" s="14" t="s">
        <v>15368</v>
      </c>
      <c r="M349" s="14" t="s">
        <v>9158</v>
      </c>
      <c r="N349" s="14" t="s">
        <v>9158</v>
      </c>
      <c r="O349" s="14" t="s">
        <v>9158</v>
      </c>
      <c r="P349" s="14" t="s">
        <v>9158</v>
      </c>
      <c r="Q349" s="14" t="s">
        <v>9158</v>
      </c>
    </row>
    <row r="350" spans="1:17">
      <c r="A350" s="14">
        <v>51903</v>
      </c>
      <c r="B350" s="14" t="s">
        <v>15</v>
      </c>
      <c r="C350" s="14" t="s">
        <v>14</v>
      </c>
      <c r="D350" s="20" t="s">
        <v>16323</v>
      </c>
      <c r="E350" s="15" t="str">
        <f>HYPERLINK("https://stat100.ameba.jp/tnk47/ratio20/illustrations/card/ill_51903_kemonomizugiringochan03.jpg?202101-5-RELEASE-marathon-511xx", "■")</f>
        <v>■</v>
      </c>
      <c r="F350" s="14" t="s">
        <v>16324</v>
      </c>
      <c r="G350" s="14">
        <v>71136</v>
      </c>
      <c r="H350" s="14">
        <v>64520</v>
      </c>
      <c r="I350" s="14">
        <v>24</v>
      </c>
      <c r="J350" s="14" t="s">
        <v>104</v>
      </c>
      <c r="K350" s="14" t="s">
        <v>16325</v>
      </c>
      <c r="L350" s="14" t="s">
        <v>16326</v>
      </c>
      <c r="M350" s="14" t="s">
        <v>9158</v>
      </c>
      <c r="N350" s="14" t="s">
        <v>9158</v>
      </c>
      <c r="O350" s="14" t="s">
        <v>9158</v>
      </c>
      <c r="P350" s="14" t="s">
        <v>9158</v>
      </c>
      <c r="Q350" s="14" t="s">
        <v>9158</v>
      </c>
    </row>
    <row r="352" spans="1:17">
      <c r="A352" s="14" t="s">
        <v>4012</v>
      </c>
    </row>
    <row r="353" spans="1:19">
      <c r="A353" s="14">
        <v>236275</v>
      </c>
      <c r="B353" s="14" t="s">
        <v>16346</v>
      </c>
    </row>
    <row r="354" spans="1:19">
      <c r="A354" s="14" t="s">
        <v>5724</v>
      </c>
      <c r="B354" s="14" t="s">
        <v>330</v>
      </c>
      <c r="C354" s="14" t="s">
        <v>335</v>
      </c>
      <c r="D354" s="20" t="s">
        <v>698</v>
      </c>
      <c r="E354" s="15" t="str">
        <f>HYPERLINK("https://stat100.ameba.jp/tnk47/ratio20/illustrations/card/ill_66433_0_haroinfujishirogozen03.jpg?202101-5-RELEASE-marathon-511xx", "■")</f>
        <v>■</v>
      </c>
      <c r="F354" s="14" t="s">
        <v>699</v>
      </c>
      <c r="G354" s="14">
        <v>159134</v>
      </c>
      <c r="H354" s="14">
        <v>171168</v>
      </c>
      <c r="I354" s="14">
        <v>26</v>
      </c>
      <c r="J354" s="14" t="s">
        <v>315</v>
      </c>
      <c r="K354" s="14" t="s">
        <v>700</v>
      </c>
      <c r="L354" s="14" t="s">
        <v>701</v>
      </c>
      <c r="M354" s="14" t="s">
        <v>9158</v>
      </c>
      <c r="N354" s="14" t="s">
        <v>9158</v>
      </c>
      <c r="O354" s="19" t="s">
        <v>10095</v>
      </c>
      <c r="P354" s="14" t="s">
        <v>3345</v>
      </c>
      <c r="Q354" s="14">
        <v>1</v>
      </c>
    </row>
    <row r="355" spans="1:19">
      <c r="A355" s="14" t="s">
        <v>5901</v>
      </c>
      <c r="B355" s="14" t="s">
        <v>52</v>
      </c>
      <c r="C355" s="14" t="s">
        <v>101</v>
      </c>
      <c r="D355" s="19" t="s">
        <v>2089</v>
      </c>
      <c r="E355" s="15" t="str">
        <f>HYPERLINK("https://stat100.ameba.jp/tnk47/ratio20/illustrations/card/ill_64953_0_yukatatokugawayoshinobu03.jpg?202101-5-RELEASE-marathon-511xx", "■")</f>
        <v>■</v>
      </c>
      <c r="F355" s="14" t="s">
        <v>2090</v>
      </c>
      <c r="G355" s="14">
        <v>161980</v>
      </c>
      <c r="H355" s="14">
        <v>174206</v>
      </c>
      <c r="I355" s="14">
        <v>26</v>
      </c>
      <c r="J355" s="14" t="s">
        <v>10</v>
      </c>
      <c r="K355" s="14" t="s">
        <v>2091</v>
      </c>
      <c r="L355" s="14" t="s">
        <v>2092</v>
      </c>
      <c r="M355" s="14" t="s">
        <v>9158</v>
      </c>
      <c r="N355" s="14" t="s">
        <v>9158</v>
      </c>
      <c r="O355" s="19" t="s">
        <v>2889</v>
      </c>
      <c r="P355" s="14" t="s">
        <v>2890</v>
      </c>
      <c r="Q355" s="14">
        <v>1</v>
      </c>
    </row>
    <row r="356" spans="1:19">
      <c r="A356" s="14" t="s">
        <v>5902</v>
      </c>
      <c r="B356" s="14" t="s">
        <v>330</v>
      </c>
      <c r="C356" s="14" t="s">
        <v>206</v>
      </c>
      <c r="D356" s="19" t="s">
        <v>483</v>
      </c>
      <c r="E356" s="15" t="str">
        <f>HYPERLINK("https://stat100.ameba.jp/tnk47/ratio20/illustrations/card/ill_40343_0_heshikirihasebekurodakambe03.jpg?202101-5-RELEASE-marathon-511xx", "■")</f>
        <v>■</v>
      </c>
      <c r="F356" s="14" t="s">
        <v>906</v>
      </c>
      <c r="G356" s="14">
        <v>152152</v>
      </c>
      <c r="H356" s="14">
        <v>142500</v>
      </c>
      <c r="I356" s="14">
        <v>26</v>
      </c>
      <c r="J356" s="14" t="s">
        <v>16</v>
      </c>
      <c r="K356" s="14" t="s">
        <v>907</v>
      </c>
      <c r="L356" s="14" t="s">
        <v>908</v>
      </c>
      <c r="M356" s="14" t="s">
        <v>9158</v>
      </c>
      <c r="N356" s="14" t="s">
        <v>9158</v>
      </c>
      <c r="O356" s="14" t="s">
        <v>9158</v>
      </c>
      <c r="P356" s="14" t="s">
        <v>9158</v>
      </c>
      <c r="Q356" s="14" t="s">
        <v>9158</v>
      </c>
    </row>
    <row r="357" spans="1:19">
      <c r="A357" s="14">
        <v>88923</v>
      </c>
      <c r="B357" s="7" t="s">
        <v>0</v>
      </c>
      <c r="C357" s="14" t="s">
        <v>35</v>
      </c>
      <c r="D357" s="14" t="s">
        <v>16350</v>
      </c>
      <c r="E357" s="15" t="str">
        <f>HYPERLINK("https://stat100.ameba.jp/tnk47/ratio20/illustrations/card/ill_88923_uchusensoinugami03.jpg?202101-5-RELEASE-marathon-511xx", "■")</f>
        <v>■</v>
      </c>
      <c r="F357" s="14" t="s">
        <v>16349</v>
      </c>
      <c r="G357" s="14">
        <v>138386</v>
      </c>
      <c r="H357" s="14">
        <v>128666</v>
      </c>
      <c r="I357" s="14">
        <v>28</v>
      </c>
      <c r="J357" s="14" t="s">
        <v>73</v>
      </c>
      <c r="K357" s="14" t="s">
        <v>16348</v>
      </c>
      <c r="L357" s="14" t="s">
        <v>16347</v>
      </c>
      <c r="M357" s="14" t="s">
        <v>9158</v>
      </c>
      <c r="N357" s="14" t="s">
        <v>9158</v>
      </c>
      <c r="O357" s="14" t="s">
        <v>9158</v>
      </c>
      <c r="P357" s="14" t="s">
        <v>9158</v>
      </c>
      <c r="Q357" s="14" t="s">
        <v>9158</v>
      </c>
      <c r="S357" s="14" t="s">
        <v>16358</v>
      </c>
    </row>
    <row r="358" spans="1:19">
      <c r="A358" s="14">
        <v>87143</v>
      </c>
      <c r="B358" s="7" t="s">
        <v>0</v>
      </c>
      <c r="C358" s="14" t="s">
        <v>47</v>
      </c>
      <c r="D358" s="14" t="s">
        <v>16354</v>
      </c>
      <c r="E358" s="15" t="str">
        <f>HYPERLINK("https://stat100.ameba.jp/tnk47/ratio20/illustrations/card/ill_87143_doragonteimakurisutarunaito03.jpg?202101-5-RELEASE-marathon-511xx", "■")</f>
        <v>■</v>
      </c>
      <c r="F358" s="14" t="s">
        <v>16353</v>
      </c>
      <c r="G358" s="14">
        <v>109370</v>
      </c>
      <c r="H358" s="14">
        <v>101650</v>
      </c>
      <c r="I358" s="14">
        <v>28</v>
      </c>
      <c r="J358" s="14" t="s">
        <v>77</v>
      </c>
      <c r="K358" s="14" t="s">
        <v>16352</v>
      </c>
      <c r="L358" s="14" t="s">
        <v>16351</v>
      </c>
      <c r="M358" s="14" t="s">
        <v>9158</v>
      </c>
      <c r="N358" s="14" t="s">
        <v>9158</v>
      </c>
      <c r="O358" s="14" t="s">
        <v>9158</v>
      </c>
      <c r="P358" s="14" t="s">
        <v>9158</v>
      </c>
      <c r="Q358" s="14" t="s">
        <v>9158</v>
      </c>
      <c r="S358" s="14" t="s">
        <v>16359</v>
      </c>
    </row>
    <row r="359" spans="1:19">
      <c r="A359" s="14">
        <v>87263</v>
      </c>
      <c r="B359" s="14" t="s">
        <v>0</v>
      </c>
      <c r="C359" s="14" t="s">
        <v>41</v>
      </c>
      <c r="D359" s="14" t="s">
        <v>16357</v>
      </c>
      <c r="E359" s="15" t="str">
        <f>HYPERLINK("https://stat100.ameba.jp/tnk47/ratio20/illustrations/card/ill_87263_takopayamanetoshiko03.jpg?202101-5-RELEASE-marathon-511xx", "■")</f>
        <v>■</v>
      </c>
      <c r="F359" s="14" t="s">
        <v>16356</v>
      </c>
      <c r="G359" s="14">
        <v>105610</v>
      </c>
      <c r="H359" s="14">
        <v>113536</v>
      </c>
      <c r="I359" s="14">
        <v>28</v>
      </c>
      <c r="J359" s="14" t="s">
        <v>16</v>
      </c>
      <c r="K359" s="14" t="s">
        <v>16355</v>
      </c>
      <c r="L359" s="14" t="s">
        <v>4830</v>
      </c>
      <c r="M359" s="14" t="s">
        <v>9158</v>
      </c>
      <c r="N359" s="14" t="s">
        <v>9158</v>
      </c>
      <c r="O359" s="14" t="s">
        <v>9158</v>
      </c>
      <c r="P359" s="14" t="s">
        <v>9158</v>
      </c>
      <c r="Q359" s="14" t="s">
        <v>9158</v>
      </c>
      <c r="S359" s="14" t="s">
        <v>16360</v>
      </c>
    </row>
    <row r="360" spans="1:19">
      <c r="A360" s="14">
        <v>86143</v>
      </c>
      <c r="B360" s="14" t="s">
        <v>15</v>
      </c>
      <c r="C360" s="14" t="s">
        <v>1</v>
      </c>
      <c r="D360" s="14" t="s">
        <v>15985</v>
      </c>
      <c r="E360" s="15" t="str">
        <f>HYPERLINK("https://stat100.ameba.jp/tnk47/ratio20/illustrations/card/ill_86143_onikirishukurohime03.jpg?202101-5-RELEASE-marathon-511xx", "■")</f>
        <v>■</v>
      </c>
      <c r="F360" s="14" t="s">
        <v>15984</v>
      </c>
      <c r="G360" s="14">
        <v>77064</v>
      </c>
      <c r="H360" s="14">
        <v>69898</v>
      </c>
      <c r="I360" s="14">
        <v>26</v>
      </c>
      <c r="J360" s="14" t="s">
        <v>16</v>
      </c>
      <c r="K360" s="14" t="s">
        <v>3390</v>
      </c>
      <c r="L360" s="14" t="s">
        <v>15981</v>
      </c>
      <c r="M360" s="14" t="s">
        <v>9158</v>
      </c>
      <c r="N360" s="14" t="s">
        <v>9158</v>
      </c>
      <c r="O360" s="14" t="s">
        <v>9158</v>
      </c>
      <c r="P360" s="14" t="s">
        <v>9158</v>
      </c>
      <c r="Q360" s="14" t="s">
        <v>9158</v>
      </c>
      <c r="S360" s="14" t="s">
        <v>16230</v>
      </c>
    </row>
    <row r="361" spans="1:19">
      <c r="A361" s="14">
        <v>85913</v>
      </c>
      <c r="B361" s="14" t="s">
        <v>15</v>
      </c>
      <c r="C361" s="14" t="s">
        <v>23</v>
      </c>
      <c r="D361" s="14" t="s">
        <v>15990</v>
      </c>
      <c r="E361" s="15" t="str">
        <f>HYPERLINK("https://stat100.ameba.jp/tnk47/ratio20/illustrations/card/ill_85913_yukizukainarijinjanobyakkodensetsu03.jpg?202101-5-RELEASE-marathon-511xx", "■")</f>
        <v>■</v>
      </c>
      <c r="F361" s="14" t="s">
        <v>15989</v>
      </c>
      <c r="G361" s="14">
        <v>77064</v>
      </c>
      <c r="H361" s="14">
        <v>69898</v>
      </c>
      <c r="I361" s="14">
        <v>26</v>
      </c>
      <c r="J361" s="14" t="s">
        <v>73</v>
      </c>
      <c r="K361" s="14" t="s">
        <v>15988</v>
      </c>
      <c r="L361" s="14" t="s">
        <v>15987</v>
      </c>
      <c r="M361" s="14" t="s">
        <v>9158</v>
      </c>
      <c r="N361" s="14" t="s">
        <v>9158</v>
      </c>
      <c r="O361" s="14" t="s">
        <v>9158</v>
      </c>
      <c r="P361" s="14" t="s">
        <v>9158</v>
      </c>
      <c r="Q361" s="14" t="s">
        <v>9158</v>
      </c>
      <c r="S361" s="14" t="s">
        <v>16235</v>
      </c>
    </row>
    <row r="362" spans="1:19">
      <c r="A362" s="14">
        <v>81333</v>
      </c>
      <c r="B362" s="14" t="s">
        <v>15</v>
      </c>
      <c r="C362" s="14" t="s">
        <v>96</v>
      </c>
      <c r="D362" s="14" t="s">
        <v>15996</v>
      </c>
      <c r="E362" s="15" t="str">
        <f>HYPERLINK("https://stat100.ameba.jp/tnk47/ratio20/illustrations/card/ill_81333_otokomatsuriishikawagoemon03.jpg?202101-5-RELEASE-marathon-511xx", "■")</f>
        <v>■</v>
      </c>
      <c r="F362" s="14" t="s">
        <v>15995</v>
      </c>
      <c r="G362" s="14">
        <v>69898</v>
      </c>
      <c r="H362" s="14">
        <v>77064</v>
      </c>
      <c r="I362" s="14">
        <v>26</v>
      </c>
      <c r="J362" s="14" t="s">
        <v>143</v>
      </c>
      <c r="K362" s="14" t="s">
        <v>15993</v>
      </c>
      <c r="L362" s="14" t="s">
        <v>2619</v>
      </c>
      <c r="M362" s="14" t="s">
        <v>9158</v>
      </c>
      <c r="N362" s="14" t="s">
        <v>9158</v>
      </c>
      <c r="O362" s="14" t="s">
        <v>9158</v>
      </c>
      <c r="P362" s="14" t="s">
        <v>9158</v>
      </c>
      <c r="Q362" s="14" t="s">
        <v>9158</v>
      </c>
      <c r="S362" s="14" t="s">
        <v>16231</v>
      </c>
    </row>
    <row r="364" spans="1:19">
      <c r="A364" s="14" t="s">
        <v>13327</v>
      </c>
    </row>
    <row r="365" spans="1:19">
      <c r="A365" s="14">
        <v>106131</v>
      </c>
      <c r="B365" s="14" t="s">
        <v>16345</v>
      </c>
    </row>
    <row r="366" spans="1:19">
      <c r="A366" s="14">
        <v>86063</v>
      </c>
      <c r="B366" s="14" t="s">
        <v>334</v>
      </c>
      <c r="C366" s="14" t="s">
        <v>14</v>
      </c>
      <c r="D366" s="19" t="s">
        <v>10818</v>
      </c>
      <c r="E366" s="15" t="str">
        <f>HYPERLINK("https://stat100.ameba.jp/tnk47/ratio20/illustrations/card/ill_86063_uotchimeika03.jpg?202101-5-RELEASE-marathon-511xx", "■")</f>
        <v>■</v>
      </c>
      <c r="F366" s="14" t="s">
        <v>8368</v>
      </c>
      <c r="G366" s="14">
        <v>128160</v>
      </c>
      <c r="H366" s="14">
        <v>137846</v>
      </c>
      <c r="I366" s="14">
        <v>28</v>
      </c>
      <c r="J366" s="14" t="s">
        <v>173</v>
      </c>
      <c r="K366" s="14" t="s">
        <v>8367</v>
      </c>
      <c r="L366" s="14" t="s">
        <v>8366</v>
      </c>
      <c r="M366" s="14" t="s">
        <v>13130</v>
      </c>
      <c r="N366" s="14" t="s">
        <v>343</v>
      </c>
      <c r="O366" s="14" t="s">
        <v>9158</v>
      </c>
      <c r="P366" s="14" t="s">
        <v>9158</v>
      </c>
      <c r="Q366" s="14" t="s">
        <v>9158</v>
      </c>
      <c r="R366" s="14" t="s">
        <v>14748</v>
      </c>
    </row>
    <row r="367" spans="1:19">
      <c r="A367" s="14">
        <v>86062</v>
      </c>
      <c r="B367" s="14" t="s">
        <v>334</v>
      </c>
      <c r="C367" s="14" t="s">
        <v>14</v>
      </c>
      <c r="D367" s="19" t="s">
        <v>10818</v>
      </c>
      <c r="E367" s="15" t="str">
        <f>HYPERLINK("https://stat100.ameba.jp/tnk47/ratio20/illustrations/card/ill_86062_uotchimeika02.jpg?202101-5-RELEASE-marathon-511xx", "■")</f>
        <v>■</v>
      </c>
      <c r="F367" s="14" t="s">
        <v>8368</v>
      </c>
      <c r="G367" s="14">
        <v>106148</v>
      </c>
      <c r="H367" s="14">
        <v>115230</v>
      </c>
      <c r="I367" s="14">
        <v>28</v>
      </c>
      <c r="J367" s="14" t="s">
        <v>173</v>
      </c>
      <c r="K367" s="14" t="s">
        <v>8367</v>
      </c>
      <c r="L367" s="14" t="s">
        <v>8366</v>
      </c>
      <c r="M367" s="14" t="s">
        <v>13131</v>
      </c>
      <c r="N367" s="14" t="s">
        <v>251</v>
      </c>
      <c r="O367" s="14" t="s">
        <v>9158</v>
      </c>
      <c r="P367" s="14" t="s">
        <v>9158</v>
      </c>
      <c r="Q367" s="14" t="s">
        <v>9158</v>
      </c>
      <c r="R367" s="14" t="s">
        <v>14748</v>
      </c>
    </row>
    <row r="368" spans="1:19">
      <c r="A368" s="14">
        <v>86061</v>
      </c>
      <c r="B368" s="14" t="s">
        <v>0</v>
      </c>
      <c r="C368" s="14" t="s">
        <v>14</v>
      </c>
      <c r="D368" s="19" t="s">
        <v>10818</v>
      </c>
      <c r="E368" s="15" t="str">
        <f>HYPERLINK("https://stat100.ameba.jp/tnk47/ratio20/illustrations/card/ill_86061_uotchimeika01.jpg?202101-5-RELEASE-marathon-511xx", "■")</f>
        <v>■</v>
      </c>
      <c r="F368" s="14" t="s">
        <v>8368</v>
      </c>
      <c r="G368" s="14">
        <v>81900</v>
      </c>
      <c r="H368" s="14">
        <v>87976</v>
      </c>
      <c r="I368" s="14">
        <v>28</v>
      </c>
      <c r="J368" s="14" t="s">
        <v>173</v>
      </c>
      <c r="K368" s="14" t="s">
        <v>8367</v>
      </c>
      <c r="L368" s="14" t="s">
        <v>8366</v>
      </c>
      <c r="M368" s="14" t="s">
        <v>13131</v>
      </c>
      <c r="N368" s="14" t="s">
        <v>251</v>
      </c>
      <c r="O368" s="14" t="s">
        <v>9158</v>
      </c>
      <c r="P368" s="14" t="s">
        <v>9158</v>
      </c>
      <c r="Q368" s="14" t="s">
        <v>9158</v>
      </c>
      <c r="R368" s="14" t="s">
        <v>14748</v>
      </c>
    </row>
    <row r="369" spans="1:18">
      <c r="A369" s="14">
        <v>86073</v>
      </c>
      <c r="B369" s="14" t="s">
        <v>334</v>
      </c>
      <c r="C369" s="14" t="s">
        <v>23</v>
      </c>
      <c r="D369" s="19" t="s">
        <v>10819</v>
      </c>
      <c r="E369" s="15" t="str">
        <f>HYPERLINK("https://stat100.ameba.jp/tnk47/ratio20/illustrations/card/ill_86073_maddohatta03.jpg?202101-5-RELEASE-marathon-511xx", "■")</f>
        <v>■</v>
      </c>
      <c r="F369" s="14" t="s">
        <v>8371</v>
      </c>
      <c r="G369" s="14">
        <v>128160</v>
      </c>
      <c r="H369" s="14">
        <v>137846</v>
      </c>
      <c r="I369" s="14">
        <v>28</v>
      </c>
      <c r="J369" s="14" t="s">
        <v>155</v>
      </c>
      <c r="K369" s="14" t="s">
        <v>8370</v>
      </c>
      <c r="L369" s="14" t="s">
        <v>8369</v>
      </c>
      <c r="M369" s="14" t="s">
        <v>13130</v>
      </c>
      <c r="N369" s="14" t="s">
        <v>343</v>
      </c>
      <c r="O369" s="14" t="s">
        <v>9158</v>
      </c>
      <c r="P369" s="14" t="s">
        <v>9158</v>
      </c>
      <c r="Q369" s="14" t="s">
        <v>9158</v>
      </c>
      <c r="R369" s="14" t="s">
        <v>14748</v>
      </c>
    </row>
    <row r="370" spans="1:18">
      <c r="A370" s="14">
        <v>86083</v>
      </c>
      <c r="B370" s="14" t="s">
        <v>334</v>
      </c>
      <c r="C370" s="14" t="s">
        <v>101</v>
      </c>
      <c r="D370" s="19" t="s">
        <v>10820</v>
      </c>
      <c r="E370" s="15" t="str">
        <f>HYPERLINK("https://stat100.ameba.jp/tnk47/ratio20/illustrations/card/ill_86083_keieinochojomeruro03.jpg?202101-5-RELEASE-marathon-511xx", "■")</f>
        <v>■</v>
      </c>
      <c r="F370" s="14" t="s">
        <v>8375</v>
      </c>
      <c r="G370" s="14">
        <v>137846</v>
      </c>
      <c r="H370" s="14">
        <v>128160</v>
      </c>
      <c r="I370" s="14">
        <v>28</v>
      </c>
      <c r="J370" s="14" t="s">
        <v>229</v>
      </c>
      <c r="K370" s="14" t="s">
        <v>8374</v>
      </c>
      <c r="L370" s="14" t="s">
        <v>8373</v>
      </c>
      <c r="M370" s="14" t="s">
        <v>13130</v>
      </c>
      <c r="N370" s="14" t="s">
        <v>343</v>
      </c>
      <c r="O370" s="14" t="s">
        <v>9158</v>
      </c>
      <c r="P370" s="14" t="s">
        <v>9158</v>
      </c>
      <c r="Q370" s="14" t="s">
        <v>9158</v>
      </c>
      <c r="R370" s="14" t="s">
        <v>14748</v>
      </c>
    </row>
    <row r="371" spans="1:18">
      <c r="A371" s="14">
        <v>86093</v>
      </c>
      <c r="B371" s="14" t="s">
        <v>0</v>
      </c>
      <c r="C371" s="14" t="s">
        <v>96</v>
      </c>
      <c r="D371" s="19" t="s">
        <v>10821</v>
      </c>
      <c r="E371" s="15" t="str">
        <f>HYPERLINK("https://stat100.ameba.jp/tnk47/ratio20/illustrations/card/ill_86093_minamotonoyoshimitsu03.jpg?202101-5-RELEASE-marathon-511xx", "■")</f>
        <v>■</v>
      </c>
      <c r="F371" s="14" t="s">
        <v>8379</v>
      </c>
      <c r="G371" s="14">
        <v>137846</v>
      </c>
      <c r="H371" s="14">
        <v>128160</v>
      </c>
      <c r="I371" s="14">
        <v>28</v>
      </c>
      <c r="J371" s="14" t="s">
        <v>194</v>
      </c>
      <c r="K371" s="14" t="s">
        <v>8377</v>
      </c>
      <c r="L371" s="14" t="s">
        <v>8376</v>
      </c>
      <c r="M371" s="14" t="s">
        <v>13130</v>
      </c>
      <c r="N371" s="14" t="s">
        <v>343</v>
      </c>
      <c r="O371" s="14" t="s">
        <v>9158</v>
      </c>
      <c r="P371" s="14" t="s">
        <v>9158</v>
      </c>
      <c r="Q371" s="14" t="s">
        <v>9158</v>
      </c>
      <c r="R371" s="14" t="s">
        <v>14748</v>
      </c>
    </row>
    <row r="372" spans="1:18">
      <c r="A372" s="14">
        <v>86103</v>
      </c>
      <c r="B372" s="14" t="s">
        <v>334</v>
      </c>
      <c r="C372" s="14" t="s">
        <v>205</v>
      </c>
      <c r="D372" s="19" t="s">
        <v>10822</v>
      </c>
      <c r="E372" s="15" t="str">
        <f>HYPERLINK("https://stat100.ameba.jp/tnk47/ratio20/illustrations/card/ill_86103_omatsudaimyojin03.jpg?202101-5-RELEASE-marathon-511xx", "■")</f>
        <v>■</v>
      </c>
      <c r="F372" s="14" t="s">
        <v>8383</v>
      </c>
      <c r="G372" s="14">
        <v>137846</v>
      </c>
      <c r="H372" s="14">
        <v>128160</v>
      </c>
      <c r="I372" s="14">
        <v>28</v>
      </c>
      <c r="J372" s="14" t="s">
        <v>169</v>
      </c>
      <c r="K372" s="14" t="s">
        <v>8381</v>
      </c>
      <c r="L372" s="14" t="s">
        <v>8380</v>
      </c>
      <c r="M372" s="14" t="s">
        <v>13130</v>
      </c>
      <c r="N372" s="14" t="s">
        <v>343</v>
      </c>
      <c r="O372" s="14" t="s">
        <v>9158</v>
      </c>
      <c r="P372" s="14" t="s">
        <v>9158</v>
      </c>
      <c r="Q372" s="14" t="s">
        <v>9158</v>
      </c>
      <c r="R372" s="14" t="s">
        <v>14748</v>
      </c>
    </row>
    <row r="373" spans="1:18">
      <c r="A373" s="14">
        <v>86113</v>
      </c>
      <c r="B373" s="14" t="s">
        <v>334</v>
      </c>
      <c r="C373" s="14" t="s">
        <v>107</v>
      </c>
      <c r="D373" s="19" t="s">
        <v>10823</v>
      </c>
      <c r="E373" s="15" t="str">
        <f>HYPERLINK("https://stat100.ameba.jp/tnk47/ratio20/illustrations/card/ill_86113_yuno03.jpg?202101-5-RELEASE-marathon-511xx", "■")</f>
        <v>■</v>
      </c>
      <c r="F373" s="14" t="s">
        <v>8387</v>
      </c>
      <c r="G373" s="14">
        <v>128160</v>
      </c>
      <c r="H373" s="14">
        <v>137846</v>
      </c>
      <c r="I373" s="14">
        <v>28</v>
      </c>
      <c r="J373" s="14" t="s">
        <v>159</v>
      </c>
      <c r="K373" s="14" t="s">
        <v>8385</v>
      </c>
      <c r="L373" s="14" t="s">
        <v>8384</v>
      </c>
      <c r="M373" s="14" t="s">
        <v>13130</v>
      </c>
      <c r="N373" s="14" t="s">
        <v>343</v>
      </c>
      <c r="O373" s="14" t="s">
        <v>9158</v>
      </c>
      <c r="P373" s="14" t="s">
        <v>9158</v>
      </c>
      <c r="Q373" s="14" t="s">
        <v>9158</v>
      </c>
      <c r="R373" s="14" t="s">
        <v>14748</v>
      </c>
    </row>
    <row r="375" spans="1:18">
      <c r="A375" s="14" t="s">
        <v>1711</v>
      </c>
    </row>
    <row r="376" spans="1:18">
      <c r="A376" s="14">
        <v>106156</v>
      </c>
      <c r="B376" s="14" t="s">
        <v>9119</v>
      </c>
    </row>
    <row r="377" spans="1:18">
      <c r="A377" s="14" t="s">
        <v>6508</v>
      </c>
      <c r="B377" s="14" t="s">
        <v>330</v>
      </c>
      <c r="C377" s="14" t="s">
        <v>35</v>
      </c>
      <c r="D377" s="19" t="s">
        <v>10168</v>
      </c>
      <c r="E377" s="15" t="str">
        <f>HYPERLINK("https://stat100.ameba.jp/tnk47/ratio20/illustrations/card/ill_81783_0_denshagarukoteipenginchan03.jpg?202101-5-RELEASE-marathon-511xx", "■")</f>
        <v>■</v>
      </c>
      <c r="F377" s="14" t="s">
        <v>4834</v>
      </c>
      <c r="G377" s="14">
        <v>279102</v>
      </c>
      <c r="H377" s="14">
        <v>252236</v>
      </c>
      <c r="I377" s="14">
        <v>24</v>
      </c>
      <c r="J377" s="14" t="s">
        <v>26</v>
      </c>
      <c r="K377" s="14" t="s">
        <v>4836</v>
      </c>
      <c r="L377" s="14" t="s">
        <v>1783</v>
      </c>
      <c r="M377" s="14" t="s">
        <v>9158</v>
      </c>
      <c r="N377" s="14" t="s">
        <v>9158</v>
      </c>
      <c r="O377" s="19" t="s">
        <v>9993</v>
      </c>
      <c r="P377" s="14" t="s">
        <v>4838</v>
      </c>
      <c r="Q377" s="14">
        <v>1</v>
      </c>
    </row>
    <row r="378" spans="1:18">
      <c r="A378" s="14" t="s">
        <v>7150</v>
      </c>
      <c r="B378" s="14" t="s">
        <v>52</v>
      </c>
      <c r="C378" s="14" t="s">
        <v>202</v>
      </c>
      <c r="D378" s="20" t="s">
        <v>10656</v>
      </c>
      <c r="E378" s="15" t="str">
        <f>HYPERLINK("https://stat100.ameba.jp/tnk47/ratio20/illustrations/card/ill_84203_0_tarottofujiwaranoshoshi03.jpg?202101-5-RELEASE-marathon-511xx", "■")</f>
        <v>■</v>
      </c>
      <c r="F378" s="14" t="s">
        <v>7153</v>
      </c>
      <c r="G378" s="14">
        <v>353250</v>
      </c>
      <c r="H378" s="14">
        <v>319286</v>
      </c>
      <c r="I378" s="14">
        <v>24</v>
      </c>
      <c r="J378" s="14" t="s">
        <v>10</v>
      </c>
      <c r="K378" s="14" t="s">
        <v>7152</v>
      </c>
      <c r="L378" s="14" t="s">
        <v>7151</v>
      </c>
      <c r="M378" s="14" t="s">
        <v>9158</v>
      </c>
      <c r="N378" s="14" t="s">
        <v>9158</v>
      </c>
      <c r="O378" s="19" t="s">
        <v>10128</v>
      </c>
      <c r="P378" s="14" t="s">
        <v>7154</v>
      </c>
      <c r="Q378" s="14">
        <v>1</v>
      </c>
    </row>
    <row r="379" spans="1:18">
      <c r="A379" s="14" t="s">
        <v>5897</v>
      </c>
      <c r="B379" s="14" t="s">
        <v>52</v>
      </c>
      <c r="C379" s="14" t="s">
        <v>23</v>
      </c>
      <c r="D379" s="19" t="s">
        <v>277</v>
      </c>
      <c r="E379" s="15" t="str">
        <f>HYPERLINK("https://stat100.ameba.jp/tnk47/ratio20/illustrations/card/ill_40913_0_reigyokudensetsufusehime03.jpg?202101-5-RELEASE-marathon-511xx", "■")</f>
        <v>■</v>
      </c>
      <c r="F379" s="14" t="s">
        <v>955</v>
      </c>
      <c r="G379" s="14">
        <v>131538</v>
      </c>
      <c r="H379" s="14">
        <v>140448</v>
      </c>
      <c r="I379" s="14">
        <v>24</v>
      </c>
      <c r="J379" s="14" t="s">
        <v>38</v>
      </c>
      <c r="K379" s="14" t="s">
        <v>956</v>
      </c>
      <c r="L379" s="14" t="s">
        <v>957</v>
      </c>
      <c r="M379" s="14" t="s">
        <v>9158</v>
      </c>
      <c r="N379" s="14" t="s">
        <v>9158</v>
      </c>
      <c r="O379" s="14" t="s">
        <v>9158</v>
      </c>
      <c r="P379" s="14" t="s">
        <v>9158</v>
      </c>
      <c r="Q379" s="14" t="s">
        <v>9158</v>
      </c>
    </row>
    <row r="380" spans="1:18">
      <c r="A380" s="14">
        <v>95253</v>
      </c>
      <c r="B380" s="14" t="s">
        <v>0</v>
      </c>
      <c r="C380" s="14" t="s">
        <v>14</v>
      </c>
      <c r="D380" s="14" t="s">
        <v>16248</v>
      </c>
      <c r="E380" s="15" t="str">
        <f>HYPERLINK("https://stat100.ameba.jp/tnk47/ratio20/illustrations/card/ill_95253_amekomifukuhime03.jpg?202101-5-RELEASE-marathon-511xx", "■")</f>
        <v>■</v>
      </c>
      <c r="F380" s="14" t="s">
        <v>16247</v>
      </c>
      <c r="G380" s="14">
        <v>94390</v>
      </c>
      <c r="H380" s="14">
        <v>101558</v>
      </c>
      <c r="I380" s="14">
        <v>26</v>
      </c>
      <c r="J380" s="14" t="s">
        <v>77</v>
      </c>
      <c r="K380" s="14" t="s">
        <v>16246</v>
      </c>
      <c r="L380" s="14" t="s">
        <v>13612</v>
      </c>
      <c r="M380" s="14" t="s">
        <v>9158</v>
      </c>
      <c r="N380" s="14" t="s">
        <v>9158</v>
      </c>
      <c r="O380" s="14" t="s">
        <v>9158</v>
      </c>
      <c r="P380" s="14" t="s">
        <v>9158</v>
      </c>
      <c r="Q380" s="14" t="s">
        <v>9158</v>
      </c>
    </row>
    <row r="381" spans="1:18">
      <c r="A381" s="14">
        <v>95263</v>
      </c>
      <c r="B381" s="14" t="s">
        <v>15</v>
      </c>
      <c r="C381" s="14" t="s">
        <v>101</v>
      </c>
      <c r="D381" s="14" t="s">
        <v>16251</v>
      </c>
      <c r="E381" s="15" t="str">
        <f>HYPERLINK("https://stat100.ameba.jp/tnk47/ratio20/illustrations/card/ill_95263_kaizokuhamanakochan03.jpg?202101-5-RELEASE-marathon-511xx", "■")</f>
        <v>■</v>
      </c>
      <c r="F381" s="14" t="s">
        <v>16250</v>
      </c>
      <c r="G381" s="14">
        <v>77064</v>
      </c>
      <c r="H381" s="14">
        <v>69898</v>
      </c>
      <c r="I381" s="14">
        <v>26</v>
      </c>
      <c r="J381" s="14" t="s">
        <v>26</v>
      </c>
      <c r="K381" s="14" t="s">
        <v>16249</v>
      </c>
      <c r="L381" s="14" t="s">
        <v>2011</v>
      </c>
      <c r="M381" s="14" t="s">
        <v>9158</v>
      </c>
      <c r="N381" s="14" t="s">
        <v>9158</v>
      </c>
      <c r="O381" s="14" t="s">
        <v>9158</v>
      </c>
      <c r="P381" s="14" t="s">
        <v>9158</v>
      </c>
      <c r="Q381" s="14" t="s">
        <v>9158</v>
      </c>
    </row>
    <row r="382" spans="1:18">
      <c r="A382" s="14">
        <v>95273</v>
      </c>
      <c r="B382" s="14" t="s">
        <v>22</v>
      </c>
      <c r="C382" s="14" t="s">
        <v>96</v>
      </c>
      <c r="D382" s="14" t="s">
        <v>16254</v>
      </c>
      <c r="E382" s="15" t="str">
        <f>HYPERLINK("https://stat100.ameba.jp/tnk47/ratio20/illustrations/card/ill_95273_kaiheisennorikyu03.jpg?202101-5-RELEASE-marathon-511xx", "■")</f>
        <v>■</v>
      </c>
      <c r="F382" s="14" t="s">
        <v>16253</v>
      </c>
      <c r="G382" s="14">
        <v>44948</v>
      </c>
      <c r="H382" s="14">
        <v>54058</v>
      </c>
      <c r="I382" s="14">
        <v>26</v>
      </c>
      <c r="J382" s="14" t="s">
        <v>10</v>
      </c>
      <c r="K382" s="14" t="s">
        <v>16252</v>
      </c>
      <c r="L382" s="14" t="s">
        <v>4228</v>
      </c>
      <c r="M382" s="14" t="s">
        <v>9158</v>
      </c>
      <c r="N382" s="14" t="s">
        <v>9158</v>
      </c>
      <c r="O382" s="14" t="s">
        <v>9158</v>
      </c>
      <c r="P382" s="14" t="s">
        <v>9158</v>
      </c>
      <c r="Q382" s="14" t="s">
        <v>9158</v>
      </c>
    </row>
    <row r="383" spans="1:18">
      <c r="A383" s="14">
        <v>95283</v>
      </c>
      <c r="B383" s="14" t="s">
        <v>22</v>
      </c>
      <c r="C383" s="14" t="s">
        <v>107</v>
      </c>
      <c r="D383" s="14" t="s">
        <v>16257</v>
      </c>
      <c r="E383" s="15" t="str">
        <f>HYPERLINK("https://stat100.ameba.jp/tnk47/ratio20/illustrations/card/ill_95283_jukigazamichan03.jpg?202101-5-RELEASE-marathon-511xx", "■")</f>
        <v>■</v>
      </c>
      <c r="F383" s="14" t="s">
        <v>16256</v>
      </c>
      <c r="G383" s="14">
        <v>54058</v>
      </c>
      <c r="H383" s="14">
        <v>44948</v>
      </c>
      <c r="I383" s="14">
        <v>26</v>
      </c>
      <c r="J383" s="14" t="s">
        <v>104</v>
      </c>
      <c r="K383" s="14" t="s">
        <v>16255</v>
      </c>
      <c r="L383" s="14" t="s">
        <v>2674</v>
      </c>
      <c r="M383" s="14" t="s">
        <v>9158</v>
      </c>
      <c r="N383" s="14" t="s">
        <v>9158</v>
      </c>
      <c r="O383" s="14" t="s">
        <v>9158</v>
      </c>
      <c r="P383" s="14" t="s">
        <v>9158</v>
      </c>
      <c r="Q383" s="14" t="s">
        <v>9158</v>
      </c>
    </row>
    <row r="385" spans="1:17">
      <c r="A385" s="14" t="s">
        <v>3911</v>
      </c>
    </row>
    <row r="386" spans="1:17">
      <c r="A386" s="14">
        <v>106225</v>
      </c>
      <c r="B386" s="14" t="s">
        <v>16416</v>
      </c>
    </row>
    <row r="387" spans="1:17">
      <c r="A387" s="14">
        <v>106235</v>
      </c>
      <c r="B387" s="14" t="s">
        <v>15721</v>
      </c>
    </row>
    <row r="388" spans="1:17">
      <c r="A388" s="14" t="s">
        <v>12809</v>
      </c>
      <c r="B388" s="14" t="s">
        <v>117</v>
      </c>
      <c r="C388" s="14" t="s">
        <v>35</v>
      </c>
      <c r="D388" s="14" t="s">
        <v>12807</v>
      </c>
      <c r="E388" s="15" t="str">
        <f>HYPERLINK("https://stat100.ameba.jp/tnk47/ratio20/illustrations/card/ill_90173_0_yurakunekomusume03.jpg?202101-5-RELEASE-marathon-511xx", "■")</f>
        <v>■</v>
      </c>
      <c r="F388" s="14" t="s">
        <v>12810</v>
      </c>
      <c r="G388" s="14">
        <v>358280</v>
      </c>
      <c r="H388" s="14">
        <v>323852</v>
      </c>
      <c r="I388" s="14">
        <v>30</v>
      </c>
      <c r="J388" s="14" t="s">
        <v>38</v>
      </c>
      <c r="K388" s="14" t="s">
        <v>12812</v>
      </c>
      <c r="L388" s="14" t="s">
        <v>12813</v>
      </c>
      <c r="M388" s="14" t="s">
        <v>9158</v>
      </c>
      <c r="N388" s="14" t="s">
        <v>9158</v>
      </c>
      <c r="O388" s="14" t="s">
        <v>12805</v>
      </c>
      <c r="P388" s="14" t="s">
        <v>3491</v>
      </c>
      <c r="Q388" s="14">
        <v>1</v>
      </c>
    </row>
    <row r="389" spans="1:17">
      <c r="A389" s="14">
        <v>83093</v>
      </c>
      <c r="B389" s="14" t="s">
        <v>0</v>
      </c>
      <c r="C389" s="14" t="s">
        <v>158</v>
      </c>
      <c r="D389" s="20" t="s">
        <v>10490</v>
      </c>
      <c r="E389" s="15" t="str">
        <f>HYPERLINK("https://stat100.ameba.jp/tnk47/ratio20/illustrations/card/ill_83093_yusuraume03.jpg?202101-5-RELEASE-marathon-511xx", "■")</f>
        <v>■</v>
      </c>
      <c r="F389" s="14" t="s">
        <v>6267</v>
      </c>
      <c r="G389" s="14">
        <v>148002</v>
      </c>
      <c r="H389" s="14">
        <v>107188</v>
      </c>
      <c r="I389" s="14">
        <v>28</v>
      </c>
      <c r="J389" s="14" t="s">
        <v>104</v>
      </c>
      <c r="K389" s="14" t="s">
        <v>6266</v>
      </c>
      <c r="L389" s="14" t="s">
        <v>2409</v>
      </c>
      <c r="M389" s="14" t="s">
        <v>9158</v>
      </c>
      <c r="N389" s="14" t="s">
        <v>9158</v>
      </c>
      <c r="O389" s="19" t="s">
        <v>10090</v>
      </c>
      <c r="P389" s="14" t="s">
        <v>3460</v>
      </c>
      <c r="Q389" s="14">
        <v>1</v>
      </c>
    </row>
    <row r="390" spans="1:17">
      <c r="A390" s="14">
        <v>73893</v>
      </c>
      <c r="B390" s="14" t="s">
        <v>334</v>
      </c>
      <c r="C390" s="14" t="s">
        <v>203</v>
      </c>
      <c r="D390" s="19" t="s">
        <v>10388</v>
      </c>
      <c r="E390" s="15" t="str">
        <f>HYPERLINK("https://stat100.ameba.jp/tnk47/ratio20/illustrations/card/ill_73893_kurohachidaimyojintookami03.jpg?202101-5-RELEASE-marathon-511xx", "■")</f>
        <v>■</v>
      </c>
      <c r="F390" s="14" t="s">
        <v>685</v>
      </c>
      <c r="G390" s="14">
        <v>142890</v>
      </c>
      <c r="H390" s="14">
        <v>103492</v>
      </c>
      <c r="I390" s="14">
        <v>28</v>
      </c>
      <c r="J390" s="14" t="s">
        <v>274</v>
      </c>
      <c r="K390" s="14" t="s">
        <v>686</v>
      </c>
      <c r="L390" s="14" t="s">
        <v>428</v>
      </c>
      <c r="M390" s="14" t="s">
        <v>9158</v>
      </c>
      <c r="N390" s="14" t="s">
        <v>9158</v>
      </c>
      <c r="O390" s="19" t="s">
        <v>10100</v>
      </c>
      <c r="P390" s="14" t="s">
        <v>3810</v>
      </c>
      <c r="Q390" s="14">
        <v>1</v>
      </c>
    </row>
    <row r="391" spans="1:17">
      <c r="A391" s="14">
        <v>69513</v>
      </c>
      <c r="B391" s="14" t="s">
        <v>0</v>
      </c>
      <c r="C391" s="14" t="s">
        <v>158</v>
      </c>
      <c r="D391" s="19" t="s">
        <v>10265</v>
      </c>
      <c r="E391" s="15" t="str">
        <f>HYPERLINK("https://stat100.ameba.jp/tnk47/ratio20/illustrations/card/ill_69513_somedononokisaki03.jpg?202101-5-RELEASE-marathon-511xx", "■")</f>
        <v>■</v>
      </c>
      <c r="F391" s="14" t="s">
        <v>3674</v>
      </c>
      <c r="G391" s="14">
        <v>92574</v>
      </c>
      <c r="H391" s="14">
        <v>127814</v>
      </c>
      <c r="I391" s="14">
        <v>28</v>
      </c>
      <c r="J391" s="14" t="s">
        <v>187</v>
      </c>
      <c r="K391" s="14" t="s">
        <v>3675</v>
      </c>
      <c r="L391" s="14" t="s">
        <v>13187</v>
      </c>
      <c r="M391" s="14" t="s">
        <v>9158</v>
      </c>
      <c r="N391" s="14" t="s">
        <v>9158</v>
      </c>
      <c r="O391" s="19" t="s">
        <v>2752</v>
      </c>
      <c r="P391" s="14" t="s">
        <v>13173</v>
      </c>
      <c r="Q391" s="14">
        <v>1</v>
      </c>
    </row>
    <row r="392" spans="1:17">
      <c r="A392" s="14">
        <v>75083</v>
      </c>
      <c r="B392" s="14" t="s">
        <v>334</v>
      </c>
      <c r="C392" s="14" t="s">
        <v>209</v>
      </c>
      <c r="D392" s="19" t="s">
        <v>10401</v>
      </c>
      <c r="E392" s="15" t="str">
        <f>HYPERLINK("https://stat100.ameba.jp/tnk47/ratio20/illustrations/card/ill_75083_sukumizuhanakosan03.jpg?202101-5-RELEASE-marathon-511xx", "■")</f>
        <v>■</v>
      </c>
      <c r="F392" s="14" t="s">
        <v>1020</v>
      </c>
      <c r="G392" s="14">
        <v>130566</v>
      </c>
      <c r="H392" s="14">
        <v>94590</v>
      </c>
      <c r="I392" s="14">
        <v>28</v>
      </c>
      <c r="J392" s="14" t="s">
        <v>73</v>
      </c>
      <c r="K392" s="14" t="s">
        <v>1021</v>
      </c>
      <c r="L392" s="14" t="s">
        <v>1022</v>
      </c>
      <c r="M392" s="14" t="s">
        <v>9158</v>
      </c>
      <c r="N392" s="14" t="s">
        <v>9158</v>
      </c>
      <c r="O392" s="19" t="s">
        <v>10105</v>
      </c>
      <c r="P392" s="14" t="s">
        <v>3416</v>
      </c>
      <c r="Q392" s="14">
        <v>1</v>
      </c>
    </row>
    <row r="393" spans="1:17">
      <c r="A393" s="14">
        <v>65643</v>
      </c>
      <c r="B393" s="14" t="s">
        <v>0</v>
      </c>
      <c r="C393" s="14" t="s">
        <v>209</v>
      </c>
      <c r="D393" s="20" t="s">
        <v>1681</v>
      </c>
      <c r="E393" s="15" t="str">
        <f>HYPERLINK("https://stat100.ameba.jp/tnk47/ratio20/illustrations/card/ill_65643_shitompekamui03.jpg?202101-5-RELEASE-marathon-511xx", "■")</f>
        <v>■</v>
      </c>
      <c r="F393" s="14" t="s">
        <v>1250</v>
      </c>
      <c r="G393" s="14">
        <v>92574</v>
      </c>
      <c r="H393" s="14">
        <v>127814</v>
      </c>
      <c r="I393" s="14">
        <v>28</v>
      </c>
      <c r="J393" s="14" t="s">
        <v>44</v>
      </c>
      <c r="K393" s="14" t="s">
        <v>1251</v>
      </c>
      <c r="L393" s="14" t="s">
        <v>1252</v>
      </c>
      <c r="M393" s="14" t="s">
        <v>9158</v>
      </c>
      <c r="N393" s="14" t="s">
        <v>9158</v>
      </c>
      <c r="O393" s="19" t="s">
        <v>10096</v>
      </c>
      <c r="P393" s="14" t="s">
        <v>3245</v>
      </c>
      <c r="Q393" s="14">
        <v>1</v>
      </c>
    </row>
    <row r="394" spans="1:17">
      <c r="A394" s="14">
        <v>75883</v>
      </c>
      <c r="B394" s="14" t="s">
        <v>334</v>
      </c>
      <c r="C394" s="14" t="s">
        <v>154</v>
      </c>
      <c r="D394" s="19" t="s">
        <v>10402</v>
      </c>
      <c r="E394" s="15" t="str">
        <f>HYPERLINK("https://stat100.ameba.jp/tnk47/ratio20/illustrations/card/ill_75883_kitajokagehiro03.jpg?202101-5-RELEASE-marathon-511xx", "■")</f>
        <v>■</v>
      </c>
      <c r="F394" s="14" t="s">
        <v>2411</v>
      </c>
      <c r="G394" s="14">
        <v>134934</v>
      </c>
      <c r="H394" s="14">
        <v>186288</v>
      </c>
      <c r="I394" s="14">
        <v>28</v>
      </c>
      <c r="J394" s="14" t="s">
        <v>143</v>
      </c>
      <c r="K394" s="14" t="s">
        <v>2412</v>
      </c>
      <c r="L394" s="14" t="s">
        <v>1148</v>
      </c>
      <c r="M394" s="14" t="s">
        <v>9158</v>
      </c>
      <c r="N394" s="14" t="s">
        <v>9158</v>
      </c>
      <c r="O394" s="19" t="s">
        <v>10106</v>
      </c>
      <c r="P394" s="14" t="s">
        <v>3330</v>
      </c>
      <c r="Q394" s="14">
        <v>2</v>
      </c>
    </row>
    <row r="396" spans="1:17">
      <c r="A396" s="14" t="s">
        <v>4065</v>
      </c>
    </row>
    <row r="397" spans="1:17">
      <c r="A397" s="14">
        <v>106248</v>
      </c>
      <c r="B397" s="14" t="s">
        <v>9123</v>
      </c>
    </row>
    <row r="398" spans="1:17">
      <c r="A398" s="9" t="s">
        <v>6905</v>
      </c>
      <c r="B398" s="14" t="s">
        <v>330</v>
      </c>
      <c r="C398" s="14" t="s">
        <v>35</v>
      </c>
      <c r="D398" s="14" t="s">
        <v>4161</v>
      </c>
      <c r="E398" s="15" t="str">
        <f>HYPERLINK("https://stat100.ameba.jp/tnk47/ratio20/illustrations/card/ill_80623_0_ohanamigurampingutominushihime03.jpg?202102-i_prefecture_active_user", "■")</f>
        <v>■</v>
      </c>
      <c r="F398" s="14" t="s">
        <v>4162</v>
      </c>
      <c r="G398" s="14">
        <v>325434</v>
      </c>
      <c r="H398" s="14">
        <v>294156</v>
      </c>
      <c r="I398" s="14">
        <v>27</v>
      </c>
      <c r="J398" s="14" t="s">
        <v>44</v>
      </c>
      <c r="K398" s="14" t="s">
        <v>4163</v>
      </c>
      <c r="L398" s="14" t="s">
        <v>4164</v>
      </c>
      <c r="M398" s="14" t="s">
        <v>9158</v>
      </c>
      <c r="N398" s="14" t="s">
        <v>9158</v>
      </c>
      <c r="O398" s="9" t="s">
        <v>4165</v>
      </c>
      <c r="P398" s="14" t="s">
        <v>4166</v>
      </c>
      <c r="Q398" s="14">
        <v>1</v>
      </c>
    </row>
    <row r="399" spans="1:17">
      <c r="A399" s="16">
        <v>75853</v>
      </c>
      <c r="B399" s="14" t="s">
        <v>334</v>
      </c>
      <c r="C399" s="14" t="s">
        <v>41</v>
      </c>
      <c r="D399" s="19" t="s">
        <v>10224</v>
      </c>
      <c r="E399" s="15" t="str">
        <f>HYPERLINK("https://stat100.ameba.jp/tnk47/ratio20/illustrations/card/ill_75853_moruganoyuki03.jpg?202102-i_prefecture_active_user", "■")</f>
        <v>■</v>
      </c>
      <c r="F399" s="14" t="s">
        <v>5106</v>
      </c>
      <c r="G399" s="14">
        <v>130000</v>
      </c>
      <c r="H399" s="14">
        <v>120874</v>
      </c>
      <c r="I399" s="14">
        <v>26</v>
      </c>
      <c r="J399" s="14" t="s">
        <v>16</v>
      </c>
      <c r="K399" s="14" t="s">
        <v>5108</v>
      </c>
      <c r="L399" s="14" t="s">
        <v>1881</v>
      </c>
      <c r="M399" s="14" t="s">
        <v>9158</v>
      </c>
      <c r="N399" s="14" t="s">
        <v>9158</v>
      </c>
      <c r="O399" s="7" t="s">
        <v>3578</v>
      </c>
      <c r="P399" s="14" t="s">
        <v>3579</v>
      </c>
      <c r="Q399" s="14">
        <v>1</v>
      </c>
    </row>
    <row r="400" spans="1:17">
      <c r="A400" s="14">
        <v>84663</v>
      </c>
      <c r="B400" s="14" t="s">
        <v>334</v>
      </c>
      <c r="C400" s="14" t="s">
        <v>158</v>
      </c>
      <c r="D400" s="20" t="s">
        <v>10648</v>
      </c>
      <c r="E400" s="15" t="str">
        <f>HYPERLINK("https://stat100.ameba.jp/tnk47/ratio20/illustrations/card/ill_84663_juwannonefuerufuito03.jpg?202102-i_prefecture_active_user", "■")</f>
        <v>■</v>
      </c>
      <c r="F400" s="14" t="s">
        <v>7095</v>
      </c>
      <c r="G400" s="14">
        <v>87834</v>
      </c>
      <c r="H400" s="14">
        <v>121240</v>
      </c>
      <c r="I400" s="14">
        <v>26</v>
      </c>
      <c r="J400" s="14" t="s">
        <v>182</v>
      </c>
      <c r="K400" s="14" t="s">
        <v>7094</v>
      </c>
      <c r="L400" s="14" t="s">
        <v>7093</v>
      </c>
      <c r="M400" s="14" t="s">
        <v>9158</v>
      </c>
      <c r="N400" s="14" t="s">
        <v>9158</v>
      </c>
      <c r="O400" s="19" t="s">
        <v>10091</v>
      </c>
      <c r="P400" s="14" t="s">
        <v>3670</v>
      </c>
      <c r="Q400" s="14">
        <v>1</v>
      </c>
    </row>
    <row r="401" spans="1:17">
      <c r="A401" s="14">
        <v>78123</v>
      </c>
      <c r="B401" s="14" t="s">
        <v>334</v>
      </c>
      <c r="C401" s="14" t="s">
        <v>209</v>
      </c>
      <c r="D401" s="6" t="s">
        <v>10010</v>
      </c>
      <c r="E401" s="15" t="str">
        <f>HYPERLINK("https://stat100.ameba.jp/tnk47/ratio20/illustrations/card/ill_78123_madannoteirusorushieru03.jpg?202102-i_prefecture_active_user", "■")</f>
        <v>■</v>
      </c>
      <c r="F401" s="14" t="s">
        <v>3024</v>
      </c>
      <c r="G401" s="14">
        <v>172982</v>
      </c>
      <c r="H401" s="14">
        <v>125296</v>
      </c>
      <c r="I401" s="14">
        <v>26</v>
      </c>
      <c r="J401" s="14" t="s">
        <v>310</v>
      </c>
      <c r="K401" s="14" t="s">
        <v>3025</v>
      </c>
      <c r="L401" s="14" t="s">
        <v>443</v>
      </c>
      <c r="M401" s="14" t="s">
        <v>9158</v>
      </c>
      <c r="N401" s="14" t="s">
        <v>9158</v>
      </c>
      <c r="O401" s="17" t="s">
        <v>3414</v>
      </c>
      <c r="P401" s="14" t="s">
        <v>13122</v>
      </c>
      <c r="Q401" s="14">
        <v>1</v>
      </c>
    </row>
    <row r="403" spans="1:17">
      <c r="A403" s="14" t="s">
        <v>3844</v>
      </c>
    </row>
    <row r="404" spans="1:17">
      <c r="A404" s="14">
        <v>106253</v>
      </c>
      <c r="B404" s="14" t="s">
        <v>16417</v>
      </c>
    </row>
    <row r="405" spans="1:17">
      <c r="A405" s="14" t="s">
        <v>5822</v>
      </c>
      <c r="B405" s="14" t="s">
        <v>330</v>
      </c>
      <c r="C405" s="14" t="s">
        <v>307</v>
      </c>
      <c r="D405" s="19" t="s">
        <v>306</v>
      </c>
      <c r="E405" s="15" t="str">
        <f>HYPERLINK("https://stat100.ameba.jp/tnk47/ratio20/illustrations/card/ill_71403_0_ohanamisanadayukimura03.jpg?202102-i_prefecture_active_user", "■")</f>
        <v>■</v>
      </c>
      <c r="F405" s="14" t="s">
        <v>309</v>
      </c>
      <c r="G405" s="14">
        <v>242696</v>
      </c>
      <c r="H405" s="14">
        <v>225670</v>
      </c>
      <c r="I405" s="14">
        <v>26</v>
      </c>
      <c r="J405" s="14" t="s">
        <v>310</v>
      </c>
      <c r="K405" s="14" t="s">
        <v>311</v>
      </c>
      <c r="L405" s="14" t="s">
        <v>312</v>
      </c>
      <c r="M405" s="14" t="s">
        <v>9158</v>
      </c>
      <c r="N405" s="14" t="s">
        <v>9158</v>
      </c>
      <c r="O405" s="19" t="s">
        <v>10104</v>
      </c>
      <c r="P405" s="14" t="s">
        <v>3418</v>
      </c>
      <c r="Q405" s="14">
        <v>2</v>
      </c>
    </row>
    <row r="406" spans="1:17">
      <c r="A406" s="14">
        <v>89013</v>
      </c>
      <c r="B406" s="14" t="s">
        <v>0</v>
      </c>
      <c r="C406" s="14" t="s">
        <v>23</v>
      </c>
      <c r="D406" s="18" t="s">
        <v>12538</v>
      </c>
      <c r="E406" s="15" t="str">
        <f>HYPERLINK("https://stat100.ameba.jp/tnk47/ratio20/illustrations/card/ill_89013_efuwanresutokugawaieyasu03.jpg?202102-i_prefecture_active_user", "■")</f>
        <v>■</v>
      </c>
      <c r="F406" s="14" t="s">
        <v>12539</v>
      </c>
      <c r="G406" s="14">
        <v>143714</v>
      </c>
      <c r="H406" s="14">
        <v>154562</v>
      </c>
      <c r="I406" s="14">
        <v>26</v>
      </c>
      <c r="J406" s="14" t="s">
        <v>143</v>
      </c>
      <c r="K406" s="14" t="s">
        <v>12540</v>
      </c>
      <c r="L406" s="14" t="s">
        <v>12026</v>
      </c>
      <c r="M406" s="14" t="s">
        <v>9158</v>
      </c>
      <c r="N406" s="14" t="s">
        <v>9158</v>
      </c>
      <c r="O406" s="6" t="s">
        <v>3624</v>
      </c>
      <c r="P406" s="7" t="s">
        <v>3625</v>
      </c>
      <c r="Q406" s="7">
        <v>1</v>
      </c>
    </row>
    <row r="407" spans="1:17">
      <c r="A407" s="9">
        <v>87583</v>
      </c>
      <c r="B407" s="14" t="s">
        <v>0</v>
      </c>
      <c r="C407" s="9" t="s">
        <v>165</v>
      </c>
      <c r="D407" s="6" t="s">
        <v>9981</v>
      </c>
      <c r="E407" s="15" t="str">
        <f>HYPERLINK("https://stat100.ameba.jp/tnk47/ratio20/illustrations/card/ill_87583_oendanise03.jpg?202102-i_prefecture_active_user", "■")</f>
        <v>■</v>
      </c>
      <c r="F407" s="9" t="s">
        <v>9929</v>
      </c>
      <c r="G407" s="9">
        <v>105426</v>
      </c>
      <c r="H407" s="9">
        <v>98066</v>
      </c>
      <c r="I407" s="14">
        <v>26</v>
      </c>
      <c r="J407" s="9" t="s">
        <v>159</v>
      </c>
      <c r="K407" s="9" t="s">
        <v>9934</v>
      </c>
      <c r="L407" s="9" t="s">
        <v>9927</v>
      </c>
      <c r="M407" s="14" t="s">
        <v>9158</v>
      </c>
      <c r="N407" s="14" t="s">
        <v>9158</v>
      </c>
      <c r="O407" s="6" t="s">
        <v>4373</v>
      </c>
      <c r="P407" s="14" t="s">
        <v>4374</v>
      </c>
      <c r="Q407" s="14">
        <v>1</v>
      </c>
    </row>
    <row r="408" spans="1:17">
      <c r="A408" s="14">
        <v>88323</v>
      </c>
      <c r="B408" s="14" t="s">
        <v>0</v>
      </c>
      <c r="C408" s="14" t="s">
        <v>205</v>
      </c>
      <c r="D408" s="18" t="s">
        <v>12019</v>
      </c>
      <c r="E408" s="15" t="str">
        <f>HYPERLINK("https://stat100.ameba.jp/tnk47/ratio20/illustrations/card/ill_88323_hanamibakedanuki03.jpg?202102-i_prefecture_active_user", "■")</f>
        <v>■</v>
      </c>
      <c r="F408" s="14" t="s">
        <v>12020</v>
      </c>
      <c r="G408" s="14">
        <v>100744</v>
      </c>
      <c r="H408" s="14">
        <v>108330</v>
      </c>
      <c r="I408" s="14">
        <v>26</v>
      </c>
      <c r="J408" s="14" t="s">
        <v>73</v>
      </c>
      <c r="K408" s="14" t="s">
        <v>12021</v>
      </c>
      <c r="L408" s="14" t="s">
        <v>12022</v>
      </c>
      <c r="M408" s="14" t="s">
        <v>9158</v>
      </c>
      <c r="N408" s="14" t="s">
        <v>9158</v>
      </c>
      <c r="O408" s="6" t="s">
        <v>10064</v>
      </c>
      <c r="P408" s="7" t="s">
        <v>13150</v>
      </c>
      <c r="Q408" s="7">
        <v>1</v>
      </c>
    </row>
    <row r="410" spans="1:17">
      <c r="A410" s="14" t="s">
        <v>16420</v>
      </c>
    </row>
    <row r="411" spans="1:17">
      <c r="A411" s="14">
        <v>106261</v>
      </c>
      <c r="B411" s="14" t="s">
        <v>16421</v>
      </c>
    </row>
    <row r="412" spans="1:17">
      <c r="A412" s="14">
        <v>106271</v>
      </c>
      <c r="B412" s="14" t="s">
        <v>16423</v>
      </c>
    </row>
    <row r="413" spans="1:17">
      <c r="A413" s="9" t="s">
        <v>13401</v>
      </c>
    </row>
    <row r="414" spans="1:17">
      <c r="A414" s="14">
        <v>96153</v>
      </c>
      <c r="B414" s="14" t="s">
        <v>0</v>
      </c>
      <c r="C414" s="14" t="s">
        <v>14</v>
      </c>
      <c r="D414" s="14" t="s">
        <v>16427</v>
      </c>
      <c r="E414" s="15" t="str">
        <f>HYPERLINK("https://stat100.ameba.jp/tnk47/ratio20/illustrations/card/ill_96153_isenokeisuke03.jpg?202102-i_prefecture_active_user", "■")</f>
        <v>■</v>
      </c>
      <c r="F414" s="14" t="s">
        <v>16426</v>
      </c>
      <c r="G414" s="14">
        <v>173452</v>
      </c>
      <c r="H414" s="14">
        <v>97490</v>
      </c>
      <c r="I414" s="14">
        <v>28</v>
      </c>
      <c r="J414" s="14" t="s">
        <v>143</v>
      </c>
      <c r="K414" s="14" t="s">
        <v>16425</v>
      </c>
      <c r="L414" s="14" t="s">
        <v>16424</v>
      </c>
      <c r="M414" s="14" t="s">
        <v>9158</v>
      </c>
      <c r="N414" s="14" t="s">
        <v>9158</v>
      </c>
      <c r="O414" s="14" t="s">
        <v>9158</v>
      </c>
      <c r="P414" s="14" t="s">
        <v>9158</v>
      </c>
      <c r="Q414" s="14" t="s">
        <v>9158</v>
      </c>
    </row>
    <row r="415" spans="1:17">
      <c r="A415" s="14">
        <v>96163</v>
      </c>
      <c r="B415" s="14" t="s">
        <v>0</v>
      </c>
      <c r="C415" s="14" t="s">
        <v>23</v>
      </c>
      <c r="D415" s="14" t="s">
        <v>16431</v>
      </c>
      <c r="E415" s="15" t="str">
        <f>HYPERLINK("https://stat100.ameba.jp/tnk47/ratio20/illustrations/card/ill_96163_koyami03.jpg?202102-i_prefecture_active_user", "■")</f>
        <v>■</v>
      </c>
      <c r="F415" s="14" t="s">
        <v>16430</v>
      </c>
      <c r="G415" s="14">
        <v>173452</v>
      </c>
      <c r="H415" s="14">
        <v>97490</v>
      </c>
      <c r="I415" s="14">
        <v>28</v>
      </c>
      <c r="J415" s="14" t="s">
        <v>44</v>
      </c>
      <c r="K415" s="14" t="s">
        <v>16429</v>
      </c>
      <c r="L415" s="14" t="s">
        <v>16428</v>
      </c>
      <c r="M415" s="14" t="s">
        <v>9158</v>
      </c>
      <c r="N415" s="14" t="s">
        <v>9158</v>
      </c>
      <c r="O415" s="14" t="s">
        <v>9158</v>
      </c>
      <c r="P415" s="14" t="s">
        <v>9158</v>
      </c>
      <c r="Q415" s="14" t="s">
        <v>9158</v>
      </c>
    </row>
    <row r="416" spans="1:17">
      <c r="A416" s="14">
        <v>96173</v>
      </c>
      <c r="B416" s="14" t="s">
        <v>0</v>
      </c>
      <c r="C416" s="14" t="s">
        <v>101</v>
      </c>
      <c r="D416" s="14" t="s">
        <v>16435</v>
      </c>
      <c r="E416" s="15" t="str">
        <f>HYPERLINK("https://stat100.ameba.jp/tnk47/ratio20/illustrations/card/ill_96173_kojunshingaekasuka03.jpg?202102-i_prefecture_active_user", "■")</f>
        <v>■</v>
      </c>
      <c r="F416" s="14" t="s">
        <v>16434</v>
      </c>
      <c r="G416" s="14">
        <v>173452</v>
      </c>
      <c r="H416" s="14">
        <v>97490</v>
      </c>
      <c r="I416" s="14">
        <v>28</v>
      </c>
      <c r="J416" s="14" t="s">
        <v>77</v>
      </c>
      <c r="K416" s="14" t="s">
        <v>16433</v>
      </c>
      <c r="L416" s="14" t="s">
        <v>16432</v>
      </c>
      <c r="M416" s="14" t="s">
        <v>9158</v>
      </c>
      <c r="N416" s="14" t="s">
        <v>9158</v>
      </c>
      <c r="O416" s="14" t="s">
        <v>9158</v>
      </c>
      <c r="P416" s="14" t="s">
        <v>9158</v>
      </c>
      <c r="Q416" s="14" t="s">
        <v>9158</v>
      </c>
    </row>
    <row r="417" spans="1:17">
      <c r="A417" s="14">
        <v>96183</v>
      </c>
      <c r="B417" s="14" t="s">
        <v>0</v>
      </c>
      <c r="C417" s="14" t="s">
        <v>96</v>
      </c>
      <c r="D417" s="14" t="s">
        <v>16439</v>
      </c>
      <c r="E417" s="15" t="str">
        <f>HYPERLINK("https://stat100.ameba.jp/tnk47/ratio20/illustrations/card/ill_96183_minasemaori03.jpg?202102-i_prefecture_active_user", "■")</f>
        <v>■</v>
      </c>
      <c r="F417" s="14" t="s">
        <v>16438</v>
      </c>
      <c r="G417" s="14">
        <v>173452</v>
      </c>
      <c r="H417" s="14">
        <v>97490</v>
      </c>
      <c r="I417" s="14">
        <v>28</v>
      </c>
      <c r="J417" s="14" t="s">
        <v>77</v>
      </c>
      <c r="K417" s="14" t="s">
        <v>16437</v>
      </c>
      <c r="L417" s="14" t="s">
        <v>16436</v>
      </c>
      <c r="M417" s="14" t="s">
        <v>9158</v>
      </c>
      <c r="N417" s="14" t="s">
        <v>9158</v>
      </c>
      <c r="O417" s="14" t="s">
        <v>9158</v>
      </c>
      <c r="P417" s="14" t="s">
        <v>9158</v>
      </c>
      <c r="Q417" s="14" t="s">
        <v>9158</v>
      </c>
    </row>
    <row r="418" spans="1:17">
      <c r="A418" s="14">
        <v>96193</v>
      </c>
      <c r="B418" s="14" t="s">
        <v>0</v>
      </c>
      <c r="C418" s="14" t="s">
        <v>205</v>
      </c>
      <c r="D418" s="14" t="s">
        <v>16443</v>
      </c>
      <c r="E418" s="15" t="str">
        <f>HYPERLINK("https://stat100.ameba.jp/tnk47/ratio20/illustrations/card/ill_96193_shinusubaberunshutain03.jpg?202102-i_prefecture_active_user", "■")</f>
        <v>■</v>
      </c>
      <c r="F418" s="14" t="s">
        <v>16442</v>
      </c>
      <c r="G418" s="14">
        <v>173452</v>
      </c>
      <c r="H418" s="14">
        <v>97490</v>
      </c>
      <c r="I418" s="14">
        <v>28</v>
      </c>
      <c r="J418" s="14" t="s">
        <v>16</v>
      </c>
      <c r="K418" s="14" t="s">
        <v>16441</v>
      </c>
      <c r="L418" s="14" t="s">
        <v>16440</v>
      </c>
      <c r="M418" s="14" t="s">
        <v>9158</v>
      </c>
      <c r="N418" s="14" t="s">
        <v>9158</v>
      </c>
      <c r="O418" s="14" t="s">
        <v>9158</v>
      </c>
      <c r="P418" s="14" t="s">
        <v>9158</v>
      </c>
      <c r="Q418" s="14" t="s">
        <v>9158</v>
      </c>
    </row>
    <row r="419" spans="1:17">
      <c r="A419" s="14">
        <v>96203</v>
      </c>
      <c r="B419" s="14" t="s">
        <v>0</v>
      </c>
      <c r="C419" s="14" t="s">
        <v>107</v>
      </c>
      <c r="D419" s="14" t="s">
        <v>16447</v>
      </c>
      <c r="E419" s="15" t="str">
        <f>HYPERLINK("https://stat100.ameba.jp/tnk47/ratio20/illustrations/card/ill_96203_shidoragon03.jpg?202102-i_prefecture_active_user", "■")</f>
        <v>■</v>
      </c>
      <c r="F419" s="14" t="s">
        <v>16446</v>
      </c>
      <c r="G419" s="14">
        <v>173452</v>
      </c>
      <c r="H419" s="14">
        <v>97490</v>
      </c>
      <c r="I419" s="14">
        <v>28</v>
      </c>
      <c r="J419" s="14" t="s">
        <v>143</v>
      </c>
      <c r="K419" s="14" t="s">
        <v>16445</v>
      </c>
      <c r="L419" s="14" t="s">
        <v>16444</v>
      </c>
      <c r="M419" s="14" t="s">
        <v>9158</v>
      </c>
      <c r="N419" s="14" t="s">
        <v>9158</v>
      </c>
      <c r="O419" s="14" t="s">
        <v>9158</v>
      </c>
      <c r="P419" s="14" t="s">
        <v>9158</v>
      </c>
      <c r="Q419" s="14" t="s">
        <v>9158</v>
      </c>
    </row>
    <row r="420" spans="1:17">
      <c r="A420" s="9">
        <v>79863</v>
      </c>
      <c r="B420" s="14" t="s">
        <v>334</v>
      </c>
      <c r="C420" s="14" t="s">
        <v>202</v>
      </c>
      <c r="D420" s="20" t="s">
        <v>10931</v>
      </c>
      <c r="E420" s="15" t="str">
        <f>HYPERLINK("https://stat100.ameba.jp/tnk47/ratio20/illustrations/card/ill_79863_nagadoayumi03.jpg?202102-i_prefecture_active_user", "■")</f>
        <v>■</v>
      </c>
      <c r="F420" s="14" t="s">
        <v>3519</v>
      </c>
      <c r="G420" s="14">
        <v>83340</v>
      </c>
      <c r="H420" s="14">
        <v>148098</v>
      </c>
      <c r="I420" s="14">
        <v>28</v>
      </c>
      <c r="J420" s="14" t="s">
        <v>44</v>
      </c>
      <c r="K420" s="14" t="s">
        <v>3520</v>
      </c>
      <c r="L420" s="14" t="s">
        <v>1209</v>
      </c>
      <c r="M420" s="14" t="s">
        <v>9158</v>
      </c>
      <c r="N420" s="14" t="s">
        <v>9158</v>
      </c>
      <c r="O420" s="14" t="s">
        <v>9158</v>
      </c>
      <c r="P420" s="14" t="s">
        <v>9158</v>
      </c>
      <c r="Q420" s="14" t="s">
        <v>9158</v>
      </c>
    </row>
    <row r="421" spans="1:17">
      <c r="A421" s="9">
        <v>79793</v>
      </c>
      <c r="B421" s="14" t="s">
        <v>334</v>
      </c>
      <c r="C421" s="14" t="s">
        <v>202</v>
      </c>
      <c r="D421" s="20" t="s">
        <v>2790</v>
      </c>
      <c r="E421" s="15" t="str">
        <f>HYPERLINK("https://stat100.ameba.jp/tnk47/ratio20/illustrations/card/ill_79793_kuresuteirureina03.jpg?202102-i_prefecture_active_user", "■")</f>
        <v>■</v>
      </c>
      <c r="F421" s="14" t="s">
        <v>2791</v>
      </c>
      <c r="G421" s="14">
        <v>96442</v>
      </c>
      <c r="H421" s="14">
        <v>171476</v>
      </c>
      <c r="I421" s="14">
        <v>28</v>
      </c>
      <c r="J421" s="14" t="s">
        <v>283</v>
      </c>
      <c r="K421" s="14" t="s">
        <v>2792</v>
      </c>
      <c r="L421" s="14" t="s">
        <v>2793</v>
      </c>
      <c r="M421" s="14" t="s">
        <v>9158</v>
      </c>
      <c r="N421" s="14" t="s">
        <v>9158</v>
      </c>
      <c r="O421" s="14" t="s">
        <v>9158</v>
      </c>
      <c r="P421" s="14" t="s">
        <v>9158</v>
      </c>
      <c r="Q421" s="14" t="s">
        <v>9158</v>
      </c>
    </row>
    <row r="422" spans="1:17">
      <c r="A422" s="9">
        <v>79803</v>
      </c>
      <c r="B422" s="14" t="s">
        <v>334</v>
      </c>
      <c r="C422" s="14" t="s">
        <v>202</v>
      </c>
      <c r="D422" s="20" t="s">
        <v>2794</v>
      </c>
      <c r="E422" s="15" t="str">
        <f>HYPERLINK("https://stat100.ameba.jp/tnk47/ratio20/illustrations/card/ill_79803_oyamadaisane03.jpg?202102-i_prefecture_active_user", "■")</f>
        <v>■</v>
      </c>
      <c r="F422" s="14" t="s">
        <v>2795</v>
      </c>
      <c r="G422" s="14">
        <v>79776</v>
      </c>
      <c r="H422" s="14">
        <v>141784</v>
      </c>
      <c r="I422" s="14">
        <v>28</v>
      </c>
      <c r="J422" s="14" t="s">
        <v>351</v>
      </c>
      <c r="K422" s="14" t="s">
        <v>2796</v>
      </c>
      <c r="L422" s="14" t="s">
        <v>2797</v>
      </c>
      <c r="M422" s="14" t="s">
        <v>9158</v>
      </c>
      <c r="N422" s="14" t="s">
        <v>9158</v>
      </c>
      <c r="O422" s="14" t="s">
        <v>9158</v>
      </c>
      <c r="P422" s="14" t="s">
        <v>9158</v>
      </c>
      <c r="Q422" s="14" t="s">
        <v>9158</v>
      </c>
    </row>
    <row r="423" spans="1:17">
      <c r="A423" s="9">
        <v>79193</v>
      </c>
      <c r="B423" s="14" t="s">
        <v>0</v>
      </c>
      <c r="C423" s="14" t="s">
        <v>202</v>
      </c>
      <c r="D423" s="14" t="s">
        <v>2178</v>
      </c>
      <c r="E423" s="15" t="str">
        <f>HYPERLINK("https://stat100.ameba.jp/tnk47/ratio20/illustrations/card/ill_79193_seinarimiya％20kirari03.jpg?202102-i_prefecture_active_user", "■")</f>
        <v>■</v>
      </c>
      <c r="F423" s="14" t="s">
        <v>2179</v>
      </c>
      <c r="G423" s="14">
        <v>165374</v>
      </c>
      <c r="H423" s="14">
        <v>93046</v>
      </c>
      <c r="I423" s="14">
        <v>28</v>
      </c>
      <c r="J423" s="14" t="s">
        <v>26</v>
      </c>
      <c r="K423" s="14" t="s">
        <v>2180</v>
      </c>
      <c r="L423" s="14" t="s">
        <v>2181</v>
      </c>
      <c r="M423" s="14" t="s">
        <v>9158</v>
      </c>
      <c r="N423" s="14" t="s">
        <v>9158</v>
      </c>
      <c r="O423" s="14" t="s">
        <v>9158</v>
      </c>
      <c r="P423" s="14" t="s">
        <v>9158</v>
      </c>
      <c r="Q423" s="14" t="s">
        <v>9158</v>
      </c>
    </row>
    <row r="424" spans="1:17">
      <c r="A424" s="14">
        <v>79173</v>
      </c>
      <c r="B424" s="14" t="s">
        <v>0</v>
      </c>
      <c r="C424" s="14" t="s">
        <v>202</v>
      </c>
      <c r="D424" s="14" t="s">
        <v>2182</v>
      </c>
      <c r="E424" s="15" t="str">
        <f>HYPERLINK("https://stat100.ameba.jp/tnk47/ratio20/illustrations/card/ill_79173_seisamansabarozu03.jpg?202102-i_prefecture_active_user", "■")</f>
        <v>■</v>
      </c>
      <c r="F424" s="14" t="s">
        <v>2183</v>
      </c>
      <c r="G424" s="14">
        <v>147226</v>
      </c>
      <c r="H424" s="14">
        <v>82840</v>
      </c>
      <c r="I424" s="14">
        <v>28</v>
      </c>
      <c r="J424" s="14" t="s">
        <v>16</v>
      </c>
      <c r="K424" s="14" t="s">
        <v>2184</v>
      </c>
      <c r="L424" s="14" t="s">
        <v>1149</v>
      </c>
      <c r="M424" s="14" t="s">
        <v>9158</v>
      </c>
      <c r="N424" s="14" t="s">
        <v>9158</v>
      </c>
      <c r="O424" s="14" t="s">
        <v>9158</v>
      </c>
      <c r="P424" s="14" t="s">
        <v>9158</v>
      </c>
      <c r="Q424" s="14" t="s">
        <v>9158</v>
      </c>
    </row>
    <row r="425" spans="1:17">
      <c r="A425" s="14">
        <v>79183</v>
      </c>
      <c r="B425" s="14" t="s">
        <v>0</v>
      </c>
      <c r="C425" s="14" t="s">
        <v>202</v>
      </c>
      <c r="D425" s="14" t="s">
        <v>2185</v>
      </c>
      <c r="E425" s="15" t="str">
        <f>HYPERLINK("https://stat100.ameba.jp/tnk47/ratio20/illustrations/card/ill_79183_seiburijittorogan03.jpg?202102-i_prefecture_active_user", "■")</f>
        <v>■</v>
      </c>
      <c r="F425" s="14" t="s">
        <v>2186</v>
      </c>
      <c r="G425" s="14">
        <v>141784</v>
      </c>
      <c r="H425" s="14">
        <v>79776</v>
      </c>
      <c r="I425" s="14">
        <v>28</v>
      </c>
      <c r="J425" s="14" t="s">
        <v>77</v>
      </c>
      <c r="K425" s="14" t="s">
        <v>2187</v>
      </c>
      <c r="L425" s="14" t="s">
        <v>76</v>
      </c>
      <c r="M425" s="14" t="s">
        <v>9158</v>
      </c>
      <c r="N425" s="14" t="s">
        <v>9158</v>
      </c>
      <c r="O425" s="14" t="s">
        <v>9158</v>
      </c>
      <c r="P425" s="14" t="s">
        <v>9158</v>
      </c>
      <c r="Q425" s="14" t="s">
        <v>9158</v>
      </c>
    </row>
    <row r="427" spans="1:17">
      <c r="A427" s="14" t="s">
        <v>3785</v>
      </c>
    </row>
    <row r="428" spans="1:17">
      <c r="A428" s="14">
        <v>236318</v>
      </c>
      <c r="B428" s="14" t="s">
        <v>16422</v>
      </c>
    </row>
    <row r="429" spans="1:17">
      <c r="A429" s="14" t="s">
        <v>5602</v>
      </c>
      <c r="B429" s="14" t="s">
        <v>330</v>
      </c>
      <c r="C429" s="14" t="s">
        <v>185</v>
      </c>
      <c r="D429" s="19" t="s">
        <v>813</v>
      </c>
      <c r="E429" s="15" t="str">
        <f>HYPERLINK("https://stat100.ameba.jp/tnk47/ratio20/illustrations/card/ill_55313_0_haroinononokomachi03.jpg?202102-i_prefecture_active_user", "■")</f>
        <v>■</v>
      </c>
      <c r="F429" s="14" t="s">
        <v>814</v>
      </c>
      <c r="G429" s="14">
        <v>138212</v>
      </c>
      <c r="H429" s="14">
        <v>122776</v>
      </c>
      <c r="I429" s="14">
        <v>22</v>
      </c>
      <c r="J429" s="14" t="s">
        <v>351</v>
      </c>
      <c r="K429" s="14" t="s">
        <v>815</v>
      </c>
      <c r="L429" s="14" t="s">
        <v>816</v>
      </c>
      <c r="M429" s="14" t="s">
        <v>9158</v>
      </c>
      <c r="N429" s="14" t="s">
        <v>9158</v>
      </c>
      <c r="O429" s="7" t="s">
        <v>2733</v>
      </c>
      <c r="P429" s="14" t="s">
        <v>2734</v>
      </c>
      <c r="Q429" s="14">
        <v>1</v>
      </c>
    </row>
    <row r="430" spans="1:17">
      <c r="A430" s="14" t="s">
        <v>6195</v>
      </c>
      <c r="B430" s="14" t="s">
        <v>52</v>
      </c>
      <c r="C430" s="14" t="s">
        <v>191</v>
      </c>
      <c r="D430" s="20" t="s">
        <v>10217</v>
      </c>
      <c r="E430" s="15" t="str">
        <f>HYPERLINK("https://stat100.ameba.jp/tnk47/ratio20/illustrations/card/ill_56493_0_poppukurisumasuikomakitsuno03.jpg?202102-i_prefecture_active_user", "■")</f>
        <v>■</v>
      </c>
      <c r="F430" s="14" t="s">
        <v>1769</v>
      </c>
      <c r="G430" s="14">
        <v>138212</v>
      </c>
      <c r="H430" s="14">
        <v>122776</v>
      </c>
      <c r="I430" s="14">
        <v>22</v>
      </c>
      <c r="J430" s="14" t="s">
        <v>77</v>
      </c>
      <c r="K430" s="14" t="s">
        <v>1770</v>
      </c>
      <c r="L430" s="14" t="s">
        <v>1771</v>
      </c>
      <c r="M430" s="14" t="s">
        <v>9158</v>
      </c>
      <c r="N430" s="14" t="s">
        <v>9158</v>
      </c>
      <c r="O430" s="19" t="s">
        <v>10120</v>
      </c>
      <c r="P430" s="14" t="s">
        <v>2724</v>
      </c>
      <c r="Q430" s="14">
        <v>1</v>
      </c>
    </row>
    <row r="431" spans="1:17">
      <c r="A431" s="14" t="s">
        <v>5604</v>
      </c>
      <c r="B431" s="14" t="s">
        <v>330</v>
      </c>
      <c r="C431" s="14" t="s">
        <v>206</v>
      </c>
      <c r="D431" s="19" t="s">
        <v>614</v>
      </c>
      <c r="E431" s="15" t="str">
        <f>HYPERLINK("https://stat100.ameba.jp/tnk47/ratio20/illustrations/card/ill_47263_0_oukyuuatsuhime03.jpg?202102-i_prefecture_active_user", "■")</f>
        <v>■</v>
      </c>
      <c r="F431" s="14" t="s">
        <v>615</v>
      </c>
      <c r="G431" s="14">
        <v>138212</v>
      </c>
      <c r="H431" s="14">
        <v>122776</v>
      </c>
      <c r="I431" s="14">
        <v>22</v>
      </c>
      <c r="J431" s="14" t="s">
        <v>315</v>
      </c>
      <c r="K431" s="14" t="s">
        <v>616</v>
      </c>
      <c r="L431" s="14" t="s">
        <v>617</v>
      </c>
      <c r="M431" s="14" t="s">
        <v>9158</v>
      </c>
      <c r="N431" s="14" t="s">
        <v>9158</v>
      </c>
      <c r="O431" s="14" t="s">
        <v>9158</v>
      </c>
      <c r="P431" s="14" t="s">
        <v>9158</v>
      </c>
      <c r="Q431" s="14" t="s">
        <v>9158</v>
      </c>
    </row>
    <row r="432" spans="1:17">
      <c r="A432" s="14">
        <v>90693</v>
      </c>
      <c r="B432" s="14" t="s">
        <v>0</v>
      </c>
      <c r="C432" s="14" t="s">
        <v>101</v>
      </c>
      <c r="D432" s="14" t="s">
        <v>14330</v>
      </c>
      <c r="E432" s="15" t="str">
        <f>HYPERLINK("https://stat100.ameba.jp/tnk47/ratio20/illustrations/card/ill_90693_hamabeshigaru03.jpg?202102-i_prefecture_active_user", "■")</f>
        <v>■</v>
      </c>
      <c r="F432" s="14" t="s">
        <v>14329</v>
      </c>
      <c r="G432" s="14">
        <v>135038</v>
      </c>
      <c r="H432" s="14">
        <v>75984</v>
      </c>
      <c r="I432" s="9">
        <v>28</v>
      </c>
      <c r="J432" s="14" t="s">
        <v>10</v>
      </c>
      <c r="K432" s="14" t="s">
        <v>14328</v>
      </c>
      <c r="L432" s="14" t="s">
        <v>12211</v>
      </c>
      <c r="M432" s="14" t="s">
        <v>9158</v>
      </c>
      <c r="N432" s="14" t="s">
        <v>9158</v>
      </c>
      <c r="O432" s="14" t="s">
        <v>9158</v>
      </c>
      <c r="P432" s="14" t="s">
        <v>9158</v>
      </c>
      <c r="Q432" s="14" t="s">
        <v>9158</v>
      </c>
    </row>
    <row r="433" spans="1:17">
      <c r="A433" s="14">
        <v>89373</v>
      </c>
      <c r="B433" s="14" t="s">
        <v>0</v>
      </c>
      <c r="C433" s="14" t="s">
        <v>107</v>
      </c>
      <c r="D433" s="14" t="s">
        <v>12889</v>
      </c>
      <c r="E433" s="15" t="str">
        <f>HYPERLINK("https://stat100.ameba.jp/tnk47/ratio20/illustrations/card/ill_89373_minaraimajopuriesuta03.jpg?202102-i_prefecture_active_user", "■")</f>
        <v>■</v>
      </c>
      <c r="F433" s="14" t="s">
        <v>12894</v>
      </c>
      <c r="G433" s="14">
        <v>135038</v>
      </c>
      <c r="H433" s="14">
        <v>75984</v>
      </c>
      <c r="I433" s="9">
        <v>28</v>
      </c>
      <c r="J433" s="14" t="s">
        <v>77</v>
      </c>
      <c r="K433" s="14" t="s">
        <v>12892</v>
      </c>
      <c r="L433" s="14" t="s">
        <v>12081</v>
      </c>
      <c r="M433" s="14" t="s">
        <v>9158</v>
      </c>
      <c r="N433" s="14" t="s">
        <v>9158</v>
      </c>
      <c r="O433" s="14" t="s">
        <v>9158</v>
      </c>
      <c r="P433" s="14" t="s">
        <v>9158</v>
      </c>
      <c r="Q433" s="14" t="s">
        <v>9158</v>
      </c>
    </row>
    <row r="434" spans="1:17">
      <c r="A434" s="7">
        <v>85783</v>
      </c>
      <c r="B434" s="7" t="s">
        <v>0</v>
      </c>
      <c r="C434" s="7" t="s">
        <v>205</v>
      </c>
      <c r="D434" s="20" t="s">
        <v>10850</v>
      </c>
      <c r="E434" s="15" t="str">
        <f>HYPERLINK("https://stat100.ameba.jp/tnk47/ratio20/illustrations/card/ill_85783_fuyukominarutokintoki03.jpg?202102-i_prefecture_active_user", "■")</f>
        <v>■</v>
      </c>
      <c r="F434" s="7" t="s">
        <v>8635</v>
      </c>
      <c r="G434" s="7">
        <v>132230</v>
      </c>
      <c r="H434" s="7">
        <v>122960</v>
      </c>
      <c r="I434" s="9">
        <v>28</v>
      </c>
      <c r="J434" s="14" t="s">
        <v>104</v>
      </c>
      <c r="K434" s="7" t="s">
        <v>8634</v>
      </c>
      <c r="L434" s="7" t="s">
        <v>3489</v>
      </c>
      <c r="M434" s="14" t="s">
        <v>9158</v>
      </c>
      <c r="N434" s="14" t="s">
        <v>9158</v>
      </c>
      <c r="O434" s="14" t="s">
        <v>9158</v>
      </c>
      <c r="P434" s="14" t="s">
        <v>9158</v>
      </c>
      <c r="Q434" s="14" t="s">
        <v>9158</v>
      </c>
    </row>
    <row r="436" spans="1:17">
      <c r="A436" s="14" t="s">
        <v>8239</v>
      </c>
    </row>
    <row r="437" spans="1:17">
      <c r="A437" s="14">
        <v>236342</v>
      </c>
      <c r="B437" s="14" t="s">
        <v>16448</v>
      </c>
    </row>
    <row r="438" spans="1:17">
      <c r="A438" s="14">
        <v>236378</v>
      </c>
      <c r="B438" s="14" t="s">
        <v>18547</v>
      </c>
    </row>
    <row r="439" spans="1:17">
      <c r="A439" s="14" t="s">
        <v>16453</v>
      </c>
      <c r="B439" s="14" t="s">
        <v>117</v>
      </c>
      <c r="C439" s="14" t="s">
        <v>35</v>
      </c>
      <c r="D439" s="14" t="s">
        <v>16452</v>
      </c>
      <c r="E439" s="15" t="str">
        <f>HYPERLINK("https://stat100.ameba.jp/tnk47/ratio20/illustrations/card/ill_95473_0_tenkurofurutsuparadaisu03.jpg?202102-i_prefecture_active_user", "■")</f>
        <v>■</v>
      </c>
      <c r="F439" s="14" t="s">
        <v>16451</v>
      </c>
      <c r="G439" s="14">
        <v>421914</v>
      </c>
      <c r="H439" s="14">
        <v>466826</v>
      </c>
      <c r="I439" s="14">
        <v>35</v>
      </c>
      <c r="J439" s="14" t="s">
        <v>104</v>
      </c>
      <c r="K439" s="14" t="s">
        <v>16450</v>
      </c>
      <c r="L439" s="14" t="s">
        <v>16449</v>
      </c>
      <c r="M439" s="14" t="s">
        <v>9158</v>
      </c>
      <c r="N439" s="14" t="s">
        <v>9158</v>
      </c>
      <c r="O439" s="14" t="s">
        <v>9158</v>
      </c>
      <c r="P439" s="14" t="s">
        <v>9158</v>
      </c>
      <c r="Q439" s="14" t="s">
        <v>9158</v>
      </c>
    </row>
    <row r="440" spans="1:17">
      <c r="A440" s="14" t="s">
        <v>16503</v>
      </c>
      <c r="B440" s="14" t="s">
        <v>117</v>
      </c>
      <c r="C440" s="14" t="s">
        <v>35</v>
      </c>
      <c r="D440" s="14" t="s">
        <v>15418</v>
      </c>
      <c r="E440" s="15" t="str">
        <f>HYPERLINK("https://stat100.ameba.jp/tnk47/ratio20/illustrations/card/ill_92863_0_tenkuroshidenissen03.jpg?202102-i_prefecture_active_user", "■")</f>
        <v>■</v>
      </c>
      <c r="F440" s="14" t="s">
        <v>15417</v>
      </c>
      <c r="G440" s="14">
        <v>464851</v>
      </c>
      <c r="H440" s="14">
        <v>420154</v>
      </c>
      <c r="I440" s="14">
        <v>35</v>
      </c>
      <c r="J440" s="14" t="s">
        <v>143</v>
      </c>
      <c r="K440" s="14" t="s">
        <v>15415</v>
      </c>
      <c r="L440" s="14" t="s">
        <v>15414</v>
      </c>
      <c r="M440" s="14" t="s">
        <v>9158</v>
      </c>
      <c r="N440" s="14" t="s">
        <v>9158</v>
      </c>
      <c r="O440" s="14" t="s">
        <v>9158</v>
      </c>
      <c r="P440" s="14" t="s">
        <v>9158</v>
      </c>
      <c r="Q440" s="14" t="s">
        <v>9158</v>
      </c>
    </row>
    <row r="441" spans="1:17">
      <c r="A441" s="14" t="s">
        <v>16493</v>
      </c>
      <c r="B441" s="14" t="s">
        <v>117</v>
      </c>
      <c r="C441" s="14" t="s">
        <v>35</v>
      </c>
      <c r="D441" s="14" t="s">
        <v>16454</v>
      </c>
      <c r="E441" s="15" t="str">
        <f>HYPERLINK("https://stat100.ameba.jp/tnk47/ratio20/illustrations/card/ill_94133_0_tenkuromeikendaishugo03.jpg?202102-i_prefecture_active_user", "■")</f>
        <v>■</v>
      </c>
      <c r="F441" s="14" t="s">
        <v>16492</v>
      </c>
      <c r="G441" s="14">
        <v>421576</v>
      </c>
      <c r="H441" s="14">
        <v>466453</v>
      </c>
      <c r="I441" s="14">
        <v>35</v>
      </c>
      <c r="J441" s="14" t="s">
        <v>44</v>
      </c>
      <c r="K441" s="14" t="s">
        <v>16491</v>
      </c>
      <c r="L441" s="14" t="s">
        <v>16490</v>
      </c>
      <c r="M441" s="14" t="s">
        <v>9158</v>
      </c>
      <c r="N441" s="14" t="s">
        <v>9158</v>
      </c>
      <c r="O441" s="14" t="s">
        <v>9158</v>
      </c>
      <c r="P441" s="14" t="s">
        <v>9158</v>
      </c>
      <c r="Q441" s="14" t="s">
        <v>9158</v>
      </c>
    </row>
    <row r="442" spans="1:17">
      <c r="A442" s="14" t="s">
        <v>16460</v>
      </c>
      <c r="B442" s="14" t="s">
        <v>117</v>
      </c>
      <c r="C442" s="14" t="s">
        <v>35</v>
      </c>
      <c r="D442" s="14" t="s">
        <v>16455</v>
      </c>
      <c r="E442" s="15" t="str">
        <f>HYPERLINK("https://stat100.ameba.jp/tnk47/ratio20/illustrations/card/ill_94753_0_tenkurokesutora03.jpg?202102-i_prefecture_active_user", "■")</f>
        <v>■</v>
      </c>
      <c r="F442" s="14" t="s">
        <v>16459</v>
      </c>
      <c r="G442" s="14">
        <v>466453</v>
      </c>
      <c r="H442" s="14">
        <v>421576</v>
      </c>
      <c r="I442" s="14">
        <v>35</v>
      </c>
      <c r="J442" s="14" t="s">
        <v>73</v>
      </c>
      <c r="K442" s="14" t="s">
        <v>16458</v>
      </c>
      <c r="L442" s="14" t="s">
        <v>16457</v>
      </c>
      <c r="M442" s="14" t="s">
        <v>9158</v>
      </c>
      <c r="N442" s="14" t="s">
        <v>9158</v>
      </c>
      <c r="O442" s="14" t="s">
        <v>9158</v>
      </c>
      <c r="P442" s="14" t="s">
        <v>9158</v>
      </c>
      <c r="Q442" s="14" t="s">
        <v>9158</v>
      </c>
    </row>
    <row r="443" spans="1:17">
      <c r="A443" s="14" t="s">
        <v>5734</v>
      </c>
      <c r="B443" s="14" t="s">
        <v>330</v>
      </c>
      <c r="C443" s="14" t="s">
        <v>202</v>
      </c>
      <c r="D443" s="19" t="s">
        <v>1497</v>
      </c>
      <c r="E443" s="15" t="str">
        <f>HYPERLINK("https://stat100.ameba.jp/tnk47/ratio20/illustrations/card/ill_74593_0_natsuyuenchikoshihikari03.jpg?202102-i_prefecture_active_user", "■")</f>
        <v>■</v>
      </c>
      <c r="F443" s="14" t="s">
        <v>1498</v>
      </c>
      <c r="G443" s="14">
        <v>238328</v>
      </c>
      <c r="H443" s="14">
        <v>221566</v>
      </c>
      <c r="I443" s="14">
        <v>22</v>
      </c>
      <c r="J443" s="14" t="s">
        <v>283</v>
      </c>
      <c r="K443" s="14" t="s">
        <v>1499</v>
      </c>
      <c r="L443" s="14" t="s">
        <v>1500</v>
      </c>
      <c r="M443" s="14" t="s">
        <v>9158</v>
      </c>
      <c r="N443" s="14" t="s">
        <v>9158</v>
      </c>
      <c r="O443" s="19" t="s">
        <v>2731</v>
      </c>
      <c r="P443" s="14" t="s">
        <v>2732</v>
      </c>
      <c r="Q443" s="14">
        <v>1</v>
      </c>
    </row>
    <row r="444" spans="1:17">
      <c r="A444" s="7">
        <v>85733</v>
      </c>
      <c r="B444" s="7" t="s">
        <v>0</v>
      </c>
      <c r="C444" s="14" t="s">
        <v>185</v>
      </c>
      <c r="D444" s="20" t="s">
        <v>10836</v>
      </c>
      <c r="E444" s="15" t="str">
        <f>HYPERLINK("https://stat100.ameba.jp/tnk47/ratio20/illustrations/card/ill_85733_hakkachan03.jpg?202102-i_prefecture_active_user", "■")</f>
        <v>■</v>
      </c>
      <c r="F444" s="7" t="s">
        <v>8504</v>
      </c>
      <c r="G444" s="7">
        <v>127556</v>
      </c>
      <c r="H444" s="7">
        <v>118598</v>
      </c>
      <c r="I444" s="7">
        <v>28</v>
      </c>
      <c r="J444" s="7" t="s">
        <v>229</v>
      </c>
      <c r="K444" s="7" t="s">
        <v>3792</v>
      </c>
      <c r="L444" s="7" t="s">
        <v>1086</v>
      </c>
      <c r="M444" s="14" t="s">
        <v>9158</v>
      </c>
      <c r="N444" s="14" t="s">
        <v>9158</v>
      </c>
      <c r="O444" s="14" t="s">
        <v>9158</v>
      </c>
      <c r="P444" s="14" t="s">
        <v>9158</v>
      </c>
      <c r="Q444" s="14" t="s">
        <v>9158</v>
      </c>
    </row>
    <row r="445" spans="1:17">
      <c r="A445" s="14">
        <v>77353</v>
      </c>
      <c r="B445" s="14" t="s">
        <v>0</v>
      </c>
      <c r="C445" s="14" t="s">
        <v>200</v>
      </c>
      <c r="D445" s="19" t="s">
        <v>1529</v>
      </c>
      <c r="E445" s="15" t="str">
        <f>HYPERLINK("https://stat100.ameba.jp/tnk47/ratio20/illustrations/card/ill_77353_chayamusumekandamatsuri03.jpg?202102-i_prefecture_active_user", "■")</f>
        <v>■</v>
      </c>
      <c r="F445" s="14" t="s">
        <v>7222</v>
      </c>
      <c r="G445" s="14">
        <v>127556</v>
      </c>
      <c r="H445" s="14">
        <v>118598</v>
      </c>
      <c r="I445" s="7">
        <v>28</v>
      </c>
      <c r="J445" s="14" t="s">
        <v>229</v>
      </c>
      <c r="K445" s="14" t="s">
        <v>7221</v>
      </c>
      <c r="L445" s="14" t="s">
        <v>1086</v>
      </c>
      <c r="M445" s="14" t="s">
        <v>9158</v>
      </c>
      <c r="N445" s="14" t="s">
        <v>9158</v>
      </c>
      <c r="O445" s="14" t="s">
        <v>9158</v>
      </c>
      <c r="P445" s="14" t="s">
        <v>9158</v>
      </c>
      <c r="Q445" s="14" t="s">
        <v>9158</v>
      </c>
    </row>
    <row r="446" spans="1:17">
      <c r="A446" s="14">
        <v>78213</v>
      </c>
      <c r="B446" s="14" t="s">
        <v>0</v>
      </c>
      <c r="C446" s="14" t="s">
        <v>191</v>
      </c>
      <c r="D446" s="19" t="s">
        <v>2312</v>
      </c>
      <c r="E446" s="15" t="str">
        <f>HYPERLINK("https://stat100.ameba.jp/tnk47/ratio20/illustrations/card/ill_78213_otomarijoshikaitaiyakichan03.jpg?202102-i_prefecture_active_user", "■")</f>
        <v>■</v>
      </c>
      <c r="F446" s="14" t="s">
        <v>2313</v>
      </c>
      <c r="G446" s="14">
        <v>166452</v>
      </c>
      <c r="H446" s="14">
        <v>154768</v>
      </c>
      <c r="I446" s="7">
        <v>28</v>
      </c>
      <c r="J446" s="14" t="s">
        <v>104</v>
      </c>
      <c r="K446" s="14" t="s">
        <v>2314</v>
      </c>
      <c r="L446" s="14" t="s">
        <v>1029</v>
      </c>
      <c r="M446" s="14" t="s">
        <v>9158</v>
      </c>
      <c r="N446" s="14" t="s">
        <v>9158</v>
      </c>
      <c r="O446" s="14" t="s">
        <v>9158</v>
      </c>
      <c r="P446" s="14" t="s">
        <v>9158</v>
      </c>
      <c r="Q446" s="14" t="s">
        <v>9158</v>
      </c>
    </row>
    <row r="447" spans="1:17">
      <c r="A447" s="9">
        <v>81233</v>
      </c>
      <c r="B447" s="14" t="s">
        <v>334</v>
      </c>
      <c r="C447" s="14" t="s">
        <v>165</v>
      </c>
      <c r="D447" s="14" t="s">
        <v>4546</v>
      </c>
      <c r="E447" s="15" t="str">
        <f>HYPERLINK("https://stat100.ameba.jp/tnk47/ratio20/illustrations/card/ill_81233_sakasutengaihata03.jpg?202102-i_prefecture_active_user", "■")</f>
        <v>■</v>
      </c>
      <c r="F447" s="14" t="s">
        <v>4547</v>
      </c>
      <c r="G447" s="14">
        <v>114208</v>
      </c>
      <c r="H447" s="14">
        <v>106178</v>
      </c>
      <c r="I447" s="7">
        <v>28</v>
      </c>
      <c r="J447" s="14" t="s">
        <v>44</v>
      </c>
      <c r="K447" s="14" t="s">
        <v>4548</v>
      </c>
      <c r="L447" s="14" t="s">
        <v>4549</v>
      </c>
      <c r="M447" s="14" t="s">
        <v>9158</v>
      </c>
      <c r="N447" s="14" t="s">
        <v>9158</v>
      </c>
      <c r="O447" s="14" t="s">
        <v>9158</v>
      </c>
      <c r="P447" s="14" t="s">
        <v>9158</v>
      </c>
      <c r="Q447" s="14" t="s">
        <v>9158</v>
      </c>
    </row>
    <row r="448" spans="1:17">
      <c r="A448" s="14">
        <v>84403</v>
      </c>
      <c r="B448" s="14" t="s">
        <v>0</v>
      </c>
      <c r="C448" s="14" t="s">
        <v>205</v>
      </c>
      <c r="D448" s="19" t="s">
        <v>10682</v>
      </c>
      <c r="E448" s="15" t="str">
        <f>HYPERLINK("https://stat100.ameba.jp/tnk47/ratio20/illustrations/card/ill_84403_dokushonokisetsuheikegani03.jpg?202102-i_prefecture_active_user", "■")</f>
        <v>■</v>
      </c>
      <c r="F448" s="14" t="s">
        <v>7329</v>
      </c>
      <c r="G448" s="14">
        <v>116662</v>
      </c>
      <c r="H448" s="14">
        <v>108494</v>
      </c>
      <c r="I448" s="7">
        <v>28</v>
      </c>
      <c r="J448" s="14" t="s">
        <v>73</v>
      </c>
      <c r="K448" s="14" t="s">
        <v>7328</v>
      </c>
      <c r="L448" s="14" t="s">
        <v>7327</v>
      </c>
      <c r="M448" s="14" t="s">
        <v>9158</v>
      </c>
      <c r="N448" s="14" t="s">
        <v>9158</v>
      </c>
      <c r="O448" s="14" t="s">
        <v>9158</v>
      </c>
      <c r="P448" s="14" t="s">
        <v>9158</v>
      </c>
      <c r="Q448" s="14" t="s">
        <v>9158</v>
      </c>
    </row>
    <row r="449" spans="1:17">
      <c r="A449" s="14">
        <v>80943</v>
      </c>
      <c r="B449" s="14" t="s">
        <v>334</v>
      </c>
      <c r="C449" s="14" t="s">
        <v>107</v>
      </c>
      <c r="D449" s="20" t="s">
        <v>10707</v>
      </c>
      <c r="E449" s="15" t="str">
        <f>HYPERLINK("https://stat100.ameba.jp/tnk47/ratio20/illustrations/card/ill_80943_shinshakaijimburakkuparu03.jpg?202102-i_prefecture_active_user", "■")</f>
        <v>■</v>
      </c>
      <c r="F449" s="14" t="s">
        <v>4453</v>
      </c>
      <c r="G449" s="14">
        <v>109370</v>
      </c>
      <c r="H449" s="14">
        <v>101650</v>
      </c>
      <c r="I449" s="7">
        <v>28</v>
      </c>
      <c r="J449" s="14" t="s">
        <v>16</v>
      </c>
      <c r="K449" s="14" t="s">
        <v>4454</v>
      </c>
      <c r="L449" s="14" t="s">
        <v>4455</v>
      </c>
      <c r="M449" s="14" t="s">
        <v>9158</v>
      </c>
      <c r="N449" s="14" t="s">
        <v>9158</v>
      </c>
      <c r="O449" s="14" t="s">
        <v>9158</v>
      </c>
      <c r="P449" s="14" t="s">
        <v>9158</v>
      </c>
      <c r="Q449" s="14" t="s">
        <v>9158</v>
      </c>
    </row>
    <row r="451" spans="1:17">
      <c r="A451" s="14" t="s">
        <v>4065</v>
      </c>
    </row>
    <row r="452" spans="1:17">
      <c r="A452" s="14">
        <v>106256</v>
      </c>
      <c r="B452" s="14" t="s">
        <v>16583</v>
      </c>
    </row>
    <row r="453" spans="1:17">
      <c r="A453" s="14" t="s">
        <v>5891</v>
      </c>
      <c r="B453" s="14" t="s">
        <v>330</v>
      </c>
      <c r="C453" s="14" t="s">
        <v>202</v>
      </c>
      <c r="D453" s="20" t="s">
        <v>1371</v>
      </c>
      <c r="E453" s="15" t="str">
        <f>HYPERLINK("https://stat100.ameba.jp/tnk47/ratio20/illustrations/card/ill_77173_0_yukemuritomoegozen03.jpg?202102-i_prefecture_active_user", "■")</f>
        <v>■</v>
      </c>
      <c r="F453" s="14" t="s">
        <v>1372</v>
      </c>
      <c r="G453" s="14">
        <v>270658</v>
      </c>
      <c r="H453" s="14">
        <v>299465</v>
      </c>
      <c r="I453" s="14">
        <v>27</v>
      </c>
      <c r="J453" s="14" t="s">
        <v>310</v>
      </c>
      <c r="K453" s="14" t="s">
        <v>1373</v>
      </c>
      <c r="L453" s="14" t="s">
        <v>1374</v>
      </c>
      <c r="M453" s="14" t="s">
        <v>9158</v>
      </c>
      <c r="N453" s="14" t="s">
        <v>9158</v>
      </c>
      <c r="O453" s="19" t="s">
        <v>4067</v>
      </c>
      <c r="P453" s="14" t="s">
        <v>3879</v>
      </c>
      <c r="Q453" s="14">
        <v>2</v>
      </c>
    </row>
    <row r="454" spans="1:17">
      <c r="A454" s="14">
        <v>84653</v>
      </c>
      <c r="B454" s="14" t="s">
        <v>334</v>
      </c>
      <c r="C454" s="14" t="s">
        <v>209</v>
      </c>
      <c r="D454" s="20" t="s">
        <v>10626</v>
      </c>
      <c r="E454" s="15" t="str">
        <f>HYPERLINK("https://stat100.ameba.jp/tnk47/ratio20/illustrations/card/ill_84653_soru03.jpg?202102-i_prefecture_active_user", "■")</f>
        <v>■</v>
      </c>
      <c r="F454" s="14" t="s">
        <v>6954</v>
      </c>
      <c r="G454" s="14">
        <v>82318</v>
      </c>
      <c r="H454" s="14">
        <v>113630</v>
      </c>
      <c r="I454" s="14">
        <v>26</v>
      </c>
      <c r="J454" s="14" t="s">
        <v>44</v>
      </c>
      <c r="K454" s="14" t="s">
        <v>6956</v>
      </c>
      <c r="L454" s="14" t="s">
        <v>3652</v>
      </c>
      <c r="M454" s="14" t="s">
        <v>9158</v>
      </c>
      <c r="N454" s="14" t="s">
        <v>9158</v>
      </c>
      <c r="O454" s="19" t="s">
        <v>10103</v>
      </c>
      <c r="P454" s="14" t="s">
        <v>3897</v>
      </c>
      <c r="Q454" s="14">
        <v>1</v>
      </c>
    </row>
    <row r="455" spans="1:17">
      <c r="A455" s="14">
        <v>60173</v>
      </c>
      <c r="B455" s="14" t="s">
        <v>0</v>
      </c>
      <c r="C455" s="14" t="s">
        <v>41</v>
      </c>
      <c r="D455" s="19" t="s">
        <v>10231</v>
      </c>
      <c r="E455" s="15" t="str">
        <f>HYPERLINK("https://stat100.ameba.jp/tnk47/ratio20/illustrations/card/ill_60173_kugutsushi03.jpg?202102-i_prefecture_active_user", "■")</f>
        <v>■</v>
      </c>
      <c r="F455" s="14" t="s">
        <v>4282</v>
      </c>
      <c r="G455" s="14">
        <v>96100</v>
      </c>
      <c r="H455" s="14">
        <v>132684</v>
      </c>
      <c r="I455" s="14">
        <v>26</v>
      </c>
      <c r="J455" s="14" t="s">
        <v>38</v>
      </c>
      <c r="K455" s="14" t="s">
        <v>4283</v>
      </c>
      <c r="L455" s="14" t="s">
        <v>2714</v>
      </c>
      <c r="M455" s="14" t="s">
        <v>9158</v>
      </c>
      <c r="N455" s="14" t="s">
        <v>9158</v>
      </c>
      <c r="O455" s="19" t="s">
        <v>10113</v>
      </c>
      <c r="P455" s="14" t="s">
        <v>4285</v>
      </c>
      <c r="Q455" s="14">
        <v>1</v>
      </c>
    </row>
    <row r="456" spans="1:17">
      <c r="A456" s="14">
        <v>64043</v>
      </c>
      <c r="B456" s="14" t="s">
        <v>334</v>
      </c>
      <c r="C456" s="14" t="s">
        <v>209</v>
      </c>
      <c r="D456" s="20" t="s">
        <v>10262</v>
      </c>
      <c r="E456" s="15" t="str">
        <f>HYPERLINK("https://stat100.ameba.jp/tnk47/ratio20/illustrations/card/ill_64043_kegonnotaki03.jpg?202102-i_prefecture_active_user", "■")</f>
        <v>■</v>
      </c>
      <c r="F456" s="14" t="s">
        <v>759</v>
      </c>
      <c r="G456" s="14">
        <v>123674</v>
      </c>
      <c r="H456" s="14">
        <v>89584</v>
      </c>
      <c r="I456" s="14">
        <v>26</v>
      </c>
      <c r="J456" s="14" t="s">
        <v>229</v>
      </c>
      <c r="K456" s="14" t="s">
        <v>230</v>
      </c>
      <c r="L456" s="14" t="s">
        <v>13143</v>
      </c>
      <c r="M456" s="14" t="s">
        <v>9158</v>
      </c>
      <c r="N456" s="14" t="s">
        <v>9158</v>
      </c>
      <c r="O456" s="19" t="s">
        <v>10070</v>
      </c>
      <c r="P456" s="14" t="s">
        <v>3579</v>
      </c>
      <c r="Q456" s="14">
        <v>1</v>
      </c>
    </row>
    <row r="458" spans="1:17">
      <c r="A458" s="14" t="s">
        <v>3916</v>
      </c>
    </row>
    <row r="459" spans="1:17">
      <c r="A459" s="14">
        <v>106280</v>
      </c>
      <c r="B459" s="14" t="s">
        <v>16584</v>
      </c>
    </row>
    <row r="460" spans="1:17">
      <c r="A460" s="14">
        <v>84733</v>
      </c>
      <c r="B460" s="14" t="s">
        <v>0</v>
      </c>
      <c r="C460" s="14" t="s">
        <v>154</v>
      </c>
      <c r="D460" s="19" t="s">
        <v>10677</v>
      </c>
      <c r="E460" s="15" t="str">
        <f>HYPERLINK("https://stat100.ameba.jp/tnk47/ratio20/illustrations/card/ill_84733_madadoru03.jpg?202102-i_prefecture_active_user", "■")</f>
        <v>■</v>
      </c>
      <c r="F460" s="14" t="s">
        <v>7293</v>
      </c>
      <c r="G460" s="14">
        <v>120766</v>
      </c>
      <c r="H460" s="14">
        <v>112286</v>
      </c>
      <c r="I460" s="14">
        <v>28</v>
      </c>
      <c r="J460" s="14" t="s">
        <v>182</v>
      </c>
      <c r="K460" s="14" t="s">
        <v>7296</v>
      </c>
      <c r="L460" s="14" t="s">
        <v>7295</v>
      </c>
      <c r="M460" s="14" t="s">
        <v>9158</v>
      </c>
      <c r="N460" s="14" t="s">
        <v>9158</v>
      </c>
      <c r="O460" s="14" t="s">
        <v>9158</v>
      </c>
      <c r="P460" s="14" t="s">
        <v>9158</v>
      </c>
      <c r="Q460" s="14" t="s">
        <v>9158</v>
      </c>
    </row>
    <row r="461" spans="1:17">
      <c r="A461" s="14">
        <v>84743</v>
      </c>
      <c r="B461" s="14" t="s">
        <v>0</v>
      </c>
      <c r="C461" s="14" t="s">
        <v>158</v>
      </c>
      <c r="D461" s="19" t="s">
        <v>10678</v>
      </c>
      <c r="E461" s="15" t="str">
        <f>HYPERLINK("https://stat100.ameba.jp/tnk47/ratio20/illustrations/card/ill_84743_rinnenonyumpe03.jpg?202102-i_prefecture_active_user", "■")</f>
        <v>■</v>
      </c>
      <c r="F461" s="14" t="s">
        <v>7294</v>
      </c>
      <c r="G461" s="14">
        <v>120766</v>
      </c>
      <c r="H461" s="14">
        <v>112286</v>
      </c>
      <c r="I461" s="14">
        <v>28</v>
      </c>
      <c r="J461" s="14" t="s">
        <v>169</v>
      </c>
      <c r="K461" s="14" t="s">
        <v>7297</v>
      </c>
      <c r="L461" s="14" t="s">
        <v>7298</v>
      </c>
      <c r="M461" s="14" t="s">
        <v>9158</v>
      </c>
      <c r="N461" s="14" t="s">
        <v>9158</v>
      </c>
      <c r="O461" s="14" t="s">
        <v>9158</v>
      </c>
      <c r="P461" s="14" t="s">
        <v>9158</v>
      </c>
      <c r="Q461" s="14" t="s">
        <v>9158</v>
      </c>
    </row>
    <row r="462" spans="1:17">
      <c r="A462" s="14">
        <v>69883</v>
      </c>
      <c r="B462" s="14" t="s">
        <v>334</v>
      </c>
      <c r="C462" s="14" t="s">
        <v>185</v>
      </c>
      <c r="D462" s="19" t="s">
        <v>10293</v>
      </c>
      <c r="E462" s="15" t="str">
        <f>HYPERLINK("https://stat100.ameba.jp/tnk47/ratio20/illustrations/card/ill_69883_kyupiddotominushihime03.jpg?202102-i_prefecture_active_user", "■")</f>
        <v>■</v>
      </c>
      <c r="F462" s="14" t="s">
        <v>4142</v>
      </c>
      <c r="G462" s="14">
        <v>106178</v>
      </c>
      <c r="H462" s="14">
        <v>114208</v>
      </c>
      <c r="I462" s="14">
        <v>28</v>
      </c>
      <c r="J462" s="14" t="s">
        <v>169</v>
      </c>
      <c r="K462" s="14" t="s">
        <v>4143</v>
      </c>
      <c r="L462" s="14" t="s">
        <v>13190</v>
      </c>
      <c r="M462" s="14" t="s">
        <v>9158</v>
      </c>
      <c r="N462" s="14" t="s">
        <v>9158</v>
      </c>
      <c r="O462" s="14" t="s">
        <v>9158</v>
      </c>
      <c r="P462" s="14" t="s">
        <v>9158</v>
      </c>
      <c r="Q462" s="14" t="s">
        <v>9158</v>
      </c>
    </row>
    <row r="463" spans="1:17">
      <c r="A463" s="14">
        <v>67243</v>
      </c>
      <c r="B463" s="14" t="s">
        <v>334</v>
      </c>
      <c r="C463" s="14" t="s">
        <v>205</v>
      </c>
      <c r="D463" s="20" t="s">
        <v>10199</v>
      </c>
      <c r="E463" s="15" t="str">
        <f>HYPERLINK("https://stat100.ameba.jp/tnk47/ratio20/illustrations/card/ill_67243_onsenyadomoryo03.jpg?202102-i_prefecture_active_user", "■")</f>
        <v>■</v>
      </c>
      <c r="F463" s="14" t="s">
        <v>3638</v>
      </c>
      <c r="G463" s="14">
        <v>108494</v>
      </c>
      <c r="H463" s="14">
        <v>116662</v>
      </c>
      <c r="I463" s="14">
        <v>28</v>
      </c>
      <c r="J463" s="14" t="s">
        <v>182</v>
      </c>
      <c r="K463" s="14" t="s">
        <v>3639</v>
      </c>
      <c r="L463" s="14" t="s">
        <v>3640</v>
      </c>
      <c r="M463" s="14" t="s">
        <v>9158</v>
      </c>
      <c r="N463" s="14" t="s">
        <v>9158</v>
      </c>
      <c r="O463" s="14" t="s">
        <v>9158</v>
      </c>
      <c r="P463" s="14" t="s">
        <v>9158</v>
      </c>
      <c r="Q463" s="14" t="s">
        <v>9158</v>
      </c>
    </row>
    <row r="464" spans="1:17">
      <c r="A464" s="14">
        <v>52973</v>
      </c>
      <c r="B464" s="14" t="s">
        <v>15</v>
      </c>
      <c r="C464" s="14" t="s">
        <v>206</v>
      </c>
      <c r="D464" s="19" t="s">
        <v>10519</v>
      </c>
      <c r="E464" s="15" t="str">
        <f>HYPERLINK("https://stat100.ameba.jp/tnk47/ratio20/illustrations/card/ill_52973_torampuamoronagu03.jpg?202102-i_prefecture_active_user", "■")</f>
        <v>■</v>
      </c>
      <c r="F464" s="14" t="s">
        <v>6421</v>
      </c>
      <c r="G464" s="14">
        <v>71136</v>
      </c>
      <c r="H464" s="14">
        <v>64520</v>
      </c>
      <c r="I464" s="14">
        <v>24</v>
      </c>
      <c r="J464" s="14" t="s">
        <v>44</v>
      </c>
      <c r="K464" s="14" t="s">
        <v>6419</v>
      </c>
      <c r="L464" s="14" t="s">
        <v>6418</v>
      </c>
      <c r="M464" s="14" t="s">
        <v>9158</v>
      </c>
      <c r="N464" s="14" t="s">
        <v>9158</v>
      </c>
      <c r="O464" s="14" t="s">
        <v>9158</v>
      </c>
      <c r="P464" s="14" t="s">
        <v>9158</v>
      </c>
      <c r="Q464" s="14" t="s">
        <v>9158</v>
      </c>
    </row>
    <row r="465" spans="1:17">
      <c r="A465" s="14">
        <v>52333</v>
      </c>
      <c r="B465" s="14" t="s">
        <v>15</v>
      </c>
      <c r="C465" s="14" t="s">
        <v>200</v>
      </c>
      <c r="D465" s="19" t="s">
        <v>10537</v>
      </c>
      <c r="E465" s="15" t="str">
        <f>HYPERLINK("https://stat100.ameba.jp/tnk47/ratio20/illustrations/card/ill_52333_chichibuyomatsuri03.jpg?202102-i_prefecture_active_user", "■")</f>
        <v>■</v>
      </c>
      <c r="F465" s="14" t="s">
        <v>3614</v>
      </c>
      <c r="G465" s="14">
        <v>71136</v>
      </c>
      <c r="H465" s="14">
        <v>64520</v>
      </c>
      <c r="I465" s="14">
        <v>24</v>
      </c>
      <c r="J465" s="14" t="s">
        <v>38</v>
      </c>
      <c r="K465" s="14" t="s">
        <v>3615</v>
      </c>
      <c r="L465" s="14" t="s">
        <v>3616</v>
      </c>
      <c r="M465" s="14" t="s">
        <v>9158</v>
      </c>
      <c r="N465" s="14" t="s">
        <v>9158</v>
      </c>
      <c r="O465" s="14" t="s">
        <v>9158</v>
      </c>
      <c r="P465" s="14" t="s">
        <v>9158</v>
      </c>
      <c r="Q465" s="14" t="s">
        <v>9158</v>
      </c>
    </row>
    <row r="466" spans="1:17">
      <c r="A466" s="14">
        <v>51913</v>
      </c>
      <c r="B466" s="14" t="s">
        <v>15</v>
      </c>
      <c r="C466" s="14" t="s">
        <v>191</v>
      </c>
      <c r="D466" s="19" t="s">
        <v>10538</v>
      </c>
      <c r="E466" s="15" t="str">
        <f>HYPERLINK("https://stat100.ameba.jp/tnk47/ratio20/illustrations/card/ill_51913_kemonomizugihamahime03.jpg?202102-i_prefecture_active_user", "■")</f>
        <v>■</v>
      </c>
      <c r="F466" s="14" t="s">
        <v>6501</v>
      </c>
      <c r="G466" s="14">
        <v>64520</v>
      </c>
      <c r="H466" s="14">
        <v>71136</v>
      </c>
      <c r="I466" s="14">
        <v>24</v>
      </c>
      <c r="J466" s="14" t="s">
        <v>182</v>
      </c>
      <c r="K466" s="14" t="s">
        <v>6500</v>
      </c>
      <c r="L466" s="14" t="s">
        <v>6499</v>
      </c>
      <c r="M466" s="14" t="s">
        <v>9158</v>
      </c>
      <c r="N466" s="14" t="s">
        <v>9158</v>
      </c>
      <c r="O466" s="14" t="s">
        <v>9158</v>
      </c>
      <c r="P466" s="14" t="s">
        <v>9158</v>
      </c>
      <c r="Q466" s="14" t="s">
        <v>9158</v>
      </c>
    </row>
    <row r="467" spans="1:17">
      <c r="A467" s="14">
        <v>53203</v>
      </c>
      <c r="B467" s="14" t="s">
        <v>15</v>
      </c>
      <c r="C467" s="14" t="s">
        <v>165</v>
      </c>
      <c r="D467" s="20" t="s">
        <v>10494</v>
      </c>
      <c r="E467" s="15" t="str">
        <f>HYPERLINK("https://stat100.ameba.jp/tnk47/ratio20/illustrations/card/ill_53203_buruhawaichan03.jpg?202102-i_prefecture_active_user", "■")</f>
        <v>■</v>
      </c>
      <c r="F467" s="14" t="s">
        <v>6258</v>
      </c>
      <c r="G467" s="14">
        <v>64520</v>
      </c>
      <c r="H467" s="14">
        <v>71136</v>
      </c>
      <c r="I467" s="14">
        <v>24</v>
      </c>
      <c r="J467" s="14" t="s">
        <v>104</v>
      </c>
      <c r="K467" s="14" t="s">
        <v>6261</v>
      </c>
      <c r="L467" s="14" t="s">
        <v>6260</v>
      </c>
      <c r="M467" s="14" t="s">
        <v>9158</v>
      </c>
      <c r="N467" s="14" t="s">
        <v>9158</v>
      </c>
      <c r="O467" s="14" t="s">
        <v>9158</v>
      </c>
      <c r="P467" s="14" t="s">
        <v>9158</v>
      </c>
      <c r="Q467" s="14" t="s">
        <v>9158</v>
      </c>
    </row>
    <row r="469" spans="1:17">
      <c r="A469" s="14" t="s">
        <v>6512</v>
      </c>
    </row>
    <row r="470" spans="1:17">
      <c r="A470" s="14">
        <v>106298</v>
      </c>
      <c r="B470" s="14" t="s">
        <v>3513</v>
      </c>
    </row>
    <row r="471" spans="1:17">
      <c r="A471" s="9" t="s">
        <v>9891</v>
      </c>
      <c r="B471" s="7" t="s">
        <v>52</v>
      </c>
      <c r="C471" s="9" t="s">
        <v>202</v>
      </c>
      <c r="D471" s="6" t="s">
        <v>9978</v>
      </c>
      <c r="E471" s="15" t="str">
        <f>HYPERLINK("https://stat100.ameba.jp/tnk47/ratio20/illustrations/card/ill_87643_0_oendanotohime03.jpg?202102-i_prefecture_active_user", "■")</f>
        <v>■</v>
      </c>
      <c r="F471" s="14" t="s">
        <v>9928</v>
      </c>
      <c r="G471" s="9">
        <v>249916</v>
      </c>
      <c r="H471" s="9">
        <v>305430</v>
      </c>
      <c r="I471" s="14">
        <v>24</v>
      </c>
      <c r="J471" s="9" t="s">
        <v>155</v>
      </c>
      <c r="K471" s="14" t="s">
        <v>9932</v>
      </c>
      <c r="L471" s="14" t="s">
        <v>9933</v>
      </c>
      <c r="M471" s="14" t="s">
        <v>9158</v>
      </c>
      <c r="N471" s="14" t="s">
        <v>9158</v>
      </c>
      <c r="O471" s="6" t="s">
        <v>9989</v>
      </c>
      <c r="P471" s="7" t="s">
        <v>9944</v>
      </c>
      <c r="Q471" s="7">
        <v>1</v>
      </c>
    </row>
    <row r="472" spans="1:17">
      <c r="A472" s="14" t="s">
        <v>5778</v>
      </c>
      <c r="B472" s="14" t="s">
        <v>330</v>
      </c>
      <c r="C472" s="14" t="s">
        <v>205</v>
      </c>
      <c r="D472" s="19" t="s">
        <v>272</v>
      </c>
      <c r="E472" s="15" t="str">
        <f>HYPERLINK("https://stat100.ameba.jp/tnk47/ratio20/illustrations/card/ill_68783_0_gantammomotaro03.jpg?202102-i_prefecture_active_user", "■")</f>
        <v>■</v>
      </c>
      <c r="F472" s="14" t="s">
        <v>273</v>
      </c>
      <c r="G472" s="14">
        <v>164144</v>
      </c>
      <c r="H472" s="14">
        <v>152594</v>
      </c>
      <c r="I472" s="14">
        <v>24</v>
      </c>
      <c r="J472" s="14" t="s">
        <v>274</v>
      </c>
      <c r="K472" s="14" t="s">
        <v>275</v>
      </c>
      <c r="L472" s="14" t="s">
        <v>276</v>
      </c>
      <c r="M472" s="14" t="s">
        <v>9158</v>
      </c>
      <c r="N472" s="14" t="s">
        <v>9158</v>
      </c>
      <c r="O472" s="19" t="s">
        <v>10099</v>
      </c>
      <c r="P472" s="14" t="s">
        <v>3085</v>
      </c>
      <c r="Q472" s="14">
        <v>1</v>
      </c>
    </row>
    <row r="473" spans="1:17">
      <c r="A473" s="14" t="s">
        <v>5830</v>
      </c>
      <c r="B473" s="14" t="s">
        <v>330</v>
      </c>
      <c r="C473" s="14" t="s">
        <v>191</v>
      </c>
      <c r="D473" s="19" t="s">
        <v>793</v>
      </c>
      <c r="E473" s="15" t="str">
        <f>HYPERLINK("https://stat100.ameba.jp/tnk47/ratio20/illustrations/card/ill_39933_0_reihiiinaotora03.jpg?202102-i_prefecture_active_user", "■")</f>
        <v>■</v>
      </c>
      <c r="F473" s="14" t="s">
        <v>794</v>
      </c>
      <c r="G473" s="14">
        <v>131538</v>
      </c>
      <c r="H473" s="14">
        <v>140448</v>
      </c>
      <c r="I473" s="14">
        <v>24</v>
      </c>
      <c r="J473" s="14" t="s">
        <v>315</v>
      </c>
      <c r="K473" s="14" t="s">
        <v>795</v>
      </c>
      <c r="L473" s="14" t="s">
        <v>796</v>
      </c>
      <c r="M473" s="14" t="s">
        <v>9158</v>
      </c>
      <c r="N473" s="14" t="s">
        <v>9158</v>
      </c>
      <c r="O473" s="14" t="s">
        <v>9158</v>
      </c>
      <c r="P473" s="14" t="s">
        <v>9158</v>
      </c>
      <c r="Q473" s="14" t="s">
        <v>9158</v>
      </c>
    </row>
    <row r="474" spans="1:17">
      <c r="A474" s="14">
        <v>75873</v>
      </c>
      <c r="B474" s="14" t="s">
        <v>334</v>
      </c>
      <c r="C474" s="14" t="s">
        <v>209</v>
      </c>
      <c r="D474" s="19" t="s">
        <v>10221</v>
      </c>
      <c r="E474" s="15" t="str">
        <f>HYPERLINK("https://stat100.ameba.jp/tnk47/ratio20/illustrations/card/ill_75873_harajukuroriitachan03.jpg?202102-i_prefecture_active_user", "■")</f>
        <v>■</v>
      </c>
      <c r="F474" s="14" t="s">
        <v>1945</v>
      </c>
      <c r="G474" s="14">
        <v>114176</v>
      </c>
      <c r="H474" s="14">
        <v>122786</v>
      </c>
      <c r="I474" s="14">
        <v>26</v>
      </c>
      <c r="J474" s="14" t="s">
        <v>26</v>
      </c>
      <c r="K474" s="14" t="s">
        <v>1946</v>
      </c>
      <c r="L474" s="14" t="s">
        <v>1947</v>
      </c>
      <c r="M474" s="14" t="s">
        <v>9158</v>
      </c>
      <c r="N474" s="14" t="s">
        <v>9158</v>
      </c>
      <c r="O474" s="19" t="s">
        <v>2752</v>
      </c>
      <c r="P474" s="14" t="s">
        <v>13123</v>
      </c>
      <c r="Q474" s="14">
        <v>1</v>
      </c>
    </row>
    <row r="475" spans="1:17">
      <c r="A475" s="14">
        <v>89323</v>
      </c>
      <c r="B475" s="14" t="s">
        <v>15</v>
      </c>
      <c r="C475" s="14" t="s">
        <v>96</v>
      </c>
      <c r="D475" s="14" t="s">
        <v>12722</v>
      </c>
      <c r="E475" s="15" t="str">
        <f>HYPERLINK("https://stat100.ameba.jp/tnk47/ratio20/illustrations/card/ill_89323_toribujinkitanokata03.jpg?202102-i_prefecture_active_user", "■")</f>
        <v>■</v>
      </c>
      <c r="F475" s="14" t="s">
        <v>12724</v>
      </c>
      <c r="G475" s="14">
        <v>77064</v>
      </c>
      <c r="H475" s="14">
        <v>69898</v>
      </c>
      <c r="I475" s="7">
        <v>26</v>
      </c>
      <c r="J475" s="14" t="s">
        <v>143</v>
      </c>
      <c r="K475" s="14" t="s">
        <v>12725</v>
      </c>
      <c r="L475" s="14" t="s">
        <v>3524</v>
      </c>
      <c r="M475" s="14" t="s">
        <v>9158</v>
      </c>
      <c r="N475" s="14" t="s">
        <v>9158</v>
      </c>
      <c r="O475" s="14" t="s">
        <v>9158</v>
      </c>
      <c r="P475" s="14" t="s">
        <v>9158</v>
      </c>
      <c r="Q475" s="14" t="s">
        <v>9158</v>
      </c>
    </row>
    <row r="476" spans="1:17">
      <c r="A476" s="9">
        <v>87923</v>
      </c>
      <c r="B476" s="9" t="s">
        <v>22</v>
      </c>
      <c r="C476" s="9" t="s">
        <v>206</v>
      </c>
      <c r="D476" s="9" t="s">
        <v>11599</v>
      </c>
      <c r="E476" s="15" t="str">
        <f>HYPERLINK("https://stat100.ameba.jp/tnk47/ratio20/illustrations/card/ill_87923_howaitodekukki03.jpg?202102-i_prefecture_active_user", "■")</f>
        <v>■</v>
      </c>
      <c r="F476" s="9" t="s">
        <v>11603</v>
      </c>
      <c r="G476" s="9">
        <v>54058</v>
      </c>
      <c r="H476" s="9">
        <v>44948</v>
      </c>
      <c r="I476" s="9">
        <v>26</v>
      </c>
      <c r="J476" s="9" t="s">
        <v>216</v>
      </c>
      <c r="K476" s="9" t="s">
        <v>11604</v>
      </c>
      <c r="L476" s="9" t="s">
        <v>13233</v>
      </c>
      <c r="M476" s="14" t="s">
        <v>9158</v>
      </c>
      <c r="N476" s="14" t="s">
        <v>9158</v>
      </c>
      <c r="O476" s="14" t="s">
        <v>9158</v>
      </c>
      <c r="P476" s="14" t="s">
        <v>9158</v>
      </c>
      <c r="Q476" s="14" t="s">
        <v>9158</v>
      </c>
    </row>
    <row r="477" spans="1:17">
      <c r="A477" s="14">
        <v>83033</v>
      </c>
      <c r="B477" s="9" t="s">
        <v>22</v>
      </c>
      <c r="C477" s="14" t="s">
        <v>14</v>
      </c>
      <c r="D477" s="14" t="s">
        <v>16587</v>
      </c>
      <c r="E477" s="15" t="str">
        <f>HYPERLINK("https://stat100.ameba.jp/tnk47/ratio20/illustrations/card/ill_83033_obakeyashikisakurambochan03.jpg?202102-i_prefecture_active_user", "■")</f>
        <v>■</v>
      </c>
      <c r="F477" s="14" t="s">
        <v>6048</v>
      </c>
      <c r="G477" s="14">
        <v>44948</v>
      </c>
      <c r="H477" s="14">
        <v>54058</v>
      </c>
      <c r="I477" s="9">
        <v>26</v>
      </c>
      <c r="J477" s="14" t="s">
        <v>104</v>
      </c>
      <c r="K477" s="14" t="s">
        <v>16588</v>
      </c>
      <c r="L477" s="14" t="s">
        <v>3839</v>
      </c>
      <c r="M477" s="14" t="s">
        <v>9158</v>
      </c>
      <c r="N477" s="14" t="s">
        <v>9158</v>
      </c>
      <c r="O477" s="14" t="s">
        <v>9158</v>
      </c>
      <c r="P477" s="14" t="s">
        <v>9158</v>
      </c>
      <c r="Q477" s="14" t="s">
        <v>9158</v>
      </c>
    </row>
    <row r="479" spans="1:17">
      <c r="A479" s="14" t="s">
        <v>13327</v>
      </c>
    </row>
    <row r="480" spans="1:17">
      <c r="A480" s="14">
        <v>106321</v>
      </c>
      <c r="B480" s="14" t="s">
        <v>16589</v>
      </c>
    </row>
    <row r="481" spans="1:18">
      <c r="A481" s="14">
        <v>83973</v>
      </c>
      <c r="B481" s="14" t="s">
        <v>334</v>
      </c>
      <c r="C481" s="14" t="s">
        <v>14</v>
      </c>
      <c r="D481" s="19" t="s">
        <v>10570</v>
      </c>
      <c r="E481" s="15" t="str">
        <f>HYPERLINK("https://stat100.ameba.jp/tnk47/ratio20/illustrations/card/ill_83973_nekokishiirurosu03.jpg?202102-i_prefecture_active_user", "■")</f>
        <v>■</v>
      </c>
      <c r="F481" s="14" t="s">
        <v>6706</v>
      </c>
      <c r="G481" s="14">
        <v>137846</v>
      </c>
      <c r="H481" s="14">
        <v>128160</v>
      </c>
      <c r="I481" s="14">
        <v>28</v>
      </c>
      <c r="J481" s="14" t="s">
        <v>229</v>
      </c>
      <c r="K481" s="14" t="s">
        <v>6707</v>
      </c>
      <c r="L481" s="14" t="s">
        <v>13202</v>
      </c>
      <c r="M481" s="14" t="s">
        <v>13130</v>
      </c>
      <c r="N481" s="14" t="s">
        <v>343</v>
      </c>
      <c r="O481" s="14" t="s">
        <v>9158</v>
      </c>
      <c r="P481" s="14" t="s">
        <v>9158</v>
      </c>
      <c r="Q481" s="14" t="s">
        <v>9158</v>
      </c>
      <c r="R481" s="14" t="s">
        <v>14748</v>
      </c>
    </row>
    <row r="482" spans="1:18">
      <c r="A482" s="14">
        <v>83972</v>
      </c>
      <c r="B482" s="14" t="s">
        <v>334</v>
      </c>
      <c r="C482" s="14" t="s">
        <v>14</v>
      </c>
      <c r="D482" s="19" t="s">
        <v>10570</v>
      </c>
      <c r="E482" s="15" t="str">
        <f>HYPERLINK("https://stat100.ameba.jp/tnk47/ratio20/illustrations/card/ill_83972_nekokishiirurosu02.jpg?202102-i_prefecture_active_user", "■")</f>
        <v>■</v>
      </c>
      <c r="F482" s="14" t="s">
        <v>6706</v>
      </c>
      <c r="G482" s="14">
        <v>115230</v>
      </c>
      <c r="H482" s="14">
        <v>106148</v>
      </c>
      <c r="I482" s="14">
        <v>28</v>
      </c>
      <c r="J482" s="14" t="s">
        <v>229</v>
      </c>
      <c r="K482" s="14" t="s">
        <v>6707</v>
      </c>
      <c r="L482" s="14" t="s">
        <v>13201</v>
      </c>
      <c r="M482" s="14" t="s">
        <v>13131</v>
      </c>
      <c r="N482" s="14" t="s">
        <v>251</v>
      </c>
      <c r="O482" s="14" t="s">
        <v>9158</v>
      </c>
      <c r="P482" s="14" t="s">
        <v>9158</v>
      </c>
      <c r="Q482" s="14" t="s">
        <v>9158</v>
      </c>
      <c r="R482" s="14" t="s">
        <v>14748</v>
      </c>
    </row>
    <row r="483" spans="1:18">
      <c r="A483" s="14">
        <v>83971</v>
      </c>
      <c r="B483" s="14" t="s">
        <v>0</v>
      </c>
      <c r="C483" s="14" t="s">
        <v>14</v>
      </c>
      <c r="D483" s="19" t="s">
        <v>10570</v>
      </c>
      <c r="E483" s="15" t="str">
        <f>HYPERLINK("https://stat100.ameba.jp/tnk47/ratio20/illustrations/card/ill_83971_nekokishiirurosu01.jpg?202102-i_prefecture_active_user", "■")</f>
        <v>■</v>
      </c>
      <c r="F483" s="14" t="s">
        <v>6706</v>
      </c>
      <c r="G483" s="14">
        <v>87976</v>
      </c>
      <c r="H483" s="14">
        <v>81900</v>
      </c>
      <c r="I483" s="14">
        <v>28</v>
      </c>
      <c r="J483" s="14" t="s">
        <v>229</v>
      </c>
      <c r="K483" s="14" t="s">
        <v>6707</v>
      </c>
      <c r="L483" s="14" t="s">
        <v>13201</v>
      </c>
      <c r="M483" s="14" t="s">
        <v>13131</v>
      </c>
      <c r="N483" s="14" t="s">
        <v>251</v>
      </c>
      <c r="O483" s="14" t="s">
        <v>9158</v>
      </c>
      <c r="P483" s="14" t="s">
        <v>9158</v>
      </c>
      <c r="Q483" s="14" t="s">
        <v>9158</v>
      </c>
      <c r="R483" s="14" t="s">
        <v>14748</v>
      </c>
    </row>
    <row r="484" spans="1:18">
      <c r="A484" s="14">
        <v>83983</v>
      </c>
      <c r="B484" s="14" t="s">
        <v>334</v>
      </c>
      <c r="C484" s="14" t="s">
        <v>23</v>
      </c>
      <c r="D484" s="19" t="s">
        <v>10571</v>
      </c>
      <c r="E484" s="15" t="str">
        <f>HYPERLINK("https://stat100.ameba.jp/tnk47/ratio20/illustrations/card/ill_83983_ryujinsui03.jpg?202102-i_prefecture_active_user", "■")</f>
        <v>■</v>
      </c>
      <c r="F484" s="14" t="s">
        <v>6708</v>
      </c>
      <c r="G484" s="14">
        <v>128160</v>
      </c>
      <c r="H484" s="14">
        <v>137846</v>
      </c>
      <c r="I484" s="14">
        <v>28</v>
      </c>
      <c r="J484" s="14" t="s">
        <v>169</v>
      </c>
      <c r="K484" s="14" t="s">
        <v>6710</v>
      </c>
      <c r="L484" s="14" t="s">
        <v>6721</v>
      </c>
      <c r="M484" s="14" t="s">
        <v>13130</v>
      </c>
      <c r="N484" s="14" t="s">
        <v>343</v>
      </c>
      <c r="O484" s="14" t="s">
        <v>9158</v>
      </c>
      <c r="P484" s="14" t="s">
        <v>9158</v>
      </c>
      <c r="Q484" s="14" t="s">
        <v>9158</v>
      </c>
      <c r="R484" s="14" t="s">
        <v>14748</v>
      </c>
    </row>
    <row r="485" spans="1:18">
      <c r="A485" s="14">
        <v>83993</v>
      </c>
      <c r="B485" s="14" t="s">
        <v>334</v>
      </c>
      <c r="C485" s="14" t="s">
        <v>101</v>
      </c>
      <c r="D485" s="19" t="s">
        <v>10572</v>
      </c>
      <c r="E485" s="15" t="str">
        <f>HYPERLINK("https://stat100.ameba.jp/tnk47/ratio20/illustrations/card/ill_83993_enjieruzuranotamagochan03.jpg?202102-i_prefecture_active_user", "■")</f>
        <v>■</v>
      </c>
      <c r="F485" s="14" t="s">
        <v>6722</v>
      </c>
      <c r="G485" s="14">
        <v>128160</v>
      </c>
      <c r="H485" s="14">
        <v>137846</v>
      </c>
      <c r="I485" s="14">
        <v>28</v>
      </c>
      <c r="J485" s="14" t="s">
        <v>216</v>
      </c>
      <c r="K485" s="14" t="s">
        <v>6723</v>
      </c>
      <c r="L485" s="14" t="s">
        <v>6724</v>
      </c>
      <c r="M485" s="14" t="s">
        <v>13130</v>
      </c>
      <c r="N485" s="14" t="s">
        <v>343</v>
      </c>
      <c r="O485" s="14" t="s">
        <v>9158</v>
      </c>
      <c r="P485" s="14" t="s">
        <v>9158</v>
      </c>
      <c r="Q485" s="14" t="s">
        <v>9158</v>
      </c>
      <c r="R485" s="14" t="s">
        <v>14748</v>
      </c>
    </row>
    <row r="486" spans="1:18">
      <c r="A486" s="14">
        <v>84003</v>
      </c>
      <c r="B486" s="14" t="s">
        <v>0</v>
      </c>
      <c r="C486" s="14" t="s">
        <v>96</v>
      </c>
      <c r="D486" s="19" t="s">
        <v>10573</v>
      </c>
      <c r="E486" s="15" t="str">
        <f>HYPERLINK("https://stat100.ameba.jp/tnk47/ratio20/illustrations/card/ill_84003_sukoropendora03.jpg?202102-i_prefecture_active_user", "■")</f>
        <v>■</v>
      </c>
      <c r="F486" s="14" t="s">
        <v>6725</v>
      </c>
      <c r="G486" s="14">
        <v>137846</v>
      </c>
      <c r="H486" s="14">
        <v>128160</v>
      </c>
      <c r="I486" s="14">
        <v>28</v>
      </c>
      <c r="J486" s="14" t="s">
        <v>182</v>
      </c>
      <c r="K486" s="14" t="s">
        <v>6727</v>
      </c>
      <c r="L486" s="14" t="s">
        <v>6728</v>
      </c>
      <c r="M486" s="14" t="s">
        <v>13130</v>
      </c>
      <c r="N486" s="14" t="s">
        <v>343</v>
      </c>
      <c r="O486" s="14" t="s">
        <v>9158</v>
      </c>
      <c r="P486" s="14" t="s">
        <v>9158</v>
      </c>
      <c r="Q486" s="14" t="s">
        <v>9158</v>
      </c>
      <c r="R486" s="14" t="s">
        <v>14748</v>
      </c>
    </row>
    <row r="487" spans="1:18">
      <c r="A487" s="14">
        <v>84013</v>
      </c>
      <c r="B487" s="14" t="s">
        <v>334</v>
      </c>
      <c r="C487" s="14" t="s">
        <v>205</v>
      </c>
      <c r="D487" s="19" t="s">
        <v>10574</v>
      </c>
      <c r="E487" s="15" t="str">
        <f>HYPERLINK("https://stat100.ameba.jp/tnk47/ratio20/illustrations/card/ill_84013_neikiddo03.jpg?202102-i_prefecture_active_user", "■")</f>
        <v>■</v>
      </c>
      <c r="F487" s="14" t="s">
        <v>6729</v>
      </c>
      <c r="G487" s="14">
        <v>128160</v>
      </c>
      <c r="H487" s="14">
        <v>137846</v>
      </c>
      <c r="I487" s="14">
        <v>28</v>
      </c>
      <c r="J487" s="14" t="s">
        <v>194</v>
      </c>
      <c r="K487" s="14" t="s">
        <v>6731</v>
      </c>
      <c r="L487" s="14" t="s">
        <v>6732</v>
      </c>
      <c r="M487" s="14" t="s">
        <v>13130</v>
      </c>
      <c r="N487" s="14" t="s">
        <v>343</v>
      </c>
      <c r="O487" s="14" t="s">
        <v>9158</v>
      </c>
      <c r="P487" s="14" t="s">
        <v>9158</v>
      </c>
      <c r="Q487" s="14" t="s">
        <v>9158</v>
      </c>
      <c r="R487" s="14" t="s">
        <v>14748</v>
      </c>
    </row>
    <row r="488" spans="1:18">
      <c r="A488" s="14">
        <v>76763</v>
      </c>
      <c r="B488" s="14" t="s">
        <v>334</v>
      </c>
      <c r="C488" s="14" t="s">
        <v>107</v>
      </c>
      <c r="D488" s="19" t="s">
        <v>10575</v>
      </c>
      <c r="E488" s="15" t="str">
        <f>HYPERLINK("https://stat100.ameba.jp/tnk47/ratio20/illustrations/card/ill_76763_monsutanabeshimakeiginni03.jpg?202102-i_prefecture_active_user", "■")</f>
        <v>■</v>
      </c>
      <c r="F488" s="14" t="s">
        <v>6733</v>
      </c>
      <c r="G488" s="14">
        <v>137846</v>
      </c>
      <c r="H488" s="14">
        <v>128160</v>
      </c>
      <c r="I488" s="14">
        <v>28</v>
      </c>
      <c r="J488" s="14" t="s">
        <v>187</v>
      </c>
      <c r="K488" s="14" t="s">
        <v>6735</v>
      </c>
      <c r="L488" s="14" t="s">
        <v>6736</v>
      </c>
      <c r="M488" s="14" t="s">
        <v>13130</v>
      </c>
      <c r="N488" s="14" t="s">
        <v>343</v>
      </c>
      <c r="O488" s="14" t="s">
        <v>9158</v>
      </c>
      <c r="P488" s="14" t="s">
        <v>9158</v>
      </c>
      <c r="Q488" s="14" t="s">
        <v>9158</v>
      </c>
      <c r="R488" s="14" t="s">
        <v>14748</v>
      </c>
    </row>
    <row r="490" spans="1:18">
      <c r="A490" s="14" t="s">
        <v>16017</v>
      </c>
    </row>
    <row r="491" spans="1:18">
      <c r="A491" s="14">
        <v>236390</v>
      </c>
      <c r="B491" s="14" t="s">
        <v>16019</v>
      </c>
    </row>
    <row r="492" spans="1:18">
      <c r="A492" s="14">
        <v>236396</v>
      </c>
      <c r="B492" s="14" t="s">
        <v>16018</v>
      </c>
    </row>
    <row r="493" spans="1:18">
      <c r="A493" s="14" t="s">
        <v>15807</v>
      </c>
      <c r="B493" s="14" t="s">
        <v>52</v>
      </c>
      <c r="C493" s="14" t="s">
        <v>35</v>
      </c>
      <c r="D493" s="14" t="s">
        <v>15808</v>
      </c>
      <c r="E493" s="15" t="str">
        <f>HYPERLINK("https://stat100.ameba.jp/tnk47/ratio20/illustrations/card/ill_95013_0_shinshunnisennijuichiayakashi03.jpg?202102-i_prefecture_active_userx", "■")</f>
        <v>■</v>
      </c>
      <c r="F493" s="14" t="s">
        <v>15806</v>
      </c>
      <c r="G493" s="14">
        <v>278470</v>
      </c>
      <c r="H493" s="14">
        <v>308104</v>
      </c>
      <c r="I493" s="14">
        <v>28</v>
      </c>
      <c r="J493" s="14" t="s">
        <v>73</v>
      </c>
      <c r="K493" s="14" t="s">
        <v>15805</v>
      </c>
      <c r="L493" s="14" t="s">
        <v>15804</v>
      </c>
      <c r="M493" s="14" t="s">
        <v>9158</v>
      </c>
      <c r="N493" s="14" t="s">
        <v>9158</v>
      </c>
      <c r="O493" s="14" t="s">
        <v>15802</v>
      </c>
      <c r="P493" s="14" t="s">
        <v>15803</v>
      </c>
      <c r="Q493" s="14">
        <v>0</v>
      </c>
    </row>
    <row r="494" spans="1:18">
      <c r="A494" s="14">
        <v>95423</v>
      </c>
      <c r="B494" s="14" t="s">
        <v>16026</v>
      </c>
      <c r="C494" s="14" t="s">
        <v>16030</v>
      </c>
      <c r="D494" s="14" t="s">
        <v>16029</v>
      </c>
      <c r="E494" s="15" t="str">
        <f>HYPERLINK("https://stat100.ameba.jp/tnk47/ratio20/illustrations/card/ill_95423_hyojotsuriyureigasa03.jpg?202102-i_prefecture_active_userx", "■")</f>
        <v>■</v>
      </c>
      <c r="F494" s="14" t="s">
        <v>16025</v>
      </c>
      <c r="G494" s="14">
        <v>106178</v>
      </c>
      <c r="H494" s="14">
        <v>114208</v>
      </c>
      <c r="I494" s="14">
        <v>28</v>
      </c>
      <c r="J494" s="14" t="s">
        <v>16024</v>
      </c>
      <c r="K494" s="14" t="s">
        <v>16023</v>
      </c>
      <c r="L494" s="14" t="s">
        <v>16022</v>
      </c>
      <c r="M494" s="14" t="s">
        <v>9158</v>
      </c>
      <c r="N494" s="14" t="s">
        <v>9158</v>
      </c>
      <c r="O494" s="14" t="s">
        <v>9158</v>
      </c>
      <c r="P494" s="14" t="s">
        <v>9158</v>
      </c>
      <c r="Q494" s="14" t="s">
        <v>9158</v>
      </c>
    </row>
    <row r="495" spans="1:18">
      <c r="A495" s="14">
        <v>95433</v>
      </c>
      <c r="B495" s="14" t="s">
        <v>16026</v>
      </c>
      <c r="C495" s="14" t="s">
        <v>16036</v>
      </c>
      <c r="D495" s="14" t="s">
        <v>16035</v>
      </c>
      <c r="E495" s="15" t="str">
        <f>HYPERLINK("https://stat100.ameba.jp/tnk47/ratio20/illustrations/card/ill_95433_nonakachiyoko03.jpg?202102-i_prefecture_active_userx", "■")</f>
        <v>■</v>
      </c>
      <c r="F495" s="14" t="s">
        <v>16034</v>
      </c>
      <c r="G495" s="14">
        <v>113536</v>
      </c>
      <c r="H495" s="14">
        <v>105610</v>
      </c>
      <c r="I495" s="14">
        <v>28</v>
      </c>
      <c r="J495" s="14" t="s">
        <v>16033</v>
      </c>
      <c r="K495" s="14" t="s">
        <v>16032</v>
      </c>
      <c r="L495" s="14" t="s">
        <v>16031</v>
      </c>
      <c r="M495" s="14" t="s">
        <v>9158</v>
      </c>
      <c r="N495" s="14" t="s">
        <v>9158</v>
      </c>
      <c r="O495" s="14" t="s">
        <v>9158</v>
      </c>
      <c r="P495" s="14" t="s">
        <v>9158</v>
      </c>
      <c r="Q495" s="14" t="s">
        <v>9158</v>
      </c>
    </row>
    <row r="496" spans="1:18">
      <c r="A496" s="14">
        <v>95443</v>
      </c>
      <c r="B496" s="14" t="s">
        <v>16027</v>
      </c>
      <c r="C496" s="14" t="s">
        <v>16041</v>
      </c>
      <c r="D496" s="14" t="s">
        <v>16040</v>
      </c>
      <c r="E496" s="15" t="str">
        <f>HYPERLINK("https://stat100.ameba.jp/tnk47/ratio20/illustrations/card/ill_95443_ningyohimeakakanaja03.jpg?202102-i_prefecture_active_userx", "■")</f>
        <v>■</v>
      </c>
      <c r="F496" s="14" t="s">
        <v>16039</v>
      </c>
      <c r="G496" s="14">
        <v>75274</v>
      </c>
      <c r="H496" s="14">
        <v>82992</v>
      </c>
      <c r="I496" s="14">
        <v>28</v>
      </c>
      <c r="J496" s="14" t="s">
        <v>16024</v>
      </c>
      <c r="K496" s="14" t="s">
        <v>16038</v>
      </c>
      <c r="L496" s="14" t="s">
        <v>16037</v>
      </c>
      <c r="M496" s="14" t="s">
        <v>9158</v>
      </c>
      <c r="N496" s="14" t="s">
        <v>9158</v>
      </c>
      <c r="O496" s="14" t="s">
        <v>9158</v>
      </c>
      <c r="P496" s="14" t="s">
        <v>9158</v>
      </c>
      <c r="Q496" s="14" t="s">
        <v>9158</v>
      </c>
    </row>
    <row r="497" spans="1:18">
      <c r="A497" s="14">
        <v>95453</v>
      </c>
      <c r="B497" s="14" t="s">
        <v>16028</v>
      </c>
      <c r="C497" s="14" t="s">
        <v>16047</v>
      </c>
      <c r="D497" s="14" t="s">
        <v>16046</v>
      </c>
      <c r="E497" s="15" t="str">
        <f>HYPERLINK("https://stat100.ameba.jp/tnk47/ratio20/illustrations/card/ill_95453_shirasuchan03.jpg?202102-i_prefecture_active_userx", "■")</f>
        <v>■</v>
      </c>
      <c r="F497" s="14" t="s">
        <v>16045</v>
      </c>
      <c r="G497" s="14">
        <v>58216</v>
      </c>
      <c r="H497" s="14">
        <v>48406</v>
      </c>
      <c r="I497" s="14">
        <v>28</v>
      </c>
      <c r="J497" s="14" t="s">
        <v>16044</v>
      </c>
      <c r="K497" s="14" t="s">
        <v>16043</v>
      </c>
      <c r="L497" s="14" t="s">
        <v>16042</v>
      </c>
      <c r="M497" s="14" t="s">
        <v>9158</v>
      </c>
      <c r="N497" s="14" t="s">
        <v>9158</v>
      </c>
      <c r="O497" s="14" t="s">
        <v>9158</v>
      </c>
      <c r="P497" s="14" t="s">
        <v>9158</v>
      </c>
      <c r="Q497" s="14" t="s">
        <v>9158</v>
      </c>
    </row>
    <row r="498" spans="1:18">
      <c r="A498" s="14">
        <v>95463</v>
      </c>
      <c r="B498" s="14" t="s">
        <v>16028</v>
      </c>
      <c r="C498" s="14" t="s">
        <v>16052</v>
      </c>
      <c r="D498" s="14" t="s">
        <v>16051</v>
      </c>
      <c r="E498" s="15" t="str">
        <f>HYPERLINK("https://stat100.ameba.jp/tnk47/ratio20/illustrations/card/ill_95463_mikatanosami03.jpg?202102-i_prefecture_active_userx", "■")</f>
        <v>■</v>
      </c>
      <c r="F498" s="14" t="s">
        <v>16050</v>
      </c>
      <c r="G498" s="14">
        <v>48406</v>
      </c>
      <c r="H498" s="14">
        <v>58216</v>
      </c>
      <c r="I498" s="14">
        <v>28</v>
      </c>
      <c r="J498" s="14" t="s">
        <v>16033</v>
      </c>
      <c r="K498" s="14" t="s">
        <v>16049</v>
      </c>
      <c r="L498" s="14" t="s">
        <v>16048</v>
      </c>
      <c r="M498" s="14" t="s">
        <v>9158</v>
      </c>
      <c r="N498" s="14" t="s">
        <v>9158</v>
      </c>
      <c r="O498" s="14" t="s">
        <v>9158</v>
      </c>
      <c r="P498" s="14" t="s">
        <v>9158</v>
      </c>
      <c r="Q498" s="14" t="s">
        <v>9158</v>
      </c>
    </row>
    <row r="500" spans="1:18">
      <c r="A500" s="14" t="s">
        <v>16020</v>
      </c>
    </row>
    <row r="501" spans="1:18">
      <c r="A501" s="14">
        <v>236423</v>
      </c>
      <c r="B501" s="14" t="s">
        <v>16021</v>
      </c>
    </row>
    <row r="502" spans="1:18">
      <c r="A502" s="14" t="s">
        <v>5650</v>
      </c>
      <c r="B502" s="14" t="s">
        <v>52</v>
      </c>
      <c r="C502" s="14" t="s">
        <v>23</v>
      </c>
      <c r="D502" s="14" t="s">
        <v>136</v>
      </c>
      <c r="E502" s="15" t="str">
        <f>HYPERLINK("https://stat100.ameba.jp/tnk47/ratio20/illustrations/card/ill_68033_0_kurisumasupateikandamyojin03.jpg?202102-i_prefecture_active_userx", "■")</f>
        <v>■</v>
      </c>
      <c r="F502" s="14" t="s">
        <v>1871</v>
      </c>
      <c r="G502" s="14">
        <v>139878</v>
      </c>
      <c r="H502" s="14">
        <v>150466</v>
      </c>
      <c r="I502" s="14">
        <v>22</v>
      </c>
      <c r="J502" s="14" t="s">
        <v>44</v>
      </c>
      <c r="K502" s="14" t="s">
        <v>1872</v>
      </c>
      <c r="L502" s="14" t="s">
        <v>1873</v>
      </c>
      <c r="M502" s="14" t="s">
        <v>9158</v>
      </c>
      <c r="N502" s="14" t="s">
        <v>9158</v>
      </c>
      <c r="O502" s="7" t="s">
        <v>3482</v>
      </c>
      <c r="P502" s="14" t="s">
        <v>3483</v>
      </c>
      <c r="Q502" s="14">
        <v>2</v>
      </c>
    </row>
    <row r="503" spans="1:18">
      <c r="A503" s="14" t="s">
        <v>5617</v>
      </c>
      <c r="B503" s="14" t="s">
        <v>330</v>
      </c>
      <c r="C503" s="14" t="s">
        <v>308</v>
      </c>
      <c r="D503" s="19" t="s">
        <v>385</v>
      </c>
      <c r="E503" s="15" t="str">
        <f>HYPERLINK("https://stat100.ameba.jp/tnk47/ratio20/illustrations/card/ill_59673_0_oheyashutendoji03.jpg?202102-i_prefecture_active_userx", "■")</f>
        <v>■</v>
      </c>
      <c r="F503" s="14" t="s">
        <v>386</v>
      </c>
      <c r="G503" s="14">
        <v>154800</v>
      </c>
      <c r="H503" s="14">
        <v>166504</v>
      </c>
      <c r="I503" s="14">
        <v>22</v>
      </c>
      <c r="J503" s="14" t="s">
        <v>320</v>
      </c>
      <c r="K503" s="14" t="s">
        <v>387</v>
      </c>
      <c r="L503" s="14" t="s">
        <v>388</v>
      </c>
      <c r="M503" s="14" t="s">
        <v>9158</v>
      </c>
      <c r="N503" s="14" t="s">
        <v>9158</v>
      </c>
      <c r="O503" s="19" t="s">
        <v>10078</v>
      </c>
      <c r="P503" s="14" t="s">
        <v>3022</v>
      </c>
      <c r="Q503" s="14">
        <v>1</v>
      </c>
    </row>
    <row r="504" spans="1:18">
      <c r="A504" s="14" t="s">
        <v>6132</v>
      </c>
      <c r="B504" s="14" t="s">
        <v>330</v>
      </c>
      <c r="C504" s="14" t="s">
        <v>205</v>
      </c>
      <c r="D504" s="19" t="s">
        <v>702</v>
      </c>
      <c r="E504" s="15" t="str">
        <f>HYPERLINK("https://stat100.ameba.jp/tnk47/ratio20/illustrations/card/ill_50693_0_hanamizugimimuratsuru03.jpg?202102-i_prefecture_active_userx", "■")</f>
        <v>■</v>
      </c>
      <c r="F504" s="14" t="s">
        <v>703</v>
      </c>
      <c r="G504" s="14">
        <v>122776</v>
      </c>
      <c r="H504" s="14">
        <v>138212</v>
      </c>
      <c r="I504" s="14">
        <v>22</v>
      </c>
      <c r="J504" s="14" t="s">
        <v>310</v>
      </c>
      <c r="K504" s="14" t="s">
        <v>704</v>
      </c>
      <c r="L504" s="14" t="s">
        <v>705</v>
      </c>
      <c r="M504" s="14" t="s">
        <v>9158</v>
      </c>
      <c r="N504" s="14" t="s">
        <v>9158</v>
      </c>
      <c r="O504" s="9" t="s">
        <v>9158</v>
      </c>
      <c r="P504" s="14" t="s">
        <v>9158</v>
      </c>
      <c r="Q504" s="14" t="s">
        <v>9158</v>
      </c>
    </row>
    <row r="505" spans="1:18">
      <c r="A505" s="9">
        <v>69953</v>
      </c>
      <c r="B505" s="14" t="s">
        <v>334</v>
      </c>
      <c r="C505" s="14" t="s">
        <v>200</v>
      </c>
      <c r="D505" s="14" t="s">
        <v>1258</v>
      </c>
      <c r="E505" s="15" t="str">
        <f>HYPERLINK("https://stat100.ameba.jp/tnk47/ratio20/illustrations/card/ill_69953_hyoketsunonikusutopatororu03.jpg?202102-i_prefecture_active_userx", "■")</f>
        <v>■</v>
      </c>
      <c r="F505" s="14" t="s">
        <v>1259</v>
      </c>
      <c r="G505" s="14">
        <v>91874</v>
      </c>
      <c r="H505" s="14">
        <v>163316</v>
      </c>
      <c r="I505" s="14">
        <v>28</v>
      </c>
      <c r="J505" s="14" t="s">
        <v>143</v>
      </c>
      <c r="K505" s="14" t="s">
        <v>1260</v>
      </c>
      <c r="L505" s="14" t="s">
        <v>1190</v>
      </c>
      <c r="M505" s="14" t="s">
        <v>9158</v>
      </c>
      <c r="N505" s="14" t="s">
        <v>9158</v>
      </c>
      <c r="O505" s="14" t="s">
        <v>9158</v>
      </c>
      <c r="P505" s="14" t="s">
        <v>9158</v>
      </c>
      <c r="Q505" s="14" t="s">
        <v>9158</v>
      </c>
    </row>
    <row r="506" spans="1:18">
      <c r="A506" s="9">
        <v>58283</v>
      </c>
      <c r="B506" s="14" t="s">
        <v>334</v>
      </c>
      <c r="C506" s="14" t="s">
        <v>308</v>
      </c>
      <c r="D506" s="14" t="s">
        <v>2594</v>
      </c>
      <c r="E506" s="15" t="str">
        <f>HYPERLINK("https://stat100.ameba.jp/tnk47/ratio20/illustrations/card/ill_58283_kyomai03.jpg?202102-i_prefecture_active_userx", "■")</f>
        <v>■</v>
      </c>
      <c r="F506" s="14" t="s">
        <v>551</v>
      </c>
      <c r="G506" s="14">
        <v>87336</v>
      </c>
      <c r="H506" s="14">
        <v>121486</v>
      </c>
      <c r="I506" s="14">
        <v>28</v>
      </c>
      <c r="J506" s="14" t="s">
        <v>369</v>
      </c>
      <c r="K506" s="14" t="s">
        <v>552</v>
      </c>
      <c r="L506" s="14" t="s">
        <v>553</v>
      </c>
      <c r="M506" s="14" t="s">
        <v>9158</v>
      </c>
      <c r="N506" s="14" t="s">
        <v>9158</v>
      </c>
      <c r="O506" s="14" t="s">
        <v>9158</v>
      </c>
      <c r="P506" s="14" t="s">
        <v>9158</v>
      </c>
      <c r="Q506" s="14" t="s">
        <v>9158</v>
      </c>
    </row>
    <row r="507" spans="1:18">
      <c r="A507" s="9">
        <v>87333</v>
      </c>
      <c r="B507" s="9" t="s">
        <v>0</v>
      </c>
      <c r="C507" s="9" t="s">
        <v>185</v>
      </c>
      <c r="D507" s="19" t="s">
        <v>10996</v>
      </c>
      <c r="E507" s="15" t="str">
        <f>HYPERLINK("https://stat100.ameba.jp/tnk47/ratio20/illustrations/card/ill_87333_sammadon03.jpg?202102-i_prefecture_active_userx", "■")</f>
        <v>■</v>
      </c>
      <c r="F507" s="9" t="s">
        <v>9827</v>
      </c>
      <c r="G507" s="9">
        <v>154768</v>
      </c>
      <c r="H507" s="9">
        <v>166452</v>
      </c>
      <c r="I507" s="14">
        <v>28</v>
      </c>
      <c r="J507" s="9" t="s">
        <v>216</v>
      </c>
      <c r="K507" s="9" t="s">
        <v>9826</v>
      </c>
      <c r="L507" s="9" t="s">
        <v>2304</v>
      </c>
      <c r="M507" s="14" t="s">
        <v>9158</v>
      </c>
      <c r="N507" s="14" t="s">
        <v>9158</v>
      </c>
      <c r="O507" s="14" t="s">
        <v>9158</v>
      </c>
      <c r="P507" s="14" t="s">
        <v>9158</v>
      </c>
      <c r="Q507" s="14" t="s">
        <v>9158</v>
      </c>
    </row>
    <row r="509" spans="1:18">
      <c r="A509" s="14" t="s">
        <v>3643</v>
      </c>
    </row>
    <row r="510" spans="1:18">
      <c r="A510" s="14">
        <v>106358</v>
      </c>
      <c r="B510" s="14" t="s">
        <v>16213</v>
      </c>
    </row>
    <row r="511" spans="1:18">
      <c r="A511" s="14">
        <v>91795</v>
      </c>
      <c r="B511" s="14" t="s">
        <v>0</v>
      </c>
      <c r="C511" s="14" t="s">
        <v>202</v>
      </c>
      <c r="D511" s="14" t="s">
        <v>14594</v>
      </c>
      <c r="E511" s="15" t="str">
        <f>HYPERLINK("https://stat100.ameba.jp/tnk47/ratio20/illustrations/card/ill_91795_porisufugusashichan05.jpg?202102-5-RELEASE-marathon-516", "■")</f>
        <v>■</v>
      </c>
      <c r="F511" s="14" t="s">
        <v>14593</v>
      </c>
      <c r="G511" s="14">
        <v>121038</v>
      </c>
      <c r="H511" s="14">
        <v>167158</v>
      </c>
      <c r="I511" s="14">
        <v>28</v>
      </c>
      <c r="J511" s="14" t="s">
        <v>104</v>
      </c>
      <c r="K511" s="14" t="s">
        <v>14591</v>
      </c>
      <c r="L511" s="14" t="s">
        <v>14590</v>
      </c>
      <c r="M511" s="14" t="s">
        <v>9158</v>
      </c>
      <c r="N511" s="14" t="s">
        <v>9158</v>
      </c>
      <c r="O511" s="14" t="s">
        <v>9158</v>
      </c>
      <c r="P511" s="14" t="s">
        <v>9158</v>
      </c>
      <c r="Q511" s="14" t="s">
        <v>9158</v>
      </c>
      <c r="R511" s="14" t="s">
        <v>174</v>
      </c>
    </row>
    <row r="512" spans="1:18">
      <c r="A512" s="14">
        <v>91793</v>
      </c>
      <c r="B512" s="14" t="s">
        <v>15</v>
      </c>
      <c r="C512" s="14" t="s">
        <v>158</v>
      </c>
      <c r="D512" s="14" t="s">
        <v>14594</v>
      </c>
      <c r="E512" s="15" t="str">
        <f>HYPERLINK("https://stat100.ameba.jp/tnk47/ratio20/illustrations/card/ill_91793_porisufugusashichan03.jpg?202102-5-RELEASE-marathon-516", "■")</f>
        <v>■</v>
      </c>
      <c r="F512" s="14" t="s">
        <v>14593</v>
      </c>
      <c r="G512" s="14">
        <v>89174</v>
      </c>
      <c r="H512" s="14">
        <v>123158</v>
      </c>
      <c r="I512" s="14">
        <v>28</v>
      </c>
      <c r="J512" s="14" t="s">
        <v>104</v>
      </c>
      <c r="K512" s="14" t="s">
        <v>14591</v>
      </c>
      <c r="L512" s="14" t="s">
        <v>13966</v>
      </c>
      <c r="M512" s="14" t="s">
        <v>9158</v>
      </c>
      <c r="N512" s="14" t="s">
        <v>9158</v>
      </c>
      <c r="O512" s="14" t="s">
        <v>9158</v>
      </c>
      <c r="P512" s="14" t="s">
        <v>9158</v>
      </c>
      <c r="Q512" s="14" t="s">
        <v>9158</v>
      </c>
      <c r="R512" s="14" t="s">
        <v>175</v>
      </c>
    </row>
    <row r="513" spans="1:18">
      <c r="A513" s="14">
        <v>91791</v>
      </c>
      <c r="B513" s="14" t="s">
        <v>15</v>
      </c>
      <c r="C513" s="14" t="s">
        <v>158</v>
      </c>
      <c r="D513" s="14" t="s">
        <v>14594</v>
      </c>
      <c r="E513" s="15" t="str">
        <f>HYPERLINK("https://stat100.ameba.jp/tnk47/ratio20/illustrations/card/ill_91791_porisufugusashichan01.jpg?202102-5-RELEASE-marathon-516", "■")</f>
        <v>■</v>
      </c>
      <c r="F513" s="14" t="s">
        <v>14593</v>
      </c>
      <c r="G513" s="14">
        <v>56728</v>
      </c>
      <c r="H513" s="14">
        <v>78344</v>
      </c>
      <c r="I513" s="14">
        <v>28</v>
      </c>
      <c r="J513" s="14" t="s">
        <v>104</v>
      </c>
      <c r="K513" s="14" t="s">
        <v>14591</v>
      </c>
      <c r="L513" s="14" t="s">
        <v>14597</v>
      </c>
      <c r="M513" s="14" t="s">
        <v>9158</v>
      </c>
      <c r="N513" s="14" t="s">
        <v>9158</v>
      </c>
      <c r="O513" s="14" t="s">
        <v>9158</v>
      </c>
      <c r="P513" s="14" t="s">
        <v>9158</v>
      </c>
      <c r="Q513" s="14" t="s">
        <v>9158</v>
      </c>
      <c r="R513" s="14" t="s">
        <v>176</v>
      </c>
    </row>
    <row r="514" spans="1:18">
      <c r="A514" s="14">
        <v>91185</v>
      </c>
      <c r="B514" s="14" t="s">
        <v>0</v>
      </c>
      <c r="C514" s="14" t="s">
        <v>202</v>
      </c>
      <c r="D514" s="14" t="s">
        <v>13522</v>
      </c>
      <c r="E514" s="15" t="str">
        <f>HYPERLINK("https://stat100.ameba.jp/tnk47/ratio20/illustrations/card/ill_91185_buaruneru05.jpg?202102-5-RELEASE-marathon-516", "■")</f>
        <v>■</v>
      </c>
      <c r="F514" s="14" t="s">
        <v>13523</v>
      </c>
      <c r="G514" s="14">
        <v>145082</v>
      </c>
      <c r="H514" s="14">
        <v>200370</v>
      </c>
      <c r="I514" s="14">
        <v>28</v>
      </c>
      <c r="J514" s="14" t="s">
        <v>143</v>
      </c>
      <c r="K514" s="14" t="s">
        <v>13525</v>
      </c>
      <c r="L514" s="14" t="s">
        <v>12361</v>
      </c>
      <c r="M514" s="14" t="s">
        <v>9158</v>
      </c>
      <c r="N514" s="14" t="s">
        <v>9158</v>
      </c>
      <c r="O514" s="14" t="s">
        <v>9158</v>
      </c>
      <c r="P514" s="14" t="s">
        <v>9158</v>
      </c>
      <c r="Q514" s="14" t="s">
        <v>9158</v>
      </c>
      <c r="R514" s="14" t="s">
        <v>174</v>
      </c>
    </row>
    <row r="515" spans="1:18">
      <c r="A515" s="14">
        <v>91183</v>
      </c>
      <c r="B515" s="14" t="s">
        <v>15</v>
      </c>
      <c r="C515" s="14" t="s">
        <v>154</v>
      </c>
      <c r="D515" s="14" t="s">
        <v>13522</v>
      </c>
      <c r="E515" s="15" t="str">
        <f>HYPERLINK("https://stat100.ameba.jp/tnk47/ratio20/illustrations/card/ill_91183_buaruneru03.jpg?202102-5-RELEASE-marathon-516", "■")</f>
        <v>■</v>
      </c>
      <c r="F515" s="14" t="s">
        <v>13523</v>
      </c>
      <c r="G515" s="14">
        <v>106890</v>
      </c>
      <c r="H515" s="14">
        <v>147630</v>
      </c>
      <c r="I515" s="14">
        <v>28</v>
      </c>
      <c r="J515" s="14" t="s">
        <v>143</v>
      </c>
      <c r="K515" s="14" t="s">
        <v>13525</v>
      </c>
      <c r="L515" s="14" t="s">
        <v>13527</v>
      </c>
      <c r="M515" s="14" t="s">
        <v>9158</v>
      </c>
      <c r="N515" s="14" t="s">
        <v>9158</v>
      </c>
      <c r="O515" s="14" t="s">
        <v>9158</v>
      </c>
      <c r="P515" s="14" t="s">
        <v>9158</v>
      </c>
      <c r="Q515" s="14" t="s">
        <v>9158</v>
      </c>
      <c r="R515" s="14" t="s">
        <v>175</v>
      </c>
    </row>
    <row r="516" spans="1:18">
      <c r="A516" s="14">
        <v>91181</v>
      </c>
      <c r="B516" s="14" t="s">
        <v>15</v>
      </c>
      <c r="C516" s="14" t="s">
        <v>154</v>
      </c>
      <c r="D516" s="14" t="s">
        <v>13522</v>
      </c>
      <c r="E516" s="15" t="str">
        <f>HYPERLINK("https://stat100.ameba.jp/tnk47/ratio20/illustrations/card/ill_91181_buaruneru01.jpg?202102-5-RELEASE-marathon-516", "■")</f>
        <v>■</v>
      </c>
      <c r="F516" s="14" t="s">
        <v>13523</v>
      </c>
      <c r="G516" s="14">
        <v>68012</v>
      </c>
      <c r="H516" s="14">
        <v>93912</v>
      </c>
      <c r="I516" s="14">
        <v>28</v>
      </c>
      <c r="J516" s="14" t="s">
        <v>143</v>
      </c>
      <c r="K516" s="14" t="s">
        <v>13525</v>
      </c>
      <c r="L516" s="14" t="s">
        <v>13528</v>
      </c>
      <c r="M516" s="14" t="s">
        <v>9158</v>
      </c>
      <c r="N516" s="14" t="s">
        <v>9158</v>
      </c>
      <c r="O516" s="14" t="s">
        <v>9158</v>
      </c>
      <c r="P516" s="14" t="s">
        <v>9158</v>
      </c>
      <c r="Q516" s="14" t="s">
        <v>9158</v>
      </c>
      <c r="R516" s="14" t="s">
        <v>176</v>
      </c>
    </row>
    <row r="517" spans="1:18">
      <c r="A517" s="14">
        <v>85015</v>
      </c>
      <c r="B517" s="14" t="s">
        <v>0</v>
      </c>
      <c r="C517" s="14" t="s">
        <v>202</v>
      </c>
      <c r="D517" s="14" t="s">
        <v>16214</v>
      </c>
      <c r="E517" s="15" t="str">
        <f>HYPERLINK("https://stat100.ameba.jp/tnk47/ratio20/illustrations/card/ill_85015_yukimomijifujiwaranokiyohira05.jpg?202102-5-RELEASE-marathon-516", "■")</f>
        <v>■</v>
      </c>
      <c r="F517" s="14" t="s">
        <v>7823</v>
      </c>
      <c r="G517" s="14">
        <v>210358</v>
      </c>
      <c r="H517" s="14">
        <v>152322</v>
      </c>
      <c r="I517" s="14">
        <v>28</v>
      </c>
      <c r="J517" s="14" t="s">
        <v>10</v>
      </c>
      <c r="K517" s="14" t="s">
        <v>7824</v>
      </c>
      <c r="L517" s="14" t="s">
        <v>7821</v>
      </c>
      <c r="M517" s="14" t="s">
        <v>9158</v>
      </c>
      <c r="N517" s="14" t="s">
        <v>9158</v>
      </c>
      <c r="O517" s="14" t="s">
        <v>9158</v>
      </c>
      <c r="P517" s="14" t="s">
        <v>9158</v>
      </c>
      <c r="Q517" s="14" t="s">
        <v>9158</v>
      </c>
      <c r="R517" s="14" t="s">
        <v>174</v>
      </c>
    </row>
    <row r="518" spans="1:18">
      <c r="A518" s="14">
        <v>85013</v>
      </c>
      <c r="B518" s="14" t="s">
        <v>15</v>
      </c>
      <c r="C518" s="14" t="s">
        <v>154</v>
      </c>
      <c r="D518" s="14" t="s">
        <v>16214</v>
      </c>
      <c r="E518" s="15" t="str">
        <f>HYPERLINK("https://stat100.ameba.jp/tnk47/ratio20/illustrations/card/ill_85013_yukimomijifujiwaranokiyohira03.jpg?202102-5-RELEASE-marathon-516", "■")</f>
        <v>■</v>
      </c>
      <c r="F518" s="14" t="s">
        <v>7823</v>
      </c>
      <c r="G518" s="14">
        <v>154992</v>
      </c>
      <c r="H518" s="14">
        <v>112234</v>
      </c>
      <c r="I518" s="14">
        <v>28</v>
      </c>
      <c r="J518" s="14" t="s">
        <v>10</v>
      </c>
      <c r="K518" s="14" t="s">
        <v>7824</v>
      </c>
      <c r="L518" s="14" t="s">
        <v>7825</v>
      </c>
      <c r="M518" s="14" t="s">
        <v>9158</v>
      </c>
      <c r="N518" s="14" t="s">
        <v>9158</v>
      </c>
      <c r="O518" s="14" t="s">
        <v>9158</v>
      </c>
      <c r="P518" s="14" t="s">
        <v>9158</v>
      </c>
      <c r="Q518" s="14" t="s">
        <v>9158</v>
      </c>
      <c r="R518" s="14" t="s">
        <v>175</v>
      </c>
    </row>
    <row r="519" spans="1:18">
      <c r="A519" s="14">
        <v>85011</v>
      </c>
      <c r="B519" s="14" t="s">
        <v>15</v>
      </c>
      <c r="C519" s="14" t="s">
        <v>154</v>
      </c>
      <c r="D519" s="14" t="s">
        <v>16214</v>
      </c>
      <c r="E519" s="15" t="str">
        <f>HYPERLINK("https://stat100.ameba.jp/tnk47/ratio20/illustrations/card/ill_85011_yukimomijifujiwaranokiyohira01.jpg?202102-5-RELEASE-marathon-516", "■")</f>
        <v>■</v>
      </c>
      <c r="F519" s="14" t="s">
        <v>7823</v>
      </c>
      <c r="G519" s="14">
        <v>98588</v>
      </c>
      <c r="H519" s="14">
        <v>71400</v>
      </c>
      <c r="I519" s="14">
        <v>28</v>
      </c>
      <c r="J519" s="14" t="s">
        <v>10</v>
      </c>
      <c r="K519" s="14" t="s">
        <v>7824</v>
      </c>
      <c r="L519" s="14" t="s">
        <v>7826</v>
      </c>
      <c r="M519" s="14" t="s">
        <v>9158</v>
      </c>
      <c r="N519" s="14" t="s">
        <v>9158</v>
      </c>
      <c r="O519" s="14" t="s">
        <v>9158</v>
      </c>
      <c r="P519" s="14" t="s">
        <v>9158</v>
      </c>
      <c r="Q519" s="14" t="s">
        <v>9158</v>
      </c>
      <c r="R519" s="14" t="s">
        <v>176</v>
      </c>
    </row>
    <row r="521" spans="1:18">
      <c r="A521" s="14" t="s">
        <v>3844</v>
      </c>
    </row>
    <row r="522" spans="1:18">
      <c r="A522" s="14">
        <v>106375</v>
      </c>
      <c r="B522" s="14" t="s">
        <v>16215</v>
      </c>
    </row>
    <row r="523" spans="1:18">
      <c r="A523" s="14" t="s">
        <v>5615</v>
      </c>
      <c r="B523" s="14" t="s">
        <v>330</v>
      </c>
      <c r="C523" s="14" t="s">
        <v>206</v>
      </c>
      <c r="D523" s="20" t="s">
        <v>2814</v>
      </c>
      <c r="E523" s="15" t="str">
        <f>HYPERLINK("https://stat100.ameba.jp/tnk47/ratio20/illustrations/card/ill_57733_0_shogatsunisenjunanaamakusashiro03.jpg?202102-5-RELEASE-marathon-516", "■")</f>
        <v>■</v>
      </c>
      <c r="F523" s="14" t="s">
        <v>2815</v>
      </c>
      <c r="G523" s="14">
        <v>145100</v>
      </c>
      <c r="H523" s="14">
        <v>163342</v>
      </c>
      <c r="I523" s="14">
        <v>26</v>
      </c>
      <c r="J523" s="14" t="s">
        <v>351</v>
      </c>
      <c r="K523" s="14" t="s">
        <v>2816</v>
      </c>
      <c r="L523" s="14" t="s">
        <v>2817</v>
      </c>
      <c r="M523" s="14" t="s">
        <v>9158</v>
      </c>
      <c r="N523" s="14" t="s">
        <v>9158</v>
      </c>
      <c r="O523" s="19" t="s">
        <v>10077</v>
      </c>
      <c r="P523" s="14" t="s">
        <v>3062</v>
      </c>
      <c r="Q523" s="14">
        <v>1</v>
      </c>
    </row>
    <row r="524" spans="1:18">
      <c r="A524" s="9">
        <v>81143</v>
      </c>
      <c r="B524" s="14" t="s">
        <v>334</v>
      </c>
      <c r="C524" s="14" t="s">
        <v>205</v>
      </c>
      <c r="D524" s="14" t="s">
        <v>4516</v>
      </c>
      <c r="E524" s="15" t="str">
        <f>HYPERLINK("https://stat100.ameba.jp/tnk47/ratio20/illustrations/card/ill_81143_shinryokunokisetsumerompan03.jpg?202102-5-RELEASE-marathon-516", "■")</f>
        <v>■</v>
      </c>
      <c r="F524" s="14" t="s">
        <v>4517</v>
      </c>
      <c r="G524" s="14">
        <v>122786</v>
      </c>
      <c r="H524" s="14">
        <v>114176</v>
      </c>
      <c r="I524" s="14">
        <v>26</v>
      </c>
      <c r="J524" s="14" t="s">
        <v>104</v>
      </c>
      <c r="K524" s="14" t="s">
        <v>4518</v>
      </c>
      <c r="L524" s="14" t="s">
        <v>3489</v>
      </c>
      <c r="M524" s="14" t="s">
        <v>9158</v>
      </c>
      <c r="N524" s="14" t="s">
        <v>9158</v>
      </c>
      <c r="O524" s="9" t="s">
        <v>3609</v>
      </c>
      <c r="P524" s="14" t="s">
        <v>3610</v>
      </c>
      <c r="Q524" s="14">
        <v>1</v>
      </c>
    </row>
    <row r="525" spans="1:18">
      <c r="A525" s="9">
        <v>71343</v>
      </c>
      <c r="B525" s="14" t="s">
        <v>334</v>
      </c>
      <c r="C525" s="14" t="s">
        <v>185</v>
      </c>
      <c r="D525" s="14" t="s">
        <v>186</v>
      </c>
      <c r="E525" s="15" t="str">
        <f>HYPERLINK("https://stat100.ameba.jp/tnk47/ratio20/illustrations/card/ill_71343_ohanamimatehime03.jpg?202102-5-RELEASE-marathon-516", "■")</f>
        <v>■</v>
      </c>
      <c r="F525" s="14" t="s">
        <v>536</v>
      </c>
      <c r="G525" s="14">
        <v>94390</v>
      </c>
      <c r="H525" s="14">
        <v>101558</v>
      </c>
      <c r="I525" s="14">
        <v>26</v>
      </c>
      <c r="J525" s="14" t="s">
        <v>187</v>
      </c>
      <c r="K525" s="14" t="s">
        <v>188</v>
      </c>
      <c r="L525" s="14" t="s">
        <v>13132</v>
      </c>
      <c r="M525" s="14" t="s">
        <v>9158</v>
      </c>
      <c r="N525" s="14" t="s">
        <v>9158</v>
      </c>
      <c r="O525" s="9" t="s">
        <v>2717</v>
      </c>
      <c r="P525" s="14" t="s">
        <v>13123</v>
      </c>
      <c r="Q525" s="14">
        <v>1</v>
      </c>
    </row>
    <row r="526" spans="1:18">
      <c r="A526" s="14">
        <v>79963</v>
      </c>
      <c r="B526" s="14" t="s">
        <v>0</v>
      </c>
      <c r="C526" s="14" t="s">
        <v>200</v>
      </c>
      <c r="D526" s="20" t="s">
        <v>10477</v>
      </c>
      <c r="E526" s="15" t="str">
        <f>HYPERLINK("https://stat100.ameba.jp/tnk47/ratio20/illustrations/card/ill_79963_hinamatsurirakko03.jpg?202102-5-RELEASE-marathon-516", "■")</f>
        <v>■</v>
      </c>
      <c r="F526" s="14" t="s">
        <v>3715</v>
      </c>
      <c r="G526" s="14">
        <v>118446</v>
      </c>
      <c r="H526" s="14">
        <v>110126</v>
      </c>
      <c r="I526" s="14">
        <v>26</v>
      </c>
      <c r="J526" s="14" t="s">
        <v>26</v>
      </c>
      <c r="K526" s="14" t="s">
        <v>3716</v>
      </c>
      <c r="L526" s="14" t="s">
        <v>1086</v>
      </c>
      <c r="M526" s="14" t="s">
        <v>9158</v>
      </c>
      <c r="N526" s="14" t="s">
        <v>9158</v>
      </c>
      <c r="O526" s="19" t="s">
        <v>10090</v>
      </c>
      <c r="P526" s="14" t="s">
        <v>3460</v>
      </c>
      <c r="Q526" s="14">
        <v>1</v>
      </c>
    </row>
    <row r="528" spans="1:18">
      <c r="A528" s="14" t="s">
        <v>1176</v>
      </c>
    </row>
    <row r="529" spans="1:17">
      <c r="A529" s="14">
        <v>106378</v>
      </c>
      <c r="B529" s="14" t="s">
        <v>3447</v>
      </c>
    </row>
    <row r="530" spans="1:17">
      <c r="A530" s="14" t="s">
        <v>5843</v>
      </c>
      <c r="B530" s="14" t="s">
        <v>52</v>
      </c>
      <c r="C530" s="14" t="s">
        <v>202</v>
      </c>
      <c r="D530" s="19" t="s">
        <v>10291</v>
      </c>
      <c r="E530" s="15" t="str">
        <f>HYPERLINK("https://stat100.ameba.jp/tnk47/ratio20/illustrations/card/ill_77963_0_kurisumasudaisakusentakiyashahime03.jpg?202102-5-RELEASE-marathon-516", "■")</f>
        <v>■</v>
      </c>
      <c r="F530" s="14" t="s">
        <v>2127</v>
      </c>
      <c r="G530" s="14">
        <v>294746</v>
      </c>
      <c r="H530" s="14">
        <v>266388</v>
      </c>
      <c r="I530" s="14">
        <v>24</v>
      </c>
      <c r="J530" s="14" t="s">
        <v>77</v>
      </c>
      <c r="K530" s="14" t="s">
        <v>2128</v>
      </c>
      <c r="L530" s="14" t="s">
        <v>2129</v>
      </c>
      <c r="M530" s="14" t="s">
        <v>9158</v>
      </c>
      <c r="N530" s="14" t="s">
        <v>9158</v>
      </c>
      <c r="O530" s="19" t="s">
        <v>10107</v>
      </c>
      <c r="P530" s="14" t="s">
        <v>3589</v>
      </c>
      <c r="Q530" s="14">
        <v>2</v>
      </c>
    </row>
    <row r="531" spans="1:17">
      <c r="A531" s="14" t="s">
        <v>5617</v>
      </c>
      <c r="B531" s="14" t="s">
        <v>330</v>
      </c>
      <c r="C531" s="14" t="s">
        <v>308</v>
      </c>
      <c r="D531" s="19" t="s">
        <v>385</v>
      </c>
      <c r="E531" s="15" t="str">
        <f>HYPERLINK("https://stat100.ameba.jp/tnk47/ratio20/illustrations/card/ill_59673_0_oheyashutendoji03.jpg?202102-5-RELEASE-marathon-516", "■")</f>
        <v>■</v>
      </c>
      <c r="F531" s="14" t="s">
        <v>386</v>
      </c>
      <c r="G531" s="14">
        <v>168874</v>
      </c>
      <c r="H531" s="14">
        <v>181640</v>
      </c>
      <c r="I531" s="14">
        <v>24</v>
      </c>
      <c r="J531" s="14" t="s">
        <v>320</v>
      </c>
      <c r="K531" s="14" t="s">
        <v>387</v>
      </c>
      <c r="L531" s="14" t="s">
        <v>388</v>
      </c>
      <c r="M531" s="14" t="s">
        <v>9158</v>
      </c>
      <c r="N531" s="14" t="s">
        <v>9158</v>
      </c>
      <c r="O531" s="19" t="s">
        <v>10078</v>
      </c>
      <c r="P531" s="14" t="s">
        <v>3022</v>
      </c>
      <c r="Q531" s="14">
        <v>1</v>
      </c>
    </row>
    <row r="532" spans="1:17">
      <c r="A532" s="14" t="s">
        <v>5616</v>
      </c>
      <c r="B532" s="14" t="s">
        <v>52</v>
      </c>
      <c r="C532" s="14" t="s">
        <v>14</v>
      </c>
      <c r="D532" s="19" t="s">
        <v>638</v>
      </c>
      <c r="E532" s="15" t="str">
        <f>HYPERLINK("https://stat100.ameba.jp/tnk47/ratio20/illustrations/card/ill_44253_0_dokuganryudatemasamune03.jpg?202102-5-RELEASE-marathon-516", "■")</f>
        <v>■</v>
      </c>
      <c r="F532" s="14" t="s">
        <v>1181</v>
      </c>
      <c r="G532" s="14">
        <v>131538</v>
      </c>
      <c r="H532" s="14">
        <v>140448</v>
      </c>
      <c r="I532" s="14">
        <v>24</v>
      </c>
      <c r="J532" s="14" t="s">
        <v>143</v>
      </c>
      <c r="K532" s="14" t="s">
        <v>1182</v>
      </c>
      <c r="L532" s="14" t="s">
        <v>1183</v>
      </c>
      <c r="M532" s="14" t="s">
        <v>9158</v>
      </c>
      <c r="N532" s="14" t="s">
        <v>9158</v>
      </c>
      <c r="O532" s="14" t="s">
        <v>9158</v>
      </c>
      <c r="P532" s="14" t="s">
        <v>9158</v>
      </c>
      <c r="Q532" s="14" t="s">
        <v>9158</v>
      </c>
    </row>
    <row r="533" spans="1:17">
      <c r="A533" s="14">
        <v>95423</v>
      </c>
      <c r="B533" s="14" t="s">
        <v>0</v>
      </c>
      <c r="C533" s="14" t="s">
        <v>1</v>
      </c>
      <c r="D533" s="14" t="s">
        <v>16029</v>
      </c>
      <c r="E533" s="15" t="str">
        <f>HYPERLINK("https://stat100.ameba.jp/tnk47/ratio20/illustrations/card/ill_95423_hyojotsuriyureigasa03.jpg?202102-5-RELEASE-marathon-516", "■")</f>
        <v>■</v>
      </c>
      <c r="F533" s="14" t="s">
        <v>16025</v>
      </c>
      <c r="G533" s="14">
        <v>98594</v>
      </c>
      <c r="H533" s="14">
        <v>106050</v>
      </c>
      <c r="I533" s="14">
        <v>26</v>
      </c>
      <c r="J533" s="14" t="s">
        <v>73</v>
      </c>
      <c r="K533" s="14" t="s">
        <v>16023</v>
      </c>
      <c r="L533" s="14" t="s">
        <v>16022</v>
      </c>
      <c r="M533" s="14" t="s">
        <v>9158</v>
      </c>
      <c r="N533" s="14" t="s">
        <v>9158</v>
      </c>
      <c r="O533" s="14" t="s">
        <v>9158</v>
      </c>
      <c r="P533" s="14" t="s">
        <v>9158</v>
      </c>
      <c r="Q533" s="14" t="s">
        <v>9158</v>
      </c>
    </row>
    <row r="534" spans="1:17">
      <c r="A534" s="14">
        <v>95443</v>
      </c>
      <c r="B534" s="14" t="s">
        <v>15</v>
      </c>
      <c r="C534" s="14" t="s">
        <v>107</v>
      </c>
      <c r="D534" s="14" t="s">
        <v>16040</v>
      </c>
      <c r="E534" s="15" t="str">
        <f>HYPERLINK("https://stat100.ameba.jp/tnk47/ratio20/illustrations/card/ill_95443_ningyohimeakakanaja03.jpg?202102-5-RELEASE-marathon-516", "■")</f>
        <v>■</v>
      </c>
      <c r="F534" s="14" t="s">
        <v>16039</v>
      </c>
      <c r="G534" s="14">
        <v>69898</v>
      </c>
      <c r="H534" s="14">
        <v>77064</v>
      </c>
      <c r="I534" s="14">
        <v>26</v>
      </c>
      <c r="J534" s="14" t="s">
        <v>73</v>
      </c>
      <c r="K534" s="14" t="s">
        <v>16038</v>
      </c>
      <c r="L534" s="14" t="s">
        <v>1706</v>
      </c>
      <c r="M534" s="14" t="s">
        <v>9158</v>
      </c>
      <c r="N534" s="14" t="s">
        <v>9158</v>
      </c>
      <c r="O534" s="14" t="s">
        <v>9158</v>
      </c>
      <c r="P534" s="14" t="s">
        <v>9158</v>
      </c>
      <c r="Q534" s="14" t="s">
        <v>9158</v>
      </c>
    </row>
    <row r="535" spans="1:17">
      <c r="A535" s="14">
        <v>95453</v>
      </c>
      <c r="B535" s="14" t="s">
        <v>22</v>
      </c>
      <c r="C535" s="14" t="s">
        <v>23</v>
      </c>
      <c r="D535" s="14" t="s">
        <v>16046</v>
      </c>
      <c r="E535" s="15" t="str">
        <f>HYPERLINK("https://stat100.ameba.jp/tnk47/ratio20/illustrations/card/ill_95453_shirasuchan03.jpg?202102-5-RELEASE-marathon-516", "■")</f>
        <v>■</v>
      </c>
      <c r="F535" s="14" t="s">
        <v>16045</v>
      </c>
      <c r="G535" s="14">
        <v>54058</v>
      </c>
      <c r="H535" s="14">
        <v>44948</v>
      </c>
      <c r="I535" s="14">
        <v>26</v>
      </c>
      <c r="J535" s="14" t="s">
        <v>26</v>
      </c>
      <c r="K535" s="14" t="s">
        <v>16043</v>
      </c>
      <c r="L535" s="14" t="s">
        <v>2635</v>
      </c>
      <c r="M535" s="14" t="s">
        <v>9158</v>
      </c>
      <c r="N535" s="14" t="s">
        <v>9158</v>
      </c>
      <c r="O535" s="14" t="s">
        <v>9158</v>
      </c>
      <c r="P535" s="14" t="s">
        <v>9158</v>
      </c>
      <c r="Q535" s="14" t="s">
        <v>9158</v>
      </c>
    </row>
    <row r="536" spans="1:17">
      <c r="A536" s="14">
        <v>95463</v>
      </c>
      <c r="B536" s="14" t="s">
        <v>22</v>
      </c>
      <c r="C536" s="14" t="s">
        <v>14</v>
      </c>
      <c r="D536" s="14" t="s">
        <v>16051</v>
      </c>
      <c r="E536" s="15" t="str">
        <f>HYPERLINK("https://stat100.ameba.jp/tnk47/ratio20/illustrations/card/ill_95463_mikatanosami03.jpg?202102-5-RELEASE-marathon-516", "■")</f>
        <v>■</v>
      </c>
      <c r="F536" s="14" t="s">
        <v>16050</v>
      </c>
      <c r="G536" s="14">
        <v>44948</v>
      </c>
      <c r="H536" s="14">
        <v>54058</v>
      </c>
      <c r="I536" s="14">
        <v>26</v>
      </c>
      <c r="J536" s="14" t="s">
        <v>16</v>
      </c>
      <c r="K536" s="14" t="s">
        <v>16049</v>
      </c>
      <c r="L536" s="14" t="s">
        <v>6675</v>
      </c>
      <c r="M536" s="14" t="s">
        <v>9158</v>
      </c>
      <c r="N536" s="14" t="s">
        <v>9158</v>
      </c>
      <c r="O536" s="14" t="s">
        <v>9158</v>
      </c>
      <c r="P536" s="14" t="s">
        <v>9158</v>
      </c>
      <c r="Q536" s="14" t="s">
        <v>9158</v>
      </c>
    </row>
    <row r="538" spans="1:17">
      <c r="A538" s="14" t="s">
        <v>4065</v>
      </c>
    </row>
    <row r="539" spans="1:17">
      <c r="A539" s="14">
        <v>106401</v>
      </c>
      <c r="B539" s="14" t="s">
        <v>16216</v>
      </c>
    </row>
    <row r="540" spans="1:17">
      <c r="A540" s="14" t="s">
        <v>6598</v>
      </c>
      <c r="B540" s="14" t="s">
        <v>330</v>
      </c>
      <c r="C540" s="14" t="s">
        <v>35</v>
      </c>
      <c r="D540" s="19" t="s">
        <v>10555</v>
      </c>
      <c r="E540" s="15" t="str">
        <f>HYPERLINK("https://stat100.ameba.jp/tnk47/ratio20/illustrations/card/ill_83553_0_kajuenamoronagu03.jpg?202102-5-RELEASE-marathon-516", "■")</f>
        <v>■</v>
      </c>
      <c r="F540" s="14" t="s">
        <v>6597</v>
      </c>
      <c r="G540" s="14">
        <v>284219</v>
      </c>
      <c r="H540" s="14">
        <v>314478</v>
      </c>
      <c r="I540" s="14">
        <v>27</v>
      </c>
      <c r="J540" s="14" t="s">
        <v>44</v>
      </c>
      <c r="K540" s="14" t="s">
        <v>6595</v>
      </c>
      <c r="L540" s="14" t="s">
        <v>6594</v>
      </c>
      <c r="M540" s="14" t="s">
        <v>9158</v>
      </c>
      <c r="N540" s="14" t="s">
        <v>9158</v>
      </c>
      <c r="O540" s="19" t="s">
        <v>10125</v>
      </c>
      <c r="P540" s="14" t="s">
        <v>6599</v>
      </c>
      <c r="Q540" s="14">
        <v>1</v>
      </c>
    </row>
    <row r="541" spans="1:17">
      <c r="A541" s="7">
        <v>85643</v>
      </c>
      <c r="B541" s="7" t="s">
        <v>0</v>
      </c>
      <c r="C541" s="7" t="s">
        <v>154</v>
      </c>
      <c r="D541" s="20" t="s">
        <v>10828</v>
      </c>
      <c r="E541" s="15" t="str">
        <f>HYPERLINK("https://stat100.ameba.jp/tnk47/ratio20/illustrations/card/ill_85643_hosekisho03.jpg?202102-5-RELEASE-marathon-516", "■")</f>
        <v>■</v>
      </c>
      <c r="F541" s="7" t="s">
        <v>8420</v>
      </c>
      <c r="G541" s="7">
        <v>113630</v>
      </c>
      <c r="H541" s="7">
        <v>82318</v>
      </c>
      <c r="I541" s="14">
        <v>26</v>
      </c>
      <c r="J541" s="7" t="s">
        <v>26</v>
      </c>
      <c r="K541" s="7" t="s">
        <v>8418</v>
      </c>
      <c r="L541" s="7" t="s">
        <v>3260</v>
      </c>
      <c r="M541" s="14" t="s">
        <v>9158</v>
      </c>
      <c r="N541" s="14" t="s">
        <v>9158</v>
      </c>
      <c r="O541" s="19" t="s">
        <v>10091</v>
      </c>
      <c r="P541" s="7" t="s">
        <v>3670</v>
      </c>
      <c r="Q541" s="7">
        <v>1</v>
      </c>
    </row>
    <row r="542" spans="1:17">
      <c r="A542" s="7">
        <v>85653</v>
      </c>
      <c r="B542" s="7" t="s">
        <v>0</v>
      </c>
      <c r="C542" s="14" t="s">
        <v>158</v>
      </c>
      <c r="D542" s="20" t="s">
        <v>10846</v>
      </c>
      <c r="E542" s="15" t="str">
        <f>HYPERLINK("https://stat100.ameba.jp/tnk47/ratio20/illustrations/card/ill_85653_onashiefumizuno03.jpg?202102-5-RELEASE-marathon-516", "■")</f>
        <v>■</v>
      </c>
      <c r="F542" s="7" t="s">
        <v>8587</v>
      </c>
      <c r="G542" s="7">
        <v>99532</v>
      </c>
      <c r="H542" s="7">
        <v>137430</v>
      </c>
      <c r="I542" s="7">
        <v>26</v>
      </c>
      <c r="J542" s="7" t="s">
        <v>216</v>
      </c>
      <c r="K542" s="7" t="s">
        <v>8586</v>
      </c>
      <c r="L542" s="7" t="s">
        <v>131</v>
      </c>
      <c r="M542" s="14" t="s">
        <v>9158</v>
      </c>
      <c r="N542" s="14" t="s">
        <v>9158</v>
      </c>
      <c r="O542" s="19" t="s">
        <v>4074</v>
      </c>
      <c r="P542" s="14" t="s">
        <v>3462</v>
      </c>
      <c r="Q542" s="14">
        <v>1</v>
      </c>
    </row>
    <row r="543" spans="1:17">
      <c r="A543" s="14">
        <v>84643</v>
      </c>
      <c r="B543" s="14" t="s">
        <v>0</v>
      </c>
      <c r="C543" s="14" t="s">
        <v>203</v>
      </c>
      <c r="D543" s="20" t="s">
        <v>10605</v>
      </c>
      <c r="E543" s="15" t="str">
        <f>HYPERLINK("https://stat100.ameba.jp/tnk47/ratio20/illustrations/card/ill_84643_rikayaojo03.jpg?202102-5-RELEASE-marathon-516", "■")</f>
        <v>■</v>
      </c>
      <c r="F543" s="14" t="s">
        <v>6853</v>
      </c>
      <c r="G543" s="14">
        <v>172982</v>
      </c>
      <c r="H543" s="14">
        <v>125296</v>
      </c>
      <c r="I543" s="14">
        <v>26</v>
      </c>
      <c r="J543" s="14" t="s">
        <v>315</v>
      </c>
      <c r="K543" s="14" t="s">
        <v>6852</v>
      </c>
      <c r="L543" s="14" t="s">
        <v>6851</v>
      </c>
      <c r="M543" s="14" t="s">
        <v>9158</v>
      </c>
      <c r="N543" s="14" t="s">
        <v>9158</v>
      </c>
      <c r="O543" s="19" t="s">
        <v>10082</v>
      </c>
      <c r="P543" s="14" t="s">
        <v>13124</v>
      </c>
      <c r="Q543" s="14">
        <v>1</v>
      </c>
    </row>
    <row r="545" spans="1:19">
      <c r="A545" s="14" t="s">
        <v>4012</v>
      </c>
    </row>
    <row r="546" spans="1:19">
      <c r="A546" s="14">
        <v>236447</v>
      </c>
      <c r="B546" s="14" t="s">
        <v>16217</v>
      </c>
    </row>
    <row r="547" spans="1:19">
      <c r="A547" s="14" t="s">
        <v>5724</v>
      </c>
      <c r="B547" s="14" t="s">
        <v>330</v>
      </c>
      <c r="C547" s="14" t="s">
        <v>335</v>
      </c>
      <c r="D547" s="20" t="s">
        <v>698</v>
      </c>
      <c r="E547" s="15" t="str">
        <f>HYPERLINK("https://stat100.ameba.jp/tnk47/ratio20/illustrations/card/ill_66433_0_haroinfujishirogozen03.jpg?202102-5-RELEASE-marathon-516", "■")</f>
        <v>■</v>
      </c>
      <c r="F547" s="14" t="s">
        <v>699</v>
      </c>
      <c r="G547" s="14">
        <v>159134</v>
      </c>
      <c r="H547" s="14">
        <v>171168</v>
      </c>
      <c r="I547" s="14">
        <v>26</v>
      </c>
      <c r="J547" s="14" t="s">
        <v>315</v>
      </c>
      <c r="K547" s="14" t="s">
        <v>700</v>
      </c>
      <c r="L547" s="14" t="s">
        <v>701</v>
      </c>
      <c r="M547" s="14" t="s">
        <v>9158</v>
      </c>
      <c r="N547" s="14" t="s">
        <v>9158</v>
      </c>
      <c r="O547" s="19" t="s">
        <v>10095</v>
      </c>
      <c r="P547" s="14" t="s">
        <v>3345</v>
      </c>
      <c r="Q547" s="14">
        <v>1</v>
      </c>
    </row>
    <row r="548" spans="1:19">
      <c r="A548" s="14" t="s">
        <v>5901</v>
      </c>
      <c r="B548" s="14" t="s">
        <v>52</v>
      </c>
      <c r="C548" s="14" t="s">
        <v>101</v>
      </c>
      <c r="D548" s="19" t="s">
        <v>2089</v>
      </c>
      <c r="E548" s="15" t="str">
        <f>HYPERLINK("https://stat100.ameba.jp/tnk47/ratio20/illustrations/card/ill_64953_0_yukatatokugawayoshinobu03.jpg?202102-5-RELEASE-marathon-516", "■")</f>
        <v>■</v>
      </c>
      <c r="F548" s="14" t="s">
        <v>2090</v>
      </c>
      <c r="G548" s="14">
        <v>161980</v>
      </c>
      <c r="H548" s="14">
        <v>174206</v>
      </c>
      <c r="I548" s="14">
        <v>26</v>
      </c>
      <c r="J548" s="14" t="s">
        <v>10</v>
      </c>
      <c r="K548" s="14" t="s">
        <v>2091</v>
      </c>
      <c r="L548" s="14" t="s">
        <v>2092</v>
      </c>
      <c r="M548" s="14" t="s">
        <v>9158</v>
      </c>
      <c r="N548" s="14" t="s">
        <v>9158</v>
      </c>
      <c r="O548" s="19" t="s">
        <v>2889</v>
      </c>
      <c r="P548" s="14" t="s">
        <v>2890</v>
      </c>
      <c r="Q548" s="14">
        <v>1</v>
      </c>
    </row>
    <row r="549" spans="1:19">
      <c r="A549" s="14" t="s">
        <v>5902</v>
      </c>
      <c r="B549" s="14" t="s">
        <v>330</v>
      </c>
      <c r="C549" s="14" t="s">
        <v>206</v>
      </c>
      <c r="D549" s="19" t="s">
        <v>483</v>
      </c>
      <c r="E549" s="15" t="str">
        <f>HYPERLINK("https://stat100.ameba.jp/tnk47/ratio20/illustrations/card/ill_40343_0_heshikirihasebekurodakambe03.jpg?202102-5-RELEASE-marathon-516", "■")</f>
        <v>■</v>
      </c>
      <c r="F549" s="14" t="s">
        <v>906</v>
      </c>
      <c r="G549" s="14">
        <v>152152</v>
      </c>
      <c r="H549" s="14">
        <v>142500</v>
      </c>
      <c r="I549" s="14">
        <v>26</v>
      </c>
      <c r="J549" s="14" t="s">
        <v>16</v>
      </c>
      <c r="K549" s="14" t="s">
        <v>907</v>
      </c>
      <c r="L549" s="14" t="s">
        <v>908</v>
      </c>
      <c r="M549" s="14" t="s">
        <v>9158</v>
      </c>
      <c r="N549" s="14" t="s">
        <v>9158</v>
      </c>
      <c r="O549" s="14" t="s">
        <v>9158</v>
      </c>
      <c r="P549" s="14" t="s">
        <v>9158</v>
      </c>
      <c r="Q549" s="14" t="s">
        <v>9158</v>
      </c>
    </row>
    <row r="550" spans="1:19">
      <c r="A550" s="14">
        <v>89553</v>
      </c>
      <c r="B550" s="7" t="s">
        <v>0</v>
      </c>
      <c r="C550" s="14" t="s">
        <v>35</v>
      </c>
      <c r="D550" s="14" t="s">
        <v>16220</v>
      </c>
      <c r="E550" s="15" t="str">
        <f>HYPERLINK("https://stat100.ameba.jp/tnk47/ratio20/illustrations/card/ill_89553_kyokinokyodanodanobunaga03.jpg?202102-5-RELEASE-marathon-516", "■")</f>
        <v>■</v>
      </c>
      <c r="F550" s="14" t="s">
        <v>16219</v>
      </c>
      <c r="G550" s="14">
        <v>174188</v>
      </c>
      <c r="H550" s="14">
        <v>161954</v>
      </c>
      <c r="I550" s="14">
        <v>28</v>
      </c>
      <c r="J550" s="14" t="s">
        <v>143</v>
      </c>
      <c r="K550" s="14" t="s">
        <v>16218</v>
      </c>
      <c r="L550" s="14" t="s">
        <v>13661</v>
      </c>
      <c r="M550" s="14" t="s">
        <v>9158</v>
      </c>
      <c r="N550" s="14" t="s">
        <v>9158</v>
      </c>
      <c r="O550" s="14" t="s">
        <v>9158</v>
      </c>
      <c r="P550" s="14" t="s">
        <v>9158</v>
      </c>
      <c r="Q550" s="14" t="s">
        <v>9158</v>
      </c>
      <c r="S550" s="14" t="s">
        <v>16227</v>
      </c>
    </row>
    <row r="551" spans="1:19">
      <c r="A551" s="14">
        <v>87883</v>
      </c>
      <c r="B551" s="7" t="s">
        <v>0</v>
      </c>
      <c r="C551" s="14" t="s">
        <v>41</v>
      </c>
      <c r="D551" s="14" t="s">
        <v>16223</v>
      </c>
      <c r="E551" s="15" t="str">
        <f>HYPERLINK("https://stat100.ameba.jp/tnk47/ratio20/illustrations/card/ill_87883_ginyushijinho03.jpg?202102-5-RELEASE-marathon-516", "■")</f>
        <v>■</v>
      </c>
      <c r="F551" s="14" t="s">
        <v>16222</v>
      </c>
      <c r="G551" s="14">
        <v>101650</v>
      </c>
      <c r="H551" s="14">
        <v>109370</v>
      </c>
      <c r="I551" s="14">
        <v>28</v>
      </c>
      <c r="J551" s="14" t="s">
        <v>44</v>
      </c>
      <c r="K551" s="14" t="s">
        <v>16221</v>
      </c>
      <c r="L551" s="14" t="s">
        <v>1223</v>
      </c>
      <c r="M551" s="14" t="s">
        <v>9158</v>
      </c>
      <c r="N551" s="14" t="s">
        <v>9158</v>
      </c>
      <c r="O551" s="14" t="s">
        <v>9158</v>
      </c>
      <c r="P551" s="14" t="s">
        <v>9158</v>
      </c>
      <c r="Q551" s="14" t="s">
        <v>9158</v>
      </c>
      <c r="S551" s="14" t="s">
        <v>16228</v>
      </c>
    </row>
    <row r="552" spans="1:19">
      <c r="A552" s="14">
        <v>82653</v>
      </c>
      <c r="B552" s="14" t="s">
        <v>0</v>
      </c>
      <c r="C552" s="14" t="s">
        <v>47</v>
      </c>
      <c r="D552" s="14" t="s">
        <v>16226</v>
      </c>
      <c r="E552" s="15" t="str">
        <f>HYPERLINK("https://stat100.ameba.jp/tnk47/ratio20/illustrations/card/ill_82653_fuisshingukitaharasatoko03.jpg?202102-5-RELEASE-marathon-516", "■")</f>
        <v>■</v>
      </c>
      <c r="F552" s="14" t="s">
        <v>16225</v>
      </c>
      <c r="G552" s="14">
        <v>101650</v>
      </c>
      <c r="H552" s="14">
        <v>109370</v>
      </c>
      <c r="I552" s="14">
        <v>28</v>
      </c>
      <c r="J552" s="14" t="s">
        <v>10</v>
      </c>
      <c r="K552" s="14" t="s">
        <v>16224</v>
      </c>
      <c r="L552" s="14" t="s">
        <v>14283</v>
      </c>
      <c r="M552" s="14" t="s">
        <v>9158</v>
      </c>
      <c r="N552" s="14" t="s">
        <v>9158</v>
      </c>
      <c r="O552" s="14" t="s">
        <v>9158</v>
      </c>
      <c r="P552" s="14" t="s">
        <v>9158</v>
      </c>
      <c r="Q552" s="14" t="s">
        <v>9158</v>
      </c>
      <c r="S552" s="14" t="s">
        <v>16229</v>
      </c>
    </row>
    <row r="553" spans="1:19">
      <c r="A553" s="14">
        <v>86143</v>
      </c>
      <c r="B553" s="14" t="s">
        <v>15</v>
      </c>
      <c r="C553" s="14" t="s">
        <v>1</v>
      </c>
      <c r="D553" s="14" t="s">
        <v>15985</v>
      </c>
      <c r="E553" s="15" t="str">
        <f>HYPERLINK("https://stat100.ameba.jp/tnk47/ratio20/illustrations/card/ill_86143_onikirishukurohime03.jpg?202102-5-RELEASE-marathon-516", "■")</f>
        <v>■</v>
      </c>
      <c r="F553" s="14" t="s">
        <v>15984</v>
      </c>
      <c r="G553" s="14">
        <v>77064</v>
      </c>
      <c r="H553" s="14">
        <v>69898</v>
      </c>
      <c r="I553" s="14">
        <v>26</v>
      </c>
      <c r="J553" s="14" t="s">
        <v>16</v>
      </c>
      <c r="K553" s="14" t="s">
        <v>3390</v>
      </c>
      <c r="L553" s="14" t="s">
        <v>15981</v>
      </c>
      <c r="M553" s="14" t="s">
        <v>9158</v>
      </c>
      <c r="N553" s="14" t="s">
        <v>9158</v>
      </c>
      <c r="O553" s="14" t="s">
        <v>9158</v>
      </c>
      <c r="P553" s="14" t="s">
        <v>9158</v>
      </c>
      <c r="Q553" s="14" t="s">
        <v>9158</v>
      </c>
      <c r="S553" s="14" t="s">
        <v>16230</v>
      </c>
    </row>
    <row r="554" spans="1:19">
      <c r="A554" s="14">
        <v>85913</v>
      </c>
      <c r="B554" s="14" t="s">
        <v>15</v>
      </c>
      <c r="C554" s="14" t="s">
        <v>23</v>
      </c>
      <c r="D554" s="14" t="s">
        <v>15990</v>
      </c>
      <c r="E554" s="15" t="str">
        <f>HYPERLINK("https://stat100.ameba.jp/tnk47/ratio20/illustrations/card/ill_85913_yukizukainarijinjanobyakkodensetsu03.jpg?202102-5-RELEASE-marathon-516", "■")</f>
        <v>■</v>
      </c>
      <c r="F554" s="14" t="s">
        <v>15989</v>
      </c>
      <c r="G554" s="14">
        <v>77064</v>
      </c>
      <c r="H554" s="14">
        <v>69898</v>
      </c>
      <c r="I554" s="14">
        <v>26</v>
      </c>
      <c r="J554" s="14" t="s">
        <v>73</v>
      </c>
      <c r="K554" s="14" t="s">
        <v>15988</v>
      </c>
      <c r="L554" s="14" t="s">
        <v>15987</v>
      </c>
      <c r="M554" s="14" t="s">
        <v>9158</v>
      </c>
      <c r="N554" s="14" t="s">
        <v>9158</v>
      </c>
      <c r="O554" s="14" t="s">
        <v>9158</v>
      </c>
      <c r="P554" s="14" t="s">
        <v>9158</v>
      </c>
      <c r="Q554" s="14" t="s">
        <v>9158</v>
      </c>
      <c r="S554" s="14" t="s">
        <v>16235</v>
      </c>
    </row>
    <row r="555" spans="1:19">
      <c r="A555" s="14">
        <v>81333</v>
      </c>
      <c r="B555" s="14" t="s">
        <v>15</v>
      </c>
      <c r="C555" s="14" t="s">
        <v>96</v>
      </c>
      <c r="D555" s="14" t="s">
        <v>15996</v>
      </c>
      <c r="E555" s="15" t="str">
        <f>HYPERLINK("https://stat100.ameba.jp/tnk47/ratio20/illustrations/card/ill_81333_otokomatsuriishikawagoemon03.jpg?202102-5-RELEASE-marathon-516", "■")</f>
        <v>■</v>
      </c>
      <c r="F555" s="14" t="s">
        <v>15995</v>
      </c>
      <c r="G555" s="14">
        <v>69898</v>
      </c>
      <c r="H555" s="14">
        <v>77064</v>
      </c>
      <c r="I555" s="14">
        <v>26</v>
      </c>
      <c r="J555" s="14" t="s">
        <v>143</v>
      </c>
      <c r="K555" s="14" t="s">
        <v>15993</v>
      </c>
      <c r="L555" s="14" t="s">
        <v>2619</v>
      </c>
      <c r="M555" s="14" t="s">
        <v>9158</v>
      </c>
      <c r="N555" s="14" t="s">
        <v>9158</v>
      </c>
      <c r="O555" s="14" t="s">
        <v>9158</v>
      </c>
      <c r="P555" s="14" t="s">
        <v>9158</v>
      </c>
      <c r="Q555" s="14" t="s">
        <v>9158</v>
      </c>
      <c r="S555" s="14" t="s">
        <v>16231</v>
      </c>
    </row>
    <row r="557" spans="1:19">
      <c r="A557" s="14" t="s">
        <v>3916</v>
      </c>
    </row>
    <row r="558" spans="1:19">
      <c r="A558" s="14">
        <v>106406</v>
      </c>
      <c r="B558" s="14" t="s">
        <v>3453</v>
      </c>
    </row>
    <row r="559" spans="1:19">
      <c r="A559" s="9">
        <v>60363</v>
      </c>
      <c r="B559" s="14" t="s">
        <v>0</v>
      </c>
      <c r="C559" s="14" t="s">
        <v>209</v>
      </c>
      <c r="D559" s="14" t="s">
        <v>3918</v>
      </c>
      <c r="E559" s="15" t="str">
        <f>HYPERLINK("https://stat100.ameba.jp/tnk47/ratio20/illustrations/card/ill_60363_shirakaba03.jpg?202102-5-RELEASE-marathon-516", "■")</f>
        <v>■</v>
      </c>
      <c r="F559" s="14" t="s">
        <v>3919</v>
      </c>
      <c r="G559" s="14">
        <v>112286</v>
      </c>
      <c r="H559" s="14">
        <v>120766</v>
      </c>
      <c r="I559" s="9">
        <v>28</v>
      </c>
      <c r="J559" s="14" t="s">
        <v>26</v>
      </c>
      <c r="K559" s="14" t="s">
        <v>3920</v>
      </c>
      <c r="L559" s="14" t="s">
        <v>3921</v>
      </c>
      <c r="M559" s="14" t="s">
        <v>9158</v>
      </c>
      <c r="N559" s="14" t="s">
        <v>9158</v>
      </c>
      <c r="O559" s="14" t="s">
        <v>9158</v>
      </c>
      <c r="P559" s="14" t="s">
        <v>9158</v>
      </c>
      <c r="Q559" s="14" t="s">
        <v>9158</v>
      </c>
    </row>
    <row r="560" spans="1:19">
      <c r="A560" s="9">
        <v>59413</v>
      </c>
      <c r="B560" s="14" t="s">
        <v>334</v>
      </c>
      <c r="C560" s="14" t="s">
        <v>158</v>
      </c>
      <c r="D560" s="14" t="s">
        <v>3922</v>
      </c>
      <c r="E560" s="15" t="str">
        <f>HYPERLINK("https://stat100.ameba.jp/tnk47/ratio20/illustrations/card/ill_59413_otogosahime03.jpg?202102-5-RELEASE-marathon-516", "■")</f>
        <v>■</v>
      </c>
      <c r="F560" s="14" t="s">
        <v>3923</v>
      </c>
      <c r="G560" s="14">
        <v>112286</v>
      </c>
      <c r="H560" s="14">
        <v>120766</v>
      </c>
      <c r="I560" s="9">
        <v>28</v>
      </c>
      <c r="J560" s="14" t="s">
        <v>38</v>
      </c>
      <c r="K560" s="14" t="s">
        <v>3924</v>
      </c>
      <c r="L560" s="14" t="s">
        <v>3925</v>
      </c>
      <c r="M560" s="14" t="s">
        <v>9158</v>
      </c>
      <c r="N560" s="14" t="s">
        <v>9158</v>
      </c>
      <c r="O560" s="14" t="s">
        <v>9158</v>
      </c>
      <c r="P560" s="14" t="s">
        <v>9158</v>
      </c>
      <c r="Q560" s="14" t="s">
        <v>9158</v>
      </c>
    </row>
    <row r="561" spans="1:17">
      <c r="A561" s="14">
        <v>76483</v>
      </c>
      <c r="B561" s="14" t="s">
        <v>334</v>
      </c>
      <c r="C561" s="14" t="s">
        <v>307</v>
      </c>
      <c r="D561" s="20" t="s">
        <v>589</v>
      </c>
      <c r="E561" s="15" t="str">
        <f>HYPERLINK("https://stat100.ameba.jp/tnk47/ratio20/illustrations/card/ill_76483_yukemurimizuhanome03.jpg?202102-5-RELEASE-marathon-516", "■")</f>
        <v>■</v>
      </c>
      <c r="F561" s="14" t="s">
        <v>590</v>
      </c>
      <c r="G561" s="14">
        <v>114208</v>
      </c>
      <c r="H561" s="14">
        <v>106178</v>
      </c>
      <c r="I561" s="9">
        <v>28</v>
      </c>
      <c r="J561" s="14" t="s">
        <v>401</v>
      </c>
      <c r="K561" s="14" t="s">
        <v>591</v>
      </c>
      <c r="L561" s="14" t="s">
        <v>592</v>
      </c>
      <c r="M561" s="14" t="s">
        <v>9158</v>
      </c>
      <c r="N561" s="14" t="s">
        <v>9158</v>
      </c>
      <c r="O561" s="14" t="s">
        <v>9158</v>
      </c>
      <c r="P561" s="14" t="s">
        <v>9158</v>
      </c>
      <c r="Q561" s="14" t="s">
        <v>9158</v>
      </c>
    </row>
    <row r="562" spans="1:17">
      <c r="A562" s="14">
        <v>70023</v>
      </c>
      <c r="B562" s="14" t="s">
        <v>334</v>
      </c>
      <c r="C562" s="14" t="s">
        <v>344</v>
      </c>
      <c r="D562" s="20" t="s">
        <v>10230</v>
      </c>
      <c r="E562" s="15" t="str">
        <f>HYPERLINK("https://stat100.ameba.jp/tnk47/ratio20/illustrations/card/ill_70023_yukinoukokunabeshimanobakeneko03.jpg?202102-5-RELEASE-marathon-516", "■")</f>
        <v>■</v>
      </c>
      <c r="F562" s="14" t="s">
        <v>769</v>
      </c>
      <c r="G562" s="14">
        <v>108494</v>
      </c>
      <c r="H562" s="14">
        <v>116662</v>
      </c>
      <c r="I562" s="9">
        <v>28</v>
      </c>
      <c r="J562" s="14" t="s">
        <v>320</v>
      </c>
      <c r="K562" s="14" t="s">
        <v>770</v>
      </c>
      <c r="L562" s="14" t="s">
        <v>771</v>
      </c>
      <c r="M562" s="14" t="s">
        <v>9158</v>
      </c>
      <c r="N562" s="14" t="s">
        <v>9158</v>
      </c>
      <c r="O562" s="14" t="s">
        <v>9158</v>
      </c>
      <c r="P562" s="14" t="s">
        <v>9158</v>
      </c>
      <c r="Q562" s="14" t="s">
        <v>9158</v>
      </c>
    </row>
    <row r="563" spans="1:17">
      <c r="A563" s="14">
        <v>52733</v>
      </c>
      <c r="B563" s="14" t="s">
        <v>15</v>
      </c>
      <c r="C563" s="14" t="s">
        <v>185</v>
      </c>
      <c r="D563" s="20" t="s">
        <v>10491</v>
      </c>
      <c r="E563" s="15" t="str">
        <f>HYPERLINK("https://stat100.ameba.jp/tnk47/ratio20/illustrations/card/ill_52733_sekkinambutsuruhime03.jpg?202102-5-RELEASE-marathon-516", "■")</f>
        <v>■</v>
      </c>
      <c r="F563" s="14" t="s">
        <v>6246</v>
      </c>
      <c r="G563" s="14">
        <v>64520</v>
      </c>
      <c r="H563" s="14">
        <v>71136</v>
      </c>
      <c r="I563" s="14">
        <v>24</v>
      </c>
      <c r="J563" s="14" t="s">
        <v>77</v>
      </c>
      <c r="K563" s="14" t="s">
        <v>6248</v>
      </c>
      <c r="L563" s="14" t="s">
        <v>6249</v>
      </c>
      <c r="M563" s="14" t="s">
        <v>9158</v>
      </c>
      <c r="N563" s="14" t="s">
        <v>9158</v>
      </c>
      <c r="O563" s="14" t="s">
        <v>9158</v>
      </c>
      <c r="P563" s="14" t="s">
        <v>9158</v>
      </c>
      <c r="Q563" s="14" t="s">
        <v>9158</v>
      </c>
    </row>
    <row r="564" spans="1:17">
      <c r="A564" s="14">
        <v>54003</v>
      </c>
      <c r="B564" s="14" t="s">
        <v>15</v>
      </c>
      <c r="C564" s="14" t="s">
        <v>200</v>
      </c>
      <c r="D564" s="20" t="s">
        <v>10492</v>
      </c>
      <c r="E564" s="15" t="str">
        <f>HYPERLINK("https://stat100.ameba.jp/tnk47/ratio20/illustrations/card/ill_54003_seiryumegurihiguchiichiyo03.jpg?202102-5-RELEASE-marathon-516", "■")</f>
        <v>■</v>
      </c>
      <c r="F564" s="14" t="s">
        <v>6250</v>
      </c>
      <c r="G564" s="14">
        <v>71136</v>
      </c>
      <c r="H564" s="14">
        <v>64520</v>
      </c>
      <c r="I564" s="14">
        <v>24</v>
      </c>
      <c r="J564" s="14" t="s">
        <v>10</v>
      </c>
      <c r="K564" s="14" t="s">
        <v>6252</v>
      </c>
      <c r="L564" s="14" t="s">
        <v>6253</v>
      </c>
      <c r="M564" s="14" t="s">
        <v>9158</v>
      </c>
      <c r="N564" s="14" t="s">
        <v>9158</v>
      </c>
      <c r="O564" s="14" t="s">
        <v>9158</v>
      </c>
      <c r="P564" s="14" t="s">
        <v>9158</v>
      </c>
      <c r="Q564" s="14" t="s">
        <v>9158</v>
      </c>
    </row>
    <row r="565" spans="1:17">
      <c r="A565" s="14">
        <v>51833</v>
      </c>
      <c r="B565" s="14" t="s">
        <v>15</v>
      </c>
      <c r="C565" s="14" t="s">
        <v>205</v>
      </c>
      <c r="D565" s="20" t="s">
        <v>10493</v>
      </c>
      <c r="E565" s="15" t="str">
        <f>HYPERLINK("https://stat100.ameba.jp/tnk47/ratio20/illustrations/card/ill_51833_jukimakitsuhikonomikoto03.jpg?202102-5-RELEASE-marathon-516", "■")</f>
        <v>■</v>
      </c>
      <c r="F565" s="14" t="s">
        <v>6254</v>
      </c>
      <c r="G565" s="14">
        <v>71136</v>
      </c>
      <c r="H565" s="14">
        <v>64520</v>
      </c>
      <c r="I565" s="14">
        <v>24</v>
      </c>
      <c r="J565" s="14" t="s">
        <v>44</v>
      </c>
      <c r="K565" s="14" t="s">
        <v>6257</v>
      </c>
      <c r="L565" s="14" t="s">
        <v>6256</v>
      </c>
      <c r="M565" s="14" t="s">
        <v>9158</v>
      </c>
      <c r="N565" s="14" t="s">
        <v>9158</v>
      </c>
      <c r="O565" s="14" t="s">
        <v>9158</v>
      </c>
      <c r="P565" s="14" t="s">
        <v>9158</v>
      </c>
      <c r="Q565" s="14" t="s">
        <v>9158</v>
      </c>
    </row>
    <row r="566" spans="1:17">
      <c r="A566" s="14">
        <v>53203</v>
      </c>
      <c r="B566" s="14" t="s">
        <v>15</v>
      </c>
      <c r="C566" s="14" t="s">
        <v>165</v>
      </c>
      <c r="D566" s="20" t="s">
        <v>10494</v>
      </c>
      <c r="E566" s="15" t="str">
        <f>HYPERLINK("https://stat100.ameba.jp/tnk47/ratio20/illustrations/card/ill_53203_buruhawaichan03.jpg?202102-5-RELEASE-marathon-516", "■")</f>
        <v>■</v>
      </c>
      <c r="F566" s="14" t="s">
        <v>6258</v>
      </c>
      <c r="G566" s="14">
        <v>64520</v>
      </c>
      <c r="H566" s="14">
        <v>71136</v>
      </c>
      <c r="I566" s="14">
        <v>24</v>
      </c>
      <c r="J566" s="14" t="s">
        <v>104</v>
      </c>
      <c r="K566" s="14" t="s">
        <v>6261</v>
      </c>
      <c r="L566" s="14" t="s">
        <v>6260</v>
      </c>
      <c r="M566" s="14" t="s">
        <v>9158</v>
      </c>
      <c r="N566" s="14" t="s">
        <v>9158</v>
      </c>
      <c r="O566" s="14" t="s">
        <v>9158</v>
      </c>
      <c r="P566" s="14" t="s">
        <v>9158</v>
      </c>
      <c r="Q566" s="14" t="s">
        <v>9158</v>
      </c>
    </row>
    <row r="568" spans="1:17">
      <c r="A568" s="14" t="s">
        <v>9283</v>
      </c>
    </row>
    <row r="569" spans="1:17">
      <c r="A569" s="14">
        <v>106427</v>
      </c>
      <c r="B569" s="14" t="s">
        <v>16236</v>
      </c>
    </row>
    <row r="570" spans="1:17">
      <c r="A570" s="14" t="s">
        <v>13086</v>
      </c>
      <c r="B570" s="7" t="s">
        <v>52</v>
      </c>
      <c r="C570" s="14" t="s">
        <v>202</v>
      </c>
      <c r="D570" s="18" t="s">
        <v>13084</v>
      </c>
      <c r="E570" s="15" t="str">
        <f>HYPERLINK("https://stat100.ameba.jp/tnk47/ratio20/illustrations/card/ill_89703_0_jumburaidohimiko03.jpg?202102-5-RELEASE-marathon-516", "■")</f>
        <v>■</v>
      </c>
      <c r="F570" s="14" t="s">
        <v>13085</v>
      </c>
      <c r="G570" s="14">
        <v>305862</v>
      </c>
      <c r="H570" s="14">
        <v>250236</v>
      </c>
      <c r="I570" s="7">
        <v>24</v>
      </c>
      <c r="J570" s="14" t="s">
        <v>10</v>
      </c>
      <c r="K570" s="14" t="s">
        <v>13087</v>
      </c>
      <c r="L570" s="14" t="s">
        <v>12016</v>
      </c>
      <c r="M570" s="14" t="s">
        <v>9158</v>
      </c>
      <c r="N570" s="14" t="s">
        <v>9158</v>
      </c>
      <c r="O570" s="6" t="s">
        <v>13088</v>
      </c>
      <c r="P570" s="7" t="s">
        <v>13089</v>
      </c>
      <c r="Q570" s="7">
        <v>1</v>
      </c>
    </row>
    <row r="571" spans="1:17">
      <c r="A571" s="14" t="s">
        <v>6905</v>
      </c>
      <c r="B571" s="14" t="s">
        <v>330</v>
      </c>
      <c r="C571" s="14" t="s">
        <v>35</v>
      </c>
      <c r="D571" s="19" t="s">
        <v>10299</v>
      </c>
      <c r="E571" s="15" t="str">
        <f>HYPERLINK("https://stat100.ameba.jp/tnk47/ratio20/illustrations/card/ill_80623_0_ohanamigurampingutominushihime03.jpg?202102-5-RELEASE-marathon-516", "■")</f>
        <v>■</v>
      </c>
      <c r="F571" s="14" t="s">
        <v>4162</v>
      </c>
      <c r="G571" s="14">
        <v>289274</v>
      </c>
      <c r="H571" s="14">
        <v>261472</v>
      </c>
      <c r="I571" s="14">
        <v>24</v>
      </c>
      <c r="J571" s="14" t="s">
        <v>44</v>
      </c>
      <c r="K571" s="14" t="s">
        <v>4163</v>
      </c>
      <c r="L571" s="14" t="s">
        <v>4164</v>
      </c>
      <c r="M571" s="14" t="s">
        <v>9158</v>
      </c>
      <c r="N571" s="14" t="s">
        <v>9158</v>
      </c>
      <c r="O571" s="19" t="s">
        <v>10126</v>
      </c>
      <c r="P571" s="14" t="s">
        <v>4166</v>
      </c>
      <c r="Q571" s="14">
        <v>1</v>
      </c>
    </row>
    <row r="572" spans="1:17">
      <c r="A572" s="14" t="s">
        <v>5627</v>
      </c>
      <c r="B572" s="14" t="s">
        <v>330</v>
      </c>
      <c r="C572" s="14" t="s">
        <v>191</v>
      </c>
      <c r="D572" s="19" t="s">
        <v>393</v>
      </c>
      <c r="E572" s="15" t="str">
        <f>HYPERLINK("https://stat100.ameba.jp/tnk47/ratio20/illustrations/card/ill_46283_0_odanobunaga03.jpg?202102-5-RELEASE-marathon-516", "■")</f>
        <v>■</v>
      </c>
      <c r="F572" s="14" t="s">
        <v>1073</v>
      </c>
      <c r="G572" s="14">
        <v>131538</v>
      </c>
      <c r="H572" s="14">
        <v>140448</v>
      </c>
      <c r="I572" s="14">
        <v>24</v>
      </c>
      <c r="J572" s="14" t="s">
        <v>143</v>
      </c>
      <c r="K572" s="14" t="s">
        <v>1074</v>
      </c>
      <c r="L572" s="14" t="s">
        <v>1075</v>
      </c>
      <c r="M572" s="14" t="s">
        <v>9158</v>
      </c>
      <c r="N572" s="14" t="s">
        <v>9158</v>
      </c>
      <c r="O572" s="14" t="s">
        <v>9158</v>
      </c>
      <c r="P572" s="14" t="s">
        <v>9158</v>
      </c>
      <c r="Q572" s="14" t="s">
        <v>9158</v>
      </c>
    </row>
    <row r="573" spans="1:17">
      <c r="A573" s="14">
        <v>95433</v>
      </c>
      <c r="B573" s="14" t="s">
        <v>0</v>
      </c>
      <c r="C573" s="14" t="s">
        <v>101</v>
      </c>
      <c r="D573" s="14" t="s">
        <v>16035</v>
      </c>
      <c r="E573" s="15" t="str">
        <f>HYPERLINK("https://stat100.ameba.jp/tnk47/ratio20/illustrations/card/ill_95433_nonakachiyoko03.jpg?202102-5-RELEASE-marathon-516", "■")</f>
        <v>■</v>
      </c>
      <c r="F573" s="14" t="s">
        <v>16034</v>
      </c>
      <c r="G573" s="14">
        <v>105426</v>
      </c>
      <c r="H573" s="14">
        <v>98066</v>
      </c>
      <c r="I573" s="14">
        <v>26</v>
      </c>
      <c r="J573" s="14" t="s">
        <v>16</v>
      </c>
      <c r="K573" s="14" t="s">
        <v>3789</v>
      </c>
      <c r="L573" s="14" t="s">
        <v>15184</v>
      </c>
      <c r="M573" s="14" t="s">
        <v>9158</v>
      </c>
      <c r="N573" s="14" t="s">
        <v>9158</v>
      </c>
      <c r="O573" s="14" t="s">
        <v>9158</v>
      </c>
      <c r="P573" s="14" t="s">
        <v>9158</v>
      </c>
      <c r="Q573" s="14" t="s">
        <v>9158</v>
      </c>
    </row>
    <row r="574" spans="1:17">
      <c r="A574" s="14">
        <v>95443</v>
      </c>
      <c r="B574" s="14" t="s">
        <v>15</v>
      </c>
      <c r="C574" s="14" t="s">
        <v>107</v>
      </c>
      <c r="D574" s="14" t="s">
        <v>16040</v>
      </c>
      <c r="E574" s="15" t="str">
        <f>HYPERLINK("https://stat100.ameba.jp/tnk47/ratio20/illustrations/card/ill_95443_ningyohimeakakanaja03.jpg?202102-5-RELEASE-marathon-516", "■")</f>
        <v>■</v>
      </c>
      <c r="F574" s="14" t="s">
        <v>16039</v>
      </c>
      <c r="G574" s="14">
        <v>69898</v>
      </c>
      <c r="H574" s="14">
        <v>77064</v>
      </c>
      <c r="I574" s="14">
        <v>26</v>
      </c>
      <c r="J574" s="14" t="s">
        <v>73</v>
      </c>
      <c r="K574" s="14" t="s">
        <v>16038</v>
      </c>
      <c r="L574" s="14" t="s">
        <v>1706</v>
      </c>
      <c r="M574" s="14" t="s">
        <v>9158</v>
      </c>
      <c r="N574" s="14" t="s">
        <v>9158</v>
      </c>
      <c r="O574" s="14" t="s">
        <v>9158</v>
      </c>
      <c r="P574" s="14" t="s">
        <v>9158</v>
      </c>
      <c r="Q574" s="14" t="s">
        <v>9158</v>
      </c>
    </row>
    <row r="575" spans="1:17">
      <c r="A575" s="14">
        <v>95453</v>
      </c>
      <c r="B575" s="14" t="s">
        <v>22</v>
      </c>
      <c r="C575" s="14" t="s">
        <v>23</v>
      </c>
      <c r="D575" s="14" t="s">
        <v>16046</v>
      </c>
      <c r="E575" s="15" t="str">
        <f>HYPERLINK("https://stat100.ameba.jp/tnk47/ratio20/illustrations/card/ill_95453_shirasuchan03.jpg?202102-5-RELEASE-marathon-516", "■")</f>
        <v>■</v>
      </c>
      <c r="F575" s="14" t="s">
        <v>16045</v>
      </c>
      <c r="G575" s="14">
        <v>54058</v>
      </c>
      <c r="H575" s="14">
        <v>44948</v>
      </c>
      <c r="I575" s="14">
        <v>26</v>
      </c>
      <c r="J575" s="14" t="s">
        <v>26</v>
      </c>
      <c r="K575" s="14" t="s">
        <v>16043</v>
      </c>
      <c r="L575" s="14" t="s">
        <v>2635</v>
      </c>
      <c r="M575" s="14" t="s">
        <v>9158</v>
      </c>
      <c r="N575" s="14" t="s">
        <v>9158</v>
      </c>
      <c r="O575" s="14" t="s">
        <v>9158</v>
      </c>
      <c r="P575" s="14" t="s">
        <v>9158</v>
      </c>
      <c r="Q575" s="14" t="s">
        <v>9158</v>
      </c>
    </row>
    <row r="576" spans="1:17">
      <c r="A576" s="14">
        <v>95463</v>
      </c>
      <c r="B576" s="14" t="s">
        <v>22</v>
      </c>
      <c r="C576" s="14" t="s">
        <v>14</v>
      </c>
      <c r="D576" s="14" t="s">
        <v>16051</v>
      </c>
      <c r="E576" s="15" t="str">
        <f>HYPERLINK("https://stat100.ameba.jp/tnk47/ratio20/illustrations/card/ill_95463_mikatanosami03.jpg?202102-5-RELEASE-marathon-516", "■")</f>
        <v>■</v>
      </c>
      <c r="F576" s="14" t="s">
        <v>16050</v>
      </c>
      <c r="G576" s="14">
        <v>44948</v>
      </c>
      <c r="H576" s="14">
        <v>54058</v>
      </c>
      <c r="I576" s="14">
        <v>26</v>
      </c>
      <c r="J576" s="14" t="s">
        <v>16</v>
      </c>
      <c r="K576" s="14" t="s">
        <v>16049</v>
      </c>
      <c r="L576" s="14" t="s">
        <v>6675</v>
      </c>
      <c r="M576" s="14" t="s">
        <v>9158</v>
      </c>
      <c r="N576" s="14" t="s">
        <v>9158</v>
      </c>
      <c r="O576" s="14" t="s">
        <v>9158</v>
      </c>
      <c r="P576" s="14" t="s">
        <v>9158</v>
      </c>
      <c r="Q576" s="14" t="s">
        <v>9158</v>
      </c>
    </row>
    <row r="578" spans="1:17">
      <c r="A578" s="14" t="s">
        <v>3911</v>
      </c>
    </row>
    <row r="579" spans="1:17">
      <c r="A579" s="14">
        <v>106450</v>
      </c>
      <c r="B579" s="14" t="s">
        <v>16237</v>
      </c>
    </row>
    <row r="580" spans="1:17">
      <c r="A580" s="14">
        <v>106460</v>
      </c>
      <c r="B580" s="14" t="s">
        <v>15721</v>
      </c>
    </row>
    <row r="581" spans="1:17">
      <c r="A581" s="14" t="s">
        <v>12532</v>
      </c>
      <c r="B581" s="7" t="s">
        <v>52</v>
      </c>
      <c r="C581" s="14" t="s">
        <v>202</v>
      </c>
      <c r="D581" s="18" t="s">
        <v>12528</v>
      </c>
      <c r="E581" s="15" t="str">
        <f>HYPERLINK("https://stat100.ameba.jp/tnk47/ratio20/illustrations/card/ill_89073_0_efuwanresuyokohamaserachan03.jpg?202102-5-RELEASE-marathon-516", "■")</f>
        <v>■</v>
      </c>
      <c r="F581" s="14" t="s">
        <v>12529</v>
      </c>
      <c r="G581" s="14">
        <v>307998</v>
      </c>
      <c r="H581" s="14">
        <v>340784</v>
      </c>
      <c r="I581" s="7">
        <v>28</v>
      </c>
      <c r="J581" s="14" t="s">
        <v>229</v>
      </c>
      <c r="K581" s="14" t="s">
        <v>12530</v>
      </c>
      <c r="L581" s="14" t="s">
        <v>12531</v>
      </c>
      <c r="M581" s="14" t="s">
        <v>9158</v>
      </c>
      <c r="N581" s="14" t="s">
        <v>9158</v>
      </c>
      <c r="O581" s="6" t="s">
        <v>12533</v>
      </c>
      <c r="P581" s="7" t="s">
        <v>12534</v>
      </c>
      <c r="Q581" s="7">
        <v>1</v>
      </c>
    </row>
    <row r="582" spans="1:17">
      <c r="A582" s="14" t="s">
        <v>7150</v>
      </c>
      <c r="B582" s="14" t="s">
        <v>52</v>
      </c>
      <c r="C582" s="14" t="s">
        <v>202</v>
      </c>
      <c r="D582" s="19" t="s">
        <v>10656</v>
      </c>
      <c r="E582" s="15" t="str">
        <f>HYPERLINK("https://stat100.ameba.jp/tnk47/ratio20/illustrations/card/ill_84203_0_tarottofujiwaranoshoshi03.jpg?202102-5-RELEASE-marathon-516", "■")</f>
        <v>■</v>
      </c>
      <c r="F582" s="14" t="s">
        <v>7153</v>
      </c>
      <c r="G582" s="14">
        <v>412124</v>
      </c>
      <c r="H582" s="14">
        <v>372500</v>
      </c>
      <c r="I582" s="14">
        <v>28</v>
      </c>
      <c r="J582" s="14" t="s">
        <v>10</v>
      </c>
      <c r="K582" s="14" t="s">
        <v>7152</v>
      </c>
      <c r="L582" s="14" t="s">
        <v>7151</v>
      </c>
      <c r="M582" s="14" t="s">
        <v>9158</v>
      </c>
      <c r="N582" s="14" t="s">
        <v>9158</v>
      </c>
      <c r="O582" s="19" t="s">
        <v>10128</v>
      </c>
      <c r="P582" s="14" t="s">
        <v>7154</v>
      </c>
      <c r="Q582" s="14">
        <v>1</v>
      </c>
    </row>
    <row r="583" spans="1:17">
      <c r="A583" s="14" t="s">
        <v>5902</v>
      </c>
      <c r="B583" s="14" t="s">
        <v>330</v>
      </c>
      <c r="C583" s="14" t="s">
        <v>206</v>
      </c>
      <c r="D583" s="19" t="s">
        <v>483</v>
      </c>
      <c r="E583" s="15" t="str">
        <f>HYPERLINK("https://stat100.ameba.jp/tnk47/ratio20/illustrations/card/ill_40343_0_heshikirihasebekurodakambe03.jpg?202102-5-RELEASE-marathon-516", "■")</f>
        <v>■</v>
      </c>
      <c r="F583" s="14" t="s">
        <v>906</v>
      </c>
      <c r="G583" s="14">
        <v>163856</v>
      </c>
      <c r="H583" s="14">
        <v>153462</v>
      </c>
      <c r="I583" s="14">
        <v>28</v>
      </c>
      <c r="J583" s="14" t="s">
        <v>16</v>
      </c>
      <c r="K583" s="14" t="s">
        <v>907</v>
      </c>
      <c r="L583" s="14" t="s">
        <v>908</v>
      </c>
      <c r="M583" s="14" t="s">
        <v>9158</v>
      </c>
      <c r="N583" s="14" t="s">
        <v>9158</v>
      </c>
      <c r="O583" s="14" t="s">
        <v>9158</v>
      </c>
      <c r="P583" s="14" t="s">
        <v>9158</v>
      </c>
      <c r="Q583" s="14" t="s">
        <v>9158</v>
      </c>
    </row>
    <row r="584" spans="1:17">
      <c r="A584" s="7">
        <v>85053</v>
      </c>
      <c r="B584" s="7" t="s">
        <v>0</v>
      </c>
      <c r="C584" s="7" t="s">
        <v>158</v>
      </c>
      <c r="D584" s="19" t="s">
        <v>10768</v>
      </c>
      <c r="E584" s="15" t="str">
        <f>HYPERLINK("https://stat100.ameba.jp/tnk47/ratio20/illustrations/card/ill_85053_heideirumu03.jpg?202102-5-RELEASE-marathon-516", "■")</f>
        <v>■</v>
      </c>
      <c r="F584" s="7" t="s">
        <v>7969</v>
      </c>
      <c r="G584" s="7">
        <v>127814</v>
      </c>
      <c r="H584" s="7">
        <v>92574</v>
      </c>
      <c r="I584" s="7">
        <v>28</v>
      </c>
      <c r="J584" s="7" t="s">
        <v>169</v>
      </c>
      <c r="K584" s="7" t="s">
        <v>7968</v>
      </c>
      <c r="L584" s="7" t="s">
        <v>7967</v>
      </c>
      <c r="M584" s="14" t="s">
        <v>9158</v>
      </c>
      <c r="N584" s="14" t="s">
        <v>9158</v>
      </c>
      <c r="O584" s="19" t="s">
        <v>10085</v>
      </c>
      <c r="P584" s="7" t="s">
        <v>4374</v>
      </c>
      <c r="Q584" s="7">
        <v>1</v>
      </c>
    </row>
    <row r="585" spans="1:17">
      <c r="A585" s="14">
        <v>63273</v>
      </c>
      <c r="B585" s="14" t="s">
        <v>334</v>
      </c>
      <c r="C585" s="14" t="s">
        <v>158</v>
      </c>
      <c r="D585" s="19" t="s">
        <v>828</v>
      </c>
      <c r="E585" s="15" t="str">
        <f>HYPERLINK("https://stat100.ameba.jp/tnk47/ratio20/illustrations/card/ill_63273_tsukushimai03.jpg?202102-5-RELEASE-marathon-516", "■")</f>
        <v>■</v>
      </c>
      <c r="F585" s="14" t="s">
        <v>1211</v>
      </c>
      <c r="G585" s="14">
        <v>142890</v>
      </c>
      <c r="H585" s="14">
        <v>103492</v>
      </c>
      <c r="I585" s="9">
        <v>28</v>
      </c>
      <c r="J585" s="14" t="s">
        <v>38</v>
      </c>
      <c r="K585" s="14" t="s">
        <v>1212</v>
      </c>
      <c r="L585" s="14" t="s">
        <v>1213</v>
      </c>
      <c r="M585" s="14" t="s">
        <v>9158</v>
      </c>
      <c r="N585" s="14" t="s">
        <v>9158</v>
      </c>
      <c r="O585" s="19" t="s">
        <v>10110</v>
      </c>
      <c r="P585" s="14" t="s">
        <v>13128</v>
      </c>
      <c r="Q585" s="14">
        <v>1</v>
      </c>
    </row>
    <row r="586" spans="1:17">
      <c r="A586" s="14">
        <v>66363</v>
      </c>
      <c r="B586" s="14" t="s">
        <v>334</v>
      </c>
      <c r="C586" s="14" t="s">
        <v>158</v>
      </c>
      <c r="D586" s="19" t="s">
        <v>2910</v>
      </c>
      <c r="E586" s="15" t="str">
        <f>HYPERLINK("https://stat100.ameba.jp/tnk47/ratio20/illustrations/card/ill_66363_iharasaikaku03.jpg?202102-5-RELEASE-marathon-516", "■")</f>
        <v>■</v>
      </c>
      <c r="F586" s="14" t="s">
        <v>122</v>
      </c>
      <c r="G586" s="9">
        <v>92068</v>
      </c>
      <c r="H586" s="9">
        <v>127078</v>
      </c>
      <c r="I586" s="7">
        <v>28</v>
      </c>
      <c r="J586" s="14" t="s">
        <v>414</v>
      </c>
      <c r="K586" s="14" t="s">
        <v>2911</v>
      </c>
      <c r="L586" s="14" t="s">
        <v>1575</v>
      </c>
      <c r="M586" s="14" t="s">
        <v>9158</v>
      </c>
      <c r="N586" s="14" t="s">
        <v>9158</v>
      </c>
      <c r="O586" s="19" t="s">
        <v>10074</v>
      </c>
      <c r="P586" s="14" t="s">
        <v>2822</v>
      </c>
      <c r="Q586" s="14">
        <v>1</v>
      </c>
    </row>
    <row r="587" spans="1:17">
      <c r="A587" s="7">
        <v>85043</v>
      </c>
      <c r="B587" s="7" t="s">
        <v>0</v>
      </c>
      <c r="C587" s="14" t="s">
        <v>209</v>
      </c>
      <c r="D587" s="19" t="s">
        <v>10752</v>
      </c>
      <c r="E587" s="15" t="str">
        <f>HYPERLINK("https://stat100.ameba.jp/tnk47/ratio20/illustrations/card/ill_85043_sutoroberireddo03.jpg?202102-5-RELEASE-marathon-516", "■")</f>
        <v>■</v>
      </c>
      <c r="F587" s="7" t="s">
        <v>7843</v>
      </c>
      <c r="G587" s="7">
        <v>148002</v>
      </c>
      <c r="H587" s="7">
        <v>107188</v>
      </c>
      <c r="I587" s="9">
        <v>28</v>
      </c>
      <c r="J587" s="7" t="s">
        <v>104</v>
      </c>
      <c r="K587" s="7" t="s">
        <v>7841</v>
      </c>
      <c r="L587" s="7" t="s">
        <v>2409</v>
      </c>
      <c r="M587" s="14" t="s">
        <v>9158</v>
      </c>
      <c r="N587" s="14" t="s">
        <v>9158</v>
      </c>
      <c r="O587" s="19" t="s">
        <v>10102</v>
      </c>
      <c r="P587" s="14" t="s">
        <v>3672</v>
      </c>
      <c r="Q587" s="14">
        <v>1</v>
      </c>
    </row>
    <row r="588" spans="1:17">
      <c r="A588" s="14">
        <v>80173</v>
      </c>
      <c r="B588" s="14" t="s">
        <v>334</v>
      </c>
      <c r="C588" s="14" t="s">
        <v>47</v>
      </c>
      <c r="D588" s="20" t="s">
        <v>10390</v>
      </c>
      <c r="E588" s="15" t="str">
        <f>HYPERLINK("https://stat100.ameba.jp/tnk47/ratio20/illustrations/card/ill_80173_jusomedeia03.jpg?202102-5-RELEASE-marathon-516", "■")</f>
        <v>■</v>
      </c>
      <c r="F588" s="14" t="s">
        <v>3914</v>
      </c>
      <c r="G588" s="14">
        <v>107188</v>
      </c>
      <c r="H588" s="14">
        <v>148002</v>
      </c>
      <c r="I588" s="7">
        <v>28</v>
      </c>
      <c r="J588" s="14" t="s">
        <v>73</v>
      </c>
      <c r="K588" s="14" t="s">
        <v>3915</v>
      </c>
      <c r="L588" s="14" t="s">
        <v>1033</v>
      </c>
      <c r="M588" s="14" t="s">
        <v>9158</v>
      </c>
      <c r="N588" s="14" t="s">
        <v>9158</v>
      </c>
      <c r="O588" s="19" t="s">
        <v>10074</v>
      </c>
      <c r="P588" s="14" t="s">
        <v>3592</v>
      </c>
      <c r="Q588" s="14">
        <v>1</v>
      </c>
    </row>
    <row r="589" spans="1:17">
      <c r="A589" s="14">
        <v>70373</v>
      </c>
      <c r="B589" s="14" t="s">
        <v>334</v>
      </c>
      <c r="C589" s="14" t="s">
        <v>209</v>
      </c>
      <c r="D589" s="20" t="s">
        <v>10226</v>
      </c>
      <c r="E589" s="15" t="str">
        <f>HYPERLINK("https://stat100.ameba.jp/tnk47/ratio20/illustrations/card/ill_70373_amanoyasukage03.jpg?202102-5-RELEASE-marathon-516", "■")</f>
        <v>■</v>
      </c>
      <c r="F589" s="14" t="s">
        <v>2617</v>
      </c>
      <c r="G589" s="14">
        <v>144636</v>
      </c>
      <c r="H589" s="14">
        <v>155556</v>
      </c>
      <c r="I589" s="9">
        <v>28</v>
      </c>
      <c r="J589" s="14" t="s">
        <v>143</v>
      </c>
      <c r="K589" s="14" t="s">
        <v>2618</v>
      </c>
      <c r="L589" s="14" t="s">
        <v>2619</v>
      </c>
      <c r="M589" s="14" t="s">
        <v>9158</v>
      </c>
      <c r="N589" s="14" t="s">
        <v>9158</v>
      </c>
      <c r="O589" s="19" t="s">
        <v>10081</v>
      </c>
      <c r="P589" s="14" t="s">
        <v>4146</v>
      </c>
      <c r="Q589" s="14">
        <v>1</v>
      </c>
    </row>
    <row r="591" spans="1:17">
      <c r="A591" s="14" t="s">
        <v>3844</v>
      </c>
    </row>
    <row r="592" spans="1:17">
      <c r="A592" s="14">
        <v>106474</v>
      </c>
      <c r="B592" s="14" t="s">
        <v>16238</v>
      </c>
    </row>
    <row r="593" spans="1:18">
      <c r="A593" s="14" t="s">
        <v>5623</v>
      </c>
      <c r="B593" s="14" t="s">
        <v>330</v>
      </c>
      <c r="C593" s="14" t="s">
        <v>165</v>
      </c>
      <c r="D593" s="20" t="s">
        <v>3146</v>
      </c>
      <c r="E593" s="15" t="str">
        <f>HYPERLINK("https://stat100.ameba.jp/tnk47/ratio20/illustrations/card/ill_65713_0_undokaionikirimaru03.jpg?202102-5-RELEASE-marathon-516x", "■")</f>
        <v>■</v>
      </c>
      <c r="F593" s="14" t="s">
        <v>535</v>
      </c>
      <c r="G593" s="14">
        <v>196778</v>
      </c>
      <c r="H593" s="14">
        <v>182946</v>
      </c>
      <c r="I593" s="14">
        <v>26</v>
      </c>
      <c r="J593" s="14" t="s">
        <v>320</v>
      </c>
      <c r="K593" s="14" t="s">
        <v>3147</v>
      </c>
      <c r="L593" s="14" t="s">
        <v>3148</v>
      </c>
      <c r="M593" s="14" t="s">
        <v>9158</v>
      </c>
      <c r="N593" s="14" t="s">
        <v>9158</v>
      </c>
      <c r="O593" s="19" t="s">
        <v>2869</v>
      </c>
      <c r="P593" s="14" t="s">
        <v>2870</v>
      </c>
      <c r="Q593" s="14">
        <v>1</v>
      </c>
    </row>
    <row r="594" spans="1:18">
      <c r="A594" s="14">
        <v>63853</v>
      </c>
      <c r="B594" s="14" t="s">
        <v>334</v>
      </c>
      <c r="C594" s="14" t="s">
        <v>200</v>
      </c>
      <c r="D594" s="20" t="s">
        <v>10284</v>
      </c>
      <c r="E594" s="15" t="str">
        <f>HYPERLINK("https://stat100.ameba.jp/tnk47/ratio20/illustrations/card/ill_63853_daikokaijidainansosatomihakkenden03.jpg?202102-5-RELEASE-marathon-516x", "■")</f>
        <v>■</v>
      </c>
      <c r="F594" s="14" t="s">
        <v>941</v>
      </c>
      <c r="G594" s="14">
        <v>110126</v>
      </c>
      <c r="H594" s="14">
        <v>118656</v>
      </c>
      <c r="I594" s="14">
        <v>26</v>
      </c>
      <c r="J594" s="14" t="s">
        <v>155</v>
      </c>
      <c r="K594" s="14" t="s">
        <v>942</v>
      </c>
      <c r="L594" s="14" t="s">
        <v>13149</v>
      </c>
      <c r="M594" s="14" t="s">
        <v>9158</v>
      </c>
      <c r="N594" s="14" t="s">
        <v>9158</v>
      </c>
      <c r="O594" s="19" t="s">
        <v>10121</v>
      </c>
      <c r="P594" s="14" t="s">
        <v>3330</v>
      </c>
      <c r="Q594" s="14">
        <v>1</v>
      </c>
    </row>
    <row r="595" spans="1:18">
      <c r="A595" s="14">
        <v>77123</v>
      </c>
      <c r="B595" s="14" t="s">
        <v>334</v>
      </c>
      <c r="C595" s="14" t="s">
        <v>191</v>
      </c>
      <c r="D595" s="20" t="s">
        <v>10424</v>
      </c>
      <c r="E595" s="15" t="str">
        <f>HYPERLINK("https://stat100.ameba.jp/tnk47/ratio20/illustrations/card/ill_77123_yukemuriizuna03.jpg?202102-5-RELEASE-marathon-516x", "■")</f>
        <v>■</v>
      </c>
      <c r="F595" s="14" t="s">
        <v>1377</v>
      </c>
      <c r="G595" s="14">
        <v>108330</v>
      </c>
      <c r="H595" s="14">
        <v>100744</v>
      </c>
      <c r="I595" s="14">
        <v>26</v>
      </c>
      <c r="J595" s="14" t="s">
        <v>320</v>
      </c>
      <c r="K595" s="14" t="s">
        <v>1378</v>
      </c>
      <c r="L595" s="14" t="s">
        <v>1379</v>
      </c>
      <c r="M595" s="14" t="s">
        <v>9158</v>
      </c>
      <c r="N595" s="14" t="s">
        <v>9158</v>
      </c>
      <c r="O595" s="19" t="s">
        <v>2838</v>
      </c>
      <c r="P595" s="14" t="s">
        <v>3579</v>
      </c>
      <c r="Q595" s="14">
        <v>1</v>
      </c>
    </row>
    <row r="596" spans="1:18">
      <c r="A596" s="14">
        <v>62043</v>
      </c>
      <c r="B596" s="14" t="s">
        <v>0</v>
      </c>
      <c r="C596" s="14" t="s">
        <v>158</v>
      </c>
      <c r="D596" s="20" t="s">
        <v>10233</v>
      </c>
      <c r="E596" s="15" t="str">
        <f>HYPERLINK("https://stat100.ameba.jp/tnk47/ratio20/illustrations/card/ill_62043_niutsuhimenookami03.jpg?202102-5-RELEASE-marathon-516x", "■")</f>
        <v>■</v>
      </c>
      <c r="F596" s="14" t="s">
        <v>2022</v>
      </c>
      <c r="G596" s="14">
        <v>85962</v>
      </c>
      <c r="H596" s="14">
        <v>118684</v>
      </c>
      <c r="I596" s="14">
        <v>26</v>
      </c>
      <c r="J596" s="14" t="s">
        <v>169</v>
      </c>
      <c r="K596" s="14" t="s">
        <v>2023</v>
      </c>
      <c r="L596" s="14" t="s">
        <v>13144</v>
      </c>
      <c r="M596" s="14" t="s">
        <v>9158</v>
      </c>
      <c r="N596" s="14" t="s">
        <v>9158</v>
      </c>
      <c r="O596" s="19" t="s">
        <v>10093</v>
      </c>
      <c r="P596" s="14" t="s">
        <v>13145</v>
      </c>
      <c r="Q596" s="14">
        <v>1</v>
      </c>
    </row>
    <row r="598" spans="1:18">
      <c r="A598" s="14" t="s">
        <v>16053</v>
      </c>
    </row>
    <row r="599" spans="1:18">
      <c r="A599" s="14">
        <v>106477</v>
      </c>
      <c r="B599" s="14" t="s">
        <v>16054</v>
      </c>
    </row>
    <row r="600" spans="1:18">
      <c r="A600" s="14">
        <v>91815</v>
      </c>
      <c r="B600" s="14" t="s">
        <v>16026</v>
      </c>
      <c r="C600" s="14" t="s">
        <v>16059</v>
      </c>
      <c r="D600" s="14" t="s">
        <v>16058</v>
      </c>
      <c r="E600" s="15" t="str">
        <f>HYPERLINK("https://stat100.ameba.jp/tnk47/ratio20/illustrations/card/ill_91815_mahogakkomisuheiro05.jpg?202102-5-RELEASE-marathon-516x", "■")</f>
        <v>■</v>
      </c>
      <c r="F600" s="14" t="s">
        <v>16057</v>
      </c>
      <c r="G600" s="14">
        <v>131636</v>
      </c>
      <c r="H600" s="14">
        <v>95308</v>
      </c>
      <c r="I600" s="14">
        <v>28</v>
      </c>
      <c r="J600" s="14" t="s">
        <v>16033</v>
      </c>
      <c r="K600" s="14" t="s">
        <v>16056</v>
      </c>
      <c r="L600" s="14" t="s">
        <v>16055</v>
      </c>
      <c r="M600" s="14" t="s">
        <v>9158</v>
      </c>
      <c r="N600" s="14" t="s">
        <v>9158</v>
      </c>
      <c r="O600" s="14" t="s">
        <v>9158</v>
      </c>
      <c r="P600" s="14" t="s">
        <v>9158</v>
      </c>
      <c r="Q600" s="14" t="s">
        <v>9158</v>
      </c>
      <c r="R600" s="14" t="s">
        <v>16063</v>
      </c>
    </row>
    <row r="601" spans="1:18">
      <c r="A601" s="14">
        <v>91813</v>
      </c>
      <c r="B601" s="14" t="s">
        <v>16027</v>
      </c>
      <c r="C601" s="14" t="s">
        <v>16060</v>
      </c>
      <c r="D601" s="14" t="s">
        <v>16058</v>
      </c>
      <c r="E601" s="15" t="str">
        <f>HYPERLINK("https://stat100.ameba.jp/tnk47/ratio20/illustrations/card/ill_91813_mahogakkomisuheiro03.jpg?202102-5-RELEASE-marathon-516x", "■")</f>
        <v>■</v>
      </c>
      <c r="F601" s="14" t="s">
        <v>16057</v>
      </c>
      <c r="G601" s="14">
        <v>96978</v>
      </c>
      <c r="H601" s="14">
        <v>70218</v>
      </c>
      <c r="I601" s="14">
        <v>28</v>
      </c>
      <c r="J601" s="14" t="s">
        <v>16033</v>
      </c>
      <c r="K601" s="14" t="s">
        <v>16056</v>
      </c>
      <c r="L601" s="14" t="s">
        <v>16061</v>
      </c>
      <c r="M601" s="14" t="s">
        <v>9158</v>
      </c>
      <c r="N601" s="14" t="s">
        <v>9158</v>
      </c>
      <c r="O601" s="14" t="s">
        <v>9158</v>
      </c>
      <c r="P601" s="14" t="s">
        <v>9158</v>
      </c>
      <c r="Q601" s="14" t="s">
        <v>9158</v>
      </c>
      <c r="R601" s="14" t="s">
        <v>16064</v>
      </c>
    </row>
    <row r="602" spans="1:18">
      <c r="A602" s="14">
        <v>91811</v>
      </c>
      <c r="B602" s="14" t="s">
        <v>16027</v>
      </c>
      <c r="C602" s="14" t="s">
        <v>16060</v>
      </c>
      <c r="D602" s="14" t="s">
        <v>16058</v>
      </c>
      <c r="E602" s="15" t="str">
        <f>HYPERLINK("https://stat100.ameba.jp/tnk47/ratio20/illustrations/card/ill_91811_mahogakkomisuheiro01.jpg?202102-5-RELEASE-marathon-516x", "■")</f>
        <v>■</v>
      </c>
      <c r="F602" s="14" t="s">
        <v>14730</v>
      </c>
      <c r="G602" s="14">
        <v>61684</v>
      </c>
      <c r="H602" s="14">
        <v>44660</v>
      </c>
      <c r="I602" s="14">
        <v>28</v>
      </c>
      <c r="J602" s="14" t="s">
        <v>16033</v>
      </c>
      <c r="K602" s="14" t="s">
        <v>16056</v>
      </c>
      <c r="L602" s="14" t="s">
        <v>16062</v>
      </c>
      <c r="M602" s="14" t="s">
        <v>9158</v>
      </c>
      <c r="N602" s="14" t="s">
        <v>9158</v>
      </c>
      <c r="O602" s="14" t="s">
        <v>9158</v>
      </c>
      <c r="P602" s="14" t="s">
        <v>9158</v>
      </c>
      <c r="Q602" s="14" t="s">
        <v>9158</v>
      </c>
      <c r="R602" s="14" t="s">
        <v>16065</v>
      </c>
    </row>
    <row r="603" spans="1:18">
      <c r="A603" s="14">
        <v>91805</v>
      </c>
      <c r="B603" s="14" t="s">
        <v>16026</v>
      </c>
      <c r="C603" s="14" t="s">
        <v>16059</v>
      </c>
      <c r="D603" s="14" t="s">
        <v>16070</v>
      </c>
      <c r="E603" s="15" t="str">
        <f>HYPERLINK("https://stat100.ameba.jp/tnk47/ratio20/illustrations/card/ill_91805_gekkogakkutensendara05.jpg?202102-5-RELEASE-marathon-516x", "■")</f>
        <v>■</v>
      </c>
      <c r="F603" s="14" t="s">
        <v>16069</v>
      </c>
      <c r="G603" s="14">
        <v>95308</v>
      </c>
      <c r="H603" s="14">
        <v>131636</v>
      </c>
      <c r="I603" s="14">
        <v>28</v>
      </c>
      <c r="J603" s="14" t="s">
        <v>16068</v>
      </c>
      <c r="K603" s="14" t="s">
        <v>16067</v>
      </c>
      <c r="L603" s="14" t="s">
        <v>16066</v>
      </c>
      <c r="M603" s="14" t="s">
        <v>9158</v>
      </c>
      <c r="N603" s="14" t="s">
        <v>9158</v>
      </c>
      <c r="O603" s="14" t="s">
        <v>9158</v>
      </c>
      <c r="P603" s="14" t="s">
        <v>9158</v>
      </c>
      <c r="Q603" s="14" t="s">
        <v>9158</v>
      </c>
      <c r="R603" s="14" t="s">
        <v>16063</v>
      </c>
    </row>
    <row r="604" spans="1:18">
      <c r="A604" s="14">
        <v>91803</v>
      </c>
      <c r="B604" s="14" t="s">
        <v>16027</v>
      </c>
      <c r="C604" s="14" t="s">
        <v>16071</v>
      </c>
      <c r="D604" s="14" t="s">
        <v>16070</v>
      </c>
      <c r="E604" s="15" t="str">
        <f>HYPERLINK("https://stat100.ameba.jp/tnk47/ratio20/illustrations/card/ill_91803_gekkogakkutensendara03.jpg?202102-5-RELEASE-marathon-516x", "■")</f>
        <v>■</v>
      </c>
      <c r="F604" s="14" t="s">
        <v>16069</v>
      </c>
      <c r="G604" s="14">
        <v>70218</v>
      </c>
      <c r="H604" s="14">
        <v>96978</v>
      </c>
      <c r="I604" s="14">
        <v>28</v>
      </c>
      <c r="J604" s="14" t="s">
        <v>16068</v>
      </c>
      <c r="K604" s="14" t="s">
        <v>16067</v>
      </c>
      <c r="L604" s="14" t="s">
        <v>16072</v>
      </c>
      <c r="M604" s="14" t="s">
        <v>9158</v>
      </c>
      <c r="N604" s="14" t="s">
        <v>9158</v>
      </c>
      <c r="O604" s="14" t="s">
        <v>9158</v>
      </c>
      <c r="P604" s="14" t="s">
        <v>9158</v>
      </c>
      <c r="Q604" s="14" t="s">
        <v>9158</v>
      </c>
      <c r="R604" s="14" t="s">
        <v>16064</v>
      </c>
    </row>
    <row r="605" spans="1:18">
      <c r="A605" s="14">
        <v>91801</v>
      </c>
      <c r="B605" s="14" t="s">
        <v>16027</v>
      </c>
      <c r="C605" s="14" t="s">
        <v>16071</v>
      </c>
      <c r="D605" s="14" t="s">
        <v>16070</v>
      </c>
      <c r="E605" s="15" t="str">
        <f>HYPERLINK("https://stat100.ameba.jp/tnk47/ratio20/illustrations/card/ill_91801_gekkogakkutensendara01.jpg?202102-5-RELEASE-marathon-516x", "■")</f>
        <v>■</v>
      </c>
      <c r="F605" s="14" t="s">
        <v>16069</v>
      </c>
      <c r="G605" s="14">
        <v>44660</v>
      </c>
      <c r="H605" s="14">
        <v>61684</v>
      </c>
      <c r="I605" s="14">
        <v>28</v>
      </c>
      <c r="J605" s="14" t="s">
        <v>16068</v>
      </c>
      <c r="K605" s="14" t="s">
        <v>16067</v>
      </c>
      <c r="L605" s="14" t="s">
        <v>16073</v>
      </c>
      <c r="M605" s="14" t="s">
        <v>9158</v>
      </c>
      <c r="N605" s="14" t="s">
        <v>9158</v>
      </c>
      <c r="O605" s="14" t="s">
        <v>9158</v>
      </c>
      <c r="P605" s="14" t="s">
        <v>9158</v>
      </c>
      <c r="Q605" s="14" t="s">
        <v>9158</v>
      </c>
      <c r="R605" s="14" t="s">
        <v>16065</v>
      </c>
    </row>
    <row r="606" spans="1:18">
      <c r="A606" s="14">
        <v>78085</v>
      </c>
      <c r="B606" s="14" t="s">
        <v>16026</v>
      </c>
      <c r="C606" s="14" t="s">
        <v>16059</v>
      </c>
      <c r="D606" s="14" t="s">
        <v>16077</v>
      </c>
      <c r="E606" s="15" t="str">
        <f>HYPERLINK("https://stat100.ameba.jp/tnk47/ratio20/illustrations/card/ill_78085_ryoribatoruhidarukami05.jpg?202102-5-RELEASE-marathon-516x", "■")</f>
        <v>■</v>
      </c>
      <c r="F606" s="14" t="s">
        <v>16076</v>
      </c>
      <c r="G606" s="14">
        <v>145082</v>
      </c>
      <c r="H606" s="14">
        <v>200370</v>
      </c>
      <c r="I606" s="14">
        <v>28</v>
      </c>
      <c r="J606" s="14" t="s">
        <v>16024</v>
      </c>
      <c r="K606" s="14" t="s">
        <v>16075</v>
      </c>
      <c r="L606" s="14" t="s">
        <v>16074</v>
      </c>
      <c r="M606" s="14" t="s">
        <v>9158</v>
      </c>
      <c r="N606" s="14" t="s">
        <v>9158</v>
      </c>
      <c r="O606" s="14" t="s">
        <v>9158</v>
      </c>
      <c r="P606" s="14" t="s">
        <v>9158</v>
      </c>
      <c r="Q606" s="14" t="s">
        <v>9158</v>
      </c>
      <c r="R606" s="14" t="s">
        <v>16063</v>
      </c>
    </row>
    <row r="607" spans="1:18">
      <c r="A607" s="14">
        <v>78083</v>
      </c>
      <c r="B607" s="14" t="s">
        <v>16027</v>
      </c>
      <c r="C607" s="14" t="s">
        <v>16060</v>
      </c>
      <c r="D607" s="14" t="s">
        <v>16077</v>
      </c>
      <c r="E607" s="15" t="str">
        <f>HYPERLINK("https://stat100.ameba.jp/tnk47/ratio20/illustrations/card/ill_78083_ryoribatoruhidarukami03.jpg?202102-5-RELEASE-marathon-516x", "■")</f>
        <v>■</v>
      </c>
      <c r="F607" s="14" t="s">
        <v>16076</v>
      </c>
      <c r="G607" s="14">
        <v>106890</v>
      </c>
      <c r="H607" s="14">
        <v>147630</v>
      </c>
      <c r="I607" s="14">
        <v>28</v>
      </c>
      <c r="J607" s="14" t="s">
        <v>16024</v>
      </c>
      <c r="K607" s="14" t="s">
        <v>16075</v>
      </c>
      <c r="L607" s="14" t="s">
        <v>16078</v>
      </c>
      <c r="M607" s="14" t="s">
        <v>9158</v>
      </c>
      <c r="N607" s="14" t="s">
        <v>9158</v>
      </c>
      <c r="O607" s="14" t="s">
        <v>9158</v>
      </c>
      <c r="P607" s="14" t="s">
        <v>9158</v>
      </c>
      <c r="Q607" s="14" t="s">
        <v>9158</v>
      </c>
      <c r="R607" s="14" t="s">
        <v>16064</v>
      </c>
    </row>
    <row r="608" spans="1:18">
      <c r="A608" s="14">
        <v>78081</v>
      </c>
      <c r="B608" s="14" t="s">
        <v>16027</v>
      </c>
      <c r="C608" s="14" t="s">
        <v>16060</v>
      </c>
      <c r="D608" s="14" t="s">
        <v>16077</v>
      </c>
      <c r="E608" s="15" t="str">
        <f>HYPERLINK("https://stat100.ameba.jp/tnk47/ratio20/illustrations/card/ill_78081_ryoribatoruhidarukami01.jpg?202102-5-RELEASE-marathon-516x", "■")</f>
        <v>■</v>
      </c>
      <c r="F608" s="14" t="s">
        <v>16076</v>
      </c>
      <c r="G608" s="14">
        <v>68012</v>
      </c>
      <c r="H608" s="14">
        <v>93912</v>
      </c>
      <c r="I608" s="14">
        <v>28</v>
      </c>
      <c r="J608" s="14" t="s">
        <v>16024</v>
      </c>
      <c r="K608" s="14" t="s">
        <v>16075</v>
      </c>
      <c r="L608" s="14" t="s">
        <v>16079</v>
      </c>
      <c r="M608" s="14" t="s">
        <v>9158</v>
      </c>
      <c r="N608" s="14" t="s">
        <v>9158</v>
      </c>
      <c r="O608" s="14" t="s">
        <v>9158</v>
      </c>
      <c r="P608" s="14" t="s">
        <v>9158</v>
      </c>
      <c r="Q608" s="14" t="s">
        <v>9158</v>
      </c>
      <c r="R608" s="14" t="s">
        <v>16065</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7AB30-C09A-4809-AA1E-7A69125087D8}">
  <dimension ref="A1:S548"/>
  <sheetViews>
    <sheetView zoomScale="55" zoomScaleNormal="55" workbookViewId="0">
      <pane ySplit="1" topLeftCell="A299" activePane="bottomLeft" state="frozen"/>
      <selection pane="bottomLeft" activeCell="D313" sqref="D313"/>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1328</v>
      </c>
      <c r="B3" s="14"/>
      <c r="C3" s="14"/>
      <c r="D3" s="14"/>
      <c r="F3" s="14"/>
      <c r="G3" s="14"/>
      <c r="H3" s="14"/>
      <c r="I3" s="14"/>
      <c r="J3" s="14"/>
      <c r="K3" s="14"/>
      <c r="L3" s="14"/>
      <c r="M3" s="14"/>
      <c r="N3" s="14"/>
      <c r="O3" s="14"/>
      <c r="P3" s="14"/>
      <c r="Q3" s="14"/>
      <c r="R3" s="14"/>
    </row>
    <row r="4" spans="1:19">
      <c r="A4" s="9" t="s">
        <v>7784</v>
      </c>
      <c r="B4" s="14"/>
      <c r="C4" s="14"/>
      <c r="D4" s="14"/>
      <c r="F4" s="14"/>
      <c r="G4" s="14"/>
      <c r="H4" s="14"/>
      <c r="I4" s="14"/>
      <c r="J4" s="14"/>
      <c r="K4" s="14"/>
      <c r="L4" s="14"/>
      <c r="M4" s="14"/>
      <c r="N4" s="14"/>
      <c r="O4" s="14"/>
      <c r="P4" s="14"/>
      <c r="Q4" s="14"/>
      <c r="R4" s="14"/>
    </row>
    <row r="5" spans="1:19">
      <c r="A5" s="9" t="s">
        <v>7785</v>
      </c>
      <c r="B5" s="14"/>
      <c r="C5" s="14"/>
      <c r="D5" s="14"/>
      <c r="F5" s="14"/>
      <c r="G5" s="14"/>
      <c r="H5" s="14"/>
      <c r="I5" s="14"/>
      <c r="J5" s="14"/>
      <c r="K5" s="14"/>
      <c r="L5" s="14"/>
      <c r="M5" s="14"/>
      <c r="N5" s="14"/>
      <c r="O5" s="14"/>
      <c r="P5" s="14"/>
      <c r="Q5" s="14"/>
      <c r="R5" s="14"/>
    </row>
    <row r="6" spans="1:19">
      <c r="A6" s="9" t="s">
        <v>5891</v>
      </c>
      <c r="B6" s="14" t="s">
        <v>330</v>
      </c>
      <c r="C6" s="14" t="s">
        <v>202</v>
      </c>
      <c r="D6" s="14" t="s">
        <v>1999</v>
      </c>
      <c r="E6" s="15" t="str">
        <f>HYPERLINK("https://stat100.ameba.jp/tnk47/ratio20/illustrations/card/ill_77173_0_yukemuritomoegozen03.jpg?201811-1-RELEASE-raid-377xx", "■")</f>
        <v>■</v>
      </c>
      <c r="F6" s="14" t="s">
        <v>1372</v>
      </c>
      <c r="G6" s="14">
        <v>260634</v>
      </c>
      <c r="H6" s="14">
        <v>288374</v>
      </c>
      <c r="I6" s="14">
        <v>26</v>
      </c>
      <c r="J6" s="14" t="s">
        <v>194</v>
      </c>
      <c r="K6" s="14" t="s">
        <v>1373</v>
      </c>
      <c r="L6" s="14" t="s">
        <v>1374</v>
      </c>
      <c r="M6" s="14" t="s">
        <v>9158</v>
      </c>
      <c r="N6" s="14" t="s">
        <v>9158</v>
      </c>
      <c r="O6" s="9" t="s">
        <v>3878</v>
      </c>
      <c r="P6" s="14" t="s">
        <v>3879</v>
      </c>
      <c r="Q6" s="14">
        <v>2</v>
      </c>
      <c r="R6" s="14"/>
    </row>
    <row r="7" spans="1:19">
      <c r="A7" s="9">
        <v>77113</v>
      </c>
      <c r="B7" s="14" t="s">
        <v>334</v>
      </c>
      <c r="C7" s="14" t="s">
        <v>200</v>
      </c>
      <c r="D7" s="14" t="s">
        <v>9853</v>
      </c>
      <c r="E7" s="15" t="str">
        <f>HYPERLINK("https://stat100.ameba.jp/tnk47/ratio20/illustrations/card/ill_77113_yukemurikandamyojin03.jpg?201811-1-RELEASE-raid-377xx", "■")</f>
        <v>■</v>
      </c>
      <c r="F7" s="14" t="s">
        <v>1375</v>
      </c>
      <c r="G7" s="14">
        <v>89736</v>
      </c>
      <c r="H7" s="14">
        <v>83426</v>
      </c>
      <c r="I7" s="14">
        <v>22</v>
      </c>
      <c r="J7" s="14" t="s">
        <v>401</v>
      </c>
      <c r="K7" s="14" t="s">
        <v>1376</v>
      </c>
      <c r="L7" s="14" t="s">
        <v>592</v>
      </c>
      <c r="M7" s="14" t="s">
        <v>342</v>
      </c>
      <c r="N7" s="14" t="s">
        <v>343</v>
      </c>
      <c r="O7" s="14" t="s">
        <v>9158</v>
      </c>
      <c r="P7" s="14" t="s">
        <v>9158</v>
      </c>
      <c r="Q7" s="14" t="s">
        <v>9158</v>
      </c>
      <c r="R7" s="14" t="s">
        <v>13120</v>
      </c>
    </row>
    <row r="8" spans="1:19">
      <c r="A8" s="9">
        <v>77123</v>
      </c>
      <c r="B8" s="14" t="s">
        <v>334</v>
      </c>
      <c r="C8" s="14" t="s">
        <v>191</v>
      </c>
      <c r="D8" s="14" t="s">
        <v>3659</v>
      </c>
      <c r="E8" s="15" t="str">
        <f>HYPERLINK("https://stat100.ameba.jp/tnk47/ratio20/illustrations/card/ill_77123_yukemuriizuna03.jpg?201811-1-RELEASE-raid-377xx", "■")</f>
        <v>■</v>
      </c>
      <c r="F8" s="14" t="s">
        <v>1377</v>
      </c>
      <c r="G8" s="14">
        <v>91664</v>
      </c>
      <c r="H8" s="14">
        <v>85246</v>
      </c>
      <c r="I8" s="14">
        <v>22</v>
      </c>
      <c r="J8" s="14" t="s">
        <v>320</v>
      </c>
      <c r="K8" s="14" t="s">
        <v>1378</v>
      </c>
      <c r="L8" s="14" t="s">
        <v>1379</v>
      </c>
      <c r="M8" s="14" t="s">
        <v>9158</v>
      </c>
      <c r="N8" s="14" t="s">
        <v>9158</v>
      </c>
      <c r="O8" s="9" t="s">
        <v>3660</v>
      </c>
      <c r="P8" s="14" t="s">
        <v>3579</v>
      </c>
      <c r="Q8" s="14">
        <v>1</v>
      </c>
      <c r="R8" s="14"/>
    </row>
    <row r="9" spans="1:19">
      <c r="A9" s="9">
        <v>77133</v>
      </c>
      <c r="B9" s="14" t="s">
        <v>334</v>
      </c>
      <c r="C9" s="14" t="s">
        <v>205</v>
      </c>
      <c r="D9" s="14" t="s">
        <v>9854</v>
      </c>
      <c r="E9" s="15" t="str">
        <f>HYPERLINK("https://stat100.ameba.jp/tnk47/ratio20/illustrations/card/ill_77133_yukemuriyozenin03.jpg?201811-1-RELEASE-raid-377xx", "■")</f>
        <v>■</v>
      </c>
      <c r="F9" s="14" t="s">
        <v>13710</v>
      </c>
      <c r="G9" s="14">
        <v>79868</v>
      </c>
      <c r="H9" s="14">
        <v>85934</v>
      </c>
      <c r="I9" s="14">
        <v>22</v>
      </c>
      <c r="J9" s="14" t="s">
        <v>315</v>
      </c>
      <c r="K9" s="14" t="s">
        <v>1380</v>
      </c>
      <c r="L9" s="14" t="s">
        <v>608</v>
      </c>
      <c r="M9" s="14" t="s">
        <v>342</v>
      </c>
      <c r="N9" s="14" t="s">
        <v>343</v>
      </c>
      <c r="O9" s="14" t="s">
        <v>9158</v>
      </c>
      <c r="P9" s="14" t="s">
        <v>9158</v>
      </c>
      <c r="Q9" s="14" t="s">
        <v>9158</v>
      </c>
      <c r="R9" s="14" t="s">
        <v>13120</v>
      </c>
    </row>
    <row r="10" spans="1:19">
      <c r="A10" s="9">
        <v>77143</v>
      </c>
      <c r="B10" s="14" t="s">
        <v>348</v>
      </c>
      <c r="C10" s="14" t="s">
        <v>200</v>
      </c>
      <c r="D10" s="14" t="s">
        <v>1381</v>
      </c>
      <c r="E10" s="15" t="str">
        <f>HYPERLINK("https://stat100.ameba.jp/tnk47/ratio20/illustrations/card/ill_77143_kinugawaonsen03.jpg?201811-1-RELEASE-raid-377xx", "■")</f>
        <v>■</v>
      </c>
      <c r="F10" s="14" t="s">
        <v>14734</v>
      </c>
      <c r="G10" s="14">
        <v>56456</v>
      </c>
      <c r="H10" s="14">
        <v>62244</v>
      </c>
      <c r="I10" s="14">
        <v>21</v>
      </c>
      <c r="J10" s="14" t="s">
        <v>369</v>
      </c>
      <c r="K10" s="14" t="s">
        <v>1382</v>
      </c>
      <c r="L10" s="14" t="s">
        <v>1383</v>
      </c>
      <c r="M10" s="14" t="s">
        <v>9158</v>
      </c>
      <c r="N10" s="14" t="s">
        <v>9158</v>
      </c>
      <c r="O10" s="14" t="s">
        <v>9158</v>
      </c>
      <c r="P10" s="14" t="s">
        <v>9158</v>
      </c>
      <c r="Q10" s="14" t="s">
        <v>9158</v>
      </c>
      <c r="R10" s="14"/>
    </row>
    <row r="11" spans="1:19">
      <c r="A11" s="9">
        <v>77153</v>
      </c>
      <c r="B11" s="14" t="s">
        <v>348</v>
      </c>
      <c r="C11" s="14" t="s">
        <v>206</v>
      </c>
      <c r="D11" s="14" t="s">
        <v>1384</v>
      </c>
      <c r="E11" s="15" t="str">
        <f>HYPERLINK("https://stat100.ameba.jp/tnk47/ratio20/illustrations/card/ill_77153_sugitahisajo03.jpg?201811-1-RELEASE-raid-377xx", "■")</f>
        <v>■</v>
      </c>
      <c r="F11" s="14" t="s">
        <v>1385</v>
      </c>
      <c r="G11" s="14">
        <v>62244</v>
      </c>
      <c r="H11" s="14">
        <v>56456</v>
      </c>
      <c r="I11" s="14">
        <v>21</v>
      </c>
      <c r="J11" s="14" t="s">
        <v>414</v>
      </c>
      <c r="K11" s="14" t="s">
        <v>1386</v>
      </c>
      <c r="L11" s="14" t="s">
        <v>1387</v>
      </c>
      <c r="M11" s="14" t="s">
        <v>9158</v>
      </c>
      <c r="N11" s="14" t="s">
        <v>9158</v>
      </c>
      <c r="O11" s="14" t="s">
        <v>9158</v>
      </c>
      <c r="P11" s="14" t="s">
        <v>9158</v>
      </c>
      <c r="Q11" s="14" t="s">
        <v>9158</v>
      </c>
      <c r="R11" s="14"/>
    </row>
    <row r="12" spans="1:19">
      <c r="A12" s="9">
        <v>77163</v>
      </c>
      <c r="B12" s="14" t="s">
        <v>348</v>
      </c>
      <c r="C12" s="14" t="s">
        <v>165</v>
      </c>
      <c r="D12" s="14" t="s">
        <v>1388</v>
      </c>
      <c r="E12" s="15" t="str">
        <f>HYPERLINK("https://stat100.ameba.jp/tnk47/ratio20/illustrations/card/ill_77163_hashidatekojoro03.jpg?201811-1-RELEASE-raid-377xx", "■")</f>
        <v>■</v>
      </c>
      <c r="F12" s="14" t="s">
        <v>1389</v>
      </c>
      <c r="G12" s="14">
        <v>62244</v>
      </c>
      <c r="H12" s="14">
        <v>56456</v>
      </c>
      <c r="I12" s="14">
        <v>21</v>
      </c>
      <c r="J12" s="14" t="s">
        <v>274</v>
      </c>
      <c r="K12" s="14" t="s">
        <v>1390</v>
      </c>
      <c r="L12" s="14" t="s">
        <v>1391</v>
      </c>
      <c r="M12" s="14" t="s">
        <v>9158</v>
      </c>
      <c r="N12" s="14" t="s">
        <v>9158</v>
      </c>
      <c r="O12" s="14" t="s">
        <v>9158</v>
      </c>
      <c r="P12" s="14" t="s">
        <v>9158</v>
      </c>
      <c r="Q12" s="14" t="s">
        <v>9158</v>
      </c>
      <c r="R12" s="14"/>
    </row>
    <row r="13" spans="1:19">
      <c r="A13" s="9">
        <v>77203</v>
      </c>
      <c r="B13" s="14" t="s">
        <v>362</v>
      </c>
      <c r="C13" s="14" t="s">
        <v>1329</v>
      </c>
      <c r="D13" s="14" t="s">
        <v>1392</v>
      </c>
      <c r="E13" s="15" t="str">
        <f>HYPERLINK("https://stat100.ameba.jp/tnk47/ratio20/illustrations/card/ill_77203_chisakakagechika03.jpg?201811-1-RELEASE-raid-377xx", "■")</f>
        <v>■</v>
      </c>
      <c r="F13" s="14" t="s">
        <v>1393</v>
      </c>
      <c r="G13" s="14">
        <v>41584</v>
      </c>
      <c r="H13" s="14">
        <v>34576</v>
      </c>
      <c r="I13" s="14">
        <v>20</v>
      </c>
      <c r="J13" s="14" t="s">
        <v>310</v>
      </c>
      <c r="K13" s="14" t="s">
        <v>1394</v>
      </c>
      <c r="L13" s="14" t="s">
        <v>1395</v>
      </c>
      <c r="M13" s="14" t="s">
        <v>9158</v>
      </c>
      <c r="N13" s="14" t="s">
        <v>9158</v>
      </c>
      <c r="O13" s="14" t="s">
        <v>9158</v>
      </c>
      <c r="P13" s="14" t="s">
        <v>9158</v>
      </c>
      <c r="Q13" s="14" t="s">
        <v>9158</v>
      </c>
      <c r="R13" s="14"/>
    </row>
    <row r="14" spans="1:19">
      <c r="A14" s="9">
        <v>77213</v>
      </c>
      <c r="B14" s="14" t="s">
        <v>362</v>
      </c>
      <c r="C14" s="14" t="s">
        <v>165</v>
      </c>
      <c r="D14" s="14" t="s">
        <v>1396</v>
      </c>
      <c r="E14" s="15" t="str">
        <f>HYPERLINK("https://stat100.ameba.jp/tnk47/ratio20/illustrations/card/ill_77213_shibasonome03.jpg?201811-1-RELEASE-raid-377xx", "■")</f>
        <v>■</v>
      </c>
      <c r="F14" s="14" t="s">
        <v>1397</v>
      </c>
      <c r="G14" s="14">
        <v>34576</v>
      </c>
      <c r="H14" s="14">
        <v>41584</v>
      </c>
      <c r="I14" s="14">
        <v>20</v>
      </c>
      <c r="J14" s="14" t="s">
        <v>351</v>
      </c>
      <c r="K14" s="14" t="s">
        <v>1398</v>
      </c>
      <c r="L14" s="14" t="s">
        <v>1399</v>
      </c>
      <c r="M14" s="14" t="s">
        <v>9158</v>
      </c>
      <c r="N14" s="14" t="s">
        <v>9158</v>
      </c>
      <c r="O14" s="14" t="s">
        <v>9158</v>
      </c>
      <c r="P14" s="14" t="s">
        <v>9158</v>
      </c>
      <c r="Q14" s="14" t="s">
        <v>9158</v>
      </c>
      <c r="R14" s="14"/>
    </row>
    <row r="15" spans="1:19">
      <c r="A15" s="9">
        <v>77223</v>
      </c>
      <c r="B15" s="14" t="s">
        <v>372</v>
      </c>
      <c r="C15" s="14" t="s">
        <v>1330</v>
      </c>
      <c r="D15" s="14" t="s">
        <v>1400</v>
      </c>
      <c r="E15" s="15" t="str">
        <f>HYPERLINK("https://stat100.ameba.jp/tnk47/ratio20/illustrations/card/ill_77223_aizunurichan03.jpg?201811-1-RELEASE-raid-377xx", "■")</f>
        <v>■</v>
      </c>
      <c r="F15" s="14" t="s">
        <v>1401</v>
      </c>
      <c r="G15" s="14">
        <v>25176</v>
      </c>
      <c r="H15" s="14">
        <v>21144</v>
      </c>
      <c r="I15" s="14">
        <v>20</v>
      </c>
      <c r="J15" s="14" t="s">
        <v>369</v>
      </c>
      <c r="K15" s="14" t="s">
        <v>1402</v>
      </c>
      <c r="L15" s="10" t="s">
        <v>9161</v>
      </c>
      <c r="M15" s="14" t="s">
        <v>9158</v>
      </c>
      <c r="N15" s="14" t="s">
        <v>9158</v>
      </c>
      <c r="O15" s="14" t="s">
        <v>9158</v>
      </c>
      <c r="P15" s="14" t="s">
        <v>9158</v>
      </c>
      <c r="Q15" s="14" t="s">
        <v>9158</v>
      </c>
      <c r="R15" s="14"/>
    </row>
    <row r="16" spans="1:19">
      <c r="A16" s="9">
        <v>77233</v>
      </c>
      <c r="B16" s="14" t="s">
        <v>372</v>
      </c>
      <c r="C16" s="14" t="s">
        <v>1331</v>
      </c>
      <c r="D16" s="14" t="s">
        <v>1403</v>
      </c>
      <c r="E16" s="15" t="str">
        <f>HYPERLINK("https://stat100.ameba.jp/tnk47/ratio20/illustrations/card/ill_77233_kanijiruchan03.jpg?201811-1-RELEASE-raid-377xx", "■")</f>
        <v>■</v>
      </c>
      <c r="F16" s="14" t="s">
        <v>1404</v>
      </c>
      <c r="G16" s="14">
        <v>21144</v>
      </c>
      <c r="H16" s="14">
        <v>25176</v>
      </c>
      <c r="I16" s="14">
        <v>20</v>
      </c>
      <c r="J16" s="14" t="s">
        <v>216</v>
      </c>
      <c r="K16" s="14" t="s">
        <v>1405</v>
      </c>
      <c r="L16" s="10" t="s">
        <v>9160</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13332</v>
      </c>
      <c r="D18" s="14"/>
      <c r="F18" s="14"/>
      <c r="G18" s="14"/>
      <c r="H18" s="14"/>
      <c r="I18" s="14"/>
      <c r="J18" s="14"/>
      <c r="K18" s="14"/>
      <c r="L18" s="14"/>
      <c r="M18" s="14"/>
      <c r="N18" s="14"/>
      <c r="P18" s="14"/>
      <c r="Q18" s="14"/>
      <c r="R18" s="14"/>
    </row>
    <row r="19" spans="1:18">
      <c r="A19" s="14" t="s">
        <v>1406</v>
      </c>
      <c r="C19" s="14"/>
      <c r="D19" s="14"/>
      <c r="F19" s="14"/>
      <c r="G19" s="14"/>
      <c r="H19" s="14"/>
      <c r="I19" s="14"/>
      <c r="J19" s="14"/>
      <c r="K19" s="14"/>
      <c r="L19" s="14"/>
      <c r="M19" s="14"/>
      <c r="N19" s="14"/>
      <c r="P19" s="14"/>
      <c r="Q19" s="14"/>
      <c r="R19" s="14"/>
    </row>
    <row r="20" spans="1:18">
      <c r="A20" s="9">
        <v>77625</v>
      </c>
      <c r="B20" s="14" t="s">
        <v>334</v>
      </c>
      <c r="C20" s="14" t="s">
        <v>202</v>
      </c>
      <c r="D20" s="14" t="s">
        <v>1407</v>
      </c>
      <c r="E20" s="15" t="str">
        <f>HYPERLINK("https://stat100.ameba.jp/tnk47/ratio20/illustrations/card/ill_77625_hakuinotenshioginoginko05.jpg?201811-2-RELEASE-unionbattle-378", "■")</f>
        <v>■</v>
      </c>
      <c r="F20" s="14" t="s">
        <v>1408</v>
      </c>
      <c r="G20" s="14">
        <v>165280</v>
      </c>
      <c r="H20" s="14">
        <v>119682</v>
      </c>
      <c r="I20" s="14">
        <v>22</v>
      </c>
      <c r="J20" s="14" t="s">
        <v>414</v>
      </c>
      <c r="K20" s="14" t="s">
        <v>1409</v>
      </c>
      <c r="L20" s="14" t="s">
        <v>1410</v>
      </c>
      <c r="M20" s="14" t="s">
        <v>9158</v>
      </c>
      <c r="N20" s="14" t="s">
        <v>9158</v>
      </c>
      <c r="O20" s="14" t="s">
        <v>9158</v>
      </c>
      <c r="P20" s="14" t="s">
        <v>9158</v>
      </c>
      <c r="Q20" s="14" t="s">
        <v>9158</v>
      </c>
      <c r="R20" s="14" t="s">
        <v>174</v>
      </c>
    </row>
    <row r="21" spans="1:18">
      <c r="A21" s="9">
        <v>77623</v>
      </c>
      <c r="B21" s="14" t="s">
        <v>348</v>
      </c>
      <c r="C21" s="14" t="s">
        <v>154</v>
      </c>
      <c r="D21" s="14" t="s">
        <v>1407</v>
      </c>
      <c r="E21" s="15" t="str">
        <f>HYPERLINK("https://stat100.ameba.jp/tnk47/ratio20/illustrations/card/ill_77623_hakuinotenshioginoginko03.jpg?201811-2-RELEASE-unionbattle-378", "■")</f>
        <v>■</v>
      </c>
      <c r="F21" s="14" t="s">
        <v>1408</v>
      </c>
      <c r="G21" s="14">
        <v>121778</v>
      </c>
      <c r="H21" s="14">
        <v>88184</v>
      </c>
      <c r="I21" s="14">
        <v>22</v>
      </c>
      <c r="J21" s="14" t="s">
        <v>414</v>
      </c>
      <c r="K21" s="14" t="s">
        <v>1409</v>
      </c>
      <c r="L21" s="14" t="s">
        <v>1411</v>
      </c>
      <c r="M21" s="14" t="s">
        <v>9158</v>
      </c>
      <c r="N21" s="14" t="s">
        <v>9158</v>
      </c>
      <c r="O21" s="14" t="s">
        <v>9158</v>
      </c>
      <c r="P21" s="14" t="s">
        <v>9158</v>
      </c>
      <c r="Q21" s="14" t="s">
        <v>9158</v>
      </c>
      <c r="R21" s="14" t="s">
        <v>175</v>
      </c>
    </row>
    <row r="22" spans="1:18">
      <c r="A22" s="9">
        <v>77621</v>
      </c>
      <c r="B22" s="14" t="s">
        <v>348</v>
      </c>
      <c r="C22" s="14" t="s">
        <v>209</v>
      </c>
      <c r="D22" s="14" t="s">
        <v>1407</v>
      </c>
      <c r="E22" s="15" t="str">
        <f>HYPERLINK("https://stat100.ameba.jp/tnk47/ratio20/illustrations/card/ill_77621_hakuinotenshioginoginko01.jpg?201811-2-RELEASE-unionbattle-378", "■")</f>
        <v>■</v>
      </c>
      <c r="F22" s="14" t="s">
        <v>1408</v>
      </c>
      <c r="G22" s="14">
        <v>77462</v>
      </c>
      <c r="H22" s="14">
        <v>56100</v>
      </c>
      <c r="I22" s="14">
        <v>22</v>
      </c>
      <c r="J22" s="14" t="s">
        <v>414</v>
      </c>
      <c r="K22" s="14" t="s">
        <v>1409</v>
      </c>
      <c r="L22" s="14" t="s">
        <v>1412</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204</v>
      </c>
      <c r="D24" s="14"/>
      <c r="F24" s="14"/>
      <c r="G24" s="14"/>
      <c r="H24" s="14"/>
      <c r="I24" s="14"/>
      <c r="J24" s="14"/>
      <c r="K24" s="14"/>
      <c r="L24" s="14"/>
      <c r="M24" s="14"/>
      <c r="N24" s="14"/>
      <c r="P24" s="14"/>
      <c r="Q24" s="14"/>
      <c r="R24" s="14"/>
    </row>
    <row r="25" spans="1:18">
      <c r="A25" s="14" t="s">
        <v>1413</v>
      </c>
      <c r="B25" s="14"/>
      <c r="C25" s="14"/>
      <c r="D25" s="14"/>
      <c r="F25" s="14"/>
      <c r="G25" s="14"/>
      <c r="H25" s="14"/>
      <c r="I25" s="14"/>
      <c r="J25" s="14"/>
      <c r="K25" s="14"/>
      <c r="L25" s="14"/>
      <c r="M25" s="14"/>
      <c r="N25" s="14"/>
      <c r="P25" s="14"/>
      <c r="Q25" s="14"/>
      <c r="R25" s="14"/>
    </row>
    <row r="26" spans="1:18">
      <c r="A26" s="9" t="s">
        <v>5603</v>
      </c>
      <c r="B26" s="14" t="s">
        <v>330</v>
      </c>
      <c r="C26" s="14" t="s">
        <v>205</v>
      </c>
      <c r="D26" s="14" t="s">
        <v>611</v>
      </c>
      <c r="E26" s="15" t="str">
        <f>HYPERLINK("https://stat100.ameba.jp/tnk47/ratio20/illustrations/card/ill_61893_0_onikirishumiyamotomusashi03.jpg?201811-2-RELEASE-unionbattle-378", "■")</f>
        <v>■</v>
      </c>
      <c r="F26" s="14" t="s">
        <v>612</v>
      </c>
      <c r="G26" s="14">
        <v>140016</v>
      </c>
      <c r="H26" s="14">
        <v>130194</v>
      </c>
      <c r="I26" s="14">
        <v>15</v>
      </c>
      <c r="J26" s="14" t="s">
        <v>310</v>
      </c>
      <c r="K26" s="14" t="s">
        <v>613</v>
      </c>
      <c r="L26" s="14" t="s">
        <v>312</v>
      </c>
      <c r="M26" s="14" t="s">
        <v>9158</v>
      </c>
      <c r="N26" s="14" t="s">
        <v>9158</v>
      </c>
      <c r="O26" s="9" t="s">
        <v>3252</v>
      </c>
      <c r="P26" s="14" t="s">
        <v>3253</v>
      </c>
      <c r="Q26" s="14">
        <v>1</v>
      </c>
      <c r="R26" s="14"/>
    </row>
    <row r="27" spans="1:18">
      <c r="A27" s="9" t="s">
        <v>5609</v>
      </c>
      <c r="B27" s="14" t="s">
        <v>330</v>
      </c>
      <c r="C27" s="14" t="s">
        <v>200</v>
      </c>
      <c r="D27" s="14" t="s">
        <v>389</v>
      </c>
      <c r="E27" s="15" t="str">
        <f>HYPERLINK("https://stat100.ameba.jp/tnk47/ratio20/illustrations/card/ill_53753_0_natsumatsuritokugawaieyasu03.jpg?201811-2-RELEASE-unionbattle-378", "■")</f>
        <v>■</v>
      </c>
      <c r="F27" s="14" t="s">
        <v>390</v>
      </c>
      <c r="G27" s="14">
        <v>94236</v>
      </c>
      <c r="H27" s="14">
        <v>83712</v>
      </c>
      <c r="I27" s="14">
        <v>15</v>
      </c>
      <c r="J27" s="14" t="s">
        <v>310</v>
      </c>
      <c r="K27" s="14" t="s">
        <v>391</v>
      </c>
      <c r="L27" s="14" t="s">
        <v>392</v>
      </c>
      <c r="M27" s="14" t="s">
        <v>9158</v>
      </c>
      <c r="N27" s="14" t="s">
        <v>9158</v>
      </c>
      <c r="O27" s="17" t="s">
        <v>10052</v>
      </c>
      <c r="P27" s="14" t="s">
        <v>13121</v>
      </c>
      <c r="Q27" s="14">
        <v>1</v>
      </c>
      <c r="R27" s="14"/>
    </row>
    <row r="28" spans="1:18">
      <c r="A28" s="9" t="s">
        <v>5604</v>
      </c>
      <c r="B28" s="14" t="s">
        <v>330</v>
      </c>
      <c r="C28" s="14" t="s">
        <v>206</v>
      </c>
      <c r="D28" s="14" t="s">
        <v>614</v>
      </c>
      <c r="E28" s="15" t="str">
        <f>HYPERLINK("https://stat100.ameba.jp/tnk47/ratio20/illustrations/card/ill_47263_0_oukyuuatsuhime03.jpg?201811-2-RELEASE-unionbattle-378", "■")</f>
        <v>■</v>
      </c>
      <c r="F28" s="14" t="s">
        <v>615</v>
      </c>
      <c r="G28" s="14">
        <v>94236</v>
      </c>
      <c r="H28" s="14">
        <v>83712</v>
      </c>
      <c r="I28" s="14">
        <v>15</v>
      </c>
      <c r="J28" s="14" t="s">
        <v>315</v>
      </c>
      <c r="K28" s="14" t="s">
        <v>616</v>
      </c>
      <c r="L28" s="14" t="s">
        <v>617</v>
      </c>
      <c r="M28" s="14" t="s">
        <v>9158</v>
      </c>
      <c r="N28" s="14" t="s">
        <v>9158</v>
      </c>
      <c r="O28" s="14" t="s">
        <v>9158</v>
      </c>
      <c r="P28" s="14" t="s">
        <v>9158</v>
      </c>
      <c r="Q28" s="14" t="s">
        <v>9158</v>
      </c>
      <c r="R28" s="14"/>
    </row>
    <row r="29" spans="1:18">
      <c r="A29" s="9">
        <v>67523</v>
      </c>
      <c r="B29" s="14" t="s">
        <v>334</v>
      </c>
      <c r="C29" s="14" t="s">
        <v>200</v>
      </c>
      <c r="D29" s="14" t="s">
        <v>1414</v>
      </c>
      <c r="E29" s="15" t="str">
        <f>HYPERLINK("https://stat100.ameba.jp/tnk47/ratio20/illustrations/card/ill_67523_shirazuyawatanomori03.jpg?201811-2-RELEASE-unionbattle-378", "■")</f>
        <v>■</v>
      </c>
      <c r="F29" s="14" t="s">
        <v>2601</v>
      </c>
      <c r="G29" s="14">
        <v>123870</v>
      </c>
      <c r="H29" s="14">
        <v>69714</v>
      </c>
      <c r="I29" s="14">
        <v>22</v>
      </c>
      <c r="J29" s="14" t="s">
        <v>274</v>
      </c>
      <c r="K29" s="14" t="s">
        <v>1415</v>
      </c>
      <c r="L29" s="14" t="s">
        <v>1416</v>
      </c>
      <c r="M29" s="14" t="s">
        <v>9158</v>
      </c>
      <c r="N29" s="14" t="s">
        <v>9158</v>
      </c>
      <c r="O29" s="14" t="s">
        <v>9158</v>
      </c>
      <c r="P29" s="14" t="s">
        <v>9158</v>
      </c>
      <c r="Q29" s="14" t="s">
        <v>9158</v>
      </c>
      <c r="R29" s="14"/>
    </row>
    <row r="30" spans="1:18">
      <c r="A30" s="14">
        <v>61413</v>
      </c>
      <c r="B30" s="14" t="s">
        <v>334</v>
      </c>
      <c r="C30" s="14" t="s">
        <v>185</v>
      </c>
      <c r="D30" s="14" t="s">
        <v>1417</v>
      </c>
      <c r="E30" s="15" t="str">
        <f>HYPERLINK("https://stat100.ameba.jp/tnk47/ratio20/illustrations/card/ill_61413_toyako03.jpg?201811-2-RELEASE-unionbattle-378", "■")</f>
        <v>■</v>
      </c>
      <c r="F30" s="14" t="s">
        <v>1418</v>
      </c>
      <c r="G30" s="14">
        <v>104646</v>
      </c>
      <c r="H30" s="14">
        <v>75802</v>
      </c>
      <c r="I30" s="14">
        <v>22</v>
      </c>
      <c r="J30" s="14" t="s">
        <v>369</v>
      </c>
      <c r="K30" s="14" t="s">
        <v>1419</v>
      </c>
      <c r="L30" s="14" t="s">
        <v>1420</v>
      </c>
      <c r="M30" s="14" t="s">
        <v>9158</v>
      </c>
      <c r="N30" s="14" t="s">
        <v>9158</v>
      </c>
      <c r="O30" s="14" t="s">
        <v>9158</v>
      </c>
      <c r="P30" s="14" t="s">
        <v>9158</v>
      </c>
      <c r="Q30" s="14" t="s">
        <v>9158</v>
      </c>
      <c r="R30" s="14"/>
    </row>
    <row r="31" spans="1:18">
      <c r="A31" s="14">
        <v>51333</v>
      </c>
      <c r="B31" s="14" t="s">
        <v>334</v>
      </c>
      <c r="C31" s="14" t="s">
        <v>206</v>
      </c>
      <c r="D31" s="14" t="s">
        <v>1421</v>
      </c>
      <c r="E31" s="15" t="str">
        <f>HYPERLINK("https://stat100.ameba.jp/tnk47/ratio20/illustrations/card/ill_51333_shushunsui03.jpg?201811-2-RELEASE-unionbattle-378", "■")</f>
        <v>■</v>
      </c>
      <c r="F31" s="14" t="s">
        <v>1422</v>
      </c>
      <c r="G31" s="14">
        <v>95452</v>
      </c>
      <c r="H31" s="14">
        <v>68622</v>
      </c>
      <c r="I31" s="14">
        <v>22</v>
      </c>
      <c r="J31" s="14" t="s">
        <v>414</v>
      </c>
      <c r="K31" s="14" t="s">
        <v>1423</v>
      </c>
      <c r="L31" s="14" t="s">
        <v>1424</v>
      </c>
      <c r="M31" s="14" t="s">
        <v>9158</v>
      </c>
      <c r="N31" s="14" t="s">
        <v>9158</v>
      </c>
      <c r="O31" s="14" t="s">
        <v>9158</v>
      </c>
      <c r="P31" s="14" t="s">
        <v>9158</v>
      </c>
      <c r="Q31" s="14" t="s">
        <v>9158</v>
      </c>
      <c r="R31" s="14"/>
    </row>
    <row r="32" spans="1:18">
      <c r="A32" s="14"/>
      <c r="B32" s="14"/>
      <c r="C32" s="14"/>
      <c r="D32" s="14"/>
      <c r="F32" s="14"/>
      <c r="G32" s="14"/>
      <c r="H32" s="14"/>
      <c r="I32" s="14"/>
      <c r="J32" s="14"/>
      <c r="K32" s="14"/>
      <c r="L32" s="14"/>
      <c r="M32" s="14"/>
      <c r="N32" s="14"/>
      <c r="P32" s="14"/>
      <c r="Q32" s="14"/>
      <c r="R32" s="14"/>
    </row>
    <row r="33" spans="1:18">
      <c r="A33" s="14" t="s">
        <v>114</v>
      </c>
      <c r="D33" s="14"/>
      <c r="F33" s="14"/>
      <c r="G33" s="14"/>
      <c r="H33" s="14"/>
      <c r="I33" s="14"/>
      <c r="J33" s="14"/>
      <c r="K33" s="14"/>
      <c r="L33" s="14"/>
      <c r="M33" s="14"/>
      <c r="N33" s="14"/>
      <c r="P33" s="14"/>
      <c r="Q33" s="14"/>
      <c r="R33" s="14"/>
    </row>
    <row r="34" spans="1:18">
      <c r="A34" s="14" t="s">
        <v>1425</v>
      </c>
      <c r="B34" s="14"/>
      <c r="C34" s="14"/>
      <c r="D34" s="14"/>
      <c r="F34" s="14"/>
      <c r="G34" s="14"/>
      <c r="H34" s="14"/>
      <c r="I34" s="14"/>
      <c r="J34" s="14"/>
      <c r="K34" s="14"/>
      <c r="L34" s="14"/>
      <c r="M34" s="14"/>
      <c r="N34" s="14"/>
      <c r="P34" s="14"/>
      <c r="Q34" s="14"/>
      <c r="R34" s="14"/>
    </row>
    <row r="35" spans="1:18">
      <c r="A35" s="7" t="s">
        <v>5901</v>
      </c>
      <c r="B35" s="14" t="s">
        <v>330</v>
      </c>
      <c r="C35" s="14" t="s">
        <v>191</v>
      </c>
      <c r="D35" s="14" t="s">
        <v>1426</v>
      </c>
      <c r="E35" s="15" t="str">
        <f>HYPERLINK("https://stat100.ameba.jp/tnk47/ratio20/illustrations/card/ill_64953_0_yukatatokugawayoshinobu03.jpg?201811-2-RELEASE-unionbattle-378", "■")</f>
        <v>■</v>
      </c>
      <c r="F35" s="14" t="s">
        <v>1427</v>
      </c>
      <c r="G35" s="14">
        <v>105910</v>
      </c>
      <c r="H35" s="14">
        <v>113904</v>
      </c>
      <c r="I35" s="14">
        <v>17</v>
      </c>
      <c r="J35" s="14" t="s">
        <v>351</v>
      </c>
      <c r="K35" s="14" t="s">
        <v>1428</v>
      </c>
      <c r="L35" s="14" t="s">
        <v>1429</v>
      </c>
      <c r="M35" s="14" t="s">
        <v>9158</v>
      </c>
      <c r="N35" s="14" t="s">
        <v>9158</v>
      </c>
      <c r="O35" s="9" t="s">
        <v>2889</v>
      </c>
      <c r="P35" s="14" t="s">
        <v>2890</v>
      </c>
      <c r="Q35" s="14">
        <v>1</v>
      </c>
      <c r="R35" s="14"/>
    </row>
    <row r="36" spans="1:18">
      <c r="A36" s="7" t="s">
        <v>5620</v>
      </c>
      <c r="B36" s="14" t="s">
        <v>330</v>
      </c>
      <c r="C36" s="14" t="s">
        <v>206</v>
      </c>
      <c r="D36" s="14" t="s">
        <v>2042</v>
      </c>
      <c r="E36" s="15" t="str">
        <f>HYPERLINK("https://stat100.ameba.jp/tnk47/ratio20/illustrations/card/ill_67173_0_yukemuriawamorichan03.jpg?201811-2-RELEASE-unionbattle-378", "■")</f>
        <v>■</v>
      </c>
      <c r="F36" s="14" t="s">
        <v>670</v>
      </c>
      <c r="G36" s="14">
        <v>130615</v>
      </c>
      <c r="H36" s="14">
        <v>121434</v>
      </c>
      <c r="I36" s="14">
        <v>17</v>
      </c>
      <c r="J36" s="14" t="s">
        <v>283</v>
      </c>
      <c r="K36" s="14" t="s">
        <v>671</v>
      </c>
      <c r="L36" s="14" t="s">
        <v>672</v>
      </c>
      <c r="M36" s="14" t="s">
        <v>9158</v>
      </c>
      <c r="N36" s="14" t="s">
        <v>9158</v>
      </c>
      <c r="O36" s="17" t="s">
        <v>10061</v>
      </c>
      <c r="P36" s="14" t="s">
        <v>3455</v>
      </c>
      <c r="Q36" s="14">
        <v>1</v>
      </c>
      <c r="R36" s="14"/>
    </row>
    <row r="37" spans="1:18">
      <c r="A37" s="14">
        <v>77683</v>
      </c>
      <c r="B37" s="14" t="s">
        <v>334</v>
      </c>
      <c r="C37" s="14" t="s">
        <v>203</v>
      </c>
      <c r="D37" s="14" t="s">
        <v>3702</v>
      </c>
      <c r="E37" s="15" t="str">
        <f>HYPERLINK("https://stat100.ameba.jp/tnk47/ratio20/illustrations/card/ill_77683_shukusainoujohoride03.jpg?201811-2-RELEASE-unionbattle-378", "■")</f>
        <v>■</v>
      </c>
      <c r="F37" s="14" t="s">
        <v>1430</v>
      </c>
      <c r="G37" s="14">
        <v>104890</v>
      </c>
      <c r="H37" s="14">
        <v>75984</v>
      </c>
      <c r="I37" s="14">
        <v>24</v>
      </c>
      <c r="J37" s="14" t="s">
        <v>315</v>
      </c>
      <c r="K37" s="14" t="s">
        <v>1431</v>
      </c>
      <c r="L37" s="14" t="s">
        <v>1432</v>
      </c>
      <c r="M37" s="14" t="s">
        <v>9158</v>
      </c>
      <c r="N37" s="14" t="s">
        <v>9158</v>
      </c>
      <c r="O37" s="17" t="s">
        <v>10057</v>
      </c>
      <c r="P37" s="14" t="s">
        <v>3460</v>
      </c>
      <c r="Q37" s="14">
        <v>1</v>
      </c>
      <c r="R37" s="14"/>
    </row>
    <row r="38" spans="1:18">
      <c r="A38" s="14">
        <v>54833</v>
      </c>
      <c r="B38" s="14" t="s">
        <v>334</v>
      </c>
      <c r="C38" s="14" t="s">
        <v>263</v>
      </c>
      <c r="D38" s="14" t="s">
        <v>429</v>
      </c>
      <c r="E38" s="15" t="str">
        <f>HYPERLINK("https://stat100.ameba.jp/tnk47/ratio20/illustrations/card/ill_54833_keramaburu03.jpg?201811-2-RELEASE-unionbattle-378", "■")</f>
        <v>■</v>
      </c>
      <c r="F38" s="14" t="s">
        <v>430</v>
      </c>
      <c r="G38" s="14">
        <v>63547</v>
      </c>
      <c r="H38" s="14">
        <v>86668</v>
      </c>
      <c r="I38" s="14">
        <v>21</v>
      </c>
      <c r="J38" s="14" t="s">
        <v>369</v>
      </c>
      <c r="K38" s="14" t="s">
        <v>431</v>
      </c>
      <c r="L38" s="14" t="s">
        <v>432</v>
      </c>
      <c r="M38" s="14" t="s">
        <v>9158</v>
      </c>
      <c r="N38" s="14" t="s">
        <v>9158</v>
      </c>
      <c r="O38" s="14" t="s">
        <v>9158</v>
      </c>
      <c r="P38" s="14" t="s">
        <v>9158</v>
      </c>
      <c r="Q38" s="14" t="s">
        <v>9158</v>
      </c>
      <c r="R38" s="14"/>
    </row>
    <row r="39" spans="1:18">
      <c r="A39" s="14">
        <v>73093</v>
      </c>
      <c r="B39" s="14" t="s">
        <v>334</v>
      </c>
      <c r="C39" s="14" t="s">
        <v>154</v>
      </c>
      <c r="D39" s="14" t="s">
        <v>433</v>
      </c>
      <c r="E39" s="15" t="str">
        <f>HYPERLINK("https://stat100.ameba.jp/tnk47/ratio20/illustrations/card/ill_73093_aisukurinchan03.jpg?201811-2-RELEASE-unionbattle-378", "■")</f>
        <v>■</v>
      </c>
      <c r="F39" s="14" t="s">
        <v>433</v>
      </c>
      <c r="G39" s="14">
        <v>139716</v>
      </c>
      <c r="H39" s="14">
        <v>101199</v>
      </c>
      <c r="I39" s="14">
        <v>21</v>
      </c>
      <c r="J39" s="14" t="s">
        <v>283</v>
      </c>
      <c r="K39" s="14" t="s">
        <v>434</v>
      </c>
      <c r="L39" s="14" t="s">
        <v>435</v>
      </c>
      <c r="M39" s="14" t="s">
        <v>9158</v>
      </c>
      <c r="N39" s="14" t="s">
        <v>9158</v>
      </c>
      <c r="O39" s="9" t="s">
        <v>2741</v>
      </c>
      <c r="P39" s="14" t="s">
        <v>2742</v>
      </c>
      <c r="Q39" s="14">
        <v>1</v>
      </c>
      <c r="R39" s="14"/>
    </row>
    <row r="40" spans="1:18">
      <c r="A40" s="9">
        <v>72153</v>
      </c>
      <c r="B40" s="14" t="s">
        <v>334</v>
      </c>
      <c r="C40" s="14" t="s">
        <v>158</v>
      </c>
      <c r="D40" s="14" t="s">
        <v>436</v>
      </c>
      <c r="E40" s="15" t="str">
        <f>HYPERLINK("https://stat100.ameba.jp/tnk47/ratio20/illustrations/card/ill_72153_bakki03.jpg?201811-2-RELEASE-unionbattle-378", "■")</f>
        <v>■</v>
      </c>
      <c r="F40" s="14" t="s">
        <v>437</v>
      </c>
      <c r="G40" s="14">
        <v>80391</v>
      </c>
      <c r="H40" s="14">
        <v>111000</v>
      </c>
      <c r="I40" s="14">
        <v>21</v>
      </c>
      <c r="J40" s="14" t="s">
        <v>320</v>
      </c>
      <c r="K40" s="14" t="s">
        <v>438</v>
      </c>
      <c r="L40" s="14" t="s">
        <v>439</v>
      </c>
      <c r="M40" s="14" t="s">
        <v>9158</v>
      </c>
      <c r="N40" s="14" t="s">
        <v>9158</v>
      </c>
      <c r="O40" s="14" t="s">
        <v>9158</v>
      </c>
      <c r="P40" s="14" t="s">
        <v>9158</v>
      </c>
      <c r="Q40" s="14" t="s">
        <v>9158</v>
      </c>
      <c r="R40" s="14"/>
    </row>
    <row r="41" spans="1:18">
      <c r="A41" s="9">
        <v>66353</v>
      </c>
      <c r="B41" s="14" t="s">
        <v>334</v>
      </c>
      <c r="C41" s="14" t="s">
        <v>158</v>
      </c>
      <c r="D41" s="14" t="s">
        <v>440</v>
      </c>
      <c r="E41" s="15" t="str">
        <f>HYPERLINK("https://stat100.ameba.jp/tnk47/ratio20/illustrations/card/ill_66353_kajiwaranyudotoan03.jpg?201811-2-RELEASE-unionbattle-378", "■")</f>
        <v>■</v>
      </c>
      <c r="F41" s="14" t="s">
        <v>441</v>
      </c>
      <c r="G41" s="14">
        <v>139716</v>
      </c>
      <c r="H41" s="14">
        <v>101199</v>
      </c>
      <c r="I41" s="14">
        <v>21</v>
      </c>
      <c r="J41" s="14" t="s">
        <v>310</v>
      </c>
      <c r="K41" s="14" t="s">
        <v>442</v>
      </c>
      <c r="L41" s="14" t="s">
        <v>443</v>
      </c>
      <c r="M41" s="14" t="s">
        <v>9158</v>
      </c>
      <c r="N41" s="14" t="s">
        <v>9158</v>
      </c>
      <c r="O41" s="17" t="s">
        <v>10054</v>
      </c>
      <c r="P41" s="14" t="s">
        <v>3672</v>
      </c>
      <c r="Q41" s="14">
        <v>1</v>
      </c>
      <c r="R41" s="14"/>
    </row>
    <row r="42" spans="1:18">
      <c r="A42" s="9">
        <v>60183</v>
      </c>
      <c r="B42" s="14" t="s">
        <v>334</v>
      </c>
      <c r="C42" s="14" t="s">
        <v>154</v>
      </c>
      <c r="D42" s="14" t="s">
        <v>444</v>
      </c>
      <c r="E42" s="15" t="str">
        <f>HYPERLINK("https://stat100.ameba.jp/tnk47/ratio20/illustrations/card/ill_60183_aizuyaichi03.jpg?201811-2-RELEASE-unionbattle-378", "■")</f>
        <v>■</v>
      </c>
      <c r="F42" s="14" t="s">
        <v>445</v>
      </c>
      <c r="G42" s="14">
        <v>69051</v>
      </c>
      <c r="H42" s="14">
        <v>95307</v>
      </c>
      <c r="I42" s="14">
        <v>21</v>
      </c>
      <c r="J42" s="14" t="s">
        <v>414</v>
      </c>
      <c r="K42" s="14" t="s">
        <v>446</v>
      </c>
      <c r="L42" s="14" t="s">
        <v>447</v>
      </c>
      <c r="M42" s="14" t="s">
        <v>9158</v>
      </c>
      <c r="N42" s="14" t="s">
        <v>9158</v>
      </c>
      <c r="O42" s="14" t="s">
        <v>9158</v>
      </c>
      <c r="P42" s="14" t="s">
        <v>9158</v>
      </c>
      <c r="Q42" s="14" t="s">
        <v>9158</v>
      </c>
      <c r="R42" s="14"/>
    </row>
    <row r="43" spans="1:18">
      <c r="B43" s="14"/>
      <c r="C43" s="14"/>
      <c r="D43" s="14"/>
      <c r="F43" s="14"/>
      <c r="G43" s="14"/>
      <c r="H43" s="14"/>
      <c r="I43" s="14"/>
      <c r="J43" s="14"/>
      <c r="K43" s="14"/>
      <c r="L43" s="14"/>
      <c r="M43" s="14"/>
      <c r="N43" s="14"/>
      <c r="P43" s="14"/>
      <c r="Q43" s="14"/>
      <c r="R43" s="14"/>
    </row>
    <row r="44" spans="1:18">
      <c r="A44" s="14" t="s">
        <v>13326</v>
      </c>
      <c r="D44" s="14"/>
      <c r="F44" s="14"/>
      <c r="G44" s="14"/>
      <c r="H44" s="14"/>
      <c r="I44" s="14"/>
      <c r="J44" s="14"/>
      <c r="K44" s="14"/>
      <c r="L44" s="14"/>
      <c r="M44" s="14"/>
      <c r="N44" s="14"/>
      <c r="P44" s="14"/>
      <c r="Q44" s="14"/>
      <c r="R44" s="14"/>
    </row>
    <row r="45" spans="1:18">
      <c r="A45" s="14" t="s">
        <v>1433</v>
      </c>
      <c r="C45" s="14"/>
      <c r="D45" s="14"/>
      <c r="F45" s="14"/>
      <c r="G45" s="14"/>
      <c r="H45" s="14"/>
      <c r="I45" s="14"/>
      <c r="J45" s="14"/>
      <c r="K45" s="14"/>
      <c r="L45" s="14"/>
      <c r="M45" s="14"/>
      <c r="N45" s="14"/>
      <c r="P45" s="14"/>
      <c r="Q45" s="14"/>
      <c r="R45" s="14"/>
    </row>
    <row r="46" spans="1:18">
      <c r="A46" s="9">
        <v>75113</v>
      </c>
      <c r="B46" s="14" t="s">
        <v>334</v>
      </c>
      <c r="C46" s="14" t="s">
        <v>185</v>
      </c>
      <c r="D46" s="14" t="s">
        <v>448</v>
      </c>
      <c r="E46" s="15" t="str">
        <f>HYPERLINK("https://stat100.ameba.jp/tnk47/ratio20/illustrations/card/ill_75113_hatahata03.jpg?201811-2-RELEASE-unionbattle-378", "■")</f>
        <v>■</v>
      </c>
      <c r="F46" s="14" t="s">
        <v>449</v>
      </c>
      <c r="G46" s="14">
        <v>103384</v>
      </c>
      <c r="H46" s="14">
        <v>96121</v>
      </c>
      <c r="I46" s="14">
        <v>21</v>
      </c>
      <c r="J46" s="14" t="s">
        <v>216</v>
      </c>
      <c r="K46" s="14" t="s">
        <v>1332</v>
      </c>
      <c r="L46" s="14" t="s">
        <v>13157</v>
      </c>
      <c r="M46" s="14" t="s">
        <v>13130</v>
      </c>
      <c r="N46" s="14" t="s">
        <v>343</v>
      </c>
      <c r="O46" s="14" t="s">
        <v>9158</v>
      </c>
      <c r="P46" s="14" t="s">
        <v>9158</v>
      </c>
      <c r="Q46" s="14" t="s">
        <v>9158</v>
      </c>
      <c r="R46" s="14" t="s">
        <v>14748</v>
      </c>
    </row>
    <row r="47" spans="1:18">
      <c r="A47" s="9">
        <v>75112</v>
      </c>
      <c r="B47" s="14" t="s">
        <v>334</v>
      </c>
      <c r="C47" s="14" t="s">
        <v>185</v>
      </c>
      <c r="D47" s="14" t="s">
        <v>448</v>
      </c>
      <c r="E47" s="15" t="str">
        <f>HYPERLINK("https://stat100.ameba.jp/tnk47/ratio20/illustrations/card/ill_75112_hatahata02.jpg?201811-2-RELEASE-unionbattle-378", "■")</f>
        <v>■</v>
      </c>
      <c r="F47" s="14" t="s">
        <v>449</v>
      </c>
      <c r="G47" s="14">
        <v>86423</v>
      </c>
      <c r="H47" s="14">
        <v>79610</v>
      </c>
      <c r="I47" s="14">
        <v>21</v>
      </c>
      <c r="J47" s="14" t="s">
        <v>216</v>
      </c>
      <c r="K47" s="14" t="s">
        <v>1332</v>
      </c>
      <c r="L47" s="14" t="s">
        <v>13157</v>
      </c>
      <c r="M47" s="14" t="s">
        <v>13131</v>
      </c>
      <c r="N47" s="14" t="s">
        <v>251</v>
      </c>
      <c r="O47" s="14" t="s">
        <v>9158</v>
      </c>
      <c r="P47" s="14" t="s">
        <v>9158</v>
      </c>
      <c r="Q47" s="14" t="s">
        <v>9158</v>
      </c>
      <c r="R47" s="14" t="s">
        <v>14748</v>
      </c>
    </row>
    <row r="48" spans="1:18">
      <c r="A48" s="9">
        <v>75111</v>
      </c>
      <c r="B48" s="14" t="s">
        <v>334</v>
      </c>
      <c r="C48" s="14" t="s">
        <v>185</v>
      </c>
      <c r="D48" s="14" t="s">
        <v>448</v>
      </c>
      <c r="E48" s="15" t="str">
        <f>HYPERLINK("https://stat100.ameba.jp/tnk47/ratio20/illustrations/card/ill_75111_hatahata01.jpg?201811-2-RELEASE-unionbattle-378", "■")</f>
        <v>■</v>
      </c>
      <c r="F48" s="14" t="s">
        <v>449</v>
      </c>
      <c r="G48" s="14">
        <v>65982</v>
      </c>
      <c r="H48" s="14">
        <v>61425</v>
      </c>
      <c r="I48" s="14">
        <v>21</v>
      </c>
      <c r="J48" s="14" t="s">
        <v>216</v>
      </c>
      <c r="K48" s="14" t="s">
        <v>1332</v>
      </c>
      <c r="L48" s="14" t="s">
        <v>13157</v>
      </c>
      <c r="M48" s="14" t="s">
        <v>13131</v>
      </c>
      <c r="N48" s="14" t="s">
        <v>251</v>
      </c>
      <c r="O48" s="14" t="s">
        <v>9158</v>
      </c>
      <c r="P48" s="14" t="s">
        <v>9158</v>
      </c>
      <c r="Q48" s="14" t="s">
        <v>9158</v>
      </c>
      <c r="R48" s="14" t="s">
        <v>14748</v>
      </c>
    </row>
    <row r="49" spans="1:18">
      <c r="A49" s="9">
        <v>75123</v>
      </c>
      <c r="B49" s="14" t="s">
        <v>334</v>
      </c>
      <c r="C49" s="14" t="s">
        <v>191</v>
      </c>
      <c r="D49" s="14" t="s">
        <v>1335</v>
      </c>
      <c r="E49" s="15" t="str">
        <f>HYPERLINK("https://stat100.ameba.jp/tnk47/ratio20/illustrations/card/ill_75123_nankintamasudare03.jpg?201811-2-RELEASE-unionbattle-378", "■")</f>
        <v>■</v>
      </c>
      <c r="F49" s="14" t="s">
        <v>452</v>
      </c>
      <c r="G49" s="14">
        <v>96121</v>
      </c>
      <c r="H49" s="14">
        <v>103384</v>
      </c>
      <c r="I49" s="14">
        <v>21</v>
      </c>
      <c r="J49" s="14" t="s">
        <v>155</v>
      </c>
      <c r="K49" s="14" t="s">
        <v>1336</v>
      </c>
      <c r="L49" s="14" t="s">
        <v>6716</v>
      </c>
      <c r="M49" s="14" t="s">
        <v>13158</v>
      </c>
      <c r="N49" s="14" t="s">
        <v>343</v>
      </c>
      <c r="O49" s="14" t="s">
        <v>9158</v>
      </c>
      <c r="P49" s="14" t="s">
        <v>9158</v>
      </c>
      <c r="Q49" s="14" t="s">
        <v>9158</v>
      </c>
      <c r="R49" s="14" t="s">
        <v>14748</v>
      </c>
    </row>
    <row r="50" spans="1:18">
      <c r="A50" s="9">
        <v>76013</v>
      </c>
      <c r="B50" s="14" t="s">
        <v>334</v>
      </c>
      <c r="C50" s="14" t="s">
        <v>206</v>
      </c>
      <c r="D50" s="14" t="s">
        <v>1341</v>
      </c>
      <c r="E50" s="15" t="str">
        <f>HYPERLINK("https://stat100.ameba.jp/tnk47/ratio20/illustrations/card/ill_76013_miyakojima03.jpg?201811-2-RELEASE-unionbattle-378", "■")</f>
        <v>■</v>
      </c>
      <c r="F50" s="14" t="s">
        <v>455</v>
      </c>
      <c r="G50" s="14">
        <v>103384</v>
      </c>
      <c r="H50" s="14">
        <v>96121</v>
      </c>
      <c r="I50" s="14">
        <v>21</v>
      </c>
      <c r="J50" s="14" t="s">
        <v>229</v>
      </c>
      <c r="K50" s="14" t="s">
        <v>1342</v>
      </c>
      <c r="L50" s="14" t="s">
        <v>6717</v>
      </c>
      <c r="M50" s="14" t="s">
        <v>13158</v>
      </c>
      <c r="N50" s="14" t="s">
        <v>343</v>
      </c>
      <c r="O50" s="14" t="s">
        <v>9158</v>
      </c>
      <c r="P50" s="14" t="s">
        <v>9158</v>
      </c>
      <c r="Q50" s="14" t="s">
        <v>9158</v>
      </c>
      <c r="R50" s="14" t="s">
        <v>14748</v>
      </c>
    </row>
    <row r="51" spans="1:18">
      <c r="A51" s="9">
        <v>74333</v>
      </c>
      <c r="B51" s="14" t="s">
        <v>334</v>
      </c>
      <c r="C51" s="14" t="s">
        <v>200</v>
      </c>
      <c r="D51" s="14" t="s">
        <v>1333</v>
      </c>
      <c r="E51" s="15" t="str">
        <f>HYPERLINK("https://stat100.ameba.jp/tnk47/ratio20/illustrations/card/ill_74333_iizukaigashichi03.jpg?201811-2-RELEASE-unionbattle-378", "■")</f>
        <v>■</v>
      </c>
      <c r="F51" s="14" t="s">
        <v>458</v>
      </c>
      <c r="G51" s="14">
        <v>96121</v>
      </c>
      <c r="H51" s="14">
        <v>103384</v>
      </c>
      <c r="I51" s="14">
        <v>21</v>
      </c>
      <c r="J51" s="14" t="s">
        <v>159</v>
      </c>
      <c r="K51" s="14" t="s">
        <v>1334</v>
      </c>
      <c r="L51" s="14" t="s">
        <v>6718</v>
      </c>
      <c r="M51" s="14" t="s">
        <v>13158</v>
      </c>
      <c r="N51" s="14" t="s">
        <v>343</v>
      </c>
      <c r="O51" s="14" t="s">
        <v>9158</v>
      </c>
      <c r="P51" s="14" t="s">
        <v>9158</v>
      </c>
      <c r="Q51" s="14" t="s">
        <v>9158</v>
      </c>
      <c r="R51" s="14" t="s">
        <v>14748</v>
      </c>
    </row>
    <row r="52" spans="1:18">
      <c r="A52" s="9">
        <v>74343</v>
      </c>
      <c r="B52" s="14" t="s">
        <v>334</v>
      </c>
      <c r="C52" s="14" t="s">
        <v>165</v>
      </c>
      <c r="D52" s="14" t="s">
        <v>1337</v>
      </c>
      <c r="E52" s="15" t="str">
        <f>HYPERLINK("https://stat100.ameba.jp/tnk47/ratio20/illustrations/card/ill_74343_wadakoremasa03.jpg?201811-2-RELEASE-unionbattle-378", "■")</f>
        <v>■</v>
      </c>
      <c r="F52" s="14" t="s">
        <v>461</v>
      </c>
      <c r="G52" s="14">
        <v>96121</v>
      </c>
      <c r="H52" s="14">
        <v>103384</v>
      </c>
      <c r="I52" s="14">
        <v>21</v>
      </c>
      <c r="J52" s="14" t="s">
        <v>194</v>
      </c>
      <c r="K52" s="14" t="s">
        <v>1338</v>
      </c>
      <c r="L52" s="14" t="s">
        <v>6719</v>
      </c>
      <c r="M52" s="14" t="s">
        <v>13158</v>
      </c>
      <c r="N52" s="14" t="s">
        <v>343</v>
      </c>
      <c r="O52" s="14" t="s">
        <v>9158</v>
      </c>
      <c r="P52" s="14" t="s">
        <v>9158</v>
      </c>
      <c r="Q52" s="14" t="s">
        <v>9158</v>
      </c>
      <c r="R52" s="14" t="s">
        <v>14748</v>
      </c>
    </row>
    <row r="53" spans="1:18">
      <c r="A53" s="9">
        <v>74353</v>
      </c>
      <c r="B53" s="14" t="s">
        <v>334</v>
      </c>
      <c r="C53" s="14" t="s">
        <v>205</v>
      </c>
      <c r="D53" s="14" t="s">
        <v>1339</v>
      </c>
      <c r="E53" s="15" t="str">
        <f>HYPERLINK("https://stat100.ameba.jp/tnk47/ratio20/illustrations/card/ill_74353_takechizuizan03.jpg?201811-2-RELEASE-unionbattle-378", "■")</f>
        <v>■</v>
      </c>
      <c r="F53" s="14" t="s">
        <v>464</v>
      </c>
      <c r="G53" s="14">
        <v>103384</v>
      </c>
      <c r="H53" s="14">
        <v>96121</v>
      </c>
      <c r="I53" s="14">
        <v>21</v>
      </c>
      <c r="J53" s="14" t="s">
        <v>173</v>
      </c>
      <c r="K53" s="14" t="s">
        <v>1340</v>
      </c>
      <c r="L53" s="14" t="s">
        <v>6720</v>
      </c>
      <c r="M53" s="14" t="s">
        <v>13158</v>
      </c>
      <c r="N53" s="14" t="s">
        <v>343</v>
      </c>
      <c r="O53" s="14" t="s">
        <v>9158</v>
      </c>
      <c r="P53" s="14" t="s">
        <v>9158</v>
      </c>
      <c r="Q53" s="14" t="s">
        <v>9158</v>
      </c>
      <c r="R53" s="14" t="s">
        <v>14748</v>
      </c>
    </row>
    <row r="54" spans="1:18">
      <c r="B54" s="14"/>
      <c r="C54" s="14"/>
      <c r="D54" s="14"/>
      <c r="F54" s="14"/>
      <c r="G54" s="14"/>
      <c r="H54" s="14"/>
      <c r="I54" s="14"/>
      <c r="J54" s="14"/>
      <c r="K54" s="14"/>
      <c r="L54" s="14"/>
      <c r="M54" s="14"/>
      <c r="N54" s="14"/>
      <c r="P54" s="14"/>
      <c r="Q54" s="14"/>
      <c r="R54" s="14"/>
    </row>
    <row r="55" spans="1:18">
      <c r="A55" s="14" t="s">
        <v>1343</v>
      </c>
      <c r="C55" s="14"/>
      <c r="F55" s="14"/>
      <c r="G55" s="14"/>
      <c r="H55" s="14"/>
      <c r="I55" s="14"/>
      <c r="J55" s="14"/>
      <c r="K55" s="14"/>
      <c r="L55" s="14"/>
      <c r="M55" s="14"/>
      <c r="N55" s="14"/>
      <c r="P55" s="14"/>
      <c r="Q55" s="14"/>
      <c r="R55" s="14"/>
    </row>
    <row r="56" spans="1:18">
      <c r="A56" s="14" t="s">
        <v>1434</v>
      </c>
      <c r="C56" s="14"/>
      <c r="D56" s="14"/>
      <c r="F56" s="14"/>
      <c r="G56" s="14"/>
      <c r="H56" s="14"/>
      <c r="I56" s="14"/>
      <c r="J56" s="14"/>
      <c r="K56" s="14"/>
      <c r="L56" s="14"/>
      <c r="M56" s="14"/>
      <c r="N56" s="14"/>
      <c r="P56" s="14"/>
      <c r="Q56" s="14"/>
      <c r="R56" s="14"/>
    </row>
    <row r="57" spans="1:18">
      <c r="A57" s="14" t="s">
        <v>7846</v>
      </c>
      <c r="C57" s="14"/>
      <c r="D57" s="14"/>
      <c r="F57" s="14"/>
      <c r="G57" s="14"/>
      <c r="H57" s="14"/>
      <c r="I57" s="14"/>
      <c r="J57" s="14"/>
      <c r="K57" s="14"/>
      <c r="L57" s="14"/>
      <c r="M57" s="14"/>
      <c r="N57" s="14"/>
      <c r="P57" s="14"/>
      <c r="Q57" s="14"/>
      <c r="R57" s="14"/>
    </row>
    <row r="58" spans="1:18">
      <c r="A58" s="9" t="s">
        <v>5891</v>
      </c>
      <c r="B58" s="14" t="s">
        <v>330</v>
      </c>
      <c r="C58" s="14" t="s">
        <v>202</v>
      </c>
      <c r="D58" s="14" t="s">
        <v>1371</v>
      </c>
      <c r="E58" s="15" t="str">
        <f>HYPERLINK("https://stat100.ameba.jp/tnk47/ratio20/illustrations/card/ill_77173_0_yukemuritomoegozen03.jpg?201811-2-RELEASE-unionbattle-378", "■")</f>
        <v>■</v>
      </c>
      <c r="F58" s="14" t="s">
        <v>1372</v>
      </c>
      <c r="G58" s="14">
        <v>150366</v>
      </c>
      <c r="H58" s="14">
        <v>166369</v>
      </c>
      <c r="I58" s="14">
        <v>15</v>
      </c>
      <c r="J58" s="14" t="s">
        <v>310</v>
      </c>
      <c r="K58" s="14" t="s">
        <v>1373</v>
      </c>
      <c r="L58" s="14" t="s">
        <v>1374</v>
      </c>
      <c r="M58" s="14" t="s">
        <v>9158</v>
      </c>
      <c r="N58" s="14" t="s">
        <v>9158</v>
      </c>
      <c r="O58" s="9" t="s">
        <v>3878</v>
      </c>
      <c r="P58" s="14" t="s">
        <v>3879</v>
      </c>
      <c r="Q58" s="14">
        <v>2</v>
      </c>
      <c r="R58" s="14"/>
    </row>
    <row r="59" spans="1:18">
      <c r="A59" s="9">
        <v>77243</v>
      </c>
      <c r="B59" s="14" t="s">
        <v>334</v>
      </c>
      <c r="C59" s="14" t="s">
        <v>185</v>
      </c>
      <c r="D59" s="14" t="s">
        <v>3880</v>
      </c>
      <c r="E59" s="15" t="str">
        <f>HYPERLINK("https://stat100.ameba.jp/tnk47/ratio20/illustrations/card/ill_77243_seikimatsuniijimayae03.jpg?201811-2-RELEASE-unionbattle-378", "■")</f>
        <v>■</v>
      </c>
      <c r="F59" s="14" t="s">
        <v>1436</v>
      </c>
      <c r="G59" s="14">
        <v>82027</v>
      </c>
      <c r="H59" s="14">
        <v>76237</v>
      </c>
      <c r="I59" s="14">
        <v>21</v>
      </c>
      <c r="J59" s="14" t="s">
        <v>351</v>
      </c>
      <c r="K59" s="14" t="s">
        <v>1437</v>
      </c>
      <c r="L59" s="14" t="s">
        <v>1438</v>
      </c>
      <c r="M59" s="14" t="s">
        <v>9158</v>
      </c>
      <c r="N59" s="14" t="s">
        <v>9158</v>
      </c>
      <c r="O59" s="14" t="s">
        <v>9158</v>
      </c>
      <c r="P59" s="14" t="s">
        <v>9158</v>
      </c>
      <c r="Q59" s="14" t="s">
        <v>9158</v>
      </c>
      <c r="R59" s="14"/>
    </row>
    <row r="60" spans="1:18">
      <c r="A60" s="9">
        <v>77253</v>
      </c>
      <c r="B60" s="14" t="s">
        <v>348</v>
      </c>
      <c r="C60" s="14" t="s">
        <v>205</v>
      </c>
      <c r="D60" s="14" t="s">
        <v>1439</v>
      </c>
      <c r="E60" s="15" t="str">
        <f>HYPERLINK("https://stat100.ameba.jp/tnk47/ratio20/illustrations/card/ill_77253_korakuoribuchan03.jpg?201811-2-RELEASE-unionbattle-378", "■")</f>
        <v>■</v>
      </c>
      <c r="F60" s="14" t="s">
        <v>1440</v>
      </c>
      <c r="G60" s="14">
        <v>56456</v>
      </c>
      <c r="H60" s="14">
        <v>62244</v>
      </c>
      <c r="I60" s="14">
        <v>21</v>
      </c>
      <c r="J60" s="14" t="s">
        <v>283</v>
      </c>
      <c r="K60" s="14" t="s">
        <v>1441</v>
      </c>
      <c r="L60" s="14" t="s">
        <v>1442</v>
      </c>
      <c r="M60" s="14" t="s">
        <v>9158</v>
      </c>
      <c r="N60" s="14" t="s">
        <v>9158</v>
      </c>
      <c r="O60" s="14" t="s">
        <v>9158</v>
      </c>
      <c r="P60" s="14" t="s">
        <v>9158</v>
      </c>
      <c r="Q60" s="14" t="s">
        <v>9158</v>
      </c>
      <c r="R60" s="14"/>
    </row>
    <row r="61" spans="1:18">
      <c r="A61" s="9">
        <v>77263</v>
      </c>
      <c r="B61" s="14" t="s">
        <v>362</v>
      </c>
      <c r="C61" s="14" t="s">
        <v>165</v>
      </c>
      <c r="D61" s="14" t="s">
        <v>1443</v>
      </c>
      <c r="E61" s="15" t="str">
        <f>HYPERLINK("https://stat100.ameba.jp/tnk47/ratio20/illustrations/card/ill_77263_oryuyanagi03.jpg?201811-2-RELEASE-unionbattle-378", "■")</f>
        <v>■</v>
      </c>
      <c r="F61" s="14" t="s">
        <v>1444</v>
      </c>
      <c r="G61" s="14">
        <v>43662</v>
      </c>
      <c r="H61" s="14">
        <v>36304</v>
      </c>
      <c r="I61" s="14">
        <v>21</v>
      </c>
      <c r="J61" s="14" t="s">
        <v>274</v>
      </c>
      <c r="K61" s="14" t="s">
        <v>1445</v>
      </c>
      <c r="L61" s="14" t="s">
        <v>600</v>
      </c>
      <c r="M61" s="14" t="s">
        <v>9158</v>
      </c>
      <c r="N61" s="14" t="s">
        <v>9158</v>
      </c>
      <c r="O61" s="14" t="s">
        <v>9158</v>
      </c>
      <c r="P61" s="14" t="s">
        <v>9158</v>
      </c>
      <c r="Q61" s="14" t="s">
        <v>9158</v>
      </c>
      <c r="R61" s="14"/>
    </row>
    <row r="62" spans="1:18">
      <c r="A62" s="9">
        <v>77273</v>
      </c>
      <c r="B62" s="14" t="s">
        <v>372</v>
      </c>
      <c r="C62" s="14" t="s">
        <v>1344</v>
      </c>
      <c r="D62" s="14" t="s">
        <v>1446</v>
      </c>
      <c r="E62" s="15" t="str">
        <f>HYPERLINK("https://stat100.ameba.jp/tnk47/ratio20/illustrations/card/ill_77273_tsunabichan03.jpg?201811-2-RELEASE-unionbattle-378", "■")</f>
        <v>■</v>
      </c>
      <c r="F62" s="14" t="s">
        <v>1447</v>
      </c>
      <c r="G62" s="14">
        <v>22200</v>
      </c>
      <c r="H62" s="14">
        <v>26434</v>
      </c>
      <c r="I62" s="14">
        <v>21</v>
      </c>
      <c r="J62" s="14" t="s">
        <v>369</v>
      </c>
      <c r="K62" s="14" t="s">
        <v>1448</v>
      </c>
      <c r="L62" s="14" t="s">
        <v>1449</v>
      </c>
      <c r="M62" s="14" t="s">
        <v>9158</v>
      </c>
      <c r="N62" s="14" t="s">
        <v>9158</v>
      </c>
      <c r="O62" s="14" t="s">
        <v>9158</v>
      </c>
      <c r="P62" s="14" t="s">
        <v>9158</v>
      </c>
      <c r="Q62" s="14" t="s">
        <v>9158</v>
      </c>
      <c r="R62" s="14"/>
    </row>
    <row r="63" spans="1:18">
      <c r="B63" s="14"/>
      <c r="C63" s="14"/>
      <c r="D63" s="14"/>
      <c r="F63" s="14"/>
      <c r="G63" s="14"/>
      <c r="H63" s="14"/>
      <c r="I63" s="14"/>
      <c r="J63" s="14"/>
      <c r="K63" s="14"/>
      <c r="L63" s="14"/>
      <c r="M63" s="14"/>
      <c r="N63" s="14"/>
      <c r="P63" s="14"/>
      <c r="Q63" s="14"/>
      <c r="R63" s="14"/>
    </row>
    <row r="64" spans="1:18">
      <c r="A64" s="14" t="s">
        <v>115</v>
      </c>
      <c r="D64" s="14"/>
      <c r="F64" s="14"/>
      <c r="G64" s="14"/>
      <c r="H64" s="14"/>
      <c r="I64" s="14"/>
      <c r="J64" s="14"/>
      <c r="K64" s="14"/>
      <c r="L64" s="14"/>
      <c r="M64" s="14"/>
      <c r="N64" s="14"/>
      <c r="P64" s="14"/>
      <c r="Q64" s="14"/>
      <c r="R64" s="14"/>
    </row>
    <row r="65" spans="1:18">
      <c r="A65" s="14" t="s">
        <v>1450</v>
      </c>
      <c r="C65" s="14"/>
      <c r="D65" s="14"/>
      <c r="F65" s="14"/>
      <c r="G65" s="14"/>
      <c r="H65" s="14"/>
      <c r="I65" s="14"/>
      <c r="J65" s="14"/>
      <c r="K65" s="14"/>
      <c r="L65" s="14"/>
      <c r="M65" s="14"/>
      <c r="N65" s="14"/>
      <c r="P65" s="14"/>
      <c r="Q65" s="14"/>
      <c r="R65" s="14"/>
    </row>
    <row r="66" spans="1:18">
      <c r="A66" s="9" t="s">
        <v>5611</v>
      </c>
      <c r="B66" s="14" t="s">
        <v>330</v>
      </c>
      <c r="C66" s="14" t="s">
        <v>185</v>
      </c>
      <c r="D66" s="14" t="s">
        <v>539</v>
      </c>
      <c r="E66" s="15" t="str">
        <f>HYPERLINK("https://stat100.ameba.jp/tnk47/ratio20/illustrations/card/ill_60633_0_harumaisentoin03.jpg?201811-2-RELEASE-unionbattle-378", "■")</f>
        <v>■</v>
      </c>
      <c r="F66" s="14" t="s">
        <v>540</v>
      </c>
      <c r="G66" s="14">
        <v>95371</v>
      </c>
      <c r="H66" s="14">
        <v>102590</v>
      </c>
      <c r="I66" s="14">
        <v>15</v>
      </c>
      <c r="J66" s="14" t="s">
        <v>274</v>
      </c>
      <c r="K66" s="14" t="s">
        <v>541</v>
      </c>
      <c r="L66" s="14" t="s">
        <v>542</v>
      </c>
      <c r="M66" s="14" t="s">
        <v>9158</v>
      </c>
      <c r="N66" s="14" t="s">
        <v>9158</v>
      </c>
      <c r="O66" s="9" t="s">
        <v>2888</v>
      </c>
      <c r="P66" s="14" t="s">
        <v>3144</v>
      </c>
      <c r="Q66" s="14">
        <v>1</v>
      </c>
      <c r="R66" s="14"/>
    </row>
    <row r="67" spans="1:18">
      <c r="A67" s="9" t="s">
        <v>5725</v>
      </c>
      <c r="B67" s="14" t="s">
        <v>330</v>
      </c>
      <c r="C67" s="14" t="s">
        <v>206</v>
      </c>
      <c r="D67" s="14" t="s">
        <v>543</v>
      </c>
      <c r="E67" s="15" t="str">
        <f>HYPERLINK("https://stat100.ameba.jp/tnk47/ratio20/illustrations/card/ill_52693_0_sengokumibirakiyanagiharabyakuren03.jpg?201811-2-RELEASE-unionbattle-378", "■")</f>
        <v>■</v>
      </c>
      <c r="F67" s="14" t="s">
        <v>544</v>
      </c>
      <c r="G67" s="14">
        <v>83712</v>
      </c>
      <c r="H67" s="14">
        <v>94236</v>
      </c>
      <c r="I67" s="14">
        <v>15</v>
      </c>
      <c r="J67" s="14" t="s">
        <v>414</v>
      </c>
      <c r="K67" s="14" t="s">
        <v>545</v>
      </c>
      <c r="L67" s="14" t="s">
        <v>546</v>
      </c>
      <c r="M67" s="14" t="s">
        <v>9158</v>
      </c>
      <c r="N67" s="14" t="s">
        <v>9158</v>
      </c>
      <c r="O67" s="9" t="s">
        <v>3303</v>
      </c>
      <c r="P67" s="14" t="s">
        <v>3304</v>
      </c>
      <c r="Q67" s="14">
        <v>1</v>
      </c>
      <c r="R67" s="14"/>
    </row>
    <row r="68" spans="1:18">
      <c r="A68" s="9" t="s">
        <v>5897</v>
      </c>
      <c r="B68" s="14" t="s">
        <v>330</v>
      </c>
      <c r="C68" s="14" t="s">
        <v>200</v>
      </c>
      <c r="D68" s="14" t="s">
        <v>277</v>
      </c>
      <c r="E68" s="15" t="str">
        <f>HYPERLINK("https://stat100.ameba.jp/tnk47/ratio20/illustrations/card/ill_40913_0_reigyokudensetsufusehime03.jpg?201811-2-RELEASE-unionbattle-378", "■")</f>
        <v>■</v>
      </c>
      <c r="F68" s="14" t="s">
        <v>278</v>
      </c>
      <c r="G68" s="14">
        <v>82212</v>
      </c>
      <c r="H68" s="14">
        <v>87780</v>
      </c>
      <c r="I68" s="14">
        <v>15</v>
      </c>
      <c r="J68" s="14" t="s">
        <v>274</v>
      </c>
      <c r="K68" s="14" t="s">
        <v>279</v>
      </c>
      <c r="L68" s="14" t="s">
        <v>280</v>
      </c>
      <c r="M68" s="14" t="s">
        <v>9158</v>
      </c>
      <c r="N68" s="14" t="s">
        <v>9158</v>
      </c>
      <c r="O68" s="14" t="s">
        <v>9158</v>
      </c>
      <c r="P68" s="14" t="s">
        <v>9158</v>
      </c>
      <c r="Q68" s="14" t="s">
        <v>9158</v>
      </c>
      <c r="R68" s="14"/>
    </row>
    <row r="69" spans="1:18">
      <c r="A69" s="9">
        <v>69143</v>
      </c>
      <c r="B69" s="14" t="s">
        <v>334</v>
      </c>
      <c r="C69" s="14" t="s">
        <v>205</v>
      </c>
      <c r="D69" s="14" t="s">
        <v>1451</v>
      </c>
      <c r="E69" s="15" t="str">
        <f>HYPERLINK("https://stat100.ameba.jp/tnk47/ratio20/illustrations/card/ill_69143_marukamejo03.jpg?201811-2-RELEASE-unionbattle-378", "■")</f>
        <v>■</v>
      </c>
      <c r="F69" s="14" t="s">
        <v>1452</v>
      </c>
      <c r="G69" s="14">
        <v>72186</v>
      </c>
      <c r="H69" s="14">
        <v>128320</v>
      </c>
      <c r="I69" s="14">
        <v>22</v>
      </c>
      <c r="J69" s="14" t="s">
        <v>369</v>
      </c>
      <c r="K69" s="14" t="s">
        <v>1453</v>
      </c>
      <c r="L69" s="14" t="s">
        <v>1454</v>
      </c>
      <c r="M69" s="14" t="s">
        <v>9158</v>
      </c>
      <c r="N69" s="14" t="s">
        <v>9158</v>
      </c>
      <c r="O69" s="14" t="s">
        <v>9158</v>
      </c>
      <c r="P69" s="14" t="s">
        <v>9158</v>
      </c>
      <c r="Q69" s="14" t="s">
        <v>9158</v>
      </c>
      <c r="R69" s="14"/>
    </row>
    <row r="70" spans="1:18">
      <c r="A70" s="9">
        <v>56093</v>
      </c>
      <c r="B70" s="14" t="s">
        <v>334</v>
      </c>
      <c r="C70" s="14" t="s">
        <v>206</v>
      </c>
      <c r="D70" s="14" t="s">
        <v>1455</v>
      </c>
      <c r="E70" s="15" t="str">
        <f>HYPERLINK("https://stat100.ameba.jp/tnk47/ratio20/illustrations/card/ill_56093_shiramikiyo03.jpg?201811-2-RELEASE-unionbattle-378", "■")</f>
        <v>■</v>
      </c>
      <c r="F70" s="14" t="s">
        <v>1456</v>
      </c>
      <c r="G70" s="14">
        <v>68622</v>
      </c>
      <c r="H70" s="14">
        <v>95452</v>
      </c>
      <c r="I70" s="14">
        <v>22</v>
      </c>
      <c r="J70" s="14" t="s">
        <v>401</v>
      </c>
      <c r="K70" s="14" t="s">
        <v>1457</v>
      </c>
      <c r="L70" s="14" t="s">
        <v>1458</v>
      </c>
      <c r="M70" s="14" t="s">
        <v>9158</v>
      </c>
      <c r="N70" s="14" t="s">
        <v>9158</v>
      </c>
      <c r="O70" s="14" t="s">
        <v>9158</v>
      </c>
      <c r="P70" s="14" t="s">
        <v>9158</v>
      </c>
      <c r="Q70" s="14" t="s">
        <v>9158</v>
      </c>
      <c r="R70" s="14"/>
    </row>
    <row r="71" spans="1:18">
      <c r="A71" s="9">
        <v>54603</v>
      </c>
      <c r="B71" s="14" t="s">
        <v>334</v>
      </c>
      <c r="C71" s="14" t="s">
        <v>264</v>
      </c>
      <c r="D71" s="14" t="s">
        <v>4388</v>
      </c>
      <c r="E71" s="15" t="str">
        <f>HYPERLINK("https://stat100.ameba.jp/tnk47/ratio20/illustrations/card/ill_54603_kurokishisanadayukimura03.jpg?201811-2-RELEASE-unionbattle-378", "■")</f>
        <v>■</v>
      </c>
      <c r="F71" s="14" t="s">
        <v>1459</v>
      </c>
      <c r="G71" s="14">
        <v>78838</v>
      </c>
      <c r="H71" s="14">
        <v>84796</v>
      </c>
      <c r="I71" s="14">
        <v>22</v>
      </c>
      <c r="J71" s="14" t="s">
        <v>310</v>
      </c>
      <c r="K71" s="14" t="s">
        <v>1460</v>
      </c>
      <c r="L71" s="14" t="s">
        <v>1461</v>
      </c>
      <c r="M71" s="14" t="s">
        <v>9158</v>
      </c>
      <c r="N71" s="14" t="s">
        <v>9158</v>
      </c>
      <c r="O71" s="14" t="s">
        <v>9158</v>
      </c>
      <c r="P71" s="14" t="s">
        <v>9158</v>
      </c>
      <c r="Q71" s="14" t="s">
        <v>9158</v>
      </c>
      <c r="R71" s="14"/>
    </row>
    <row r="72" spans="1:18">
      <c r="A72" s="9">
        <v>66063</v>
      </c>
      <c r="B72" s="14" t="s">
        <v>15303</v>
      </c>
      <c r="C72" s="14" t="s">
        <v>200</v>
      </c>
      <c r="D72" s="14" t="s">
        <v>1462</v>
      </c>
      <c r="E72" s="15" t="str">
        <f>HYPERLINK("https://stat100.ameba.jp/tnk47/ratio20/illustrations/card/ill_66063_serebuedomurasaki03.jpg?201811-2-RELEASE-unionbattle-378", "■")</f>
        <v>■</v>
      </c>
      <c r="F72" s="14" t="s">
        <v>1463</v>
      </c>
      <c r="G72" s="14">
        <v>59144</v>
      </c>
      <c r="H72" s="14">
        <v>65208</v>
      </c>
      <c r="I72" s="14">
        <v>22</v>
      </c>
      <c r="J72" s="14" t="s">
        <v>274</v>
      </c>
      <c r="K72" s="14" t="s">
        <v>1464</v>
      </c>
      <c r="L72" s="14" t="s">
        <v>1465</v>
      </c>
      <c r="M72" s="14" t="s">
        <v>9158</v>
      </c>
      <c r="N72" s="14" t="s">
        <v>9158</v>
      </c>
      <c r="O72" s="14" t="s">
        <v>9158</v>
      </c>
      <c r="P72" s="14" t="s">
        <v>9158</v>
      </c>
      <c r="Q72" s="14" t="s">
        <v>9158</v>
      </c>
      <c r="R72" s="14"/>
    </row>
    <row r="73" spans="1:18">
      <c r="A73" s="9">
        <v>52963</v>
      </c>
      <c r="B73" s="14" t="s">
        <v>15303</v>
      </c>
      <c r="C73" s="14" t="s">
        <v>191</v>
      </c>
      <c r="D73" s="14" t="s">
        <v>1466</v>
      </c>
      <c r="E73" s="15" t="str">
        <f>HYPERLINK("https://stat100.ameba.jp/tnk47/ratio20/illustrations/card/ill_52963_torampumomochan03.jpg?201811-2-RELEASE-unionbattle-378", "■")</f>
        <v>■</v>
      </c>
      <c r="F73" s="14" t="s">
        <v>1467</v>
      </c>
      <c r="G73" s="14">
        <v>59144</v>
      </c>
      <c r="H73" s="14">
        <v>65208</v>
      </c>
      <c r="I73" s="14">
        <v>22</v>
      </c>
      <c r="J73" s="14" t="s">
        <v>283</v>
      </c>
      <c r="K73" s="14" t="s">
        <v>1468</v>
      </c>
      <c r="L73" s="14" t="s">
        <v>1469</v>
      </c>
      <c r="M73" s="14" t="s">
        <v>9158</v>
      </c>
      <c r="N73" s="14" t="s">
        <v>9158</v>
      </c>
      <c r="O73" s="14" t="s">
        <v>9158</v>
      </c>
      <c r="P73" s="14" t="s">
        <v>9158</v>
      </c>
      <c r="Q73" s="14" t="s">
        <v>9158</v>
      </c>
      <c r="R73" s="14"/>
    </row>
    <row r="74" spans="1:18">
      <c r="A74" s="9">
        <v>67613</v>
      </c>
      <c r="B74" s="14" t="s">
        <v>15303</v>
      </c>
      <c r="C74" s="14" t="s">
        <v>185</v>
      </c>
      <c r="D74" s="14" t="s">
        <v>1470</v>
      </c>
      <c r="E74" s="15" t="str">
        <f>HYPERLINK("https://stat100.ameba.jp/tnk47/ratio20/illustrations/card/ill_67613_girishiashinwaringochan03.jpg?201811-2-RELEASE-unionbattle-378", "■")</f>
        <v>■</v>
      </c>
      <c r="F74" s="14" t="s">
        <v>1471</v>
      </c>
      <c r="G74" s="14">
        <v>59144</v>
      </c>
      <c r="H74" s="14">
        <v>65208</v>
      </c>
      <c r="I74" s="14">
        <v>22</v>
      </c>
      <c r="J74" s="14" t="s">
        <v>283</v>
      </c>
      <c r="K74" s="14" t="s">
        <v>1472</v>
      </c>
      <c r="L74" s="14" t="s">
        <v>1442</v>
      </c>
      <c r="M74" s="14" t="s">
        <v>9158</v>
      </c>
      <c r="N74" s="14" t="s">
        <v>9158</v>
      </c>
      <c r="O74" s="14" t="s">
        <v>9158</v>
      </c>
      <c r="P74" s="14" t="s">
        <v>9158</v>
      </c>
      <c r="Q74" s="14" t="s">
        <v>9158</v>
      </c>
      <c r="R74" s="14"/>
    </row>
    <row r="75" spans="1:18">
      <c r="B75" s="14"/>
      <c r="C75" s="14"/>
      <c r="D75" s="14"/>
      <c r="F75" s="14"/>
      <c r="G75" s="14"/>
      <c r="H75" s="14"/>
      <c r="I75" s="14"/>
      <c r="J75" s="14"/>
      <c r="K75" s="14"/>
      <c r="L75" s="14"/>
      <c r="M75" s="14"/>
      <c r="N75" s="14"/>
      <c r="P75" s="14"/>
      <c r="Q75" s="14"/>
      <c r="R75" s="14"/>
    </row>
    <row r="76" spans="1:18">
      <c r="A76" s="14" t="s">
        <v>180</v>
      </c>
      <c r="D76" s="14"/>
      <c r="F76" s="14"/>
      <c r="G76" s="14"/>
      <c r="H76" s="14"/>
      <c r="I76" s="14"/>
      <c r="J76" s="14"/>
      <c r="K76" s="14"/>
      <c r="L76" s="14"/>
      <c r="M76" s="14"/>
      <c r="N76" s="14"/>
      <c r="P76" s="14"/>
      <c r="Q76" s="14"/>
      <c r="R76" s="14"/>
    </row>
    <row r="77" spans="1:18">
      <c r="A77" s="14" t="s">
        <v>1473</v>
      </c>
      <c r="C77" s="14"/>
      <c r="D77" s="14"/>
      <c r="F77" s="14"/>
      <c r="G77" s="14"/>
      <c r="H77" s="14"/>
      <c r="I77" s="14"/>
      <c r="J77" s="14"/>
      <c r="K77" s="14"/>
      <c r="L77" s="14"/>
      <c r="M77" s="14"/>
      <c r="N77" s="14"/>
      <c r="P77" s="14"/>
      <c r="Q77" s="14"/>
      <c r="R77" s="14"/>
    </row>
    <row r="78" spans="1:18">
      <c r="A78" s="9" t="s">
        <v>5725</v>
      </c>
      <c r="B78" s="14" t="s">
        <v>330</v>
      </c>
      <c r="C78" s="14" t="s">
        <v>344</v>
      </c>
      <c r="D78" s="14" t="s">
        <v>543</v>
      </c>
      <c r="E78" s="15" t="str">
        <f>HYPERLINK("https://stat100.ameba.jp/tnk47/ratio20/illustrations/card/ill_52693_0_sengokumibirakiyanagiharabyakuren03.jpg?201811-2-RELEASE-unionbattle-378", "■")</f>
        <v>■</v>
      </c>
      <c r="F78" s="14" t="s">
        <v>544</v>
      </c>
      <c r="G78" s="14">
        <v>117196</v>
      </c>
      <c r="H78" s="14">
        <v>131930</v>
      </c>
      <c r="I78" s="14">
        <v>21</v>
      </c>
      <c r="J78" s="14" t="s">
        <v>414</v>
      </c>
      <c r="K78" s="14" t="s">
        <v>545</v>
      </c>
      <c r="L78" s="14" t="s">
        <v>546</v>
      </c>
      <c r="M78" s="14" t="s">
        <v>9158</v>
      </c>
      <c r="N78" s="14" t="s">
        <v>9158</v>
      </c>
      <c r="O78" s="9" t="s">
        <v>3303</v>
      </c>
      <c r="P78" s="14" t="s">
        <v>3304</v>
      </c>
      <c r="Q78" s="14">
        <v>1</v>
      </c>
      <c r="R78" s="14"/>
    </row>
    <row r="79" spans="1:18">
      <c r="A79" s="9" t="s">
        <v>5897</v>
      </c>
      <c r="B79" s="14" t="s">
        <v>330</v>
      </c>
      <c r="C79" s="14" t="s">
        <v>271</v>
      </c>
      <c r="D79" s="14" t="s">
        <v>277</v>
      </c>
      <c r="E79" s="15" t="str">
        <f>HYPERLINK("https://stat100.ameba.jp/tnk47/ratio20/illustrations/card/ill_40913_0_reigyokudensetsufusehime03.jpg?201811-2-RELEASE-unionbattle-378", "■")</f>
        <v>■</v>
      </c>
      <c r="F79" s="14" t="s">
        <v>278</v>
      </c>
      <c r="G79" s="14">
        <v>115096</v>
      </c>
      <c r="H79" s="14">
        <v>115096</v>
      </c>
      <c r="I79" s="14">
        <v>21</v>
      </c>
      <c r="J79" s="14" t="s">
        <v>274</v>
      </c>
      <c r="K79" s="14" t="s">
        <v>279</v>
      </c>
      <c r="L79" s="14" t="s">
        <v>280</v>
      </c>
      <c r="M79" s="14" t="s">
        <v>9158</v>
      </c>
      <c r="N79" s="14" t="s">
        <v>9158</v>
      </c>
      <c r="O79" s="14" t="s">
        <v>9158</v>
      </c>
      <c r="P79" s="14" t="s">
        <v>9158</v>
      </c>
      <c r="Q79" s="14" t="s">
        <v>9158</v>
      </c>
      <c r="R79" s="14"/>
    </row>
    <row r="80" spans="1:18">
      <c r="A80" s="9" t="s">
        <v>5721</v>
      </c>
      <c r="B80" s="14" t="s">
        <v>330</v>
      </c>
      <c r="C80" s="14" t="s">
        <v>267</v>
      </c>
      <c r="D80" s="14" t="s">
        <v>513</v>
      </c>
      <c r="E80" s="15" t="str">
        <f>HYPERLINK("https://stat100.ameba.jp/tnk47/ratio20/illustrations/card/ill_44283_0_izumonokuni03.jpg?201811-2-RELEASE-unionbattle-378", "■")</f>
        <v>■</v>
      </c>
      <c r="F80" s="14" t="s">
        <v>514</v>
      </c>
      <c r="G80" s="14">
        <v>122892</v>
      </c>
      <c r="H80" s="14">
        <v>115096</v>
      </c>
      <c r="I80" s="14">
        <v>21</v>
      </c>
      <c r="J80" s="14" t="s">
        <v>414</v>
      </c>
      <c r="K80" s="14" t="s">
        <v>515</v>
      </c>
      <c r="L80" s="14" t="s">
        <v>516</v>
      </c>
      <c r="M80" s="14" t="s">
        <v>9158</v>
      </c>
      <c r="N80" s="14" t="s">
        <v>9158</v>
      </c>
      <c r="O80" s="14" t="s">
        <v>9158</v>
      </c>
      <c r="P80" s="14" t="s">
        <v>9158</v>
      </c>
      <c r="Q80" s="14" t="s">
        <v>9158</v>
      </c>
      <c r="R80" s="14"/>
    </row>
    <row r="81" spans="1:18">
      <c r="A81" s="9">
        <v>77243</v>
      </c>
      <c r="B81" s="14" t="s">
        <v>334</v>
      </c>
      <c r="C81" s="14" t="s">
        <v>335</v>
      </c>
      <c r="D81" s="14" t="s">
        <v>1435</v>
      </c>
      <c r="E81" s="15" t="str">
        <f>HYPERLINK("https://stat100.ameba.jp/tnk47/ratio20/illustrations/card/ill_77243_seikimatsuniijimayae03.jpg?201811-2-RELEASE-unionbattle-378", "■")</f>
        <v>■</v>
      </c>
      <c r="F81" s="14" t="s">
        <v>1436</v>
      </c>
      <c r="G81" s="14">
        <v>82027</v>
      </c>
      <c r="H81" s="14">
        <v>76237</v>
      </c>
      <c r="I81" s="14">
        <v>21</v>
      </c>
      <c r="J81" s="14" t="s">
        <v>351</v>
      </c>
      <c r="K81" s="14" t="s">
        <v>1437</v>
      </c>
      <c r="L81" s="14" t="s">
        <v>1438</v>
      </c>
      <c r="M81" s="14" t="s">
        <v>9158</v>
      </c>
      <c r="N81" s="14" t="s">
        <v>9158</v>
      </c>
      <c r="O81" s="14" t="s">
        <v>9158</v>
      </c>
      <c r="P81" s="14" t="s">
        <v>9158</v>
      </c>
      <c r="Q81" s="14" t="s">
        <v>9158</v>
      </c>
      <c r="R81" s="14"/>
    </row>
    <row r="82" spans="1:18">
      <c r="A82" s="9">
        <v>77253</v>
      </c>
      <c r="B82" s="14" t="s">
        <v>348</v>
      </c>
      <c r="C82" s="14" t="s">
        <v>267</v>
      </c>
      <c r="D82" s="14" t="s">
        <v>1439</v>
      </c>
      <c r="E82" s="15" t="str">
        <f>HYPERLINK("https://stat100.ameba.jp/tnk47/ratio20/illustrations/card/ill_77253_korakuoribuchan03.jpg?201811-2-RELEASE-unionbattle-378", "■")</f>
        <v>■</v>
      </c>
      <c r="F82" s="14" t="s">
        <v>1440</v>
      </c>
      <c r="G82" s="14">
        <v>48390</v>
      </c>
      <c r="H82" s="14">
        <v>53352</v>
      </c>
      <c r="I82" s="14">
        <v>18</v>
      </c>
      <c r="J82" s="14" t="s">
        <v>283</v>
      </c>
      <c r="K82" s="14" t="s">
        <v>1441</v>
      </c>
      <c r="L82" s="14" t="s">
        <v>1441</v>
      </c>
      <c r="M82" s="14" t="s">
        <v>9158</v>
      </c>
      <c r="N82" s="14" t="s">
        <v>9158</v>
      </c>
      <c r="O82" s="14" t="s">
        <v>9158</v>
      </c>
      <c r="P82" s="14" t="s">
        <v>9158</v>
      </c>
      <c r="Q82" s="14" t="s">
        <v>9158</v>
      </c>
      <c r="R82" s="14"/>
    </row>
    <row r="83" spans="1:18">
      <c r="A83" s="9">
        <v>77263</v>
      </c>
      <c r="B83" s="14" t="s">
        <v>362</v>
      </c>
      <c r="C83" s="14" t="s">
        <v>308</v>
      </c>
      <c r="D83" s="14" t="s">
        <v>1443</v>
      </c>
      <c r="E83" s="15" t="str">
        <f>HYPERLINK("https://stat100.ameba.jp/tnk47/ratio20/illustrations/card/ill_77263_oryuyanagi03.jpg?201811-2-RELEASE-unionbattle-378", "■")</f>
        <v>■</v>
      </c>
      <c r="F83" s="14" t="s">
        <v>1444</v>
      </c>
      <c r="G83" s="14">
        <v>33266</v>
      </c>
      <c r="H83" s="14">
        <v>27660</v>
      </c>
      <c r="I83" s="14">
        <v>16</v>
      </c>
      <c r="J83" s="14" t="s">
        <v>274</v>
      </c>
      <c r="K83" s="14" t="s">
        <v>1445</v>
      </c>
      <c r="L83" s="14" t="s">
        <v>600</v>
      </c>
      <c r="M83" s="14" t="s">
        <v>9158</v>
      </c>
      <c r="N83" s="14" t="s">
        <v>9158</v>
      </c>
      <c r="O83" s="14" t="s">
        <v>9158</v>
      </c>
      <c r="P83" s="14" t="s">
        <v>9158</v>
      </c>
      <c r="Q83" s="14" t="s">
        <v>9158</v>
      </c>
      <c r="R83" s="14"/>
    </row>
    <row r="84" spans="1:18">
      <c r="A84" s="9">
        <v>77273</v>
      </c>
      <c r="B84" s="14" t="s">
        <v>372</v>
      </c>
      <c r="C84" s="14" t="s">
        <v>1474</v>
      </c>
      <c r="D84" s="14" t="s">
        <v>1446</v>
      </c>
      <c r="E84" s="15" t="str">
        <f>HYPERLINK("https://stat100.ameba.jp/tnk47/ratio20/illustrations/card/ill_77273_tsunabichan03.jpg?201811-2-RELEASE-unionbattle-378", "■")</f>
        <v>■</v>
      </c>
      <c r="F84" s="14" t="s">
        <v>1447</v>
      </c>
      <c r="G84" s="14">
        <v>16914</v>
      </c>
      <c r="H84" s="14">
        <v>20140</v>
      </c>
      <c r="I84" s="14">
        <v>16</v>
      </c>
      <c r="J84" s="14" t="s">
        <v>369</v>
      </c>
      <c r="K84" s="14" t="s">
        <v>1448</v>
      </c>
      <c r="L84" s="14" t="s">
        <v>1449</v>
      </c>
      <c r="M84" s="14" t="s">
        <v>9158</v>
      </c>
      <c r="N84" s="14" t="s">
        <v>9158</v>
      </c>
      <c r="O84" s="14" t="s">
        <v>9158</v>
      </c>
      <c r="P84" s="14" t="s">
        <v>9158</v>
      </c>
      <c r="Q84" s="14" t="s">
        <v>9158</v>
      </c>
      <c r="R84" s="14"/>
    </row>
    <row r="85" spans="1:18">
      <c r="B85" s="14"/>
      <c r="C85" s="14"/>
      <c r="D85" s="14"/>
      <c r="F85" s="14"/>
      <c r="G85" s="14"/>
      <c r="H85" s="14"/>
      <c r="I85" s="14"/>
      <c r="J85" s="14"/>
      <c r="K85" s="14"/>
      <c r="L85" s="14"/>
      <c r="M85" s="14"/>
      <c r="N85" s="14"/>
      <c r="P85" s="14"/>
      <c r="Q85" s="14"/>
      <c r="R85" s="14"/>
    </row>
    <row r="86" spans="1:18">
      <c r="A86" s="14" t="s">
        <v>132</v>
      </c>
      <c r="D86" s="14"/>
      <c r="F86" s="14"/>
      <c r="G86" s="14"/>
      <c r="H86" s="14"/>
      <c r="I86" s="14"/>
      <c r="J86" s="14"/>
      <c r="K86" s="14"/>
      <c r="L86" s="14"/>
      <c r="M86" s="14"/>
      <c r="N86" s="14"/>
      <c r="P86" s="14"/>
      <c r="Q86" s="14"/>
      <c r="R86" s="14"/>
    </row>
    <row r="87" spans="1:18">
      <c r="A87" s="14" t="s">
        <v>1475</v>
      </c>
      <c r="C87" s="14"/>
      <c r="D87" s="14"/>
      <c r="F87" s="14"/>
      <c r="G87" s="14"/>
      <c r="H87" s="14"/>
      <c r="I87" s="14"/>
      <c r="J87" s="14"/>
      <c r="K87" s="14"/>
      <c r="L87" s="14"/>
      <c r="M87" s="14"/>
      <c r="N87" s="14"/>
      <c r="P87" s="14"/>
      <c r="Q87" s="14"/>
      <c r="R87" s="14"/>
    </row>
    <row r="88" spans="1:18">
      <c r="A88" s="9">
        <v>73855</v>
      </c>
      <c r="B88" s="14" t="s">
        <v>334</v>
      </c>
      <c r="C88" s="14" t="s">
        <v>202</v>
      </c>
      <c r="D88" s="14" t="s">
        <v>1476</v>
      </c>
      <c r="E88" s="15" t="str">
        <f>HYPERLINK("https://stat100.ameba.jp/tnk47/ratio20/illustrations/card/ill_73855_hirayamanarinobu05.jpg?201811-2-RELEASE-unionbattle-378", "■")</f>
        <v>■</v>
      </c>
      <c r="F88" s="14" t="s">
        <v>1477</v>
      </c>
      <c r="G88" s="14">
        <v>150278</v>
      </c>
      <c r="H88" s="14">
        <v>108811</v>
      </c>
      <c r="I88" s="14">
        <v>21</v>
      </c>
      <c r="J88" s="14" t="s">
        <v>351</v>
      </c>
      <c r="K88" s="14" t="s">
        <v>1478</v>
      </c>
      <c r="L88" s="14" t="s">
        <v>1479</v>
      </c>
      <c r="M88" s="14" t="s">
        <v>9158</v>
      </c>
      <c r="N88" s="14" t="s">
        <v>9158</v>
      </c>
      <c r="O88" s="14" t="s">
        <v>9158</v>
      </c>
      <c r="P88" s="14" t="s">
        <v>9158</v>
      </c>
      <c r="Q88" s="14" t="s">
        <v>9158</v>
      </c>
      <c r="R88" s="14" t="s">
        <v>174</v>
      </c>
    </row>
    <row r="89" spans="1:18">
      <c r="A89" s="9">
        <v>73853</v>
      </c>
      <c r="B89" s="14" t="s">
        <v>348</v>
      </c>
      <c r="C89" s="14" t="s">
        <v>209</v>
      </c>
      <c r="D89" s="14" t="s">
        <v>1476</v>
      </c>
      <c r="E89" s="15" t="str">
        <f>HYPERLINK("https://stat100.ameba.jp/tnk47/ratio20/illustrations/card/ill_73853_hirayamanarinobu03.jpg?201811-2-RELEASE-unionbattle-378", "■")</f>
        <v>■</v>
      </c>
      <c r="F89" s="14" t="s">
        <v>1477</v>
      </c>
      <c r="G89" s="14">
        <v>110722</v>
      </c>
      <c r="H89" s="14">
        <v>80168</v>
      </c>
      <c r="I89" s="14">
        <v>21</v>
      </c>
      <c r="J89" s="14" t="s">
        <v>351</v>
      </c>
      <c r="K89" s="14" t="s">
        <v>1478</v>
      </c>
      <c r="L89" s="14" t="s">
        <v>1480</v>
      </c>
      <c r="M89" s="14" t="s">
        <v>9158</v>
      </c>
      <c r="N89" s="14" t="s">
        <v>9158</v>
      </c>
      <c r="O89" s="14" t="s">
        <v>9158</v>
      </c>
      <c r="P89" s="14" t="s">
        <v>9158</v>
      </c>
      <c r="Q89" s="14" t="s">
        <v>9158</v>
      </c>
      <c r="R89" s="14" t="s">
        <v>175</v>
      </c>
    </row>
    <row r="90" spans="1:18">
      <c r="A90" s="9">
        <v>73851</v>
      </c>
      <c r="B90" s="14" t="s">
        <v>348</v>
      </c>
      <c r="C90" s="14" t="s">
        <v>154</v>
      </c>
      <c r="D90" s="14" t="s">
        <v>1476</v>
      </c>
      <c r="E90" s="15" t="str">
        <f>HYPERLINK("https://stat100.ameba.jp/tnk47/ratio20/illustrations/card/ill_73851_hirayamanarinobu01.jpg?201811-2-RELEASE-unionbattle-378", "■")</f>
        <v>■</v>
      </c>
      <c r="F90" s="14" t="s">
        <v>1477</v>
      </c>
      <c r="G90" s="14">
        <v>70434</v>
      </c>
      <c r="H90" s="14">
        <v>51009</v>
      </c>
      <c r="I90" s="14">
        <v>21</v>
      </c>
      <c r="J90" s="14" t="s">
        <v>351</v>
      </c>
      <c r="K90" s="14" t="s">
        <v>1478</v>
      </c>
      <c r="L90" s="14" t="s">
        <v>1481</v>
      </c>
      <c r="M90" s="14" t="s">
        <v>9158</v>
      </c>
      <c r="N90" s="14" t="s">
        <v>9158</v>
      </c>
      <c r="O90" s="14" t="s">
        <v>9158</v>
      </c>
      <c r="P90" s="14" t="s">
        <v>9158</v>
      </c>
      <c r="Q90" s="14" t="s">
        <v>9158</v>
      </c>
      <c r="R90" s="14" t="s">
        <v>176</v>
      </c>
    </row>
    <row r="91" spans="1:18">
      <c r="A91" s="9">
        <v>73045</v>
      </c>
      <c r="B91" s="14" t="s">
        <v>334</v>
      </c>
      <c r="C91" s="14" t="s">
        <v>202</v>
      </c>
      <c r="D91" s="14" t="s">
        <v>1482</v>
      </c>
      <c r="E91" s="15" t="str">
        <f>HYPERLINK("https://stat100.ameba.jp/tnk47/ratio20/illustrations/card/ill_73045_takabaosamu05.jpg?201811-2-RELEASE-unionbattle-378", "■")</f>
        <v>■</v>
      </c>
      <c r="F91" s="14" t="s">
        <v>1483</v>
      </c>
      <c r="G91" s="14">
        <v>107620</v>
      </c>
      <c r="H91" s="14">
        <v>77929</v>
      </c>
      <c r="I91" s="14">
        <v>21</v>
      </c>
      <c r="J91" s="14" t="s">
        <v>414</v>
      </c>
      <c r="K91" s="14" t="s">
        <v>1484</v>
      </c>
      <c r="L91" s="14" t="s">
        <v>1485</v>
      </c>
      <c r="M91" s="14" t="s">
        <v>9158</v>
      </c>
      <c r="N91" s="14" t="s">
        <v>9158</v>
      </c>
      <c r="O91" s="14" t="s">
        <v>9158</v>
      </c>
      <c r="P91" s="14" t="s">
        <v>9158</v>
      </c>
      <c r="Q91" s="14" t="s">
        <v>9158</v>
      </c>
      <c r="R91" s="14" t="s">
        <v>174</v>
      </c>
    </row>
    <row r="92" spans="1:18">
      <c r="A92" s="9">
        <v>73043</v>
      </c>
      <c r="B92" s="14" t="s">
        <v>348</v>
      </c>
      <c r="C92" s="14" t="s">
        <v>158</v>
      </c>
      <c r="D92" s="14" t="s">
        <v>1482</v>
      </c>
      <c r="E92" s="15" t="str">
        <f>HYPERLINK("https://stat100.ameba.jp/tnk47/ratio20/illustrations/card/ill_73043_takabaosamu03.jpg?201811-2-RELEASE-unionbattle-378", "■")</f>
        <v>■</v>
      </c>
      <c r="F92" s="14" t="s">
        <v>1483</v>
      </c>
      <c r="G92" s="14">
        <v>79289</v>
      </c>
      <c r="H92" s="14">
        <v>57403</v>
      </c>
      <c r="I92" s="14">
        <v>21</v>
      </c>
      <c r="J92" s="14" t="s">
        <v>414</v>
      </c>
      <c r="K92" s="14" t="s">
        <v>1484</v>
      </c>
      <c r="L92" s="14" t="s">
        <v>1486</v>
      </c>
      <c r="M92" s="14" t="s">
        <v>9158</v>
      </c>
      <c r="N92" s="14" t="s">
        <v>9158</v>
      </c>
      <c r="O92" s="14" t="s">
        <v>9158</v>
      </c>
      <c r="P92" s="14" t="s">
        <v>9158</v>
      </c>
      <c r="Q92" s="14" t="s">
        <v>9158</v>
      </c>
      <c r="R92" s="14" t="s">
        <v>175</v>
      </c>
    </row>
    <row r="93" spans="1:18">
      <c r="A93" s="9">
        <v>73041</v>
      </c>
      <c r="B93" s="14" t="s">
        <v>348</v>
      </c>
      <c r="C93" s="14" t="s">
        <v>158</v>
      </c>
      <c r="D93" s="14" t="s">
        <v>1482</v>
      </c>
      <c r="E93" s="15" t="str">
        <f>HYPERLINK("https://stat100.ameba.jp/tnk47/ratio20/illustrations/card/ill_73041_takabaosamu01.jpg?201811-2-RELEASE-unionbattle-378", "■")</f>
        <v>■</v>
      </c>
      <c r="F93" s="14" t="s">
        <v>1483</v>
      </c>
      <c r="G93" s="14">
        <v>50442</v>
      </c>
      <c r="H93" s="14">
        <v>36519</v>
      </c>
      <c r="I93" s="14">
        <v>21</v>
      </c>
      <c r="J93" s="14" t="s">
        <v>414</v>
      </c>
      <c r="K93" s="14" t="s">
        <v>1484</v>
      </c>
      <c r="L93" s="14" t="s">
        <v>1487</v>
      </c>
      <c r="M93" s="14" t="s">
        <v>9158</v>
      </c>
      <c r="N93" s="14" t="s">
        <v>9158</v>
      </c>
      <c r="O93" s="14" t="s">
        <v>9158</v>
      </c>
      <c r="P93" s="14" t="s">
        <v>9158</v>
      </c>
      <c r="Q93" s="14" t="s">
        <v>9158</v>
      </c>
      <c r="R93" s="14" t="s">
        <v>176</v>
      </c>
    </row>
    <row r="94" spans="1:18">
      <c r="A94" s="9">
        <v>70335</v>
      </c>
      <c r="B94" s="14" t="s">
        <v>334</v>
      </c>
      <c r="C94" s="14" t="s">
        <v>202</v>
      </c>
      <c r="D94" s="14" t="s">
        <v>523</v>
      </c>
      <c r="E94" s="15" t="str">
        <f>HYPERLINK("https://stat100.ameba.jp/tnk47/ratio20/illustrations/card/ill_70335_kusakagenzui05.jpg?201811-2-RELEASE-unionbattle-378", "■")</f>
        <v>■</v>
      </c>
      <c r="F94" s="14" t="s">
        <v>524</v>
      </c>
      <c r="G94" s="14">
        <v>80088</v>
      </c>
      <c r="H94" s="14">
        <v>110589</v>
      </c>
      <c r="I94" s="14">
        <v>21</v>
      </c>
      <c r="J94" s="14" t="s">
        <v>310</v>
      </c>
      <c r="K94" s="14" t="s">
        <v>525</v>
      </c>
      <c r="L94" s="14" t="s">
        <v>526</v>
      </c>
      <c r="M94" s="14" t="s">
        <v>9158</v>
      </c>
      <c r="N94" s="14" t="s">
        <v>9158</v>
      </c>
      <c r="O94" s="14" t="s">
        <v>9158</v>
      </c>
      <c r="P94" s="14" t="s">
        <v>9158</v>
      </c>
      <c r="Q94" s="14" t="s">
        <v>9158</v>
      </c>
      <c r="R94" s="14" t="s">
        <v>174</v>
      </c>
    </row>
    <row r="95" spans="1:18">
      <c r="A95" s="9">
        <v>70333</v>
      </c>
      <c r="B95" s="14" t="s">
        <v>348</v>
      </c>
      <c r="C95" s="14" t="s">
        <v>158</v>
      </c>
      <c r="D95" s="14" t="s">
        <v>523</v>
      </c>
      <c r="E95" s="15" t="str">
        <f>HYPERLINK("https://stat100.ameba.jp/tnk47/ratio20/illustrations/card/ill_70333_kusakagenzui03.jpg?201811-2-RELEASE-unionbattle-378", "■")</f>
        <v>■</v>
      </c>
      <c r="F95" s="14" t="s">
        <v>524</v>
      </c>
      <c r="G95" s="14">
        <v>58990</v>
      </c>
      <c r="H95" s="14">
        <v>81478</v>
      </c>
      <c r="I95" s="14">
        <v>21</v>
      </c>
      <c r="J95" s="14" t="s">
        <v>310</v>
      </c>
      <c r="K95" s="14" t="s">
        <v>525</v>
      </c>
      <c r="L95" s="14" t="s">
        <v>527</v>
      </c>
      <c r="M95" s="14" t="s">
        <v>9158</v>
      </c>
      <c r="N95" s="14" t="s">
        <v>9158</v>
      </c>
      <c r="O95" s="14" t="s">
        <v>9158</v>
      </c>
      <c r="P95" s="14" t="s">
        <v>9158</v>
      </c>
      <c r="Q95" s="14" t="s">
        <v>9158</v>
      </c>
      <c r="R95" s="14" t="s">
        <v>175</v>
      </c>
    </row>
    <row r="96" spans="1:18">
      <c r="A96" s="9">
        <v>70331</v>
      </c>
      <c r="B96" s="14" t="s">
        <v>348</v>
      </c>
      <c r="C96" s="14" t="s">
        <v>158</v>
      </c>
      <c r="D96" s="14" t="s">
        <v>523</v>
      </c>
      <c r="E96" s="15" t="str">
        <f>HYPERLINK("https://stat100.ameba.jp/tnk47/ratio20/illustrations/card/ill_70331_kusakagenzui01.jpg?201811-2-RELEASE-unionbattle-378", "■")</f>
        <v>■</v>
      </c>
      <c r="F96" s="14" t="s">
        <v>524</v>
      </c>
      <c r="G96" s="14">
        <v>37527</v>
      </c>
      <c r="H96" s="14">
        <v>51828</v>
      </c>
      <c r="I96" s="14">
        <v>21</v>
      </c>
      <c r="J96" s="14" t="s">
        <v>310</v>
      </c>
      <c r="K96" s="14" t="s">
        <v>525</v>
      </c>
      <c r="L96" s="14" t="s">
        <v>528</v>
      </c>
      <c r="M96" s="14" t="s">
        <v>9158</v>
      </c>
      <c r="N96" s="14" t="s">
        <v>9158</v>
      </c>
      <c r="O96" s="14" t="s">
        <v>9158</v>
      </c>
      <c r="P96" s="14" t="s">
        <v>9158</v>
      </c>
      <c r="Q96" s="14" t="s">
        <v>9158</v>
      </c>
      <c r="R96" s="14" t="s">
        <v>176</v>
      </c>
    </row>
    <row r="97" spans="1:18">
      <c r="B97" s="14"/>
      <c r="C97" s="14"/>
      <c r="D97" s="14"/>
      <c r="F97" s="14"/>
      <c r="G97" s="14"/>
      <c r="H97" s="14"/>
      <c r="I97" s="14"/>
      <c r="J97" s="14"/>
      <c r="K97" s="14"/>
      <c r="L97" s="14"/>
      <c r="M97" s="14"/>
      <c r="N97" s="14"/>
      <c r="P97" s="14"/>
      <c r="Q97" s="14"/>
      <c r="R97" s="14"/>
    </row>
    <row r="98" spans="1:18">
      <c r="A98" s="14" t="s">
        <v>135</v>
      </c>
      <c r="D98" s="14"/>
      <c r="F98" s="14"/>
      <c r="G98" s="14"/>
      <c r="H98" s="14"/>
      <c r="I98" s="14"/>
      <c r="J98" s="14"/>
      <c r="K98" s="14"/>
      <c r="L98" s="14"/>
      <c r="M98" s="14"/>
      <c r="N98" s="14"/>
      <c r="P98" s="14"/>
      <c r="Q98" s="14"/>
      <c r="R98" s="14"/>
    </row>
    <row r="99" spans="1:18">
      <c r="A99" s="14" t="s">
        <v>1488</v>
      </c>
      <c r="B99" s="14"/>
      <c r="C99" s="14"/>
      <c r="D99" s="14"/>
      <c r="F99" s="14"/>
      <c r="G99" s="14"/>
      <c r="H99" s="14"/>
      <c r="I99" s="14"/>
      <c r="J99" s="14"/>
      <c r="K99" s="14"/>
      <c r="L99" s="14"/>
      <c r="M99" s="14"/>
      <c r="N99" s="14"/>
      <c r="P99" s="14"/>
      <c r="Q99" s="14"/>
      <c r="R99" s="14"/>
    </row>
    <row r="100" spans="1:18">
      <c r="A100" s="9" t="s">
        <v>5848</v>
      </c>
      <c r="B100" s="14" t="s">
        <v>330</v>
      </c>
      <c r="C100" s="14" t="s">
        <v>200</v>
      </c>
      <c r="D100" s="14" t="s">
        <v>224</v>
      </c>
      <c r="E100" s="15" t="str">
        <f>HYPERLINK("https://stat100.ameba.jp/tnk47/ratio20/illustrations/card/ill_72963_0_amenohanayomehiguchiichiyo03.jpg?201811-2-RELEASE-unionbattle-378", "■")</f>
        <v>■</v>
      </c>
      <c r="F100" s="14" t="s">
        <v>757</v>
      </c>
      <c r="G100" s="14">
        <v>154104</v>
      </c>
      <c r="H100" s="14">
        <v>143290</v>
      </c>
      <c r="I100" s="14">
        <v>23</v>
      </c>
      <c r="J100" s="14" t="s">
        <v>173</v>
      </c>
      <c r="K100" s="14" t="s">
        <v>1489</v>
      </c>
      <c r="L100" s="14" t="s">
        <v>1345</v>
      </c>
      <c r="M100" s="14" t="s">
        <v>9158</v>
      </c>
      <c r="N100" s="14" t="s">
        <v>9158</v>
      </c>
      <c r="O100" s="9" t="s">
        <v>3162</v>
      </c>
      <c r="P100" s="14" t="s">
        <v>3163</v>
      </c>
      <c r="Q100" s="14">
        <v>1</v>
      </c>
      <c r="R100" s="14"/>
    </row>
    <row r="101" spans="1:18">
      <c r="A101" s="9">
        <v>59423</v>
      </c>
      <c r="B101" s="14" t="s">
        <v>334</v>
      </c>
      <c r="C101" s="14" t="s">
        <v>154</v>
      </c>
      <c r="D101" s="14" t="s">
        <v>1346</v>
      </c>
      <c r="E101" s="15" t="str">
        <f>HYPERLINK("https://stat100.ameba.jp/tnk47/ratio20/illustrations/card/ill_59423_yuishosetsu03.jpg?201811-2-RELEASE-unionbattle-378", "■")</f>
        <v>■</v>
      </c>
      <c r="F101" s="14" t="s">
        <v>1490</v>
      </c>
      <c r="G101" s="14">
        <v>95307</v>
      </c>
      <c r="H101" s="14">
        <v>69051</v>
      </c>
      <c r="I101" s="14">
        <v>21</v>
      </c>
      <c r="J101" s="14" t="s">
        <v>159</v>
      </c>
      <c r="K101" s="14" t="s">
        <v>1347</v>
      </c>
      <c r="L101" s="14" t="s">
        <v>13159</v>
      </c>
      <c r="M101" s="14" t="s">
        <v>9158</v>
      </c>
      <c r="N101" s="14" t="s">
        <v>9158</v>
      </c>
      <c r="O101" s="9" t="s">
        <v>3414</v>
      </c>
      <c r="P101" s="14" t="s">
        <v>13122</v>
      </c>
      <c r="Q101" s="14">
        <v>1</v>
      </c>
      <c r="R101" s="14"/>
    </row>
    <row r="102" spans="1:18">
      <c r="A102" s="9">
        <v>60763</v>
      </c>
      <c r="B102" s="14" t="s">
        <v>334</v>
      </c>
      <c r="C102" s="14" t="s">
        <v>158</v>
      </c>
      <c r="D102" s="14" t="s">
        <v>1348</v>
      </c>
      <c r="E102" s="15" t="str">
        <f>HYPERLINK("https://stat100.ameba.jp/tnk47/ratio20/illustrations/card/ill_60763_fujiwarakagekiyo03.jpg?201811-2-RELEASE-unionbattle-378", "■")</f>
        <v>■</v>
      </c>
      <c r="F102" s="14" t="s">
        <v>1491</v>
      </c>
      <c r="G102" s="14">
        <v>101199</v>
      </c>
      <c r="H102" s="14">
        <v>139716</v>
      </c>
      <c r="I102" s="14">
        <v>21</v>
      </c>
      <c r="J102" s="14" t="s">
        <v>194</v>
      </c>
      <c r="K102" s="14" t="s">
        <v>1349</v>
      </c>
      <c r="L102" s="14" t="s">
        <v>13160</v>
      </c>
      <c r="M102" s="14" t="s">
        <v>9158</v>
      </c>
      <c r="N102" s="14" t="s">
        <v>9158</v>
      </c>
      <c r="O102" s="17" t="s">
        <v>10064</v>
      </c>
      <c r="P102" s="14" t="s">
        <v>13150</v>
      </c>
      <c r="Q102" s="14">
        <v>1</v>
      </c>
      <c r="R102" s="14"/>
    </row>
    <row r="103" spans="1:18">
      <c r="A103" s="9">
        <v>56443</v>
      </c>
      <c r="B103" s="14" t="s">
        <v>334</v>
      </c>
      <c r="C103" s="14" t="s">
        <v>205</v>
      </c>
      <c r="D103" s="14" t="s">
        <v>1350</v>
      </c>
      <c r="E103" s="15" t="str">
        <f>HYPERLINK("https://stat100.ameba.jp/tnk47/ratio20/illustrations/card/ill_56443_poppukurisumasuizumonokuni03.jpg?201811-2-RELEASE-unionbattle-378", "■")</f>
        <v>■</v>
      </c>
      <c r="F103" s="14" t="s">
        <v>1492</v>
      </c>
      <c r="G103" s="14">
        <v>75254</v>
      </c>
      <c r="H103" s="14">
        <v>80942</v>
      </c>
      <c r="I103" s="14">
        <v>21</v>
      </c>
      <c r="J103" s="14" t="s">
        <v>173</v>
      </c>
      <c r="K103" s="14" t="s">
        <v>1351</v>
      </c>
      <c r="L103" s="14" t="s">
        <v>13161</v>
      </c>
      <c r="M103" s="14" t="s">
        <v>9158</v>
      </c>
      <c r="N103" s="14" t="s">
        <v>9158</v>
      </c>
      <c r="O103" s="9" t="s">
        <v>3661</v>
      </c>
      <c r="P103" s="14" t="s">
        <v>3662</v>
      </c>
      <c r="Q103" s="14">
        <v>1</v>
      </c>
      <c r="R103" s="14"/>
    </row>
    <row r="104" spans="1:18">
      <c r="B104" s="14"/>
      <c r="C104" s="14"/>
      <c r="D104" s="14"/>
      <c r="F104" s="14"/>
      <c r="G104" s="14"/>
      <c r="H104" s="14"/>
      <c r="I104" s="14"/>
      <c r="J104" s="14"/>
      <c r="K104" s="14"/>
      <c r="L104" s="14"/>
      <c r="M104" s="14"/>
      <c r="N104" s="14"/>
      <c r="P104" s="14"/>
      <c r="Q104" s="14"/>
      <c r="R104" s="14"/>
    </row>
    <row r="105" spans="1:18">
      <c r="A105" s="14" t="s">
        <v>195</v>
      </c>
      <c r="D105" s="14"/>
      <c r="F105" s="14"/>
      <c r="G105" s="14"/>
      <c r="H105" s="14"/>
      <c r="I105" s="14"/>
      <c r="J105" s="14"/>
      <c r="K105" s="14"/>
      <c r="L105" s="14"/>
      <c r="M105" s="14"/>
      <c r="N105" s="14"/>
      <c r="P105" s="14"/>
      <c r="Q105" s="14"/>
      <c r="R105" s="14"/>
    </row>
    <row r="106" spans="1:18">
      <c r="A106" s="14" t="s">
        <v>1493</v>
      </c>
      <c r="B106" s="14"/>
      <c r="C106" s="14"/>
      <c r="D106" s="14"/>
      <c r="F106" s="14"/>
      <c r="G106" s="14"/>
      <c r="H106" s="14"/>
      <c r="I106" s="14"/>
      <c r="J106" s="14"/>
      <c r="K106" s="14"/>
      <c r="L106" s="14"/>
      <c r="M106" s="14"/>
      <c r="N106" s="14"/>
      <c r="P106" s="14"/>
      <c r="Q106" s="14"/>
      <c r="R106" s="14"/>
    </row>
    <row r="107" spans="1:18">
      <c r="A107" s="9">
        <v>76103</v>
      </c>
      <c r="B107" s="14" t="s">
        <v>334</v>
      </c>
      <c r="C107" s="14" t="s">
        <v>154</v>
      </c>
      <c r="D107" s="14" t="s">
        <v>570</v>
      </c>
      <c r="E107" s="15" t="str">
        <f>HYPERLINK("https://stat100.ameba.jp/tnk47/ratio20/illustrations/card/ill_76103_shibuaji03.jpg?201811-2-RELEASE-unionbattle-378x", "■")</f>
        <v>■</v>
      </c>
      <c r="F107" s="14" t="s">
        <v>571</v>
      </c>
      <c r="G107" s="14">
        <v>90574</v>
      </c>
      <c r="H107" s="14">
        <v>84214</v>
      </c>
      <c r="I107" s="14">
        <v>21</v>
      </c>
      <c r="J107" s="14" t="s">
        <v>194</v>
      </c>
      <c r="K107" s="14" t="s">
        <v>196</v>
      </c>
      <c r="L107" s="14" t="s">
        <v>13135</v>
      </c>
      <c r="M107" s="14" t="s">
        <v>9158</v>
      </c>
      <c r="N107" s="14" t="s">
        <v>9158</v>
      </c>
      <c r="O107" s="14" t="s">
        <v>9158</v>
      </c>
      <c r="P107" s="14" t="s">
        <v>9158</v>
      </c>
      <c r="Q107" s="14" t="s">
        <v>9158</v>
      </c>
      <c r="R107" s="14"/>
    </row>
    <row r="108" spans="1:18">
      <c r="A108" s="9">
        <v>76113</v>
      </c>
      <c r="B108" s="14" t="s">
        <v>334</v>
      </c>
      <c r="C108" s="14" t="s">
        <v>158</v>
      </c>
      <c r="D108" s="14" t="s">
        <v>197</v>
      </c>
      <c r="E108" s="15" t="str">
        <f>HYPERLINK("https://stat100.ameba.jp/tnk47/ratio20/illustrations/card/ill_76113_jannudaruku03.jpg?201811-2-RELEASE-unionbattle-378x", "■")</f>
        <v>■</v>
      </c>
      <c r="F108" s="14" t="s">
        <v>572</v>
      </c>
      <c r="G108" s="14">
        <v>90574</v>
      </c>
      <c r="H108" s="14">
        <v>84214</v>
      </c>
      <c r="I108" s="14">
        <v>21</v>
      </c>
      <c r="J108" s="14" t="s">
        <v>173</v>
      </c>
      <c r="K108" s="14" t="s">
        <v>198</v>
      </c>
      <c r="L108" s="14" t="s">
        <v>13136</v>
      </c>
      <c r="M108" s="14" t="s">
        <v>9158</v>
      </c>
      <c r="N108" s="14" t="s">
        <v>9158</v>
      </c>
      <c r="O108" s="14" t="s">
        <v>9158</v>
      </c>
      <c r="P108" s="14" t="s">
        <v>9158</v>
      </c>
      <c r="Q108" s="14" t="s">
        <v>9158</v>
      </c>
      <c r="R108" s="14"/>
    </row>
    <row r="109" spans="1:18">
      <c r="A109" s="9">
        <v>60983</v>
      </c>
      <c r="B109" s="14" t="s">
        <v>334</v>
      </c>
      <c r="C109" s="14" t="s">
        <v>205</v>
      </c>
      <c r="D109" s="14" t="s">
        <v>1352</v>
      </c>
      <c r="E109" s="15" t="str">
        <f>HYPERLINK("https://stat100.ameba.jp/tnk47/ratio20/illustrations/card/ill_60983_majutsushitsurunongaeshi03.jpg?201811-2-RELEASE-unionbattle-378x", "■")</f>
        <v>■</v>
      </c>
      <c r="F109" s="14" t="s">
        <v>1494</v>
      </c>
      <c r="G109" s="14">
        <v>95836</v>
      </c>
      <c r="H109" s="14">
        <v>88948</v>
      </c>
      <c r="I109" s="14">
        <v>21</v>
      </c>
      <c r="J109" s="14" t="s">
        <v>155</v>
      </c>
      <c r="K109" s="14" t="s">
        <v>1353</v>
      </c>
      <c r="L109" s="14" t="s">
        <v>13162</v>
      </c>
      <c r="M109" s="14" t="s">
        <v>9158</v>
      </c>
      <c r="N109" s="14" t="s">
        <v>9158</v>
      </c>
      <c r="O109" s="14" t="s">
        <v>9158</v>
      </c>
      <c r="P109" s="14" t="s">
        <v>9158</v>
      </c>
      <c r="Q109" s="14" t="s">
        <v>9158</v>
      </c>
      <c r="R109" s="14"/>
    </row>
    <row r="110" spans="1:18">
      <c r="A110" s="9">
        <v>59923</v>
      </c>
      <c r="B110" s="14" t="s">
        <v>334</v>
      </c>
      <c r="C110" s="14" t="s">
        <v>191</v>
      </c>
      <c r="D110" s="14" t="s">
        <v>1354</v>
      </c>
      <c r="E110" s="15" t="str">
        <f>HYPERLINK("https://stat100.ameba.jp/tnk47/ratio20/illustrations/card/ill_59923_yuseikuroyuridensetsu03.jpg?201811-2-RELEASE-unionbattle-378x", "■")</f>
        <v>■</v>
      </c>
      <c r="F110" s="14" t="s">
        <v>1495</v>
      </c>
      <c r="G110" s="14">
        <v>95836</v>
      </c>
      <c r="H110" s="14">
        <v>88948</v>
      </c>
      <c r="I110" s="14">
        <v>21</v>
      </c>
      <c r="J110" s="14" t="s">
        <v>155</v>
      </c>
      <c r="K110" s="14" t="s">
        <v>1355</v>
      </c>
      <c r="L110" s="14" t="s">
        <v>13163</v>
      </c>
      <c r="M110" s="14" t="s">
        <v>9158</v>
      </c>
      <c r="N110" s="14" t="s">
        <v>9158</v>
      </c>
      <c r="O110" s="14" t="s">
        <v>9158</v>
      </c>
      <c r="P110" s="14" t="s">
        <v>9158</v>
      </c>
      <c r="Q110" s="14" t="s">
        <v>9158</v>
      </c>
      <c r="R110" s="14"/>
    </row>
    <row r="111" spans="1:18">
      <c r="B111" s="14"/>
      <c r="C111" s="14"/>
      <c r="D111" s="14"/>
      <c r="F111" s="14"/>
      <c r="G111" s="14"/>
      <c r="H111" s="14"/>
      <c r="I111" s="14"/>
      <c r="J111" s="14"/>
      <c r="K111" s="14"/>
      <c r="L111" s="14"/>
      <c r="M111" s="14"/>
      <c r="N111" s="14"/>
      <c r="P111" s="14"/>
      <c r="Q111" s="14"/>
      <c r="R111" s="14"/>
    </row>
    <row r="112" spans="1:18">
      <c r="A112" s="14" t="s">
        <v>199</v>
      </c>
      <c r="D112" s="14"/>
      <c r="F112" s="14"/>
      <c r="G112" s="14"/>
      <c r="H112" s="14"/>
      <c r="I112" s="14"/>
      <c r="J112" s="14"/>
      <c r="K112" s="14"/>
      <c r="L112" s="14"/>
      <c r="M112" s="14"/>
      <c r="N112" s="14"/>
      <c r="P112" s="14"/>
      <c r="Q112" s="14"/>
      <c r="R112" s="14"/>
    </row>
    <row r="113" spans="1:18">
      <c r="A113" s="14" t="s">
        <v>1496</v>
      </c>
      <c r="B113" s="14"/>
      <c r="C113" s="14"/>
      <c r="D113" s="14"/>
      <c r="F113" s="14"/>
      <c r="G113" s="14"/>
      <c r="H113" s="14"/>
      <c r="I113" s="14"/>
      <c r="J113" s="14"/>
      <c r="K113" s="14"/>
      <c r="L113" s="14"/>
      <c r="M113" s="14"/>
      <c r="N113" s="14"/>
      <c r="P113" s="14"/>
      <c r="Q113" s="14"/>
      <c r="R113" s="14"/>
    </row>
    <row r="114" spans="1:18">
      <c r="A114" s="9" t="s">
        <v>5734</v>
      </c>
      <c r="B114" s="14" t="s">
        <v>330</v>
      </c>
      <c r="C114" s="14" t="s">
        <v>202</v>
      </c>
      <c r="D114" s="14" t="s">
        <v>2297</v>
      </c>
      <c r="E114" s="15" t="str">
        <f>HYPERLINK("https://stat100.ameba.jp/tnk47/ratio20/illustrations/card/ill_74593_0_natsuyuenchikoshihikari03.jpg?201811-3-RELEASE-dice-e-379", "■")</f>
        <v>■</v>
      </c>
      <c r="F114" s="14" t="s">
        <v>1498</v>
      </c>
      <c r="G114" s="14">
        <v>162496</v>
      </c>
      <c r="H114" s="14">
        <v>151067</v>
      </c>
      <c r="I114" s="14">
        <v>15</v>
      </c>
      <c r="J114" s="14" t="s">
        <v>283</v>
      </c>
      <c r="K114" s="14" t="s">
        <v>1499</v>
      </c>
      <c r="L114" s="14" t="s">
        <v>1500</v>
      </c>
      <c r="M114" s="14" t="s">
        <v>9158</v>
      </c>
      <c r="N114" s="14" t="s">
        <v>9158</v>
      </c>
      <c r="O114" s="9" t="s">
        <v>2731</v>
      </c>
      <c r="P114" s="14" t="s">
        <v>2732</v>
      </c>
      <c r="Q114" s="14">
        <v>1</v>
      </c>
      <c r="R114" s="14"/>
    </row>
    <row r="115" spans="1:18">
      <c r="A115" s="9" t="s">
        <v>5724</v>
      </c>
      <c r="B115" s="14" t="s">
        <v>330</v>
      </c>
      <c r="C115" s="14" t="s">
        <v>335</v>
      </c>
      <c r="D115" s="14" t="s">
        <v>698</v>
      </c>
      <c r="E115" s="15" t="str">
        <f>HYPERLINK("https://stat100.ameba.jp/tnk47/ratio20/illustrations/card/ill_66433_0_haroinfujishirogozen03.jpg?201811-3-RELEASE-dice-e-379", "■")</f>
        <v>■</v>
      </c>
      <c r="F115" s="14" t="s">
        <v>699</v>
      </c>
      <c r="G115" s="14">
        <v>91807</v>
      </c>
      <c r="H115" s="14">
        <v>98751</v>
      </c>
      <c r="I115" s="14">
        <v>15</v>
      </c>
      <c r="J115" s="14" t="s">
        <v>315</v>
      </c>
      <c r="K115" s="14" t="s">
        <v>700</v>
      </c>
      <c r="L115" s="14" t="s">
        <v>701</v>
      </c>
      <c r="M115" s="14" t="s">
        <v>9158</v>
      </c>
      <c r="N115" s="14" t="s">
        <v>9158</v>
      </c>
      <c r="O115" s="17" t="s">
        <v>10062</v>
      </c>
      <c r="P115" s="14" t="s">
        <v>3345</v>
      </c>
      <c r="Q115" s="14">
        <v>1</v>
      </c>
      <c r="R115" s="14"/>
    </row>
    <row r="116" spans="1:18">
      <c r="A116" s="9" t="s">
        <v>5820</v>
      </c>
      <c r="B116" s="14" t="s">
        <v>330</v>
      </c>
      <c r="C116" s="14" t="s">
        <v>271</v>
      </c>
      <c r="D116" s="14" t="s">
        <v>2346</v>
      </c>
      <c r="E116" s="15" t="str">
        <f>HYPERLINK("https://stat100.ameba.jp/tnk47/ratio20/illustrations/card/ill_48283_0_kyuubitamamonomae03.jpg?201811-3-RELEASE-dice-e-379", "■")</f>
        <v>■</v>
      </c>
      <c r="F116" s="14" t="s">
        <v>631</v>
      </c>
      <c r="G116" s="14">
        <v>94236</v>
      </c>
      <c r="H116" s="14">
        <v>83712</v>
      </c>
      <c r="I116" s="14">
        <v>15</v>
      </c>
      <c r="J116" s="14" t="s">
        <v>320</v>
      </c>
      <c r="K116" s="14" t="s">
        <v>632</v>
      </c>
      <c r="L116" s="14" t="s">
        <v>633</v>
      </c>
      <c r="M116" s="14" t="s">
        <v>9158</v>
      </c>
      <c r="N116" s="14" t="s">
        <v>9158</v>
      </c>
      <c r="O116" s="14" t="s">
        <v>9158</v>
      </c>
      <c r="P116" s="14" t="s">
        <v>9158</v>
      </c>
      <c r="Q116" s="14" t="s">
        <v>9158</v>
      </c>
      <c r="R116" s="14"/>
    </row>
    <row r="117" spans="1:18">
      <c r="A117" s="9">
        <v>51253</v>
      </c>
      <c r="B117" s="14" t="s">
        <v>334</v>
      </c>
      <c r="C117" s="14" t="s">
        <v>263</v>
      </c>
      <c r="D117" s="14" t="s">
        <v>3881</v>
      </c>
      <c r="E117" s="15" t="str">
        <f>HYPERLINK("https://stat100.ameba.jp/tnk47/ratio20/illustrations/card/ill_51253_baretsurunongaeshi03.jpg?201811-3-RELEASE-dice-e-379", "■")</f>
        <v>■</v>
      </c>
      <c r="F117" s="14" t="s">
        <v>1501</v>
      </c>
      <c r="G117" s="14">
        <v>78838</v>
      </c>
      <c r="H117" s="14">
        <v>84796</v>
      </c>
      <c r="I117" s="14">
        <v>22</v>
      </c>
      <c r="J117" s="14" t="s">
        <v>274</v>
      </c>
      <c r="K117" s="14" t="s">
        <v>1502</v>
      </c>
      <c r="L117" s="14" t="s">
        <v>1503</v>
      </c>
      <c r="M117" s="14" t="s">
        <v>9158</v>
      </c>
      <c r="N117" s="14" t="s">
        <v>9158</v>
      </c>
      <c r="O117" s="14" t="s">
        <v>9158</v>
      </c>
      <c r="P117" s="14" t="s">
        <v>9158</v>
      </c>
      <c r="Q117" s="14" t="s">
        <v>9158</v>
      </c>
      <c r="R117" s="14"/>
    </row>
    <row r="118" spans="1:18">
      <c r="A118" s="9">
        <v>53193</v>
      </c>
      <c r="B118" s="14" t="s">
        <v>334</v>
      </c>
      <c r="C118" s="14" t="s">
        <v>1356</v>
      </c>
      <c r="D118" s="14" t="s">
        <v>3882</v>
      </c>
      <c r="E118" s="15" t="str">
        <f>HYPERLINK("https://stat100.ameba.jp/tnk47/ratio20/illustrations/card/ill_53193_reimbokakigorichan03.jpg?201811-3-RELEASE-dice-e-379", "■")</f>
        <v>■</v>
      </c>
      <c r="F118" s="14" t="s">
        <v>1504</v>
      </c>
      <c r="G118" s="14">
        <v>84796</v>
      </c>
      <c r="H118" s="14">
        <v>78838</v>
      </c>
      <c r="I118" s="14">
        <v>22</v>
      </c>
      <c r="J118" s="14" t="s">
        <v>283</v>
      </c>
      <c r="K118" s="14" t="s">
        <v>1505</v>
      </c>
      <c r="L118" s="14" t="s">
        <v>1506</v>
      </c>
      <c r="M118" s="14" t="s">
        <v>9158</v>
      </c>
      <c r="N118" s="14" t="s">
        <v>9158</v>
      </c>
      <c r="O118" s="14" t="s">
        <v>9158</v>
      </c>
      <c r="P118" s="14" t="s">
        <v>9158</v>
      </c>
      <c r="Q118" s="14" t="s">
        <v>9158</v>
      </c>
      <c r="R118" s="14"/>
    </row>
    <row r="119" spans="1:18">
      <c r="A119" s="9">
        <v>51803</v>
      </c>
      <c r="B119" s="14" t="s">
        <v>334</v>
      </c>
      <c r="C119" s="14" t="s">
        <v>335</v>
      </c>
      <c r="D119" s="14" t="s">
        <v>3883</v>
      </c>
      <c r="E119" s="15" t="str">
        <f>HYPERLINK("https://stat100.ameba.jp/tnk47/ratio20/illustrations/card/ill_51803_jukifujiwaranokiyohira03.jpg?201811-3-RELEASE-dice-e-379", "■")</f>
        <v>■</v>
      </c>
      <c r="F119" s="14" t="s">
        <v>1507</v>
      </c>
      <c r="G119" s="14">
        <v>84796</v>
      </c>
      <c r="H119" s="14">
        <v>78838</v>
      </c>
      <c r="I119" s="14">
        <v>22</v>
      </c>
      <c r="J119" s="14" t="s">
        <v>351</v>
      </c>
      <c r="K119" s="14" t="s">
        <v>1508</v>
      </c>
      <c r="L119" s="14" t="s">
        <v>1509</v>
      </c>
      <c r="M119" s="14" t="s">
        <v>9158</v>
      </c>
      <c r="N119" s="14" t="s">
        <v>9158</v>
      </c>
      <c r="O119" s="9" t="s">
        <v>3884</v>
      </c>
      <c r="P119" s="14" t="s">
        <v>13124</v>
      </c>
      <c r="Q119" s="14">
        <v>1</v>
      </c>
      <c r="R119" s="14"/>
    </row>
    <row r="120" spans="1:18">
      <c r="B120" s="14"/>
      <c r="C120" s="14"/>
      <c r="D120" s="14"/>
      <c r="F120" s="14"/>
      <c r="G120" s="14"/>
      <c r="H120" s="14"/>
      <c r="I120" s="14"/>
      <c r="J120" s="14"/>
      <c r="K120" s="14"/>
      <c r="L120" s="14"/>
      <c r="M120" s="14"/>
      <c r="N120" s="14"/>
      <c r="P120" s="14"/>
      <c r="Q120" s="14"/>
      <c r="R120" s="14"/>
    </row>
    <row r="121" spans="1:18">
      <c r="A121" s="14" t="s">
        <v>1357</v>
      </c>
      <c r="D121" s="14"/>
      <c r="F121" s="14"/>
      <c r="G121" s="14"/>
      <c r="H121" s="14"/>
      <c r="I121" s="14"/>
      <c r="J121" s="14"/>
      <c r="K121" s="14"/>
      <c r="L121" s="14"/>
      <c r="M121" s="14"/>
      <c r="N121" s="14"/>
      <c r="P121" s="14"/>
      <c r="Q121" s="14"/>
      <c r="R121" s="14"/>
    </row>
    <row r="122" spans="1:18">
      <c r="A122" s="14" t="s">
        <v>1510</v>
      </c>
      <c r="C122" s="14"/>
      <c r="D122" s="14"/>
      <c r="F122" s="14"/>
      <c r="G122" s="14"/>
      <c r="H122" s="14"/>
      <c r="I122" s="14"/>
      <c r="J122" s="14"/>
      <c r="K122" s="14"/>
      <c r="L122" s="14"/>
      <c r="M122" s="14"/>
      <c r="N122" s="14"/>
      <c r="P122" s="14"/>
      <c r="Q122" s="14"/>
      <c r="R122" s="14"/>
    </row>
    <row r="123" spans="1:18">
      <c r="A123" s="9" t="s">
        <v>5617</v>
      </c>
      <c r="B123" s="14" t="s">
        <v>330</v>
      </c>
      <c r="C123" s="14" t="s">
        <v>308</v>
      </c>
      <c r="D123" s="14" t="s">
        <v>385</v>
      </c>
      <c r="E123" s="15" t="str">
        <f>HYPERLINK("https://stat100.ameba.jp/tnk47/ratio20/illustrations/card/ill_59673_0_oheyashutendoji03.jpg?201811-3-RELEASE-dice-e-379", "■")</f>
        <v>■</v>
      </c>
      <c r="F123" s="14" t="s">
        <v>386</v>
      </c>
      <c r="G123" s="14">
        <v>105545</v>
      </c>
      <c r="H123" s="14">
        <v>105545</v>
      </c>
      <c r="I123" s="14">
        <v>15</v>
      </c>
      <c r="J123" s="14" t="s">
        <v>320</v>
      </c>
      <c r="K123" s="14" t="s">
        <v>387</v>
      </c>
      <c r="L123" s="14" t="s">
        <v>388</v>
      </c>
      <c r="M123" s="14" t="s">
        <v>9158</v>
      </c>
      <c r="N123" s="14" t="s">
        <v>9158</v>
      </c>
      <c r="O123" s="17" t="s">
        <v>10058</v>
      </c>
      <c r="P123" s="14" t="s">
        <v>3022</v>
      </c>
      <c r="Q123" s="14">
        <v>1</v>
      </c>
      <c r="R123" s="14"/>
    </row>
    <row r="124" spans="1:18">
      <c r="A124" s="9" t="s">
        <v>5609</v>
      </c>
      <c r="B124" s="14" t="s">
        <v>330</v>
      </c>
      <c r="C124" s="14" t="s">
        <v>271</v>
      </c>
      <c r="D124" s="14" t="s">
        <v>389</v>
      </c>
      <c r="E124" s="15" t="str">
        <f>HYPERLINK("https://stat100.ameba.jp/tnk47/ratio20/illustrations/card/ill_53753_0_natsumatsuritokugawaieyasu03.jpg?201811-3-RELEASE-dice-e-379", "■")</f>
        <v>■</v>
      </c>
      <c r="F124" s="14" t="s">
        <v>390</v>
      </c>
      <c r="G124" s="14">
        <v>94236</v>
      </c>
      <c r="H124" s="14">
        <v>83712</v>
      </c>
      <c r="I124" s="14">
        <v>15</v>
      </c>
      <c r="J124" s="14" t="s">
        <v>310</v>
      </c>
      <c r="K124" s="14" t="s">
        <v>391</v>
      </c>
      <c r="L124" s="14" t="s">
        <v>392</v>
      </c>
      <c r="M124" s="14" t="s">
        <v>9158</v>
      </c>
      <c r="N124" s="14" t="s">
        <v>9158</v>
      </c>
      <c r="O124" s="17" t="s">
        <v>10052</v>
      </c>
      <c r="P124" s="14" t="s">
        <v>13121</v>
      </c>
      <c r="Q124" s="14">
        <v>1</v>
      </c>
      <c r="R124" s="14"/>
    </row>
    <row r="125" spans="1:18">
      <c r="A125" s="9" t="s">
        <v>9473</v>
      </c>
      <c r="B125" s="14" t="s">
        <v>330</v>
      </c>
      <c r="C125" s="14" t="s">
        <v>307</v>
      </c>
      <c r="D125" s="14" t="s">
        <v>393</v>
      </c>
      <c r="E125" s="15" t="str">
        <f>HYPERLINK("https://stat100.ameba.jp/tnk47/ratio20/illustrations/card/ill_46283_0_odanobunaga03.jpg?201811-3-RELEASE-dice-e-379", "■")</f>
        <v>■</v>
      </c>
      <c r="F125" s="14" t="s">
        <v>394</v>
      </c>
      <c r="G125" s="14">
        <v>82212</v>
      </c>
      <c r="H125" s="14">
        <v>87780</v>
      </c>
      <c r="I125" s="14">
        <v>15</v>
      </c>
      <c r="J125" s="14" t="s">
        <v>310</v>
      </c>
      <c r="K125" s="14" t="s">
        <v>395</v>
      </c>
      <c r="L125" s="14" t="s">
        <v>396</v>
      </c>
      <c r="M125" s="14" t="s">
        <v>9158</v>
      </c>
      <c r="N125" s="14" t="s">
        <v>9158</v>
      </c>
      <c r="O125" s="14" t="s">
        <v>9158</v>
      </c>
      <c r="P125" s="14" t="s">
        <v>9158</v>
      </c>
      <c r="Q125" s="14" t="s">
        <v>9158</v>
      </c>
      <c r="R125" s="14"/>
    </row>
    <row r="126" spans="1:18">
      <c r="A126" s="9">
        <v>77743</v>
      </c>
      <c r="B126" s="14" t="s">
        <v>334</v>
      </c>
      <c r="C126" s="14" t="s">
        <v>269</v>
      </c>
      <c r="D126" s="14" t="s">
        <v>3857</v>
      </c>
      <c r="E126" s="15" t="str">
        <f>HYPERLINK("https://stat100.ameba.jp/tnk47/ratio20/illustrations/card/ill_77743_kaerude03.jpg?201811-3-RELEASE-dice-e-379", "■")</f>
        <v>■</v>
      </c>
      <c r="F126" s="14" t="s">
        <v>494</v>
      </c>
      <c r="G126" s="14">
        <v>69648</v>
      </c>
      <c r="H126" s="14">
        <v>123760</v>
      </c>
      <c r="I126" s="14">
        <v>22</v>
      </c>
      <c r="J126" s="14" t="s">
        <v>369</v>
      </c>
      <c r="K126" s="14" t="s">
        <v>495</v>
      </c>
      <c r="L126" s="14" t="s">
        <v>496</v>
      </c>
      <c r="M126" s="14" t="s">
        <v>9158</v>
      </c>
      <c r="N126" s="14" t="s">
        <v>9158</v>
      </c>
      <c r="O126" s="14" t="s">
        <v>9158</v>
      </c>
      <c r="P126" s="14" t="s">
        <v>9158</v>
      </c>
      <c r="Q126" s="14" t="s">
        <v>9158</v>
      </c>
      <c r="R126" s="14"/>
    </row>
    <row r="127" spans="1:18">
      <c r="A127" s="9">
        <v>75973</v>
      </c>
      <c r="B127" s="14" t="s">
        <v>334</v>
      </c>
      <c r="C127" s="14" t="s">
        <v>268</v>
      </c>
      <c r="D127" s="14" t="s">
        <v>1511</v>
      </c>
      <c r="E127" s="15" t="str">
        <f>HYPERLINK("https://stat100.ameba.jp/tnk47/ratio20/illustrations/card/ill_75973_hojonomegamifuriggu03.jpg?201811-3-RELEASE-dice-e-379", "■")</f>
        <v>■</v>
      </c>
      <c r="F127" s="14" t="s">
        <v>1512</v>
      </c>
      <c r="G127" s="14">
        <v>90870</v>
      </c>
      <c r="H127" s="14">
        <v>161516</v>
      </c>
      <c r="I127" s="14">
        <v>22</v>
      </c>
      <c r="J127" s="14" t="s">
        <v>283</v>
      </c>
      <c r="K127" s="14" t="s">
        <v>1513</v>
      </c>
      <c r="L127" s="14" t="s">
        <v>1514</v>
      </c>
      <c r="M127" s="14" t="s">
        <v>9158</v>
      </c>
      <c r="N127" s="14" t="s">
        <v>9158</v>
      </c>
      <c r="O127" s="14" t="s">
        <v>9158</v>
      </c>
      <c r="P127" s="14" t="s">
        <v>9158</v>
      </c>
      <c r="Q127" s="14" t="s">
        <v>9158</v>
      </c>
      <c r="R127" s="14"/>
    </row>
    <row r="128" spans="1:18">
      <c r="A128" s="9">
        <v>77753</v>
      </c>
      <c r="B128" s="14" t="s">
        <v>334</v>
      </c>
      <c r="C128" s="14" t="s">
        <v>269</v>
      </c>
      <c r="D128" s="14" t="s">
        <v>1515</v>
      </c>
      <c r="E128" s="15" t="str">
        <f>HYPERLINK("https://stat100.ameba.jp/tnk47/ratio20/illustrations/card/ill_77753_sekiennotorisu03.jpg?201811-3-RELEASE-dice-e-379", "■")</f>
        <v>■</v>
      </c>
      <c r="F128" s="14" t="s">
        <v>1516</v>
      </c>
      <c r="G128" s="14">
        <v>161516</v>
      </c>
      <c r="H128" s="14">
        <v>90870</v>
      </c>
      <c r="I128" s="14">
        <v>22</v>
      </c>
      <c r="J128" s="14" t="s">
        <v>310</v>
      </c>
      <c r="K128" s="14" t="s">
        <v>1517</v>
      </c>
      <c r="L128" s="14" t="s">
        <v>443</v>
      </c>
      <c r="M128" s="14" t="s">
        <v>9158</v>
      </c>
      <c r="N128" s="14" t="s">
        <v>9158</v>
      </c>
      <c r="O128" s="14" t="s">
        <v>9158</v>
      </c>
      <c r="P128" s="14" t="s">
        <v>9158</v>
      </c>
      <c r="Q128" s="14" t="s">
        <v>9158</v>
      </c>
      <c r="R128" s="14"/>
    </row>
    <row r="129" spans="1:18">
      <c r="A129" s="9">
        <v>61883</v>
      </c>
      <c r="B129" s="14" t="s">
        <v>348</v>
      </c>
      <c r="C129" s="14" t="s">
        <v>267</v>
      </c>
      <c r="D129" s="14" t="s">
        <v>1518</v>
      </c>
      <c r="E129" s="15" t="str">
        <f>HYPERLINK("https://stat100.ameba.jp/tnk47/ratio20/illustrations/card/ill_61883_onikirishukurohime03.jpg?201811-3-RELEASE-dice-e-379", "■")</f>
        <v>■</v>
      </c>
      <c r="F129" s="14" t="s">
        <v>1519</v>
      </c>
      <c r="G129" s="14">
        <v>56456</v>
      </c>
      <c r="H129" s="14">
        <v>62244</v>
      </c>
      <c r="I129" s="14">
        <v>21</v>
      </c>
      <c r="J129" s="14" t="s">
        <v>414</v>
      </c>
      <c r="K129" s="14" t="s">
        <v>1520</v>
      </c>
      <c r="L129" s="14" t="s">
        <v>1521</v>
      </c>
      <c r="M129" s="14" t="s">
        <v>9158</v>
      </c>
      <c r="N129" s="14" t="s">
        <v>9158</v>
      </c>
      <c r="O129" s="14" t="s">
        <v>9158</v>
      </c>
      <c r="P129" s="14" t="s">
        <v>9158</v>
      </c>
      <c r="Q129" s="14" t="s">
        <v>9158</v>
      </c>
      <c r="R129" s="14"/>
    </row>
    <row r="130" spans="1:18">
      <c r="A130" s="9">
        <v>60953</v>
      </c>
      <c r="B130" s="14" t="s">
        <v>348</v>
      </c>
      <c r="C130" s="14" t="s">
        <v>307</v>
      </c>
      <c r="D130" s="14" t="s">
        <v>1522</v>
      </c>
      <c r="E130" s="15" t="str">
        <f>HYPERLINK("https://stat100.ameba.jp/tnk47/ratio20/illustrations/card/ill_60953_sukurugaruikedasen03.jpg?201811-3-RELEASE-dice-e-379", "■")</f>
        <v>■</v>
      </c>
      <c r="F130" s="14" t="s">
        <v>1523</v>
      </c>
      <c r="G130" s="14">
        <v>62244</v>
      </c>
      <c r="H130" s="14">
        <v>56456</v>
      </c>
      <c r="I130" s="14">
        <v>21</v>
      </c>
      <c r="J130" s="14" t="s">
        <v>310</v>
      </c>
      <c r="K130" s="14" t="s">
        <v>1524</v>
      </c>
      <c r="L130" s="14" t="s">
        <v>1525</v>
      </c>
      <c r="M130" s="14" t="s">
        <v>9158</v>
      </c>
      <c r="N130" s="14" t="s">
        <v>9158</v>
      </c>
      <c r="O130" s="14" t="s">
        <v>9158</v>
      </c>
      <c r="P130" s="14" t="s">
        <v>9158</v>
      </c>
      <c r="Q130" s="14" t="s">
        <v>9158</v>
      </c>
      <c r="R130" s="14"/>
    </row>
    <row r="131" spans="1:18">
      <c r="A131" s="9">
        <v>59873</v>
      </c>
      <c r="B131" s="14" t="s">
        <v>348</v>
      </c>
      <c r="C131" s="14" t="s">
        <v>271</v>
      </c>
      <c r="D131" s="14" t="s">
        <v>1526</v>
      </c>
      <c r="E131" s="15" t="str">
        <f>HYPERLINK("https://stat100.ameba.jp/tnk47/ratio20/illustrations/card/ill_59873_yoseinakajimautako03.jpg?201811-3-RELEASE-dice-e-379", "■")</f>
        <v>■</v>
      </c>
      <c r="F131" s="14" t="s">
        <v>1527</v>
      </c>
      <c r="G131" s="14">
        <v>62244</v>
      </c>
      <c r="H131" s="14">
        <v>56456</v>
      </c>
      <c r="I131" s="14">
        <v>21</v>
      </c>
      <c r="J131" s="14" t="s">
        <v>351</v>
      </c>
      <c r="K131" s="14" t="s">
        <v>1528</v>
      </c>
      <c r="L131" s="14" t="s">
        <v>473</v>
      </c>
      <c r="M131" s="14" t="s">
        <v>9158</v>
      </c>
      <c r="N131" s="14" t="s">
        <v>9158</v>
      </c>
      <c r="O131" s="14" t="s">
        <v>9158</v>
      </c>
      <c r="P131" s="14" t="s">
        <v>9158</v>
      </c>
      <c r="Q131" s="14" t="s">
        <v>9158</v>
      </c>
      <c r="R131" s="14"/>
    </row>
    <row r="132" spans="1:18">
      <c r="B132" s="14"/>
      <c r="C132" s="14"/>
      <c r="D132" s="14"/>
      <c r="F132" s="14"/>
      <c r="G132" s="14"/>
      <c r="H132" s="14"/>
      <c r="I132" s="14"/>
      <c r="J132" s="14"/>
      <c r="K132" s="14"/>
      <c r="L132" s="14"/>
      <c r="M132" s="14"/>
      <c r="N132" s="14"/>
      <c r="P132" s="14"/>
      <c r="Q132" s="14"/>
      <c r="R132" s="14"/>
    </row>
    <row r="133" spans="1:18">
      <c r="A133" s="14" t="s">
        <v>1358</v>
      </c>
      <c r="D133" s="14"/>
      <c r="F133" s="14"/>
      <c r="G133" s="14"/>
      <c r="H133" s="14"/>
      <c r="I133" s="14"/>
      <c r="J133" s="14"/>
      <c r="K133" s="14"/>
      <c r="L133" s="14"/>
      <c r="M133" s="14"/>
      <c r="N133" s="14"/>
      <c r="P133" s="14"/>
      <c r="Q133" s="14"/>
      <c r="R133" s="14"/>
    </row>
    <row r="134" spans="1:18">
      <c r="A134" s="14" t="s">
        <v>7885</v>
      </c>
      <c r="D134" s="14"/>
      <c r="F134" s="14"/>
      <c r="G134" s="14"/>
      <c r="H134" s="14"/>
      <c r="I134" s="14"/>
      <c r="J134" s="14"/>
      <c r="K134" s="14"/>
      <c r="L134" s="14"/>
      <c r="M134" s="14"/>
      <c r="N134" s="14"/>
      <c r="P134" s="14"/>
      <c r="Q134" s="14"/>
      <c r="R134" s="14"/>
    </row>
    <row r="135" spans="1:18">
      <c r="A135" s="14" t="s">
        <v>7884</v>
      </c>
      <c r="C135" s="14"/>
      <c r="D135" s="14"/>
      <c r="F135" s="14"/>
      <c r="G135" s="14"/>
      <c r="H135" s="14"/>
      <c r="I135" s="14"/>
      <c r="J135" s="14"/>
      <c r="K135" s="14"/>
      <c r="L135" s="14"/>
      <c r="M135" s="14"/>
      <c r="N135" s="14"/>
      <c r="P135" s="14"/>
      <c r="Q135" s="14"/>
      <c r="R135" s="14"/>
    </row>
    <row r="136" spans="1:18">
      <c r="A136" s="9" t="s">
        <v>5891</v>
      </c>
      <c r="B136" s="14" t="s">
        <v>330</v>
      </c>
      <c r="C136" s="14" t="s">
        <v>202</v>
      </c>
      <c r="D136" s="14" t="s">
        <v>1371</v>
      </c>
      <c r="E136" s="15" t="str">
        <f>HYPERLINK("https://stat100.ameba.jp/tnk47/ratio20/illustrations/card/ill_77173_0_yukemuritomoegozen03.jpg?201811-3-RELEASE-dice-e-379", "■")</f>
        <v>■</v>
      </c>
      <c r="F136" s="14" t="s">
        <v>1372</v>
      </c>
      <c r="G136" s="14">
        <v>150366</v>
      </c>
      <c r="H136" s="14">
        <v>166369</v>
      </c>
      <c r="I136" s="14">
        <v>15</v>
      </c>
      <c r="J136" s="14" t="s">
        <v>310</v>
      </c>
      <c r="K136" s="14" t="s">
        <v>1373</v>
      </c>
      <c r="L136" s="14" t="s">
        <v>1374</v>
      </c>
      <c r="M136" s="14" t="s">
        <v>9158</v>
      </c>
      <c r="N136" s="14" t="s">
        <v>9158</v>
      </c>
      <c r="O136" s="9" t="s">
        <v>3878</v>
      </c>
      <c r="P136" s="14" t="s">
        <v>3879</v>
      </c>
      <c r="Q136" s="14">
        <v>2</v>
      </c>
      <c r="R136" s="14"/>
    </row>
    <row r="137" spans="1:18">
      <c r="A137" s="9">
        <v>77353</v>
      </c>
      <c r="B137" s="14" t="s">
        <v>334</v>
      </c>
      <c r="C137" s="14" t="s">
        <v>200</v>
      </c>
      <c r="D137" s="14" t="s">
        <v>3885</v>
      </c>
      <c r="E137" s="15" t="str">
        <f>HYPERLINK("https://stat100.ameba.jp/tnk47/ratio20/illustrations/card/ill_77353_chayamusumekandamatsuri03.jpg?201811-3-RELEASE-dice-e-379", "■")</f>
        <v>■</v>
      </c>
      <c r="F137" s="14" t="s">
        <v>1530</v>
      </c>
      <c r="G137" s="14">
        <v>95668</v>
      </c>
      <c r="H137" s="14">
        <v>88948</v>
      </c>
      <c r="I137" s="14">
        <v>21</v>
      </c>
      <c r="J137" s="14" t="s">
        <v>369</v>
      </c>
      <c r="K137" s="14" t="s">
        <v>1531</v>
      </c>
      <c r="L137" s="14" t="s">
        <v>1532</v>
      </c>
      <c r="M137" s="14" t="s">
        <v>9158</v>
      </c>
      <c r="N137" s="14" t="s">
        <v>9158</v>
      </c>
      <c r="O137" s="14" t="s">
        <v>9158</v>
      </c>
      <c r="P137" s="14" t="s">
        <v>9158</v>
      </c>
      <c r="Q137" s="14" t="s">
        <v>9158</v>
      </c>
      <c r="R137" s="14"/>
    </row>
    <row r="138" spans="1:18">
      <c r="A138" s="9">
        <v>77363</v>
      </c>
      <c r="B138" s="14" t="s">
        <v>348</v>
      </c>
      <c r="C138" s="14" t="s">
        <v>185</v>
      </c>
      <c r="D138" s="14" t="s">
        <v>1533</v>
      </c>
      <c r="E138" s="15" t="str">
        <f>HYPERLINK("https://stat100.ameba.jp/tnk47/ratio20/illustrations/card/ill_77363_samonchan03.jpg?201811-3-RELEASE-dice-e-379", "■")</f>
        <v>■</v>
      </c>
      <c r="F138" s="14" t="s">
        <v>1534</v>
      </c>
      <c r="G138" s="14">
        <v>62244</v>
      </c>
      <c r="H138" s="14">
        <v>56456</v>
      </c>
      <c r="I138" s="14">
        <v>21</v>
      </c>
      <c r="J138" s="14" t="s">
        <v>283</v>
      </c>
      <c r="K138" s="14" t="s">
        <v>1535</v>
      </c>
      <c r="L138" s="14" t="s">
        <v>1536</v>
      </c>
      <c r="M138" s="14" t="s">
        <v>9158</v>
      </c>
      <c r="N138" s="14" t="s">
        <v>9158</v>
      </c>
      <c r="O138" s="14" t="s">
        <v>9158</v>
      </c>
      <c r="P138" s="14" t="s">
        <v>9158</v>
      </c>
      <c r="Q138" s="14" t="s">
        <v>9158</v>
      </c>
      <c r="R138" s="14"/>
    </row>
    <row r="139" spans="1:18">
      <c r="A139" s="9">
        <v>77373</v>
      </c>
      <c r="B139" s="14" t="s">
        <v>362</v>
      </c>
      <c r="C139" s="14" t="s">
        <v>206</v>
      </c>
      <c r="D139" s="14" t="s">
        <v>1537</v>
      </c>
      <c r="E139" s="15" t="str">
        <f>HYPERLINK("https://stat100.ameba.jp/tnk47/ratio20/illustrations/card/ill_77373_ryorankorikitadafusa03.jpg?201811-3-RELEASE-dice-e-379", "■")</f>
        <v>■</v>
      </c>
      <c r="F139" s="14" t="s">
        <v>1538</v>
      </c>
      <c r="G139" s="14">
        <v>36304</v>
      </c>
      <c r="H139" s="14">
        <v>43662</v>
      </c>
      <c r="I139" s="14">
        <v>21</v>
      </c>
      <c r="J139" s="14" t="s">
        <v>310</v>
      </c>
      <c r="K139" s="14" t="s">
        <v>1539</v>
      </c>
      <c r="L139" s="14" t="s">
        <v>1540</v>
      </c>
      <c r="M139" s="14" t="s">
        <v>9158</v>
      </c>
      <c r="N139" s="14" t="s">
        <v>9158</v>
      </c>
      <c r="O139" s="14" t="s">
        <v>9158</v>
      </c>
      <c r="P139" s="14" t="s">
        <v>9158</v>
      </c>
      <c r="Q139" s="14" t="s">
        <v>9158</v>
      </c>
      <c r="R139" s="14"/>
    </row>
    <row r="140" spans="1:18">
      <c r="A140" s="9">
        <v>77383</v>
      </c>
      <c r="B140" s="14" t="s">
        <v>372</v>
      </c>
      <c r="C140" s="14" t="s">
        <v>205</v>
      </c>
      <c r="D140" s="14" t="s">
        <v>1541</v>
      </c>
      <c r="E140" s="15" t="str">
        <f>HYPERLINK("https://stat100.ameba.jp/tnk47/ratio20/illustrations/card/ill_77383_yamaguchiwain03.jpg?201811-3-RELEASE-dice-e-379", "■")</f>
        <v>■</v>
      </c>
      <c r="F140" s="14" t="s">
        <v>1542</v>
      </c>
      <c r="G140" s="14">
        <v>26434</v>
      </c>
      <c r="H140" s="14">
        <v>22200</v>
      </c>
      <c r="I140" s="14">
        <v>21</v>
      </c>
      <c r="J140" s="14" t="s">
        <v>283</v>
      </c>
      <c r="K140" s="14" t="s">
        <v>1543</v>
      </c>
      <c r="L140" s="14" t="s">
        <v>1544</v>
      </c>
      <c r="M140" s="14" t="s">
        <v>9158</v>
      </c>
      <c r="N140" s="14" t="s">
        <v>9158</v>
      </c>
      <c r="O140" s="14" t="s">
        <v>9158</v>
      </c>
      <c r="P140" s="14" t="s">
        <v>9158</v>
      </c>
      <c r="Q140" s="14" t="s">
        <v>9158</v>
      </c>
      <c r="R140" s="14"/>
    </row>
    <row r="141" spans="1:18">
      <c r="B141" s="14"/>
      <c r="C141" s="14"/>
      <c r="D141" s="14"/>
      <c r="F141" s="14"/>
      <c r="G141" s="14"/>
      <c r="H141" s="14"/>
      <c r="I141" s="14"/>
      <c r="J141" s="14"/>
      <c r="K141" s="14"/>
      <c r="L141" s="14"/>
      <c r="M141" s="14"/>
      <c r="N141" s="14"/>
      <c r="P141" s="14"/>
      <c r="Q141" s="14"/>
      <c r="R141" s="14"/>
    </row>
    <row r="142" spans="1:18">
      <c r="A142" s="14" t="s">
        <v>13333</v>
      </c>
      <c r="D142" s="14"/>
      <c r="F142" s="14"/>
      <c r="G142" s="14"/>
      <c r="H142" s="14"/>
      <c r="I142" s="14"/>
      <c r="J142" s="14"/>
      <c r="K142" s="14"/>
      <c r="L142" s="14"/>
      <c r="M142" s="14"/>
      <c r="N142" s="14"/>
      <c r="P142" s="14"/>
      <c r="Q142" s="14"/>
      <c r="R142" s="14"/>
    </row>
    <row r="143" spans="1:18">
      <c r="A143" s="14" t="s">
        <v>1545</v>
      </c>
      <c r="C143" s="14"/>
      <c r="D143" s="14"/>
      <c r="F143" s="14"/>
      <c r="G143" s="14"/>
      <c r="H143" s="14"/>
      <c r="I143" s="14"/>
      <c r="J143" s="14"/>
      <c r="K143" s="14"/>
      <c r="L143" s="14"/>
      <c r="M143" s="14"/>
      <c r="N143" s="14"/>
      <c r="P143" s="14"/>
      <c r="Q143" s="14"/>
      <c r="R143" s="14"/>
    </row>
    <row r="144" spans="1:18">
      <c r="A144" s="9">
        <v>77575</v>
      </c>
      <c r="B144" s="14" t="s">
        <v>334</v>
      </c>
      <c r="C144" s="14" t="s">
        <v>202</v>
      </c>
      <c r="D144" s="14" t="s">
        <v>3886</v>
      </c>
      <c r="E144" s="15" t="str">
        <f>HYPERLINK("https://stat100.ameba.jp/tnk47/ratio20/illustrations/card/ill_77575_chayamusumewakaruhimenomikoto05.jpg?201811-3-RELEASE-dice-e-379", "■")</f>
        <v>■</v>
      </c>
      <c r="F144" s="14" t="s">
        <v>1547</v>
      </c>
      <c r="G144" s="14">
        <v>103428</v>
      </c>
      <c r="H144" s="14">
        <v>74886</v>
      </c>
      <c r="I144" s="14">
        <v>22</v>
      </c>
      <c r="J144" s="14" t="s">
        <v>401</v>
      </c>
      <c r="K144" s="14" t="s">
        <v>1548</v>
      </c>
      <c r="L144" s="14" t="s">
        <v>1549</v>
      </c>
      <c r="M144" s="14" t="s">
        <v>9158</v>
      </c>
      <c r="N144" s="14" t="s">
        <v>9158</v>
      </c>
      <c r="O144" s="14" t="s">
        <v>9158</v>
      </c>
      <c r="P144" s="14" t="s">
        <v>9158</v>
      </c>
      <c r="Q144" s="14" t="s">
        <v>9158</v>
      </c>
      <c r="R144" s="14" t="s">
        <v>174</v>
      </c>
    </row>
    <row r="145" spans="1:18">
      <c r="A145" s="9">
        <v>77573</v>
      </c>
      <c r="B145" s="14" t="s">
        <v>348</v>
      </c>
      <c r="C145" s="14" t="s">
        <v>203</v>
      </c>
      <c r="D145" s="14" t="s">
        <v>1546</v>
      </c>
      <c r="E145" s="15" t="str">
        <f>HYPERLINK("https://stat100.ameba.jp/tnk47/ratio20/illustrations/card/ill_77573_chayamusumewakaruhimenomikoto03.jpg?201811-3-RELEASE-dice-e-379", "■")</f>
        <v>■</v>
      </c>
      <c r="F145" s="14" t="s">
        <v>1547</v>
      </c>
      <c r="G145" s="14">
        <v>76196</v>
      </c>
      <c r="H145" s="14">
        <v>55170</v>
      </c>
      <c r="I145" s="14">
        <v>22</v>
      </c>
      <c r="J145" s="14" t="s">
        <v>401</v>
      </c>
      <c r="K145" s="14" t="s">
        <v>1548</v>
      </c>
      <c r="L145" s="14" t="s">
        <v>1550</v>
      </c>
      <c r="M145" s="14" t="s">
        <v>9158</v>
      </c>
      <c r="N145" s="14" t="s">
        <v>9158</v>
      </c>
      <c r="O145" s="14" t="s">
        <v>9158</v>
      </c>
      <c r="P145" s="14" t="s">
        <v>9158</v>
      </c>
      <c r="Q145" s="14" t="s">
        <v>9158</v>
      </c>
      <c r="R145" s="14" t="s">
        <v>175</v>
      </c>
    </row>
    <row r="146" spans="1:18">
      <c r="A146" s="9">
        <v>77571</v>
      </c>
      <c r="B146" s="14" t="s">
        <v>348</v>
      </c>
      <c r="C146" s="14" t="s">
        <v>203</v>
      </c>
      <c r="D146" s="14" t="s">
        <v>1546</v>
      </c>
      <c r="E146" s="15" t="str">
        <f>HYPERLINK("https://stat100.ameba.jp/tnk47/ratio20/illustrations/card/ill_77571_chayamusumewakaruhimenomikoto01.jpg?201811-3-RELEASE-dice-e-379", "■")</f>
        <v>■</v>
      </c>
      <c r="F146" s="14" t="s">
        <v>1547</v>
      </c>
      <c r="G146" s="14">
        <v>48466</v>
      </c>
      <c r="H146" s="14">
        <v>35090</v>
      </c>
      <c r="I146" s="14">
        <v>22</v>
      </c>
      <c r="J146" s="14" t="s">
        <v>401</v>
      </c>
      <c r="K146" s="14" t="s">
        <v>1548</v>
      </c>
      <c r="L146" s="14" t="s">
        <v>1551</v>
      </c>
      <c r="M146" s="14" t="s">
        <v>9158</v>
      </c>
      <c r="N146" s="14" t="s">
        <v>9158</v>
      </c>
      <c r="O146" s="14" t="s">
        <v>9158</v>
      </c>
      <c r="P146" s="14" t="s">
        <v>9158</v>
      </c>
      <c r="Q146" s="14" t="s">
        <v>9158</v>
      </c>
      <c r="R146" s="14" t="s">
        <v>176</v>
      </c>
    </row>
    <row r="147" spans="1:18">
      <c r="B147" s="14"/>
      <c r="C147" s="14"/>
      <c r="D147" s="14"/>
      <c r="F147" s="14"/>
      <c r="G147" s="14"/>
      <c r="H147" s="14"/>
      <c r="I147" s="14"/>
      <c r="J147" s="14"/>
      <c r="K147" s="14"/>
      <c r="L147" s="14"/>
      <c r="M147" s="14"/>
      <c r="N147" s="14"/>
      <c r="P147" s="14"/>
      <c r="Q147" s="14"/>
      <c r="R147" s="14"/>
    </row>
    <row r="148" spans="1:18">
      <c r="A148" s="14" t="s">
        <v>177</v>
      </c>
      <c r="D148" s="14"/>
      <c r="F148" s="14"/>
      <c r="G148" s="14"/>
      <c r="H148" s="14"/>
      <c r="I148" s="14"/>
      <c r="J148" s="14"/>
      <c r="K148" s="14"/>
      <c r="L148" s="14"/>
      <c r="M148" s="14"/>
      <c r="N148" s="14"/>
      <c r="P148" s="14"/>
      <c r="Q148" s="14"/>
      <c r="R148" s="14"/>
    </row>
    <row r="149" spans="1:18">
      <c r="A149" s="14" t="s">
        <v>1552</v>
      </c>
      <c r="C149" s="14"/>
      <c r="D149" s="14"/>
      <c r="F149" s="14"/>
      <c r="G149" s="14"/>
      <c r="H149" s="14"/>
      <c r="I149" s="14"/>
      <c r="J149" s="14"/>
      <c r="K149" s="14"/>
      <c r="L149" s="14"/>
      <c r="M149" s="14"/>
      <c r="N149" s="14"/>
      <c r="P149" s="14"/>
      <c r="Q149" s="14"/>
      <c r="R149" s="14"/>
    </row>
    <row r="150" spans="1:18">
      <c r="A150" s="9" t="s">
        <v>5617</v>
      </c>
      <c r="B150" s="14" t="s">
        <v>330</v>
      </c>
      <c r="C150" s="14" t="s">
        <v>165</v>
      </c>
      <c r="D150" s="14" t="s">
        <v>385</v>
      </c>
      <c r="E150" s="15" t="str">
        <f>HYPERLINK("https://stat100.ameba.jp/tnk47/ratio20/illustrations/card/ill_59673_0_oheyashutendoji03.jpg?201811-3-RELEASE-dice-e-379", "■")</f>
        <v>■</v>
      </c>
      <c r="F150" s="14" t="s">
        <v>386</v>
      </c>
      <c r="G150" s="14">
        <v>105545</v>
      </c>
      <c r="H150" s="14">
        <v>113525</v>
      </c>
      <c r="I150" s="14">
        <v>15</v>
      </c>
      <c r="J150" s="14" t="s">
        <v>320</v>
      </c>
      <c r="K150" s="14" t="s">
        <v>387</v>
      </c>
      <c r="L150" s="14" t="s">
        <v>388</v>
      </c>
      <c r="M150" s="14" t="s">
        <v>9158</v>
      </c>
      <c r="N150" s="14" t="s">
        <v>9158</v>
      </c>
      <c r="O150" s="17" t="s">
        <v>10058</v>
      </c>
      <c r="P150" s="14" t="s">
        <v>3022</v>
      </c>
      <c r="Q150" s="14">
        <v>1</v>
      </c>
      <c r="R150" s="14"/>
    </row>
    <row r="151" spans="1:18">
      <c r="A151" s="9" t="s">
        <v>5609</v>
      </c>
      <c r="B151" s="14" t="s">
        <v>330</v>
      </c>
      <c r="C151" s="14" t="s">
        <v>200</v>
      </c>
      <c r="D151" s="14" t="s">
        <v>389</v>
      </c>
      <c r="E151" s="15" t="str">
        <f>HYPERLINK("https://stat100.ameba.jp/tnk47/ratio20/illustrations/card/ill_53753_0_natsumatsuritokugawaieyasu03.jpg?201811-3-RELEASE-dice-e-379", "■")</f>
        <v>■</v>
      </c>
      <c r="F151" s="14" t="s">
        <v>390</v>
      </c>
      <c r="G151" s="14">
        <v>94236</v>
      </c>
      <c r="H151" s="14">
        <v>83712</v>
      </c>
      <c r="I151" s="14">
        <v>15</v>
      </c>
      <c r="J151" s="14" t="s">
        <v>310</v>
      </c>
      <c r="K151" s="14" t="s">
        <v>391</v>
      </c>
      <c r="L151" s="14" t="s">
        <v>392</v>
      </c>
      <c r="M151" s="14" t="s">
        <v>9158</v>
      </c>
      <c r="N151" s="14" t="s">
        <v>9158</v>
      </c>
      <c r="O151" s="17" t="s">
        <v>10052</v>
      </c>
      <c r="P151" s="14" t="s">
        <v>13121</v>
      </c>
      <c r="Q151" s="14">
        <v>1</v>
      </c>
      <c r="R151" s="14"/>
    </row>
    <row r="152" spans="1:18">
      <c r="A152" s="9" t="s">
        <v>9473</v>
      </c>
      <c r="B152" s="14" t="s">
        <v>330</v>
      </c>
      <c r="C152" s="14" t="s">
        <v>191</v>
      </c>
      <c r="D152" s="14" t="s">
        <v>393</v>
      </c>
      <c r="E152" s="15" t="str">
        <f>HYPERLINK("https://stat100.ameba.jp/tnk47/ratio20/illustrations/card/ill_46283_0_odanobunaga03.jpg?201811-3-RELEASE-dice-e-379", "■")</f>
        <v>■</v>
      </c>
      <c r="F152" s="14" t="s">
        <v>394</v>
      </c>
      <c r="G152" s="14">
        <v>82212</v>
      </c>
      <c r="H152" s="14">
        <v>87780</v>
      </c>
      <c r="I152" s="14">
        <v>15</v>
      </c>
      <c r="J152" s="14" t="s">
        <v>310</v>
      </c>
      <c r="K152" s="14" t="s">
        <v>395</v>
      </c>
      <c r="L152" s="14" t="s">
        <v>396</v>
      </c>
      <c r="M152" s="14" t="s">
        <v>9158</v>
      </c>
      <c r="N152" s="14" t="s">
        <v>9158</v>
      </c>
      <c r="O152" s="14" t="s">
        <v>9158</v>
      </c>
      <c r="P152" s="14" t="s">
        <v>9158</v>
      </c>
      <c r="Q152" s="14" t="s">
        <v>9158</v>
      </c>
      <c r="R152" s="14"/>
    </row>
    <row r="153" spans="1:18">
      <c r="A153" s="9">
        <v>76923</v>
      </c>
      <c r="B153" s="14" t="s">
        <v>334</v>
      </c>
      <c r="C153" s="14" t="s">
        <v>206</v>
      </c>
      <c r="D153" s="14" t="s">
        <v>2640</v>
      </c>
      <c r="E153" s="15" t="str">
        <f>HYPERLINK("https://stat100.ameba.jp/tnk47/ratio20/illustrations/card/ill_76923_amamorikuzuha03.jpg?201811-3-RELEASE-dice-e-379", "■")</f>
        <v>■</v>
      </c>
      <c r="F153" s="14" t="s">
        <v>1553</v>
      </c>
      <c r="G153" s="14">
        <v>117332</v>
      </c>
      <c r="H153" s="14">
        <v>109104</v>
      </c>
      <c r="I153" s="14">
        <v>22</v>
      </c>
      <c r="J153" s="14" t="s">
        <v>414</v>
      </c>
      <c r="K153" s="14" t="s">
        <v>1554</v>
      </c>
      <c r="L153" s="14" t="s">
        <v>1387</v>
      </c>
      <c r="M153" s="14" t="s">
        <v>9158</v>
      </c>
      <c r="N153" s="14" t="s">
        <v>9158</v>
      </c>
      <c r="O153" s="9" t="s">
        <v>3374</v>
      </c>
      <c r="P153" s="14" t="s">
        <v>3375</v>
      </c>
      <c r="Q153" s="14">
        <v>1</v>
      </c>
      <c r="R153" s="14"/>
    </row>
    <row r="154" spans="1:18">
      <c r="A154" s="9">
        <v>77713</v>
      </c>
      <c r="B154" s="14" t="s">
        <v>334</v>
      </c>
      <c r="C154" s="14" t="s">
        <v>165</v>
      </c>
      <c r="D154" s="14" t="s">
        <v>397</v>
      </c>
      <c r="E154" s="15" t="str">
        <f>HYPERLINK("https://stat100.ameba.jp/tnk47/ratio20/illustrations/card/ill_77713_himeragiyukikaze03.jpg?201811-3-RELEASE-dice-e-379", "■")</f>
        <v>■</v>
      </c>
      <c r="F154" s="14" t="s">
        <v>397</v>
      </c>
      <c r="G154" s="14">
        <v>81888</v>
      </c>
      <c r="H154" s="14">
        <v>76152</v>
      </c>
      <c r="I154" s="14">
        <v>22</v>
      </c>
      <c r="J154" s="14" t="s">
        <v>351</v>
      </c>
      <c r="K154" s="14" t="s">
        <v>398</v>
      </c>
      <c r="L154" s="14" t="s">
        <v>399</v>
      </c>
      <c r="M154" s="14" t="s">
        <v>9158</v>
      </c>
      <c r="N154" s="14" t="s">
        <v>9158</v>
      </c>
      <c r="O154" s="9" t="s">
        <v>3414</v>
      </c>
      <c r="P154" s="14" t="s">
        <v>13122</v>
      </c>
      <c r="Q154" s="14">
        <v>1</v>
      </c>
      <c r="R154" s="14"/>
    </row>
    <row r="155" spans="1:18">
      <c r="A155" s="9">
        <v>73593</v>
      </c>
      <c r="B155" s="14" t="s">
        <v>334</v>
      </c>
      <c r="C155" s="14" t="s">
        <v>191</v>
      </c>
      <c r="D155" s="14" t="s">
        <v>2646</v>
      </c>
      <c r="E155" s="15" t="str">
        <f>HYPERLINK("https://stat100.ameba.jp/tnk47/ratio20/illustrations/card/ill_73593_shingaekasuka03.jpg?201811-3-RELEASE-dice-e-379", "■")</f>
        <v>■</v>
      </c>
      <c r="F155" s="14" t="s">
        <v>1555</v>
      </c>
      <c r="G155" s="14">
        <v>93500</v>
      </c>
      <c r="H155" s="14">
        <v>86934</v>
      </c>
      <c r="I155" s="14">
        <v>22</v>
      </c>
      <c r="J155" s="14" t="s">
        <v>315</v>
      </c>
      <c r="K155" s="14" t="s">
        <v>1556</v>
      </c>
      <c r="L155" s="14" t="s">
        <v>1557</v>
      </c>
      <c r="M155" s="14" t="s">
        <v>9158</v>
      </c>
      <c r="N155" s="14" t="s">
        <v>9158</v>
      </c>
      <c r="O155" s="14" t="s">
        <v>9158</v>
      </c>
      <c r="P155" s="14" t="s">
        <v>9158</v>
      </c>
      <c r="Q155" s="14" t="s">
        <v>9158</v>
      </c>
      <c r="R155" s="14"/>
    </row>
    <row r="156" spans="1:18">
      <c r="A156" s="9">
        <v>54563</v>
      </c>
      <c r="B156" s="14" t="s">
        <v>348</v>
      </c>
      <c r="C156" s="14" t="s">
        <v>165</v>
      </c>
      <c r="D156" s="14" t="s">
        <v>408</v>
      </c>
      <c r="E156" s="15" t="str">
        <f>HYPERLINK("https://stat100.ameba.jp/tnk47/ratio20/illustrations/card/ill_54563_ryokankiyohime03.jpg?201811-3-RELEASE-dice-e-379", "■")</f>
        <v>■</v>
      </c>
      <c r="F156" s="14" t="s">
        <v>409</v>
      </c>
      <c r="G156" s="14">
        <v>68334</v>
      </c>
      <c r="H156" s="14">
        <v>50366</v>
      </c>
      <c r="I156" s="14">
        <v>21</v>
      </c>
      <c r="J156" s="14" t="s">
        <v>320</v>
      </c>
      <c r="K156" s="14" t="s">
        <v>410</v>
      </c>
      <c r="L156" s="14" t="s">
        <v>411</v>
      </c>
      <c r="M156" s="14" t="s">
        <v>9158</v>
      </c>
      <c r="N156" s="14" t="s">
        <v>9158</v>
      </c>
      <c r="O156" s="14" t="s">
        <v>9158</v>
      </c>
      <c r="P156" s="14" t="s">
        <v>9158</v>
      </c>
      <c r="Q156" s="14" t="s">
        <v>9158</v>
      </c>
      <c r="R156" s="14"/>
    </row>
    <row r="157" spans="1:18">
      <c r="A157" s="9">
        <v>59063</v>
      </c>
      <c r="B157" s="14" t="s">
        <v>348</v>
      </c>
      <c r="C157" s="14" t="s">
        <v>206</v>
      </c>
      <c r="D157" s="14" t="s">
        <v>412</v>
      </c>
      <c r="E157" s="15" t="str">
        <f>HYPERLINK("https://stat100.ameba.jp/tnk47/ratio20/illustrations/card/ill_59063_umeoiransugitahisajo03.jpg?201811-3-RELEASE-dice-e-379", "■")</f>
        <v>■</v>
      </c>
      <c r="F157" s="14" t="s">
        <v>413</v>
      </c>
      <c r="G157" s="14">
        <v>62244</v>
      </c>
      <c r="H157" s="14">
        <v>56456</v>
      </c>
      <c r="I157" s="14">
        <v>21</v>
      </c>
      <c r="J157" s="14" t="s">
        <v>414</v>
      </c>
      <c r="K157" s="14" t="s">
        <v>415</v>
      </c>
      <c r="L157" s="14" t="s">
        <v>416</v>
      </c>
      <c r="M157" s="14" t="s">
        <v>9158</v>
      </c>
      <c r="N157" s="14" t="s">
        <v>9158</v>
      </c>
      <c r="O157" s="14" t="s">
        <v>9158</v>
      </c>
      <c r="P157" s="14" t="s">
        <v>9158</v>
      </c>
      <c r="Q157" s="14" t="s">
        <v>9158</v>
      </c>
      <c r="R157" s="14"/>
    </row>
    <row r="158" spans="1:18">
      <c r="A158" s="9">
        <v>53663</v>
      </c>
      <c r="B158" s="14" t="s">
        <v>348</v>
      </c>
      <c r="C158" s="14" t="s">
        <v>185</v>
      </c>
      <c r="D158" s="14" t="s">
        <v>417</v>
      </c>
      <c r="E158" s="15" t="str">
        <f>HYPERLINK("https://stat100.ameba.jp/tnk47/ratio20/illustrations/card/ill_53663_kanibaruotsukisamaniittausagi03.jpg?201811-3-RELEASE-dice-e-379", "■")</f>
        <v>■</v>
      </c>
      <c r="F158" s="14" t="s">
        <v>418</v>
      </c>
      <c r="G158" s="14">
        <v>56456</v>
      </c>
      <c r="H158" s="14">
        <v>62244</v>
      </c>
      <c r="I158" s="14">
        <v>21</v>
      </c>
      <c r="J158" s="14" t="s">
        <v>274</v>
      </c>
      <c r="K158" s="14" t="s">
        <v>419</v>
      </c>
      <c r="L158" s="14" t="s">
        <v>420</v>
      </c>
      <c r="M158" s="14" t="s">
        <v>9158</v>
      </c>
      <c r="N158" s="14" t="s">
        <v>9158</v>
      </c>
      <c r="O158" s="14" t="s">
        <v>9158</v>
      </c>
      <c r="P158" s="14" t="s">
        <v>9158</v>
      </c>
      <c r="Q158" s="14" t="s">
        <v>9158</v>
      </c>
      <c r="R158" s="14"/>
    </row>
    <row r="159" spans="1:18">
      <c r="B159" s="14"/>
      <c r="C159" s="14"/>
      <c r="D159" s="14"/>
      <c r="F159" s="14"/>
      <c r="G159" s="14"/>
      <c r="H159" s="14"/>
      <c r="I159" s="14"/>
      <c r="J159" s="14"/>
      <c r="K159" s="14"/>
      <c r="L159" s="14"/>
      <c r="M159" s="14"/>
      <c r="N159" s="14"/>
      <c r="P159" s="14"/>
      <c r="Q159" s="14"/>
      <c r="R159" s="14"/>
    </row>
    <row r="160" spans="1:18">
      <c r="A160" s="14" t="s">
        <v>207</v>
      </c>
      <c r="D160" s="14"/>
      <c r="F160" s="14"/>
      <c r="G160" s="14"/>
      <c r="H160" s="14"/>
      <c r="I160" s="14"/>
      <c r="J160" s="14"/>
      <c r="K160" s="14"/>
      <c r="L160" s="14"/>
      <c r="M160" s="14"/>
      <c r="N160" s="14"/>
      <c r="P160" s="14"/>
      <c r="Q160" s="14"/>
      <c r="R160" s="14"/>
    </row>
    <row r="161" spans="1:19">
      <c r="A161" s="14" t="s">
        <v>1558</v>
      </c>
      <c r="C161" s="14"/>
      <c r="D161" s="14"/>
      <c r="F161" s="14"/>
      <c r="G161" s="14"/>
      <c r="H161" s="14"/>
      <c r="I161" s="14"/>
      <c r="J161" s="14"/>
      <c r="K161" s="14"/>
      <c r="L161" s="14"/>
      <c r="M161" s="14"/>
      <c r="N161" s="14"/>
      <c r="P161" s="14"/>
      <c r="Q161" s="14"/>
      <c r="R161" s="14"/>
    </row>
    <row r="162" spans="1:19">
      <c r="A162" s="9" t="s">
        <v>5611</v>
      </c>
      <c r="B162" s="14" t="s">
        <v>330</v>
      </c>
      <c r="C162" s="14" t="s">
        <v>185</v>
      </c>
      <c r="D162" s="14" t="s">
        <v>539</v>
      </c>
      <c r="E162" s="15" t="str">
        <f>HYPERLINK("https://stat100.ameba.jp/tnk47/ratio20/illustrations/card/ill_60633_0_harumaisentoin03.jpg?201811-3-RELEASE-dice-e-379", "■")</f>
        <v>■</v>
      </c>
      <c r="F162" s="14" t="s">
        <v>540</v>
      </c>
      <c r="G162" s="14">
        <v>95371</v>
      </c>
      <c r="H162" s="14">
        <v>102590</v>
      </c>
      <c r="I162" s="14">
        <v>15</v>
      </c>
      <c r="J162" s="14" t="s">
        <v>274</v>
      </c>
      <c r="K162" s="14" t="s">
        <v>541</v>
      </c>
      <c r="L162" s="14" t="s">
        <v>542</v>
      </c>
      <c r="M162" s="14" t="s">
        <v>9158</v>
      </c>
      <c r="N162" s="14" t="s">
        <v>9158</v>
      </c>
      <c r="O162" s="9" t="s">
        <v>2888</v>
      </c>
      <c r="P162" s="14" t="s">
        <v>3144</v>
      </c>
      <c r="Q162" s="14">
        <v>1</v>
      </c>
      <c r="R162" s="14"/>
    </row>
    <row r="163" spans="1:19">
      <c r="A163" s="9" t="s">
        <v>5820</v>
      </c>
      <c r="B163" s="14" t="s">
        <v>330</v>
      </c>
      <c r="C163" s="14" t="s">
        <v>200</v>
      </c>
      <c r="D163" s="14" t="s">
        <v>2346</v>
      </c>
      <c r="E163" s="15" t="str">
        <f>HYPERLINK("https://stat100.ameba.jp/tnk47/ratio20/illustrations/card/ill_48283_0_kyuubitamamonomae03.jpg?201811-3-RELEASE-dice-e-379", "■")</f>
        <v>■</v>
      </c>
      <c r="F163" s="14" t="s">
        <v>631</v>
      </c>
      <c r="G163" s="14">
        <v>94236</v>
      </c>
      <c r="H163" s="14">
        <v>83712</v>
      </c>
      <c r="I163" s="14">
        <v>15</v>
      </c>
      <c r="J163" s="14" t="s">
        <v>320</v>
      </c>
      <c r="K163" s="14" t="s">
        <v>632</v>
      </c>
      <c r="L163" s="14" t="s">
        <v>633</v>
      </c>
      <c r="M163" s="14" t="s">
        <v>9158</v>
      </c>
      <c r="N163" s="14" t="s">
        <v>9158</v>
      </c>
      <c r="O163" s="14" t="s">
        <v>9158</v>
      </c>
      <c r="P163" s="14" t="s">
        <v>9158</v>
      </c>
      <c r="Q163" s="14" t="s">
        <v>9158</v>
      </c>
      <c r="R163" s="14"/>
    </row>
    <row r="164" spans="1:19">
      <c r="A164" s="9" t="s">
        <v>5608</v>
      </c>
      <c r="B164" s="14" t="s">
        <v>330</v>
      </c>
      <c r="C164" s="14" t="s">
        <v>165</v>
      </c>
      <c r="D164" s="14" t="s">
        <v>1359</v>
      </c>
      <c r="E164" s="15" t="str">
        <f>HYPERLINK("https://stat100.ameba.jp/tnk47/ratio20/illustrations/card/ill_40963_0_makami03.jpg?201811-3-RELEASE-dice-e-379", "■")</f>
        <v>■</v>
      </c>
      <c r="F164" s="14" t="s">
        <v>635</v>
      </c>
      <c r="G164" s="14">
        <v>87780</v>
      </c>
      <c r="H164" s="14">
        <v>82212</v>
      </c>
      <c r="I164" s="14">
        <v>15</v>
      </c>
      <c r="J164" s="14" t="s">
        <v>401</v>
      </c>
      <c r="K164" s="14" t="s">
        <v>636</v>
      </c>
      <c r="L164" s="14" t="s">
        <v>637</v>
      </c>
      <c r="M164" s="14" t="s">
        <v>9158</v>
      </c>
      <c r="N164" s="14" t="s">
        <v>9158</v>
      </c>
      <c r="O164" s="14" t="s">
        <v>9158</v>
      </c>
      <c r="P164" s="14" t="s">
        <v>9158</v>
      </c>
      <c r="Q164" s="14" t="s">
        <v>9158</v>
      </c>
      <c r="R164" s="14"/>
    </row>
    <row r="165" spans="1:19">
      <c r="A165" s="9">
        <v>77353</v>
      </c>
      <c r="B165" s="14" t="s">
        <v>334</v>
      </c>
      <c r="C165" s="14" t="s">
        <v>200</v>
      </c>
      <c r="D165" s="14" t="s">
        <v>1529</v>
      </c>
      <c r="E165" s="15" t="str">
        <f>HYPERLINK("https://stat100.ameba.jp/tnk47/ratio20/illustrations/card/ill_77353_chayamusumekandamatsuri03.jpg?201811-3-RELEASE-dice-e-379", "■")</f>
        <v>■</v>
      </c>
      <c r="F165" s="14" t="s">
        <v>1530</v>
      </c>
      <c r="G165" s="14">
        <v>95668</v>
      </c>
      <c r="H165" s="14">
        <v>88948</v>
      </c>
      <c r="I165" s="14">
        <v>21</v>
      </c>
      <c r="J165" s="14" t="s">
        <v>369</v>
      </c>
      <c r="K165" s="14" t="s">
        <v>1531</v>
      </c>
      <c r="L165" s="14" t="s">
        <v>1532</v>
      </c>
      <c r="M165" s="14" t="s">
        <v>9158</v>
      </c>
      <c r="N165" s="14" t="s">
        <v>9158</v>
      </c>
      <c r="O165" s="14" t="s">
        <v>9158</v>
      </c>
      <c r="P165" s="14" t="s">
        <v>9158</v>
      </c>
      <c r="Q165" s="14" t="s">
        <v>9158</v>
      </c>
      <c r="R165" s="14"/>
    </row>
    <row r="166" spans="1:19">
      <c r="A166" s="9">
        <v>77363</v>
      </c>
      <c r="B166" s="14" t="s">
        <v>348</v>
      </c>
      <c r="C166" s="14" t="s">
        <v>185</v>
      </c>
      <c r="D166" s="14" t="s">
        <v>1533</v>
      </c>
      <c r="E166" s="15" t="str">
        <f>HYPERLINK("https://stat100.ameba.jp/tnk47/ratio20/illustrations/card/ill_77363_samonchan03.jpg?201811-3-RELEASE-dice-e-379", "■")</f>
        <v>■</v>
      </c>
      <c r="F166" s="14" t="s">
        <v>1534</v>
      </c>
      <c r="G166" s="14">
        <v>62244</v>
      </c>
      <c r="H166" s="14">
        <v>56456</v>
      </c>
      <c r="I166" s="14">
        <v>21</v>
      </c>
      <c r="J166" s="14" t="s">
        <v>283</v>
      </c>
      <c r="K166" s="14" t="s">
        <v>1535</v>
      </c>
      <c r="L166" s="14" t="s">
        <v>1536</v>
      </c>
      <c r="M166" s="14" t="s">
        <v>9158</v>
      </c>
      <c r="N166" s="14" t="s">
        <v>9158</v>
      </c>
      <c r="O166" s="14" t="s">
        <v>9158</v>
      </c>
      <c r="P166" s="14" t="s">
        <v>9158</v>
      </c>
      <c r="Q166" s="14" t="s">
        <v>9158</v>
      </c>
      <c r="R166" s="14"/>
    </row>
    <row r="167" spans="1:19">
      <c r="A167" s="9">
        <v>77373</v>
      </c>
      <c r="B167" s="14" t="s">
        <v>362</v>
      </c>
      <c r="C167" s="14" t="s">
        <v>206</v>
      </c>
      <c r="D167" s="14" t="s">
        <v>1537</v>
      </c>
      <c r="E167" s="15" t="str">
        <f>HYPERLINK("https://stat100.ameba.jp/tnk47/ratio20/illustrations/card/ill_77373_ryorankorikitadafusa03.jpg?201811-3-RELEASE-dice-e-379", "■")</f>
        <v>■</v>
      </c>
      <c r="F167" s="14" t="s">
        <v>1538</v>
      </c>
      <c r="G167" s="14">
        <v>36304</v>
      </c>
      <c r="H167" s="14">
        <v>43662</v>
      </c>
      <c r="I167" s="14">
        <v>21</v>
      </c>
      <c r="J167" s="14" t="s">
        <v>310</v>
      </c>
      <c r="K167" s="14" t="s">
        <v>1539</v>
      </c>
      <c r="L167" s="14" t="s">
        <v>1540</v>
      </c>
      <c r="M167" s="14" t="s">
        <v>9158</v>
      </c>
      <c r="N167" s="14" t="s">
        <v>9158</v>
      </c>
      <c r="O167" s="14" t="s">
        <v>9158</v>
      </c>
      <c r="P167" s="14" t="s">
        <v>9158</v>
      </c>
      <c r="Q167" s="14" t="s">
        <v>9158</v>
      </c>
      <c r="R167" s="14"/>
    </row>
    <row r="168" spans="1:19">
      <c r="A168" s="9">
        <v>77383</v>
      </c>
      <c r="B168" s="14" t="s">
        <v>372</v>
      </c>
      <c r="C168" s="14" t="s">
        <v>205</v>
      </c>
      <c r="D168" s="14" t="s">
        <v>1541</v>
      </c>
      <c r="E168" s="15" t="str">
        <f>HYPERLINK("https://stat100.ameba.jp/tnk47/ratio20/illustrations/card/ill_77383_yamaguchiwain03.jpg?201811-3-RELEASE-dice-e-379", "■")</f>
        <v>■</v>
      </c>
      <c r="F168" s="14" t="s">
        <v>1542</v>
      </c>
      <c r="G168" s="14">
        <v>26434</v>
      </c>
      <c r="H168" s="14">
        <v>22200</v>
      </c>
      <c r="I168" s="14">
        <v>21</v>
      </c>
      <c r="J168" s="14" t="s">
        <v>283</v>
      </c>
      <c r="K168" s="14" t="s">
        <v>1543</v>
      </c>
      <c r="L168" s="14" t="s">
        <v>1544</v>
      </c>
      <c r="M168" s="14" t="s">
        <v>9158</v>
      </c>
      <c r="N168" s="14" t="s">
        <v>9158</v>
      </c>
      <c r="O168" s="14" t="s">
        <v>9158</v>
      </c>
      <c r="P168" s="14" t="s">
        <v>9158</v>
      </c>
      <c r="Q168" s="14" t="s">
        <v>9158</v>
      </c>
      <c r="R168" s="14"/>
    </row>
    <row r="169" spans="1:19">
      <c r="B169" s="14"/>
      <c r="C169" s="14"/>
      <c r="D169" s="14"/>
      <c r="F169" s="14"/>
      <c r="G169" s="14"/>
      <c r="H169" s="14"/>
      <c r="I169" s="14"/>
      <c r="J169" s="14"/>
      <c r="K169" s="14"/>
      <c r="L169" s="14"/>
      <c r="M169" s="14"/>
      <c r="N169" s="14"/>
      <c r="P169" s="14"/>
      <c r="Q169" s="14"/>
      <c r="R169" s="14"/>
    </row>
    <row r="170" spans="1:19">
      <c r="A170" s="14" t="s">
        <v>208</v>
      </c>
      <c r="C170" s="14"/>
      <c r="D170" s="14"/>
      <c r="F170" s="14"/>
      <c r="G170" s="14"/>
      <c r="H170" s="14"/>
      <c r="I170" s="14"/>
      <c r="J170" s="14"/>
      <c r="K170" s="14"/>
      <c r="L170" s="14"/>
      <c r="M170" s="14"/>
      <c r="N170" s="14"/>
      <c r="P170" s="14"/>
      <c r="Q170" s="14"/>
      <c r="R170" s="14"/>
    </row>
    <row r="171" spans="1:19">
      <c r="A171" s="14" t="s">
        <v>10158</v>
      </c>
      <c r="C171" s="14"/>
      <c r="D171" s="14"/>
      <c r="F171" s="14"/>
      <c r="G171" s="14"/>
      <c r="H171" s="14"/>
      <c r="I171" s="14"/>
      <c r="J171" s="14"/>
      <c r="K171" s="14"/>
      <c r="L171" s="14"/>
      <c r="M171" s="14"/>
      <c r="N171" s="14"/>
      <c r="P171" s="14"/>
      <c r="Q171" s="14"/>
      <c r="R171" s="14"/>
    </row>
    <row r="172" spans="1:19">
      <c r="A172" s="9" t="s">
        <v>5617</v>
      </c>
      <c r="B172" s="14" t="s">
        <v>330</v>
      </c>
      <c r="C172" s="14" t="s">
        <v>165</v>
      </c>
      <c r="D172" s="14" t="s">
        <v>385</v>
      </c>
      <c r="E172" s="15" t="str">
        <f>HYPERLINK("https://stat100.ameba.jp/tnk47/ratio20/illustrations/card/ill_59673_0_oheyashutendoji03.jpg?201811-3-RELEASE-dice-e-379", "■")</f>
        <v>■</v>
      </c>
      <c r="F172" s="14" t="s">
        <v>386</v>
      </c>
      <c r="G172" s="14">
        <v>105545</v>
      </c>
      <c r="H172" s="14">
        <v>113525</v>
      </c>
      <c r="I172" s="14">
        <v>15</v>
      </c>
      <c r="J172" s="14" t="s">
        <v>320</v>
      </c>
      <c r="K172" s="14" t="s">
        <v>387</v>
      </c>
      <c r="L172" s="14" t="s">
        <v>388</v>
      </c>
      <c r="M172" s="14" t="s">
        <v>9158</v>
      </c>
      <c r="N172" s="14" t="s">
        <v>9158</v>
      </c>
      <c r="O172" s="17" t="s">
        <v>10058</v>
      </c>
      <c r="P172" s="14" t="s">
        <v>3022</v>
      </c>
      <c r="Q172" s="14">
        <v>1</v>
      </c>
      <c r="R172" s="14"/>
    </row>
    <row r="173" spans="1:19">
      <c r="A173" s="9" t="s">
        <v>5899</v>
      </c>
      <c r="B173" s="14" t="s">
        <v>330</v>
      </c>
      <c r="C173" s="14" t="s">
        <v>205</v>
      </c>
      <c r="D173" s="14" t="s">
        <v>1559</v>
      </c>
      <c r="E173" s="15" t="str">
        <f>HYPERLINK("https://stat100.ameba.jp/tnk47/ratio20/illustrations/card/ill_73773_0_umibirakiinugamigyobu03.jpg?201811-3-RELEASE-dice-e-379", "■")</f>
        <v>■</v>
      </c>
      <c r="F173" s="14" t="s">
        <v>1560</v>
      </c>
      <c r="G173" s="14">
        <v>130160</v>
      </c>
      <c r="H173" s="14">
        <v>139999</v>
      </c>
      <c r="I173" s="14">
        <v>15</v>
      </c>
      <c r="J173" s="14" t="s">
        <v>320</v>
      </c>
      <c r="K173" s="14" t="s">
        <v>1561</v>
      </c>
      <c r="L173" s="14" t="s">
        <v>1562</v>
      </c>
      <c r="M173" s="14" t="s">
        <v>9158</v>
      </c>
      <c r="N173" s="14" t="s">
        <v>9158</v>
      </c>
      <c r="O173" s="9" t="s">
        <v>2978</v>
      </c>
      <c r="P173" s="14" t="s">
        <v>2979</v>
      </c>
      <c r="Q173" s="14">
        <v>2</v>
      </c>
      <c r="R173" s="14"/>
    </row>
    <row r="174" spans="1:19">
      <c r="A174" s="9" t="s">
        <v>5830</v>
      </c>
      <c r="B174" s="14" t="s">
        <v>330</v>
      </c>
      <c r="C174" s="14" t="s">
        <v>191</v>
      </c>
      <c r="D174" s="14" t="s">
        <v>793</v>
      </c>
      <c r="E174" s="15" t="str">
        <f>HYPERLINK("https://stat100.ameba.jp/tnk47/ratio20/illustrations/card/ill_39933_0_reihiiinaotora03.jpg?201811-3-RELEASE-dice-e-379", "■")</f>
        <v>■</v>
      </c>
      <c r="F174" s="14" t="s">
        <v>794</v>
      </c>
      <c r="G174" s="14">
        <v>82212</v>
      </c>
      <c r="H174" s="14">
        <v>87780</v>
      </c>
      <c r="I174" s="14">
        <v>15</v>
      </c>
      <c r="J174" s="14" t="s">
        <v>315</v>
      </c>
      <c r="K174" s="14" t="s">
        <v>795</v>
      </c>
      <c r="L174" s="14" t="s">
        <v>796</v>
      </c>
      <c r="M174" s="14" t="s">
        <v>9158</v>
      </c>
      <c r="N174" s="14" t="s">
        <v>9158</v>
      </c>
      <c r="O174" s="14" t="s">
        <v>9158</v>
      </c>
      <c r="P174" s="14" t="s">
        <v>9158</v>
      </c>
      <c r="Q174" s="14" t="s">
        <v>9158</v>
      </c>
      <c r="R174" s="14"/>
    </row>
    <row r="175" spans="1:19">
      <c r="A175" s="9">
        <v>43343</v>
      </c>
      <c r="B175" s="14" t="s">
        <v>334</v>
      </c>
      <c r="C175" s="14" t="s">
        <v>203</v>
      </c>
      <c r="D175" s="14" t="s">
        <v>3887</v>
      </c>
      <c r="E175" s="15" t="str">
        <f>HYPERLINK("https://stat100.ameba.jp/tnk47/ratio20/illustrations/card/ill_43343_ukanomitamanokami03.jpg?201811-3-RELEASE-dice-e-379", "■")</f>
        <v>■</v>
      </c>
      <c r="F175" s="14" t="s">
        <v>1563</v>
      </c>
      <c r="G175" s="14">
        <v>84796</v>
      </c>
      <c r="H175" s="14">
        <v>78838</v>
      </c>
      <c r="I175" s="14">
        <v>22</v>
      </c>
      <c r="J175" s="14" t="s">
        <v>401</v>
      </c>
      <c r="K175" s="14" t="s">
        <v>1564</v>
      </c>
      <c r="L175" s="14" t="s">
        <v>1565</v>
      </c>
      <c r="M175" s="14" t="s">
        <v>9158</v>
      </c>
      <c r="N175" s="14" t="s">
        <v>9158</v>
      </c>
      <c r="O175" s="14" t="s">
        <v>9158</v>
      </c>
      <c r="P175" s="14" t="s">
        <v>9158</v>
      </c>
      <c r="Q175" s="14" t="s">
        <v>9158</v>
      </c>
      <c r="S175" s="14" t="s">
        <v>12931</v>
      </c>
    </row>
    <row r="176" spans="1:19">
      <c r="A176" s="9">
        <v>51303</v>
      </c>
      <c r="B176" s="14" t="s">
        <v>334</v>
      </c>
      <c r="C176" s="14" t="s">
        <v>264</v>
      </c>
      <c r="D176" s="14" t="s">
        <v>3888</v>
      </c>
      <c r="E176" s="15" t="str">
        <f>HYPERLINK("https://stat100.ameba.jp/tnk47/ratio20/illustrations/card/ill_51303_etopirika03.jpg?201811-3-RELEASE-dice-e-379", "■")</f>
        <v>■</v>
      </c>
      <c r="F176" s="14" t="s">
        <v>1566</v>
      </c>
      <c r="G176" s="14">
        <v>78838</v>
      </c>
      <c r="H176" s="14">
        <v>84796</v>
      </c>
      <c r="I176" s="14">
        <v>22</v>
      </c>
      <c r="J176" s="14" t="s">
        <v>369</v>
      </c>
      <c r="K176" s="14" t="s">
        <v>1567</v>
      </c>
      <c r="L176" s="14" t="s">
        <v>1568</v>
      </c>
      <c r="M176" s="14" t="s">
        <v>9158</v>
      </c>
      <c r="N176" s="14" t="s">
        <v>9158</v>
      </c>
      <c r="O176" s="14" t="s">
        <v>9158</v>
      </c>
      <c r="P176" s="14" t="s">
        <v>9158</v>
      </c>
      <c r="Q176" s="14" t="s">
        <v>9158</v>
      </c>
      <c r="S176" s="14" t="s">
        <v>12930</v>
      </c>
    </row>
    <row r="177" spans="1:19">
      <c r="A177" s="9">
        <v>59553</v>
      </c>
      <c r="B177" s="14" t="s">
        <v>334</v>
      </c>
      <c r="C177" s="14" t="s">
        <v>154</v>
      </c>
      <c r="D177" s="14" t="s">
        <v>3889</v>
      </c>
      <c r="E177" s="15" t="str">
        <f>HYPERLINK("https://stat100.ameba.jp/tnk47/ratio20/illustrations/card/ill_59553_hyakudanhinamatsuri03.jpg?201811-3-RELEASE-dice-e-379", "■")</f>
        <v>■</v>
      </c>
      <c r="F177" s="14" t="s">
        <v>1569</v>
      </c>
      <c r="G177" s="14">
        <v>100400</v>
      </c>
      <c r="H177" s="14">
        <v>93184</v>
      </c>
      <c r="I177" s="14">
        <v>22</v>
      </c>
      <c r="J177" s="14" t="s">
        <v>274</v>
      </c>
      <c r="K177" s="14" t="s">
        <v>1570</v>
      </c>
      <c r="L177" s="14" t="s">
        <v>1571</v>
      </c>
      <c r="M177" s="14" t="s">
        <v>9158</v>
      </c>
      <c r="N177" s="14" t="s">
        <v>9158</v>
      </c>
      <c r="O177" s="14" t="s">
        <v>9158</v>
      </c>
      <c r="P177" s="14" t="s">
        <v>9158</v>
      </c>
      <c r="Q177" s="14" t="s">
        <v>9158</v>
      </c>
      <c r="S177" s="14" t="s">
        <v>11735</v>
      </c>
    </row>
    <row r="178" spans="1:19">
      <c r="A178" s="9">
        <v>60063</v>
      </c>
      <c r="B178" s="14" t="s">
        <v>348</v>
      </c>
      <c r="C178" s="14" t="s">
        <v>165</v>
      </c>
      <c r="D178" s="14" t="s">
        <v>653</v>
      </c>
      <c r="E178" s="15" t="str">
        <f>HYPERLINK("https://stat100.ameba.jp/tnk47/ratio20/illustrations/card/ill_60063_aressandorobuarinyano03.jpg?201811-3-RELEASE-dice-e-379", "■")</f>
        <v>■</v>
      </c>
      <c r="F178" s="14" t="s">
        <v>654</v>
      </c>
      <c r="G178" s="14">
        <v>65208</v>
      </c>
      <c r="H178" s="14">
        <v>59144</v>
      </c>
      <c r="I178" s="14">
        <v>22</v>
      </c>
      <c r="J178" s="14" t="s">
        <v>351</v>
      </c>
      <c r="K178" s="14" t="s">
        <v>655</v>
      </c>
      <c r="L178" s="14" t="s">
        <v>656</v>
      </c>
      <c r="M178" s="14" t="s">
        <v>9158</v>
      </c>
      <c r="N178" s="14" t="s">
        <v>9158</v>
      </c>
      <c r="O178" s="14" t="s">
        <v>9158</v>
      </c>
      <c r="P178" s="14" t="s">
        <v>9158</v>
      </c>
      <c r="Q178" s="14" t="s">
        <v>9158</v>
      </c>
      <c r="S178" s="14" t="s">
        <v>11726</v>
      </c>
    </row>
    <row r="179" spans="1:19">
      <c r="A179" s="9">
        <v>60743</v>
      </c>
      <c r="B179" s="14" t="s">
        <v>348</v>
      </c>
      <c r="C179" s="14" t="s">
        <v>185</v>
      </c>
      <c r="D179" s="14" t="s">
        <v>657</v>
      </c>
      <c r="E179" s="15" t="str">
        <f>HYPERLINK("https://stat100.ameba.jp/tnk47/ratio20/illustrations/card/ill_60743_satotsugunobu03.jpg?201811-3-RELEASE-dice-e-379", "■")</f>
        <v>■</v>
      </c>
      <c r="F179" s="14" t="s">
        <v>658</v>
      </c>
      <c r="G179" s="14">
        <v>65208</v>
      </c>
      <c r="H179" s="14">
        <v>59144</v>
      </c>
      <c r="I179" s="14">
        <v>22</v>
      </c>
      <c r="J179" s="14" t="s">
        <v>310</v>
      </c>
      <c r="K179" s="14" t="s">
        <v>659</v>
      </c>
      <c r="L179" s="14" t="s">
        <v>660</v>
      </c>
      <c r="M179" s="14" t="s">
        <v>9158</v>
      </c>
      <c r="N179" s="14" t="s">
        <v>9158</v>
      </c>
      <c r="O179" s="14" t="s">
        <v>9158</v>
      </c>
      <c r="P179" s="14" t="s">
        <v>9158</v>
      </c>
      <c r="Q179" s="14" t="s">
        <v>9158</v>
      </c>
      <c r="S179" s="14" t="s">
        <v>12930</v>
      </c>
    </row>
    <row r="180" spans="1:19">
      <c r="A180" s="9">
        <v>64113</v>
      </c>
      <c r="B180" s="14" t="s">
        <v>348</v>
      </c>
      <c r="C180" s="14" t="s">
        <v>205</v>
      </c>
      <c r="D180" s="14" t="s">
        <v>661</v>
      </c>
      <c r="E180" s="15" t="str">
        <f>HYPERLINK("https://stat100.ameba.jp/tnk47/ratio20/illustrations/card/ill_64113_onikiriyasutsuna03.jpg?201811-3-RELEASE-dice-e-379", "■")</f>
        <v>■</v>
      </c>
      <c r="F180" s="14" t="s">
        <v>662</v>
      </c>
      <c r="G180" s="14">
        <v>59144</v>
      </c>
      <c r="H180" s="14">
        <v>65208</v>
      </c>
      <c r="I180" s="14">
        <v>22</v>
      </c>
      <c r="J180" s="14" t="s">
        <v>274</v>
      </c>
      <c r="K180" s="14" t="s">
        <v>663</v>
      </c>
      <c r="L180" s="14" t="s">
        <v>664</v>
      </c>
      <c r="M180" s="14" t="s">
        <v>9158</v>
      </c>
      <c r="N180" s="14" t="s">
        <v>9158</v>
      </c>
      <c r="O180" s="14" t="s">
        <v>9158</v>
      </c>
      <c r="P180" s="14" t="s">
        <v>9158</v>
      </c>
      <c r="Q180" s="14" t="s">
        <v>9158</v>
      </c>
      <c r="S180" s="14" t="s">
        <v>12930</v>
      </c>
    </row>
    <row r="181" spans="1:19">
      <c r="B181" s="14"/>
      <c r="C181" s="14"/>
      <c r="D181" s="14"/>
      <c r="F181" s="14"/>
      <c r="G181" s="14"/>
      <c r="H181" s="14"/>
      <c r="I181" s="14"/>
      <c r="J181" s="14"/>
      <c r="K181" s="14"/>
      <c r="L181" s="14"/>
      <c r="M181" s="14"/>
      <c r="N181" s="14"/>
      <c r="P181" s="14"/>
      <c r="Q181" s="14"/>
      <c r="R181" s="14"/>
    </row>
    <row r="182" spans="1:19">
      <c r="A182" s="14" t="s">
        <v>114</v>
      </c>
      <c r="D182" s="14"/>
      <c r="F182" s="14"/>
      <c r="G182" s="14"/>
      <c r="H182" s="14"/>
      <c r="I182" s="14"/>
      <c r="J182" s="14"/>
      <c r="K182" s="14"/>
      <c r="L182" s="14"/>
      <c r="M182" s="14"/>
      <c r="N182" s="14"/>
      <c r="P182" s="14"/>
      <c r="Q182" s="14"/>
      <c r="R182" s="14"/>
    </row>
    <row r="183" spans="1:19">
      <c r="A183" s="14" t="s">
        <v>1572</v>
      </c>
      <c r="C183" s="14"/>
      <c r="D183" s="14"/>
      <c r="F183" s="14"/>
      <c r="G183" s="14"/>
      <c r="H183" s="14"/>
      <c r="I183" s="14"/>
      <c r="J183" s="14"/>
      <c r="K183" s="14"/>
      <c r="L183" s="14"/>
      <c r="M183" s="14"/>
      <c r="N183" s="14"/>
      <c r="P183" s="14"/>
      <c r="Q183" s="14"/>
      <c r="R183" s="14"/>
    </row>
    <row r="184" spans="1:19">
      <c r="A184" s="9" t="s">
        <v>5614</v>
      </c>
      <c r="B184" s="14" t="s">
        <v>330</v>
      </c>
      <c r="C184" s="14" t="s">
        <v>205</v>
      </c>
      <c r="D184" s="14" t="s">
        <v>313</v>
      </c>
      <c r="E184" s="15" t="str">
        <f>HYPERLINK("https://stat100.ameba.jp/tnk47/ratio20/illustrations/card/ill_56223_0_onsempanikkugohime03.jpg?201811-3-RELEASE-dice-e-379", "■")</f>
        <v>■</v>
      </c>
      <c r="F184" s="14" t="s">
        <v>314</v>
      </c>
      <c r="G184" s="14">
        <v>94872</v>
      </c>
      <c r="H184" s="14">
        <v>106800</v>
      </c>
      <c r="I184" s="14">
        <v>17</v>
      </c>
      <c r="J184" s="14" t="s">
        <v>315</v>
      </c>
      <c r="K184" s="14" t="s">
        <v>316</v>
      </c>
      <c r="L184" s="14" t="s">
        <v>317</v>
      </c>
      <c r="M184" s="14" t="s">
        <v>9158</v>
      </c>
      <c r="N184" s="14" t="s">
        <v>9158</v>
      </c>
      <c r="O184" s="9" t="s">
        <v>3021</v>
      </c>
      <c r="P184" s="14" t="s">
        <v>2890</v>
      </c>
      <c r="Q184" s="14">
        <v>1</v>
      </c>
      <c r="R184" s="14"/>
    </row>
    <row r="185" spans="1:19">
      <c r="A185" s="9" t="s">
        <v>5607</v>
      </c>
      <c r="B185" s="14" t="s">
        <v>330</v>
      </c>
      <c r="C185" s="14" t="s">
        <v>200</v>
      </c>
      <c r="D185" s="14" t="s">
        <v>421</v>
      </c>
      <c r="E185" s="15" t="str">
        <f>HYPERLINK("https://stat100.ameba.jp/tnk47/ratio20/illustrations/card/ill_58853_0_setsubumpanikkuhiratsukaraicho03.jpg?201811-3-RELEASE-dice-e-379", "■")</f>
        <v>■</v>
      </c>
      <c r="F185" s="14" t="s">
        <v>422</v>
      </c>
      <c r="G185" s="14">
        <v>106800</v>
      </c>
      <c r="H185" s="14">
        <v>94872</v>
      </c>
      <c r="I185" s="14">
        <v>17</v>
      </c>
      <c r="J185" s="14" t="s">
        <v>414</v>
      </c>
      <c r="K185" s="14" t="s">
        <v>423</v>
      </c>
      <c r="L185" s="14" t="s">
        <v>424</v>
      </c>
      <c r="M185" s="14" t="s">
        <v>9158</v>
      </c>
      <c r="N185" s="14" t="s">
        <v>9158</v>
      </c>
      <c r="O185" s="17" t="s">
        <v>10059</v>
      </c>
      <c r="P185" s="14" t="s">
        <v>2870</v>
      </c>
      <c r="Q185" s="14">
        <v>1</v>
      </c>
      <c r="R185" s="14"/>
    </row>
    <row r="186" spans="1:19">
      <c r="A186" s="9">
        <v>77663</v>
      </c>
      <c r="B186" s="14" t="s">
        <v>334</v>
      </c>
      <c r="C186" s="14" t="s">
        <v>202</v>
      </c>
      <c r="D186" s="14" t="s">
        <v>3890</v>
      </c>
      <c r="E186" s="15" t="str">
        <f>HYPERLINK("https://stat100.ameba.jp/tnk47/ratio20/illustrations/card/ill_77663_deipuburu03.jpg?201811-3-RELEASE-dice-e-379", "■")</f>
        <v>■</v>
      </c>
      <c r="F186" s="14" t="s">
        <v>1573</v>
      </c>
      <c r="G186" s="14">
        <v>78916</v>
      </c>
      <c r="H186" s="14">
        <v>108924</v>
      </c>
      <c r="I186" s="14">
        <v>24</v>
      </c>
      <c r="J186" s="14" t="s">
        <v>414</v>
      </c>
      <c r="K186" s="14" t="s">
        <v>1574</v>
      </c>
      <c r="L186" s="14" t="s">
        <v>1575</v>
      </c>
      <c r="M186" s="14" t="s">
        <v>9158</v>
      </c>
      <c r="N186" s="14" t="s">
        <v>9158</v>
      </c>
      <c r="O186" s="9" t="s">
        <v>3891</v>
      </c>
      <c r="P186" s="14" t="s">
        <v>3625</v>
      </c>
      <c r="Q186" s="14">
        <v>1</v>
      </c>
      <c r="R186" s="14"/>
    </row>
    <row r="187" spans="1:19">
      <c r="A187" s="9">
        <v>65623</v>
      </c>
      <c r="B187" s="14" t="s">
        <v>334</v>
      </c>
      <c r="C187" s="14" t="s">
        <v>154</v>
      </c>
      <c r="D187" s="14" t="s">
        <v>2490</v>
      </c>
      <c r="E187" s="15" t="str">
        <f>HYPERLINK("https://stat100.ameba.jp/tnk47/ratio20/illustrations/card/ill_65623_hosoyajudayu03.jpg?201811-3-RELEASE-dice-e-379", "■")</f>
        <v>■</v>
      </c>
      <c r="F187" s="14" t="s">
        <v>823</v>
      </c>
      <c r="G187" s="14">
        <v>139716</v>
      </c>
      <c r="H187" s="14">
        <v>101199</v>
      </c>
      <c r="I187" s="14">
        <v>21</v>
      </c>
      <c r="J187" s="14" t="s">
        <v>310</v>
      </c>
      <c r="K187" s="14" t="s">
        <v>824</v>
      </c>
      <c r="L187" s="14" t="s">
        <v>443</v>
      </c>
      <c r="M187" s="14" t="s">
        <v>9158</v>
      </c>
      <c r="N187" s="14" t="s">
        <v>9158</v>
      </c>
      <c r="O187" s="14" t="s">
        <v>9158</v>
      </c>
      <c r="P187" s="14" t="s">
        <v>9158</v>
      </c>
      <c r="Q187" s="14" t="s">
        <v>9158</v>
      </c>
      <c r="R187" s="14"/>
    </row>
    <row r="188" spans="1:19">
      <c r="A188" s="9">
        <v>62043</v>
      </c>
      <c r="B188" s="14" t="s">
        <v>334</v>
      </c>
      <c r="C188" s="14" t="s">
        <v>158</v>
      </c>
      <c r="D188" s="14" t="s">
        <v>2493</v>
      </c>
      <c r="E188" s="15" t="str">
        <f>HYPERLINK("https://stat100.ameba.jp/tnk47/ratio20/illustrations/card/ill_62043_niutsuhimenookami03.jpg?201811-3-RELEASE-dice-e-379", "■")</f>
        <v>■</v>
      </c>
      <c r="F188" s="14" t="s">
        <v>1576</v>
      </c>
      <c r="G188" s="14">
        <v>69430</v>
      </c>
      <c r="H188" s="14">
        <v>95859</v>
      </c>
      <c r="I188" s="14">
        <v>21</v>
      </c>
      <c r="J188" s="14" t="s">
        <v>401</v>
      </c>
      <c r="K188" s="14" t="s">
        <v>1577</v>
      </c>
      <c r="L188" s="14" t="s">
        <v>1578</v>
      </c>
      <c r="M188" s="14" t="s">
        <v>9158</v>
      </c>
      <c r="N188" s="14" t="s">
        <v>9158</v>
      </c>
      <c r="O188" s="9" t="s">
        <v>3452</v>
      </c>
      <c r="P188" s="14" t="s">
        <v>13145</v>
      </c>
      <c r="Q188" s="14">
        <v>1</v>
      </c>
      <c r="R188" s="14"/>
    </row>
    <row r="189" spans="1:19">
      <c r="A189" s="9">
        <v>57113</v>
      </c>
      <c r="B189" s="14" t="s">
        <v>334</v>
      </c>
      <c r="C189" s="14" t="s">
        <v>264</v>
      </c>
      <c r="D189" s="14" t="s">
        <v>2495</v>
      </c>
      <c r="E189" s="15" t="str">
        <f>HYPERLINK("https://stat100.ameba.jp/tnk47/ratio20/illustrations/card/ill_57113_furenchitosuto03.jpg?201811-3-RELEASE-dice-e-379", "■")</f>
        <v>■</v>
      </c>
      <c r="F189" s="14" t="s">
        <v>1579</v>
      </c>
      <c r="G189" s="14">
        <v>63547</v>
      </c>
      <c r="H189" s="14">
        <v>86668</v>
      </c>
      <c r="I189" s="14">
        <v>21</v>
      </c>
      <c r="J189" s="14" t="s">
        <v>283</v>
      </c>
      <c r="K189" s="14" t="s">
        <v>1580</v>
      </c>
      <c r="L189" s="14" t="s">
        <v>1581</v>
      </c>
      <c r="M189" s="14" t="s">
        <v>9158</v>
      </c>
      <c r="N189" s="14" t="s">
        <v>9158</v>
      </c>
      <c r="O189" s="14" t="s">
        <v>9158</v>
      </c>
      <c r="P189" s="14" t="s">
        <v>9158</v>
      </c>
      <c r="Q189" s="14" t="s">
        <v>9158</v>
      </c>
      <c r="R189" s="14"/>
    </row>
    <row r="190" spans="1:19">
      <c r="A190" s="9">
        <v>61433</v>
      </c>
      <c r="B190" s="14" t="s">
        <v>334</v>
      </c>
      <c r="C190" s="14" t="s">
        <v>200</v>
      </c>
      <c r="D190" s="14" t="s">
        <v>1582</v>
      </c>
      <c r="E190" s="15" t="str">
        <f>HYPERLINK("https://stat100.ameba.jp/tnk47/ratio20/illustrations/card/ill_61433_isehime03.jpg?201811-3-RELEASE-dice-e-379", "■")</f>
        <v>■</v>
      </c>
      <c r="F190" s="14" t="s">
        <v>1583</v>
      </c>
      <c r="G190" s="14">
        <v>91779</v>
      </c>
      <c r="H190" s="14">
        <v>66487</v>
      </c>
      <c r="I190" s="14">
        <v>21</v>
      </c>
      <c r="J190" s="14" t="s">
        <v>315</v>
      </c>
      <c r="K190" s="14" t="s">
        <v>1584</v>
      </c>
      <c r="L190" s="14" t="s">
        <v>1432</v>
      </c>
      <c r="M190" s="14" t="s">
        <v>9158</v>
      </c>
      <c r="N190" s="14" t="s">
        <v>9158</v>
      </c>
      <c r="O190" s="9" t="s">
        <v>2717</v>
      </c>
      <c r="P190" s="14" t="s">
        <v>13123</v>
      </c>
      <c r="Q190" s="14">
        <v>1</v>
      </c>
      <c r="R190" s="14"/>
    </row>
    <row r="191" spans="1:19">
      <c r="A191" s="9">
        <v>65633</v>
      </c>
      <c r="B191" s="14" t="s">
        <v>334</v>
      </c>
      <c r="C191" s="14" t="s">
        <v>158</v>
      </c>
      <c r="D191" s="14" t="s">
        <v>69</v>
      </c>
      <c r="E191" s="15" t="str">
        <f>HYPERLINK("https://stat100.ameba.jp/tnk47/ratio20/illustrations/card/ill_65633_shinnoakugoro03.jpg?201811-3-RELEASE-dice-e-379", "■")</f>
        <v>■</v>
      </c>
      <c r="F191" s="14" t="s">
        <v>1585</v>
      </c>
      <c r="G191" s="14">
        <v>97925</v>
      </c>
      <c r="H191" s="14">
        <v>70942</v>
      </c>
      <c r="I191" s="14">
        <v>21</v>
      </c>
      <c r="J191" s="14" t="s">
        <v>320</v>
      </c>
      <c r="K191" s="14" t="s">
        <v>1586</v>
      </c>
      <c r="L191" s="14" t="s">
        <v>1587</v>
      </c>
      <c r="M191" s="14" t="s">
        <v>9158</v>
      </c>
      <c r="N191" s="14" t="s">
        <v>9158</v>
      </c>
      <c r="O191" s="14" t="s">
        <v>9158</v>
      </c>
      <c r="P191" s="14" t="s">
        <v>9158</v>
      </c>
      <c r="Q191" s="14" t="s">
        <v>9158</v>
      </c>
      <c r="R191" s="14"/>
    </row>
    <row r="192" spans="1:19">
      <c r="B192" s="14"/>
      <c r="C192" s="14"/>
      <c r="D192" s="14"/>
      <c r="F192" s="14"/>
      <c r="G192" s="14"/>
      <c r="H192" s="14"/>
      <c r="I192" s="14"/>
      <c r="J192" s="14"/>
      <c r="K192" s="14"/>
      <c r="L192" s="14"/>
      <c r="M192" s="14"/>
      <c r="N192" s="14"/>
      <c r="P192" s="14"/>
      <c r="Q192" s="14"/>
      <c r="R192" s="14"/>
    </row>
    <row r="193" spans="1:18">
      <c r="A193" s="14" t="s">
        <v>195</v>
      </c>
      <c r="D193" s="14"/>
      <c r="F193" s="14"/>
      <c r="G193" s="14"/>
      <c r="H193" s="14"/>
      <c r="I193" s="14"/>
      <c r="J193" s="14"/>
      <c r="K193" s="14"/>
      <c r="L193" s="14"/>
      <c r="M193" s="14"/>
      <c r="N193" s="14"/>
      <c r="P193" s="14"/>
      <c r="Q193" s="14"/>
      <c r="R193" s="14"/>
    </row>
    <row r="194" spans="1:18">
      <c r="A194" s="14" t="s">
        <v>1588</v>
      </c>
      <c r="B194" s="14"/>
      <c r="C194" s="14"/>
      <c r="D194" s="14"/>
      <c r="F194" s="14"/>
      <c r="G194" s="14"/>
      <c r="H194" s="14"/>
      <c r="I194" s="14"/>
      <c r="J194" s="14"/>
      <c r="K194" s="14"/>
      <c r="L194" s="14"/>
      <c r="M194" s="14"/>
      <c r="N194" s="14"/>
      <c r="P194" s="14"/>
      <c r="Q194" s="14"/>
      <c r="R194" s="14"/>
    </row>
    <row r="195" spans="1:18">
      <c r="A195" s="9">
        <v>65363</v>
      </c>
      <c r="B195" s="14" t="s">
        <v>334</v>
      </c>
      <c r="C195" s="14" t="s">
        <v>154</v>
      </c>
      <c r="D195" s="14" t="s">
        <v>1589</v>
      </c>
      <c r="E195" s="15" t="str">
        <f>HYPERLINK("https://stat100.ameba.jp/tnk47/ratio20/illustrations/card/ill_65363_yukihimemomijihime03.jpg?201811-3-RELEASE-dice-e-379", "■")</f>
        <v>■</v>
      </c>
      <c r="F195" s="14" t="s">
        <v>1590</v>
      </c>
      <c r="G195" s="14">
        <v>90574</v>
      </c>
      <c r="H195" s="14">
        <v>84214</v>
      </c>
      <c r="I195" s="14">
        <v>21</v>
      </c>
      <c r="J195" s="14" t="s">
        <v>274</v>
      </c>
      <c r="K195" s="14" t="s">
        <v>1591</v>
      </c>
      <c r="L195" s="14" t="s">
        <v>1592</v>
      </c>
      <c r="M195" s="14" t="s">
        <v>9158</v>
      </c>
      <c r="N195" s="14" t="s">
        <v>9158</v>
      </c>
      <c r="O195" s="14" t="s">
        <v>9158</v>
      </c>
      <c r="P195" s="14" t="s">
        <v>9158</v>
      </c>
      <c r="Q195" s="14" t="s">
        <v>9158</v>
      </c>
      <c r="R195" s="14"/>
    </row>
    <row r="196" spans="1:18">
      <c r="A196" s="9">
        <v>65373</v>
      </c>
      <c r="B196" s="14" t="s">
        <v>334</v>
      </c>
      <c r="C196" s="14" t="s">
        <v>158</v>
      </c>
      <c r="D196" s="14" t="s">
        <v>1593</v>
      </c>
      <c r="E196" s="15" t="str">
        <f>HYPERLINK("https://stat100.ameba.jp/tnk47/ratio20/illustrations/card/ill_65373_kotetsu03.jpg?201811-3-RELEASE-dice-e-379", "■")</f>
        <v>■</v>
      </c>
      <c r="F196" s="14" t="s">
        <v>1594</v>
      </c>
      <c r="G196" s="14">
        <v>90574</v>
      </c>
      <c r="H196" s="14">
        <v>84214</v>
      </c>
      <c r="I196" s="14">
        <v>21</v>
      </c>
      <c r="J196" s="14" t="s">
        <v>414</v>
      </c>
      <c r="K196" s="14" t="s">
        <v>1595</v>
      </c>
      <c r="L196" s="14" t="s">
        <v>1596</v>
      </c>
      <c r="M196" s="14" t="s">
        <v>9158</v>
      </c>
      <c r="N196" s="14" t="s">
        <v>9158</v>
      </c>
      <c r="O196" s="14" t="s">
        <v>9158</v>
      </c>
      <c r="P196" s="14" t="s">
        <v>9158</v>
      </c>
      <c r="Q196" s="14" t="s">
        <v>9158</v>
      </c>
      <c r="R196" s="14"/>
    </row>
    <row r="197" spans="1:18">
      <c r="A197" s="9">
        <v>46063</v>
      </c>
      <c r="B197" s="14" t="s">
        <v>334</v>
      </c>
      <c r="C197" s="14" t="s">
        <v>165</v>
      </c>
      <c r="D197" s="14" t="s">
        <v>845</v>
      </c>
      <c r="E197" s="15" t="str">
        <f>HYPERLINK("https://stat100.ameba.jp/tnk47/ratio20/illustrations/card/ill_46063_kongorikishizo03.jpg?201811-3-RELEASE-dice-e-379", "■")</f>
        <v>■</v>
      </c>
      <c r="F197" s="14" t="s">
        <v>846</v>
      </c>
      <c r="G197" s="14">
        <v>91114</v>
      </c>
      <c r="H197" s="14">
        <v>65502</v>
      </c>
      <c r="I197" s="14">
        <v>21</v>
      </c>
      <c r="J197" s="14" t="s">
        <v>401</v>
      </c>
      <c r="K197" s="14" t="s">
        <v>847</v>
      </c>
      <c r="L197" s="14" t="s">
        <v>848</v>
      </c>
      <c r="M197" s="14" t="s">
        <v>9158</v>
      </c>
      <c r="N197" s="14" t="s">
        <v>9158</v>
      </c>
      <c r="O197" s="14" t="s">
        <v>9158</v>
      </c>
      <c r="P197" s="14" t="s">
        <v>9158</v>
      </c>
      <c r="Q197" s="14" t="s">
        <v>9158</v>
      </c>
      <c r="R197" s="14"/>
    </row>
    <row r="198" spans="1:18">
      <c r="A198" s="9">
        <v>30603</v>
      </c>
      <c r="B198" s="14" t="s">
        <v>334</v>
      </c>
      <c r="C198" s="14" t="s">
        <v>154</v>
      </c>
      <c r="D198" s="14" t="s">
        <v>1597</v>
      </c>
      <c r="E198" s="15" t="str">
        <f>HYPERLINK("https://stat100.ameba.jp/tnk47/ratio20/illustrations/card/ill_30603_haroinnekogami03.jpg?201811-3-RELEASE-dice-e-379", "■")</f>
        <v>■</v>
      </c>
      <c r="F198" s="14" t="s">
        <v>1598</v>
      </c>
      <c r="G198" s="14">
        <v>80942</v>
      </c>
      <c r="H198" s="14">
        <v>75254</v>
      </c>
      <c r="I198" s="14">
        <v>21</v>
      </c>
      <c r="J198" s="14" t="s">
        <v>320</v>
      </c>
      <c r="K198" s="14" t="s">
        <v>1599</v>
      </c>
      <c r="L198" s="14" t="s">
        <v>1600</v>
      </c>
      <c r="M198" s="14" t="s">
        <v>9158</v>
      </c>
      <c r="N198" s="14" t="s">
        <v>9158</v>
      </c>
      <c r="O198" s="14" t="s">
        <v>9158</v>
      </c>
      <c r="P198" s="14" t="s">
        <v>9158</v>
      </c>
      <c r="Q198" s="14" t="s">
        <v>9158</v>
      </c>
      <c r="R198" s="14"/>
    </row>
    <row r="199" spans="1:18">
      <c r="B199" s="14"/>
      <c r="C199" s="14"/>
      <c r="D199" s="14"/>
      <c r="F199" s="14"/>
      <c r="G199" s="14"/>
      <c r="H199" s="14"/>
      <c r="I199" s="14"/>
      <c r="J199" s="14"/>
      <c r="K199" s="14"/>
      <c r="L199" s="14"/>
      <c r="M199" s="14"/>
      <c r="N199" s="14"/>
      <c r="P199" s="14"/>
      <c r="Q199" s="14"/>
      <c r="R199" s="14"/>
    </row>
    <row r="200" spans="1:18">
      <c r="A200" s="14" t="s">
        <v>1214</v>
      </c>
      <c r="D200" s="14"/>
      <c r="F200" s="14"/>
      <c r="G200" s="14"/>
      <c r="H200" s="14"/>
      <c r="I200" s="14"/>
      <c r="J200" s="14"/>
      <c r="K200" s="14"/>
      <c r="L200" s="14"/>
      <c r="M200" s="14"/>
      <c r="N200" s="14"/>
      <c r="P200" s="14"/>
      <c r="Q200" s="14"/>
      <c r="R200" s="14"/>
    </row>
    <row r="201" spans="1:18">
      <c r="A201" s="14" t="s">
        <v>1601</v>
      </c>
      <c r="B201" s="14"/>
      <c r="C201" s="14"/>
      <c r="D201" s="14"/>
      <c r="F201" s="14"/>
      <c r="G201" s="14"/>
      <c r="H201" s="14"/>
      <c r="I201" s="14"/>
      <c r="J201" s="14"/>
      <c r="K201" s="14"/>
      <c r="L201" s="14"/>
      <c r="M201" s="14"/>
      <c r="N201" s="14"/>
      <c r="P201" s="14"/>
      <c r="Q201" s="14"/>
      <c r="R201" s="14"/>
    </row>
    <row r="202" spans="1:18">
      <c r="A202" s="9">
        <v>76073</v>
      </c>
      <c r="B202" s="14" t="s">
        <v>334</v>
      </c>
      <c r="C202" s="14" t="s">
        <v>154</v>
      </c>
      <c r="D202" s="14" t="s">
        <v>1602</v>
      </c>
      <c r="E202" s="15" t="str">
        <f>HYPERLINK("https://stat100.ameba.jp/tnk47/ratio20/illustrations/card/ill_76073_kokidogatapatobatora03.jpg?201811-3-RELEASE-dice-e-379x", "■")</f>
        <v>■</v>
      </c>
      <c r="F202" s="14" t="s">
        <v>1603</v>
      </c>
      <c r="G202" s="14">
        <v>134446</v>
      </c>
      <c r="H202" s="14">
        <v>125008</v>
      </c>
      <c r="I202" s="14">
        <v>22</v>
      </c>
      <c r="J202" s="14" t="s">
        <v>310</v>
      </c>
      <c r="K202" s="14" t="s">
        <v>1604</v>
      </c>
      <c r="L202" s="14" t="s">
        <v>1605</v>
      </c>
      <c r="M202" s="14" t="s">
        <v>9158</v>
      </c>
      <c r="N202" s="14" t="s">
        <v>9158</v>
      </c>
      <c r="O202" s="14" t="s">
        <v>9158</v>
      </c>
      <c r="P202" s="14" t="s">
        <v>9158</v>
      </c>
      <c r="Q202" s="14" t="s">
        <v>9158</v>
      </c>
      <c r="R202" s="14"/>
    </row>
    <row r="203" spans="1:18">
      <c r="A203" s="9">
        <v>76083</v>
      </c>
      <c r="B203" s="14" t="s">
        <v>334</v>
      </c>
      <c r="C203" s="14" t="s">
        <v>158</v>
      </c>
      <c r="D203" s="14" t="s">
        <v>1606</v>
      </c>
      <c r="E203" s="15" t="str">
        <f>HYPERLINK("https://stat100.ameba.jp/tnk47/ratio20/illustrations/card/ill_76083_dokutamedeikku03.jpg?201811-3-RELEASE-dice-e-379x", "■")</f>
        <v>■</v>
      </c>
      <c r="F203" s="14" t="s">
        <v>1607</v>
      </c>
      <c r="G203" s="14">
        <v>96610</v>
      </c>
      <c r="H203" s="14">
        <v>103888</v>
      </c>
      <c r="I203" s="14">
        <v>22</v>
      </c>
      <c r="J203" s="14" t="s">
        <v>414</v>
      </c>
      <c r="K203" s="14" t="s">
        <v>1608</v>
      </c>
      <c r="L203" s="14" t="s">
        <v>1609</v>
      </c>
      <c r="M203" s="14" t="s">
        <v>9158</v>
      </c>
      <c r="N203" s="14" t="s">
        <v>9158</v>
      </c>
      <c r="O203" s="14" t="s">
        <v>9158</v>
      </c>
      <c r="P203" s="14" t="s">
        <v>9158</v>
      </c>
      <c r="Q203" s="14" t="s">
        <v>9158</v>
      </c>
      <c r="R203" s="14"/>
    </row>
    <row r="204" spans="1:18">
      <c r="A204" s="9">
        <v>76093</v>
      </c>
      <c r="B204" s="14" t="s">
        <v>334</v>
      </c>
      <c r="C204" s="14" t="s">
        <v>202</v>
      </c>
      <c r="D204" s="14" t="s">
        <v>1610</v>
      </c>
      <c r="E204" s="15" t="str">
        <f>HYPERLINK("https://stat100.ameba.jp/tnk47/ratio20/illustrations/card/ill_76093_fuaiafuaita03.jpg?201811-3-RELEASE-dice-e-379x", "■")</f>
        <v>■</v>
      </c>
      <c r="F204" s="14" t="s">
        <v>1611</v>
      </c>
      <c r="G204" s="14">
        <v>96610</v>
      </c>
      <c r="H204" s="14">
        <v>103888</v>
      </c>
      <c r="I204" s="14">
        <v>22</v>
      </c>
      <c r="J204" s="14" t="s">
        <v>351</v>
      </c>
      <c r="K204" s="14" t="s">
        <v>1612</v>
      </c>
      <c r="L204" s="14" t="s">
        <v>1613</v>
      </c>
      <c r="M204" s="14" t="s">
        <v>9158</v>
      </c>
      <c r="N204" s="14" t="s">
        <v>9158</v>
      </c>
      <c r="O204" s="14" t="s">
        <v>9158</v>
      </c>
      <c r="P204" s="14" t="s">
        <v>9158</v>
      </c>
      <c r="Q204" s="14" t="s">
        <v>9158</v>
      </c>
      <c r="R204" s="14"/>
    </row>
    <row r="205" spans="1:18">
      <c r="A205" s="9">
        <v>74413</v>
      </c>
      <c r="B205" s="14" t="s">
        <v>334</v>
      </c>
      <c r="C205" s="14" t="s">
        <v>202</v>
      </c>
      <c r="D205" s="14" t="s">
        <v>1614</v>
      </c>
      <c r="E205" s="15" t="str">
        <f>HYPERLINK("https://stat100.ameba.jp/tnk47/ratio20/illustrations/card/ill_74413_mutekisenkanyamato03.jpg?201811-3-RELEASE-dice-e-379x", "■")</f>
        <v>■</v>
      </c>
      <c r="F205" s="14" t="s">
        <v>1615</v>
      </c>
      <c r="G205" s="14">
        <v>129556</v>
      </c>
      <c r="H205" s="14">
        <v>120470</v>
      </c>
      <c r="I205" s="14">
        <v>22</v>
      </c>
      <c r="J205" s="14" t="s">
        <v>274</v>
      </c>
      <c r="K205" s="14" t="s">
        <v>1616</v>
      </c>
      <c r="L205" s="14" t="s">
        <v>1617</v>
      </c>
      <c r="M205" s="14" t="s">
        <v>9158</v>
      </c>
      <c r="N205" s="14" t="s">
        <v>9158</v>
      </c>
      <c r="O205" s="14" t="s">
        <v>9158</v>
      </c>
      <c r="P205" s="14" t="s">
        <v>9158</v>
      </c>
      <c r="Q205" s="14" t="s">
        <v>9158</v>
      </c>
      <c r="R205" s="14"/>
    </row>
    <row r="206" spans="1:18">
      <c r="A206" s="9">
        <v>74373</v>
      </c>
      <c r="B206" s="14" t="s">
        <v>334</v>
      </c>
      <c r="C206" s="14" t="s">
        <v>158</v>
      </c>
      <c r="D206" s="14" t="s">
        <v>1618</v>
      </c>
      <c r="E206" s="15" t="str">
        <f>HYPERLINK("https://stat100.ameba.jp/tnk47/ratio20/illustrations/card/ill_74373_shirasaginomaihimejijou03.jpg?201811-3-RELEASE-dice-e-379x", "■")</f>
        <v>■</v>
      </c>
      <c r="F206" s="14" t="s">
        <v>1619</v>
      </c>
      <c r="G206" s="14">
        <v>86778</v>
      </c>
      <c r="H206" s="14">
        <v>80708</v>
      </c>
      <c r="I206" s="14">
        <v>22</v>
      </c>
      <c r="J206" s="14" t="s">
        <v>401</v>
      </c>
      <c r="K206" s="14" t="s">
        <v>1620</v>
      </c>
      <c r="L206" s="14" t="s">
        <v>1621</v>
      </c>
      <c r="M206" s="14" t="s">
        <v>9158</v>
      </c>
      <c r="N206" s="14" t="s">
        <v>9158</v>
      </c>
      <c r="O206" s="14" t="s">
        <v>9158</v>
      </c>
      <c r="P206" s="14" t="s">
        <v>9158</v>
      </c>
      <c r="Q206" s="14" t="s">
        <v>9158</v>
      </c>
      <c r="R206" s="14"/>
    </row>
    <row r="207" spans="1:18">
      <c r="A207" s="9">
        <v>74363</v>
      </c>
      <c r="B207" s="14" t="s">
        <v>334</v>
      </c>
      <c r="C207" s="14" t="s">
        <v>154</v>
      </c>
      <c r="D207" s="14" t="s">
        <v>1622</v>
      </c>
      <c r="E207" s="15" t="str">
        <f>HYPERLINK("https://stat100.ameba.jp/tnk47/ratio20/illustrations/card/ill_74363_gantorikuren03.jpg?201811-3-RELEASE-dice-e-379x", "■")</f>
        <v>■</v>
      </c>
      <c r="F207" s="14" t="s">
        <v>1623</v>
      </c>
      <c r="G207" s="14">
        <v>82978</v>
      </c>
      <c r="H207" s="14">
        <v>89222</v>
      </c>
      <c r="I207" s="14">
        <v>22</v>
      </c>
      <c r="J207" s="14" t="s">
        <v>369</v>
      </c>
      <c r="K207" s="14" t="s">
        <v>1624</v>
      </c>
      <c r="L207" s="14" t="s">
        <v>1625</v>
      </c>
      <c r="M207" s="14" t="s">
        <v>9158</v>
      </c>
      <c r="N207" s="14" t="s">
        <v>9158</v>
      </c>
      <c r="O207" s="14" t="s">
        <v>9158</v>
      </c>
      <c r="P207" s="14" t="s">
        <v>9158</v>
      </c>
      <c r="Q207" s="14" t="s">
        <v>9158</v>
      </c>
      <c r="R207" s="14"/>
    </row>
    <row r="208" spans="1:18">
      <c r="B208" s="14"/>
      <c r="C208" s="14"/>
      <c r="D208" s="14"/>
      <c r="F208" s="14"/>
      <c r="G208" s="14"/>
      <c r="H208" s="14"/>
      <c r="I208" s="14"/>
      <c r="J208" s="14"/>
      <c r="K208" s="14"/>
      <c r="L208" s="14"/>
      <c r="M208" s="14"/>
      <c r="N208" s="14"/>
      <c r="P208" s="14"/>
      <c r="Q208" s="14"/>
      <c r="R208" s="14"/>
    </row>
    <row r="209" spans="1:18">
      <c r="A209" s="14" t="s">
        <v>13326</v>
      </c>
      <c r="D209" s="14"/>
      <c r="F209" s="14"/>
      <c r="G209" s="14"/>
      <c r="H209" s="14"/>
      <c r="I209" s="14"/>
      <c r="J209" s="14"/>
      <c r="K209" s="14"/>
      <c r="L209" s="14"/>
      <c r="M209" s="14"/>
      <c r="N209" s="14"/>
      <c r="P209" s="14"/>
      <c r="Q209" s="14"/>
      <c r="R209" s="14"/>
    </row>
    <row r="210" spans="1:18">
      <c r="A210" s="14" t="s">
        <v>1626</v>
      </c>
      <c r="C210" s="14"/>
      <c r="D210" s="14"/>
      <c r="F210" s="14"/>
      <c r="G210" s="14"/>
      <c r="H210" s="14"/>
      <c r="I210" s="14"/>
      <c r="J210" s="14"/>
      <c r="K210" s="14"/>
      <c r="L210" s="14"/>
      <c r="M210" s="14"/>
      <c r="N210" s="14"/>
      <c r="P210" s="14"/>
      <c r="Q210" s="14"/>
      <c r="R210" s="14"/>
    </row>
    <row r="211" spans="1:18">
      <c r="A211" s="9">
        <v>71873</v>
      </c>
      <c r="B211" s="14" t="s">
        <v>334</v>
      </c>
      <c r="C211" s="14" t="s">
        <v>185</v>
      </c>
      <c r="D211" s="14" t="s">
        <v>210</v>
      </c>
      <c r="E211" s="15" t="str">
        <f>HYPERLINK("https://stat100.ameba.jp/tnk47/ratio20/illustrations/card/ill_71873_akashita03.jpg?201811-3-RELEASE-dice-e-379x", "■")</f>
        <v>■</v>
      </c>
      <c r="F211" s="14" t="s">
        <v>691</v>
      </c>
      <c r="G211" s="14">
        <v>105715</v>
      </c>
      <c r="H211" s="14">
        <v>98285</v>
      </c>
      <c r="I211" s="14">
        <v>21</v>
      </c>
      <c r="J211" s="14" t="s">
        <v>182</v>
      </c>
      <c r="K211" s="14" t="s">
        <v>217</v>
      </c>
      <c r="L211" s="14" t="s">
        <v>13140</v>
      </c>
      <c r="M211" s="14" t="s">
        <v>13131</v>
      </c>
      <c r="N211" s="14" t="s">
        <v>251</v>
      </c>
      <c r="O211" s="14" t="s">
        <v>9158</v>
      </c>
      <c r="P211" s="14" t="s">
        <v>9158</v>
      </c>
      <c r="Q211" s="14" t="s">
        <v>9158</v>
      </c>
      <c r="R211" s="14"/>
    </row>
    <row r="212" spans="1:18">
      <c r="A212" s="9">
        <v>71872</v>
      </c>
      <c r="B212" s="14" t="s">
        <v>334</v>
      </c>
      <c r="C212" s="14" t="s">
        <v>185</v>
      </c>
      <c r="D212" s="14" t="s">
        <v>210</v>
      </c>
      <c r="E212" s="15" t="str">
        <f>HYPERLINK("https://stat100.ameba.jp/tnk47/ratio20/illustrations/card/ill_71872_akashita02.jpg?201811-3-RELEASE-dice-e-379x", "■")</f>
        <v>■</v>
      </c>
      <c r="F212" s="14" t="s">
        <v>691</v>
      </c>
      <c r="G212" s="14">
        <v>88317</v>
      </c>
      <c r="H212" s="14">
        <v>81400</v>
      </c>
      <c r="I212" s="14">
        <v>21</v>
      </c>
      <c r="J212" s="14" t="s">
        <v>182</v>
      </c>
      <c r="K212" s="14" t="s">
        <v>217</v>
      </c>
      <c r="L212" s="14" t="s">
        <v>13140</v>
      </c>
      <c r="M212" s="14" t="s">
        <v>13131</v>
      </c>
      <c r="N212" s="14" t="s">
        <v>251</v>
      </c>
      <c r="O212" s="14" t="s">
        <v>9158</v>
      </c>
      <c r="P212" s="14" t="s">
        <v>9158</v>
      </c>
      <c r="Q212" s="14" t="s">
        <v>9158</v>
      </c>
      <c r="R212" s="14"/>
    </row>
    <row r="213" spans="1:18">
      <c r="A213" s="9">
        <v>71871</v>
      </c>
      <c r="B213" s="14" t="s">
        <v>334</v>
      </c>
      <c r="C213" s="14" t="s">
        <v>185</v>
      </c>
      <c r="D213" s="14" t="s">
        <v>210</v>
      </c>
      <c r="E213" s="15" t="str">
        <f>HYPERLINK("https://stat100.ameba.jp/tnk47/ratio20/illustrations/card/ill_71871_akashita01.jpg?201811-3-RELEASE-dice-e-379x", "■")</f>
        <v>■</v>
      </c>
      <c r="F213" s="14" t="s">
        <v>691</v>
      </c>
      <c r="G213" s="14">
        <v>67473</v>
      </c>
      <c r="H213" s="14">
        <v>62811</v>
      </c>
      <c r="I213" s="14">
        <v>21</v>
      </c>
      <c r="J213" s="14" t="s">
        <v>182</v>
      </c>
      <c r="K213" s="14" t="s">
        <v>217</v>
      </c>
      <c r="L213" s="14" t="s">
        <v>13140</v>
      </c>
      <c r="M213" s="14" t="s">
        <v>13131</v>
      </c>
      <c r="N213" s="14" t="s">
        <v>251</v>
      </c>
      <c r="O213" s="14" t="s">
        <v>9158</v>
      </c>
      <c r="P213" s="14" t="s">
        <v>9158</v>
      </c>
      <c r="Q213" s="14" t="s">
        <v>9158</v>
      </c>
      <c r="R213" s="14"/>
    </row>
    <row r="214" spans="1:18">
      <c r="A214" s="9">
        <v>72693</v>
      </c>
      <c r="B214" s="14" t="s">
        <v>334</v>
      </c>
      <c r="C214" s="14" t="s">
        <v>200</v>
      </c>
      <c r="D214" s="14" t="s">
        <v>211</v>
      </c>
      <c r="E214" s="15" t="str">
        <f>HYPERLINK("https://stat100.ameba.jp/tnk47/ratio20/illustrations/card/ill_72693_sagarasozo03.jpg?201811-3-RELEASE-dice-e-379x", "■")</f>
        <v>■</v>
      </c>
      <c r="F214" s="14" t="s">
        <v>692</v>
      </c>
      <c r="G214" s="14">
        <v>98285</v>
      </c>
      <c r="H214" s="14">
        <v>105715</v>
      </c>
      <c r="I214" s="14">
        <v>21</v>
      </c>
      <c r="J214" s="14" t="s">
        <v>194</v>
      </c>
      <c r="K214" s="14" t="s">
        <v>218</v>
      </c>
      <c r="L214" s="14" t="s">
        <v>9892</v>
      </c>
      <c r="M214" s="14" t="s">
        <v>13131</v>
      </c>
      <c r="N214" s="14" t="s">
        <v>251</v>
      </c>
      <c r="O214" s="14" t="s">
        <v>9158</v>
      </c>
      <c r="P214" s="14" t="s">
        <v>9158</v>
      </c>
      <c r="Q214" s="14" t="s">
        <v>9158</v>
      </c>
      <c r="R214" s="14"/>
    </row>
    <row r="215" spans="1:18">
      <c r="A215" s="9">
        <v>72703</v>
      </c>
      <c r="B215" s="14" t="s">
        <v>334</v>
      </c>
      <c r="C215" s="14" t="s">
        <v>191</v>
      </c>
      <c r="D215" s="14" t="s">
        <v>212</v>
      </c>
      <c r="E215" s="15" t="str">
        <f>HYPERLINK("https://stat100.ameba.jp/tnk47/ratio20/illustrations/card/ill_72703_hayakawanoritsugu03.jpg?201811-3-RELEASE-dice-e-379x", "■")</f>
        <v>■</v>
      </c>
      <c r="F215" s="14" t="s">
        <v>693</v>
      </c>
      <c r="G215" s="14">
        <v>105715</v>
      </c>
      <c r="H215" s="14">
        <v>98285</v>
      </c>
      <c r="I215" s="14">
        <v>21</v>
      </c>
      <c r="J215" s="14" t="s">
        <v>173</v>
      </c>
      <c r="K215" s="14" t="s">
        <v>219</v>
      </c>
      <c r="L215" s="14" t="s">
        <v>9893</v>
      </c>
      <c r="M215" s="14" t="s">
        <v>13131</v>
      </c>
      <c r="N215" s="14" t="s">
        <v>251</v>
      </c>
      <c r="O215" s="14" t="s">
        <v>9158</v>
      </c>
      <c r="P215" s="14" t="s">
        <v>9158</v>
      </c>
      <c r="Q215" s="14" t="s">
        <v>9158</v>
      </c>
      <c r="R215" s="14"/>
    </row>
    <row r="216" spans="1:18">
      <c r="A216" s="9">
        <v>73523</v>
      </c>
      <c r="B216" s="14" t="s">
        <v>334</v>
      </c>
      <c r="C216" s="14" t="s">
        <v>165</v>
      </c>
      <c r="D216" s="14" t="s">
        <v>213</v>
      </c>
      <c r="E216" s="15" t="str">
        <f>HYPERLINK("https://stat100.ameba.jp/tnk47/ratio20/illustrations/card/ill_73523_marunomarudono03.jpg?201811-3-RELEASE-dice-e-379x", "■")</f>
        <v>■</v>
      </c>
      <c r="F216" s="14" t="s">
        <v>694</v>
      </c>
      <c r="G216" s="14">
        <v>98285</v>
      </c>
      <c r="H216" s="14">
        <v>105715</v>
      </c>
      <c r="I216" s="14">
        <v>21</v>
      </c>
      <c r="J216" s="14" t="s">
        <v>187</v>
      </c>
      <c r="K216" s="14" t="s">
        <v>220</v>
      </c>
      <c r="L216" s="14" t="s">
        <v>9894</v>
      </c>
      <c r="M216" s="14" t="s">
        <v>13131</v>
      </c>
      <c r="N216" s="14" t="s">
        <v>251</v>
      </c>
      <c r="O216" s="14" t="s">
        <v>9158</v>
      </c>
      <c r="P216" s="14" t="s">
        <v>9158</v>
      </c>
      <c r="Q216" s="14" t="s">
        <v>9158</v>
      </c>
      <c r="R216" s="14"/>
    </row>
    <row r="217" spans="1:18">
      <c r="A217" s="9">
        <v>72713</v>
      </c>
      <c r="B217" s="14" t="s">
        <v>334</v>
      </c>
      <c r="C217" s="14" t="s">
        <v>205</v>
      </c>
      <c r="D217" s="14" t="s">
        <v>214</v>
      </c>
      <c r="E217" s="15" t="str">
        <f>HYPERLINK("https://stat100.ameba.jp/tnk47/ratio20/illustrations/card/ill_72713_okamuzuminomikoto03.jpg?201811-3-RELEASE-dice-e-379x", "■")</f>
        <v>■</v>
      </c>
      <c r="F217" s="14" t="s">
        <v>695</v>
      </c>
      <c r="G217" s="14">
        <v>98285</v>
      </c>
      <c r="H217" s="14">
        <v>105715</v>
      </c>
      <c r="I217" s="14">
        <v>21</v>
      </c>
      <c r="J217" s="14" t="s">
        <v>169</v>
      </c>
      <c r="K217" s="14" t="s">
        <v>221</v>
      </c>
      <c r="L217" s="14" t="s">
        <v>9895</v>
      </c>
      <c r="M217" s="14" t="s">
        <v>13131</v>
      </c>
      <c r="N217" s="14" t="s">
        <v>251</v>
      </c>
      <c r="O217" s="14" t="s">
        <v>9158</v>
      </c>
      <c r="P217" s="14" t="s">
        <v>9158</v>
      </c>
      <c r="Q217" s="14" t="s">
        <v>9158</v>
      </c>
      <c r="R217" s="14"/>
    </row>
    <row r="218" spans="1:18">
      <c r="A218" s="9">
        <v>73533</v>
      </c>
      <c r="B218" s="14" t="s">
        <v>334</v>
      </c>
      <c r="C218" s="14" t="s">
        <v>206</v>
      </c>
      <c r="D218" s="14" t="s">
        <v>215</v>
      </c>
      <c r="E218" s="15" t="str">
        <f>HYPERLINK("https://stat100.ameba.jp/tnk47/ratio20/illustrations/card/ill_73533_agubutachan03.jpg?201811-3-RELEASE-dice-e-379x", "■")</f>
        <v>■</v>
      </c>
      <c r="F218" s="14" t="s">
        <v>696</v>
      </c>
      <c r="G218" s="14">
        <v>105715</v>
      </c>
      <c r="H218" s="14">
        <v>98285</v>
      </c>
      <c r="I218" s="14">
        <v>21</v>
      </c>
      <c r="J218" s="14" t="s">
        <v>216</v>
      </c>
      <c r="K218" s="14" t="s">
        <v>697</v>
      </c>
      <c r="L218" s="14" t="s">
        <v>9896</v>
      </c>
      <c r="M218" s="14" t="s">
        <v>13131</v>
      </c>
      <c r="N218" s="14" t="s">
        <v>251</v>
      </c>
      <c r="O218" s="14" t="s">
        <v>9158</v>
      </c>
      <c r="P218" s="14" t="s">
        <v>9158</v>
      </c>
      <c r="Q218" s="14" t="s">
        <v>9158</v>
      </c>
      <c r="R218" s="14"/>
    </row>
    <row r="219" spans="1:18">
      <c r="B219" s="14"/>
      <c r="C219" s="14"/>
      <c r="D219" s="14"/>
      <c r="F219" s="14"/>
      <c r="G219" s="14"/>
      <c r="H219" s="14"/>
      <c r="I219" s="14"/>
      <c r="J219" s="14"/>
      <c r="K219" s="14"/>
      <c r="L219" s="14"/>
      <c r="M219" s="14"/>
      <c r="N219" s="14"/>
      <c r="P219" s="14"/>
      <c r="Q219" s="14"/>
      <c r="R219" s="14"/>
    </row>
    <row r="220" spans="1:18">
      <c r="A220" s="14" t="s">
        <v>222</v>
      </c>
      <c r="D220" s="14"/>
      <c r="F220" s="14"/>
      <c r="G220" s="14"/>
      <c r="H220" s="14"/>
      <c r="I220" s="14"/>
      <c r="J220" s="14"/>
      <c r="K220" s="14"/>
      <c r="L220" s="14"/>
      <c r="M220" s="14"/>
      <c r="N220" s="14"/>
      <c r="P220" s="14"/>
      <c r="Q220" s="14"/>
      <c r="R220" s="14"/>
    </row>
    <row r="221" spans="1:18">
      <c r="A221" s="14" t="s">
        <v>1627</v>
      </c>
      <c r="B221" s="14"/>
      <c r="C221" s="14"/>
      <c r="D221" s="14"/>
      <c r="F221" s="14"/>
      <c r="G221" s="14"/>
      <c r="H221" s="14"/>
      <c r="I221" s="14"/>
      <c r="J221" s="14"/>
      <c r="K221" s="14"/>
      <c r="L221" s="14"/>
      <c r="M221" s="14"/>
      <c r="N221" s="14"/>
      <c r="P221" s="14"/>
      <c r="Q221" s="14"/>
      <c r="R221" s="14"/>
    </row>
    <row r="222" spans="1:18">
      <c r="A222" s="9" t="s">
        <v>5603</v>
      </c>
      <c r="B222" s="14" t="s">
        <v>330</v>
      </c>
      <c r="C222" s="14" t="s">
        <v>205</v>
      </c>
      <c r="D222" s="14" t="s">
        <v>611</v>
      </c>
      <c r="E222" s="15" t="str">
        <f>HYPERLINK("https://stat100.ameba.jp/tnk47/ratio20/illustrations/card/ill_61893_0_onikirishumiyamotomusashi03.jpg?201811-3-RELEASE-dice-e-379x", "■")</f>
        <v>■</v>
      </c>
      <c r="F222" s="14" t="s">
        <v>612</v>
      </c>
      <c r="G222" s="14">
        <v>168020</v>
      </c>
      <c r="H222" s="14">
        <v>156232</v>
      </c>
      <c r="I222" s="14">
        <v>18</v>
      </c>
      <c r="J222" s="14" t="s">
        <v>310</v>
      </c>
      <c r="K222" s="14" t="s">
        <v>613</v>
      </c>
      <c r="L222" s="14" t="s">
        <v>312</v>
      </c>
      <c r="M222" s="14" t="s">
        <v>9158</v>
      </c>
      <c r="N222" s="14" t="s">
        <v>9158</v>
      </c>
      <c r="O222" s="9" t="s">
        <v>3252</v>
      </c>
      <c r="P222" s="14" t="s">
        <v>3253</v>
      </c>
      <c r="Q222" s="14">
        <v>1</v>
      </c>
      <c r="R222" s="14"/>
    </row>
    <row r="223" spans="1:18">
      <c r="A223" s="9" t="s">
        <v>5820</v>
      </c>
      <c r="B223" s="14" t="s">
        <v>330</v>
      </c>
      <c r="C223" s="14" t="s">
        <v>200</v>
      </c>
      <c r="D223" s="14" t="s">
        <v>2346</v>
      </c>
      <c r="E223" s="15" t="str">
        <f>HYPERLINK("https://stat100.ameba.jp/tnk47/ratio20/illustrations/card/ill_48283_0_kyuubitamamonomae03.jpg?201811-3-RELEASE-dice-e-379x", "■")</f>
        <v>■</v>
      </c>
      <c r="F223" s="14" t="s">
        <v>631</v>
      </c>
      <c r="G223" s="14">
        <v>113082</v>
      </c>
      <c r="H223" s="14">
        <v>100454</v>
      </c>
      <c r="I223" s="14">
        <v>18</v>
      </c>
      <c r="J223" s="14" t="s">
        <v>320</v>
      </c>
      <c r="K223" s="14" t="s">
        <v>632</v>
      </c>
      <c r="L223" s="14" t="s">
        <v>633</v>
      </c>
      <c r="M223" s="14" t="s">
        <v>9158</v>
      </c>
      <c r="N223" s="14" t="s">
        <v>9158</v>
      </c>
      <c r="O223" s="14" t="s">
        <v>9158</v>
      </c>
      <c r="P223" s="14" t="s">
        <v>9158</v>
      </c>
      <c r="Q223" s="14" t="s">
        <v>9158</v>
      </c>
      <c r="R223" s="14"/>
    </row>
    <row r="224" spans="1:18">
      <c r="A224" s="9">
        <v>77761</v>
      </c>
      <c r="B224" s="14" t="s">
        <v>334</v>
      </c>
      <c r="C224" s="14" t="s">
        <v>209</v>
      </c>
      <c r="D224" s="14" t="s">
        <v>1628</v>
      </c>
      <c r="E224" s="15" t="str">
        <f>HYPERLINK("https://stat100.ameba.jp/tnk47/ratio20/illustrations/card/ill_77761_higashinotoraiengi01.jpg?201811-3-RELEASE-dice-e-379x", "■")</f>
        <v>■</v>
      </c>
      <c r="F224" s="14" t="s">
        <v>1629</v>
      </c>
      <c r="G224" s="14">
        <v>54846</v>
      </c>
      <c r="H224" s="14">
        <v>51040</v>
      </c>
      <c r="I224" s="14">
        <v>22</v>
      </c>
      <c r="J224" s="14" t="s">
        <v>351</v>
      </c>
      <c r="K224" s="14" t="s">
        <v>1630</v>
      </c>
      <c r="L224" s="14" t="s">
        <v>1631</v>
      </c>
      <c r="M224" s="14" t="s">
        <v>9158</v>
      </c>
      <c r="N224" s="14" t="s">
        <v>9158</v>
      </c>
      <c r="O224" s="14" t="s">
        <v>9158</v>
      </c>
      <c r="P224" s="14" t="s">
        <v>9158</v>
      </c>
      <c r="Q224" s="14" t="s">
        <v>9158</v>
      </c>
      <c r="R224" s="14"/>
    </row>
    <row r="225" spans="1:18">
      <c r="A225" s="9">
        <v>77771</v>
      </c>
      <c r="B225" s="14" t="s">
        <v>334</v>
      </c>
      <c r="C225" s="14" t="s">
        <v>203</v>
      </c>
      <c r="D225" s="14" t="s">
        <v>1632</v>
      </c>
      <c r="E225" s="15" t="str">
        <f>HYPERLINK("https://stat100.ameba.jp/tnk47/ratio20/illustrations/card/ill_77771_nishinotoraiengi01.jpg?201811-3-RELEASE-dice-e-379x", "■")</f>
        <v>■</v>
      </c>
      <c r="F225" s="14" t="s">
        <v>1633</v>
      </c>
      <c r="G225" s="14">
        <v>54846</v>
      </c>
      <c r="H225" s="14">
        <v>51040</v>
      </c>
      <c r="I225" s="14">
        <v>22</v>
      </c>
      <c r="J225" s="14" t="s">
        <v>351</v>
      </c>
      <c r="K225" s="14" t="s">
        <v>1634</v>
      </c>
      <c r="L225" s="14" t="s">
        <v>1631</v>
      </c>
      <c r="M225" s="14" t="s">
        <v>9158</v>
      </c>
      <c r="N225" s="14" t="s">
        <v>9158</v>
      </c>
      <c r="O225" s="14" t="s">
        <v>9158</v>
      </c>
      <c r="P225" s="14" t="s">
        <v>9158</v>
      </c>
      <c r="Q225" s="14" t="s">
        <v>9158</v>
      </c>
      <c r="R225" s="14"/>
    </row>
    <row r="226" spans="1:18">
      <c r="A226" s="9">
        <v>77783</v>
      </c>
      <c r="B226" s="14" t="s">
        <v>334</v>
      </c>
      <c r="C226" s="14" t="s">
        <v>202</v>
      </c>
      <c r="D226" s="14" t="s">
        <v>1635</v>
      </c>
      <c r="E226" s="15" t="str">
        <f>HYPERLINK("https://stat100.ameba.jp/tnk47/ratio20/illustrations/card/ill_77783_ihotoraiengi03.jpg?201811-3-RELEASE-dice-e-379x", "■")</f>
        <v>■</v>
      </c>
      <c r="F226" s="14" t="s">
        <v>1636</v>
      </c>
      <c r="G226" s="14">
        <v>113920</v>
      </c>
      <c r="H226" s="14">
        <v>105900</v>
      </c>
      <c r="I226" s="14">
        <v>22</v>
      </c>
      <c r="J226" s="14" t="s">
        <v>351</v>
      </c>
      <c r="K226" s="14" t="s">
        <v>1637</v>
      </c>
      <c r="L226" s="14" t="s">
        <v>1638</v>
      </c>
      <c r="M226" s="14" t="s">
        <v>9158</v>
      </c>
      <c r="N226" s="14" t="s">
        <v>9158</v>
      </c>
      <c r="O226" s="14" t="s">
        <v>9158</v>
      </c>
      <c r="P226" s="14" t="s">
        <v>9158</v>
      </c>
      <c r="Q226" s="14" t="s">
        <v>9158</v>
      </c>
      <c r="R226" s="14"/>
    </row>
    <row r="227" spans="1:18">
      <c r="A227" s="9">
        <v>66901</v>
      </c>
      <c r="B227" s="14" t="s">
        <v>334</v>
      </c>
      <c r="C227" s="14" t="s">
        <v>209</v>
      </c>
      <c r="D227" s="14" t="s">
        <v>1639</v>
      </c>
      <c r="E227" s="15" t="str">
        <f>HYPERLINK("https://stat100.ameba.jp/tnk47/ratio20/illustrations/card/ill_66901_higashinoreichoengi01.jpg?201811-3-RELEASE-dice-e-379x", "■")</f>
        <v>■</v>
      </c>
      <c r="F227" s="14" t="s">
        <v>1640</v>
      </c>
      <c r="G227" s="14">
        <v>53306</v>
      </c>
      <c r="H227" s="14">
        <v>57266</v>
      </c>
      <c r="I227" s="14">
        <v>22</v>
      </c>
      <c r="J227" s="14" t="s">
        <v>401</v>
      </c>
      <c r="K227" s="14" t="s">
        <v>1641</v>
      </c>
      <c r="L227" s="14" t="s">
        <v>1642</v>
      </c>
      <c r="M227" s="14" t="s">
        <v>9158</v>
      </c>
      <c r="N227" s="14" t="s">
        <v>9158</v>
      </c>
      <c r="O227" s="14" t="s">
        <v>9158</v>
      </c>
      <c r="P227" s="14" t="s">
        <v>9158</v>
      </c>
      <c r="Q227" s="14" t="s">
        <v>9158</v>
      </c>
      <c r="R227" s="14"/>
    </row>
    <row r="228" spans="1:18">
      <c r="A228" s="9">
        <v>66911</v>
      </c>
      <c r="B228" s="14" t="s">
        <v>334</v>
      </c>
      <c r="C228" s="14" t="s">
        <v>203</v>
      </c>
      <c r="D228" s="14" t="s">
        <v>1643</v>
      </c>
      <c r="E228" s="15" t="str">
        <f>HYPERLINK("https://stat100.ameba.jp/tnk47/ratio20/illustrations/card/ill_66911_nishinoreichoengi01.jpg?201811-3-RELEASE-dice-e-379x", "■")</f>
        <v>■</v>
      </c>
      <c r="F228" s="14" t="s">
        <v>1644</v>
      </c>
      <c r="G228" s="14">
        <v>53306</v>
      </c>
      <c r="H228" s="14">
        <v>57266</v>
      </c>
      <c r="I228" s="14">
        <v>22</v>
      </c>
      <c r="J228" s="14" t="s">
        <v>401</v>
      </c>
      <c r="K228" s="14" t="s">
        <v>1645</v>
      </c>
      <c r="L228" s="14" t="s">
        <v>1646</v>
      </c>
      <c r="M228" s="14" t="s">
        <v>9158</v>
      </c>
      <c r="N228" s="14" t="s">
        <v>9158</v>
      </c>
      <c r="O228" s="14" t="s">
        <v>9158</v>
      </c>
      <c r="P228" s="14" t="s">
        <v>9158</v>
      </c>
      <c r="Q228" s="14" t="s">
        <v>9158</v>
      </c>
      <c r="R228" s="14"/>
    </row>
    <row r="229" spans="1:18">
      <c r="A229" s="9">
        <v>66923</v>
      </c>
      <c r="B229" s="14" t="s">
        <v>334</v>
      </c>
      <c r="C229" s="14" t="s">
        <v>202</v>
      </c>
      <c r="D229" s="14" t="s">
        <v>1647</v>
      </c>
      <c r="E229" s="15" t="str">
        <f>HYPERLINK("https://stat100.ameba.jp/tnk47/ratio20/illustrations/card/ill_66923_tembureichoengi03.jpg?201811-3-RELEASE-dice-e-379x", "■")</f>
        <v>■</v>
      </c>
      <c r="F229" s="14" t="s">
        <v>1648</v>
      </c>
      <c r="G229" s="14">
        <v>98810</v>
      </c>
      <c r="H229" s="14">
        <v>106122</v>
      </c>
      <c r="I229" s="14">
        <v>22</v>
      </c>
      <c r="J229" s="14" t="s">
        <v>401</v>
      </c>
      <c r="K229" s="14" t="s">
        <v>1649</v>
      </c>
      <c r="L229" s="14" t="s">
        <v>1650</v>
      </c>
      <c r="M229" s="14" t="s">
        <v>9158</v>
      </c>
      <c r="N229" s="14" t="s">
        <v>9158</v>
      </c>
      <c r="O229" s="14" t="s">
        <v>9158</v>
      </c>
      <c r="P229" s="14" t="s">
        <v>9158</v>
      </c>
      <c r="Q229" s="14" t="s">
        <v>9158</v>
      </c>
      <c r="R229" s="14"/>
    </row>
    <row r="230" spans="1:18">
      <c r="B230" s="14"/>
      <c r="C230" s="14"/>
      <c r="D230" s="14"/>
      <c r="F230" s="14"/>
      <c r="G230" s="14"/>
      <c r="H230" s="14"/>
      <c r="I230" s="14"/>
      <c r="J230" s="14"/>
      <c r="K230" s="14"/>
      <c r="L230" s="14"/>
      <c r="M230" s="14"/>
      <c r="N230" s="14"/>
      <c r="P230" s="14"/>
      <c r="Q230" s="14"/>
      <c r="R230" s="14"/>
    </row>
    <row r="231" spans="1:18">
      <c r="A231" s="14" t="s">
        <v>204</v>
      </c>
      <c r="B231" s="14"/>
      <c r="C231" s="14"/>
      <c r="D231" s="14"/>
      <c r="F231" s="14"/>
      <c r="G231" s="14"/>
      <c r="H231" s="14"/>
      <c r="I231" s="14"/>
      <c r="J231" s="14"/>
      <c r="K231" s="14"/>
      <c r="L231" s="14"/>
      <c r="M231" s="14"/>
      <c r="N231" s="14"/>
      <c r="P231" s="14"/>
      <c r="Q231" s="14"/>
      <c r="R231" s="14"/>
    </row>
    <row r="232" spans="1:18">
      <c r="A232" s="14" t="s">
        <v>1651</v>
      </c>
      <c r="D232" s="14"/>
      <c r="F232" s="14"/>
      <c r="G232" s="14"/>
      <c r="H232" s="14"/>
      <c r="I232" s="14"/>
      <c r="J232" s="14"/>
      <c r="K232" s="14"/>
      <c r="L232" s="14"/>
      <c r="M232" s="14"/>
      <c r="N232" s="14"/>
      <c r="P232" s="14"/>
      <c r="Q232" s="14"/>
      <c r="R232" s="14"/>
    </row>
    <row r="233" spans="1:18">
      <c r="A233" s="9" t="s">
        <v>5603</v>
      </c>
      <c r="B233" s="14" t="s">
        <v>330</v>
      </c>
      <c r="C233" s="14" t="s">
        <v>205</v>
      </c>
      <c r="D233" s="14" t="s">
        <v>611</v>
      </c>
      <c r="E233" s="15" t="str">
        <f>HYPERLINK("https://stat100.ameba.jp/tnk47/ratio20/illustrations/card/ill_61893_0_onikirishumiyamotomusashi03.jpg?201811-3-RELEASE-dice-e-379x", "■")</f>
        <v>■</v>
      </c>
      <c r="F233" s="14" t="s">
        <v>612</v>
      </c>
      <c r="G233" s="14">
        <v>140016</v>
      </c>
      <c r="H233" s="14">
        <v>130194</v>
      </c>
      <c r="I233" s="14">
        <v>15</v>
      </c>
      <c r="J233" s="14" t="s">
        <v>310</v>
      </c>
      <c r="K233" s="14" t="s">
        <v>613</v>
      </c>
      <c r="L233" s="14" t="s">
        <v>312</v>
      </c>
      <c r="M233" s="14" t="s">
        <v>9158</v>
      </c>
      <c r="N233" s="14" t="s">
        <v>9158</v>
      </c>
      <c r="O233" s="9" t="s">
        <v>3252</v>
      </c>
      <c r="P233" s="14" t="s">
        <v>3253</v>
      </c>
      <c r="Q233" s="14">
        <v>1</v>
      </c>
      <c r="R233" s="14"/>
    </row>
    <row r="234" spans="1:18">
      <c r="A234" s="9" t="s">
        <v>5609</v>
      </c>
      <c r="B234" s="14" t="s">
        <v>330</v>
      </c>
      <c r="C234" s="14" t="s">
        <v>200</v>
      </c>
      <c r="D234" s="14" t="s">
        <v>389</v>
      </c>
      <c r="E234" s="15" t="str">
        <f>HYPERLINK("https://stat100.ameba.jp/tnk47/ratio20/illustrations/card/ill_53753_0_natsumatsuritokugawaieyasu03.jpg?201811-3-RELEASE-dice-e-379x", "■")</f>
        <v>■</v>
      </c>
      <c r="F234" s="14" t="s">
        <v>390</v>
      </c>
      <c r="G234" s="14">
        <v>94236</v>
      </c>
      <c r="H234" s="14">
        <v>83712</v>
      </c>
      <c r="I234" s="14">
        <v>15</v>
      </c>
      <c r="J234" s="14" t="s">
        <v>310</v>
      </c>
      <c r="K234" s="14" t="s">
        <v>391</v>
      </c>
      <c r="L234" s="14" t="s">
        <v>392</v>
      </c>
      <c r="M234" s="14" t="s">
        <v>9158</v>
      </c>
      <c r="N234" s="14" t="s">
        <v>9158</v>
      </c>
      <c r="O234" s="17" t="s">
        <v>10052</v>
      </c>
      <c r="P234" s="14" t="s">
        <v>13121</v>
      </c>
      <c r="Q234" s="14">
        <v>1</v>
      </c>
      <c r="R234" s="14"/>
    </row>
    <row r="235" spans="1:18">
      <c r="A235" s="9" t="s">
        <v>5604</v>
      </c>
      <c r="B235" s="14" t="s">
        <v>330</v>
      </c>
      <c r="C235" s="14" t="s">
        <v>206</v>
      </c>
      <c r="D235" s="14" t="s">
        <v>614</v>
      </c>
      <c r="E235" s="15" t="str">
        <f>HYPERLINK("https://stat100.ameba.jp/tnk47/ratio20/illustrations/card/ill_47263_0_oukyuuatsuhime03.jpg?201811-3-RELEASE-dice-e-379x", "■")</f>
        <v>■</v>
      </c>
      <c r="F235" s="14" t="s">
        <v>615</v>
      </c>
      <c r="G235" s="14">
        <v>94236</v>
      </c>
      <c r="H235" s="14">
        <v>83712</v>
      </c>
      <c r="I235" s="14">
        <v>15</v>
      </c>
      <c r="J235" s="14" t="s">
        <v>315</v>
      </c>
      <c r="K235" s="14" t="s">
        <v>616</v>
      </c>
      <c r="L235" s="14" t="s">
        <v>617</v>
      </c>
      <c r="M235" s="14" t="s">
        <v>9158</v>
      </c>
      <c r="N235" s="14" t="s">
        <v>9158</v>
      </c>
      <c r="O235" s="14" t="s">
        <v>9158</v>
      </c>
      <c r="P235" s="14" t="s">
        <v>9158</v>
      </c>
      <c r="Q235" s="14" t="s">
        <v>9158</v>
      </c>
      <c r="R235" s="14"/>
    </row>
    <row r="236" spans="1:18">
      <c r="A236" s="9">
        <v>66783</v>
      </c>
      <c r="B236" s="14" t="s">
        <v>334</v>
      </c>
      <c r="C236" s="14" t="s">
        <v>165</v>
      </c>
      <c r="D236" s="14" t="s">
        <v>1652</v>
      </c>
      <c r="E236" s="15" t="str">
        <f>HYPERLINK("https://stat100.ameba.jp/tnk47/ratio20/illustrations/card/ill_66783_mikimotokokichi03.jpg?201811-3-RELEASE-dice-e-379x", "■")</f>
        <v>■</v>
      </c>
      <c r="F236" s="14" t="s">
        <v>1653</v>
      </c>
      <c r="G236" s="14">
        <v>106100</v>
      </c>
      <c r="H236" s="14">
        <v>59700</v>
      </c>
      <c r="I236" s="14">
        <v>22</v>
      </c>
      <c r="J236" s="14" t="s">
        <v>351</v>
      </c>
      <c r="K236" s="14" t="s">
        <v>1654</v>
      </c>
      <c r="L236" s="14" t="s">
        <v>1655</v>
      </c>
      <c r="M236" s="14" t="s">
        <v>9158</v>
      </c>
      <c r="N236" s="14" t="s">
        <v>9158</v>
      </c>
      <c r="O236" s="14" t="s">
        <v>9158</v>
      </c>
      <c r="P236" s="14" t="s">
        <v>9158</v>
      </c>
      <c r="Q236" s="14" t="s">
        <v>9158</v>
      </c>
      <c r="R236" s="14"/>
    </row>
    <row r="237" spans="1:18">
      <c r="A237" s="9">
        <v>55653</v>
      </c>
      <c r="B237" s="14" t="s">
        <v>334</v>
      </c>
      <c r="C237" s="14" t="s">
        <v>191</v>
      </c>
      <c r="D237" s="14" t="s">
        <v>1656</v>
      </c>
      <c r="E237" s="15" t="str">
        <f>HYPERLINK("https://stat100.ameba.jp/tnk47/ratio20/illustrations/card/ill_55653_kaidoichinoyumitoriimagawayoshimoto03.jpg?201811-3-RELEASE-dice-e-379x", "■")</f>
        <v>■</v>
      </c>
      <c r="F237" s="14" t="s">
        <v>1657</v>
      </c>
      <c r="G237" s="14">
        <v>130416</v>
      </c>
      <c r="H237" s="14">
        <v>78838</v>
      </c>
      <c r="I237" s="14">
        <v>22</v>
      </c>
      <c r="J237" s="14" t="s">
        <v>310</v>
      </c>
      <c r="K237" s="14" t="s">
        <v>1658</v>
      </c>
      <c r="L237" s="14" t="s">
        <v>1659</v>
      </c>
      <c r="M237" s="14" t="s">
        <v>9158</v>
      </c>
      <c r="N237" s="14" t="s">
        <v>9158</v>
      </c>
      <c r="O237" s="14" t="s">
        <v>9158</v>
      </c>
      <c r="P237" s="14" t="s">
        <v>9158</v>
      </c>
      <c r="Q237" s="14" t="s">
        <v>9158</v>
      </c>
      <c r="R237" s="14"/>
    </row>
    <row r="238" spans="1:18">
      <c r="A238" s="9">
        <v>57843</v>
      </c>
      <c r="B238" s="14" t="s">
        <v>334</v>
      </c>
      <c r="C238" s="14" t="s">
        <v>203</v>
      </c>
      <c r="D238" s="14" t="s">
        <v>3892</v>
      </c>
      <c r="E238" s="15" t="str">
        <f>HYPERLINK("https://stat100.ameba.jp/tnk47/ratio20/illustrations/card/ill_57843_otokuchurunijisseikinashichan03.jpg?201811-3-RELEASE-dice-e-379x", "■")</f>
        <v>■</v>
      </c>
      <c r="F238" s="14" t="s">
        <v>1660</v>
      </c>
      <c r="G238" s="14">
        <v>84796</v>
      </c>
      <c r="H238" s="14">
        <v>78838</v>
      </c>
      <c r="I238" s="14">
        <v>22</v>
      </c>
      <c r="J238" s="14" t="s">
        <v>283</v>
      </c>
      <c r="K238" s="14" t="s">
        <v>1661</v>
      </c>
      <c r="L238" s="14" t="s">
        <v>1662</v>
      </c>
      <c r="M238" s="14" t="s">
        <v>9158</v>
      </c>
      <c r="N238" s="14" t="s">
        <v>9158</v>
      </c>
      <c r="O238" s="14" t="s">
        <v>9158</v>
      </c>
      <c r="P238" s="14" t="s">
        <v>9158</v>
      </c>
      <c r="Q238" s="14" t="s">
        <v>9158</v>
      </c>
      <c r="R238" s="14"/>
    </row>
    <row r="239" spans="1:18">
      <c r="B239" s="14"/>
      <c r="C239" s="14"/>
      <c r="D239" s="14"/>
      <c r="F239" s="14"/>
      <c r="G239" s="14"/>
      <c r="H239" s="14"/>
      <c r="I239" s="14"/>
      <c r="J239" s="14"/>
      <c r="K239" s="14"/>
      <c r="L239" s="14"/>
      <c r="M239" s="14"/>
      <c r="N239" s="14"/>
      <c r="P239" s="14"/>
      <c r="Q239" s="14"/>
      <c r="R239" s="14"/>
    </row>
    <row r="240" spans="1:18">
      <c r="A240" s="14" t="s">
        <v>1360</v>
      </c>
      <c r="F240" s="14"/>
      <c r="G240" s="14"/>
      <c r="H240" s="14"/>
      <c r="I240" s="14"/>
      <c r="J240" s="14"/>
      <c r="K240" s="14"/>
      <c r="L240" s="14"/>
      <c r="M240" s="14"/>
      <c r="N240" s="14"/>
      <c r="P240" s="14"/>
      <c r="Q240" s="14"/>
      <c r="R240" s="14"/>
    </row>
    <row r="241" spans="1:18">
      <c r="A241" s="14" t="s">
        <v>1663</v>
      </c>
      <c r="C241" s="14"/>
      <c r="D241" s="14"/>
      <c r="F241" s="14"/>
      <c r="G241" s="14"/>
      <c r="H241" s="14"/>
      <c r="I241" s="14"/>
      <c r="J241" s="14"/>
      <c r="K241" s="14"/>
      <c r="L241" s="14"/>
      <c r="M241" s="14"/>
      <c r="N241" s="14"/>
      <c r="P241" s="14"/>
      <c r="Q241" s="14"/>
      <c r="R241" s="14"/>
    </row>
    <row r="242" spans="1:18">
      <c r="A242" s="14" t="s">
        <v>8005</v>
      </c>
      <c r="C242" s="14"/>
      <c r="D242" s="14"/>
      <c r="F242" s="14"/>
      <c r="G242" s="14"/>
      <c r="H242" s="14"/>
      <c r="I242" s="14"/>
      <c r="J242" s="14"/>
      <c r="K242" s="14"/>
      <c r="L242" s="14"/>
      <c r="M242" s="14"/>
      <c r="N242" s="14"/>
      <c r="P242" s="14"/>
      <c r="Q242" s="14"/>
      <c r="R242" s="14"/>
    </row>
    <row r="243" spans="1:18">
      <c r="A243" s="9" t="s">
        <v>5891</v>
      </c>
      <c r="B243" s="14" t="s">
        <v>330</v>
      </c>
      <c r="C243" s="14" t="s">
        <v>270</v>
      </c>
      <c r="D243" s="14" t="s">
        <v>1371</v>
      </c>
      <c r="E243" s="15" t="str">
        <f>HYPERLINK("https://stat100.ameba.jp/tnk47/ratio20/illustrations/card/ill_77173_0_yukemuritomoegozen03.jpg?201811-3-RELEASE-dice-e-379x", "■")</f>
        <v>■</v>
      </c>
      <c r="F243" s="14" t="s">
        <v>1372</v>
      </c>
      <c r="G243" s="14">
        <v>150366</v>
      </c>
      <c r="H243" s="14">
        <v>166369</v>
      </c>
      <c r="I243" s="14">
        <v>15</v>
      </c>
      <c r="J243" s="14" t="s">
        <v>310</v>
      </c>
      <c r="K243" s="14" t="s">
        <v>1373</v>
      </c>
      <c r="L243" s="14" t="s">
        <v>1374</v>
      </c>
      <c r="M243" s="14" t="s">
        <v>9158</v>
      </c>
      <c r="N243" s="14" t="s">
        <v>9158</v>
      </c>
      <c r="O243" s="9" t="s">
        <v>3878</v>
      </c>
      <c r="P243" s="14" t="s">
        <v>3879</v>
      </c>
      <c r="Q243" s="14">
        <v>2</v>
      </c>
      <c r="R243" s="14"/>
    </row>
    <row r="244" spans="1:18">
      <c r="A244" s="9">
        <v>77433</v>
      </c>
      <c r="B244" s="14" t="s">
        <v>334</v>
      </c>
      <c r="C244" s="14" t="s">
        <v>344</v>
      </c>
      <c r="D244" s="14" t="s">
        <v>1723</v>
      </c>
      <c r="E244" s="15" t="str">
        <f>HYPERLINK("https://stat100.ameba.jp/tnk47/ratio20/illustrations/card/ill_77433_yamagaruakinomurabotoni03.jpg?201811-3-RELEASE-dice-e-379x", "■")</f>
        <v>■</v>
      </c>
      <c r="F244" s="14" t="s">
        <v>11579</v>
      </c>
      <c r="G244" s="14">
        <v>85153</v>
      </c>
      <c r="H244" s="14">
        <v>79207</v>
      </c>
      <c r="I244" s="14">
        <v>21</v>
      </c>
      <c r="J244" s="14" t="s">
        <v>414</v>
      </c>
      <c r="K244" s="14" t="s">
        <v>1665</v>
      </c>
      <c r="L244" s="14" t="s">
        <v>855</v>
      </c>
      <c r="M244" s="14" t="s">
        <v>9158</v>
      </c>
      <c r="N244" s="14" t="s">
        <v>9158</v>
      </c>
      <c r="O244" s="14" t="s">
        <v>9158</v>
      </c>
      <c r="P244" s="14" t="s">
        <v>9158</v>
      </c>
      <c r="Q244" s="14" t="s">
        <v>9158</v>
      </c>
      <c r="R244" s="14"/>
    </row>
    <row r="245" spans="1:18">
      <c r="A245" s="9">
        <v>77443</v>
      </c>
      <c r="B245" s="14" t="s">
        <v>348</v>
      </c>
      <c r="C245" s="14" t="s">
        <v>307</v>
      </c>
      <c r="D245" s="14" t="s">
        <v>1666</v>
      </c>
      <c r="E245" s="15" t="str">
        <f>HYPERLINK("https://stat100.ameba.jp/tnk47/ratio20/illustrations/card/ill_77443_kaiinu03.jpg?201811-3-RELEASE-dice-e-379x", "■")</f>
        <v>■</v>
      </c>
      <c r="F245" s="14" t="s">
        <v>1667</v>
      </c>
      <c r="G245" s="14">
        <v>56456</v>
      </c>
      <c r="H245" s="14">
        <v>62244</v>
      </c>
      <c r="I245" s="14">
        <v>21</v>
      </c>
      <c r="J245" s="14" t="s">
        <v>369</v>
      </c>
      <c r="K245" s="14" t="s">
        <v>1668</v>
      </c>
      <c r="L245" s="14" t="s">
        <v>747</v>
      </c>
      <c r="M245" s="14" t="s">
        <v>9158</v>
      </c>
      <c r="N245" s="14" t="s">
        <v>9158</v>
      </c>
      <c r="O245" s="14" t="s">
        <v>9158</v>
      </c>
      <c r="P245" s="14" t="s">
        <v>9158</v>
      </c>
      <c r="Q245" s="14" t="s">
        <v>9158</v>
      </c>
      <c r="R245" s="14"/>
    </row>
    <row r="246" spans="1:18">
      <c r="A246" s="9">
        <v>77453</v>
      </c>
      <c r="B246" s="14" t="s">
        <v>362</v>
      </c>
      <c r="C246" s="14" t="s">
        <v>271</v>
      </c>
      <c r="D246" s="14" t="s">
        <v>1669</v>
      </c>
      <c r="E246" s="15" t="str">
        <f>HYPERLINK("https://stat100.ameba.jp/tnk47/ratio20/illustrations/card/ill_77453_nogyoashikagaujihime03.jpg?201811-3-RELEASE-dice-e-379x", "■")</f>
        <v>■</v>
      </c>
      <c r="F246" s="14" t="s">
        <v>1670</v>
      </c>
      <c r="G246" s="14">
        <v>43662</v>
      </c>
      <c r="H246" s="14">
        <v>36304</v>
      </c>
      <c r="I246" s="14">
        <v>21</v>
      </c>
      <c r="J246" s="14" t="s">
        <v>315</v>
      </c>
      <c r="K246" s="14" t="s">
        <v>1671</v>
      </c>
      <c r="L246" s="14" t="s">
        <v>1672</v>
      </c>
      <c r="M246" s="14" t="s">
        <v>9158</v>
      </c>
      <c r="N246" s="14" t="s">
        <v>9158</v>
      </c>
      <c r="O246" s="14" t="s">
        <v>9158</v>
      </c>
      <c r="P246" s="14" t="s">
        <v>9158</v>
      </c>
      <c r="Q246" s="14" t="s">
        <v>9158</v>
      </c>
      <c r="R246" s="14"/>
    </row>
    <row r="247" spans="1:18">
      <c r="A247" s="9">
        <v>77463</v>
      </c>
      <c r="B247" s="14" t="s">
        <v>372</v>
      </c>
      <c r="C247" s="14" t="s">
        <v>1673</v>
      </c>
      <c r="D247" s="14" t="s">
        <v>1674</v>
      </c>
      <c r="E247" s="15" t="str">
        <f>HYPERLINK("https://stat100.ameba.jp/tnk47/ratio20/illustrations/card/ill_77463_yamagarutamahime03.jpg?201811-3-RELEASE-dice-e-379x", "■")</f>
        <v>■</v>
      </c>
      <c r="F247" s="14" t="s">
        <v>1675</v>
      </c>
      <c r="G247" s="14">
        <v>22200</v>
      </c>
      <c r="H247" s="14">
        <v>26434</v>
      </c>
      <c r="I247" s="14">
        <v>21</v>
      </c>
      <c r="J247" s="14" t="s">
        <v>315</v>
      </c>
      <c r="K247" s="14" t="s">
        <v>1676</v>
      </c>
      <c r="L247" s="14" t="s">
        <v>1677</v>
      </c>
      <c r="M247" s="14" t="s">
        <v>9158</v>
      </c>
      <c r="N247" s="14" t="s">
        <v>9158</v>
      </c>
      <c r="O247" s="14" t="s">
        <v>9158</v>
      </c>
      <c r="P247" s="14" t="s">
        <v>9158</v>
      </c>
      <c r="Q247" s="14" t="s">
        <v>9158</v>
      </c>
      <c r="R247" s="14"/>
    </row>
    <row r="248" spans="1:18">
      <c r="B248" s="14"/>
      <c r="C248" s="14"/>
      <c r="D248" s="14"/>
      <c r="F248" s="14"/>
      <c r="G248" s="14"/>
      <c r="H248" s="14"/>
      <c r="I248" s="14"/>
      <c r="J248" s="14"/>
      <c r="K248" s="14"/>
      <c r="L248" s="14"/>
      <c r="M248" s="14"/>
      <c r="N248" s="14"/>
      <c r="P248" s="14"/>
      <c r="Q248" s="14"/>
      <c r="R248" s="14"/>
    </row>
    <row r="249" spans="1:18">
      <c r="A249" s="14" t="s">
        <v>223</v>
      </c>
      <c r="D249" s="14"/>
      <c r="F249" s="14"/>
      <c r="G249" s="14"/>
      <c r="H249" s="14"/>
      <c r="I249" s="14"/>
      <c r="J249" s="14"/>
      <c r="K249" s="14"/>
      <c r="L249" s="14"/>
      <c r="M249" s="14"/>
      <c r="N249" s="14"/>
      <c r="P249" s="14"/>
      <c r="Q249" s="14"/>
      <c r="R249" s="14"/>
    </row>
    <row r="250" spans="1:18">
      <c r="A250" s="14" t="s">
        <v>1678</v>
      </c>
      <c r="C250" s="14"/>
      <c r="D250" s="14"/>
      <c r="F250" s="14"/>
      <c r="G250" s="14"/>
      <c r="H250" s="14"/>
      <c r="I250" s="14"/>
      <c r="J250" s="14"/>
      <c r="K250" s="14"/>
      <c r="L250" s="14"/>
      <c r="M250" s="14"/>
      <c r="N250" s="14"/>
      <c r="P250" s="14"/>
      <c r="Q250" s="14"/>
      <c r="R250" s="14"/>
    </row>
    <row r="251" spans="1:18">
      <c r="A251" s="9" t="s">
        <v>5804</v>
      </c>
      <c r="B251" s="14" t="s">
        <v>330</v>
      </c>
      <c r="C251" s="14" t="s">
        <v>185</v>
      </c>
      <c r="D251" s="14" t="s">
        <v>1361</v>
      </c>
      <c r="E251" s="15" t="str">
        <f>HYPERLINK("https://stat100.ameba.jp/tnk47/ratio20/illustrations/card/ill_75393_0_resukuinotsukisamaniittausagi03.jpg?201811-3-RELEASE-dice-e-379x", "■")</f>
        <v>■</v>
      </c>
      <c r="F251" s="14" t="s">
        <v>1679</v>
      </c>
      <c r="G251" s="14">
        <v>193636</v>
      </c>
      <c r="H251" s="14">
        <v>180030</v>
      </c>
      <c r="I251" s="14">
        <v>17</v>
      </c>
      <c r="J251" s="14" t="s">
        <v>229</v>
      </c>
      <c r="K251" s="14" t="s">
        <v>1362</v>
      </c>
      <c r="L251" s="14" t="s">
        <v>13164</v>
      </c>
      <c r="M251" s="14" t="s">
        <v>9158</v>
      </c>
      <c r="N251" s="14" t="s">
        <v>9158</v>
      </c>
      <c r="O251" s="17" t="s">
        <v>10051</v>
      </c>
      <c r="P251" s="14" t="s">
        <v>3251</v>
      </c>
      <c r="Q251" s="14">
        <v>2</v>
      </c>
      <c r="R251" s="14"/>
    </row>
    <row r="252" spans="1:18">
      <c r="A252" s="9">
        <v>70063</v>
      </c>
      <c r="B252" s="14" t="s">
        <v>334</v>
      </c>
      <c r="C252" s="14" t="s">
        <v>202</v>
      </c>
      <c r="D252" s="14" t="s">
        <v>1363</v>
      </c>
      <c r="E252" s="15" t="str">
        <f>HYPERLINK("https://stat100.ameba.jp/tnk47/ratio20/illustrations/card/ill_70063_aiokometebarentainchanzu03.jpg?201811-3-RELEASE-dice-e-379x", "■")</f>
        <v>■</v>
      </c>
      <c r="F252" s="14" t="s">
        <v>1680</v>
      </c>
      <c r="G252" s="14">
        <v>86556</v>
      </c>
      <c r="H252" s="14">
        <v>80476</v>
      </c>
      <c r="I252" s="14">
        <v>19</v>
      </c>
      <c r="J252" s="14" t="s">
        <v>229</v>
      </c>
      <c r="K252" s="14" t="s">
        <v>1364</v>
      </c>
      <c r="L252" s="14" t="s">
        <v>13165</v>
      </c>
      <c r="M252" s="14" t="s">
        <v>9158</v>
      </c>
      <c r="N252" s="14" t="s">
        <v>9158</v>
      </c>
      <c r="O252" s="17" t="s">
        <v>10057</v>
      </c>
      <c r="P252" s="14" t="s">
        <v>3460</v>
      </c>
      <c r="Q252" s="14">
        <v>1</v>
      </c>
      <c r="R252" s="14"/>
    </row>
    <row r="253" spans="1:18">
      <c r="A253" s="9">
        <v>65643</v>
      </c>
      <c r="B253" s="14" t="s">
        <v>334</v>
      </c>
      <c r="C253" s="14" t="s">
        <v>209</v>
      </c>
      <c r="D253" s="14" t="s">
        <v>1681</v>
      </c>
      <c r="E253" s="15" t="str">
        <f>HYPERLINK("https://stat100.ameba.jp/tnk47/ratio20/illustrations/card/ill_65643_shitompekamui03.jpg?201811-3-RELEASE-dice-e-379x", "■")</f>
        <v>■</v>
      </c>
      <c r="F253" s="14" t="s">
        <v>1682</v>
      </c>
      <c r="G253" s="14">
        <v>62818</v>
      </c>
      <c r="H253" s="14">
        <v>86731</v>
      </c>
      <c r="I253" s="14">
        <v>19</v>
      </c>
      <c r="J253" s="14" t="s">
        <v>169</v>
      </c>
      <c r="K253" s="14" t="s">
        <v>1683</v>
      </c>
      <c r="L253" s="14" t="s">
        <v>13166</v>
      </c>
      <c r="M253" s="14" t="s">
        <v>9158</v>
      </c>
      <c r="N253" s="14" t="s">
        <v>9158</v>
      </c>
      <c r="O253" s="9" t="s">
        <v>3244</v>
      </c>
      <c r="P253" s="14" t="s">
        <v>3245</v>
      </c>
      <c r="Q253" s="14">
        <v>1</v>
      </c>
      <c r="R253" s="14"/>
    </row>
    <row r="254" spans="1:18">
      <c r="A254" s="9">
        <v>69503</v>
      </c>
      <c r="B254" s="14" t="s">
        <v>334</v>
      </c>
      <c r="C254" s="14" t="s">
        <v>154</v>
      </c>
      <c r="D254" s="14" t="s">
        <v>1365</v>
      </c>
      <c r="E254" s="15" t="str">
        <f>HYPERLINK("https://stat100.ameba.jp/tnk47/ratio20/illustrations/card/ill_69503_azusayumi03.jpg?201811-3-RELEASE-dice-e-379x", "■")</f>
        <v>■</v>
      </c>
      <c r="F254" s="14" t="s">
        <v>1684</v>
      </c>
      <c r="G254" s="14">
        <v>86231</v>
      </c>
      <c r="H254" s="14">
        <v>62475</v>
      </c>
      <c r="I254" s="14">
        <v>19</v>
      </c>
      <c r="J254" s="14" t="s">
        <v>155</v>
      </c>
      <c r="K254" s="14" t="s">
        <v>1366</v>
      </c>
      <c r="L254" s="14" t="s">
        <v>13167</v>
      </c>
      <c r="M254" s="14" t="s">
        <v>9158</v>
      </c>
      <c r="N254" s="14" t="s">
        <v>9158</v>
      </c>
      <c r="O254" s="9" t="s">
        <v>2951</v>
      </c>
      <c r="P254" s="14" t="s">
        <v>13122</v>
      </c>
      <c r="Q254" s="14">
        <v>1</v>
      </c>
      <c r="R254" s="14"/>
    </row>
    <row r="255" spans="1:18">
      <c r="B255" s="14"/>
      <c r="C255" s="14"/>
      <c r="D255" s="14"/>
      <c r="F255" s="14"/>
      <c r="G255" s="14"/>
      <c r="H255" s="14"/>
      <c r="I255" s="14"/>
      <c r="J255" s="14"/>
      <c r="K255" s="14"/>
      <c r="L255" s="14"/>
      <c r="M255" s="14"/>
      <c r="N255" s="14"/>
      <c r="P255" s="14"/>
      <c r="Q255" s="14"/>
      <c r="R255" s="14"/>
    </row>
    <row r="256" spans="1:18">
      <c r="A256" s="14" t="s">
        <v>13334</v>
      </c>
      <c r="D256" s="14"/>
      <c r="F256" s="14"/>
      <c r="G256" s="14"/>
      <c r="H256" s="14"/>
      <c r="I256" s="14"/>
      <c r="J256" s="14"/>
      <c r="K256" s="14"/>
      <c r="L256" s="14"/>
      <c r="M256" s="14"/>
      <c r="N256" s="14"/>
      <c r="P256" s="14"/>
      <c r="Q256" s="14"/>
      <c r="R256" s="14"/>
    </row>
    <row r="257" spans="1:18">
      <c r="A257" s="14" t="s">
        <v>1367</v>
      </c>
      <c r="B257" s="14"/>
      <c r="C257" s="14"/>
      <c r="D257" s="14"/>
      <c r="F257" s="14"/>
      <c r="G257" s="14"/>
      <c r="H257" s="14"/>
      <c r="I257" s="14"/>
      <c r="J257" s="14"/>
      <c r="K257" s="14"/>
      <c r="L257" s="14"/>
      <c r="M257" s="14"/>
      <c r="N257" s="14"/>
      <c r="P257" s="14"/>
      <c r="Q257" s="14"/>
      <c r="R257" s="14"/>
    </row>
    <row r="258" spans="1:18">
      <c r="A258" s="9">
        <v>77635</v>
      </c>
      <c r="B258" s="14" t="s">
        <v>334</v>
      </c>
      <c r="C258" s="14" t="s">
        <v>202</v>
      </c>
      <c r="D258" s="14" t="s">
        <v>1368</v>
      </c>
      <c r="E258" s="15" t="str">
        <f>HYPERLINK("https://stat100.ameba.jp/tnk47/ratio20/illustrations/card/ill_77635_hakuinotenshihebigami05.jpg?201811-4-RELEASE-guildbattle-380xx", "■")</f>
        <v>■</v>
      </c>
      <c r="F258" s="14" t="s">
        <v>1369</v>
      </c>
      <c r="G258" s="14">
        <v>79912</v>
      </c>
      <c r="H258" s="14">
        <v>110348</v>
      </c>
      <c r="I258" s="14">
        <v>22</v>
      </c>
      <c r="J258" s="14" t="s">
        <v>274</v>
      </c>
      <c r="K258" s="14" t="s">
        <v>1370</v>
      </c>
      <c r="L258" s="14" t="s">
        <v>526</v>
      </c>
      <c r="M258" s="14" t="s">
        <v>9158</v>
      </c>
      <c r="N258" s="14" t="s">
        <v>9158</v>
      </c>
      <c r="O258" s="14" t="s">
        <v>9158</v>
      </c>
      <c r="P258" s="14" t="s">
        <v>9158</v>
      </c>
      <c r="Q258" s="14" t="s">
        <v>9158</v>
      </c>
      <c r="R258" s="14" t="s">
        <v>174</v>
      </c>
    </row>
    <row r="259" spans="1:18">
      <c r="A259" s="9">
        <v>77633</v>
      </c>
      <c r="B259" s="14" t="s">
        <v>348</v>
      </c>
      <c r="C259" s="14" t="s">
        <v>203</v>
      </c>
      <c r="D259" s="14" t="s">
        <v>1368</v>
      </c>
      <c r="E259" s="15" t="str">
        <f>HYPERLINK("https://stat100.ameba.jp/tnk47/ratio20/illustrations/card/ill_77633_hakuinotenshihebigami03.jpg?201811-4-RELEASE-guildbattle-380xx", "■")</f>
        <v>■</v>
      </c>
      <c r="F259" s="14" t="s">
        <v>1369</v>
      </c>
      <c r="G259" s="14">
        <v>58868</v>
      </c>
      <c r="H259" s="14">
        <v>81316</v>
      </c>
      <c r="I259" s="14">
        <v>22</v>
      </c>
      <c r="J259" s="14" t="s">
        <v>274</v>
      </c>
      <c r="K259" s="14" t="s">
        <v>1370</v>
      </c>
      <c r="L259" s="14" t="s">
        <v>527</v>
      </c>
      <c r="M259" s="14" t="s">
        <v>9158</v>
      </c>
      <c r="N259" s="14" t="s">
        <v>9158</v>
      </c>
      <c r="O259" s="14" t="s">
        <v>9158</v>
      </c>
      <c r="P259" s="14" t="s">
        <v>9158</v>
      </c>
      <c r="Q259" s="14" t="s">
        <v>9158</v>
      </c>
      <c r="R259" s="14" t="s">
        <v>175</v>
      </c>
    </row>
    <row r="260" spans="1:18">
      <c r="A260" s="9">
        <v>77631</v>
      </c>
      <c r="B260" s="14" t="s">
        <v>348</v>
      </c>
      <c r="C260" s="14" t="s">
        <v>203</v>
      </c>
      <c r="D260" s="14" t="s">
        <v>1368</v>
      </c>
      <c r="E260" s="15" t="str">
        <f>HYPERLINK("https://stat100.ameba.jp/tnk47/ratio20/illustrations/card/ill_77631_hakuinotenshihebigami01.jpg?201811-4-RELEASE-guildbattle-380xx", "■")</f>
        <v>■</v>
      </c>
      <c r="F260" s="14" t="s">
        <v>1369</v>
      </c>
      <c r="G260" s="14">
        <v>37444</v>
      </c>
      <c r="H260" s="14">
        <v>51722</v>
      </c>
      <c r="I260" s="14">
        <v>22</v>
      </c>
      <c r="J260" s="14" t="s">
        <v>274</v>
      </c>
      <c r="K260" s="14" t="s">
        <v>1370</v>
      </c>
      <c r="L260" s="14" t="s">
        <v>528</v>
      </c>
      <c r="M260" s="14" t="s">
        <v>9158</v>
      </c>
      <c r="N260" s="14" t="s">
        <v>9158</v>
      </c>
      <c r="O260" s="14" t="s">
        <v>9158</v>
      </c>
      <c r="P260" s="14" t="s">
        <v>9158</v>
      </c>
      <c r="Q260" s="14" t="s">
        <v>9158</v>
      </c>
      <c r="R260" s="14" t="s">
        <v>176</v>
      </c>
    </row>
    <row r="261" spans="1:18">
      <c r="B261" s="14"/>
      <c r="C261" s="14"/>
      <c r="D261" s="14"/>
      <c r="F261" s="14"/>
      <c r="G261" s="14"/>
      <c r="H261" s="14"/>
      <c r="I261" s="14"/>
      <c r="J261" s="14"/>
      <c r="K261" s="14"/>
      <c r="L261" s="14"/>
      <c r="M261" s="14"/>
      <c r="N261" s="14"/>
      <c r="P261" s="14"/>
      <c r="Q261" s="14"/>
      <c r="R261" s="14"/>
    </row>
    <row r="262" spans="1:18">
      <c r="A262" s="14" t="s">
        <v>1685</v>
      </c>
      <c r="D262" s="14"/>
      <c r="F262" s="14"/>
      <c r="G262" s="14"/>
      <c r="H262" s="14"/>
      <c r="I262" s="14"/>
      <c r="J262" s="14"/>
      <c r="K262" s="14"/>
      <c r="L262" s="14"/>
      <c r="M262" s="14"/>
      <c r="N262" s="14"/>
      <c r="P262" s="14"/>
      <c r="Q262" s="14"/>
      <c r="R262" s="14"/>
    </row>
    <row r="263" spans="1:18">
      <c r="A263" s="14" t="s">
        <v>1686</v>
      </c>
      <c r="B263" s="14"/>
      <c r="C263" s="14"/>
      <c r="D263" s="14"/>
      <c r="F263" s="14"/>
      <c r="G263" s="14"/>
      <c r="H263" s="14"/>
      <c r="I263" s="14"/>
      <c r="J263" s="14"/>
      <c r="K263" s="14"/>
      <c r="L263" s="14"/>
      <c r="M263" s="14"/>
      <c r="N263" s="14"/>
      <c r="P263" s="14"/>
      <c r="Q263" s="14"/>
      <c r="R263" s="14"/>
    </row>
    <row r="264" spans="1:18">
      <c r="A264" s="9">
        <v>51583</v>
      </c>
      <c r="B264" s="14" t="s">
        <v>334</v>
      </c>
      <c r="C264" s="14" t="s">
        <v>265</v>
      </c>
      <c r="D264" s="14" t="s">
        <v>1687</v>
      </c>
      <c r="E264" s="15" t="str">
        <f>HYPERLINK("https://stat100.ameba.jp/tnk47/ratio20/illustrations/card/ill_51583_kishutachibanamuneshige03.jpg?201811-4-RELEASE-guildbattle-380xx", "■")</f>
        <v>■</v>
      </c>
      <c r="F264" s="14" t="s">
        <v>1688</v>
      </c>
      <c r="G264" s="14">
        <v>124487</v>
      </c>
      <c r="H264" s="14">
        <v>75254</v>
      </c>
      <c r="I264" s="14">
        <v>21</v>
      </c>
      <c r="J264" s="14" t="s">
        <v>143</v>
      </c>
      <c r="K264" s="14" t="s">
        <v>1689</v>
      </c>
      <c r="L264" s="14" t="s">
        <v>1690</v>
      </c>
      <c r="M264" s="14" t="s">
        <v>9158</v>
      </c>
      <c r="N264" s="14" t="s">
        <v>9158</v>
      </c>
      <c r="O264" s="14" t="s">
        <v>9158</v>
      </c>
      <c r="P264" s="14" t="s">
        <v>9158</v>
      </c>
      <c r="Q264" s="14" t="s">
        <v>9158</v>
      </c>
      <c r="R264" s="14"/>
    </row>
    <row r="265" spans="1:18">
      <c r="A265" s="9">
        <v>53643</v>
      </c>
      <c r="B265" s="14" t="s">
        <v>334</v>
      </c>
      <c r="C265" s="14" t="s">
        <v>264</v>
      </c>
      <c r="D265" s="14" t="s">
        <v>1691</v>
      </c>
      <c r="E265" s="15" t="str">
        <f>HYPERLINK("https://stat100.ameba.jp/tnk47/ratio20/illustrations/card/ill_53643_kanibarugorudo03.jpg?201811-4-RELEASE-guildbattle-380xx", "■")</f>
        <v>■</v>
      </c>
      <c r="F265" s="14" t="s">
        <v>1692</v>
      </c>
      <c r="G265" s="14">
        <v>80942</v>
      </c>
      <c r="H265" s="14">
        <v>75254</v>
      </c>
      <c r="I265" s="14">
        <v>21</v>
      </c>
      <c r="J265" s="14" t="s">
        <v>26</v>
      </c>
      <c r="K265" s="14" t="s">
        <v>1693</v>
      </c>
      <c r="L265" s="14" t="s">
        <v>1694</v>
      </c>
      <c r="M265" s="14" t="s">
        <v>9158</v>
      </c>
      <c r="N265" s="14" t="s">
        <v>9158</v>
      </c>
      <c r="O265" s="14" t="s">
        <v>9158</v>
      </c>
      <c r="P265" s="14" t="s">
        <v>9158</v>
      </c>
      <c r="Q265" s="14" t="s">
        <v>9158</v>
      </c>
      <c r="R265" s="14"/>
    </row>
    <row r="266" spans="1:18">
      <c r="A266" s="9">
        <v>56653</v>
      </c>
      <c r="B266" s="14" t="s">
        <v>334</v>
      </c>
      <c r="C266" s="14" t="s">
        <v>265</v>
      </c>
      <c r="D266" s="14" t="s">
        <v>1695</v>
      </c>
      <c r="E266" s="15" t="str">
        <f>HYPERLINK("https://stat100.ameba.jp/tnk47/ratio20/illustrations/card/ill_56653_irumineshonizumishikibu03.jpg?201811-4-RELEASE-guildbattle-380xx", "■")</f>
        <v>■</v>
      </c>
      <c r="F266" s="14" t="s">
        <v>1696</v>
      </c>
      <c r="G266" s="14">
        <v>75254</v>
      </c>
      <c r="H266" s="14">
        <v>80942</v>
      </c>
      <c r="I266" s="14">
        <v>21</v>
      </c>
      <c r="J266" s="14" t="s">
        <v>16</v>
      </c>
      <c r="K266" s="14" t="s">
        <v>1697</v>
      </c>
      <c r="L266" s="14" t="s">
        <v>1698</v>
      </c>
      <c r="M266" s="14" t="s">
        <v>9158</v>
      </c>
      <c r="N266" s="14" t="s">
        <v>9158</v>
      </c>
      <c r="O266" s="14" t="s">
        <v>9158</v>
      </c>
      <c r="P266" s="14" t="s">
        <v>9158</v>
      </c>
      <c r="Q266" s="14" t="s">
        <v>9158</v>
      </c>
      <c r="R266" s="14"/>
    </row>
    <row r="267" spans="1:18">
      <c r="A267" s="9">
        <v>48663</v>
      </c>
      <c r="B267" s="14" t="s">
        <v>348</v>
      </c>
      <c r="C267" s="14" t="s">
        <v>101</v>
      </c>
      <c r="D267" s="14" t="s">
        <v>1699</v>
      </c>
      <c r="E267" s="15" t="str">
        <f>HYPERLINK("https://stat100.ameba.jp/tnk47/ratio20/illustrations/card/ill_48663_rapuncheru03.jpg?201811-4-RELEASE-guildbattle-380xx", "■")</f>
        <v>■</v>
      </c>
      <c r="F267" s="14" t="s">
        <v>1700</v>
      </c>
      <c r="G267" s="14">
        <v>59280</v>
      </c>
      <c r="H267" s="14">
        <v>53768</v>
      </c>
      <c r="I267" s="14">
        <v>20</v>
      </c>
      <c r="J267" s="14" t="s">
        <v>38</v>
      </c>
      <c r="K267" s="14" t="s">
        <v>1701</v>
      </c>
      <c r="L267" s="14" t="s">
        <v>1702</v>
      </c>
      <c r="M267" s="14" t="s">
        <v>9158</v>
      </c>
      <c r="N267" s="14" t="s">
        <v>9158</v>
      </c>
      <c r="O267" s="14" t="s">
        <v>9158</v>
      </c>
      <c r="P267" s="14" t="s">
        <v>9158</v>
      </c>
      <c r="Q267" s="14" t="s">
        <v>9158</v>
      </c>
      <c r="R267" s="14"/>
    </row>
    <row r="268" spans="1:18">
      <c r="A268" s="9">
        <v>51223</v>
      </c>
      <c r="B268" s="14" t="s">
        <v>348</v>
      </c>
      <c r="C268" s="14" t="s">
        <v>1</v>
      </c>
      <c r="D268" s="14" t="s">
        <v>1703</v>
      </c>
      <c r="E268" s="15" t="str">
        <f>HYPERLINK("https://stat100.ameba.jp/tnk47/ratio20/illustrations/card/ill_51223_kyugiitohikimusume03.jpg?201811-4-RELEASE-guildbattle-380xx", "■")</f>
        <v>■</v>
      </c>
      <c r="F268" s="14" t="s">
        <v>1704</v>
      </c>
      <c r="G268" s="14">
        <v>53768</v>
      </c>
      <c r="H268" s="14">
        <v>59280</v>
      </c>
      <c r="I268" s="14">
        <v>20</v>
      </c>
      <c r="J268" s="14" t="s">
        <v>73</v>
      </c>
      <c r="K268" s="14" t="s">
        <v>1705</v>
      </c>
      <c r="L268" s="14" t="s">
        <v>1706</v>
      </c>
      <c r="M268" s="14" t="s">
        <v>9158</v>
      </c>
      <c r="N268" s="14" t="s">
        <v>9158</v>
      </c>
      <c r="O268" s="14" t="s">
        <v>9158</v>
      </c>
      <c r="P268" s="14" t="s">
        <v>9158</v>
      </c>
      <c r="Q268" s="14" t="s">
        <v>9158</v>
      </c>
      <c r="R268" s="14"/>
    </row>
    <row r="269" spans="1:18">
      <c r="A269" s="9">
        <v>59053</v>
      </c>
      <c r="B269" s="14" t="s">
        <v>348</v>
      </c>
      <c r="C269" s="14" t="s">
        <v>23</v>
      </c>
      <c r="D269" s="14" t="s">
        <v>1707</v>
      </c>
      <c r="E269" s="15" t="str">
        <f>HYPERLINK("https://stat100.ameba.jp/tnk47/ratio20/illustrations/card/ill_59053_umeoiranazusamitenjinnokomaneko03.jpg?201811-4-RELEASE-guildbattle-380xx", "■")</f>
        <v>■</v>
      </c>
      <c r="F269" s="14" t="s">
        <v>1708</v>
      </c>
      <c r="G269" s="14">
        <v>53768</v>
      </c>
      <c r="H269" s="14">
        <v>59280</v>
      </c>
      <c r="I269" s="14">
        <v>20</v>
      </c>
      <c r="J269" s="14" t="s">
        <v>44</v>
      </c>
      <c r="K269" s="14" t="s">
        <v>1709</v>
      </c>
      <c r="L269" s="14" t="s">
        <v>1710</v>
      </c>
      <c r="M269" s="14" t="s">
        <v>9158</v>
      </c>
      <c r="N269" s="14" t="s">
        <v>9158</v>
      </c>
      <c r="O269" s="14" t="s">
        <v>9158</v>
      </c>
      <c r="P269" s="14" t="s">
        <v>9158</v>
      </c>
      <c r="Q269" s="14" t="s">
        <v>9158</v>
      </c>
      <c r="R269" s="14"/>
    </row>
    <row r="270" spans="1:18">
      <c r="B270" s="14"/>
      <c r="C270" s="14"/>
      <c r="D270" s="14"/>
      <c r="F270" s="14"/>
      <c r="G270" s="14"/>
      <c r="H270" s="14"/>
      <c r="I270" s="14"/>
      <c r="J270" s="14"/>
      <c r="K270" s="14"/>
      <c r="L270" s="14"/>
      <c r="M270" s="14"/>
      <c r="N270" s="14"/>
      <c r="P270" s="14"/>
      <c r="Q270" s="14"/>
      <c r="R270" s="14"/>
    </row>
    <row r="271" spans="1:18">
      <c r="A271" s="14" t="s">
        <v>1711</v>
      </c>
      <c r="D271" s="14"/>
      <c r="F271" s="14"/>
      <c r="G271" s="14"/>
      <c r="H271" s="14"/>
      <c r="I271" s="14"/>
      <c r="J271" s="14"/>
      <c r="K271" s="14"/>
      <c r="L271" s="14"/>
      <c r="M271" s="14"/>
      <c r="N271" s="14"/>
      <c r="P271" s="14"/>
      <c r="Q271" s="14"/>
      <c r="R271" s="14"/>
    </row>
    <row r="272" spans="1:18">
      <c r="A272" s="14" t="s">
        <v>1737</v>
      </c>
      <c r="C272" s="14"/>
      <c r="D272" s="14"/>
      <c r="F272" s="14"/>
      <c r="G272" s="14"/>
      <c r="H272" s="14"/>
      <c r="I272" s="14"/>
      <c r="J272" s="14"/>
      <c r="K272" s="14"/>
      <c r="L272" s="14"/>
      <c r="M272" s="14"/>
      <c r="N272" s="14"/>
      <c r="P272" s="14"/>
      <c r="Q272" s="14"/>
      <c r="R272" s="14"/>
    </row>
    <row r="273" spans="1:18">
      <c r="A273" s="9" t="s">
        <v>5609</v>
      </c>
      <c r="B273" s="14" t="s">
        <v>52</v>
      </c>
      <c r="C273" s="14" t="s">
        <v>200</v>
      </c>
      <c r="D273" s="14" t="s">
        <v>1713</v>
      </c>
      <c r="E273" s="15" t="str">
        <f>HYPERLINK("https://stat100.ameba.jp/tnk47/ratio20/illustrations/card/ill_53753_0_natsumatsuritokugawaieyasu03.jpg?201811-i_prefectuer_active_user", "■")</f>
        <v>■</v>
      </c>
      <c r="F273" s="14" t="s">
        <v>902</v>
      </c>
      <c r="G273" s="14">
        <v>131930</v>
      </c>
      <c r="H273" s="14">
        <v>117196</v>
      </c>
      <c r="I273" s="14">
        <v>21</v>
      </c>
      <c r="J273" s="14" t="s">
        <v>194</v>
      </c>
      <c r="K273" s="14" t="s">
        <v>1714</v>
      </c>
      <c r="L273" s="14" t="s">
        <v>904</v>
      </c>
      <c r="M273" s="14" t="s">
        <v>9158</v>
      </c>
      <c r="N273" s="14" t="s">
        <v>9158</v>
      </c>
      <c r="O273" s="17" t="s">
        <v>10052</v>
      </c>
      <c r="P273" s="14" t="s">
        <v>13121</v>
      </c>
      <c r="Q273" s="14">
        <v>1</v>
      </c>
      <c r="R273" s="14"/>
    </row>
    <row r="274" spans="1:18">
      <c r="A274" s="9" t="s">
        <v>5721</v>
      </c>
      <c r="B274" s="14" t="s">
        <v>52</v>
      </c>
      <c r="C274" s="14" t="s">
        <v>205</v>
      </c>
      <c r="D274" s="14" t="s">
        <v>1715</v>
      </c>
      <c r="E274" s="15" t="str">
        <f>HYPERLINK("https://stat100.ameba.jp/tnk47/ratio20/illustrations/card/ill_44283_0_izumonokuni03.jpg?201811-i_prefectuer_active_user", "■")</f>
        <v>■</v>
      </c>
      <c r="F274" s="14" t="s">
        <v>1716</v>
      </c>
      <c r="G274" s="14">
        <v>122892</v>
      </c>
      <c r="H274" s="14">
        <v>115096</v>
      </c>
      <c r="I274" s="14">
        <v>21</v>
      </c>
      <c r="J274" s="14" t="s">
        <v>159</v>
      </c>
      <c r="K274" s="14" t="s">
        <v>1717</v>
      </c>
      <c r="L274" s="14" t="s">
        <v>1718</v>
      </c>
      <c r="M274" s="14" t="s">
        <v>9158</v>
      </c>
      <c r="N274" s="14" t="s">
        <v>9158</v>
      </c>
      <c r="O274" s="14" t="s">
        <v>9158</v>
      </c>
      <c r="P274" s="14" t="s">
        <v>9158</v>
      </c>
      <c r="Q274" s="14" t="s">
        <v>9158</v>
      </c>
      <c r="R274" s="14"/>
    </row>
    <row r="275" spans="1:18">
      <c r="A275" s="9" t="s">
        <v>5830</v>
      </c>
      <c r="B275" s="14" t="s">
        <v>52</v>
      </c>
      <c r="C275" s="14" t="s">
        <v>191</v>
      </c>
      <c r="D275" s="14" t="s">
        <v>1719</v>
      </c>
      <c r="E275" s="15" t="str">
        <f>HYPERLINK("https://stat100.ameba.jp/tnk47/ratio20/illustrations/card/ill_39933_0_reihiiinaotora03.jpg?201811-i_prefectuer_active_user", "■")</f>
        <v>■</v>
      </c>
      <c r="F275" s="14" t="s">
        <v>1720</v>
      </c>
      <c r="G275" s="14">
        <v>115096</v>
      </c>
      <c r="H275" s="14">
        <v>122892</v>
      </c>
      <c r="I275" s="14">
        <v>21</v>
      </c>
      <c r="J275" s="14" t="s">
        <v>77</v>
      </c>
      <c r="K275" s="14" t="s">
        <v>1721</v>
      </c>
      <c r="L275" s="14" t="s">
        <v>1722</v>
      </c>
      <c r="M275" s="14" t="s">
        <v>9158</v>
      </c>
      <c r="N275" s="14" t="s">
        <v>9158</v>
      </c>
      <c r="O275" s="14" t="s">
        <v>9158</v>
      </c>
      <c r="P275" s="14" t="s">
        <v>9158</v>
      </c>
      <c r="Q275" s="14" t="s">
        <v>9158</v>
      </c>
      <c r="R275" s="14"/>
    </row>
    <row r="276" spans="1:18">
      <c r="A276" s="9">
        <v>77433</v>
      </c>
      <c r="B276" s="14" t="s">
        <v>0</v>
      </c>
      <c r="C276" s="14" t="s">
        <v>206</v>
      </c>
      <c r="D276" s="14" t="s">
        <v>1723</v>
      </c>
      <c r="E276" s="15" t="str">
        <f>HYPERLINK("https://stat100.ameba.jp/tnk47/ratio20/illustrations/card/ill_77433_yamagaruakinomurabotoni03.jpg?201811-i_prefectuer_active_user", "■")</f>
        <v>■</v>
      </c>
      <c r="F276" s="14" t="s">
        <v>1724</v>
      </c>
      <c r="G276" s="14">
        <v>85153</v>
      </c>
      <c r="H276" s="14">
        <v>79207</v>
      </c>
      <c r="I276" s="14">
        <v>21</v>
      </c>
      <c r="J276" s="14" t="s">
        <v>16</v>
      </c>
      <c r="K276" s="14" t="s">
        <v>1725</v>
      </c>
      <c r="L276" s="14" t="s">
        <v>1149</v>
      </c>
      <c r="M276" s="14" t="s">
        <v>9158</v>
      </c>
      <c r="N276" s="14" t="s">
        <v>9158</v>
      </c>
      <c r="O276" s="14" t="s">
        <v>9158</v>
      </c>
      <c r="P276" s="14" t="s">
        <v>9158</v>
      </c>
      <c r="Q276" s="14" t="s">
        <v>9158</v>
      </c>
      <c r="R276" s="14"/>
    </row>
    <row r="277" spans="1:18">
      <c r="A277" s="9">
        <v>77443</v>
      </c>
      <c r="B277" s="14" t="s">
        <v>15</v>
      </c>
      <c r="C277" s="14" t="s">
        <v>191</v>
      </c>
      <c r="D277" s="14" t="s">
        <v>1726</v>
      </c>
      <c r="E277" s="15" t="str">
        <f>HYPERLINK("https://stat100.ameba.jp/tnk47/ratio20/illustrations/card/ill_77443_kaiinu03.jpg?201811-i_prefectuer_active_user", "■")</f>
        <v>■</v>
      </c>
      <c r="F277" s="14" t="s">
        <v>1727</v>
      </c>
      <c r="G277" s="14">
        <v>48390</v>
      </c>
      <c r="H277" s="14">
        <v>53352</v>
      </c>
      <c r="I277" s="14">
        <v>18</v>
      </c>
      <c r="J277" s="14" t="s">
        <v>26</v>
      </c>
      <c r="K277" s="14" t="s">
        <v>1728</v>
      </c>
      <c r="L277" s="14" t="s">
        <v>977</v>
      </c>
      <c r="M277" s="14" t="s">
        <v>9158</v>
      </c>
      <c r="N277" s="14" t="s">
        <v>9158</v>
      </c>
      <c r="O277" s="14" t="s">
        <v>9158</v>
      </c>
      <c r="P277" s="14" t="s">
        <v>9158</v>
      </c>
      <c r="Q277" s="14" t="s">
        <v>9158</v>
      </c>
      <c r="R277" s="14"/>
    </row>
    <row r="278" spans="1:18">
      <c r="A278" s="9">
        <v>77453</v>
      </c>
      <c r="B278" s="14" t="s">
        <v>22</v>
      </c>
      <c r="C278" s="14" t="s">
        <v>200</v>
      </c>
      <c r="D278" s="14" t="s">
        <v>1729</v>
      </c>
      <c r="E278" s="15" t="str">
        <f>HYPERLINK("https://stat100.ameba.jp/tnk47/ratio20/illustrations/card/ill_77453_nogyoashikagaujihime03.jpg?201811-i_prefectuer_active_user", "■")</f>
        <v>■</v>
      </c>
      <c r="F278" s="14" t="s">
        <v>1730</v>
      </c>
      <c r="G278" s="14">
        <v>33266</v>
      </c>
      <c r="H278" s="14">
        <v>27660</v>
      </c>
      <c r="I278" s="14">
        <v>16</v>
      </c>
      <c r="J278" s="14" t="s">
        <v>77</v>
      </c>
      <c r="K278" s="14" t="s">
        <v>1731</v>
      </c>
      <c r="L278" s="14" t="s">
        <v>1732</v>
      </c>
      <c r="M278" s="14" t="s">
        <v>9158</v>
      </c>
      <c r="N278" s="14" t="s">
        <v>9158</v>
      </c>
      <c r="O278" s="14" t="s">
        <v>9158</v>
      </c>
      <c r="P278" s="14" t="s">
        <v>9158</v>
      </c>
      <c r="Q278" s="14" t="s">
        <v>9158</v>
      </c>
      <c r="R278" s="14"/>
    </row>
    <row r="279" spans="1:18">
      <c r="A279" s="9">
        <v>77463</v>
      </c>
      <c r="B279" s="14" t="s">
        <v>30</v>
      </c>
      <c r="C279" s="14" t="s">
        <v>1712</v>
      </c>
      <c r="D279" s="14" t="s">
        <v>1733</v>
      </c>
      <c r="E279" s="15" t="str">
        <f>HYPERLINK("https://stat100.ameba.jp/tnk47/ratio20/illustrations/card/ill_77463_yamagarutamahime03.jpg?201811-i_prefectuer_active_user", "■")</f>
        <v>■</v>
      </c>
      <c r="F279" s="14" t="s">
        <v>1734</v>
      </c>
      <c r="G279" s="14">
        <v>16914</v>
      </c>
      <c r="H279" s="14">
        <v>20140</v>
      </c>
      <c r="I279" s="14">
        <v>16</v>
      </c>
      <c r="J279" s="14" t="s">
        <v>77</v>
      </c>
      <c r="K279" s="14" t="s">
        <v>1735</v>
      </c>
      <c r="L279" s="14" t="s">
        <v>1736</v>
      </c>
      <c r="M279" s="14" t="s">
        <v>9158</v>
      </c>
      <c r="N279" s="14" t="s">
        <v>9158</v>
      </c>
      <c r="O279" s="14" t="s">
        <v>9158</v>
      </c>
      <c r="P279" s="14" t="s">
        <v>9158</v>
      </c>
      <c r="Q279" s="14" t="s">
        <v>9158</v>
      </c>
      <c r="R279" s="14"/>
    </row>
    <row r="280" spans="1:18">
      <c r="B280" s="14"/>
      <c r="C280" s="14"/>
      <c r="D280" s="14"/>
      <c r="F280" s="14"/>
      <c r="G280" s="14"/>
      <c r="H280" s="14"/>
      <c r="I280" s="14"/>
      <c r="J280" s="14"/>
      <c r="K280" s="14"/>
      <c r="L280" s="14"/>
      <c r="M280" s="14"/>
      <c r="N280" s="14"/>
      <c r="P280" s="14"/>
      <c r="Q280" s="14"/>
      <c r="R280" s="14"/>
    </row>
    <row r="281" spans="1:18">
      <c r="A281" s="14" t="s">
        <v>115</v>
      </c>
      <c r="D281" s="14"/>
      <c r="F281" s="14"/>
      <c r="G281" s="14"/>
      <c r="H281" s="14"/>
      <c r="I281" s="14"/>
      <c r="J281" s="14"/>
      <c r="K281" s="14"/>
      <c r="L281" s="14"/>
      <c r="M281" s="14"/>
      <c r="N281" s="14"/>
      <c r="P281" s="14"/>
      <c r="Q281" s="14"/>
      <c r="R281" s="14"/>
    </row>
    <row r="282" spans="1:18">
      <c r="A282" s="14" t="s">
        <v>1738</v>
      </c>
      <c r="B282" s="14"/>
      <c r="C282" s="14"/>
      <c r="D282" s="14"/>
      <c r="F282" s="14"/>
      <c r="G282" s="14"/>
      <c r="H282" s="14"/>
      <c r="I282" s="14"/>
      <c r="J282" s="14"/>
      <c r="K282" s="14"/>
      <c r="L282" s="14"/>
      <c r="M282" s="14"/>
      <c r="N282" s="14"/>
      <c r="P282" s="14"/>
      <c r="Q282" s="14"/>
      <c r="R282" s="14"/>
    </row>
    <row r="283" spans="1:18">
      <c r="A283" s="9" t="s">
        <v>5611</v>
      </c>
      <c r="B283" s="14" t="s">
        <v>52</v>
      </c>
      <c r="C283" s="14" t="s">
        <v>185</v>
      </c>
      <c r="D283" s="14" t="s">
        <v>951</v>
      </c>
      <c r="E283" s="15" t="str">
        <f>HYPERLINK("https://stat100.ameba.jp/tnk47/ratio20/illustrations/card/ill_60633_0_harumaisentoin03.jpg?201811-i_prefectuer_active_user", "■")</f>
        <v>■</v>
      </c>
      <c r="F283" s="14" t="s">
        <v>952</v>
      </c>
      <c r="G283" s="14">
        <v>95371</v>
      </c>
      <c r="H283" s="14">
        <v>102590</v>
      </c>
      <c r="I283" s="14">
        <v>15</v>
      </c>
      <c r="J283" s="14" t="s">
        <v>38</v>
      </c>
      <c r="K283" s="14" t="s">
        <v>953</v>
      </c>
      <c r="L283" s="14" t="s">
        <v>954</v>
      </c>
      <c r="M283" s="14" t="s">
        <v>9158</v>
      </c>
      <c r="N283" s="14" t="s">
        <v>9158</v>
      </c>
      <c r="O283" s="9" t="s">
        <v>2888</v>
      </c>
      <c r="P283" s="14" t="s">
        <v>3144</v>
      </c>
      <c r="Q283" s="14">
        <v>1</v>
      </c>
      <c r="R283" s="14"/>
    </row>
    <row r="284" spans="1:18">
      <c r="A284" s="9" t="s">
        <v>5725</v>
      </c>
      <c r="B284" s="14" t="s">
        <v>52</v>
      </c>
      <c r="C284" s="14" t="s">
        <v>206</v>
      </c>
      <c r="D284" s="14" t="s">
        <v>55</v>
      </c>
      <c r="E284" s="15" t="str">
        <f>HYPERLINK("https://stat100.ameba.jp/tnk47/ratio20/illustrations/card/ill_52693_0_sengokumibirakiyanagiharabyakuren03.jpg?201811-i_prefectuer_active_user", "■")</f>
        <v>■</v>
      </c>
      <c r="F284" s="14" t="s">
        <v>1246</v>
      </c>
      <c r="G284" s="14">
        <v>83712</v>
      </c>
      <c r="H284" s="14">
        <v>94236</v>
      </c>
      <c r="I284" s="14">
        <v>15</v>
      </c>
      <c r="J284" s="14" t="s">
        <v>16</v>
      </c>
      <c r="K284" s="14" t="s">
        <v>1247</v>
      </c>
      <c r="L284" s="14" t="s">
        <v>1248</v>
      </c>
      <c r="M284" s="14" t="s">
        <v>9158</v>
      </c>
      <c r="N284" s="14" t="s">
        <v>9158</v>
      </c>
      <c r="O284" s="9" t="s">
        <v>3303</v>
      </c>
      <c r="P284" s="14" t="s">
        <v>3304</v>
      </c>
      <c r="Q284" s="14">
        <v>1</v>
      </c>
      <c r="R284" s="14"/>
    </row>
    <row r="285" spans="1:18">
      <c r="A285" s="9" t="s">
        <v>5897</v>
      </c>
      <c r="B285" s="14" t="s">
        <v>52</v>
      </c>
      <c r="C285" s="14" t="s">
        <v>200</v>
      </c>
      <c r="D285" s="14" t="s">
        <v>53</v>
      </c>
      <c r="E285" s="15" t="str">
        <f>HYPERLINK("https://stat100.ameba.jp/tnk47/ratio20/illustrations/card/ill_40913_0_reigyokudensetsufusehime03.jpg?201811-i_prefectuer_active_user", "■")</f>
        <v>■</v>
      </c>
      <c r="F285" s="14" t="s">
        <v>955</v>
      </c>
      <c r="G285" s="14">
        <v>82212</v>
      </c>
      <c r="H285" s="14">
        <v>87780</v>
      </c>
      <c r="I285" s="14">
        <v>15</v>
      </c>
      <c r="J285" s="14" t="s">
        <v>38</v>
      </c>
      <c r="K285" s="14" t="s">
        <v>956</v>
      </c>
      <c r="L285" s="14" t="s">
        <v>957</v>
      </c>
      <c r="M285" s="14" t="s">
        <v>9158</v>
      </c>
      <c r="N285" s="14" t="s">
        <v>9158</v>
      </c>
      <c r="O285" s="14" t="s">
        <v>9158</v>
      </c>
      <c r="P285" s="14" t="s">
        <v>9158</v>
      </c>
      <c r="Q285" s="14" t="s">
        <v>9158</v>
      </c>
      <c r="R285" s="14"/>
    </row>
    <row r="286" spans="1:18">
      <c r="A286" s="9">
        <v>57243</v>
      </c>
      <c r="B286" s="14" t="s">
        <v>334</v>
      </c>
      <c r="C286" s="14" t="s">
        <v>200</v>
      </c>
      <c r="D286" s="14" t="s">
        <v>1739</v>
      </c>
      <c r="E286" s="15" t="str">
        <f>HYPERLINK("https://stat100.ameba.jp/tnk47/ratio20/illustrations/card/ill_57243_mizunoyahanryusai03.jpg?201811-i_prefectuer_active_user", "■")</f>
        <v>■</v>
      </c>
      <c r="F286" s="14" t="s">
        <v>1740</v>
      </c>
      <c r="G286" s="14">
        <v>78838</v>
      </c>
      <c r="H286" s="14">
        <v>130416</v>
      </c>
      <c r="I286" s="14">
        <v>22</v>
      </c>
      <c r="J286" s="14" t="s">
        <v>143</v>
      </c>
      <c r="K286" s="14" t="s">
        <v>1741</v>
      </c>
      <c r="L286" s="14" t="s">
        <v>1742</v>
      </c>
      <c r="M286" s="14" t="s">
        <v>9158</v>
      </c>
      <c r="N286" s="14" t="s">
        <v>9158</v>
      </c>
      <c r="O286" s="14" t="s">
        <v>9158</v>
      </c>
      <c r="P286" s="14" t="s">
        <v>9158</v>
      </c>
      <c r="Q286" s="14" t="s">
        <v>9158</v>
      </c>
      <c r="R286" s="14"/>
    </row>
    <row r="287" spans="1:18">
      <c r="A287" s="9">
        <v>62323</v>
      </c>
      <c r="B287" s="14" t="s">
        <v>334</v>
      </c>
      <c r="C287" s="14" t="s">
        <v>205</v>
      </c>
      <c r="D287" s="14" t="s">
        <v>1743</v>
      </c>
      <c r="E287" s="15" t="str">
        <f>HYPERLINK("https://stat100.ameba.jp/tnk47/ratio20/illustrations/card/ill_62323_raishunsui03.jpg?201811-i_prefectuer_active_user", "■")</f>
        <v>■</v>
      </c>
      <c r="F287" s="14" t="s">
        <v>1744</v>
      </c>
      <c r="G287" s="14">
        <v>59700</v>
      </c>
      <c r="H287" s="14">
        <v>106100</v>
      </c>
      <c r="I287" s="14">
        <v>22</v>
      </c>
      <c r="J287" s="14" t="s">
        <v>10</v>
      </c>
      <c r="K287" s="14" t="s">
        <v>1745</v>
      </c>
      <c r="L287" s="14" t="s">
        <v>12</v>
      </c>
      <c r="M287" s="14" t="s">
        <v>9158</v>
      </c>
      <c r="N287" s="14" t="s">
        <v>9158</v>
      </c>
      <c r="O287" s="14" t="s">
        <v>9158</v>
      </c>
      <c r="P287" s="14" t="s">
        <v>9158</v>
      </c>
      <c r="Q287" s="14" t="s">
        <v>9158</v>
      </c>
      <c r="R287" s="14"/>
    </row>
    <row r="288" spans="1:18">
      <c r="A288" s="9">
        <v>51813</v>
      </c>
      <c r="B288" s="14" t="s">
        <v>334</v>
      </c>
      <c r="C288" s="14" t="s">
        <v>165</v>
      </c>
      <c r="D288" s="14" t="s">
        <v>1746</v>
      </c>
      <c r="E288" s="15" t="str">
        <f>HYPERLINK("https://stat100.ameba.jp/tnk47/ratio20/illustrations/card/ill_51813_jukisahohime03.jpg?201811-i_prefectuer_active_user", "■")</f>
        <v>■</v>
      </c>
      <c r="F288" s="14" t="s">
        <v>1747</v>
      </c>
      <c r="G288" s="14">
        <v>78838</v>
      </c>
      <c r="H288" s="14">
        <v>84796</v>
      </c>
      <c r="I288" s="14">
        <v>22</v>
      </c>
      <c r="J288" s="14" t="s">
        <v>44</v>
      </c>
      <c r="K288" s="14" t="s">
        <v>1748</v>
      </c>
      <c r="L288" s="14" t="s">
        <v>1749</v>
      </c>
      <c r="M288" s="14" t="s">
        <v>9158</v>
      </c>
      <c r="N288" s="14" t="s">
        <v>9158</v>
      </c>
      <c r="O288" s="14" t="s">
        <v>9158</v>
      </c>
      <c r="P288" s="14" t="s">
        <v>9158</v>
      </c>
      <c r="Q288" s="14" t="s">
        <v>9158</v>
      </c>
      <c r="R288" s="14"/>
    </row>
    <row r="289" spans="1:18">
      <c r="A289" s="9">
        <v>66063</v>
      </c>
      <c r="B289" s="14" t="s">
        <v>348</v>
      </c>
      <c r="C289" s="14" t="s">
        <v>200</v>
      </c>
      <c r="D289" s="14" t="s">
        <v>1750</v>
      </c>
      <c r="E289" s="15" t="str">
        <f>HYPERLINK("https://stat100.ameba.jp/tnk47/ratio20/illustrations/card/ill_66063_serebuedomurasaki03.jpg?201811-i_prefectuer_active_user", "■")</f>
        <v>■</v>
      </c>
      <c r="F289" s="14" t="s">
        <v>1751</v>
      </c>
      <c r="G289" s="14">
        <v>59144</v>
      </c>
      <c r="H289" s="14">
        <v>65208</v>
      </c>
      <c r="I289" s="14">
        <v>22</v>
      </c>
      <c r="J289" s="14" t="s">
        <v>38</v>
      </c>
      <c r="K289" s="14" t="s">
        <v>1752</v>
      </c>
      <c r="L289" s="14" t="s">
        <v>1753</v>
      </c>
      <c r="M289" s="14" t="s">
        <v>9158</v>
      </c>
      <c r="N289" s="14" t="s">
        <v>9158</v>
      </c>
      <c r="O289" s="14" t="s">
        <v>9158</v>
      </c>
      <c r="P289" s="14" t="s">
        <v>9158</v>
      </c>
      <c r="Q289" s="14" t="s">
        <v>9158</v>
      </c>
      <c r="R289" s="14"/>
    </row>
    <row r="290" spans="1:18">
      <c r="A290" s="9">
        <v>52963</v>
      </c>
      <c r="B290" s="14" t="s">
        <v>348</v>
      </c>
      <c r="C290" s="14" t="s">
        <v>191</v>
      </c>
      <c r="D290" s="14" t="s">
        <v>102</v>
      </c>
      <c r="E290" s="15" t="str">
        <f>HYPERLINK("https://stat100.ameba.jp/tnk47/ratio20/illustrations/card/ill_52963_torampumomochan03.jpg?201811-i_prefectuer_active_user", "■")</f>
        <v>■</v>
      </c>
      <c r="F290" s="14" t="s">
        <v>103</v>
      </c>
      <c r="G290" s="14">
        <v>59144</v>
      </c>
      <c r="H290" s="14">
        <v>65208</v>
      </c>
      <c r="I290" s="14">
        <v>22</v>
      </c>
      <c r="J290" s="14" t="s">
        <v>104</v>
      </c>
      <c r="K290" s="14" t="s">
        <v>105</v>
      </c>
      <c r="L290" s="14" t="s">
        <v>106</v>
      </c>
      <c r="M290" s="14" t="s">
        <v>9158</v>
      </c>
      <c r="N290" s="14" t="s">
        <v>9158</v>
      </c>
      <c r="O290" s="14" t="s">
        <v>9158</v>
      </c>
      <c r="P290" s="14" t="s">
        <v>9158</v>
      </c>
      <c r="Q290" s="14" t="s">
        <v>9158</v>
      </c>
      <c r="R290" s="14"/>
    </row>
    <row r="291" spans="1:18">
      <c r="A291" s="9">
        <v>67613</v>
      </c>
      <c r="B291" s="14" t="s">
        <v>348</v>
      </c>
      <c r="C291" s="14" t="s">
        <v>185</v>
      </c>
      <c r="D291" s="14" t="s">
        <v>1754</v>
      </c>
      <c r="E291" s="15" t="str">
        <f>HYPERLINK("https://stat100.ameba.jp/tnk47/ratio20/illustrations/card/ill_67613_girishiashinwaringochan03.jpg?201811-i_prefectuer_active_user", "■")</f>
        <v>■</v>
      </c>
      <c r="F291" s="14" t="s">
        <v>1755</v>
      </c>
      <c r="G291" s="14">
        <v>59144</v>
      </c>
      <c r="H291" s="14">
        <v>65208</v>
      </c>
      <c r="I291" s="14">
        <v>22</v>
      </c>
      <c r="J291" s="14" t="s">
        <v>104</v>
      </c>
      <c r="K291" s="14" t="s">
        <v>1756</v>
      </c>
      <c r="L291" s="14" t="s">
        <v>1757</v>
      </c>
      <c r="M291" s="14" t="s">
        <v>9158</v>
      </c>
      <c r="N291" s="14" t="s">
        <v>9158</v>
      </c>
      <c r="O291" s="14" t="s">
        <v>9158</v>
      </c>
      <c r="P291" s="14" t="s">
        <v>9158</v>
      </c>
      <c r="Q291" s="14" t="s">
        <v>9158</v>
      </c>
      <c r="R291" s="14"/>
    </row>
    <row r="292" spans="1:18">
      <c r="B292" s="14"/>
      <c r="C292" s="14"/>
      <c r="D292" s="14"/>
      <c r="F292" s="14"/>
      <c r="G292" s="14"/>
      <c r="H292" s="14"/>
      <c r="I292" s="14"/>
      <c r="J292" s="14"/>
      <c r="K292" s="14"/>
      <c r="L292" s="14"/>
      <c r="M292" s="14"/>
      <c r="N292" s="14"/>
      <c r="P292" s="14"/>
      <c r="Q292" s="14"/>
      <c r="R292" s="14"/>
    </row>
    <row r="293" spans="1:18">
      <c r="A293" s="14" t="s">
        <v>114</v>
      </c>
      <c r="D293" s="14"/>
      <c r="F293" s="14"/>
      <c r="G293" s="14"/>
      <c r="H293" s="14"/>
      <c r="I293" s="14"/>
      <c r="J293" s="14"/>
      <c r="K293" s="14"/>
      <c r="L293" s="14"/>
      <c r="M293" s="14"/>
      <c r="N293" s="14"/>
      <c r="P293" s="14"/>
      <c r="Q293" s="14"/>
      <c r="R293" s="14"/>
    </row>
    <row r="294" spans="1:18">
      <c r="A294" s="14" t="s">
        <v>1767</v>
      </c>
      <c r="B294" s="14"/>
      <c r="C294" s="14"/>
      <c r="D294" s="14"/>
      <c r="F294" s="14"/>
      <c r="G294" s="14"/>
      <c r="H294" s="14"/>
      <c r="I294" s="14"/>
      <c r="J294" s="14"/>
      <c r="K294" s="14"/>
      <c r="L294" s="14"/>
      <c r="M294" s="14"/>
      <c r="N294" s="14"/>
      <c r="P294" s="14"/>
      <c r="Q294" s="14"/>
      <c r="R294" s="14"/>
    </row>
    <row r="295" spans="1:18">
      <c r="A295" s="9" t="s">
        <v>6195</v>
      </c>
      <c r="B295" s="14" t="s">
        <v>52</v>
      </c>
      <c r="C295" s="14" t="s">
        <v>191</v>
      </c>
      <c r="D295" s="14" t="s">
        <v>1768</v>
      </c>
      <c r="E295" s="15" t="str">
        <f>HYPERLINK("https://stat100.ameba.jp/tnk47/ratio20/illustrations/card/ill_56493_0_poppukurisumasuikomakitsuno03.jpg?201811-i_prefectuer_active_user", "■")</f>
        <v>■</v>
      </c>
      <c r="F295" s="14" t="s">
        <v>1769</v>
      </c>
      <c r="G295" s="14">
        <v>106800</v>
      </c>
      <c r="H295" s="14">
        <v>94872</v>
      </c>
      <c r="I295" s="14">
        <v>17</v>
      </c>
      <c r="J295" s="14" t="s">
        <v>77</v>
      </c>
      <c r="K295" s="14" t="s">
        <v>1770</v>
      </c>
      <c r="L295" s="14" t="s">
        <v>1771</v>
      </c>
      <c r="M295" s="14" t="s">
        <v>9158</v>
      </c>
      <c r="N295" s="14" t="s">
        <v>9158</v>
      </c>
      <c r="O295" s="9" t="s">
        <v>3893</v>
      </c>
      <c r="P295" s="14" t="s">
        <v>2724</v>
      </c>
      <c r="Q295" s="14">
        <v>1</v>
      </c>
      <c r="R295" s="14"/>
    </row>
    <row r="296" spans="1:18">
      <c r="A296" s="9" t="s">
        <v>5719</v>
      </c>
      <c r="B296" s="14" t="s">
        <v>52</v>
      </c>
      <c r="C296" s="14" t="s">
        <v>165</v>
      </c>
      <c r="D296" s="14" t="s">
        <v>1772</v>
      </c>
      <c r="E296" s="15" t="str">
        <f>HYPERLINK("https://stat100.ameba.jp/tnk47/ratio20/illustrations/card/ill_54523_0_yonshunennionohime03.jpg?201811-i_prefectuer_active_user", "■")</f>
        <v>■</v>
      </c>
      <c r="F296" s="14" t="s">
        <v>1773</v>
      </c>
      <c r="G296" s="14">
        <v>94872</v>
      </c>
      <c r="H296" s="14">
        <v>106800</v>
      </c>
      <c r="I296" s="14">
        <v>17</v>
      </c>
      <c r="J296" s="14" t="s">
        <v>38</v>
      </c>
      <c r="K296" s="14" t="s">
        <v>1774</v>
      </c>
      <c r="L296" s="14" t="s">
        <v>1775</v>
      </c>
      <c r="M296" s="14" t="s">
        <v>9158</v>
      </c>
      <c r="N296" s="14" t="s">
        <v>9158</v>
      </c>
      <c r="O296" s="9" t="s">
        <v>3576</v>
      </c>
      <c r="P296" s="14" t="s">
        <v>13168</v>
      </c>
      <c r="Q296" s="14">
        <v>1</v>
      </c>
      <c r="R296" s="14"/>
    </row>
    <row r="297" spans="1:18">
      <c r="A297" s="9">
        <v>77673</v>
      </c>
      <c r="B297" s="14" t="s">
        <v>334</v>
      </c>
      <c r="C297" s="14" t="s">
        <v>158</v>
      </c>
      <c r="D297" s="14" t="s">
        <v>1776</v>
      </c>
      <c r="E297" s="15" t="str">
        <f>HYPERLINK("https://stat100.ameba.jp/tnk47/ratio20/illustrations/card/ill_77673_ryunochoji03.jpg?201811-i_prefectuer_active_user", "■")</f>
        <v>■</v>
      </c>
      <c r="F297" s="14" t="s">
        <v>1777</v>
      </c>
      <c r="G297" s="14">
        <v>111914</v>
      </c>
      <c r="H297" s="14">
        <v>81078</v>
      </c>
      <c r="I297" s="14">
        <v>24</v>
      </c>
      <c r="J297" s="14" t="s">
        <v>73</v>
      </c>
      <c r="K297" s="14" t="s">
        <v>1778</v>
      </c>
      <c r="L297" s="14" t="s">
        <v>1779</v>
      </c>
      <c r="M297" s="14" t="s">
        <v>9158</v>
      </c>
      <c r="N297" s="14" t="s">
        <v>9158</v>
      </c>
      <c r="O297" s="17" t="s">
        <v>10057</v>
      </c>
      <c r="P297" s="14" t="s">
        <v>3460</v>
      </c>
      <c r="Q297" s="14">
        <v>1</v>
      </c>
      <c r="R297" s="14"/>
    </row>
    <row r="298" spans="1:18">
      <c r="A298" s="9">
        <v>67943</v>
      </c>
      <c r="B298" s="14" t="s">
        <v>334</v>
      </c>
      <c r="C298" s="14" t="s">
        <v>154</v>
      </c>
      <c r="D298" s="14" t="s">
        <v>1780</v>
      </c>
      <c r="E298" s="15" t="str">
        <f>HYPERLINK("https://stat100.ameba.jp/tnk47/ratio20/illustrations/card/ill_67943_hoshinamasayuki03.jpg?201811-i_prefectuer_active_user", "■")</f>
        <v>■</v>
      </c>
      <c r="F298" s="14" t="s">
        <v>1781</v>
      </c>
      <c r="G298" s="14">
        <v>65335</v>
      </c>
      <c r="H298" s="14">
        <v>60733</v>
      </c>
      <c r="I298" s="14">
        <v>21</v>
      </c>
      <c r="J298" s="14" t="s">
        <v>10</v>
      </c>
      <c r="K298" s="14" t="s">
        <v>1782</v>
      </c>
      <c r="L298" s="14" t="s">
        <v>1783</v>
      </c>
      <c r="M298" s="14" t="s">
        <v>9158</v>
      </c>
      <c r="N298" s="14" t="s">
        <v>9158</v>
      </c>
      <c r="O298" s="14" t="s">
        <v>9158</v>
      </c>
      <c r="P298" s="14" t="s">
        <v>9158</v>
      </c>
      <c r="Q298" s="14" t="s">
        <v>9158</v>
      </c>
      <c r="R298" s="14"/>
    </row>
    <row r="299" spans="1:18">
      <c r="A299" s="9">
        <v>64023</v>
      </c>
      <c r="B299" s="14" t="s">
        <v>334</v>
      </c>
      <c r="C299" s="14" t="s">
        <v>154</v>
      </c>
      <c r="D299" s="14" t="s">
        <v>1784</v>
      </c>
      <c r="E299" s="15" t="str">
        <f>HYPERLINK("https://stat100.ameba.jp/tnk47/ratio20/illustrations/card/ill_64023_mojabune03.jpg?201811-i_prefectuer_active_user", "■")</f>
        <v>■</v>
      </c>
      <c r="F299" s="14" t="s">
        <v>1785</v>
      </c>
      <c r="G299" s="14">
        <v>70942</v>
      </c>
      <c r="H299" s="14">
        <v>97925</v>
      </c>
      <c r="I299" s="14">
        <v>21</v>
      </c>
      <c r="J299" s="14" t="s">
        <v>73</v>
      </c>
      <c r="K299" s="14" t="s">
        <v>1786</v>
      </c>
      <c r="L299" s="14" t="s">
        <v>1787</v>
      </c>
      <c r="M299" s="14" t="s">
        <v>9158</v>
      </c>
      <c r="N299" s="14" t="s">
        <v>9158</v>
      </c>
      <c r="O299" s="14" t="s">
        <v>9158</v>
      </c>
      <c r="P299" s="14" t="s">
        <v>9158</v>
      </c>
      <c r="Q299" s="14" t="s">
        <v>9158</v>
      </c>
      <c r="R299" s="14"/>
    </row>
    <row r="300" spans="1:18">
      <c r="A300" s="9">
        <v>58333</v>
      </c>
      <c r="B300" s="14" t="s">
        <v>334</v>
      </c>
      <c r="C300" s="14" t="s">
        <v>158</v>
      </c>
      <c r="D300" s="14" t="s">
        <v>1788</v>
      </c>
      <c r="E300" s="15" t="str">
        <f>HYPERLINK("https://stat100.ameba.jp/tnk47/ratio20/illustrations/card/ill_58333_chikinnamban03.jpg?201811-i_prefectuer_active_user", "■")</f>
        <v>■</v>
      </c>
      <c r="F300" s="14" t="s">
        <v>1789</v>
      </c>
      <c r="G300" s="14">
        <v>86668</v>
      </c>
      <c r="H300" s="14">
        <v>63547</v>
      </c>
      <c r="I300" s="14">
        <v>21</v>
      </c>
      <c r="J300" s="14" t="s">
        <v>104</v>
      </c>
      <c r="K300" s="14" t="s">
        <v>1790</v>
      </c>
      <c r="L300" s="14" t="s">
        <v>1791</v>
      </c>
      <c r="M300" s="14" t="s">
        <v>9158</v>
      </c>
      <c r="N300" s="14" t="s">
        <v>9158</v>
      </c>
      <c r="O300" s="14" t="s">
        <v>9158</v>
      </c>
      <c r="P300" s="14" t="s">
        <v>9158</v>
      </c>
      <c r="Q300" s="14" t="s">
        <v>9158</v>
      </c>
      <c r="R300" s="14"/>
    </row>
    <row r="301" spans="1:18">
      <c r="A301" s="9">
        <v>58343</v>
      </c>
      <c r="B301" s="14" t="s">
        <v>334</v>
      </c>
      <c r="C301" s="14" t="s">
        <v>154</v>
      </c>
      <c r="D301" s="14" t="s">
        <v>1792</v>
      </c>
      <c r="E301" s="15" t="str">
        <f>HYPERLINK("https://stat100.ameba.jp/tnk47/ratio20/illustrations/card/ill_58343_agemakidayu03.jpg?201811-i_prefectuer_active_user", "■")</f>
        <v>■</v>
      </c>
      <c r="F301" s="14" t="s">
        <v>1793</v>
      </c>
      <c r="G301" s="14">
        <v>86668</v>
      </c>
      <c r="H301" s="14">
        <v>63547</v>
      </c>
      <c r="I301" s="14">
        <v>21</v>
      </c>
      <c r="J301" s="14" t="s">
        <v>38</v>
      </c>
      <c r="K301" s="14" t="s">
        <v>1794</v>
      </c>
      <c r="L301" s="14" t="s">
        <v>1795</v>
      </c>
      <c r="M301" s="14" t="s">
        <v>9158</v>
      </c>
      <c r="N301" s="14" t="s">
        <v>9158</v>
      </c>
      <c r="O301" s="9" t="s">
        <v>2912</v>
      </c>
      <c r="P301" s="14" t="s">
        <v>13122</v>
      </c>
      <c r="Q301" s="14">
        <v>1</v>
      </c>
      <c r="R301" s="14"/>
    </row>
    <row r="302" spans="1:18">
      <c r="A302" s="9">
        <v>52023</v>
      </c>
      <c r="B302" s="14" t="s">
        <v>334</v>
      </c>
      <c r="C302" s="14" t="s">
        <v>263</v>
      </c>
      <c r="D302" s="14" t="s">
        <v>1796</v>
      </c>
      <c r="E302" s="15" t="str">
        <f>HYPERLINK("https://stat100.ameba.jp/tnk47/ratio20/illustrations/card/ill_52023_shimazuyoshihisa03.jpg?201811-i_prefectuer_active_user", "■")</f>
        <v>■</v>
      </c>
      <c r="F302" s="14" t="s">
        <v>1797</v>
      </c>
      <c r="G302" s="14">
        <v>75254</v>
      </c>
      <c r="H302" s="14">
        <v>124487</v>
      </c>
      <c r="I302" s="14">
        <v>21</v>
      </c>
      <c r="J302" s="14" t="s">
        <v>143</v>
      </c>
      <c r="K302" s="14" t="s">
        <v>1798</v>
      </c>
      <c r="L302" s="14" t="s">
        <v>1799</v>
      </c>
      <c r="M302" s="14" t="s">
        <v>9158</v>
      </c>
      <c r="N302" s="14" t="s">
        <v>9158</v>
      </c>
      <c r="O302" s="14" t="s">
        <v>9158</v>
      </c>
      <c r="P302" s="14" t="s">
        <v>9158</v>
      </c>
      <c r="Q302" s="14" t="s">
        <v>9158</v>
      </c>
      <c r="R302" s="14"/>
    </row>
    <row r="303" spans="1:18">
      <c r="B303" s="14"/>
      <c r="C303" s="14"/>
      <c r="D303" s="14"/>
      <c r="F303" s="14"/>
      <c r="G303" s="14"/>
      <c r="H303" s="14"/>
      <c r="I303" s="14"/>
      <c r="J303" s="14"/>
      <c r="K303" s="14"/>
      <c r="L303" s="14"/>
      <c r="M303" s="14"/>
      <c r="N303" s="14"/>
      <c r="P303" s="14"/>
      <c r="Q303" s="14"/>
      <c r="R303" s="14"/>
    </row>
    <row r="304" spans="1:18">
      <c r="A304" s="14" t="s">
        <v>195</v>
      </c>
      <c r="D304" s="14"/>
      <c r="F304" s="14"/>
      <c r="G304" s="14"/>
      <c r="H304" s="14"/>
      <c r="I304" s="14"/>
      <c r="J304" s="14"/>
      <c r="K304" s="14"/>
      <c r="L304" s="14"/>
      <c r="M304" s="14"/>
      <c r="N304" s="14"/>
      <c r="P304" s="14"/>
      <c r="Q304" s="14"/>
      <c r="R304" s="14"/>
    </row>
    <row r="305" spans="1:18">
      <c r="A305" s="14" t="s">
        <v>1758</v>
      </c>
      <c r="C305" s="14"/>
      <c r="D305" s="14"/>
      <c r="F305" s="14"/>
      <c r="G305" s="14"/>
      <c r="H305" s="14"/>
      <c r="I305" s="14"/>
      <c r="J305" s="14"/>
      <c r="K305" s="14"/>
      <c r="L305" s="14"/>
      <c r="M305" s="14"/>
      <c r="N305" s="14"/>
      <c r="P305" s="14"/>
      <c r="Q305" s="14"/>
      <c r="R305" s="14"/>
    </row>
    <row r="306" spans="1:18">
      <c r="A306" s="9">
        <v>66093</v>
      </c>
      <c r="B306" s="14" t="s">
        <v>0</v>
      </c>
      <c r="C306" s="14" t="s">
        <v>209</v>
      </c>
      <c r="D306" s="14" t="s">
        <v>1759</v>
      </c>
      <c r="E306" s="15" t="str">
        <f>HYPERLINK("https://stat100.ameba.jp/tnk47/ratio20/illustrations/card/ill_66093_sasanishiki03.jpg?201811-i_prefectuer_active_user", "■")</f>
        <v>■</v>
      </c>
      <c r="F306" s="14" t="s">
        <v>1760</v>
      </c>
      <c r="G306" s="14">
        <v>90574</v>
      </c>
      <c r="H306" s="14">
        <v>84214</v>
      </c>
      <c r="I306" s="14">
        <v>21</v>
      </c>
      <c r="J306" s="14" t="s">
        <v>104</v>
      </c>
      <c r="K306" s="14" t="s">
        <v>1761</v>
      </c>
      <c r="L306" s="14" t="s">
        <v>1762</v>
      </c>
      <c r="M306" s="14" t="s">
        <v>9158</v>
      </c>
      <c r="N306" s="14" t="s">
        <v>9158</v>
      </c>
      <c r="O306" s="14" t="s">
        <v>9158</v>
      </c>
      <c r="P306" s="14" t="s">
        <v>9158</v>
      </c>
      <c r="Q306" s="14" t="s">
        <v>9158</v>
      </c>
      <c r="R306" s="14"/>
    </row>
    <row r="307" spans="1:18">
      <c r="A307" s="9">
        <v>66103</v>
      </c>
      <c r="B307" s="14" t="s">
        <v>0</v>
      </c>
      <c r="C307" s="14" t="s">
        <v>158</v>
      </c>
      <c r="D307" s="14" t="s">
        <v>1763</v>
      </c>
      <c r="E307" s="15" t="str">
        <f>HYPERLINK("https://stat100.ameba.jp/tnk47/ratio20/illustrations/card/ill_66103_kokentenno03.jpg?201811-i_prefectuer_active_user", "■")</f>
        <v>■</v>
      </c>
      <c r="F307" s="14" t="s">
        <v>1764</v>
      </c>
      <c r="G307" s="14">
        <v>90574</v>
      </c>
      <c r="H307" s="14">
        <v>84214</v>
      </c>
      <c r="I307" s="14">
        <v>21</v>
      </c>
      <c r="J307" s="14" t="s">
        <v>77</v>
      </c>
      <c r="K307" s="14" t="s">
        <v>1765</v>
      </c>
      <c r="L307" s="14" t="s">
        <v>1766</v>
      </c>
      <c r="M307" s="14" t="s">
        <v>9158</v>
      </c>
      <c r="N307" s="14" t="s">
        <v>9158</v>
      </c>
      <c r="O307" s="14" t="s">
        <v>9158</v>
      </c>
      <c r="P307" s="14" t="s">
        <v>9158</v>
      </c>
      <c r="Q307" s="14" t="s">
        <v>9158</v>
      </c>
      <c r="R307" s="14"/>
    </row>
    <row r="308" spans="1:18">
      <c r="A308" s="9">
        <v>34823</v>
      </c>
      <c r="B308" s="14" t="s">
        <v>0</v>
      </c>
      <c r="C308" s="14" t="s">
        <v>158</v>
      </c>
      <c r="D308" s="14" t="s">
        <v>1129</v>
      </c>
      <c r="E308" s="15" t="str">
        <f>HYPERLINK("https://stat100.ameba.jp/tnk47/ratio20/illustrations/card/ill_34823_kentokatsurakogoro03.jpg?201811-i_prefectuer_active_user", "■")</f>
        <v>■</v>
      </c>
      <c r="F308" s="14" t="s">
        <v>1130</v>
      </c>
      <c r="G308" s="14">
        <v>75254</v>
      </c>
      <c r="H308" s="14">
        <v>80942</v>
      </c>
      <c r="I308" s="14">
        <v>21</v>
      </c>
      <c r="J308" s="14" t="s">
        <v>10</v>
      </c>
      <c r="K308" s="14" t="s">
        <v>1131</v>
      </c>
      <c r="L308" s="14" t="s">
        <v>1132</v>
      </c>
      <c r="M308" s="14" t="s">
        <v>9158</v>
      </c>
      <c r="N308" s="14" t="s">
        <v>9158</v>
      </c>
      <c r="O308" s="14" t="s">
        <v>9158</v>
      </c>
      <c r="P308" s="14" t="s">
        <v>9158</v>
      </c>
      <c r="Q308" s="14" t="s">
        <v>9158</v>
      </c>
      <c r="R308" s="14"/>
    </row>
    <row r="309" spans="1:18">
      <c r="A309" s="9">
        <v>67383</v>
      </c>
      <c r="B309" s="14" t="s">
        <v>0</v>
      </c>
      <c r="C309" s="14" t="s">
        <v>191</v>
      </c>
      <c r="D309" s="14" t="s">
        <v>1133</v>
      </c>
      <c r="E309" s="15" t="str">
        <f>HYPERLINK("https://stat100.ameba.jp/tnk47/ratio20/illustrations/card/ill_67383_jobayamakawatomiko03.jpg?201811-i_prefectuer_active_user", "■")</f>
        <v>■</v>
      </c>
      <c r="F309" s="14" t="s">
        <v>1134</v>
      </c>
      <c r="G309" s="14">
        <v>82027</v>
      </c>
      <c r="H309" s="14">
        <v>76237</v>
      </c>
      <c r="I309" s="14">
        <v>21</v>
      </c>
      <c r="J309" s="14" t="s">
        <v>10</v>
      </c>
      <c r="K309" s="14" t="s">
        <v>1135</v>
      </c>
      <c r="L309" s="14" t="s">
        <v>1136</v>
      </c>
      <c r="M309" s="14" t="s">
        <v>9158</v>
      </c>
      <c r="N309" s="14" t="s">
        <v>9158</v>
      </c>
      <c r="O309" s="14" t="s">
        <v>9158</v>
      </c>
      <c r="P309" s="14" t="s">
        <v>9158</v>
      </c>
      <c r="Q309" s="14" t="s">
        <v>9158</v>
      </c>
      <c r="R309" s="14"/>
    </row>
    <row r="310" spans="1:18">
      <c r="B310" s="14"/>
      <c r="C310" s="14"/>
      <c r="D310" s="14"/>
      <c r="F310" s="14"/>
      <c r="G310" s="14"/>
      <c r="H310" s="14"/>
      <c r="I310" s="14"/>
      <c r="J310" s="14"/>
      <c r="K310" s="14"/>
      <c r="L310" s="14"/>
      <c r="M310" s="14"/>
      <c r="N310" s="14"/>
      <c r="P310" s="14"/>
      <c r="Q310" s="14"/>
      <c r="R310" s="14"/>
    </row>
    <row r="311" spans="1:18">
      <c r="A311" s="14" t="s">
        <v>223</v>
      </c>
      <c r="D311" s="14"/>
      <c r="F311" s="14"/>
      <c r="G311" s="14"/>
      <c r="H311" s="14"/>
      <c r="I311" s="14"/>
      <c r="J311" s="14"/>
      <c r="K311" s="14"/>
      <c r="L311" s="14"/>
      <c r="M311" s="14"/>
      <c r="N311" s="14"/>
      <c r="P311" s="14"/>
      <c r="Q311" s="14"/>
      <c r="R311" s="14"/>
    </row>
    <row r="312" spans="1:18">
      <c r="A312" s="14" t="s">
        <v>1832</v>
      </c>
      <c r="B312" s="14"/>
      <c r="C312" s="14"/>
      <c r="D312" s="14"/>
      <c r="F312" s="14"/>
      <c r="G312" s="14"/>
      <c r="H312" s="14"/>
      <c r="I312" s="14"/>
      <c r="J312" s="14"/>
      <c r="K312" s="14"/>
      <c r="L312" s="14"/>
      <c r="M312" s="14"/>
      <c r="N312" s="14"/>
      <c r="P312" s="14"/>
      <c r="Q312" s="14"/>
      <c r="R312" s="14"/>
    </row>
    <row r="313" spans="1:18">
      <c r="A313" s="9" t="s">
        <v>5606</v>
      </c>
      <c r="B313" s="14" t="s">
        <v>52</v>
      </c>
      <c r="C313" s="14" t="s">
        <v>206</v>
      </c>
      <c r="D313" s="14" t="s">
        <v>1833</v>
      </c>
      <c r="E313" s="15" t="str">
        <f>HYPERLINK("https://stat100.ameba.jp/tnk47/ratio20/illustrations/card/ill_72233_0_koinoboriryugujin03.jpg?201811-i_prefectuer_active_user", "■")</f>
        <v>■</v>
      </c>
      <c r="F313" s="14" t="s">
        <v>1012</v>
      </c>
      <c r="G313" s="14">
        <v>111513</v>
      </c>
      <c r="H313" s="14">
        <v>119945</v>
      </c>
      <c r="I313" s="14">
        <v>17</v>
      </c>
      <c r="J313" s="14" t="s">
        <v>44</v>
      </c>
      <c r="K313" s="14" t="s">
        <v>1013</v>
      </c>
      <c r="L313" s="14" t="s">
        <v>1014</v>
      </c>
      <c r="M313" s="14" t="s">
        <v>9158</v>
      </c>
      <c r="N313" s="14" t="s">
        <v>9158</v>
      </c>
      <c r="O313" s="9" t="s">
        <v>2940</v>
      </c>
      <c r="P313" s="14" t="s">
        <v>2941</v>
      </c>
      <c r="Q313" s="14">
        <v>2</v>
      </c>
      <c r="R313" s="14"/>
    </row>
    <row r="314" spans="1:18">
      <c r="A314" s="9">
        <v>62473</v>
      </c>
      <c r="B314" s="14" t="s">
        <v>0</v>
      </c>
      <c r="C314" s="14" t="s">
        <v>158</v>
      </c>
      <c r="D314" s="14" t="s">
        <v>1834</v>
      </c>
      <c r="E314" s="15" t="str">
        <f>HYPERLINK("https://stat100.ameba.jp/tnk47/ratio20/illustrations/card/ill_62473_kokuriko03.jpg?201811-i_prefectuer_active_user", "■")</f>
        <v>■</v>
      </c>
      <c r="F314" s="14" t="s">
        <v>938</v>
      </c>
      <c r="G314" s="14">
        <v>86731</v>
      </c>
      <c r="H314" s="14">
        <v>62818</v>
      </c>
      <c r="I314" s="14">
        <v>19</v>
      </c>
      <c r="J314" s="14" t="s">
        <v>169</v>
      </c>
      <c r="K314" s="14" t="s">
        <v>939</v>
      </c>
      <c r="L314" s="14" t="s">
        <v>13148</v>
      </c>
      <c r="M314" s="14" t="s">
        <v>9158</v>
      </c>
      <c r="N314" s="14" t="s">
        <v>9158</v>
      </c>
      <c r="O314" s="9" t="s">
        <v>2838</v>
      </c>
      <c r="P314" s="14" t="s">
        <v>2839</v>
      </c>
      <c r="Q314" s="14">
        <v>1</v>
      </c>
      <c r="R314" s="14"/>
    </row>
    <row r="315" spans="1:18">
      <c r="A315" s="9">
        <v>69533</v>
      </c>
      <c r="B315" s="14" t="s">
        <v>0</v>
      </c>
      <c r="C315" s="14" t="s">
        <v>191</v>
      </c>
      <c r="D315" s="14" t="s">
        <v>1835</v>
      </c>
      <c r="E315" s="15" t="str">
        <f>HYPERLINK("https://stat100.ameba.jp/tnk47/ratio20/illustrations/card/ill_69533_setsubunodainokata03.jpg?201811-i_prefectuer_active_user", "■")</f>
        <v>■</v>
      </c>
      <c r="F315" s="14" t="s">
        <v>138</v>
      </c>
      <c r="G315" s="14">
        <v>74215</v>
      </c>
      <c r="H315" s="14">
        <v>68977</v>
      </c>
      <c r="I315" s="14">
        <v>19</v>
      </c>
      <c r="J315" s="14" t="s">
        <v>173</v>
      </c>
      <c r="K315" s="14" t="s">
        <v>193</v>
      </c>
      <c r="L315" s="14" t="s">
        <v>13134</v>
      </c>
      <c r="M315" s="14" t="s">
        <v>9158</v>
      </c>
      <c r="N315" s="14" t="s">
        <v>9158</v>
      </c>
      <c r="O315" s="17" t="s">
        <v>10055</v>
      </c>
      <c r="P315" s="14" t="s">
        <v>13124</v>
      </c>
      <c r="Q315" s="14">
        <v>1</v>
      </c>
      <c r="R315" s="14"/>
    </row>
    <row r="316" spans="1:18">
      <c r="A316" s="9">
        <v>72923</v>
      </c>
      <c r="B316" s="14" t="s">
        <v>0</v>
      </c>
      <c r="C316" s="14" t="s">
        <v>206</v>
      </c>
      <c r="D316" s="14" t="s">
        <v>1836</v>
      </c>
      <c r="E316" s="15" t="str">
        <f>HYPERLINK("https://stat100.ameba.jp/tnk47/ratio20/illustrations/card/ill_72923_amenohanayomemyorinni03.jpg?201811-i_prefectuer_active_user", "■")</f>
        <v>■</v>
      </c>
      <c r="F316" s="14" t="s">
        <v>1837</v>
      </c>
      <c r="G316" s="14">
        <v>105020</v>
      </c>
      <c r="H316" s="14">
        <v>112949</v>
      </c>
      <c r="I316" s="14">
        <v>19</v>
      </c>
      <c r="J316" s="14" t="s">
        <v>194</v>
      </c>
      <c r="K316" s="14" t="s">
        <v>1838</v>
      </c>
      <c r="L316" s="14" t="s">
        <v>13160</v>
      </c>
      <c r="M316" s="14" t="s">
        <v>9158</v>
      </c>
      <c r="N316" s="14" t="s">
        <v>9158</v>
      </c>
      <c r="O316" s="9" t="s">
        <v>2752</v>
      </c>
      <c r="P316" s="14" t="s">
        <v>13123</v>
      </c>
      <c r="Q316" s="14">
        <v>1</v>
      </c>
      <c r="R316" s="14"/>
    </row>
    <row r="317" spans="1:18">
      <c r="B317" s="14"/>
      <c r="C317" s="14"/>
      <c r="D317" s="14"/>
      <c r="F317" s="14"/>
      <c r="G317" s="14"/>
      <c r="H317" s="14"/>
      <c r="I317" s="14"/>
      <c r="J317" s="14"/>
      <c r="K317" s="14"/>
      <c r="L317" s="14"/>
      <c r="M317" s="14"/>
      <c r="N317" s="14"/>
      <c r="P317" s="14"/>
      <c r="Q317" s="14"/>
      <c r="R317" s="14"/>
    </row>
    <row r="318" spans="1:18">
      <c r="A318" s="14" t="s">
        <v>13326</v>
      </c>
      <c r="D318" s="14"/>
      <c r="F318" s="14"/>
      <c r="G318" s="14"/>
      <c r="H318" s="14"/>
      <c r="I318" s="14"/>
      <c r="J318" s="14"/>
      <c r="K318" s="14"/>
      <c r="L318" s="14"/>
      <c r="M318" s="14"/>
      <c r="N318" s="14"/>
      <c r="P318" s="14"/>
      <c r="Q318" s="14"/>
      <c r="R318" s="14"/>
    </row>
    <row r="319" spans="1:18">
      <c r="A319" s="14" t="s">
        <v>1839</v>
      </c>
      <c r="B319" s="14"/>
      <c r="C319" s="14"/>
      <c r="D319" s="14"/>
      <c r="F319" s="14"/>
      <c r="G319" s="14"/>
      <c r="H319" s="14"/>
      <c r="I319" s="14"/>
      <c r="J319" s="14"/>
      <c r="K319" s="14"/>
      <c r="L319" s="14"/>
      <c r="M319" s="14"/>
      <c r="N319" s="14"/>
      <c r="P319" s="14"/>
      <c r="Q319" s="14"/>
      <c r="R319" s="14"/>
    </row>
    <row r="320" spans="1:18">
      <c r="A320" s="9">
        <v>53233</v>
      </c>
      <c r="B320" s="14" t="s">
        <v>0</v>
      </c>
      <c r="C320" s="14" t="s">
        <v>185</v>
      </c>
      <c r="D320" s="14" t="s">
        <v>1840</v>
      </c>
      <c r="E320" s="15" t="str">
        <f>HYPERLINK("https://stat100.ameba.jp/tnk47/ratio20/illustrations/card/ill_53233_nambuharumasa03.jpg?201811-i_prefectuer_active_user", "■")</f>
        <v>■</v>
      </c>
      <c r="F320" s="14" t="s">
        <v>1852</v>
      </c>
      <c r="G320" s="14">
        <v>96121</v>
      </c>
      <c r="H320" s="14">
        <v>103384</v>
      </c>
      <c r="I320" s="14">
        <v>21</v>
      </c>
      <c r="J320" s="14" t="s">
        <v>310</v>
      </c>
      <c r="K320" s="14" t="s">
        <v>1846</v>
      </c>
      <c r="L320" s="14" t="s">
        <v>9914</v>
      </c>
      <c r="M320" s="14" t="s">
        <v>13169</v>
      </c>
      <c r="N320" s="14" t="s">
        <v>1310</v>
      </c>
      <c r="O320" s="14" t="s">
        <v>9158</v>
      </c>
      <c r="P320" s="14" t="s">
        <v>9158</v>
      </c>
      <c r="Q320" s="14" t="s">
        <v>9158</v>
      </c>
      <c r="R320" s="14"/>
    </row>
    <row r="321" spans="1:18">
      <c r="A321" s="9">
        <v>53232</v>
      </c>
      <c r="B321" s="14" t="s">
        <v>0</v>
      </c>
      <c r="C321" s="14" t="s">
        <v>185</v>
      </c>
      <c r="D321" s="14" t="s">
        <v>1840</v>
      </c>
      <c r="E321" s="15" t="str">
        <f>HYPERLINK("https://stat100.ameba.jp/tnk47/ratio20/illustrations/card/ill_53232_nambuharumasa02.jpg?201811-i_prefectuer_active_user", "■")</f>
        <v>■</v>
      </c>
      <c r="F321" s="14" t="s">
        <v>1852</v>
      </c>
      <c r="G321" s="14">
        <v>79610</v>
      </c>
      <c r="H321" s="14">
        <v>86423</v>
      </c>
      <c r="I321" s="14">
        <v>21</v>
      </c>
      <c r="J321" s="14" t="s">
        <v>310</v>
      </c>
      <c r="K321" s="14" t="s">
        <v>1846</v>
      </c>
      <c r="L321" s="14" t="s">
        <v>9914</v>
      </c>
      <c r="M321" s="14" t="s">
        <v>13169</v>
      </c>
      <c r="N321" s="14" t="s">
        <v>1310</v>
      </c>
      <c r="O321" s="14" t="s">
        <v>9158</v>
      </c>
      <c r="P321" s="14" t="s">
        <v>9158</v>
      </c>
      <c r="Q321" s="14" t="s">
        <v>9158</v>
      </c>
      <c r="R321" s="14"/>
    </row>
    <row r="322" spans="1:18">
      <c r="A322" s="9">
        <v>53231</v>
      </c>
      <c r="B322" s="14" t="s">
        <v>0</v>
      </c>
      <c r="C322" s="14" t="s">
        <v>185</v>
      </c>
      <c r="D322" s="14" t="s">
        <v>1840</v>
      </c>
      <c r="E322" s="15" t="str">
        <f>HYPERLINK("https://stat100.ameba.jp/tnk47/ratio20/illustrations/card/ill_53231_nambuharumasa01.jpg?201811-i_prefectuer_active_user", "■")</f>
        <v>■</v>
      </c>
      <c r="F322" s="14" t="s">
        <v>1852</v>
      </c>
      <c r="G322" s="14">
        <v>61425</v>
      </c>
      <c r="H322" s="14">
        <v>65982</v>
      </c>
      <c r="I322" s="14">
        <v>21</v>
      </c>
      <c r="J322" s="14" t="s">
        <v>310</v>
      </c>
      <c r="K322" s="14" t="s">
        <v>1846</v>
      </c>
      <c r="L322" s="14" t="s">
        <v>9914</v>
      </c>
      <c r="M322" s="14" t="s">
        <v>13169</v>
      </c>
      <c r="N322" s="14" t="s">
        <v>1310</v>
      </c>
      <c r="O322" s="14" t="s">
        <v>9158</v>
      </c>
      <c r="P322" s="14" t="s">
        <v>9158</v>
      </c>
      <c r="Q322" s="14" t="s">
        <v>9158</v>
      </c>
      <c r="R322" s="14"/>
    </row>
    <row r="323" spans="1:18">
      <c r="A323" s="9">
        <v>57283</v>
      </c>
      <c r="B323" s="14" t="s">
        <v>0</v>
      </c>
      <c r="C323" s="14" t="s">
        <v>200</v>
      </c>
      <c r="D323" s="14" t="s">
        <v>1841</v>
      </c>
      <c r="E323" s="15" t="str">
        <f>HYPERLINK("https://stat100.ameba.jp/tnk47/ratio20/illustrations/card/ill_57283_ashikagashimahime03.jpg?201811-i_prefectuer_active_user", "■")</f>
        <v>■</v>
      </c>
      <c r="F323" s="14" t="s">
        <v>1853</v>
      </c>
      <c r="G323" s="14">
        <v>103384</v>
      </c>
      <c r="H323" s="14">
        <v>96121</v>
      </c>
      <c r="I323" s="14">
        <v>21</v>
      </c>
      <c r="J323" s="14" t="s">
        <v>315</v>
      </c>
      <c r="K323" s="14" t="s">
        <v>1847</v>
      </c>
      <c r="L323" s="14" t="s">
        <v>9915</v>
      </c>
      <c r="M323" s="14" t="s">
        <v>13169</v>
      </c>
      <c r="N323" s="14" t="s">
        <v>1310</v>
      </c>
      <c r="O323" s="14" t="s">
        <v>9158</v>
      </c>
      <c r="P323" s="14" t="s">
        <v>9158</v>
      </c>
      <c r="Q323" s="14" t="s">
        <v>9158</v>
      </c>
      <c r="R323" s="14"/>
    </row>
    <row r="324" spans="1:18">
      <c r="A324" s="9">
        <v>64413</v>
      </c>
      <c r="B324" s="14" t="s">
        <v>0</v>
      </c>
      <c r="C324" s="14" t="s">
        <v>191</v>
      </c>
      <c r="D324" s="14" t="s">
        <v>1842</v>
      </c>
      <c r="E324" s="15" t="str">
        <f>HYPERLINK("https://stat100.ameba.jp/tnk47/ratio20/illustrations/card/ill_64413_kyuso03.jpg?201811-i_prefectuer_active_user", "■")</f>
        <v>■</v>
      </c>
      <c r="F324" s="14" t="s">
        <v>1854</v>
      </c>
      <c r="G324" s="14">
        <v>96121</v>
      </c>
      <c r="H324" s="14">
        <v>103384</v>
      </c>
      <c r="I324" s="14">
        <v>21</v>
      </c>
      <c r="J324" s="14" t="s">
        <v>320</v>
      </c>
      <c r="K324" s="14" t="s">
        <v>1848</v>
      </c>
      <c r="L324" s="14" t="s">
        <v>9916</v>
      </c>
      <c r="M324" s="14" t="s">
        <v>13169</v>
      </c>
      <c r="N324" s="14" t="s">
        <v>1310</v>
      </c>
      <c r="O324" s="14" t="s">
        <v>9158</v>
      </c>
      <c r="P324" s="14" t="s">
        <v>9158</v>
      </c>
      <c r="Q324" s="14" t="s">
        <v>9158</v>
      </c>
      <c r="R324" s="14"/>
    </row>
    <row r="325" spans="1:18">
      <c r="A325" s="9">
        <v>64423</v>
      </c>
      <c r="B325" s="14" t="s">
        <v>334</v>
      </c>
      <c r="C325" s="14" t="s">
        <v>165</v>
      </c>
      <c r="D325" s="14" t="s">
        <v>1843</v>
      </c>
      <c r="E325" s="15" t="str">
        <f>HYPERLINK("https://stat100.ameba.jp/tnk47/ratio20/illustrations/card/ill_64423_ankoromochi03.jpg?201811-i_prefectuer_active_user", "■")</f>
        <v>■</v>
      </c>
      <c r="F325" s="14" t="s">
        <v>1855</v>
      </c>
      <c r="G325" s="14">
        <v>103384</v>
      </c>
      <c r="H325" s="14">
        <v>96121</v>
      </c>
      <c r="I325" s="14">
        <v>21</v>
      </c>
      <c r="J325" s="14" t="s">
        <v>283</v>
      </c>
      <c r="K325" s="14" t="s">
        <v>1849</v>
      </c>
      <c r="L325" s="14" t="s">
        <v>9917</v>
      </c>
      <c r="M325" s="14" t="s">
        <v>13169</v>
      </c>
      <c r="N325" s="14" t="s">
        <v>1310</v>
      </c>
      <c r="O325" s="14" t="s">
        <v>9158</v>
      </c>
      <c r="P325" s="14" t="s">
        <v>9158</v>
      </c>
      <c r="Q325" s="14" t="s">
        <v>9158</v>
      </c>
      <c r="R325" s="14"/>
    </row>
    <row r="326" spans="1:18">
      <c r="A326" s="9">
        <v>61453</v>
      </c>
      <c r="B326" s="14" t="s">
        <v>334</v>
      </c>
      <c r="C326" s="14" t="s">
        <v>205</v>
      </c>
      <c r="D326" s="14" t="s">
        <v>1844</v>
      </c>
      <c r="E326" s="15" t="str">
        <f>HYPERLINK("https://stat100.ameba.jp/tnk47/ratio20/illustrations/card/ill_61453_hiragayuzuru03.jpg?201811-i_prefectuer_active_user", "■")</f>
        <v>■</v>
      </c>
      <c r="F326" s="14" t="s">
        <v>1856</v>
      </c>
      <c r="G326" s="14">
        <v>103384</v>
      </c>
      <c r="H326" s="14">
        <v>96121</v>
      </c>
      <c r="I326" s="14">
        <v>21</v>
      </c>
      <c r="J326" s="14" t="s">
        <v>414</v>
      </c>
      <c r="K326" s="14" t="s">
        <v>1850</v>
      </c>
      <c r="L326" s="14" t="s">
        <v>9918</v>
      </c>
      <c r="M326" s="14" t="s">
        <v>13169</v>
      </c>
      <c r="N326" s="14" t="s">
        <v>1310</v>
      </c>
      <c r="O326" s="14" t="s">
        <v>9158</v>
      </c>
      <c r="P326" s="14" t="s">
        <v>9158</v>
      </c>
      <c r="Q326" s="14" t="s">
        <v>9158</v>
      </c>
      <c r="R326" s="14"/>
    </row>
    <row r="327" spans="1:18">
      <c r="A327" s="9">
        <v>56013</v>
      </c>
      <c r="B327" s="14" t="s">
        <v>334</v>
      </c>
      <c r="C327" s="14" t="s">
        <v>206</v>
      </c>
      <c r="D327" s="14" t="s">
        <v>1845</v>
      </c>
      <c r="E327" s="15" t="str">
        <f>HYPERLINK("https://stat100.ameba.jp/tnk47/ratio20/illustrations/card/ill_56013_kitaharahakushu03.jpg?201811-i_prefectuer_active_user", "■")</f>
        <v>■</v>
      </c>
      <c r="F327" s="14" t="s">
        <v>1857</v>
      </c>
      <c r="G327" s="14">
        <v>96121</v>
      </c>
      <c r="H327" s="14">
        <v>103384</v>
      </c>
      <c r="I327" s="14">
        <v>21</v>
      </c>
      <c r="J327" s="14" t="s">
        <v>351</v>
      </c>
      <c r="K327" s="14" t="s">
        <v>1851</v>
      </c>
      <c r="L327" s="14" t="s">
        <v>9919</v>
      </c>
      <c r="M327" s="14" t="s">
        <v>13169</v>
      </c>
      <c r="N327" s="14" t="s">
        <v>1310</v>
      </c>
      <c r="O327" s="14" t="s">
        <v>9158</v>
      </c>
      <c r="P327" s="14" t="s">
        <v>9158</v>
      </c>
      <c r="Q327" s="14" t="s">
        <v>9158</v>
      </c>
      <c r="R327" s="14"/>
    </row>
    <row r="328" spans="1:18">
      <c r="B328" s="14"/>
      <c r="C328" s="14"/>
      <c r="D328" s="14"/>
      <c r="F328" s="14"/>
      <c r="G328" s="14"/>
      <c r="H328" s="14"/>
      <c r="I328" s="14"/>
      <c r="J328" s="14"/>
      <c r="K328" s="14"/>
      <c r="L328" s="14"/>
      <c r="M328" s="14"/>
      <c r="N328" s="14"/>
      <c r="P328" s="14"/>
      <c r="Q328" s="14"/>
      <c r="R328" s="14"/>
    </row>
    <row r="329" spans="1:18">
      <c r="A329" s="14" t="s">
        <v>132</v>
      </c>
      <c r="D329" s="14"/>
      <c r="F329" s="14"/>
      <c r="G329" s="14"/>
      <c r="H329" s="14"/>
      <c r="I329" s="14"/>
      <c r="J329" s="14"/>
      <c r="K329" s="14"/>
      <c r="L329" s="14"/>
      <c r="M329" s="14"/>
      <c r="N329" s="14"/>
      <c r="P329" s="14"/>
      <c r="Q329" s="14"/>
      <c r="R329" s="14"/>
    </row>
    <row r="330" spans="1:18">
      <c r="A330" s="14" t="s">
        <v>1800</v>
      </c>
      <c r="B330" s="14"/>
      <c r="C330" s="14"/>
      <c r="D330" s="14"/>
      <c r="F330" s="14"/>
      <c r="G330" s="14"/>
      <c r="H330" s="14"/>
      <c r="I330" s="14"/>
      <c r="J330" s="14"/>
      <c r="K330" s="14"/>
      <c r="L330" s="14"/>
      <c r="M330" s="14"/>
      <c r="N330" s="14"/>
      <c r="P330" s="14"/>
      <c r="Q330" s="14"/>
      <c r="R330" s="14"/>
    </row>
    <row r="331" spans="1:18">
      <c r="A331" s="9">
        <v>52015</v>
      </c>
      <c r="B331" s="14" t="s">
        <v>0</v>
      </c>
      <c r="C331" s="14" t="s">
        <v>202</v>
      </c>
      <c r="D331" s="14" t="s">
        <v>1801</v>
      </c>
      <c r="E331" s="15" t="str">
        <f>HYPERLINK("https://stat100.ameba.jp/tnk47/ratio20/illustrations/card/ill_52015_kuzuryuomikami05.jpg?201811-i_prefectuer_active_user", "■")</f>
        <v>■</v>
      </c>
      <c r="F331" s="14" t="s">
        <v>1802</v>
      </c>
      <c r="G331" s="14">
        <v>72619</v>
      </c>
      <c r="H331" s="14">
        <v>94798</v>
      </c>
      <c r="I331" s="14">
        <v>21</v>
      </c>
      <c r="J331" s="14" t="s">
        <v>44</v>
      </c>
      <c r="K331" s="14" t="s">
        <v>1803</v>
      </c>
      <c r="L331" s="14" t="s">
        <v>1804</v>
      </c>
      <c r="M331" s="14" t="s">
        <v>9158</v>
      </c>
      <c r="N331" s="14" t="s">
        <v>9158</v>
      </c>
      <c r="O331" s="14" t="s">
        <v>9158</v>
      </c>
      <c r="P331" s="14" t="s">
        <v>9158</v>
      </c>
      <c r="Q331" s="14" t="s">
        <v>9158</v>
      </c>
      <c r="R331" s="14" t="s">
        <v>174</v>
      </c>
    </row>
    <row r="332" spans="1:18">
      <c r="A332" s="9">
        <v>52013</v>
      </c>
      <c r="B332" s="14" t="s">
        <v>15</v>
      </c>
      <c r="C332" s="14" t="s">
        <v>154</v>
      </c>
      <c r="D332" s="14" t="s">
        <v>1801</v>
      </c>
      <c r="E332" s="15" t="str">
        <f>HYPERLINK("https://stat100.ameba.jp/tnk47/ratio20/illustrations/card/ill_52013_kuzuryuomikami03.jpg?201811-i_prefectuer_active_user", "■")</f>
        <v>■</v>
      </c>
      <c r="F332" s="14" t="s">
        <v>1802</v>
      </c>
      <c r="G332" s="14">
        <v>56244</v>
      </c>
      <c r="H332" s="14">
        <v>67109</v>
      </c>
      <c r="I332" s="14">
        <v>21</v>
      </c>
      <c r="J332" s="14" t="s">
        <v>44</v>
      </c>
      <c r="K332" s="14" t="s">
        <v>1803</v>
      </c>
      <c r="L332" s="14" t="s">
        <v>1805</v>
      </c>
      <c r="M332" s="14" t="s">
        <v>9158</v>
      </c>
      <c r="N332" s="14" t="s">
        <v>9158</v>
      </c>
      <c r="O332" s="14" t="s">
        <v>9158</v>
      </c>
      <c r="P332" s="14" t="s">
        <v>9158</v>
      </c>
      <c r="Q332" s="14" t="s">
        <v>9158</v>
      </c>
      <c r="R332" s="14" t="s">
        <v>175</v>
      </c>
    </row>
    <row r="333" spans="1:18">
      <c r="A333" s="9">
        <v>52011</v>
      </c>
      <c r="B333" s="14" t="s">
        <v>15</v>
      </c>
      <c r="C333" s="14" t="s">
        <v>154</v>
      </c>
      <c r="D333" s="14" t="s">
        <v>1801</v>
      </c>
      <c r="E333" s="15" t="str">
        <f>HYPERLINK("https://stat100.ameba.jp/tnk47/ratio20/illustrations/card/ill_52011_kuzuryuomikami01.jpg?201811-i_prefectuer_active_user", "■")</f>
        <v>■</v>
      </c>
      <c r="F333" s="14" t="s">
        <v>1802</v>
      </c>
      <c r="G333" s="14">
        <v>36813</v>
      </c>
      <c r="H333" s="14">
        <v>41664</v>
      </c>
      <c r="I333" s="14">
        <v>21</v>
      </c>
      <c r="J333" s="14" t="s">
        <v>44</v>
      </c>
      <c r="K333" s="14" t="s">
        <v>1803</v>
      </c>
      <c r="L333" s="14" t="s">
        <v>1806</v>
      </c>
      <c r="M333" s="14" t="s">
        <v>9158</v>
      </c>
      <c r="N333" s="14" t="s">
        <v>9158</v>
      </c>
      <c r="O333" s="14" t="s">
        <v>9158</v>
      </c>
      <c r="P333" s="14" t="s">
        <v>9158</v>
      </c>
      <c r="Q333" s="14" t="s">
        <v>9158</v>
      </c>
      <c r="R333" s="14" t="s">
        <v>176</v>
      </c>
    </row>
    <row r="334" spans="1:18">
      <c r="A334" s="9">
        <v>47715</v>
      </c>
      <c r="B334" s="14" t="s">
        <v>0</v>
      </c>
      <c r="C334" s="14" t="s">
        <v>202</v>
      </c>
      <c r="D334" s="14" t="s">
        <v>1807</v>
      </c>
      <c r="E334" s="15" t="str">
        <f>HYPERLINK("https://stat100.ameba.jp/tnk47/ratio20/illustrations/card/ill_47715_tokugawatunayoshi05.jpg?201811-i_prefectuer_active_user", "■")</f>
        <v>■</v>
      </c>
      <c r="F334" s="14" t="s">
        <v>1808</v>
      </c>
      <c r="G334" s="14">
        <v>72619</v>
      </c>
      <c r="H334" s="14">
        <v>94798</v>
      </c>
      <c r="I334" s="14">
        <v>21</v>
      </c>
      <c r="J334" s="14" t="s">
        <v>10</v>
      </c>
      <c r="K334" s="14" t="s">
        <v>1809</v>
      </c>
      <c r="L334" s="14" t="s">
        <v>1810</v>
      </c>
      <c r="M334" s="14" t="s">
        <v>9158</v>
      </c>
      <c r="N334" s="14" t="s">
        <v>9158</v>
      </c>
      <c r="O334" s="14" t="s">
        <v>9158</v>
      </c>
      <c r="P334" s="14" t="s">
        <v>9158</v>
      </c>
      <c r="Q334" s="14" t="s">
        <v>9158</v>
      </c>
      <c r="R334" s="14" t="s">
        <v>174</v>
      </c>
    </row>
    <row r="335" spans="1:18">
      <c r="A335" s="9">
        <v>47713</v>
      </c>
      <c r="B335" s="14" t="s">
        <v>15</v>
      </c>
      <c r="C335" s="14" t="s">
        <v>154</v>
      </c>
      <c r="D335" s="14" t="s">
        <v>1807</v>
      </c>
      <c r="E335" s="15" t="str">
        <f>HYPERLINK("https://stat100.ameba.jp/tnk47/ratio20/illustrations/card/ill_47713_tokugawatunayoshi03.jpg?201811-i_prefectuer_active_user", "■")</f>
        <v>■</v>
      </c>
      <c r="F335" s="14" t="s">
        <v>1808</v>
      </c>
      <c r="G335" s="14">
        <v>56244</v>
      </c>
      <c r="H335" s="14">
        <v>67109</v>
      </c>
      <c r="I335" s="14">
        <v>21</v>
      </c>
      <c r="J335" s="14" t="s">
        <v>10</v>
      </c>
      <c r="K335" s="14" t="s">
        <v>1809</v>
      </c>
      <c r="L335" s="14" t="s">
        <v>1812</v>
      </c>
      <c r="M335" s="14" t="s">
        <v>9158</v>
      </c>
      <c r="N335" s="14" t="s">
        <v>9158</v>
      </c>
      <c r="O335" s="14" t="s">
        <v>9158</v>
      </c>
      <c r="P335" s="14" t="s">
        <v>9158</v>
      </c>
      <c r="Q335" s="14" t="s">
        <v>9158</v>
      </c>
      <c r="R335" s="14" t="s">
        <v>175</v>
      </c>
    </row>
    <row r="336" spans="1:18">
      <c r="A336" s="9">
        <v>47711</v>
      </c>
      <c r="B336" s="14" t="s">
        <v>15</v>
      </c>
      <c r="C336" s="14" t="s">
        <v>154</v>
      </c>
      <c r="D336" s="14" t="s">
        <v>1807</v>
      </c>
      <c r="E336" s="15" t="str">
        <f>HYPERLINK("https://stat100.ameba.jp/tnk47/ratio20/illustrations/card/ill_47711_tokugawatunayoshi01.jpg?201811-i_prefectuer_active_user", "■")</f>
        <v>■</v>
      </c>
      <c r="F336" s="14" t="s">
        <v>1808</v>
      </c>
      <c r="G336" s="14">
        <v>36813</v>
      </c>
      <c r="H336" s="14">
        <v>41664</v>
      </c>
      <c r="I336" s="14">
        <v>21</v>
      </c>
      <c r="J336" s="14" t="s">
        <v>10</v>
      </c>
      <c r="K336" s="14" t="s">
        <v>1809</v>
      </c>
      <c r="L336" s="14" t="s">
        <v>1811</v>
      </c>
      <c r="M336" s="14" t="s">
        <v>9158</v>
      </c>
      <c r="N336" s="14" t="s">
        <v>9158</v>
      </c>
      <c r="O336" s="14" t="s">
        <v>9158</v>
      </c>
      <c r="P336" s="14" t="s">
        <v>9158</v>
      </c>
      <c r="Q336" s="14" t="s">
        <v>9158</v>
      </c>
      <c r="R336" s="14" t="s">
        <v>176</v>
      </c>
    </row>
    <row r="337" spans="1:19">
      <c r="A337" s="9">
        <v>49355</v>
      </c>
      <c r="B337" s="14" t="s">
        <v>0</v>
      </c>
      <c r="C337" s="14" t="s">
        <v>202</v>
      </c>
      <c r="D337" s="14" t="s">
        <v>1813</v>
      </c>
      <c r="E337" s="15" t="str">
        <f>HYPERLINK("https://stat100.ameba.jp/tnk47/ratio20/illustrations/card/ill_49355_choujyuugiga05.jpg?201811-i_prefectuer_active_user", "■")</f>
        <v>■</v>
      </c>
      <c r="F337" s="14" t="s">
        <v>1814</v>
      </c>
      <c r="G337" s="14">
        <v>94798</v>
      </c>
      <c r="H337" s="14">
        <v>72619</v>
      </c>
      <c r="I337" s="14">
        <v>21</v>
      </c>
      <c r="J337" s="14" t="s">
        <v>38</v>
      </c>
      <c r="K337" s="14" t="s">
        <v>1815</v>
      </c>
      <c r="L337" s="14" t="s">
        <v>1816</v>
      </c>
      <c r="M337" s="14" t="s">
        <v>9158</v>
      </c>
      <c r="N337" s="14" t="s">
        <v>9158</v>
      </c>
      <c r="O337" s="14" t="s">
        <v>9158</v>
      </c>
      <c r="P337" s="14" t="s">
        <v>9158</v>
      </c>
      <c r="Q337" s="14" t="s">
        <v>9158</v>
      </c>
      <c r="R337" s="14" t="s">
        <v>174</v>
      </c>
    </row>
    <row r="338" spans="1:19">
      <c r="A338" s="9">
        <v>49353</v>
      </c>
      <c r="B338" s="14" t="s">
        <v>15</v>
      </c>
      <c r="C338" s="14" t="s">
        <v>158</v>
      </c>
      <c r="D338" s="14" t="s">
        <v>1813</v>
      </c>
      <c r="E338" s="15" t="str">
        <f>HYPERLINK("https://stat100.ameba.jp/tnk47/ratio20/illustrations/card/ill_49353_choujyuugiga03.jpg?201811-i_prefectuer_active_user", "■")</f>
        <v>■</v>
      </c>
      <c r="F338" s="14" t="s">
        <v>1814</v>
      </c>
      <c r="G338" s="14">
        <v>67109</v>
      </c>
      <c r="H338" s="14">
        <v>56244</v>
      </c>
      <c r="I338" s="14">
        <v>21</v>
      </c>
      <c r="J338" s="14" t="s">
        <v>38</v>
      </c>
      <c r="K338" s="14" t="s">
        <v>1815</v>
      </c>
      <c r="L338" s="14" t="s">
        <v>1817</v>
      </c>
      <c r="M338" s="14" t="s">
        <v>9158</v>
      </c>
      <c r="N338" s="14" t="s">
        <v>9158</v>
      </c>
      <c r="O338" s="14" t="s">
        <v>9158</v>
      </c>
      <c r="P338" s="14" t="s">
        <v>9158</v>
      </c>
      <c r="Q338" s="14" t="s">
        <v>9158</v>
      </c>
      <c r="R338" s="14" t="s">
        <v>175</v>
      </c>
    </row>
    <row r="339" spans="1:19">
      <c r="A339" s="9">
        <v>49351</v>
      </c>
      <c r="B339" s="14" t="s">
        <v>15</v>
      </c>
      <c r="C339" s="14" t="s">
        <v>158</v>
      </c>
      <c r="D339" s="14" t="s">
        <v>1813</v>
      </c>
      <c r="E339" s="15" t="str">
        <f>HYPERLINK("https://stat100.ameba.jp/tnk47/ratio20/illustrations/card/ill_49351_choujyuugiga01.jpg?201811-i_prefectuer_active_user", "■")</f>
        <v>■</v>
      </c>
      <c r="F339" s="14" t="s">
        <v>1814</v>
      </c>
      <c r="G339" s="14">
        <v>41664</v>
      </c>
      <c r="H339" s="14">
        <v>36813</v>
      </c>
      <c r="I339" s="14">
        <v>21</v>
      </c>
      <c r="J339" s="14" t="s">
        <v>38</v>
      </c>
      <c r="K339" s="14" t="s">
        <v>1815</v>
      </c>
      <c r="L339" s="14" t="s">
        <v>1818</v>
      </c>
      <c r="M339" s="14" t="s">
        <v>9158</v>
      </c>
      <c r="N339" s="14" t="s">
        <v>9158</v>
      </c>
      <c r="O339" s="14" t="s">
        <v>9158</v>
      </c>
      <c r="P339" s="14" t="s">
        <v>9158</v>
      </c>
      <c r="Q339" s="14" t="s">
        <v>9158</v>
      </c>
      <c r="R339" s="14" t="s">
        <v>176</v>
      </c>
    </row>
    <row r="340" spans="1:19">
      <c r="B340" s="14"/>
      <c r="C340" s="14"/>
      <c r="D340" s="14"/>
      <c r="F340" s="14"/>
      <c r="G340" s="14"/>
      <c r="H340" s="14"/>
      <c r="I340" s="14"/>
      <c r="J340" s="14"/>
      <c r="K340" s="14"/>
      <c r="L340" s="14"/>
      <c r="M340" s="14"/>
      <c r="N340" s="14"/>
      <c r="P340" s="14"/>
      <c r="Q340" s="14"/>
      <c r="R340" s="14"/>
    </row>
    <row r="341" spans="1:19">
      <c r="A341" s="14" t="s">
        <v>208</v>
      </c>
      <c r="D341" s="14"/>
      <c r="F341" s="14"/>
      <c r="G341" s="14"/>
      <c r="H341" s="14"/>
      <c r="I341" s="14"/>
      <c r="J341" s="14"/>
      <c r="K341" s="14"/>
      <c r="L341" s="14"/>
      <c r="M341" s="14"/>
      <c r="N341" s="14"/>
      <c r="P341" s="14"/>
      <c r="Q341" s="14"/>
      <c r="R341" s="14"/>
    </row>
    <row r="342" spans="1:19">
      <c r="A342" s="14" t="s">
        <v>1819</v>
      </c>
      <c r="C342" s="14"/>
      <c r="D342" s="14"/>
      <c r="F342" s="14"/>
      <c r="G342" s="14"/>
      <c r="H342" s="14"/>
      <c r="I342" s="14"/>
      <c r="J342" s="14"/>
      <c r="K342" s="14"/>
      <c r="L342" s="14"/>
      <c r="M342" s="14"/>
      <c r="N342" s="14"/>
      <c r="P342" s="14"/>
      <c r="Q342" s="14"/>
      <c r="R342" s="14"/>
    </row>
    <row r="343" spans="1:19">
      <c r="A343" s="9" t="s">
        <v>5617</v>
      </c>
      <c r="B343" s="14" t="s">
        <v>52</v>
      </c>
      <c r="C343" s="14" t="s">
        <v>165</v>
      </c>
      <c r="D343" s="14" t="s">
        <v>982</v>
      </c>
      <c r="E343" s="15" t="str">
        <f>HYPERLINK("https://stat100.ameba.jp/tnk47/ratio20/illustrations/card/ill_59673_0_oheyashutendoji03.jpg?201811-i_prefectuer_active_user", "■")</f>
        <v>■</v>
      </c>
      <c r="F343" s="14" t="s">
        <v>983</v>
      </c>
      <c r="G343" s="14">
        <v>105545</v>
      </c>
      <c r="H343" s="14">
        <v>113525</v>
      </c>
      <c r="I343" s="14">
        <v>15</v>
      </c>
      <c r="J343" s="14" t="s">
        <v>73</v>
      </c>
      <c r="K343" s="14" t="s">
        <v>984</v>
      </c>
      <c r="L343" s="14" t="s">
        <v>985</v>
      </c>
      <c r="M343" s="14" t="s">
        <v>9158</v>
      </c>
      <c r="N343" s="14" t="s">
        <v>9158</v>
      </c>
      <c r="O343" s="17" t="s">
        <v>10058</v>
      </c>
      <c r="P343" s="14" t="s">
        <v>3022</v>
      </c>
      <c r="Q343" s="14">
        <v>1</v>
      </c>
      <c r="R343" s="14"/>
    </row>
    <row r="344" spans="1:19">
      <c r="A344" s="9" t="s">
        <v>5899</v>
      </c>
      <c r="B344" s="14" t="s">
        <v>52</v>
      </c>
      <c r="C344" s="14" t="s">
        <v>205</v>
      </c>
      <c r="D344" s="14" t="s">
        <v>1185</v>
      </c>
      <c r="E344" s="15" t="str">
        <f>HYPERLINK("https://stat100.ameba.jp/tnk47/ratio20/illustrations/card/ill_73773_0_umibirakiinugamigyobu03.jpg?201811-i_prefectuer_active_user", "■")</f>
        <v>■</v>
      </c>
      <c r="F344" s="14" t="s">
        <v>935</v>
      </c>
      <c r="G344" s="14">
        <v>130160</v>
      </c>
      <c r="H344" s="14">
        <v>139999</v>
      </c>
      <c r="I344" s="14">
        <v>15</v>
      </c>
      <c r="J344" s="14" t="s">
        <v>73</v>
      </c>
      <c r="K344" s="14" t="s">
        <v>1186</v>
      </c>
      <c r="L344" s="14" t="s">
        <v>1187</v>
      </c>
      <c r="M344" s="14" t="s">
        <v>9158</v>
      </c>
      <c r="N344" s="14" t="s">
        <v>9158</v>
      </c>
      <c r="O344" s="9" t="s">
        <v>2978</v>
      </c>
      <c r="P344" s="14" t="s">
        <v>2979</v>
      </c>
      <c r="Q344" s="14">
        <v>2</v>
      </c>
      <c r="R344" s="14"/>
    </row>
    <row r="345" spans="1:19">
      <c r="A345" s="9" t="s">
        <v>5830</v>
      </c>
      <c r="B345" s="14" t="s">
        <v>52</v>
      </c>
      <c r="C345" s="14" t="s">
        <v>191</v>
      </c>
      <c r="D345" s="14" t="s">
        <v>1719</v>
      </c>
      <c r="E345" s="15" t="str">
        <f>HYPERLINK("https://stat100.ameba.jp/tnk47/ratio20/illustrations/card/ill_39933_0_reihiiinaotora03.jpg?201811-i_prefectuer_active_user", "■")</f>
        <v>■</v>
      </c>
      <c r="F345" s="14" t="s">
        <v>1720</v>
      </c>
      <c r="G345" s="14">
        <v>82212</v>
      </c>
      <c r="H345" s="14">
        <v>87780</v>
      </c>
      <c r="I345" s="14">
        <v>15</v>
      </c>
      <c r="J345" s="14" t="s">
        <v>77</v>
      </c>
      <c r="K345" s="14" t="s">
        <v>1721</v>
      </c>
      <c r="L345" s="14" t="s">
        <v>1722</v>
      </c>
      <c r="M345" s="14" t="s">
        <v>9158</v>
      </c>
      <c r="N345" s="14" t="s">
        <v>9158</v>
      </c>
      <c r="O345" s="14" t="s">
        <v>9158</v>
      </c>
      <c r="P345" s="14" t="s">
        <v>9158</v>
      </c>
      <c r="Q345" s="14" t="s">
        <v>9158</v>
      </c>
      <c r="R345" s="14"/>
    </row>
    <row r="346" spans="1:19">
      <c r="A346" s="9">
        <v>47003</v>
      </c>
      <c r="B346" s="14" t="s">
        <v>0</v>
      </c>
      <c r="C346" s="14" t="s">
        <v>264</v>
      </c>
      <c r="D346" s="14" t="s">
        <v>1821</v>
      </c>
      <c r="E346" s="15" t="str">
        <f>HYPERLINK("https://stat100.ameba.jp/tnk47/ratio20/illustrations/card/ill_47003_kajinoenmaou03.jpg?201811-i_prefectuer_active_user", "■")</f>
        <v>■</v>
      </c>
      <c r="F346" s="14" t="s">
        <v>1822</v>
      </c>
      <c r="G346" s="14">
        <v>84796</v>
      </c>
      <c r="H346" s="14">
        <v>78838</v>
      </c>
      <c r="I346" s="14">
        <v>22</v>
      </c>
      <c r="J346" s="14" t="s">
        <v>73</v>
      </c>
      <c r="K346" s="14" t="s">
        <v>1823</v>
      </c>
      <c r="L346" s="14" t="s">
        <v>1824</v>
      </c>
      <c r="M346" s="14" t="s">
        <v>9158</v>
      </c>
      <c r="N346" s="14" t="s">
        <v>9158</v>
      </c>
      <c r="O346" s="14" t="s">
        <v>9158</v>
      </c>
      <c r="P346" s="14" t="s">
        <v>9158</v>
      </c>
      <c r="Q346" s="14" t="s">
        <v>9158</v>
      </c>
      <c r="S346" s="14" t="s">
        <v>12930</v>
      </c>
    </row>
    <row r="347" spans="1:19">
      <c r="A347" s="9">
        <v>49983</v>
      </c>
      <c r="B347" s="14" t="s">
        <v>0</v>
      </c>
      <c r="C347" s="14" t="s">
        <v>1820</v>
      </c>
      <c r="D347" s="14" t="s">
        <v>1825</v>
      </c>
      <c r="E347" s="15" t="str">
        <f>HYPERLINK("https://stat100.ameba.jp/tnk47/ratio20/illustrations/card/ill_49983_fushiginokuninomurasakishikibu03.jpg?201811-i_prefectuer_active_user", "■")</f>
        <v>■</v>
      </c>
      <c r="F347" s="14" t="s">
        <v>1826</v>
      </c>
      <c r="G347" s="14">
        <v>84796</v>
      </c>
      <c r="H347" s="14">
        <v>78838</v>
      </c>
      <c r="I347" s="14">
        <v>22</v>
      </c>
      <c r="J347" s="14" t="s">
        <v>16</v>
      </c>
      <c r="K347" s="14" t="s">
        <v>1827</v>
      </c>
      <c r="L347" s="14" t="s">
        <v>1828</v>
      </c>
      <c r="M347" s="14" t="s">
        <v>9158</v>
      </c>
      <c r="N347" s="14" t="s">
        <v>9158</v>
      </c>
      <c r="O347" s="14" t="s">
        <v>9158</v>
      </c>
      <c r="P347" s="14" t="s">
        <v>9158</v>
      </c>
      <c r="Q347" s="14" t="s">
        <v>9158</v>
      </c>
      <c r="S347" s="14" t="s">
        <v>12930</v>
      </c>
    </row>
    <row r="348" spans="1:19">
      <c r="A348" s="9">
        <v>59223</v>
      </c>
      <c r="B348" s="14" t="s">
        <v>0</v>
      </c>
      <c r="C348" s="14" t="s">
        <v>158</v>
      </c>
      <c r="D348" s="14" t="s">
        <v>1829</v>
      </c>
      <c r="E348" s="15" t="str">
        <f>HYPERLINK("https://stat100.ameba.jp/tnk47/ratio20/illustrations/card/ill_59223_tatsuminaofumi03.jpg?201811-i_prefectuer_active_user", "■")</f>
        <v>■</v>
      </c>
      <c r="F348" s="14" t="s">
        <v>1830</v>
      </c>
      <c r="G348" s="14">
        <v>78838</v>
      </c>
      <c r="H348" s="14">
        <v>130416</v>
      </c>
      <c r="I348" s="14">
        <v>22</v>
      </c>
      <c r="J348" s="14" t="s">
        <v>143</v>
      </c>
      <c r="K348" s="14" t="s">
        <v>1831</v>
      </c>
      <c r="L348" s="14" t="s">
        <v>1742</v>
      </c>
      <c r="M348" s="14" t="s">
        <v>9158</v>
      </c>
      <c r="N348" s="14" t="s">
        <v>9158</v>
      </c>
      <c r="O348" s="14" t="s">
        <v>9158</v>
      </c>
      <c r="P348" s="14" t="s">
        <v>9158</v>
      </c>
      <c r="Q348" s="14" t="s">
        <v>9158</v>
      </c>
      <c r="S348" s="14" t="s">
        <v>11732</v>
      </c>
    </row>
    <row r="349" spans="1:19">
      <c r="A349" s="9">
        <v>60063</v>
      </c>
      <c r="B349" s="14" t="s">
        <v>15</v>
      </c>
      <c r="C349" s="14" t="s">
        <v>165</v>
      </c>
      <c r="D349" s="14" t="s">
        <v>1059</v>
      </c>
      <c r="E349" s="15" t="str">
        <f>HYPERLINK("https://stat100.ameba.jp/tnk47/ratio20/illustrations/card/ill_60063_aressandorobuarinyano03.jpg?201811-i_prefectuer_active_user", "■")</f>
        <v>■</v>
      </c>
      <c r="F349" s="14" t="s">
        <v>1060</v>
      </c>
      <c r="G349" s="14">
        <v>65208</v>
      </c>
      <c r="H349" s="14">
        <v>59144</v>
      </c>
      <c r="I349" s="14">
        <v>22</v>
      </c>
      <c r="J349" s="14" t="s">
        <v>10</v>
      </c>
      <c r="K349" s="14" t="s">
        <v>1061</v>
      </c>
      <c r="L349" s="14" t="s">
        <v>1062</v>
      </c>
      <c r="M349" s="14" t="s">
        <v>9158</v>
      </c>
      <c r="N349" s="14" t="s">
        <v>9158</v>
      </c>
      <c r="O349" s="14" t="s">
        <v>9158</v>
      </c>
      <c r="P349" s="14" t="s">
        <v>9158</v>
      </c>
      <c r="Q349" s="14" t="s">
        <v>9158</v>
      </c>
      <c r="S349" s="14" t="s">
        <v>11726</v>
      </c>
    </row>
    <row r="350" spans="1:19">
      <c r="A350" s="9">
        <v>60743</v>
      </c>
      <c r="B350" s="14" t="s">
        <v>15</v>
      </c>
      <c r="C350" s="14" t="s">
        <v>185</v>
      </c>
      <c r="D350" s="14" t="s">
        <v>1063</v>
      </c>
      <c r="E350" s="15" t="str">
        <f>HYPERLINK("https://stat100.ameba.jp/tnk47/ratio20/illustrations/card/ill_60743_satotsugunobu03.jpg?201811-i_prefectuer_active_user", "■")</f>
        <v>■</v>
      </c>
      <c r="F350" s="14" t="s">
        <v>1064</v>
      </c>
      <c r="G350" s="14">
        <v>65208</v>
      </c>
      <c r="H350" s="14">
        <v>59144</v>
      </c>
      <c r="I350" s="14">
        <v>22</v>
      </c>
      <c r="J350" s="14" t="s">
        <v>143</v>
      </c>
      <c r="K350" s="14" t="s">
        <v>1065</v>
      </c>
      <c r="L350" s="14" t="s">
        <v>1066</v>
      </c>
      <c r="M350" s="14" t="s">
        <v>9158</v>
      </c>
      <c r="N350" s="14" t="s">
        <v>9158</v>
      </c>
      <c r="O350" s="14" t="s">
        <v>9158</v>
      </c>
      <c r="P350" s="14" t="s">
        <v>9158</v>
      </c>
      <c r="Q350" s="14" t="s">
        <v>9158</v>
      </c>
      <c r="S350" s="14" t="s">
        <v>12930</v>
      </c>
    </row>
    <row r="351" spans="1:19">
      <c r="A351" s="9">
        <v>64113</v>
      </c>
      <c r="B351" s="14" t="s">
        <v>15</v>
      </c>
      <c r="C351" s="14" t="s">
        <v>205</v>
      </c>
      <c r="D351" s="14" t="s">
        <v>1067</v>
      </c>
      <c r="E351" s="15" t="str">
        <f>HYPERLINK("https://stat100.ameba.jp/tnk47/ratio20/illustrations/card/ill_64113_onikiriyasutsuna03.jpg?201811-i_prefectuer_active_user", "■")</f>
        <v>■</v>
      </c>
      <c r="F351" s="14" t="s">
        <v>1068</v>
      </c>
      <c r="G351" s="14">
        <v>59144</v>
      </c>
      <c r="H351" s="14">
        <v>65208</v>
      </c>
      <c r="I351" s="14">
        <v>22</v>
      </c>
      <c r="J351" s="14" t="s">
        <v>38</v>
      </c>
      <c r="K351" s="14" t="s">
        <v>1069</v>
      </c>
      <c r="L351" s="14" t="s">
        <v>1070</v>
      </c>
      <c r="M351" s="14" t="s">
        <v>9158</v>
      </c>
      <c r="N351" s="14" t="s">
        <v>9158</v>
      </c>
      <c r="O351" s="14" t="s">
        <v>9158</v>
      </c>
      <c r="P351" s="14" t="s">
        <v>9158</v>
      </c>
      <c r="Q351" s="14" t="s">
        <v>9158</v>
      </c>
      <c r="S351" s="14" t="s">
        <v>12930</v>
      </c>
    </row>
    <row r="352" spans="1:19">
      <c r="B352" s="14"/>
      <c r="C352" s="14"/>
      <c r="D352" s="14"/>
      <c r="F352" s="14"/>
      <c r="G352" s="14"/>
      <c r="H352" s="14"/>
      <c r="I352" s="14"/>
      <c r="J352" s="14"/>
      <c r="K352" s="14"/>
      <c r="L352" s="14"/>
      <c r="M352" s="14"/>
      <c r="N352" s="14"/>
      <c r="P352" s="14"/>
      <c r="Q352" s="14"/>
      <c r="R352" s="14"/>
    </row>
    <row r="353" spans="1:18">
      <c r="A353" s="14" t="s">
        <v>135</v>
      </c>
      <c r="D353" s="14"/>
      <c r="F353" s="14"/>
      <c r="G353" s="14"/>
      <c r="H353" s="14"/>
      <c r="I353" s="14"/>
      <c r="J353" s="14"/>
      <c r="K353" s="14"/>
      <c r="L353" s="14"/>
      <c r="M353" s="14"/>
      <c r="N353" s="14"/>
      <c r="P353" s="14"/>
      <c r="Q353" s="14"/>
      <c r="R353" s="14"/>
    </row>
    <row r="354" spans="1:18">
      <c r="A354" s="14" t="s">
        <v>1866</v>
      </c>
      <c r="B354" s="14"/>
      <c r="C354" s="14"/>
      <c r="D354" s="14"/>
      <c r="F354" s="14"/>
      <c r="G354" s="14"/>
      <c r="H354" s="14"/>
      <c r="I354" s="14"/>
      <c r="J354" s="14"/>
      <c r="K354" s="14"/>
      <c r="L354" s="14"/>
      <c r="M354" s="14"/>
      <c r="N354" s="14"/>
      <c r="P354" s="14"/>
      <c r="Q354" s="14"/>
      <c r="R354" s="14"/>
    </row>
    <row r="355" spans="1:18">
      <c r="A355" s="9" t="s">
        <v>5899</v>
      </c>
      <c r="B355" s="14" t="s">
        <v>52</v>
      </c>
      <c r="C355" s="14" t="s">
        <v>205</v>
      </c>
      <c r="D355" s="14" t="s">
        <v>1185</v>
      </c>
      <c r="E355" s="15" t="str">
        <f>HYPERLINK("https://stat100.ameba.jp/tnk47/ratio20/illustrations/card/ill_73773_0_umibirakiinugamigyobu03.jpg?201811-i_prefectuer_active_user", "■")</f>
        <v>■</v>
      </c>
      <c r="F355" s="14" t="s">
        <v>935</v>
      </c>
      <c r="G355" s="14">
        <v>199580</v>
      </c>
      <c r="H355" s="14">
        <v>214667</v>
      </c>
      <c r="I355" s="14">
        <v>23</v>
      </c>
      <c r="J355" s="14" t="s">
        <v>73</v>
      </c>
      <c r="K355" s="14" t="s">
        <v>1186</v>
      </c>
      <c r="L355" s="14" t="s">
        <v>1187</v>
      </c>
      <c r="M355" s="14" t="s">
        <v>9158</v>
      </c>
      <c r="N355" s="14" t="s">
        <v>9158</v>
      </c>
      <c r="O355" s="9" t="s">
        <v>2978</v>
      </c>
      <c r="P355" s="14" t="s">
        <v>2979</v>
      </c>
      <c r="Q355" s="14">
        <v>2</v>
      </c>
      <c r="R355" s="14"/>
    </row>
    <row r="356" spans="1:18">
      <c r="A356" s="9">
        <v>62473</v>
      </c>
      <c r="B356" s="14" t="s">
        <v>0</v>
      </c>
      <c r="C356" s="14" t="s">
        <v>158</v>
      </c>
      <c r="D356" s="14" t="s">
        <v>1858</v>
      </c>
      <c r="E356" s="15" t="str">
        <f>HYPERLINK("https://stat100.ameba.jp/tnk47/ratio20/illustrations/card/ill_62473_kokuriko03.jpg?201811-i_prefectuer_active_user", "■")</f>
        <v>■</v>
      </c>
      <c r="F356" s="14" t="s">
        <v>938</v>
      </c>
      <c r="G356" s="14">
        <v>95859</v>
      </c>
      <c r="H356" s="14">
        <v>69430</v>
      </c>
      <c r="I356" s="14">
        <v>21</v>
      </c>
      <c r="J356" s="14" t="s">
        <v>44</v>
      </c>
      <c r="K356" s="14" t="s">
        <v>1859</v>
      </c>
      <c r="L356" s="14" t="s">
        <v>1860</v>
      </c>
      <c r="M356" s="14" t="s">
        <v>9158</v>
      </c>
      <c r="N356" s="14" t="s">
        <v>9158</v>
      </c>
      <c r="O356" s="9" t="s">
        <v>2838</v>
      </c>
      <c r="P356" s="14" t="s">
        <v>2839</v>
      </c>
      <c r="Q356" s="14">
        <v>1</v>
      </c>
      <c r="R356" s="14"/>
    </row>
    <row r="357" spans="1:18">
      <c r="A357" s="9">
        <v>63853</v>
      </c>
      <c r="B357" s="14" t="s">
        <v>0</v>
      </c>
      <c r="C357" s="14" t="s">
        <v>200</v>
      </c>
      <c r="D357" s="14" t="s">
        <v>1861</v>
      </c>
      <c r="E357" s="15" t="str">
        <f>HYPERLINK("https://stat100.ameba.jp/tnk47/ratio20/illustrations/card/ill_63853_daikokaijidainansosatomihakkenden03.jpg?201811-i_prefectuer_active_user", "■")</f>
        <v>■</v>
      </c>
      <c r="F357" s="14" t="s">
        <v>941</v>
      </c>
      <c r="G357" s="14">
        <v>88948</v>
      </c>
      <c r="H357" s="14">
        <v>95836</v>
      </c>
      <c r="I357" s="14">
        <v>21</v>
      </c>
      <c r="J357" s="14" t="s">
        <v>38</v>
      </c>
      <c r="K357" s="14" t="s">
        <v>1862</v>
      </c>
      <c r="L357" s="14" t="s">
        <v>1863</v>
      </c>
      <c r="M357" s="14" t="s">
        <v>9158</v>
      </c>
      <c r="N357" s="14" t="s">
        <v>9158</v>
      </c>
      <c r="O357" s="9" t="s">
        <v>3619</v>
      </c>
      <c r="P357" s="14" t="s">
        <v>3330</v>
      </c>
      <c r="Q357" s="14">
        <v>1</v>
      </c>
      <c r="R357" s="14"/>
    </row>
    <row r="358" spans="1:18">
      <c r="A358" s="9">
        <v>52083</v>
      </c>
      <c r="B358" s="14" t="s">
        <v>0</v>
      </c>
      <c r="C358" s="14" t="s">
        <v>158</v>
      </c>
      <c r="D358" s="14" t="s">
        <v>943</v>
      </c>
      <c r="E358" s="15" t="str">
        <f>HYPERLINK("https://stat100.ameba.jp/tnk47/ratio20/illustrations/card/ill_52083_berubetto03.jpg?201811-i_prefectuer_active_user", "■")</f>
        <v>■</v>
      </c>
      <c r="F358" s="14" t="s">
        <v>944</v>
      </c>
      <c r="G358" s="14">
        <v>72356</v>
      </c>
      <c r="H358" s="14">
        <v>99889</v>
      </c>
      <c r="I358" s="14">
        <v>21</v>
      </c>
      <c r="J358" s="14" t="s">
        <v>26</v>
      </c>
      <c r="K358" s="14" t="s">
        <v>1864</v>
      </c>
      <c r="L358" s="14" t="s">
        <v>1865</v>
      </c>
      <c r="M358" s="14" t="s">
        <v>9158</v>
      </c>
      <c r="N358" s="14" t="s">
        <v>9158</v>
      </c>
      <c r="O358" s="9" t="s">
        <v>2917</v>
      </c>
      <c r="P358" s="14" t="s">
        <v>2918</v>
      </c>
      <c r="Q358" s="14">
        <v>1</v>
      </c>
      <c r="R358" s="14"/>
    </row>
    <row r="359" spans="1:18">
      <c r="B359" s="14"/>
      <c r="C359" s="14"/>
      <c r="D359" s="14"/>
      <c r="F359" s="14"/>
      <c r="G359" s="14"/>
      <c r="H359" s="14"/>
      <c r="I359" s="14"/>
      <c r="J359" s="14"/>
      <c r="K359" s="14"/>
      <c r="L359" s="14"/>
      <c r="M359" s="14"/>
      <c r="N359" s="14"/>
      <c r="P359" s="14"/>
      <c r="Q359" s="14"/>
      <c r="R359" s="14"/>
    </row>
    <row r="360" spans="1:18">
      <c r="A360" s="14" t="s">
        <v>199</v>
      </c>
      <c r="D360" s="14"/>
      <c r="F360" s="14"/>
      <c r="G360" s="14"/>
      <c r="H360" s="14"/>
      <c r="I360" s="14"/>
      <c r="J360" s="14"/>
      <c r="K360" s="14"/>
      <c r="L360" s="14"/>
      <c r="M360" s="14"/>
      <c r="N360" s="14"/>
      <c r="P360" s="14"/>
      <c r="Q360" s="14"/>
      <c r="R360" s="14"/>
    </row>
    <row r="361" spans="1:18">
      <c r="A361" s="14" t="s">
        <v>1867</v>
      </c>
      <c r="B361" s="14"/>
      <c r="C361" s="14"/>
      <c r="D361" s="14"/>
      <c r="F361" s="14"/>
      <c r="G361" s="14"/>
      <c r="H361" s="14"/>
      <c r="I361" s="14"/>
      <c r="J361" s="14"/>
      <c r="K361" s="14"/>
      <c r="L361" s="14"/>
      <c r="M361" s="14"/>
      <c r="N361" s="14"/>
      <c r="P361" s="14"/>
      <c r="Q361" s="14"/>
      <c r="R361" s="14"/>
    </row>
    <row r="362" spans="1:18">
      <c r="A362" s="9" t="s">
        <v>5603</v>
      </c>
      <c r="B362" s="14" t="s">
        <v>52</v>
      </c>
      <c r="C362" s="14" t="s">
        <v>205</v>
      </c>
      <c r="D362" s="14" t="s">
        <v>1868</v>
      </c>
      <c r="E362" s="15" t="str">
        <f>HYPERLINK("https://stat100.ameba.jp/tnk47/ratio20/illustrations/card/ill_61893_0_onikirishumiyamotomusashi03.jpg?201811-i_prefectuer_active_user", "■")</f>
        <v>■</v>
      </c>
      <c r="F362" s="14" t="s">
        <v>1869</v>
      </c>
      <c r="G362" s="14">
        <v>140016</v>
      </c>
      <c r="H362" s="14">
        <v>130194</v>
      </c>
      <c r="I362" s="14">
        <v>15</v>
      </c>
      <c r="J362" s="14" t="s">
        <v>143</v>
      </c>
      <c r="K362" s="14" t="s">
        <v>1870</v>
      </c>
      <c r="L362" s="14" t="s">
        <v>901</v>
      </c>
      <c r="M362" s="14" t="s">
        <v>9158</v>
      </c>
      <c r="N362" s="14" t="s">
        <v>9158</v>
      </c>
      <c r="O362" s="9" t="s">
        <v>3252</v>
      </c>
      <c r="P362" s="14" t="s">
        <v>3253</v>
      </c>
      <c r="Q362" s="14">
        <v>1</v>
      </c>
      <c r="R362" s="14"/>
    </row>
    <row r="363" spans="1:18">
      <c r="A363" s="9" t="s">
        <v>5650</v>
      </c>
      <c r="B363" s="14" t="s">
        <v>52</v>
      </c>
      <c r="C363" s="14" t="s">
        <v>200</v>
      </c>
      <c r="D363" s="14" t="s">
        <v>136</v>
      </c>
      <c r="E363" s="15" t="str">
        <f>HYPERLINK("https://stat100.ameba.jp/tnk47/ratio20/illustrations/card/ill_68033_0_kurisumasupateikandamyojin03.jpg?201811-i_prefectuer_active_user", "■")</f>
        <v>■</v>
      </c>
      <c r="F363" s="14" t="s">
        <v>1871</v>
      </c>
      <c r="G363" s="14">
        <v>95371</v>
      </c>
      <c r="H363" s="14">
        <v>102590</v>
      </c>
      <c r="I363" s="14">
        <v>15</v>
      </c>
      <c r="J363" s="14" t="s">
        <v>44</v>
      </c>
      <c r="K363" s="14" t="s">
        <v>1872</v>
      </c>
      <c r="L363" s="14" t="s">
        <v>1873</v>
      </c>
      <c r="M363" s="14" t="s">
        <v>9158</v>
      </c>
      <c r="N363" s="14" t="s">
        <v>9158</v>
      </c>
      <c r="O363" s="9" t="s">
        <v>3482</v>
      </c>
      <c r="P363" s="14" t="s">
        <v>3483</v>
      </c>
      <c r="Q363" s="14">
        <v>2</v>
      </c>
      <c r="R363" s="14"/>
    </row>
    <row r="364" spans="1:18">
      <c r="A364" s="9" t="s">
        <v>5622</v>
      </c>
      <c r="B364" s="14" t="s">
        <v>52</v>
      </c>
      <c r="C364" s="14" t="s">
        <v>185</v>
      </c>
      <c r="D364" s="14" t="s">
        <v>1043</v>
      </c>
      <c r="E364" s="15" t="str">
        <f>HYPERLINK("https://stat100.ameba.jp/tnk47/ratio20/illustrations/card/ill_49953_0_yushamarihime03.jpg?201811-i_prefectuer_active_user", "■")</f>
        <v>■</v>
      </c>
      <c r="F364" s="14" t="s">
        <v>1044</v>
      </c>
      <c r="G364" s="14">
        <v>94236</v>
      </c>
      <c r="H364" s="14">
        <v>83712</v>
      </c>
      <c r="I364" s="14">
        <v>15</v>
      </c>
      <c r="J364" s="14" t="s">
        <v>77</v>
      </c>
      <c r="K364" s="14" t="s">
        <v>1045</v>
      </c>
      <c r="L364" s="14" t="s">
        <v>1046</v>
      </c>
      <c r="M364" s="14" t="s">
        <v>9158</v>
      </c>
      <c r="N364" s="14" t="s">
        <v>9158</v>
      </c>
      <c r="O364" s="14" t="s">
        <v>9158</v>
      </c>
      <c r="P364" s="14" t="s">
        <v>9158</v>
      </c>
      <c r="Q364" s="14" t="s">
        <v>9158</v>
      </c>
      <c r="R364" s="14"/>
    </row>
    <row r="365" spans="1:18">
      <c r="A365" s="9">
        <v>54783</v>
      </c>
      <c r="B365" s="14" t="s">
        <v>0</v>
      </c>
      <c r="C365" s="14" t="s">
        <v>165</v>
      </c>
      <c r="D365" s="14" t="s">
        <v>1874</v>
      </c>
      <c r="E365" s="15" t="str">
        <f>HYPERLINK("https://stat100.ameba.jp/tnk47/ratio20/illustrations/card/ill_54783_youenchigusa03.jpg?201811-i_prefectuer_active_user", "■")</f>
        <v>■</v>
      </c>
      <c r="F365" s="14" t="s">
        <v>1875</v>
      </c>
      <c r="G365" s="14">
        <v>95452</v>
      </c>
      <c r="H365" s="14">
        <v>68622</v>
      </c>
      <c r="I365" s="14">
        <v>22</v>
      </c>
      <c r="J365" s="14" t="s">
        <v>77</v>
      </c>
      <c r="K365" s="14" t="s">
        <v>1876</v>
      </c>
      <c r="L365" s="14" t="s">
        <v>1877</v>
      </c>
      <c r="M365" s="14" t="s">
        <v>9158</v>
      </c>
      <c r="N365" s="14" t="s">
        <v>9158</v>
      </c>
      <c r="O365" s="14" t="s">
        <v>9158</v>
      </c>
      <c r="P365" s="14" t="s">
        <v>9158</v>
      </c>
      <c r="Q365" s="14" t="s">
        <v>9158</v>
      </c>
      <c r="R365" s="14"/>
    </row>
    <row r="366" spans="1:18">
      <c r="A366" s="9">
        <v>62323</v>
      </c>
      <c r="B366" s="14" t="s">
        <v>0</v>
      </c>
      <c r="C366" s="14" t="s">
        <v>205</v>
      </c>
      <c r="D366" s="14" t="s">
        <v>1743</v>
      </c>
      <c r="E366" s="15" t="str">
        <f>HYPERLINK("https://stat100.ameba.jp/tnk47/ratio20/illustrations/card/ill_62323_raishunsui03.jpg?201811-i_prefectuer_active_user", "■")</f>
        <v>■</v>
      </c>
      <c r="F366" s="14" t="s">
        <v>1744</v>
      </c>
      <c r="G366" s="14">
        <v>59700</v>
      </c>
      <c r="H366" s="14">
        <v>106100</v>
      </c>
      <c r="I366" s="14">
        <v>22</v>
      </c>
      <c r="J366" s="14" t="s">
        <v>10</v>
      </c>
      <c r="K366" s="14" t="s">
        <v>1745</v>
      </c>
      <c r="L366" s="14" t="s">
        <v>12</v>
      </c>
      <c r="M366" s="14" t="s">
        <v>9158</v>
      </c>
      <c r="N366" s="14" t="s">
        <v>9158</v>
      </c>
      <c r="O366" s="14" t="s">
        <v>9158</v>
      </c>
      <c r="P366" s="14" t="s">
        <v>9158</v>
      </c>
      <c r="Q366" s="14" t="s">
        <v>9158</v>
      </c>
      <c r="R366" s="14"/>
    </row>
    <row r="367" spans="1:18">
      <c r="A367" s="9">
        <v>71323</v>
      </c>
      <c r="B367" s="14" t="s">
        <v>0</v>
      </c>
      <c r="C367" s="14" t="s">
        <v>154</v>
      </c>
      <c r="D367" s="14" t="s">
        <v>1878</v>
      </c>
      <c r="E367" s="15" t="str">
        <f>HYPERLINK("https://stat100.ameba.jp/tnk47/ratio20/illustrations/card/ill_71323_kodanobu03.jpg?201811-i_prefectuer_active_user", "■")</f>
        <v>■</v>
      </c>
      <c r="F367" s="14" t="s">
        <v>1879</v>
      </c>
      <c r="G367" s="14">
        <v>110000</v>
      </c>
      <c r="H367" s="14">
        <v>102278</v>
      </c>
      <c r="I367" s="14">
        <v>22</v>
      </c>
      <c r="J367" s="14" t="s">
        <v>16</v>
      </c>
      <c r="K367" s="14" t="s">
        <v>1880</v>
      </c>
      <c r="L367" s="14" t="s">
        <v>1881</v>
      </c>
      <c r="M367" s="14" t="s">
        <v>9158</v>
      </c>
      <c r="N367" s="14" t="s">
        <v>9158</v>
      </c>
      <c r="O367" s="17" t="s">
        <v>10055</v>
      </c>
      <c r="P367" s="14" t="s">
        <v>13124</v>
      </c>
      <c r="Q367" s="14">
        <v>1</v>
      </c>
      <c r="R367" s="14"/>
    </row>
    <row r="368" spans="1:18">
      <c r="B368" s="14"/>
      <c r="C368" s="14"/>
      <c r="D368" s="14"/>
      <c r="F368" s="14"/>
      <c r="G368" s="14"/>
      <c r="H368" s="14"/>
      <c r="I368" s="14"/>
      <c r="J368" s="14"/>
      <c r="K368" s="14"/>
      <c r="L368" s="14"/>
      <c r="M368" s="14"/>
      <c r="N368" s="14"/>
      <c r="P368" s="14"/>
      <c r="Q368" s="14"/>
      <c r="R368" s="14"/>
    </row>
    <row r="369" spans="1:18">
      <c r="A369" s="14" t="s">
        <v>897</v>
      </c>
      <c r="D369" s="14"/>
      <c r="F369" s="14"/>
      <c r="G369" s="14"/>
      <c r="H369" s="14"/>
      <c r="I369" s="14"/>
      <c r="J369" s="14"/>
      <c r="K369" s="14"/>
      <c r="L369" s="14"/>
      <c r="M369" s="14"/>
      <c r="N369" s="14"/>
      <c r="P369" s="14"/>
      <c r="Q369" s="14"/>
      <c r="R369" s="14"/>
    </row>
    <row r="370" spans="1:18">
      <c r="A370" s="14" t="s">
        <v>1882</v>
      </c>
      <c r="B370" s="14"/>
      <c r="C370" s="14"/>
      <c r="D370" s="14"/>
      <c r="F370" s="14"/>
      <c r="G370" s="14"/>
      <c r="H370" s="14"/>
      <c r="I370" s="14"/>
      <c r="J370" s="14"/>
      <c r="K370" s="14"/>
      <c r="L370" s="14"/>
      <c r="M370" s="14"/>
      <c r="N370" s="14"/>
      <c r="P370" s="14"/>
      <c r="Q370" s="14"/>
      <c r="R370" s="14"/>
    </row>
    <row r="371" spans="1:18">
      <c r="A371" s="9" t="s">
        <v>5822</v>
      </c>
      <c r="B371" s="14" t="s">
        <v>52</v>
      </c>
      <c r="C371" s="14" t="s">
        <v>191</v>
      </c>
      <c r="D371" s="14" t="s">
        <v>898</v>
      </c>
      <c r="E371" s="15" t="str">
        <f>HYPERLINK("https://stat100.ameba.jp/tnk47/ratio20/illustrations/card/ill_71403_0_ohanamisanadayukimura03.jpg?201811-6-RELEASE-conquest-e-381", "■")</f>
        <v>■</v>
      </c>
      <c r="F371" s="14" t="s">
        <v>899</v>
      </c>
      <c r="G371" s="14">
        <v>140016</v>
      </c>
      <c r="H371" s="14">
        <v>130194</v>
      </c>
      <c r="I371" s="14">
        <v>15</v>
      </c>
      <c r="J371" s="14" t="s">
        <v>143</v>
      </c>
      <c r="K371" s="14" t="s">
        <v>900</v>
      </c>
      <c r="L371" s="14" t="s">
        <v>901</v>
      </c>
      <c r="M371" s="14" t="s">
        <v>9158</v>
      </c>
      <c r="N371" s="14" t="s">
        <v>9158</v>
      </c>
      <c r="O371" s="17" t="s">
        <v>10060</v>
      </c>
      <c r="P371" s="14" t="s">
        <v>3418</v>
      </c>
      <c r="Q371" s="14">
        <v>2</v>
      </c>
      <c r="R371" s="14"/>
    </row>
    <row r="372" spans="1:18">
      <c r="A372" s="9" t="s">
        <v>5609</v>
      </c>
      <c r="B372" s="14" t="s">
        <v>52</v>
      </c>
      <c r="C372" s="14" t="s">
        <v>200</v>
      </c>
      <c r="D372" s="14" t="s">
        <v>56</v>
      </c>
      <c r="E372" s="15" t="str">
        <f>HYPERLINK("https://stat100.ameba.jp/tnk47/ratio20/illustrations/card/ill_53753_0_natsumatsuritokugawaieyasu03.jpg?201811-6-RELEASE-conquest-e-381", "■")</f>
        <v>■</v>
      </c>
      <c r="F372" s="14" t="s">
        <v>902</v>
      </c>
      <c r="G372" s="14">
        <v>94236</v>
      </c>
      <c r="H372" s="14">
        <v>83712</v>
      </c>
      <c r="I372" s="14">
        <v>15</v>
      </c>
      <c r="J372" s="14" t="s">
        <v>143</v>
      </c>
      <c r="K372" s="14" t="s">
        <v>903</v>
      </c>
      <c r="L372" s="14" t="s">
        <v>904</v>
      </c>
      <c r="M372" s="14" t="s">
        <v>9158</v>
      </c>
      <c r="N372" s="14" t="s">
        <v>9158</v>
      </c>
      <c r="O372" s="17" t="s">
        <v>10052</v>
      </c>
      <c r="P372" s="14" t="s">
        <v>13121</v>
      </c>
      <c r="Q372" s="14">
        <v>1</v>
      </c>
      <c r="R372" s="14"/>
    </row>
    <row r="373" spans="1:18">
      <c r="A373" s="9" t="s">
        <v>5902</v>
      </c>
      <c r="B373" s="14" t="s">
        <v>52</v>
      </c>
      <c r="C373" s="14" t="s">
        <v>206</v>
      </c>
      <c r="D373" s="14" t="s">
        <v>905</v>
      </c>
      <c r="E373" s="15" t="str">
        <f>HYPERLINK("https://stat100.ameba.jp/tnk47/ratio20/illustrations/card/ill_40343_0_heshikirihasebekurodakambe03.jpg?201811-6-RELEASE-conquest-e-381", "■")</f>
        <v>■</v>
      </c>
      <c r="F373" s="14" t="s">
        <v>906</v>
      </c>
      <c r="G373" s="14">
        <v>87780</v>
      </c>
      <c r="H373" s="14">
        <v>82212</v>
      </c>
      <c r="I373" s="14">
        <v>15</v>
      </c>
      <c r="J373" s="14" t="s">
        <v>16</v>
      </c>
      <c r="K373" s="14" t="s">
        <v>907</v>
      </c>
      <c r="L373" s="14" t="s">
        <v>908</v>
      </c>
      <c r="M373" s="14" t="s">
        <v>9158</v>
      </c>
      <c r="N373" s="14" t="s">
        <v>9158</v>
      </c>
      <c r="O373" s="14" t="s">
        <v>9158</v>
      </c>
      <c r="P373" s="14" t="s">
        <v>9158</v>
      </c>
      <c r="Q373" s="14" t="s">
        <v>9158</v>
      </c>
      <c r="R373" s="14"/>
    </row>
    <row r="374" spans="1:18">
      <c r="A374" s="9">
        <v>77603</v>
      </c>
      <c r="B374" s="14" t="s">
        <v>0</v>
      </c>
      <c r="C374" s="14" t="s">
        <v>191</v>
      </c>
      <c r="D374" s="14" t="s">
        <v>1883</v>
      </c>
      <c r="E374" s="15" t="str">
        <f>HYPERLINK("https://stat100.ameba.jp/tnk47/ratio20/illustrations/card/ill_77603_kajinoikedasen03.jpg?201811-6-RELEASE-conquest-e-381", "■")</f>
        <v>■</v>
      </c>
      <c r="F374" s="14" t="s">
        <v>1884</v>
      </c>
      <c r="G374" s="14">
        <v>161516</v>
      </c>
      <c r="H374" s="14">
        <v>90870</v>
      </c>
      <c r="I374" s="14">
        <v>22</v>
      </c>
      <c r="J374" s="14" t="s">
        <v>143</v>
      </c>
      <c r="K374" s="14" t="s">
        <v>1885</v>
      </c>
      <c r="L374" s="14" t="s">
        <v>145</v>
      </c>
      <c r="M374" s="14" t="s">
        <v>9158</v>
      </c>
      <c r="N374" s="14" t="s">
        <v>9158</v>
      </c>
      <c r="O374" s="14" t="s">
        <v>9158</v>
      </c>
      <c r="P374" s="14" t="s">
        <v>9158</v>
      </c>
      <c r="Q374" s="14" t="s">
        <v>9158</v>
      </c>
      <c r="R374" s="14"/>
    </row>
    <row r="375" spans="1:18">
      <c r="A375" s="9">
        <v>69943</v>
      </c>
      <c r="B375" s="14" t="s">
        <v>0</v>
      </c>
      <c r="C375" s="14" t="s">
        <v>165</v>
      </c>
      <c r="D375" s="14" t="s">
        <v>1886</v>
      </c>
      <c r="E375" s="15" t="str">
        <f>HYPERLINK("https://stat100.ameba.jp/tnk47/ratio20/illustrations/card/ill_69943_hanzaiopakabaro03.jpg?201811-6-RELEASE-conquest-e-381", "■")</f>
        <v>■</v>
      </c>
      <c r="F375" s="14" t="s">
        <v>1887</v>
      </c>
      <c r="G375" s="14">
        <v>91632</v>
      </c>
      <c r="H375" s="14">
        <v>51560</v>
      </c>
      <c r="I375" s="14">
        <v>19</v>
      </c>
      <c r="J375" s="14" t="s">
        <v>16</v>
      </c>
      <c r="K375" s="14" t="s">
        <v>1888</v>
      </c>
      <c r="L375" s="14" t="s">
        <v>1889</v>
      </c>
      <c r="M375" s="14" t="s">
        <v>9158</v>
      </c>
      <c r="N375" s="14" t="s">
        <v>9158</v>
      </c>
      <c r="O375" s="14" t="s">
        <v>9158</v>
      </c>
      <c r="P375" s="14" t="s">
        <v>9158</v>
      </c>
      <c r="Q375" s="14" t="s">
        <v>9158</v>
      </c>
      <c r="R375" s="14"/>
    </row>
    <row r="376" spans="1:18">
      <c r="A376" s="9">
        <v>59273</v>
      </c>
      <c r="B376" s="14" t="s">
        <v>0</v>
      </c>
      <c r="C376" s="14" t="s">
        <v>154</v>
      </c>
      <c r="D376" s="14" t="s">
        <v>1890</v>
      </c>
      <c r="E376" s="15" t="str">
        <f>HYPERLINK("https://stat100.ameba.jp/tnk47/ratio20/illustrations/card/ill_59273_shirayukihimeononokomachi03.jpg?201811-6-RELEASE-conquest-e-381", "■")</f>
        <v>■</v>
      </c>
      <c r="F376" s="14" t="s">
        <v>1891</v>
      </c>
      <c r="G376" s="14">
        <v>73232</v>
      </c>
      <c r="H376" s="14">
        <v>68088</v>
      </c>
      <c r="I376" s="14">
        <v>19</v>
      </c>
      <c r="J376" s="14" t="s">
        <v>10</v>
      </c>
      <c r="K376" s="14" t="s">
        <v>1892</v>
      </c>
      <c r="L376" s="14" t="s">
        <v>1893</v>
      </c>
      <c r="M376" s="14" t="s">
        <v>9158</v>
      </c>
      <c r="N376" s="14" t="s">
        <v>9158</v>
      </c>
      <c r="O376" s="14" t="s">
        <v>9158</v>
      </c>
      <c r="P376" s="14" t="s">
        <v>9158</v>
      </c>
      <c r="Q376" s="14" t="s">
        <v>9158</v>
      </c>
      <c r="R376" s="14"/>
    </row>
    <row r="377" spans="1:18">
      <c r="A377" s="9">
        <v>67293</v>
      </c>
      <c r="B377" s="14" t="s">
        <v>15</v>
      </c>
      <c r="C377" s="14" t="s">
        <v>185</v>
      </c>
      <c r="D377" s="14" t="s">
        <v>921</v>
      </c>
      <c r="E377" s="15" t="str">
        <f>HYPERLINK("https://stat100.ameba.jp/tnk47/ratio20/illustrations/card/ill_67293_hokkyokuguma03.jpg?201811-6-RELEASE-conquest-e-381", "■")</f>
        <v>■</v>
      </c>
      <c r="F377" s="14" t="s">
        <v>922</v>
      </c>
      <c r="G377" s="14">
        <v>65208</v>
      </c>
      <c r="H377" s="14">
        <v>59144</v>
      </c>
      <c r="I377" s="14">
        <v>22</v>
      </c>
      <c r="J377" s="14" t="s">
        <v>26</v>
      </c>
      <c r="K377" s="14" t="s">
        <v>923</v>
      </c>
      <c r="L377" s="14" t="s">
        <v>924</v>
      </c>
      <c r="M377" s="14" t="s">
        <v>9158</v>
      </c>
      <c r="N377" s="14" t="s">
        <v>9158</v>
      </c>
      <c r="O377" s="14" t="s">
        <v>9158</v>
      </c>
      <c r="P377" s="14" t="s">
        <v>9158</v>
      </c>
      <c r="Q377" s="14" t="s">
        <v>9158</v>
      </c>
      <c r="R377" s="14"/>
    </row>
    <row r="378" spans="1:18">
      <c r="A378" s="9">
        <v>67343</v>
      </c>
      <c r="B378" s="14" t="s">
        <v>15</v>
      </c>
      <c r="C378" s="14" t="s">
        <v>200</v>
      </c>
      <c r="D378" s="14" t="s">
        <v>925</v>
      </c>
      <c r="E378" s="15" t="str">
        <f>HYPERLINK("https://stat100.ameba.jp/tnk47/ratio20/illustrations/card/ill_67343_taishabuchan03.jpg?201811-6-RELEASE-conquest-e-381", "■")</f>
        <v>■</v>
      </c>
      <c r="F378" s="14" t="s">
        <v>926</v>
      </c>
      <c r="G378" s="14">
        <v>56496</v>
      </c>
      <c r="H378" s="14">
        <v>56496</v>
      </c>
      <c r="I378" s="14">
        <v>22</v>
      </c>
      <c r="J378" s="14" t="s">
        <v>104</v>
      </c>
      <c r="K378" s="14" t="s">
        <v>927</v>
      </c>
      <c r="L378" s="14" t="s">
        <v>928</v>
      </c>
      <c r="M378" s="14" t="s">
        <v>9158</v>
      </c>
      <c r="N378" s="14" t="s">
        <v>9158</v>
      </c>
      <c r="O378" s="14" t="s">
        <v>9158</v>
      </c>
      <c r="P378" s="14" t="s">
        <v>9158</v>
      </c>
      <c r="Q378" s="14" t="s">
        <v>9158</v>
      </c>
      <c r="R378" s="14"/>
    </row>
    <row r="379" spans="1:18">
      <c r="A379" s="9">
        <v>66873</v>
      </c>
      <c r="B379" s="14" t="s">
        <v>15</v>
      </c>
      <c r="C379" s="14" t="s">
        <v>191</v>
      </c>
      <c r="D379" s="14" t="s">
        <v>929</v>
      </c>
      <c r="E379" s="15" t="str">
        <f>HYPERLINK("https://stat100.ameba.jp/tnk47/ratio20/illustrations/card/ill_66873_haikaramomijinishigorinotsubone03.jpg?201811-6-RELEASE-conquest-e-381", "■")</f>
        <v>■</v>
      </c>
      <c r="F379" s="14" t="s">
        <v>930</v>
      </c>
      <c r="G379" s="14">
        <v>65208</v>
      </c>
      <c r="H379" s="14">
        <v>59144</v>
      </c>
      <c r="I379" s="14">
        <v>22</v>
      </c>
      <c r="J379" s="14" t="s">
        <v>77</v>
      </c>
      <c r="K379" s="14" t="s">
        <v>931</v>
      </c>
      <c r="L379" s="14" t="s">
        <v>932</v>
      </c>
      <c r="M379" s="14" t="s">
        <v>9158</v>
      </c>
      <c r="N379" s="14" t="s">
        <v>9158</v>
      </c>
      <c r="O379" s="14" t="s">
        <v>9158</v>
      </c>
      <c r="P379" s="14" t="s">
        <v>9158</v>
      </c>
      <c r="Q379" s="14" t="s">
        <v>9158</v>
      </c>
      <c r="R379" s="14"/>
    </row>
    <row r="380" spans="1:18">
      <c r="B380" s="14"/>
      <c r="C380" s="14"/>
      <c r="D380" s="14"/>
      <c r="F380" s="14"/>
      <c r="G380" s="14"/>
      <c r="H380" s="14"/>
      <c r="I380" s="14"/>
      <c r="J380" s="14"/>
      <c r="K380" s="14"/>
      <c r="L380" s="14"/>
      <c r="M380" s="14"/>
      <c r="N380" s="14"/>
      <c r="P380" s="14"/>
      <c r="Q380" s="14"/>
      <c r="R380" s="14"/>
    </row>
    <row r="381" spans="1:18">
      <c r="A381" s="14" t="s">
        <v>222</v>
      </c>
      <c r="D381" s="14"/>
      <c r="F381" s="14"/>
      <c r="G381" s="14"/>
      <c r="H381" s="14"/>
      <c r="I381" s="14"/>
      <c r="J381" s="14"/>
      <c r="K381" s="14"/>
      <c r="L381" s="14"/>
      <c r="M381" s="14"/>
      <c r="N381" s="14"/>
      <c r="P381" s="14"/>
      <c r="Q381" s="14"/>
      <c r="R381" s="14"/>
    </row>
    <row r="382" spans="1:18">
      <c r="A382" s="14" t="s">
        <v>1894</v>
      </c>
      <c r="B382" s="14"/>
      <c r="C382" s="14"/>
      <c r="D382" s="14"/>
      <c r="F382" s="14"/>
      <c r="G382" s="14"/>
      <c r="H382" s="14"/>
      <c r="I382" s="14"/>
      <c r="J382" s="14"/>
      <c r="K382" s="14"/>
      <c r="L382" s="14"/>
      <c r="M382" s="14"/>
      <c r="N382" s="14"/>
      <c r="P382" s="14"/>
      <c r="Q382" s="14"/>
      <c r="R382" s="14"/>
    </row>
    <row r="383" spans="1:18">
      <c r="A383" s="9" t="s">
        <v>5611</v>
      </c>
      <c r="B383" s="14" t="s">
        <v>52</v>
      </c>
      <c r="C383" s="14" t="s">
        <v>185</v>
      </c>
      <c r="D383" s="14" t="s">
        <v>951</v>
      </c>
      <c r="E383" s="15" t="str">
        <f>HYPERLINK("https://stat100.ameba.jp/tnk47/ratio20/illustrations/card/ill_60633_0_harumaisentoin03.jpg?201811-6-RELEASE-conquest-e-381", "■")</f>
        <v>■</v>
      </c>
      <c r="F383" s="14" t="s">
        <v>952</v>
      </c>
      <c r="G383" s="14">
        <v>114446</v>
      </c>
      <c r="H383" s="14">
        <v>114446</v>
      </c>
      <c r="I383" s="14">
        <v>18</v>
      </c>
      <c r="J383" s="14" t="s">
        <v>38</v>
      </c>
      <c r="K383" s="14" t="s">
        <v>953</v>
      </c>
      <c r="L383" s="14" t="s">
        <v>954</v>
      </c>
      <c r="M383" s="14" t="s">
        <v>9158</v>
      </c>
      <c r="N383" s="14" t="s">
        <v>9158</v>
      </c>
      <c r="O383" s="9" t="s">
        <v>2888</v>
      </c>
      <c r="P383" s="14" t="s">
        <v>3144</v>
      </c>
      <c r="Q383" s="14">
        <v>1</v>
      </c>
      <c r="R383" s="14"/>
    </row>
    <row r="384" spans="1:18">
      <c r="A384" s="9" t="s">
        <v>5612</v>
      </c>
      <c r="B384" s="14" t="s">
        <v>52</v>
      </c>
      <c r="C384" s="14" t="s">
        <v>165</v>
      </c>
      <c r="D384" s="14" t="s">
        <v>1895</v>
      </c>
      <c r="E384" s="15" t="str">
        <f>HYPERLINK("https://stat100.ameba.jp/tnk47/ratio20/illustrations/card/ill_49193_0_onmyoudouabenoseimei03.jpg?201811-6-RELEASE-conquest-e-381", "■")</f>
        <v>■</v>
      </c>
      <c r="F384" s="14" t="s">
        <v>1896</v>
      </c>
      <c r="G384" s="14">
        <v>100454</v>
      </c>
      <c r="H384" s="14">
        <v>113082</v>
      </c>
      <c r="I384" s="14">
        <v>18</v>
      </c>
      <c r="J384" s="14" t="s">
        <v>10</v>
      </c>
      <c r="K384" s="14" t="s">
        <v>1897</v>
      </c>
      <c r="L384" s="14" t="s">
        <v>1898</v>
      </c>
      <c r="M384" s="14" t="s">
        <v>9158</v>
      </c>
      <c r="N384" s="14" t="s">
        <v>9158</v>
      </c>
      <c r="O384" s="14" t="s">
        <v>9158</v>
      </c>
      <c r="P384" s="14" t="s">
        <v>9158</v>
      </c>
      <c r="Q384" s="14" t="s">
        <v>9158</v>
      </c>
      <c r="R384" s="14"/>
    </row>
    <row r="385" spans="1:18">
      <c r="A385" s="9">
        <v>76881</v>
      </c>
      <c r="B385" s="14" t="s">
        <v>0</v>
      </c>
      <c r="C385" s="14" t="s">
        <v>209</v>
      </c>
      <c r="D385" s="14" t="s">
        <v>1899</v>
      </c>
      <c r="E385" s="15" t="str">
        <f>HYPERLINK("https://stat100.ameba.jp/tnk47/ratio20/illustrations/card/ill_76881_higashinoryoranengi01.jpg?201811-6-RELEASE-conquest-e-381", "■")</f>
        <v>■</v>
      </c>
      <c r="F385" s="14" t="s">
        <v>1900</v>
      </c>
      <c r="G385" s="14">
        <v>72336</v>
      </c>
      <c r="H385" s="14">
        <v>78100</v>
      </c>
      <c r="I385" s="14">
        <v>22</v>
      </c>
      <c r="J385" s="14" t="s">
        <v>143</v>
      </c>
      <c r="K385" s="14" t="s">
        <v>1901</v>
      </c>
      <c r="L385" s="14" t="s">
        <v>1902</v>
      </c>
      <c r="M385" s="14" t="s">
        <v>9158</v>
      </c>
      <c r="N385" s="14" t="s">
        <v>9158</v>
      </c>
      <c r="O385" s="14" t="s">
        <v>9158</v>
      </c>
      <c r="P385" s="14" t="s">
        <v>9158</v>
      </c>
      <c r="Q385" s="14" t="s">
        <v>9158</v>
      </c>
      <c r="R385" s="14"/>
    </row>
    <row r="386" spans="1:18">
      <c r="A386" s="9">
        <v>76891</v>
      </c>
      <c r="B386" s="14" t="s">
        <v>0</v>
      </c>
      <c r="C386" s="14" t="s">
        <v>158</v>
      </c>
      <c r="D386" s="14" t="s">
        <v>1903</v>
      </c>
      <c r="E386" s="15" t="str">
        <f>HYPERLINK("https://stat100.ameba.jp/tnk47/ratio20/illustrations/card/ill_76891_nishinoryoranengi01.jpg?201811-6-RELEASE-conquest-e-381", "■")</f>
        <v>■</v>
      </c>
      <c r="F386" s="14" t="s">
        <v>1904</v>
      </c>
      <c r="G386" s="14">
        <v>72336</v>
      </c>
      <c r="H386" s="14">
        <v>78100</v>
      </c>
      <c r="I386" s="14">
        <v>22</v>
      </c>
      <c r="J386" s="14" t="s">
        <v>143</v>
      </c>
      <c r="K386" s="14" t="s">
        <v>1905</v>
      </c>
      <c r="L386" s="14" t="s">
        <v>1902</v>
      </c>
      <c r="M386" s="14" t="s">
        <v>9158</v>
      </c>
      <c r="N386" s="14" t="s">
        <v>9158</v>
      </c>
      <c r="O386" s="14" t="s">
        <v>9158</v>
      </c>
      <c r="P386" s="14" t="s">
        <v>9158</v>
      </c>
      <c r="Q386" s="14" t="s">
        <v>9158</v>
      </c>
      <c r="R386" s="14"/>
    </row>
    <row r="387" spans="1:18">
      <c r="A387" s="9">
        <v>76903</v>
      </c>
      <c r="B387" s="14" t="s">
        <v>0</v>
      </c>
      <c r="C387" s="14" t="s">
        <v>202</v>
      </c>
      <c r="D387" s="14" t="s">
        <v>1906</v>
      </c>
      <c r="E387" s="15" t="str">
        <f>HYPERLINK("https://stat100.ameba.jp/tnk47/ratio20/illustrations/card/ill_76903_togekiryoranengi03.jpg?201811-6-RELEASE-conquest-e-381", "■")</f>
        <v>■</v>
      </c>
      <c r="F387" s="14" t="s">
        <v>1907</v>
      </c>
      <c r="G387" s="14">
        <v>127942</v>
      </c>
      <c r="H387" s="14">
        <v>137654</v>
      </c>
      <c r="I387" s="14">
        <v>22</v>
      </c>
      <c r="J387" s="14" t="s">
        <v>143</v>
      </c>
      <c r="K387" s="14" t="s">
        <v>1908</v>
      </c>
      <c r="L387" s="14" t="s">
        <v>1148</v>
      </c>
      <c r="M387" s="14" t="s">
        <v>9158</v>
      </c>
      <c r="N387" s="14" t="s">
        <v>9158</v>
      </c>
      <c r="O387" s="14" t="s">
        <v>9158</v>
      </c>
      <c r="P387" s="14" t="s">
        <v>9158</v>
      </c>
      <c r="Q387" s="14" t="s">
        <v>9158</v>
      </c>
      <c r="R387" s="14"/>
    </row>
    <row r="388" spans="1:18">
      <c r="A388" s="9">
        <v>70101</v>
      </c>
      <c r="B388" s="14" t="s">
        <v>0</v>
      </c>
      <c r="C388" s="14" t="s">
        <v>209</v>
      </c>
      <c r="D388" s="14" t="s">
        <v>1909</v>
      </c>
      <c r="E388" s="15" t="str">
        <f>HYPERLINK("https://stat100.ameba.jp/tnk47/ratio20/illustrations/card/ill_70101_higashinosomeiengi01.jpg?201811-6-RELEASE-conquest-e-381", "■")</f>
        <v>■</v>
      </c>
      <c r="F388" s="14" t="s">
        <v>1910</v>
      </c>
      <c r="G388" s="14">
        <v>53856</v>
      </c>
      <c r="H388" s="14">
        <v>49940</v>
      </c>
      <c r="I388" s="14">
        <v>22</v>
      </c>
      <c r="J388" s="14" t="s">
        <v>16</v>
      </c>
      <c r="K388" s="14" t="s">
        <v>1911</v>
      </c>
      <c r="L388" s="14" t="s">
        <v>1912</v>
      </c>
      <c r="M388" s="14" t="s">
        <v>9158</v>
      </c>
      <c r="N388" s="14" t="s">
        <v>9158</v>
      </c>
      <c r="O388" s="14" t="s">
        <v>9158</v>
      </c>
      <c r="P388" s="14" t="s">
        <v>9158</v>
      </c>
      <c r="Q388" s="14" t="s">
        <v>9158</v>
      </c>
      <c r="R388" s="14"/>
    </row>
    <row r="389" spans="1:18">
      <c r="A389" s="9">
        <v>70111</v>
      </c>
      <c r="B389" s="14" t="s">
        <v>0</v>
      </c>
      <c r="C389" s="14" t="s">
        <v>158</v>
      </c>
      <c r="D389" s="14" t="s">
        <v>1913</v>
      </c>
      <c r="E389" s="15" t="str">
        <f>HYPERLINK("https://stat100.ameba.jp/tnk47/ratio20/illustrations/card/ill_70111_nishinosomeiengi01.jpg?201811-6-RELEASE-conquest-e-381", "■")</f>
        <v>■</v>
      </c>
      <c r="F389" s="14" t="s">
        <v>1914</v>
      </c>
      <c r="G389" s="14">
        <v>53856</v>
      </c>
      <c r="H389" s="14">
        <v>49940</v>
      </c>
      <c r="I389" s="14">
        <v>22</v>
      </c>
      <c r="J389" s="14" t="s">
        <v>16</v>
      </c>
      <c r="K389" s="14" t="s">
        <v>1915</v>
      </c>
      <c r="L389" s="14" t="s">
        <v>1912</v>
      </c>
      <c r="M389" s="14" t="s">
        <v>9158</v>
      </c>
      <c r="N389" s="14" t="s">
        <v>9158</v>
      </c>
      <c r="O389" s="14" t="s">
        <v>9158</v>
      </c>
      <c r="P389" s="14" t="s">
        <v>9158</v>
      </c>
      <c r="Q389" s="14" t="s">
        <v>9158</v>
      </c>
      <c r="R389" s="14"/>
    </row>
    <row r="390" spans="1:18">
      <c r="A390" s="9">
        <v>70123</v>
      </c>
      <c r="B390" s="14" t="s">
        <v>0</v>
      </c>
      <c r="C390" s="14" t="s">
        <v>202</v>
      </c>
      <c r="D390" s="14" t="s">
        <v>1916</v>
      </c>
      <c r="E390" s="15" t="str">
        <f>HYPERLINK("https://stat100.ameba.jp/tnk47/ratio20/illustrations/card/ill_70123_gogakusomeiengi03.jpg?201811-6-RELEASE-conquest-e-381", "■")</f>
        <v>■</v>
      </c>
      <c r="F390" s="14" t="s">
        <v>1917</v>
      </c>
      <c r="G390" s="14">
        <v>105366</v>
      </c>
      <c r="H390" s="14">
        <v>97942</v>
      </c>
      <c r="I390" s="14">
        <v>22</v>
      </c>
      <c r="J390" s="14" t="s">
        <v>16</v>
      </c>
      <c r="K390" s="14" t="s">
        <v>1918</v>
      </c>
      <c r="L390" s="14" t="s">
        <v>1149</v>
      </c>
      <c r="M390" s="14" t="s">
        <v>9158</v>
      </c>
      <c r="N390" s="14" t="s">
        <v>9158</v>
      </c>
      <c r="O390" s="14" t="s">
        <v>9158</v>
      </c>
      <c r="P390" s="14" t="s">
        <v>9158</v>
      </c>
      <c r="Q390" s="14" t="s">
        <v>9158</v>
      </c>
      <c r="R390" s="14"/>
    </row>
    <row r="391" spans="1:18">
      <c r="B391" s="14"/>
      <c r="C391" s="14"/>
      <c r="D391" s="14"/>
      <c r="F391" s="14"/>
      <c r="G391" s="14"/>
      <c r="H391" s="14"/>
      <c r="I391" s="14"/>
      <c r="J391" s="14"/>
      <c r="K391" s="14"/>
      <c r="L391" s="14"/>
      <c r="M391" s="14"/>
      <c r="N391" s="14"/>
      <c r="P391" s="14"/>
      <c r="Q391" s="14"/>
      <c r="R391" s="14"/>
    </row>
    <row r="392" spans="1:18">
      <c r="A392" s="14" t="s">
        <v>946</v>
      </c>
      <c r="D392" s="14"/>
      <c r="F392" s="14"/>
      <c r="G392" s="14"/>
      <c r="H392" s="14"/>
      <c r="I392" s="14"/>
      <c r="J392" s="14"/>
      <c r="K392" s="14"/>
      <c r="L392" s="14"/>
      <c r="M392" s="14"/>
      <c r="N392" s="14"/>
      <c r="P392" s="14"/>
      <c r="Q392" s="14"/>
      <c r="R392" s="14"/>
    </row>
    <row r="393" spans="1:18">
      <c r="A393" s="14" t="s">
        <v>1919</v>
      </c>
      <c r="C393" s="14"/>
      <c r="D393" s="14"/>
      <c r="F393" s="14"/>
      <c r="G393" s="14"/>
      <c r="H393" s="14"/>
      <c r="I393" s="14"/>
      <c r="J393" s="14"/>
      <c r="K393" s="14"/>
      <c r="L393" s="14"/>
      <c r="M393" s="14"/>
      <c r="N393" s="14"/>
      <c r="P393" s="14"/>
      <c r="Q393" s="14"/>
      <c r="R393" s="14"/>
    </row>
    <row r="394" spans="1:18">
      <c r="A394" s="9" t="s">
        <v>5614</v>
      </c>
      <c r="B394" s="14" t="s">
        <v>52</v>
      </c>
      <c r="C394" s="14" t="s">
        <v>205</v>
      </c>
      <c r="D394" s="14" t="s">
        <v>947</v>
      </c>
      <c r="E394" s="15" t="str">
        <f>HYPERLINK("https://stat100.ameba.jp/tnk47/ratio20/illustrations/card/ill_56223_0_onsempanikkugohime03.jpg?201811-6-RELEASE-conquest-e-381", "■")</f>
        <v>■</v>
      </c>
      <c r="F394" s="14" t="s">
        <v>948</v>
      </c>
      <c r="G394" s="14">
        <v>83712</v>
      </c>
      <c r="H394" s="14">
        <v>94236</v>
      </c>
      <c r="I394" s="14">
        <v>15</v>
      </c>
      <c r="J394" s="14" t="s">
        <v>77</v>
      </c>
      <c r="K394" s="14" t="s">
        <v>949</v>
      </c>
      <c r="L394" s="14" t="s">
        <v>950</v>
      </c>
      <c r="M394" s="14" t="s">
        <v>9158</v>
      </c>
      <c r="N394" s="14" t="s">
        <v>9158</v>
      </c>
      <c r="O394" s="9" t="s">
        <v>3021</v>
      </c>
      <c r="P394" s="14" t="s">
        <v>2890</v>
      </c>
      <c r="Q394" s="14">
        <v>1</v>
      </c>
      <c r="R394" s="14"/>
    </row>
    <row r="395" spans="1:18">
      <c r="A395" s="9" t="s">
        <v>5611</v>
      </c>
      <c r="B395" s="14" t="s">
        <v>52</v>
      </c>
      <c r="C395" s="14" t="s">
        <v>185</v>
      </c>
      <c r="D395" s="14" t="s">
        <v>951</v>
      </c>
      <c r="E395" s="15" t="str">
        <f>HYPERLINK("https://stat100.ameba.jp/tnk47/ratio20/illustrations/card/ill_60633_0_harumaisentoin03.jpg?201811-6-RELEASE-conquest-e-381", "■")</f>
        <v>■</v>
      </c>
      <c r="F395" s="14" t="s">
        <v>952</v>
      </c>
      <c r="G395" s="14">
        <v>95371</v>
      </c>
      <c r="H395" s="14">
        <v>102590</v>
      </c>
      <c r="I395" s="14">
        <v>15</v>
      </c>
      <c r="J395" s="14" t="s">
        <v>38</v>
      </c>
      <c r="K395" s="14" t="s">
        <v>953</v>
      </c>
      <c r="L395" s="14" t="s">
        <v>954</v>
      </c>
      <c r="M395" s="14" t="s">
        <v>9158</v>
      </c>
      <c r="N395" s="14" t="s">
        <v>9158</v>
      </c>
      <c r="O395" s="9" t="s">
        <v>2888</v>
      </c>
      <c r="P395" s="14" t="s">
        <v>3144</v>
      </c>
      <c r="Q395" s="14">
        <v>1</v>
      </c>
      <c r="R395" s="14"/>
    </row>
    <row r="396" spans="1:18">
      <c r="A396" s="9" t="s">
        <v>5897</v>
      </c>
      <c r="B396" s="14" t="s">
        <v>52</v>
      </c>
      <c r="C396" s="14" t="s">
        <v>200</v>
      </c>
      <c r="D396" s="14" t="s">
        <v>53</v>
      </c>
      <c r="E396" s="15" t="str">
        <f>HYPERLINK("https://stat100.ameba.jp/tnk47/ratio20/illustrations/card/ill_40913_0_reigyokudensetsufusehime03.jpg?201811-6-RELEASE-conquest-e-381", "■")</f>
        <v>■</v>
      </c>
      <c r="F396" s="14" t="s">
        <v>955</v>
      </c>
      <c r="G396" s="14">
        <v>82212</v>
      </c>
      <c r="H396" s="14">
        <v>87780</v>
      </c>
      <c r="I396" s="14">
        <v>15</v>
      </c>
      <c r="J396" s="14" t="s">
        <v>38</v>
      </c>
      <c r="K396" s="14" t="s">
        <v>956</v>
      </c>
      <c r="L396" s="14" t="s">
        <v>957</v>
      </c>
      <c r="M396" s="14" t="s">
        <v>9158</v>
      </c>
      <c r="N396" s="14" t="s">
        <v>9158</v>
      </c>
      <c r="O396" s="14" t="s">
        <v>9158</v>
      </c>
      <c r="P396" s="14" t="s">
        <v>9158</v>
      </c>
      <c r="Q396" s="14" t="s">
        <v>9158</v>
      </c>
      <c r="R396" s="14"/>
    </row>
    <row r="397" spans="1:18">
      <c r="A397" s="9">
        <v>77613</v>
      </c>
      <c r="B397" s="14" t="s">
        <v>0</v>
      </c>
      <c r="C397" s="14" t="s">
        <v>200</v>
      </c>
      <c r="D397" s="14" t="s">
        <v>1921</v>
      </c>
      <c r="E397" s="15" t="str">
        <f>HYPERLINK("https://stat100.ameba.jp/tnk47/ratio20/illustrations/card/ill_77613_kajinotochiotomechan03.jpg?201811-6-RELEASE-conquest-e-381", "■")</f>
        <v>■</v>
      </c>
      <c r="F397" s="14" t="s">
        <v>1922</v>
      </c>
      <c r="G397" s="14">
        <v>72186</v>
      </c>
      <c r="H397" s="14">
        <v>128320</v>
      </c>
      <c r="I397" s="14">
        <v>22</v>
      </c>
      <c r="J397" s="14" t="s">
        <v>104</v>
      </c>
      <c r="K397" s="14" t="s">
        <v>1923</v>
      </c>
      <c r="L397" s="14" t="s">
        <v>1924</v>
      </c>
      <c r="M397" s="14" t="s">
        <v>9158</v>
      </c>
      <c r="N397" s="14" t="s">
        <v>9158</v>
      </c>
      <c r="O397" s="14" t="s">
        <v>9158</v>
      </c>
      <c r="P397" s="14" t="s">
        <v>9158</v>
      </c>
      <c r="Q397" s="14" t="s">
        <v>9158</v>
      </c>
      <c r="R397" s="14"/>
    </row>
    <row r="398" spans="1:18">
      <c r="A398" s="9">
        <v>65243</v>
      </c>
      <c r="B398" s="14" t="s">
        <v>0</v>
      </c>
      <c r="C398" s="14" t="s">
        <v>205</v>
      </c>
      <c r="D398" s="14" t="s">
        <v>1925</v>
      </c>
      <c r="E398" s="15" t="str">
        <f>HYPERLINK("https://stat100.ameba.jp/tnk47/ratio20/illustrations/card/ill_65243_kagawayukikage03.jpg?201811-6-RELEASE-conquest-e-381", "■")</f>
        <v>■</v>
      </c>
      <c r="F398" s="14" t="s">
        <v>1926</v>
      </c>
      <c r="G398" s="14">
        <v>78479</v>
      </c>
      <c r="H398" s="14">
        <v>139492</v>
      </c>
      <c r="I398" s="14">
        <v>19</v>
      </c>
      <c r="J398" s="14" t="s">
        <v>143</v>
      </c>
      <c r="K398" s="14" t="s">
        <v>1927</v>
      </c>
      <c r="L398" s="14" t="s">
        <v>1148</v>
      </c>
      <c r="M398" s="14" t="s">
        <v>9158</v>
      </c>
      <c r="N398" s="14" t="s">
        <v>9158</v>
      </c>
      <c r="O398" s="14" t="s">
        <v>9158</v>
      </c>
      <c r="P398" s="14" t="s">
        <v>9158</v>
      </c>
      <c r="Q398" s="14" t="s">
        <v>9158</v>
      </c>
      <c r="R398" s="14"/>
    </row>
    <row r="399" spans="1:18">
      <c r="A399" s="9">
        <v>68103</v>
      </c>
      <c r="B399" s="14" t="s">
        <v>0</v>
      </c>
      <c r="C399" s="14" t="s">
        <v>185</v>
      </c>
      <c r="D399" s="14" t="s">
        <v>1928</v>
      </c>
      <c r="E399" s="15" t="str">
        <f>HYPERLINK("https://stat100.ameba.jp/tnk47/ratio20/illustrations/card/ill_68103_roritairohahime03.jpg?201811-6-RELEASE-conquest-e-381", "■")</f>
        <v>■</v>
      </c>
      <c r="F399" s="14" t="s">
        <v>1929</v>
      </c>
      <c r="G399" s="14">
        <v>68977</v>
      </c>
      <c r="H399" s="14">
        <v>74215</v>
      </c>
      <c r="I399" s="14">
        <v>19</v>
      </c>
      <c r="J399" s="14" t="s">
        <v>77</v>
      </c>
      <c r="K399" s="14" t="s">
        <v>1930</v>
      </c>
      <c r="L399" s="14" t="s">
        <v>969</v>
      </c>
      <c r="M399" s="14" t="s">
        <v>9158</v>
      </c>
      <c r="N399" s="14" t="s">
        <v>9158</v>
      </c>
      <c r="O399" s="14" t="s">
        <v>9158</v>
      </c>
      <c r="P399" s="14" t="s">
        <v>9158</v>
      </c>
      <c r="Q399" s="14" t="s">
        <v>9158</v>
      </c>
      <c r="R399" s="14"/>
    </row>
    <row r="400" spans="1:18">
      <c r="A400" s="9">
        <v>67393</v>
      </c>
      <c r="B400" s="14" t="s">
        <v>15</v>
      </c>
      <c r="C400" s="14" t="s">
        <v>206</v>
      </c>
      <c r="D400" s="14" t="s">
        <v>970</v>
      </c>
      <c r="E400" s="15" t="str">
        <f>HYPERLINK("https://stat100.ameba.jp/tnk47/ratio20/illustrations/card/ill_67393_jobaamahime03.jpg?201811-6-RELEASE-conquest-e-381", "■")</f>
        <v>■</v>
      </c>
      <c r="F400" s="14" t="s">
        <v>971</v>
      </c>
      <c r="G400" s="14">
        <v>59144</v>
      </c>
      <c r="H400" s="14">
        <v>65208</v>
      </c>
      <c r="I400" s="14">
        <v>22</v>
      </c>
      <c r="J400" s="14" t="s">
        <v>77</v>
      </c>
      <c r="K400" s="14" t="s">
        <v>972</v>
      </c>
      <c r="L400" s="14" t="s">
        <v>973</v>
      </c>
      <c r="M400" s="14" t="s">
        <v>9158</v>
      </c>
      <c r="N400" s="14" t="s">
        <v>9158</v>
      </c>
      <c r="O400" s="14" t="s">
        <v>9158</v>
      </c>
      <c r="P400" s="14" t="s">
        <v>9158</v>
      </c>
      <c r="Q400" s="14" t="s">
        <v>9158</v>
      </c>
      <c r="R400" s="14"/>
    </row>
    <row r="401" spans="1:18">
      <c r="A401" s="9">
        <v>60863</v>
      </c>
      <c r="B401" s="14" t="s">
        <v>15</v>
      </c>
      <c r="C401" s="14" t="s">
        <v>205</v>
      </c>
      <c r="D401" s="14" t="s">
        <v>974</v>
      </c>
      <c r="E401" s="15" t="str">
        <f>HYPERLINK("https://stat100.ameba.jp/tnk47/ratio20/illustrations/card/ill_60863_hieinihonrisuchan03.jpg?201811-6-RELEASE-conquest-e-381", "■")</f>
        <v>■</v>
      </c>
      <c r="F401" s="14" t="s">
        <v>975</v>
      </c>
      <c r="G401" s="14">
        <v>59144</v>
      </c>
      <c r="H401" s="14">
        <v>65208</v>
      </c>
      <c r="I401" s="14">
        <v>22</v>
      </c>
      <c r="J401" s="14" t="s">
        <v>26</v>
      </c>
      <c r="K401" s="14" t="s">
        <v>976</v>
      </c>
      <c r="L401" s="14" t="s">
        <v>977</v>
      </c>
      <c r="M401" s="14" t="s">
        <v>9158</v>
      </c>
      <c r="N401" s="14" t="s">
        <v>9158</v>
      </c>
      <c r="O401" s="14" t="s">
        <v>9158</v>
      </c>
      <c r="P401" s="14" t="s">
        <v>9158</v>
      </c>
      <c r="Q401" s="14" t="s">
        <v>9158</v>
      </c>
      <c r="R401" s="14"/>
    </row>
    <row r="402" spans="1:18">
      <c r="A402" s="9">
        <v>60993</v>
      </c>
      <c r="B402" s="14" t="s">
        <v>15</v>
      </c>
      <c r="C402" s="14" t="s">
        <v>191</v>
      </c>
      <c r="D402" s="14" t="s">
        <v>978</v>
      </c>
      <c r="E402" s="15" t="str">
        <f>HYPERLINK("https://stat100.ameba.jp/tnk47/ratio20/illustrations/card/ill_60993_majutsushijukeini03.jpg?201811-6-RELEASE-conquest-e-381", "■")</f>
        <v>■</v>
      </c>
      <c r="F402" s="14" t="s">
        <v>979</v>
      </c>
      <c r="G402" s="14">
        <v>59144</v>
      </c>
      <c r="H402" s="14">
        <v>65208</v>
      </c>
      <c r="I402" s="14">
        <v>22</v>
      </c>
      <c r="J402" s="14" t="s">
        <v>16</v>
      </c>
      <c r="K402" s="14" t="s">
        <v>980</v>
      </c>
      <c r="L402" s="14" t="s">
        <v>981</v>
      </c>
      <c r="M402" s="14" t="s">
        <v>9158</v>
      </c>
      <c r="N402" s="14" t="s">
        <v>9158</v>
      </c>
      <c r="O402" s="14" t="s">
        <v>9158</v>
      </c>
      <c r="P402" s="14" t="s">
        <v>9158</v>
      </c>
      <c r="Q402" s="14" t="s">
        <v>9158</v>
      </c>
      <c r="R402" s="14"/>
    </row>
    <row r="403" spans="1:18">
      <c r="B403" s="14"/>
      <c r="C403" s="14"/>
      <c r="D403" s="14"/>
      <c r="F403" s="14"/>
      <c r="G403" s="14"/>
      <c r="H403" s="14"/>
      <c r="I403" s="14"/>
      <c r="J403" s="14"/>
      <c r="K403" s="14"/>
      <c r="L403" s="14"/>
      <c r="M403" s="14"/>
      <c r="N403" s="14"/>
      <c r="P403" s="14"/>
      <c r="Q403" s="14"/>
      <c r="R403" s="14"/>
    </row>
    <row r="404" spans="1:18">
      <c r="A404" s="14" t="s">
        <v>1357</v>
      </c>
      <c r="D404" s="14"/>
      <c r="F404" s="14"/>
      <c r="G404" s="14"/>
      <c r="H404" s="14"/>
      <c r="I404" s="14"/>
      <c r="J404" s="14"/>
      <c r="K404" s="14"/>
      <c r="L404" s="14"/>
      <c r="M404" s="14"/>
      <c r="N404" s="14"/>
      <c r="P404" s="14"/>
      <c r="Q404" s="14"/>
      <c r="R404" s="14"/>
    </row>
    <row r="405" spans="1:18">
      <c r="A405" s="14" t="s">
        <v>1920</v>
      </c>
      <c r="B405" s="14"/>
      <c r="C405" s="14"/>
      <c r="D405" s="14"/>
      <c r="F405" s="14"/>
      <c r="G405" s="14"/>
      <c r="H405" s="14"/>
      <c r="I405" s="14"/>
      <c r="J405" s="14"/>
      <c r="K405" s="14"/>
      <c r="L405" s="14"/>
      <c r="M405" s="14"/>
      <c r="N405" s="14"/>
      <c r="P405" s="14"/>
      <c r="Q405" s="14"/>
      <c r="R405" s="14"/>
    </row>
    <row r="406" spans="1:18">
      <c r="A406" s="9" t="s">
        <v>5617</v>
      </c>
      <c r="B406" s="14" t="s">
        <v>52</v>
      </c>
      <c r="C406" s="14" t="s">
        <v>165</v>
      </c>
      <c r="D406" s="14" t="s">
        <v>982</v>
      </c>
      <c r="E406" s="15" t="str">
        <f>HYPERLINK("https://stat100.ameba.jp/tnk47/ratio20/illustrations/card/ill_59673_0_oheyashutendoji03.jpg?201811-6-RELEASE-conquest-e-381", "■")</f>
        <v>■</v>
      </c>
      <c r="F406" s="14" t="s">
        <v>983</v>
      </c>
      <c r="G406" s="14">
        <v>105545</v>
      </c>
      <c r="H406" s="14">
        <v>113525</v>
      </c>
      <c r="I406" s="14">
        <v>15</v>
      </c>
      <c r="J406" s="14" t="s">
        <v>73</v>
      </c>
      <c r="K406" s="14" t="s">
        <v>984</v>
      </c>
      <c r="L406" s="14" t="s">
        <v>985</v>
      </c>
      <c r="M406" s="14" t="s">
        <v>9158</v>
      </c>
      <c r="N406" s="14" t="s">
        <v>9158</v>
      </c>
      <c r="O406" s="17" t="s">
        <v>10058</v>
      </c>
      <c r="P406" s="14" t="s">
        <v>3022</v>
      </c>
      <c r="Q406" s="14">
        <v>1</v>
      </c>
      <c r="R406" s="14"/>
    </row>
    <row r="407" spans="1:18">
      <c r="A407" s="9" t="s">
        <v>5609</v>
      </c>
      <c r="B407" s="14" t="s">
        <v>52</v>
      </c>
      <c r="C407" s="14" t="s">
        <v>200</v>
      </c>
      <c r="D407" s="14" t="s">
        <v>56</v>
      </c>
      <c r="E407" s="15" t="str">
        <f>HYPERLINK("https://stat100.ameba.jp/tnk47/ratio20/illustrations/card/ill_53753_0_natsumatsuritokugawaieyasu03.jpg?201811-6-RELEASE-conquest-e-381", "■")</f>
        <v>■</v>
      </c>
      <c r="F407" s="14" t="s">
        <v>902</v>
      </c>
      <c r="G407" s="14">
        <v>94236</v>
      </c>
      <c r="H407" s="14">
        <v>83712</v>
      </c>
      <c r="I407" s="14">
        <v>15</v>
      </c>
      <c r="J407" s="14" t="s">
        <v>143</v>
      </c>
      <c r="K407" s="14" t="s">
        <v>903</v>
      </c>
      <c r="L407" s="14" t="s">
        <v>904</v>
      </c>
      <c r="M407" s="14" t="s">
        <v>9158</v>
      </c>
      <c r="N407" s="14" t="s">
        <v>9158</v>
      </c>
      <c r="O407" s="17" t="s">
        <v>10052</v>
      </c>
      <c r="P407" s="14" t="s">
        <v>13121</v>
      </c>
      <c r="Q407" s="14">
        <v>1</v>
      </c>
      <c r="R407" s="14"/>
    </row>
    <row r="408" spans="1:18">
      <c r="A408" s="9" t="s">
        <v>9473</v>
      </c>
      <c r="B408" s="14" t="s">
        <v>52</v>
      </c>
      <c r="C408" s="14" t="s">
        <v>191</v>
      </c>
      <c r="D408" s="14" t="s">
        <v>1072</v>
      </c>
      <c r="E408" s="15" t="str">
        <f>HYPERLINK("https://stat100.ameba.jp/tnk47/ratio20/illustrations/card/ill_46283_0_odanobunaga03.jpg?201811-6-RELEASE-conquest-e-381", "■")</f>
        <v>■</v>
      </c>
      <c r="F408" s="14" t="s">
        <v>1073</v>
      </c>
      <c r="G408" s="14">
        <v>82212</v>
      </c>
      <c r="H408" s="14">
        <v>87780</v>
      </c>
      <c r="I408" s="14">
        <v>15</v>
      </c>
      <c r="J408" s="14" t="s">
        <v>143</v>
      </c>
      <c r="K408" s="14" t="s">
        <v>1074</v>
      </c>
      <c r="L408" s="14" t="s">
        <v>1075</v>
      </c>
      <c r="M408" s="14" t="s">
        <v>9158</v>
      </c>
      <c r="N408" s="14" t="s">
        <v>9158</v>
      </c>
      <c r="O408" s="14" t="s">
        <v>9158</v>
      </c>
      <c r="P408" s="14" t="s">
        <v>9158</v>
      </c>
      <c r="Q408" s="14" t="s">
        <v>9158</v>
      </c>
      <c r="R408" s="14"/>
    </row>
    <row r="409" spans="1:18">
      <c r="A409" s="9">
        <v>76953</v>
      </c>
      <c r="B409" s="14" t="s">
        <v>0</v>
      </c>
      <c r="C409" s="14" t="s">
        <v>154</v>
      </c>
      <c r="D409" s="14" t="s">
        <v>1931</v>
      </c>
      <c r="E409" s="15" t="str">
        <f>HYPERLINK("https://stat100.ameba.jp/tnk47/ratio20/illustrations/card/ill_76953_gureteru03.jpg?201811-6-RELEASE-conquest-e-381", "■")</f>
        <v>■</v>
      </c>
      <c r="F409" s="14" t="s">
        <v>1932</v>
      </c>
      <c r="G409" s="14">
        <v>69714</v>
      </c>
      <c r="H409" s="14">
        <v>123870</v>
      </c>
      <c r="I409" s="14">
        <v>22</v>
      </c>
      <c r="J409" s="14" t="s">
        <v>38</v>
      </c>
      <c r="K409" s="14" t="s">
        <v>1933</v>
      </c>
      <c r="L409" s="14" t="s">
        <v>1934</v>
      </c>
      <c r="M409" s="14" t="s">
        <v>9158</v>
      </c>
      <c r="N409" s="14" t="s">
        <v>9158</v>
      </c>
      <c r="O409" s="14" t="s">
        <v>9158</v>
      </c>
      <c r="P409" s="14" t="s">
        <v>9158</v>
      </c>
      <c r="Q409" s="14" t="s">
        <v>9158</v>
      </c>
      <c r="R409" s="14"/>
    </row>
    <row r="410" spans="1:18">
      <c r="A410" s="9">
        <v>75193</v>
      </c>
      <c r="B410" s="14" t="s">
        <v>0</v>
      </c>
      <c r="C410" s="14" t="s">
        <v>158</v>
      </c>
      <c r="D410" s="14" t="s">
        <v>1935</v>
      </c>
      <c r="E410" s="15" t="str">
        <f>HYPERLINK("https://stat100.ameba.jp/tnk47/ratio20/illustrations/card/ill_75193_rabanommyonojiomansa03.jpg?201811-6-RELEASE-conquest-e-381", "■")</f>
        <v>■</v>
      </c>
      <c r="F410" s="14" t="s">
        <v>1936</v>
      </c>
      <c r="G410" s="14">
        <v>84560</v>
      </c>
      <c r="H410" s="14">
        <v>90934</v>
      </c>
      <c r="I410" s="14">
        <v>22</v>
      </c>
      <c r="J410" s="14" t="s">
        <v>44</v>
      </c>
      <c r="K410" s="14" t="s">
        <v>1937</v>
      </c>
      <c r="L410" s="14" t="s">
        <v>1938</v>
      </c>
      <c r="M410" s="14" t="s">
        <v>9158</v>
      </c>
      <c r="N410" s="14" t="s">
        <v>9158</v>
      </c>
      <c r="O410" s="14" t="s">
        <v>9158</v>
      </c>
      <c r="P410" s="14" t="s">
        <v>9158</v>
      </c>
      <c r="Q410" s="14" t="s">
        <v>9158</v>
      </c>
      <c r="R410" s="14"/>
    </row>
    <row r="411" spans="1:18">
      <c r="A411" s="9">
        <v>76873</v>
      </c>
      <c r="B411" s="14" t="s">
        <v>0</v>
      </c>
      <c r="C411" s="14" t="s">
        <v>154</v>
      </c>
      <c r="D411" s="14" t="s">
        <v>1939</v>
      </c>
      <c r="E411" s="15" t="str">
        <f>HYPERLINK("https://stat100.ameba.jp/tnk47/ratio20/illustrations/card/ill_76873_torerokamomiro03.jpg?201811-6-RELEASE-conquest-e-381", "■")</f>
        <v>■</v>
      </c>
      <c r="F411" s="14" t="s">
        <v>1940</v>
      </c>
      <c r="G411" s="14">
        <v>161516</v>
      </c>
      <c r="H411" s="14">
        <v>90870</v>
      </c>
      <c r="I411" s="14">
        <v>22</v>
      </c>
      <c r="J411" s="14" t="s">
        <v>10</v>
      </c>
      <c r="K411" s="14" t="s">
        <v>1941</v>
      </c>
      <c r="L411" s="14" t="s">
        <v>1942</v>
      </c>
      <c r="M411" s="14" t="s">
        <v>9158</v>
      </c>
      <c r="N411" s="14" t="s">
        <v>9158</v>
      </c>
      <c r="O411" s="14" t="s">
        <v>9158</v>
      </c>
      <c r="P411" s="14" t="s">
        <v>9158</v>
      </c>
      <c r="Q411" s="14" t="s">
        <v>9158</v>
      </c>
      <c r="R411" s="14"/>
    </row>
    <row r="412" spans="1:18">
      <c r="A412" s="9">
        <v>57853</v>
      </c>
      <c r="B412" s="14" t="s">
        <v>15</v>
      </c>
      <c r="C412" s="14" t="s">
        <v>200</v>
      </c>
      <c r="D412" s="14" t="s">
        <v>997</v>
      </c>
      <c r="E412" s="15" t="str">
        <f>HYPERLINK("https://stat100.ameba.jp/tnk47/ratio20/illustrations/card/ill_57853_otokuchuruakaiteruko03.jpg?201811-6-RELEASE-conquest-e-381", "■")</f>
        <v>■</v>
      </c>
      <c r="F412" s="14" t="s">
        <v>998</v>
      </c>
      <c r="G412" s="14">
        <v>56456</v>
      </c>
      <c r="H412" s="14">
        <v>62244</v>
      </c>
      <c r="I412" s="14">
        <v>21</v>
      </c>
      <c r="J412" s="14" t="s">
        <v>143</v>
      </c>
      <c r="K412" s="14" t="s">
        <v>999</v>
      </c>
      <c r="L412" s="14" t="s">
        <v>1000</v>
      </c>
      <c r="M412" s="14" t="s">
        <v>9158</v>
      </c>
      <c r="N412" s="14" t="s">
        <v>9158</v>
      </c>
      <c r="O412" s="14" t="s">
        <v>9158</v>
      </c>
      <c r="P412" s="14" t="s">
        <v>9158</v>
      </c>
      <c r="Q412" s="14" t="s">
        <v>9158</v>
      </c>
      <c r="R412" s="14"/>
    </row>
    <row r="413" spans="1:18">
      <c r="A413" s="9">
        <v>57913</v>
      </c>
      <c r="B413" s="14" t="s">
        <v>15</v>
      </c>
      <c r="C413" s="14" t="s">
        <v>165</v>
      </c>
      <c r="D413" s="14" t="s">
        <v>1001</v>
      </c>
      <c r="E413" s="15" t="str">
        <f>HYPERLINK("https://stat100.ameba.jp/tnk47/ratio20/illustrations/card/ill_57913_otokuchurusahohime03.jpg?201811-6-RELEASE-conquest-e-381", "■")</f>
        <v>■</v>
      </c>
      <c r="F413" s="14" t="s">
        <v>1002</v>
      </c>
      <c r="G413" s="14">
        <v>62244</v>
      </c>
      <c r="H413" s="14">
        <v>56456</v>
      </c>
      <c r="I413" s="14">
        <v>21</v>
      </c>
      <c r="J413" s="14" t="s">
        <v>44</v>
      </c>
      <c r="K413" s="14" t="s">
        <v>1003</v>
      </c>
      <c r="L413" s="14" t="s">
        <v>1004</v>
      </c>
      <c r="M413" s="14" t="s">
        <v>9158</v>
      </c>
      <c r="N413" s="14" t="s">
        <v>9158</v>
      </c>
      <c r="O413" s="14" t="s">
        <v>9158</v>
      </c>
      <c r="P413" s="14" t="s">
        <v>9158</v>
      </c>
      <c r="Q413" s="14" t="s">
        <v>9158</v>
      </c>
      <c r="R413" s="14"/>
    </row>
    <row r="414" spans="1:18">
      <c r="A414" s="9">
        <v>55433</v>
      </c>
      <c r="B414" s="14" t="s">
        <v>15</v>
      </c>
      <c r="C414" s="14" t="s">
        <v>191</v>
      </c>
      <c r="D414" s="14" t="s">
        <v>1005</v>
      </c>
      <c r="E414" s="15" t="str">
        <f>HYPERLINK("https://stat100.ameba.jp/tnk47/ratio20/illustrations/card/ill_55433_bunkasaiodainokata03.jpg?201811-6-RELEASE-conquest-e-381", "■")</f>
        <v>■</v>
      </c>
      <c r="F414" s="14" t="s">
        <v>1006</v>
      </c>
      <c r="G414" s="14">
        <v>62244</v>
      </c>
      <c r="H414" s="14">
        <v>56456</v>
      </c>
      <c r="I414" s="14">
        <v>21</v>
      </c>
      <c r="J414" s="14" t="s">
        <v>10</v>
      </c>
      <c r="K414" s="14" t="s">
        <v>1007</v>
      </c>
      <c r="L414" s="14" t="s">
        <v>1008</v>
      </c>
      <c r="M414" s="14" t="s">
        <v>9158</v>
      </c>
      <c r="N414" s="14" t="s">
        <v>9158</v>
      </c>
      <c r="O414" s="14" t="s">
        <v>9158</v>
      </c>
      <c r="P414" s="14" t="s">
        <v>9158</v>
      </c>
      <c r="Q414" s="14" t="s">
        <v>9158</v>
      </c>
      <c r="R414" s="14"/>
    </row>
    <row r="415" spans="1:18">
      <c r="B415" s="14"/>
      <c r="C415" s="14"/>
      <c r="D415" s="14"/>
      <c r="F415" s="14"/>
      <c r="G415" s="14"/>
      <c r="H415" s="14"/>
      <c r="I415" s="14"/>
      <c r="J415" s="14"/>
      <c r="K415" s="14"/>
      <c r="L415" s="14"/>
      <c r="M415" s="14"/>
      <c r="N415" s="14"/>
      <c r="P415" s="14"/>
      <c r="Q415" s="14"/>
      <c r="R415" s="14"/>
    </row>
    <row r="416" spans="1:18">
      <c r="A416" s="14" t="s">
        <v>114</v>
      </c>
      <c r="D416" s="14"/>
      <c r="F416" s="14"/>
      <c r="G416" s="14"/>
      <c r="H416" s="14"/>
      <c r="I416" s="14"/>
      <c r="J416" s="14"/>
      <c r="K416" s="14"/>
      <c r="L416" s="14"/>
      <c r="M416" s="14"/>
      <c r="N416" s="14"/>
      <c r="P416" s="14"/>
      <c r="Q416" s="14"/>
      <c r="R416" s="14"/>
    </row>
    <row r="417" spans="1:19">
      <c r="A417" s="14" t="s">
        <v>1943</v>
      </c>
      <c r="C417" s="14"/>
      <c r="D417" s="14"/>
      <c r="F417" s="14"/>
      <c r="G417" s="14"/>
      <c r="H417" s="14"/>
      <c r="I417" s="14"/>
      <c r="J417" s="14"/>
      <c r="K417" s="14"/>
      <c r="L417" s="14"/>
      <c r="M417" s="14"/>
      <c r="N417" s="14"/>
      <c r="P417" s="14"/>
      <c r="Q417" s="14"/>
      <c r="R417" s="14"/>
    </row>
    <row r="418" spans="1:19">
      <c r="A418" s="9" t="s">
        <v>5614</v>
      </c>
      <c r="B418" s="14" t="s">
        <v>52</v>
      </c>
      <c r="C418" s="14" t="s">
        <v>205</v>
      </c>
      <c r="D418" s="14" t="s">
        <v>947</v>
      </c>
      <c r="E418" s="15" t="str">
        <f>HYPERLINK("https://stat100.ameba.jp/tnk47/ratio20/illustrations/card/ill_56223_0_onsempanikkugohime03.jpg?201811-6-RELEASE-conquest-e-381", "■")</f>
        <v>■</v>
      </c>
      <c r="F418" s="14" t="s">
        <v>948</v>
      </c>
      <c r="G418" s="14">
        <v>94872</v>
      </c>
      <c r="H418" s="14">
        <v>106800</v>
      </c>
      <c r="I418" s="14">
        <v>17</v>
      </c>
      <c r="J418" s="14" t="s">
        <v>77</v>
      </c>
      <c r="K418" s="14" t="s">
        <v>949</v>
      </c>
      <c r="L418" s="14" t="s">
        <v>950</v>
      </c>
      <c r="M418" s="14" t="s">
        <v>9158</v>
      </c>
      <c r="N418" s="14" t="s">
        <v>9158</v>
      </c>
      <c r="O418" s="9" t="s">
        <v>3021</v>
      </c>
      <c r="P418" s="14" t="s">
        <v>2890</v>
      </c>
      <c r="Q418" s="14">
        <v>1</v>
      </c>
      <c r="R418" s="14"/>
    </row>
    <row r="419" spans="1:19">
      <c r="A419" s="9" t="s">
        <v>5607</v>
      </c>
      <c r="B419" s="14" t="s">
        <v>52</v>
      </c>
      <c r="C419" s="14" t="s">
        <v>200</v>
      </c>
      <c r="D419" s="14" t="s">
        <v>1039</v>
      </c>
      <c r="E419" s="15" t="str">
        <f>HYPERLINK("https://stat100.ameba.jp/tnk47/ratio20/illustrations/card/ill_58853_0_setsubumpanikkuhiratsukaraicho03.jpg?201811-6-RELEASE-conquest-e-381", "■")</f>
        <v>■</v>
      </c>
      <c r="F419" s="14" t="s">
        <v>1040</v>
      </c>
      <c r="G419" s="14">
        <v>106800</v>
      </c>
      <c r="H419" s="14">
        <v>94872</v>
      </c>
      <c r="I419" s="14">
        <v>17</v>
      </c>
      <c r="J419" s="14" t="s">
        <v>16</v>
      </c>
      <c r="K419" s="14" t="s">
        <v>1041</v>
      </c>
      <c r="L419" s="14" t="s">
        <v>1042</v>
      </c>
      <c r="M419" s="14" t="s">
        <v>9158</v>
      </c>
      <c r="N419" s="14" t="s">
        <v>9158</v>
      </c>
      <c r="O419" s="17" t="s">
        <v>10059</v>
      </c>
      <c r="P419" s="14" t="s">
        <v>2870</v>
      </c>
      <c r="Q419" s="14">
        <v>1</v>
      </c>
      <c r="R419" s="14"/>
    </row>
    <row r="420" spans="1:19">
      <c r="A420" s="9">
        <v>75873</v>
      </c>
      <c r="B420" s="14" t="s">
        <v>0</v>
      </c>
      <c r="C420" s="14" t="s">
        <v>154</v>
      </c>
      <c r="D420" s="14" t="s">
        <v>1944</v>
      </c>
      <c r="E420" s="15" t="str">
        <f>HYPERLINK("https://stat100.ameba.jp/tnk47/ratio20/illustrations/card/ill_75873_harajukuroriitachan03.jpg?201811-6-RELEASE-conquest-e-381", "■")</f>
        <v>■</v>
      </c>
      <c r="F420" s="14" t="s">
        <v>1945</v>
      </c>
      <c r="G420" s="14">
        <v>105394</v>
      </c>
      <c r="H420" s="14">
        <v>113340</v>
      </c>
      <c r="I420" s="14">
        <v>24</v>
      </c>
      <c r="J420" s="14" t="s">
        <v>26</v>
      </c>
      <c r="K420" s="14" t="s">
        <v>1946</v>
      </c>
      <c r="L420" s="14" t="s">
        <v>1947</v>
      </c>
      <c r="M420" s="14" t="s">
        <v>9158</v>
      </c>
      <c r="N420" s="14" t="s">
        <v>9158</v>
      </c>
      <c r="O420" s="9" t="s">
        <v>2717</v>
      </c>
      <c r="P420" s="14" t="s">
        <v>13123</v>
      </c>
      <c r="Q420" s="14">
        <v>1</v>
      </c>
      <c r="R420" s="14"/>
    </row>
    <row r="421" spans="1:19">
      <c r="A421" s="9">
        <v>54203</v>
      </c>
      <c r="B421" s="14" t="s">
        <v>0</v>
      </c>
      <c r="C421" s="14" t="s">
        <v>262</v>
      </c>
      <c r="D421" s="14" t="s">
        <v>1948</v>
      </c>
      <c r="E421" s="15" t="str">
        <f>HYPERLINK("https://stat100.ameba.jp/tnk47/ratio20/illustrations/card/ill_54203_dazaiosamu03.jpg?201811-6-RELEASE-conquest-e-381", "■")</f>
        <v>■</v>
      </c>
      <c r="F421" s="14" t="s">
        <v>1949</v>
      </c>
      <c r="G421" s="14">
        <v>86668</v>
      </c>
      <c r="H421" s="14">
        <v>63547</v>
      </c>
      <c r="I421" s="14">
        <v>21</v>
      </c>
      <c r="J421" s="14" t="s">
        <v>16</v>
      </c>
      <c r="K421" s="14" t="s">
        <v>1950</v>
      </c>
      <c r="L421" s="14" t="s">
        <v>1951</v>
      </c>
      <c r="M421" s="14" t="s">
        <v>9158</v>
      </c>
      <c r="N421" s="14" t="s">
        <v>9158</v>
      </c>
      <c r="O421" s="14" t="s">
        <v>9158</v>
      </c>
      <c r="P421" s="14" t="s">
        <v>9158</v>
      </c>
      <c r="Q421" s="14" t="s">
        <v>9158</v>
      </c>
      <c r="R421" s="14"/>
    </row>
    <row r="422" spans="1:19">
      <c r="A422" s="9">
        <v>64873</v>
      </c>
      <c r="B422" s="14" t="s">
        <v>0</v>
      </c>
      <c r="C422" s="14" t="s">
        <v>158</v>
      </c>
      <c r="D422" s="14" t="s">
        <v>1952</v>
      </c>
      <c r="E422" s="15" t="str">
        <f>HYPERLINK("https://stat100.ameba.jp/tnk47/ratio20/illustrations/card/ill_64873_sessofujin03.jpg?201811-6-RELEASE-conquest-e-381", "■")</f>
        <v>■</v>
      </c>
      <c r="F422" s="14" t="s">
        <v>1953</v>
      </c>
      <c r="G422" s="14">
        <v>66487</v>
      </c>
      <c r="H422" s="14">
        <v>91779</v>
      </c>
      <c r="I422" s="14">
        <v>21</v>
      </c>
      <c r="J422" s="14" t="s">
        <v>77</v>
      </c>
      <c r="K422" s="14" t="s">
        <v>1954</v>
      </c>
      <c r="L422" s="14" t="s">
        <v>1955</v>
      </c>
      <c r="M422" s="14" t="s">
        <v>9158</v>
      </c>
      <c r="N422" s="14" t="s">
        <v>9158</v>
      </c>
      <c r="O422" s="14" t="s">
        <v>9158</v>
      </c>
      <c r="P422" s="14" t="s">
        <v>9158</v>
      </c>
      <c r="Q422" s="14" t="s">
        <v>9158</v>
      </c>
      <c r="R422" s="14"/>
    </row>
    <row r="423" spans="1:19">
      <c r="A423" s="9">
        <v>53073</v>
      </c>
      <c r="B423" s="14" t="s">
        <v>0</v>
      </c>
      <c r="C423" s="14" t="s">
        <v>265</v>
      </c>
      <c r="D423" s="14" t="s">
        <v>1956</v>
      </c>
      <c r="E423" s="15" t="str">
        <f>HYPERLINK("https://stat100.ameba.jp/tnk47/ratio20/illustrations/card/ill_53073_matsuzakaushi03.jpg?201811-6-RELEASE-conquest-e-381", "■")</f>
        <v>■</v>
      </c>
      <c r="F423" s="14" t="s">
        <v>1957</v>
      </c>
      <c r="G423" s="14">
        <v>63547</v>
      </c>
      <c r="H423" s="14">
        <v>86668</v>
      </c>
      <c r="I423" s="14">
        <v>21</v>
      </c>
      <c r="J423" s="14" t="s">
        <v>104</v>
      </c>
      <c r="K423" s="14" t="s">
        <v>1958</v>
      </c>
      <c r="L423" s="14" t="s">
        <v>1959</v>
      </c>
      <c r="M423" s="14" t="s">
        <v>9158</v>
      </c>
      <c r="N423" s="14" t="s">
        <v>9158</v>
      </c>
      <c r="O423" s="14" t="s">
        <v>9158</v>
      </c>
      <c r="P423" s="14" t="s">
        <v>9158</v>
      </c>
      <c r="Q423" s="14" t="s">
        <v>9158</v>
      </c>
      <c r="R423" s="14"/>
    </row>
    <row r="424" spans="1:19">
      <c r="A424" s="9">
        <v>58343</v>
      </c>
      <c r="B424" s="14" t="s">
        <v>0</v>
      </c>
      <c r="C424" s="14" t="s">
        <v>154</v>
      </c>
      <c r="D424" s="14" t="s">
        <v>1792</v>
      </c>
      <c r="E424" s="15" t="str">
        <f>HYPERLINK("https://stat100.ameba.jp/tnk47/ratio20/illustrations/card/ill_58343_agemakidayu03.jpg?201811-6-RELEASE-conquest-e-381", "■")</f>
        <v>■</v>
      </c>
      <c r="F424" s="14" t="s">
        <v>1793</v>
      </c>
      <c r="G424" s="14">
        <v>86668</v>
      </c>
      <c r="H424" s="14">
        <v>63547</v>
      </c>
      <c r="I424" s="14">
        <v>21</v>
      </c>
      <c r="J424" s="14" t="s">
        <v>38</v>
      </c>
      <c r="K424" s="14" t="s">
        <v>1794</v>
      </c>
      <c r="L424" s="14" t="s">
        <v>1795</v>
      </c>
      <c r="M424" s="14" t="s">
        <v>9158</v>
      </c>
      <c r="N424" s="14" t="s">
        <v>9158</v>
      </c>
      <c r="O424" s="9" t="s">
        <v>2912</v>
      </c>
      <c r="P424" s="14" t="s">
        <v>13122</v>
      </c>
      <c r="Q424" s="14">
        <v>1</v>
      </c>
      <c r="R424" s="14"/>
    </row>
    <row r="425" spans="1:19">
      <c r="A425" s="9">
        <v>61353</v>
      </c>
      <c r="B425" s="14" t="s">
        <v>0</v>
      </c>
      <c r="C425" s="14" t="s">
        <v>158</v>
      </c>
      <c r="D425" s="14" t="s">
        <v>1199</v>
      </c>
      <c r="E425" s="15" t="str">
        <f>HYPERLINK("https://stat100.ameba.jp/tnk47/ratio20/illustrations/card/ill_61353_shinkidohimiko03.jpg?201811-6-RELEASE-conquest-e-381", "■")</f>
        <v>■</v>
      </c>
      <c r="F425" s="14" t="s">
        <v>1200</v>
      </c>
      <c r="G425" s="14">
        <v>91779</v>
      </c>
      <c r="H425" s="14">
        <v>66487</v>
      </c>
      <c r="I425" s="14">
        <v>21</v>
      </c>
      <c r="J425" s="14" t="s">
        <v>10</v>
      </c>
      <c r="K425" s="14" t="s">
        <v>1201</v>
      </c>
      <c r="L425" s="14" t="s">
        <v>1202</v>
      </c>
      <c r="M425" s="14" t="s">
        <v>9158</v>
      </c>
      <c r="N425" s="14" t="s">
        <v>9158</v>
      </c>
      <c r="O425" s="14" t="s">
        <v>9158</v>
      </c>
      <c r="P425" s="14" t="s">
        <v>9158</v>
      </c>
      <c r="Q425" s="14" t="s">
        <v>9158</v>
      </c>
      <c r="R425" s="14"/>
    </row>
    <row r="426" spans="1:19">
      <c r="B426" s="14"/>
      <c r="C426" s="14"/>
      <c r="D426" s="14"/>
      <c r="F426" s="14"/>
      <c r="G426" s="14"/>
      <c r="H426" s="14"/>
      <c r="I426" s="14"/>
      <c r="J426" s="14"/>
      <c r="K426" s="14"/>
      <c r="L426" s="14"/>
      <c r="M426" s="14"/>
      <c r="N426" s="14"/>
      <c r="P426" s="14"/>
      <c r="Q426" s="14"/>
      <c r="R426" s="14"/>
    </row>
    <row r="427" spans="1:19">
      <c r="A427" s="14" t="s">
        <v>208</v>
      </c>
      <c r="D427" s="14"/>
      <c r="F427" s="14"/>
      <c r="G427" s="14"/>
      <c r="H427" s="14"/>
      <c r="I427" s="14"/>
      <c r="J427" s="14"/>
      <c r="K427" s="14"/>
      <c r="L427" s="14"/>
      <c r="M427" s="14"/>
      <c r="N427" s="14"/>
      <c r="P427" s="14"/>
      <c r="Q427" s="14"/>
      <c r="R427" s="14"/>
    </row>
    <row r="428" spans="1:19">
      <c r="A428" s="14" t="s">
        <v>1960</v>
      </c>
      <c r="B428" s="14"/>
      <c r="C428" s="14"/>
      <c r="D428" s="14"/>
      <c r="F428" s="14"/>
      <c r="G428" s="14"/>
      <c r="H428" s="14"/>
      <c r="I428" s="14"/>
      <c r="J428" s="14"/>
      <c r="K428" s="14"/>
      <c r="L428" s="14"/>
      <c r="M428" s="14"/>
      <c r="N428" s="14"/>
      <c r="P428" s="14"/>
      <c r="Q428" s="14"/>
      <c r="R428" s="14"/>
    </row>
    <row r="429" spans="1:19">
      <c r="A429" s="9" t="s">
        <v>5617</v>
      </c>
      <c r="B429" s="14" t="s">
        <v>52</v>
      </c>
      <c r="C429" s="14" t="s">
        <v>165</v>
      </c>
      <c r="D429" s="14" t="s">
        <v>982</v>
      </c>
      <c r="E429" s="15" t="str">
        <f>HYPERLINK("https://stat100.ameba.jp/tnk47/ratio20/illustrations/card/ill_59673_0_oheyashutendoji03.jpg?201811-6-RELEASE-conquest-e-381", "■")</f>
        <v>■</v>
      </c>
      <c r="F429" s="14" t="s">
        <v>983</v>
      </c>
      <c r="G429" s="14">
        <v>105545</v>
      </c>
      <c r="H429" s="14">
        <v>113525</v>
      </c>
      <c r="I429" s="14">
        <v>15</v>
      </c>
      <c r="J429" s="14" t="s">
        <v>73</v>
      </c>
      <c r="K429" s="14" t="s">
        <v>984</v>
      </c>
      <c r="L429" s="14" t="s">
        <v>985</v>
      </c>
      <c r="M429" s="14" t="s">
        <v>9158</v>
      </c>
      <c r="N429" s="14" t="s">
        <v>9158</v>
      </c>
      <c r="O429" s="17" t="s">
        <v>10058</v>
      </c>
      <c r="P429" s="14" t="s">
        <v>3022</v>
      </c>
      <c r="Q429" s="14">
        <v>1</v>
      </c>
      <c r="R429" s="14"/>
    </row>
    <row r="430" spans="1:19">
      <c r="A430" s="9" t="s">
        <v>5899</v>
      </c>
      <c r="B430" s="14" t="s">
        <v>52</v>
      </c>
      <c r="C430" s="14" t="s">
        <v>205</v>
      </c>
      <c r="D430" s="14" t="s">
        <v>1185</v>
      </c>
      <c r="E430" s="15" t="str">
        <f>HYPERLINK("https://stat100.ameba.jp/tnk47/ratio20/illustrations/card/ill_73773_0_umibirakiinugamigyobu03.jpg?201811-6-RELEASE-conquest-e-381", "■")</f>
        <v>■</v>
      </c>
      <c r="F430" s="14" t="s">
        <v>935</v>
      </c>
      <c r="G430" s="14">
        <v>130160</v>
      </c>
      <c r="H430" s="14">
        <v>139999</v>
      </c>
      <c r="I430" s="14">
        <v>15</v>
      </c>
      <c r="J430" s="14" t="s">
        <v>73</v>
      </c>
      <c r="K430" s="14" t="s">
        <v>1186</v>
      </c>
      <c r="L430" s="14" t="s">
        <v>1187</v>
      </c>
      <c r="M430" s="14" t="s">
        <v>9158</v>
      </c>
      <c r="N430" s="14" t="s">
        <v>9158</v>
      </c>
      <c r="O430" s="9" t="s">
        <v>2978</v>
      </c>
      <c r="P430" s="14" t="s">
        <v>2979</v>
      </c>
      <c r="Q430" s="14">
        <v>2</v>
      </c>
      <c r="R430" s="14"/>
    </row>
    <row r="431" spans="1:19">
      <c r="A431" s="9" t="s">
        <v>5830</v>
      </c>
      <c r="B431" s="14" t="s">
        <v>52</v>
      </c>
      <c r="C431" s="14" t="s">
        <v>191</v>
      </c>
      <c r="D431" s="14" t="s">
        <v>1719</v>
      </c>
      <c r="E431" s="15" t="str">
        <f>HYPERLINK("https://stat100.ameba.jp/tnk47/ratio20/illustrations/card/ill_39933_0_reihiiinaotora03.jpg?201811-6-RELEASE-conquest-e-381", "■")</f>
        <v>■</v>
      </c>
      <c r="F431" s="14" t="s">
        <v>1720</v>
      </c>
      <c r="G431" s="14">
        <v>82212</v>
      </c>
      <c r="H431" s="14">
        <v>87780</v>
      </c>
      <c r="I431" s="14">
        <v>15</v>
      </c>
      <c r="J431" s="14" t="s">
        <v>77</v>
      </c>
      <c r="K431" s="14" t="s">
        <v>1721</v>
      </c>
      <c r="L431" s="14" t="s">
        <v>1722</v>
      </c>
      <c r="M431" s="14" t="s">
        <v>9158</v>
      </c>
      <c r="N431" s="14" t="s">
        <v>9158</v>
      </c>
      <c r="O431" s="14" t="s">
        <v>9158</v>
      </c>
      <c r="P431" s="14" t="s">
        <v>9158</v>
      </c>
      <c r="Q431" s="14" t="s">
        <v>9158</v>
      </c>
      <c r="R431" s="14"/>
    </row>
    <row r="432" spans="1:19">
      <c r="A432" s="9">
        <v>46503</v>
      </c>
      <c r="B432" s="14" t="s">
        <v>0</v>
      </c>
      <c r="C432" s="14" t="s">
        <v>264</v>
      </c>
      <c r="D432" s="14" t="s">
        <v>1961</v>
      </c>
      <c r="E432" s="15" t="str">
        <f>HYPERLINK("https://stat100.ameba.jp/tnk47/ratio20/illustrations/card/ill_46503_purinsesukaiurani03.jpg?201811-6-RELEASE-conquest-e-381", "■")</f>
        <v>■</v>
      </c>
      <c r="F432" s="14" t="s">
        <v>1962</v>
      </c>
      <c r="G432" s="14">
        <v>78838</v>
      </c>
      <c r="H432" s="14">
        <v>84796</v>
      </c>
      <c r="I432" s="14">
        <v>22</v>
      </c>
      <c r="J432" s="14" t="s">
        <v>77</v>
      </c>
      <c r="K432" s="14" t="s">
        <v>1963</v>
      </c>
      <c r="L432" s="14" t="s">
        <v>1964</v>
      </c>
      <c r="M432" s="14" t="s">
        <v>9158</v>
      </c>
      <c r="N432" s="14" t="s">
        <v>9158</v>
      </c>
      <c r="O432" s="14" t="s">
        <v>9158</v>
      </c>
      <c r="P432" s="14" t="s">
        <v>9158</v>
      </c>
      <c r="Q432" s="14" t="s">
        <v>9158</v>
      </c>
      <c r="S432" s="14" t="s">
        <v>12930</v>
      </c>
    </row>
    <row r="433" spans="1:19">
      <c r="A433" s="9">
        <v>49453</v>
      </c>
      <c r="B433" s="14" t="s">
        <v>0</v>
      </c>
      <c r="C433" s="14" t="s">
        <v>158</v>
      </c>
      <c r="D433" s="14" t="s">
        <v>1965</v>
      </c>
      <c r="E433" s="15" t="str">
        <f>HYPERLINK("https://stat100.ameba.jp/tnk47/ratio20/illustrations/card/ill_49453_atagotaroubou03.jpg?201811-6-RELEASE-conquest-e-381", "■")</f>
        <v>■</v>
      </c>
      <c r="F433" s="14" t="s">
        <v>1966</v>
      </c>
      <c r="G433" s="14">
        <v>84796</v>
      </c>
      <c r="H433" s="14">
        <v>78838</v>
      </c>
      <c r="I433" s="14">
        <v>22</v>
      </c>
      <c r="J433" s="14" t="s">
        <v>73</v>
      </c>
      <c r="K433" s="14" t="s">
        <v>1967</v>
      </c>
      <c r="L433" s="14" t="s">
        <v>1968</v>
      </c>
      <c r="M433" s="14" t="s">
        <v>9158</v>
      </c>
      <c r="N433" s="14" t="s">
        <v>9158</v>
      </c>
      <c r="O433" s="14" t="s">
        <v>9158</v>
      </c>
      <c r="P433" s="14" t="s">
        <v>9158</v>
      </c>
      <c r="Q433" s="14" t="s">
        <v>9158</v>
      </c>
      <c r="S433" s="14" t="s">
        <v>12932</v>
      </c>
    </row>
    <row r="434" spans="1:19">
      <c r="A434" s="9">
        <v>59783</v>
      </c>
      <c r="B434" s="14" t="s">
        <v>0</v>
      </c>
      <c r="C434" s="14" t="s">
        <v>154</v>
      </c>
      <c r="D434" s="14" t="s">
        <v>1969</v>
      </c>
      <c r="E434" s="15" t="str">
        <f>HYPERLINK("https://stat100.ameba.jp/tnk47/ratio20/illustrations/card/ill_59783_kurobahanichan03.jpg?201811-6-RELEASE-conquest-e-381", "■")</f>
        <v>■</v>
      </c>
      <c r="F434" s="14" t="s">
        <v>1970</v>
      </c>
      <c r="G434" s="14">
        <v>103896</v>
      </c>
      <c r="H434" s="14">
        <v>96610</v>
      </c>
      <c r="I434" s="14">
        <v>22</v>
      </c>
      <c r="J434" s="14" t="s">
        <v>104</v>
      </c>
      <c r="K434" s="14" t="s">
        <v>1971</v>
      </c>
      <c r="L434" s="14" t="s">
        <v>1108</v>
      </c>
      <c r="M434" s="14" t="s">
        <v>9158</v>
      </c>
      <c r="N434" s="14" t="s">
        <v>9158</v>
      </c>
      <c r="O434" s="14" t="s">
        <v>9158</v>
      </c>
      <c r="P434" s="14" t="s">
        <v>9158</v>
      </c>
      <c r="Q434" s="14" t="s">
        <v>9158</v>
      </c>
      <c r="S434" s="14" t="s">
        <v>11733</v>
      </c>
    </row>
    <row r="435" spans="1:19">
      <c r="A435" s="9">
        <v>60063</v>
      </c>
      <c r="B435" s="14" t="s">
        <v>15</v>
      </c>
      <c r="C435" s="14" t="s">
        <v>165</v>
      </c>
      <c r="D435" s="14" t="s">
        <v>1059</v>
      </c>
      <c r="E435" s="15" t="str">
        <f>HYPERLINK("https://stat100.ameba.jp/tnk47/ratio20/illustrations/card/ill_60063_aressandorobuarinyano03.jpg?201811-6-RELEASE-conquest-e-381", "■")</f>
        <v>■</v>
      </c>
      <c r="F435" s="14" t="s">
        <v>1060</v>
      </c>
      <c r="G435" s="14">
        <v>65208</v>
      </c>
      <c r="H435" s="14">
        <v>59144</v>
      </c>
      <c r="I435" s="14">
        <v>22</v>
      </c>
      <c r="J435" s="14" t="s">
        <v>10</v>
      </c>
      <c r="K435" s="14" t="s">
        <v>1061</v>
      </c>
      <c r="L435" s="14" t="s">
        <v>1062</v>
      </c>
      <c r="M435" s="14" t="s">
        <v>9158</v>
      </c>
      <c r="N435" s="14" t="s">
        <v>9158</v>
      </c>
      <c r="O435" s="14" t="s">
        <v>9158</v>
      </c>
      <c r="P435" s="14" t="s">
        <v>9158</v>
      </c>
      <c r="Q435" s="14" t="s">
        <v>9158</v>
      </c>
      <c r="S435" s="14" t="s">
        <v>11726</v>
      </c>
    </row>
    <row r="436" spans="1:19">
      <c r="A436" s="9">
        <v>60743</v>
      </c>
      <c r="B436" s="14" t="s">
        <v>15</v>
      </c>
      <c r="C436" s="14" t="s">
        <v>185</v>
      </c>
      <c r="D436" s="14" t="s">
        <v>1063</v>
      </c>
      <c r="E436" s="15" t="str">
        <f>HYPERLINK("https://stat100.ameba.jp/tnk47/ratio20/illustrations/card/ill_60743_satotsugunobu03.jpg?201811-6-RELEASE-conquest-e-381", "■")</f>
        <v>■</v>
      </c>
      <c r="F436" s="14" t="s">
        <v>1064</v>
      </c>
      <c r="G436" s="14">
        <v>65208</v>
      </c>
      <c r="H436" s="14">
        <v>59144</v>
      </c>
      <c r="I436" s="14">
        <v>22</v>
      </c>
      <c r="J436" s="14" t="s">
        <v>143</v>
      </c>
      <c r="K436" s="14" t="s">
        <v>1065</v>
      </c>
      <c r="L436" s="14" t="s">
        <v>1066</v>
      </c>
      <c r="M436" s="14" t="s">
        <v>9158</v>
      </c>
      <c r="N436" s="14" t="s">
        <v>9158</v>
      </c>
      <c r="O436" s="14" t="s">
        <v>9158</v>
      </c>
      <c r="P436" s="14" t="s">
        <v>9158</v>
      </c>
      <c r="Q436" s="14" t="s">
        <v>9158</v>
      </c>
      <c r="S436" s="14" t="s">
        <v>12930</v>
      </c>
    </row>
    <row r="437" spans="1:19">
      <c r="A437" s="9">
        <v>64113</v>
      </c>
      <c r="B437" s="14" t="s">
        <v>15</v>
      </c>
      <c r="C437" s="14" t="s">
        <v>205</v>
      </c>
      <c r="D437" s="14" t="s">
        <v>1067</v>
      </c>
      <c r="E437" s="15" t="str">
        <f>HYPERLINK("https://stat100.ameba.jp/tnk47/ratio20/illustrations/card/ill_64113_onikiriyasutsuna03.jpg?201811-6-RELEASE-conquest-e-381", "■")</f>
        <v>■</v>
      </c>
      <c r="F437" s="14" t="s">
        <v>1068</v>
      </c>
      <c r="G437" s="14">
        <v>59144</v>
      </c>
      <c r="H437" s="14">
        <v>65208</v>
      </c>
      <c r="I437" s="14">
        <v>22</v>
      </c>
      <c r="J437" s="14" t="s">
        <v>38</v>
      </c>
      <c r="K437" s="14" t="s">
        <v>1069</v>
      </c>
      <c r="L437" s="14" t="s">
        <v>1070</v>
      </c>
      <c r="M437" s="14" t="s">
        <v>9158</v>
      </c>
      <c r="N437" s="14" t="s">
        <v>9158</v>
      </c>
      <c r="O437" s="14" t="s">
        <v>9158</v>
      </c>
      <c r="P437" s="14" t="s">
        <v>11734</v>
      </c>
      <c r="Q437" s="14" t="s">
        <v>9158</v>
      </c>
      <c r="S437" s="14" t="s">
        <v>12930</v>
      </c>
    </row>
    <row r="438" spans="1:19">
      <c r="B438" s="14"/>
      <c r="C438" s="14"/>
      <c r="D438" s="14"/>
      <c r="F438" s="14"/>
      <c r="G438" s="14"/>
      <c r="H438" s="14"/>
      <c r="I438" s="14"/>
      <c r="J438" s="14"/>
      <c r="K438" s="14"/>
      <c r="L438" s="14"/>
      <c r="M438" s="14"/>
      <c r="N438" s="14"/>
      <c r="P438" s="14"/>
      <c r="Q438" s="14"/>
      <c r="R438" s="14"/>
    </row>
    <row r="439" spans="1:19">
      <c r="A439" s="14" t="s">
        <v>1972</v>
      </c>
      <c r="D439" s="14"/>
      <c r="F439" s="14"/>
      <c r="G439" s="14"/>
      <c r="H439" s="14"/>
      <c r="I439" s="14"/>
      <c r="J439" s="14"/>
      <c r="K439" s="14"/>
      <c r="L439" s="14"/>
      <c r="M439" s="14"/>
      <c r="N439" s="14"/>
      <c r="P439" s="14"/>
      <c r="Q439" s="14"/>
      <c r="R439" s="14"/>
    </row>
    <row r="440" spans="1:19">
      <c r="A440" s="14" t="s">
        <v>1973</v>
      </c>
      <c r="B440" s="14"/>
      <c r="C440" s="14"/>
      <c r="D440" s="14"/>
      <c r="F440" s="14"/>
      <c r="G440" s="14"/>
      <c r="H440" s="14"/>
      <c r="I440" s="14"/>
      <c r="J440" s="14"/>
      <c r="K440" s="14"/>
      <c r="L440" s="14"/>
      <c r="M440" s="14"/>
      <c r="N440" s="14"/>
      <c r="P440" s="14"/>
      <c r="Q440" s="14"/>
      <c r="R440" s="14"/>
    </row>
    <row r="441" spans="1:19">
      <c r="A441" s="9" t="s">
        <v>5617</v>
      </c>
      <c r="B441" s="14" t="s">
        <v>52</v>
      </c>
      <c r="C441" s="14" t="s">
        <v>165</v>
      </c>
      <c r="D441" s="14" t="s">
        <v>982</v>
      </c>
      <c r="E441" s="15" t="str">
        <f>HYPERLINK("https://stat100.ameba.jp/tnk47/ratio20/illustrations/card/ill_59673_0_oheyashutendoji03.jpg?201811-6-RELEASE-conquest-e-381", "■")</f>
        <v>■</v>
      </c>
      <c r="F441" s="14" t="s">
        <v>983</v>
      </c>
      <c r="G441" s="14">
        <v>105545</v>
      </c>
      <c r="H441" s="14">
        <v>113525</v>
      </c>
      <c r="I441" s="14">
        <v>15</v>
      </c>
      <c r="J441" s="14" t="s">
        <v>73</v>
      </c>
      <c r="K441" s="14" t="s">
        <v>984</v>
      </c>
      <c r="L441" s="14" t="s">
        <v>985</v>
      </c>
      <c r="M441" s="14" t="s">
        <v>9158</v>
      </c>
      <c r="N441" s="14" t="s">
        <v>9158</v>
      </c>
      <c r="O441" s="17" t="s">
        <v>10058</v>
      </c>
      <c r="P441" s="14" t="s">
        <v>3022</v>
      </c>
      <c r="Q441" s="14">
        <v>1</v>
      </c>
      <c r="R441" s="14"/>
    </row>
    <row r="442" spans="1:19">
      <c r="A442" s="9" t="s">
        <v>5609</v>
      </c>
      <c r="B442" s="14" t="s">
        <v>52</v>
      </c>
      <c r="C442" s="14" t="s">
        <v>200</v>
      </c>
      <c r="D442" s="14" t="s">
        <v>56</v>
      </c>
      <c r="E442" s="15" t="str">
        <f>HYPERLINK("https://stat100.ameba.jp/tnk47/ratio20/illustrations/card/ill_53753_0_natsumatsuritokugawaieyasu03.jpg?201811-6-RELEASE-conquest-e-381", "■")</f>
        <v>■</v>
      </c>
      <c r="F442" s="14" t="s">
        <v>902</v>
      </c>
      <c r="G442" s="14">
        <v>94236</v>
      </c>
      <c r="H442" s="14">
        <v>83712</v>
      </c>
      <c r="I442" s="14">
        <v>15</v>
      </c>
      <c r="J442" s="14" t="s">
        <v>143</v>
      </c>
      <c r="K442" s="14" t="s">
        <v>903</v>
      </c>
      <c r="L442" s="14" t="s">
        <v>904</v>
      </c>
      <c r="M442" s="14" t="s">
        <v>9158</v>
      </c>
      <c r="N442" s="14" t="s">
        <v>9158</v>
      </c>
      <c r="O442" s="17" t="s">
        <v>10052</v>
      </c>
      <c r="P442" s="14" t="s">
        <v>13121</v>
      </c>
      <c r="Q442" s="14">
        <v>1</v>
      </c>
      <c r="R442" s="14"/>
    </row>
    <row r="443" spans="1:19">
      <c r="A443" s="9" t="s">
        <v>9473</v>
      </c>
      <c r="B443" s="14" t="s">
        <v>52</v>
      </c>
      <c r="C443" s="14" t="s">
        <v>191</v>
      </c>
      <c r="D443" s="14" t="s">
        <v>1072</v>
      </c>
      <c r="E443" s="15" t="str">
        <f>HYPERLINK("https://stat100.ameba.jp/tnk47/ratio20/illustrations/card/ill_46283_0_odanobunaga03.jpg?201811-6-RELEASE-conquest-e-381", "■")</f>
        <v>■</v>
      </c>
      <c r="F443" s="14" t="s">
        <v>1073</v>
      </c>
      <c r="G443" s="14">
        <v>82212</v>
      </c>
      <c r="H443" s="14">
        <v>87780</v>
      </c>
      <c r="I443" s="14">
        <v>15</v>
      </c>
      <c r="J443" s="14" t="s">
        <v>143</v>
      </c>
      <c r="K443" s="14" t="s">
        <v>1074</v>
      </c>
      <c r="L443" s="14" t="s">
        <v>1075</v>
      </c>
      <c r="M443" s="14" t="s">
        <v>9158</v>
      </c>
      <c r="N443" s="14" t="s">
        <v>9158</v>
      </c>
      <c r="O443" s="14" t="s">
        <v>9158</v>
      </c>
      <c r="P443" s="14" t="s">
        <v>9158</v>
      </c>
      <c r="Q443" s="14" t="s">
        <v>9158</v>
      </c>
      <c r="R443" s="14"/>
    </row>
    <row r="444" spans="1:19">
      <c r="A444" s="9">
        <v>73573</v>
      </c>
      <c r="B444" s="14" t="s">
        <v>0</v>
      </c>
      <c r="C444" s="14" t="s">
        <v>200</v>
      </c>
      <c r="D444" s="14" t="s">
        <v>1974</v>
      </c>
      <c r="E444" s="15" t="str">
        <f>HYPERLINK("https://stat100.ameba.jp/tnk47/ratio20/illustrations/card/ill_73573_enjojikeito03.jpg?201811-6-RELEASE-conquest-e-381", "■")</f>
        <v>■</v>
      </c>
      <c r="F444" s="14" t="s">
        <v>1975</v>
      </c>
      <c r="G444" s="14">
        <v>76152</v>
      </c>
      <c r="H444" s="14">
        <v>81888</v>
      </c>
      <c r="I444" s="14">
        <v>22</v>
      </c>
      <c r="J444" s="14" t="s">
        <v>10</v>
      </c>
      <c r="K444" s="14" t="s">
        <v>1976</v>
      </c>
      <c r="L444" s="14" t="s">
        <v>1977</v>
      </c>
      <c r="M444" s="14" t="s">
        <v>9158</v>
      </c>
      <c r="N444" s="14" t="s">
        <v>9158</v>
      </c>
      <c r="O444" s="17" t="s">
        <v>10065</v>
      </c>
      <c r="P444" s="14" t="s">
        <v>2984</v>
      </c>
      <c r="Q444" s="14">
        <v>1</v>
      </c>
      <c r="R444" s="14"/>
    </row>
    <row r="445" spans="1:19">
      <c r="A445" s="9">
        <v>76843</v>
      </c>
      <c r="B445" s="14" t="s">
        <v>0</v>
      </c>
      <c r="C445" s="14" t="s">
        <v>191</v>
      </c>
      <c r="D445" s="14" t="s">
        <v>1076</v>
      </c>
      <c r="E445" s="15" t="str">
        <f>HYPERLINK("https://stat100.ameba.jp/tnk47/ratio20/illustrations/card/ill_76843_yunokarairu03.jpg?201811-6-RELEASE-conquest-e-381", "■")</f>
        <v>■</v>
      </c>
      <c r="F445" s="14" t="s">
        <v>1077</v>
      </c>
      <c r="G445" s="14">
        <v>101144</v>
      </c>
      <c r="H445" s="14">
        <v>108778</v>
      </c>
      <c r="I445" s="14">
        <v>22</v>
      </c>
      <c r="J445" s="14" t="s">
        <v>104</v>
      </c>
      <c r="K445" s="14" t="s">
        <v>1078</v>
      </c>
      <c r="L445" s="14" t="s">
        <v>1079</v>
      </c>
      <c r="M445" s="14" t="s">
        <v>9158</v>
      </c>
      <c r="N445" s="14" t="s">
        <v>9158</v>
      </c>
      <c r="O445" s="9" t="s">
        <v>2752</v>
      </c>
      <c r="P445" s="14" t="s">
        <v>13123</v>
      </c>
      <c r="Q445" s="14">
        <v>1</v>
      </c>
      <c r="R445" s="14"/>
    </row>
    <row r="446" spans="1:19">
      <c r="A446" s="9">
        <v>74393</v>
      </c>
      <c r="B446" s="14" t="s">
        <v>0</v>
      </c>
      <c r="C446" s="14" t="s">
        <v>165</v>
      </c>
      <c r="D446" s="14" t="s">
        <v>1978</v>
      </c>
      <c r="E446" s="15" t="str">
        <f>HYPERLINK("https://stat100.ameba.jp/tnk47/ratio20/illustrations/card/ill_74393_toniuen03.jpg?201811-6-RELEASE-conquest-e-381", "■")</f>
        <v>■</v>
      </c>
      <c r="F446" s="14" t="s">
        <v>1979</v>
      </c>
      <c r="G446" s="14">
        <v>90918</v>
      </c>
      <c r="H446" s="14">
        <v>97778</v>
      </c>
      <c r="I446" s="14">
        <v>22</v>
      </c>
      <c r="J446" s="14" t="s">
        <v>38</v>
      </c>
      <c r="K446" s="14" t="s">
        <v>1980</v>
      </c>
      <c r="L446" s="14" t="s">
        <v>1981</v>
      </c>
      <c r="M446" s="14" t="s">
        <v>9158</v>
      </c>
      <c r="N446" s="14" t="s">
        <v>9158</v>
      </c>
      <c r="O446" s="14" t="s">
        <v>9158</v>
      </c>
      <c r="P446" s="14" t="s">
        <v>9158</v>
      </c>
      <c r="Q446" s="14" t="s">
        <v>9158</v>
      </c>
      <c r="R446" s="14"/>
    </row>
    <row r="447" spans="1:19">
      <c r="A447" s="9">
        <v>54563</v>
      </c>
      <c r="B447" s="14" t="s">
        <v>15</v>
      </c>
      <c r="C447" s="14" t="s">
        <v>165</v>
      </c>
      <c r="D447" s="14" t="s">
        <v>1087</v>
      </c>
      <c r="E447" s="15" t="str">
        <f>HYPERLINK("https://stat100.ameba.jp/tnk47/ratio20/illustrations/card/ill_54563_ryokankiyohime03.jpg?201811-6-RELEASE-conquest-e-381", "■")</f>
        <v>■</v>
      </c>
      <c r="F447" s="14" t="s">
        <v>1088</v>
      </c>
      <c r="G447" s="14">
        <v>68334</v>
      </c>
      <c r="H447" s="14">
        <v>50366</v>
      </c>
      <c r="I447" s="14">
        <v>21</v>
      </c>
      <c r="J447" s="14" t="s">
        <v>73</v>
      </c>
      <c r="K447" s="14" t="s">
        <v>1089</v>
      </c>
      <c r="L447" s="14" t="s">
        <v>1090</v>
      </c>
      <c r="M447" s="14" t="s">
        <v>9158</v>
      </c>
      <c r="N447" s="14" t="s">
        <v>9158</v>
      </c>
      <c r="O447" s="14" t="s">
        <v>9158</v>
      </c>
      <c r="P447" s="14" t="s">
        <v>9158</v>
      </c>
      <c r="Q447" s="14" t="s">
        <v>9158</v>
      </c>
      <c r="R447" s="14"/>
    </row>
    <row r="448" spans="1:19">
      <c r="A448" s="9">
        <v>59063</v>
      </c>
      <c r="B448" s="14" t="s">
        <v>15</v>
      </c>
      <c r="C448" s="14" t="s">
        <v>206</v>
      </c>
      <c r="D448" s="14" t="s">
        <v>1091</v>
      </c>
      <c r="E448" s="15" t="str">
        <f>HYPERLINK("https://stat100.ameba.jp/tnk47/ratio20/illustrations/card/ill_59063_umeoiransugitahisajo03.jpg?201811-6-RELEASE-conquest-e-381", "■")</f>
        <v>■</v>
      </c>
      <c r="F448" s="14" t="s">
        <v>1092</v>
      </c>
      <c r="G448" s="14">
        <v>62244</v>
      </c>
      <c r="H448" s="14">
        <v>56456</v>
      </c>
      <c r="I448" s="14">
        <v>21</v>
      </c>
      <c r="J448" s="14" t="s">
        <v>16</v>
      </c>
      <c r="K448" s="14" t="s">
        <v>1093</v>
      </c>
      <c r="L448" s="14" t="s">
        <v>1094</v>
      </c>
      <c r="M448" s="14" t="s">
        <v>9158</v>
      </c>
      <c r="N448" s="14" t="s">
        <v>9158</v>
      </c>
      <c r="O448" s="14" t="s">
        <v>9158</v>
      </c>
      <c r="P448" s="14" t="s">
        <v>9158</v>
      </c>
      <c r="Q448" s="14" t="s">
        <v>9158</v>
      </c>
      <c r="R448" s="14"/>
    </row>
    <row r="449" spans="1:18">
      <c r="A449" s="9">
        <v>53663</v>
      </c>
      <c r="B449" s="14" t="s">
        <v>15</v>
      </c>
      <c r="C449" s="14" t="s">
        <v>185</v>
      </c>
      <c r="D449" s="14" t="s">
        <v>1095</v>
      </c>
      <c r="E449" s="15" t="str">
        <f>HYPERLINK("https://stat100.ameba.jp/tnk47/ratio20/illustrations/card/ill_53663_kanibaruotsukisamaniittausagi03.jpg?201811-6-RELEASE-conquest-e-381", "■")</f>
        <v>■</v>
      </c>
      <c r="F449" s="14" t="s">
        <v>1096</v>
      </c>
      <c r="G449" s="14">
        <v>56456</v>
      </c>
      <c r="H449" s="14">
        <v>62244</v>
      </c>
      <c r="I449" s="14">
        <v>21</v>
      </c>
      <c r="J449" s="14" t="s">
        <v>38</v>
      </c>
      <c r="K449" s="14" t="s">
        <v>1097</v>
      </c>
      <c r="L449" s="14" t="s">
        <v>1098</v>
      </c>
      <c r="M449" s="14" t="s">
        <v>9158</v>
      </c>
      <c r="N449" s="14" t="s">
        <v>9158</v>
      </c>
      <c r="O449" s="14" t="s">
        <v>9158</v>
      </c>
      <c r="P449" s="14" t="s">
        <v>9158</v>
      </c>
      <c r="Q449" s="14" t="s">
        <v>9158</v>
      </c>
      <c r="R449" s="14"/>
    </row>
    <row r="450" spans="1:18">
      <c r="B450" s="14"/>
      <c r="C450" s="14"/>
      <c r="D450" s="14"/>
      <c r="F450" s="14"/>
      <c r="G450" s="14"/>
      <c r="H450" s="14"/>
      <c r="I450" s="14"/>
      <c r="J450" s="14"/>
      <c r="K450" s="14"/>
      <c r="L450" s="14"/>
      <c r="M450" s="14"/>
      <c r="N450" s="14"/>
      <c r="P450" s="14"/>
      <c r="Q450" s="14"/>
      <c r="R450" s="14"/>
    </row>
    <row r="451" spans="1:18">
      <c r="A451" s="14" t="s">
        <v>2031</v>
      </c>
      <c r="C451" s="14"/>
      <c r="D451" s="14"/>
      <c r="F451" s="14"/>
      <c r="G451" s="14"/>
      <c r="H451" s="14"/>
      <c r="I451" s="14"/>
      <c r="J451" s="14"/>
      <c r="K451" s="14"/>
      <c r="L451" s="14"/>
      <c r="M451" s="14"/>
      <c r="N451" s="14"/>
      <c r="P451" s="14"/>
      <c r="Q451" s="14"/>
      <c r="R451" s="14"/>
    </row>
    <row r="452" spans="1:18">
      <c r="A452" s="9" t="s">
        <v>1998</v>
      </c>
      <c r="B452" s="14"/>
      <c r="C452" s="14"/>
      <c r="D452" s="14"/>
      <c r="F452" s="14"/>
      <c r="G452" s="14"/>
      <c r="H452" s="14"/>
      <c r="I452" s="14"/>
      <c r="J452" s="14"/>
      <c r="K452" s="14"/>
      <c r="L452" s="14"/>
      <c r="M452" s="14"/>
      <c r="N452" s="14"/>
      <c r="P452" s="14"/>
      <c r="Q452" s="14"/>
      <c r="R452" s="14"/>
    </row>
    <row r="453" spans="1:18">
      <c r="A453" s="9" t="s">
        <v>10160</v>
      </c>
      <c r="B453" s="14"/>
      <c r="C453" s="14"/>
      <c r="D453" s="14"/>
      <c r="F453" s="14"/>
      <c r="G453" s="14"/>
      <c r="H453" s="14"/>
      <c r="I453" s="14"/>
      <c r="J453" s="14"/>
      <c r="K453" s="14"/>
      <c r="L453" s="14"/>
      <c r="M453" s="14"/>
      <c r="N453" s="14"/>
      <c r="P453" s="14"/>
      <c r="Q453" s="14"/>
      <c r="R453" s="14"/>
    </row>
    <row r="454" spans="1:18">
      <c r="A454" s="9" t="s">
        <v>5891</v>
      </c>
      <c r="B454" s="14" t="s">
        <v>52</v>
      </c>
      <c r="C454" s="14" t="s">
        <v>202</v>
      </c>
      <c r="D454" s="14" t="s">
        <v>1999</v>
      </c>
      <c r="E454" s="15" t="str">
        <f>HYPERLINK("https://stat100.ameba.jp/tnk47/ratio20/illustrations/card/ill_77173_0_yukemuritomoegozen03.jpg?201811-6-RELEASE-conquest-e-381", "■")</f>
        <v>■</v>
      </c>
      <c r="F454" s="14" t="s">
        <v>2000</v>
      </c>
      <c r="G454" s="14">
        <v>150366</v>
      </c>
      <c r="H454" s="14">
        <v>166369</v>
      </c>
      <c r="I454" s="14">
        <v>15</v>
      </c>
      <c r="J454" s="14" t="s">
        <v>143</v>
      </c>
      <c r="K454" s="14" t="s">
        <v>2002</v>
      </c>
      <c r="L454" s="14" t="s">
        <v>2003</v>
      </c>
      <c r="M454" s="14" t="s">
        <v>9158</v>
      </c>
      <c r="N454" s="14" t="s">
        <v>9158</v>
      </c>
      <c r="O454" s="9" t="s">
        <v>3878</v>
      </c>
      <c r="P454" s="14" t="s">
        <v>3879</v>
      </c>
      <c r="Q454" s="14">
        <v>2</v>
      </c>
      <c r="R454" s="14"/>
    </row>
    <row r="455" spans="1:18">
      <c r="A455" s="9">
        <v>77533</v>
      </c>
      <c r="B455" s="14" t="s">
        <v>0</v>
      </c>
      <c r="C455" s="14" t="s">
        <v>191</v>
      </c>
      <c r="D455" s="14" t="s">
        <v>2004</v>
      </c>
      <c r="E455" s="15" t="str">
        <f>HYPERLINK("https://stat100.ameba.jp/tnk47/ratio20/illustrations/card/ill_77533_miyakonotawasuzuhikohime03.jpg?201811-6-RELEASE-conquest-e-381", "■")</f>
        <v>■</v>
      </c>
      <c r="F455" s="14" t="s">
        <v>2005</v>
      </c>
      <c r="G455" s="14">
        <v>81371</v>
      </c>
      <c r="H455" s="14">
        <v>87496</v>
      </c>
      <c r="I455" s="14">
        <v>21</v>
      </c>
      <c r="J455" s="14" t="s">
        <v>73</v>
      </c>
      <c r="K455" s="14" t="s">
        <v>2006</v>
      </c>
      <c r="L455" s="14" t="s">
        <v>2007</v>
      </c>
      <c r="M455" s="14" t="s">
        <v>9158</v>
      </c>
      <c r="N455" s="14" t="s">
        <v>9158</v>
      </c>
      <c r="O455" s="14" t="s">
        <v>9158</v>
      </c>
      <c r="P455" s="14" t="s">
        <v>9158</v>
      </c>
      <c r="Q455" s="14" t="s">
        <v>9158</v>
      </c>
      <c r="R455" s="14"/>
    </row>
    <row r="456" spans="1:18">
      <c r="A456" s="9">
        <v>77543</v>
      </c>
      <c r="B456" s="14" t="s">
        <v>15</v>
      </c>
      <c r="C456" s="14" t="s">
        <v>165</v>
      </c>
      <c r="D456" s="14" t="s">
        <v>2008</v>
      </c>
      <c r="E456" s="15" t="str">
        <f>HYPERLINK("https://stat100.ameba.jp/tnk47/ratio20/illustrations/card/ill_77543_tsutenkaku03.jpg?201811-6-RELEASE-conquest-e-381", "■")</f>
        <v>■</v>
      </c>
      <c r="F456" s="14" t="s">
        <v>2009</v>
      </c>
      <c r="G456" s="14">
        <v>62244</v>
      </c>
      <c r="H456" s="14">
        <v>56456</v>
      </c>
      <c r="I456" s="14">
        <v>21</v>
      </c>
      <c r="J456" s="14" t="s">
        <v>26</v>
      </c>
      <c r="K456" s="14" t="s">
        <v>2010</v>
      </c>
      <c r="L456" s="14" t="s">
        <v>2011</v>
      </c>
      <c r="M456" s="14" t="s">
        <v>9158</v>
      </c>
      <c r="N456" s="14" t="s">
        <v>9158</v>
      </c>
      <c r="O456" s="14" t="s">
        <v>9158</v>
      </c>
      <c r="P456" s="14" t="s">
        <v>9158</v>
      </c>
      <c r="Q456" s="14" t="s">
        <v>9158</v>
      </c>
      <c r="R456" s="14"/>
    </row>
    <row r="457" spans="1:18">
      <c r="A457" s="9">
        <v>77553</v>
      </c>
      <c r="B457" s="14" t="s">
        <v>22</v>
      </c>
      <c r="C457" s="14" t="s">
        <v>205</v>
      </c>
      <c r="D457" s="14" t="s">
        <v>2012</v>
      </c>
      <c r="E457" s="15" t="str">
        <f>HYPERLINK("https://stat100.ameba.jp/tnk47/ratio20/illustrations/card/ill_77553_kotohikiiwa03.jpg?201811-6-RELEASE-conquest-e-381", "■")</f>
        <v>■</v>
      </c>
      <c r="F457" s="14" t="s">
        <v>2013</v>
      </c>
      <c r="G457" s="14">
        <v>36304</v>
      </c>
      <c r="H457" s="14">
        <v>43662</v>
      </c>
      <c r="I457" s="14">
        <v>21</v>
      </c>
      <c r="J457" s="14" t="s">
        <v>38</v>
      </c>
      <c r="K457" s="14" t="s">
        <v>2014</v>
      </c>
      <c r="L457" s="14" t="s">
        <v>2015</v>
      </c>
      <c r="M457" s="14" t="s">
        <v>9158</v>
      </c>
      <c r="N457" s="14" t="s">
        <v>9158</v>
      </c>
      <c r="O457" s="14" t="s">
        <v>9158</v>
      </c>
      <c r="P457" s="14" t="s">
        <v>9158</v>
      </c>
      <c r="Q457" s="14" t="s">
        <v>9158</v>
      </c>
      <c r="R457" s="14"/>
    </row>
    <row r="458" spans="1:18">
      <c r="A458" s="9">
        <v>77563</v>
      </c>
      <c r="B458" s="14" t="s">
        <v>30</v>
      </c>
      <c r="C458" s="14" t="s">
        <v>2001</v>
      </c>
      <c r="D458" s="14" t="s">
        <v>2016</v>
      </c>
      <c r="E458" s="15" t="str">
        <f>HYPERLINK("https://stat100.ameba.jp/tnk47/ratio20/illustrations/card/ill_77563_sendaidagashichan03.jpg?201811-6-RELEASE-conquest-e-381", "■")</f>
        <v>■</v>
      </c>
      <c r="F458" s="14" t="s">
        <v>2017</v>
      </c>
      <c r="G458" s="14">
        <v>26434</v>
      </c>
      <c r="H458" s="14">
        <v>22200</v>
      </c>
      <c r="I458" s="14">
        <v>21</v>
      </c>
      <c r="J458" s="14" t="s">
        <v>104</v>
      </c>
      <c r="K458" s="14" t="s">
        <v>2018</v>
      </c>
      <c r="L458" s="14" t="s">
        <v>2019</v>
      </c>
      <c r="M458" s="14" t="s">
        <v>9158</v>
      </c>
      <c r="N458" s="14" t="s">
        <v>9158</v>
      </c>
      <c r="O458" s="14" t="s">
        <v>9158</v>
      </c>
      <c r="P458" s="14" t="s">
        <v>9158</v>
      </c>
      <c r="Q458" s="14" t="s">
        <v>9158</v>
      </c>
      <c r="R458" s="14"/>
    </row>
    <row r="459" spans="1:18">
      <c r="B459" s="14"/>
      <c r="C459" s="14"/>
      <c r="D459" s="14"/>
      <c r="F459" s="14"/>
      <c r="G459" s="14"/>
      <c r="H459" s="14"/>
      <c r="I459" s="14"/>
      <c r="J459" s="14"/>
      <c r="K459" s="14"/>
      <c r="L459" s="14"/>
      <c r="M459" s="14"/>
      <c r="N459" s="14"/>
      <c r="P459" s="14"/>
      <c r="Q459" s="14"/>
      <c r="R459" s="14"/>
    </row>
    <row r="460" spans="1:18">
      <c r="A460" s="14" t="s">
        <v>195</v>
      </c>
      <c r="D460" s="14"/>
      <c r="F460" s="14"/>
      <c r="G460" s="14"/>
      <c r="H460" s="14"/>
      <c r="I460" s="14"/>
      <c r="J460" s="14"/>
      <c r="K460" s="14"/>
      <c r="L460" s="14"/>
      <c r="M460" s="14"/>
      <c r="N460" s="14"/>
      <c r="P460" s="14"/>
      <c r="Q460" s="14"/>
      <c r="R460" s="14"/>
    </row>
    <row r="461" spans="1:18">
      <c r="A461" s="14" t="s">
        <v>1982</v>
      </c>
      <c r="C461" s="14"/>
      <c r="D461" s="14"/>
      <c r="F461" s="14"/>
      <c r="G461" s="14"/>
      <c r="H461" s="14"/>
      <c r="I461" s="14"/>
      <c r="J461" s="14"/>
      <c r="K461" s="14"/>
      <c r="L461" s="14"/>
      <c r="M461" s="14"/>
      <c r="N461" s="14"/>
      <c r="P461" s="14"/>
      <c r="Q461" s="14"/>
      <c r="R461" s="14"/>
    </row>
    <row r="462" spans="1:18">
      <c r="A462" s="9">
        <v>50663</v>
      </c>
      <c r="B462" s="14" t="s">
        <v>0</v>
      </c>
      <c r="C462" s="14" t="s">
        <v>154</v>
      </c>
      <c r="D462" s="14" t="s">
        <v>1983</v>
      </c>
      <c r="E462" s="15" t="str">
        <f>HYPERLINK("https://stat100.ameba.jp/tnk47/ratio20/illustrations/card/ill_50663_hokkaidoikurachan03.jpg?201811-6-RELEASE-conquest-e-381", "■")</f>
        <v>■</v>
      </c>
      <c r="F462" s="14" t="s">
        <v>1984</v>
      </c>
      <c r="G462" s="14">
        <v>84214</v>
      </c>
      <c r="H462" s="14">
        <v>90574</v>
      </c>
      <c r="I462" s="14">
        <v>21</v>
      </c>
      <c r="J462" s="14" t="s">
        <v>104</v>
      </c>
      <c r="K462" s="14" t="s">
        <v>1985</v>
      </c>
      <c r="L462" s="14" t="s">
        <v>1986</v>
      </c>
      <c r="M462" s="14" t="s">
        <v>9158</v>
      </c>
      <c r="N462" s="14" t="s">
        <v>9158</v>
      </c>
      <c r="O462" s="14" t="s">
        <v>9158</v>
      </c>
      <c r="P462" s="14" t="s">
        <v>9158</v>
      </c>
      <c r="Q462" s="14" t="s">
        <v>9158</v>
      </c>
      <c r="R462" s="14"/>
    </row>
    <row r="463" spans="1:18">
      <c r="A463" s="9">
        <v>64433</v>
      </c>
      <c r="B463" s="14" t="s">
        <v>0</v>
      </c>
      <c r="C463" s="14" t="s">
        <v>158</v>
      </c>
      <c r="D463" s="14" t="s">
        <v>1987</v>
      </c>
      <c r="E463" s="15" t="str">
        <f>HYPERLINK("https://stat100.ameba.jp/tnk47/ratio20/illustrations/card/ill_64433_ippondatara03.jpg?201811-6-RELEASE-conquest-e-381", "■")</f>
        <v>■</v>
      </c>
      <c r="F463" s="14" t="s">
        <v>1988</v>
      </c>
      <c r="G463" s="14">
        <v>84214</v>
      </c>
      <c r="H463" s="14">
        <v>90574</v>
      </c>
      <c r="I463" s="14">
        <v>21</v>
      </c>
      <c r="J463" s="14" t="s">
        <v>73</v>
      </c>
      <c r="K463" s="14" t="s">
        <v>1989</v>
      </c>
      <c r="L463" s="14" t="s">
        <v>1990</v>
      </c>
      <c r="M463" s="14" t="s">
        <v>9158</v>
      </c>
      <c r="N463" s="14" t="s">
        <v>9158</v>
      </c>
      <c r="O463" s="14" t="s">
        <v>9158</v>
      </c>
      <c r="P463" s="14" t="s">
        <v>9158</v>
      </c>
      <c r="Q463" s="14" t="s">
        <v>9158</v>
      </c>
      <c r="R463" s="14"/>
    </row>
    <row r="464" spans="1:18">
      <c r="A464" s="9">
        <v>64193</v>
      </c>
      <c r="B464" s="14" t="s">
        <v>0</v>
      </c>
      <c r="C464" s="14" t="s">
        <v>205</v>
      </c>
      <c r="D464" s="14" t="s">
        <v>1991</v>
      </c>
      <c r="E464" s="15" t="str">
        <f>HYPERLINK("https://stat100.ameba.jp/tnk47/ratio20/illustrations/card/ill_64193_meikokoizumiyakumo03.jpg?201811-6-RELEASE-conquest-e-381", "■")</f>
        <v>■</v>
      </c>
      <c r="F464" s="14" t="s">
        <v>1992</v>
      </c>
      <c r="G464" s="14">
        <v>85153</v>
      </c>
      <c r="H464" s="14">
        <v>79207</v>
      </c>
      <c r="I464" s="14">
        <v>21</v>
      </c>
      <c r="J464" s="14" t="s">
        <v>16</v>
      </c>
      <c r="K464" s="14" t="s">
        <v>1993</v>
      </c>
      <c r="L464" s="14" t="s">
        <v>920</v>
      </c>
      <c r="M464" s="14" t="s">
        <v>9158</v>
      </c>
      <c r="N464" s="14" t="s">
        <v>9158</v>
      </c>
      <c r="O464" s="14" t="s">
        <v>9158</v>
      </c>
      <c r="P464" s="14" t="s">
        <v>9158</v>
      </c>
      <c r="Q464" s="14" t="s">
        <v>9158</v>
      </c>
      <c r="R464" s="14"/>
    </row>
    <row r="465" spans="1:18">
      <c r="A465" s="9">
        <v>70523</v>
      </c>
      <c r="B465" s="14" t="s">
        <v>0</v>
      </c>
      <c r="C465" s="14" t="s">
        <v>191</v>
      </c>
      <c r="D465" s="14" t="s">
        <v>1994</v>
      </c>
      <c r="E465" s="15" t="str">
        <f>HYPERLINK("https://stat100.ameba.jp/tnk47/ratio20/illustrations/card/ill_70523_shitsunaipurumochizukichiyome03.jpg?201811-6-RELEASE-conquest-e-381", "■")</f>
        <v>■</v>
      </c>
      <c r="F465" s="14" t="s">
        <v>1995</v>
      </c>
      <c r="G465" s="14">
        <v>79207</v>
      </c>
      <c r="H465" s="14">
        <v>85153</v>
      </c>
      <c r="I465" s="14">
        <v>21</v>
      </c>
      <c r="J465" s="14" t="s">
        <v>16</v>
      </c>
      <c r="K465" s="14" t="s">
        <v>1996</v>
      </c>
      <c r="L465" s="14" t="s">
        <v>1997</v>
      </c>
      <c r="M465" s="14" t="s">
        <v>9158</v>
      </c>
      <c r="N465" s="14" t="s">
        <v>9158</v>
      </c>
      <c r="O465" s="14" t="s">
        <v>9158</v>
      </c>
      <c r="P465" s="14" t="s">
        <v>9158</v>
      </c>
      <c r="Q465" s="14" t="s">
        <v>9158</v>
      </c>
      <c r="R465" s="14"/>
    </row>
    <row r="466" spans="1:18">
      <c r="B466" s="14"/>
      <c r="C466" s="14"/>
      <c r="D466" s="14"/>
      <c r="F466" s="14"/>
      <c r="G466" s="14"/>
      <c r="H466" s="14"/>
      <c r="I466" s="14"/>
      <c r="J466" s="14"/>
      <c r="K466" s="14"/>
      <c r="L466" s="14"/>
      <c r="M466" s="14"/>
      <c r="N466" s="14"/>
      <c r="P466" s="14"/>
      <c r="Q466" s="14"/>
      <c r="R466" s="14"/>
    </row>
    <row r="467" spans="1:18">
      <c r="A467" s="14" t="s">
        <v>135</v>
      </c>
      <c r="D467" s="14"/>
      <c r="F467" s="14"/>
      <c r="G467" s="14"/>
      <c r="H467" s="14"/>
      <c r="I467" s="14"/>
      <c r="J467" s="14"/>
      <c r="K467" s="14"/>
      <c r="L467" s="14"/>
      <c r="M467" s="14"/>
      <c r="N467" s="14"/>
      <c r="P467" s="14"/>
      <c r="Q467" s="14"/>
      <c r="R467" s="14"/>
    </row>
    <row r="468" spans="1:18">
      <c r="A468" s="14" t="s">
        <v>2020</v>
      </c>
      <c r="B468" s="14"/>
      <c r="C468" s="14"/>
      <c r="D468" s="14"/>
      <c r="F468" s="14"/>
      <c r="G468" s="14"/>
      <c r="H468" s="14"/>
      <c r="I468" s="14"/>
      <c r="J468" s="14"/>
      <c r="K468" s="14"/>
      <c r="L468" s="14"/>
      <c r="M468" s="14"/>
      <c r="N468" s="14"/>
      <c r="P468" s="14"/>
      <c r="Q468" s="14"/>
      <c r="R468" s="14"/>
    </row>
    <row r="469" spans="1:18">
      <c r="A469" s="9" t="s">
        <v>5822</v>
      </c>
      <c r="B469" s="14" t="s">
        <v>52</v>
      </c>
      <c r="C469" s="14" t="s">
        <v>191</v>
      </c>
      <c r="D469" s="14" t="s">
        <v>306</v>
      </c>
      <c r="E469" s="15" t="str">
        <f>HYPERLINK("https://stat100.ameba.jp/tnk47/ratio20/illustrations/card/ill_71403_0_ohanamisanadayukimura03.jpg?201811-6-RELEASE-conquest-e-381", "■")</f>
        <v>■</v>
      </c>
      <c r="F469" s="14" t="s">
        <v>309</v>
      </c>
      <c r="G469" s="14">
        <v>214692</v>
      </c>
      <c r="H469" s="14">
        <v>199630</v>
      </c>
      <c r="I469" s="14">
        <v>23</v>
      </c>
      <c r="J469" s="14" t="s">
        <v>143</v>
      </c>
      <c r="K469" s="14" t="s">
        <v>311</v>
      </c>
      <c r="L469" s="14" t="s">
        <v>312</v>
      </c>
      <c r="M469" s="14" t="s">
        <v>9158</v>
      </c>
      <c r="N469" s="14" t="s">
        <v>9158</v>
      </c>
      <c r="O469" s="17" t="s">
        <v>10060</v>
      </c>
      <c r="P469" s="14" t="s">
        <v>3418</v>
      </c>
      <c r="Q469" s="14">
        <v>2</v>
      </c>
      <c r="R469" s="14"/>
    </row>
    <row r="470" spans="1:18">
      <c r="A470" s="9">
        <v>62043</v>
      </c>
      <c r="B470" s="14" t="s">
        <v>0</v>
      </c>
      <c r="C470" s="14" t="s">
        <v>158</v>
      </c>
      <c r="D470" s="14" t="s">
        <v>2021</v>
      </c>
      <c r="E470" s="15" t="str">
        <f>HYPERLINK("https://stat100.ameba.jp/tnk47/ratio20/illustrations/card/ill_62043_niutsuhimenookami03.jpg?201811-6-RELEASE-conquest-e-381", "■")</f>
        <v>■</v>
      </c>
      <c r="F470" s="14" t="s">
        <v>2022</v>
      </c>
      <c r="G470" s="14">
        <v>69430</v>
      </c>
      <c r="H470" s="14">
        <v>95859</v>
      </c>
      <c r="I470" s="14">
        <v>21</v>
      </c>
      <c r="J470" s="14" t="s">
        <v>169</v>
      </c>
      <c r="K470" s="14" t="s">
        <v>2023</v>
      </c>
      <c r="L470" s="14" t="s">
        <v>13144</v>
      </c>
      <c r="M470" s="14" t="s">
        <v>9158</v>
      </c>
      <c r="N470" s="14" t="s">
        <v>9158</v>
      </c>
      <c r="O470" s="9" t="s">
        <v>3452</v>
      </c>
      <c r="P470" s="14" t="s">
        <v>13145</v>
      </c>
      <c r="Q470" s="14">
        <v>1</v>
      </c>
      <c r="R470" s="14"/>
    </row>
    <row r="471" spans="1:18">
      <c r="A471" s="9">
        <v>56183</v>
      </c>
      <c r="B471" s="14" t="s">
        <v>0</v>
      </c>
      <c r="C471" s="14" t="s">
        <v>191</v>
      </c>
      <c r="D471" s="14" t="s">
        <v>2024</v>
      </c>
      <c r="E471" s="15" t="str">
        <f>HYPERLINK("https://stat100.ameba.jp/tnk47/ratio20/illustrations/card/ill_56183_onsempanikkukoteipenginchan03.jpg?201811-6-RELEASE-conquest-e-381", "■")</f>
        <v>■</v>
      </c>
      <c r="F471" s="14" t="s">
        <v>2025</v>
      </c>
      <c r="G471" s="14">
        <v>80942</v>
      </c>
      <c r="H471" s="14">
        <v>75254</v>
      </c>
      <c r="I471" s="14">
        <v>21</v>
      </c>
      <c r="J471" s="14" t="s">
        <v>229</v>
      </c>
      <c r="K471" s="14" t="s">
        <v>2026</v>
      </c>
      <c r="L471" s="14" t="s">
        <v>13170</v>
      </c>
      <c r="M471" s="14" t="s">
        <v>9158</v>
      </c>
      <c r="N471" s="14" t="s">
        <v>9158</v>
      </c>
      <c r="O471" s="9" t="s">
        <v>3894</v>
      </c>
      <c r="P471" s="14" t="s">
        <v>3895</v>
      </c>
      <c r="Q471" s="14">
        <v>1</v>
      </c>
      <c r="R471" s="14"/>
    </row>
    <row r="472" spans="1:18">
      <c r="A472" s="9">
        <v>58803</v>
      </c>
      <c r="B472" s="14" t="s">
        <v>0</v>
      </c>
      <c r="C472" s="14" t="s">
        <v>205</v>
      </c>
      <c r="D472" s="14" t="s">
        <v>2027</v>
      </c>
      <c r="E472" s="15" t="str">
        <f>HYPERLINK("https://stat100.ameba.jp/tnk47/ratio20/illustrations/card/ill_58803_setsubumpanikkumimuratsuru03.jpg?201811-6-RELEASE-conquest-e-381", "■")</f>
        <v>■</v>
      </c>
      <c r="F472" s="14" t="s">
        <v>2028</v>
      </c>
      <c r="G472" s="14">
        <v>124487</v>
      </c>
      <c r="H472" s="14">
        <v>75254</v>
      </c>
      <c r="I472" s="14">
        <v>21</v>
      </c>
      <c r="J472" s="14" t="s">
        <v>194</v>
      </c>
      <c r="K472" s="14" t="s">
        <v>2029</v>
      </c>
      <c r="L472" s="14" t="s">
        <v>13171</v>
      </c>
      <c r="M472" s="14" t="s">
        <v>9158</v>
      </c>
      <c r="N472" s="14" t="s">
        <v>9158</v>
      </c>
      <c r="O472" s="9" t="s">
        <v>3703</v>
      </c>
      <c r="P472" s="14" t="s">
        <v>3704</v>
      </c>
      <c r="Q472" s="14">
        <v>1</v>
      </c>
      <c r="R472" s="14"/>
    </row>
    <row r="473" spans="1:18">
      <c r="B473" s="14"/>
      <c r="C473" s="14"/>
      <c r="D473" s="14"/>
      <c r="F473" s="14"/>
      <c r="G473" s="14"/>
      <c r="H473" s="14"/>
      <c r="I473" s="14"/>
      <c r="J473" s="14"/>
      <c r="K473" s="14"/>
      <c r="L473" s="14"/>
      <c r="M473" s="14"/>
      <c r="N473" s="14"/>
      <c r="P473" s="14"/>
      <c r="Q473" s="14"/>
      <c r="R473" s="14"/>
    </row>
    <row r="474" spans="1:18">
      <c r="A474" s="14" t="s">
        <v>13326</v>
      </c>
      <c r="D474" s="14"/>
      <c r="F474" s="14"/>
      <c r="G474" s="14"/>
      <c r="H474" s="14"/>
      <c r="I474" s="14"/>
      <c r="J474" s="14"/>
      <c r="K474" s="14"/>
      <c r="L474" s="14"/>
      <c r="M474" s="14"/>
      <c r="N474" s="14"/>
      <c r="P474" s="14"/>
      <c r="Q474" s="14"/>
      <c r="R474" s="14"/>
    </row>
    <row r="475" spans="1:18">
      <c r="A475" s="14" t="s">
        <v>2030</v>
      </c>
      <c r="B475" s="14"/>
      <c r="C475" s="14"/>
      <c r="D475" s="14"/>
      <c r="F475" s="14"/>
      <c r="G475" s="14"/>
      <c r="H475" s="14"/>
      <c r="I475" s="14"/>
      <c r="J475" s="14"/>
      <c r="K475" s="14"/>
      <c r="L475" s="14"/>
      <c r="M475" s="14"/>
      <c r="N475" s="14"/>
      <c r="P475" s="14"/>
      <c r="Q475" s="14"/>
      <c r="R475" s="14"/>
    </row>
    <row r="476" spans="1:18">
      <c r="A476" s="9">
        <v>70073</v>
      </c>
      <c r="B476" s="14" t="s">
        <v>334</v>
      </c>
      <c r="C476" s="14" t="s">
        <v>185</v>
      </c>
      <c r="D476" s="14" t="s">
        <v>859</v>
      </c>
      <c r="E476" s="15" t="str">
        <f>HYPERLINK("https://stat100.ameba.jp/tnk47/ratio20/illustrations/card/ill_70073_muhime03.jpg?201811-6-RELEASE-conquest-e-381", "■")</f>
        <v>■</v>
      </c>
      <c r="F476" s="14" t="s">
        <v>860</v>
      </c>
      <c r="G476" s="14">
        <v>96121</v>
      </c>
      <c r="H476" s="14">
        <v>103384</v>
      </c>
      <c r="I476" s="14">
        <v>21</v>
      </c>
      <c r="J476" s="14" t="s">
        <v>315</v>
      </c>
      <c r="K476" s="14" t="s">
        <v>861</v>
      </c>
      <c r="L476" s="14" t="s">
        <v>862</v>
      </c>
      <c r="M476" s="14" t="s">
        <v>250</v>
      </c>
      <c r="N476" s="14" t="s">
        <v>251</v>
      </c>
      <c r="O476" s="14" t="s">
        <v>9158</v>
      </c>
      <c r="P476" s="14" t="s">
        <v>9158</v>
      </c>
      <c r="Q476" s="14" t="s">
        <v>9158</v>
      </c>
      <c r="R476" s="14"/>
    </row>
    <row r="477" spans="1:18">
      <c r="A477" s="9">
        <v>70072</v>
      </c>
      <c r="B477" s="14" t="s">
        <v>334</v>
      </c>
      <c r="C477" s="14" t="s">
        <v>185</v>
      </c>
      <c r="D477" s="14" t="s">
        <v>859</v>
      </c>
      <c r="E477" s="15" t="str">
        <f>HYPERLINK("https://stat100.ameba.jp/tnk47/ratio20/illustrations/card/ill_70072_muhime02.jpg?201811-6-RELEASE-conquest-e-381", "■")</f>
        <v>■</v>
      </c>
      <c r="F477" s="14" t="s">
        <v>860</v>
      </c>
      <c r="G477" s="14">
        <v>79610</v>
      </c>
      <c r="H477" s="14">
        <v>86423</v>
      </c>
      <c r="I477" s="14">
        <v>21</v>
      </c>
      <c r="J477" s="14" t="s">
        <v>315</v>
      </c>
      <c r="K477" s="14" t="s">
        <v>861</v>
      </c>
      <c r="L477" s="14" t="s">
        <v>862</v>
      </c>
      <c r="M477" s="14" t="s">
        <v>250</v>
      </c>
      <c r="N477" s="14" t="s">
        <v>251</v>
      </c>
      <c r="O477" s="14" t="s">
        <v>9158</v>
      </c>
      <c r="P477" s="14" t="s">
        <v>9158</v>
      </c>
      <c r="Q477" s="14" t="s">
        <v>9158</v>
      </c>
      <c r="R477" s="14"/>
    </row>
    <row r="478" spans="1:18">
      <c r="A478" s="9">
        <v>70071</v>
      </c>
      <c r="B478" s="14" t="s">
        <v>334</v>
      </c>
      <c r="C478" s="14" t="s">
        <v>185</v>
      </c>
      <c r="D478" s="14" t="s">
        <v>859</v>
      </c>
      <c r="E478" s="15" t="str">
        <f>HYPERLINK("https://stat100.ameba.jp/tnk47/ratio20/illustrations/card/ill_70071_muhime01.jpg?201811-6-RELEASE-conquest-e-381", "■")</f>
        <v>■</v>
      </c>
      <c r="F478" s="14" t="s">
        <v>860</v>
      </c>
      <c r="G478" s="14">
        <v>61425</v>
      </c>
      <c r="H478" s="14">
        <v>65982</v>
      </c>
      <c r="I478" s="14">
        <v>21</v>
      </c>
      <c r="J478" s="14" t="s">
        <v>315</v>
      </c>
      <c r="K478" s="14" t="s">
        <v>861</v>
      </c>
      <c r="L478" s="14" t="s">
        <v>862</v>
      </c>
      <c r="M478" s="14" t="s">
        <v>250</v>
      </c>
      <c r="N478" s="14" t="s">
        <v>251</v>
      </c>
      <c r="O478" s="14" t="s">
        <v>9158</v>
      </c>
      <c r="P478" s="14" t="s">
        <v>9158</v>
      </c>
      <c r="Q478" s="14" t="s">
        <v>9158</v>
      </c>
      <c r="R478" s="14"/>
    </row>
    <row r="479" spans="1:18">
      <c r="A479" s="9">
        <v>70083</v>
      </c>
      <c r="B479" s="14" t="s">
        <v>334</v>
      </c>
      <c r="C479" s="14" t="s">
        <v>200</v>
      </c>
      <c r="D479" s="14" t="s">
        <v>252</v>
      </c>
      <c r="E479" s="15" t="str">
        <f>HYPERLINK("https://stat100.ameba.jp/tnk47/ratio20/illustrations/card/ill_70083_kimurakaishu03.jpg?201811-6-RELEASE-conquest-e-381", "■")</f>
        <v>■</v>
      </c>
      <c r="F479" s="14" t="s">
        <v>863</v>
      </c>
      <c r="G479" s="14">
        <v>103384</v>
      </c>
      <c r="H479" s="14">
        <v>96121</v>
      </c>
      <c r="I479" s="14">
        <v>21</v>
      </c>
      <c r="J479" s="14" t="s">
        <v>173</v>
      </c>
      <c r="K479" s="14" t="s">
        <v>257</v>
      </c>
      <c r="L479" s="14" t="s">
        <v>9897</v>
      </c>
      <c r="M479" s="14" t="s">
        <v>250</v>
      </c>
      <c r="N479" s="14" t="s">
        <v>251</v>
      </c>
      <c r="O479" s="14" t="s">
        <v>9158</v>
      </c>
      <c r="P479" s="14" t="s">
        <v>9158</v>
      </c>
      <c r="Q479" s="14" t="s">
        <v>9158</v>
      </c>
      <c r="R479" s="14"/>
    </row>
    <row r="480" spans="1:18">
      <c r="A480" s="9">
        <v>70923</v>
      </c>
      <c r="B480" s="14" t="s">
        <v>334</v>
      </c>
      <c r="C480" s="14" t="s">
        <v>191</v>
      </c>
      <c r="D480" s="14" t="s">
        <v>253</v>
      </c>
      <c r="E480" s="15" t="str">
        <f>HYPERLINK("https://stat100.ameba.jp/tnk47/ratio20/illustrations/card/ill_70923_hidawagyu03.jpg?201811-6-RELEASE-conquest-e-381", "■")</f>
        <v>■</v>
      </c>
      <c r="F480" s="14" t="s">
        <v>864</v>
      </c>
      <c r="G480" s="14">
        <v>103384</v>
      </c>
      <c r="H480" s="14">
        <v>96121</v>
      </c>
      <c r="I480" s="14">
        <v>21</v>
      </c>
      <c r="J480" s="14" t="s">
        <v>216</v>
      </c>
      <c r="K480" s="14" t="s">
        <v>258</v>
      </c>
      <c r="L480" s="14" t="s">
        <v>9898</v>
      </c>
      <c r="M480" s="14" t="s">
        <v>250</v>
      </c>
      <c r="N480" s="14" t="s">
        <v>251</v>
      </c>
      <c r="O480" s="14" t="s">
        <v>9158</v>
      </c>
      <c r="P480" s="14" t="s">
        <v>9158</v>
      </c>
      <c r="Q480" s="14" t="s">
        <v>9158</v>
      </c>
      <c r="R480" s="14"/>
    </row>
    <row r="481" spans="1:18">
      <c r="A481" s="9">
        <v>70093</v>
      </c>
      <c r="B481" s="14" t="s">
        <v>334</v>
      </c>
      <c r="C481" s="14" t="s">
        <v>308</v>
      </c>
      <c r="D481" s="14" t="s">
        <v>254</v>
      </c>
      <c r="E481" s="15" t="str">
        <f>HYPERLINK("https://stat100.ameba.jp/tnk47/ratio20/illustrations/card/ill_70093_sarutahikonookami03.jpg?201811-6-RELEASE-conquest-e-381", "■")</f>
        <v>■</v>
      </c>
      <c r="F481" s="14" t="s">
        <v>865</v>
      </c>
      <c r="G481" s="14">
        <v>96121</v>
      </c>
      <c r="H481" s="14">
        <v>103384</v>
      </c>
      <c r="I481" s="14">
        <v>21</v>
      </c>
      <c r="J481" s="14" t="s">
        <v>169</v>
      </c>
      <c r="K481" s="14" t="s">
        <v>259</v>
      </c>
      <c r="L481" s="14" t="s">
        <v>9899</v>
      </c>
      <c r="M481" s="14" t="s">
        <v>250</v>
      </c>
      <c r="N481" s="14" t="s">
        <v>251</v>
      </c>
      <c r="O481" s="14" t="s">
        <v>9158</v>
      </c>
      <c r="P481" s="14" t="s">
        <v>9158</v>
      </c>
      <c r="Q481" s="14" t="s">
        <v>9158</v>
      </c>
      <c r="R481" s="14"/>
    </row>
    <row r="482" spans="1:18">
      <c r="A482" s="9">
        <v>70933</v>
      </c>
      <c r="B482" s="14" t="s">
        <v>334</v>
      </c>
      <c r="C482" s="14" t="s">
        <v>267</v>
      </c>
      <c r="D482" s="14" t="s">
        <v>255</v>
      </c>
      <c r="E482" s="15" t="str">
        <f>HYPERLINK("https://stat100.ameba.jp/tnk47/ratio20/illustrations/card/ill_70933_zenigatasunae03.jpg?201811-6-RELEASE-conquest-e-381", "■")</f>
        <v>■</v>
      </c>
      <c r="F482" s="14" t="s">
        <v>866</v>
      </c>
      <c r="G482" s="14">
        <v>96121</v>
      </c>
      <c r="H482" s="14">
        <v>103384</v>
      </c>
      <c r="I482" s="14">
        <v>21</v>
      </c>
      <c r="J482" s="14" t="s">
        <v>229</v>
      </c>
      <c r="K482" s="14" t="s">
        <v>260</v>
      </c>
      <c r="L482" s="14" t="s">
        <v>9900</v>
      </c>
      <c r="M482" s="14" t="s">
        <v>250</v>
      </c>
      <c r="N482" s="14" t="s">
        <v>251</v>
      </c>
      <c r="O482" s="14" t="s">
        <v>9158</v>
      </c>
      <c r="P482" s="14" t="s">
        <v>9158</v>
      </c>
      <c r="Q482" s="14" t="s">
        <v>9158</v>
      </c>
      <c r="R482" s="14"/>
    </row>
    <row r="483" spans="1:18">
      <c r="A483" s="9">
        <v>70943</v>
      </c>
      <c r="B483" s="14" t="s">
        <v>334</v>
      </c>
      <c r="C483" s="14" t="s">
        <v>344</v>
      </c>
      <c r="D483" s="14" t="s">
        <v>256</v>
      </c>
      <c r="E483" s="15" t="str">
        <f>HYPERLINK("https://stat100.ameba.jp/tnk47/ratio20/illustrations/card/ill_70943_tengunokakuremino03.jpg?201811-6-RELEASE-conquest-e-381", "■")</f>
        <v>■</v>
      </c>
      <c r="F483" s="14" t="s">
        <v>867</v>
      </c>
      <c r="G483" s="14">
        <v>103384</v>
      </c>
      <c r="H483" s="14">
        <v>96121</v>
      </c>
      <c r="I483" s="14">
        <v>21</v>
      </c>
      <c r="J483" s="14" t="s">
        <v>155</v>
      </c>
      <c r="K483" s="14" t="s">
        <v>261</v>
      </c>
      <c r="L483" s="14" t="s">
        <v>9901</v>
      </c>
      <c r="M483" s="14" t="s">
        <v>250</v>
      </c>
      <c r="N483" s="14" t="s">
        <v>251</v>
      </c>
      <c r="O483" s="14" t="s">
        <v>9158</v>
      </c>
      <c r="P483" s="14" t="s">
        <v>9158</v>
      </c>
      <c r="Q483" s="14" t="s">
        <v>9158</v>
      </c>
      <c r="R483" s="14"/>
    </row>
    <row r="484" spans="1:18">
      <c r="B484" s="14"/>
      <c r="C484" s="14"/>
      <c r="D484" s="14"/>
      <c r="F484" s="14"/>
      <c r="G484" s="14"/>
      <c r="H484" s="14"/>
      <c r="I484" s="14"/>
      <c r="J484" s="14"/>
      <c r="K484" s="14"/>
      <c r="L484" s="14"/>
      <c r="M484" s="14"/>
      <c r="N484" s="14"/>
      <c r="P484" s="14"/>
      <c r="Q484" s="14"/>
      <c r="R484" s="14"/>
    </row>
    <row r="485" spans="1:18">
      <c r="A485" s="14" t="s">
        <v>113</v>
      </c>
      <c r="D485" s="14"/>
      <c r="F485" s="14"/>
      <c r="G485" s="14"/>
      <c r="H485" s="14"/>
      <c r="I485" s="14"/>
      <c r="J485" s="14"/>
      <c r="K485" s="14"/>
      <c r="L485" s="14"/>
      <c r="M485" s="14"/>
      <c r="N485" s="14"/>
      <c r="P485" s="14"/>
      <c r="Q485" s="14"/>
      <c r="R485" s="14"/>
    </row>
    <row r="486" spans="1:18">
      <c r="A486" s="14" t="s">
        <v>2032</v>
      </c>
      <c r="C486" s="14"/>
      <c r="D486" s="14"/>
      <c r="F486" s="14"/>
      <c r="G486" s="14"/>
      <c r="H486" s="14"/>
      <c r="I486" s="14"/>
      <c r="J486" s="14"/>
      <c r="K486" s="14"/>
      <c r="L486" s="14"/>
      <c r="M486" s="14"/>
      <c r="N486" s="14"/>
      <c r="P486" s="14"/>
      <c r="Q486" s="14"/>
      <c r="R486" s="14"/>
    </row>
    <row r="487" spans="1:18">
      <c r="A487" s="9" t="s">
        <v>5621</v>
      </c>
      <c r="B487" s="14" t="s">
        <v>52</v>
      </c>
      <c r="C487" s="14" t="s">
        <v>191</v>
      </c>
      <c r="D487" s="14" t="s">
        <v>2033</v>
      </c>
      <c r="E487" s="15" t="str">
        <f>HYPERLINK("https://stat100.ameba.jp/tnk47/ratio20/illustrations/card/ill_51973_0_kemonomizugikuroyuridensetsu03.jpg?201811-6-RELEASE-conquest-e-381", "■")</f>
        <v>■</v>
      </c>
      <c r="F487" s="14" t="s">
        <v>2034</v>
      </c>
      <c r="G487" s="14">
        <v>131930</v>
      </c>
      <c r="H487" s="14">
        <v>117196</v>
      </c>
      <c r="I487" s="14">
        <v>21</v>
      </c>
      <c r="J487" s="14" t="s">
        <v>38</v>
      </c>
      <c r="K487" s="14" t="s">
        <v>2035</v>
      </c>
      <c r="L487" s="14" t="s">
        <v>2036</v>
      </c>
      <c r="M487" s="14" t="s">
        <v>9158</v>
      </c>
      <c r="N487" s="14" t="s">
        <v>9158</v>
      </c>
      <c r="O487" s="17" t="s">
        <v>10066</v>
      </c>
      <c r="P487" s="14" t="s">
        <v>13172</v>
      </c>
      <c r="Q487" s="14">
        <v>1</v>
      </c>
      <c r="R487" s="14"/>
    </row>
    <row r="488" spans="1:18">
      <c r="A488" s="9" t="s">
        <v>5897</v>
      </c>
      <c r="B488" s="14" t="s">
        <v>52</v>
      </c>
      <c r="C488" s="14" t="s">
        <v>200</v>
      </c>
      <c r="D488" s="14" t="s">
        <v>53</v>
      </c>
      <c r="E488" s="15" t="str">
        <f>HYPERLINK("https://stat100.ameba.jp/tnk47/ratio20/illustrations/card/ill_40913_0_reigyokudensetsufusehime03.jpg?201811-6-RELEASE-conquest-e-381", "■")</f>
        <v>■</v>
      </c>
      <c r="F488" s="14" t="s">
        <v>955</v>
      </c>
      <c r="G488" s="14">
        <v>115096</v>
      </c>
      <c r="H488" s="14">
        <v>122892</v>
      </c>
      <c r="I488" s="14">
        <v>21</v>
      </c>
      <c r="J488" s="14" t="s">
        <v>38</v>
      </c>
      <c r="K488" s="14" t="s">
        <v>956</v>
      </c>
      <c r="L488" s="14" t="s">
        <v>957</v>
      </c>
      <c r="M488" s="14" t="s">
        <v>9158</v>
      </c>
      <c r="N488" s="14" t="s">
        <v>9158</v>
      </c>
      <c r="O488" s="14" t="s">
        <v>9158</v>
      </c>
      <c r="P488" s="14" t="s">
        <v>9158</v>
      </c>
      <c r="Q488" s="14" t="s">
        <v>9158</v>
      </c>
      <c r="R488" s="14"/>
    </row>
    <row r="489" spans="1:18">
      <c r="A489" s="9" t="s">
        <v>5608</v>
      </c>
      <c r="B489" s="14" t="s">
        <v>52</v>
      </c>
      <c r="C489" s="14" t="s">
        <v>165</v>
      </c>
      <c r="D489" s="14" t="s">
        <v>2037</v>
      </c>
      <c r="E489" s="15" t="str">
        <f>HYPERLINK("https://stat100.ameba.jp/tnk47/ratio20/illustrations/card/ill_40963_0_makami03.jpg?201811-6-RELEASE-conquest-e-381", "■")</f>
        <v>■</v>
      </c>
      <c r="F489" s="14" t="s">
        <v>2038</v>
      </c>
      <c r="G489" s="14">
        <v>122892</v>
      </c>
      <c r="H489" s="14">
        <v>115096</v>
      </c>
      <c r="I489" s="14">
        <v>21</v>
      </c>
      <c r="J489" s="14" t="s">
        <v>44</v>
      </c>
      <c r="K489" s="14" t="s">
        <v>2039</v>
      </c>
      <c r="L489" s="14" t="s">
        <v>2040</v>
      </c>
      <c r="M489" s="14" t="s">
        <v>9158</v>
      </c>
      <c r="N489" s="14" t="s">
        <v>9158</v>
      </c>
      <c r="O489" s="14" t="s">
        <v>9158</v>
      </c>
      <c r="P489" s="14" t="s">
        <v>9158</v>
      </c>
      <c r="Q489" s="14" t="s">
        <v>9158</v>
      </c>
      <c r="R489" s="14"/>
    </row>
    <row r="490" spans="1:18">
      <c r="A490" s="9">
        <v>77533</v>
      </c>
      <c r="B490" s="14" t="s">
        <v>0</v>
      </c>
      <c r="C490" s="14" t="s">
        <v>191</v>
      </c>
      <c r="D490" s="14" t="s">
        <v>2004</v>
      </c>
      <c r="E490" s="15" t="str">
        <f>HYPERLINK("https://stat100.ameba.jp/tnk47/ratio20/illustrations/card/ill_77533_miyakonotawasuzuhikohime03.jpg?201811-6-RELEASE-conquest-e-381", "■")</f>
        <v>■</v>
      </c>
      <c r="F490" s="14" t="s">
        <v>2005</v>
      </c>
      <c r="G490" s="14">
        <v>81371</v>
      </c>
      <c r="H490" s="14">
        <v>87496</v>
      </c>
      <c r="I490" s="14">
        <v>21</v>
      </c>
      <c r="J490" s="14" t="s">
        <v>73</v>
      </c>
      <c r="K490" s="14" t="s">
        <v>2006</v>
      </c>
      <c r="L490" s="14" t="s">
        <v>2007</v>
      </c>
      <c r="M490" s="14" t="s">
        <v>9158</v>
      </c>
      <c r="N490" s="14" t="s">
        <v>9158</v>
      </c>
      <c r="O490" s="14" t="s">
        <v>9158</v>
      </c>
      <c r="P490" s="14" t="s">
        <v>9158</v>
      </c>
      <c r="Q490" s="14" t="s">
        <v>9158</v>
      </c>
      <c r="R490" s="14"/>
    </row>
    <row r="491" spans="1:18">
      <c r="A491" s="9">
        <v>77543</v>
      </c>
      <c r="B491" s="14" t="s">
        <v>15</v>
      </c>
      <c r="C491" s="14" t="s">
        <v>165</v>
      </c>
      <c r="D491" s="14" t="s">
        <v>2008</v>
      </c>
      <c r="E491" s="15" t="str">
        <f>HYPERLINK("https://stat100.ameba.jp/tnk47/ratio20/illustrations/card/ill_77543_tsutenkaku03.jpg?201811-6-RELEASE-conquest-e-381", "■")</f>
        <v>■</v>
      </c>
      <c r="F491" s="14" t="s">
        <v>2009</v>
      </c>
      <c r="G491" s="14">
        <v>53352</v>
      </c>
      <c r="H491" s="14">
        <v>48390</v>
      </c>
      <c r="I491" s="14">
        <v>18</v>
      </c>
      <c r="J491" s="14" t="s">
        <v>26</v>
      </c>
      <c r="K491" s="14" t="s">
        <v>2010</v>
      </c>
      <c r="L491" s="14" t="s">
        <v>2011</v>
      </c>
      <c r="M491" s="14" t="s">
        <v>9158</v>
      </c>
      <c r="N491" s="14" t="s">
        <v>9158</v>
      </c>
      <c r="O491" s="14" t="s">
        <v>9158</v>
      </c>
      <c r="P491" s="14" t="s">
        <v>9158</v>
      </c>
      <c r="Q491" s="14" t="s">
        <v>9158</v>
      </c>
      <c r="R491" s="14"/>
    </row>
    <row r="492" spans="1:18">
      <c r="A492" s="9">
        <v>77553</v>
      </c>
      <c r="B492" s="14" t="s">
        <v>22</v>
      </c>
      <c r="C492" s="14" t="s">
        <v>205</v>
      </c>
      <c r="D492" s="14" t="s">
        <v>2012</v>
      </c>
      <c r="E492" s="15" t="str">
        <f>HYPERLINK("https://stat100.ameba.jp/tnk47/ratio20/illustrations/card/ill_77553_kotohikiiwa03.jpg?201811-6-RELEASE-conquest-e-381", "■")</f>
        <v>■</v>
      </c>
      <c r="F492" s="14" t="s">
        <v>2013</v>
      </c>
      <c r="G492" s="14">
        <v>27660</v>
      </c>
      <c r="H492" s="14">
        <v>33266</v>
      </c>
      <c r="I492" s="14">
        <v>16</v>
      </c>
      <c r="J492" s="14" t="s">
        <v>38</v>
      </c>
      <c r="K492" s="14" t="s">
        <v>2014</v>
      </c>
      <c r="L492" s="14" t="s">
        <v>2015</v>
      </c>
      <c r="M492" s="14" t="s">
        <v>9158</v>
      </c>
      <c r="N492" s="14" t="s">
        <v>9158</v>
      </c>
      <c r="O492" s="14" t="s">
        <v>9158</v>
      </c>
      <c r="P492" s="14" t="s">
        <v>9158</v>
      </c>
      <c r="Q492" s="14" t="s">
        <v>9158</v>
      </c>
      <c r="R492" s="14"/>
    </row>
    <row r="493" spans="1:18">
      <c r="A493" s="9">
        <v>77563</v>
      </c>
      <c r="B493" s="14" t="s">
        <v>30</v>
      </c>
      <c r="C493" s="14" t="s">
        <v>2001</v>
      </c>
      <c r="D493" s="14" t="s">
        <v>2016</v>
      </c>
      <c r="E493" s="15" t="str">
        <f>HYPERLINK("https://stat100.ameba.jp/tnk47/ratio20/illustrations/card/ill_77563_sendaidagashichan03.jpg?201811-6-RELEASE-conquest-e-381", "■")</f>
        <v>■</v>
      </c>
      <c r="F493" s="14" t="s">
        <v>2017</v>
      </c>
      <c r="G493" s="14">
        <v>20140</v>
      </c>
      <c r="H493" s="14">
        <v>16914</v>
      </c>
      <c r="I493" s="14">
        <v>16</v>
      </c>
      <c r="J493" s="14" t="s">
        <v>104</v>
      </c>
      <c r="K493" s="14" t="s">
        <v>2018</v>
      </c>
      <c r="L493" s="14" t="s">
        <v>2019</v>
      </c>
      <c r="M493" s="14" t="s">
        <v>9158</v>
      </c>
      <c r="N493" s="14" t="s">
        <v>9158</v>
      </c>
      <c r="O493" s="14" t="s">
        <v>9158</v>
      </c>
      <c r="P493" s="14" t="s">
        <v>9158</v>
      </c>
      <c r="Q493" s="14" t="s">
        <v>9158</v>
      </c>
      <c r="R493" s="14"/>
    </row>
    <row r="494" spans="1:18">
      <c r="B494" s="14"/>
      <c r="C494" s="14"/>
      <c r="D494" s="14"/>
      <c r="F494" s="14"/>
      <c r="G494" s="14"/>
      <c r="H494" s="14"/>
      <c r="I494" s="14"/>
      <c r="J494" s="14"/>
      <c r="K494" s="14"/>
      <c r="L494" s="14"/>
      <c r="M494" s="14"/>
      <c r="N494" s="14"/>
      <c r="P494" s="14"/>
      <c r="Q494" s="14"/>
      <c r="R494" s="14"/>
    </row>
    <row r="495" spans="1:18">
      <c r="A495" s="14" t="s">
        <v>114</v>
      </c>
      <c r="D495" s="14"/>
      <c r="F495" s="14"/>
      <c r="G495" s="14"/>
      <c r="H495" s="14"/>
      <c r="I495" s="14"/>
      <c r="J495" s="14"/>
      <c r="K495" s="14"/>
      <c r="L495" s="14"/>
      <c r="M495" s="14"/>
      <c r="N495" s="14"/>
      <c r="P495" s="14"/>
      <c r="Q495" s="14"/>
      <c r="R495" s="14"/>
    </row>
    <row r="496" spans="1:18">
      <c r="A496" s="14" t="s">
        <v>2041</v>
      </c>
      <c r="B496" s="14"/>
      <c r="C496" s="14"/>
      <c r="D496" s="14"/>
      <c r="F496" s="14"/>
      <c r="G496" s="14"/>
      <c r="H496" s="14"/>
      <c r="I496" s="14"/>
      <c r="J496" s="14"/>
      <c r="K496" s="14"/>
      <c r="L496" s="14"/>
      <c r="M496" s="14"/>
      <c r="N496" s="14"/>
      <c r="P496" s="14"/>
      <c r="Q496" s="14"/>
      <c r="R496" s="14"/>
    </row>
    <row r="497" spans="1:18">
      <c r="A497" s="9" t="s">
        <v>5618</v>
      </c>
      <c r="B497" s="14" t="s">
        <v>52</v>
      </c>
      <c r="C497" s="14" t="s">
        <v>200</v>
      </c>
      <c r="D497" s="14" t="s">
        <v>83</v>
      </c>
      <c r="E497" s="15" t="str">
        <f>HYPERLINK("https://stat100.ameba.jp/tnk47/ratio20/illustrations/card/ill_63173_0_minazukikonakaiteruko03.jpg?201811-6-RELEASE-conquest-e-381", "■")</f>
        <v>■</v>
      </c>
      <c r="F497" s="14" t="s">
        <v>1188</v>
      </c>
      <c r="G497" s="14">
        <v>147552</v>
      </c>
      <c r="H497" s="14">
        <v>158684</v>
      </c>
      <c r="I497" s="14">
        <v>17</v>
      </c>
      <c r="J497" s="14" t="s">
        <v>143</v>
      </c>
      <c r="K497" s="14" t="s">
        <v>1189</v>
      </c>
      <c r="L497" s="14" t="s">
        <v>1190</v>
      </c>
      <c r="M497" s="14" t="s">
        <v>9158</v>
      </c>
      <c r="N497" s="14" t="s">
        <v>9158</v>
      </c>
      <c r="O497" s="9" t="s">
        <v>3328</v>
      </c>
      <c r="P497" s="14" t="s">
        <v>3329</v>
      </c>
      <c r="Q497" s="14">
        <v>1</v>
      </c>
      <c r="R497" s="14"/>
    </row>
    <row r="498" spans="1:18">
      <c r="A498" s="9" t="s">
        <v>5620</v>
      </c>
      <c r="B498" s="14" t="s">
        <v>52</v>
      </c>
      <c r="C498" s="14" t="s">
        <v>344</v>
      </c>
      <c r="D498" s="14" t="s">
        <v>2042</v>
      </c>
      <c r="E498" s="15" t="str">
        <f>HYPERLINK("https://stat100.ameba.jp/tnk47/ratio20/illustrations/card/ill_67173_0_yukemuriawamorichan03.jpg?201811-6-RELEASE-conquest-e-381", "■")</f>
        <v>■</v>
      </c>
      <c r="F498" s="14" t="s">
        <v>2043</v>
      </c>
      <c r="G498" s="14">
        <v>130615</v>
      </c>
      <c r="H498" s="14">
        <v>121434</v>
      </c>
      <c r="I498" s="14">
        <v>17</v>
      </c>
      <c r="J498" s="14" t="s">
        <v>104</v>
      </c>
      <c r="K498" s="14" t="s">
        <v>2044</v>
      </c>
      <c r="L498" s="14" t="s">
        <v>2045</v>
      </c>
      <c r="M498" s="14" t="s">
        <v>9158</v>
      </c>
      <c r="N498" s="14" t="s">
        <v>9158</v>
      </c>
      <c r="O498" s="17" t="s">
        <v>10061</v>
      </c>
      <c r="P498" s="14" t="s">
        <v>3455</v>
      </c>
      <c r="Q498" s="14">
        <v>1</v>
      </c>
      <c r="R498" s="14"/>
    </row>
    <row r="499" spans="1:18">
      <c r="A499" s="9">
        <v>72163</v>
      </c>
      <c r="B499" s="14" t="s">
        <v>334</v>
      </c>
      <c r="C499" s="14" t="s">
        <v>158</v>
      </c>
      <c r="D499" s="14" t="s">
        <v>2046</v>
      </c>
      <c r="E499" s="15" t="str">
        <f>HYPERLINK("https://stat100.ameba.jp/tnk47/ratio20/illustrations/card/ill_72163_yagyutoshiyoshi03.jpg?201811-6-RELEASE-conquest-e-381", "■")</f>
        <v>■</v>
      </c>
      <c r="F499" s="14" t="s">
        <v>2047</v>
      </c>
      <c r="G499" s="14">
        <v>126858</v>
      </c>
      <c r="H499" s="14">
        <v>91876</v>
      </c>
      <c r="I499" s="14">
        <v>24</v>
      </c>
      <c r="J499" s="14" t="s">
        <v>143</v>
      </c>
      <c r="K499" s="14" t="s">
        <v>2048</v>
      </c>
      <c r="L499" s="14" t="s">
        <v>2049</v>
      </c>
      <c r="M499" s="14" t="s">
        <v>9158</v>
      </c>
      <c r="N499" s="14" t="s">
        <v>9158</v>
      </c>
      <c r="O499" s="9" t="s">
        <v>3173</v>
      </c>
      <c r="P499" s="14" t="s">
        <v>3174</v>
      </c>
      <c r="Q499" s="14">
        <v>1</v>
      </c>
      <c r="R499" s="14"/>
    </row>
    <row r="500" spans="1:18">
      <c r="A500" s="9">
        <v>56043</v>
      </c>
      <c r="B500" s="14" t="s">
        <v>334</v>
      </c>
      <c r="C500" s="14" t="s">
        <v>262</v>
      </c>
      <c r="D500" s="14" t="s">
        <v>2050</v>
      </c>
      <c r="E500" s="15" t="str">
        <f>HYPERLINK("https://stat100.ameba.jp/tnk47/ratio20/illustrations/card/ill_56043_mujina03.jpg?201811-6-RELEASE-conquest-e-381", "■")</f>
        <v>■</v>
      </c>
      <c r="F500" s="14" t="s">
        <v>2051</v>
      </c>
      <c r="G500" s="14">
        <v>86668</v>
      </c>
      <c r="H500" s="14">
        <v>63547</v>
      </c>
      <c r="I500" s="14">
        <v>21</v>
      </c>
      <c r="J500" s="14" t="s">
        <v>73</v>
      </c>
      <c r="K500" s="14" t="s">
        <v>2052</v>
      </c>
      <c r="L500" s="14" t="s">
        <v>2053</v>
      </c>
      <c r="M500" s="14" t="s">
        <v>9158</v>
      </c>
      <c r="N500" s="14" t="s">
        <v>9158</v>
      </c>
      <c r="O500" s="14" t="s">
        <v>9158</v>
      </c>
      <c r="P500" s="14" t="s">
        <v>9158</v>
      </c>
      <c r="Q500" s="14" t="s">
        <v>9158</v>
      </c>
      <c r="R500" s="14"/>
    </row>
    <row r="501" spans="1:18">
      <c r="A501" s="9">
        <v>58263</v>
      </c>
      <c r="B501" s="14" t="s">
        <v>334</v>
      </c>
      <c r="C501" s="14" t="s">
        <v>158</v>
      </c>
      <c r="D501" s="14" t="s">
        <v>2054</v>
      </c>
      <c r="E501" s="15" t="str">
        <f>HYPERLINK("https://stat100.ameba.jp/tnk47/ratio20/illustrations/card/ill_58263_tamayorigozen03.jpg?201811-6-RELEASE-conquest-e-381", "■")</f>
        <v>■</v>
      </c>
      <c r="F501" s="14" t="s">
        <v>2055</v>
      </c>
      <c r="G501" s="14">
        <v>66487</v>
      </c>
      <c r="H501" s="14">
        <v>91779</v>
      </c>
      <c r="I501" s="14">
        <v>21</v>
      </c>
      <c r="J501" s="14" t="s">
        <v>10</v>
      </c>
      <c r="K501" s="14" t="s">
        <v>2056</v>
      </c>
      <c r="L501" s="14" t="s">
        <v>2057</v>
      </c>
      <c r="M501" s="14" t="s">
        <v>9158</v>
      </c>
      <c r="N501" s="14" t="s">
        <v>9158</v>
      </c>
      <c r="O501" s="14" t="s">
        <v>9158</v>
      </c>
      <c r="P501" s="14" t="s">
        <v>9158</v>
      </c>
      <c r="Q501" s="14" t="s">
        <v>9158</v>
      </c>
      <c r="R501" s="14"/>
    </row>
    <row r="502" spans="1:18">
      <c r="A502" s="9">
        <v>61343</v>
      </c>
      <c r="B502" s="14" t="s">
        <v>334</v>
      </c>
      <c r="C502" s="14" t="s">
        <v>209</v>
      </c>
      <c r="D502" s="14" t="s">
        <v>2058</v>
      </c>
      <c r="E502" s="15" t="str">
        <f>HYPERLINK("https://stat100.ameba.jp/tnk47/ratio20/illustrations/card/ill_61343_amaiyumechacha03.jpg?201811-6-RELEASE-conquest-e-381", "■")</f>
        <v>■</v>
      </c>
      <c r="F502" s="14" t="s">
        <v>2059</v>
      </c>
      <c r="G502" s="14">
        <v>66487</v>
      </c>
      <c r="H502" s="14">
        <v>91779</v>
      </c>
      <c r="I502" s="14">
        <v>21</v>
      </c>
      <c r="J502" s="14" t="s">
        <v>77</v>
      </c>
      <c r="K502" s="14" t="s">
        <v>2060</v>
      </c>
      <c r="L502" s="14" t="s">
        <v>969</v>
      </c>
      <c r="M502" s="14" t="s">
        <v>9158</v>
      </c>
      <c r="N502" s="14" t="s">
        <v>9158</v>
      </c>
      <c r="O502" s="14" t="s">
        <v>9158</v>
      </c>
      <c r="P502" s="14" t="s">
        <v>9158</v>
      </c>
      <c r="Q502" s="14" t="s">
        <v>9158</v>
      </c>
      <c r="R502" s="14"/>
    </row>
    <row r="503" spans="1:18">
      <c r="A503" s="9">
        <v>73893</v>
      </c>
      <c r="B503" s="14" t="s">
        <v>334</v>
      </c>
      <c r="C503" s="14" t="s">
        <v>203</v>
      </c>
      <c r="D503" s="14" t="s">
        <v>2061</v>
      </c>
      <c r="E503" s="15" t="str">
        <f>HYPERLINK("https://stat100.ameba.jp/tnk47/ratio20/illustrations/card/ill_73893_kurohachidaimyojintookami03.jpg?201811-6-RELEASE-conquest-e-381", "■")</f>
        <v>■</v>
      </c>
      <c r="F503" s="14" t="s">
        <v>2062</v>
      </c>
      <c r="G503" s="14">
        <v>107166</v>
      </c>
      <c r="H503" s="14">
        <v>77618</v>
      </c>
      <c r="I503" s="14">
        <v>21</v>
      </c>
      <c r="J503" s="14" t="s">
        <v>38</v>
      </c>
      <c r="K503" s="14" t="s">
        <v>2063</v>
      </c>
      <c r="L503" s="14" t="s">
        <v>68</v>
      </c>
      <c r="M503" s="14" t="s">
        <v>9158</v>
      </c>
      <c r="N503" s="14" t="s">
        <v>9158</v>
      </c>
      <c r="O503" s="9" t="s">
        <v>3809</v>
      </c>
      <c r="P503" s="14" t="s">
        <v>3810</v>
      </c>
      <c r="Q503" s="14">
        <v>1</v>
      </c>
      <c r="R503" s="14"/>
    </row>
    <row r="504" spans="1:18">
      <c r="A504" s="9">
        <v>68703</v>
      </c>
      <c r="B504" s="14" t="s">
        <v>334</v>
      </c>
      <c r="C504" s="14" t="s">
        <v>209</v>
      </c>
      <c r="D504" s="14" t="s">
        <v>79</v>
      </c>
      <c r="E504" s="15" t="str">
        <f>HYPERLINK("https://stat100.ameba.jp/tnk47/ratio20/illustrations/card/ill_68703_manryu03.jpg?201811-6-RELEASE-conquest-e-381", "■")</f>
        <v>■</v>
      </c>
      <c r="F504" s="14" t="s">
        <v>80</v>
      </c>
      <c r="G504" s="14">
        <v>66487</v>
      </c>
      <c r="H504" s="14">
        <v>91779</v>
      </c>
      <c r="I504" s="14">
        <v>21</v>
      </c>
      <c r="J504" s="14" t="s">
        <v>16</v>
      </c>
      <c r="K504" s="14" t="s">
        <v>81</v>
      </c>
      <c r="L504" s="14" t="s">
        <v>82</v>
      </c>
      <c r="M504" s="14" t="s">
        <v>9158</v>
      </c>
      <c r="N504" s="14" t="s">
        <v>9158</v>
      </c>
      <c r="O504" s="14" t="s">
        <v>9158</v>
      </c>
      <c r="P504" s="14" t="s">
        <v>9158</v>
      </c>
      <c r="Q504" s="14" t="s">
        <v>9158</v>
      </c>
      <c r="R504" s="14"/>
    </row>
    <row r="505" spans="1:18">
      <c r="B505" s="14"/>
      <c r="C505" s="14"/>
      <c r="D505" s="14"/>
      <c r="F505" s="14"/>
      <c r="G505" s="14"/>
      <c r="H505" s="14"/>
      <c r="I505" s="14"/>
      <c r="J505" s="14"/>
      <c r="K505" s="14"/>
      <c r="L505" s="14"/>
      <c r="M505" s="14"/>
      <c r="N505" s="14"/>
      <c r="P505" s="14"/>
      <c r="Q505" s="14"/>
      <c r="R505" s="14"/>
    </row>
    <row r="506" spans="1:18">
      <c r="A506" s="14" t="s">
        <v>2064</v>
      </c>
      <c r="D506" s="14"/>
      <c r="F506" s="14"/>
      <c r="G506" s="14"/>
      <c r="H506" s="14"/>
      <c r="I506" s="14"/>
      <c r="J506" s="14"/>
      <c r="K506" s="14"/>
      <c r="L506" s="14"/>
      <c r="M506" s="14"/>
      <c r="N506" s="14"/>
      <c r="P506" s="14"/>
      <c r="Q506" s="14"/>
      <c r="R506" s="14"/>
    </row>
    <row r="507" spans="1:18">
      <c r="A507" s="14" t="s">
        <v>2066</v>
      </c>
      <c r="B507" s="14"/>
      <c r="C507" s="14"/>
      <c r="D507" s="14"/>
      <c r="F507" s="14"/>
      <c r="G507" s="14"/>
      <c r="H507" s="14"/>
      <c r="I507" s="14"/>
      <c r="J507" s="14"/>
      <c r="K507" s="14"/>
      <c r="L507" s="14"/>
      <c r="M507" s="14"/>
      <c r="N507" s="14"/>
      <c r="P507" s="14"/>
      <c r="Q507" s="14"/>
      <c r="R507" s="14"/>
    </row>
    <row r="508" spans="1:18">
      <c r="A508" s="9" t="s">
        <v>6541</v>
      </c>
      <c r="B508" s="14" t="s">
        <v>117</v>
      </c>
      <c r="C508" s="14" t="s">
        <v>202</v>
      </c>
      <c r="D508" s="14" t="s">
        <v>2067</v>
      </c>
      <c r="E508" s="15" t="str">
        <f>HYPERLINK("https://stat100.ameba.jp/tnk47/ratio20/illustrations/card/ill_65413_0_sengokusaneiketsu03.jpg?201812-1-RELEASE-raid-382x", "■")</f>
        <v>■</v>
      </c>
      <c r="F508" s="14" t="s">
        <v>2068</v>
      </c>
      <c r="G508" s="14">
        <v>94274</v>
      </c>
      <c r="H508" s="14">
        <v>87622</v>
      </c>
      <c r="I508" s="14">
        <v>28</v>
      </c>
      <c r="J508" s="14" t="s">
        <v>143</v>
      </c>
      <c r="K508" s="14" t="s">
        <v>2069</v>
      </c>
      <c r="L508" s="14" t="s">
        <v>2070</v>
      </c>
      <c r="M508" s="14" t="s">
        <v>9158</v>
      </c>
      <c r="N508" s="14" t="s">
        <v>9158</v>
      </c>
      <c r="O508" s="14" t="s">
        <v>9158</v>
      </c>
      <c r="P508" s="14" t="s">
        <v>9158</v>
      </c>
      <c r="Q508" s="14" t="s">
        <v>9158</v>
      </c>
      <c r="R508" s="14"/>
    </row>
    <row r="509" spans="1:18">
      <c r="A509" s="9" t="s">
        <v>5618</v>
      </c>
      <c r="B509" s="14" t="s">
        <v>52</v>
      </c>
      <c r="C509" s="14" t="s">
        <v>200</v>
      </c>
      <c r="D509" s="14" t="s">
        <v>83</v>
      </c>
      <c r="E509" s="15" t="str">
        <f>HYPERLINK("https://stat100.ameba.jp/tnk47/ratio20/illustrations/card/ill_63173_0_minazukikonakaiteruko03.jpg?201812-1-RELEASE-raid-382x", "■")</f>
        <v>■</v>
      </c>
      <c r="F509" s="14" t="s">
        <v>1188</v>
      </c>
      <c r="G509" s="14">
        <v>156232</v>
      </c>
      <c r="H509" s="14">
        <v>168020</v>
      </c>
      <c r="I509" s="14">
        <v>18</v>
      </c>
      <c r="J509" s="14" t="s">
        <v>143</v>
      </c>
      <c r="K509" s="14" t="s">
        <v>1189</v>
      </c>
      <c r="L509" s="14" t="s">
        <v>1190</v>
      </c>
      <c r="M509" s="14" t="s">
        <v>9158</v>
      </c>
      <c r="N509" s="14" t="s">
        <v>9158</v>
      </c>
      <c r="O509" s="9" t="s">
        <v>3328</v>
      </c>
      <c r="P509" s="14" t="s">
        <v>3329</v>
      </c>
      <c r="Q509" s="14">
        <v>1</v>
      </c>
      <c r="R509" s="14"/>
    </row>
    <row r="510" spans="1:18">
      <c r="A510" s="9" t="s">
        <v>5604</v>
      </c>
      <c r="B510" s="14" t="s">
        <v>52</v>
      </c>
      <c r="C510" s="14" t="s">
        <v>206</v>
      </c>
      <c r="D510" s="14" t="s">
        <v>51</v>
      </c>
      <c r="E510" s="15" t="str">
        <f>HYPERLINK("https://stat100.ameba.jp/tnk47/ratio20/illustrations/card/ill_47263_0_oukyuuatsuhime03.jpg?201812-1-RELEASE-raid-382x", "■")</f>
        <v>■</v>
      </c>
      <c r="F510" s="14" t="s">
        <v>1178</v>
      </c>
      <c r="G510" s="14">
        <v>113082</v>
      </c>
      <c r="H510" s="14">
        <v>100454</v>
      </c>
      <c r="I510" s="14">
        <v>18</v>
      </c>
      <c r="J510" s="14" t="s">
        <v>77</v>
      </c>
      <c r="K510" s="14" t="s">
        <v>1179</v>
      </c>
      <c r="L510" s="14" t="s">
        <v>1180</v>
      </c>
      <c r="M510" s="14" t="s">
        <v>9158</v>
      </c>
      <c r="N510" s="14" t="s">
        <v>9158</v>
      </c>
      <c r="O510" s="14" t="s">
        <v>9158</v>
      </c>
      <c r="P510" s="14" t="s">
        <v>9158</v>
      </c>
      <c r="Q510" s="14" t="s">
        <v>9158</v>
      </c>
      <c r="R510" s="14"/>
    </row>
    <row r="511" spans="1:18">
      <c r="A511" s="9">
        <v>60763</v>
      </c>
      <c r="B511" s="14" t="s">
        <v>0</v>
      </c>
      <c r="C511" s="14" t="s">
        <v>203</v>
      </c>
      <c r="D511" s="14" t="s">
        <v>1145</v>
      </c>
      <c r="E511" s="15" t="str">
        <f>HYPERLINK("https://stat100.ameba.jp/tnk47/ratio20/illustrations/card/ill_60763_fujiwarakagekiyo03.jpg?201812-1-RELEASE-raid-382x", "■")</f>
        <v>■</v>
      </c>
      <c r="F511" s="14" t="s">
        <v>1146</v>
      </c>
      <c r="G511" s="14">
        <v>101199</v>
      </c>
      <c r="H511" s="14">
        <v>139716</v>
      </c>
      <c r="I511" s="14">
        <v>21</v>
      </c>
      <c r="J511" s="14" t="s">
        <v>143</v>
      </c>
      <c r="K511" s="14" t="s">
        <v>1147</v>
      </c>
      <c r="L511" s="14" t="s">
        <v>1148</v>
      </c>
      <c r="M511" s="14" t="s">
        <v>9158</v>
      </c>
      <c r="N511" s="14" t="s">
        <v>9158</v>
      </c>
      <c r="O511" s="17" t="s">
        <v>10064</v>
      </c>
      <c r="P511" s="14" t="s">
        <v>13150</v>
      </c>
      <c r="Q511" s="14">
        <v>1</v>
      </c>
      <c r="R511" s="14"/>
    </row>
    <row r="512" spans="1:18">
      <c r="A512" s="9">
        <v>67943</v>
      </c>
      <c r="B512" s="14" t="s">
        <v>0</v>
      </c>
      <c r="C512" s="14" t="s">
        <v>209</v>
      </c>
      <c r="D512" s="14" t="s">
        <v>1780</v>
      </c>
      <c r="E512" s="15" t="str">
        <f>HYPERLINK("https://stat100.ameba.jp/tnk47/ratio20/illustrations/card/ill_67943_hoshinamasayuki03.jpg?201812-1-RELEASE-raid-382x", "■")</f>
        <v>■</v>
      </c>
      <c r="F512" s="14" t="s">
        <v>1781</v>
      </c>
      <c r="G512" s="14">
        <v>65335</v>
      </c>
      <c r="H512" s="14">
        <v>60733</v>
      </c>
      <c r="I512" s="14">
        <v>21</v>
      </c>
      <c r="J512" s="14" t="s">
        <v>10</v>
      </c>
      <c r="K512" s="14" t="s">
        <v>1782</v>
      </c>
      <c r="L512" s="14" t="s">
        <v>1783</v>
      </c>
      <c r="M512" s="14" t="s">
        <v>9158</v>
      </c>
      <c r="N512" s="14" t="s">
        <v>9158</v>
      </c>
      <c r="O512" s="14" t="s">
        <v>9158</v>
      </c>
      <c r="P512" s="14" t="s">
        <v>9158</v>
      </c>
      <c r="Q512" s="14" t="s">
        <v>9158</v>
      </c>
      <c r="R512" s="14"/>
    </row>
    <row r="513" spans="1:18">
      <c r="A513" s="9">
        <v>54153</v>
      </c>
      <c r="B513" s="14" t="s">
        <v>0</v>
      </c>
      <c r="C513" s="14" t="s">
        <v>264</v>
      </c>
      <c r="D513" s="14" t="s">
        <v>2071</v>
      </c>
      <c r="E513" s="15" t="str">
        <f>HYPERLINK("https://stat100.ameba.jp/tnk47/ratio20/illustrations/card/ill_54153_gekkao03.jpg?201812-1-RELEASE-raid-382x", "■")</f>
        <v>■</v>
      </c>
      <c r="F513" s="14" t="s">
        <v>2072</v>
      </c>
      <c r="G513" s="14">
        <v>63547</v>
      </c>
      <c r="H513" s="14">
        <v>86668</v>
      </c>
      <c r="I513" s="14">
        <v>21</v>
      </c>
      <c r="J513" s="14" t="s">
        <v>44</v>
      </c>
      <c r="K513" s="14" t="s">
        <v>2073</v>
      </c>
      <c r="L513" s="14" t="s">
        <v>95</v>
      </c>
      <c r="M513" s="14" t="s">
        <v>9158</v>
      </c>
      <c r="N513" s="14" t="s">
        <v>9158</v>
      </c>
      <c r="O513" s="14" t="s">
        <v>9158</v>
      </c>
      <c r="P513" s="14" t="s">
        <v>9158</v>
      </c>
      <c r="Q513" s="14" t="s">
        <v>9158</v>
      </c>
      <c r="R513" s="14"/>
    </row>
    <row r="514" spans="1:18">
      <c r="B514" s="14"/>
      <c r="C514" s="14"/>
      <c r="D514" s="14"/>
      <c r="F514" s="14"/>
      <c r="G514" s="14"/>
      <c r="H514" s="14"/>
      <c r="I514" s="14"/>
      <c r="J514" s="14"/>
      <c r="K514" s="14"/>
      <c r="L514" s="14"/>
      <c r="M514" s="14"/>
      <c r="N514" s="14"/>
      <c r="P514" s="14"/>
      <c r="Q514" s="14"/>
      <c r="R514" s="14"/>
    </row>
    <row r="515" spans="1:18">
      <c r="A515" s="14" t="s">
        <v>195</v>
      </c>
      <c r="D515" s="14"/>
      <c r="F515" s="14"/>
      <c r="G515" s="14"/>
      <c r="H515" s="14"/>
      <c r="I515" s="14"/>
      <c r="J515" s="14"/>
      <c r="K515" s="14"/>
      <c r="L515" s="14"/>
      <c r="M515" s="14"/>
      <c r="N515" s="14"/>
      <c r="P515" s="14"/>
      <c r="Q515" s="14"/>
      <c r="R515" s="14"/>
    </row>
    <row r="516" spans="1:18">
      <c r="A516" s="14" t="s">
        <v>2065</v>
      </c>
      <c r="C516" s="14"/>
      <c r="D516" s="14"/>
      <c r="F516" s="14"/>
      <c r="G516" s="14"/>
      <c r="H516" s="14"/>
      <c r="I516" s="14"/>
      <c r="J516" s="14"/>
      <c r="K516" s="14"/>
      <c r="L516" s="14"/>
      <c r="M516" s="14"/>
      <c r="N516" s="14"/>
      <c r="P516" s="14"/>
      <c r="Q516" s="14"/>
      <c r="R516" s="14"/>
    </row>
    <row r="517" spans="1:18">
      <c r="A517" s="9">
        <v>71013</v>
      </c>
      <c r="B517" s="14" t="s">
        <v>334</v>
      </c>
      <c r="C517" s="14" t="s">
        <v>154</v>
      </c>
      <c r="D517" s="14" t="s">
        <v>156</v>
      </c>
      <c r="E517" s="15" t="str">
        <f>HYPERLINK("https://stat100.ameba.jp/tnk47/ratio20/illustrations/card/ill_71013_fujutsushisarashina03.jpg?201812-1-RELEASE-raid-382x", "■")</f>
        <v>■</v>
      </c>
      <c r="F517" s="14" t="s">
        <v>157</v>
      </c>
      <c r="G517" s="14">
        <v>84214</v>
      </c>
      <c r="H517" s="14">
        <v>90574</v>
      </c>
      <c r="I517" s="14">
        <v>21</v>
      </c>
      <c r="J517" s="14" t="s">
        <v>155</v>
      </c>
      <c r="K517" s="14" t="s">
        <v>162</v>
      </c>
      <c r="L517" s="14" t="s">
        <v>13125</v>
      </c>
      <c r="M517" s="14" t="s">
        <v>9158</v>
      </c>
      <c r="N517" s="14" t="s">
        <v>9158</v>
      </c>
      <c r="O517" s="14" t="s">
        <v>9158</v>
      </c>
      <c r="P517" s="14" t="s">
        <v>9158</v>
      </c>
      <c r="Q517" s="14" t="s">
        <v>9158</v>
      </c>
      <c r="R517" s="14"/>
    </row>
    <row r="518" spans="1:18">
      <c r="A518" s="9">
        <v>71023</v>
      </c>
      <c r="B518" s="14" t="s">
        <v>334</v>
      </c>
      <c r="C518" s="14" t="s">
        <v>158</v>
      </c>
      <c r="D518" s="14" t="s">
        <v>160</v>
      </c>
      <c r="E518" s="15" t="str">
        <f>HYPERLINK("https://stat100.ameba.jp/tnk47/ratio20/illustrations/card/ill_71023_ommyojiiroha03.jpg?201812-1-RELEASE-raid-382x", "■")</f>
        <v>■</v>
      </c>
      <c r="F518" s="14" t="s">
        <v>161</v>
      </c>
      <c r="G518" s="14">
        <v>84214</v>
      </c>
      <c r="H518" s="14">
        <v>90574</v>
      </c>
      <c r="I518" s="14">
        <v>21</v>
      </c>
      <c r="J518" s="14" t="s">
        <v>159</v>
      </c>
      <c r="K518" s="14" t="s">
        <v>163</v>
      </c>
      <c r="L518" s="14" t="s">
        <v>164</v>
      </c>
      <c r="M518" s="14" t="s">
        <v>9158</v>
      </c>
      <c r="N518" s="14" t="s">
        <v>9158</v>
      </c>
      <c r="O518" s="14" t="s">
        <v>9158</v>
      </c>
      <c r="P518" s="14" t="s">
        <v>9158</v>
      </c>
      <c r="Q518" s="14" t="s">
        <v>9158</v>
      </c>
      <c r="R518" s="14"/>
    </row>
    <row r="519" spans="1:18">
      <c r="A519" s="9">
        <v>46063</v>
      </c>
      <c r="B519" s="14" t="s">
        <v>334</v>
      </c>
      <c r="C519" s="14" t="s">
        <v>165</v>
      </c>
      <c r="D519" s="14" t="s">
        <v>166</v>
      </c>
      <c r="E519" s="15" t="str">
        <f>HYPERLINK("https://stat100.ameba.jp/tnk47/ratio20/illustrations/card/ill_46063_kongorikishizo03.jpg?201812-1-RELEASE-raid-382x", "■")</f>
        <v>■</v>
      </c>
      <c r="F519" s="14" t="s">
        <v>167</v>
      </c>
      <c r="G519" s="14">
        <v>91114</v>
      </c>
      <c r="H519" s="14">
        <v>65502</v>
      </c>
      <c r="I519" s="14">
        <v>21</v>
      </c>
      <c r="J519" s="14" t="s">
        <v>169</v>
      </c>
      <c r="K519" s="14" t="s">
        <v>168</v>
      </c>
      <c r="L519" s="14" t="s">
        <v>13126</v>
      </c>
      <c r="M519" s="14" t="s">
        <v>9158</v>
      </c>
      <c r="N519" s="14" t="s">
        <v>9158</v>
      </c>
      <c r="O519" s="14" t="s">
        <v>9158</v>
      </c>
      <c r="P519" s="14" t="s">
        <v>9158</v>
      </c>
      <c r="Q519" s="14" t="s">
        <v>9158</v>
      </c>
      <c r="R519" s="14"/>
    </row>
    <row r="520" spans="1:18">
      <c r="A520" s="9">
        <v>30303</v>
      </c>
      <c r="B520" s="14" t="s">
        <v>334</v>
      </c>
      <c r="C520" s="14" t="s">
        <v>158</v>
      </c>
      <c r="D520" s="14" t="s">
        <v>170</v>
      </c>
      <c r="E520" s="15" t="str">
        <f>HYPERLINK("https://stat100.ameba.jp/tnk47/ratio20/illustrations/card/ill_30303_makaihimiko03.jpg?201812-1-RELEASE-raid-382x", "■")</f>
        <v>■</v>
      </c>
      <c r="F520" s="14" t="s">
        <v>171</v>
      </c>
      <c r="G520" s="14">
        <v>80942</v>
      </c>
      <c r="H520" s="14">
        <v>75254</v>
      </c>
      <c r="I520" s="14">
        <v>21</v>
      </c>
      <c r="J520" s="14" t="s">
        <v>173</v>
      </c>
      <c r="K520" s="14" t="s">
        <v>172</v>
      </c>
      <c r="L520" s="14" t="s">
        <v>13127</v>
      </c>
      <c r="M520" s="14" t="s">
        <v>9158</v>
      </c>
      <c r="N520" s="14" t="s">
        <v>9158</v>
      </c>
      <c r="O520" s="14" t="s">
        <v>9158</v>
      </c>
      <c r="P520" s="14" t="s">
        <v>9158</v>
      </c>
      <c r="Q520" s="14" t="s">
        <v>9158</v>
      </c>
      <c r="R520" s="14"/>
    </row>
    <row r="521" spans="1:18">
      <c r="B521" s="14"/>
      <c r="C521" s="14"/>
      <c r="D521" s="14"/>
      <c r="F521" s="14"/>
      <c r="G521" s="14"/>
      <c r="H521" s="14"/>
      <c r="I521" s="14"/>
      <c r="J521" s="14"/>
      <c r="K521" s="14"/>
      <c r="L521" s="14"/>
      <c r="M521" s="14"/>
      <c r="N521" s="14"/>
      <c r="P521" s="14"/>
      <c r="Q521" s="14"/>
      <c r="R521" s="14"/>
    </row>
    <row r="522" spans="1:18">
      <c r="A522" s="14" t="s">
        <v>2075</v>
      </c>
      <c r="D522" s="14"/>
      <c r="F522" s="14"/>
      <c r="G522" s="14"/>
      <c r="H522" s="14"/>
      <c r="I522" s="14"/>
      <c r="J522" s="14"/>
      <c r="K522" s="14"/>
      <c r="L522" s="14"/>
      <c r="M522" s="14"/>
      <c r="N522" s="14"/>
      <c r="P522" s="14"/>
      <c r="Q522" s="14"/>
      <c r="R522" s="14"/>
    </row>
    <row r="523" spans="1:18">
      <c r="A523" s="14" t="s">
        <v>2087</v>
      </c>
      <c r="B523" s="14"/>
      <c r="C523" s="14"/>
      <c r="D523" s="14"/>
      <c r="F523" s="14"/>
      <c r="G523" s="14"/>
      <c r="H523" s="14"/>
      <c r="I523" s="14"/>
      <c r="J523" s="14"/>
      <c r="K523" s="14"/>
      <c r="L523" s="14"/>
      <c r="M523" s="14"/>
      <c r="N523" s="14"/>
      <c r="P523" s="14"/>
      <c r="Q523" s="14"/>
      <c r="R523" s="14"/>
    </row>
    <row r="524" spans="1:18">
      <c r="A524" s="9" t="s">
        <v>5848</v>
      </c>
      <c r="B524" s="14" t="s">
        <v>52</v>
      </c>
      <c r="C524" s="14" t="s">
        <v>200</v>
      </c>
      <c r="D524" s="14" t="s">
        <v>1138</v>
      </c>
      <c r="E524" s="15" t="str">
        <f>HYPERLINK("https://stat100.ameba.jp/tnk47/ratio20/illustrations/card/ill_72963_0_amenohanayomehiguchiichiyo03.jpg?201812-1-RELEASE-raid-382x", "■")</f>
        <v>■</v>
      </c>
      <c r="F524" s="14" t="s">
        <v>1139</v>
      </c>
      <c r="G524" s="14">
        <v>113904</v>
      </c>
      <c r="H524" s="14">
        <v>105910</v>
      </c>
      <c r="I524" s="14">
        <v>17</v>
      </c>
      <c r="J524" s="14" t="s">
        <v>10</v>
      </c>
      <c r="K524" s="14" t="s">
        <v>1140</v>
      </c>
      <c r="L524" s="14" t="s">
        <v>1141</v>
      </c>
      <c r="M524" s="14" t="s">
        <v>9158</v>
      </c>
      <c r="N524" s="14" t="s">
        <v>9158</v>
      </c>
      <c r="O524" s="9" t="s">
        <v>3162</v>
      </c>
      <c r="P524" s="14" t="s">
        <v>3163</v>
      </c>
      <c r="Q524" s="14">
        <v>1</v>
      </c>
      <c r="R524" s="14"/>
    </row>
    <row r="525" spans="1:18">
      <c r="A525" s="9">
        <v>68723</v>
      </c>
      <c r="B525" s="14" t="s">
        <v>334</v>
      </c>
      <c r="C525" s="14" t="s">
        <v>14</v>
      </c>
      <c r="D525" s="14" t="s">
        <v>2076</v>
      </c>
      <c r="E525" s="15" t="str">
        <f>HYPERLINK("https://stat100.ameba.jp/tnk47/ratio20/illustrations/card/ill_68723_gantanfukuhime03.jpg?201812-1-RELEASE-raid-382x", "■")</f>
        <v>■</v>
      </c>
      <c r="F525" s="14" t="s">
        <v>2077</v>
      </c>
      <c r="G525" s="14">
        <v>68977</v>
      </c>
      <c r="H525" s="14">
        <v>74215</v>
      </c>
      <c r="I525" s="14">
        <v>19</v>
      </c>
      <c r="J525" s="14" t="s">
        <v>77</v>
      </c>
      <c r="K525" s="14" t="s">
        <v>2078</v>
      </c>
      <c r="L525" s="14" t="s">
        <v>969</v>
      </c>
      <c r="M525" s="14" t="s">
        <v>9158</v>
      </c>
      <c r="N525" s="14" t="s">
        <v>9158</v>
      </c>
      <c r="O525" s="17" t="s">
        <v>10053</v>
      </c>
      <c r="P525" s="14" t="s">
        <v>3592</v>
      </c>
      <c r="Q525" s="14">
        <v>1</v>
      </c>
      <c r="R525" s="14"/>
    </row>
    <row r="526" spans="1:18">
      <c r="A526" s="9">
        <v>64043</v>
      </c>
      <c r="B526" s="14" t="s">
        <v>334</v>
      </c>
      <c r="C526" s="14" t="s">
        <v>47</v>
      </c>
      <c r="D526" s="14" t="s">
        <v>2079</v>
      </c>
      <c r="E526" s="15" t="str">
        <f>HYPERLINK("https://stat100.ameba.jp/tnk47/ratio20/illustrations/card/ill_64043_kegonnotaki03.jpg?201812-1-RELEASE-raid-382x", "■")</f>
        <v>■</v>
      </c>
      <c r="F526" s="14" t="s">
        <v>2080</v>
      </c>
      <c r="G526" s="14">
        <v>90377</v>
      </c>
      <c r="H526" s="14">
        <v>65466</v>
      </c>
      <c r="I526" s="14">
        <v>19</v>
      </c>
      <c r="J526" s="14" t="s">
        <v>26</v>
      </c>
      <c r="K526" s="14" t="s">
        <v>2081</v>
      </c>
      <c r="L526" s="14" t="s">
        <v>2082</v>
      </c>
      <c r="M526" s="14" t="s">
        <v>9158</v>
      </c>
      <c r="N526" s="14" t="s">
        <v>9158</v>
      </c>
      <c r="O526" s="9" t="s">
        <v>3578</v>
      </c>
      <c r="P526" s="14" t="s">
        <v>3579</v>
      </c>
      <c r="Q526" s="14">
        <v>1</v>
      </c>
      <c r="R526" s="14"/>
    </row>
    <row r="527" spans="1:18">
      <c r="A527" s="9">
        <v>51893</v>
      </c>
      <c r="B527" s="14" t="s">
        <v>334</v>
      </c>
      <c r="C527" s="14" t="s">
        <v>107</v>
      </c>
      <c r="D527" s="14" t="s">
        <v>2083</v>
      </c>
      <c r="E527" s="15" t="str">
        <f>HYPERLINK("https://stat100.ameba.jp/tnk47/ratio20/illustrations/card/ill_51893_kemonomizugitakachihonomine03.jpg?201812-1-RELEASE-raid-382x", "■")</f>
        <v>■</v>
      </c>
      <c r="F527" s="14" t="s">
        <v>2084</v>
      </c>
      <c r="G527" s="14">
        <v>68088</v>
      </c>
      <c r="H527" s="14">
        <v>73232</v>
      </c>
      <c r="I527" s="14">
        <v>19</v>
      </c>
      <c r="J527" s="14" t="s">
        <v>44</v>
      </c>
      <c r="K527" s="14" t="s">
        <v>2085</v>
      </c>
      <c r="L527" s="14" t="s">
        <v>2086</v>
      </c>
      <c r="M527" s="14" t="s">
        <v>9158</v>
      </c>
      <c r="N527" s="14" t="s">
        <v>9158</v>
      </c>
      <c r="O527" s="9" t="s">
        <v>3601</v>
      </c>
      <c r="P527" s="14" t="s">
        <v>13145</v>
      </c>
      <c r="Q527" s="14">
        <v>1</v>
      </c>
      <c r="R527" s="14"/>
    </row>
    <row r="528" spans="1:18">
      <c r="B528" s="14"/>
      <c r="C528" s="14"/>
      <c r="D528" s="14"/>
      <c r="F528" s="14"/>
      <c r="G528" s="14"/>
      <c r="H528" s="14"/>
      <c r="I528" s="14"/>
      <c r="J528" s="14"/>
      <c r="K528" s="14"/>
      <c r="L528" s="14"/>
      <c r="M528" s="14"/>
      <c r="N528" s="14"/>
      <c r="P528" s="14"/>
      <c r="Q528" s="14"/>
      <c r="R528" s="14"/>
    </row>
    <row r="529" spans="1:18">
      <c r="A529" s="14" t="s">
        <v>199</v>
      </c>
      <c r="D529" s="14"/>
      <c r="F529" s="14"/>
      <c r="G529" s="14"/>
      <c r="H529" s="14"/>
      <c r="I529" s="14"/>
      <c r="J529" s="14"/>
      <c r="K529" s="14"/>
      <c r="L529" s="14"/>
      <c r="M529" s="14"/>
      <c r="N529" s="14"/>
      <c r="P529" s="14"/>
      <c r="Q529" s="14"/>
      <c r="R529" s="14"/>
    </row>
    <row r="530" spans="1:18">
      <c r="A530" s="14" t="s">
        <v>2088</v>
      </c>
      <c r="B530" s="14"/>
      <c r="C530" s="14"/>
      <c r="D530" s="14"/>
      <c r="F530" s="14"/>
      <c r="G530" s="14"/>
      <c r="H530" s="14"/>
      <c r="I530" s="14"/>
      <c r="J530" s="14"/>
      <c r="K530" s="14"/>
      <c r="L530" s="14"/>
      <c r="M530" s="14"/>
      <c r="N530" s="14"/>
      <c r="P530" s="14"/>
      <c r="Q530" s="14"/>
      <c r="R530" s="14"/>
    </row>
    <row r="531" spans="1:18">
      <c r="A531" s="9" t="s">
        <v>5901</v>
      </c>
      <c r="B531" s="14" t="s">
        <v>52</v>
      </c>
      <c r="C531" s="14" t="s">
        <v>101</v>
      </c>
      <c r="D531" s="14" t="s">
        <v>2089</v>
      </c>
      <c r="E531" s="15" t="str">
        <f>HYPERLINK("https://stat100.ameba.jp/tnk47/ratio20/illustrations/card/ill_64953_0_yukatatokugawayoshinobu03.jpg?201812-1-RELEASE-raid-382x", "■")</f>
        <v>■</v>
      </c>
      <c r="F531" s="14" t="s">
        <v>2090</v>
      </c>
      <c r="G531" s="14">
        <v>93450</v>
      </c>
      <c r="H531" s="14">
        <v>100502</v>
      </c>
      <c r="I531" s="14">
        <v>15</v>
      </c>
      <c r="J531" s="14" t="s">
        <v>10</v>
      </c>
      <c r="K531" s="14" t="s">
        <v>2091</v>
      </c>
      <c r="L531" s="14" t="s">
        <v>2092</v>
      </c>
      <c r="M531" s="14" t="s">
        <v>9158</v>
      </c>
      <c r="N531" s="14" t="s">
        <v>9158</v>
      </c>
      <c r="O531" s="9" t="s">
        <v>2889</v>
      </c>
      <c r="P531" s="14" t="s">
        <v>2890</v>
      </c>
      <c r="Q531" s="14">
        <v>1</v>
      </c>
      <c r="R531" s="14"/>
    </row>
    <row r="532" spans="1:18">
      <c r="A532" s="9" t="s">
        <v>5602</v>
      </c>
      <c r="B532" s="14" t="s">
        <v>52</v>
      </c>
      <c r="C532" s="14" t="s">
        <v>14</v>
      </c>
      <c r="D532" s="14" t="s">
        <v>2093</v>
      </c>
      <c r="E532" s="15" t="str">
        <f>HYPERLINK("https://stat100.ameba.jp/tnk47/ratio20/illustrations/card/ill_55313_0_haroinononokomachi03.jpg?201812-1-RELEASE-raid-382x", "■")</f>
        <v>■</v>
      </c>
      <c r="F532" s="14" t="s">
        <v>2094</v>
      </c>
      <c r="G532" s="14">
        <v>94236</v>
      </c>
      <c r="H532" s="14">
        <v>83712</v>
      </c>
      <c r="I532" s="14">
        <v>15</v>
      </c>
      <c r="J532" s="14" t="s">
        <v>10</v>
      </c>
      <c r="K532" s="14" t="s">
        <v>2095</v>
      </c>
      <c r="L532" s="14" t="s">
        <v>2096</v>
      </c>
      <c r="M532" s="14" t="s">
        <v>9158</v>
      </c>
      <c r="N532" s="14" t="s">
        <v>9158</v>
      </c>
      <c r="O532" s="9" t="s">
        <v>2733</v>
      </c>
      <c r="P532" s="14" t="s">
        <v>2734</v>
      </c>
      <c r="Q532" s="14">
        <v>1</v>
      </c>
      <c r="R532" s="14"/>
    </row>
    <row r="533" spans="1:18">
      <c r="A533" s="9" t="s">
        <v>5608</v>
      </c>
      <c r="B533" s="14" t="s">
        <v>52</v>
      </c>
      <c r="C533" s="14" t="s">
        <v>96</v>
      </c>
      <c r="D533" s="14" t="s">
        <v>2037</v>
      </c>
      <c r="E533" s="15" t="str">
        <f>HYPERLINK("https://stat100.ameba.jp/tnk47/ratio20/illustrations/card/ill_40963_0_makami03.jpg?201812-1-RELEASE-raid-382x", "■")</f>
        <v>■</v>
      </c>
      <c r="F533" s="14" t="s">
        <v>2038</v>
      </c>
      <c r="G533" s="14">
        <v>87780</v>
      </c>
      <c r="H533" s="14">
        <v>82212</v>
      </c>
      <c r="I533" s="14">
        <v>15</v>
      </c>
      <c r="J533" s="14" t="s">
        <v>44</v>
      </c>
      <c r="K533" s="14" t="s">
        <v>2039</v>
      </c>
      <c r="L533" s="14" t="s">
        <v>2040</v>
      </c>
      <c r="M533" s="14" t="s">
        <v>9158</v>
      </c>
      <c r="N533" s="14" t="s">
        <v>9158</v>
      </c>
      <c r="O533" s="14" t="s">
        <v>9158</v>
      </c>
      <c r="P533" s="14" t="s">
        <v>9158</v>
      </c>
      <c r="Q533" s="14" t="s">
        <v>9158</v>
      </c>
      <c r="R533" s="14"/>
    </row>
    <row r="534" spans="1:18">
      <c r="A534" s="9">
        <v>63413</v>
      </c>
      <c r="B534" s="14" t="s">
        <v>334</v>
      </c>
      <c r="C534" s="14" t="s">
        <v>23</v>
      </c>
      <c r="D534" s="14" t="s">
        <v>2097</v>
      </c>
      <c r="E534" s="15" t="str">
        <f>HYPERLINK("https://stat100.ameba.jp/tnk47/ratio20/illustrations/card/ill_63413_nidaimeichikawadanjuro03.jpg?201812-1-RELEASE-raid-382x", "■")</f>
        <v>■</v>
      </c>
      <c r="F534" s="14" t="s">
        <v>2098</v>
      </c>
      <c r="G534" s="14">
        <v>110186</v>
      </c>
      <c r="H534" s="14">
        <v>62000</v>
      </c>
      <c r="I534" s="14">
        <v>22</v>
      </c>
      <c r="J534" s="14" t="s">
        <v>16</v>
      </c>
      <c r="K534" s="14" t="s">
        <v>2099</v>
      </c>
      <c r="L534" s="14" t="s">
        <v>2100</v>
      </c>
      <c r="M534" s="14" t="s">
        <v>9158</v>
      </c>
      <c r="N534" s="14" t="s">
        <v>9158</v>
      </c>
      <c r="O534" s="14" t="s">
        <v>9158</v>
      </c>
      <c r="P534" s="14" t="s">
        <v>9158</v>
      </c>
      <c r="Q534" s="14" t="s">
        <v>9158</v>
      </c>
      <c r="R534" s="14"/>
    </row>
    <row r="535" spans="1:18">
      <c r="A535" s="9">
        <v>67533</v>
      </c>
      <c r="B535" s="14" t="s">
        <v>334</v>
      </c>
      <c r="C535" s="14" t="s">
        <v>107</v>
      </c>
      <c r="D535" s="14" t="s">
        <v>2101</v>
      </c>
      <c r="E535" s="15" t="str">
        <f>HYPERLINK("https://stat100.ameba.jp/tnk47/ratio20/illustrations/card/ill_67533_makkurazore03.jpg?201812-1-RELEASE-raid-382x", "■")</f>
        <v>■</v>
      </c>
      <c r="F535" s="14" t="s">
        <v>2102</v>
      </c>
      <c r="G535" s="14">
        <v>62000</v>
      </c>
      <c r="H535" s="14">
        <v>110186</v>
      </c>
      <c r="I535" s="14">
        <v>22</v>
      </c>
      <c r="J535" s="14" t="s">
        <v>73</v>
      </c>
      <c r="K535" s="14" t="s">
        <v>2103</v>
      </c>
      <c r="L535" s="14" t="s">
        <v>2104</v>
      </c>
      <c r="M535" s="14" t="s">
        <v>9158</v>
      </c>
      <c r="N535" s="14" t="s">
        <v>9158</v>
      </c>
      <c r="O535" s="14" t="s">
        <v>9158</v>
      </c>
      <c r="P535" s="14" t="s">
        <v>9158</v>
      </c>
      <c r="Q535" s="14" t="s">
        <v>9158</v>
      </c>
      <c r="R535" s="14"/>
    </row>
    <row r="536" spans="1:18">
      <c r="A536" s="9">
        <v>73103</v>
      </c>
      <c r="B536" s="14" t="s">
        <v>334</v>
      </c>
      <c r="C536" s="14" t="s">
        <v>41</v>
      </c>
      <c r="D536" s="14" t="s">
        <v>2105</v>
      </c>
      <c r="E536" s="15" t="str">
        <f>HYPERLINK("https://stat100.ameba.jp/tnk47/ratio20/illustrations/card/ill_73103_nominookata03.jpg?201812-1-RELEASE-raid-382x", "■")</f>
        <v>■</v>
      </c>
      <c r="F536" s="14" t="s">
        <v>2106</v>
      </c>
      <c r="G536" s="14">
        <v>69652</v>
      </c>
      <c r="H536" s="14">
        <v>96148</v>
      </c>
      <c r="I536" s="14">
        <v>22</v>
      </c>
      <c r="J536" s="14" t="s">
        <v>77</v>
      </c>
      <c r="K536" s="14" t="s">
        <v>2107</v>
      </c>
      <c r="L536" s="14" t="s">
        <v>969</v>
      </c>
      <c r="M536" s="14" t="s">
        <v>9158</v>
      </c>
      <c r="N536" s="14" t="s">
        <v>9158</v>
      </c>
      <c r="O536" s="9" t="s">
        <v>2717</v>
      </c>
      <c r="P536" s="14" t="s">
        <v>13173</v>
      </c>
      <c r="Q536" s="14">
        <v>1</v>
      </c>
      <c r="R536" s="14"/>
    </row>
    <row r="537" spans="1:18">
      <c r="B537" s="14"/>
      <c r="C537" s="14"/>
      <c r="D537" s="14"/>
      <c r="F537" s="14"/>
      <c r="G537" s="14"/>
      <c r="H537" s="14"/>
      <c r="I537" s="14"/>
      <c r="J537" s="14"/>
      <c r="K537" s="14"/>
      <c r="L537" s="14"/>
      <c r="M537" s="14"/>
      <c r="N537" s="14"/>
      <c r="P537" s="14"/>
      <c r="Q537" s="14"/>
      <c r="R537" s="14"/>
    </row>
    <row r="538" spans="1:18">
      <c r="A538" s="14" t="s">
        <v>132</v>
      </c>
      <c r="D538" s="14"/>
      <c r="F538" s="14"/>
      <c r="G538" s="14"/>
      <c r="H538" s="14"/>
      <c r="I538" s="14"/>
      <c r="J538" s="14"/>
      <c r="K538" s="14"/>
      <c r="L538" s="14"/>
      <c r="M538" s="14"/>
      <c r="N538" s="14"/>
      <c r="P538" s="14"/>
      <c r="Q538" s="14"/>
      <c r="R538" s="14"/>
    </row>
    <row r="539" spans="1:18">
      <c r="A539" s="14" t="s">
        <v>2108</v>
      </c>
      <c r="B539" s="14"/>
      <c r="C539" s="14"/>
      <c r="D539" s="14"/>
      <c r="F539" s="14"/>
      <c r="G539" s="14"/>
      <c r="H539" s="14"/>
      <c r="I539" s="14"/>
      <c r="J539" s="14"/>
      <c r="K539" s="14"/>
      <c r="L539" s="14"/>
      <c r="M539" s="14"/>
      <c r="N539" s="14"/>
      <c r="P539" s="14"/>
      <c r="Q539" s="14"/>
      <c r="R539" s="14"/>
    </row>
    <row r="540" spans="1:18">
      <c r="A540" s="9">
        <v>73055</v>
      </c>
      <c r="B540" s="14" t="s">
        <v>334</v>
      </c>
      <c r="C540" s="14" t="s">
        <v>202</v>
      </c>
      <c r="D540" s="14" t="s">
        <v>2109</v>
      </c>
      <c r="E540" s="15" t="str">
        <f>HYPERLINK("https://stat100.ameba.jp/tnk47/ratio20/illustrations/card/ill_73055_tengubi05.jpg?201812-1-RELEASE-raid-382x", "■")</f>
        <v>■</v>
      </c>
      <c r="F540" s="14" t="s">
        <v>2110</v>
      </c>
      <c r="G540" s="14">
        <v>47305</v>
      </c>
      <c r="H540" s="14">
        <v>65335</v>
      </c>
      <c r="I540" s="14">
        <v>21</v>
      </c>
      <c r="J540" s="14" t="s">
        <v>73</v>
      </c>
      <c r="K540" s="14" t="s">
        <v>2111</v>
      </c>
      <c r="L540" s="14" t="s">
        <v>2112</v>
      </c>
      <c r="M540" s="14" t="s">
        <v>9158</v>
      </c>
      <c r="N540" s="14" t="s">
        <v>9158</v>
      </c>
      <c r="O540" s="14" t="s">
        <v>9158</v>
      </c>
      <c r="P540" s="14" t="s">
        <v>9158</v>
      </c>
      <c r="Q540" s="14" t="s">
        <v>9158</v>
      </c>
      <c r="R540" s="14" t="s">
        <v>174</v>
      </c>
    </row>
    <row r="541" spans="1:18">
      <c r="A541" s="9">
        <v>73053</v>
      </c>
      <c r="B541" s="14" t="s">
        <v>15</v>
      </c>
      <c r="C541" s="14" t="s">
        <v>154</v>
      </c>
      <c r="D541" s="14" t="s">
        <v>2109</v>
      </c>
      <c r="E541" s="15" t="str">
        <f>HYPERLINK("https://stat100.ameba.jp/tnk47/ratio20/illustrations/card/ill_73053_tengubi03.jpg?201812-1-RELEASE-raid-382x", "■")</f>
        <v>■</v>
      </c>
      <c r="F541" s="14" t="s">
        <v>2110</v>
      </c>
      <c r="G541" s="14">
        <v>34186</v>
      </c>
      <c r="H541" s="14">
        <v>47256</v>
      </c>
      <c r="I541" s="14">
        <v>21</v>
      </c>
      <c r="J541" s="14" t="s">
        <v>73</v>
      </c>
      <c r="K541" s="14" t="s">
        <v>2111</v>
      </c>
      <c r="L541" s="14" t="s">
        <v>2113</v>
      </c>
      <c r="M541" s="14" t="s">
        <v>9158</v>
      </c>
      <c r="N541" s="14" t="s">
        <v>9158</v>
      </c>
      <c r="O541" s="14" t="s">
        <v>9158</v>
      </c>
      <c r="P541" s="14" t="s">
        <v>9158</v>
      </c>
      <c r="Q541" s="14" t="s">
        <v>9158</v>
      </c>
      <c r="R541" s="14" t="s">
        <v>175</v>
      </c>
    </row>
    <row r="542" spans="1:18">
      <c r="A542" s="9">
        <v>73051</v>
      </c>
      <c r="B542" s="14" t="s">
        <v>15</v>
      </c>
      <c r="C542" s="14" t="s">
        <v>154</v>
      </c>
      <c r="D542" s="14" t="s">
        <v>2109</v>
      </c>
      <c r="E542" s="15" t="str">
        <f>HYPERLINK("https://stat100.ameba.jp/tnk47/ratio20/illustrations/card/ill_73051_tengubi01.jpg?201812-1-RELEASE-raid-382x", "■")</f>
        <v>■</v>
      </c>
      <c r="F542" s="14" t="s">
        <v>2110</v>
      </c>
      <c r="G542" s="14">
        <v>19824</v>
      </c>
      <c r="H542" s="14">
        <v>27384</v>
      </c>
      <c r="I542" s="14">
        <v>21</v>
      </c>
      <c r="J542" s="14" t="s">
        <v>73</v>
      </c>
      <c r="K542" s="14" t="s">
        <v>2111</v>
      </c>
      <c r="L542" s="14" t="s">
        <v>2114</v>
      </c>
      <c r="M542" s="14" t="s">
        <v>9158</v>
      </c>
      <c r="N542" s="14" t="s">
        <v>9158</v>
      </c>
      <c r="O542" s="14" t="s">
        <v>9158</v>
      </c>
      <c r="P542" s="14" t="s">
        <v>9158</v>
      </c>
      <c r="Q542" s="14" t="s">
        <v>9158</v>
      </c>
      <c r="R542" s="14" t="s">
        <v>176</v>
      </c>
    </row>
    <row r="543" spans="1:18">
      <c r="A543" s="9">
        <v>59805</v>
      </c>
      <c r="B543" s="14" t="s">
        <v>334</v>
      </c>
      <c r="C543" s="14" t="s">
        <v>202</v>
      </c>
      <c r="D543" s="14" t="s">
        <v>2115</v>
      </c>
      <c r="E543" s="15" t="str">
        <f>HYPERLINK("https://stat100.ameba.jp/tnk47/ratio20/illustrations/card/ill_59805_mikanhachimitsuchan05.jpg?201812-1-RELEASE-raid-382x", "■")</f>
        <v>■</v>
      </c>
      <c r="F543" s="14" t="s">
        <v>2116</v>
      </c>
      <c r="G543" s="14">
        <v>86463</v>
      </c>
      <c r="H543" s="14">
        <v>119400</v>
      </c>
      <c r="I543" s="14">
        <v>21</v>
      </c>
      <c r="J543" s="14" t="s">
        <v>104</v>
      </c>
      <c r="K543" s="14" t="s">
        <v>2117</v>
      </c>
      <c r="L543" s="14" t="s">
        <v>2118</v>
      </c>
      <c r="M543" s="14" t="s">
        <v>9158</v>
      </c>
      <c r="N543" s="14" t="s">
        <v>9158</v>
      </c>
      <c r="O543" s="14" t="s">
        <v>9158</v>
      </c>
      <c r="P543" s="14" t="s">
        <v>9158</v>
      </c>
      <c r="Q543" s="14" t="s">
        <v>9158</v>
      </c>
      <c r="R543" s="14" t="s">
        <v>174</v>
      </c>
    </row>
    <row r="544" spans="1:18">
      <c r="A544" s="9">
        <v>59803</v>
      </c>
      <c r="B544" s="14" t="s">
        <v>15</v>
      </c>
      <c r="C544" s="14" t="s">
        <v>158</v>
      </c>
      <c r="D544" s="14" t="s">
        <v>2115</v>
      </c>
      <c r="E544" s="15" t="str">
        <f>HYPERLINK("https://stat100.ameba.jp/tnk47/ratio20/illustrations/card/ill_59803_mikanhachimitsuchan03.jpg?201812-1-RELEASE-raid-382x", "■")</f>
        <v>■</v>
      </c>
      <c r="F544" s="14" t="s">
        <v>2116</v>
      </c>
      <c r="G544" s="14">
        <v>63705</v>
      </c>
      <c r="H544" s="14">
        <v>87980</v>
      </c>
      <c r="I544" s="14">
        <v>21</v>
      </c>
      <c r="J544" s="14" t="s">
        <v>104</v>
      </c>
      <c r="K544" s="14" t="s">
        <v>2117</v>
      </c>
      <c r="L544" s="14" t="s">
        <v>1757</v>
      </c>
      <c r="M544" s="14" t="s">
        <v>9158</v>
      </c>
      <c r="N544" s="14" t="s">
        <v>9158</v>
      </c>
      <c r="O544" s="14" t="s">
        <v>9158</v>
      </c>
      <c r="P544" s="14" t="s">
        <v>9158</v>
      </c>
      <c r="Q544" s="14" t="s">
        <v>9158</v>
      </c>
      <c r="R544" s="14" t="s">
        <v>175</v>
      </c>
    </row>
    <row r="545" spans="1:18">
      <c r="A545" s="9">
        <v>59801</v>
      </c>
      <c r="B545" s="14" t="s">
        <v>15</v>
      </c>
      <c r="C545" s="14" t="s">
        <v>158</v>
      </c>
      <c r="D545" s="14" t="s">
        <v>2115</v>
      </c>
      <c r="E545" s="15" t="str">
        <f>HYPERLINK("https://stat100.ameba.jp/tnk47/ratio20/illustrations/card/ill_59801_mikanhachimitsuchan01.jpg?201812-1-RELEASE-raid-382x", "■")</f>
        <v>■</v>
      </c>
      <c r="F545" s="14" t="s">
        <v>2116</v>
      </c>
      <c r="G545" s="14">
        <v>40530</v>
      </c>
      <c r="H545" s="14">
        <v>55965</v>
      </c>
      <c r="I545" s="14">
        <v>21</v>
      </c>
      <c r="J545" s="14" t="s">
        <v>104</v>
      </c>
      <c r="K545" s="14" t="s">
        <v>2117</v>
      </c>
      <c r="L545" s="14" t="s">
        <v>2119</v>
      </c>
      <c r="M545" s="14" t="s">
        <v>9158</v>
      </c>
      <c r="N545" s="14" t="s">
        <v>9158</v>
      </c>
      <c r="O545" s="14" t="s">
        <v>9158</v>
      </c>
      <c r="P545" s="14" t="s">
        <v>9158</v>
      </c>
      <c r="Q545" s="14" t="s">
        <v>9158</v>
      </c>
      <c r="R545" s="14" t="s">
        <v>176</v>
      </c>
    </row>
    <row r="546" spans="1:18">
      <c r="A546" s="9">
        <v>66315</v>
      </c>
      <c r="B546" s="14" t="s">
        <v>334</v>
      </c>
      <c r="C546" s="14" t="s">
        <v>202</v>
      </c>
      <c r="D546" s="14" t="s">
        <v>2120</v>
      </c>
      <c r="E546" s="15" t="str">
        <f>HYPERLINK("https://stat100.ameba.jp/tnk47/ratio20/illustrations/card/ill_66315_madenokojinotsubone05.jpg?201812-1-RELEASE-raid-382x", "■")</f>
        <v>■</v>
      </c>
      <c r="F546" s="14" t="s">
        <v>2121</v>
      </c>
      <c r="G546" s="14">
        <v>71481</v>
      </c>
      <c r="H546" s="14">
        <v>98728</v>
      </c>
      <c r="I546" s="14">
        <v>21</v>
      </c>
      <c r="J546" s="14" t="s">
        <v>77</v>
      </c>
      <c r="K546" s="14" t="s">
        <v>2122</v>
      </c>
      <c r="L546" s="14" t="s">
        <v>969</v>
      </c>
      <c r="M546" s="14" t="s">
        <v>9158</v>
      </c>
      <c r="N546" s="14" t="s">
        <v>9158</v>
      </c>
      <c r="O546" s="14" t="s">
        <v>9158</v>
      </c>
      <c r="P546" s="14" t="s">
        <v>9158</v>
      </c>
      <c r="Q546" s="14" t="s">
        <v>9158</v>
      </c>
      <c r="R546" s="14" t="s">
        <v>174</v>
      </c>
    </row>
    <row r="547" spans="1:18">
      <c r="A547" s="9">
        <v>66313</v>
      </c>
      <c r="B547" s="14" t="s">
        <v>15</v>
      </c>
      <c r="C547" s="14" t="s">
        <v>158</v>
      </c>
      <c r="D547" s="14" t="s">
        <v>2120</v>
      </c>
      <c r="E547" s="15" t="str">
        <f>HYPERLINK("https://stat100.ameba.jp/tnk47/ratio20/illustrations/card/ill_66313_madenokojinotsubone03.jpg?201812-1-RELEASE-raid-382x", "■")</f>
        <v>■</v>
      </c>
      <c r="F547" s="14" t="s">
        <v>2121</v>
      </c>
      <c r="G547" s="14">
        <v>52663</v>
      </c>
      <c r="H547" s="14">
        <v>72733</v>
      </c>
      <c r="I547" s="14">
        <v>21</v>
      </c>
      <c r="J547" s="14" t="s">
        <v>77</v>
      </c>
      <c r="K547" s="14" t="s">
        <v>2122</v>
      </c>
      <c r="L547" s="14" t="s">
        <v>2123</v>
      </c>
      <c r="M547" s="14" t="s">
        <v>9158</v>
      </c>
      <c r="N547" s="14" t="s">
        <v>9158</v>
      </c>
      <c r="O547" s="14" t="s">
        <v>9158</v>
      </c>
      <c r="P547" s="14" t="s">
        <v>9158</v>
      </c>
      <c r="Q547" s="14" t="s">
        <v>9158</v>
      </c>
      <c r="R547" s="14" t="s">
        <v>175</v>
      </c>
    </row>
    <row r="548" spans="1:18">
      <c r="A548" s="9">
        <v>66311</v>
      </c>
      <c r="B548" s="14" t="s">
        <v>15</v>
      </c>
      <c r="C548" s="14" t="s">
        <v>158</v>
      </c>
      <c r="D548" s="14" t="s">
        <v>2120</v>
      </c>
      <c r="E548" s="15" t="str">
        <f>HYPERLINK("https://stat100.ameba.jp/tnk47/ratio20/illustrations/card/ill_66311_madenokojinotsubone01.jpg?201812-1-RELEASE-raid-382x", "■")</f>
        <v>■</v>
      </c>
      <c r="F548" s="14" t="s">
        <v>2121</v>
      </c>
      <c r="G548" s="14">
        <v>33495</v>
      </c>
      <c r="H548" s="14">
        <v>46263</v>
      </c>
      <c r="I548" s="14">
        <v>21</v>
      </c>
      <c r="J548" s="14" t="s">
        <v>77</v>
      </c>
      <c r="K548" s="14" t="s">
        <v>2122</v>
      </c>
      <c r="L548" s="14" t="s">
        <v>2124</v>
      </c>
      <c r="M548" s="14" t="s">
        <v>9158</v>
      </c>
      <c r="N548" s="14" t="s">
        <v>9158</v>
      </c>
      <c r="O548" s="14" t="s">
        <v>9158</v>
      </c>
      <c r="P548" s="14" t="s">
        <v>9158</v>
      </c>
      <c r="Q548" s="14" t="s">
        <v>9158</v>
      </c>
      <c r="R548" s="14" t="s">
        <v>176</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138CD-F084-435D-9F26-182730DA5AF6}">
  <dimension ref="A1:S598"/>
  <sheetViews>
    <sheetView zoomScale="55" zoomScaleNormal="55" workbookViewId="0">
      <pane ySplit="1" topLeftCell="A572" activePane="bottomLeft" state="frozen"/>
      <selection pane="bottomLeft" activeCell="L458" sqref="L458"/>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16119</v>
      </c>
    </row>
    <row r="4" spans="1:19">
      <c r="A4" s="14">
        <v>311617</v>
      </c>
      <c r="B4" s="14" t="s">
        <v>16087</v>
      </c>
    </row>
    <row r="5" spans="1:19">
      <c r="A5" s="14">
        <v>311666</v>
      </c>
      <c r="B5" s="14" t="s">
        <v>16088</v>
      </c>
    </row>
    <row r="6" spans="1:19">
      <c r="A6" s="14" t="s">
        <v>16084</v>
      </c>
      <c r="B6" s="7" t="s">
        <v>52</v>
      </c>
      <c r="C6" s="14" t="s">
        <v>202</v>
      </c>
      <c r="D6" s="18" t="s">
        <v>16083</v>
      </c>
      <c r="E6" s="15" t="str">
        <f>HYPERLINK("https://stat100.ameba.jp/tnk47/ratio20/illustrations/card/ill_95653_0_barentaindefukuhime03.jpg?202102-5-RELEASE-marathon-516x", "■")</f>
        <v>■</v>
      </c>
      <c r="F6" s="14" t="s">
        <v>16082</v>
      </c>
      <c r="G6" s="14">
        <v>380222</v>
      </c>
      <c r="H6" s="14">
        <v>311096</v>
      </c>
      <c r="I6" s="7">
        <v>33</v>
      </c>
      <c r="J6" s="14" t="s">
        <v>77</v>
      </c>
      <c r="K6" s="14" t="s">
        <v>16081</v>
      </c>
      <c r="L6" s="14" t="s">
        <v>16080</v>
      </c>
      <c r="M6" s="14" t="s">
        <v>9158</v>
      </c>
      <c r="N6" s="14" t="s">
        <v>9158</v>
      </c>
      <c r="O6" s="7" t="s">
        <v>16086</v>
      </c>
      <c r="P6" s="7" t="s">
        <v>16085</v>
      </c>
      <c r="Q6" s="7">
        <v>1</v>
      </c>
    </row>
    <row r="7" spans="1:19">
      <c r="A7" s="14">
        <v>95603</v>
      </c>
      <c r="B7" s="14" t="s">
        <v>0</v>
      </c>
      <c r="C7" s="14" t="s">
        <v>96</v>
      </c>
      <c r="D7" s="18" t="s">
        <v>16091</v>
      </c>
      <c r="E7" s="15" t="str">
        <f>HYPERLINK("https://stat100.ameba.jp/tnk47/ratio20/illustrations/card/ill_95603_barentaindeujichachan03.jpg?202102-5-RELEASE-marathon-516x", "■")</f>
        <v>■</v>
      </c>
      <c r="F7" s="14" t="s">
        <v>16090</v>
      </c>
      <c r="G7" s="14">
        <v>132230</v>
      </c>
      <c r="H7" s="14">
        <v>122960</v>
      </c>
      <c r="I7" s="14">
        <v>28</v>
      </c>
      <c r="J7" s="14" t="s">
        <v>104</v>
      </c>
      <c r="K7" s="14" t="s">
        <v>16089</v>
      </c>
      <c r="L7" s="14" t="s">
        <v>12340</v>
      </c>
      <c r="M7" s="14" t="s">
        <v>9158</v>
      </c>
      <c r="N7" s="14" t="s">
        <v>9158</v>
      </c>
      <c r="O7" s="7" t="s">
        <v>10055</v>
      </c>
      <c r="P7" s="7" t="s">
        <v>16092</v>
      </c>
      <c r="Q7" s="7">
        <v>1</v>
      </c>
    </row>
    <row r="8" spans="1:19">
      <c r="A8" s="14">
        <v>95593</v>
      </c>
      <c r="B8" s="14" t="s">
        <v>0</v>
      </c>
      <c r="C8" s="14" t="s">
        <v>23</v>
      </c>
      <c r="D8" s="18" t="s">
        <v>16096</v>
      </c>
      <c r="E8" s="15" t="str">
        <f>HYPERLINK("https://stat100.ameba.jp/tnk47/ratio20/illustrations/card/ill_95593_barentaindeokurichochin03.jpg?202102-5-RELEASE-marathon-516x", "■")</f>
        <v>■</v>
      </c>
      <c r="F8" s="14" t="s">
        <v>16095</v>
      </c>
      <c r="G8" s="14">
        <v>154768</v>
      </c>
      <c r="H8" s="14">
        <v>166452</v>
      </c>
      <c r="I8" s="14">
        <v>28</v>
      </c>
      <c r="J8" s="14" t="s">
        <v>73</v>
      </c>
      <c r="K8" s="14" t="s">
        <v>16094</v>
      </c>
      <c r="L8" s="14" t="s">
        <v>16093</v>
      </c>
      <c r="M8" s="14" t="s">
        <v>2138</v>
      </c>
      <c r="N8" s="14" t="s">
        <v>2139</v>
      </c>
      <c r="O8" s="14" t="s">
        <v>9158</v>
      </c>
      <c r="P8" s="14" t="s">
        <v>9158</v>
      </c>
      <c r="Q8" s="14" t="s">
        <v>9158</v>
      </c>
      <c r="R8" s="14" t="s">
        <v>13120</v>
      </c>
    </row>
    <row r="9" spans="1:19">
      <c r="A9" s="14">
        <v>95613</v>
      </c>
      <c r="B9" s="14" t="s">
        <v>0</v>
      </c>
      <c r="C9" s="14" t="s">
        <v>1</v>
      </c>
      <c r="D9" s="18" t="s">
        <v>16099</v>
      </c>
      <c r="E9" s="15" t="str">
        <f>HYPERLINK("https://stat100.ameba.jp/tnk47/ratio20/illustrations/card/ill_95613_barentaindetosatokenchan03.jpg?202102-5-RELEASE-marathon-516x", "■")</f>
        <v>■</v>
      </c>
      <c r="F9" s="14" t="s">
        <v>16098</v>
      </c>
      <c r="G9" s="14">
        <v>118598</v>
      </c>
      <c r="H9" s="14">
        <v>127556</v>
      </c>
      <c r="I9" s="14">
        <v>28</v>
      </c>
      <c r="J9" s="14" t="s">
        <v>26</v>
      </c>
      <c r="K9" s="14" t="s">
        <v>16097</v>
      </c>
      <c r="L9" s="14" t="s">
        <v>15975</v>
      </c>
      <c r="M9" s="14" t="s">
        <v>2138</v>
      </c>
      <c r="N9" s="14" t="s">
        <v>2139</v>
      </c>
      <c r="O9" s="14" t="s">
        <v>9158</v>
      </c>
      <c r="P9" s="14" t="s">
        <v>9158</v>
      </c>
      <c r="Q9" s="14" t="s">
        <v>9158</v>
      </c>
      <c r="R9" s="14" t="s">
        <v>13120</v>
      </c>
    </row>
    <row r="10" spans="1:19">
      <c r="A10" s="14">
        <v>95623</v>
      </c>
      <c r="B10" s="14" t="s">
        <v>15</v>
      </c>
      <c r="C10" s="14" t="s">
        <v>107</v>
      </c>
      <c r="D10" s="18" t="s">
        <v>16102</v>
      </c>
      <c r="E10" s="15" t="str">
        <f>HYPERLINK("https://stat100.ameba.jp/tnk47/ratio20/illustrations/card/ill_95623_hommeihosokawagarasha03.jpg?202102-5-RELEASE-marathon-516x", "■")</f>
        <v>■</v>
      </c>
      <c r="F10" s="14" t="s">
        <v>16101</v>
      </c>
      <c r="G10" s="7">
        <v>80028</v>
      </c>
      <c r="H10" s="7">
        <v>72586</v>
      </c>
      <c r="I10" s="7">
        <v>27</v>
      </c>
      <c r="J10" s="14" t="s">
        <v>77</v>
      </c>
      <c r="K10" s="7" t="s">
        <v>16100</v>
      </c>
      <c r="L10" s="7" t="s">
        <v>3501</v>
      </c>
      <c r="M10" s="14" t="s">
        <v>9158</v>
      </c>
      <c r="N10" s="14" t="s">
        <v>9158</v>
      </c>
      <c r="O10" s="14" t="s">
        <v>9158</v>
      </c>
      <c r="P10" s="14" t="s">
        <v>9158</v>
      </c>
      <c r="Q10" s="14" t="s">
        <v>9158</v>
      </c>
    </row>
    <row r="11" spans="1:19">
      <c r="A11" s="14">
        <v>95633</v>
      </c>
      <c r="B11" s="14" t="s">
        <v>15</v>
      </c>
      <c r="C11" s="14" t="s">
        <v>14</v>
      </c>
      <c r="D11" s="18" t="s">
        <v>16105</v>
      </c>
      <c r="E11" s="15" t="str">
        <f>HYPERLINK("https://stat100.ameba.jp/tnk47/ratio20/illustrations/card/ill_95633_kirasuito03.jpg?202102-5-RELEASE-marathon-516x", "■")</f>
        <v>■</v>
      </c>
      <c r="F11" s="14" t="s">
        <v>16104</v>
      </c>
      <c r="G11" s="7">
        <v>72586</v>
      </c>
      <c r="H11" s="7">
        <v>80028</v>
      </c>
      <c r="I11" s="7">
        <v>27</v>
      </c>
      <c r="J11" s="14" t="s">
        <v>104</v>
      </c>
      <c r="K11" s="7" t="s">
        <v>16103</v>
      </c>
      <c r="L11" s="7" t="s">
        <v>2154</v>
      </c>
      <c r="M11" s="14" t="s">
        <v>9158</v>
      </c>
      <c r="N11" s="14" t="s">
        <v>9158</v>
      </c>
      <c r="O11" s="14" t="s">
        <v>9158</v>
      </c>
      <c r="P11" s="14" t="s">
        <v>9158</v>
      </c>
      <c r="Q11" s="14" t="s">
        <v>9158</v>
      </c>
    </row>
    <row r="12" spans="1:19">
      <c r="A12" s="14">
        <v>95643</v>
      </c>
      <c r="B12" s="14" t="s">
        <v>15</v>
      </c>
      <c r="C12" s="14" t="s">
        <v>101</v>
      </c>
      <c r="D12" s="18" t="s">
        <v>16108</v>
      </c>
      <c r="E12" s="15" t="str">
        <f>HYPERLINK("https://stat100.ameba.jp/tnk47/ratio20/illustrations/card/ill_95643_barentaimbudochan03.jpg?202102-5-RELEASE-marathon-516x", "■")</f>
        <v>■</v>
      </c>
      <c r="F12" s="14" t="s">
        <v>16107</v>
      </c>
      <c r="G12" s="7">
        <v>80028</v>
      </c>
      <c r="H12" s="7">
        <v>72586</v>
      </c>
      <c r="I12" s="7">
        <v>27</v>
      </c>
      <c r="J12" s="14" t="s">
        <v>104</v>
      </c>
      <c r="K12" s="7" t="s">
        <v>16106</v>
      </c>
      <c r="L12" s="7" t="s">
        <v>3502</v>
      </c>
      <c r="M12" s="14" t="s">
        <v>9158</v>
      </c>
      <c r="N12" s="14" t="s">
        <v>9158</v>
      </c>
      <c r="O12" s="14" t="s">
        <v>9158</v>
      </c>
      <c r="P12" s="14" t="s">
        <v>9158</v>
      </c>
      <c r="Q12" s="14" t="s">
        <v>9158</v>
      </c>
    </row>
    <row r="13" spans="1:19">
      <c r="A13" s="14">
        <v>95663</v>
      </c>
      <c r="B13" s="14" t="s">
        <v>22</v>
      </c>
      <c r="C13" s="14" t="s">
        <v>1</v>
      </c>
      <c r="D13" s="18" t="s">
        <v>16111</v>
      </c>
      <c r="E13" s="15" t="str">
        <f>HYPERLINK("https://stat100.ameba.jp/tnk47/ratio20/illustrations/card/ill_95663_hommeimyokyu03.jpg?202102-5-RELEASE-marathon-516x", "■")</f>
        <v>■</v>
      </c>
      <c r="F13" s="14" t="s">
        <v>16110</v>
      </c>
      <c r="G13" s="7">
        <v>43220</v>
      </c>
      <c r="H13" s="7">
        <v>51980</v>
      </c>
      <c r="I13" s="7">
        <v>25</v>
      </c>
      <c r="J13" s="14" t="s">
        <v>77</v>
      </c>
      <c r="K13" s="7" t="s">
        <v>16109</v>
      </c>
      <c r="L13" s="7" t="s">
        <v>3506</v>
      </c>
      <c r="M13" s="14" t="s">
        <v>9158</v>
      </c>
      <c r="N13" s="14" t="s">
        <v>9158</v>
      </c>
      <c r="O13" s="14" t="s">
        <v>9158</v>
      </c>
      <c r="P13" s="14" t="s">
        <v>9158</v>
      </c>
      <c r="Q13" s="14" t="s">
        <v>9158</v>
      </c>
    </row>
    <row r="14" spans="1:19">
      <c r="A14" s="14">
        <v>95673</v>
      </c>
      <c r="B14" s="14" t="s">
        <v>22</v>
      </c>
      <c r="C14" s="14" t="s">
        <v>101</v>
      </c>
      <c r="D14" s="18" t="s">
        <v>16114</v>
      </c>
      <c r="E14" s="15" t="str">
        <f>HYPERLINK("https://stat100.ameba.jp/tnk47/ratio20/illustrations/card/ill_95673_barentainitagakugozen03.jpg?202102-5-RELEASE-marathon-516x", "■")</f>
        <v>■</v>
      </c>
      <c r="F14" s="14" t="s">
        <v>16113</v>
      </c>
      <c r="G14" s="7">
        <v>51980</v>
      </c>
      <c r="H14" s="7">
        <v>43220</v>
      </c>
      <c r="I14" s="7">
        <v>25</v>
      </c>
      <c r="J14" s="14" t="s">
        <v>143</v>
      </c>
      <c r="K14" s="7" t="s">
        <v>16112</v>
      </c>
      <c r="L14" s="7" t="s">
        <v>3737</v>
      </c>
      <c r="M14" s="14" t="s">
        <v>9158</v>
      </c>
      <c r="N14" s="14" t="s">
        <v>9158</v>
      </c>
      <c r="O14" s="14" t="s">
        <v>9158</v>
      </c>
      <c r="P14" s="14" t="s">
        <v>9158</v>
      </c>
      <c r="Q14" s="14" t="s">
        <v>9158</v>
      </c>
    </row>
    <row r="15" spans="1:19">
      <c r="A15" s="14">
        <v>95693</v>
      </c>
      <c r="B15" s="14" t="s">
        <v>30</v>
      </c>
      <c r="C15" s="14" t="s">
        <v>4463</v>
      </c>
      <c r="D15" s="18" t="s">
        <v>16115</v>
      </c>
      <c r="E15" s="15" t="str">
        <f>HYPERLINK("https://stat100.ameba.jp/tnk47/ratio20/illustrations/card/ill_95693_senseiuemurashoen03.jpg?202102-5-RELEASE-marathon-516x", "■")</f>
        <v>■</v>
      </c>
      <c r="F15" s="14" t="s">
        <v>16116</v>
      </c>
      <c r="G15" s="7" t="s">
        <v>12934</v>
      </c>
      <c r="H15" s="7" t="s">
        <v>12934</v>
      </c>
      <c r="I15" s="7">
        <v>19</v>
      </c>
      <c r="J15" s="14" t="s">
        <v>10</v>
      </c>
      <c r="K15" s="7" t="s">
        <v>12934</v>
      </c>
      <c r="L15" s="7" t="s">
        <v>12934</v>
      </c>
      <c r="M15" s="14" t="s">
        <v>9158</v>
      </c>
      <c r="N15" s="14" t="s">
        <v>9158</v>
      </c>
      <c r="O15" s="14" t="s">
        <v>9158</v>
      </c>
      <c r="P15" s="14" t="s">
        <v>9158</v>
      </c>
      <c r="Q15" s="14" t="s">
        <v>9158</v>
      </c>
    </row>
    <row r="16" spans="1:19">
      <c r="A16" s="14">
        <v>95683</v>
      </c>
      <c r="B16" s="14" t="s">
        <v>30</v>
      </c>
      <c r="C16" s="14" t="s">
        <v>23</v>
      </c>
      <c r="D16" s="18" t="s">
        <v>16117</v>
      </c>
      <c r="E16" s="15" t="str">
        <f>HYPERLINK("https://stat100.ameba.jp/tnk47/ratio20/illustrations/card/ill_95683_yamadayugetsudai03.jpg?202102-5-RELEASE-marathon-516x", "■")</f>
        <v>■</v>
      </c>
      <c r="F16" s="26" t="s">
        <v>16118</v>
      </c>
      <c r="G16" s="7" t="s">
        <v>12934</v>
      </c>
      <c r="H16" s="7" t="s">
        <v>12934</v>
      </c>
      <c r="I16" s="7">
        <v>19</v>
      </c>
      <c r="J16" s="14" t="s">
        <v>143</v>
      </c>
      <c r="K16" s="7" t="s">
        <v>12934</v>
      </c>
      <c r="L16" s="7" t="s">
        <v>12934</v>
      </c>
      <c r="M16" s="14" t="s">
        <v>9158</v>
      </c>
      <c r="N16" s="14" t="s">
        <v>9158</v>
      </c>
      <c r="O16" s="14" t="s">
        <v>9158</v>
      </c>
      <c r="P16" s="14" t="s">
        <v>9158</v>
      </c>
      <c r="Q16" s="14" t="s">
        <v>9158</v>
      </c>
    </row>
    <row r="17" spans="1:18">
      <c r="D17" s="7"/>
    </row>
    <row r="18" spans="1:18">
      <c r="A18" s="14" t="s">
        <v>16180</v>
      </c>
      <c r="D18" s="7"/>
    </row>
    <row r="19" spans="1:18">
      <c r="A19" s="14">
        <v>236466</v>
      </c>
      <c r="B19" s="14" t="s">
        <v>2170</v>
      </c>
      <c r="D19" s="7"/>
    </row>
    <row r="20" spans="1:18">
      <c r="A20" s="14">
        <v>95705</v>
      </c>
      <c r="B20" s="14" t="s">
        <v>0</v>
      </c>
      <c r="C20" s="14" t="s">
        <v>202</v>
      </c>
      <c r="D20" s="18" t="s">
        <v>16124</v>
      </c>
      <c r="E20" s="15" t="str">
        <f>HYPERLINK("https://stat100.ameba.jp/tnk47/ratio20/illustrations/card/ill_95705_barentaindesakamototome05.jpg?202102-5-RELEASE-marathon-516x", "■")</f>
        <v>■</v>
      </c>
      <c r="F20" s="14" t="s">
        <v>16123</v>
      </c>
      <c r="G20" s="14">
        <v>152322</v>
      </c>
      <c r="H20" s="14">
        <v>210358</v>
      </c>
      <c r="I20" s="14">
        <v>28</v>
      </c>
      <c r="J20" s="14" t="s">
        <v>16122</v>
      </c>
      <c r="K20" s="14" t="s">
        <v>16121</v>
      </c>
      <c r="L20" s="14" t="s">
        <v>16120</v>
      </c>
      <c r="M20" s="14" t="s">
        <v>9158</v>
      </c>
      <c r="N20" s="14" t="s">
        <v>9158</v>
      </c>
      <c r="O20" s="14" t="s">
        <v>9158</v>
      </c>
      <c r="P20" s="14" t="s">
        <v>9158</v>
      </c>
      <c r="Q20" s="14" t="s">
        <v>9158</v>
      </c>
      <c r="R20" s="14" t="s">
        <v>174</v>
      </c>
    </row>
    <row r="21" spans="1:18">
      <c r="A21" s="14">
        <v>95703</v>
      </c>
      <c r="B21" s="14" t="s">
        <v>15</v>
      </c>
      <c r="C21" s="14" t="s">
        <v>16125</v>
      </c>
      <c r="D21" s="18" t="s">
        <v>16124</v>
      </c>
      <c r="E21" s="15" t="str">
        <f>HYPERLINK("https://stat100.ameba.jp/tnk47/ratio20/illustrations/card/ill_95703_barentaindesakamototome03.jpg?202102-5-RELEASE-marathon-516x", "■")</f>
        <v>■</v>
      </c>
      <c r="F21" s="14" t="s">
        <v>16123</v>
      </c>
      <c r="G21" s="14">
        <v>112234</v>
      </c>
      <c r="H21" s="14">
        <v>154992</v>
      </c>
      <c r="I21" s="14">
        <v>28</v>
      </c>
      <c r="J21" s="14" t="s">
        <v>16122</v>
      </c>
      <c r="K21" s="14" t="s">
        <v>16121</v>
      </c>
      <c r="L21" s="14" t="s">
        <v>16126</v>
      </c>
      <c r="M21" s="14" t="s">
        <v>9158</v>
      </c>
      <c r="N21" s="14" t="s">
        <v>9158</v>
      </c>
      <c r="O21" s="14" t="s">
        <v>9158</v>
      </c>
      <c r="P21" s="14" t="s">
        <v>9158</v>
      </c>
      <c r="Q21" s="14" t="s">
        <v>9158</v>
      </c>
      <c r="R21" s="14" t="s">
        <v>175</v>
      </c>
    </row>
    <row r="22" spans="1:18">
      <c r="A22" s="14">
        <v>95701</v>
      </c>
      <c r="B22" s="14" t="s">
        <v>15</v>
      </c>
      <c r="C22" s="14" t="s">
        <v>16125</v>
      </c>
      <c r="D22" s="18" t="s">
        <v>16124</v>
      </c>
      <c r="E22" s="15" t="str">
        <f>HYPERLINK("https://stat100.ameba.jp/tnk47/ratio20/illustrations/card/ill_95701_barentaindesakamototome01.jpg?202102-5-RELEASE-marathon-516x", "■")</f>
        <v>■</v>
      </c>
      <c r="F22" s="14" t="s">
        <v>16123</v>
      </c>
      <c r="G22" s="14">
        <v>71400</v>
      </c>
      <c r="H22" s="14">
        <v>98588</v>
      </c>
      <c r="I22" s="14">
        <v>28</v>
      </c>
      <c r="J22" s="14" t="s">
        <v>16122</v>
      </c>
      <c r="K22" s="14" t="s">
        <v>16121</v>
      </c>
      <c r="L22" s="14" t="s">
        <v>16127</v>
      </c>
      <c r="M22" s="14" t="s">
        <v>9158</v>
      </c>
      <c r="N22" s="14" t="s">
        <v>9158</v>
      </c>
      <c r="O22" s="14" t="s">
        <v>9158</v>
      </c>
      <c r="P22" s="14" t="s">
        <v>9158</v>
      </c>
      <c r="Q22" s="14" t="s">
        <v>9158</v>
      </c>
      <c r="R22" s="14" t="s">
        <v>176</v>
      </c>
    </row>
    <row r="23" spans="1:18">
      <c r="D23" s="7"/>
    </row>
    <row r="24" spans="1:18">
      <c r="A24" s="14" t="s">
        <v>204</v>
      </c>
      <c r="D24" s="7"/>
    </row>
    <row r="25" spans="1:18">
      <c r="A25" s="14">
        <v>236493</v>
      </c>
      <c r="B25" s="14" t="s">
        <v>16130</v>
      </c>
      <c r="D25" s="7"/>
    </row>
    <row r="26" spans="1:18">
      <c r="A26" s="9" t="s">
        <v>5609</v>
      </c>
      <c r="B26" s="14" t="s">
        <v>52</v>
      </c>
      <c r="C26" s="14" t="s">
        <v>200</v>
      </c>
      <c r="D26" s="14" t="s">
        <v>1713</v>
      </c>
      <c r="E26" s="15" t="str">
        <f>HYPERLINK("https://stat100.ameba.jp/tnk47/ratio20/illustrations/card/ill_53753_0_natsumatsuritokugawaieyasu03.jpg?202102-5-RELEASE-marathon-516x", "■")</f>
        <v>■</v>
      </c>
      <c r="F26" s="14" t="s">
        <v>902</v>
      </c>
      <c r="G26" s="14">
        <v>138212</v>
      </c>
      <c r="H26" s="14">
        <v>122776</v>
      </c>
      <c r="I26" s="14">
        <v>22</v>
      </c>
      <c r="J26" s="14" t="s">
        <v>194</v>
      </c>
      <c r="K26" s="14" t="s">
        <v>1714</v>
      </c>
      <c r="L26" s="14" t="s">
        <v>904</v>
      </c>
      <c r="M26" s="14" t="s">
        <v>9158</v>
      </c>
      <c r="N26" s="14" t="s">
        <v>9158</v>
      </c>
      <c r="O26" s="17" t="s">
        <v>10052</v>
      </c>
      <c r="P26" s="14" t="s">
        <v>13121</v>
      </c>
      <c r="Q26" s="14">
        <v>1</v>
      </c>
    </row>
    <row r="27" spans="1:18">
      <c r="A27" s="14" t="s">
        <v>5603</v>
      </c>
      <c r="B27" s="14" t="s">
        <v>330</v>
      </c>
      <c r="C27" s="14" t="s">
        <v>205</v>
      </c>
      <c r="D27" s="20" t="s">
        <v>611</v>
      </c>
      <c r="E27" s="15" t="str">
        <f>HYPERLINK("https://stat100.ameba.jp/tnk47/ratio20/illustrations/card/ill_61893_0_onikirishumiyamotomusashi03.jpg?202102-5-RELEASE-marathon-516x", "■")</f>
        <v>■</v>
      </c>
      <c r="F27" s="14" t="s">
        <v>612</v>
      </c>
      <c r="G27" s="14">
        <v>205358</v>
      </c>
      <c r="H27" s="14">
        <v>190952</v>
      </c>
      <c r="I27" s="14">
        <v>22</v>
      </c>
      <c r="J27" s="14" t="s">
        <v>310</v>
      </c>
      <c r="K27" s="14" t="s">
        <v>613</v>
      </c>
      <c r="L27" s="14" t="s">
        <v>312</v>
      </c>
      <c r="M27" s="14" t="s">
        <v>9158</v>
      </c>
      <c r="N27" s="14" t="s">
        <v>9158</v>
      </c>
      <c r="O27" s="19" t="s">
        <v>10071</v>
      </c>
      <c r="P27" s="14" t="s">
        <v>3253</v>
      </c>
      <c r="Q27" s="14">
        <v>1</v>
      </c>
    </row>
    <row r="28" spans="1:18">
      <c r="A28" s="14" t="s">
        <v>5608</v>
      </c>
      <c r="B28" s="14" t="s">
        <v>52</v>
      </c>
      <c r="C28" s="14" t="s">
        <v>96</v>
      </c>
      <c r="D28" s="20" t="s">
        <v>634</v>
      </c>
      <c r="E28" s="15" t="str">
        <f>HYPERLINK("https://stat100.ameba.jp/tnk47/ratio20/illustrations/card/ill_40963_0_makami03.jpg?202102-5-RELEASE-marathon-516x", "■")</f>
        <v>■</v>
      </c>
      <c r="F28" s="14" t="s">
        <v>2038</v>
      </c>
      <c r="G28" s="14">
        <v>128744</v>
      </c>
      <c r="H28" s="14">
        <v>120576</v>
      </c>
      <c r="I28" s="14">
        <v>22</v>
      </c>
      <c r="J28" s="14" t="s">
        <v>44</v>
      </c>
      <c r="K28" s="14" t="s">
        <v>2039</v>
      </c>
      <c r="L28" s="14" t="s">
        <v>2040</v>
      </c>
      <c r="M28" s="14" t="s">
        <v>9158</v>
      </c>
      <c r="N28" s="14" t="s">
        <v>9158</v>
      </c>
      <c r="O28" s="14" t="s">
        <v>9158</v>
      </c>
      <c r="P28" s="14" t="s">
        <v>9158</v>
      </c>
      <c r="Q28" s="14" t="s">
        <v>9158</v>
      </c>
    </row>
    <row r="29" spans="1:18">
      <c r="A29" s="14">
        <v>90703</v>
      </c>
      <c r="B29" s="14" t="s">
        <v>0</v>
      </c>
      <c r="C29" s="14" t="s">
        <v>96</v>
      </c>
      <c r="D29" s="14" t="s">
        <v>14337</v>
      </c>
      <c r="E29" s="15" t="str">
        <f>HYPERLINK("https://stat100.ameba.jp/tnk47/ratio20/illustrations/card/ill_90703_hamabeamupitorite03.jpg?202102-5-RELEASE-marathon-516x", "■")</f>
        <v>■</v>
      </c>
      <c r="F29" s="14" t="s">
        <v>14336</v>
      </c>
      <c r="G29" s="14">
        <v>141042</v>
      </c>
      <c r="H29" s="14">
        <v>79346</v>
      </c>
      <c r="I29" s="14">
        <v>28</v>
      </c>
      <c r="J29" s="14" t="s">
        <v>44</v>
      </c>
      <c r="K29" s="14" t="s">
        <v>14335</v>
      </c>
      <c r="L29" s="14" t="s">
        <v>14334</v>
      </c>
      <c r="M29" s="14" t="s">
        <v>9158</v>
      </c>
      <c r="N29" s="14" t="s">
        <v>9158</v>
      </c>
      <c r="O29" s="14" t="s">
        <v>9158</v>
      </c>
      <c r="P29" s="14" t="s">
        <v>9158</v>
      </c>
      <c r="Q29" s="14" t="s">
        <v>9158</v>
      </c>
    </row>
    <row r="30" spans="1:18">
      <c r="A30" s="14">
        <v>92023</v>
      </c>
      <c r="B30" s="14" t="s">
        <v>0</v>
      </c>
      <c r="C30" s="14" t="s">
        <v>23</v>
      </c>
      <c r="D30" s="14" t="s">
        <v>14874</v>
      </c>
      <c r="E30" s="15" t="str">
        <f>HYPERLINK("https://stat100.ameba.jp/tnk47/ratio20/illustrations/card/ill_92023_operaaida03.jpg?202102-5-RELEASE-marathon-516x", "■")</f>
        <v>■</v>
      </c>
      <c r="F30" s="14" t="s">
        <v>14877</v>
      </c>
      <c r="G30" s="14">
        <v>157512</v>
      </c>
      <c r="H30" s="14">
        <v>88642</v>
      </c>
      <c r="I30" s="14">
        <v>28</v>
      </c>
      <c r="J30" s="14" t="s">
        <v>155</v>
      </c>
      <c r="K30" s="14" t="s">
        <v>14876</v>
      </c>
      <c r="L30" s="14" t="s">
        <v>12715</v>
      </c>
      <c r="M30" s="14" t="s">
        <v>9158</v>
      </c>
      <c r="N30" s="14" t="s">
        <v>9158</v>
      </c>
      <c r="O30" s="14" t="s">
        <v>9158</v>
      </c>
      <c r="P30" s="14" t="s">
        <v>9158</v>
      </c>
      <c r="Q30" s="14" t="s">
        <v>9158</v>
      </c>
    </row>
    <row r="31" spans="1:18">
      <c r="A31" s="14">
        <v>84713</v>
      </c>
      <c r="B31" s="14" t="s">
        <v>334</v>
      </c>
      <c r="C31" s="14" t="s">
        <v>185</v>
      </c>
      <c r="D31" s="20" t="s">
        <v>10696</v>
      </c>
      <c r="E31" s="15" t="str">
        <f>HYPERLINK("https://stat100.ameba.jp/tnk47/ratio20/illustrations/card/ill_84713_shogiyodabenzo03.jpg?202102-5-RELEASE-marathon-516x", "■")</f>
        <v>■</v>
      </c>
      <c r="F31" s="14" t="s">
        <v>7432</v>
      </c>
      <c r="G31" s="14">
        <v>109370</v>
      </c>
      <c r="H31" s="14">
        <v>101650</v>
      </c>
      <c r="I31" s="14">
        <v>28</v>
      </c>
      <c r="J31" s="14" t="s">
        <v>10</v>
      </c>
      <c r="K31" s="14" t="s">
        <v>4765</v>
      </c>
      <c r="L31" s="14" t="s">
        <v>4347</v>
      </c>
      <c r="M31" s="14" t="s">
        <v>9158</v>
      </c>
      <c r="N31" s="14" t="s">
        <v>9158</v>
      </c>
      <c r="O31" s="14" t="s">
        <v>9158</v>
      </c>
      <c r="P31" s="14" t="s">
        <v>9158</v>
      </c>
      <c r="Q31" s="14" t="s">
        <v>9158</v>
      </c>
    </row>
    <row r="33" spans="1:17">
      <c r="A33" s="14" t="s">
        <v>16128</v>
      </c>
    </row>
    <row r="34" spans="1:17">
      <c r="A34" s="14">
        <v>106506</v>
      </c>
      <c r="B34" s="14" t="s">
        <v>16129</v>
      </c>
    </row>
    <row r="35" spans="1:17">
      <c r="A35" s="14" t="s">
        <v>13442</v>
      </c>
      <c r="B35" s="7" t="s">
        <v>52</v>
      </c>
      <c r="C35" s="14" t="s">
        <v>202</v>
      </c>
      <c r="D35" s="18" t="s">
        <v>13441</v>
      </c>
      <c r="E35" s="15" t="str">
        <f>HYPERLINK("https://stat100.ameba.jp/tnk47/ratio20/illustrations/card/ill_90393_0_nangokubakansusanukiudonchan03.jpg?202102-5-RELEASE-marathon-516x", "■")</f>
        <v>■</v>
      </c>
      <c r="F35" s="14" t="s">
        <v>13443</v>
      </c>
      <c r="G35" s="14">
        <v>281517</v>
      </c>
      <c r="H35" s="14">
        <v>344095</v>
      </c>
      <c r="I35" s="7">
        <v>27</v>
      </c>
      <c r="J35" s="14" t="s">
        <v>104</v>
      </c>
      <c r="K35" s="14" t="s">
        <v>13444</v>
      </c>
      <c r="L35" s="14" t="s">
        <v>13445</v>
      </c>
      <c r="M35" s="14" t="s">
        <v>9158</v>
      </c>
      <c r="N35" s="14" t="s">
        <v>9158</v>
      </c>
      <c r="O35" s="6" t="s">
        <v>13446</v>
      </c>
      <c r="P35" s="7" t="s">
        <v>13447</v>
      </c>
      <c r="Q35" s="7">
        <v>1</v>
      </c>
    </row>
    <row r="36" spans="1:17">
      <c r="A36" s="9" t="s">
        <v>9325</v>
      </c>
      <c r="B36" s="7" t="s">
        <v>52</v>
      </c>
      <c r="C36" s="9" t="s">
        <v>202</v>
      </c>
      <c r="D36" s="19" t="s">
        <v>10947</v>
      </c>
      <c r="E36" s="15" t="str">
        <f>HYPERLINK("https://stat100.ameba.jp/tnk47/ratio20/illustrations/card/ill_86893_0_chokonohisukeban03.jpg?202102-5-RELEASE-marathon-516x", "■")</f>
        <v>■</v>
      </c>
      <c r="F36" s="14" t="s">
        <v>9332</v>
      </c>
      <c r="G36" s="9">
        <v>351727</v>
      </c>
      <c r="H36" s="9">
        <v>317873</v>
      </c>
      <c r="I36" s="7">
        <v>27</v>
      </c>
      <c r="J36" s="9" t="s">
        <v>187</v>
      </c>
      <c r="K36" s="14" t="s">
        <v>9330</v>
      </c>
      <c r="L36" s="14" t="s">
        <v>9331</v>
      </c>
      <c r="M36" s="14" t="s">
        <v>9158</v>
      </c>
      <c r="N36" s="14" t="s">
        <v>9158</v>
      </c>
      <c r="O36" s="19" t="s">
        <v>10136</v>
      </c>
      <c r="P36" s="7" t="s">
        <v>9324</v>
      </c>
      <c r="Q36" s="7">
        <v>1</v>
      </c>
    </row>
    <row r="37" spans="1:17">
      <c r="A37" s="14" t="s">
        <v>13435</v>
      </c>
      <c r="B37" s="7" t="s">
        <v>52</v>
      </c>
      <c r="C37" s="14" t="s">
        <v>202</v>
      </c>
      <c r="D37" s="18" t="s">
        <v>13434</v>
      </c>
      <c r="E37" s="15" t="str">
        <f>HYPERLINK("https://stat100.ameba.jp/tnk47/ratio20/illustrations/card/ill_91073_0_mizugiaidorusarukanigassen03.jpg?202102-5-RELEASE-marathon-516x", "■")</f>
        <v>■</v>
      </c>
      <c r="F37" s="14" t="s">
        <v>13436</v>
      </c>
      <c r="G37" s="14">
        <v>312433</v>
      </c>
      <c r="H37" s="14">
        <v>282374</v>
      </c>
      <c r="I37" s="7">
        <v>27</v>
      </c>
      <c r="J37" s="14" t="s">
        <v>38</v>
      </c>
      <c r="K37" s="14" t="s">
        <v>13437</v>
      </c>
      <c r="L37" s="14" t="s">
        <v>13438</v>
      </c>
      <c r="M37" s="14" t="s">
        <v>9158</v>
      </c>
      <c r="N37" s="14" t="s">
        <v>9158</v>
      </c>
      <c r="O37" s="6" t="s">
        <v>13439</v>
      </c>
      <c r="P37" s="7" t="s">
        <v>13440</v>
      </c>
      <c r="Q37" s="7">
        <v>1</v>
      </c>
    </row>
    <row r="38" spans="1:17">
      <c r="A38" s="14" t="s">
        <v>7789</v>
      </c>
      <c r="B38" s="14" t="s">
        <v>52</v>
      </c>
      <c r="C38" s="14" t="s">
        <v>202</v>
      </c>
      <c r="D38" s="19" t="s">
        <v>10741</v>
      </c>
      <c r="E38" s="15" t="str">
        <f>HYPERLINK("https://stat100.ameba.jp/tnk47/ratio20/illustrations/card/ill_84923_0_onsengainansosatomihakkenden03.jpg?202102-5-RELEASE-marathon-516x", "■")</f>
        <v>■</v>
      </c>
      <c r="F38" s="14" t="s">
        <v>7792</v>
      </c>
      <c r="G38" s="14">
        <v>311915</v>
      </c>
      <c r="H38" s="14">
        <v>345111</v>
      </c>
      <c r="I38" s="14">
        <v>27</v>
      </c>
      <c r="J38" s="14" t="s">
        <v>155</v>
      </c>
      <c r="K38" s="14" t="s">
        <v>7791</v>
      </c>
      <c r="L38" s="14" t="s">
        <v>7790</v>
      </c>
      <c r="M38" s="14" t="s">
        <v>9158</v>
      </c>
      <c r="N38" s="14" t="s">
        <v>9158</v>
      </c>
      <c r="O38" s="19" t="s">
        <v>10131</v>
      </c>
      <c r="P38" s="14" t="s">
        <v>7793</v>
      </c>
      <c r="Q38" s="14">
        <v>0</v>
      </c>
    </row>
    <row r="39" spans="1:17">
      <c r="A39" s="14" t="s">
        <v>5891</v>
      </c>
      <c r="B39" s="14" t="s">
        <v>330</v>
      </c>
      <c r="C39" s="14" t="s">
        <v>202</v>
      </c>
      <c r="D39" s="20" t="s">
        <v>1999</v>
      </c>
      <c r="E39" s="15" t="str">
        <f>HYPERLINK("https://stat100.ameba.jp/tnk47/ratio20/illustrations/card/ill_77173_0_yukemuritomoegozen03.jpg?202102-5-RELEASE-marathon-516x", "■")</f>
        <v>■</v>
      </c>
      <c r="F39" s="14" t="s">
        <v>1372</v>
      </c>
      <c r="G39" s="14">
        <v>270658</v>
      </c>
      <c r="H39" s="14">
        <v>299465</v>
      </c>
      <c r="I39" s="14">
        <v>27</v>
      </c>
      <c r="J39" s="14" t="s">
        <v>310</v>
      </c>
      <c r="K39" s="14" t="s">
        <v>1373</v>
      </c>
      <c r="L39" s="14" t="s">
        <v>1374</v>
      </c>
      <c r="M39" s="14" t="s">
        <v>9158</v>
      </c>
      <c r="N39" s="14" t="s">
        <v>9158</v>
      </c>
      <c r="O39" s="19" t="s">
        <v>4067</v>
      </c>
      <c r="P39" s="14" t="s">
        <v>3879</v>
      </c>
      <c r="Q39" s="14">
        <v>2</v>
      </c>
    </row>
    <row r="40" spans="1:17">
      <c r="A40" s="9">
        <v>77243</v>
      </c>
      <c r="B40" s="14" t="s">
        <v>334</v>
      </c>
      <c r="C40" s="14" t="s">
        <v>185</v>
      </c>
      <c r="D40" s="14" t="s">
        <v>3880</v>
      </c>
      <c r="E40" s="15" t="str">
        <f>HYPERLINK("https://stat100.ameba.jp/tnk47/ratio20/illustrations/card/ill_77243_seikimatsuniijimayae03.jpg?202102-5-RELEASE-marathon-516x", "■")</f>
        <v>■</v>
      </c>
      <c r="F40" s="14" t="s">
        <v>1436</v>
      </c>
      <c r="G40" s="14">
        <v>105465</v>
      </c>
      <c r="H40" s="14">
        <v>98019</v>
      </c>
      <c r="I40" s="14">
        <v>27</v>
      </c>
      <c r="J40" s="14" t="s">
        <v>351</v>
      </c>
      <c r="K40" s="14" t="s">
        <v>1437</v>
      </c>
      <c r="L40" s="14" t="s">
        <v>1438</v>
      </c>
      <c r="M40" s="14" t="s">
        <v>9158</v>
      </c>
      <c r="N40" s="14" t="s">
        <v>9158</v>
      </c>
      <c r="O40" s="14" t="s">
        <v>9158</v>
      </c>
      <c r="P40" s="14" t="s">
        <v>9158</v>
      </c>
      <c r="Q40" s="14" t="s">
        <v>9158</v>
      </c>
    </row>
    <row r="41" spans="1:17">
      <c r="A41" s="7">
        <v>78393</v>
      </c>
      <c r="B41" s="14" t="s">
        <v>0</v>
      </c>
      <c r="C41" s="14" t="s">
        <v>200</v>
      </c>
      <c r="D41" s="19" t="s">
        <v>10277</v>
      </c>
      <c r="E41" s="15" t="str">
        <f>HYPERLINK("https://stat100.ameba.jp/tnk47/ratio20/illustrations/card/ill_78393_nemmatsuosojichibaeijiro03.jpg?202102-5-RELEASE-marathon-516x", "■")</f>
        <v>■</v>
      </c>
      <c r="F41" s="14" t="s">
        <v>2666</v>
      </c>
      <c r="G41" s="14">
        <v>160507</v>
      </c>
      <c r="H41" s="14">
        <v>149240</v>
      </c>
      <c r="I41" s="14">
        <v>27</v>
      </c>
      <c r="J41" s="14" t="s">
        <v>143</v>
      </c>
      <c r="K41" s="14" t="s">
        <v>2667</v>
      </c>
      <c r="L41" s="14" t="s">
        <v>145</v>
      </c>
      <c r="M41" s="14" t="s">
        <v>9158</v>
      </c>
      <c r="N41" s="14" t="s">
        <v>9158</v>
      </c>
      <c r="O41" s="14" t="s">
        <v>9158</v>
      </c>
      <c r="P41" s="14" t="s">
        <v>9158</v>
      </c>
      <c r="Q41" s="14" t="s">
        <v>9158</v>
      </c>
    </row>
    <row r="42" spans="1:17">
      <c r="A42" s="14">
        <v>79713</v>
      </c>
      <c r="B42" s="14" t="s">
        <v>0</v>
      </c>
      <c r="C42" s="14" t="s">
        <v>191</v>
      </c>
      <c r="D42" s="19" t="s">
        <v>10717</v>
      </c>
      <c r="E42" s="15" t="str">
        <f>HYPERLINK("https://stat100.ameba.jp/tnk47/ratio20/illustrations/card/ill_79713_yukinosaitembodeikonchan03.jpg?202102-5-RELEASE-marathon-516x", "■")</f>
        <v>■</v>
      </c>
      <c r="F42" s="14" t="s">
        <v>3689</v>
      </c>
      <c r="G42" s="14">
        <v>123002</v>
      </c>
      <c r="H42" s="14">
        <v>114362</v>
      </c>
      <c r="I42" s="14">
        <v>27</v>
      </c>
      <c r="J42" s="14" t="s">
        <v>26</v>
      </c>
      <c r="K42" s="14" t="s">
        <v>3690</v>
      </c>
      <c r="L42" s="14" t="s">
        <v>1086</v>
      </c>
      <c r="M42" s="14" t="s">
        <v>9158</v>
      </c>
      <c r="N42" s="14" t="s">
        <v>9158</v>
      </c>
      <c r="O42" s="14" t="s">
        <v>9158</v>
      </c>
      <c r="P42" s="14" t="s">
        <v>9158</v>
      </c>
      <c r="Q42" s="14" t="s">
        <v>9158</v>
      </c>
    </row>
    <row r="43" spans="1:17">
      <c r="A43" s="9">
        <v>81233</v>
      </c>
      <c r="B43" s="14" t="s">
        <v>334</v>
      </c>
      <c r="C43" s="14" t="s">
        <v>165</v>
      </c>
      <c r="D43" s="14" t="s">
        <v>4546</v>
      </c>
      <c r="E43" s="15" t="str">
        <f>HYPERLINK("https://stat100.ameba.jp/tnk47/ratio20/illustrations/card/ill_81233_sakasutengaihata03.jpg?202102-5-RELEASE-marathon-516x", "■")</f>
        <v>■</v>
      </c>
      <c r="F43" s="14" t="s">
        <v>4547</v>
      </c>
      <c r="G43" s="14">
        <v>110129</v>
      </c>
      <c r="H43" s="14">
        <v>102386</v>
      </c>
      <c r="I43" s="14">
        <v>27</v>
      </c>
      <c r="J43" s="14" t="s">
        <v>44</v>
      </c>
      <c r="K43" s="14" t="s">
        <v>4548</v>
      </c>
      <c r="L43" s="14" t="s">
        <v>4549</v>
      </c>
      <c r="M43" s="14" t="s">
        <v>9158</v>
      </c>
      <c r="N43" s="14" t="s">
        <v>9158</v>
      </c>
      <c r="O43" s="14" t="s">
        <v>9158</v>
      </c>
      <c r="P43" s="14" t="s">
        <v>9158</v>
      </c>
      <c r="Q43" s="14" t="s">
        <v>9158</v>
      </c>
    </row>
    <row r="44" spans="1:17">
      <c r="A44" s="14">
        <v>90573</v>
      </c>
      <c r="B44" s="14" t="s">
        <v>0</v>
      </c>
      <c r="C44" s="14" t="s">
        <v>1</v>
      </c>
      <c r="D44" s="14" t="s">
        <v>14201</v>
      </c>
      <c r="E44" s="15" t="str">
        <f>HYPERLINK("https://stat100.ameba.jp/tnk47/ratio20/illustrations/card/ill_90573_yoigokochiizumonokuni03.jpg?202102-5-RELEASE-marathon-516x", "■")</f>
        <v>■</v>
      </c>
      <c r="F44" s="14" t="s">
        <v>14200</v>
      </c>
      <c r="G44" s="14">
        <v>105465</v>
      </c>
      <c r="H44" s="14">
        <v>98019</v>
      </c>
      <c r="I44" s="7">
        <v>27</v>
      </c>
      <c r="J44" s="14" t="s">
        <v>16</v>
      </c>
      <c r="K44" s="14" t="s">
        <v>2537</v>
      </c>
      <c r="L44" s="14" t="s">
        <v>14197</v>
      </c>
      <c r="M44" s="14" t="s">
        <v>9158</v>
      </c>
      <c r="N44" s="14" t="s">
        <v>9158</v>
      </c>
      <c r="O44" s="14" t="s">
        <v>9158</v>
      </c>
      <c r="P44" s="14" t="s">
        <v>9158</v>
      </c>
      <c r="Q44" s="14" t="s">
        <v>9158</v>
      </c>
    </row>
    <row r="45" spans="1:17">
      <c r="A45" s="7">
        <v>85723</v>
      </c>
      <c r="B45" s="7" t="s">
        <v>0</v>
      </c>
      <c r="C45" s="14" t="s">
        <v>107</v>
      </c>
      <c r="D45" s="20" t="s">
        <v>10835</v>
      </c>
      <c r="E45" s="15" t="str">
        <f>HYPERLINK("https://stat100.ameba.jp/tnk47/ratio20/illustrations/card/ill_85723_nemmatsukenkoshindammyorinni03.jpg?202102-5-RELEASE-marathon-516x", "■")</f>
        <v>■</v>
      </c>
      <c r="F45" s="7" t="s">
        <v>8501</v>
      </c>
      <c r="G45" s="14">
        <v>109481</v>
      </c>
      <c r="H45" s="14">
        <v>101837</v>
      </c>
      <c r="I45" s="14">
        <v>27</v>
      </c>
      <c r="J45" s="7" t="s">
        <v>194</v>
      </c>
      <c r="K45" s="7" t="s">
        <v>8500</v>
      </c>
      <c r="L45" s="7" t="s">
        <v>8499</v>
      </c>
      <c r="M45" s="14" t="s">
        <v>9158</v>
      </c>
      <c r="N45" s="14" t="s">
        <v>9158</v>
      </c>
      <c r="O45" s="14" t="s">
        <v>9158</v>
      </c>
      <c r="P45" s="14" t="s">
        <v>9158</v>
      </c>
      <c r="Q45" s="14" t="s">
        <v>9158</v>
      </c>
    </row>
    <row r="47" spans="1:17">
      <c r="A47" s="14" t="s">
        <v>4065</v>
      </c>
    </row>
    <row r="48" spans="1:17">
      <c r="A48" s="14">
        <v>106517</v>
      </c>
      <c r="B48" s="14" t="s">
        <v>9320</v>
      </c>
    </row>
    <row r="49" spans="1:18">
      <c r="A49" s="14" t="s">
        <v>5601</v>
      </c>
      <c r="B49" s="14" t="s">
        <v>330</v>
      </c>
      <c r="C49" s="14" t="s">
        <v>35</v>
      </c>
      <c r="D49" s="19" t="s">
        <v>10318</v>
      </c>
      <c r="E49" s="15" t="str">
        <f>HYPERLINK("https://stat100.ameba.jp/tnk47/ratio20/illustrations/card/ill_82423_0_bikinigarukishi03.jpg?202102-5-RELEASE-marathon-516x", "■")</f>
        <v>■</v>
      </c>
      <c r="F49" s="14" t="s">
        <v>5391</v>
      </c>
      <c r="G49" s="14">
        <v>326924</v>
      </c>
      <c r="H49" s="14">
        <v>295479</v>
      </c>
      <c r="I49" s="14">
        <v>27</v>
      </c>
      <c r="J49" s="14" t="s">
        <v>77</v>
      </c>
      <c r="K49" s="14" t="s">
        <v>5392</v>
      </c>
      <c r="L49" s="14" t="s">
        <v>5393</v>
      </c>
      <c r="M49" s="14" t="s">
        <v>9158</v>
      </c>
      <c r="N49" s="14" t="s">
        <v>9158</v>
      </c>
      <c r="O49" s="19" t="s">
        <v>10069</v>
      </c>
      <c r="P49" s="14" t="s">
        <v>5394</v>
      </c>
      <c r="Q49" s="14">
        <v>1</v>
      </c>
    </row>
    <row r="50" spans="1:18">
      <c r="A50" s="9">
        <v>85363</v>
      </c>
      <c r="B50" s="9" t="s">
        <v>0</v>
      </c>
      <c r="C50" s="9" t="s">
        <v>158</v>
      </c>
      <c r="D50" s="19" t="s">
        <v>10708</v>
      </c>
      <c r="E50" s="15" t="str">
        <f>HYPERLINK("https://stat100.ameba.jp/tnk47/ratio20/illustrations/card/ill_85363_sukarunetaisa03.jpg?202102-5-RELEASE-marathon-516x", "■")</f>
        <v>■</v>
      </c>
      <c r="F50" s="9" t="s">
        <v>7506</v>
      </c>
      <c r="G50" s="9">
        <v>125296</v>
      </c>
      <c r="H50" s="9">
        <v>172982</v>
      </c>
      <c r="I50" s="9">
        <v>26</v>
      </c>
      <c r="J50" s="9" t="s">
        <v>194</v>
      </c>
      <c r="K50" s="9" t="s">
        <v>7504</v>
      </c>
      <c r="L50" s="9" t="s">
        <v>1148</v>
      </c>
      <c r="M50" s="14" t="s">
        <v>9864</v>
      </c>
      <c r="N50" s="14" t="s">
        <v>9158</v>
      </c>
      <c r="O50" s="19" t="s">
        <v>10106</v>
      </c>
      <c r="P50" s="14" t="s">
        <v>3330</v>
      </c>
      <c r="Q50" s="14">
        <v>2</v>
      </c>
    </row>
    <row r="51" spans="1:18">
      <c r="A51" s="14">
        <v>84333</v>
      </c>
      <c r="B51" s="14" t="s">
        <v>0</v>
      </c>
      <c r="C51" s="14" t="s">
        <v>209</v>
      </c>
      <c r="D51" s="19" t="s">
        <v>10692</v>
      </c>
      <c r="E51" s="15" t="str">
        <f>HYPERLINK("https://stat100.ameba.jp/tnk47/ratio20/illustrations/card/ill_84333_otometeia03.jpg?202102-5-RELEASE-marathon-516x", "■")</f>
        <v>■</v>
      </c>
      <c r="F51" s="14" t="s">
        <v>7401</v>
      </c>
      <c r="G51" s="14">
        <v>113630</v>
      </c>
      <c r="H51" s="14">
        <v>82318</v>
      </c>
      <c r="I51" s="14">
        <v>26</v>
      </c>
      <c r="J51" s="14" t="s">
        <v>16</v>
      </c>
      <c r="K51" s="14" t="s">
        <v>7399</v>
      </c>
      <c r="L51" s="14" t="s">
        <v>4046</v>
      </c>
      <c r="M51" s="14" t="s">
        <v>9158</v>
      </c>
      <c r="N51" s="14" t="s">
        <v>9158</v>
      </c>
      <c r="O51" s="19" t="s">
        <v>10129</v>
      </c>
      <c r="P51" s="14" t="s">
        <v>3581</v>
      </c>
      <c r="Q51" s="14">
        <v>1</v>
      </c>
    </row>
    <row r="52" spans="1:18">
      <c r="A52" s="14">
        <v>79513</v>
      </c>
      <c r="B52" s="14" t="s">
        <v>334</v>
      </c>
      <c r="C52" s="14" t="s">
        <v>209</v>
      </c>
      <c r="D52" s="19" t="s">
        <v>10404</v>
      </c>
      <c r="E52" s="15" t="str">
        <f>HYPERLINK("https://stat100.ameba.jp/tnk47/ratio20/illustrations/card/ill_79513_suzafuonia03.jpg?202102-5-RELEASE-marathon-516x", "■")</f>
        <v>■</v>
      </c>
      <c r="F52" s="14" t="s">
        <v>3529</v>
      </c>
      <c r="G52" s="14">
        <v>82318</v>
      </c>
      <c r="H52" s="14">
        <v>113630</v>
      </c>
      <c r="I52" s="14">
        <v>26</v>
      </c>
      <c r="J52" s="14" t="s">
        <v>10</v>
      </c>
      <c r="K52" s="14" t="s">
        <v>3532</v>
      </c>
      <c r="L52" s="14" t="s">
        <v>12</v>
      </c>
      <c r="M52" s="14" t="s">
        <v>9158</v>
      </c>
      <c r="N52" s="14" t="s">
        <v>9158</v>
      </c>
      <c r="O52" s="19" t="s">
        <v>2917</v>
      </c>
      <c r="P52" s="14" t="s">
        <v>3531</v>
      </c>
      <c r="Q52" s="14">
        <v>1</v>
      </c>
    </row>
    <row r="54" spans="1:18">
      <c r="A54" s="14" t="s">
        <v>13327</v>
      </c>
    </row>
    <row r="55" spans="1:18">
      <c r="A55" s="14">
        <v>106523</v>
      </c>
      <c r="B55" s="14" t="s">
        <v>3533</v>
      </c>
    </row>
    <row r="56" spans="1:18">
      <c r="A56" s="14">
        <v>94773</v>
      </c>
      <c r="B56" s="14" t="s">
        <v>0</v>
      </c>
      <c r="C56" s="14" t="s">
        <v>335</v>
      </c>
      <c r="D56" s="14" t="s">
        <v>15781</v>
      </c>
      <c r="E56" s="15" t="str">
        <f>HYPERLINK("https://stat100.ameba.jp/tnk47/ratio20/illustrations/card/ill_94773_baiorinisutosuru03.jpg?202102-5-RELEASE-marathon-516x", "■")</f>
        <v>■</v>
      </c>
      <c r="F56" s="14" t="s">
        <v>15780</v>
      </c>
      <c r="G56" s="14">
        <v>128160</v>
      </c>
      <c r="H56" s="14">
        <v>137846</v>
      </c>
      <c r="I56" s="14">
        <v>28</v>
      </c>
      <c r="J56" s="14" t="s">
        <v>16</v>
      </c>
      <c r="K56" s="14" t="s">
        <v>15779</v>
      </c>
      <c r="L56" s="14" t="s">
        <v>15778</v>
      </c>
      <c r="M56" s="14" t="s">
        <v>2138</v>
      </c>
      <c r="N56" s="14" t="s">
        <v>2139</v>
      </c>
      <c r="O56" s="14" t="s">
        <v>9158</v>
      </c>
      <c r="P56" s="14" t="s">
        <v>9158</v>
      </c>
      <c r="Q56" s="14" t="s">
        <v>9158</v>
      </c>
      <c r="R56" s="14" t="s">
        <v>14748</v>
      </c>
    </row>
    <row r="57" spans="1:18">
      <c r="A57" s="14">
        <v>94772</v>
      </c>
      <c r="B57" s="14" t="s">
        <v>0</v>
      </c>
      <c r="C57" s="14" t="s">
        <v>335</v>
      </c>
      <c r="D57" s="14" t="s">
        <v>15781</v>
      </c>
      <c r="E57" s="15" t="str">
        <f>HYPERLINK("https://stat100.ameba.jp/tnk47/ratio20/illustrations/card/ill_94772_baiorinisutosuru02.jpg?202102-5-RELEASE-marathon-516x", "■")</f>
        <v>■</v>
      </c>
      <c r="F57" s="14" t="s">
        <v>15780</v>
      </c>
      <c r="G57" s="14">
        <v>106148</v>
      </c>
      <c r="H57" s="14">
        <v>115230</v>
      </c>
      <c r="I57" s="14">
        <v>28</v>
      </c>
      <c r="J57" s="14" t="s">
        <v>16</v>
      </c>
      <c r="K57" s="14" t="s">
        <v>15779</v>
      </c>
      <c r="L57" s="14" t="s">
        <v>15778</v>
      </c>
      <c r="M57" s="14" t="s">
        <v>13270</v>
      </c>
      <c r="N57" s="14" t="s">
        <v>13271</v>
      </c>
      <c r="O57" s="14" t="s">
        <v>9158</v>
      </c>
      <c r="P57" s="14" t="s">
        <v>9158</v>
      </c>
      <c r="Q57" s="14" t="s">
        <v>9158</v>
      </c>
      <c r="R57" s="14" t="s">
        <v>14748</v>
      </c>
    </row>
    <row r="58" spans="1:18">
      <c r="A58" s="14">
        <v>94771</v>
      </c>
      <c r="B58" s="14" t="s">
        <v>0</v>
      </c>
      <c r="C58" s="14" t="s">
        <v>335</v>
      </c>
      <c r="D58" s="14" t="s">
        <v>15781</v>
      </c>
      <c r="E58" s="15" t="str">
        <f>HYPERLINK("https://stat100.ameba.jp/tnk47/ratio20/illustrations/card/ill_94771_baiorinisutosuru01.jpg?202102-5-RELEASE-marathon-516x", "■")</f>
        <v>■</v>
      </c>
      <c r="F58" s="14" t="s">
        <v>15780</v>
      </c>
      <c r="G58" s="14">
        <v>81900</v>
      </c>
      <c r="H58" s="14">
        <v>87976</v>
      </c>
      <c r="I58" s="14">
        <v>28</v>
      </c>
      <c r="J58" s="14" t="s">
        <v>16</v>
      </c>
      <c r="K58" s="14" t="s">
        <v>15779</v>
      </c>
      <c r="L58" s="14" t="s">
        <v>15778</v>
      </c>
      <c r="M58" s="14" t="s">
        <v>13270</v>
      </c>
      <c r="N58" s="14" t="s">
        <v>13271</v>
      </c>
      <c r="O58" s="14" t="s">
        <v>9158</v>
      </c>
      <c r="P58" s="14" t="s">
        <v>9158</v>
      </c>
      <c r="Q58" s="14" t="s">
        <v>9158</v>
      </c>
      <c r="R58" s="14" t="s">
        <v>14748</v>
      </c>
    </row>
    <row r="59" spans="1:18">
      <c r="A59" s="14">
        <v>94783</v>
      </c>
      <c r="B59" s="14" t="s">
        <v>0</v>
      </c>
      <c r="C59" s="14" t="s">
        <v>200</v>
      </c>
      <c r="D59" s="14" t="s">
        <v>15784</v>
      </c>
      <c r="E59" s="15" t="str">
        <f>HYPERLINK("https://stat100.ameba.jp/tnk47/ratio20/illustrations/card/ill_94783_deusuekusumashina03.jpg?202102-5-RELEASE-marathon-516x", "■")</f>
        <v>■</v>
      </c>
      <c r="F59" s="14" t="s">
        <v>15785</v>
      </c>
      <c r="G59" s="14">
        <v>128160</v>
      </c>
      <c r="H59" s="14">
        <v>137846</v>
      </c>
      <c r="I59" s="14">
        <v>28</v>
      </c>
      <c r="J59" s="14" t="s">
        <v>10</v>
      </c>
      <c r="K59" s="14" t="s">
        <v>15783</v>
      </c>
      <c r="L59" s="14" t="s">
        <v>15782</v>
      </c>
      <c r="M59" s="14" t="s">
        <v>2138</v>
      </c>
      <c r="N59" s="14" t="s">
        <v>2139</v>
      </c>
      <c r="O59" s="14" t="s">
        <v>9158</v>
      </c>
      <c r="P59" s="14" t="s">
        <v>9158</v>
      </c>
      <c r="Q59" s="14" t="s">
        <v>9158</v>
      </c>
      <c r="R59" s="14" t="s">
        <v>14748</v>
      </c>
    </row>
    <row r="60" spans="1:18">
      <c r="A60" s="14">
        <v>94793</v>
      </c>
      <c r="B60" s="14" t="s">
        <v>0</v>
      </c>
      <c r="C60" s="14" t="s">
        <v>307</v>
      </c>
      <c r="D60" s="14" t="s">
        <v>15789</v>
      </c>
      <c r="E60" s="15" t="str">
        <f>HYPERLINK("https://stat100.ameba.jp/tnk47/ratio20/illustrations/card/ill_94793_eiyukohoseiashuramu03.jpg?202102-5-RELEASE-marathon-516x", "■")</f>
        <v>■</v>
      </c>
      <c r="F60" s="14" t="s">
        <v>15788</v>
      </c>
      <c r="G60" s="14">
        <v>137846</v>
      </c>
      <c r="H60" s="14">
        <v>128160</v>
      </c>
      <c r="I60" s="14">
        <v>28</v>
      </c>
      <c r="J60" s="14" t="s">
        <v>143</v>
      </c>
      <c r="K60" s="14" t="s">
        <v>15787</v>
      </c>
      <c r="L60" s="14" t="s">
        <v>15786</v>
      </c>
      <c r="M60" s="14" t="s">
        <v>2138</v>
      </c>
      <c r="N60" s="14" t="s">
        <v>2139</v>
      </c>
      <c r="O60" s="14" t="s">
        <v>9158</v>
      </c>
      <c r="P60" s="14" t="s">
        <v>9158</v>
      </c>
      <c r="Q60" s="14" t="s">
        <v>9158</v>
      </c>
      <c r="R60" s="14" t="s">
        <v>14748</v>
      </c>
    </row>
    <row r="61" spans="1:18">
      <c r="A61" s="14">
        <v>94803</v>
      </c>
      <c r="B61" s="14" t="s">
        <v>0</v>
      </c>
      <c r="C61" s="14" t="s">
        <v>165</v>
      </c>
      <c r="D61" s="14" t="s">
        <v>15793</v>
      </c>
      <c r="E61" s="15" t="str">
        <f>HYPERLINK("https://stat100.ameba.jp/tnk47/ratio20/illustrations/card/ill_94803_pideiria03.jpg?202102-5-RELEASE-marathon-516x", "■")</f>
        <v>■</v>
      </c>
      <c r="F61" s="14" t="s">
        <v>15792</v>
      </c>
      <c r="G61" s="14">
        <v>137846</v>
      </c>
      <c r="H61" s="14">
        <v>128160</v>
      </c>
      <c r="I61" s="14">
        <v>28</v>
      </c>
      <c r="J61" s="14" t="s">
        <v>77</v>
      </c>
      <c r="K61" s="14" t="s">
        <v>15791</v>
      </c>
      <c r="L61" s="14" t="s">
        <v>15790</v>
      </c>
      <c r="M61" s="14" t="s">
        <v>2138</v>
      </c>
      <c r="N61" s="14" t="s">
        <v>2139</v>
      </c>
      <c r="O61" s="14" t="s">
        <v>9158</v>
      </c>
      <c r="P61" s="14" t="s">
        <v>9158</v>
      </c>
      <c r="Q61" s="14" t="s">
        <v>9158</v>
      </c>
      <c r="R61" s="14" t="s">
        <v>14748</v>
      </c>
    </row>
    <row r="62" spans="1:18">
      <c r="A62" s="14">
        <v>94813</v>
      </c>
      <c r="B62" s="14" t="s">
        <v>0</v>
      </c>
      <c r="C62" s="9" t="s">
        <v>205</v>
      </c>
      <c r="D62" s="14" t="s">
        <v>15796</v>
      </c>
      <c r="E62" s="15" t="str">
        <f>HYPERLINK("https://stat100.ameba.jp/tnk47/ratio20/illustrations/card/ill_94813_satogashinomajoshukuru03.jpg?202102-5-RELEASE-marathon-516x", "■")</f>
        <v>■</v>
      </c>
      <c r="F62" s="14" t="s">
        <v>15795</v>
      </c>
      <c r="G62" s="14">
        <v>137846</v>
      </c>
      <c r="H62" s="14">
        <v>128160</v>
      </c>
      <c r="I62" s="14">
        <v>28</v>
      </c>
      <c r="J62" s="14" t="s">
        <v>104</v>
      </c>
      <c r="K62" s="14" t="s">
        <v>15794</v>
      </c>
      <c r="L62" s="14" t="s">
        <v>13292</v>
      </c>
      <c r="M62" s="14" t="s">
        <v>2138</v>
      </c>
      <c r="N62" s="14" t="s">
        <v>2139</v>
      </c>
      <c r="O62" s="14" t="s">
        <v>9158</v>
      </c>
      <c r="P62" s="14" t="s">
        <v>9158</v>
      </c>
      <c r="Q62" s="14" t="s">
        <v>9158</v>
      </c>
      <c r="R62" s="14" t="s">
        <v>14748</v>
      </c>
    </row>
    <row r="63" spans="1:18">
      <c r="A63" s="14">
        <v>94823</v>
      </c>
      <c r="B63" s="14" t="s">
        <v>0</v>
      </c>
      <c r="C63" s="14" t="s">
        <v>206</v>
      </c>
      <c r="D63" s="14" t="s">
        <v>15800</v>
      </c>
      <c r="E63" s="15" t="str">
        <f>HYPERLINK("https://stat100.ameba.jp/tnk47/ratio20/illustrations/card/ill_94823_sandorizado03.jpg?202102-5-RELEASE-marathon-516x", "■")</f>
        <v>■</v>
      </c>
      <c r="F63" s="14" t="s">
        <v>15799</v>
      </c>
      <c r="G63" s="14">
        <v>128160</v>
      </c>
      <c r="H63" s="14">
        <v>137846</v>
      </c>
      <c r="I63" s="14">
        <v>28</v>
      </c>
      <c r="J63" s="14" t="s">
        <v>73</v>
      </c>
      <c r="K63" s="14" t="s">
        <v>15798</v>
      </c>
      <c r="L63" s="14" t="s">
        <v>15797</v>
      </c>
      <c r="M63" s="14" t="s">
        <v>2138</v>
      </c>
      <c r="N63" s="14" t="s">
        <v>2139</v>
      </c>
      <c r="O63" s="14" t="s">
        <v>9158</v>
      </c>
      <c r="P63" s="14" t="s">
        <v>9158</v>
      </c>
      <c r="Q63" s="14" t="s">
        <v>9158</v>
      </c>
      <c r="R63" s="14" t="s">
        <v>14748</v>
      </c>
    </row>
    <row r="65" spans="1:17">
      <c r="A65" s="14" t="s">
        <v>16189</v>
      </c>
    </row>
    <row r="66" spans="1:17">
      <c r="A66" s="14">
        <v>236517</v>
      </c>
      <c r="B66" s="14" t="s">
        <v>3535</v>
      </c>
    </row>
    <row r="67" spans="1:17">
      <c r="A67" s="14">
        <v>236523</v>
      </c>
      <c r="B67" s="14" t="s">
        <v>9353</v>
      </c>
    </row>
    <row r="68" spans="1:17">
      <c r="A68" s="14" t="s">
        <v>16084</v>
      </c>
      <c r="B68" s="7" t="s">
        <v>52</v>
      </c>
      <c r="C68" s="14" t="s">
        <v>202</v>
      </c>
      <c r="D68" s="18" t="s">
        <v>16083</v>
      </c>
      <c r="E68" s="15" t="str">
        <f>HYPERLINK("https://stat100.ameba.jp/tnk47/ratio20/illustrations/card/ill_95653_0_barentaindefukuhime03.jpg?202102-5-RELEASE-marathon-516x", "■")</f>
        <v>■</v>
      </c>
      <c r="F68" s="14" t="s">
        <v>16082</v>
      </c>
      <c r="G68" s="14">
        <v>322612</v>
      </c>
      <c r="H68" s="14">
        <v>263960</v>
      </c>
      <c r="I68" s="7">
        <v>28</v>
      </c>
      <c r="J68" s="14" t="s">
        <v>77</v>
      </c>
      <c r="K68" s="14" t="s">
        <v>16081</v>
      </c>
      <c r="L68" s="14" t="s">
        <v>16080</v>
      </c>
      <c r="M68" s="14" t="s">
        <v>9158</v>
      </c>
      <c r="N68" s="14" t="s">
        <v>9158</v>
      </c>
      <c r="O68" s="7" t="s">
        <v>16086</v>
      </c>
      <c r="P68" s="7" t="s">
        <v>16085</v>
      </c>
      <c r="Q68" s="7">
        <v>1</v>
      </c>
    </row>
    <row r="69" spans="1:17">
      <c r="A69" s="14">
        <v>95713</v>
      </c>
      <c r="B69" s="14" t="s">
        <v>0</v>
      </c>
      <c r="C69" s="14" t="s">
        <v>107</v>
      </c>
      <c r="D69" s="14" t="s">
        <v>16194</v>
      </c>
      <c r="E69" s="15" t="str">
        <f>HYPERLINK("https://stat100.ameba.jp/tnk47/ratio20/illustrations/card/ill_95713_barentaindeosabi03.jpg?202102-5-RELEASE-marathon-516x", "■")</f>
        <v>■</v>
      </c>
      <c r="F69" s="14" t="s">
        <v>16193</v>
      </c>
      <c r="G69" s="14">
        <v>109370</v>
      </c>
      <c r="H69" s="14">
        <v>101650</v>
      </c>
      <c r="I69" s="7">
        <v>28</v>
      </c>
      <c r="J69" s="14" t="s">
        <v>73</v>
      </c>
      <c r="K69" s="14" t="s">
        <v>16192</v>
      </c>
      <c r="L69" s="14" t="s">
        <v>16191</v>
      </c>
      <c r="M69" s="14" t="s">
        <v>9158</v>
      </c>
      <c r="N69" s="14" t="s">
        <v>9158</v>
      </c>
      <c r="O69" s="14" t="s">
        <v>9158</v>
      </c>
      <c r="P69" s="14" t="s">
        <v>9158</v>
      </c>
      <c r="Q69" s="14" t="s">
        <v>9158</v>
      </c>
    </row>
    <row r="70" spans="1:17">
      <c r="A70" s="14">
        <v>95723</v>
      </c>
      <c r="B70" s="14" t="s">
        <v>15</v>
      </c>
      <c r="C70" s="14" t="s">
        <v>96</v>
      </c>
      <c r="D70" s="14" t="s">
        <v>16203</v>
      </c>
      <c r="E70" s="15" t="str">
        <f>HYPERLINK("https://stat100.ameba.jp/tnk47/ratio20/illustrations/card/ill_95723_hommeihinotomiko03.jpg?202102-5-RELEASE-marathon-516x", "■")</f>
        <v>■</v>
      </c>
      <c r="F70" s="14" t="s">
        <v>16202</v>
      </c>
      <c r="G70" s="14">
        <v>75274</v>
      </c>
      <c r="H70" s="14">
        <v>82992</v>
      </c>
      <c r="I70" s="7">
        <v>28</v>
      </c>
      <c r="J70" s="14" t="s">
        <v>77</v>
      </c>
      <c r="K70" s="14" t="s">
        <v>16201</v>
      </c>
      <c r="L70" s="14" t="s">
        <v>973</v>
      </c>
      <c r="M70" s="14" t="s">
        <v>9158</v>
      </c>
      <c r="N70" s="14" t="s">
        <v>9158</v>
      </c>
      <c r="O70" s="14" t="s">
        <v>9158</v>
      </c>
      <c r="P70" s="14" t="s">
        <v>9158</v>
      </c>
      <c r="Q70" s="14" t="s">
        <v>9158</v>
      </c>
    </row>
    <row r="71" spans="1:17">
      <c r="A71" s="14">
        <v>95733</v>
      </c>
      <c r="B71" s="14" t="s">
        <v>22</v>
      </c>
      <c r="C71" s="14" t="s">
        <v>23</v>
      </c>
      <c r="D71" s="14" t="s">
        <v>16197</v>
      </c>
      <c r="E71" s="15" t="str">
        <f>HYPERLINK("https://stat100.ameba.jp/tnk47/ratio20/illustrations/card/ill_95733_tokyoginki03.jpg?202102-5-RELEASE-marathon-516x", "■")</f>
        <v>■</v>
      </c>
      <c r="F71" s="14" t="s">
        <v>16196</v>
      </c>
      <c r="G71" s="14">
        <v>58216</v>
      </c>
      <c r="H71" s="14">
        <v>48406</v>
      </c>
      <c r="I71" s="7">
        <v>28</v>
      </c>
      <c r="J71" s="14" t="s">
        <v>26</v>
      </c>
      <c r="K71" s="14" t="s">
        <v>16195</v>
      </c>
      <c r="L71" s="14" t="s">
        <v>2635</v>
      </c>
      <c r="M71" s="14" t="s">
        <v>9158</v>
      </c>
      <c r="N71" s="14" t="s">
        <v>9158</v>
      </c>
      <c r="O71" s="14" t="s">
        <v>9158</v>
      </c>
      <c r="P71" s="14" t="s">
        <v>9158</v>
      </c>
      <c r="Q71" s="14" t="s">
        <v>9158</v>
      </c>
    </row>
    <row r="72" spans="1:17">
      <c r="A72" s="14">
        <v>95743</v>
      </c>
      <c r="B72" s="14" t="s">
        <v>22</v>
      </c>
      <c r="C72" s="14" t="s">
        <v>14</v>
      </c>
      <c r="D72" s="14" t="s">
        <v>16200</v>
      </c>
      <c r="E72" s="15" t="str">
        <f>HYPERLINK("https://stat100.ameba.jp/tnk47/ratio20/illustrations/card/ill_95743_shokoranaito03.jpg?202102-5-RELEASE-marathon-516x", "■")</f>
        <v>■</v>
      </c>
      <c r="F72" s="14" t="s">
        <v>16199</v>
      </c>
      <c r="G72" s="14">
        <v>48406</v>
      </c>
      <c r="H72" s="14">
        <v>58216</v>
      </c>
      <c r="I72" s="7">
        <v>28</v>
      </c>
      <c r="J72" s="14" t="s">
        <v>143</v>
      </c>
      <c r="K72" s="14" t="s">
        <v>16198</v>
      </c>
      <c r="L72" s="14" t="s">
        <v>3403</v>
      </c>
      <c r="M72" s="14" t="s">
        <v>9158</v>
      </c>
      <c r="N72" s="14" t="s">
        <v>9158</v>
      </c>
      <c r="O72" s="14" t="s">
        <v>9158</v>
      </c>
      <c r="P72" s="14" t="s">
        <v>9158</v>
      </c>
      <c r="Q72" s="14" t="s">
        <v>9158</v>
      </c>
    </row>
    <row r="73" spans="1:17">
      <c r="E73" s="15"/>
      <c r="I73" s="7"/>
    </row>
    <row r="74" spans="1:17">
      <c r="A74" s="14" t="s">
        <v>3844</v>
      </c>
    </row>
    <row r="75" spans="1:17">
      <c r="A75" s="14">
        <v>106542</v>
      </c>
      <c r="B75" s="14" t="s">
        <v>16190</v>
      </c>
    </row>
    <row r="76" spans="1:17">
      <c r="A76" s="9" t="s">
        <v>5642</v>
      </c>
      <c r="B76" s="14" t="s">
        <v>52</v>
      </c>
      <c r="C76" s="14" t="s">
        <v>185</v>
      </c>
      <c r="D76" s="14" t="s">
        <v>2430</v>
      </c>
      <c r="E76" s="15" t="str">
        <f>HYPERLINK("https://stat100.ameba.jp/tnk47/ratio20/illustrations/card/ill_69593_0_setsubunyukionna03.jpg?202102-5-RELEASE-marathon-516x", "■")</f>
        <v>■</v>
      </c>
      <c r="F76" s="14" t="s">
        <v>2431</v>
      </c>
      <c r="G76" s="14">
        <v>185722</v>
      </c>
      <c r="H76" s="14">
        <v>199766</v>
      </c>
      <c r="I76" s="14">
        <v>26</v>
      </c>
      <c r="J76" s="14" t="s">
        <v>73</v>
      </c>
      <c r="K76" s="14" t="s">
        <v>2432</v>
      </c>
      <c r="L76" s="14" t="s">
        <v>2433</v>
      </c>
      <c r="M76" s="14" t="s">
        <v>9158</v>
      </c>
      <c r="N76" s="14" t="s">
        <v>9158</v>
      </c>
      <c r="O76" s="9" t="s">
        <v>3599</v>
      </c>
      <c r="P76" s="14" t="s">
        <v>3600</v>
      </c>
      <c r="Q76" s="14">
        <v>2</v>
      </c>
    </row>
    <row r="77" spans="1:17">
      <c r="A77" s="14">
        <v>90353</v>
      </c>
      <c r="B77" s="14" t="s">
        <v>0</v>
      </c>
      <c r="C77" s="14" t="s">
        <v>107</v>
      </c>
      <c r="D77" s="18" t="s">
        <v>13656</v>
      </c>
      <c r="E77" s="15" t="str">
        <f>HYPERLINK("https://stat100.ameba.jp/tnk47/ratio20/illustrations/card/ill_90353_nangokubakansumyorinni03.jpg?202102-5-RELEASE-marathon-516x", "■")</f>
        <v>■</v>
      </c>
      <c r="F77" s="14" t="s">
        <v>13658</v>
      </c>
      <c r="G77" s="14">
        <v>154562</v>
      </c>
      <c r="H77" s="14">
        <v>143714</v>
      </c>
      <c r="I77" s="14">
        <v>26</v>
      </c>
      <c r="J77" s="14" t="s">
        <v>143</v>
      </c>
      <c r="K77" s="14" t="s">
        <v>13660</v>
      </c>
      <c r="L77" s="14" t="s">
        <v>13661</v>
      </c>
      <c r="M77" s="14" t="s">
        <v>9158</v>
      </c>
      <c r="N77" s="14" t="s">
        <v>9158</v>
      </c>
      <c r="O77" s="6" t="s">
        <v>3578</v>
      </c>
      <c r="P77" s="7" t="s">
        <v>3579</v>
      </c>
      <c r="Q77" s="7">
        <v>1</v>
      </c>
    </row>
    <row r="78" spans="1:17">
      <c r="A78" s="14">
        <v>67993</v>
      </c>
      <c r="B78" s="14" t="s">
        <v>334</v>
      </c>
      <c r="C78" s="14" t="s">
        <v>205</v>
      </c>
      <c r="D78" s="6" t="s">
        <v>2546</v>
      </c>
      <c r="E78" s="15" t="str">
        <f>HYPERLINK("https://stat100.ameba.jp/tnk47/ratio20/illustrations/card/ill_67993_kurisumasupateikanekomisuzu03.jpg?202102-5-RELEASE-marathon-516x", "■")</f>
        <v>■</v>
      </c>
      <c r="F78" s="14" t="s">
        <v>1286</v>
      </c>
      <c r="G78" s="14">
        <v>101558</v>
      </c>
      <c r="H78" s="14">
        <v>94390</v>
      </c>
      <c r="I78" s="14">
        <v>26</v>
      </c>
      <c r="J78" s="14" t="s">
        <v>10</v>
      </c>
      <c r="K78" s="14" t="s">
        <v>2547</v>
      </c>
      <c r="L78" s="14" t="s">
        <v>2548</v>
      </c>
      <c r="M78" s="14" t="s">
        <v>9158</v>
      </c>
      <c r="N78" s="14" t="s">
        <v>9158</v>
      </c>
      <c r="O78" s="6" t="s">
        <v>10025</v>
      </c>
      <c r="P78" s="14" t="s">
        <v>3701</v>
      </c>
      <c r="Q78" s="14">
        <v>1</v>
      </c>
    </row>
    <row r="79" spans="1:17">
      <c r="A79" s="14">
        <v>78873</v>
      </c>
      <c r="B79" s="14" t="s">
        <v>334</v>
      </c>
      <c r="C79" s="14" t="s">
        <v>209</v>
      </c>
      <c r="D79" s="19" t="s">
        <v>2818</v>
      </c>
      <c r="E79" s="15" t="str">
        <f>HYPERLINK("https://stat100.ameba.jp/tnk47/ratio20/illustrations/card/ill_78873_furutsutomato03.jpg?202102-5-RELEASE-marathon-516x", "■")</f>
        <v>■</v>
      </c>
      <c r="F79" s="14" t="s">
        <v>2819</v>
      </c>
      <c r="G79" s="14">
        <v>99532</v>
      </c>
      <c r="H79" s="14">
        <v>137430</v>
      </c>
      <c r="I79" s="14">
        <v>26</v>
      </c>
      <c r="J79" s="14" t="s">
        <v>283</v>
      </c>
      <c r="K79" s="14" t="s">
        <v>2820</v>
      </c>
      <c r="L79" s="14" t="s">
        <v>2821</v>
      </c>
      <c r="M79" s="14" t="s">
        <v>9158</v>
      </c>
      <c r="N79" s="14" t="s">
        <v>9158</v>
      </c>
      <c r="O79" s="19" t="s">
        <v>10074</v>
      </c>
      <c r="P79" s="14" t="s">
        <v>2822</v>
      </c>
      <c r="Q79" s="14">
        <v>1</v>
      </c>
    </row>
    <row r="81" spans="1:17">
      <c r="A81" s="14" t="s">
        <v>180</v>
      </c>
    </row>
    <row r="82" spans="1:17">
      <c r="A82" s="14">
        <v>106545</v>
      </c>
      <c r="B82" s="14" t="s">
        <v>9371</v>
      </c>
    </row>
    <row r="83" spans="1:17">
      <c r="A83" s="14" t="s">
        <v>5733</v>
      </c>
      <c r="B83" s="14" t="s">
        <v>330</v>
      </c>
      <c r="C83" s="14" t="s">
        <v>202</v>
      </c>
      <c r="D83" s="19" t="s">
        <v>2744</v>
      </c>
      <c r="E83" s="15" t="str">
        <f>HYPERLINK("https://stat100.ameba.jp/tnk47/ratio20/illustrations/card/ill_78693_0_kyupittokoinomikoto03.jpg?202102-5-RELEASE-marathon-516x", "■")</f>
        <v>■</v>
      </c>
      <c r="F83" s="14" t="s">
        <v>2745</v>
      </c>
      <c r="G83" s="14">
        <v>251516</v>
      </c>
      <c r="H83" s="14">
        <v>278294</v>
      </c>
      <c r="I83" s="14">
        <v>24</v>
      </c>
      <c r="J83" s="14" t="s">
        <v>274</v>
      </c>
      <c r="K83" s="14" t="s">
        <v>2746</v>
      </c>
      <c r="L83" s="14" t="s">
        <v>2747</v>
      </c>
      <c r="M83" s="14" t="s">
        <v>9158</v>
      </c>
      <c r="N83" s="14" t="s">
        <v>9158</v>
      </c>
      <c r="O83" s="19" t="s">
        <v>10097</v>
      </c>
      <c r="P83" s="14" t="s">
        <v>2748</v>
      </c>
      <c r="Q83" s="14">
        <v>1</v>
      </c>
    </row>
    <row r="84" spans="1:17">
      <c r="A84" s="14" t="s">
        <v>5787</v>
      </c>
      <c r="B84" s="14" t="s">
        <v>330</v>
      </c>
      <c r="C84" s="14" t="s">
        <v>270</v>
      </c>
      <c r="D84" s="20" t="s">
        <v>331</v>
      </c>
      <c r="E84" s="15" t="str">
        <f>HYPERLINK("https://stat100.ameba.jp/tnk47/ratio20/illustrations/card/ill_76303_0_haroinkaguya03.jpg?202102-5-RELEASE-marathon-516x", "■")</f>
        <v>■</v>
      </c>
      <c r="F84" s="14" t="s">
        <v>332</v>
      </c>
      <c r="G84" s="14">
        <v>285614</v>
      </c>
      <c r="H84" s="14">
        <v>265526</v>
      </c>
      <c r="I84" s="14">
        <v>24</v>
      </c>
      <c r="J84" s="14" t="s">
        <v>274</v>
      </c>
      <c r="K84" s="14" t="s">
        <v>333</v>
      </c>
      <c r="L84" s="14" t="s">
        <v>276</v>
      </c>
      <c r="M84" s="14" t="s">
        <v>9158</v>
      </c>
      <c r="N84" s="14" t="s">
        <v>9158</v>
      </c>
      <c r="O84" s="19" t="s">
        <v>2976</v>
      </c>
      <c r="P84" s="14" t="s">
        <v>2724</v>
      </c>
      <c r="Q84" s="14">
        <v>1</v>
      </c>
    </row>
    <row r="85" spans="1:17">
      <c r="A85" s="14" t="s">
        <v>5721</v>
      </c>
      <c r="B85" s="14" t="s">
        <v>52</v>
      </c>
      <c r="C85" s="14" t="s">
        <v>1</v>
      </c>
      <c r="D85" s="20" t="s">
        <v>513</v>
      </c>
      <c r="E85" s="15" t="str">
        <f>HYPERLINK("https://stat100.ameba.jp/tnk47/ratio20/illustrations/card/ill_44283_0_izumonokuni03.jpg?202102-5-RELEASE-marathon-516x", "■")</f>
        <v>■</v>
      </c>
      <c r="F85" s="14" t="s">
        <v>1716</v>
      </c>
      <c r="G85" s="14">
        <v>140448</v>
      </c>
      <c r="H85" s="14">
        <v>131538</v>
      </c>
      <c r="I85" s="14">
        <v>24</v>
      </c>
      <c r="J85" s="14" t="s">
        <v>16</v>
      </c>
      <c r="K85" s="14" t="s">
        <v>2254</v>
      </c>
      <c r="L85" s="14" t="s">
        <v>1718</v>
      </c>
      <c r="M85" s="14" t="s">
        <v>9158</v>
      </c>
      <c r="N85" s="14" t="s">
        <v>9158</v>
      </c>
      <c r="O85" s="14" t="s">
        <v>9158</v>
      </c>
      <c r="P85" s="14" t="s">
        <v>9158</v>
      </c>
      <c r="Q85" s="14" t="s">
        <v>9158</v>
      </c>
    </row>
    <row r="86" spans="1:17">
      <c r="A86" s="14">
        <v>95713</v>
      </c>
      <c r="B86" s="14" t="s">
        <v>0</v>
      </c>
      <c r="C86" s="14" t="s">
        <v>107</v>
      </c>
      <c r="D86" s="14" t="s">
        <v>16194</v>
      </c>
      <c r="E86" s="15" t="str">
        <f>HYPERLINK("https://stat100.ameba.jp/tnk47/ratio20/illustrations/card/ill_95713_barentaindeosabi03.jpg?202102-5-RELEASE-marathon-516x", "■")</f>
        <v>■</v>
      </c>
      <c r="F86" s="14" t="s">
        <v>16193</v>
      </c>
      <c r="G86" s="14">
        <v>101558</v>
      </c>
      <c r="H86" s="14">
        <v>94390</v>
      </c>
      <c r="I86" s="7">
        <v>26</v>
      </c>
      <c r="J86" s="14" t="s">
        <v>73</v>
      </c>
      <c r="K86" s="14" t="s">
        <v>16192</v>
      </c>
      <c r="L86" s="14" t="s">
        <v>16191</v>
      </c>
      <c r="M86" s="14" t="s">
        <v>9158</v>
      </c>
      <c r="N86" s="14" t="s">
        <v>9158</v>
      </c>
      <c r="O86" s="14" t="s">
        <v>9158</v>
      </c>
      <c r="P86" s="14" t="s">
        <v>9158</v>
      </c>
      <c r="Q86" s="14" t="s">
        <v>9158</v>
      </c>
    </row>
    <row r="87" spans="1:17">
      <c r="A87" s="14">
        <v>95723</v>
      </c>
      <c r="B87" s="14" t="s">
        <v>15</v>
      </c>
      <c r="C87" s="14" t="s">
        <v>96</v>
      </c>
      <c r="D87" s="14" t="s">
        <v>16203</v>
      </c>
      <c r="E87" s="15" t="str">
        <f>HYPERLINK("https://stat100.ameba.jp/tnk47/ratio20/illustrations/card/ill_95723_hommeihinotomiko03.jpg?202102-5-RELEASE-marathon-516x", "■")</f>
        <v>■</v>
      </c>
      <c r="F87" s="14" t="s">
        <v>16202</v>
      </c>
      <c r="G87" s="14">
        <v>69898</v>
      </c>
      <c r="H87" s="14">
        <v>77064</v>
      </c>
      <c r="I87" s="7">
        <v>26</v>
      </c>
      <c r="J87" s="14" t="s">
        <v>77</v>
      </c>
      <c r="K87" s="14" t="s">
        <v>16201</v>
      </c>
      <c r="L87" s="14" t="s">
        <v>973</v>
      </c>
      <c r="M87" s="14" t="s">
        <v>9158</v>
      </c>
      <c r="N87" s="14" t="s">
        <v>9158</v>
      </c>
      <c r="O87" s="14" t="s">
        <v>9158</v>
      </c>
      <c r="P87" s="14" t="s">
        <v>9158</v>
      </c>
      <c r="Q87" s="14" t="s">
        <v>9158</v>
      </c>
    </row>
    <row r="88" spans="1:17">
      <c r="A88" s="14">
        <v>95733</v>
      </c>
      <c r="B88" s="14" t="s">
        <v>22</v>
      </c>
      <c r="C88" s="14" t="s">
        <v>23</v>
      </c>
      <c r="D88" s="14" t="s">
        <v>16197</v>
      </c>
      <c r="E88" s="15" t="str">
        <f>HYPERLINK("https://stat100.ameba.jp/tnk47/ratio20/illustrations/card/ill_95733_tokyoginki03.jpg?202102-5-RELEASE-marathon-516x", "■")</f>
        <v>■</v>
      </c>
      <c r="F88" s="14" t="s">
        <v>16196</v>
      </c>
      <c r="G88" s="14">
        <v>54058</v>
      </c>
      <c r="H88" s="14">
        <v>44948</v>
      </c>
      <c r="I88" s="7">
        <v>26</v>
      </c>
      <c r="J88" s="14" t="s">
        <v>26</v>
      </c>
      <c r="K88" s="14" t="s">
        <v>16195</v>
      </c>
      <c r="L88" s="14" t="s">
        <v>2635</v>
      </c>
      <c r="M88" s="14" t="s">
        <v>9158</v>
      </c>
      <c r="N88" s="14" t="s">
        <v>9158</v>
      </c>
      <c r="O88" s="14" t="s">
        <v>9158</v>
      </c>
      <c r="P88" s="14" t="s">
        <v>9158</v>
      </c>
      <c r="Q88" s="14" t="s">
        <v>9158</v>
      </c>
    </row>
    <row r="89" spans="1:17">
      <c r="A89" s="14">
        <v>95743</v>
      </c>
      <c r="B89" s="14" t="s">
        <v>22</v>
      </c>
      <c r="C89" s="14" t="s">
        <v>14</v>
      </c>
      <c r="D89" s="14" t="s">
        <v>16200</v>
      </c>
      <c r="E89" s="15" t="str">
        <f>HYPERLINK("https://stat100.ameba.jp/tnk47/ratio20/illustrations/card/ill_95743_shokoranaito03.jpg?202102-5-RELEASE-marathon-516x", "■")</f>
        <v>■</v>
      </c>
      <c r="F89" s="14" t="s">
        <v>16199</v>
      </c>
      <c r="G89" s="14">
        <v>44948</v>
      </c>
      <c r="H89" s="14">
        <v>54058</v>
      </c>
      <c r="I89" s="7">
        <v>26</v>
      </c>
      <c r="J89" s="14" t="s">
        <v>143</v>
      </c>
      <c r="K89" s="14" t="s">
        <v>16198</v>
      </c>
      <c r="L89" s="14" t="s">
        <v>3403</v>
      </c>
      <c r="M89" s="14" t="s">
        <v>9158</v>
      </c>
      <c r="N89" s="14" t="s">
        <v>9158</v>
      </c>
      <c r="O89" s="14" t="s">
        <v>9158</v>
      </c>
      <c r="P89" s="14" t="s">
        <v>9158</v>
      </c>
      <c r="Q89" s="14" t="s">
        <v>9158</v>
      </c>
    </row>
    <row r="91" spans="1:17">
      <c r="A91" s="14" t="s">
        <v>3905</v>
      </c>
    </row>
    <row r="92" spans="1:17">
      <c r="A92" s="14">
        <v>236547</v>
      </c>
      <c r="B92" s="14" t="s">
        <v>16205</v>
      </c>
    </row>
    <row r="93" spans="1:17">
      <c r="A93" s="14" t="s">
        <v>5624</v>
      </c>
      <c r="B93" s="14" t="s">
        <v>52</v>
      </c>
      <c r="C93" s="14" t="s">
        <v>101</v>
      </c>
      <c r="D93" s="19" t="s">
        <v>1426</v>
      </c>
      <c r="E93" s="15" t="str">
        <f>HYPERLINK("https://stat100.ameba.jp/tnk47/ratio20/illustrations/card/ill_64953_0_yukatatokugawayoshinobu03.jpg?202102-5-RELEASE-marathon-516x", "■")</f>
        <v>■</v>
      </c>
      <c r="F93" s="14" t="s">
        <v>2090</v>
      </c>
      <c r="G93" s="14">
        <v>137060</v>
      </c>
      <c r="H93" s="14">
        <v>147404</v>
      </c>
      <c r="I93" s="14">
        <v>22</v>
      </c>
      <c r="J93" s="14" t="s">
        <v>10</v>
      </c>
      <c r="K93" s="14" t="s">
        <v>2091</v>
      </c>
      <c r="L93" s="14" t="s">
        <v>2092</v>
      </c>
      <c r="M93" s="14" t="s">
        <v>9158</v>
      </c>
      <c r="N93" s="14" t="s">
        <v>9158</v>
      </c>
      <c r="O93" s="19" t="s">
        <v>2889</v>
      </c>
      <c r="P93" s="14" t="s">
        <v>2890</v>
      </c>
      <c r="Q93" s="14">
        <v>1</v>
      </c>
    </row>
    <row r="94" spans="1:17">
      <c r="A94" s="9" t="s">
        <v>5606</v>
      </c>
      <c r="B94" s="14" t="s">
        <v>52</v>
      </c>
      <c r="C94" s="14" t="s">
        <v>206</v>
      </c>
      <c r="D94" s="14" t="s">
        <v>1011</v>
      </c>
      <c r="E94" s="15" t="str">
        <f>HYPERLINK("https://stat100.ameba.jp/tnk47/ratio20/illustrations/card/ill_72233_0_koinoboriryugujin03.jpg?202102-5-RELEASE-marathon-516x", "■")</f>
        <v>■</v>
      </c>
      <c r="F94" s="14" t="s">
        <v>1012</v>
      </c>
      <c r="G94" s="14">
        <v>144312</v>
      </c>
      <c r="H94" s="14">
        <v>155224</v>
      </c>
      <c r="I94" s="14">
        <v>22</v>
      </c>
      <c r="J94" s="14" t="s">
        <v>44</v>
      </c>
      <c r="K94" s="14" t="s">
        <v>1013</v>
      </c>
      <c r="L94" s="14" t="s">
        <v>1014</v>
      </c>
      <c r="M94" s="14" t="s">
        <v>9158</v>
      </c>
      <c r="N94" s="14" t="s">
        <v>9158</v>
      </c>
      <c r="O94" s="9" t="s">
        <v>3419</v>
      </c>
      <c r="P94" s="14" t="s">
        <v>3420</v>
      </c>
      <c r="Q94" s="14">
        <v>2</v>
      </c>
    </row>
    <row r="95" spans="1:17">
      <c r="A95" s="9" t="s">
        <v>5616</v>
      </c>
      <c r="B95" s="14" t="s">
        <v>330</v>
      </c>
      <c r="C95" s="14" t="s">
        <v>185</v>
      </c>
      <c r="D95" s="14" t="s">
        <v>638</v>
      </c>
      <c r="E95" s="15" t="str">
        <f>HYPERLINK("https://stat100.ameba.jp/tnk47/ratio20/illustrations/card/ill_44253_0_dokuganryudatemasamune03.jpg?202102-5-RELEASE-marathon-516x", "■")</f>
        <v>■</v>
      </c>
      <c r="F95" s="14" t="s">
        <v>639</v>
      </c>
      <c r="G95" s="14">
        <v>120576</v>
      </c>
      <c r="H95" s="14">
        <v>128744</v>
      </c>
      <c r="I95" s="14">
        <v>22</v>
      </c>
      <c r="J95" s="14" t="s">
        <v>310</v>
      </c>
      <c r="K95" s="14" t="s">
        <v>640</v>
      </c>
      <c r="L95" s="14" t="s">
        <v>641</v>
      </c>
      <c r="M95" s="14" t="s">
        <v>9158</v>
      </c>
      <c r="N95" s="14" t="s">
        <v>9158</v>
      </c>
      <c r="O95" s="14" t="s">
        <v>9158</v>
      </c>
      <c r="P95" s="14" t="s">
        <v>9158</v>
      </c>
      <c r="Q95" s="14" t="s">
        <v>9158</v>
      </c>
    </row>
    <row r="96" spans="1:17">
      <c r="A96" s="14">
        <v>92743</v>
      </c>
      <c r="B96" s="7" t="s">
        <v>0</v>
      </c>
      <c r="C96" s="14" t="s">
        <v>107</v>
      </c>
      <c r="D96" s="14" t="s">
        <v>15403</v>
      </c>
      <c r="E96" s="15" t="str">
        <f>HYPERLINK("https://stat100.ameba.jp/tnk47/ratio20/illustrations/card/ill_92743_hozukinokagachi03.jpg?202102-5-RELEASE-marathon-516x", "■")</f>
        <v>■</v>
      </c>
      <c r="F96" s="14" t="s">
        <v>15402</v>
      </c>
      <c r="G96" s="14">
        <v>79346</v>
      </c>
      <c r="H96" s="14">
        <v>141042</v>
      </c>
      <c r="I96" s="14">
        <v>28</v>
      </c>
      <c r="J96" s="14" t="s">
        <v>73</v>
      </c>
      <c r="K96" s="14" t="s">
        <v>15400</v>
      </c>
      <c r="L96" s="14" t="s">
        <v>15405</v>
      </c>
      <c r="M96" s="14" t="s">
        <v>9158</v>
      </c>
      <c r="N96" s="14" t="s">
        <v>9158</v>
      </c>
      <c r="O96" s="14" t="s">
        <v>9158</v>
      </c>
      <c r="P96" s="14" t="s">
        <v>9158</v>
      </c>
      <c r="Q96" s="14" t="s">
        <v>9158</v>
      </c>
    </row>
    <row r="97" spans="1:18">
      <c r="A97" s="14">
        <v>88713</v>
      </c>
      <c r="B97" s="14" t="s">
        <v>334</v>
      </c>
      <c r="C97" s="14" t="s">
        <v>1</v>
      </c>
      <c r="D97" s="14" t="s">
        <v>12352</v>
      </c>
      <c r="E97" s="15" t="str">
        <f>HYPERLINK("https://stat100.ameba.jp/tnk47/ratio20/illustrations/card/ill_88713_pammatsurifuigunattsu03.jpg?202102-5-RELEASE-marathon-516x", "■")</f>
        <v>■</v>
      </c>
      <c r="F97" s="14" t="s">
        <v>12354</v>
      </c>
      <c r="G97" s="14">
        <v>115654</v>
      </c>
      <c r="H97" s="14">
        <v>205568</v>
      </c>
      <c r="I97" s="14">
        <v>28</v>
      </c>
      <c r="J97" s="14" t="s">
        <v>104</v>
      </c>
      <c r="K97" s="14" t="s">
        <v>12355</v>
      </c>
      <c r="L97" s="14" t="s">
        <v>12356</v>
      </c>
      <c r="M97" s="14" t="s">
        <v>9158</v>
      </c>
      <c r="N97" s="14" t="s">
        <v>9158</v>
      </c>
      <c r="O97" s="14" t="s">
        <v>9158</v>
      </c>
      <c r="P97" s="14" t="s">
        <v>9158</v>
      </c>
      <c r="Q97" s="14" t="s">
        <v>9158</v>
      </c>
    </row>
    <row r="98" spans="1:18">
      <c r="A98" s="9">
        <v>88043</v>
      </c>
      <c r="B98" s="9" t="s">
        <v>0</v>
      </c>
      <c r="C98" s="9" t="s">
        <v>191</v>
      </c>
      <c r="D98" s="9" t="s">
        <v>11982</v>
      </c>
      <c r="E98" s="15" t="str">
        <f>HYPERLINK("https://stat100.ameba.jp/tnk47/ratio20/illustrations/card/ill_88043_kaidoichinoyumitoriimagawayoshimoto03.jpg?202102-5-RELEASE-marathon-516x", "■")</f>
        <v>■</v>
      </c>
      <c r="F98" s="9" t="s">
        <v>11983</v>
      </c>
      <c r="G98" s="9">
        <v>154768</v>
      </c>
      <c r="H98" s="9">
        <v>166452</v>
      </c>
      <c r="I98" s="14">
        <v>28</v>
      </c>
      <c r="J98" s="9" t="s">
        <v>194</v>
      </c>
      <c r="K98" s="9" t="s">
        <v>11984</v>
      </c>
      <c r="L98" s="9" t="s">
        <v>13253</v>
      </c>
      <c r="M98" s="14" t="s">
        <v>9158</v>
      </c>
      <c r="N98" s="14" t="s">
        <v>9158</v>
      </c>
      <c r="O98" s="7" t="s">
        <v>9158</v>
      </c>
      <c r="P98" s="14" t="s">
        <v>9158</v>
      </c>
      <c r="Q98" s="14" t="s">
        <v>9158</v>
      </c>
    </row>
    <row r="100" spans="1:18">
      <c r="A100" s="14" t="s">
        <v>3911</v>
      </c>
    </row>
    <row r="101" spans="1:18">
      <c r="A101" s="14">
        <v>106568</v>
      </c>
      <c r="B101" s="14" t="s">
        <v>16206</v>
      </c>
    </row>
    <row r="102" spans="1:18">
      <c r="A102" s="14">
        <v>106578</v>
      </c>
      <c r="B102" s="14" t="s">
        <v>15721</v>
      </c>
    </row>
    <row r="103" spans="1:18">
      <c r="A103" s="9" t="s">
        <v>9568</v>
      </c>
      <c r="B103" s="9" t="s">
        <v>117</v>
      </c>
      <c r="C103" s="9" t="s">
        <v>202</v>
      </c>
      <c r="D103" s="19" t="s">
        <v>10978</v>
      </c>
      <c r="E103" s="15" t="str">
        <f>HYPERLINK("https://stat100.ameba.jp/tnk47/ratio20/illustrations/card/ill_88083_0_seirennosammegami03.jpg?202102-5-RELEASE-marathon-516x", "■")</f>
        <v>■</v>
      </c>
      <c r="F103" s="9" t="s">
        <v>9573</v>
      </c>
      <c r="G103" s="9">
        <v>328348</v>
      </c>
      <c r="H103" s="9">
        <v>363286</v>
      </c>
      <c r="I103" s="9">
        <v>30</v>
      </c>
      <c r="J103" s="9" t="s">
        <v>216</v>
      </c>
      <c r="K103" s="9" t="s">
        <v>9572</v>
      </c>
      <c r="L103" s="9" t="s">
        <v>9571</v>
      </c>
      <c r="M103" s="14" t="s">
        <v>9158</v>
      </c>
      <c r="N103" s="14" t="s">
        <v>9158</v>
      </c>
      <c r="O103" s="19" t="s">
        <v>10137</v>
      </c>
      <c r="P103" s="9" t="s">
        <v>9564</v>
      </c>
      <c r="Q103" s="9">
        <v>0</v>
      </c>
      <c r="R103" s="9"/>
    </row>
    <row r="104" spans="1:18">
      <c r="A104" s="14" t="s">
        <v>12178</v>
      </c>
      <c r="B104" s="14" t="s">
        <v>117</v>
      </c>
      <c r="C104" s="14" t="s">
        <v>202</v>
      </c>
      <c r="D104" s="14" t="s">
        <v>12177</v>
      </c>
      <c r="E104" s="15" t="str">
        <f>HYPERLINK("https://stat100.ameba.jp/tnk47/ratio20/illustrations/card/ill_89533_0_harukazesangakudan03.jpg?202102-5-RELEASE-marathon-516x", "■")</f>
        <v>■</v>
      </c>
      <c r="F104" s="14" t="s">
        <v>12183</v>
      </c>
      <c r="G104" s="14">
        <v>358132</v>
      </c>
      <c r="H104" s="14">
        <v>323638</v>
      </c>
      <c r="I104" s="14">
        <v>30</v>
      </c>
      <c r="J104" s="14" t="s">
        <v>169</v>
      </c>
      <c r="K104" s="14" t="s">
        <v>12182</v>
      </c>
      <c r="L104" s="14" t="s">
        <v>12181</v>
      </c>
      <c r="M104" s="14" t="s">
        <v>9158</v>
      </c>
      <c r="N104" s="14" t="s">
        <v>9158</v>
      </c>
      <c r="O104" s="14" t="s">
        <v>12186</v>
      </c>
      <c r="P104" s="14" t="s">
        <v>12187</v>
      </c>
      <c r="Q104" s="14">
        <v>1</v>
      </c>
    </row>
    <row r="105" spans="1:18">
      <c r="A105" s="14" t="s">
        <v>14268</v>
      </c>
      <c r="B105" s="14" t="s">
        <v>117</v>
      </c>
      <c r="C105" s="14" t="s">
        <v>35</v>
      </c>
      <c r="D105" s="14" t="s">
        <v>14262</v>
      </c>
      <c r="E105" s="15" t="str">
        <f>HYPERLINK("https://stat100.ameba.jp/tnk47/ratio20/illustrations/card/ill_91543_0_reihosammeizan03.jpg?202102-5-RELEASE-marathon-516x", "■")</f>
        <v>■</v>
      </c>
      <c r="F105" s="14" t="s">
        <v>14267</v>
      </c>
      <c r="G105" s="14">
        <v>358458</v>
      </c>
      <c r="H105" s="14">
        <v>323964</v>
      </c>
      <c r="I105" s="14">
        <v>30</v>
      </c>
      <c r="J105" s="14" t="s">
        <v>44</v>
      </c>
      <c r="K105" s="14" t="s">
        <v>14266</v>
      </c>
      <c r="L105" s="14" t="s">
        <v>14265</v>
      </c>
      <c r="M105" s="14" t="s">
        <v>9158</v>
      </c>
      <c r="N105" s="14" t="s">
        <v>9158</v>
      </c>
      <c r="O105" s="14" t="s">
        <v>14269</v>
      </c>
      <c r="P105" s="14" t="s">
        <v>7154</v>
      </c>
      <c r="Q105" s="14">
        <v>1</v>
      </c>
    </row>
    <row r="106" spans="1:18">
      <c r="A106" s="14">
        <v>75893</v>
      </c>
      <c r="B106" s="14" t="s">
        <v>0</v>
      </c>
      <c r="C106" s="14" t="s">
        <v>158</v>
      </c>
      <c r="D106" s="19" t="s">
        <v>3095</v>
      </c>
      <c r="E106" s="15" t="str">
        <f>HYPERLINK("https://stat100.ameba.jp/tnk47/ratio20/illustrations/card/ill_75893_hamamatsutakuni03.jpg?202102-5-RELEASE-marathon-516x", "■")</f>
        <v>■</v>
      </c>
      <c r="F106" s="14" t="s">
        <v>3594</v>
      </c>
      <c r="G106" s="14">
        <v>127078</v>
      </c>
      <c r="H106" s="14">
        <v>92068</v>
      </c>
      <c r="I106" s="14">
        <v>28</v>
      </c>
      <c r="J106" s="14" t="s">
        <v>16</v>
      </c>
      <c r="K106" s="14" t="s">
        <v>3595</v>
      </c>
      <c r="L106" s="14" t="s">
        <v>920</v>
      </c>
      <c r="M106" s="14" t="s">
        <v>9158</v>
      </c>
      <c r="N106" s="14" t="s">
        <v>9158</v>
      </c>
      <c r="O106" s="19" t="s">
        <v>3037</v>
      </c>
      <c r="P106" s="14" t="s">
        <v>13128</v>
      </c>
      <c r="Q106" s="14">
        <v>1</v>
      </c>
    </row>
    <row r="107" spans="1:18">
      <c r="A107" s="14">
        <v>81023</v>
      </c>
      <c r="B107" s="14" t="s">
        <v>334</v>
      </c>
      <c r="C107" s="14" t="s">
        <v>41</v>
      </c>
      <c r="D107" s="19" t="s">
        <v>10274</v>
      </c>
      <c r="E107" s="15" t="str">
        <f>HYPERLINK("https://stat100.ameba.jp/tnk47/ratio20/illustrations/card/ill_81023_momonokenki03.jpg?202102-5-RELEASE-marathon-516x", "■")</f>
        <v>■</v>
      </c>
      <c r="F107" s="14" t="s">
        <v>4088</v>
      </c>
      <c r="G107" s="14">
        <v>148002</v>
      </c>
      <c r="H107" s="14">
        <v>107188</v>
      </c>
      <c r="I107" s="14">
        <v>28</v>
      </c>
      <c r="J107" s="14" t="s">
        <v>143</v>
      </c>
      <c r="K107" s="14" t="s">
        <v>4089</v>
      </c>
      <c r="L107" s="14" t="s">
        <v>2049</v>
      </c>
      <c r="M107" s="14" t="s">
        <v>9158</v>
      </c>
      <c r="N107" s="14" t="s">
        <v>9158</v>
      </c>
      <c r="O107" s="19" t="s">
        <v>10096</v>
      </c>
      <c r="P107" s="14" t="s">
        <v>3245</v>
      </c>
      <c r="Q107" s="14">
        <v>1</v>
      </c>
    </row>
    <row r="108" spans="1:18">
      <c r="A108" s="9">
        <v>80753</v>
      </c>
      <c r="B108" s="14" t="s">
        <v>334</v>
      </c>
      <c r="C108" s="14" t="s">
        <v>41</v>
      </c>
      <c r="D108" s="14" t="s">
        <v>4317</v>
      </c>
      <c r="E108" s="15" t="str">
        <f>HYPERLINK("https://stat100.ameba.jp/tnk47/ratio20/illustrations/card/ill_80753_hakubutsukannojoze03.jpg?202102-5-RELEASE-marathon-516x", "■")</f>
        <v>■</v>
      </c>
      <c r="F108" s="14" t="s">
        <v>4318</v>
      </c>
      <c r="G108" s="14">
        <v>92068</v>
      </c>
      <c r="H108" s="14">
        <v>127078</v>
      </c>
      <c r="I108" s="14">
        <v>28</v>
      </c>
      <c r="J108" s="14" t="s">
        <v>38</v>
      </c>
      <c r="K108" s="14" t="s">
        <v>4319</v>
      </c>
      <c r="L108" s="14" t="s">
        <v>4320</v>
      </c>
      <c r="M108" s="14" t="s">
        <v>9158</v>
      </c>
      <c r="N108" s="14" t="s">
        <v>9158</v>
      </c>
      <c r="O108" s="17" t="s">
        <v>10053</v>
      </c>
      <c r="P108" s="14" t="s">
        <v>3592</v>
      </c>
      <c r="Q108" s="14">
        <v>1</v>
      </c>
    </row>
    <row r="109" spans="1:18">
      <c r="A109" s="14">
        <v>67103</v>
      </c>
      <c r="B109" s="14" t="s">
        <v>334</v>
      </c>
      <c r="C109" s="14" t="s">
        <v>154</v>
      </c>
      <c r="D109" s="20" t="s">
        <v>10253</v>
      </c>
      <c r="E109" s="15" t="str">
        <f>HYPERLINK("https://stat100.ameba.jp/tnk47/ratio20/illustrations/card/ill_67103_ankonabe03.jpg?202102-5-RELEASE-marathon-516x", "■")</f>
        <v>■</v>
      </c>
      <c r="F109" s="14" t="s">
        <v>1283</v>
      </c>
      <c r="G109" s="14">
        <v>107188</v>
      </c>
      <c r="H109" s="14">
        <v>148002</v>
      </c>
      <c r="I109" s="14">
        <v>28</v>
      </c>
      <c r="J109" s="14" t="s">
        <v>216</v>
      </c>
      <c r="K109" s="14" t="s">
        <v>1284</v>
      </c>
      <c r="L109" s="14" t="s">
        <v>13153</v>
      </c>
      <c r="M109" s="14" t="s">
        <v>9158</v>
      </c>
      <c r="N109" s="14" t="s">
        <v>9158</v>
      </c>
      <c r="O109" s="19" t="s">
        <v>4074</v>
      </c>
      <c r="P109" s="14" t="s">
        <v>3462</v>
      </c>
      <c r="Q109" s="14">
        <v>1</v>
      </c>
    </row>
    <row r="110" spans="1:18">
      <c r="A110" s="14">
        <v>78133</v>
      </c>
      <c r="B110" s="14" t="s">
        <v>0</v>
      </c>
      <c r="C110" s="14" t="s">
        <v>154</v>
      </c>
      <c r="D110" s="20" t="s">
        <v>10313</v>
      </c>
      <c r="E110" s="15" t="str">
        <f>HYPERLINK("https://stat100.ameba.jp/tnk47/ratio20/illustrations/card/ill_78133_akazukin03.jpg?202102-5-RELEASE-marathon-516x", "■")</f>
        <v>■</v>
      </c>
      <c r="F110" s="14" t="s">
        <v>2202</v>
      </c>
      <c r="G110" s="14">
        <v>103492</v>
      </c>
      <c r="H110" s="14">
        <v>142890</v>
      </c>
      <c r="I110" s="14">
        <v>28</v>
      </c>
      <c r="J110" s="14" t="s">
        <v>38</v>
      </c>
      <c r="K110" s="14" t="s">
        <v>2203</v>
      </c>
      <c r="L110" s="14" t="s">
        <v>2204</v>
      </c>
      <c r="M110" s="14" t="s">
        <v>9158</v>
      </c>
      <c r="N110" s="14" t="s">
        <v>9158</v>
      </c>
      <c r="O110" s="19" t="s">
        <v>2917</v>
      </c>
      <c r="P110" s="14" t="s">
        <v>3531</v>
      </c>
      <c r="Q110" s="14">
        <v>1</v>
      </c>
    </row>
    <row r="111" spans="1:18">
      <c r="A111" s="9">
        <v>58343</v>
      </c>
      <c r="B111" s="14" t="s">
        <v>334</v>
      </c>
      <c r="C111" s="14" t="s">
        <v>268</v>
      </c>
      <c r="D111" s="14" t="s">
        <v>1792</v>
      </c>
      <c r="E111" s="15" t="str">
        <f>HYPERLINK("https://stat100.ameba.jp/tnk47/ratio20/illustrations/card/ill_58343_agemakidayu03.jpg?202102-5-RELEASE-marathon-516x", "■")</f>
        <v>■</v>
      </c>
      <c r="F111" s="14" t="s">
        <v>586</v>
      </c>
      <c r="G111" s="14">
        <v>115558</v>
      </c>
      <c r="H111" s="14">
        <v>84730</v>
      </c>
      <c r="I111" s="14">
        <v>28</v>
      </c>
      <c r="J111" s="14" t="s">
        <v>274</v>
      </c>
      <c r="K111" s="14" t="s">
        <v>587</v>
      </c>
      <c r="L111" s="14" t="s">
        <v>588</v>
      </c>
      <c r="M111" s="14" t="s">
        <v>9158</v>
      </c>
      <c r="N111" s="14" t="s">
        <v>9158</v>
      </c>
      <c r="O111" s="9" t="s">
        <v>2912</v>
      </c>
      <c r="P111" s="14" t="s">
        <v>13122</v>
      </c>
      <c r="Q111" s="14">
        <v>1</v>
      </c>
    </row>
    <row r="113" spans="1:17">
      <c r="A113" s="14" t="s">
        <v>4065</v>
      </c>
    </row>
    <row r="114" spans="1:17">
      <c r="A114" s="14">
        <v>106599</v>
      </c>
      <c r="B114" s="14" t="s">
        <v>16204</v>
      </c>
    </row>
    <row r="115" spans="1:17">
      <c r="A115" s="9" t="s">
        <v>6030</v>
      </c>
      <c r="B115" s="14" t="s">
        <v>330</v>
      </c>
      <c r="C115" s="14" t="s">
        <v>202</v>
      </c>
      <c r="D115" s="14" t="s">
        <v>3708</v>
      </c>
      <c r="E115" s="15" t="str">
        <f>HYPERLINK("https://stat100.ameba.jp/tnk47/ratio20/illustrations/card/ill_80023_0_hinamatsurikyogokumaria03.jpg?202102-5-RELEASE-marathon-516x", "■")</f>
        <v>■</v>
      </c>
      <c r="F115" s="14" t="s">
        <v>3709</v>
      </c>
      <c r="G115" s="14">
        <v>363858</v>
      </c>
      <c r="H115" s="14">
        <v>402625</v>
      </c>
      <c r="I115" s="14">
        <v>27</v>
      </c>
      <c r="J115" s="14" t="s">
        <v>26</v>
      </c>
      <c r="K115" s="14" t="s">
        <v>3710</v>
      </c>
      <c r="L115" s="14" t="s">
        <v>3711</v>
      </c>
      <c r="M115" s="14" t="s">
        <v>9158</v>
      </c>
      <c r="N115" s="14" t="s">
        <v>9158</v>
      </c>
      <c r="O115" s="9" t="s">
        <v>3712</v>
      </c>
      <c r="P115" s="14" t="s">
        <v>3713</v>
      </c>
      <c r="Q115" s="14">
        <v>1</v>
      </c>
    </row>
    <row r="116" spans="1:17">
      <c r="A116" s="14">
        <v>78143</v>
      </c>
      <c r="B116" s="14" t="s">
        <v>334</v>
      </c>
      <c r="C116" s="14" t="s">
        <v>203</v>
      </c>
      <c r="D116" s="20" t="s">
        <v>10285</v>
      </c>
      <c r="E116" s="15" t="str">
        <f>HYPERLINK("https://stat100.ameba.jp/tnk47/ratio20/illustrations/card/ill_78143_kanibarukuin03.jpg?202102-5-RELEASE-marathon-516x", "■")</f>
        <v>■</v>
      </c>
      <c r="F116" s="14" t="s">
        <v>2687</v>
      </c>
      <c r="G116" s="14">
        <v>96010</v>
      </c>
      <c r="H116" s="14">
        <v>132562</v>
      </c>
      <c r="I116" s="14">
        <v>26</v>
      </c>
      <c r="J116" s="14" t="s">
        <v>26</v>
      </c>
      <c r="K116" s="14" t="s">
        <v>2688</v>
      </c>
      <c r="L116" s="14" t="s">
        <v>2137</v>
      </c>
      <c r="M116" s="14" t="s">
        <v>9158</v>
      </c>
      <c r="N116" s="14" t="s">
        <v>9158</v>
      </c>
      <c r="O116" s="19" t="s">
        <v>10103</v>
      </c>
      <c r="P116" s="14" t="s">
        <v>3897</v>
      </c>
      <c r="Q116" s="14">
        <v>1</v>
      </c>
    </row>
    <row r="117" spans="1:17">
      <c r="A117" s="14">
        <v>60763</v>
      </c>
      <c r="B117" s="14" t="s">
        <v>334</v>
      </c>
      <c r="C117" s="14" t="s">
        <v>203</v>
      </c>
      <c r="D117" s="20" t="s">
        <v>10420</v>
      </c>
      <c r="E117" s="15" t="str">
        <f>HYPERLINK("https://stat100.ameba.jp/tnk47/ratio20/illustrations/card/ill_60763_fujiwarakagekiyo03.jpg?202102-5-RELEASE-marathon-516x", "■")</f>
        <v>■</v>
      </c>
      <c r="F117" s="14" t="s">
        <v>1146</v>
      </c>
      <c r="G117" s="14">
        <v>125296</v>
      </c>
      <c r="H117" s="14">
        <v>172982</v>
      </c>
      <c r="I117" s="14">
        <v>26</v>
      </c>
      <c r="J117" s="14" t="s">
        <v>143</v>
      </c>
      <c r="K117" s="14" t="s">
        <v>1147</v>
      </c>
      <c r="L117" s="14" t="s">
        <v>1148</v>
      </c>
      <c r="M117" s="14" t="s">
        <v>9158</v>
      </c>
      <c r="N117" s="14" t="s">
        <v>9158</v>
      </c>
      <c r="O117" s="19" t="s">
        <v>10112</v>
      </c>
      <c r="P117" s="14" t="s">
        <v>13150</v>
      </c>
      <c r="Q117" s="14">
        <v>1</v>
      </c>
    </row>
    <row r="118" spans="1:17">
      <c r="A118" s="14">
        <v>70363</v>
      </c>
      <c r="B118" s="14" t="s">
        <v>334</v>
      </c>
      <c r="C118" s="14" t="s">
        <v>209</v>
      </c>
      <c r="D118" s="20" t="s">
        <v>10266</v>
      </c>
      <c r="E118" s="15" t="str">
        <f>HYPERLINK("https://stat100.ameba.jp/tnk47/ratio20/illustrations/card/ill_70363_hokushimmyokembosatsu03.jpg?202102-5-RELEASE-marathon-516x", "■")</f>
        <v>■</v>
      </c>
      <c r="F118" s="14" t="s">
        <v>2502</v>
      </c>
      <c r="G118" s="14">
        <v>172982</v>
      </c>
      <c r="H118" s="14">
        <v>125296</v>
      </c>
      <c r="I118" s="14">
        <v>26</v>
      </c>
      <c r="J118" s="14" t="s">
        <v>44</v>
      </c>
      <c r="K118" s="14" t="s">
        <v>2503</v>
      </c>
      <c r="L118" s="14" t="s">
        <v>2504</v>
      </c>
      <c r="M118" s="14" t="s">
        <v>9158</v>
      </c>
      <c r="N118" s="14" t="s">
        <v>9158</v>
      </c>
      <c r="O118" s="19" t="s">
        <v>10114</v>
      </c>
      <c r="P118" s="14" t="s">
        <v>3658</v>
      </c>
      <c r="Q118" s="14">
        <v>1</v>
      </c>
    </row>
    <row r="120" spans="1:17">
      <c r="A120" s="14" t="s">
        <v>3916</v>
      </c>
    </row>
    <row r="121" spans="1:17">
      <c r="A121" s="14">
        <v>106604</v>
      </c>
      <c r="B121" s="14" t="s">
        <v>3567</v>
      </c>
    </row>
    <row r="122" spans="1:17">
      <c r="A122" s="14">
        <v>76103</v>
      </c>
      <c r="B122" s="14" t="s">
        <v>334</v>
      </c>
      <c r="C122" s="14" t="s">
        <v>154</v>
      </c>
      <c r="D122" s="19" t="s">
        <v>570</v>
      </c>
      <c r="E122" s="15" t="str">
        <f>HYPERLINK("https://stat100.ameba.jp/tnk47/ratio20/illustrations/card/ill_76103_shibuaji03.jpg?202102-5-RELEASE-marathon-516x", "■")</f>
        <v>■</v>
      </c>
      <c r="F122" s="14" t="s">
        <v>1122</v>
      </c>
      <c r="G122" s="14">
        <v>120766</v>
      </c>
      <c r="H122" s="14">
        <v>112286</v>
      </c>
      <c r="I122" s="14">
        <v>28</v>
      </c>
      <c r="J122" s="14" t="s">
        <v>143</v>
      </c>
      <c r="K122" s="14" t="s">
        <v>1123</v>
      </c>
      <c r="L122" s="14" t="s">
        <v>1124</v>
      </c>
      <c r="M122" s="14" t="s">
        <v>9864</v>
      </c>
      <c r="N122" s="14" t="s">
        <v>9158</v>
      </c>
      <c r="O122" s="14" t="s">
        <v>9158</v>
      </c>
      <c r="P122" s="14" t="s">
        <v>9158</v>
      </c>
      <c r="Q122" s="14" t="s">
        <v>9158</v>
      </c>
    </row>
    <row r="123" spans="1:17">
      <c r="A123" s="14">
        <v>76113</v>
      </c>
      <c r="B123" s="14" t="s">
        <v>334</v>
      </c>
      <c r="C123" s="14" t="s">
        <v>158</v>
      </c>
      <c r="D123" s="19" t="s">
        <v>10268</v>
      </c>
      <c r="E123" s="15" t="str">
        <f>HYPERLINK("https://stat100.ameba.jp/tnk47/ratio20/illustrations/card/ill_76113_jannudaruku03.jpg?202102-5-RELEASE-marathon-516x", "■")</f>
        <v>■</v>
      </c>
      <c r="F123" s="14" t="s">
        <v>1126</v>
      </c>
      <c r="G123" s="14">
        <v>120766</v>
      </c>
      <c r="H123" s="14">
        <v>112286</v>
      </c>
      <c r="I123" s="14">
        <v>28</v>
      </c>
      <c r="J123" s="14" t="s">
        <v>10</v>
      </c>
      <c r="K123" s="14" t="s">
        <v>1127</v>
      </c>
      <c r="L123" s="14" t="s">
        <v>1128</v>
      </c>
      <c r="M123" s="14" t="s">
        <v>9158</v>
      </c>
      <c r="N123" s="14" t="s">
        <v>9158</v>
      </c>
      <c r="O123" s="14" t="s">
        <v>9158</v>
      </c>
      <c r="P123" s="14" t="s">
        <v>9158</v>
      </c>
      <c r="Q123" s="14" t="s">
        <v>9158</v>
      </c>
    </row>
    <row r="124" spans="1:17">
      <c r="A124" s="14">
        <v>63323</v>
      </c>
      <c r="B124" s="14" t="s">
        <v>0</v>
      </c>
      <c r="C124" s="14" t="s">
        <v>200</v>
      </c>
      <c r="D124" s="19" t="s">
        <v>10269</v>
      </c>
      <c r="E124" s="15" t="str">
        <f>HYPERLINK("https://stat100.ameba.jp/tnk47/ratio20/illustrations/card/ill_63323_ajisaikushinadahime03.jpg?202102-5-RELEASE-marathon-516x", "■")</f>
        <v>■</v>
      </c>
      <c r="F124" s="14" t="s">
        <v>3583</v>
      </c>
      <c r="G124" s="14">
        <v>106178</v>
      </c>
      <c r="H124" s="14">
        <v>114208</v>
      </c>
      <c r="I124" s="14">
        <v>28</v>
      </c>
      <c r="J124" s="14" t="s">
        <v>44</v>
      </c>
      <c r="K124" s="14" t="s">
        <v>3584</v>
      </c>
      <c r="L124" s="14" t="s">
        <v>2400</v>
      </c>
      <c r="M124" s="14" t="s">
        <v>9158</v>
      </c>
      <c r="N124" s="14" t="s">
        <v>9158</v>
      </c>
      <c r="O124" s="14" t="s">
        <v>9158</v>
      </c>
      <c r="P124" s="14" t="s">
        <v>9158</v>
      </c>
      <c r="Q124" s="14" t="s">
        <v>9158</v>
      </c>
    </row>
    <row r="125" spans="1:17">
      <c r="A125" s="14">
        <v>59863</v>
      </c>
      <c r="B125" s="14" t="s">
        <v>334</v>
      </c>
      <c r="C125" s="14" t="s">
        <v>165</v>
      </c>
      <c r="D125" s="19" t="s">
        <v>318</v>
      </c>
      <c r="E125" s="15" t="str">
        <f>HYPERLINK("https://stat100.ameba.jp/tnk47/ratio20/illustrations/card/ill_59863_yoseiichimokuren03.jpg?202102-5-RELEASE-marathon-516x", "■")</f>
        <v>■</v>
      </c>
      <c r="F125" s="14" t="s">
        <v>319</v>
      </c>
      <c r="G125" s="14">
        <v>116662</v>
      </c>
      <c r="H125" s="14">
        <v>108494</v>
      </c>
      <c r="I125" s="14">
        <v>28</v>
      </c>
      <c r="J125" s="14" t="s">
        <v>320</v>
      </c>
      <c r="K125" s="14" t="s">
        <v>321</v>
      </c>
      <c r="L125" s="14" t="s">
        <v>322</v>
      </c>
      <c r="M125" s="14" t="s">
        <v>9158</v>
      </c>
      <c r="N125" s="14" t="s">
        <v>9158</v>
      </c>
      <c r="O125" s="14" t="s">
        <v>9158</v>
      </c>
      <c r="P125" s="14" t="s">
        <v>9158</v>
      </c>
      <c r="Q125" s="14" t="s">
        <v>9158</v>
      </c>
    </row>
    <row r="126" spans="1:17">
      <c r="A126" s="14">
        <v>51823</v>
      </c>
      <c r="B126" s="14" t="s">
        <v>15</v>
      </c>
      <c r="C126" s="14" t="s">
        <v>101</v>
      </c>
      <c r="D126" s="19" t="s">
        <v>10587</v>
      </c>
      <c r="E126" s="15" t="str">
        <f>HYPERLINK("https://stat100.ameba.jp/tnk47/ratio20/illustrations/card/ill_51823_jukimatsu03.jpg?202102-5-RELEASE-marathon-516x", "■")</f>
        <v>■</v>
      </c>
      <c r="F126" s="14" t="s">
        <v>6742</v>
      </c>
      <c r="G126" s="14">
        <v>64520</v>
      </c>
      <c r="H126" s="14">
        <v>71136</v>
      </c>
      <c r="I126" s="14">
        <v>24</v>
      </c>
      <c r="J126" s="14" t="s">
        <v>77</v>
      </c>
      <c r="K126" s="14" t="s">
        <v>6743</v>
      </c>
      <c r="L126" s="14" t="s">
        <v>6744</v>
      </c>
      <c r="M126" s="14" t="s">
        <v>9158</v>
      </c>
      <c r="N126" s="14" t="s">
        <v>9158</v>
      </c>
      <c r="O126" s="14" t="s">
        <v>9158</v>
      </c>
      <c r="P126" s="14" t="s">
        <v>9158</v>
      </c>
      <c r="Q126" s="14" t="s">
        <v>9158</v>
      </c>
    </row>
    <row r="127" spans="1:17">
      <c r="A127" s="14">
        <v>51773</v>
      </c>
      <c r="B127" s="14" t="s">
        <v>15</v>
      </c>
      <c r="C127" s="14" t="s">
        <v>205</v>
      </c>
      <c r="D127" s="19" t="s">
        <v>10588</v>
      </c>
      <c r="E127" s="15" t="str">
        <f>HYPERLINK("https://stat100.ameba.jp/tnk47/ratio20/illustrations/card/ill_51773_kawaasobikanekomisuzu03.jpg?202102-5-RELEASE-marathon-516x", "■")</f>
        <v>■</v>
      </c>
      <c r="F127" s="14" t="s">
        <v>6747</v>
      </c>
      <c r="G127" s="14">
        <v>71136</v>
      </c>
      <c r="H127" s="14">
        <v>64520</v>
      </c>
      <c r="I127" s="14">
        <v>24</v>
      </c>
      <c r="J127" s="14" t="s">
        <v>10</v>
      </c>
      <c r="K127" s="14" t="s">
        <v>6746</v>
      </c>
      <c r="L127" s="14" t="s">
        <v>6745</v>
      </c>
      <c r="M127" s="14" t="s">
        <v>9158</v>
      </c>
      <c r="N127" s="14" t="s">
        <v>9158</v>
      </c>
      <c r="O127" s="14" t="s">
        <v>9158</v>
      </c>
      <c r="P127" s="14" t="s">
        <v>9158</v>
      </c>
      <c r="Q127" s="14" t="s">
        <v>9158</v>
      </c>
    </row>
    <row r="128" spans="1:17">
      <c r="A128" s="14">
        <v>51733</v>
      </c>
      <c r="B128" s="14" t="s">
        <v>15</v>
      </c>
      <c r="C128" s="14" t="s">
        <v>185</v>
      </c>
      <c r="D128" s="19" t="s">
        <v>10589</v>
      </c>
      <c r="E128" s="15" t="str">
        <f>HYPERLINK("https://stat100.ameba.jp/tnk47/ratio20/illustrations/card/ill_51733_ekusoshisutopoiyampe03.jpg?202102-5-RELEASE-marathon-516x", "■")</f>
        <v>■</v>
      </c>
      <c r="F128" s="14" t="s">
        <v>6750</v>
      </c>
      <c r="G128" s="14">
        <v>64520</v>
      </c>
      <c r="H128" s="14">
        <v>71136</v>
      </c>
      <c r="I128" s="14">
        <v>24</v>
      </c>
      <c r="J128" s="14" t="s">
        <v>274</v>
      </c>
      <c r="K128" s="14" t="s">
        <v>6749</v>
      </c>
      <c r="L128" s="14" t="s">
        <v>6748</v>
      </c>
      <c r="M128" s="14" t="s">
        <v>9158</v>
      </c>
      <c r="N128" s="14" t="s">
        <v>9158</v>
      </c>
      <c r="O128" s="14" t="s">
        <v>9158</v>
      </c>
      <c r="P128" s="14" t="s">
        <v>9158</v>
      </c>
      <c r="Q128" s="14" t="s">
        <v>9158</v>
      </c>
    </row>
    <row r="129" spans="1:17">
      <c r="A129" s="14">
        <v>55743</v>
      </c>
      <c r="B129" s="14" t="s">
        <v>15</v>
      </c>
      <c r="C129" s="14" t="s">
        <v>96</v>
      </c>
      <c r="D129" s="19" t="s">
        <v>10590</v>
      </c>
      <c r="E129" s="15" t="str">
        <f>HYPERLINK("https://stat100.ameba.jp/tnk47/ratio20/illustrations/card/ill_55743_nankoume03.jpg?202102-5-RELEASE-marathon-516x", "■")</f>
        <v>■</v>
      </c>
      <c r="F129" s="14" t="s">
        <v>4308</v>
      </c>
      <c r="G129" s="14">
        <v>64520</v>
      </c>
      <c r="H129" s="14">
        <v>71136</v>
      </c>
      <c r="I129" s="14">
        <v>24</v>
      </c>
      <c r="J129" s="14" t="s">
        <v>216</v>
      </c>
      <c r="K129" s="14" t="s">
        <v>4310</v>
      </c>
      <c r="L129" s="14" t="s">
        <v>4311</v>
      </c>
      <c r="M129" s="14" t="s">
        <v>9158</v>
      </c>
      <c r="N129" s="14" t="s">
        <v>9158</v>
      </c>
      <c r="O129" s="14" t="s">
        <v>9158</v>
      </c>
      <c r="P129" s="14" t="s">
        <v>9158</v>
      </c>
      <c r="Q129" s="14" t="s">
        <v>9158</v>
      </c>
    </row>
    <row r="131" spans="1:17">
      <c r="A131" s="14" t="s">
        <v>12630</v>
      </c>
    </row>
    <row r="132" spans="1:17">
      <c r="A132" s="14">
        <v>236571</v>
      </c>
      <c r="B132" s="14" t="s">
        <v>16133</v>
      </c>
    </row>
    <row r="133" spans="1:17">
      <c r="A133" s="14">
        <v>236581</v>
      </c>
      <c r="B133" s="14" t="s">
        <v>15725</v>
      </c>
    </row>
    <row r="134" spans="1:17">
      <c r="A134" s="14" t="s">
        <v>12742</v>
      </c>
    </row>
    <row r="135" spans="1:17">
      <c r="A135" s="14" t="s">
        <v>12012</v>
      </c>
      <c r="B135" s="7" t="s">
        <v>52</v>
      </c>
      <c r="C135" s="14" t="s">
        <v>202</v>
      </c>
      <c r="D135" s="18" t="s">
        <v>12013</v>
      </c>
      <c r="E135" s="15" t="str">
        <f>HYPERLINK("https://stat100.ameba.jp/tnk47/ratio20/illustrations/card/ill_88363_0_hanamijingukogo03.jpg?202102-5-RELEASE-marathon-516x", "■")</f>
        <v>■</v>
      </c>
      <c r="F135" s="14" t="s">
        <v>12014</v>
      </c>
      <c r="G135" s="14">
        <v>328614</v>
      </c>
      <c r="H135" s="14">
        <v>296998</v>
      </c>
      <c r="I135" s="7">
        <v>27</v>
      </c>
      <c r="J135" s="14" t="s">
        <v>10</v>
      </c>
      <c r="K135" s="14" t="s">
        <v>12015</v>
      </c>
      <c r="L135" s="14" t="s">
        <v>12016</v>
      </c>
      <c r="M135" s="14" t="s">
        <v>9158</v>
      </c>
      <c r="N135" s="14" t="s">
        <v>9158</v>
      </c>
      <c r="O135" s="6" t="s">
        <v>12017</v>
      </c>
      <c r="P135" s="7" t="s">
        <v>12018</v>
      </c>
      <c r="Q135" s="7">
        <v>1</v>
      </c>
    </row>
    <row r="136" spans="1:17">
      <c r="A136" s="14" t="s">
        <v>5619</v>
      </c>
      <c r="B136" s="14" t="s">
        <v>330</v>
      </c>
      <c r="C136" s="14" t="s">
        <v>202</v>
      </c>
      <c r="D136" s="19" t="s">
        <v>10348</v>
      </c>
      <c r="E136" s="15" t="str">
        <f>HYPERLINK("https://stat100.ameba.jp/tnk47/ratio20/illustrations/card/ill_81183_0_shinryokunokisetsuamaterasu03.jpg?202102-5-RELEASE-marathon-516x", "■")</f>
        <v>■</v>
      </c>
      <c r="F136" s="14" t="s">
        <v>4505</v>
      </c>
      <c r="G136" s="14">
        <v>283637</v>
      </c>
      <c r="H136" s="14">
        <v>313857</v>
      </c>
      <c r="I136" s="14">
        <v>27</v>
      </c>
      <c r="J136" s="14" t="s">
        <v>44</v>
      </c>
      <c r="K136" s="14" t="s">
        <v>4506</v>
      </c>
      <c r="L136" s="14" t="s">
        <v>4507</v>
      </c>
      <c r="M136" s="14" t="s">
        <v>9158</v>
      </c>
      <c r="N136" s="14" t="s">
        <v>9158</v>
      </c>
      <c r="O136" s="19" t="s">
        <v>10083</v>
      </c>
      <c r="P136" s="14" t="s">
        <v>4509</v>
      </c>
      <c r="Q136" s="14">
        <v>0</v>
      </c>
    </row>
    <row r="137" spans="1:17">
      <c r="A137" s="14" t="s">
        <v>5734</v>
      </c>
      <c r="B137" s="14" t="s">
        <v>330</v>
      </c>
      <c r="C137" s="14" t="s">
        <v>202</v>
      </c>
      <c r="D137" s="19" t="s">
        <v>2297</v>
      </c>
      <c r="E137" s="15" t="str">
        <f>HYPERLINK("https://stat100.ameba.jp/tnk47/ratio20/illustrations/card/ill_74593_0_natsuyuenchikoshihikari03.jpg?202102-5-RELEASE-marathon-516x", "■")</f>
        <v>■</v>
      </c>
      <c r="F137" s="14" t="s">
        <v>1498</v>
      </c>
      <c r="G137" s="14">
        <v>292494</v>
      </c>
      <c r="H137" s="14">
        <v>271923</v>
      </c>
      <c r="I137" s="14">
        <v>27</v>
      </c>
      <c r="J137" s="14" t="s">
        <v>283</v>
      </c>
      <c r="K137" s="14" t="s">
        <v>1499</v>
      </c>
      <c r="L137" s="14" t="s">
        <v>1500</v>
      </c>
      <c r="M137" s="14" t="s">
        <v>9158</v>
      </c>
      <c r="N137" s="14" t="s">
        <v>9158</v>
      </c>
      <c r="O137" s="19" t="s">
        <v>2731</v>
      </c>
      <c r="P137" s="14" t="s">
        <v>2732</v>
      </c>
      <c r="Q137" s="14">
        <v>1</v>
      </c>
    </row>
    <row r="138" spans="1:17">
      <c r="A138" s="14">
        <v>91873</v>
      </c>
      <c r="B138" s="14" t="s">
        <v>0</v>
      </c>
      <c r="C138" s="14" t="s">
        <v>185</v>
      </c>
      <c r="D138" s="14" t="s">
        <v>14698</v>
      </c>
      <c r="E138" s="15" t="str">
        <f>HYPERLINK("https://stat100.ameba.jp/tnk47/ratio20/illustrations/card/ill_91873_mahogakkosabanto03.jpg?202102-5-RELEASE-marathon-516x", "■")</f>
        <v>■</v>
      </c>
      <c r="F138" s="14" t="s">
        <v>14697</v>
      </c>
      <c r="G138" s="14">
        <v>106178</v>
      </c>
      <c r="H138" s="14">
        <v>114208</v>
      </c>
      <c r="I138" s="7">
        <v>28</v>
      </c>
      <c r="J138" s="14" t="s">
        <v>44</v>
      </c>
      <c r="K138" s="14" t="s">
        <v>14695</v>
      </c>
      <c r="L138" s="14" t="s">
        <v>14694</v>
      </c>
      <c r="M138" s="14" t="s">
        <v>9158</v>
      </c>
      <c r="N138" s="14" t="s">
        <v>9158</v>
      </c>
      <c r="O138" s="14" t="s">
        <v>9158</v>
      </c>
      <c r="P138" s="14" t="s">
        <v>9158</v>
      </c>
      <c r="Q138" s="14" t="s">
        <v>9158</v>
      </c>
    </row>
    <row r="139" spans="1:17">
      <c r="A139" s="14">
        <v>83163</v>
      </c>
      <c r="B139" s="14" t="s">
        <v>0</v>
      </c>
      <c r="C139" s="14" t="s">
        <v>200</v>
      </c>
      <c r="D139" s="20" t="s">
        <v>10480</v>
      </c>
      <c r="E139" s="15" t="str">
        <f>HYPERLINK("https://stat100.ameba.jp/tnk47/ratio20/illustrations/card/ill_83163_mangamatsurifutomakimatsurizushi03.jpg?202102-5-RELEASE-marathon-516x", "■")</f>
        <v>■</v>
      </c>
      <c r="F139" s="14" t="s">
        <v>6164</v>
      </c>
      <c r="G139" s="14">
        <v>132230</v>
      </c>
      <c r="H139" s="14">
        <v>122960</v>
      </c>
      <c r="I139" s="7">
        <v>28</v>
      </c>
      <c r="J139" s="14" t="s">
        <v>104</v>
      </c>
      <c r="K139" s="14" t="s">
        <v>6166</v>
      </c>
      <c r="L139" s="14" t="s">
        <v>2409</v>
      </c>
      <c r="M139" s="14" t="s">
        <v>9158</v>
      </c>
      <c r="N139" s="14" t="s">
        <v>9158</v>
      </c>
      <c r="O139" s="14" t="s">
        <v>9158</v>
      </c>
      <c r="P139" s="14" t="s">
        <v>9158</v>
      </c>
      <c r="Q139" s="14" t="s">
        <v>9158</v>
      </c>
    </row>
    <row r="140" spans="1:17">
      <c r="A140" s="14">
        <v>77533</v>
      </c>
      <c r="B140" s="14" t="s">
        <v>0</v>
      </c>
      <c r="C140" s="14" t="s">
        <v>101</v>
      </c>
      <c r="D140" s="14" t="s">
        <v>2004</v>
      </c>
      <c r="E140" s="15" t="str">
        <f>HYPERLINK("https://stat100.ameba.jp/tnk47/ratio20/illustrations/card/ill_77533_miyakonotawasuzuhikohime03.jpg?202102-5-RELEASE-marathon-516x", "■")</f>
        <v>■</v>
      </c>
      <c r="F140" s="14" t="s">
        <v>2005</v>
      </c>
      <c r="G140" s="14">
        <v>108494</v>
      </c>
      <c r="H140" s="14">
        <v>116662</v>
      </c>
      <c r="I140" s="7">
        <v>28</v>
      </c>
      <c r="J140" s="14" t="s">
        <v>73</v>
      </c>
      <c r="K140" s="14" t="s">
        <v>2006</v>
      </c>
      <c r="L140" s="14" t="s">
        <v>2007</v>
      </c>
      <c r="M140" s="14" t="s">
        <v>9158</v>
      </c>
      <c r="N140" s="14" t="s">
        <v>9158</v>
      </c>
      <c r="O140" s="14" t="s">
        <v>9158</v>
      </c>
      <c r="P140" s="14" t="s">
        <v>9158</v>
      </c>
      <c r="Q140" s="14" t="s">
        <v>9158</v>
      </c>
    </row>
    <row r="141" spans="1:17">
      <c r="A141" s="14">
        <v>67603</v>
      </c>
      <c r="B141" s="14" t="s">
        <v>0</v>
      </c>
      <c r="C141" s="14" t="s">
        <v>165</v>
      </c>
      <c r="D141" s="19" t="s">
        <v>10694</v>
      </c>
      <c r="E141" s="15" t="str">
        <f>HYPERLINK("https://stat100.ameba.jp/tnk47/ratio20/illustrations/card/ill_67603_girishiashinwafujiwaratokihime03.jpg?202102-5-RELEASE-marathon-516x", "■")</f>
        <v>■</v>
      </c>
      <c r="F141" s="14" t="s">
        <v>4356</v>
      </c>
      <c r="G141" s="14">
        <v>109370</v>
      </c>
      <c r="H141" s="14">
        <v>101650</v>
      </c>
      <c r="I141" s="7">
        <v>28</v>
      </c>
      <c r="J141" s="14" t="s">
        <v>77</v>
      </c>
      <c r="K141" s="14" t="s">
        <v>4357</v>
      </c>
      <c r="L141" s="14" t="s">
        <v>4096</v>
      </c>
      <c r="M141" s="14" t="s">
        <v>9158</v>
      </c>
      <c r="N141" s="14" t="s">
        <v>9158</v>
      </c>
      <c r="O141" s="14" t="s">
        <v>9158</v>
      </c>
      <c r="P141" s="14" t="s">
        <v>9158</v>
      </c>
      <c r="Q141" s="14" t="s">
        <v>9158</v>
      </c>
    </row>
    <row r="142" spans="1:17">
      <c r="A142" s="14">
        <v>83353</v>
      </c>
      <c r="B142" s="14" t="s">
        <v>0</v>
      </c>
      <c r="C142" s="14" t="s">
        <v>267</v>
      </c>
      <c r="D142" s="19" t="s">
        <v>10532</v>
      </c>
      <c r="E142" s="15" t="str">
        <f>HYPERLINK("https://stat100.ameba.jp/tnk47/ratio20/illustrations/card/ill_83353_kunoichikumanofudechan03.jpg?202102-5-RELEASE-marathon-516x", "■")</f>
        <v>■</v>
      </c>
      <c r="F142" s="14" t="s">
        <v>6475</v>
      </c>
      <c r="G142" s="14">
        <v>127556</v>
      </c>
      <c r="H142" s="14">
        <v>118598</v>
      </c>
      <c r="I142" s="7">
        <v>28</v>
      </c>
      <c r="J142" s="14" t="s">
        <v>229</v>
      </c>
      <c r="K142" s="14" t="s">
        <v>6474</v>
      </c>
      <c r="L142" s="14" t="s">
        <v>6473</v>
      </c>
      <c r="M142" s="14" t="s">
        <v>9158</v>
      </c>
      <c r="N142" s="14" t="s">
        <v>9158</v>
      </c>
      <c r="O142" s="14" t="s">
        <v>9158</v>
      </c>
      <c r="P142" s="14" t="s">
        <v>9158</v>
      </c>
      <c r="Q142" s="14" t="s">
        <v>9158</v>
      </c>
    </row>
    <row r="143" spans="1:17">
      <c r="A143" s="14">
        <v>81493</v>
      </c>
      <c r="B143" s="14" t="s">
        <v>334</v>
      </c>
      <c r="C143" s="14" t="s">
        <v>206</v>
      </c>
      <c r="D143" s="19" t="s">
        <v>11001</v>
      </c>
      <c r="E143" s="15" t="str">
        <f>HYPERLINK("https://stat100.ameba.jp/tnk47/ratio20/illustrations/card/ill_81493_puchidebiruraikirimaru03.jpg?202102-5-RELEASE-marathon-516x", "■")</f>
        <v>■</v>
      </c>
      <c r="F143" s="14" t="s">
        <v>4774</v>
      </c>
      <c r="G143" s="14">
        <v>154768</v>
      </c>
      <c r="H143" s="14">
        <v>166452</v>
      </c>
      <c r="I143" s="14">
        <v>28</v>
      </c>
      <c r="J143" s="14" t="s">
        <v>169</v>
      </c>
      <c r="K143" s="14" t="s">
        <v>4775</v>
      </c>
      <c r="L143" s="14" t="s">
        <v>4800</v>
      </c>
      <c r="M143" s="14" t="s">
        <v>9158</v>
      </c>
      <c r="N143" s="14" t="s">
        <v>9158</v>
      </c>
      <c r="O143" s="14" t="s">
        <v>9158</v>
      </c>
      <c r="P143" s="14" t="s">
        <v>9158</v>
      </c>
      <c r="Q143" s="14" t="s">
        <v>9158</v>
      </c>
    </row>
    <row r="145" spans="1:18">
      <c r="A145" s="14" t="s">
        <v>13327</v>
      </c>
    </row>
    <row r="146" spans="1:18">
      <c r="A146" s="14">
        <v>106615</v>
      </c>
      <c r="B146" s="14" t="s">
        <v>16134</v>
      </c>
    </row>
    <row r="147" spans="1:18">
      <c r="A147" s="14">
        <v>92173</v>
      </c>
      <c r="B147" s="14" t="s">
        <v>0</v>
      </c>
      <c r="C147" s="14" t="s">
        <v>335</v>
      </c>
      <c r="D147" s="14" t="s">
        <v>14616</v>
      </c>
      <c r="E147" s="15" t="str">
        <f>HYPERLINK("https://stat100.ameba.jp/tnk47/ratio20/illustrations/card/ill_92173_atorasu03.jpg?202102-5-RELEASE-marathon-516x", "■")</f>
        <v>■</v>
      </c>
      <c r="F147" s="14" t="s">
        <v>14617</v>
      </c>
      <c r="G147" s="14">
        <v>137846</v>
      </c>
      <c r="H147" s="14">
        <v>128160</v>
      </c>
      <c r="I147" s="14">
        <v>28</v>
      </c>
      <c r="J147" s="14" t="s">
        <v>77</v>
      </c>
      <c r="K147" s="14" t="s">
        <v>14619</v>
      </c>
      <c r="L147" s="14" t="s">
        <v>14618</v>
      </c>
      <c r="M147" s="14" t="s">
        <v>2138</v>
      </c>
      <c r="N147" s="14" t="s">
        <v>2139</v>
      </c>
      <c r="O147" s="14" t="s">
        <v>9158</v>
      </c>
      <c r="P147" s="14" t="s">
        <v>9158</v>
      </c>
      <c r="Q147" s="14" t="s">
        <v>9158</v>
      </c>
      <c r="R147" s="14" t="s">
        <v>14748</v>
      </c>
    </row>
    <row r="148" spans="1:18">
      <c r="A148" s="14">
        <v>92172</v>
      </c>
      <c r="B148" s="14" t="s">
        <v>0</v>
      </c>
      <c r="C148" s="14" t="s">
        <v>335</v>
      </c>
      <c r="D148" s="14" t="s">
        <v>14616</v>
      </c>
      <c r="E148" s="15" t="str">
        <f>HYPERLINK("https://stat100.ameba.jp/tnk47/ratio20/illustrations/card/ill_92172_atorasu02.jpg?202102-5-RELEASE-marathon-516x", "■")</f>
        <v>■</v>
      </c>
      <c r="F148" s="14" t="s">
        <v>14617</v>
      </c>
      <c r="G148" s="14">
        <v>115230</v>
      </c>
      <c r="H148" s="14">
        <v>106148</v>
      </c>
      <c r="I148" s="14">
        <v>28</v>
      </c>
      <c r="J148" s="14" t="s">
        <v>77</v>
      </c>
      <c r="K148" s="14" t="s">
        <v>14619</v>
      </c>
      <c r="L148" s="14" t="s">
        <v>14618</v>
      </c>
      <c r="M148" s="14" t="s">
        <v>13270</v>
      </c>
      <c r="N148" s="14" t="s">
        <v>13271</v>
      </c>
      <c r="O148" s="14" t="s">
        <v>9158</v>
      </c>
      <c r="P148" s="14" t="s">
        <v>9158</v>
      </c>
      <c r="Q148" s="14" t="s">
        <v>9158</v>
      </c>
      <c r="R148" s="14" t="s">
        <v>14748</v>
      </c>
    </row>
    <row r="149" spans="1:18">
      <c r="A149" s="14">
        <v>92171</v>
      </c>
      <c r="B149" s="14" t="s">
        <v>0</v>
      </c>
      <c r="C149" s="14" t="s">
        <v>335</v>
      </c>
      <c r="D149" s="14" t="s">
        <v>14616</v>
      </c>
      <c r="E149" s="15" t="str">
        <f>HYPERLINK("https://stat100.ameba.jp/tnk47/ratio20/illustrations/card/ill_92171_atorasu01.jpg?202102-5-RELEASE-marathon-516x", "■")</f>
        <v>■</v>
      </c>
      <c r="F149" s="14" t="s">
        <v>14617</v>
      </c>
      <c r="G149" s="14">
        <v>87976</v>
      </c>
      <c r="H149" s="14">
        <v>81900</v>
      </c>
      <c r="I149" s="14">
        <v>28</v>
      </c>
      <c r="J149" s="14" t="s">
        <v>77</v>
      </c>
      <c r="K149" s="14" t="s">
        <v>14619</v>
      </c>
      <c r="L149" s="14" t="s">
        <v>14618</v>
      </c>
      <c r="M149" s="14" t="s">
        <v>13270</v>
      </c>
      <c r="N149" s="14" t="s">
        <v>13271</v>
      </c>
      <c r="O149" s="14" t="s">
        <v>9158</v>
      </c>
      <c r="P149" s="14" t="s">
        <v>9158</v>
      </c>
      <c r="Q149" s="14" t="s">
        <v>9158</v>
      </c>
      <c r="R149" s="14" t="s">
        <v>14748</v>
      </c>
    </row>
    <row r="150" spans="1:18">
      <c r="A150" s="14">
        <v>92183</v>
      </c>
      <c r="B150" s="14" t="s">
        <v>0</v>
      </c>
      <c r="C150" s="14" t="s">
        <v>200</v>
      </c>
      <c r="D150" s="14" t="s">
        <v>14624</v>
      </c>
      <c r="E150" s="15" t="str">
        <f>HYPERLINK("https://stat100.ameba.jp/tnk47/ratio20/illustrations/card/ill_92183_shokorafue03.jpg?202102-5-RELEASE-marathon-516x", "■")</f>
        <v>■</v>
      </c>
      <c r="F150" s="14" t="s">
        <v>14623</v>
      </c>
      <c r="G150" s="14">
        <v>137846</v>
      </c>
      <c r="H150" s="14">
        <v>128160</v>
      </c>
      <c r="I150" s="14">
        <v>28</v>
      </c>
      <c r="J150" s="14" t="s">
        <v>104</v>
      </c>
      <c r="K150" s="14" t="s">
        <v>14621</v>
      </c>
      <c r="L150" s="14" t="s">
        <v>14620</v>
      </c>
      <c r="M150" s="14" t="s">
        <v>2138</v>
      </c>
      <c r="N150" s="14" t="s">
        <v>2139</v>
      </c>
      <c r="O150" s="14" t="s">
        <v>9158</v>
      </c>
      <c r="P150" s="14" t="s">
        <v>9158</v>
      </c>
      <c r="Q150" s="14" t="s">
        <v>9158</v>
      </c>
      <c r="R150" s="14" t="s">
        <v>14748</v>
      </c>
    </row>
    <row r="151" spans="1:18">
      <c r="A151" s="14">
        <v>92193</v>
      </c>
      <c r="B151" s="14" t="s">
        <v>0</v>
      </c>
      <c r="C151" s="14" t="s">
        <v>307</v>
      </c>
      <c r="D151" s="14" t="s">
        <v>14629</v>
      </c>
      <c r="E151" s="15" t="str">
        <f>HYPERLINK("https://stat100.ameba.jp/tnk47/ratio20/illustrations/card/ill_92193_kerubu03.jpg?202102-5-RELEASE-marathon-516x", "■")</f>
        <v>■</v>
      </c>
      <c r="F151" s="14" t="s">
        <v>14628</v>
      </c>
      <c r="G151" s="14">
        <v>137846</v>
      </c>
      <c r="H151" s="14">
        <v>128160</v>
      </c>
      <c r="I151" s="14">
        <v>28</v>
      </c>
      <c r="J151" s="14" t="s">
        <v>44</v>
      </c>
      <c r="K151" s="14" t="s">
        <v>14626</v>
      </c>
      <c r="L151" s="14" t="s">
        <v>14625</v>
      </c>
      <c r="M151" s="14" t="s">
        <v>2138</v>
      </c>
      <c r="N151" s="14" t="s">
        <v>2139</v>
      </c>
      <c r="O151" s="14" t="s">
        <v>9158</v>
      </c>
      <c r="P151" s="14" t="s">
        <v>9158</v>
      </c>
      <c r="Q151" s="14" t="s">
        <v>9158</v>
      </c>
      <c r="R151" s="14" t="s">
        <v>14748</v>
      </c>
    </row>
    <row r="152" spans="1:18">
      <c r="A152" s="14">
        <v>92203</v>
      </c>
      <c r="B152" s="14" t="s">
        <v>0</v>
      </c>
      <c r="C152" s="14" t="s">
        <v>165</v>
      </c>
      <c r="D152" s="14" t="s">
        <v>14634</v>
      </c>
      <c r="E152" s="15" t="str">
        <f>HYPERLINK("https://stat100.ameba.jp/tnk47/ratio20/illustrations/card/ill_92203_tarazetotoreda03.jpg?202102-5-RELEASE-marathon-516x", "■")</f>
        <v>■</v>
      </c>
      <c r="F152" s="14" t="s">
        <v>14633</v>
      </c>
      <c r="G152" s="14">
        <v>128160</v>
      </c>
      <c r="H152" s="14">
        <v>137846</v>
      </c>
      <c r="I152" s="14">
        <v>28</v>
      </c>
      <c r="J152" s="14" t="s">
        <v>73</v>
      </c>
      <c r="K152" s="14" t="s">
        <v>14631</v>
      </c>
      <c r="L152" s="14" t="s">
        <v>14630</v>
      </c>
      <c r="M152" s="14" t="s">
        <v>2138</v>
      </c>
      <c r="N152" s="14" t="s">
        <v>2139</v>
      </c>
      <c r="O152" s="14" t="s">
        <v>9158</v>
      </c>
      <c r="P152" s="14" t="s">
        <v>9158</v>
      </c>
      <c r="Q152" s="14" t="s">
        <v>9158</v>
      </c>
      <c r="R152" s="14" t="s">
        <v>14748</v>
      </c>
    </row>
    <row r="153" spans="1:18">
      <c r="A153" s="14">
        <v>92213</v>
      </c>
      <c r="B153" s="14" t="s">
        <v>0</v>
      </c>
      <c r="C153" s="9" t="s">
        <v>205</v>
      </c>
      <c r="D153" s="14" t="s">
        <v>14639</v>
      </c>
      <c r="E153" s="15" t="str">
        <f>HYPERLINK("https://stat100.ameba.jp/tnk47/ratio20/illustrations/card/ill_92213_pushikopompoi03.jpg?202102-5-RELEASE-marathon-516x", "■")</f>
        <v>■</v>
      </c>
      <c r="F153" s="14" t="s">
        <v>14638</v>
      </c>
      <c r="G153" s="14">
        <v>128160</v>
      </c>
      <c r="H153" s="14">
        <v>137846</v>
      </c>
      <c r="I153" s="14">
        <v>28</v>
      </c>
      <c r="J153" s="14" t="s">
        <v>38</v>
      </c>
      <c r="K153" s="14" t="s">
        <v>14636</v>
      </c>
      <c r="L153" s="14" t="s">
        <v>14635</v>
      </c>
      <c r="M153" s="14" t="s">
        <v>2138</v>
      </c>
      <c r="N153" s="14" t="s">
        <v>2139</v>
      </c>
      <c r="O153" s="14" t="s">
        <v>9158</v>
      </c>
      <c r="P153" s="14" t="s">
        <v>9158</v>
      </c>
      <c r="Q153" s="14" t="s">
        <v>9158</v>
      </c>
      <c r="R153" s="14" t="s">
        <v>14748</v>
      </c>
    </row>
    <row r="154" spans="1:18">
      <c r="A154" s="14">
        <v>92223</v>
      </c>
      <c r="B154" s="14" t="s">
        <v>0</v>
      </c>
      <c r="C154" s="14" t="s">
        <v>206</v>
      </c>
      <c r="D154" s="14" t="s">
        <v>14644</v>
      </c>
      <c r="E154" s="15" t="str">
        <f>HYPERLINK("https://stat100.ameba.jp/tnk47/ratio20/illustrations/card/ill_92223_sanfuraua03.jpg?202102-5-RELEASE-marathon-516x", "■")</f>
        <v>■</v>
      </c>
      <c r="F154" s="14" t="s">
        <v>14643</v>
      </c>
      <c r="G154" s="14">
        <v>128160</v>
      </c>
      <c r="H154" s="14">
        <v>137846</v>
      </c>
      <c r="I154" s="14">
        <v>28</v>
      </c>
      <c r="J154" s="14" t="s">
        <v>26</v>
      </c>
      <c r="K154" s="14" t="s">
        <v>14641</v>
      </c>
      <c r="L154" s="14" t="s">
        <v>14640</v>
      </c>
      <c r="M154" s="14" t="s">
        <v>2138</v>
      </c>
      <c r="N154" s="14" t="s">
        <v>2139</v>
      </c>
      <c r="O154" s="14" t="s">
        <v>9158</v>
      </c>
      <c r="P154" s="14" t="s">
        <v>9158</v>
      </c>
      <c r="Q154" s="14" t="s">
        <v>9158</v>
      </c>
      <c r="R154" s="14" t="s">
        <v>14748</v>
      </c>
    </row>
    <row r="156" spans="1:18">
      <c r="A156" s="14" t="s">
        <v>16135</v>
      </c>
    </row>
    <row r="157" spans="1:18">
      <c r="A157" s="14">
        <v>236588</v>
      </c>
      <c r="B157" s="14" t="s">
        <v>9392</v>
      </c>
    </row>
    <row r="158" spans="1:18">
      <c r="A158" s="14">
        <v>236594</v>
      </c>
      <c r="B158" s="14" t="s">
        <v>9391</v>
      </c>
    </row>
    <row r="159" spans="1:18">
      <c r="A159" s="14" t="s">
        <v>16084</v>
      </c>
      <c r="B159" s="7" t="s">
        <v>52</v>
      </c>
      <c r="C159" s="14" t="s">
        <v>202</v>
      </c>
      <c r="D159" s="18" t="s">
        <v>16083</v>
      </c>
      <c r="E159" s="15" t="str">
        <f>HYPERLINK("https://stat100.ameba.jp/tnk47/ratio20/illustrations/card/ill_95653_0_barentaindefukuhime03.jpg?202102-5-RELEASE-marathon-516x", "■")</f>
        <v>■</v>
      </c>
      <c r="F159" s="14" t="s">
        <v>16082</v>
      </c>
      <c r="G159" s="14">
        <v>322612</v>
      </c>
      <c r="H159" s="14">
        <v>263960</v>
      </c>
      <c r="I159" s="7">
        <v>28</v>
      </c>
      <c r="J159" s="14" t="s">
        <v>77</v>
      </c>
      <c r="K159" s="14" t="s">
        <v>16081</v>
      </c>
      <c r="L159" s="14" t="s">
        <v>16080</v>
      </c>
      <c r="M159" s="14" t="s">
        <v>9158</v>
      </c>
      <c r="N159" s="14" t="s">
        <v>9158</v>
      </c>
      <c r="O159" s="7" t="s">
        <v>16086</v>
      </c>
      <c r="P159" s="7" t="s">
        <v>16085</v>
      </c>
      <c r="Q159" s="7">
        <v>1</v>
      </c>
    </row>
    <row r="160" spans="1:18">
      <c r="A160" s="14">
        <v>95813</v>
      </c>
      <c r="B160" s="14" t="s">
        <v>0</v>
      </c>
      <c r="C160" s="14" t="s">
        <v>23</v>
      </c>
      <c r="D160" s="14" t="s">
        <v>16139</v>
      </c>
      <c r="E160" s="15" t="str">
        <f>HYPERLINK("https://stat100.ameba.jp/tnk47/ratio20/illustrations/card/ill_95813_kirin03.jpg?202102-5-RELEASE-marathon-516x", "■")</f>
        <v>■</v>
      </c>
      <c r="F160" s="14" t="s">
        <v>16138</v>
      </c>
      <c r="G160" s="14">
        <v>109370</v>
      </c>
      <c r="H160" s="14">
        <v>101650</v>
      </c>
      <c r="I160" s="7">
        <v>28</v>
      </c>
      <c r="J160" s="14" t="s">
        <v>38</v>
      </c>
      <c r="K160" s="14" t="s">
        <v>16137</v>
      </c>
      <c r="L160" s="14" t="s">
        <v>16136</v>
      </c>
      <c r="M160" s="14" t="s">
        <v>9158</v>
      </c>
      <c r="N160" s="14" t="s">
        <v>9158</v>
      </c>
      <c r="O160" s="14" t="s">
        <v>9158</v>
      </c>
      <c r="P160" s="14" t="s">
        <v>9158</v>
      </c>
      <c r="Q160" s="14" t="s">
        <v>9158</v>
      </c>
    </row>
    <row r="161" spans="1:19">
      <c r="A161" s="14">
        <v>95823</v>
      </c>
      <c r="B161" s="14" t="s">
        <v>0</v>
      </c>
      <c r="C161" s="14" t="s">
        <v>14</v>
      </c>
      <c r="D161" s="14" t="s">
        <v>16141</v>
      </c>
      <c r="E161" s="15" t="str">
        <f>HYPERLINK("https://stat100.ameba.jp/tnk47/ratio20/illustrations/card/ill_95823_yamakawafutaba03.jpg?202102-5-RELEASE-marathon-516x", "■")</f>
        <v>■</v>
      </c>
      <c r="F161" s="14" t="s">
        <v>16140</v>
      </c>
      <c r="G161" s="14">
        <v>105610</v>
      </c>
      <c r="H161" s="14">
        <v>113536</v>
      </c>
      <c r="I161" s="7">
        <v>28</v>
      </c>
      <c r="J161" s="14" t="s">
        <v>16</v>
      </c>
      <c r="K161" s="14" t="s">
        <v>3473</v>
      </c>
      <c r="L161" s="14" t="s">
        <v>15839</v>
      </c>
      <c r="M161" s="14" t="s">
        <v>9158</v>
      </c>
      <c r="N161" s="14" t="s">
        <v>9158</v>
      </c>
      <c r="O161" s="14" t="s">
        <v>9158</v>
      </c>
      <c r="P161" s="14" t="s">
        <v>9158</v>
      </c>
      <c r="Q161" s="14" t="s">
        <v>9158</v>
      </c>
    </row>
    <row r="162" spans="1:19">
      <c r="A162" s="14">
        <v>95833</v>
      </c>
      <c r="B162" s="14" t="s">
        <v>15</v>
      </c>
      <c r="C162" s="14" t="s">
        <v>107</v>
      </c>
      <c r="D162" s="14" t="s">
        <v>16144</v>
      </c>
      <c r="E162" s="15" t="str">
        <f>HYPERLINK("https://stat100.ameba.jp/tnk47/ratio20/illustrations/card/ill_95833_sangokushikawahime03.jpg?202102-5-RELEASE-marathon-516x", "■")</f>
        <v>■</v>
      </c>
      <c r="F162" s="14" t="s">
        <v>16143</v>
      </c>
      <c r="G162" s="14">
        <v>82992</v>
      </c>
      <c r="H162" s="14">
        <v>75274</v>
      </c>
      <c r="I162" s="7">
        <v>28</v>
      </c>
      <c r="J162" s="14" t="s">
        <v>73</v>
      </c>
      <c r="K162" s="14" t="s">
        <v>16142</v>
      </c>
      <c r="L162" s="14" t="s">
        <v>3835</v>
      </c>
      <c r="M162" s="14" t="s">
        <v>9158</v>
      </c>
      <c r="N162" s="14" t="s">
        <v>9158</v>
      </c>
      <c r="O162" s="14" t="s">
        <v>9158</v>
      </c>
      <c r="P162" s="14" t="s">
        <v>9158</v>
      </c>
      <c r="Q162" s="14" t="s">
        <v>9158</v>
      </c>
    </row>
    <row r="163" spans="1:19">
      <c r="A163" s="14">
        <v>95843</v>
      </c>
      <c r="B163" s="14" t="s">
        <v>22</v>
      </c>
      <c r="C163" s="14" t="s">
        <v>96</v>
      </c>
      <c r="D163" s="14" t="s">
        <v>16147</v>
      </c>
      <c r="E163" s="15" t="str">
        <f>HYPERLINK("https://stat100.ameba.jp/tnk47/ratio20/illustrations/card/ill_95843_sangokushimitsuhime03.jpg?202102-5-RELEASE-marathon-516x", "■")</f>
        <v>■</v>
      </c>
      <c r="F163" s="14" t="s">
        <v>16146</v>
      </c>
      <c r="G163" s="14">
        <v>48406</v>
      </c>
      <c r="H163" s="14">
        <v>58216</v>
      </c>
      <c r="I163" s="7">
        <v>28</v>
      </c>
      <c r="J163" s="14" t="s">
        <v>77</v>
      </c>
      <c r="K163" s="14" t="s">
        <v>16145</v>
      </c>
      <c r="L163" s="14" t="s">
        <v>2424</v>
      </c>
      <c r="M163" s="14" t="s">
        <v>9158</v>
      </c>
      <c r="N163" s="14" t="s">
        <v>9158</v>
      </c>
      <c r="O163" s="14" t="s">
        <v>9158</v>
      </c>
      <c r="P163" s="14" t="s">
        <v>9158</v>
      </c>
      <c r="Q163" s="14" t="s">
        <v>9158</v>
      </c>
    </row>
    <row r="164" spans="1:19">
      <c r="A164" s="14">
        <v>95853</v>
      </c>
      <c r="B164" s="14" t="s">
        <v>22</v>
      </c>
      <c r="C164" s="14" t="s">
        <v>1</v>
      </c>
      <c r="D164" s="14" t="s">
        <v>16150</v>
      </c>
      <c r="E164" s="15" t="str">
        <f>HYPERLINK("https://stat100.ameba.jp/tnk47/ratio20/illustrations/card/ill_95853_saiyukiippen03.jpg?202102-5-RELEASE-marathon-516x", "■")</f>
        <v>■</v>
      </c>
      <c r="F164" s="14" t="s">
        <v>16149</v>
      </c>
      <c r="G164" s="14">
        <v>58216</v>
      </c>
      <c r="H164" s="14">
        <v>48406</v>
      </c>
      <c r="I164" s="7">
        <v>28</v>
      </c>
      <c r="J164" s="14" t="s">
        <v>10</v>
      </c>
      <c r="K164" s="14" t="s">
        <v>16148</v>
      </c>
      <c r="L164" s="14" t="s">
        <v>2321</v>
      </c>
      <c r="M164" s="14" t="s">
        <v>9158</v>
      </c>
      <c r="N164" s="14" t="s">
        <v>9158</v>
      </c>
      <c r="O164" s="14" t="s">
        <v>9158</v>
      </c>
      <c r="P164" s="14" t="s">
        <v>9158</v>
      </c>
      <c r="Q164" s="14" t="s">
        <v>9158</v>
      </c>
    </row>
    <row r="166" spans="1:19">
      <c r="A166" s="14" t="s">
        <v>4012</v>
      </c>
    </row>
    <row r="167" spans="1:19">
      <c r="A167" s="14">
        <v>236620</v>
      </c>
      <c r="B167" s="14" t="s">
        <v>9442</v>
      </c>
    </row>
    <row r="168" spans="1:19">
      <c r="A168" s="14" t="s">
        <v>5778</v>
      </c>
      <c r="B168" s="14" t="s">
        <v>330</v>
      </c>
      <c r="C168" s="14" t="s">
        <v>205</v>
      </c>
      <c r="D168" s="19" t="s">
        <v>3449</v>
      </c>
      <c r="E168" s="15" t="str">
        <f>HYPERLINK("https://stat100.ameba.jp/tnk47/ratio20/illustrations/card/ill_68783_0_gantammomotaro03.jpg?202012-5-RELEASE-marathon-506", "■")</f>
        <v>■</v>
      </c>
      <c r="F168" s="14" t="s">
        <v>2273</v>
      </c>
      <c r="G168" s="14">
        <v>177824</v>
      </c>
      <c r="H168" s="14">
        <v>165310</v>
      </c>
      <c r="I168" s="14">
        <v>26</v>
      </c>
      <c r="J168" s="14" t="s">
        <v>274</v>
      </c>
      <c r="K168" s="14" t="s">
        <v>275</v>
      </c>
      <c r="L168" s="14" t="s">
        <v>276</v>
      </c>
      <c r="M168" s="14" t="s">
        <v>9158</v>
      </c>
      <c r="N168" s="14" t="s">
        <v>9158</v>
      </c>
      <c r="O168" s="19" t="s">
        <v>10099</v>
      </c>
      <c r="P168" s="14" t="s">
        <v>3085</v>
      </c>
      <c r="Q168" s="14">
        <v>1</v>
      </c>
    </row>
    <row r="169" spans="1:19">
      <c r="A169" s="14" t="s">
        <v>5607</v>
      </c>
      <c r="B169" s="14" t="s">
        <v>330</v>
      </c>
      <c r="C169" s="14" t="s">
        <v>200</v>
      </c>
      <c r="D169" s="20" t="s">
        <v>421</v>
      </c>
      <c r="E169" s="15" t="str">
        <f>HYPERLINK("https://stat100.ameba.jp/tnk47/ratio20/illustrations/card/ill_58853_0_setsubumpanikkuhiratsukaraicho03.jpg?202002-i_prefecture_active_userx", "■")</f>
        <v>■</v>
      </c>
      <c r="F169" s="14" t="s">
        <v>1040</v>
      </c>
      <c r="G169" s="14">
        <v>163342</v>
      </c>
      <c r="H169" s="14">
        <v>145100</v>
      </c>
      <c r="I169" s="14">
        <v>26</v>
      </c>
      <c r="J169" s="14" t="s">
        <v>16</v>
      </c>
      <c r="K169" s="14" t="s">
        <v>1041</v>
      </c>
      <c r="L169" s="14" t="s">
        <v>1042</v>
      </c>
      <c r="M169" s="14" t="s">
        <v>9158</v>
      </c>
      <c r="N169" s="14" t="s">
        <v>9158</v>
      </c>
      <c r="O169" s="19" t="s">
        <v>10075</v>
      </c>
      <c r="P169" s="14" t="s">
        <v>2870</v>
      </c>
      <c r="Q169" s="14">
        <v>1</v>
      </c>
    </row>
    <row r="170" spans="1:19">
      <c r="A170" s="14" t="s">
        <v>5612</v>
      </c>
      <c r="B170" s="14" t="s">
        <v>52</v>
      </c>
      <c r="C170" s="14" t="s">
        <v>165</v>
      </c>
      <c r="D170" s="19" t="s">
        <v>789</v>
      </c>
      <c r="E170" s="15" t="str">
        <f>HYPERLINK("https://stat100.ameba.jp/tnk47/ratio20/illustrations/card/ill_49193_0_onmyoudouabenoseimei03.jpg?202008-5-RELEASE-marathon-486", "■")</f>
        <v>■</v>
      </c>
      <c r="F170" s="14" t="s">
        <v>1896</v>
      </c>
      <c r="G170" s="14">
        <v>145100</v>
      </c>
      <c r="H170" s="14">
        <v>163342</v>
      </c>
      <c r="I170" s="14">
        <v>26</v>
      </c>
      <c r="J170" s="14" t="s">
        <v>10</v>
      </c>
      <c r="K170" s="14" t="s">
        <v>1897</v>
      </c>
      <c r="L170" s="14" t="s">
        <v>1898</v>
      </c>
      <c r="M170" s="14" t="s">
        <v>9158</v>
      </c>
      <c r="N170" s="14" t="s">
        <v>9158</v>
      </c>
      <c r="O170" s="14" t="s">
        <v>9158</v>
      </c>
      <c r="P170" s="14" t="s">
        <v>9158</v>
      </c>
      <c r="Q170" s="14" t="s">
        <v>9158</v>
      </c>
    </row>
    <row r="171" spans="1:19">
      <c r="A171" s="14">
        <v>90243</v>
      </c>
      <c r="B171" s="14" t="s">
        <v>0</v>
      </c>
      <c r="C171" s="14" t="s">
        <v>35</v>
      </c>
      <c r="D171" s="14" t="s">
        <v>16151</v>
      </c>
      <c r="E171" s="15" t="str">
        <f>HYPERLINK("https://stat100.ameba.jp/tnk47/ratio20/illustrations/card/ill_90243_daikaizokunoboreiamaterasu03.jpg?202102-5-RELEASE-marathon-516x", "■")</f>
        <v>■</v>
      </c>
      <c r="F171" s="14" t="s">
        <v>16153</v>
      </c>
      <c r="G171" s="14">
        <v>119526</v>
      </c>
      <c r="H171" s="14">
        <v>111116</v>
      </c>
      <c r="I171" s="14">
        <v>28</v>
      </c>
      <c r="J171" s="14" t="s">
        <v>44</v>
      </c>
      <c r="K171" s="14" t="s">
        <v>16152</v>
      </c>
      <c r="L171" s="14" t="s">
        <v>12030</v>
      </c>
      <c r="M171" s="14" t="s">
        <v>9158</v>
      </c>
      <c r="N171" s="14" t="s">
        <v>9158</v>
      </c>
      <c r="O171" s="14" t="s">
        <v>9158</v>
      </c>
      <c r="P171" s="14" t="s">
        <v>9158</v>
      </c>
      <c r="Q171" s="14" t="s">
        <v>9158</v>
      </c>
      <c r="S171" s="14" t="s">
        <v>16174</v>
      </c>
    </row>
    <row r="172" spans="1:19">
      <c r="A172" s="14">
        <v>88733</v>
      </c>
      <c r="B172" s="14" t="s">
        <v>0</v>
      </c>
      <c r="C172" s="14" t="s">
        <v>47</v>
      </c>
      <c r="D172" s="14" t="s">
        <v>16157</v>
      </c>
      <c r="E172" s="15" t="str">
        <f>HYPERLINK("https://stat100.ameba.jp/tnk47/ratio20/illustrations/card/ill_88733_ichigogariikedasen03.jpg?202102-5-RELEASE-marathon-516x", "■")</f>
        <v>■</v>
      </c>
      <c r="F172" s="14" t="s">
        <v>16156</v>
      </c>
      <c r="G172" s="14">
        <v>166452</v>
      </c>
      <c r="H172" s="14">
        <v>154768</v>
      </c>
      <c r="I172" s="14">
        <v>28</v>
      </c>
      <c r="J172" s="14" t="s">
        <v>143</v>
      </c>
      <c r="K172" s="14" t="s">
        <v>16155</v>
      </c>
      <c r="L172" s="14" t="s">
        <v>16154</v>
      </c>
      <c r="M172" s="14" t="s">
        <v>9158</v>
      </c>
      <c r="N172" s="14" t="s">
        <v>9158</v>
      </c>
      <c r="O172" s="14" t="s">
        <v>9158</v>
      </c>
      <c r="P172" s="14" t="s">
        <v>9158</v>
      </c>
      <c r="Q172" s="14" t="s">
        <v>9158</v>
      </c>
      <c r="S172" s="14" t="s">
        <v>16175</v>
      </c>
    </row>
    <row r="173" spans="1:19">
      <c r="A173" s="14">
        <v>88613</v>
      </c>
      <c r="B173" s="14" t="s">
        <v>0</v>
      </c>
      <c r="C173" s="14" t="s">
        <v>41</v>
      </c>
      <c r="D173" s="14" t="s">
        <v>16161</v>
      </c>
      <c r="E173" s="15" t="str">
        <f>HYPERLINK("https://stat100.ameba.jp/tnk47/ratio20/illustrations/card/ill_88613_yuenchitorein03.jpg?202102-5-RELEASE-marathon-516x", "■")</f>
        <v>■</v>
      </c>
      <c r="F173" s="14" t="s">
        <v>16160</v>
      </c>
      <c r="G173" s="14">
        <v>108494</v>
      </c>
      <c r="H173" s="14">
        <v>116662</v>
      </c>
      <c r="I173" s="14">
        <v>28</v>
      </c>
      <c r="J173" s="14" t="s">
        <v>73</v>
      </c>
      <c r="K173" s="14" t="s">
        <v>16159</v>
      </c>
      <c r="L173" s="14" t="s">
        <v>16158</v>
      </c>
      <c r="M173" s="14" t="s">
        <v>9158</v>
      </c>
      <c r="N173" s="14" t="s">
        <v>9158</v>
      </c>
      <c r="O173" s="14" t="s">
        <v>9158</v>
      </c>
      <c r="P173" s="14" t="s">
        <v>9158</v>
      </c>
      <c r="Q173" s="14" t="s">
        <v>9158</v>
      </c>
      <c r="S173" s="14" t="s">
        <v>16176</v>
      </c>
    </row>
    <row r="174" spans="1:19">
      <c r="A174" s="14">
        <v>88013</v>
      </c>
      <c r="B174" s="14" t="s">
        <v>15</v>
      </c>
      <c r="C174" s="14" t="s">
        <v>14</v>
      </c>
      <c r="D174" s="14" t="s">
        <v>16165</v>
      </c>
      <c r="E174" s="15" t="str">
        <f>HYPERLINK("https://stat100.ameba.jp/tnk47/ratio20/illustrations/card/ill_88013_sakanouenomasamichi03.jpg?202102-5-RELEASE-marathon-516x", "■")</f>
        <v>■</v>
      </c>
      <c r="F174" s="14" t="s">
        <v>16164</v>
      </c>
      <c r="G174" s="14">
        <v>69898</v>
      </c>
      <c r="H174" s="14">
        <v>77064</v>
      </c>
      <c r="I174" s="14">
        <v>26</v>
      </c>
      <c r="J174" s="14" t="s">
        <v>143</v>
      </c>
      <c r="K174" s="14" t="s">
        <v>16163</v>
      </c>
      <c r="L174" s="14" t="s">
        <v>16162</v>
      </c>
      <c r="M174" s="14" t="s">
        <v>9158</v>
      </c>
      <c r="N174" s="14" t="s">
        <v>9158</v>
      </c>
      <c r="O174" s="14" t="s">
        <v>9158</v>
      </c>
      <c r="P174" s="14" t="s">
        <v>9158</v>
      </c>
      <c r="Q174" s="14" t="s">
        <v>9158</v>
      </c>
      <c r="S174" s="14" t="s">
        <v>16177</v>
      </c>
    </row>
    <row r="175" spans="1:19">
      <c r="A175" s="14">
        <v>83843</v>
      </c>
      <c r="B175" s="14" t="s">
        <v>15</v>
      </c>
      <c r="C175" s="14" t="s">
        <v>101</v>
      </c>
      <c r="D175" s="14" t="s">
        <v>16169</v>
      </c>
      <c r="E175" s="15" t="str">
        <f>HYPERLINK("https://stat100.ameba.jp/tnk47/ratio20/illustrations/card/ill_83843_akihanookami03.jpg?202102-5-RELEASE-marathon-516x", "■")</f>
        <v>■</v>
      </c>
      <c r="F175" s="14" t="s">
        <v>16168</v>
      </c>
      <c r="G175" s="14">
        <v>69898</v>
      </c>
      <c r="H175" s="14">
        <v>77064</v>
      </c>
      <c r="I175" s="14">
        <v>26</v>
      </c>
      <c r="J175" s="14" t="s">
        <v>44</v>
      </c>
      <c r="K175" s="14" t="s">
        <v>16167</v>
      </c>
      <c r="L175" s="14" t="s">
        <v>16166</v>
      </c>
      <c r="M175" s="14" t="s">
        <v>9158</v>
      </c>
      <c r="N175" s="14" t="s">
        <v>9158</v>
      </c>
      <c r="O175" s="14" t="s">
        <v>9158</v>
      </c>
      <c r="P175" s="14" t="s">
        <v>9158</v>
      </c>
      <c r="Q175" s="14" t="s">
        <v>9158</v>
      </c>
      <c r="S175" s="14" t="s">
        <v>16178</v>
      </c>
    </row>
    <row r="176" spans="1:19">
      <c r="A176" s="14">
        <v>90263</v>
      </c>
      <c r="B176" s="14" t="s">
        <v>15</v>
      </c>
      <c r="C176" s="14" t="s">
        <v>107</v>
      </c>
      <c r="D176" s="14" t="s">
        <v>16173</v>
      </c>
      <c r="E176" s="15" t="str">
        <f>HYPERLINK("https://stat100.ameba.jp/tnk47/ratio20/illustrations/card/ill_90263_daikokaijidaiawamorichan03.jpg?202102-5-RELEASE-marathon-516x", "■")</f>
        <v>■</v>
      </c>
      <c r="F176" s="14" t="s">
        <v>16172</v>
      </c>
      <c r="G176" s="14">
        <v>77064</v>
      </c>
      <c r="H176" s="14">
        <v>69898</v>
      </c>
      <c r="I176" s="14">
        <v>26</v>
      </c>
      <c r="J176" s="14" t="s">
        <v>104</v>
      </c>
      <c r="K176" s="14" t="s">
        <v>16171</v>
      </c>
      <c r="L176" s="14" t="s">
        <v>16170</v>
      </c>
      <c r="M176" s="14" t="s">
        <v>9158</v>
      </c>
      <c r="N176" s="14" t="s">
        <v>9158</v>
      </c>
      <c r="O176" s="14" t="s">
        <v>9158</v>
      </c>
      <c r="P176" s="14" t="s">
        <v>9158</v>
      </c>
      <c r="Q176" s="14" t="s">
        <v>9158</v>
      </c>
      <c r="S176" s="14" t="s">
        <v>16174</v>
      </c>
    </row>
    <row r="178" spans="1:18">
      <c r="A178" s="14" t="s">
        <v>16179</v>
      </c>
    </row>
    <row r="179" spans="1:18">
      <c r="A179" s="14">
        <v>236639</v>
      </c>
      <c r="B179" s="14" t="s">
        <v>9444</v>
      </c>
    </row>
    <row r="180" spans="1:18">
      <c r="A180" s="14">
        <v>95865</v>
      </c>
      <c r="B180" s="14" t="s">
        <v>0</v>
      </c>
      <c r="C180" s="14" t="s">
        <v>35</v>
      </c>
      <c r="D180" s="14" t="s">
        <v>16184</v>
      </c>
      <c r="E180" s="15" t="str">
        <f>HYPERLINK("https://stat100.ameba.jp/tnk47/ratio20/illustrations/card/ill_95865_mahonokuniarisu05.jpg?202102-5-RELEASE-marathon-516x", "■")</f>
        <v>■</v>
      </c>
      <c r="F180" s="14" t="s">
        <v>16183</v>
      </c>
      <c r="G180" s="14">
        <v>99544</v>
      </c>
      <c r="H180" s="14">
        <v>137492</v>
      </c>
      <c r="I180" s="14">
        <v>28</v>
      </c>
      <c r="J180" s="14" t="s">
        <v>38</v>
      </c>
      <c r="K180" s="14" t="s">
        <v>16182</v>
      </c>
      <c r="L180" s="14" t="s">
        <v>16181</v>
      </c>
      <c r="M180" s="14" t="s">
        <v>9158</v>
      </c>
      <c r="N180" s="14" t="s">
        <v>9158</v>
      </c>
      <c r="O180" s="14" t="s">
        <v>9158</v>
      </c>
      <c r="P180" s="14" t="s">
        <v>9158</v>
      </c>
      <c r="Q180" s="14" t="s">
        <v>9158</v>
      </c>
      <c r="R180" s="14" t="s">
        <v>175</v>
      </c>
    </row>
    <row r="181" spans="1:18">
      <c r="A181" s="14">
        <v>95863</v>
      </c>
      <c r="B181" s="14" t="s">
        <v>15</v>
      </c>
      <c r="C181" s="14" t="s">
        <v>47</v>
      </c>
      <c r="D181" s="14" t="s">
        <v>16184</v>
      </c>
      <c r="E181" s="15" t="str">
        <f>HYPERLINK("https://stat100.ameba.jp/tnk47/ratio20/illustrations/card/ill_95863_mahonokuniarisu03.jpg?202102-5-RELEASE-marathon-516x", "■")</f>
        <v>■</v>
      </c>
      <c r="F181" s="14" t="s">
        <v>16183</v>
      </c>
      <c r="G181" s="14">
        <v>73344</v>
      </c>
      <c r="H181" s="14">
        <v>101282</v>
      </c>
      <c r="I181" s="14">
        <v>28</v>
      </c>
      <c r="J181" s="14" t="s">
        <v>38</v>
      </c>
      <c r="K181" s="14" t="s">
        <v>16182</v>
      </c>
      <c r="L181" s="14" t="s">
        <v>16185</v>
      </c>
      <c r="M181" s="14" t="s">
        <v>9158</v>
      </c>
      <c r="N181" s="14" t="s">
        <v>9158</v>
      </c>
      <c r="O181" s="14" t="s">
        <v>9158</v>
      </c>
      <c r="P181" s="14" t="s">
        <v>9158</v>
      </c>
      <c r="Q181" s="14" t="s">
        <v>9158</v>
      </c>
      <c r="R181" s="14" t="s">
        <v>9566</v>
      </c>
    </row>
    <row r="182" spans="1:18">
      <c r="A182" s="14">
        <v>95861</v>
      </c>
      <c r="B182" s="14" t="s">
        <v>15</v>
      </c>
      <c r="C182" s="14" t="s">
        <v>47</v>
      </c>
      <c r="D182" s="14" t="s">
        <v>16184</v>
      </c>
      <c r="E182" s="15" t="str">
        <f>HYPERLINK("https://stat100.ameba.jp/tnk47/ratio20/illustrations/card/ill_95861_mahonokuniarisu01.jpg?202102-5-RELEASE-marathon-516x", "■")</f>
        <v>■</v>
      </c>
      <c r="F182" s="14" t="s">
        <v>16183</v>
      </c>
      <c r="G182" s="14">
        <v>46648</v>
      </c>
      <c r="H182" s="14">
        <v>64428</v>
      </c>
      <c r="I182" s="14">
        <v>28</v>
      </c>
      <c r="J182" s="14" t="s">
        <v>38</v>
      </c>
      <c r="K182" s="14" t="s">
        <v>16182</v>
      </c>
      <c r="L182" s="14" t="s">
        <v>16186</v>
      </c>
      <c r="M182" s="14" t="s">
        <v>9158</v>
      </c>
      <c r="N182" s="14" t="s">
        <v>9158</v>
      </c>
      <c r="O182" s="14" t="s">
        <v>9158</v>
      </c>
      <c r="P182" s="14" t="s">
        <v>9158</v>
      </c>
      <c r="Q182" s="14" t="s">
        <v>9158</v>
      </c>
      <c r="R182" s="14" t="s">
        <v>176</v>
      </c>
    </row>
    <row r="184" spans="1:18">
      <c r="A184" s="14" t="s">
        <v>3844</v>
      </c>
    </row>
    <row r="185" spans="1:18">
      <c r="A185" s="14">
        <v>106634</v>
      </c>
      <c r="B185" s="14" t="s">
        <v>16187</v>
      </c>
    </row>
    <row r="186" spans="1:18">
      <c r="A186" s="14" t="s">
        <v>5848</v>
      </c>
      <c r="B186" s="14" t="s">
        <v>52</v>
      </c>
      <c r="C186" s="14" t="s">
        <v>200</v>
      </c>
      <c r="D186" s="20" t="s">
        <v>3160</v>
      </c>
      <c r="E186" s="15" t="str">
        <f>HYPERLINK("https://stat100.ameba.jp/tnk47/ratio20/illustrations/card/ill_72963_0_amenohanayomehiguchiichiyo03.jpg?202102-5-RELEASE-marathon-516x", "■")</f>
        <v>■</v>
      </c>
      <c r="F186" s="14" t="s">
        <v>1139</v>
      </c>
      <c r="G186" s="14">
        <v>174206</v>
      </c>
      <c r="H186" s="14">
        <v>161980</v>
      </c>
      <c r="I186" s="14">
        <v>26</v>
      </c>
      <c r="J186" s="14" t="s">
        <v>10</v>
      </c>
      <c r="K186" s="14" t="s">
        <v>1140</v>
      </c>
      <c r="L186" s="14" t="s">
        <v>1141</v>
      </c>
      <c r="M186" s="14" t="s">
        <v>9158</v>
      </c>
      <c r="N186" s="14" t="s">
        <v>9158</v>
      </c>
      <c r="O186" s="19" t="s">
        <v>3162</v>
      </c>
      <c r="P186" s="14" t="s">
        <v>3410</v>
      </c>
      <c r="Q186" s="14">
        <v>1</v>
      </c>
    </row>
    <row r="187" spans="1:18">
      <c r="A187" s="14">
        <v>80573</v>
      </c>
      <c r="B187" s="14" t="s">
        <v>334</v>
      </c>
      <c r="C187" s="14" t="s">
        <v>165</v>
      </c>
      <c r="D187" s="20" t="s">
        <v>10301</v>
      </c>
      <c r="E187" s="15" t="str">
        <f>HYPERLINK("https://stat100.ameba.jp/tnk47/ratio20/illustrations/card/ill_80573_ohanamigurampingusotorihime03.jpg?202102-5-RELEASE-marathon-516x", "■")</f>
        <v>■</v>
      </c>
      <c r="F187" s="14" t="s">
        <v>4176</v>
      </c>
      <c r="G187" s="14">
        <v>118656</v>
      </c>
      <c r="H187" s="14">
        <v>110126</v>
      </c>
      <c r="I187" s="14">
        <v>26</v>
      </c>
      <c r="J187" s="14" t="s">
        <v>38</v>
      </c>
      <c r="K187" s="14" t="s">
        <v>4177</v>
      </c>
      <c r="L187" s="14" t="s">
        <v>4178</v>
      </c>
      <c r="M187" s="14" t="s">
        <v>9158</v>
      </c>
      <c r="N187" s="14" t="s">
        <v>9158</v>
      </c>
      <c r="O187" s="19" t="s">
        <v>10119</v>
      </c>
      <c r="P187" s="14" t="s">
        <v>3662</v>
      </c>
      <c r="Q187" s="14">
        <v>1</v>
      </c>
    </row>
    <row r="188" spans="1:18">
      <c r="A188" s="9">
        <v>56183</v>
      </c>
      <c r="B188" s="14" t="s">
        <v>0</v>
      </c>
      <c r="C188" s="14" t="s">
        <v>191</v>
      </c>
      <c r="D188" s="14" t="s">
        <v>2024</v>
      </c>
      <c r="E188" s="15" t="str">
        <f>HYPERLINK("https://stat100.ameba.jp/tnk47/ratio20/illustrations/card/ill_56183_onsempanikkukoteipenginchan03.jpg?202102-5-RELEASE-marathon-516x", "■")</f>
        <v>■</v>
      </c>
      <c r="F188" s="14" t="s">
        <v>2025</v>
      </c>
      <c r="G188" s="14">
        <v>100214</v>
      </c>
      <c r="H188" s="14">
        <v>93172</v>
      </c>
      <c r="I188" s="14">
        <v>26</v>
      </c>
      <c r="J188" s="14" t="s">
        <v>229</v>
      </c>
      <c r="K188" s="14" t="s">
        <v>2026</v>
      </c>
      <c r="L188" s="14" t="s">
        <v>13170</v>
      </c>
      <c r="M188" s="14" t="s">
        <v>9158</v>
      </c>
      <c r="N188" s="14" t="s">
        <v>9158</v>
      </c>
      <c r="O188" s="9" t="s">
        <v>3894</v>
      </c>
      <c r="P188" s="14" t="s">
        <v>3895</v>
      </c>
      <c r="Q188" s="14">
        <v>1</v>
      </c>
    </row>
    <row r="189" spans="1:18">
      <c r="A189" s="14">
        <v>81303</v>
      </c>
      <c r="B189" s="14" t="s">
        <v>334</v>
      </c>
      <c r="C189" s="14" t="s">
        <v>41</v>
      </c>
      <c r="D189" s="20" t="s">
        <v>10349</v>
      </c>
      <c r="E189" s="15" t="str">
        <f>HYPERLINK("https://stat100.ameba.jp/tnk47/ratio20/illustrations/card/ill_81303_suteirukuin03.jpg?202102-5-RELEASE-marathon-516x", "■")</f>
        <v>■</v>
      </c>
      <c r="F189" s="14" t="s">
        <v>4581</v>
      </c>
      <c r="G189" s="14">
        <v>125296</v>
      </c>
      <c r="H189" s="14">
        <v>172982</v>
      </c>
      <c r="I189" s="14">
        <v>26</v>
      </c>
      <c r="J189" s="14" t="s">
        <v>104</v>
      </c>
      <c r="K189" s="14" t="s">
        <v>4582</v>
      </c>
      <c r="L189" s="14" t="s">
        <v>2304</v>
      </c>
      <c r="M189" s="14" t="s">
        <v>9158</v>
      </c>
      <c r="N189" s="14" t="s">
        <v>9158</v>
      </c>
      <c r="O189" s="19" t="s">
        <v>10084</v>
      </c>
      <c r="P189" s="14" t="s">
        <v>4584</v>
      </c>
      <c r="Q189" s="14">
        <v>1</v>
      </c>
    </row>
    <row r="191" spans="1:18">
      <c r="A191" s="14" t="s">
        <v>207</v>
      </c>
    </row>
    <row r="192" spans="1:18">
      <c r="A192" s="14">
        <v>106637</v>
      </c>
      <c r="B192" s="14" t="s">
        <v>9464</v>
      </c>
    </row>
    <row r="193" spans="1:17">
      <c r="A193" s="14" t="s">
        <v>5963</v>
      </c>
      <c r="B193" s="14" t="s">
        <v>330</v>
      </c>
      <c r="C193" s="14" t="s">
        <v>35</v>
      </c>
      <c r="D193" s="19" t="s">
        <v>10438</v>
      </c>
      <c r="E193" s="15" t="str">
        <f>HYPERLINK("https://stat100.ameba.jp/tnk47/ratio20/illustrations/card/ill_82963_0_yukatamatsuritomokazuki03.jpg?202102-5-RELEASE-marathon-516x", "■")</f>
        <v>■</v>
      </c>
      <c r="F193" s="14" t="s">
        <v>5964</v>
      </c>
      <c r="G193" s="14">
        <v>285888</v>
      </c>
      <c r="H193" s="14">
        <v>316330</v>
      </c>
      <c r="I193" s="14">
        <v>24</v>
      </c>
      <c r="J193" s="14" t="s">
        <v>73</v>
      </c>
      <c r="K193" s="14" t="s">
        <v>5966</v>
      </c>
      <c r="L193" s="14" t="s">
        <v>5967</v>
      </c>
      <c r="M193" s="14" t="s">
        <v>9158</v>
      </c>
      <c r="N193" s="14" t="s">
        <v>9158</v>
      </c>
      <c r="O193" s="19" t="s">
        <v>10115</v>
      </c>
      <c r="P193" s="14" t="s">
        <v>5968</v>
      </c>
      <c r="Q193" s="14">
        <v>1</v>
      </c>
    </row>
    <row r="194" spans="1:17">
      <c r="A194" s="14" t="s">
        <v>5901</v>
      </c>
      <c r="B194" s="14" t="s">
        <v>52</v>
      </c>
      <c r="C194" s="14" t="s">
        <v>101</v>
      </c>
      <c r="D194" s="19" t="s">
        <v>1426</v>
      </c>
      <c r="E194" s="15" t="str">
        <f>HYPERLINK("https://stat100.ameba.jp/tnk47/ratio20/illustrations/card/ill_64953_0_yukatatokugawayoshinobu03.jpg?202102-5-RELEASE-marathon-516x", "■")</f>
        <v>■</v>
      </c>
      <c r="F194" s="14" t="s">
        <v>2090</v>
      </c>
      <c r="G194" s="14">
        <v>149520</v>
      </c>
      <c r="H194" s="14">
        <v>160804</v>
      </c>
      <c r="I194" s="14">
        <v>24</v>
      </c>
      <c r="J194" s="14" t="s">
        <v>10</v>
      </c>
      <c r="K194" s="14" t="s">
        <v>2091</v>
      </c>
      <c r="L194" s="14" t="s">
        <v>2092</v>
      </c>
      <c r="M194" s="14" t="s">
        <v>9158</v>
      </c>
      <c r="N194" s="14" t="s">
        <v>9158</v>
      </c>
      <c r="O194" s="19" t="s">
        <v>2889</v>
      </c>
      <c r="P194" s="14" t="s">
        <v>2890</v>
      </c>
      <c r="Q194" s="14">
        <v>1</v>
      </c>
    </row>
    <row r="195" spans="1:17">
      <c r="A195" s="14" t="s">
        <v>5622</v>
      </c>
      <c r="B195" s="14" t="s">
        <v>330</v>
      </c>
      <c r="C195" s="14" t="s">
        <v>335</v>
      </c>
      <c r="D195" s="19" t="s">
        <v>1043</v>
      </c>
      <c r="E195" s="15" t="str">
        <f>HYPERLINK("https://stat100.ameba.jp/tnk47/ratio20/illustrations/card/ill_49953_0_yushamarihime03.jpg?202102-5-RELEASE-marathon-516x", "■")</f>
        <v>■</v>
      </c>
      <c r="F195" s="14" t="s">
        <v>510</v>
      </c>
      <c r="G195" s="14">
        <v>150776</v>
      </c>
      <c r="H195" s="14">
        <v>133938</v>
      </c>
      <c r="I195" s="14">
        <v>24</v>
      </c>
      <c r="J195" s="14" t="s">
        <v>315</v>
      </c>
      <c r="K195" s="14" t="s">
        <v>511</v>
      </c>
      <c r="L195" s="14" t="s">
        <v>512</v>
      </c>
      <c r="M195" s="14" t="s">
        <v>9158</v>
      </c>
      <c r="N195" s="14" t="s">
        <v>9158</v>
      </c>
      <c r="O195" s="14" t="s">
        <v>9158</v>
      </c>
      <c r="P195" s="14" t="s">
        <v>9158</v>
      </c>
      <c r="Q195" s="14" t="s">
        <v>9158</v>
      </c>
    </row>
    <row r="196" spans="1:17">
      <c r="A196" s="14">
        <v>95813</v>
      </c>
      <c r="B196" s="14" t="s">
        <v>0</v>
      </c>
      <c r="C196" s="14" t="s">
        <v>23</v>
      </c>
      <c r="D196" s="14" t="s">
        <v>16139</v>
      </c>
      <c r="E196" s="15" t="str">
        <f>HYPERLINK("https://stat100.ameba.jp/tnk47/ratio20/illustrations/card/ill_95813_kirin03.jpg?202102-5-RELEASE-marathon-516x", "■")</f>
        <v>■</v>
      </c>
      <c r="F196" s="14" t="s">
        <v>16138</v>
      </c>
      <c r="G196" s="14">
        <v>101558</v>
      </c>
      <c r="H196" s="14">
        <v>94390</v>
      </c>
      <c r="I196" s="7">
        <v>26</v>
      </c>
      <c r="J196" s="14" t="s">
        <v>38</v>
      </c>
      <c r="K196" s="14" t="s">
        <v>16137</v>
      </c>
      <c r="L196" s="14" t="s">
        <v>16136</v>
      </c>
      <c r="M196" s="14" t="s">
        <v>9158</v>
      </c>
      <c r="N196" s="14" t="s">
        <v>9158</v>
      </c>
      <c r="O196" s="14" t="s">
        <v>9158</v>
      </c>
      <c r="P196" s="14" t="s">
        <v>9158</v>
      </c>
      <c r="Q196" s="14" t="s">
        <v>9158</v>
      </c>
    </row>
    <row r="197" spans="1:17">
      <c r="A197" s="14">
        <v>95833</v>
      </c>
      <c r="B197" s="14" t="s">
        <v>15</v>
      </c>
      <c r="C197" s="14" t="s">
        <v>107</v>
      </c>
      <c r="D197" s="14" t="s">
        <v>16144</v>
      </c>
      <c r="E197" s="15" t="str">
        <f>HYPERLINK("https://stat100.ameba.jp/tnk47/ratio20/illustrations/card/ill_95833_sangokushikawahime03.jpg?202102-5-RELEASE-marathon-516x", "■")</f>
        <v>■</v>
      </c>
      <c r="F197" s="14" t="s">
        <v>16143</v>
      </c>
      <c r="G197" s="14">
        <v>77064</v>
      </c>
      <c r="H197" s="14">
        <v>69898</v>
      </c>
      <c r="I197" s="7">
        <v>26</v>
      </c>
      <c r="J197" s="14" t="s">
        <v>73</v>
      </c>
      <c r="K197" s="14" t="s">
        <v>16142</v>
      </c>
      <c r="L197" s="14" t="s">
        <v>3835</v>
      </c>
      <c r="M197" s="14" t="s">
        <v>9158</v>
      </c>
      <c r="N197" s="14" t="s">
        <v>9158</v>
      </c>
      <c r="O197" s="14" t="s">
        <v>9158</v>
      </c>
      <c r="P197" s="14" t="s">
        <v>9158</v>
      </c>
      <c r="Q197" s="14" t="s">
        <v>9158</v>
      </c>
    </row>
    <row r="198" spans="1:17">
      <c r="A198" s="14">
        <v>95843</v>
      </c>
      <c r="B198" s="14" t="s">
        <v>22</v>
      </c>
      <c r="C198" s="14" t="s">
        <v>96</v>
      </c>
      <c r="D198" s="14" t="s">
        <v>16147</v>
      </c>
      <c r="E198" s="15" t="str">
        <f>HYPERLINK("https://stat100.ameba.jp/tnk47/ratio20/illustrations/card/ill_95843_sangokushimitsuhime03.jpg?202102-5-RELEASE-marathon-516x", "■")</f>
        <v>■</v>
      </c>
      <c r="F198" s="14" t="s">
        <v>16146</v>
      </c>
      <c r="G198" s="14">
        <v>44948</v>
      </c>
      <c r="H198" s="14">
        <v>54058</v>
      </c>
      <c r="I198" s="7">
        <v>26</v>
      </c>
      <c r="J198" s="14" t="s">
        <v>77</v>
      </c>
      <c r="K198" s="14" t="s">
        <v>16145</v>
      </c>
      <c r="L198" s="14" t="s">
        <v>2424</v>
      </c>
      <c r="M198" s="14" t="s">
        <v>9158</v>
      </c>
      <c r="N198" s="14" t="s">
        <v>9158</v>
      </c>
      <c r="O198" s="14" t="s">
        <v>9158</v>
      </c>
      <c r="P198" s="14" t="s">
        <v>9158</v>
      </c>
      <c r="Q198" s="14" t="s">
        <v>9158</v>
      </c>
    </row>
    <row r="199" spans="1:17">
      <c r="A199" s="14">
        <v>95853</v>
      </c>
      <c r="B199" s="14" t="s">
        <v>22</v>
      </c>
      <c r="C199" s="14" t="s">
        <v>1</v>
      </c>
      <c r="D199" s="14" t="s">
        <v>16150</v>
      </c>
      <c r="E199" s="15" t="str">
        <f>HYPERLINK("https://stat100.ameba.jp/tnk47/ratio20/illustrations/card/ill_95853_saiyukiippen03.jpg?202102-5-RELEASE-marathon-516x", "■")</f>
        <v>■</v>
      </c>
      <c r="F199" s="14" t="s">
        <v>16149</v>
      </c>
      <c r="G199" s="14">
        <v>54058</v>
      </c>
      <c r="H199" s="14">
        <v>44948</v>
      </c>
      <c r="I199" s="7">
        <v>26</v>
      </c>
      <c r="J199" s="14" t="s">
        <v>10</v>
      </c>
      <c r="K199" s="14" t="s">
        <v>16148</v>
      </c>
      <c r="L199" s="14" t="s">
        <v>2321</v>
      </c>
      <c r="M199" s="14" t="s">
        <v>9158</v>
      </c>
      <c r="N199" s="14" t="s">
        <v>9158</v>
      </c>
      <c r="O199" s="14" t="s">
        <v>9158</v>
      </c>
      <c r="P199" s="14" t="s">
        <v>9158</v>
      </c>
      <c r="Q199" s="14" t="s">
        <v>9158</v>
      </c>
    </row>
    <row r="201" spans="1:17">
      <c r="A201" s="14" t="s">
        <v>4065</v>
      </c>
    </row>
    <row r="202" spans="1:17">
      <c r="A202" s="14">
        <v>106660</v>
      </c>
      <c r="B202" s="14" t="s">
        <v>16188</v>
      </c>
    </row>
    <row r="203" spans="1:17">
      <c r="A203" s="14" t="s">
        <v>5605</v>
      </c>
      <c r="B203" s="14" t="s">
        <v>52</v>
      </c>
      <c r="C203" s="14" t="s">
        <v>202</v>
      </c>
      <c r="D203" s="19" t="s">
        <v>10332</v>
      </c>
      <c r="E203" s="15" t="str">
        <f>HYPERLINK("https://stat100.ameba.jp/tnk47/ratio20/illustrations/card/ill_79373_0_hommeichokotennyohime03.jpg?202102-5-RELEASE-marathon-516x", "■")</f>
        <v>■</v>
      </c>
      <c r="F203" s="14" t="s">
        <v>3495</v>
      </c>
      <c r="G203" s="14">
        <v>333862</v>
      </c>
      <c r="H203" s="14">
        <v>301759</v>
      </c>
      <c r="I203" s="14">
        <v>27</v>
      </c>
      <c r="J203" s="14" t="s">
        <v>104</v>
      </c>
      <c r="K203" s="14" t="s">
        <v>3496</v>
      </c>
      <c r="L203" s="14" t="s">
        <v>3497</v>
      </c>
      <c r="M203" s="14" t="s">
        <v>9158</v>
      </c>
      <c r="N203" s="14" t="s">
        <v>9158</v>
      </c>
      <c r="O203" s="19" t="s">
        <v>10072</v>
      </c>
      <c r="P203" s="14" t="s">
        <v>3498</v>
      </c>
      <c r="Q203" s="14">
        <v>1</v>
      </c>
    </row>
    <row r="204" spans="1:17">
      <c r="A204" s="14">
        <v>83393</v>
      </c>
      <c r="B204" s="14" t="s">
        <v>334</v>
      </c>
      <c r="C204" s="14" t="s">
        <v>209</v>
      </c>
      <c r="D204" s="19" t="s">
        <v>10381</v>
      </c>
      <c r="E204" s="15" t="str">
        <f>HYPERLINK("https://stat100.ameba.jp/tnk47/ratio20/illustrations/card/ill_83393_rito03.jpg?202102-5-RELEASE-marathon-516x", "■")</f>
        <v>■</v>
      </c>
      <c r="F204" s="14" t="s">
        <v>5735</v>
      </c>
      <c r="G204" s="14">
        <v>132684</v>
      </c>
      <c r="H204" s="14">
        <v>96100</v>
      </c>
      <c r="I204" s="14">
        <v>26</v>
      </c>
      <c r="J204" s="14" t="s">
        <v>38</v>
      </c>
      <c r="K204" s="14" t="s">
        <v>5738</v>
      </c>
      <c r="L204" s="14" t="s">
        <v>5400</v>
      </c>
      <c r="M204" s="14" t="s">
        <v>9158</v>
      </c>
      <c r="N204" s="14" t="s">
        <v>9158</v>
      </c>
      <c r="O204" s="19" t="s">
        <v>10098</v>
      </c>
      <c r="P204" s="14" t="s">
        <v>3491</v>
      </c>
      <c r="Q204" s="14">
        <v>1</v>
      </c>
    </row>
    <row r="205" spans="1:17">
      <c r="A205" s="14">
        <v>80743</v>
      </c>
      <c r="B205" s="14" t="s">
        <v>0</v>
      </c>
      <c r="C205" s="14" t="s">
        <v>209</v>
      </c>
      <c r="D205" s="20" t="s">
        <v>10414</v>
      </c>
      <c r="E205" s="15" t="str">
        <f>HYPERLINK("https://stat100.ameba.jp/tnk47/ratio20/illustrations/card/ill_80743_senseijutsushi03.jpg?202102-5-RELEASE-marathon-516x", "■")</f>
        <v>■</v>
      </c>
      <c r="F205" s="14" t="s">
        <v>4249</v>
      </c>
      <c r="G205" s="14">
        <v>82318</v>
      </c>
      <c r="H205" s="14">
        <v>113630</v>
      </c>
      <c r="I205" s="14">
        <v>26</v>
      </c>
      <c r="J205" s="14" t="s">
        <v>16</v>
      </c>
      <c r="K205" s="14" t="s">
        <v>4250</v>
      </c>
      <c r="L205" s="14" t="s">
        <v>4251</v>
      </c>
      <c r="M205" s="14" t="s">
        <v>9158</v>
      </c>
      <c r="N205" s="14" t="s">
        <v>9158</v>
      </c>
      <c r="O205" s="19" t="s">
        <v>10109</v>
      </c>
      <c r="P205" s="14" t="s">
        <v>3625</v>
      </c>
      <c r="Q205" s="14">
        <v>1</v>
      </c>
    </row>
    <row r="206" spans="1:17">
      <c r="A206" s="14">
        <v>76783</v>
      </c>
      <c r="B206" s="14" t="s">
        <v>334</v>
      </c>
      <c r="C206" s="14" t="s">
        <v>203</v>
      </c>
      <c r="D206" s="19" t="s">
        <v>10367</v>
      </c>
      <c r="E206" s="15" t="str">
        <f>HYPERLINK("https://stat100.ameba.jp/tnk47/ratio20/illustrations/card/ill_76783_monsutaakashirejina03.jpg?202102-5-RELEASE-marathon-516x", "■")</f>
        <v>■</v>
      </c>
      <c r="F206" s="14" t="s">
        <v>1192</v>
      </c>
      <c r="G206" s="14">
        <v>82318</v>
      </c>
      <c r="H206" s="14">
        <v>113630</v>
      </c>
      <c r="I206" s="14">
        <v>26</v>
      </c>
      <c r="J206" s="14" t="s">
        <v>10</v>
      </c>
      <c r="K206" s="14" t="s">
        <v>1193</v>
      </c>
      <c r="L206" s="14" t="s">
        <v>1194</v>
      </c>
      <c r="M206" s="14" t="s">
        <v>9158</v>
      </c>
      <c r="N206" s="14" t="s">
        <v>9158</v>
      </c>
      <c r="O206" s="19" t="s">
        <v>2752</v>
      </c>
      <c r="P206" s="14" t="s">
        <v>13123</v>
      </c>
      <c r="Q206" s="14">
        <v>1</v>
      </c>
    </row>
    <row r="208" spans="1:17">
      <c r="A208" s="14" t="s">
        <v>3785</v>
      </c>
    </row>
    <row r="209" spans="1:17">
      <c r="A209" s="14">
        <v>236669</v>
      </c>
      <c r="B209" s="14" t="s">
        <v>16210</v>
      </c>
    </row>
    <row r="210" spans="1:17">
      <c r="A210" s="9" t="s">
        <v>5609</v>
      </c>
      <c r="B210" s="14" t="s">
        <v>52</v>
      </c>
      <c r="C210" s="14" t="s">
        <v>200</v>
      </c>
      <c r="D210" s="14" t="s">
        <v>1713</v>
      </c>
      <c r="E210" s="15" t="str">
        <f>HYPERLINK("https://stat100.ameba.jp/tnk47/ratio20/illustrations/card/ill_53753_0_natsumatsuritokugawaieyasu03.jpg?202102-5-RELEASE-marathon-516x", "■")</f>
        <v>■</v>
      </c>
      <c r="F210" s="14" t="s">
        <v>902</v>
      </c>
      <c r="G210" s="14">
        <v>138212</v>
      </c>
      <c r="H210" s="14">
        <v>122776</v>
      </c>
      <c r="I210" s="14">
        <v>22</v>
      </c>
      <c r="J210" s="14" t="s">
        <v>194</v>
      </c>
      <c r="K210" s="14" t="s">
        <v>1714</v>
      </c>
      <c r="L210" s="14" t="s">
        <v>904</v>
      </c>
      <c r="M210" s="14" t="s">
        <v>9158</v>
      </c>
      <c r="N210" s="14" t="s">
        <v>9158</v>
      </c>
      <c r="O210" s="17" t="s">
        <v>10052</v>
      </c>
      <c r="P210" s="14" t="s">
        <v>13121</v>
      </c>
      <c r="Q210" s="14">
        <v>1</v>
      </c>
    </row>
    <row r="211" spans="1:17">
      <c r="A211" s="14" t="s">
        <v>5603</v>
      </c>
      <c r="B211" s="14" t="s">
        <v>330</v>
      </c>
      <c r="C211" s="14" t="s">
        <v>205</v>
      </c>
      <c r="D211" s="20" t="s">
        <v>611</v>
      </c>
      <c r="E211" s="15" t="str">
        <f>HYPERLINK("https://stat100.ameba.jp/tnk47/ratio20/illustrations/card/ill_61893_0_onikirishumiyamotomusashi03.jpg?202102-5-RELEASE-marathon-516x", "■")</f>
        <v>■</v>
      </c>
      <c r="F211" s="14" t="s">
        <v>612</v>
      </c>
      <c r="G211" s="14">
        <v>205358</v>
      </c>
      <c r="H211" s="14">
        <v>190952</v>
      </c>
      <c r="I211" s="14">
        <v>22</v>
      </c>
      <c r="J211" s="14" t="s">
        <v>310</v>
      </c>
      <c r="K211" s="14" t="s">
        <v>613</v>
      </c>
      <c r="L211" s="14" t="s">
        <v>312</v>
      </c>
      <c r="M211" s="14" t="s">
        <v>9158</v>
      </c>
      <c r="N211" s="14" t="s">
        <v>9158</v>
      </c>
      <c r="O211" s="19" t="s">
        <v>10071</v>
      </c>
      <c r="P211" s="14" t="s">
        <v>3253</v>
      </c>
      <c r="Q211" s="14">
        <v>1</v>
      </c>
    </row>
    <row r="212" spans="1:17">
      <c r="A212" s="14" t="s">
        <v>5608</v>
      </c>
      <c r="B212" s="14" t="s">
        <v>52</v>
      </c>
      <c r="C212" s="14" t="s">
        <v>96</v>
      </c>
      <c r="D212" s="20" t="s">
        <v>634</v>
      </c>
      <c r="E212" s="15" t="str">
        <f>HYPERLINK("https://stat100.ameba.jp/tnk47/ratio20/illustrations/card/ill_40963_0_makami03.jpg?202102-5-RELEASE-marathon-516x", "■")</f>
        <v>■</v>
      </c>
      <c r="F212" s="14" t="s">
        <v>2038</v>
      </c>
      <c r="G212" s="14">
        <v>128744</v>
      </c>
      <c r="H212" s="14">
        <v>120576</v>
      </c>
      <c r="I212" s="14">
        <v>22</v>
      </c>
      <c r="J212" s="14" t="s">
        <v>44</v>
      </c>
      <c r="K212" s="14" t="s">
        <v>2039</v>
      </c>
      <c r="L212" s="14" t="s">
        <v>2040</v>
      </c>
      <c r="M212" s="14" t="s">
        <v>9158</v>
      </c>
      <c r="N212" s="14" t="s">
        <v>9158</v>
      </c>
      <c r="O212" s="14" t="s">
        <v>9158</v>
      </c>
      <c r="P212" s="14" t="s">
        <v>9158</v>
      </c>
      <c r="Q212" s="14" t="s">
        <v>9158</v>
      </c>
    </row>
    <row r="213" spans="1:17">
      <c r="A213" s="9">
        <v>70793</v>
      </c>
      <c r="B213" s="14" t="s">
        <v>334</v>
      </c>
      <c r="C213" s="14" t="s">
        <v>191</v>
      </c>
      <c r="D213" s="14" t="s">
        <v>3257</v>
      </c>
      <c r="E213" s="15" t="str">
        <f>HYPERLINK("https://stat100.ameba.jp/tnk47/ratio20/illustrations/card/ill_70793_tojimbo03.jpg?202102-5-RELEASE-marathon-516x", "■")</f>
        <v>■</v>
      </c>
      <c r="F213" s="14" t="s">
        <v>3258</v>
      </c>
      <c r="G213" s="14">
        <v>135038</v>
      </c>
      <c r="H213" s="14">
        <v>75984</v>
      </c>
      <c r="I213" s="7">
        <v>28</v>
      </c>
      <c r="J213" s="14" t="s">
        <v>26</v>
      </c>
      <c r="K213" s="14" t="s">
        <v>3259</v>
      </c>
      <c r="L213" s="14" t="s">
        <v>3260</v>
      </c>
      <c r="M213" s="14" t="s">
        <v>9158</v>
      </c>
      <c r="N213" s="14" t="s">
        <v>9158</v>
      </c>
      <c r="O213" s="14" t="s">
        <v>9158</v>
      </c>
      <c r="P213" s="14" t="s">
        <v>9158</v>
      </c>
      <c r="Q213" s="14" t="s">
        <v>9158</v>
      </c>
    </row>
    <row r="214" spans="1:17">
      <c r="A214" s="9">
        <v>86593</v>
      </c>
      <c r="B214" s="9" t="s">
        <v>0</v>
      </c>
      <c r="C214" s="9" t="s">
        <v>206</v>
      </c>
      <c r="D214" s="19" t="s">
        <v>10989</v>
      </c>
      <c r="E214" s="15" t="str">
        <f>HYPERLINK("https://stat100.ameba.jp/tnk47/ratio20/illustrations/card/ill_86593_uintasupotsumatsurasayohimedensetsu03.jpg?202102-5-RELEASE-marathon-516x", "■")</f>
        <v>■</v>
      </c>
      <c r="F214" s="9" t="s">
        <v>9751</v>
      </c>
      <c r="G214" s="9">
        <v>135038</v>
      </c>
      <c r="H214" s="9">
        <v>75984</v>
      </c>
      <c r="I214" s="7">
        <v>28</v>
      </c>
      <c r="J214" s="9" t="s">
        <v>155</v>
      </c>
      <c r="K214" s="9" t="s">
        <v>9750</v>
      </c>
      <c r="L214" s="9" t="s">
        <v>76</v>
      </c>
      <c r="M214" s="14" t="s">
        <v>9158</v>
      </c>
      <c r="N214" s="14" t="s">
        <v>9158</v>
      </c>
      <c r="O214" s="14" t="s">
        <v>9158</v>
      </c>
      <c r="P214" s="14" t="s">
        <v>9158</v>
      </c>
      <c r="Q214" s="14" t="s">
        <v>9158</v>
      </c>
    </row>
    <row r="215" spans="1:17">
      <c r="A215" s="9">
        <v>74993</v>
      </c>
      <c r="B215" s="14" t="s">
        <v>334</v>
      </c>
      <c r="C215" s="14" t="s">
        <v>205</v>
      </c>
      <c r="D215" s="14" t="s">
        <v>3261</v>
      </c>
      <c r="E215" s="15" t="str">
        <f>HYPERLINK("https://stat100.ameba.jp/tnk47/ratio20/illustrations/card/ill_74993_demikatsudon03.jpg?202102-5-RELEASE-marathon-516x", "■")</f>
        <v>■</v>
      </c>
      <c r="F215" s="14" t="s">
        <v>3262</v>
      </c>
      <c r="G215" s="14">
        <v>166452</v>
      </c>
      <c r="H215" s="14">
        <v>154768</v>
      </c>
      <c r="I215" s="7">
        <v>28</v>
      </c>
      <c r="J215" s="14" t="s">
        <v>104</v>
      </c>
      <c r="K215" s="14" t="s">
        <v>3263</v>
      </c>
      <c r="L215" s="14" t="s">
        <v>1029</v>
      </c>
      <c r="M215" s="14" t="s">
        <v>9158</v>
      </c>
      <c r="N215" s="14" t="s">
        <v>9158</v>
      </c>
      <c r="O215" s="14" t="s">
        <v>9158</v>
      </c>
      <c r="P215" s="14" t="s">
        <v>9158</v>
      </c>
      <c r="Q215" s="14" t="s">
        <v>9158</v>
      </c>
    </row>
    <row r="217" spans="1:17">
      <c r="A217" s="14" t="s">
        <v>3911</v>
      </c>
    </row>
    <row r="218" spans="1:17">
      <c r="A218" s="14">
        <v>105979</v>
      </c>
      <c r="B218" s="14" t="s">
        <v>16209</v>
      </c>
    </row>
    <row r="219" spans="1:17">
      <c r="A219" s="14">
        <v>105989</v>
      </c>
      <c r="B219" s="14" t="s">
        <v>15721</v>
      </c>
    </row>
    <row r="220" spans="1:17">
      <c r="A220" s="14" t="s">
        <v>14997</v>
      </c>
      <c r="B220" s="7" t="s">
        <v>52</v>
      </c>
      <c r="C220" s="14" t="s">
        <v>202</v>
      </c>
      <c r="D220" s="18" t="s">
        <v>14996</v>
      </c>
      <c r="E220" s="15" t="str">
        <f>HYPERLINK("https://stat100.ameba.jp/tnk47/ratio20/illustrations/card/ill_92403_0_haroimmochizukichiyome03.jpg?202102-5-RELEASE-marathon-516x", "■")</f>
        <v>■</v>
      </c>
      <c r="F220" s="14" t="s">
        <v>15003</v>
      </c>
      <c r="G220" s="14">
        <v>339272</v>
      </c>
      <c r="H220" s="14">
        <v>277564</v>
      </c>
      <c r="I220" s="7">
        <v>28</v>
      </c>
      <c r="J220" s="14" t="s">
        <v>16</v>
      </c>
      <c r="K220" s="14" t="s">
        <v>15001</v>
      </c>
      <c r="L220" s="14" t="s">
        <v>15000</v>
      </c>
      <c r="M220" s="14" t="s">
        <v>9158</v>
      </c>
      <c r="N220" s="14" t="s">
        <v>9158</v>
      </c>
      <c r="O220" s="6" t="s">
        <v>14998</v>
      </c>
      <c r="P220" s="7" t="s">
        <v>14999</v>
      </c>
      <c r="Q220" s="7">
        <v>1</v>
      </c>
    </row>
    <row r="221" spans="1:17">
      <c r="A221" s="14" t="s">
        <v>6598</v>
      </c>
      <c r="B221" s="14" t="s">
        <v>330</v>
      </c>
      <c r="C221" s="14" t="s">
        <v>35</v>
      </c>
      <c r="D221" s="19" t="s">
        <v>10555</v>
      </c>
      <c r="E221" s="15" t="str">
        <f>HYPERLINK("https://stat100.ameba.jp/tnk47/ratio20/illustrations/card/ill_83553_0_kajuenamoronagu03.jpg?202102-5-RELEASE-marathon-516x", "■")</f>
        <v>■</v>
      </c>
      <c r="F221" s="14" t="s">
        <v>6597</v>
      </c>
      <c r="G221" s="14">
        <v>294746</v>
      </c>
      <c r="H221" s="14">
        <v>326126</v>
      </c>
      <c r="I221" s="7">
        <v>28</v>
      </c>
      <c r="J221" s="14" t="s">
        <v>44</v>
      </c>
      <c r="K221" s="14" t="s">
        <v>6595</v>
      </c>
      <c r="L221" s="14" t="s">
        <v>6594</v>
      </c>
      <c r="M221" s="14" t="s">
        <v>9158</v>
      </c>
      <c r="N221" s="14" t="s">
        <v>9158</v>
      </c>
      <c r="O221" s="19" t="s">
        <v>10125</v>
      </c>
      <c r="P221" s="14" t="s">
        <v>6599</v>
      </c>
      <c r="Q221" s="14">
        <v>1</v>
      </c>
    </row>
    <row r="222" spans="1:17">
      <c r="A222" s="14" t="s">
        <v>5627</v>
      </c>
      <c r="B222" s="14" t="s">
        <v>330</v>
      </c>
      <c r="C222" s="14" t="s">
        <v>191</v>
      </c>
      <c r="D222" s="19" t="s">
        <v>393</v>
      </c>
      <c r="E222" s="15" t="str">
        <f>HYPERLINK("https://stat100.ameba.jp/tnk47/ratio20/illustrations/card/ill_46283_0_odanobunaga03.jpg?202102-5-RELEASE-marathon-516x", "■")</f>
        <v>■</v>
      </c>
      <c r="F222" s="14" t="s">
        <v>1073</v>
      </c>
      <c r="G222" s="14">
        <v>153462</v>
      </c>
      <c r="H222" s="14">
        <v>163856</v>
      </c>
      <c r="I222" s="14">
        <v>28</v>
      </c>
      <c r="J222" s="14" t="s">
        <v>143</v>
      </c>
      <c r="K222" s="14" t="s">
        <v>1074</v>
      </c>
      <c r="L222" s="14" t="s">
        <v>1075</v>
      </c>
      <c r="M222" s="14" t="s">
        <v>9158</v>
      </c>
      <c r="N222" s="14" t="s">
        <v>9158</v>
      </c>
      <c r="O222" s="14" t="s">
        <v>9158</v>
      </c>
      <c r="P222" s="14" t="s">
        <v>9158</v>
      </c>
      <c r="Q222" s="14" t="s">
        <v>9158</v>
      </c>
    </row>
    <row r="223" spans="1:17">
      <c r="A223" s="14">
        <v>66353</v>
      </c>
      <c r="B223" s="14" t="s">
        <v>0</v>
      </c>
      <c r="C223" s="14" t="s">
        <v>41</v>
      </c>
      <c r="D223" s="14" t="s">
        <v>141</v>
      </c>
      <c r="E223" s="15" t="str">
        <f>HYPERLINK("https://stat100.ameba.jp/tnk47/ratio20/illustrations/card/ill_66353_kajiwaranyudotoan03.jpg?202102-5-RELEASE-marathon-516x", "■")</f>
        <v>■</v>
      </c>
      <c r="F223" s="14" t="s">
        <v>142</v>
      </c>
      <c r="G223" s="14">
        <v>186288</v>
      </c>
      <c r="H223" s="14">
        <v>134934</v>
      </c>
      <c r="I223" s="7">
        <v>28</v>
      </c>
      <c r="J223" s="14" t="s">
        <v>143</v>
      </c>
      <c r="K223" s="14" t="s">
        <v>144</v>
      </c>
      <c r="L223" s="14" t="s">
        <v>145</v>
      </c>
      <c r="M223" s="14" t="s">
        <v>9158</v>
      </c>
      <c r="N223" s="14" t="s">
        <v>9158</v>
      </c>
      <c r="O223" s="17" t="s">
        <v>10054</v>
      </c>
      <c r="P223" s="14" t="s">
        <v>3672</v>
      </c>
      <c r="Q223" s="14">
        <v>1</v>
      </c>
    </row>
    <row r="224" spans="1:17">
      <c r="A224" s="7">
        <v>85653</v>
      </c>
      <c r="B224" s="7" t="s">
        <v>0</v>
      </c>
      <c r="C224" s="14" t="s">
        <v>158</v>
      </c>
      <c r="D224" s="20" t="s">
        <v>10846</v>
      </c>
      <c r="E224" s="15" t="str">
        <f>HYPERLINK("https://stat100.ameba.jp/tnk47/ratio20/illustrations/card/ill_85653_onashiefumizuno03.jpg?202102-5-RELEASE-marathon-516x", "■")</f>
        <v>■</v>
      </c>
      <c r="F224" s="7" t="s">
        <v>8587</v>
      </c>
      <c r="G224" s="7">
        <v>107188</v>
      </c>
      <c r="H224" s="7">
        <v>148002</v>
      </c>
      <c r="I224" s="7">
        <v>28</v>
      </c>
      <c r="J224" s="7" t="s">
        <v>216</v>
      </c>
      <c r="K224" s="7" t="s">
        <v>8586</v>
      </c>
      <c r="L224" s="7" t="s">
        <v>131</v>
      </c>
      <c r="M224" s="14" t="s">
        <v>9158</v>
      </c>
      <c r="N224" s="14" t="s">
        <v>9158</v>
      </c>
      <c r="O224" s="19" t="s">
        <v>4074</v>
      </c>
      <c r="P224" s="14" t="s">
        <v>3462</v>
      </c>
      <c r="Q224" s="14">
        <v>1</v>
      </c>
    </row>
    <row r="225" spans="1:17">
      <c r="A225" s="9">
        <v>75093</v>
      </c>
      <c r="B225" s="14" t="s">
        <v>334</v>
      </c>
      <c r="C225" s="14" t="s">
        <v>158</v>
      </c>
      <c r="D225" s="14" t="s">
        <v>2613</v>
      </c>
      <c r="E225" s="15" t="str">
        <f>HYPERLINK("https://stat100.ameba.jp/tnk47/ratio20/illustrations/card/ill_75093_hangonko03.jpg?202102-5-RELEASE-marathon-516x", "■")</f>
        <v>■</v>
      </c>
      <c r="F225" s="14" t="s">
        <v>2614</v>
      </c>
      <c r="G225" s="14">
        <v>148002</v>
      </c>
      <c r="H225" s="14">
        <v>107188</v>
      </c>
      <c r="I225" s="7">
        <v>28</v>
      </c>
      <c r="J225" s="14" t="s">
        <v>44</v>
      </c>
      <c r="K225" s="14" t="s">
        <v>2615</v>
      </c>
      <c r="L225" s="14" t="s">
        <v>1108</v>
      </c>
      <c r="M225" s="14" t="s">
        <v>9158</v>
      </c>
      <c r="N225" s="14" t="s">
        <v>9158</v>
      </c>
      <c r="O225" s="17" t="s">
        <v>3414</v>
      </c>
      <c r="P225" s="14" t="s">
        <v>13122</v>
      </c>
      <c r="Q225" s="14">
        <v>1</v>
      </c>
    </row>
    <row r="226" spans="1:17">
      <c r="A226" s="16">
        <v>73093</v>
      </c>
      <c r="B226" s="14" t="s">
        <v>334</v>
      </c>
      <c r="C226" s="14" t="s">
        <v>154</v>
      </c>
      <c r="D226" s="19" t="s">
        <v>433</v>
      </c>
      <c r="E226" s="15" t="str">
        <f>HYPERLINK("https://stat100.ameba.jp/tnk47/ratio20/illustrations/card/ill_73093_aisukurinchan03.jpg?202102-5-RELEASE-marathon-516x", "■")</f>
        <v>■</v>
      </c>
      <c r="F226" s="14" t="s">
        <v>433</v>
      </c>
      <c r="G226" s="14">
        <v>186288</v>
      </c>
      <c r="H226" s="14">
        <v>134934</v>
      </c>
      <c r="I226" s="7">
        <v>28</v>
      </c>
      <c r="J226" s="14" t="s">
        <v>283</v>
      </c>
      <c r="K226" s="14" t="s">
        <v>434</v>
      </c>
      <c r="L226" s="14" t="s">
        <v>435</v>
      </c>
      <c r="M226" s="14" t="s">
        <v>9158</v>
      </c>
      <c r="N226" s="14" t="s">
        <v>9158</v>
      </c>
      <c r="O226" s="7" t="s">
        <v>2741</v>
      </c>
      <c r="P226" s="14" t="s">
        <v>2742</v>
      </c>
      <c r="Q226" s="14">
        <v>1</v>
      </c>
    </row>
    <row r="227" spans="1:17">
      <c r="A227" s="14">
        <v>81903</v>
      </c>
      <c r="B227" s="14" t="s">
        <v>334</v>
      </c>
      <c r="C227" s="14" t="s">
        <v>47</v>
      </c>
      <c r="D227" s="20" t="s">
        <v>10200</v>
      </c>
      <c r="E227" s="15" t="str">
        <f>HYPERLINK("https://stat100.ameba.jp/tnk47/ratio20/illustrations/card/ill_81903_kiryuhimeiren03.jpg?202102-5-RELEASE-marathon-516x", "■")</f>
        <v>■</v>
      </c>
      <c r="F227" s="14" t="s">
        <v>4983</v>
      </c>
      <c r="G227" s="14">
        <v>92574</v>
      </c>
      <c r="H227" s="14">
        <v>127814</v>
      </c>
      <c r="I227" s="7">
        <v>28</v>
      </c>
      <c r="J227" s="14" t="s">
        <v>77</v>
      </c>
      <c r="K227" s="14" t="s">
        <v>4985</v>
      </c>
      <c r="L227" s="14" t="s">
        <v>4986</v>
      </c>
      <c r="M227" s="14" t="s">
        <v>9158</v>
      </c>
      <c r="N227" s="14" t="s">
        <v>9158</v>
      </c>
      <c r="O227" s="19" t="s">
        <v>10112</v>
      </c>
      <c r="P227" s="14" t="s">
        <v>13150</v>
      </c>
      <c r="Q227" s="14">
        <v>1</v>
      </c>
    </row>
    <row r="228" spans="1:17">
      <c r="A228" s="14">
        <v>70843</v>
      </c>
      <c r="B228" s="14" t="s">
        <v>334</v>
      </c>
      <c r="C228" s="14" t="s">
        <v>268</v>
      </c>
      <c r="D228" s="20" t="s">
        <v>10651</v>
      </c>
      <c r="E228" s="15" t="str">
        <f>HYPERLINK("https://stat100.ameba.jp/tnk47/ratio20/illustrations/card/ill_70843_indoshinwakurionechan03.jpg?202102-5-RELEASE-marathon-516x", "■")</f>
        <v>■</v>
      </c>
      <c r="F228" s="14" t="s">
        <v>856</v>
      </c>
      <c r="G228" s="14">
        <v>118598</v>
      </c>
      <c r="H228" s="14">
        <v>127556</v>
      </c>
      <c r="I228" s="7">
        <v>28</v>
      </c>
      <c r="J228" s="14" t="s">
        <v>369</v>
      </c>
      <c r="K228" s="14" t="s">
        <v>857</v>
      </c>
      <c r="L228" s="14" t="s">
        <v>496</v>
      </c>
      <c r="M228" s="14" t="s">
        <v>9158</v>
      </c>
      <c r="N228" s="14" t="s">
        <v>9158</v>
      </c>
      <c r="O228" s="19" t="s">
        <v>10074</v>
      </c>
      <c r="P228" s="14" t="s">
        <v>3592</v>
      </c>
      <c r="Q228" s="14">
        <v>1</v>
      </c>
    </row>
    <row r="230" spans="1:17">
      <c r="A230" s="14" t="s">
        <v>207</v>
      </c>
    </row>
    <row r="231" spans="1:17">
      <c r="A231" s="14">
        <v>106689</v>
      </c>
      <c r="B231" s="14" t="s">
        <v>9514</v>
      </c>
    </row>
    <row r="232" spans="1:17">
      <c r="A232" s="14" t="s">
        <v>6508</v>
      </c>
      <c r="B232" s="14" t="s">
        <v>330</v>
      </c>
      <c r="C232" s="14" t="s">
        <v>35</v>
      </c>
      <c r="D232" s="19" t="s">
        <v>10168</v>
      </c>
      <c r="E232" s="15" t="str">
        <f>HYPERLINK("https://stat100.ameba.jp/tnk47/ratio20/illustrations/card/ill_81783_0_denshagarukoteipenginchan03.jpg?202102-5-RELEASE-marathon-516xx", "■")</f>
        <v>■</v>
      </c>
      <c r="F232" s="14" t="s">
        <v>4834</v>
      </c>
      <c r="G232" s="14">
        <v>279102</v>
      </c>
      <c r="H232" s="14">
        <v>252236</v>
      </c>
      <c r="I232" s="14">
        <v>24</v>
      </c>
      <c r="J232" s="14" t="s">
        <v>26</v>
      </c>
      <c r="K232" s="14" t="s">
        <v>4836</v>
      </c>
      <c r="L232" s="14" t="s">
        <v>1783</v>
      </c>
      <c r="M232" s="14" t="s">
        <v>9158</v>
      </c>
      <c r="N232" s="14" t="s">
        <v>9158</v>
      </c>
      <c r="O232" s="19" t="s">
        <v>9993</v>
      </c>
      <c r="P232" s="14" t="s">
        <v>4838</v>
      </c>
      <c r="Q232" s="14">
        <v>1</v>
      </c>
    </row>
    <row r="233" spans="1:17">
      <c r="A233" s="9" t="s">
        <v>9891</v>
      </c>
      <c r="B233" s="7" t="s">
        <v>52</v>
      </c>
      <c r="C233" s="9" t="s">
        <v>202</v>
      </c>
      <c r="D233" s="6" t="s">
        <v>9978</v>
      </c>
      <c r="E233" s="15" t="str">
        <f>HYPERLINK("https://stat100.ameba.jp/tnk47/ratio20/illustrations/card/ill_87643_0_oendanotohime03.jpg?202102-5-RELEASE-marathon-516xx", "■")</f>
        <v>■</v>
      </c>
      <c r="F233" s="14" t="s">
        <v>9928</v>
      </c>
      <c r="G233" s="9">
        <v>249916</v>
      </c>
      <c r="H233" s="9">
        <v>305430</v>
      </c>
      <c r="I233" s="14">
        <v>24</v>
      </c>
      <c r="J233" s="9" t="s">
        <v>155</v>
      </c>
      <c r="K233" s="14" t="s">
        <v>9932</v>
      </c>
      <c r="L233" s="14" t="s">
        <v>9933</v>
      </c>
      <c r="M233" s="14" t="s">
        <v>9158</v>
      </c>
      <c r="N233" s="14" t="s">
        <v>9158</v>
      </c>
      <c r="O233" s="6" t="s">
        <v>9989</v>
      </c>
      <c r="P233" s="7" t="s">
        <v>9944</v>
      </c>
      <c r="Q233" s="7">
        <v>1</v>
      </c>
    </row>
    <row r="234" spans="1:17">
      <c r="A234" s="14" t="s">
        <v>5897</v>
      </c>
      <c r="B234" s="14" t="s">
        <v>52</v>
      </c>
      <c r="C234" s="14" t="s">
        <v>23</v>
      </c>
      <c r="D234" s="19" t="s">
        <v>277</v>
      </c>
      <c r="E234" s="15" t="str">
        <f>HYPERLINK("https://stat100.ameba.jp/tnk47/ratio20/illustrations/card/ill_40913_0_reigyokudensetsufusehime03.jpg?202102-5-RELEASE-marathon-516xx", "■")</f>
        <v>■</v>
      </c>
      <c r="F234" s="14" t="s">
        <v>955</v>
      </c>
      <c r="G234" s="14">
        <v>131538</v>
      </c>
      <c r="H234" s="14">
        <v>140448</v>
      </c>
      <c r="I234" s="14">
        <v>24</v>
      </c>
      <c r="J234" s="14" t="s">
        <v>38</v>
      </c>
      <c r="K234" s="14" t="s">
        <v>956</v>
      </c>
      <c r="L234" s="14" t="s">
        <v>957</v>
      </c>
      <c r="M234" s="14" t="s">
        <v>9158</v>
      </c>
      <c r="N234" s="14" t="s">
        <v>9158</v>
      </c>
      <c r="O234" s="14" t="s">
        <v>9158</v>
      </c>
      <c r="P234" s="14" t="s">
        <v>9158</v>
      </c>
      <c r="Q234" s="14" t="s">
        <v>9158</v>
      </c>
    </row>
    <row r="235" spans="1:17">
      <c r="A235" s="14">
        <v>95823</v>
      </c>
      <c r="B235" s="14" t="s">
        <v>0</v>
      </c>
      <c r="C235" s="14" t="s">
        <v>14</v>
      </c>
      <c r="D235" s="14" t="s">
        <v>16141</v>
      </c>
      <c r="E235" s="15" t="str">
        <f>HYPERLINK("https://stat100.ameba.jp/tnk47/ratio20/illustrations/card/ill_95823_yamakawafutaba03.jpg?202102-5-RELEASE-marathon-516xx", "■")</f>
        <v>■</v>
      </c>
      <c r="F235" s="14" t="s">
        <v>16140</v>
      </c>
      <c r="G235" s="14">
        <v>98066</v>
      </c>
      <c r="H235" s="14">
        <v>105426</v>
      </c>
      <c r="I235" s="7">
        <v>26</v>
      </c>
      <c r="J235" s="14" t="s">
        <v>16</v>
      </c>
      <c r="K235" s="14" t="s">
        <v>3473</v>
      </c>
      <c r="L235" s="14" t="s">
        <v>15839</v>
      </c>
      <c r="M235" s="14" t="s">
        <v>9158</v>
      </c>
      <c r="N235" s="14" t="s">
        <v>9158</v>
      </c>
      <c r="O235" s="14" t="s">
        <v>9158</v>
      </c>
      <c r="P235" s="14" t="s">
        <v>9158</v>
      </c>
      <c r="Q235" s="14" t="s">
        <v>9158</v>
      </c>
    </row>
    <row r="236" spans="1:17">
      <c r="A236" s="14">
        <v>95833</v>
      </c>
      <c r="B236" s="14" t="s">
        <v>15</v>
      </c>
      <c r="C236" s="14" t="s">
        <v>107</v>
      </c>
      <c r="D236" s="14" t="s">
        <v>16144</v>
      </c>
      <c r="E236" s="15" t="str">
        <f>HYPERLINK("https://stat100.ameba.jp/tnk47/ratio20/illustrations/card/ill_95833_sangokushikawahime03.jpg?202102-5-RELEASE-marathon-516xx", "■")</f>
        <v>■</v>
      </c>
      <c r="F236" s="14" t="s">
        <v>16143</v>
      </c>
      <c r="G236" s="14">
        <v>77064</v>
      </c>
      <c r="H236" s="14">
        <v>69898</v>
      </c>
      <c r="I236" s="7">
        <v>26</v>
      </c>
      <c r="J236" s="14" t="s">
        <v>73</v>
      </c>
      <c r="K236" s="14" t="s">
        <v>16142</v>
      </c>
      <c r="L236" s="14" t="s">
        <v>3835</v>
      </c>
      <c r="M236" s="14" t="s">
        <v>9158</v>
      </c>
      <c r="N236" s="14" t="s">
        <v>9158</v>
      </c>
      <c r="O236" s="14" t="s">
        <v>9158</v>
      </c>
      <c r="P236" s="14" t="s">
        <v>9158</v>
      </c>
      <c r="Q236" s="14" t="s">
        <v>9158</v>
      </c>
    </row>
    <row r="237" spans="1:17">
      <c r="A237" s="14">
        <v>95843</v>
      </c>
      <c r="B237" s="14" t="s">
        <v>22</v>
      </c>
      <c r="C237" s="14" t="s">
        <v>96</v>
      </c>
      <c r="D237" s="14" t="s">
        <v>16147</v>
      </c>
      <c r="E237" s="15" t="str">
        <f>HYPERLINK("https://stat100.ameba.jp/tnk47/ratio20/illustrations/card/ill_95843_sangokushimitsuhime03.jpg?202102-5-RELEASE-marathon-516xx", "■")</f>
        <v>■</v>
      </c>
      <c r="F237" s="14" t="s">
        <v>16146</v>
      </c>
      <c r="G237" s="14">
        <v>44948</v>
      </c>
      <c r="H237" s="14">
        <v>54058</v>
      </c>
      <c r="I237" s="7">
        <v>26</v>
      </c>
      <c r="J237" s="14" t="s">
        <v>77</v>
      </c>
      <c r="K237" s="14" t="s">
        <v>16145</v>
      </c>
      <c r="L237" s="14" t="s">
        <v>2424</v>
      </c>
      <c r="M237" s="14" t="s">
        <v>9158</v>
      </c>
      <c r="N237" s="14" t="s">
        <v>9158</v>
      </c>
      <c r="O237" s="14" t="s">
        <v>9158</v>
      </c>
      <c r="P237" s="14" t="s">
        <v>9158</v>
      </c>
      <c r="Q237" s="14" t="s">
        <v>9158</v>
      </c>
    </row>
    <row r="238" spans="1:17">
      <c r="A238" s="14">
        <v>95853</v>
      </c>
      <c r="B238" s="14" t="s">
        <v>22</v>
      </c>
      <c r="C238" s="14" t="s">
        <v>1</v>
      </c>
      <c r="D238" s="14" t="s">
        <v>16150</v>
      </c>
      <c r="E238" s="15" t="str">
        <f>HYPERLINK("https://stat100.ameba.jp/tnk47/ratio20/illustrations/card/ill_95853_saiyukiippen03.jpg?202102-5-RELEASE-marathon-516xx", "■")</f>
        <v>■</v>
      </c>
      <c r="F238" s="14" t="s">
        <v>16149</v>
      </c>
      <c r="G238" s="14">
        <v>54058</v>
      </c>
      <c r="H238" s="14">
        <v>44948</v>
      </c>
      <c r="I238" s="7">
        <v>26</v>
      </c>
      <c r="J238" s="14" t="s">
        <v>10</v>
      </c>
      <c r="K238" s="14" t="s">
        <v>16148</v>
      </c>
      <c r="L238" s="14" t="s">
        <v>2321</v>
      </c>
      <c r="M238" s="14" t="s">
        <v>9158</v>
      </c>
      <c r="N238" s="14" t="s">
        <v>9158</v>
      </c>
      <c r="O238" s="14" t="s">
        <v>9158</v>
      </c>
      <c r="P238" s="14" t="s">
        <v>9158</v>
      </c>
      <c r="Q238" s="14" t="s">
        <v>9158</v>
      </c>
    </row>
    <row r="240" spans="1:17">
      <c r="A240" s="14" t="s">
        <v>3916</v>
      </c>
    </row>
    <row r="241" spans="1:17">
      <c r="A241" s="14">
        <v>106712</v>
      </c>
      <c r="B241" s="14" t="s">
        <v>9513</v>
      </c>
    </row>
    <row r="242" spans="1:17">
      <c r="A242" s="14">
        <v>71013</v>
      </c>
      <c r="B242" s="14" t="s">
        <v>334</v>
      </c>
      <c r="C242" s="14" t="s">
        <v>154</v>
      </c>
      <c r="D242" s="19" t="s">
        <v>837</v>
      </c>
      <c r="E242" s="15" t="str">
        <f>HYPERLINK("https://stat100.ameba.jp/tnk47/ratio20/illustrations/card/ill_71013_fujutsushisarashina03.jpg?202102-5-RELEASE-marathon-516xx", "■")</f>
        <v>■</v>
      </c>
      <c r="F242" s="14" t="s">
        <v>838</v>
      </c>
      <c r="G242" s="14">
        <v>112286</v>
      </c>
      <c r="H242" s="14">
        <v>120766</v>
      </c>
      <c r="I242" s="14">
        <v>28</v>
      </c>
      <c r="J242" s="14" t="s">
        <v>155</v>
      </c>
      <c r="K242" s="14" t="s">
        <v>1231</v>
      </c>
      <c r="L242" s="14" t="s">
        <v>13152</v>
      </c>
      <c r="M242" s="14" t="s">
        <v>9864</v>
      </c>
      <c r="N242" s="14" t="s">
        <v>9158</v>
      </c>
      <c r="O242" s="14" t="s">
        <v>9158</v>
      </c>
      <c r="P242" s="14" t="s">
        <v>9158</v>
      </c>
      <c r="Q242" s="14" t="s">
        <v>9158</v>
      </c>
    </row>
    <row r="243" spans="1:17">
      <c r="A243" s="14">
        <v>71023</v>
      </c>
      <c r="B243" s="14" t="s">
        <v>334</v>
      </c>
      <c r="C243" s="14" t="s">
        <v>158</v>
      </c>
      <c r="D243" s="19" t="s">
        <v>841</v>
      </c>
      <c r="E243" s="15" t="str">
        <f>HYPERLINK("https://stat100.ameba.jp/tnk47/ratio20/illustrations/card/ill_71023_ommyojiiroha03.jpg?202102-5-RELEASE-marathon-516xx", "■")</f>
        <v>■</v>
      </c>
      <c r="F243" s="14" t="s">
        <v>842</v>
      </c>
      <c r="G243" s="14">
        <v>112286</v>
      </c>
      <c r="H243" s="14">
        <v>120766</v>
      </c>
      <c r="I243" s="14">
        <v>28</v>
      </c>
      <c r="J243" s="14" t="s">
        <v>159</v>
      </c>
      <c r="K243" s="14" t="s">
        <v>1232</v>
      </c>
      <c r="L243" s="14" t="s">
        <v>1233</v>
      </c>
      <c r="M243" s="14" t="s">
        <v>9158</v>
      </c>
      <c r="N243" s="14" t="s">
        <v>9158</v>
      </c>
      <c r="O243" s="14" t="s">
        <v>9158</v>
      </c>
      <c r="P243" s="14" t="s">
        <v>9158</v>
      </c>
      <c r="Q243" s="14" t="s">
        <v>9158</v>
      </c>
    </row>
    <row r="244" spans="1:17">
      <c r="A244" s="14">
        <v>66053</v>
      </c>
      <c r="B244" s="14" t="s">
        <v>334</v>
      </c>
      <c r="C244" s="14" t="s">
        <v>205</v>
      </c>
      <c r="D244" s="19" t="s">
        <v>3046</v>
      </c>
      <c r="E244" s="15" t="str">
        <f>HYPERLINK("https://stat100.ameba.jp/tnk47/ratio20/illustrations/card/ill_66053_serebukushiyatamanokami03.jpg?202102-5-RELEASE-marathon-516xx", "■")</f>
        <v>■</v>
      </c>
      <c r="F244" s="14" t="s">
        <v>2265</v>
      </c>
      <c r="G244" s="14">
        <v>114208</v>
      </c>
      <c r="H244" s="14">
        <v>106178</v>
      </c>
      <c r="I244" s="14">
        <v>28</v>
      </c>
      <c r="J244" s="14" t="s">
        <v>44</v>
      </c>
      <c r="K244" s="14" t="s">
        <v>2266</v>
      </c>
      <c r="L244" s="14" t="s">
        <v>1860</v>
      </c>
      <c r="M244" s="14" t="s">
        <v>9158</v>
      </c>
      <c r="N244" s="14" t="s">
        <v>9158</v>
      </c>
      <c r="O244" s="14" t="s">
        <v>9158</v>
      </c>
      <c r="P244" s="14" t="s">
        <v>9158</v>
      </c>
      <c r="Q244" s="14" t="s">
        <v>9158</v>
      </c>
    </row>
    <row r="245" spans="1:17">
      <c r="A245" s="14">
        <v>65923</v>
      </c>
      <c r="B245" s="14" t="s">
        <v>334</v>
      </c>
      <c r="C245" s="14" t="s">
        <v>185</v>
      </c>
      <c r="D245" s="19" t="s">
        <v>10204</v>
      </c>
      <c r="E245" s="15" t="str">
        <f>HYPERLINK("https://stat100.ameba.jp/tnk47/ratio20/illustrations/card/ill_65923_arabianginko03.jpg?202102-5-RELEASE-marathon-516xx", "■")</f>
        <v>■</v>
      </c>
      <c r="F245" s="14" t="s">
        <v>4978</v>
      </c>
      <c r="G245" s="14">
        <v>116662</v>
      </c>
      <c r="H245" s="14">
        <v>108494</v>
      </c>
      <c r="I245" s="14">
        <v>28</v>
      </c>
      <c r="J245" s="14" t="s">
        <v>182</v>
      </c>
      <c r="K245" s="14" t="s">
        <v>3679</v>
      </c>
      <c r="L245" s="14" t="s">
        <v>13188</v>
      </c>
      <c r="M245" s="14" t="s">
        <v>9158</v>
      </c>
      <c r="N245" s="14" t="s">
        <v>9158</v>
      </c>
      <c r="O245" s="14" t="s">
        <v>9158</v>
      </c>
      <c r="P245" s="14" t="s">
        <v>9158</v>
      </c>
      <c r="Q245" s="14" t="s">
        <v>9158</v>
      </c>
    </row>
    <row r="246" spans="1:17">
      <c r="A246" s="14">
        <v>52863</v>
      </c>
      <c r="B246" s="14" t="s">
        <v>15</v>
      </c>
      <c r="C246" s="14" t="s">
        <v>191</v>
      </c>
      <c r="D246" s="19" t="s">
        <v>10516</v>
      </c>
      <c r="E246" s="15" t="str">
        <f>HYPERLINK("https://stat100.ameba.jp/tnk47/ratio20/illustrations/card/ill_52863_andoroidokingyonota03.jpg?202102-5-RELEASE-marathon-516xx", "■")</f>
        <v>■</v>
      </c>
      <c r="F246" s="14" t="s">
        <v>6409</v>
      </c>
      <c r="G246" s="14">
        <v>64520</v>
      </c>
      <c r="H246" s="14">
        <v>71136</v>
      </c>
      <c r="I246" s="14">
        <v>24</v>
      </c>
      <c r="J246" s="14" t="s">
        <v>38</v>
      </c>
      <c r="K246" s="14" t="s">
        <v>6407</v>
      </c>
      <c r="L246" s="14" t="s">
        <v>6406</v>
      </c>
      <c r="M246" s="14" t="s">
        <v>9158</v>
      </c>
      <c r="N246" s="14" t="s">
        <v>9158</v>
      </c>
      <c r="O246" s="14" t="s">
        <v>9158</v>
      </c>
      <c r="P246" s="14" t="s">
        <v>9158</v>
      </c>
      <c r="Q246" s="14" t="s">
        <v>9158</v>
      </c>
    </row>
    <row r="247" spans="1:17">
      <c r="A247" s="14">
        <v>51593</v>
      </c>
      <c r="B247" s="14" t="s">
        <v>15</v>
      </c>
      <c r="C247" s="14" t="s">
        <v>200</v>
      </c>
      <c r="D247" s="19" t="s">
        <v>10517</v>
      </c>
      <c r="E247" s="15" t="str">
        <f>HYPERLINK("https://stat100.ameba.jp/tnk47/ratio20/illustrations/card/ill_51593_kishuhondatadakatsu03.jpg?202102-5-RELEASE-marathon-516xx", "■")</f>
        <v>■</v>
      </c>
      <c r="F247" s="14" t="s">
        <v>6413</v>
      </c>
      <c r="G247" s="14">
        <v>64520</v>
      </c>
      <c r="H247" s="14">
        <v>71136</v>
      </c>
      <c r="I247" s="14">
        <v>24</v>
      </c>
      <c r="J247" s="14" t="s">
        <v>143</v>
      </c>
      <c r="K247" s="14" t="s">
        <v>6411</v>
      </c>
      <c r="L247" s="14" t="s">
        <v>6410</v>
      </c>
      <c r="M247" s="14" t="s">
        <v>9158</v>
      </c>
      <c r="N247" s="14" t="s">
        <v>9158</v>
      </c>
      <c r="O247" s="14" t="s">
        <v>9158</v>
      </c>
      <c r="P247" s="14" t="s">
        <v>9158</v>
      </c>
      <c r="Q247" s="14" t="s">
        <v>9158</v>
      </c>
    </row>
    <row r="248" spans="1:17">
      <c r="A248" s="14">
        <v>55403</v>
      </c>
      <c r="B248" s="14" t="s">
        <v>15</v>
      </c>
      <c r="C248" s="14" t="s">
        <v>165</v>
      </c>
      <c r="D248" s="19" t="s">
        <v>10518</v>
      </c>
      <c r="E248" s="15" t="str">
        <f>HYPERLINK("https://stat100.ameba.jp/tnk47/ratio20/illustrations/card/ill_55403_undokaikyogokumaria03.jpg?202102-5-RELEASE-marathon-516xx", "■")</f>
        <v>■</v>
      </c>
      <c r="F248" s="14" t="s">
        <v>6417</v>
      </c>
      <c r="G248" s="14">
        <v>71136</v>
      </c>
      <c r="H248" s="14">
        <v>64520</v>
      </c>
      <c r="I248" s="14">
        <v>24</v>
      </c>
      <c r="J248" s="14" t="s">
        <v>77</v>
      </c>
      <c r="K248" s="14" t="s">
        <v>6415</v>
      </c>
      <c r="L248" s="14" t="s">
        <v>6414</v>
      </c>
      <c r="M248" s="14" t="s">
        <v>9158</v>
      </c>
      <c r="N248" s="14" t="s">
        <v>9158</v>
      </c>
      <c r="O248" s="14" t="s">
        <v>9158</v>
      </c>
      <c r="P248" s="14" t="s">
        <v>9158</v>
      </c>
      <c r="Q248" s="14" t="s">
        <v>9158</v>
      </c>
    </row>
    <row r="249" spans="1:17">
      <c r="A249" s="14">
        <v>52973</v>
      </c>
      <c r="B249" s="14" t="s">
        <v>15</v>
      </c>
      <c r="C249" s="14" t="s">
        <v>206</v>
      </c>
      <c r="D249" s="19" t="s">
        <v>10519</v>
      </c>
      <c r="E249" s="15" t="str">
        <f>HYPERLINK("https://stat100.ameba.jp/tnk47/ratio20/illustrations/card/ill_55403_undokaikyogokumaria03.jpg?202102-5-RELEASE-marathon-516xx", "■")</f>
        <v>■</v>
      </c>
      <c r="F249" s="14" t="s">
        <v>6421</v>
      </c>
      <c r="G249" s="14">
        <v>71136</v>
      </c>
      <c r="H249" s="14">
        <v>64520</v>
      </c>
      <c r="I249" s="14">
        <v>24</v>
      </c>
      <c r="J249" s="14" t="s">
        <v>44</v>
      </c>
      <c r="K249" s="14" t="s">
        <v>6419</v>
      </c>
      <c r="L249" s="14" t="s">
        <v>6418</v>
      </c>
      <c r="M249" s="14" t="s">
        <v>9158</v>
      </c>
      <c r="N249" s="14" t="s">
        <v>9158</v>
      </c>
      <c r="O249" s="14" t="s">
        <v>9158</v>
      </c>
      <c r="P249" s="14" t="s">
        <v>9158</v>
      </c>
      <c r="Q249" s="14" t="s">
        <v>9158</v>
      </c>
    </row>
    <row r="251" spans="1:17">
      <c r="A251" s="14" t="s">
        <v>4065</v>
      </c>
    </row>
    <row r="252" spans="1:17">
      <c r="A252" s="14">
        <v>106723</v>
      </c>
      <c r="B252" s="14" t="s">
        <v>16239</v>
      </c>
    </row>
    <row r="253" spans="1:17">
      <c r="A253" s="14" t="s">
        <v>7150</v>
      </c>
      <c r="B253" s="14" t="s">
        <v>52</v>
      </c>
      <c r="C253" s="14" t="s">
        <v>202</v>
      </c>
      <c r="D253" s="20" t="s">
        <v>10656</v>
      </c>
      <c r="E253" s="15" t="str">
        <f>HYPERLINK("https://stat100.ameba.jp/tnk47/ratio20/illustrations/card/ill_84203_0_tarottofujiwaranoshoshi03.jpg?202102-5-RELEASE-marathon-516xx", "■")</f>
        <v>■</v>
      </c>
      <c r="F253" s="14" t="s">
        <v>7153</v>
      </c>
      <c r="G253" s="14">
        <v>397406</v>
      </c>
      <c r="H253" s="14">
        <v>359198</v>
      </c>
      <c r="I253" s="14">
        <v>27</v>
      </c>
      <c r="J253" s="14" t="s">
        <v>10</v>
      </c>
      <c r="K253" s="14" t="s">
        <v>7152</v>
      </c>
      <c r="L253" s="14" t="s">
        <v>7151</v>
      </c>
      <c r="M253" s="14" t="s">
        <v>9158</v>
      </c>
      <c r="N253" s="14" t="s">
        <v>9158</v>
      </c>
      <c r="O253" s="19" t="s">
        <v>10128</v>
      </c>
      <c r="P253" s="14" t="s">
        <v>7154</v>
      </c>
      <c r="Q253" s="14">
        <v>1</v>
      </c>
    </row>
    <row r="254" spans="1:17">
      <c r="A254" s="14">
        <v>83083</v>
      </c>
      <c r="B254" s="14" t="s">
        <v>0</v>
      </c>
      <c r="C254" s="14" t="s">
        <v>209</v>
      </c>
      <c r="D254" s="20" t="s">
        <v>10469</v>
      </c>
      <c r="E254" s="15" t="str">
        <f>HYPERLINK("https://stat100.ameba.jp/tnk47/ratio20/illustrations/card/ill_83083_burakkukingu03.jpg?202102-5-RELEASE-marathon-516xx", "■")</f>
        <v>■</v>
      </c>
      <c r="F254" s="14" t="s">
        <v>6093</v>
      </c>
      <c r="G254" s="14">
        <v>125296</v>
      </c>
      <c r="H254" s="14">
        <v>172982</v>
      </c>
      <c r="I254" s="14">
        <v>26</v>
      </c>
      <c r="J254" s="14" t="s">
        <v>194</v>
      </c>
      <c r="K254" s="14" t="s">
        <v>6095</v>
      </c>
      <c r="L254" s="14" t="s">
        <v>1148</v>
      </c>
      <c r="M254" s="14" t="s">
        <v>9158</v>
      </c>
      <c r="N254" s="14" t="s">
        <v>9158</v>
      </c>
      <c r="O254" s="19" t="s">
        <v>10117</v>
      </c>
      <c r="P254" s="14" t="s">
        <v>3625</v>
      </c>
      <c r="Q254" s="14">
        <v>1</v>
      </c>
    </row>
    <row r="255" spans="1:17">
      <c r="A255" s="14">
        <v>77673</v>
      </c>
      <c r="B255" s="14" t="s">
        <v>334</v>
      </c>
      <c r="C255" s="14" t="s">
        <v>158</v>
      </c>
      <c r="D255" s="19" t="s">
        <v>10270</v>
      </c>
      <c r="E255" s="15" t="str">
        <f>HYPERLINK("https://stat100.ameba.jp/tnk47/ratio20/illustrations/card/ill_77673_ryunochoji03.jpg?202102-5-RELEASE-marathon-516xx", "■")</f>
        <v>■</v>
      </c>
      <c r="F255" s="14" t="s">
        <v>1777</v>
      </c>
      <c r="G255" s="14">
        <v>121240</v>
      </c>
      <c r="H255" s="14">
        <v>87834</v>
      </c>
      <c r="I255" s="14">
        <v>26</v>
      </c>
      <c r="J255" s="14" t="s">
        <v>73</v>
      </c>
      <c r="K255" s="14" t="s">
        <v>1778</v>
      </c>
      <c r="L255" s="14" t="s">
        <v>1779</v>
      </c>
      <c r="M255" s="14" t="s">
        <v>9158</v>
      </c>
      <c r="N255" s="14" t="s">
        <v>9158</v>
      </c>
      <c r="O255" s="19" t="s">
        <v>10090</v>
      </c>
      <c r="P255" s="14" t="s">
        <v>3460</v>
      </c>
      <c r="Q255" s="14">
        <v>1</v>
      </c>
    </row>
    <row r="256" spans="1:17">
      <c r="A256" s="16">
        <v>75853</v>
      </c>
      <c r="B256" s="14" t="s">
        <v>334</v>
      </c>
      <c r="C256" s="14" t="s">
        <v>41</v>
      </c>
      <c r="D256" s="19" t="s">
        <v>10224</v>
      </c>
      <c r="E256" s="15" t="str">
        <f>HYPERLINK("https://stat100.ameba.jp/tnk47/ratio20/illustrations/card/ill_75853_moruganoyuki03.jpg?202102-5-RELEASE-marathon-516xx", "■")</f>
        <v>■</v>
      </c>
      <c r="F256" s="14" t="s">
        <v>5106</v>
      </c>
      <c r="G256" s="14">
        <v>130000</v>
      </c>
      <c r="H256" s="14">
        <v>120874</v>
      </c>
      <c r="I256" s="14">
        <v>26</v>
      </c>
      <c r="J256" s="14" t="s">
        <v>16</v>
      </c>
      <c r="K256" s="14" t="s">
        <v>5108</v>
      </c>
      <c r="L256" s="14" t="s">
        <v>1881</v>
      </c>
      <c r="M256" s="14" t="s">
        <v>9158</v>
      </c>
      <c r="N256" s="14" t="s">
        <v>9158</v>
      </c>
      <c r="O256" s="7" t="s">
        <v>3578</v>
      </c>
      <c r="P256" s="14" t="s">
        <v>3579</v>
      </c>
      <c r="Q256" s="14">
        <v>1</v>
      </c>
    </row>
    <row r="258" spans="1:18">
      <c r="A258" s="14" t="s">
        <v>13327</v>
      </c>
    </row>
    <row r="259" spans="1:18">
      <c r="A259" s="14">
        <v>106728</v>
      </c>
      <c r="B259" s="14" t="s">
        <v>9518</v>
      </c>
    </row>
    <row r="260" spans="1:18">
      <c r="A260" s="14">
        <v>86063</v>
      </c>
      <c r="B260" s="14" t="s">
        <v>334</v>
      </c>
      <c r="C260" s="14" t="s">
        <v>14</v>
      </c>
      <c r="D260" s="19" t="s">
        <v>10818</v>
      </c>
      <c r="E260" s="15" t="str">
        <f>HYPERLINK("https://stat100.ameba.jp/tnk47/ratio20/illustrations/card/ill_86063_uotchimeika03.jpg?202102-5-RELEASE-marathon-516xx", "■")</f>
        <v>■</v>
      </c>
      <c r="F260" s="14" t="s">
        <v>8368</v>
      </c>
      <c r="G260" s="14">
        <v>128160</v>
      </c>
      <c r="H260" s="14">
        <v>137846</v>
      </c>
      <c r="I260" s="14">
        <v>28</v>
      </c>
      <c r="J260" s="14" t="s">
        <v>173</v>
      </c>
      <c r="K260" s="14" t="s">
        <v>8367</v>
      </c>
      <c r="L260" s="14" t="s">
        <v>8366</v>
      </c>
      <c r="M260" s="14" t="s">
        <v>13130</v>
      </c>
      <c r="N260" s="14" t="s">
        <v>343</v>
      </c>
      <c r="O260" s="14" t="s">
        <v>9158</v>
      </c>
      <c r="P260" s="14" t="s">
        <v>9158</v>
      </c>
      <c r="Q260" s="14" t="s">
        <v>9158</v>
      </c>
      <c r="R260" s="14" t="s">
        <v>14748</v>
      </c>
    </row>
    <row r="261" spans="1:18">
      <c r="A261" s="14">
        <v>86062</v>
      </c>
      <c r="B261" s="14" t="s">
        <v>334</v>
      </c>
      <c r="C261" s="14" t="s">
        <v>14</v>
      </c>
      <c r="D261" s="19" t="s">
        <v>10818</v>
      </c>
      <c r="E261" s="15" t="str">
        <f>HYPERLINK("https://stat100.ameba.jp/tnk47/ratio20/illustrations/card/ill_86062_uotchimeika02.jpg?202102-5-RELEASE-marathon-516xx", "■")</f>
        <v>■</v>
      </c>
      <c r="F261" s="14" t="s">
        <v>8368</v>
      </c>
      <c r="G261" s="14">
        <v>106148</v>
      </c>
      <c r="H261" s="14">
        <v>115230</v>
      </c>
      <c r="I261" s="14">
        <v>28</v>
      </c>
      <c r="J261" s="14" t="s">
        <v>173</v>
      </c>
      <c r="K261" s="14" t="s">
        <v>8367</v>
      </c>
      <c r="L261" s="14" t="s">
        <v>8366</v>
      </c>
      <c r="M261" s="14" t="s">
        <v>13131</v>
      </c>
      <c r="N261" s="14" t="s">
        <v>251</v>
      </c>
      <c r="O261" s="14" t="s">
        <v>9158</v>
      </c>
      <c r="P261" s="14" t="s">
        <v>9158</v>
      </c>
      <c r="Q261" s="14" t="s">
        <v>9158</v>
      </c>
      <c r="R261" s="14" t="s">
        <v>14748</v>
      </c>
    </row>
    <row r="262" spans="1:18">
      <c r="A262" s="14">
        <v>86061</v>
      </c>
      <c r="B262" s="14" t="s">
        <v>0</v>
      </c>
      <c r="C262" s="14" t="s">
        <v>14</v>
      </c>
      <c r="D262" s="19" t="s">
        <v>10818</v>
      </c>
      <c r="E262" s="15" t="str">
        <f>HYPERLINK("https://stat100.ameba.jp/tnk47/ratio20/illustrations/card/ill_86061_uotchimeika01.jpg?202102-5-RELEASE-marathon-516xx", "■")</f>
        <v>■</v>
      </c>
      <c r="F262" s="14" t="s">
        <v>8368</v>
      </c>
      <c r="G262" s="14">
        <v>81900</v>
      </c>
      <c r="H262" s="14">
        <v>87976</v>
      </c>
      <c r="I262" s="14">
        <v>28</v>
      </c>
      <c r="J262" s="14" t="s">
        <v>173</v>
      </c>
      <c r="K262" s="14" t="s">
        <v>8367</v>
      </c>
      <c r="L262" s="14" t="s">
        <v>8366</v>
      </c>
      <c r="M262" s="14" t="s">
        <v>13131</v>
      </c>
      <c r="N262" s="14" t="s">
        <v>251</v>
      </c>
      <c r="O262" s="14" t="s">
        <v>9158</v>
      </c>
      <c r="P262" s="14" t="s">
        <v>9158</v>
      </c>
      <c r="Q262" s="14" t="s">
        <v>9158</v>
      </c>
      <c r="R262" s="14" t="s">
        <v>14748</v>
      </c>
    </row>
    <row r="263" spans="1:18">
      <c r="A263" s="14">
        <v>86073</v>
      </c>
      <c r="B263" s="14" t="s">
        <v>334</v>
      </c>
      <c r="C263" s="14" t="s">
        <v>23</v>
      </c>
      <c r="D263" s="19" t="s">
        <v>10819</v>
      </c>
      <c r="E263" s="15" t="str">
        <f>HYPERLINK("https://stat100.ameba.jp/tnk47/ratio20/illustrations/card/ill_86073_maddohatta03.jpg?202102-5-RELEASE-marathon-516xx", "■")</f>
        <v>■</v>
      </c>
      <c r="F263" s="14" t="s">
        <v>8371</v>
      </c>
      <c r="G263" s="14">
        <v>128160</v>
      </c>
      <c r="H263" s="14">
        <v>137846</v>
      </c>
      <c r="I263" s="14">
        <v>28</v>
      </c>
      <c r="J263" s="14" t="s">
        <v>155</v>
      </c>
      <c r="K263" s="14" t="s">
        <v>8370</v>
      </c>
      <c r="L263" s="14" t="s">
        <v>8369</v>
      </c>
      <c r="M263" s="14" t="s">
        <v>13130</v>
      </c>
      <c r="N263" s="14" t="s">
        <v>343</v>
      </c>
      <c r="O263" s="14" t="s">
        <v>9158</v>
      </c>
      <c r="P263" s="14" t="s">
        <v>9158</v>
      </c>
      <c r="Q263" s="14" t="s">
        <v>9158</v>
      </c>
      <c r="R263" s="14" t="s">
        <v>14748</v>
      </c>
    </row>
    <row r="264" spans="1:18">
      <c r="A264" s="14">
        <v>86083</v>
      </c>
      <c r="B264" s="14" t="s">
        <v>334</v>
      </c>
      <c r="C264" s="14" t="s">
        <v>101</v>
      </c>
      <c r="D264" s="19" t="s">
        <v>10820</v>
      </c>
      <c r="E264" s="15" t="str">
        <f>HYPERLINK("https://stat100.ameba.jp/tnk47/ratio20/illustrations/card/ill_86083_keieinochojomeruro03.jpg?202102-5-RELEASE-marathon-516xx", "■")</f>
        <v>■</v>
      </c>
      <c r="F264" s="14" t="s">
        <v>8375</v>
      </c>
      <c r="G264" s="14">
        <v>137846</v>
      </c>
      <c r="H264" s="14">
        <v>128160</v>
      </c>
      <c r="I264" s="14">
        <v>28</v>
      </c>
      <c r="J264" s="14" t="s">
        <v>229</v>
      </c>
      <c r="K264" s="14" t="s">
        <v>8374</v>
      </c>
      <c r="L264" s="14" t="s">
        <v>8373</v>
      </c>
      <c r="M264" s="14" t="s">
        <v>13130</v>
      </c>
      <c r="N264" s="14" t="s">
        <v>343</v>
      </c>
      <c r="O264" s="14" t="s">
        <v>9158</v>
      </c>
      <c r="P264" s="14" t="s">
        <v>9158</v>
      </c>
      <c r="Q264" s="14" t="s">
        <v>9158</v>
      </c>
      <c r="R264" s="14" t="s">
        <v>14748</v>
      </c>
    </row>
    <row r="265" spans="1:18">
      <c r="A265" s="14">
        <v>86093</v>
      </c>
      <c r="B265" s="14" t="s">
        <v>0</v>
      </c>
      <c r="C265" s="14" t="s">
        <v>96</v>
      </c>
      <c r="D265" s="19" t="s">
        <v>10821</v>
      </c>
      <c r="E265" s="15" t="str">
        <f>HYPERLINK("https://stat100.ameba.jp/tnk47/ratio20/illustrations/card/ill_86093_minamotonoyoshimitsu03.jpg?202102-5-RELEASE-marathon-516xx", "■")</f>
        <v>■</v>
      </c>
      <c r="F265" s="14" t="s">
        <v>8379</v>
      </c>
      <c r="G265" s="14">
        <v>137846</v>
      </c>
      <c r="H265" s="14">
        <v>128160</v>
      </c>
      <c r="I265" s="14">
        <v>28</v>
      </c>
      <c r="J265" s="14" t="s">
        <v>194</v>
      </c>
      <c r="K265" s="14" t="s">
        <v>8377</v>
      </c>
      <c r="L265" s="14" t="s">
        <v>8376</v>
      </c>
      <c r="M265" s="14" t="s">
        <v>13130</v>
      </c>
      <c r="N265" s="14" t="s">
        <v>343</v>
      </c>
      <c r="O265" s="14" t="s">
        <v>9158</v>
      </c>
      <c r="P265" s="14" t="s">
        <v>9158</v>
      </c>
      <c r="Q265" s="14" t="s">
        <v>9158</v>
      </c>
      <c r="R265" s="14" t="s">
        <v>14748</v>
      </c>
    </row>
    <row r="266" spans="1:18">
      <c r="A266" s="14">
        <v>86103</v>
      </c>
      <c r="B266" s="14" t="s">
        <v>334</v>
      </c>
      <c r="C266" s="14" t="s">
        <v>205</v>
      </c>
      <c r="D266" s="19" t="s">
        <v>10822</v>
      </c>
      <c r="E266" s="15" t="str">
        <f>HYPERLINK("https://stat100.ameba.jp/tnk47/ratio20/illustrations/card/ill_86103_omatsudaimyojin03.jpg?202102-5-RELEASE-marathon-516xx", "■")</f>
        <v>■</v>
      </c>
      <c r="F266" s="14" t="s">
        <v>8383</v>
      </c>
      <c r="G266" s="14">
        <v>137846</v>
      </c>
      <c r="H266" s="14">
        <v>128160</v>
      </c>
      <c r="I266" s="14">
        <v>28</v>
      </c>
      <c r="J266" s="14" t="s">
        <v>169</v>
      </c>
      <c r="K266" s="14" t="s">
        <v>8381</v>
      </c>
      <c r="L266" s="14" t="s">
        <v>8380</v>
      </c>
      <c r="M266" s="14" t="s">
        <v>13130</v>
      </c>
      <c r="N266" s="14" t="s">
        <v>343</v>
      </c>
      <c r="O266" s="14" t="s">
        <v>9158</v>
      </c>
      <c r="P266" s="14" t="s">
        <v>9158</v>
      </c>
      <c r="Q266" s="14" t="s">
        <v>9158</v>
      </c>
      <c r="R266" s="14" t="s">
        <v>14748</v>
      </c>
    </row>
    <row r="267" spans="1:18">
      <c r="A267" s="14">
        <v>86113</v>
      </c>
      <c r="B267" s="14" t="s">
        <v>334</v>
      </c>
      <c r="C267" s="14" t="s">
        <v>107</v>
      </c>
      <c r="D267" s="19" t="s">
        <v>10823</v>
      </c>
      <c r="E267" s="15" t="str">
        <f>HYPERLINK("https://stat100.ameba.jp/tnk47/ratio20/illustrations/card/ill_86113_yuno03.jpg?202102-5-RELEASE-marathon-516xx", "■")</f>
        <v>■</v>
      </c>
      <c r="F267" s="14" t="s">
        <v>8387</v>
      </c>
      <c r="G267" s="14">
        <v>128160</v>
      </c>
      <c r="H267" s="14">
        <v>137846</v>
      </c>
      <c r="I267" s="14">
        <v>28</v>
      </c>
      <c r="J267" s="14" t="s">
        <v>159</v>
      </c>
      <c r="K267" s="14" t="s">
        <v>8385</v>
      </c>
      <c r="L267" s="14" t="s">
        <v>8384</v>
      </c>
      <c r="M267" s="14" t="s">
        <v>13130</v>
      </c>
      <c r="N267" s="14" t="s">
        <v>343</v>
      </c>
      <c r="O267" s="14" t="s">
        <v>9158</v>
      </c>
      <c r="P267" s="14" t="s">
        <v>9158</v>
      </c>
      <c r="Q267" s="14" t="s">
        <v>9158</v>
      </c>
      <c r="R267" s="14" t="s">
        <v>14748</v>
      </c>
    </row>
    <row r="269" spans="1:18">
      <c r="A269" s="14" t="s">
        <v>16258</v>
      </c>
    </row>
    <row r="270" spans="1:18">
      <c r="A270" s="14">
        <v>236693</v>
      </c>
      <c r="B270" s="14" t="s">
        <v>9521</v>
      </c>
    </row>
    <row r="271" spans="1:18">
      <c r="A271" s="14">
        <v>236699</v>
      </c>
      <c r="B271" s="14" t="s">
        <v>9520</v>
      </c>
    </row>
    <row r="272" spans="1:18">
      <c r="A272" s="14" t="s">
        <v>16084</v>
      </c>
      <c r="B272" s="7" t="s">
        <v>52</v>
      </c>
      <c r="C272" s="14" t="s">
        <v>202</v>
      </c>
      <c r="D272" s="18" t="s">
        <v>16083</v>
      </c>
      <c r="E272" s="15" t="str">
        <f>HYPERLINK("https://stat100.ameba.jp/tnk47/ratio20/illustrations/card/ill_95653_0_barentaindefukuhime03.jpg?202102-5-RELEASE-marathon-516xx", "■")</f>
        <v>■</v>
      </c>
      <c r="F272" s="14" t="s">
        <v>16082</v>
      </c>
      <c r="G272" s="14">
        <v>322612</v>
      </c>
      <c r="H272" s="14">
        <v>263960</v>
      </c>
      <c r="I272" s="7">
        <v>28</v>
      </c>
      <c r="J272" s="14" t="s">
        <v>77</v>
      </c>
      <c r="K272" s="14" t="s">
        <v>16081</v>
      </c>
      <c r="L272" s="14" t="s">
        <v>16080</v>
      </c>
      <c r="M272" s="14" t="s">
        <v>9158</v>
      </c>
      <c r="N272" s="14" t="s">
        <v>9158</v>
      </c>
      <c r="O272" s="7" t="s">
        <v>16086</v>
      </c>
      <c r="P272" s="7" t="s">
        <v>16085</v>
      </c>
      <c r="Q272" s="7">
        <v>1</v>
      </c>
    </row>
    <row r="273" spans="1:17">
      <c r="A273" s="14">
        <v>95883</v>
      </c>
      <c r="B273" s="14" t="s">
        <v>0</v>
      </c>
      <c r="C273" s="14" t="s">
        <v>96</v>
      </c>
      <c r="D273" s="14" t="s">
        <v>16261</v>
      </c>
      <c r="E273" s="15" t="str">
        <f>HYPERLINK("https://stat100.ameba.jp/tnk47/ratio20/illustrations/card/ill_95883_suitorami03.jpg?202102-5-RELEASE-marathon-516xx", "■")</f>
        <v>■</v>
      </c>
      <c r="F273" s="14" t="s">
        <v>16260</v>
      </c>
      <c r="G273" s="14">
        <v>109370</v>
      </c>
      <c r="H273" s="14">
        <v>101650</v>
      </c>
      <c r="I273" s="7">
        <v>28</v>
      </c>
      <c r="J273" s="14" t="s">
        <v>77</v>
      </c>
      <c r="K273" s="14" t="s">
        <v>16259</v>
      </c>
      <c r="L273" s="14" t="s">
        <v>13491</v>
      </c>
      <c r="M273" s="14" t="s">
        <v>9158</v>
      </c>
      <c r="N273" s="14" t="s">
        <v>9158</v>
      </c>
      <c r="O273" s="14" t="s">
        <v>9158</v>
      </c>
      <c r="P273" s="14" t="s">
        <v>9158</v>
      </c>
      <c r="Q273" s="14" t="s">
        <v>9158</v>
      </c>
    </row>
    <row r="274" spans="1:17">
      <c r="A274" s="14">
        <v>95893</v>
      </c>
      <c r="B274" s="14" t="s">
        <v>0</v>
      </c>
      <c r="C274" s="14" t="s">
        <v>101</v>
      </c>
      <c r="D274" s="14" t="s">
        <v>16265</v>
      </c>
      <c r="E274" s="15" t="str">
        <f>HYPERLINK("https://stat100.ameba.jp/tnk47/ratio20/illustrations/card/ill_95893_akagenoan03.jpg?202102-5-RELEASE-marathon-516xx", "■")</f>
        <v>■</v>
      </c>
      <c r="F274" s="14" t="s">
        <v>16264</v>
      </c>
      <c r="G274" s="14">
        <v>118598</v>
      </c>
      <c r="H274" s="14">
        <v>127556</v>
      </c>
      <c r="I274" s="7">
        <v>28</v>
      </c>
      <c r="J274" s="14" t="s">
        <v>38</v>
      </c>
      <c r="K274" s="14" t="s">
        <v>16263</v>
      </c>
      <c r="L274" s="14" t="s">
        <v>16262</v>
      </c>
      <c r="M274" s="14" t="s">
        <v>9158</v>
      </c>
      <c r="N274" s="14" t="s">
        <v>9158</v>
      </c>
      <c r="O274" s="14" t="s">
        <v>9158</v>
      </c>
      <c r="P274" s="14" t="s">
        <v>9158</v>
      </c>
      <c r="Q274" s="14" t="s">
        <v>9158</v>
      </c>
    </row>
    <row r="275" spans="1:17">
      <c r="A275" s="14">
        <v>95903</v>
      </c>
      <c r="B275" s="14" t="s">
        <v>15</v>
      </c>
      <c r="C275" s="14" t="s">
        <v>23</v>
      </c>
      <c r="D275" s="14" t="s">
        <v>16268</v>
      </c>
      <c r="E275" s="15" t="str">
        <f>HYPERLINK("https://stat100.ameba.jp/tnk47/ratio20/illustrations/card/ill_95903_chokoretosamona03.jpg?202102-5-RELEASE-marathon-516xx", "■")</f>
        <v>■</v>
      </c>
      <c r="F275" s="14" t="s">
        <v>16267</v>
      </c>
      <c r="G275" s="14">
        <v>82992</v>
      </c>
      <c r="H275" s="14">
        <v>75274</v>
      </c>
      <c r="I275" s="7">
        <v>28</v>
      </c>
      <c r="J275" s="14" t="s">
        <v>73</v>
      </c>
      <c r="K275" s="14" t="s">
        <v>16266</v>
      </c>
      <c r="L275" s="14" t="s">
        <v>3835</v>
      </c>
      <c r="M275" s="14" t="s">
        <v>9158</v>
      </c>
      <c r="N275" s="14" t="s">
        <v>9158</v>
      </c>
      <c r="O275" s="14" t="s">
        <v>9158</v>
      </c>
      <c r="P275" s="14" t="s">
        <v>9158</v>
      </c>
      <c r="Q275" s="14" t="s">
        <v>9158</v>
      </c>
    </row>
    <row r="276" spans="1:17">
      <c r="A276" s="14">
        <v>95913</v>
      </c>
      <c r="B276" s="14" t="s">
        <v>22</v>
      </c>
      <c r="C276" s="14" t="s">
        <v>107</v>
      </c>
      <c r="D276" s="14" t="s">
        <v>16271</v>
      </c>
      <c r="E276" s="15" t="str">
        <f>HYPERLINK("https://stat100.ameba.jp/tnk47/ratio20/illustrations/card/ill_95913_valentine_amakusashirou03.jpg?202102-5-RELEASE-marathon-516xx", "■")</f>
        <v>■</v>
      </c>
      <c r="F276" s="14" t="s">
        <v>16270</v>
      </c>
      <c r="G276" s="14">
        <v>48406</v>
      </c>
      <c r="H276" s="14">
        <v>58216</v>
      </c>
      <c r="I276" s="7">
        <v>28</v>
      </c>
      <c r="J276" s="14" t="s">
        <v>10</v>
      </c>
      <c r="K276" s="14" t="s">
        <v>16269</v>
      </c>
      <c r="L276" s="14" t="s">
        <v>4228</v>
      </c>
      <c r="M276" s="14" t="s">
        <v>9158</v>
      </c>
      <c r="N276" s="14" t="s">
        <v>9158</v>
      </c>
      <c r="O276" s="14" t="s">
        <v>9158</v>
      </c>
      <c r="P276" s="14" t="s">
        <v>9158</v>
      </c>
      <c r="Q276" s="14" t="s">
        <v>9158</v>
      </c>
    </row>
    <row r="277" spans="1:17">
      <c r="A277" s="14">
        <v>95923</v>
      </c>
      <c r="B277" s="14" t="s">
        <v>22</v>
      </c>
      <c r="C277" s="14" t="s">
        <v>14</v>
      </c>
      <c r="D277" s="14" t="s">
        <v>16274</v>
      </c>
      <c r="E277" s="15" t="str">
        <f>HYPERLINK("https://stat100.ameba.jp/tnk47/ratio20/illustrations/card/ill_95923_koinokamisamaunekodoridaimyojin03.jpg?202102-5-RELEASE-marathon-516xx", "■")</f>
        <v>■</v>
      </c>
      <c r="F277" s="14" t="s">
        <v>16273</v>
      </c>
      <c r="G277" s="14">
        <v>58216</v>
      </c>
      <c r="H277" s="14">
        <v>48406</v>
      </c>
      <c r="I277" s="7">
        <v>28</v>
      </c>
      <c r="J277" s="14" t="s">
        <v>44</v>
      </c>
      <c r="K277" s="14" t="s">
        <v>16272</v>
      </c>
      <c r="L277" s="14" t="s">
        <v>4956</v>
      </c>
      <c r="M277" s="14" t="s">
        <v>9158</v>
      </c>
      <c r="N277" s="14" t="s">
        <v>9158</v>
      </c>
      <c r="O277" s="14" t="s">
        <v>9158</v>
      </c>
      <c r="P277" s="14" t="s">
        <v>9158</v>
      </c>
      <c r="Q277" s="14" t="s">
        <v>9158</v>
      </c>
    </row>
    <row r="279" spans="1:17">
      <c r="A279" s="14" t="s">
        <v>115</v>
      </c>
    </row>
    <row r="280" spans="1:17">
      <c r="A280" s="14">
        <v>236726</v>
      </c>
      <c r="B280" s="14" t="s">
        <v>9553</v>
      </c>
    </row>
    <row r="281" spans="1:17">
      <c r="A281" s="14" t="s">
        <v>5624</v>
      </c>
      <c r="B281" s="14" t="s">
        <v>52</v>
      </c>
      <c r="C281" s="14" t="s">
        <v>101</v>
      </c>
      <c r="D281" s="19" t="s">
        <v>1426</v>
      </c>
      <c r="E281" s="15" t="str">
        <f>HYPERLINK("https://stat100.ameba.jp/tnk47/ratio20/illustrations/card/ill_64953_0_yukatatokugawayoshinobu03.jpg?202102-5-RELEASE-marathon-516xx", "■")</f>
        <v>■</v>
      </c>
      <c r="F281" s="14" t="s">
        <v>2090</v>
      </c>
      <c r="G281" s="14">
        <v>137060</v>
      </c>
      <c r="H281" s="14">
        <v>147404</v>
      </c>
      <c r="I281" s="14">
        <v>22</v>
      </c>
      <c r="J281" s="14" t="s">
        <v>10</v>
      </c>
      <c r="K281" s="14" t="s">
        <v>2091</v>
      </c>
      <c r="L281" s="14" t="s">
        <v>2092</v>
      </c>
      <c r="M281" s="14" t="s">
        <v>9158</v>
      </c>
      <c r="N281" s="14" t="s">
        <v>9158</v>
      </c>
      <c r="O281" s="19" t="s">
        <v>2889</v>
      </c>
      <c r="P281" s="14" t="s">
        <v>2890</v>
      </c>
      <c r="Q281" s="14">
        <v>1</v>
      </c>
    </row>
    <row r="282" spans="1:17">
      <c r="A282" s="9" t="s">
        <v>5606</v>
      </c>
      <c r="B282" s="14" t="s">
        <v>52</v>
      </c>
      <c r="C282" s="14" t="s">
        <v>206</v>
      </c>
      <c r="D282" s="14" t="s">
        <v>1011</v>
      </c>
      <c r="E282" s="15" t="str">
        <f>HYPERLINK("https://stat100.ameba.jp/tnk47/ratio20/illustrations/card/ill_72233_0_koinoboriryugujin03.jpg?202102-5-RELEASE-marathon-516xx", "■")</f>
        <v>■</v>
      </c>
      <c r="F282" s="14" t="s">
        <v>1012</v>
      </c>
      <c r="G282" s="14">
        <v>144312</v>
      </c>
      <c r="H282" s="14">
        <v>155224</v>
      </c>
      <c r="I282" s="14">
        <v>22</v>
      </c>
      <c r="J282" s="14" t="s">
        <v>44</v>
      </c>
      <c r="K282" s="14" t="s">
        <v>1013</v>
      </c>
      <c r="L282" s="14" t="s">
        <v>1014</v>
      </c>
      <c r="M282" s="14" t="s">
        <v>9158</v>
      </c>
      <c r="N282" s="14" t="s">
        <v>9158</v>
      </c>
      <c r="O282" s="9" t="s">
        <v>3419</v>
      </c>
      <c r="P282" s="14" t="s">
        <v>3420</v>
      </c>
      <c r="Q282" s="14">
        <v>2</v>
      </c>
    </row>
    <row r="283" spans="1:17">
      <c r="A283" s="9" t="s">
        <v>5616</v>
      </c>
      <c r="B283" s="14" t="s">
        <v>330</v>
      </c>
      <c r="C283" s="14" t="s">
        <v>185</v>
      </c>
      <c r="D283" s="14" t="s">
        <v>638</v>
      </c>
      <c r="E283" s="15" t="str">
        <f>HYPERLINK("https://stat100.ameba.jp/tnk47/ratio20/illustrations/card/ill_44253_0_dokuganryudatemasamune03.jpg?202102-5-RELEASE-marathon-516xx", "■")</f>
        <v>■</v>
      </c>
      <c r="F283" s="14" t="s">
        <v>639</v>
      </c>
      <c r="G283" s="14">
        <v>120576</v>
      </c>
      <c r="H283" s="14">
        <v>128744</v>
      </c>
      <c r="I283" s="14">
        <v>22</v>
      </c>
      <c r="J283" s="14" t="s">
        <v>310</v>
      </c>
      <c r="K283" s="14" t="s">
        <v>640</v>
      </c>
      <c r="L283" s="14" t="s">
        <v>641</v>
      </c>
      <c r="M283" s="14" t="s">
        <v>9158</v>
      </c>
      <c r="N283" s="14" t="s">
        <v>9158</v>
      </c>
      <c r="O283" s="14" t="s">
        <v>9158</v>
      </c>
      <c r="P283" s="14" t="s">
        <v>9158</v>
      </c>
      <c r="Q283" s="14" t="s">
        <v>9158</v>
      </c>
    </row>
    <row r="284" spans="1:17">
      <c r="A284" s="14">
        <v>84763</v>
      </c>
      <c r="B284" s="14" t="s">
        <v>0</v>
      </c>
      <c r="C284" s="14" t="s">
        <v>200</v>
      </c>
      <c r="D284" s="19" t="s">
        <v>10721</v>
      </c>
      <c r="E284" s="15" t="str">
        <f>HYPERLINK("https://stat100.ameba.jp/tnk47/ratio20/illustrations/card/ill_84763_haroimmajodeyone03.jpg?202102-5-RELEASE-marathon-516xx", "■")</f>
        <v>■</v>
      </c>
      <c r="F284" s="14" t="s">
        <v>7583</v>
      </c>
      <c r="G284" s="14">
        <v>78908</v>
      </c>
      <c r="H284" s="14">
        <v>140238</v>
      </c>
      <c r="I284" s="14">
        <v>28</v>
      </c>
      <c r="J284" s="14" t="s">
        <v>16</v>
      </c>
      <c r="K284" s="14" t="s">
        <v>7582</v>
      </c>
      <c r="L284" s="14" t="s">
        <v>7581</v>
      </c>
      <c r="M284" s="14" t="s">
        <v>9158</v>
      </c>
      <c r="N284" s="14" t="s">
        <v>9158</v>
      </c>
      <c r="O284" s="14" t="s">
        <v>9158</v>
      </c>
      <c r="P284" s="14" t="s">
        <v>9158</v>
      </c>
      <c r="Q284" s="14" t="s">
        <v>9158</v>
      </c>
    </row>
    <row r="285" spans="1:17">
      <c r="A285" s="9">
        <v>87983</v>
      </c>
      <c r="B285" s="14" t="s">
        <v>334</v>
      </c>
      <c r="C285" s="9" t="s">
        <v>185</v>
      </c>
      <c r="D285" s="9" t="s">
        <v>11920</v>
      </c>
      <c r="E285" s="15" t="str">
        <f>HYPERLINK("https://stat100.ameba.jp/tnk47/ratio20/illustrations/card/ill_87983_mafuiadonarorentsua03.jpg?202102-5-RELEASE-marathon-516xx", "■")</f>
        <v>■</v>
      </c>
      <c r="F285" s="9" t="s">
        <v>11918</v>
      </c>
      <c r="G285" s="9">
        <v>115654</v>
      </c>
      <c r="H285" s="9">
        <v>205568</v>
      </c>
      <c r="I285" s="14">
        <v>28</v>
      </c>
      <c r="J285" s="9" t="s">
        <v>173</v>
      </c>
      <c r="K285" s="9" t="s">
        <v>11922</v>
      </c>
      <c r="L285" s="9" t="s">
        <v>13248</v>
      </c>
      <c r="M285" s="14" t="s">
        <v>9158</v>
      </c>
      <c r="N285" s="14" t="s">
        <v>9158</v>
      </c>
      <c r="O285" s="14" t="s">
        <v>9158</v>
      </c>
      <c r="P285" s="14" t="s">
        <v>9158</v>
      </c>
      <c r="Q285" s="14" t="s">
        <v>9158</v>
      </c>
    </row>
    <row r="286" spans="1:17">
      <c r="A286" s="9">
        <v>80823</v>
      </c>
      <c r="B286" s="14" t="s">
        <v>334</v>
      </c>
      <c r="C286" s="14" t="s">
        <v>96</v>
      </c>
      <c r="D286" s="14" t="s">
        <v>4267</v>
      </c>
      <c r="E286" s="15" t="str">
        <f>HYPERLINK("https://stat100.ameba.jp/tnk47/ratio20/illustrations/card/ill_80823_utatanekitanokata03.jpg?202102-5-RELEASE-marathon-516xx", "■")</f>
        <v>■</v>
      </c>
      <c r="F286" s="14" t="s">
        <v>4268</v>
      </c>
      <c r="G286" s="14">
        <v>154768</v>
      </c>
      <c r="H286" s="14">
        <v>166452</v>
      </c>
      <c r="I286" s="14">
        <v>28</v>
      </c>
      <c r="J286" s="14" t="s">
        <v>143</v>
      </c>
      <c r="K286" s="14" t="s">
        <v>4269</v>
      </c>
      <c r="L286" s="14" t="s">
        <v>1148</v>
      </c>
      <c r="M286" s="14" t="s">
        <v>9158</v>
      </c>
      <c r="N286" s="14" t="s">
        <v>9158</v>
      </c>
      <c r="O286" s="14" t="s">
        <v>9158</v>
      </c>
      <c r="P286" s="14" t="s">
        <v>9158</v>
      </c>
      <c r="Q286" s="14" t="s">
        <v>9158</v>
      </c>
    </row>
    <row r="288" spans="1:17">
      <c r="A288" s="14" t="s">
        <v>16294</v>
      </c>
    </row>
    <row r="289" spans="1:18">
      <c r="A289" s="14">
        <v>236750</v>
      </c>
      <c r="B289" s="14" t="s">
        <v>9626</v>
      </c>
    </row>
    <row r="290" spans="1:18">
      <c r="A290" s="14">
        <v>95935</v>
      </c>
      <c r="B290" s="14" t="s">
        <v>0</v>
      </c>
      <c r="C290" s="14" t="s">
        <v>35</v>
      </c>
      <c r="D290" s="14" t="s">
        <v>16281</v>
      </c>
      <c r="E290" s="15" t="str">
        <f>HYPERLINK("https://stat100.ameba.jp/tnk47/ratio20/illustrations/card/ill_95935_shadomasuta05.jpg?202102-5-RELEASE-marathon-516xx", "■")</f>
        <v>■</v>
      </c>
      <c r="F290" s="14" t="s">
        <v>16280</v>
      </c>
      <c r="G290" s="14">
        <v>200370</v>
      </c>
      <c r="H290" s="14">
        <v>145082</v>
      </c>
      <c r="I290" s="14">
        <v>28</v>
      </c>
      <c r="J290" s="14" t="s">
        <v>73</v>
      </c>
      <c r="K290" s="14" t="s">
        <v>16279</v>
      </c>
      <c r="L290" s="14" t="s">
        <v>16278</v>
      </c>
      <c r="M290" s="14" t="s">
        <v>9158</v>
      </c>
      <c r="N290" s="14" t="s">
        <v>9158</v>
      </c>
      <c r="O290" s="14" t="s">
        <v>9158</v>
      </c>
      <c r="P290" s="14" t="s">
        <v>9158</v>
      </c>
      <c r="Q290" s="14" t="s">
        <v>9158</v>
      </c>
      <c r="R290" s="14" t="s">
        <v>174</v>
      </c>
    </row>
    <row r="291" spans="1:18">
      <c r="A291" s="14">
        <v>95933</v>
      </c>
      <c r="B291" s="14" t="s">
        <v>15</v>
      </c>
      <c r="C291" s="14" t="s">
        <v>41</v>
      </c>
      <c r="D291" s="14" t="s">
        <v>16281</v>
      </c>
      <c r="E291" s="15" t="str">
        <f>HYPERLINK("https://stat100.ameba.jp/tnk47/ratio20/illustrations/card/ill_95933_shadomasuta03.jpg?202102-5-RELEASE-marathon-516xx", "■")</f>
        <v>■</v>
      </c>
      <c r="F291" s="14" t="s">
        <v>16280</v>
      </c>
      <c r="G291" s="14">
        <v>147630</v>
      </c>
      <c r="H291" s="14">
        <v>106890</v>
      </c>
      <c r="I291" s="14">
        <v>28</v>
      </c>
      <c r="J291" s="14" t="s">
        <v>73</v>
      </c>
      <c r="K291" s="14" t="s">
        <v>16279</v>
      </c>
      <c r="L291" s="14" t="s">
        <v>16282</v>
      </c>
      <c r="M291" s="14" t="s">
        <v>9158</v>
      </c>
      <c r="N291" s="14" t="s">
        <v>9158</v>
      </c>
      <c r="O291" s="14" t="s">
        <v>9158</v>
      </c>
      <c r="P291" s="14" t="s">
        <v>9158</v>
      </c>
      <c r="Q291" s="14" t="s">
        <v>9158</v>
      </c>
      <c r="R291" s="14" t="s">
        <v>175</v>
      </c>
    </row>
    <row r="292" spans="1:18">
      <c r="A292" s="14">
        <v>95931</v>
      </c>
      <c r="B292" s="14" t="s">
        <v>15</v>
      </c>
      <c r="C292" s="14" t="s">
        <v>41</v>
      </c>
      <c r="D292" s="14" t="s">
        <v>16281</v>
      </c>
      <c r="E292" s="15" t="str">
        <f>HYPERLINK("https://stat100.ameba.jp/tnk47/ratio20/illustrations/card/ill_95931_shadomasuta01.jpg?202102-5-RELEASE-marathon-516xx", "■")</f>
        <v>■</v>
      </c>
      <c r="F292" s="14" t="s">
        <v>16280</v>
      </c>
      <c r="G292" s="14">
        <v>93912</v>
      </c>
      <c r="H292" s="14">
        <v>68012</v>
      </c>
      <c r="I292" s="14">
        <v>28</v>
      </c>
      <c r="J292" s="14" t="s">
        <v>73</v>
      </c>
      <c r="K292" s="14" t="s">
        <v>16279</v>
      </c>
      <c r="L292" s="14" t="s">
        <v>4210</v>
      </c>
      <c r="M292" s="14" t="s">
        <v>9158</v>
      </c>
      <c r="N292" s="14" t="s">
        <v>9158</v>
      </c>
      <c r="O292" s="14" t="s">
        <v>9158</v>
      </c>
      <c r="P292" s="14" t="s">
        <v>9158</v>
      </c>
      <c r="Q292" s="14" t="s">
        <v>9158</v>
      </c>
      <c r="R292" s="14" t="s">
        <v>176</v>
      </c>
    </row>
    <row r="294" spans="1:18">
      <c r="A294" s="14" t="s">
        <v>16275</v>
      </c>
    </row>
    <row r="295" spans="1:18">
      <c r="A295" s="14">
        <v>106747</v>
      </c>
      <c r="B295" s="14" t="s">
        <v>16276</v>
      </c>
    </row>
    <row r="296" spans="1:18">
      <c r="A296" s="14">
        <v>106776</v>
      </c>
      <c r="B296" s="14" t="s">
        <v>16277</v>
      </c>
    </row>
    <row r="297" spans="1:18">
      <c r="A297" s="14" t="s">
        <v>16288</v>
      </c>
      <c r="B297" s="14" t="s">
        <v>117</v>
      </c>
      <c r="C297" s="14" t="s">
        <v>35</v>
      </c>
      <c r="D297" s="14" t="s">
        <v>16287</v>
      </c>
      <c r="E297" s="15" t="str">
        <f>HYPERLINK("https://stat100.ameba.jp/tnk47/ratio20/illustrations/card/ill_95943_0_onigashima03.jpg?202102-5-RELEASE-marathon-516xx", "■")</f>
        <v>■</v>
      </c>
      <c r="F297" s="14" t="s">
        <v>16286</v>
      </c>
      <c r="G297" s="14">
        <v>349326</v>
      </c>
      <c r="H297" s="14">
        <v>375763</v>
      </c>
      <c r="I297" s="14">
        <v>31</v>
      </c>
      <c r="J297" s="14" t="s">
        <v>73</v>
      </c>
      <c r="K297" s="14" t="s">
        <v>16285</v>
      </c>
      <c r="L297" s="14" t="s">
        <v>16283</v>
      </c>
      <c r="M297" s="14" t="s">
        <v>9158</v>
      </c>
      <c r="N297" s="14" t="s">
        <v>9158</v>
      </c>
      <c r="O297" s="14" t="s">
        <v>16284</v>
      </c>
      <c r="P297" s="14" t="s">
        <v>3483</v>
      </c>
      <c r="Q297" s="14">
        <v>1</v>
      </c>
    </row>
    <row r="298" spans="1:18">
      <c r="A298" s="9">
        <v>86323</v>
      </c>
      <c r="B298" s="9" t="s">
        <v>0</v>
      </c>
      <c r="C298" s="9" t="s">
        <v>185</v>
      </c>
      <c r="D298" s="20" t="s">
        <v>10895</v>
      </c>
      <c r="E298" s="15" t="str">
        <f>HYPERLINK("https://stat100.ameba.jp/tnk47/ratio20/illustrations/card/ill_86323_hagoitataisemmatsukawahime03.jpg?202102-5-RELEASE-marathon-516xx", "■")</f>
        <v>■</v>
      </c>
      <c r="F298" s="9" t="s">
        <v>8909</v>
      </c>
      <c r="G298" s="9">
        <v>166452</v>
      </c>
      <c r="H298" s="9">
        <v>154768</v>
      </c>
      <c r="I298" s="9">
        <v>28</v>
      </c>
      <c r="J298" s="14" t="s">
        <v>73</v>
      </c>
      <c r="K298" s="9" t="s">
        <v>8908</v>
      </c>
      <c r="L298" s="9" t="s">
        <v>5251</v>
      </c>
      <c r="M298" s="14" t="s">
        <v>9158</v>
      </c>
      <c r="N298" s="14" t="s">
        <v>9158</v>
      </c>
      <c r="O298" s="14" t="s">
        <v>9158</v>
      </c>
      <c r="P298" s="14" t="s">
        <v>9158</v>
      </c>
      <c r="Q298" s="14" t="s">
        <v>9158</v>
      </c>
    </row>
    <row r="299" spans="1:18">
      <c r="A299" s="14">
        <v>84253</v>
      </c>
      <c r="B299" s="14" t="s">
        <v>0</v>
      </c>
      <c r="C299" s="14" t="s">
        <v>200</v>
      </c>
      <c r="D299" s="19" t="s">
        <v>10670</v>
      </c>
      <c r="E299" s="15" t="str">
        <f>HYPERLINK("https://stat100.ameba.jp/tnk47/ratio20/illustrations/card/ill_84253_yokaitaisenkushinadahime03.jpg?202102-5-RELEASE-marathon-516xx", "■")</f>
        <v>■</v>
      </c>
      <c r="F299" s="14" t="s">
        <v>7240</v>
      </c>
      <c r="G299" s="14">
        <v>114208</v>
      </c>
      <c r="H299" s="14">
        <v>106178</v>
      </c>
      <c r="I299" s="9">
        <v>28</v>
      </c>
      <c r="J299" s="14" t="s">
        <v>44</v>
      </c>
      <c r="K299" s="14" t="s">
        <v>7242</v>
      </c>
      <c r="L299" s="14" t="s">
        <v>7243</v>
      </c>
      <c r="M299" s="14" t="s">
        <v>9158</v>
      </c>
      <c r="N299" s="14" t="s">
        <v>9158</v>
      </c>
      <c r="O299" s="14" t="s">
        <v>9158</v>
      </c>
      <c r="P299" s="14" t="s">
        <v>9158</v>
      </c>
      <c r="Q299" s="14" t="s">
        <v>9158</v>
      </c>
    </row>
    <row r="300" spans="1:18">
      <c r="A300" s="9">
        <v>87893</v>
      </c>
      <c r="B300" s="9" t="s">
        <v>0</v>
      </c>
      <c r="C300" s="9" t="s">
        <v>191</v>
      </c>
      <c r="D300" s="9" t="s">
        <v>11525</v>
      </c>
      <c r="E300" s="15" t="str">
        <f>HYPERLINK("https://stat100.ameba.jp/tnk47/ratio20/illustrations/card/ill_87893_ginyushijinoreiria03.jpg?202102-5-RELEASE-marathon-516xx", "■")</f>
        <v>■</v>
      </c>
      <c r="F300" s="9" t="s">
        <v>11526</v>
      </c>
      <c r="G300" s="9">
        <v>114208</v>
      </c>
      <c r="H300" s="9">
        <v>106178</v>
      </c>
      <c r="I300" s="9">
        <v>28</v>
      </c>
      <c r="J300" s="9" t="s">
        <v>169</v>
      </c>
      <c r="K300" s="9" t="s">
        <v>11527</v>
      </c>
      <c r="L300" s="9" t="s">
        <v>13219</v>
      </c>
      <c r="M300" s="14" t="s">
        <v>9158</v>
      </c>
      <c r="N300" s="14" t="s">
        <v>9158</v>
      </c>
      <c r="O300" s="14" t="s">
        <v>9158</v>
      </c>
      <c r="P300" s="14" t="s">
        <v>9158</v>
      </c>
      <c r="Q300" s="14" t="s">
        <v>9158</v>
      </c>
    </row>
    <row r="301" spans="1:18">
      <c r="A301" s="7">
        <v>84973</v>
      </c>
      <c r="B301" s="7" t="s">
        <v>0</v>
      </c>
      <c r="C301" s="14" t="s">
        <v>308</v>
      </c>
      <c r="D301" s="19" t="s">
        <v>10753</v>
      </c>
      <c r="E301" s="15" t="str">
        <f>HYPERLINK("https://stat100.ameba.jp/tnk47/ratio20/illustrations/card/ill_84973_yukimomijiuchidenokozuchi03.jpg?202102-5-RELEASE-marathon-516xx", "■")</f>
        <v>■</v>
      </c>
      <c r="F301" s="7" t="s">
        <v>7849</v>
      </c>
      <c r="G301" s="7">
        <v>127556</v>
      </c>
      <c r="H301" s="7">
        <v>118598</v>
      </c>
      <c r="I301" s="9">
        <v>28</v>
      </c>
      <c r="J301" s="14" t="s">
        <v>38</v>
      </c>
      <c r="K301" s="7" t="s">
        <v>7848</v>
      </c>
      <c r="L301" s="7" t="s">
        <v>7847</v>
      </c>
      <c r="M301" s="14" t="s">
        <v>9158</v>
      </c>
      <c r="N301" s="14" t="s">
        <v>9158</v>
      </c>
      <c r="O301" s="14" t="s">
        <v>9158</v>
      </c>
      <c r="P301" s="14" t="s">
        <v>9158</v>
      </c>
      <c r="Q301" s="14" t="s">
        <v>9158</v>
      </c>
    </row>
    <row r="302" spans="1:18">
      <c r="A302" s="7">
        <v>85783</v>
      </c>
      <c r="B302" s="7" t="s">
        <v>0</v>
      </c>
      <c r="C302" s="7" t="s">
        <v>205</v>
      </c>
      <c r="D302" s="20" t="s">
        <v>10850</v>
      </c>
      <c r="E302" s="15" t="str">
        <f>HYPERLINK("https://stat100.ameba.jp/tnk47/ratio20/illustrations/card/ill_85783_fuyukominarutokintoki03.jpg?202102-5-RELEASE-marathon-516xx", "■")</f>
        <v>■</v>
      </c>
      <c r="F302" s="7" t="s">
        <v>8635</v>
      </c>
      <c r="G302" s="7">
        <v>132230</v>
      </c>
      <c r="H302" s="7">
        <v>122960</v>
      </c>
      <c r="I302" s="9">
        <v>28</v>
      </c>
      <c r="J302" s="14" t="s">
        <v>104</v>
      </c>
      <c r="K302" s="7" t="s">
        <v>8634</v>
      </c>
      <c r="L302" s="7" t="s">
        <v>3489</v>
      </c>
      <c r="M302" s="14" t="s">
        <v>9158</v>
      </c>
      <c r="N302" s="14" t="s">
        <v>9158</v>
      </c>
      <c r="O302" s="14" t="s">
        <v>9158</v>
      </c>
      <c r="P302" s="14" t="s">
        <v>9158</v>
      </c>
      <c r="Q302" s="14" t="s">
        <v>9158</v>
      </c>
    </row>
    <row r="303" spans="1:18">
      <c r="A303" s="9">
        <v>81423</v>
      </c>
      <c r="B303" s="14" t="s">
        <v>0</v>
      </c>
      <c r="C303" s="14" t="s">
        <v>206</v>
      </c>
      <c r="D303" s="14" t="s">
        <v>4675</v>
      </c>
      <c r="E303" s="15" t="str">
        <f>HYPERLINK("https://stat100.ameba.jp/tnk47/ratio20/illustrations/card/ill_81423_harunotaiikusaiamahime03.jpg?202102-5-RELEASE-marathon-516xx", "■")</f>
        <v>■</v>
      </c>
      <c r="F303" s="14" t="s">
        <v>4676</v>
      </c>
      <c r="G303" s="14">
        <v>109370</v>
      </c>
      <c r="H303" s="14">
        <v>101650</v>
      </c>
      <c r="I303" s="9">
        <v>28</v>
      </c>
      <c r="J303" s="14" t="s">
        <v>77</v>
      </c>
      <c r="K303" s="14" t="s">
        <v>4677</v>
      </c>
      <c r="L303" s="14" t="s">
        <v>4678</v>
      </c>
      <c r="M303" s="14" t="s">
        <v>9158</v>
      </c>
      <c r="N303" s="14" t="s">
        <v>9158</v>
      </c>
      <c r="O303" s="14" t="s">
        <v>9158</v>
      </c>
      <c r="P303" s="14" t="s">
        <v>9158</v>
      </c>
      <c r="Q303" s="14" t="s">
        <v>9158</v>
      </c>
    </row>
    <row r="305" spans="1:17">
      <c r="A305" s="14" t="s">
        <v>16300</v>
      </c>
    </row>
    <row r="306" spans="1:17">
      <c r="A306" s="14">
        <v>106788</v>
      </c>
      <c r="B306" s="14" t="s">
        <v>9642</v>
      </c>
    </row>
    <row r="307" spans="1:17">
      <c r="A307" s="14" t="s">
        <v>5822</v>
      </c>
      <c r="B307" s="14" t="s">
        <v>330</v>
      </c>
      <c r="C307" s="14" t="s">
        <v>307</v>
      </c>
      <c r="D307" s="19" t="s">
        <v>306</v>
      </c>
      <c r="E307" s="15" t="str">
        <f>HYPERLINK("https://stat100.ameba.jp/tnk47/ratio20/illustrations/card/ill_71403_0_ohanamisanadayukimura03.jpg?202102-5-RELEASE-marathon-516xx", "■")</f>
        <v>■</v>
      </c>
      <c r="F307" s="14" t="s">
        <v>309</v>
      </c>
      <c r="G307" s="14">
        <v>224026</v>
      </c>
      <c r="H307" s="14">
        <v>208310</v>
      </c>
      <c r="I307" s="14">
        <v>24</v>
      </c>
      <c r="J307" s="14" t="s">
        <v>310</v>
      </c>
      <c r="K307" s="14" t="s">
        <v>311</v>
      </c>
      <c r="L307" s="14" t="s">
        <v>312</v>
      </c>
      <c r="M307" s="14" t="s">
        <v>9158</v>
      </c>
      <c r="N307" s="14" t="s">
        <v>9158</v>
      </c>
      <c r="O307" s="19" t="s">
        <v>10104</v>
      </c>
      <c r="P307" s="14" t="s">
        <v>3418</v>
      </c>
      <c r="Q307" s="14">
        <v>2</v>
      </c>
    </row>
    <row r="308" spans="1:17">
      <c r="A308" s="14" t="s">
        <v>5899</v>
      </c>
      <c r="B308" s="14" t="s">
        <v>330</v>
      </c>
      <c r="C308" s="14" t="s">
        <v>205</v>
      </c>
      <c r="D308" s="20" t="s">
        <v>1559</v>
      </c>
      <c r="E308" s="15" t="str">
        <f>HYPERLINK("https://stat100.ameba.jp/tnk47/ratio20/illustrations/card/ill_73773_0_umibirakiinugamigyobu03.jpg?202102-5-RELEASE-marathon-516xx", "■")</f>
        <v>■</v>
      </c>
      <c r="F308" s="14" t="s">
        <v>935</v>
      </c>
      <c r="G308" s="14">
        <v>208256</v>
      </c>
      <c r="H308" s="14">
        <v>224000</v>
      </c>
      <c r="I308" s="14">
        <v>24</v>
      </c>
      <c r="J308" s="14" t="s">
        <v>182</v>
      </c>
      <c r="K308" s="14" t="s">
        <v>936</v>
      </c>
      <c r="L308" s="14" t="s">
        <v>13147</v>
      </c>
      <c r="M308" s="14" t="s">
        <v>9158</v>
      </c>
      <c r="N308" s="14" t="s">
        <v>9158</v>
      </c>
      <c r="O308" s="19" t="s">
        <v>2978</v>
      </c>
      <c r="P308" s="14" t="s">
        <v>2979</v>
      </c>
      <c r="Q308" s="14">
        <v>2</v>
      </c>
    </row>
    <row r="309" spans="1:17">
      <c r="A309" s="14" t="s">
        <v>5604</v>
      </c>
      <c r="B309" s="14" t="s">
        <v>330</v>
      </c>
      <c r="C309" s="14" t="s">
        <v>206</v>
      </c>
      <c r="D309" s="19" t="s">
        <v>614</v>
      </c>
      <c r="E309" s="15" t="str">
        <f>HYPERLINK("https://stat100.ameba.jp/tnk47/ratio20/illustrations/card/ill_47263_0_oukyuuatsuhime03.jpg?202102-5-RELEASE-marathon-516xx", "■")</f>
        <v>■</v>
      </c>
      <c r="F309" s="14" t="s">
        <v>615</v>
      </c>
      <c r="G309" s="14">
        <v>150776</v>
      </c>
      <c r="H309" s="14">
        <v>133938</v>
      </c>
      <c r="I309" s="14">
        <v>24</v>
      </c>
      <c r="J309" s="14" t="s">
        <v>315</v>
      </c>
      <c r="K309" s="14" t="s">
        <v>616</v>
      </c>
      <c r="L309" s="14" t="s">
        <v>617</v>
      </c>
      <c r="M309" s="14" t="s">
        <v>9158</v>
      </c>
      <c r="N309" s="14" t="s">
        <v>9158</v>
      </c>
      <c r="O309" s="14" t="s">
        <v>9158</v>
      </c>
      <c r="P309" s="14" t="s">
        <v>9158</v>
      </c>
      <c r="Q309" s="14" t="s">
        <v>9158</v>
      </c>
    </row>
    <row r="310" spans="1:17">
      <c r="A310" s="14">
        <v>95883</v>
      </c>
      <c r="B310" s="14" t="s">
        <v>0</v>
      </c>
      <c r="C310" s="14" t="s">
        <v>96</v>
      </c>
      <c r="D310" s="14" t="s">
        <v>16261</v>
      </c>
      <c r="E310" s="15" t="str">
        <f>HYPERLINK("https://stat100.ameba.jp/tnk47/ratio20/illustrations/card/ill_95883_suitorami03.jpg?202102-5-RELEASE-marathon-516xx", "■")</f>
        <v>■</v>
      </c>
      <c r="F310" s="14" t="s">
        <v>16260</v>
      </c>
      <c r="G310" s="14">
        <v>101558</v>
      </c>
      <c r="H310" s="14">
        <v>94390</v>
      </c>
      <c r="I310" s="7">
        <v>26</v>
      </c>
      <c r="J310" s="14" t="s">
        <v>77</v>
      </c>
      <c r="K310" s="14" t="s">
        <v>16259</v>
      </c>
      <c r="L310" s="14" t="s">
        <v>13491</v>
      </c>
      <c r="M310" s="14" t="s">
        <v>9158</v>
      </c>
      <c r="N310" s="14" t="s">
        <v>9158</v>
      </c>
      <c r="O310" s="14" t="s">
        <v>9158</v>
      </c>
      <c r="P310" s="14" t="s">
        <v>9158</v>
      </c>
      <c r="Q310" s="14" t="s">
        <v>9158</v>
      </c>
    </row>
    <row r="311" spans="1:17">
      <c r="A311" s="14">
        <v>95903</v>
      </c>
      <c r="B311" s="14" t="s">
        <v>15</v>
      </c>
      <c r="C311" s="14" t="s">
        <v>23</v>
      </c>
      <c r="D311" s="14" t="s">
        <v>16268</v>
      </c>
      <c r="E311" s="15" t="str">
        <f>HYPERLINK("https://stat100.ameba.jp/tnk47/ratio20/illustrations/card/ill_95903_chokoretosamona03.jpg?202102-5-RELEASE-marathon-516xx", "■")</f>
        <v>■</v>
      </c>
      <c r="F311" s="14" t="s">
        <v>16267</v>
      </c>
      <c r="G311" s="14">
        <v>77064</v>
      </c>
      <c r="H311" s="14">
        <v>69898</v>
      </c>
      <c r="I311" s="7">
        <v>26</v>
      </c>
      <c r="J311" s="14" t="s">
        <v>73</v>
      </c>
      <c r="K311" s="14" t="s">
        <v>16266</v>
      </c>
      <c r="L311" s="14" t="s">
        <v>3835</v>
      </c>
      <c r="M311" s="14" t="s">
        <v>9158</v>
      </c>
      <c r="N311" s="14" t="s">
        <v>9158</v>
      </c>
      <c r="O311" s="14" t="s">
        <v>9158</v>
      </c>
      <c r="P311" s="14" t="s">
        <v>9158</v>
      </c>
      <c r="Q311" s="14" t="s">
        <v>9158</v>
      </c>
    </row>
    <row r="312" spans="1:17">
      <c r="A312" s="14">
        <v>95913</v>
      </c>
      <c r="B312" s="14" t="s">
        <v>22</v>
      </c>
      <c r="C312" s="14" t="s">
        <v>107</v>
      </c>
      <c r="D312" s="14" t="s">
        <v>16271</v>
      </c>
      <c r="E312" s="15" t="str">
        <f>HYPERLINK("https://stat100.ameba.jp/tnk47/ratio20/illustrations/card/ill_95913_valentine_amakusashirou03.jpg?202102-5-RELEASE-marathon-516xx", "■")</f>
        <v>■</v>
      </c>
      <c r="F312" s="14" t="s">
        <v>16270</v>
      </c>
      <c r="G312" s="14">
        <v>44948</v>
      </c>
      <c r="H312" s="14">
        <v>54058</v>
      </c>
      <c r="I312" s="7">
        <v>26</v>
      </c>
      <c r="J312" s="14" t="s">
        <v>10</v>
      </c>
      <c r="K312" s="14" t="s">
        <v>16269</v>
      </c>
      <c r="L312" s="14" t="s">
        <v>4228</v>
      </c>
      <c r="M312" s="14" t="s">
        <v>9158</v>
      </c>
      <c r="N312" s="14" t="s">
        <v>9158</v>
      </c>
      <c r="O312" s="14" t="s">
        <v>9158</v>
      </c>
      <c r="P312" s="14" t="s">
        <v>9158</v>
      </c>
      <c r="Q312" s="14" t="s">
        <v>9158</v>
      </c>
    </row>
    <row r="313" spans="1:17">
      <c r="A313" s="14">
        <v>95923</v>
      </c>
      <c r="B313" s="14" t="s">
        <v>22</v>
      </c>
      <c r="C313" s="14" t="s">
        <v>14</v>
      </c>
      <c r="D313" s="14" t="s">
        <v>16274</v>
      </c>
      <c r="E313" s="15" t="str">
        <f>HYPERLINK("https://stat100.ameba.jp/tnk47/ratio20/illustrations/card/ill_95923_koinokamisamaunekodoridaimyojin03.jpg?202102-5-RELEASE-marathon-516xx", "■")</f>
        <v>■</v>
      </c>
      <c r="F313" s="14" t="s">
        <v>16273</v>
      </c>
      <c r="G313" s="14">
        <v>54058</v>
      </c>
      <c r="H313" s="14">
        <v>44948</v>
      </c>
      <c r="I313" s="7">
        <v>26</v>
      </c>
      <c r="J313" s="14" t="s">
        <v>44</v>
      </c>
      <c r="K313" s="14" t="s">
        <v>16272</v>
      </c>
      <c r="L313" s="14" t="s">
        <v>4956</v>
      </c>
      <c r="M313" s="14" t="s">
        <v>9158</v>
      </c>
      <c r="N313" s="14" t="s">
        <v>9158</v>
      </c>
      <c r="O313" s="14" t="s">
        <v>9158</v>
      </c>
      <c r="P313" s="14" t="s">
        <v>9158</v>
      </c>
      <c r="Q313" s="14" t="s">
        <v>9158</v>
      </c>
    </row>
    <row r="315" spans="1:17">
      <c r="A315" s="14" t="s">
        <v>3844</v>
      </c>
    </row>
    <row r="316" spans="1:17">
      <c r="A316" s="14">
        <v>106811</v>
      </c>
      <c r="B316" s="14" t="s">
        <v>16301</v>
      </c>
    </row>
    <row r="317" spans="1:17">
      <c r="A317" s="9" t="s">
        <v>5843</v>
      </c>
      <c r="B317" s="14" t="s">
        <v>52</v>
      </c>
      <c r="C317" s="14" t="s">
        <v>202</v>
      </c>
      <c r="D317" s="14" t="s">
        <v>2126</v>
      </c>
      <c r="E317" s="15" t="str">
        <f>HYPERLINK("https://stat100.ameba.jp/tnk47/ratio20/illustrations/card/ill_77963_0_kurisumasudaisakusentakiyashahime03.jpg?202102-5-RELEASE-marathon-516xx", "■")</f>
        <v>■</v>
      </c>
      <c r="F317" s="14" t="s">
        <v>2127</v>
      </c>
      <c r="G317" s="14">
        <v>319308</v>
      </c>
      <c r="H317" s="14">
        <v>288586</v>
      </c>
      <c r="I317" s="14">
        <v>26</v>
      </c>
      <c r="J317" s="14" t="s">
        <v>77</v>
      </c>
      <c r="K317" s="14" t="s">
        <v>2128</v>
      </c>
      <c r="L317" s="14" t="s">
        <v>2129</v>
      </c>
      <c r="M317" s="14" t="s">
        <v>9158</v>
      </c>
      <c r="N317" s="14" t="s">
        <v>9158</v>
      </c>
      <c r="O317" s="9" t="s">
        <v>3588</v>
      </c>
      <c r="P317" s="14" t="s">
        <v>3589</v>
      </c>
      <c r="Q317" s="14">
        <v>2</v>
      </c>
    </row>
    <row r="318" spans="1:17">
      <c r="A318" s="14">
        <v>92363</v>
      </c>
      <c r="B318" s="14" t="s">
        <v>0</v>
      </c>
      <c r="C318" s="14" t="s">
        <v>1</v>
      </c>
      <c r="D318" s="18" t="s">
        <v>15010</v>
      </c>
      <c r="E318" s="15" t="str">
        <f>HYPERLINK("https://stat100.ameba.jp/tnk47/ratio20/illustrations/card/ill_92363_haroinorochinomusha03.jpg?202102-5-RELEASE-marathon-516xx", "■")</f>
        <v>■</v>
      </c>
      <c r="F318" s="14" t="s">
        <v>15009</v>
      </c>
      <c r="G318" s="14">
        <v>143714</v>
      </c>
      <c r="H318" s="14">
        <v>154562</v>
      </c>
      <c r="I318" s="14">
        <v>26</v>
      </c>
      <c r="J318" s="14" t="s">
        <v>143</v>
      </c>
      <c r="K318" s="14" t="s">
        <v>15007</v>
      </c>
      <c r="L318" s="14" t="s">
        <v>12361</v>
      </c>
      <c r="M318" s="14" t="s">
        <v>9158</v>
      </c>
      <c r="N318" s="14" t="s">
        <v>9158</v>
      </c>
      <c r="O318" s="6" t="s">
        <v>2717</v>
      </c>
      <c r="P318" s="7" t="s">
        <v>15004</v>
      </c>
      <c r="Q318" s="7">
        <v>1</v>
      </c>
    </row>
    <row r="319" spans="1:17">
      <c r="A319" s="14">
        <v>91013</v>
      </c>
      <c r="B319" s="14" t="s">
        <v>0</v>
      </c>
      <c r="C319" s="14" t="s">
        <v>14</v>
      </c>
      <c r="D319" s="18" t="s">
        <v>13451</v>
      </c>
      <c r="E319" s="15" t="str">
        <f>HYPERLINK("https://stat100.ameba.jp/tnk47/ratio20/illustrations/card/ill_91013_mizugiaidorusakurambochan03.jpg?202102-5-RELEASE-marathon-516xx", "■")</f>
        <v>■</v>
      </c>
      <c r="F319" s="14" t="s">
        <v>13452</v>
      </c>
      <c r="G319" s="14">
        <v>122786</v>
      </c>
      <c r="H319" s="14">
        <v>114176</v>
      </c>
      <c r="I319" s="14">
        <v>26</v>
      </c>
      <c r="J319" s="14" t="s">
        <v>104</v>
      </c>
      <c r="K319" s="14" t="s">
        <v>13454</v>
      </c>
      <c r="L319" s="14" t="s">
        <v>12340</v>
      </c>
      <c r="M319" s="14" t="s">
        <v>9158</v>
      </c>
      <c r="N319" s="14" t="s">
        <v>9158</v>
      </c>
      <c r="O319" s="6" t="s">
        <v>3768</v>
      </c>
      <c r="P319" s="7" t="s">
        <v>13453</v>
      </c>
      <c r="Q319" s="7">
        <v>1</v>
      </c>
    </row>
    <row r="320" spans="1:17">
      <c r="A320" s="14">
        <v>85483</v>
      </c>
      <c r="B320" s="14" t="s">
        <v>0</v>
      </c>
      <c r="C320" s="14" t="s">
        <v>206</v>
      </c>
      <c r="D320" s="20" t="s">
        <v>10807</v>
      </c>
      <c r="E320" s="15" t="str">
        <f>HYPERLINK("https://stat100.ameba.jp/tnk47/ratio20/illustrations/card/ill_85483_seitankuronikururirimu03.jpg?202102-5-RELEASE-marathon-516xx", "■")</f>
        <v>■</v>
      </c>
      <c r="F320" s="14" t="s">
        <v>8445</v>
      </c>
      <c r="G320" s="14">
        <v>108330</v>
      </c>
      <c r="H320" s="14">
        <v>100744</v>
      </c>
      <c r="I320" s="14">
        <v>26</v>
      </c>
      <c r="J320" s="14" t="s">
        <v>182</v>
      </c>
      <c r="K320" s="14" t="s">
        <v>8444</v>
      </c>
      <c r="L320" s="14" t="s">
        <v>2308</v>
      </c>
      <c r="M320" s="14" t="s">
        <v>9158</v>
      </c>
      <c r="N320" s="14" t="s">
        <v>9158</v>
      </c>
      <c r="O320" s="19" t="s">
        <v>10086</v>
      </c>
      <c r="P320" s="14" t="s">
        <v>3701</v>
      </c>
      <c r="Q320" s="14">
        <v>1</v>
      </c>
    </row>
    <row r="322" spans="1:19">
      <c r="A322" s="14" t="s">
        <v>16302</v>
      </c>
    </row>
    <row r="323" spans="1:19">
      <c r="A323" s="14">
        <v>106814</v>
      </c>
      <c r="B323" s="14" t="s">
        <v>9643</v>
      </c>
    </row>
    <row r="324" spans="1:19">
      <c r="A324" s="14">
        <v>63293</v>
      </c>
      <c r="B324" s="14" t="s">
        <v>0</v>
      </c>
      <c r="C324" s="14" t="s">
        <v>47</v>
      </c>
      <c r="D324" s="14" t="s">
        <v>16305</v>
      </c>
      <c r="E324" s="15" t="str">
        <f>HYPERLINK("https://stat100.ameba.jp/tnk47/ratio20/illustrations/card/ill_63293_miyoshimanabu03.jpg?202102-5-RELEASE-marathon-516xx", "■")</f>
        <v>■</v>
      </c>
      <c r="F324" s="14" t="s">
        <v>16304</v>
      </c>
      <c r="G324" s="14">
        <v>109481</v>
      </c>
      <c r="H324" s="14">
        <v>101837</v>
      </c>
      <c r="I324" s="14">
        <v>27</v>
      </c>
      <c r="J324" s="14" t="s">
        <v>16</v>
      </c>
      <c r="K324" s="14" t="s">
        <v>16303</v>
      </c>
      <c r="L324" s="14" t="s">
        <v>1149</v>
      </c>
      <c r="M324" s="14" t="s">
        <v>9158</v>
      </c>
      <c r="N324" s="14" t="s">
        <v>9158</v>
      </c>
      <c r="O324" s="14" t="s">
        <v>9158</v>
      </c>
      <c r="P324" s="14" t="s">
        <v>9158</v>
      </c>
      <c r="Q324" s="14" t="s">
        <v>9158</v>
      </c>
      <c r="S324" s="14" t="s">
        <v>16887</v>
      </c>
    </row>
    <row r="325" spans="1:19">
      <c r="A325" s="14">
        <v>80673</v>
      </c>
      <c r="B325" s="14" t="s">
        <v>0</v>
      </c>
      <c r="C325" s="14" t="s">
        <v>107</v>
      </c>
      <c r="D325" s="14" t="s">
        <v>4219</v>
      </c>
      <c r="E325" s="15" t="str">
        <f>HYPERLINK("https://stat100.ameba.jp/tnk47/ratio20/illustrations/card/ill_80673_banchoshishirianraisu03.jpg?202102-5-RELEASE-marathon-516xx", "■")</f>
        <v>■</v>
      </c>
      <c r="F325" s="14" t="s">
        <v>4220</v>
      </c>
      <c r="G325" s="14">
        <v>149240</v>
      </c>
      <c r="H325" s="14">
        <v>160507</v>
      </c>
      <c r="I325" s="14">
        <v>27</v>
      </c>
      <c r="J325" s="14" t="s">
        <v>104</v>
      </c>
      <c r="K325" s="14" t="s">
        <v>4221</v>
      </c>
      <c r="L325" s="14" t="s">
        <v>2304</v>
      </c>
      <c r="M325" s="14" t="s">
        <v>9158</v>
      </c>
      <c r="N325" s="14" t="s">
        <v>9158</v>
      </c>
      <c r="O325" s="14" t="s">
        <v>9158</v>
      </c>
      <c r="P325" s="14" t="s">
        <v>9158</v>
      </c>
      <c r="Q325" s="14" t="s">
        <v>9158</v>
      </c>
    </row>
    <row r="326" spans="1:19">
      <c r="A326" s="14">
        <v>78293</v>
      </c>
      <c r="B326" s="14" t="s">
        <v>0</v>
      </c>
      <c r="C326" s="14" t="s">
        <v>1</v>
      </c>
      <c r="D326" s="14" t="s">
        <v>2415</v>
      </c>
      <c r="E326" s="15" t="str">
        <f>HYPERLINK("https://stat100.ameba.jp/tnk47/ratio20/illustrations/card/ill_78293_yukinotaawaodori03.jpg?202102-5-RELEASE-marathon-516xx", "■")</f>
        <v>■</v>
      </c>
      <c r="F326" s="14" t="s">
        <v>2416</v>
      </c>
      <c r="G326" s="14">
        <v>114362</v>
      </c>
      <c r="H326" s="14">
        <v>123002</v>
      </c>
      <c r="I326" s="14">
        <v>27</v>
      </c>
      <c r="J326" s="14" t="s">
        <v>26</v>
      </c>
      <c r="K326" s="14" t="s">
        <v>2417</v>
      </c>
      <c r="L326" s="14" t="s">
        <v>2137</v>
      </c>
      <c r="M326" s="14" t="s">
        <v>9158</v>
      </c>
      <c r="N326" s="14" t="s">
        <v>9158</v>
      </c>
      <c r="O326" s="14" t="s">
        <v>9158</v>
      </c>
      <c r="P326" s="14" t="s">
        <v>9158</v>
      </c>
      <c r="Q326" s="14" t="s">
        <v>9158</v>
      </c>
    </row>
    <row r="327" spans="1:19">
      <c r="A327" s="9">
        <v>86543</v>
      </c>
      <c r="B327" s="9" t="s">
        <v>15</v>
      </c>
      <c r="C327" s="9" t="s">
        <v>185</v>
      </c>
      <c r="D327" s="20" t="s">
        <v>10914</v>
      </c>
      <c r="E327" s="15" t="str">
        <f>HYPERLINK("https://stat100.ameba.jp/tnk47/ratio20/illustrations/card/ill_86543_keijisonobehideo03.jpg?202102-5-RELEASE-marathon-516xx", "■")</f>
        <v>■</v>
      </c>
      <c r="F327" s="9" t="s">
        <v>9026</v>
      </c>
      <c r="G327" s="9">
        <v>59280</v>
      </c>
      <c r="H327" s="9">
        <v>53768</v>
      </c>
      <c r="I327" s="9">
        <v>20</v>
      </c>
      <c r="J327" s="9" t="s">
        <v>173</v>
      </c>
      <c r="K327" s="9" t="s">
        <v>9025</v>
      </c>
      <c r="L327" s="9" t="s">
        <v>3275</v>
      </c>
      <c r="M327" s="14" t="s">
        <v>9158</v>
      </c>
      <c r="N327" s="14" t="s">
        <v>9158</v>
      </c>
      <c r="O327" s="14" t="s">
        <v>9158</v>
      </c>
      <c r="P327" s="14" t="s">
        <v>9158</v>
      </c>
      <c r="Q327" s="14" t="s">
        <v>9158</v>
      </c>
    </row>
    <row r="328" spans="1:19">
      <c r="A328" s="14">
        <v>83803</v>
      </c>
      <c r="B328" s="14" t="s">
        <v>15</v>
      </c>
      <c r="C328" s="14" t="s">
        <v>191</v>
      </c>
      <c r="D328" s="19" t="s">
        <v>10608</v>
      </c>
      <c r="E328" s="15" t="str">
        <f>HYPERLINK("https://stat100.ameba.jp/tnk47/ratio20/illustrations/card/ill_83803_otokomatsurihashibahideyoshi03.jpg?202102-5-RELEASE-marathon-516xx", "■")</f>
        <v>■</v>
      </c>
      <c r="F328" s="14" t="s">
        <v>6878</v>
      </c>
      <c r="G328" s="14">
        <v>59280</v>
      </c>
      <c r="H328" s="14">
        <v>53768</v>
      </c>
      <c r="I328" s="14">
        <v>20</v>
      </c>
      <c r="J328" s="14" t="s">
        <v>310</v>
      </c>
      <c r="K328" s="14" t="s">
        <v>6877</v>
      </c>
      <c r="L328" s="14" t="s">
        <v>3524</v>
      </c>
      <c r="M328" s="14" t="s">
        <v>9158</v>
      </c>
      <c r="N328" s="14" t="s">
        <v>9158</v>
      </c>
      <c r="O328" s="14" t="s">
        <v>9158</v>
      </c>
      <c r="P328" s="14" t="s">
        <v>9158</v>
      </c>
      <c r="Q328" s="14" t="s">
        <v>9158</v>
      </c>
    </row>
    <row r="329" spans="1:19">
      <c r="A329" s="9">
        <v>72663</v>
      </c>
      <c r="B329" s="14" t="s">
        <v>348</v>
      </c>
      <c r="C329" s="14" t="s">
        <v>165</v>
      </c>
      <c r="D329" s="14" t="s">
        <v>3017</v>
      </c>
      <c r="E329" s="15" t="str">
        <f>HYPERLINK("https://stat100.ameba.jp/tnk47/ratio20/illustrations/card/ill_72663_shokanoseisomadorenuchan03.jpg?202102-5-RELEASE-marathon-516xx", "■")</f>
        <v>■</v>
      </c>
      <c r="F329" s="14" t="s">
        <v>3018</v>
      </c>
      <c r="G329" s="14">
        <v>53768</v>
      </c>
      <c r="H329" s="14">
        <v>59280</v>
      </c>
      <c r="I329" s="14">
        <v>20</v>
      </c>
      <c r="J329" s="14" t="s">
        <v>283</v>
      </c>
      <c r="K329" s="14" t="s">
        <v>3019</v>
      </c>
      <c r="L329" s="14" t="s">
        <v>1442</v>
      </c>
      <c r="M329" s="14" t="s">
        <v>9158</v>
      </c>
      <c r="N329" s="14" t="s">
        <v>9158</v>
      </c>
      <c r="O329" s="14" t="s">
        <v>9158</v>
      </c>
      <c r="P329" s="14" t="s">
        <v>9158</v>
      </c>
      <c r="Q329" s="14" t="s">
        <v>9158</v>
      </c>
    </row>
    <row r="331" spans="1:19">
      <c r="A331" s="14" t="s">
        <v>4065</v>
      </c>
    </row>
    <row r="332" spans="1:19">
      <c r="A332" s="14">
        <v>106830</v>
      </c>
      <c r="B332" s="14" t="s">
        <v>16327</v>
      </c>
    </row>
    <row r="333" spans="1:19">
      <c r="A333" s="14" t="s">
        <v>6905</v>
      </c>
      <c r="B333" s="14" t="s">
        <v>330</v>
      </c>
      <c r="C333" s="14" t="s">
        <v>35</v>
      </c>
      <c r="D333" s="14" t="s">
        <v>4161</v>
      </c>
      <c r="E333" s="15" t="str">
        <f>HYPERLINK("https://stat100.ameba.jp/tnk47/ratio20/illustrations/card/ill_80623_0_ohanamigurampingutominushihime03.jpg?202102-5-RELEASE-marathon-516xx", "■")</f>
        <v>■</v>
      </c>
      <c r="F333" s="14" t="s">
        <v>4162</v>
      </c>
      <c r="G333" s="14">
        <v>325434</v>
      </c>
      <c r="H333" s="14">
        <v>294156</v>
      </c>
      <c r="I333" s="14">
        <v>27</v>
      </c>
      <c r="J333" s="14" t="s">
        <v>44</v>
      </c>
      <c r="K333" s="14" t="s">
        <v>4163</v>
      </c>
      <c r="L333" s="14" t="s">
        <v>4164</v>
      </c>
      <c r="M333" s="14" t="s">
        <v>9158</v>
      </c>
      <c r="N333" s="14" t="s">
        <v>9158</v>
      </c>
      <c r="O333" s="14" t="s">
        <v>4165</v>
      </c>
      <c r="P333" s="14" t="s">
        <v>4166</v>
      </c>
      <c r="Q333" s="14">
        <v>1</v>
      </c>
    </row>
    <row r="334" spans="1:19">
      <c r="A334" s="14">
        <v>84663</v>
      </c>
      <c r="B334" s="14" t="s">
        <v>334</v>
      </c>
      <c r="C334" s="14" t="s">
        <v>158</v>
      </c>
      <c r="D334" s="20" t="s">
        <v>10648</v>
      </c>
      <c r="E334" s="15" t="str">
        <f>HYPERLINK("https://stat100.ameba.jp/tnk47/ratio20/illustrations/card/ill_84663_juwannonefuerufuito03.jpg?202102-5-RELEASE-marathon-516xx", "■")</f>
        <v>■</v>
      </c>
      <c r="F334" s="14" t="s">
        <v>7095</v>
      </c>
      <c r="G334" s="14">
        <v>87834</v>
      </c>
      <c r="H334" s="14">
        <v>121240</v>
      </c>
      <c r="I334" s="14">
        <v>26</v>
      </c>
      <c r="J334" s="14" t="s">
        <v>182</v>
      </c>
      <c r="K334" s="14" t="s">
        <v>7094</v>
      </c>
      <c r="L334" s="14" t="s">
        <v>7093</v>
      </c>
      <c r="M334" s="14" t="s">
        <v>9158</v>
      </c>
      <c r="N334" s="14" t="s">
        <v>9158</v>
      </c>
      <c r="O334" s="19" t="s">
        <v>10091</v>
      </c>
      <c r="P334" s="14" t="s">
        <v>3670</v>
      </c>
      <c r="Q334" s="14">
        <v>1</v>
      </c>
    </row>
    <row r="335" spans="1:19">
      <c r="A335" s="14">
        <v>81313</v>
      </c>
      <c r="B335" s="14" t="s">
        <v>0</v>
      </c>
      <c r="C335" s="14" t="s">
        <v>154</v>
      </c>
      <c r="D335" s="20" t="s">
        <v>10511</v>
      </c>
      <c r="E335" s="15" t="str">
        <f>HYPERLINK("https://stat100.ameba.jp/tnk47/ratio20/illustrations/card/ill_81313_harihara03.jpg?202102-5-RELEASE-marathon-516xx", "■")</f>
        <v>■</v>
      </c>
      <c r="F335" s="14" t="s">
        <v>4667</v>
      </c>
      <c r="G335" s="14">
        <v>172982</v>
      </c>
      <c r="H335" s="14">
        <v>125296</v>
      </c>
      <c r="I335" s="14">
        <v>26</v>
      </c>
      <c r="J335" s="14" t="s">
        <v>44</v>
      </c>
      <c r="K335" s="14" t="s">
        <v>4668</v>
      </c>
      <c r="L335" s="14" t="s">
        <v>4669</v>
      </c>
      <c r="M335" s="14" t="s">
        <v>9158</v>
      </c>
      <c r="N335" s="14" t="s">
        <v>9158</v>
      </c>
      <c r="O335" s="19" t="s">
        <v>10114</v>
      </c>
      <c r="P335" s="14" t="s">
        <v>3658</v>
      </c>
      <c r="Q335" s="14">
        <v>1</v>
      </c>
    </row>
    <row r="336" spans="1:19">
      <c r="A336" s="14">
        <v>70373</v>
      </c>
      <c r="B336" s="14" t="s">
        <v>334</v>
      </c>
      <c r="C336" s="14" t="s">
        <v>209</v>
      </c>
      <c r="D336" s="20" t="s">
        <v>10226</v>
      </c>
      <c r="E336" s="15" t="str">
        <f>HYPERLINK("https://stat100.ameba.jp/tnk47/ratio20/illustrations/card/ill_70373_amanoyasukage03.jpg?202102-5-RELEASE-marathon-516xx", "■")</f>
        <v>■</v>
      </c>
      <c r="F336" s="14" t="s">
        <v>2617</v>
      </c>
      <c r="G336" s="14">
        <v>134306</v>
      </c>
      <c r="H336" s="14">
        <v>144446</v>
      </c>
      <c r="I336" s="14">
        <v>26</v>
      </c>
      <c r="J336" s="14" t="s">
        <v>143</v>
      </c>
      <c r="K336" s="14" t="s">
        <v>2618</v>
      </c>
      <c r="L336" s="14" t="s">
        <v>2619</v>
      </c>
      <c r="M336" s="14" t="s">
        <v>9158</v>
      </c>
      <c r="N336" s="14" t="s">
        <v>9158</v>
      </c>
      <c r="O336" s="19" t="s">
        <v>10081</v>
      </c>
      <c r="P336" s="14" t="s">
        <v>4146</v>
      </c>
      <c r="Q336" s="14">
        <v>1</v>
      </c>
    </row>
    <row r="338" spans="1:17">
      <c r="A338" s="14" t="s">
        <v>3916</v>
      </c>
    </row>
    <row r="339" spans="1:17">
      <c r="A339" s="14">
        <v>106835</v>
      </c>
      <c r="B339" s="14" t="s">
        <v>16328</v>
      </c>
    </row>
    <row r="340" spans="1:17">
      <c r="A340" s="14">
        <v>84733</v>
      </c>
      <c r="B340" s="14" t="s">
        <v>0</v>
      </c>
      <c r="C340" s="14" t="s">
        <v>154</v>
      </c>
      <c r="D340" s="19" t="s">
        <v>10677</v>
      </c>
      <c r="E340" s="15" t="str">
        <f>HYPERLINK("https://stat100.ameba.jp/tnk47/ratio20/illustrations/card/ill_84733_madadoru03.jpg?202102-5-RELEASE-marathon-516xx", "■")</f>
        <v>■</v>
      </c>
      <c r="F340" s="14" t="s">
        <v>7293</v>
      </c>
      <c r="G340" s="14">
        <v>120766</v>
      </c>
      <c r="H340" s="14">
        <v>112286</v>
      </c>
      <c r="I340" s="14">
        <v>28</v>
      </c>
      <c r="J340" s="14" t="s">
        <v>182</v>
      </c>
      <c r="K340" s="14" t="s">
        <v>7296</v>
      </c>
      <c r="L340" s="14" t="s">
        <v>7295</v>
      </c>
      <c r="M340" s="14" t="s">
        <v>9158</v>
      </c>
      <c r="N340" s="14" t="s">
        <v>9158</v>
      </c>
      <c r="O340" s="14" t="s">
        <v>9158</v>
      </c>
      <c r="P340" s="14" t="s">
        <v>9158</v>
      </c>
      <c r="Q340" s="14" t="s">
        <v>9158</v>
      </c>
    </row>
    <row r="341" spans="1:17">
      <c r="A341" s="14">
        <v>84743</v>
      </c>
      <c r="B341" s="14" t="s">
        <v>0</v>
      </c>
      <c r="C341" s="14" t="s">
        <v>158</v>
      </c>
      <c r="D341" s="19" t="s">
        <v>10678</v>
      </c>
      <c r="E341" s="15" t="str">
        <f>HYPERLINK("https://stat100.ameba.jp/tnk47/ratio20/illustrations/card/ill_84743_rinnenonyumpe03.jpg?202102-5-RELEASE-marathon-516xx", "■")</f>
        <v>■</v>
      </c>
      <c r="F341" s="14" t="s">
        <v>7294</v>
      </c>
      <c r="G341" s="14">
        <v>120766</v>
      </c>
      <c r="H341" s="14">
        <v>112286</v>
      </c>
      <c r="I341" s="14">
        <v>28</v>
      </c>
      <c r="J341" s="14" t="s">
        <v>169</v>
      </c>
      <c r="K341" s="14" t="s">
        <v>7297</v>
      </c>
      <c r="L341" s="14" t="s">
        <v>7298</v>
      </c>
      <c r="M341" s="14" t="s">
        <v>9158</v>
      </c>
      <c r="N341" s="14" t="s">
        <v>9158</v>
      </c>
      <c r="O341" s="14" t="s">
        <v>9158</v>
      </c>
      <c r="P341" s="14" t="s">
        <v>9158</v>
      </c>
      <c r="Q341" s="14" t="s">
        <v>9158</v>
      </c>
    </row>
    <row r="342" spans="1:17">
      <c r="A342" s="14">
        <v>69883</v>
      </c>
      <c r="B342" s="14" t="s">
        <v>334</v>
      </c>
      <c r="C342" s="14" t="s">
        <v>185</v>
      </c>
      <c r="D342" s="19" t="s">
        <v>10293</v>
      </c>
      <c r="E342" s="15" t="str">
        <f>HYPERLINK("https://stat100.ameba.jp/tnk47/ratio20/illustrations/card/ill_69883_kyupiddotominushihime03.jpg?202102-5-RELEASE-marathon-516xx", "■")</f>
        <v>■</v>
      </c>
      <c r="F342" s="14" t="s">
        <v>4142</v>
      </c>
      <c r="G342" s="14">
        <v>106178</v>
      </c>
      <c r="H342" s="14">
        <v>114208</v>
      </c>
      <c r="I342" s="14">
        <v>28</v>
      </c>
      <c r="J342" s="14" t="s">
        <v>169</v>
      </c>
      <c r="K342" s="14" t="s">
        <v>4143</v>
      </c>
      <c r="L342" s="14" t="s">
        <v>13190</v>
      </c>
      <c r="M342" s="14" t="s">
        <v>9158</v>
      </c>
      <c r="N342" s="14" t="s">
        <v>9158</v>
      </c>
      <c r="O342" s="14" t="s">
        <v>9158</v>
      </c>
      <c r="P342" s="14" t="s">
        <v>9158</v>
      </c>
      <c r="Q342" s="14" t="s">
        <v>9158</v>
      </c>
    </row>
    <row r="343" spans="1:17">
      <c r="A343" s="14">
        <v>67243</v>
      </c>
      <c r="B343" s="14" t="s">
        <v>334</v>
      </c>
      <c r="C343" s="14" t="s">
        <v>205</v>
      </c>
      <c r="D343" s="20" t="s">
        <v>10199</v>
      </c>
      <c r="E343" s="15" t="str">
        <f>HYPERLINK("https://stat100.ameba.jp/tnk47/ratio20/illustrations/card/ill_67243_onsenyadomoryo03.jpg?202102-5-RELEASE-marathon-516xx", "■")</f>
        <v>■</v>
      </c>
      <c r="F343" s="14" t="s">
        <v>3638</v>
      </c>
      <c r="G343" s="14">
        <v>108494</v>
      </c>
      <c r="H343" s="14">
        <v>116662</v>
      </c>
      <c r="I343" s="14">
        <v>28</v>
      </c>
      <c r="J343" s="14" t="s">
        <v>182</v>
      </c>
      <c r="K343" s="14" t="s">
        <v>3639</v>
      </c>
      <c r="L343" s="14" t="s">
        <v>3640</v>
      </c>
      <c r="M343" s="14" t="s">
        <v>9158</v>
      </c>
      <c r="N343" s="14" t="s">
        <v>9158</v>
      </c>
      <c r="O343" s="14" t="s">
        <v>9158</v>
      </c>
      <c r="P343" s="14" t="s">
        <v>9158</v>
      </c>
      <c r="Q343" s="14" t="s">
        <v>9158</v>
      </c>
    </row>
    <row r="344" spans="1:17">
      <c r="A344" s="14">
        <v>52973</v>
      </c>
      <c r="B344" s="14" t="s">
        <v>15</v>
      </c>
      <c r="C344" s="14" t="s">
        <v>206</v>
      </c>
      <c r="D344" s="19" t="s">
        <v>10519</v>
      </c>
      <c r="E344" s="15" t="str">
        <f>HYPERLINK("https://stat100.ameba.jp/tnk47/ratio20/illustrations/card/ill_52973_torampuamoronagu03.jpg?202102-5-RELEASE-marathon-516xx", "■")</f>
        <v>■</v>
      </c>
      <c r="F344" s="14" t="s">
        <v>6421</v>
      </c>
      <c r="G344" s="14">
        <v>71136</v>
      </c>
      <c r="H344" s="14">
        <v>64520</v>
      </c>
      <c r="I344" s="14">
        <v>24</v>
      </c>
      <c r="J344" s="14" t="s">
        <v>44</v>
      </c>
      <c r="K344" s="14" t="s">
        <v>6419</v>
      </c>
      <c r="L344" s="14" t="s">
        <v>6418</v>
      </c>
      <c r="M344" s="14" t="s">
        <v>9158</v>
      </c>
      <c r="N344" s="14" t="s">
        <v>9158</v>
      </c>
      <c r="O344" s="14" t="s">
        <v>9158</v>
      </c>
      <c r="P344" s="14" t="s">
        <v>9158</v>
      </c>
      <c r="Q344" s="14" t="s">
        <v>9158</v>
      </c>
    </row>
    <row r="345" spans="1:17">
      <c r="A345" s="14">
        <v>52333</v>
      </c>
      <c r="B345" s="14" t="s">
        <v>15</v>
      </c>
      <c r="C345" s="14" t="s">
        <v>200</v>
      </c>
      <c r="D345" s="19" t="s">
        <v>10537</v>
      </c>
      <c r="E345" s="15" t="str">
        <f>HYPERLINK("https://stat100.ameba.jp/tnk47/ratio20/illustrations/card/ill_52333_chichibuyomatsuri03.jpg?202102-5-RELEASE-marathon-516xx", "■")</f>
        <v>■</v>
      </c>
      <c r="F345" s="14" t="s">
        <v>3614</v>
      </c>
      <c r="G345" s="14">
        <v>71136</v>
      </c>
      <c r="H345" s="14">
        <v>64520</v>
      </c>
      <c r="I345" s="14">
        <v>24</v>
      </c>
      <c r="J345" s="14" t="s">
        <v>38</v>
      </c>
      <c r="K345" s="14" t="s">
        <v>3615</v>
      </c>
      <c r="L345" s="14" t="s">
        <v>3616</v>
      </c>
      <c r="M345" s="14" t="s">
        <v>9158</v>
      </c>
      <c r="N345" s="14" t="s">
        <v>9158</v>
      </c>
      <c r="O345" s="14" t="s">
        <v>9158</v>
      </c>
      <c r="P345" s="14" t="s">
        <v>9158</v>
      </c>
      <c r="Q345" s="14" t="s">
        <v>9158</v>
      </c>
    </row>
    <row r="346" spans="1:17">
      <c r="A346" s="14">
        <v>51913</v>
      </c>
      <c r="B346" s="14" t="s">
        <v>15</v>
      </c>
      <c r="C346" s="14" t="s">
        <v>191</v>
      </c>
      <c r="D346" s="19" t="s">
        <v>10538</v>
      </c>
      <c r="E346" s="15" t="str">
        <f>HYPERLINK("https://stat100.ameba.jp/tnk47/ratio20/illustrations/card/ill_51913_kemonomizugihamahime03.jpg?202102-5-RELEASE-marathon-516xx", "■")</f>
        <v>■</v>
      </c>
      <c r="F346" s="14" t="s">
        <v>6501</v>
      </c>
      <c r="G346" s="14">
        <v>64520</v>
      </c>
      <c r="H346" s="14">
        <v>71136</v>
      </c>
      <c r="I346" s="14">
        <v>24</v>
      </c>
      <c r="J346" s="14" t="s">
        <v>182</v>
      </c>
      <c r="K346" s="14" t="s">
        <v>6500</v>
      </c>
      <c r="L346" s="14" t="s">
        <v>6499</v>
      </c>
      <c r="M346" s="14" t="s">
        <v>9158</v>
      </c>
      <c r="N346" s="14" t="s">
        <v>9158</v>
      </c>
      <c r="O346" s="14" t="s">
        <v>9158</v>
      </c>
      <c r="P346" s="14" t="s">
        <v>9158</v>
      </c>
      <c r="Q346" s="14" t="s">
        <v>9158</v>
      </c>
    </row>
    <row r="347" spans="1:17">
      <c r="A347" s="14">
        <v>53203</v>
      </c>
      <c r="B347" s="14" t="s">
        <v>15</v>
      </c>
      <c r="C347" s="14" t="s">
        <v>165</v>
      </c>
      <c r="D347" s="20" t="s">
        <v>10494</v>
      </c>
      <c r="E347" s="15" t="str">
        <f>HYPERLINK("https://stat100.ameba.jp/tnk47/ratio20/illustrations/card/ill_53203_buruhawaichan03.jpg?202102-5-RELEASE-marathon-516xx", "■")</f>
        <v>■</v>
      </c>
      <c r="F347" s="14" t="s">
        <v>6258</v>
      </c>
      <c r="G347" s="14">
        <v>64520</v>
      </c>
      <c r="H347" s="14">
        <v>71136</v>
      </c>
      <c r="I347" s="14">
        <v>24</v>
      </c>
      <c r="J347" s="14" t="s">
        <v>104</v>
      </c>
      <c r="K347" s="14" t="s">
        <v>6261</v>
      </c>
      <c r="L347" s="14" t="s">
        <v>6260</v>
      </c>
      <c r="M347" s="14" t="s">
        <v>9158</v>
      </c>
      <c r="N347" s="14" t="s">
        <v>9158</v>
      </c>
      <c r="O347" s="14" t="s">
        <v>9158</v>
      </c>
      <c r="P347" s="14" t="s">
        <v>9158</v>
      </c>
      <c r="Q347" s="14" t="s">
        <v>9158</v>
      </c>
    </row>
    <row r="349" spans="1:17">
      <c r="A349" s="14" t="s">
        <v>4012</v>
      </c>
    </row>
    <row r="350" spans="1:17">
      <c r="A350" s="14">
        <v>236781</v>
      </c>
      <c r="B350" s="14" t="s">
        <v>16329</v>
      </c>
    </row>
    <row r="351" spans="1:17">
      <c r="A351" s="14" t="s">
        <v>5778</v>
      </c>
      <c r="B351" s="14" t="s">
        <v>330</v>
      </c>
      <c r="C351" s="14" t="s">
        <v>205</v>
      </c>
      <c r="D351" s="19" t="s">
        <v>272</v>
      </c>
      <c r="E351" s="15" t="str">
        <f>HYPERLINK("https://stat100.ameba.jp/tnk47/ratio20/illustrations/card/ill_68783_0_gantammomotaro03.jpg?202102-5-RELEASE-marathon-516xx", "■")</f>
        <v>■</v>
      </c>
      <c r="F351" s="14" t="s">
        <v>2273</v>
      </c>
      <c r="G351" s="14">
        <v>177824</v>
      </c>
      <c r="H351" s="14">
        <v>165310</v>
      </c>
      <c r="I351" s="14">
        <v>26</v>
      </c>
      <c r="J351" s="14" t="s">
        <v>274</v>
      </c>
      <c r="K351" s="14" t="s">
        <v>275</v>
      </c>
      <c r="L351" s="14" t="s">
        <v>276</v>
      </c>
      <c r="M351" s="14" t="s">
        <v>9158</v>
      </c>
      <c r="N351" s="14" t="s">
        <v>9158</v>
      </c>
      <c r="O351" s="19" t="s">
        <v>10099</v>
      </c>
      <c r="P351" s="14" t="s">
        <v>3085</v>
      </c>
      <c r="Q351" s="14">
        <v>1</v>
      </c>
    </row>
    <row r="352" spans="1:17">
      <c r="A352" s="14" t="s">
        <v>5607</v>
      </c>
      <c r="B352" s="14" t="s">
        <v>330</v>
      </c>
      <c r="C352" s="14" t="s">
        <v>200</v>
      </c>
      <c r="D352" s="20" t="s">
        <v>421</v>
      </c>
      <c r="E352" s="15" t="str">
        <f>HYPERLINK("https://stat100.ameba.jp/tnk47/ratio20/illustrations/card/ill_58853_0_setsubumpanikkuhiratsukaraicho03.jpg?202102-5-RELEASE-marathon-516xx", "■")</f>
        <v>■</v>
      </c>
      <c r="F352" s="14" t="s">
        <v>1040</v>
      </c>
      <c r="G352" s="14">
        <v>163342</v>
      </c>
      <c r="H352" s="14">
        <v>145100</v>
      </c>
      <c r="I352" s="14">
        <v>26</v>
      </c>
      <c r="J352" s="14" t="s">
        <v>16</v>
      </c>
      <c r="K352" s="14" t="s">
        <v>1041</v>
      </c>
      <c r="L352" s="14" t="s">
        <v>1042</v>
      </c>
      <c r="M352" s="14" t="s">
        <v>9158</v>
      </c>
      <c r="N352" s="14" t="s">
        <v>9158</v>
      </c>
      <c r="O352" s="19" t="s">
        <v>10075</v>
      </c>
      <c r="P352" s="14" t="s">
        <v>2870</v>
      </c>
      <c r="Q352" s="14">
        <v>1</v>
      </c>
    </row>
    <row r="353" spans="1:19">
      <c r="A353" s="14" t="s">
        <v>5612</v>
      </c>
      <c r="B353" s="14" t="s">
        <v>52</v>
      </c>
      <c r="C353" s="14" t="s">
        <v>165</v>
      </c>
      <c r="D353" s="19" t="s">
        <v>789</v>
      </c>
      <c r="E353" s="15" t="str">
        <f>HYPERLINK("https://stat100.ameba.jp/tnk47/ratio20/illustrations/card/ill_49193_0_onmyoudouabenoseimei03.jpg?202102-5-RELEASE-marathon-516xx", "■")</f>
        <v>■</v>
      </c>
      <c r="F353" s="14" t="s">
        <v>1896</v>
      </c>
      <c r="G353" s="14">
        <v>145100</v>
      </c>
      <c r="H353" s="14">
        <v>163342</v>
      </c>
      <c r="I353" s="14">
        <v>26</v>
      </c>
      <c r="J353" s="14" t="s">
        <v>10</v>
      </c>
      <c r="K353" s="14" t="s">
        <v>1897</v>
      </c>
      <c r="L353" s="14" t="s">
        <v>1898</v>
      </c>
      <c r="M353" s="14" t="s">
        <v>9158</v>
      </c>
      <c r="N353" s="14" t="s">
        <v>9158</v>
      </c>
      <c r="O353" s="14" t="s">
        <v>9158</v>
      </c>
      <c r="P353" s="14" t="s">
        <v>9158</v>
      </c>
      <c r="Q353" s="14" t="s">
        <v>9158</v>
      </c>
    </row>
    <row r="354" spans="1:19">
      <c r="A354" s="14">
        <v>90923</v>
      </c>
      <c r="B354" s="14" t="s">
        <v>0</v>
      </c>
      <c r="C354" s="14" t="s">
        <v>35</v>
      </c>
      <c r="D354" s="14" t="s">
        <v>16333</v>
      </c>
      <c r="E354" s="15" t="str">
        <f>HYPERLINK("https://stat100.ameba.jp/tnk47/ratio20/illustrations/card/ill_90923_mizugiaidorusuikotenno03.jpg?202102-5-RELEASE-marathon-516xx", "■")</f>
        <v>■</v>
      </c>
      <c r="F354" s="14" t="s">
        <v>16332</v>
      </c>
      <c r="G354" s="14">
        <v>106386</v>
      </c>
      <c r="H354" s="14">
        <v>114452</v>
      </c>
      <c r="I354" s="14">
        <v>28</v>
      </c>
      <c r="J354" s="14" t="s">
        <v>10</v>
      </c>
      <c r="K354" s="14" t="s">
        <v>16331</v>
      </c>
      <c r="L354" s="14" t="s">
        <v>1977</v>
      </c>
      <c r="M354" s="14" t="s">
        <v>9158</v>
      </c>
      <c r="N354" s="14" t="s">
        <v>9158</v>
      </c>
      <c r="O354" s="14" t="s">
        <v>9158</v>
      </c>
      <c r="P354" s="14" t="s">
        <v>9158</v>
      </c>
      <c r="Q354" s="14" t="s">
        <v>9158</v>
      </c>
      <c r="S354" s="14" t="s">
        <v>16344</v>
      </c>
    </row>
    <row r="355" spans="1:19">
      <c r="A355" s="14">
        <v>88503</v>
      </c>
      <c r="B355" s="14" t="s">
        <v>0</v>
      </c>
      <c r="C355" s="14" t="s">
        <v>47</v>
      </c>
      <c r="D355" s="14" t="s">
        <v>16337</v>
      </c>
      <c r="E355" s="15" t="str">
        <f>HYPERLINK("https://stat100.ameba.jp/tnk47/ratio20/illustrations/card/ill_88503_furawagadenerunia03.jpg?202102-5-RELEASE-marathon-516xx", "■")</f>
        <v>■</v>
      </c>
      <c r="F355" s="14" t="s">
        <v>16336</v>
      </c>
      <c r="G355" s="14">
        <v>101650</v>
      </c>
      <c r="H355" s="14">
        <v>109370</v>
      </c>
      <c r="I355" s="14">
        <v>28</v>
      </c>
      <c r="J355" s="14" t="s">
        <v>77</v>
      </c>
      <c r="K355" s="14" t="s">
        <v>16335</v>
      </c>
      <c r="L355" s="14" t="s">
        <v>16334</v>
      </c>
      <c r="M355" s="14" t="s">
        <v>9158</v>
      </c>
      <c r="N355" s="14" t="s">
        <v>9158</v>
      </c>
      <c r="O355" s="14" t="s">
        <v>9158</v>
      </c>
      <c r="P355" s="14" t="s">
        <v>9158</v>
      </c>
      <c r="Q355" s="14" t="s">
        <v>9158</v>
      </c>
      <c r="S355" s="14" t="s">
        <v>16343</v>
      </c>
    </row>
    <row r="356" spans="1:19">
      <c r="A356" s="14">
        <v>89933</v>
      </c>
      <c r="B356" s="14" t="s">
        <v>0</v>
      </c>
      <c r="C356" s="14" t="s">
        <v>41</v>
      </c>
      <c r="D356" s="14" t="s">
        <v>16341</v>
      </c>
      <c r="E356" s="15" t="str">
        <f>HYPERLINK("https://stat100.ameba.jp/tnk47/ratio20/illustrations/card/ill_89933_erementarujoga03.jpg?202102-5-RELEASE-marathon-516xx", "■")</f>
        <v>■</v>
      </c>
      <c r="F356" s="14" t="s">
        <v>16340</v>
      </c>
      <c r="G356" s="14">
        <v>113536</v>
      </c>
      <c r="H356" s="14">
        <v>105610</v>
      </c>
      <c r="I356" s="14">
        <v>28</v>
      </c>
      <c r="J356" s="14" t="s">
        <v>16</v>
      </c>
      <c r="K356" s="14" t="s">
        <v>16339</v>
      </c>
      <c r="L356" s="14" t="s">
        <v>16338</v>
      </c>
      <c r="M356" s="14" t="s">
        <v>9158</v>
      </c>
      <c r="N356" s="14" t="s">
        <v>9158</v>
      </c>
      <c r="O356" s="14" t="s">
        <v>9158</v>
      </c>
      <c r="P356" s="14" t="s">
        <v>9158</v>
      </c>
      <c r="Q356" s="14" t="s">
        <v>9158</v>
      </c>
      <c r="S356" s="14" t="s">
        <v>16342</v>
      </c>
    </row>
    <row r="357" spans="1:19">
      <c r="A357" s="14">
        <v>88013</v>
      </c>
      <c r="B357" s="14" t="s">
        <v>15</v>
      </c>
      <c r="C357" s="14" t="s">
        <v>14</v>
      </c>
      <c r="D357" s="14" t="s">
        <v>16165</v>
      </c>
      <c r="E357" s="15" t="str">
        <f>HYPERLINK("https://stat100.ameba.jp/tnk47/ratio20/illustrations/card/ill_88013_sakanouenomasamichi03.jpg?202102-5-RELEASE-marathon-516xx", "■")</f>
        <v>■</v>
      </c>
      <c r="F357" s="14" t="s">
        <v>16164</v>
      </c>
      <c r="G357" s="14">
        <v>69898</v>
      </c>
      <c r="H357" s="14">
        <v>77064</v>
      </c>
      <c r="I357" s="14">
        <v>26</v>
      </c>
      <c r="J357" s="14" t="s">
        <v>143</v>
      </c>
      <c r="K357" s="14" t="s">
        <v>16163</v>
      </c>
      <c r="L357" s="14" t="s">
        <v>16162</v>
      </c>
      <c r="M357" s="14" t="s">
        <v>9158</v>
      </c>
      <c r="N357" s="14" t="s">
        <v>9158</v>
      </c>
      <c r="O357" s="14" t="s">
        <v>9158</v>
      </c>
      <c r="P357" s="14" t="s">
        <v>9158</v>
      </c>
      <c r="Q357" s="14" t="s">
        <v>9158</v>
      </c>
      <c r="S357" s="14" t="s">
        <v>16177</v>
      </c>
    </row>
    <row r="358" spans="1:19">
      <c r="A358" s="14">
        <v>83843</v>
      </c>
      <c r="B358" s="14" t="s">
        <v>15</v>
      </c>
      <c r="C358" s="14" t="s">
        <v>101</v>
      </c>
      <c r="D358" s="14" t="s">
        <v>16169</v>
      </c>
      <c r="E358" s="15" t="str">
        <f>HYPERLINK("https://stat100.ameba.jp/tnk47/ratio20/illustrations/card/ill_83843_akihanookami03.jpg?202102-5-RELEASE-marathon-516xx", "■")</f>
        <v>■</v>
      </c>
      <c r="F358" s="14" t="s">
        <v>16168</v>
      </c>
      <c r="G358" s="14">
        <v>69898</v>
      </c>
      <c r="H358" s="14">
        <v>77064</v>
      </c>
      <c r="I358" s="14">
        <v>26</v>
      </c>
      <c r="J358" s="14" t="s">
        <v>44</v>
      </c>
      <c r="K358" s="14" t="s">
        <v>16167</v>
      </c>
      <c r="L358" s="14" t="s">
        <v>16166</v>
      </c>
      <c r="M358" s="14" t="s">
        <v>9158</v>
      </c>
      <c r="N358" s="14" t="s">
        <v>9158</v>
      </c>
      <c r="O358" s="14" t="s">
        <v>9158</v>
      </c>
      <c r="P358" s="14" t="s">
        <v>9158</v>
      </c>
      <c r="Q358" s="14" t="s">
        <v>9158</v>
      </c>
      <c r="S358" s="14" t="s">
        <v>16178</v>
      </c>
    </row>
    <row r="359" spans="1:19">
      <c r="A359" s="14">
        <v>90263</v>
      </c>
      <c r="B359" s="14" t="s">
        <v>15</v>
      </c>
      <c r="C359" s="14" t="s">
        <v>107</v>
      </c>
      <c r="D359" s="14" t="s">
        <v>16173</v>
      </c>
      <c r="E359" s="15" t="str">
        <f>HYPERLINK("https://stat100.ameba.jp/tnk47/ratio20/illustrations/card/ill_90263_daikokaijidaiawamorichan03.jpg?202102-5-RELEASE-marathon-516xx", "■")</f>
        <v>■</v>
      </c>
      <c r="F359" s="14" t="s">
        <v>16172</v>
      </c>
      <c r="G359" s="14">
        <v>77064</v>
      </c>
      <c r="H359" s="14">
        <v>69898</v>
      </c>
      <c r="I359" s="14">
        <v>26</v>
      </c>
      <c r="J359" s="14" t="s">
        <v>104</v>
      </c>
      <c r="K359" s="14" t="s">
        <v>16171</v>
      </c>
      <c r="L359" s="14" t="s">
        <v>16170</v>
      </c>
      <c r="M359" s="14" t="s">
        <v>9158</v>
      </c>
      <c r="N359" s="14" t="s">
        <v>9158</v>
      </c>
      <c r="O359" s="14" t="s">
        <v>9158</v>
      </c>
      <c r="P359" s="14" t="s">
        <v>9158</v>
      </c>
      <c r="Q359" s="14" t="s">
        <v>9158</v>
      </c>
      <c r="S359" s="14" t="s">
        <v>16174</v>
      </c>
    </row>
    <row r="361" spans="1:19">
      <c r="A361" s="14" t="s">
        <v>13327</v>
      </c>
    </row>
    <row r="362" spans="1:19">
      <c r="A362" s="14">
        <v>106846</v>
      </c>
      <c r="B362" s="14" t="s">
        <v>16330</v>
      </c>
    </row>
    <row r="363" spans="1:19">
      <c r="A363" s="14">
        <v>82213</v>
      </c>
      <c r="B363" s="14" t="s">
        <v>0</v>
      </c>
      <c r="C363" s="14" t="s">
        <v>185</v>
      </c>
      <c r="D363" s="19" t="s">
        <v>10185</v>
      </c>
      <c r="E363" s="15" t="str">
        <f>HYPERLINK("https://stat100.ameba.jp/tnk47/ratio20/illustrations/card/ill_82213_tatarimokke03.jpg?202102-5-RELEASE-marathon-516xx", "■")</f>
        <v>■</v>
      </c>
      <c r="F363" s="14" t="s">
        <v>4935</v>
      </c>
      <c r="G363" s="14">
        <v>128160</v>
      </c>
      <c r="H363" s="14">
        <v>137846</v>
      </c>
      <c r="I363" s="7">
        <v>28</v>
      </c>
      <c r="J363" s="14" t="s">
        <v>182</v>
      </c>
      <c r="K363" s="14" t="s">
        <v>4937</v>
      </c>
      <c r="L363" s="14" t="s">
        <v>13191</v>
      </c>
      <c r="M363" s="14" t="s">
        <v>13130</v>
      </c>
      <c r="N363" s="14" t="s">
        <v>343</v>
      </c>
      <c r="O363" s="14" t="s">
        <v>9158</v>
      </c>
      <c r="P363" s="14" t="s">
        <v>9158</v>
      </c>
      <c r="Q363" s="14" t="s">
        <v>9158</v>
      </c>
      <c r="R363" s="14" t="s">
        <v>14748</v>
      </c>
    </row>
    <row r="364" spans="1:19">
      <c r="A364" s="14">
        <v>82212</v>
      </c>
      <c r="B364" s="14" t="s">
        <v>334</v>
      </c>
      <c r="C364" s="14" t="s">
        <v>185</v>
      </c>
      <c r="D364" s="19" t="s">
        <v>10185</v>
      </c>
      <c r="E364" s="15" t="str">
        <f>HYPERLINK("https://stat100.ameba.jp/tnk47/ratio20/illustrations/card/ill_82212_tatarimokke02.jpg?202102-5-RELEASE-marathon-516xx", "■")</f>
        <v>■</v>
      </c>
      <c r="F364" s="14" t="s">
        <v>4935</v>
      </c>
      <c r="G364" s="14">
        <v>106148</v>
      </c>
      <c r="H364" s="14">
        <v>115230</v>
      </c>
      <c r="I364" s="7">
        <v>28</v>
      </c>
      <c r="J364" s="14" t="s">
        <v>182</v>
      </c>
      <c r="K364" s="14" t="s">
        <v>4937</v>
      </c>
      <c r="L364" s="14" t="s">
        <v>13191</v>
      </c>
      <c r="M364" s="14" t="s">
        <v>13131</v>
      </c>
      <c r="N364" s="14" t="s">
        <v>251</v>
      </c>
      <c r="O364" s="14" t="s">
        <v>9158</v>
      </c>
      <c r="P364" s="14" t="s">
        <v>9158</v>
      </c>
      <c r="Q364" s="14" t="s">
        <v>9158</v>
      </c>
      <c r="R364" s="14" t="s">
        <v>14748</v>
      </c>
    </row>
    <row r="365" spans="1:19">
      <c r="A365" s="14">
        <v>82211</v>
      </c>
      <c r="B365" s="14" t="s">
        <v>0</v>
      </c>
      <c r="C365" s="14" t="s">
        <v>185</v>
      </c>
      <c r="D365" s="19" t="s">
        <v>10185</v>
      </c>
      <c r="E365" s="15" t="str">
        <f>HYPERLINK("https://stat100.ameba.jp/tnk47/ratio20/illustrations/card/ill_82211_tatarimokke01.jpg?202102-5-RELEASE-marathon-516xx", "■")</f>
        <v>■</v>
      </c>
      <c r="F365" s="14" t="s">
        <v>4935</v>
      </c>
      <c r="G365" s="14">
        <v>81900</v>
      </c>
      <c r="H365" s="14">
        <v>87976</v>
      </c>
      <c r="I365" s="7">
        <v>28</v>
      </c>
      <c r="J365" s="14" t="s">
        <v>182</v>
      </c>
      <c r="K365" s="14" t="s">
        <v>4937</v>
      </c>
      <c r="L365" s="14" t="s">
        <v>13191</v>
      </c>
      <c r="M365" s="14" t="s">
        <v>13131</v>
      </c>
      <c r="N365" s="14" t="s">
        <v>251</v>
      </c>
      <c r="O365" s="14" t="s">
        <v>9158</v>
      </c>
      <c r="P365" s="14" t="s">
        <v>9158</v>
      </c>
      <c r="Q365" s="14" t="s">
        <v>9158</v>
      </c>
      <c r="R365" s="14" t="s">
        <v>14748</v>
      </c>
    </row>
    <row r="366" spans="1:19">
      <c r="A366" s="14">
        <v>82223</v>
      </c>
      <c r="B366" s="14" t="s">
        <v>334</v>
      </c>
      <c r="C366" s="14" t="s">
        <v>200</v>
      </c>
      <c r="D366" s="19" t="s">
        <v>10186</v>
      </c>
      <c r="E366" s="15" t="str">
        <f>HYPERLINK("https://stat100.ameba.jp/tnk47/ratio20/illustrations/card/ill_82223_oyayubihime03.jpg?202102-5-RELEASE-marathon-516xx", "■")</f>
        <v>■</v>
      </c>
      <c r="F366" s="14" t="s">
        <v>4931</v>
      </c>
      <c r="G366" s="14">
        <v>137846</v>
      </c>
      <c r="H366" s="14">
        <v>128160</v>
      </c>
      <c r="I366" s="7">
        <v>28</v>
      </c>
      <c r="J366" s="14" t="s">
        <v>155</v>
      </c>
      <c r="K366" s="14" t="s">
        <v>4933</v>
      </c>
      <c r="L366" s="14" t="s">
        <v>4934</v>
      </c>
      <c r="M366" s="14" t="s">
        <v>13130</v>
      </c>
      <c r="N366" s="14" t="s">
        <v>343</v>
      </c>
      <c r="O366" s="14" t="s">
        <v>9158</v>
      </c>
      <c r="P366" s="14" t="s">
        <v>9158</v>
      </c>
      <c r="Q366" s="14" t="s">
        <v>9158</v>
      </c>
      <c r="R366" s="14" t="s">
        <v>14748</v>
      </c>
    </row>
    <row r="367" spans="1:19">
      <c r="A367" s="14">
        <v>82233</v>
      </c>
      <c r="B367" s="14" t="s">
        <v>334</v>
      </c>
      <c r="C367" s="14" t="s">
        <v>191</v>
      </c>
      <c r="D367" s="19" t="s">
        <v>10187</v>
      </c>
      <c r="E367" s="15" t="str">
        <f>HYPERLINK("https://stat100.ameba.jp/tnk47/ratio20/illustrations/card/ill_82233_iseokiku03.jpg?202102-5-RELEASE-marathon-516xx", "■")</f>
        <v>■</v>
      </c>
      <c r="F367" s="14" t="s">
        <v>4924</v>
      </c>
      <c r="G367" s="14">
        <v>137846</v>
      </c>
      <c r="H367" s="14">
        <v>128160</v>
      </c>
      <c r="I367" s="7">
        <v>28</v>
      </c>
      <c r="J367" s="14" t="s">
        <v>187</v>
      </c>
      <c r="K367" s="14" t="s">
        <v>4926</v>
      </c>
      <c r="L367" s="14" t="s">
        <v>4930</v>
      </c>
      <c r="M367" s="14" t="s">
        <v>13130</v>
      </c>
      <c r="N367" s="14" t="s">
        <v>343</v>
      </c>
      <c r="O367" s="14" t="s">
        <v>9158</v>
      </c>
      <c r="P367" s="14" t="s">
        <v>9158</v>
      </c>
      <c r="Q367" s="14" t="s">
        <v>9158</v>
      </c>
      <c r="R367" s="14" t="s">
        <v>14748</v>
      </c>
    </row>
    <row r="368" spans="1:19">
      <c r="A368" s="14">
        <v>82243</v>
      </c>
      <c r="B368" s="14" t="s">
        <v>0</v>
      </c>
      <c r="C368" s="14" t="s">
        <v>165</v>
      </c>
      <c r="D368" s="19" t="s">
        <v>10188</v>
      </c>
      <c r="E368" s="15" t="str">
        <f>HYPERLINK("https://stat100.ameba.jp/tnk47/ratio20/illustrations/card/ill_82243_nanohana03.jpg?202102-5-RELEASE-marathon-516xx", "■")</f>
        <v>■</v>
      </c>
      <c r="F368" s="14" t="s">
        <v>4921</v>
      </c>
      <c r="G368" s="14">
        <v>137846</v>
      </c>
      <c r="H368" s="14">
        <v>128160</v>
      </c>
      <c r="I368" s="7">
        <v>28</v>
      </c>
      <c r="J368" s="14" t="s">
        <v>229</v>
      </c>
      <c r="K368" s="14" t="s">
        <v>4923</v>
      </c>
      <c r="L368" s="14" t="s">
        <v>4929</v>
      </c>
      <c r="M368" s="14" t="s">
        <v>13130</v>
      </c>
      <c r="N368" s="14" t="s">
        <v>343</v>
      </c>
      <c r="O368" s="14" t="s">
        <v>9158</v>
      </c>
      <c r="P368" s="14" t="s">
        <v>9158</v>
      </c>
      <c r="Q368" s="14" t="s">
        <v>9158</v>
      </c>
      <c r="R368" s="14" t="s">
        <v>14748</v>
      </c>
    </row>
    <row r="369" spans="1:18">
      <c r="A369" s="14">
        <v>82253</v>
      </c>
      <c r="B369" s="14" t="s">
        <v>334</v>
      </c>
      <c r="C369" s="14" t="s">
        <v>205</v>
      </c>
      <c r="D369" s="19" t="s">
        <v>10189</v>
      </c>
      <c r="E369" s="15" t="str">
        <f>HYPERLINK("https://stat100.ameba.jp/tnk47/ratio20/illustrations/card/ill_82253_ajisaikyogokuichiko03.jpg?202102-5-RELEASE-marathon-516xx", "■")</f>
        <v>■</v>
      </c>
      <c r="F369" s="14" t="s">
        <v>4920</v>
      </c>
      <c r="G369" s="14">
        <v>128160</v>
      </c>
      <c r="H369" s="14">
        <v>137846</v>
      </c>
      <c r="I369" s="7">
        <v>28</v>
      </c>
      <c r="J369" s="14" t="s">
        <v>159</v>
      </c>
      <c r="K369" s="14" t="s">
        <v>4919</v>
      </c>
      <c r="L369" s="14" t="s">
        <v>4927</v>
      </c>
      <c r="M369" s="14" t="s">
        <v>13130</v>
      </c>
      <c r="N369" s="14" t="s">
        <v>343</v>
      </c>
      <c r="O369" s="14" t="s">
        <v>9158</v>
      </c>
      <c r="P369" s="14" t="s">
        <v>9158</v>
      </c>
      <c r="Q369" s="14" t="s">
        <v>9158</v>
      </c>
      <c r="R369" s="14" t="s">
        <v>14748</v>
      </c>
    </row>
    <row r="370" spans="1:18">
      <c r="A370" s="14">
        <v>82263</v>
      </c>
      <c r="B370" s="14" t="s">
        <v>334</v>
      </c>
      <c r="C370" s="14" t="s">
        <v>206</v>
      </c>
      <c r="D370" s="19" t="s">
        <v>10190</v>
      </c>
      <c r="E370" s="15" t="str">
        <f>HYPERLINK("https://stat100.ameba.jp/tnk47/ratio20/illustrations/card/ill_82263_euterupe03.jpg?202102-5-RELEASE-marathon-516xx", "■")</f>
        <v>■</v>
      </c>
      <c r="F370" s="14" t="s">
        <v>4915</v>
      </c>
      <c r="G370" s="14">
        <v>128160</v>
      </c>
      <c r="H370" s="14">
        <v>137846</v>
      </c>
      <c r="I370" s="7">
        <v>28</v>
      </c>
      <c r="J370" s="14" t="s">
        <v>169</v>
      </c>
      <c r="K370" s="14" t="s">
        <v>4917</v>
      </c>
      <c r="L370" s="14" t="s">
        <v>4928</v>
      </c>
      <c r="M370" s="14" t="s">
        <v>13130</v>
      </c>
      <c r="N370" s="14" t="s">
        <v>343</v>
      </c>
      <c r="O370" s="14" t="s">
        <v>9158</v>
      </c>
      <c r="P370" s="14" t="s">
        <v>9158</v>
      </c>
      <c r="Q370" s="14" t="s">
        <v>9158</v>
      </c>
      <c r="R370" s="14" t="s">
        <v>14748</v>
      </c>
    </row>
    <row r="372" spans="1:18">
      <c r="A372" s="14" t="s">
        <v>1711</v>
      </c>
    </row>
    <row r="373" spans="1:18">
      <c r="A373" s="14">
        <v>106871</v>
      </c>
      <c r="B373" s="14" t="s">
        <v>9695</v>
      </c>
    </row>
    <row r="374" spans="1:18">
      <c r="A374" s="14" t="s">
        <v>12012</v>
      </c>
      <c r="B374" s="7" t="s">
        <v>52</v>
      </c>
      <c r="C374" s="14" t="s">
        <v>202</v>
      </c>
      <c r="D374" s="18" t="s">
        <v>12013</v>
      </c>
      <c r="E374" s="15" t="str">
        <f>HYPERLINK("https://stat100.ameba.jp/tnk47/ratio20/illustrations/card/ill_88363_0_hanamijingukogo03.jpg?202102-5-RELEASE-marathon-516xx", "■")</f>
        <v>■</v>
      </c>
      <c r="F374" s="14" t="s">
        <v>12014</v>
      </c>
      <c r="G374" s="14">
        <v>292102</v>
      </c>
      <c r="H374" s="14">
        <v>263998</v>
      </c>
      <c r="I374" s="7">
        <v>24</v>
      </c>
      <c r="J374" s="14" t="s">
        <v>10</v>
      </c>
      <c r="K374" s="14" t="s">
        <v>12015</v>
      </c>
      <c r="L374" s="14" t="s">
        <v>12016</v>
      </c>
      <c r="M374" s="14" t="s">
        <v>9158</v>
      </c>
      <c r="N374" s="14" t="s">
        <v>9158</v>
      </c>
      <c r="O374" s="6" t="s">
        <v>12017</v>
      </c>
      <c r="P374" s="7" t="s">
        <v>12018</v>
      </c>
      <c r="Q374" s="7">
        <v>1</v>
      </c>
    </row>
    <row r="375" spans="1:18">
      <c r="A375" s="14" t="s">
        <v>6598</v>
      </c>
      <c r="B375" s="14" t="s">
        <v>330</v>
      </c>
      <c r="C375" s="14" t="s">
        <v>35</v>
      </c>
      <c r="D375" s="19" t="s">
        <v>10555</v>
      </c>
      <c r="E375" s="15" t="str">
        <f>HYPERLINK("https://stat100.ameba.jp/tnk47/ratio20/illustrations/card/ill_83553_0_kajuenamoronagu03.jpg?202102-5-RELEASE-marathon-516xx", "■")</f>
        <v>■</v>
      </c>
      <c r="F375" s="14" t="s">
        <v>6597</v>
      </c>
      <c r="G375" s="14">
        <v>252640</v>
      </c>
      <c r="H375" s="14">
        <v>279536</v>
      </c>
      <c r="I375" s="14">
        <v>24</v>
      </c>
      <c r="J375" s="14" t="s">
        <v>44</v>
      </c>
      <c r="K375" s="14" t="s">
        <v>6595</v>
      </c>
      <c r="L375" s="14" t="s">
        <v>6594</v>
      </c>
      <c r="M375" s="14" t="s">
        <v>9158</v>
      </c>
      <c r="N375" s="14" t="s">
        <v>9158</v>
      </c>
      <c r="O375" s="19" t="s">
        <v>10125</v>
      </c>
      <c r="P375" s="14" t="s">
        <v>6599</v>
      </c>
      <c r="Q375" s="14">
        <v>1</v>
      </c>
    </row>
    <row r="376" spans="1:18">
      <c r="A376" s="14" t="s">
        <v>5608</v>
      </c>
      <c r="B376" s="14" t="s">
        <v>52</v>
      </c>
      <c r="C376" s="14" t="s">
        <v>96</v>
      </c>
      <c r="D376" s="19" t="s">
        <v>634</v>
      </c>
      <c r="E376" s="15" t="str">
        <f>HYPERLINK("https://stat100.ameba.jp/tnk47/ratio20/illustrations/card/ill_40963_0_makami03.jpg?202102-5-RELEASE-marathon-516xx", "■")</f>
        <v>■</v>
      </c>
      <c r="F376" s="14" t="s">
        <v>2038</v>
      </c>
      <c r="G376" s="14">
        <v>140448</v>
      </c>
      <c r="H376" s="14">
        <v>131538</v>
      </c>
      <c r="I376" s="14">
        <v>24</v>
      </c>
      <c r="J376" s="14" t="s">
        <v>44</v>
      </c>
      <c r="K376" s="14" t="s">
        <v>2039</v>
      </c>
      <c r="L376" s="14" t="s">
        <v>2040</v>
      </c>
      <c r="M376" s="14" t="s">
        <v>9158</v>
      </c>
      <c r="N376" s="14" t="s">
        <v>9158</v>
      </c>
      <c r="O376" s="14" t="s">
        <v>9158</v>
      </c>
      <c r="P376" s="14" t="s">
        <v>9158</v>
      </c>
      <c r="Q376" s="14" t="s">
        <v>9158</v>
      </c>
    </row>
    <row r="377" spans="1:18">
      <c r="A377" s="14">
        <v>95893</v>
      </c>
      <c r="B377" s="14" t="s">
        <v>0</v>
      </c>
      <c r="C377" s="14" t="s">
        <v>101</v>
      </c>
      <c r="D377" s="14" t="s">
        <v>16265</v>
      </c>
      <c r="E377" s="15" t="str">
        <f>HYPERLINK("https://stat100.ameba.jp/tnk47/ratio20/illustrations/card/ill_95893_akagenoan03.jpg?202102-5-RELEASE-marathon-516xx", "■")</f>
        <v>■</v>
      </c>
      <c r="F377" s="14" t="s">
        <v>16264</v>
      </c>
      <c r="G377" s="14">
        <v>110126</v>
      </c>
      <c r="H377" s="14">
        <v>118446</v>
      </c>
      <c r="I377" s="7">
        <v>26</v>
      </c>
      <c r="J377" s="14" t="s">
        <v>38</v>
      </c>
      <c r="K377" s="14" t="s">
        <v>16263</v>
      </c>
      <c r="L377" s="14" t="s">
        <v>16262</v>
      </c>
      <c r="M377" s="14" t="s">
        <v>9158</v>
      </c>
      <c r="N377" s="14" t="s">
        <v>9158</v>
      </c>
      <c r="O377" s="14" t="s">
        <v>9158</v>
      </c>
      <c r="P377" s="14" t="s">
        <v>9158</v>
      </c>
      <c r="Q377" s="14" t="s">
        <v>9158</v>
      </c>
    </row>
    <row r="378" spans="1:18">
      <c r="A378" s="14">
        <v>95903</v>
      </c>
      <c r="B378" s="14" t="s">
        <v>15</v>
      </c>
      <c r="C378" s="14" t="s">
        <v>23</v>
      </c>
      <c r="D378" s="14" t="s">
        <v>16268</v>
      </c>
      <c r="E378" s="15" t="str">
        <f>HYPERLINK("https://stat100.ameba.jp/tnk47/ratio20/illustrations/card/ill_95903_chokoretosamona03.jpg?202102-5-RELEASE-marathon-516xx", "■")</f>
        <v>■</v>
      </c>
      <c r="F378" s="14" t="s">
        <v>16267</v>
      </c>
      <c r="G378" s="14">
        <v>77064</v>
      </c>
      <c r="H378" s="14">
        <v>69898</v>
      </c>
      <c r="I378" s="7">
        <v>26</v>
      </c>
      <c r="J378" s="14" t="s">
        <v>73</v>
      </c>
      <c r="K378" s="14" t="s">
        <v>16266</v>
      </c>
      <c r="L378" s="14" t="s">
        <v>3835</v>
      </c>
      <c r="M378" s="14" t="s">
        <v>9158</v>
      </c>
      <c r="N378" s="14" t="s">
        <v>9158</v>
      </c>
      <c r="O378" s="14" t="s">
        <v>9158</v>
      </c>
      <c r="P378" s="14" t="s">
        <v>9158</v>
      </c>
      <c r="Q378" s="14" t="s">
        <v>9158</v>
      </c>
    </row>
    <row r="379" spans="1:18">
      <c r="A379" s="14">
        <v>95913</v>
      </c>
      <c r="B379" s="14" t="s">
        <v>22</v>
      </c>
      <c r="C379" s="14" t="s">
        <v>107</v>
      </c>
      <c r="D379" s="14" t="s">
        <v>16271</v>
      </c>
      <c r="E379" s="15" t="str">
        <f>HYPERLINK("https://stat100.ameba.jp/tnk47/ratio20/illustrations/card/ill_95913_valentine_amakusashirou03.jpg?202102-5-RELEASE-marathon-516xx", "■")</f>
        <v>■</v>
      </c>
      <c r="F379" s="14" t="s">
        <v>16270</v>
      </c>
      <c r="G379" s="14">
        <v>44948</v>
      </c>
      <c r="H379" s="14">
        <v>54058</v>
      </c>
      <c r="I379" s="7">
        <v>26</v>
      </c>
      <c r="J379" s="14" t="s">
        <v>10</v>
      </c>
      <c r="K379" s="14" t="s">
        <v>16269</v>
      </c>
      <c r="L379" s="14" t="s">
        <v>4228</v>
      </c>
      <c r="M379" s="14" t="s">
        <v>9158</v>
      </c>
      <c r="N379" s="14" t="s">
        <v>9158</v>
      </c>
      <c r="O379" s="14" t="s">
        <v>9158</v>
      </c>
      <c r="P379" s="14" t="s">
        <v>9158</v>
      </c>
      <c r="Q379" s="14" t="s">
        <v>9158</v>
      </c>
    </row>
    <row r="380" spans="1:18">
      <c r="A380" s="14">
        <v>95923</v>
      </c>
      <c r="B380" s="14" t="s">
        <v>22</v>
      </c>
      <c r="C380" s="14" t="s">
        <v>14</v>
      </c>
      <c r="D380" s="14" t="s">
        <v>16274</v>
      </c>
      <c r="E380" s="15" t="str">
        <f>HYPERLINK("https://stat100.ameba.jp/tnk47/ratio20/illustrations/card/ill_95923_koinokamisamaunekodoridaimyojin03.jpg?202102-5-RELEASE-marathon-516xx", "■")</f>
        <v>■</v>
      </c>
      <c r="F380" s="14" t="s">
        <v>16273</v>
      </c>
      <c r="G380" s="14">
        <v>54058</v>
      </c>
      <c r="H380" s="14">
        <v>44948</v>
      </c>
      <c r="I380" s="7">
        <v>26</v>
      </c>
      <c r="J380" s="14" t="s">
        <v>44</v>
      </c>
      <c r="K380" s="14" t="s">
        <v>16272</v>
      </c>
      <c r="L380" s="14" t="s">
        <v>4956</v>
      </c>
      <c r="M380" s="14" t="s">
        <v>9158</v>
      </c>
      <c r="N380" s="14" t="s">
        <v>9158</v>
      </c>
      <c r="O380" s="14" t="s">
        <v>9158</v>
      </c>
      <c r="P380" s="14" t="s">
        <v>9158</v>
      </c>
      <c r="Q380" s="14" t="s">
        <v>9158</v>
      </c>
    </row>
    <row r="382" spans="1:18">
      <c r="A382" s="14" t="s">
        <v>3911</v>
      </c>
    </row>
    <row r="383" spans="1:18">
      <c r="A383" s="14">
        <v>106894</v>
      </c>
      <c r="B383" s="14" t="s">
        <v>16413</v>
      </c>
    </row>
    <row r="384" spans="1:18">
      <c r="A384" s="14">
        <v>106904</v>
      </c>
      <c r="B384" s="14" t="s">
        <v>15721</v>
      </c>
    </row>
    <row r="385" spans="1:17">
      <c r="A385" s="14" t="s">
        <v>15589</v>
      </c>
      <c r="B385" s="14" t="s">
        <v>117</v>
      </c>
      <c r="C385" s="14" t="s">
        <v>35</v>
      </c>
      <c r="D385" s="14" t="s">
        <v>15579</v>
      </c>
      <c r="E385" s="15" t="str">
        <f>HYPERLINK("https://stat100.ameba.jp/tnk47/ratio20/illustrations/card/ill_93523_0_kyodokusanreijo03.jpg?202102-5-RELEASE-marathon-516xx", "■")</f>
        <v>■</v>
      </c>
      <c r="F385" s="14" t="s">
        <v>15588</v>
      </c>
      <c r="G385" s="14">
        <v>363434</v>
      </c>
      <c r="H385" s="14">
        <v>337916</v>
      </c>
      <c r="I385" s="14">
        <v>30</v>
      </c>
      <c r="J385" s="14" t="s">
        <v>26</v>
      </c>
      <c r="K385" s="14" t="s">
        <v>15586</v>
      </c>
      <c r="L385" s="14" t="s">
        <v>15585</v>
      </c>
      <c r="M385" s="14" t="s">
        <v>9158</v>
      </c>
      <c r="N385" s="14" t="s">
        <v>9158</v>
      </c>
      <c r="O385" s="14" t="s">
        <v>15590</v>
      </c>
      <c r="P385" s="14" t="s">
        <v>15591</v>
      </c>
      <c r="Q385" s="14">
        <v>1</v>
      </c>
    </row>
    <row r="386" spans="1:17">
      <c r="A386" s="14">
        <v>84323</v>
      </c>
      <c r="B386" s="14" t="s">
        <v>0</v>
      </c>
      <c r="C386" s="14" t="s">
        <v>158</v>
      </c>
      <c r="D386" s="19" t="s">
        <v>10669</v>
      </c>
      <c r="E386" s="15" t="str">
        <f>HYPERLINK("https://stat100.ameba.jp/tnk47/ratio20/illustrations/card/ill_84323_kagizumebyakko03.jpg?202102-5-RELEASE-marathon-516xx", "■")</f>
        <v>■</v>
      </c>
      <c r="F386" s="14" t="s">
        <v>7284</v>
      </c>
      <c r="G386" s="14">
        <v>142760</v>
      </c>
      <c r="H386" s="14">
        <v>103396</v>
      </c>
      <c r="I386" s="14">
        <v>28</v>
      </c>
      <c r="J386" s="14" t="s">
        <v>155</v>
      </c>
      <c r="K386" s="14" t="s">
        <v>7283</v>
      </c>
      <c r="L386" s="14" t="s">
        <v>7282</v>
      </c>
      <c r="M386" s="14" t="s">
        <v>9158</v>
      </c>
      <c r="N386" s="14" t="s">
        <v>9158</v>
      </c>
      <c r="O386" s="19" t="s">
        <v>10109</v>
      </c>
      <c r="P386" s="14" t="s">
        <v>3625</v>
      </c>
      <c r="Q386" s="14">
        <v>1</v>
      </c>
    </row>
    <row r="387" spans="1:17">
      <c r="A387" s="9">
        <v>73103</v>
      </c>
      <c r="B387" s="14" t="s">
        <v>334</v>
      </c>
      <c r="C387" s="14" t="s">
        <v>41</v>
      </c>
      <c r="D387" s="14" t="s">
        <v>2105</v>
      </c>
      <c r="E387" s="15" t="str">
        <f>HYPERLINK("https://stat100.ameba.jp/tnk47/ratio20/illustrations/card/ill_73103_nominookata03.jpg?202102-5-RELEASE-marathon-516xx", "■")</f>
        <v>■</v>
      </c>
      <c r="F387" s="14" t="s">
        <v>2106</v>
      </c>
      <c r="G387" s="14">
        <v>88650</v>
      </c>
      <c r="H387" s="14">
        <v>122372</v>
      </c>
      <c r="I387" s="14">
        <v>28</v>
      </c>
      <c r="J387" s="14" t="s">
        <v>77</v>
      </c>
      <c r="K387" s="14" t="s">
        <v>2107</v>
      </c>
      <c r="L387" s="14" t="s">
        <v>969</v>
      </c>
      <c r="M387" s="14" t="s">
        <v>9158</v>
      </c>
      <c r="N387" s="14" t="s">
        <v>9158</v>
      </c>
      <c r="O387" s="9" t="s">
        <v>2717</v>
      </c>
      <c r="P387" s="14" t="s">
        <v>13173</v>
      </c>
      <c r="Q387" s="14">
        <v>1</v>
      </c>
    </row>
    <row r="388" spans="1:17">
      <c r="A388" s="14">
        <v>71333</v>
      </c>
      <c r="B388" s="14" t="s">
        <v>0</v>
      </c>
      <c r="C388" s="14" t="s">
        <v>41</v>
      </c>
      <c r="D388" s="19" t="s">
        <v>10256</v>
      </c>
      <c r="E388" s="15" t="str">
        <f>HYPERLINK("https://stat100.ameba.jp/tnk47/ratio20/illustrations/card/ill_71333_fujiwaranokamatari03.jpg?202102-5-RELEASE-marathon-516xx", "■")</f>
        <v>■</v>
      </c>
      <c r="F388" s="14" t="s">
        <v>58</v>
      </c>
      <c r="G388" s="14">
        <v>122372</v>
      </c>
      <c r="H388" s="14">
        <v>88650</v>
      </c>
      <c r="I388" s="14">
        <v>28</v>
      </c>
      <c r="J388" s="14" t="s">
        <v>10</v>
      </c>
      <c r="K388" s="14" t="s">
        <v>59</v>
      </c>
      <c r="L388" s="14" t="s">
        <v>60</v>
      </c>
      <c r="M388" s="14" t="s">
        <v>9158</v>
      </c>
      <c r="N388" s="14" t="s">
        <v>9158</v>
      </c>
      <c r="O388" s="19" t="s">
        <v>10098</v>
      </c>
      <c r="P388" s="14" t="s">
        <v>3491</v>
      </c>
      <c r="Q388" s="14">
        <v>1</v>
      </c>
    </row>
    <row r="389" spans="1:17">
      <c r="A389" s="14">
        <v>76793</v>
      </c>
      <c r="B389" s="14" t="s">
        <v>334</v>
      </c>
      <c r="C389" s="14" t="s">
        <v>268</v>
      </c>
      <c r="D389" s="20" t="s">
        <v>425</v>
      </c>
      <c r="E389" s="15" t="str">
        <f>HYPERLINK("https://stat100.ameba.jp/tnk47/ratio20/illustrations/card/ill_76793_monsutatamatebako03.jpg?202102-5-RELEASE-marathon-516xx", "■")</f>
        <v>■</v>
      </c>
      <c r="F389" s="14" t="s">
        <v>426</v>
      </c>
      <c r="G389" s="14">
        <v>127078</v>
      </c>
      <c r="H389" s="14">
        <v>92068</v>
      </c>
      <c r="I389" s="14">
        <v>28</v>
      </c>
      <c r="J389" s="14" t="s">
        <v>274</v>
      </c>
      <c r="K389" s="14" t="s">
        <v>427</v>
      </c>
      <c r="L389" s="14" t="s">
        <v>428</v>
      </c>
      <c r="M389" s="14" t="s">
        <v>9158</v>
      </c>
      <c r="N389" s="14" t="s">
        <v>9158</v>
      </c>
      <c r="O389" s="19" t="s">
        <v>3037</v>
      </c>
      <c r="P389" s="14" t="s">
        <v>13128</v>
      </c>
      <c r="Q389" s="14">
        <v>1</v>
      </c>
    </row>
    <row r="390" spans="1:17">
      <c r="A390" s="14">
        <v>75053</v>
      </c>
      <c r="B390" s="14" t="s">
        <v>334</v>
      </c>
      <c r="C390" s="14" t="s">
        <v>47</v>
      </c>
      <c r="D390" s="19" t="s">
        <v>10366</v>
      </c>
      <c r="E390" s="15" t="str">
        <f>HYPERLINK("https://stat100.ameba.jp/tnk47/ratio20/illustrations/card/ill_75053_goshikinuma03.jpg?202102-5-RELEASE-marathon-516xx", "■")</f>
        <v>■</v>
      </c>
      <c r="F390" s="14" t="s">
        <v>5644</v>
      </c>
      <c r="G390" s="14">
        <v>103396</v>
      </c>
      <c r="H390" s="14">
        <v>142760</v>
      </c>
      <c r="I390" s="14">
        <v>28</v>
      </c>
      <c r="J390" s="14" t="s">
        <v>26</v>
      </c>
      <c r="K390" s="14" t="s">
        <v>5646</v>
      </c>
      <c r="L390" s="14" t="s">
        <v>2137</v>
      </c>
      <c r="M390" s="14" t="s">
        <v>9158</v>
      </c>
      <c r="N390" s="14" t="s">
        <v>9158</v>
      </c>
      <c r="O390" s="19" t="s">
        <v>10093</v>
      </c>
      <c r="P390" s="14" t="s">
        <v>13145</v>
      </c>
      <c r="Q390" s="14">
        <v>1</v>
      </c>
    </row>
    <row r="391" spans="1:17">
      <c r="A391" s="14">
        <v>84653</v>
      </c>
      <c r="B391" s="14" t="s">
        <v>334</v>
      </c>
      <c r="C391" s="14" t="s">
        <v>209</v>
      </c>
      <c r="D391" s="20" t="s">
        <v>10626</v>
      </c>
      <c r="E391" s="15" t="str">
        <f>HYPERLINK("https://stat100.ameba.jp/tnk47/ratio20/illustrations/card/ill_84653_soru03.jpg?202102-5-RELEASE-marathon-516xx", "■")</f>
        <v>■</v>
      </c>
      <c r="F391" s="14" t="s">
        <v>6954</v>
      </c>
      <c r="G391" s="14">
        <v>88650</v>
      </c>
      <c r="H391" s="14">
        <v>122372</v>
      </c>
      <c r="I391" s="14">
        <v>28</v>
      </c>
      <c r="J391" s="14" t="s">
        <v>44</v>
      </c>
      <c r="K391" s="14" t="s">
        <v>6956</v>
      </c>
      <c r="L391" s="14" t="s">
        <v>3652</v>
      </c>
      <c r="M391" s="14" t="s">
        <v>9158</v>
      </c>
      <c r="N391" s="14" t="s">
        <v>9158</v>
      </c>
      <c r="O391" s="19" t="s">
        <v>10103</v>
      </c>
      <c r="P391" s="14" t="s">
        <v>3897</v>
      </c>
      <c r="Q391" s="14">
        <v>1</v>
      </c>
    </row>
    <row r="393" spans="1:17">
      <c r="A393" s="14" t="s">
        <v>13431</v>
      </c>
    </row>
    <row r="394" spans="1:17">
      <c r="A394" s="14">
        <v>106918</v>
      </c>
      <c r="B394" s="14" t="s">
        <v>16414</v>
      </c>
    </row>
    <row r="395" spans="1:17">
      <c r="A395" s="14" t="s">
        <v>14533</v>
      </c>
      <c r="B395" s="7" t="s">
        <v>52</v>
      </c>
      <c r="C395" s="14" t="s">
        <v>202</v>
      </c>
      <c r="D395" s="18" t="s">
        <v>14532</v>
      </c>
      <c r="E395" s="15" t="str">
        <f>HYPERLINK("https://stat100.ameba.jp/tnk47/ratio20/illustrations/card/ill_91703_0_ninjashugyohanakosan03.jpg?202102-5-RELEASE-marathon-516xx", "■")</f>
        <v>■</v>
      </c>
      <c r="F395" s="14" t="s">
        <v>14534</v>
      </c>
      <c r="G395" s="14">
        <v>282374</v>
      </c>
      <c r="H395" s="14">
        <v>312433</v>
      </c>
      <c r="I395" s="7">
        <v>27</v>
      </c>
      <c r="J395" s="14" t="s">
        <v>77</v>
      </c>
      <c r="K395" s="14" t="s">
        <v>14536</v>
      </c>
      <c r="L395" s="14" t="s">
        <v>14535</v>
      </c>
      <c r="M395" s="14" t="s">
        <v>9158</v>
      </c>
      <c r="N395" s="14" t="s">
        <v>9158</v>
      </c>
      <c r="O395" s="6" t="s">
        <v>14539</v>
      </c>
      <c r="P395" s="7" t="s">
        <v>14538</v>
      </c>
      <c r="Q395" s="7">
        <v>1</v>
      </c>
    </row>
    <row r="396" spans="1:17">
      <c r="A396" s="9" t="s">
        <v>9891</v>
      </c>
      <c r="B396" s="7" t="s">
        <v>52</v>
      </c>
      <c r="C396" s="9" t="s">
        <v>202</v>
      </c>
      <c r="D396" s="6" t="s">
        <v>9978</v>
      </c>
      <c r="E396" s="15" t="str">
        <f>HYPERLINK("https://stat100.ameba.jp/tnk47/ratio20/illustrations/card/ill_87643_0_oendanotohime03.jpg?202102-5-RELEASE-marathon-516xx", "■")</f>
        <v>■</v>
      </c>
      <c r="F396" s="14" t="s">
        <v>9928</v>
      </c>
      <c r="G396" s="9">
        <v>281156</v>
      </c>
      <c r="H396" s="9">
        <v>343608</v>
      </c>
      <c r="I396" s="7">
        <v>27</v>
      </c>
      <c r="J396" s="9" t="s">
        <v>155</v>
      </c>
      <c r="K396" s="14" t="s">
        <v>9932</v>
      </c>
      <c r="L396" s="14" t="s">
        <v>9933</v>
      </c>
      <c r="M396" s="14" t="s">
        <v>9158</v>
      </c>
      <c r="N396" s="14" t="s">
        <v>9158</v>
      </c>
      <c r="O396" s="6" t="s">
        <v>9989</v>
      </c>
      <c r="P396" s="7" t="s">
        <v>9944</v>
      </c>
      <c r="Q396" s="7">
        <v>1</v>
      </c>
    </row>
    <row r="397" spans="1:17">
      <c r="A397" s="14" t="s">
        <v>13086</v>
      </c>
      <c r="B397" s="7" t="s">
        <v>52</v>
      </c>
      <c r="C397" s="14" t="s">
        <v>202</v>
      </c>
      <c r="D397" s="18" t="s">
        <v>13084</v>
      </c>
      <c r="E397" s="15" t="str">
        <f>HYPERLINK("https://stat100.ameba.jp/tnk47/ratio20/illustrations/card/ill_89703_0_jumburaidohimiko03.jpg?202102-5-RELEASE-marathon-516xx", "■")</f>
        <v>■</v>
      </c>
      <c r="F397" s="14" t="s">
        <v>13085</v>
      </c>
      <c r="G397" s="14">
        <v>344095</v>
      </c>
      <c r="H397" s="14">
        <v>281517</v>
      </c>
      <c r="I397" s="7">
        <v>27</v>
      </c>
      <c r="J397" s="14" t="s">
        <v>10</v>
      </c>
      <c r="K397" s="14" t="s">
        <v>13087</v>
      </c>
      <c r="L397" s="14" t="s">
        <v>12016</v>
      </c>
      <c r="M397" s="14" t="s">
        <v>9158</v>
      </c>
      <c r="N397" s="14" t="s">
        <v>9158</v>
      </c>
      <c r="O397" s="6" t="s">
        <v>13088</v>
      </c>
      <c r="P397" s="7" t="s">
        <v>13089</v>
      </c>
      <c r="Q397" s="7">
        <v>1</v>
      </c>
    </row>
    <row r="398" spans="1:17">
      <c r="A398" s="14" t="s">
        <v>12532</v>
      </c>
      <c r="B398" s="7" t="s">
        <v>52</v>
      </c>
      <c r="C398" s="14" t="s">
        <v>202</v>
      </c>
      <c r="D398" s="18" t="s">
        <v>12528</v>
      </c>
      <c r="E398" s="15" t="str">
        <f>HYPERLINK("https://stat100.ameba.jp/tnk47/ratio20/illustrations/card/ill_89073_0_efuwanresuyokohamaserachan03.jpg?202102-5-RELEASE-marathon-516xx", "■")</f>
        <v>■</v>
      </c>
      <c r="F398" s="14" t="s">
        <v>12529</v>
      </c>
      <c r="G398" s="14">
        <v>296998</v>
      </c>
      <c r="H398" s="14">
        <v>328614</v>
      </c>
      <c r="I398" s="7">
        <v>27</v>
      </c>
      <c r="J398" s="14" t="s">
        <v>229</v>
      </c>
      <c r="K398" s="14" t="s">
        <v>12530</v>
      </c>
      <c r="L398" s="14" t="s">
        <v>12531</v>
      </c>
      <c r="M398" s="14" t="s">
        <v>9158</v>
      </c>
      <c r="N398" s="14" t="s">
        <v>9158</v>
      </c>
      <c r="O398" s="6" t="s">
        <v>12533</v>
      </c>
      <c r="P398" s="7" t="s">
        <v>12534</v>
      </c>
      <c r="Q398" s="7">
        <v>1</v>
      </c>
    </row>
    <row r="399" spans="1:17">
      <c r="A399" s="7" t="s">
        <v>8437</v>
      </c>
      <c r="B399" s="7" t="s">
        <v>52</v>
      </c>
      <c r="C399" s="7" t="s">
        <v>202</v>
      </c>
      <c r="D399" s="20" t="s">
        <v>10806</v>
      </c>
      <c r="E399" s="15" t="str">
        <f>HYPERLINK("https://stat100.ameba.jp/tnk47/ratio20/illustrations/card/ill_85523_0_seitankuronikurukusumotoine03.jpg?202102-5-RELEASE-marathon-516xx", "■")</f>
        <v>■</v>
      </c>
      <c r="F399" s="7" t="s">
        <v>8440</v>
      </c>
      <c r="G399" s="7">
        <v>327089</v>
      </c>
      <c r="H399" s="7">
        <v>295640</v>
      </c>
      <c r="I399" s="7">
        <v>27</v>
      </c>
      <c r="J399" s="14" t="s">
        <v>77</v>
      </c>
      <c r="K399" s="7" t="s">
        <v>8446</v>
      </c>
      <c r="L399" s="7" t="s">
        <v>8439</v>
      </c>
      <c r="M399" s="14" t="s">
        <v>9158</v>
      </c>
      <c r="N399" s="14" t="s">
        <v>9158</v>
      </c>
      <c r="O399" s="19" t="s">
        <v>10133</v>
      </c>
      <c r="P399" s="7" t="s">
        <v>8441</v>
      </c>
      <c r="Q399" s="7">
        <v>1</v>
      </c>
    </row>
    <row r="400" spans="1:17">
      <c r="A400" s="7">
        <v>85323</v>
      </c>
      <c r="B400" s="7" t="s">
        <v>0</v>
      </c>
      <c r="C400" s="7" t="s">
        <v>185</v>
      </c>
      <c r="D400" s="19" t="s">
        <v>10798</v>
      </c>
      <c r="E400" s="15" t="str">
        <f>HYPERLINK("https://stat100.ameba.jp/tnk47/ratio20/illustrations/card/ill_85323_sangokushikaryoubinga03.jpg?202102-5-RELEASE-marathon-516xx", "■")</f>
        <v>■</v>
      </c>
      <c r="F400" s="7" t="s">
        <v>8273</v>
      </c>
      <c r="G400" s="9">
        <v>106178</v>
      </c>
      <c r="H400" s="9">
        <v>114208</v>
      </c>
      <c r="I400" s="14">
        <v>28</v>
      </c>
      <c r="J400" s="7" t="s">
        <v>169</v>
      </c>
      <c r="K400" s="7" t="s">
        <v>8272</v>
      </c>
      <c r="L400" s="7" t="s">
        <v>6782</v>
      </c>
      <c r="M400" s="14" t="s">
        <v>9158</v>
      </c>
      <c r="N400" s="14" t="s">
        <v>9158</v>
      </c>
      <c r="O400" s="14" t="s">
        <v>9158</v>
      </c>
      <c r="P400" s="14" t="s">
        <v>9158</v>
      </c>
      <c r="Q400" s="14" t="s">
        <v>9158</v>
      </c>
    </row>
    <row r="401" spans="1:17">
      <c r="A401" s="9">
        <v>79593</v>
      </c>
      <c r="B401" s="9" t="s">
        <v>0</v>
      </c>
      <c r="C401" s="9" t="s">
        <v>200</v>
      </c>
      <c r="D401" s="19" t="s">
        <v>14600</v>
      </c>
      <c r="E401" s="15" t="str">
        <f>HYPERLINK("https://stat100.ameba.jp/tnk47/ratio20/illustrations/card/ill_79593_nabepateihonoikazuchinookami03.jpg?202102-5-RELEASE-marathon-516xx", "■")</f>
        <v>■</v>
      </c>
      <c r="F401" s="9" t="s">
        <v>3572</v>
      </c>
      <c r="G401" s="9">
        <v>106178</v>
      </c>
      <c r="H401" s="9">
        <v>114208</v>
      </c>
      <c r="I401" s="14">
        <v>28</v>
      </c>
      <c r="J401" s="9" t="s">
        <v>169</v>
      </c>
      <c r="K401" s="9" t="s">
        <v>3573</v>
      </c>
      <c r="L401" s="9" t="s">
        <v>1209</v>
      </c>
      <c r="M401" s="14" t="s">
        <v>9158</v>
      </c>
      <c r="N401" s="14" t="s">
        <v>9158</v>
      </c>
      <c r="O401" s="14" t="s">
        <v>9158</v>
      </c>
      <c r="P401" s="14" t="s">
        <v>9158</v>
      </c>
      <c r="Q401" s="14" t="s">
        <v>9158</v>
      </c>
    </row>
    <row r="402" spans="1:17">
      <c r="A402" s="14">
        <v>84703</v>
      </c>
      <c r="B402" s="14" t="s">
        <v>0</v>
      </c>
      <c r="C402" s="14" t="s">
        <v>191</v>
      </c>
      <c r="D402" s="19" t="s">
        <v>16415</v>
      </c>
      <c r="E402" s="15" t="str">
        <f>HYPERLINK("https://stat100.ameba.jp/tnk47/ratio20/illustrations/card/ill_84703_ikegamishuho03.jpg?202102-5-RELEASE-marathon-516xx", "■")</f>
        <v>■</v>
      </c>
      <c r="F402" s="14" t="s">
        <v>7334</v>
      </c>
      <c r="G402" s="14">
        <v>105610</v>
      </c>
      <c r="H402" s="14">
        <v>113536</v>
      </c>
      <c r="I402" s="7">
        <v>28</v>
      </c>
      <c r="J402" s="14" t="s">
        <v>16</v>
      </c>
      <c r="K402" s="14" t="s">
        <v>4448</v>
      </c>
      <c r="L402" s="14" t="s">
        <v>7332</v>
      </c>
      <c r="M402" s="14" t="s">
        <v>9158</v>
      </c>
      <c r="N402" s="14" t="s">
        <v>9158</v>
      </c>
      <c r="O402" s="14" t="s">
        <v>9158</v>
      </c>
      <c r="P402" s="14" t="s">
        <v>9158</v>
      </c>
      <c r="Q402" s="14" t="s">
        <v>9158</v>
      </c>
    </row>
    <row r="403" spans="1:17">
      <c r="A403" s="9">
        <v>82133</v>
      </c>
      <c r="B403" s="9" t="s">
        <v>0</v>
      </c>
      <c r="C403" s="9" t="s">
        <v>165</v>
      </c>
      <c r="D403" s="19" t="s">
        <v>10295</v>
      </c>
      <c r="E403" s="15" t="str">
        <f>HYPERLINK("https://stat100.ameba.jp/tnk47/ratio20/illustrations/card/ill_82133_senritsunosumasshukobitokaba03.jpg?202102-5-RELEASE-marathon-516xx", "■")</f>
        <v>■</v>
      </c>
      <c r="F403" s="9" t="s">
        <v>5298</v>
      </c>
      <c r="G403" s="9">
        <v>106178</v>
      </c>
      <c r="H403" s="9">
        <v>114208</v>
      </c>
      <c r="I403" s="14">
        <v>28</v>
      </c>
      <c r="J403" s="9" t="s">
        <v>229</v>
      </c>
      <c r="K403" s="9" t="s">
        <v>5300</v>
      </c>
      <c r="L403" s="9" t="s">
        <v>5301</v>
      </c>
      <c r="M403" s="14" t="s">
        <v>9158</v>
      </c>
      <c r="N403" s="14" t="s">
        <v>9158</v>
      </c>
      <c r="O403" s="14" t="s">
        <v>9158</v>
      </c>
      <c r="P403" s="14" t="s">
        <v>9158</v>
      </c>
      <c r="Q403" s="14" t="s">
        <v>9158</v>
      </c>
    </row>
    <row r="404" spans="1:17">
      <c r="A404" s="9">
        <v>80233</v>
      </c>
      <c r="B404" s="9" t="s">
        <v>0</v>
      </c>
      <c r="C404" s="9" t="s">
        <v>205</v>
      </c>
      <c r="D404" s="19" t="s">
        <v>10979</v>
      </c>
      <c r="E404" s="15" t="str">
        <f>HYPERLINK("https://stat100.ameba.jp/tnk47/ratio20/illustrations/card/ill_80233_haruichibangoryunotsubone03.jpg?202102-5-RELEASE-marathon-516xx", "■")</f>
        <v>■</v>
      </c>
      <c r="F404" s="9" t="s">
        <v>3830</v>
      </c>
      <c r="G404" s="9">
        <v>101650</v>
      </c>
      <c r="H404" s="9">
        <v>109370</v>
      </c>
      <c r="I404" s="14">
        <v>28</v>
      </c>
      <c r="J404" s="9" t="s">
        <v>187</v>
      </c>
      <c r="K404" s="9" t="s">
        <v>3831</v>
      </c>
      <c r="L404" s="9" t="s">
        <v>969</v>
      </c>
      <c r="M404" s="14" t="s">
        <v>9158</v>
      </c>
      <c r="N404" s="14" t="s">
        <v>9158</v>
      </c>
      <c r="O404" s="14" t="s">
        <v>9158</v>
      </c>
      <c r="P404" s="14" t="s">
        <v>9158</v>
      </c>
      <c r="Q404" s="14" t="s">
        <v>9158</v>
      </c>
    </row>
    <row r="405" spans="1:17">
      <c r="A405" s="9">
        <v>86533</v>
      </c>
      <c r="B405" s="9" t="s">
        <v>0</v>
      </c>
      <c r="C405" s="9" t="s">
        <v>206</v>
      </c>
      <c r="D405" s="20" t="s">
        <v>10913</v>
      </c>
      <c r="E405" s="15" t="str">
        <f>HYPERLINK("https://stat100.ameba.jp/tnk47/ratio20/illustrations/card/ill_86533_onikirishuyoriyorichan03.jpg?202102-5-RELEASE-marathon-516xx", "■")</f>
        <v>■</v>
      </c>
      <c r="F405" s="9" t="s">
        <v>9023</v>
      </c>
      <c r="G405" s="9">
        <v>118598</v>
      </c>
      <c r="H405" s="9">
        <v>127556</v>
      </c>
      <c r="I405" s="14">
        <v>28</v>
      </c>
      <c r="J405" s="9" t="s">
        <v>216</v>
      </c>
      <c r="K405" s="9" t="s">
        <v>9022</v>
      </c>
      <c r="L405" s="9" t="s">
        <v>9021</v>
      </c>
      <c r="M405" s="14" t="s">
        <v>9158</v>
      </c>
      <c r="N405" s="14" t="s">
        <v>9158</v>
      </c>
      <c r="O405" s="14" t="s">
        <v>9158</v>
      </c>
      <c r="P405" s="14" t="s">
        <v>9158</v>
      </c>
      <c r="Q405" s="14" t="s">
        <v>9158</v>
      </c>
    </row>
    <row r="407" spans="1:17">
      <c r="A407" s="14" t="s">
        <v>4065</v>
      </c>
      <c r="I407" s="9"/>
    </row>
    <row r="408" spans="1:17">
      <c r="A408" s="14">
        <v>106929</v>
      </c>
      <c r="B408" s="14" t="s">
        <v>16418</v>
      </c>
    </row>
    <row r="409" spans="1:17">
      <c r="A409" s="9" t="s">
        <v>5733</v>
      </c>
      <c r="B409" s="14" t="s">
        <v>330</v>
      </c>
      <c r="C409" s="14" t="s">
        <v>202</v>
      </c>
      <c r="D409" s="14" t="s">
        <v>2744</v>
      </c>
      <c r="E409" s="15" t="str">
        <f>HYPERLINK("https://stat100.ameba.jp/tnk47/ratio20/illustrations/card/ill_78693_0_kyupittokoinomikoto03.jpg?202102-5-RELEASE-marathon-516xx", "■")</f>
        <v>■</v>
      </c>
      <c r="F409" s="14" t="s">
        <v>2745</v>
      </c>
      <c r="G409" s="14">
        <v>282956</v>
      </c>
      <c r="H409" s="14">
        <v>313081</v>
      </c>
      <c r="I409" s="14">
        <v>27</v>
      </c>
      <c r="J409" s="14" t="s">
        <v>274</v>
      </c>
      <c r="K409" s="14" t="s">
        <v>2746</v>
      </c>
      <c r="L409" s="14" t="s">
        <v>2747</v>
      </c>
      <c r="M409" s="14" t="s">
        <v>9158</v>
      </c>
      <c r="N409" s="14" t="s">
        <v>9158</v>
      </c>
      <c r="O409" s="18" t="s">
        <v>10067</v>
      </c>
      <c r="P409" s="14" t="s">
        <v>2748</v>
      </c>
      <c r="Q409" s="14">
        <v>1</v>
      </c>
    </row>
    <row r="410" spans="1:17">
      <c r="A410" s="14">
        <v>77663</v>
      </c>
      <c r="B410" s="14" t="s">
        <v>334</v>
      </c>
      <c r="C410" s="14" t="s">
        <v>202</v>
      </c>
      <c r="D410" s="20" t="s">
        <v>10614</v>
      </c>
      <c r="E410" s="15" t="str">
        <f>HYPERLINK("https://stat100.ameba.jp/tnk47/ratio20/illustrations/card/ill_77663_deipuburu03.jpg?202102-5-RELEASE-marathon-516xx", "■")</f>
        <v>■</v>
      </c>
      <c r="F410" s="14" t="s">
        <v>1573</v>
      </c>
      <c r="G410" s="14">
        <v>85492</v>
      </c>
      <c r="H410" s="14">
        <v>118000</v>
      </c>
      <c r="I410" s="14">
        <v>26</v>
      </c>
      <c r="J410" s="14" t="s">
        <v>414</v>
      </c>
      <c r="K410" s="14" t="s">
        <v>1574</v>
      </c>
      <c r="L410" s="14" t="s">
        <v>1575</v>
      </c>
      <c r="M410" s="14" t="s">
        <v>9158</v>
      </c>
      <c r="N410" s="14" t="s">
        <v>9158</v>
      </c>
      <c r="O410" s="19" t="s">
        <v>10117</v>
      </c>
      <c r="P410" s="14" t="s">
        <v>3625</v>
      </c>
      <c r="Q410" s="14">
        <v>1</v>
      </c>
    </row>
    <row r="411" spans="1:17">
      <c r="A411" s="14">
        <v>84633</v>
      </c>
      <c r="B411" s="14" t="s">
        <v>334</v>
      </c>
      <c r="C411" s="14" t="s">
        <v>154</v>
      </c>
      <c r="D411" s="20" t="s">
        <v>10586</v>
      </c>
      <c r="E411" s="15" t="str">
        <f>HYPERLINK("https://stat100.ameba.jp/tnk47/ratio20/illustrations/card/ill_84633_akubishoppu03.jpg?202102-5-RELEASE-marathon-516xx", "■")</f>
        <v>■</v>
      </c>
      <c r="F411" s="14" t="s">
        <v>6762</v>
      </c>
      <c r="G411" s="14">
        <v>113630</v>
      </c>
      <c r="H411" s="14">
        <v>82318</v>
      </c>
      <c r="I411" s="14">
        <v>26</v>
      </c>
      <c r="J411" s="14" t="s">
        <v>10</v>
      </c>
      <c r="K411" s="14" t="s">
        <v>6764</v>
      </c>
      <c r="L411" s="14" t="s">
        <v>6763</v>
      </c>
      <c r="M411" s="14" t="s">
        <v>9158</v>
      </c>
      <c r="N411" s="14" t="s">
        <v>9158</v>
      </c>
      <c r="O411" s="19" t="s">
        <v>10090</v>
      </c>
      <c r="P411" s="14" t="s">
        <v>3460</v>
      </c>
      <c r="Q411" s="14">
        <v>1</v>
      </c>
    </row>
    <row r="412" spans="1:17">
      <c r="A412" s="14">
        <v>73893</v>
      </c>
      <c r="B412" s="14" t="s">
        <v>334</v>
      </c>
      <c r="C412" s="14" t="s">
        <v>203</v>
      </c>
      <c r="D412" s="19" t="s">
        <v>10388</v>
      </c>
      <c r="E412" s="15" t="str">
        <f>HYPERLINK("https://stat100.ameba.jp/tnk47/ratio20/illustrations/card/ill_73893_kurohachidaimyojintookami03.jpg?202102-5-RELEASE-marathon-516xx", "■")</f>
        <v>■</v>
      </c>
      <c r="F412" s="14" t="s">
        <v>685</v>
      </c>
      <c r="G412" s="14">
        <v>132684</v>
      </c>
      <c r="H412" s="14">
        <v>96100</v>
      </c>
      <c r="I412" s="14">
        <v>26</v>
      </c>
      <c r="J412" s="14" t="s">
        <v>274</v>
      </c>
      <c r="K412" s="14" t="s">
        <v>686</v>
      </c>
      <c r="L412" s="14" t="s">
        <v>428</v>
      </c>
      <c r="M412" s="14" t="s">
        <v>9158</v>
      </c>
      <c r="N412" s="14" t="s">
        <v>9158</v>
      </c>
      <c r="O412" s="19" t="s">
        <v>10100</v>
      </c>
      <c r="P412" s="14" t="s">
        <v>3810</v>
      </c>
      <c r="Q412" s="14">
        <v>1</v>
      </c>
    </row>
    <row r="414" spans="1:17">
      <c r="A414" s="14" t="s">
        <v>3844</v>
      </c>
    </row>
    <row r="415" spans="1:17">
      <c r="A415" s="14">
        <v>106934</v>
      </c>
      <c r="B415" s="14" t="s">
        <v>16419</v>
      </c>
    </row>
    <row r="416" spans="1:17">
      <c r="A416" s="14" t="s">
        <v>5734</v>
      </c>
      <c r="B416" s="14" t="s">
        <v>330</v>
      </c>
      <c r="C416" s="14" t="s">
        <v>202</v>
      </c>
      <c r="D416" s="20" t="s">
        <v>1497</v>
      </c>
      <c r="E416" s="15" t="str">
        <f>HYPERLINK("https://stat100.ameba.jp/tnk47/ratio20/illustrations/card/ill_74593_0_natsuyuenchikoshihikari03.jpg?202102-5-RELEASE-marathon-516xx", "■")</f>
        <v>■</v>
      </c>
      <c r="F416" s="14" t="s">
        <v>1498</v>
      </c>
      <c r="G416" s="14">
        <v>281662</v>
      </c>
      <c r="H416" s="14">
        <v>261852</v>
      </c>
      <c r="I416" s="14">
        <v>26</v>
      </c>
      <c r="J416" s="14" t="s">
        <v>283</v>
      </c>
      <c r="K416" s="14" t="s">
        <v>1499</v>
      </c>
      <c r="L416" s="14" t="s">
        <v>1500</v>
      </c>
      <c r="M416" s="14" t="s">
        <v>9158</v>
      </c>
      <c r="N416" s="14" t="s">
        <v>9158</v>
      </c>
      <c r="O416" s="19" t="s">
        <v>2731</v>
      </c>
      <c r="P416" s="14" t="s">
        <v>2732</v>
      </c>
      <c r="Q416" s="14">
        <v>1</v>
      </c>
    </row>
    <row r="417" spans="1:17">
      <c r="A417" s="14">
        <v>84153</v>
      </c>
      <c r="B417" s="14" t="s">
        <v>0</v>
      </c>
      <c r="C417" s="14" t="s">
        <v>165</v>
      </c>
      <c r="D417" s="20" t="s">
        <v>14065</v>
      </c>
      <c r="E417" s="15" t="str">
        <f>HYPERLINK("https://stat100.ameba.jp/tnk47/ratio20/illustrations/card/ill_84153_tarottotoyotomihideyori03.jpg?202102-5-RELEASE-marathon-516xx", "■")</f>
        <v>■</v>
      </c>
      <c r="F417" s="14" t="s">
        <v>7155</v>
      </c>
      <c r="G417" s="14">
        <v>154562</v>
      </c>
      <c r="H417" s="14">
        <v>143714</v>
      </c>
      <c r="I417" s="14">
        <v>26</v>
      </c>
      <c r="J417" s="14" t="s">
        <v>143</v>
      </c>
      <c r="K417" s="14" t="s">
        <v>7156</v>
      </c>
      <c r="L417" s="14" t="s">
        <v>145</v>
      </c>
      <c r="M417" s="14" t="s">
        <v>9158</v>
      </c>
      <c r="N417" s="14" t="s">
        <v>9158</v>
      </c>
      <c r="O417" s="19" t="s">
        <v>10090</v>
      </c>
      <c r="P417" s="14" t="s">
        <v>3460</v>
      </c>
      <c r="Q417" s="14">
        <v>1</v>
      </c>
    </row>
    <row r="418" spans="1:17">
      <c r="A418" s="14">
        <v>75333</v>
      </c>
      <c r="B418" s="14" t="s">
        <v>334</v>
      </c>
      <c r="C418" s="14" t="s">
        <v>200</v>
      </c>
      <c r="D418" s="19" t="s">
        <v>3206</v>
      </c>
      <c r="E418" s="15" t="str">
        <f>HYPERLINK("https://stat100.ameba.jp/tnk47/ratio20/illustrations/card/ill_75333_resukuintamamonomae03.jpg?202102-5-RELEASE-marathon-516xx", "■")</f>
        <v>■</v>
      </c>
      <c r="F418" s="14" t="s">
        <v>3207</v>
      </c>
      <c r="G418" s="14">
        <v>100744</v>
      </c>
      <c r="H418" s="14">
        <v>108330</v>
      </c>
      <c r="I418" s="14">
        <v>26</v>
      </c>
      <c r="J418" s="14" t="s">
        <v>320</v>
      </c>
      <c r="K418" s="14" t="s">
        <v>3208</v>
      </c>
      <c r="L418" s="14" t="s">
        <v>3209</v>
      </c>
      <c r="M418" s="14" t="s">
        <v>9158</v>
      </c>
      <c r="N418" s="14" t="s">
        <v>9158</v>
      </c>
      <c r="O418" s="19" t="s">
        <v>10074</v>
      </c>
      <c r="P418" s="14" t="s">
        <v>2822</v>
      </c>
      <c r="Q418" s="14">
        <v>1</v>
      </c>
    </row>
    <row r="419" spans="1:17">
      <c r="A419" s="14">
        <v>89653</v>
      </c>
      <c r="B419" s="14" t="s">
        <v>0</v>
      </c>
      <c r="C419" s="14" t="s">
        <v>101</v>
      </c>
      <c r="D419" s="18" t="s">
        <v>13090</v>
      </c>
      <c r="E419" s="15" t="str">
        <f>HYPERLINK("https://stat100.ameba.jp/tnk47/ratio20/illustrations/card/ill_89653_jumburaidochakkariozonichan03.jpg?202102-5-RELEASE-marathon-516xx", "■")</f>
        <v>■</v>
      </c>
      <c r="F419" s="14" t="s">
        <v>13091</v>
      </c>
      <c r="G419" s="14">
        <v>122786</v>
      </c>
      <c r="H419" s="14">
        <v>114176</v>
      </c>
      <c r="I419" s="14">
        <v>26</v>
      </c>
      <c r="J419" s="14" t="s">
        <v>104</v>
      </c>
      <c r="K419" s="14" t="s">
        <v>13092</v>
      </c>
      <c r="L419" s="14" t="s">
        <v>13093</v>
      </c>
      <c r="M419" s="14" t="s">
        <v>9158</v>
      </c>
      <c r="N419" s="14" t="s">
        <v>9158</v>
      </c>
      <c r="O419" s="6" t="s">
        <v>4583</v>
      </c>
      <c r="P419" s="7" t="s">
        <v>4584</v>
      </c>
      <c r="Q419" s="7">
        <v>1</v>
      </c>
    </row>
    <row r="421" spans="1:17">
      <c r="A421" s="14" t="s">
        <v>4422</v>
      </c>
    </row>
    <row r="422" spans="1:17">
      <c r="A422" s="14">
        <v>236800</v>
      </c>
      <c r="B422" s="14" t="s">
        <v>9735</v>
      </c>
    </row>
    <row r="423" spans="1:17">
      <c r="A423" s="14" t="s">
        <v>5848</v>
      </c>
      <c r="B423" s="14" t="s">
        <v>52</v>
      </c>
      <c r="C423" s="14" t="s">
        <v>200</v>
      </c>
      <c r="D423" s="20" t="s">
        <v>3160</v>
      </c>
      <c r="E423" s="15" t="str">
        <f>HYPERLINK("https://stat100.ameba.jp/tnk47/ratio20/illustrations/card/ill_72963_0_amenohanayomehiguchiichiyo03.jpg?202102-5-RELEASE-marathon-516xx", "■")</f>
        <v>■</v>
      </c>
      <c r="F423" s="14" t="s">
        <v>1139</v>
      </c>
      <c r="G423" s="14">
        <v>134004</v>
      </c>
      <c r="H423" s="14">
        <v>124600</v>
      </c>
      <c r="I423" s="14">
        <v>20</v>
      </c>
      <c r="J423" s="14" t="s">
        <v>10</v>
      </c>
      <c r="K423" s="14" t="s">
        <v>1140</v>
      </c>
      <c r="L423" s="14" t="s">
        <v>1141</v>
      </c>
      <c r="M423" s="14" t="s">
        <v>9158</v>
      </c>
      <c r="N423" s="14" t="s">
        <v>9158</v>
      </c>
      <c r="O423" s="19" t="s">
        <v>3162</v>
      </c>
      <c r="P423" s="14" t="s">
        <v>3410</v>
      </c>
      <c r="Q423" s="14">
        <v>1</v>
      </c>
    </row>
    <row r="424" spans="1:17">
      <c r="A424" s="14">
        <v>95973</v>
      </c>
      <c r="B424" s="14" t="s">
        <v>0</v>
      </c>
      <c r="C424" s="14" t="s">
        <v>14</v>
      </c>
      <c r="D424" s="14" t="s">
        <v>16537</v>
      </c>
      <c r="E424" s="15" t="str">
        <f>HYPERLINK("https://stat100.ameba.jp/tnk47/ratio20/illustrations/card/ill_95973_ummeizarabazu03.jpg?202102-5-RELEASE-marathon-516xx", "■")</f>
        <v>■</v>
      </c>
      <c r="F424" s="14" t="s">
        <v>16536</v>
      </c>
      <c r="G424" s="14">
        <v>140238</v>
      </c>
      <c r="H424" s="14">
        <v>78908</v>
      </c>
      <c r="I424" s="14">
        <v>28</v>
      </c>
      <c r="J424" s="14" t="s">
        <v>38</v>
      </c>
      <c r="K424" s="14" t="s">
        <v>16535</v>
      </c>
      <c r="L424" s="14" t="s">
        <v>16534</v>
      </c>
      <c r="M424" s="14" t="s">
        <v>9158</v>
      </c>
      <c r="N424" s="14" t="s">
        <v>9158</v>
      </c>
      <c r="O424" s="14" t="s">
        <v>9158</v>
      </c>
      <c r="P424" s="14" t="s">
        <v>9158</v>
      </c>
      <c r="Q424" s="14" t="s">
        <v>9158</v>
      </c>
    </row>
    <row r="425" spans="1:17">
      <c r="A425" s="14">
        <v>95972</v>
      </c>
      <c r="B425" s="14" t="s">
        <v>0</v>
      </c>
      <c r="C425" s="14" t="s">
        <v>14</v>
      </c>
      <c r="D425" s="14" t="s">
        <v>16537</v>
      </c>
      <c r="E425" s="15" t="str">
        <f>HYPERLINK("https://stat100.ameba.jp/tnk47/ratio20/illustrations/card/ill_95972_ummeizarabazu02.jpg?202102-5-RELEASE-marathon-516xx", "■")</f>
        <v>■</v>
      </c>
      <c r="F425" s="14" t="s">
        <v>16536</v>
      </c>
      <c r="G425" s="14">
        <v>116692</v>
      </c>
      <c r="H425" s="14">
        <v>65688</v>
      </c>
      <c r="I425" s="14">
        <v>28</v>
      </c>
      <c r="J425" s="14" t="s">
        <v>38</v>
      </c>
      <c r="K425" s="14" t="s">
        <v>16535</v>
      </c>
      <c r="L425" s="14" t="s">
        <v>16538</v>
      </c>
      <c r="M425" s="14" t="s">
        <v>9158</v>
      </c>
      <c r="N425" s="14" t="s">
        <v>9158</v>
      </c>
      <c r="O425" s="14" t="s">
        <v>9158</v>
      </c>
      <c r="P425" s="14" t="s">
        <v>9158</v>
      </c>
      <c r="Q425" s="14" t="s">
        <v>9158</v>
      </c>
    </row>
    <row r="426" spans="1:17">
      <c r="A426" s="14">
        <v>95971</v>
      </c>
      <c r="B426" s="14" t="s">
        <v>0</v>
      </c>
      <c r="C426" s="14" t="s">
        <v>14</v>
      </c>
      <c r="D426" s="14" t="s">
        <v>16537</v>
      </c>
      <c r="E426" s="15" t="str">
        <f>HYPERLINK("https://stat100.ameba.jp/tnk47/ratio20/illustrations/card/ill_95971_ummeizarabazu01.jpg?202102-5-RELEASE-marathon-516xx", "■")</f>
        <v>■</v>
      </c>
      <c r="F426" s="14" t="s">
        <v>16536</v>
      </c>
      <c r="G426" s="14">
        <v>89544</v>
      </c>
      <c r="H426" s="14">
        <v>50400</v>
      </c>
      <c r="I426" s="14">
        <v>28</v>
      </c>
      <c r="J426" s="14" t="s">
        <v>38</v>
      </c>
      <c r="K426" s="14" t="s">
        <v>16535</v>
      </c>
      <c r="L426" s="14" t="s">
        <v>16539</v>
      </c>
      <c r="M426" s="14" t="s">
        <v>9158</v>
      </c>
      <c r="N426" s="14" t="s">
        <v>9158</v>
      </c>
      <c r="O426" s="14" t="s">
        <v>9158</v>
      </c>
      <c r="P426" s="14" t="s">
        <v>9158</v>
      </c>
      <c r="Q426" s="14" t="s">
        <v>9158</v>
      </c>
    </row>
    <row r="427" spans="1:17">
      <c r="A427" s="14">
        <v>95983</v>
      </c>
      <c r="B427" s="14" t="s">
        <v>0</v>
      </c>
      <c r="C427" s="14" t="s">
        <v>107</v>
      </c>
      <c r="D427" s="14" t="s">
        <v>16542</v>
      </c>
      <c r="E427" s="15" t="str">
        <f>HYPERLINK("https://stat100.ameba.jp/tnk47/ratio20/illustrations/card/ill_95983_ummeizahamitto03.jpg?202102-5-RELEASE-marathon-516xx", "■")</f>
        <v>■</v>
      </c>
      <c r="F427" s="14" t="s">
        <v>16541</v>
      </c>
      <c r="G427" s="14">
        <v>135038</v>
      </c>
      <c r="H427" s="14">
        <v>75984</v>
      </c>
      <c r="I427" s="14">
        <v>28</v>
      </c>
      <c r="J427" s="14" t="s">
        <v>16</v>
      </c>
      <c r="K427" s="14" t="s">
        <v>16540</v>
      </c>
      <c r="L427" s="14" t="s">
        <v>14197</v>
      </c>
      <c r="M427" s="14" t="s">
        <v>9158</v>
      </c>
      <c r="N427" s="14" t="s">
        <v>9158</v>
      </c>
      <c r="O427" s="14" t="s">
        <v>9158</v>
      </c>
      <c r="P427" s="14" t="s">
        <v>9158</v>
      </c>
      <c r="Q427" s="14" t="s">
        <v>9158</v>
      </c>
    </row>
    <row r="428" spans="1:17">
      <c r="A428" s="14">
        <v>95982</v>
      </c>
      <c r="B428" s="14" t="s">
        <v>0</v>
      </c>
      <c r="C428" s="14" t="s">
        <v>107</v>
      </c>
      <c r="D428" s="14" t="s">
        <v>16542</v>
      </c>
      <c r="E428" s="15" t="str">
        <f>HYPERLINK("https://stat100.ameba.jp/tnk47/ratio20/illustrations/card/ill_95982_ummeizahamitto02.jpg?202102-5-RELEASE-marathon-516xx", "■")</f>
        <v>■</v>
      </c>
      <c r="F428" s="14" t="s">
        <v>16541</v>
      </c>
      <c r="G428" s="14">
        <v>112392</v>
      </c>
      <c r="H428" s="14">
        <v>63240</v>
      </c>
      <c r="I428" s="14">
        <v>28</v>
      </c>
      <c r="J428" s="14" t="s">
        <v>16</v>
      </c>
      <c r="K428" s="14" t="s">
        <v>16540</v>
      </c>
      <c r="L428" s="14" t="s">
        <v>14731</v>
      </c>
      <c r="M428" s="14" t="s">
        <v>9158</v>
      </c>
      <c r="N428" s="14" t="s">
        <v>9158</v>
      </c>
      <c r="O428" s="14" t="s">
        <v>9158</v>
      </c>
      <c r="P428" s="14" t="s">
        <v>9158</v>
      </c>
      <c r="Q428" s="14" t="s">
        <v>9158</v>
      </c>
    </row>
    <row r="429" spans="1:17">
      <c r="A429" s="14">
        <v>95981</v>
      </c>
      <c r="B429" s="14" t="s">
        <v>0</v>
      </c>
      <c r="C429" s="14" t="s">
        <v>107</v>
      </c>
      <c r="D429" s="14" t="s">
        <v>16542</v>
      </c>
      <c r="E429" s="15" t="str">
        <f>HYPERLINK("https://stat100.ameba.jp/tnk47/ratio20/illustrations/card/ill_95981_ummeizahamitto01.jpg?202102-5-RELEASE-marathon-516xx", "■")</f>
        <v>■</v>
      </c>
      <c r="F429" s="14" t="s">
        <v>16541</v>
      </c>
      <c r="G429" s="14">
        <v>86240</v>
      </c>
      <c r="H429" s="14">
        <v>48524</v>
      </c>
      <c r="I429" s="14">
        <v>28</v>
      </c>
      <c r="J429" s="14" t="s">
        <v>16</v>
      </c>
      <c r="K429" s="14" t="s">
        <v>16540</v>
      </c>
      <c r="L429" s="14" t="s">
        <v>16543</v>
      </c>
      <c r="M429" s="14" t="s">
        <v>9158</v>
      </c>
      <c r="N429" s="14" t="s">
        <v>9158</v>
      </c>
      <c r="O429" s="14" t="s">
        <v>9158</v>
      </c>
      <c r="P429" s="14" t="s">
        <v>9158</v>
      </c>
      <c r="Q429" s="14" t="s">
        <v>9158</v>
      </c>
    </row>
    <row r="431" spans="1:17">
      <c r="A431" s="14" t="s">
        <v>12630</v>
      </c>
    </row>
    <row r="432" spans="1:17">
      <c r="A432" s="14">
        <v>236926</v>
      </c>
      <c r="B432" s="14" t="s">
        <v>16533</v>
      </c>
    </row>
    <row r="433" spans="1:17">
      <c r="A433" s="14">
        <v>236936</v>
      </c>
      <c r="B433" s="14" t="s">
        <v>15725</v>
      </c>
    </row>
    <row r="434" spans="1:17">
      <c r="A434" s="14" t="s">
        <v>12742</v>
      </c>
    </row>
    <row r="435" spans="1:17">
      <c r="A435" s="9" t="s">
        <v>9325</v>
      </c>
      <c r="B435" s="7" t="s">
        <v>52</v>
      </c>
      <c r="C435" s="9" t="s">
        <v>202</v>
      </c>
      <c r="D435" s="19" t="s">
        <v>10947</v>
      </c>
      <c r="E435" s="15" t="str">
        <f>HYPERLINK("https://stat100.ameba.jp/tnk47/ratio20/illustrations/card/ill_86893_0_chokonohisukeban03.jpg?202102-5-RELEASE-marathon-516xx", "■")</f>
        <v>■</v>
      </c>
      <c r="F435" s="14" t="s">
        <v>9332</v>
      </c>
      <c r="G435" s="9">
        <v>351727</v>
      </c>
      <c r="H435" s="9">
        <v>317873</v>
      </c>
      <c r="I435" s="7">
        <v>27</v>
      </c>
      <c r="J435" s="9" t="s">
        <v>187</v>
      </c>
      <c r="K435" s="14" t="s">
        <v>9330</v>
      </c>
      <c r="L435" s="14" t="s">
        <v>9331</v>
      </c>
      <c r="M435" s="14" t="s">
        <v>9158</v>
      </c>
      <c r="N435" s="14" t="s">
        <v>9158</v>
      </c>
      <c r="O435" s="19" t="s">
        <v>10136</v>
      </c>
      <c r="P435" s="7" t="s">
        <v>9324</v>
      </c>
      <c r="Q435" s="7">
        <v>1</v>
      </c>
    </row>
    <row r="436" spans="1:17">
      <c r="A436" s="7" t="s">
        <v>8839</v>
      </c>
      <c r="B436" s="7" t="s">
        <v>52</v>
      </c>
      <c r="C436" s="7" t="s">
        <v>202</v>
      </c>
      <c r="D436" s="20" t="s">
        <v>10880</v>
      </c>
      <c r="E436" s="15" t="str">
        <f>HYPERLINK("https://stat100.ameba.jp/tnk47/ratio20/illustrations/card/ill_86273_0_oshogatsuniijimayae03.jpg?202102-5-RELEASE-marathon-516xx", "■")</f>
        <v>■</v>
      </c>
      <c r="F436" s="7" t="s">
        <v>8838</v>
      </c>
      <c r="G436" s="7">
        <v>296321</v>
      </c>
      <c r="H436" s="7">
        <v>327865</v>
      </c>
      <c r="I436" s="7">
        <v>27</v>
      </c>
      <c r="J436" s="14" t="s">
        <v>173</v>
      </c>
      <c r="K436" s="7" t="s">
        <v>8837</v>
      </c>
      <c r="L436" s="7" t="s">
        <v>13211</v>
      </c>
      <c r="M436" s="14" t="s">
        <v>9158</v>
      </c>
      <c r="N436" s="14" t="s">
        <v>9158</v>
      </c>
      <c r="O436" s="19" t="s">
        <v>10134</v>
      </c>
      <c r="P436" s="7" t="s">
        <v>8870</v>
      </c>
      <c r="Q436" s="7">
        <v>1</v>
      </c>
    </row>
    <row r="437" spans="1:17">
      <c r="A437" s="14" t="s">
        <v>7789</v>
      </c>
      <c r="B437" s="14" t="s">
        <v>52</v>
      </c>
      <c r="C437" s="14" t="s">
        <v>202</v>
      </c>
      <c r="D437" s="19" t="s">
        <v>10741</v>
      </c>
      <c r="E437" s="15" t="str">
        <f>HYPERLINK("https://stat100.ameba.jp/tnk47/ratio20/illustrations/card/ill_84923_0_onsengainansosatomihakkenden03.jpg?202102-5-RELEASE-marathon-516xx", "■")</f>
        <v>■</v>
      </c>
      <c r="F437" s="14" t="s">
        <v>7792</v>
      </c>
      <c r="G437" s="14">
        <v>311915</v>
      </c>
      <c r="H437" s="14">
        <v>345111</v>
      </c>
      <c r="I437" s="14">
        <v>27</v>
      </c>
      <c r="J437" s="14" t="s">
        <v>155</v>
      </c>
      <c r="K437" s="14" t="s">
        <v>7791</v>
      </c>
      <c r="L437" s="14" t="s">
        <v>7790</v>
      </c>
      <c r="M437" s="14" t="s">
        <v>9158</v>
      </c>
      <c r="N437" s="14" t="s">
        <v>9158</v>
      </c>
      <c r="O437" s="19" t="s">
        <v>10131</v>
      </c>
      <c r="P437" s="14" t="s">
        <v>7793</v>
      </c>
      <c r="Q437" s="14">
        <v>0</v>
      </c>
    </row>
    <row r="438" spans="1:17">
      <c r="A438" s="14">
        <v>83903</v>
      </c>
      <c r="B438" s="14" t="s">
        <v>0</v>
      </c>
      <c r="C438" s="14" t="s">
        <v>185</v>
      </c>
      <c r="D438" s="19" t="s">
        <v>10643</v>
      </c>
      <c r="E438" s="15" t="str">
        <f>HYPERLINK("https://stat100.ameba.jp/tnk47/ratio20/illustrations/card/ill_83903_manekinekotsurumyojin03.jpg?202102-5-RELEASE-marathon-516xx", "■")</f>
        <v>■</v>
      </c>
      <c r="F438" s="14" t="s">
        <v>7078</v>
      </c>
      <c r="G438" s="14">
        <v>127784</v>
      </c>
      <c r="H438" s="14">
        <v>118598</v>
      </c>
      <c r="I438" s="14">
        <v>28</v>
      </c>
      <c r="J438" s="14" t="s">
        <v>38</v>
      </c>
      <c r="K438" s="14" t="s">
        <v>7077</v>
      </c>
      <c r="L438" s="14" t="s">
        <v>4856</v>
      </c>
      <c r="M438" s="14" t="s">
        <v>9158</v>
      </c>
      <c r="N438" s="14" t="s">
        <v>9158</v>
      </c>
      <c r="O438" s="14" t="s">
        <v>9158</v>
      </c>
      <c r="P438" s="14" t="s">
        <v>9158</v>
      </c>
      <c r="Q438" s="14" t="s">
        <v>9158</v>
      </c>
    </row>
    <row r="439" spans="1:17">
      <c r="A439" s="7">
        <v>85793</v>
      </c>
      <c r="B439" s="7" t="s">
        <v>0</v>
      </c>
      <c r="C439" s="7" t="s">
        <v>200</v>
      </c>
      <c r="D439" s="20" t="s">
        <v>10851</v>
      </c>
      <c r="E439" s="15" t="str">
        <f>HYPERLINK("https://stat100.ameba.jp/tnk47/ratio20/illustrations/card/ill_85793_monsutaashikagatakauji03.jpg?202102-5-RELEASE-marathon-516xx", "■")</f>
        <v>■</v>
      </c>
      <c r="F439" s="7" t="s">
        <v>8632</v>
      </c>
      <c r="G439" s="7">
        <v>154768</v>
      </c>
      <c r="H439" s="7">
        <v>166452</v>
      </c>
      <c r="I439" s="14">
        <v>28</v>
      </c>
      <c r="J439" s="14" t="s">
        <v>310</v>
      </c>
      <c r="K439" s="7" t="s">
        <v>8631</v>
      </c>
      <c r="L439" s="7" t="s">
        <v>5541</v>
      </c>
      <c r="M439" s="14" t="s">
        <v>9158</v>
      </c>
      <c r="N439" s="14" t="s">
        <v>9158</v>
      </c>
      <c r="O439" s="14" t="s">
        <v>9158</v>
      </c>
      <c r="P439" s="14" t="s">
        <v>9158</v>
      </c>
      <c r="Q439" s="14" t="s">
        <v>9158</v>
      </c>
    </row>
    <row r="440" spans="1:17">
      <c r="A440" s="9">
        <v>86673</v>
      </c>
      <c r="B440" s="9" t="s">
        <v>0</v>
      </c>
      <c r="C440" s="9" t="s">
        <v>191</v>
      </c>
      <c r="D440" s="20" t="s">
        <v>10940</v>
      </c>
      <c r="E440" s="15" t="str">
        <f>HYPERLINK("https://stat100.ameba.jp/tnk47/ratio20/illustrations/card/ill_86673_shogatsunisenjunanayamakawatomiko03.jpg?202102-5-RELEASE-marathon-516xx", "■")</f>
        <v>■</v>
      </c>
      <c r="F440" s="9" t="s">
        <v>9261</v>
      </c>
      <c r="G440" s="9">
        <v>109370</v>
      </c>
      <c r="H440" s="9">
        <v>101650</v>
      </c>
      <c r="I440" s="14">
        <v>28</v>
      </c>
      <c r="J440" s="9" t="s">
        <v>173</v>
      </c>
      <c r="K440" s="9" t="s">
        <v>9260</v>
      </c>
      <c r="L440" s="9" t="s">
        <v>6763</v>
      </c>
      <c r="M440" s="14" t="s">
        <v>9158</v>
      </c>
      <c r="N440" s="14" t="s">
        <v>9158</v>
      </c>
      <c r="O440" s="14" t="s">
        <v>9158</v>
      </c>
      <c r="P440" s="14" t="s">
        <v>9158</v>
      </c>
      <c r="Q440" s="14" t="s">
        <v>9158</v>
      </c>
    </row>
    <row r="441" spans="1:17">
      <c r="A441" s="9">
        <v>86663</v>
      </c>
      <c r="B441" s="9" t="s">
        <v>0</v>
      </c>
      <c r="C441" s="9" t="s">
        <v>165</v>
      </c>
      <c r="D441" s="20" t="s">
        <v>10939</v>
      </c>
      <c r="E441" s="15" t="str">
        <f>HYPERLINK("https://stat100.ameba.jp/tnk47/ratio20/illustrations/card/ill_86663_darumaichitsukimizakechan03.jpg?202102-5-RELEASE-marathon-516xx", "■")</f>
        <v>■</v>
      </c>
      <c r="F441" s="9" t="s">
        <v>9258</v>
      </c>
      <c r="G441" s="9">
        <v>122960</v>
      </c>
      <c r="H441" s="9">
        <v>132230</v>
      </c>
      <c r="I441" s="14">
        <v>28</v>
      </c>
      <c r="J441" s="9" t="s">
        <v>216</v>
      </c>
      <c r="K441" s="9" t="s">
        <v>9257</v>
      </c>
      <c r="L441" s="9" t="s">
        <v>1079</v>
      </c>
      <c r="M441" s="14" t="s">
        <v>9158</v>
      </c>
      <c r="N441" s="14" t="s">
        <v>9158</v>
      </c>
      <c r="O441" s="14" t="s">
        <v>9158</v>
      </c>
      <c r="P441" s="14" t="s">
        <v>9158</v>
      </c>
      <c r="Q441" s="14" t="s">
        <v>9158</v>
      </c>
    </row>
    <row r="442" spans="1:17">
      <c r="A442" s="7">
        <v>85123</v>
      </c>
      <c r="B442" s="7" t="s">
        <v>0</v>
      </c>
      <c r="C442" s="7" t="s">
        <v>205</v>
      </c>
      <c r="D442" s="19" t="s">
        <v>10761</v>
      </c>
      <c r="E442" s="15" t="str">
        <f>HYPERLINK("https://stat100.ameba.jp/tnk47/ratio20/illustrations/card/ill_85123_burabankatsurakogoro03.jpg?202102-5-RELEASE-marathon-516xx", "■")</f>
        <v>■</v>
      </c>
      <c r="F442" s="7" t="s">
        <v>7904</v>
      </c>
      <c r="G442" s="7">
        <v>106178</v>
      </c>
      <c r="H442" s="7">
        <v>114208</v>
      </c>
      <c r="I442" s="14">
        <v>28</v>
      </c>
      <c r="J442" s="7" t="s">
        <v>173</v>
      </c>
      <c r="K442" s="7" t="s">
        <v>7903</v>
      </c>
      <c r="L442" s="7" t="s">
        <v>7902</v>
      </c>
      <c r="M442" s="14" t="s">
        <v>9158</v>
      </c>
      <c r="N442" s="14" t="s">
        <v>9158</v>
      </c>
      <c r="O442" s="14" t="s">
        <v>9158</v>
      </c>
      <c r="P442" s="14" t="s">
        <v>9158</v>
      </c>
      <c r="Q442" s="14" t="s">
        <v>9158</v>
      </c>
    </row>
    <row r="443" spans="1:17">
      <c r="A443" s="7">
        <v>85313</v>
      </c>
      <c r="B443" s="7" t="s">
        <v>0</v>
      </c>
      <c r="C443" s="7" t="s">
        <v>206</v>
      </c>
      <c r="D443" s="19" t="s">
        <v>10797</v>
      </c>
      <c r="E443" s="15" t="str">
        <f>HYPERLINK("https://stat100.ameba.jp/tnk47/ratio20/illustrations/card/ill_85313_chukahantentachibanaginchiyo03.jpg?202102-5-RELEASE-marathon-516xx", "■")</f>
        <v>■</v>
      </c>
      <c r="F443" s="7" t="s">
        <v>8270</v>
      </c>
      <c r="G443" s="7">
        <v>109370</v>
      </c>
      <c r="H443" s="7">
        <v>101650</v>
      </c>
      <c r="I443" s="14">
        <v>28</v>
      </c>
      <c r="J443" s="7" t="s">
        <v>187</v>
      </c>
      <c r="K443" s="7" t="s">
        <v>14015</v>
      </c>
      <c r="L443" s="7" t="s">
        <v>8269</v>
      </c>
      <c r="M443" s="14" t="s">
        <v>9158</v>
      </c>
      <c r="N443" s="14" t="s">
        <v>9158</v>
      </c>
      <c r="O443" s="14" t="s">
        <v>9158</v>
      </c>
      <c r="P443" s="14" t="s">
        <v>9158</v>
      </c>
      <c r="Q443" s="14" t="s">
        <v>9158</v>
      </c>
    </row>
    <row r="445" spans="1:17">
      <c r="A445" s="14" t="s">
        <v>4076</v>
      </c>
    </row>
    <row r="446" spans="1:17">
      <c r="A446" s="14">
        <v>236831</v>
      </c>
      <c r="B446" s="14" t="s">
        <v>16544</v>
      </c>
    </row>
    <row r="447" spans="1:17">
      <c r="A447" s="14" t="s">
        <v>5617</v>
      </c>
      <c r="B447" s="14" t="s">
        <v>330</v>
      </c>
      <c r="C447" s="14" t="s">
        <v>308</v>
      </c>
      <c r="D447" s="19" t="s">
        <v>385</v>
      </c>
      <c r="E447" s="15" t="str">
        <f>HYPERLINK("https://stat100.ameba.jp/tnk47/ratio20/illustrations/card/ill_59673_0_oheyashutendoji03.jpg?202102-5-RELEASE-marathon-516xx", "■")</f>
        <v>■</v>
      </c>
      <c r="F447" s="14" t="s">
        <v>386</v>
      </c>
      <c r="G447" s="14">
        <v>140728</v>
      </c>
      <c r="H447" s="14">
        <v>151368</v>
      </c>
      <c r="I447" s="14">
        <v>20</v>
      </c>
      <c r="J447" s="14" t="s">
        <v>320</v>
      </c>
      <c r="K447" s="14" t="s">
        <v>387</v>
      </c>
      <c r="L447" s="14" t="s">
        <v>388</v>
      </c>
      <c r="M447" s="14" t="s">
        <v>9158</v>
      </c>
      <c r="N447" s="14" t="s">
        <v>9158</v>
      </c>
      <c r="O447" s="19" t="s">
        <v>10078</v>
      </c>
      <c r="P447" s="14" t="s">
        <v>3022</v>
      </c>
      <c r="Q447" s="14">
        <v>1</v>
      </c>
    </row>
    <row r="448" spans="1:17">
      <c r="A448" s="14">
        <v>95993</v>
      </c>
      <c r="B448" s="14" t="s">
        <v>0</v>
      </c>
      <c r="C448" s="14" t="s">
        <v>101</v>
      </c>
      <c r="D448" s="14" t="s">
        <v>16554</v>
      </c>
      <c r="E448" s="15" t="str">
        <f>HYPERLINK("https://stat100.ameba.jp/tnk47/ratio20/illustrations/card/ill_95993_ummeizaempuresu03.jpg?202102-5-RELEASE-marathon-516xx", "■")</f>
        <v>■</v>
      </c>
      <c r="F448" s="14" t="s">
        <v>16553</v>
      </c>
      <c r="G448" s="14">
        <v>79346</v>
      </c>
      <c r="H448" s="14">
        <v>141042</v>
      </c>
      <c r="I448" s="14">
        <v>28</v>
      </c>
      <c r="J448" s="14" t="s">
        <v>10</v>
      </c>
      <c r="K448" s="14" t="s">
        <v>16552</v>
      </c>
      <c r="L448" s="14" t="s">
        <v>16551</v>
      </c>
      <c r="M448" s="14" t="s">
        <v>9158</v>
      </c>
      <c r="N448" s="14" t="s">
        <v>9158</v>
      </c>
      <c r="O448" s="14" t="s">
        <v>9158</v>
      </c>
      <c r="P448" s="14" t="s">
        <v>9158</v>
      </c>
      <c r="Q448" s="14" t="s">
        <v>9158</v>
      </c>
    </row>
    <row r="449" spans="1:17">
      <c r="A449" s="14">
        <v>95992</v>
      </c>
      <c r="B449" s="14" t="s">
        <v>0</v>
      </c>
      <c r="C449" s="14" t="s">
        <v>101</v>
      </c>
      <c r="D449" s="14" t="s">
        <v>16554</v>
      </c>
      <c r="E449" s="15" t="str">
        <f>HYPERLINK("https://stat100.ameba.jp/tnk47/ratio20/illustrations/card/ill_95992_ummeizaempuresu02.jpg?202102-5-RELEASE-marathon-516xx", "■")</f>
        <v>■</v>
      </c>
      <c r="F449" s="14" t="s">
        <v>16553</v>
      </c>
      <c r="G449" s="14">
        <v>66052</v>
      </c>
      <c r="H449" s="14">
        <v>117352</v>
      </c>
      <c r="I449" s="14">
        <v>28</v>
      </c>
      <c r="J449" s="14" t="s">
        <v>10</v>
      </c>
      <c r="K449" s="14" t="s">
        <v>16552</v>
      </c>
      <c r="L449" s="14" t="s">
        <v>16555</v>
      </c>
      <c r="M449" s="14" t="s">
        <v>9158</v>
      </c>
      <c r="N449" s="14" t="s">
        <v>9158</v>
      </c>
      <c r="O449" s="14" t="s">
        <v>9158</v>
      </c>
      <c r="P449" s="14" t="s">
        <v>9158</v>
      </c>
      <c r="Q449" s="14" t="s">
        <v>9158</v>
      </c>
    </row>
    <row r="450" spans="1:17">
      <c r="A450" s="14">
        <v>95991</v>
      </c>
      <c r="B450" s="14" t="s">
        <v>0</v>
      </c>
      <c r="C450" s="14" t="s">
        <v>101</v>
      </c>
      <c r="D450" s="14" t="s">
        <v>16554</v>
      </c>
      <c r="E450" s="15" t="str">
        <f>HYPERLINK("https://stat100.ameba.jp/tnk47/ratio20/illustrations/card/ill_95991_ummeizaempuresu01.jpg?202102-5-RELEASE-marathon-516xx", "■")</f>
        <v>■</v>
      </c>
      <c r="F450" s="14" t="s">
        <v>16553</v>
      </c>
      <c r="G450" s="14">
        <v>50680</v>
      </c>
      <c r="H450" s="14">
        <v>90048</v>
      </c>
      <c r="I450" s="14">
        <v>28</v>
      </c>
      <c r="J450" s="14" t="s">
        <v>10</v>
      </c>
      <c r="K450" s="14" t="s">
        <v>16552</v>
      </c>
      <c r="L450" s="14" t="s">
        <v>16556</v>
      </c>
      <c r="M450" s="14" t="s">
        <v>9158</v>
      </c>
      <c r="N450" s="14" t="s">
        <v>9158</v>
      </c>
      <c r="O450" s="14" t="s">
        <v>9158</v>
      </c>
      <c r="P450" s="14" t="s">
        <v>9158</v>
      </c>
      <c r="Q450" s="14" t="s">
        <v>9158</v>
      </c>
    </row>
    <row r="451" spans="1:17">
      <c r="A451" s="14">
        <v>96003</v>
      </c>
      <c r="B451" s="14" t="s">
        <v>0</v>
      </c>
      <c r="C451" s="14" t="s">
        <v>1</v>
      </c>
      <c r="D451" s="14" t="s">
        <v>16559</v>
      </c>
      <c r="E451" s="15" t="str">
        <f>HYPERLINK("https://stat100.ameba.jp/tnk47/ratio20/illustrations/card/ill_96003_ummeizajasuteisu03.jpg?202102-5-RELEASE-marathon-516xx", "■")</f>
        <v>■</v>
      </c>
      <c r="F451" s="14" t="s">
        <v>16558</v>
      </c>
      <c r="G451" s="14">
        <v>115654</v>
      </c>
      <c r="H451" s="14">
        <v>205568</v>
      </c>
      <c r="I451" s="14">
        <v>28</v>
      </c>
      <c r="J451" s="14" t="s">
        <v>143</v>
      </c>
      <c r="K451" s="14" t="s">
        <v>16557</v>
      </c>
      <c r="L451" s="14" t="s">
        <v>12026</v>
      </c>
      <c r="M451" s="14" t="s">
        <v>9158</v>
      </c>
      <c r="N451" s="14" t="s">
        <v>9158</v>
      </c>
      <c r="O451" s="14" t="s">
        <v>9158</v>
      </c>
      <c r="P451" s="14" t="s">
        <v>9158</v>
      </c>
      <c r="Q451" s="14" t="s">
        <v>9158</v>
      </c>
    </row>
    <row r="452" spans="1:17">
      <c r="A452" s="14">
        <v>96002</v>
      </c>
      <c r="B452" s="14" t="s">
        <v>0</v>
      </c>
      <c r="C452" s="14" t="s">
        <v>1</v>
      </c>
      <c r="D452" s="14" t="s">
        <v>16559</v>
      </c>
      <c r="E452" s="15" t="str">
        <f>HYPERLINK("https://stat100.ameba.jp/tnk47/ratio20/illustrations/card/ill_96002_ummeizajasuteisu02.jpg?202102-5-RELEASE-marathon-516xx", "■")</f>
        <v>■</v>
      </c>
      <c r="F452" s="14" t="s">
        <v>16558</v>
      </c>
      <c r="G452" s="14">
        <v>96252</v>
      </c>
      <c r="H452" s="14">
        <v>171040</v>
      </c>
      <c r="I452" s="14">
        <v>28</v>
      </c>
      <c r="J452" s="14" t="s">
        <v>143</v>
      </c>
      <c r="K452" s="14" t="s">
        <v>16557</v>
      </c>
      <c r="L452" s="14" t="s">
        <v>16560</v>
      </c>
      <c r="M452" s="14" t="s">
        <v>9158</v>
      </c>
      <c r="N452" s="14" t="s">
        <v>9158</v>
      </c>
      <c r="O452" s="14" t="s">
        <v>9158</v>
      </c>
      <c r="P452" s="14" t="s">
        <v>9158</v>
      </c>
      <c r="Q452" s="14" t="s">
        <v>9158</v>
      </c>
    </row>
    <row r="453" spans="1:17">
      <c r="A453" s="14">
        <v>96001</v>
      </c>
      <c r="B453" s="14" t="s">
        <v>0</v>
      </c>
      <c r="C453" s="14" t="s">
        <v>1</v>
      </c>
      <c r="D453" s="14" t="s">
        <v>16559</v>
      </c>
      <c r="E453" s="15" t="str">
        <f>HYPERLINK("https://stat100.ameba.jp/tnk47/ratio20/illustrations/card/ill_96001_ummeizajasuteisu01.jpg?202102-5-RELEASE-marathon-516xx", "■")</f>
        <v>■</v>
      </c>
      <c r="F453" s="14" t="s">
        <v>16558</v>
      </c>
      <c r="G453" s="14">
        <v>73864</v>
      </c>
      <c r="H453" s="14">
        <v>131264</v>
      </c>
      <c r="I453" s="14">
        <v>28</v>
      </c>
      <c r="J453" s="14" t="s">
        <v>143</v>
      </c>
      <c r="K453" s="14" t="s">
        <v>16557</v>
      </c>
      <c r="L453" s="14" t="s">
        <v>16561</v>
      </c>
      <c r="M453" s="14" t="s">
        <v>9158</v>
      </c>
      <c r="N453" s="14" t="s">
        <v>9158</v>
      </c>
      <c r="O453" s="14" t="s">
        <v>9158</v>
      </c>
      <c r="P453" s="14" t="s">
        <v>9158</v>
      </c>
      <c r="Q453" s="14" t="s">
        <v>9158</v>
      </c>
    </row>
    <row r="455" spans="1:17">
      <c r="A455" s="14" t="s">
        <v>8239</v>
      </c>
    </row>
    <row r="456" spans="1:17">
      <c r="A456" s="14">
        <v>236861</v>
      </c>
      <c r="B456" s="14" t="s">
        <v>16545</v>
      </c>
    </row>
    <row r="457" spans="1:17">
      <c r="A457" s="14">
        <v>236897</v>
      </c>
      <c r="B457" s="14" t="s">
        <v>18546</v>
      </c>
    </row>
    <row r="458" spans="1:17">
      <c r="A458" s="14" t="s">
        <v>16549</v>
      </c>
      <c r="B458" s="14" t="s">
        <v>117</v>
      </c>
      <c r="C458" s="14" t="s">
        <v>35</v>
      </c>
      <c r="D458" s="14" t="s">
        <v>16550</v>
      </c>
      <c r="E458" s="15" t="str">
        <f>HYPERLINK("https://stat100.ameba.jp/tnk47/ratio20/illustrations/card/ill_96123_0_tenkuroyukimatsuri03.jpg?202102-5-RELEASE-marathon-516xx", "■")</f>
        <v>■</v>
      </c>
      <c r="F458" s="14" t="s">
        <v>16548</v>
      </c>
      <c r="G458" s="14">
        <v>466826</v>
      </c>
      <c r="H458" s="14">
        <v>421914</v>
      </c>
      <c r="I458" s="14">
        <v>35</v>
      </c>
      <c r="J458" s="14" t="s">
        <v>77</v>
      </c>
      <c r="K458" s="14" t="s">
        <v>16547</v>
      </c>
      <c r="L458" s="14" t="s">
        <v>16546</v>
      </c>
      <c r="M458" s="14" t="s">
        <v>9158</v>
      </c>
      <c r="N458" s="14" t="s">
        <v>9158</v>
      </c>
      <c r="O458" s="14" t="s">
        <v>9158</v>
      </c>
      <c r="P458" s="14" t="s">
        <v>9158</v>
      </c>
      <c r="Q458" s="14" t="s">
        <v>9158</v>
      </c>
    </row>
    <row r="459" spans="1:17">
      <c r="A459" s="14" t="s">
        <v>16493</v>
      </c>
      <c r="B459" s="14" t="s">
        <v>117</v>
      </c>
      <c r="C459" s="14" t="s">
        <v>35</v>
      </c>
      <c r="D459" s="14" t="s">
        <v>16454</v>
      </c>
      <c r="E459" s="15" t="str">
        <f>HYPERLINK("https://stat100.ameba.jp/tnk47/ratio20/illustrations/card/ill_94133_0_tenkuromeikendaishugo03.jpg?202102-5-RELEASE-marathon-516xx", "■")</f>
        <v>■</v>
      </c>
      <c r="F459" s="14" t="s">
        <v>16492</v>
      </c>
      <c r="G459" s="14">
        <v>421576</v>
      </c>
      <c r="H459" s="14">
        <v>466453</v>
      </c>
      <c r="I459" s="14">
        <v>35</v>
      </c>
      <c r="J459" s="14" t="s">
        <v>44</v>
      </c>
      <c r="K459" s="14" t="s">
        <v>16491</v>
      </c>
      <c r="L459" s="14" t="s">
        <v>16490</v>
      </c>
      <c r="M459" s="14" t="s">
        <v>9158</v>
      </c>
      <c r="N459" s="14" t="s">
        <v>9158</v>
      </c>
      <c r="O459" s="14" t="s">
        <v>9158</v>
      </c>
      <c r="P459" s="14" t="s">
        <v>9158</v>
      </c>
      <c r="Q459" s="14" t="s">
        <v>9158</v>
      </c>
    </row>
    <row r="460" spans="1:17">
      <c r="A460" s="14" t="s">
        <v>16460</v>
      </c>
      <c r="B460" s="14" t="s">
        <v>117</v>
      </c>
      <c r="C460" s="14" t="s">
        <v>35</v>
      </c>
      <c r="D460" s="14" t="s">
        <v>16455</v>
      </c>
      <c r="E460" s="15" t="str">
        <f>HYPERLINK("https://stat100.ameba.jp/tnk47/ratio20/illustrations/card/ill_94753_0_tenkurokesutora03.jpg?202102-5-RELEASE-marathon-516xx", "■")</f>
        <v>■</v>
      </c>
      <c r="F460" s="14" t="s">
        <v>16459</v>
      </c>
      <c r="G460" s="14">
        <v>466453</v>
      </c>
      <c r="H460" s="14">
        <v>421576</v>
      </c>
      <c r="I460" s="14">
        <v>35</v>
      </c>
      <c r="J460" s="14" t="s">
        <v>73</v>
      </c>
      <c r="K460" s="14" t="s">
        <v>16458</v>
      </c>
      <c r="L460" s="14" t="s">
        <v>16457</v>
      </c>
      <c r="M460" s="14" t="s">
        <v>9158</v>
      </c>
      <c r="N460" s="14" t="s">
        <v>9158</v>
      </c>
      <c r="O460" s="14" t="s">
        <v>9158</v>
      </c>
      <c r="P460" s="14" t="s">
        <v>9158</v>
      </c>
      <c r="Q460" s="14" t="s">
        <v>9158</v>
      </c>
    </row>
    <row r="461" spans="1:17">
      <c r="A461" s="14" t="s">
        <v>16453</v>
      </c>
      <c r="B461" s="14" t="s">
        <v>117</v>
      </c>
      <c r="C461" s="14" t="s">
        <v>35</v>
      </c>
      <c r="D461" s="14" t="s">
        <v>16452</v>
      </c>
      <c r="E461" s="15" t="str">
        <f>HYPERLINK("https://stat100.ameba.jp/tnk47/ratio20/illustrations/card/ill_95473_0_tenkurofurutsuparadaisu03.jpg?202102-5-RELEASE-marathon-516xx", "■")</f>
        <v>■</v>
      </c>
      <c r="F461" s="14" t="s">
        <v>16451</v>
      </c>
      <c r="G461" s="14">
        <v>421914</v>
      </c>
      <c r="H461" s="14">
        <v>466826</v>
      </c>
      <c r="I461" s="14">
        <v>35</v>
      </c>
      <c r="J461" s="14" t="s">
        <v>104</v>
      </c>
      <c r="K461" s="14" t="s">
        <v>16450</v>
      </c>
      <c r="L461" s="14" t="s">
        <v>16449</v>
      </c>
      <c r="M461" s="14" t="s">
        <v>9158</v>
      </c>
      <c r="N461" s="14" t="s">
        <v>9158</v>
      </c>
      <c r="O461" s="14" t="s">
        <v>9158</v>
      </c>
      <c r="P461" s="14" t="s">
        <v>9158</v>
      </c>
      <c r="Q461" s="14" t="s">
        <v>9158</v>
      </c>
    </row>
    <row r="462" spans="1:17">
      <c r="A462" s="14" t="s">
        <v>5804</v>
      </c>
      <c r="B462" s="14" t="s">
        <v>52</v>
      </c>
      <c r="C462" s="14" t="s">
        <v>14</v>
      </c>
      <c r="D462" s="19" t="s">
        <v>3195</v>
      </c>
      <c r="E462" s="15" t="str">
        <f>HYPERLINK("https://stat100.ameba.jp/tnk47/ratio20/illustrations/card/ill_75393_0_resukuinotsukisamaniittausagi03.jpg?202102-5-RELEASE-marathon-516xx", "■")</f>
        <v>■</v>
      </c>
      <c r="F462" s="14" t="s">
        <v>3248</v>
      </c>
      <c r="G462" s="14">
        <v>250588</v>
      </c>
      <c r="H462" s="14">
        <v>232980</v>
      </c>
      <c r="I462" s="14">
        <v>22</v>
      </c>
      <c r="J462" s="14" t="s">
        <v>26</v>
      </c>
      <c r="K462" s="14" t="s">
        <v>3249</v>
      </c>
      <c r="L462" s="14" t="s">
        <v>3250</v>
      </c>
      <c r="M462" s="14" t="s">
        <v>9158</v>
      </c>
      <c r="N462" s="14" t="s">
        <v>9158</v>
      </c>
      <c r="O462" s="6" t="s">
        <v>10051</v>
      </c>
      <c r="P462" s="14" t="s">
        <v>3251</v>
      </c>
      <c r="Q462" s="14">
        <v>2</v>
      </c>
    </row>
    <row r="463" spans="1:17">
      <c r="A463" s="14">
        <v>82473</v>
      </c>
      <c r="B463" s="14" t="s">
        <v>0</v>
      </c>
      <c r="C463" s="14" t="s">
        <v>14</v>
      </c>
      <c r="D463" s="19" t="s">
        <v>10335</v>
      </c>
      <c r="E463" s="15" t="str">
        <f>HYPERLINK("https://stat100.ameba.jp/tnk47/ratio20/illustrations/card/ill_82473_tanabataakitainukun03.jpg?202102-5-RELEASE-marathon-516xx", "■")</f>
        <v>■</v>
      </c>
      <c r="F463" s="14" t="s">
        <v>5453</v>
      </c>
      <c r="G463" s="14">
        <v>154768</v>
      </c>
      <c r="H463" s="14">
        <v>166452</v>
      </c>
      <c r="I463" s="14">
        <v>28</v>
      </c>
      <c r="J463" s="14" t="s">
        <v>26</v>
      </c>
      <c r="K463" s="14" t="s">
        <v>5455</v>
      </c>
      <c r="L463" s="14" t="s">
        <v>5456</v>
      </c>
      <c r="M463" s="14" t="s">
        <v>9158</v>
      </c>
      <c r="N463" s="14" t="s">
        <v>9158</v>
      </c>
      <c r="O463" s="14" t="s">
        <v>9158</v>
      </c>
      <c r="P463" s="14" t="s">
        <v>9158</v>
      </c>
      <c r="Q463" s="14" t="s">
        <v>9158</v>
      </c>
    </row>
    <row r="464" spans="1:17">
      <c r="A464" s="9">
        <v>76373</v>
      </c>
      <c r="B464" s="14" t="s">
        <v>334</v>
      </c>
      <c r="C464" s="14" t="s">
        <v>271</v>
      </c>
      <c r="D464" s="14" t="s">
        <v>3856</v>
      </c>
      <c r="E464" s="15" t="str">
        <f>HYPERLINK("https://stat100.ameba.jp/tnk47/ratio20/illustrations/card/ill_76373_marishitenho03.jpg?202102-5-RELEASE-marathon-516xx", "■")</f>
        <v>■</v>
      </c>
      <c r="F464" s="14" t="s">
        <v>467</v>
      </c>
      <c r="G464" s="14">
        <v>118598</v>
      </c>
      <c r="H464" s="14">
        <v>127784</v>
      </c>
      <c r="I464" s="14">
        <v>28</v>
      </c>
      <c r="J464" s="14" t="s">
        <v>274</v>
      </c>
      <c r="K464" s="14" t="s">
        <v>468</v>
      </c>
      <c r="L464" s="14" t="s">
        <v>469</v>
      </c>
      <c r="M464" s="14" t="s">
        <v>9158</v>
      </c>
      <c r="N464" s="14" t="s">
        <v>9158</v>
      </c>
      <c r="O464" s="14" t="s">
        <v>9158</v>
      </c>
      <c r="P464" s="14" t="s">
        <v>9158</v>
      </c>
      <c r="Q464" s="14" t="s">
        <v>9158</v>
      </c>
    </row>
    <row r="465" spans="1:17">
      <c r="A465" s="9">
        <v>74853</v>
      </c>
      <c r="B465" s="14" t="s">
        <v>334</v>
      </c>
      <c r="C465" s="14" t="s">
        <v>191</v>
      </c>
      <c r="D465" s="14" t="s">
        <v>3312</v>
      </c>
      <c r="E465" s="15" t="str">
        <f>HYPERLINK("https://stat100.ameba.jp/tnk47/ratio20/illustrations/card/ill_74853_ennichikingyonota03.jpg?202102-5-RELEASE-marathon-516xx", "■")</f>
        <v>■</v>
      </c>
      <c r="F465" s="14" t="s">
        <v>3313</v>
      </c>
      <c r="G465" s="14">
        <v>105610</v>
      </c>
      <c r="H465" s="14">
        <v>113536</v>
      </c>
      <c r="I465" s="14">
        <v>28</v>
      </c>
      <c r="J465" s="14" t="s">
        <v>38</v>
      </c>
      <c r="K465" s="14" t="s">
        <v>3314</v>
      </c>
      <c r="L465" s="14" t="s">
        <v>3315</v>
      </c>
      <c r="M465" s="14" t="s">
        <v>9158</v>
      </c>
      <c r="N465" s="14" t="s">
        <v>9158</v>
      </c>
      <c r="O465" s="14" t="s">
        <v>9158</v>
      </c>
      <c r="P465" s="14" t="s">
        <v>9158</v>
      </c>
      <c r="Q465" s="14" t="s">
        <v>9158</v>
      </c>
    </row>
    <row r="466" spans="1:17">
      <c r="A466" s="9">
        <v>72523</v>
      </c>
      <c r="B466" s="14" t="s">
        <v>334</v>
      </c>
      <c r="C466" s="14" t="s">
        <v>96</v>
      </c>
      <c r="D466" s="14" t="s">
        <v>4261</v>
      </c>
      <c r="E466" s="15" t="str">
        <f>HYPERLINK("https://stat100.ameba.jp/tnk47/ratio20/illustrations/card/ill_72523_safuaripakunakisawame03.jpg?202102-5-RELEASE-marathon-516xx", "■")</f>
        <v>■</v>
      </c>
      <c r="F466" s="14" t="s">
        <v>4264</v>
      </c>
      <c r="G466" s="14">
        <v>106178</v>
      </c>
      <c r="H466" s="14">
        <v>114208</v>
      </c>
      <c r="I466" s="14">
        <v>28</v>
      </c>
      <c r="J466" s="14" t="s">
        <v>401</v>
      </c>
      <c r="K466" s="14" t="s">
        <v>4262</v>
      </c>
      <c r="L466" s="14" t="s">
        <v>4263</v>
      </c>
      <c r="M466" s="14" t="s">
        <v>9158</v>
      </c>
      <c r="N466" s="14" t="s">
        <v>9158</v>
      </c>
      <c r="O466" s="14" t="s">
        <v>9158</v>
      </c>
      <c r="P466" s="14" t="s">
        <v>9158</v>
      </c>
      <c r="Q466" s="14" t="s">
        <v>9158</v>
      </c>
    </row>
    <row r="467" spans="1:17">
      <c r="A467" s="7">
        <v>85123</v>
      </c>
      <c r="B467" s="7" t="s">
        <v>0</v>
      </c>
      <c r="C467" s="7" t="s">
        <v>205</v>
      </c>
      <c r="D467" s="19" t="s">
        <v>10761</v>
      </c>
      <c r="E467" s="15" t="str">
        <f>HYPERLINK("https://stat100.ameba.jp/tnk47/ratio20/illustrations/card/ill_85123_burabankatsurakogoro03.jpg?202102-5-RELEASE-marathon-516xx", "■")</f>
        <v>■</v>
      </c>
      <c r="F467" s="7" t="s">
        <v>7904</v>
      </c>
      <c r="G467" s="14">
        <v>106178</v>
      </c>
      <c r="H467" s="14">
        <v>114208</v>
      </c>
      <c r="I467" s="14">
        <v>28</v>
      </c>
      <c r="J467" s="7" t="s">
        <v>173</v>
      </c>
      <c r="K467" s="7" t="s">
        <v>7903</v>
      </c>
      <c r="L467" s="7" t="s">
        <v>7902</v>
      </c>
      <c r="M467" s="14" t="s">
        <v>9158</v>
      </c>
      <c r="N467" s="14" t="s">
        <v>9158</v>
      </c>
      <c r="O467" s="14" t="s">
        <v>9158</v>
      </c>
      <c r="P467" s="14" t="s">
        <v>9158</v>
      </c>
      <c r="Q467" s="14" t="s">
        <v>9158</v>
      </c>
    </row>
    <row r="468" spans="1:17">
      <c r="A468" s="9">
        <v>47523</v>
      </c>
      <c r="B468" s="14" t="s">
        <v>334</v>
      </c>
      <c r="C468" s="9" t="s">
        <v>206</v>
      </c>
      <c r="D468" s="20" t="s">
        <v>10934</v>
      </c>
      <c r="E468" s="15" t="str">
        <f>HYPERLINK("https://stat100.ameba.jp/tnk47/ratio20/illustrations/card/ill_47523_edoushinpei03.jpg?202102-5-RELEASE-marathon-516xx", "■")</f>
        <v>■</v>
      </c>
      <c r="F468" s="9" t="s">
        <v>9202</v>
      </c>
      <c r="G468" s="14">
        <v>87336</v>
      </c>
      <c r="H468" s="14">
        <v>121486</v>
      </c>
      <c r="I468" s="14">
        <v>28</v>
      </c>
      <c r="J468" s="9" t="s">
        <v>173</v>
      </c>
      <c r="K468" s="9" t="s">
        <v>9201</v>
      </c>
      <c r="L468" s="9" t="s">
        <v>9200</v>
      </c>
      <c r="M468" s="14" t="s">
        <v>9158</v>
      </c>
      <c r="N468" s="14" t="s">
        <v>9158</v>
      </c>
      <c r="O468" s="14" t="s">
        <v>9158</v>
      </c>
      <c r="P468" s="14" t="s">
        <v>9158</v>
      </c>
      <c r="Q468" s="14" t="s">
        <v>9158</v>
      </c>
    </row>
    <row r="470" spans="1:17">
      <c r="A470" s="14" t="s">
        <v>4065</v>
      </c>
    </row>
    <row r="471" spans="1:17">
      <c r="A471" s="14">
        <v>106937</v>
      </c>
      <c r="B471" s="14" t="s">
        <v>16585</v>
      </c>
    </row>
    <row r="472" spans="1:17">
      <c r="A472" s="14" t="s">
        <v>13547</v>
      </c>
      <c r="B472" s="14" t="s">
        <v>117</v>
      </c>
      <c r="C472" s="14" t="s">
        <v>35</v>
      </c>
      <c r="D472" s="14" t="s">
        <v>13545</v>
      </c>
      <c r="E472" s="15" t="str">
        <f>HYPERLINK("https://stat100.ameba.jp/tnk47/ratio20/illustrations/card/ill_92163_0_jinraisanki03.jpg?202102-5-RELEASE-marathon-516xx", "■")</f>
        <v>■</v>
      </c>
      <c r="F472" s="14" t="s">
        <v>13548</v>
      </c>
      <c r="G472" s="14">
        <v>322774</v>
      </c>
      <c r="H472" s="14">
        <v>291694</v>
      </c>
      <c r="I472" s="14">
        <v>27</v>
      </c>
      <c r="J472" s="14" t="s">
        <v>44</v>
      </c>
      <c r="K472" s="14" t="s">
        <v>13550</v>
      </c>
      <c r="L472" s="14" t="s">
        <v>13551</v>
      </c>
      <c r="M472" s="14" t="s">
        <v>9158</v>
      </c>
      <c r="N472" s="14" t="s">
        <v>9158</v>
      </c>
      <c r="O472" s="14" t="s">
        <v>13552</v>
      </c>
      <c r="P472" s="14" t="s">
        <v>5394</v>
      </c>
      <c r="Q472" s="14">
        <v>1</v>
      </c>
    </row>
    <row r="473" spans="1:17">
      <c r="A473" s="7">
        <v>85053</v>
      </c>
      <c r="B473" s="7" t="s">
        <v>0</v>
      </c>
      <c r="C473" s="7" t="s">
        <v>158</v>
      </c>
      <c r="D473" s="19" t="s">
        <v>10768</v>
      </c>
      <c r="E473" s="15" t="str">
        <f>HYPERLINK("https://stat100.ameba.jp/tnk47/ratio20/illustrations/card/ill_85053_heideirumu03.jpg?202102-5-RELEASE-marathon-516xx", "■")</f>
        <v>■</v>
      </c>
      <c r="F473" s="7" t="s">
        <v>7969</v>
      </c>
      <c r="G473" s="7">
        <v>118684</v>
      </c>
      <c r="H473" s="7">
        <v>85962</v>
      </c>
      <c r="I473" s="14">
        <v>26</v>
      </c>
      <c r="J473" s="7" t="s">
        <v>169</v>
      </c>
      <c r="K473" s="7" t="s">
        <v>7968</v>
      </c>
      <c r="L473" s="7" t="s">
        <v>7967</v>
      </c>
      <c r="M473" s="14" t="s">
        <v>9158</v>
      </c>
      <c r="N473" s="14" t="s">
        <v>9158</v>
      </c>
      <c r="O473" s="19" t="s">
        <v>10085</v>
      </c>
      <c r="P473" s="7" t="s">
        <v>4374</v>
      </c>
      <c r="Q473" s="7">
        <v>1</v>
      </c>
    </row>
    <row r="474" spans="1:17">
      <c r="A474" s="14">
        <v>82543</v>
      </c>
      <c r="B474" s="14" t="s">
        <v>334</v>
      </c>
      <c r="C474" s="14" t="s">
        <v>41</v>
      </c>
      <c r="D474" s="20" t="s">
        <v>10342</v>
      </c>
      <c r="E474" s="15" t="str">
        <f>HYPERLINK("https://stat100.ameba.jp/tnk47/ratio20/illustrations/card/ill_82543_nabeshimanagako03.jpg?202102-5-RELEASE-marathon-516xx", "■")</f>
        <v>■</v>
      </c>
      <c r="F474" s="14" t="s">
        <v>5491</v>
      </c>
      <c r="G474" s="14">
        <v>113630</v>
      </c>
      <c r="H474" s="14">
        <v>82318</v>
      </c>
      <c r="I474" s="14">
        <v>26</v>
      </c>
      <c r="J474" s="14" t="s">
        <v>10</v>
      </c>
      <c r="K474" s="14" t="s">
        <v>5493</v>
      </c>
      <c r="L474" s="14" t="s">
        <v>5494</v>
      </c>
      <c r="M474" s="14" t="s">
        <v>9158</v>
      </c>
      <c r="N474" s="14" t="s">
        <v>9158</v>
      </c>
      <c r="O474" s="19" t="s">
        <v>10080</v>
      </c>
      <c r="P474" s="14" t="s">
        <v>3705</v>
      </c>
      <c r="Q474" s="14">
        <v>1</v>
      </c>
    </row>
    <row r="475" spans="1:17">
      <c r="A475" s="14">
        <v>75883</v>
      </c>
      <c r="B475" s="14" t="s">
        <v>334</v>
      </c>
      <c r="C475" s="14" t="s">
        <v>154</v>
      </c>
      <c r="D475" s="19" t="s">
        <v>10402</v>
      </c>
      <c r="E475" s="15" t="str">
        <f>HYPERLINK("https://stat100.ameba.jp/tnk47/ratio20/illustrations/card/ill_75883_kitajokagehiro03.jpg?202102-5-RELEASE-marathon-516xx", "■")</f>
        <v>■</v>
      </c>
      <c r="F475" s="14" t="s">
        <v>2411</v>
      </c>
      <c r="G475" s="14">
        <v>125296</v>
      </c>
      <c r="H475" s="14">
        <v>172982</v>
      </c>
      <c r="I475" s="14">
        <v>26</v>
      </c>
      <c r="J475" s="14" t="s">
        <v>143</v>
      </c>
      <c r="K475" s="14" t="s">
        <v>2412</v>
      </c>
      <c r="L475" s="14" t="s">
        <v>1148</v>
      </c>
      <c r="M475" s="14" t="s">
        <v>9158</v>
      </c>
      <c r="N475" s="14" t="s">
        <v>9158</v>
      </c>
      <c r="O475" s="19" t="s">
        <v>10106</v>
      </c>
      <c r="P475" s="14" t="s">
        <v>3330</v>
      </c>
      <c r="Q475" s="14">
        <v>2</v>
      </c>
    </row>
    <row r="476" spans="1:17">
      <c r="G476" s="9"/>
      <c r="H476" s="9"/>
      <c r="I476" s="9"/>
    </row>
    <row r="477" spans="1:17">
      <c r="A477" s="14" t="s">
        <v>3916</v>
      </c>
    </row>
    <row r="478" spans="1:17">
      <c r="A478" s="14">
        <v>106942</v>
      </c>
      <c r="B478" s="14" t="s">
        <v>16586</v>
      </c>
    </row>
    <row r="479" spans="1:17">
      <c r="A479" s="9">
        <v>60363</v>
      </c>
      <c r="B479" s="14" t="s">
        <v>0</v>
      </c>
      <c r="C479" s="14" t="s">
        <v>209</v>
      </c>
      <c r="D479" s="14" t="s">
        <v>3918</v>
      </c>
      <c r="E479" s="15" t="str">
        <f>HYPERLINK("https://stat100.ameba.jp/tnk47/ratio20/illustrations/card/ill_60363_shirakaba03.jpg?202102-5-RELEASE-marathon-516xx", "■")</f>
        <v>■</v>
      </c>
      <c r="F479" s="14" t="s">
        <v>3919</v>
      </c>
      <c r="G479" s="14">
        <v>112286</v>
      </c>
      <c r="H479" s="14">
        <v>120766</v>
      </c>
      <c r="I479" s="9">
        <v>28</v>
      </c>
      <c r="J479" s="14" t="s">
        <v>26</v>
      </c>
      <c r="K479" s="14" t="s">
        <v>3920</v>
      </c>
      <c r="L479" s="14" t="s">
        <v>3921</v>
      </c>
      <c r="M479" s="14" t="s">
        <v>9158</v>
      </c>
      <c r="N479" s="14" t="s">
        <v>9158</v>
      </c>
      <c r="O479" s="14" t="s">
        <v>9158</v>
      </c>
      <c r="P479" s="14" t="s">
        <v>9158</v>
      </c>
      <c r="Q479" s="14" t="s">
        <v>9158</v>
      </c>
    </row>
    <row r="480" spans="1:17">
      <c r="A480" s="9">
        <v>59413</v>
      </c>
      <c r="B480" s="14" t="s">
        <v>334</v>
      </c>
      <c r="C480" s="14" t="s">
        <v>158</v>
      </c>
      <c r="D480" s="14" t="s">
        <v>3922</v>
      </c>
      <c r="E480" s="15" t="str">
        <f>HYPERLINK("https://stat100.ameba.jp/tnk47/ratio20/illustrations/card/ill_59413_otogosahime03.jpg?202102-5-RELEASE-marathon-516xx", "■")</f>
        <v>■</v>
      </c>
      <c r="F480" s="14" t="s">
        <v>3923</v>
      </c>
      <c r="G480" s="14">
        <v>112286</v>
      </c>
      <c r="H480" s="14">
        <v>120766</v>
      </c>
      <c r="I480" s="9">
        <v>28</v>
      </c>
      <c r="J480" s="14" t="s">
        <v>38</v>
      </c>
      <c r="K480" s="14" t="s">
        <v>3924</v>
      </c>
      <c r="L480" s="14" t="s">
        <v>3925</v>
      </c>
      <c r="M480" s="14" t="s">
        <v>9158</v>
      </c>
      <c r="N480" s="14" t="s">
        <v>9158</v>
      </c>
      <c r="O480" s="14" t="s">
        <v>9158</v>
      </c>
      <c r="P480" s="14" t="s">
        <v>9158</v>
      </c>
      <c r="Q480" s="14" t="s">
        <v>9158</v>
      </c>
    </row>
    <row r="481" spans="1:17">
      <c r="A481" s="14">
        <v>76483</v>
      </c>
      <c r="B481" s="14" t="s">
        <v>334</v>
      </c>
      <c r="C481" s="14" t="s">
        <v>307</v>
      </c>
      <c r="D481" s="20" t="s">
        <v>589</v>
      </c>
      <c r="E481" s="15" t="str">
        <f>HYPERLINK("https://stat100.ameba.jp/tnk47/ratio20/illustrations/card/ill_76483_yukemurimizuhanome03.jpg?202102-5-RELEASE-marathon-516xx", "■")</f>
        <v>■</v>
      </c>
      <c r="F481" s="14" t="s">
        <v>590</v>
      </c>
      <c r="G481" s="14">
        <v>114208</v>
      </c>
      <c r="H481" s="14">
        <v>106178</v>
      </c>
      <c r="I481" s="9">
        <v>28</v>
      </c>
      <c r="J481" s="14" t="s">
        <v>401</v>
      </c>
      <c r="K481" s="14" t="s">
        <v>591</v>
      </c>
      <c r="L481" s="14" t="s">
        <v>592</v>
      </c>
      <c r="M481" s="14" t="s">
        <v>9158</v>
      </c>
      <c r="N481" s="14" t="s">
        <v>9158</v>
      </c>
      <c r="O481" s="14" t="s">
        <v>9158</v>
      </c>
      <c r="P481" s="14" t="s">
        <v>9158</v>
      </c>
      <c r="Q481" s="14" t="s">
        <v>9158</v>
      </c>
    </row>
    <row r="482" spans="1:17">
      <c r="A482" s="14">
        <v>70023</v>
      </c>
      <c r="B482" s="14" t="s">
        <v>334</v>
      </c>
      <c r="C482" s="14" t="s">
        <v>344</v>
      </c>
      <c r="D482" s="20" t="s">
        <v>10230</v>
      </c>
      <c r="E482" s="15" t="str">
        <f>HYPERLINK("https://stat100.ameba.jp/tnk47/ratio20/illustrations/card/ill_70023_yukinoukokunabeshimanobakeneko03.jpg?202102-5-RELEASE-marathon-516xx", "■")</f>
        <v>■</v>
      </c>
      <c r="F482" s="14" t="s">
        <v>769</v>
      </c>
      <c r="G482" s="14">
        <v>108494</v>
      </c>
      <c r="H482" s="14">
        <v>116662</v>
      </c>
      <c r="I482" s="9">
        <v>28</v>
      </c>
      <c r="J482" s="14" t="s">
        <v>320</v>
      </c>
      <c r="K482" s="14" t="s">
        <v>770</v>
      </c>
      <c r="L482" s="14" t="s">
        <v>771</v>
      </c>
      <c r="M482" s="14" t="s">
        <v>9158</v>
      </c>
      <c r="N482" s="14" t="s">
        <v>9158</v>
      </c>
      <c r="O482" s="14" t="s">
        <v>9158</v>
      </c>
      <c r="P482" s="14" t="s">
        <v>9158</v>
      </c>
      <c r="Q482" s="14" t="s">
        <v>9158</v>
      </c>
    </row>
    <row r="483" spans="1:17">
      <c r="A483" s="14">
        <v>52733</v>
      </c>
      <c r="B483" s="14" t="s">
        <v>15</v>
      </c>
      <c r="C483" s="14" t="s">
        <v>185</v>
      </c>
      <c r="D483" s="20" t="s">
        <v>10491</v>
      </c>
      <c r="E483" s="15" t="str">
        <f>HYPERLINK("https://stat100.ameba.jp/tnk47/ratio20/illustrations/card/ill_52733_sekkinambutsuruhime03.jpg?202102-5-RELEASE-marathon-516xx", "■")</f>
        <v>■</v>
      </c>
      <c r="F483" s="14" t="s">
        <v>6246</v>
      </c>
      <c r="G483" s="14">
        <v>64520</v>
      </c>
      <c r="H483" s="14">
        <v>71136</v>
      </c>
      <c r="I483" s="14">
        <v>24</v>
      </c>
      <c r="J483" s="14" t="s">
        <v>77</v>
      </c>
      <c r="K483" s="14" t="s">
        <v>6248</v>
      </c>
      <c r="L483" s="14" t="s">
        <v>6249</v>
      </c>
      <c r="M483" s="14" t="s">
        <v>9158</v>
      </c>
      <c r="N483" s="14" t="s">
        <v>9158</v>
      </c>
      <c r="O483" s="14" t="s">
        <v>9158</v>
      </c>
      <c r="P483" s="14" t="s">
        <v>9158</v>
      </c>
      <c r="Q483" s="14" t="s">
        <v>9158</v>
      </c>
    </row>
    <row r="484" spans="1:17">
      <c r="A484" s="14">
        <v>54003</v>
      </c>
      <c r="B484" s="14" t="s">
        <v>15</v>
      </c>
      <c r="C484" s="14" t="s">
        <v>200</v>
      </c>
      <c r="D484" s="20" t="s">
        <v>10492</v>
      </c>
      <c r="E484" s="15" t="str">
        <f>HYPERLINK("https://stat100.ameba.jp/tnk47/ratio20/illustrations/card/ill_54003_seiryumegurihiguchiichiyo03.jpg?202102-5-RELEASE-marathon-516xx", "■")</f>
        <v>■</v>
      </c>
      <c r="F484" s="14" t="s">
        <v>6250</v>
      </c>
      <c r="G484" s="14">
        <v>71136</v>
      </c>
      <c r="H484" s="14">
        <v>64520</v>
      </c>
      <c r="I484" s="14">
        <v>24</v>
      </c>
      <c r="J484" s="14" t="s">
        <v>10</v>
      </c>
      <c r="K484" s="14" t="s">
        <v>6252</v>
      </c>
      <c r="L484" s="14" t="s">
        <v>6253</v>
      </c>
      <c r="M484" s="14" t="s">
        <v>9158</v>
      </c>
      <c r="N484" s="14" t="s">
        <v>9158</v>
      </c>
      <c r="O484" s="14" t="s">
        <v>9158</v>
      </c>
      <c r="P484" s="14" t="s">
        <v>9158</v>
      </c>
      <c r="Q484" s="14" t="s">
        <v>9158</v>
      </c>
    </row>
    <row r="485" spans="1:17">
      <c r="A485" s="14">
        <v>51833</v>
      </c>
      <c r="B485" s="14" t="s">
        <v>15</v>
      </c>
      <c r="C485" s="14" t="s">
        <v>205</v>
      </c>
      <c r="D485" s="20" t="s">
        <v>10493</v>
      </c>
      <c r="E485" s="15" t="str">
        <f>HYPERLINK("https://stat100.ameba.jp/tnk47/ratio20/illustrations/card/ill_51833_jukimakitsuhikonomikoto03.jpg?202102-5-RELEASE-marathon-516xx", "■")</f>
        <v>■</v>
      </c>
      <c r="F485" s="14" t="s">
        <v>6254</v>
      </c>
      <c r="G485" s="14">
        <v>71136</v>
      </c>
      <c r="H485" s="14">
        <v>64520</v>
      </c>
      <c r="I485" s="14">
        <v>24</v>
      </c>
      <c r="J485" s="14" t="s">
        <v>44</v>
      </c>
      <c r="K485" s="14" t="s">
        <v>6257</v>
      </c>
      <c r="L485" s="14" t="s">
        <v>6256</v>
      </c>
      <c r="M485" s="14" t="s">
        <v>9158</v>
      </c>
      <c r="N485" s="14" t="s">
        <v>9158</v>
      </c>
      <c r="O485" s="14" t="s">
        <v>9158</v>
      </c>
      <c r="P485" s="14" t="s">
        <v>9158</v>
      </c>
      <c r="Q485" s="14" t="s">
        <v>9158</v>
      </c>
    </row>
    <row r="486" spans="1:17">
      <c r="A486" s="14">
        <v>53203</v>
      </c>
      <c r="B486" s="14" t="s">
        <v>15</v>
      </c>
      <c r="C486" s="14" t="s">
        <v>165</v>
      </c>
      <c r="D486" s="20" t="s">
        <v>10494</v>
      </c>
      <c r="E486" s="15" t="str">
        <f>HYPERLINK("https://stat100.ameba.jp/tnk47/ratio20/illustrations/card/ill_53203_buruhawaichan03.jpg?202102-5-RELEASE-marathon-516xx", "■")</f>
        <v>■</v>
      </c>
      <c r="F486" s="14" t="s">
        <v>6258</v>
      </c>
      <c r="G486" s="14">
        <v>64520</v>
      </c>
      <c r="H486" s="14">
        <v>71136</v>
      </c>
      <c r="I486" s="14">
        <v>24</v>
      </c>
      <c r="J486" s="14" t="s">
        <v>104</v>
      </c>
      <c r="K486" s="14" t="s">
        <v>6261</v>
      </c>
      <c r="L486" s="14" t="s">
        <v>6260</v>
      </c>
      <c r="M486" s="14" t="s">
        <v>9158</v>
      </c>
      <c r="N486" s="14" t="s">
        <v>9158</v>
      </c>
      <c r="O486" s="14" t="s">
        <v>9158</v>
      </c>
      <c r="P486" s="14" t="s">
        <v>9158</v>
      </c>
      <c r="Q486" s="14" t="s">
        <v>9158</v>
      </c>
    </row>
    <row r="488" spans="1:17">
      <c r="A488" s="14" t="s">
        <v>6512</v>
      </c>
    </row>
    <row r="489" spans="1:17">
      <c r="A489" s="14">
        <v>106953</v>
      </c>
      <c r="B489" s="14" t="s">
        <v>16647</v>
      </c>
    </row>
    <row r="490" spans="1:17">
      <c r="A490" s="14" t="s">
        <v>5623</v>
      </c>
      <c r="B490" s="14" t="s">
        <v>330</v>
      </c>
      <c r="C490" s="14" t="s">
        <v>165</v>
      </c>
      <c r="D490" s="19" t="s">
        <v>3146</v>
      </c>
      <c r="E490" s="15" t="str">
        <f>HYPERLINK("https://stat100.ameba.jp/tnk47/ratio20/illustrations/card/ill_65713_0_undokaionikirimaru03.jpg?202103-5-RELEASE-marathon-521", "■")</f>
        <v>■</v>
      </c>
      <c r="F490" s="14" t="s">
        <v>535</v>
      </c>
      <c r="G490" s="14">
        <v>181640</v>
      </c>
      <c r="H490" s="14">
        <v>168874</v>
      </c>
      <c r="I490" s="14">
        <v>24</v>
      </c>
      <c r="J490" s="14" t="s">
        <v>320</v>
      </c>
      <c r="K490" s="14" t="s">
        <v>3147</v>
      </c>
      <c r="L490" s="14" t="s">
        <v>3148</v>
      </c>
      <c r="M490" s="14" t="s">
        <v>9158</v>
      </c>
      <c r="N490" s="14" t="s">
        <v>9158</v>
      </c>
      <c r="O490" s="19" t="s">
        <v>2869</v>
      </c>
      <c r="P490" s="14" t="s">
        <v>2870</v>
      </c>
      <c r="Q490" s="14">
        <v>1</v>
      </c>
    </row>
    <row r="491" spans="1:17">
      <c r="A491" s="14" t="s">
        <v>5619</v>
      </c>
      <c r="B491" s="14" t="s">
        <v>330</v>
      </c>
      <c r="C491" s="14" t="s">
        <v>202</v>
      </c>
      <c r="D491" s="19" t="s">
        <v>10348</v>
      </c>
      <c r="E491" s="15" t="str">
        <f>HYPERLINK("https://stat100.ameba.jp/tnk47/ratio20/illustrations/card/ill_81183_0_shinryokunokisetsuamaterasu03.jpg?202103-5-RELEASE-marathon-521", "■")</f>
        <v>■</v>
      </c>
      <c r="F491" s="14" t="s">
        <v>4505</v>
      </c>
      <c r="G491" s="14">
        <v>252122</v>
      </c>
      <c r="H491" s="14">
        <v>278984</v>
      </c>
      <c r="I491" s="14">
        <v>24</v>
      </c>
      <c r="J491" s="14" t="s">
        <v>44</v>
      </c>
      <c r="K491" s="14" t="s">
        <v>4506</v>
      </c>
      <c r="L491" s="14" t="s">
        <v>4507</v>
      </c>
      <c r="M491" s="14" t="s">
        <v>9158</v>
      </c>
      <c r="N491" s="14" t="s">
        <v>9158</v>
      </c>
      <c r="O491" s="19" t="s">
        <v>10083</v>
      </c>
      <c r="P491" s="14" t="s">
        <v>4509</v>
      </c>
      <c r="Q491" s="14">
        <v>0</v>
      </c>
    </row>
    <row r="492" spans="1:17">
      <c r="A492" s="14" t="s">
        <v>5625</v>
      </c>
      <c r="B492" s="14" t="s">
        <v>330</v>
      </c>
      <c r="C492" s="14" t="s">
        <v>200</v>
      </c>
      <c r="D492" s="19" t="s">
        <v>630</v>
      </c>
      <c r="E492" s="15" t="str">
        <f>HYPERLINK("https://stat100.ameba.jp/tnk47/ratio20/illustrations/card/ill_48283_0_kyuubitamamonomae03.jpg?202103-5-RELEASE-marathon-521", "■")</f>
        <v>■</v>
      </c>
      <c r="F492" s="14" t="s">
        <v>631</v>
      </c>
      <c r="G492" s="14">
        <v>150776</v>
      </c>
      <c r="H492" s="14">
        <v>133938</v>
      </c>
      <c r="I492" s="14">
        <v>24</v>
      </c>
      <c r="J492" s="14" t="s">
        <v>320</v>
      </c>
      <c r="K492" s="14" t="s">
        <v>632</v>
      </c>
      <c r="L492" s="14" t="s">
        <v>633</v>
      </c>
      <c r="M492" s="14" t="s">
        <v>9158</v>
      </c>
      <c r="N492" s="14" t="s">
        <v>9158</v>
      </c>
      <c r="O492" s="14" t="s">
        <v>9158</v>
      </c>
      <c r="P492" s="14" t="s">
        <v>9158</v>
      </c>
      <c r="Q492" s="14" t="s">
        <v>9158</v>
      </c>
    </row>
    <row r="493" spans="1:17">
      <c r="A493" s="14">
        <v>62473</v>
      </c>
      <c r="B493" s="14" t="s">
        <v>334</v>
      </c>
      <c r="C493" s="14" t="s">
        <v>203</v>
      </c>
      <c r="D493" s="20" t="s">
        <v>2834</v>
      </c>
      <c r="E493" s="15" t="str">
        <f>HYPERLINK("https://stat100.ameba.jp/tnk47/ratio20/illustrations/card/ill_62473_kokuriko03.jpg?202103-5-RELEASE-marathon-521", "■")</f>
        <v>■</v>
      </c>
      <c r="F493" s="14" t="s">
        <v>2835</v>
      </c>
      <c r="G493" s="14">
        <v>118684</v>
      </c>
      <c r="H493" s="14">
        <v>85962</v>
      </c>
      <c r="I493" s="14">
        <v>26</v>
      </c>
      <c r="J493" s="14" t="s">
        <v>401</v>
      </c>
      <c r="K493" s="14" t="s">
        <v>2836</v>
      </c>
      <c r="L493" s="14" t="s">
        <v>2837</v>
      </c>
      <c r="M493" s="14" t="s">
        <v>9158</v>
      </c>
      <c r="N493" s="14" t="s">
        <v>9158</v>
      </c>
      <c r="O493" s="19" t="s">
        <v>2838</v>
      </c>
      <c r="P493" s="14" t="s">
        <v>2839</v>
      </c>
      <c r="Q493" s="14">
        <v>1</v>
      </c>
    </row>
    <row r="494" spans="1:17">
      <c r="A494" s="14">
        <v>61993</v>
      </c>
      <c r="B494" s="14" t="s">
        <v>15</v>
      </c>
      <c r="C494" s="14" t="s">
        <v>191</v>
      </c>
      <c r="D494" s="19" t="s">
        <v>10460</v>
      </c>
      <c r="E494" s="15" t="str">
        <f>HYPERLINK("https://stat100.ameba.jp/tnk47/ratio20/illustrations/card/ill_61993_koinoborihosekichan03.jpg?202103-5-RELEASE-marathon-521", "■")</f>
        <v>■</v>
      </c>
      <c r="F494" s="14" t="s">
        <v>6057</v>
      </c>
      <c r="G494" s="14">
        <v>69898</v>
      </c>
      <c r="H494" s="14">
        <v>77064</v>
      </c>
      <c r="I494" s="14">
        <v>26</v>
      </c>
      <c r="J494" s="14" t="s">
        <v>229</v>
      </c>
      <c r="K494" s="14" t="s">
        <v>6059</v>
      </c>
      <c r="L494" s="14" t="s">
        <v>13198</v>
      </c>
      <c r="M494" s="14" t="s">
        <v>9158</v>
      </c>
      <c r="N494" s="14" t="s">
        <v>9158</v>
      </c>
      <c r="O494" s="14" t="s">
        <v>9158</v>
      </c>
      <c r="P494" s="14" t="s">
        <v>9158</v>
      </c>
      <c r="Q494" s="14" t="s">
        <v>9158</v>
      </c>
    </row>
    <row r="495" spans="1:17">
      <c r="A495" s="14">
        <v>67403</v>
      </c>
      <c r="B495" s="9" t="s">
        <v>22</v>
      </c>
      <c r="C495" s="14" t="s">
        <v>16</v>
      </c>
      <c r="D495" s="14" t="s">
        <v>16651</v>
      </c>
      <c r="E495" s="15" t="str">
        <f>HYPERLINK("https://stat100.ameba.jp/tnk47/ratio20/illustrations/card/ill_67403_sakuragoromominamotonoyoshiie03.jpg?202103-5-RELEASE-marathon-521", "■")</f>
        <v>■</v>
      </c>
      <c r="F495" s="14" t="s">
        <v>16650</v>
      </c>
      <c r="G495" s="14">
        <v>54058</v>
      </c>
      <c r="H495" s="14">
        <v>44948</v>
      </c>
      <c r="I495" s="14">
        <v>26</v>
      </c>
      <c r="J495" s="14" t="s">
        <v>16</v>
      </c>
      <c r="K495" s="14" t="s">
        <v>16649</v>
      </c>
      <c r="L495" s="14" t="s">
        <v>1115</v>
      </c>
      <c r="M495" s="14" t="s">
        <v>9158</v>
      </c>
      <c r="N495" s="14" t="s">
        <v>9158</v>
      </c>
      <c r="O495" s="14" t="s">
        <v>9158</v>
      </c>
      <c r="P495" s="14" t="s">
        <v>9158</v>
      </c>
      <c r="Q495" s="14" t="s">
        <v>9158</v>
      </c>
    </row>
    <row r="496" spans="1:17">
      <c r="A496" s="9">
        <v>86553</v>
      </c>
      <c r="B496" s="9" t="s">
        <v>22</v>
      </c>
      <c r="C496" s="9" t="s">
        <v>205</v>
      </c>
      <c r="D496" s="20" t="s">
        <v>10915</v>
      </c>
      <c r="E496" s="15" t="str">
        <f>HYPERLINK("https://stat100.ameba.jp/tnk47/ratio20/illustrations/card/ill_86553_amekomiizumozenzaichan03.jpg?202103-5-RELEASE-marathon-521", "■")</f>
        <v>■</v>
      </c>
      <c r="F496" s="9" t="s">
        <v>9029</v>
      </c>
      <c r="G496" s="9">
        <v>44948</v>
      </c>
      <c r="H496" s="9">
        <v>54058</v>
      </c>
      <c r="I496" s="14">
        <v>26</v>
      </c>
      <c r="J496" s="9" t="s">
        <v>216</v>
      </c>
      <c r="K496" s="9" t="s">
        <v>9028</v>
      </c>
      <c r="L496" s="9" t="s">
        <v>3839</v>
      </c>
      <c r="M496" s="14" t="s">
        <v>9158</v>
      </c>
      <c r="N496" s="14" t="s">
        <v>9158</v>
      </c>
      <c r="O496" s="14" t="s">
        <v>9158</v>
      </c>
      <c r="P496" s="14" t="s">
        <v>9158</v>
      </c>
      <c r="Q496" s="14" t="s">
        <v>9158</v>
      </c>
    </row>
    <row r="498" spans="1:18">
      <c r="A498" s="14" t="s">
        <v>13327</v>
      </c>
    </row>
    <row r="499" spans="1:18">
      <c r="A499" s="14">
        <v>106976</v>
      </c>
      <c r="B499" s="14" t="s">
        <v>16648</v>
      </c>
    </row>
    <row r="500" spans="1:18">
      <c r="A500" s="14">
        <v>83973</v>
      </c>
      <c r="B500" s="14" t="s">
        <v>334</v>
      </c>
      <c r="C500" s="14" t="s">
        <v>14</v>
      </c>
      <c r="D500" s="19" t="s">
        <v>10570</v>
      </c>
      <c r="E500" s="15" t="str">
        <f>HYPERLINK("https://stat100.ameba.jp/tnk47/ratio20/illustrations/card/ill_83973_nekokishiirurosu03.jpg?202103-5-RELEASE-marathon-521", "■")</f>
        <v>■</v>
      </c>
      <c r="F500" s="14" t="s">
        <v>6706</v>
      </c>
      <c r="G500" s="14">
        <v>137846</v>
      </c>
      <c r="H500" s="14">
        <v>128160</v>
      </c>
      <c r="I500" s="14">
        <v>28</v>
      </c>
      <c r="J500" s="14" t="s">
        <v>229</v>
      </c>
      <c r="K500" s="14" t="s">
        <v>6707</v>
      </c>
      <c r="L500" s="14" t="s">
        <v>13202</v>
      </c>
      <c r="M500" s="14" t="s">
        <v>13130</v>
      </c>
      <c r="N500" s="14" t="s">
        <v>343</v>
      </c>
      <c r="O500" s="14" t="s">
        <v>9158</v>
      </c>
      <c r="P500" s="14" t="s">
        <v>9158</v>
      </c>
      <c r="Q500" s="14" t="s">
        <v>9158</v>
      </c>
      <c r="R500" s="14" t="s">
        <v>14748</v>
      </c>
    </row>
    <row r="501" spans="1:18">
      <c r="A501" s="14">
        <v>83972</v>
      </c>
      <c r="B501" s="14" t="s">
        <v>334</v>
      </c>
      <c r="C501" s="14" t="s">
        <v>14</v>
      </c>
      <c r="D501" s="19" t="s">
        <v>10570</v>
      </c>
      <c r="E501" s="15" t="str">
        <f>HYPERLINK("https://stat100.ameba.jp/tnk47/ratio20/illustrations/card/ill_83972_nekokishiirurosu02.jpg?202103-5-RELEASE-marathon-521", "■")</f>
        <v>■</v>
      </c>
      <c r="F501" s="14" t="s">
        <v>6706</v>
      </c>
      <c r="G501" s="14">
        <v>115230</v>
      </c>
      <c r="H501" s="14">
        <v>106148</v>
      </c>
      <c r="I501" s="14">
        <v>28</v>
      </c>
      <c r="J501" s="14" t="s">
        <v>229</v>
      </c>
      <c r="K501" s="14" t="s">
        <v>6707</v>
      </c>
      <c r="L501" s="14" t="s">
        <v>13201</v>
      </c>
      <c r="M501" s="14" t="s">
        <v>13131</v>
      </c>
      <c r="N501" s="14" t="s">
        <v>251</v>
      </c>
      <c r="O501" s="14" t="s">
        <v>9158</v>
      </c>
      <c r="P501" s="14" t="s">
        <v>9158</v>
      </c>
      <c r="Q501" s="14" t="s">
        <v>9158</v>
      </c>
      <c r="R501" s="14" t="s">
        <v>14748</v>
      </c>
    </row>
    <row r="502" spans="1:18">
      <c r="A502" s="14">
        <v>83971</v>
      </c>
      <c r="B502" s="14" t="s">
        <v>0</v>
      </c>
      <c r="C502" s="14" t="s">
        <v>14</v>
      </c>
      <c r="D502" s="19" t="s">
        <v>10570</v>
      </c>
      <c r="E502" s="15" t="str">
        <f>HYPERLINK("https://stat100.ameba.jp/tnk47/ratio20/illustrations/card/ill_83971_nekokishiirurosu01.jpg?202103-5-RELEASE-marathon-521", "■")</f>
        <v>■</v>
      </c>
      <c r="F502" s="14" t="s">
        <v>6706</v>
      </c>
      <c r="G502" s="14">
        <v>87976</v>
      </c>
      <c r="H502" s="14">
        <v>81900</v>
      </c>
      <c r="I502" s="14">
        <v>28</v>
      </c>
      <c r="J502" s="14" t="s">
        <v>229</v>
      </c>
      <c r="K502" s="14" t="s">
        <v>6707</v>
      </c>
      <c r="L502" s="14" t="s">
        <v>13201</v>
      </c>
      <c r="M502" s="14" t="s">
        <v>13131</v>
      </c>
      <c r="N502" s="14" t="s">
        <v>251</v>
      </c>
      <c r="O502" s="14" t="s">
        <v>9158</v>
      </c>
      <c r="P502" s="14" t="s">
        <v>9158</v>
      </c>
      <c r="Q502" s="14" t="s">
        <v>9158</v>
      </c>
      <c r="R502" s="14" t="s">
        <v>14748</v>
      </c>
    </row>
    <row r="503" spans="1:18">
      <c r="A503" s="14">
        <v>83983</v>
      </c>
      <c r="B503" s="14" t="s">
        <v>334</v>
      </c>
      <c r="C503" s="14" t="s">
        <v>23</v>
      </c>
      <c r="D503" s="19" t="s">
        <v>10571</v>
      </c>
      <c r="E503" s="15" t="str">
        <f>HYPERLINK("https://stat100.ameba.jp/tnk47/ratio20/illustrations/card/ill_83983_ryujinsui03.jpg?202103-5-RELEASE-marathon-521", "■")</f>
        <v>■</v>
      </c>
      <c r="F503" s="14" t="s">
        <v>6708</v>
      </c>
      <c r="G503" s="14">
        <v>128160</v>
      </c>
      <c r="H503" s="14">
        <v>137846</v>
      </c>
      <c r="I503" s="14">
        <v>28</v>
      </c>
      <c r="J503" s="14" t="s">
        <v>169</v>
      </c>
      <c r="K503" s="14" t="s">
        <v>6710</v>
      </c>
      <c r="L503" s="14" t="s">
        <v>6721</v>
      </c>
      <c r="M503" s="14" t="s">
        <v>13130</v>
      </c>
      <c r="N503" s="14" t="s">
        <v>343</v>
      </c>
      <c r="O503" s="14" t="s">
        <v>9158</v>
      </c>
      <c r="P503" s="14" t="s">
        <v>9158</v>
      </c>
      <c r="Q503" s="14" t="s">
        <v>9158</v>
      </c>
      <c r="R503" s="14" t="s">
        <v>14748</v>
      </c>
    </row>
    <row r="504" spans="1:18">
      <c r="A504" s="14">
        <v>83993</v>
      </c>
      <c r="B504" s="14" t="s">
        <v>334</v>
      </c>
      <c r="C504" s="14" t="s">
        <v>101</v>
      </c>
      <c r="D504" s="19" t="s">
        <v>10572</v>
      </c>
      <c r="E504" s="15" t="str">
        <f>HYPERLINK("https://stat100.ameba.jp/tnk47/ratio20/illustrations/card/ill_83993_enjieruzuranotamagochan03.jpg?202103-5-RELEASE-marathon-521", "■")</f>
        <v>■</v>
      </c>
      <c r="F504" s="14" t="s">
        <v>6722</v>
      </c>
      <c r="G504" s="14">
        <v>128160</v>
      </c>
      <c r="H504" s="14">
        <v>137846</v>
      </c>
      <c r="I504" s="14">
        <v>28</v>
      </c>
      <c r="J504" s="14" t="s">
        <v>216</v>
      </c>
      <c r="K504" s="14" t="s">
        <v>6723</v>
      </c>
      <c r="L504" s="14" t="s">
        <v>6724</v>
      </c>
      <c r="M504" s="14" t="s">
        <v>13130</v>
      </c>
      <c r="N504" s="14" t="s">
        <v>343</v>
      </c>
      <c r="O504" s="14" t="s">
        <v>9158</v>
      </c>
      <c r="P504" s="14" t="s">
        <v>9158</v>
      </c>
      <c r="Q504" s="14" t="s">
        <v>9158</v>
      </c>
      <c r="R504" s="14" t="s">
        <v>14748</v>
      </c>
    </row>
    <row r="505" spans="1:18">
      <c r="A505" s="14">
        <v>84003</v>
      </c>
      <c r="B505" s="14" t="s">
        <v>0</v>
      </c>
      <c r="C505" s="14" t="s">
        <v>96</v>
      </c>
      <c r="D505" s="19" t="s">
        <v>10573</v>
      </c>
      <c r="E505" s="15" t="str">
        <f>HYPERLINK("https://stat100.ameba.jp/tnk47/ratio20/illustrations/card/ill_84003_sukoropendora03.jpg?202103-5-RELEASE-marathon-521", "■")</f>
        <v>■</v>
      </c>
      <c r="F505" s="14" t="s">
        <v>6725</v>
      </c>
      <c r="G505" s="14">
        <v>137846</v>
      </c>
      <c r="H505" s="14">
        <v>128160</v>
      </c>
      <c r="I505" s="14">
        <v>28</v>
      </c>
      <c r="J505" s="14" t="s">
        <v>182</v>
      </c>
      <c r="K505" s="14" t="s">
        <v>6727</v>
      </c>
      <c r="L505" s="14" t="s">
        <v>6728</v>
      </c>
      <c r="M505" s="14" t="s">
        <v>13130</v>
      </c>
      <c r="N505" s="14" t="s">
        <v>343</v>
      </c>
      <c r="O505" s="14" t="s">
        <v>9158</v>
      </c>
      <c r="P505" s="14" t="s">
        <v>9158</v>
      </c>
      <c r="Q505" s="14" t="s">
        <v>9158</v>
      </c>
      <c r="R505" s="14" t="s">
        <v>14748</v>
      </c>
    </row>
    <row r="506" spans="1:18">
      <c r="A506" s="14">
        <v>84013</v>
      </c>
      <c r="B506" s="14" t="s">
        <v>334</v>
      </c>
      <c r="C506" s="14" t="s">
        <v>205</v>
      </c>
      <c r="D506" s="19" t="s">
        <v>10574</v>
      </c>
      <c r="E506" s="15" t="str">
        <f>HYPERLINK("https://stat100.ameba.jp/tnk47/ratio20/illustrations/card/ill_84013_neikiddo03.jpg?202103-5-RELEASE-marathon-521", "■")</f>
        <v>■</v>
      </c>
      <c r="F506" s="14" t="s">
        <v>6729</v>
      </c>
      <c r="G506" s="14">
        <v>128160</v>
      </c>
      <c r="H506" s="14">
        <v>137846</v>
      </c>
      <c r="I506" s="14">
        <v>28</v>
      </c>
      <c r="J506" s="14" t="s">
        <v>194</v>
      </c>
      <c r="K506" s="14" t="s">
        <v>6731</v>
      </c>
      <c r="L506" s="14" t="s">
        <v>6732</v>
      </c>
      <c r="M506" s="14" t="s">
        <v>13130</v>
      </c>
      <c r="N506" s="14" t="s">
        <v>343</v>
      </c>
      <c r="O506" s="14" t="s">
        <v>9158</v>
      </c>
      <c r="P506" s="14" t="s">
        <v>9158</v>
      </c>
      <c r="Q506" s="14" t="s">
        <v>9158</v>
      </c>
      <c r="R506" s="14" t="s">
        <v>14748</v>
      </c>
    </row>
    <row r="507" spans="1:18">
      <c r="A507" s="14">
        <v>76763</v>
      </c>
      <c r="B507" s="14" t="s">
        <v>334</v>
      </c>
      <c r="C507" s="14" t="s">
        <v>107</v>
      </c>
      <c r="D507" s="19" t="s">
        <v>10575</v>
      </c>
      <c r="E507" s="15" t="str">
        <f>HYPERLINK("https://stat100.ameba.jp/tnk47/ratio20/illustrations/card/ill_76763_monsutanabeshimakeiginni03.jpg?202103-5-RELEASE-marathon-521", "■")</f>
        <v>■</v>
      </c>
      <c r="F507" s="14" t="s">
        <v>6733</v>
      </c>
      <c r="G507" s="14">
        <v>137846</v>
      </c>
      <c r="H507" s="14">
        <v>128160</v>
      </c>
      <c r="I507" s="14">
        <v>28</v>
      </c>
      <c r="J507" s="14" t="s">
        <v>187</v>
      </c>
      <c r="K507" s="14" t="s">
        <v>6735</v>
      </c>
      <c r="L507" s="14" t="s">
        <v>6736</v>
      </c>
      <c r="M507" s="14" t="s">
        <v>13130</v>
      </c>
      <c r="N507" s="14" t="s">
        <v>343</v>
      </c>
      <c r="O507" s="14" t="s">
        <v>9158</v>
      </c>
      <c r="P507" s="14" t="s">
        <v>9158</v>
      </c>
      <c r="Q507" s="14" t="s">
        <v>9158</v>
      </c>
      <c r="R507" s="14" t="s">
        <v>14748</v>
      </c>
    </row>
    <row r="509" spans="1:18">
      <c r="A509" s="14" t="s">
        <v>16676</v>
      </c>
    </row>
    <row r="510" spans="1:18">
      <c r="A510" s="14">
        <v>236943</v>
      </c>
      <c r="B510" s="14" t="s">
        <v>16678</v>
      </c>
    </row>
    <row r="511" spans="1:18">
      <c r="A511" s="14">
        <v>236949</v>
      </c>
      <c r="B511" s="14" t="s">
        <v>16677</v>
      </c>
    </row>
    <row r="512" spans="1:18">
      <c r="A512" s="14" t="s">
        <v>16084</v>
      </c>
      <c r="B512" s="7" t="s">
        <v>52</v>
      </c>
      <c r="C512" s="14" t="s">
        <v>202</v>
      </c>
      <c r="D512" s="18" t="s">
        <v>16083</v>
      </c>
      <c r="E512" s="15" t="str">
        <f>HYPERLINK("https://stat100.ameba.jp/tnk47/ratio20/illustrations/card/ill_95653_0_barentaindefukuhime03.jpg?202103-5-RELEASE-marathon-521", "■")</f>
        <v>■</v>
      </c>
      <c r="F512" s="14" t="s">
        <v>16082</v>
      </c>
      <c r="G512" s="14">
        <v>322612</v>
      </c>
      <c r="H512" s="14">
        <v>263960</v>
      </c>
      <c r="I512" s="7">
        <v>28</v>
      </c>
      <c r="J512" s="14" t="s">
        <v>77</v>
      </c>
      <c r="K512" s="14" t="s">
        <v>16081</v>
      </c>
      <c r="L512" s="14" t="s">
        <v>16080</v>
      </c>
      <c r="M512" s="14" t="s">
        <v>9158</v>
      </c>
      <c r="N512" s="14" t="s">
        <v>9158</v>
      </c>
      <c r="O512" s="7" t="s">
        <v>16086</v>
      </c>
      <c r="P512" s="7" t="s">
        <v>16085</v>
      </c>
      <c r="Q512" s="7">
        <v>1</v>
      </c>
    </row>
    <row r="513" spans="1:17">
      <c r="A513" s="14">
        <v>96073</v>
      </c>
      <c r="B513" s="14" t="s">
        <v>0</v>
      </c>
      <c r="C513" s="14" t="s">
        <v>96</v>
      </c>
      <c r="D513" s="14" t="s">
        <v>16683</v>
      </c>
      <c r="E513" s="15" t="str">
        <f>HYPERLINK("https://stat100.ameba.jp/tnk47/ratio20/illustrations/card/ill_96073_shinsengumikitanokata03.jpg?202103-5-RELEASE-marathon-521", "■")</f>
        <v>■</v>
      </c>
      <c r="F513" s="14" t="s">
        <v>16682</v>
      </c>
      <c r="G513" s="14">
        <v>154768</v>
      </c>
      <c r="H513" s="14">
        <v>166452</v>
      </c>
      <c r="I513" s="7">
        <v>28</v>
      </c>
      <c r="J513" s="14" t="s">
        <v>143</v>
      </c>
      <c r="K513" s="14" t="s">
        <v>16681</v>
      </c>
      <c r="L513" s="14" t="s">
        <v>12026</v>
      </c>
      <c r="M513" s="14" t="s">
        <v>9158</v>
      </c>
      <c r="N513" s="14" t="s">
        <v>9158</v>
      </c>
      <c r="O513" s="14" t="s">
        <v>9158</v>
      </c>
      <c r="P513" s="14" t="s">
        <v>9158</v>
      </c>
      <c r="Q513" s="14" t="s">
        <v>9158</v>
      </c>
    </row>
    <row r="514" spans="1:17">
      <c r="A514" s="14">
        <v>96083</v>
      </c>
      <c r="B514" s="14" t="s">
        <v>0</v>
      </c>
      <c r="C514" s="14" t="s">
        <v>107</v>
      </c>
      <c r="D514" s="14" t="s">
        <v>16685</v>
      </c>
      <c r="E514" s="15" t="str">
        <f>HYPERLINK("https://stat100.ameba.jp/tnk47/ratio20/illustrations/card/ill_96083_edoushinpei03.jpg?202103-5-RELEASE-marathon-521", "■")</f>
        <v>■</v>
      </c>
      <c r="F514" s="14" t="s">
        <v>16684</v>
      </c>
      <c r="G514" s="14">
        <v>109370</v>
      </c>
      <c r="H514" s="14">
        <v>101650</v>
      </c>
      <c r="I514" s="7">
        <v>28</v>
      </c>
      <c r="J514" s="14" t="s">
        <v>10</v>
      </c>
      <c r="K514" s="14" t="s">
        <v>9201</v>
      </c>
      <c r="L514" s="14" t="s">
        <v>14881</v>
      </c>
      <c r="M514" s="14" t="s">
        <v>9158</v>
      </c>
      <c r="N514" s="14" t="s">
        <v>9158</v>
      </c>
      <c r="O514" s="14" t="s">
        <v>9158</v>
      </c>
      <c r="P514" s="14" t="s">
        <v>9158</v>
      </c>
      <c r="Q514" s="14" t="s">
        <v>9158</v>
      </c>
    </row>
    <row r="515" spans="1:17">
      <c r="A515" s="14">
        <v>96093</v>
      </c>
      <c r="B515" s="14" t="s">
        <v>15</v>
      </c>
      <c r="C515" s="14" t="s">
        <v>23</v>
      </c>
      <c r="D515" s="14" t="s">
        <v>16688</v>
      </c>
      <c r="E515" s="15" t="str">
        <f>HYPERLINK("https://stat100.ameba.jp/tnk47/ratio20/illustrations/card/ill_96093_honoikazuchinookami03.jpg?202103-5-RELEASE-marathon-521", "■")</f>
        <v>■</v>
      </c>
      <c r="F515" s="14" t="s">
        <v>16687</v>
      </c>
      <c r="G515" s="14">
        <v>75274</v>
      </c>
      <c r="H515" s="14">
        <v>82992</v>
      </c>
      <c r="I515" s="7">
        <v>28</v>
      </c>
      <c r="J515" s="14" t="s">
        <v>44</v>
      </c>
      <c r="K515" s="14" t="s">
        <v>16686</v>
      </c>
      <c r="L515" s="14" t="s">
        <v>3319</v>
      </c>
      <c r="M515" s="14" t="s">
        <v>9158</v>
      </c>
      <c r="N515" s="14" t="s">
        <v>9158</v>
      </c>
      <c r="O515" s="14" t="s">
        <v>9158</v>
      </c>
      <c r="P515" s="14" t="s">
        <v>9158</v>
      </c>
      <c r="Q515" s="14" t="s">
        <v>9158</v>
      </c>
    </row>
    <row r="516" spans="1:17">
      <c r="A516" s="14">
        <v>96103</v>
      </c>
      <c r="B516" s="14" t="s">
        <v>22</v>
      </c>
      <c r="C516" s="14" t="s">
        <v>101</v>
      </c>
      <c r="D516" s="14" t="s">
        <v>16691</v>
      </c>
      <c r="E516" s="15" t="str">
        <f>HYPERLINK("https://stat100.ameba.jp/tnk47/ratio20/illustrations/card/ill_96103_higambanamiyukidayu03.jpg?202103-5-RELEASE-marathon-521", "■")</f>
        <v>■</v>
      </c>
      <c r="F516" s="14" t="s">
        <v>16690</v>
      </c>
      <c r="G516" s="14">
        <v>58216</v>
      </c>
      <c r="H516" s="14">
        <v>48406</v>
      </c>
      <c r="I516" s="7">
        <v>28</v>
      </c>
      <c r="J516" s="14" t="s">
        <v>10</v>
      </c>
      <c r="K516" s="14" t="s">
        <v>16689</v>
      </c>
      <c r="L516" s="14" t="s">
        <v>2321</v>
      </c>
      <c r="M516" s="14" t="s">
        <v>9158</v>
      </c>
      <c r="N516" s="14" t="s">
        <v>9158</v>
      </c>
      <c r="O516" s="14" t="s">
        <v>9158</v>
      </c>
      <c r="P516" s="14" t="s">
        <v>9158</v>
      </c>
      <c r="Q516" s="14" t="s">
        <v>9158</v>
      </c>
    </row>
    <row r="517" spans="1:17">
      <c r="A517" s="14">
        <v>96113</v>
      </c>
      <c r="B517" s="14" t="s">
        <v>22</v>
      </c>
      <c r="C517" s="14" t="s">
        <v>1</v>
      </c>
      <c r="D517" s="14" t="s">
        <v>16694</v>
      </c>
      <c r="E517" s="15" t="str">
        <f>HYPERLINK("https://stat100.ameba.jp/tnk47/ratio20/illustrations/card/ill_96113_okanehira03.jpg?202103-5-RELEASE-marathon-521", "■")</f>
        <v>■</v>
      </c>
      <c r="F517" s="14" t="s">
        <v>16693</v>
      </c>
      <c r="G517" s="14">
        <v>48406</v>
      </c>
      <c r="H517" s="14">
        <v>58216</v>
      </c>
      <c r="I517" s="7">
        <v>28</v>
      </c>
      <c r="J517" s="14" t="s">
        <v>44</v>
      </c>
      <c r="K517" s="14" t="s">
        <v>16692</v>
      </c>
      <c r="L517" s="14" t="s">
        <v>3780</v>
      </c>
      <c r="M517" s="14" t="s">
        <v>9158</v>
      </c>
      <c r="N517" s="14" t="s">
        <v>9158</v>
      </c>
      <c r="O517" s="14" t="s">
        <v>9158</v>
      </c>
      <c r="P517" s="14" t="s">
        <v>9158</v>
      </c>
      <c r="Q517" s="14" t="s">
        <v>9158</v>
      </c>
    </row>
    <row r="519" spans="1:17">
      <c r="A519" s="14" t="s">
        <v>3905</v>
      </c>
    </row>
    <row r="520" spans="1:17">
      <c r="A520" s="14">
        <v>236973</v>
      </c>
      <c r="B520" s="14" t="s">
        <v>16679</v>
      </c>
    </row>
    <row r="521" spans="1:17">
      <c r="A521" s="14" t="s">
        <v>5624</v>
      </c>
      <c r="B521" s="14" t="s">
        <v>52</v>
      </c>
      <c r="C521" s="14" t="s">
        <v>101</v>
      </c>
      <c r="D521" s="19" t="s">
        <v>1426</v>
      </c>
      <c r="E521" s="15" t="str">
        <f>HYPERLINK("https://stat100.ameba.jp/tnk47/ratio20/illustrations/card/ill_64953_0_yukatatokugawayoshinobu03.jpg?202103-5-RELEASE-marathon-521", "■")</f>
        <v>■</v>
      </c>
      <c r="F521" s="14" t="s">
        <v>2090</v>
      </c>
      <c r="G521" s="14">
        <v>137060</v>
      </c>
      <c r="H521" s="14">
        <v>147404</v>
      </c>
      <c r="I521" s="14">
        <v>22</v>
      </c>
      <c r="J521" s="14" t="s">
        <v>10</v>
      </c>
      <c r="K521" s="14" t="s">
        <v>2091</v>
      </c>
      <c r="L521" s="14" t="s">
        <v>2092</v>
      </c>
      <c r="M521" s="14" t="s">
        <v>9158</v>
      </c>
      <c r="N521" s="14" t="s">
        <v>9158</v>
      </c>
      <c r="O521" s="19" t="s">
        <v>2889</v>
      </c>
      <c r="P521" s="14" t="s">
        <v>2890</v>
      </c>
      <c r="Q521" s="14">
        <v>1</v>
      </c>
    </row>
    <row r="522" spans="1:17">
      <c r="A522" s="9" t="s">
        <v>5606</v>
      </c>
      <c r="B522" s="14" t="s">
        <v>52</v>
      </c>
      <c r="C522" s="14" t="s">
        <v>206</v>
      </c>
      <c r="D522" s="14" t="s">
        <v>1011</v>
      </c>
      <c r="E522" s="15" t="str">
        <f>HYPERLINK("https://stat100.ameba.jp/tnk47/ratio20/illustrations/card/ill_72233_0_koinoboriryugujin03.jpg?202103-5-RELEASE-marathon-521", "■")</f>
        <v>■</v>
      </c>
      <c r="F522" s="14" t="s">
        <v>1012</v>
      </c>
      <c r="G522" s="14">
        <v>144312</v>
      </c>
      <c r="H522" s="14">
        <v>155224</v>
      </c>
      <c r="I522" s="14">
        <v>22</v>
      </c>
      <c r="J522" s="14" t="s">
        <v>44</v>
      </c>
      <c r="K522" s="14" t="s">
        <v>1013</v>
      </c>
      <c r="L522" s="14" t="s">
        <v>1014</v>
      </c>
      <c r="M522" s="14" t="s">
        <v>9158</v>
      </c>
      <c r="N522" s="14" t="s">
        <v>9158</v>
      </c>
      <c r="O522" s="9" t="s">
        <v>3419</v>
      </c>
      <c r="P522" s="14" t="s">
        <v>3420</v>
      </c>
      <c r="Q522" s="14">
        <v>2</v>
      </c>
    </row>
    <row r="523" spans="1:17">
      <c r="A523" s="9" t="s">
        <v>5616</v>
      </c>
      <c r="B523" s="14" t="s">
        <v>330</v>
      </c>
      <c r="C523" s="14" t="s">
        <v>185</v>
      </c>
      <c r="D523" s="14" t="s">
        <v>638</v>
      </c>
      <c r="E523" s="15" t="str">
        <f>HYPERLINK("https://stat100.ameba.jp/tnk47/ratio20/illustrations/card/ill_44253_0_dokuganryudatemasamune03.jpg?202103-5-RELEASE-marathon-521", "■")</f>
        <v>■</v>
      </c>
      <c r="F523" s="14" t="s">
        <v>639</v>
      </c>
      <c r="G523" s="14">
        <v>120576</v>
      </c>
      <c r="H523" s="14">
        <v>128744</v>
      </c>
      <c r="I523" s="14">
        <v>22</v>
      </c>
      <c r="J523" s="14" t="s">
        <v>310</v>
      </c>
      <c r="K523" s="14" t="s">
        <v>640</v>
      </c>
      <c r="L523" s="14" t="s">
        <v>641</v>
      </c>
      <c r="M523" s="14" t="s">
        <v>9158</v>
      </c>
      <c r="N523" s="14" t="s">
        <v>9158</v>
      </c>
      <c r="O523" s="14" t="s">
        <v>9158</v>
      </c>
      <c r="P523" s="14" t="s">
        <v>9158</v>
      </c>
      <c r="Q523" s="14" t="s">
        <v>9158</v>
      </c>
    </row>
    <row r="524" spans="1:17">
      <c r="A524" s="9">
        <v>79153</v>
      </c>
      <c r="B524" s="14" t="s">
        <v>334</v>
      </c>
      <c r="C524" s="14" t="s">
        <v>205</v>
      </c>
      <c r="D524" s="14" t="s">
        <v>3305</v>
      </c>
      <c r="E524" s="15" t="str">
        <f>HYPERLINK("https://stat100.ameba.jp/tnk47/ratio20/illustrations/card/ill_79153_karutafutaoijimanoyamanokami03.jpg?202103-5-RELEASE-marathon-521", "■")</f>
        <v>■</v>
      </c>
      <c r="F524" s="14" t="s">
        <v>3306</v>
      </c>
      <c r="G524" s="14">
        <v>79346</v>
      </c>
      <c r="H524" s="14">
        <v>141042</v>
      </c>
      <c r="I524" s="14">
        <v>28</v>
      </c>
      <c r="J524" s="14" t="s">
        <v>44</v>
      </c>
      <c r="K524" s="14" t="s">
        <v>3307</v>
      </c>
      <c r="L524" s="14" t="s">
        <v>1209</v>
      </c>
      <c r="M524" s="14" t="s">
        <v>9158</v>
      </c>
      <c r="N524" s="14" t="s">
        <v>9158</v>
      </c>
      <c r="O524" s="14" t="s">
        <v>9158</v>
      </c>
      <c r="P524" s="14" t="s">
        <v>9158</v>
      </c>
      <c r="Q524" s="14" t="s">
        <v>9158</v>
      </c>
    </row>
    <row r="525" spans="1:17">
      <c r="A525" s="14">
        <v>88723</v>
      </c>
      <c r="B525" s="14" t="s">
        <v>334</v>
      </c>
      <c r="C525" s="14" t="s">
        <v>107</v>
      </c>
      <c r="D525" s="14" t="s">
        <v>12360</v>
      </c>
      <c r="E525" s="15" t="str">
        <f>HYPERLINK("https://stat100.ameba.jp/tnk47/ratio20/illustrations/card/ill_88723_pammatsurikuressento03.jpg?202103-5-RELEASE-marathon-521", "■")</f>
        <v>■</v>
      </c>
      <c r="F525" s="14" t="s">
        <v>12359</v>
      </c>
      <c r="G525" s="14">
        <v>115654</v>
      </c>
      <c r="H525" s="14">
        <v>205568</v>
      </c>
      <c r="I525" s="14">
        <v>28</v>
      </c>
      <c r="J525" s="14" t="s">
        <v>143</v>
      </c>
      <c r="K525" s="14" t="s">
        <v>12362</v>
      </c>
      <c r="L525" s="14" t="s">
        <v>12361</v>
      </c>
      <c r="M525" s="14" t="s">
        <v>9158</v>
      </c>
      <c r="N525" s="14" t="s">
        <v>9158</v>
      </c>
      <c r="O525" s="14" t="s">
        <v>9158</v>
      </c>
      <c r="P525" s="14" t="s">
        <v>9158</v>
      </c>
      <c r="Q525" s="14" t="s">
        <v>9158</v>
      </c>
    </row>
    <row r="526" spans="1:17">
      <c r="A526" s="7">
        <v>85573</v>
      </c>
      <c r="B526" s="7" t="s">
        <v>0</v>
      </c>
      <c r="C526" s="7" t="s">
        <v>191</v>
      </c>
      <c r="D526" s="20" t="s">
        <v>10824</v>
      </c>
      <c r="E526" s="15" t="str">
        <f>HYPERLINK("https://stat100.ameba.jp/tnk47/ratio20/illustrations/card/ill_85573_kurisumasuotezutsuhanabisan03.jpg?202103-5-RELEASE-marathon-521", "■")</f>
        <v>■</v>
      </c>
      <c r="F526" s="7" t="s">
        <v>8404</v>
      </c>
      <c r="G526" s="14">
        <v>118598</v>
      </c>
      <c r="H526" s="14">
        <v>127556</v>
      </c>
      <c r="I526" s="14">
        <v>28</v>
      </c>
      <c r="J526" s="7" t="s">
        <v>229</v>
      </c>
      <c r="K526" s="7" t="s">
        <v>8403</v>
      </c>
      <c r="L526" s="7" t="s">
        <v>7427</v>
      </c>
      <c r="M526" s="14" t="s">
        <v>9158</v>
      </c>
      <c r="N526" s="14" t="s">
        <v>9158</v>
      </c>
      <c r="O526" s="14" t="s">
        <v>9158</v>
      </c>
      <c r="P526" s="14" t="s">
        <v>9158</v>
      </c>
      <c r="Q526" s="14" t="s">
        <v>9158</v>
      </c>
    </row>
    <row r="528" spans="1:17">
      <c r="A528" s="14" t="s">
        <v>3911</v>
      </c>
    </row>
    <row r="529" spans="1:17">
      <c r="A529" s="14">
        <v>106995</v>
      </c>
      <c r="B529" s="14" t="s">
        <v>16680</v>
      </c>
    </row>
    <row r="530" spans="1:17">
      <c r="A530" s="14">
        <v>107005</v>
      </c>
      <c r="B530" s="14" t="s">
        <v>15721</v>
      </c>
      <c r="G530" s="7"/>
      <c r="H530" s="7"/>
      <c r="I530" s="7"/>
    </row>
    <row r="531" spans="1:17">
      <c r="A531" s="14" t="s">
        <v>15440</v>
      </c>
      <c r="B531" s="7" t="s">
        <v>52</v>
      </c>
      <c r="C531" s="14" t="s">
        <v>202</v>
      </c>
      <c r="D531" s="18" t="s">
        <v>15441</v>
      </c>
      <c r="E531" s="15" t="str">
        <f>HYPERLINK("https://stat100.ameba.jp/tnk47/ratio20/illustrations/card/ill_93683_0_yukemurionsenshirowainchan03.jpg?202103-5-RELEASE-marathon-521", "■")</f>
        <v>■</v>
      </c>
      <c r="F531" s="14" t="s">
        <v>15444</v>
      </c>
      <c r="G531" s="14">
        <v>277564</v>
      </c>
      <c r="H531" s="14">
        <v>339272</v>
      </c>
      <c r="I531" s="7">
        <v>28</v>
      </c>
      <c r="J531" s="14" t="s">
        <v>104</v>
      </c>
      <c r="K531" s="14" t="s">
        <v>15443</v>
      </c>
      <c r="L531" s="14" t="s">
        <v>15442</v>
      </c>
      <c r="M531" s="14" t="s">
        <v>9158</v>
      </c>
      <c r="N531" s="14" t="s">
        <v>9158</v>
      </c>
      <c r="O531" s="6" t="s">
        <v>15445</v>
      </c>
      <c r="P531" s="7" t="s">
        <v>15446</v>
      </c>
      <c r="Q531" s="7">
        <v>1</v>
      </c>
    </row>
    <row r="532" spans="1:17">
      <c r="A532" s="14" t="s">
        <v>6508</v>
      </c>
      <c r="B532" s="14" t="s">
        <v>330</v>
      </c>
      <c r="C532" s="14" t="s">
        <v>35</v>
      </c>
      <c r="D532" s="19" t="s">
        <v>10168</v>
      </c>
      <c r="E532" s="15" t="str">
        <f>HYPERLINK("https://stat100.ameba.jp/tnk47/ratio20/illustrations/card/ill_81783_0_denshagarukoteipenginchan03.jpg?202103-5-RELEASE-marathon-521", "■")</f>
        <v>■</v>
      </c>
      <c r="F532" s="14" t="s">
        <v>4834</v>
      </c>
      <c r="G532" s="14">
        <v>325618</v>
      </c>
      <c r="H532" s="14">
        <v>294274</v>
      </c>
      <c r="I532" s="14">
        <v>28</v>
      </c>
      <c r="J532" s="14" t="s">
        <v>26</v>
      </c>
      <c r="K532" s="14" t="s">
        <v>4836</v>
      </c>
      <c r="L532" s="14" t="s">
        <v>1783</v>
      </c>
      <c r="M532" s="14" t="s">
        <v>9158</v>
      </c>
      <c r="N532" s="14" t="s">
        <v>9158</v>
      </c>
      <c r="O532" s="6" t="s">
        <v>9993</v>
      </c>
      <c r="P532" s="14" t="s">
        <v>4838</v>
      </c>
      <c r="Q532" s="14">
        <v>1</v>
      </c>
    </row>
    <row r="533" spans="1:17">
      <c r="A533" s="14" t="s">
        <v>5612</v>
      </c>
      <c r="B533" s="14" t="s">
        <v>52</v>
      </c>
      <c r="C533" s="14" t="s">
        <v>165</v>
      </c>
      <c r="D533" s="19" t="s">
        <v>789</v>
      </c>
      <c r="E533" s="15" t="str">
        <f>HYPERLINK("https://stat100.ameba.jp/tnk47/ratio20/illustrations/card/ill_49193_0_onmyoudouabenoseimei03.jpg?202103-5-RELEASE-marathon-521", "■")</f>
        <v>■</v>
      </c>
      <c r="F533" s="14" t="s">
        <v>1896</v>
      </c>
      <c r="G533" s="14">
        <v>156262</v>
      </c>
      <c r="H533" s="14">
        <v>175906</v>
      </c>
      <c r="I533" s="14">
        <v>28</v>
      </c>
      <c r="J533" s="14" t="s">
        <v>10</v>
      </c>
      <c r="K533" s="14" t="s">
        <v>1897</v>
      </c>
      <c r="L533" s="14" t="s">
        <v>1898</v>
      </c>
      <c r="M533" s="14" t="s">
        <v>9158</v>
      </c>
      <c r="N533" s="14" t="s">
        <v>9158</v>
      </c>
      <c r="O533" s="14" t="s">
        <v>9158</v>
      </c>
      <c r="P533" s="14" t="s">
        <v>9158</v>
      </c>
      <c r="Q533" s="14" t="s">
        <v>9158</v>
      </c>
    </row>
    <row r="534" spans="1:17">
      <c r="A534" s="14">
        <v>52083</v>
      </c>
      <c r="B534" s="14" t="s">
        <v>0</v>
      </c>
      <c r="C534" s="14" t="s">
        <v>158</v>
      </c>
      <c r="D534" s="19" t="s">
        <v>2913</v>
      </c>
      <c r="E534" s="15" t="str">
        <f>HYPERLINK("https://stat100.ameba.jp/tnk47/ratio20/illustrations/card/ill_52083_berubetto03.jpg?202103-5-RELEASE-marathon-521", "■")</f>
        <v>■</v>
      </c>
      <c r="F534" s="14" t="s">
        <v>944</v>
      </c>
      <c r="G534" s="14">
        <v>96476</v>
      </c>
      <c r="H534" s="14">
        <v>133188</v>
      </c>
      <c r="I534" s="14">
        <v>28</v>
      </c>
      <c r="J534" s="14" t="s">
        <v>26</v>
      </c>
      <c r="K534" s="14" t="s">
        <v>1864</v>
      </c>
      <c r="L534" s="14" t="s">
        <v>1865</v>
      </c>
      <c r="M534" s="14" t="s">
        <v>9158</v>
      </c>
      <c r="N534" s="14" t="s">
        <v>9158</v>
      </c>
      <c r="O534" s="19" t="s">
        <v>2917</v>
      </c>
      <c r="P534" s="14" t="s">
        <v>2918</v>
      </c>
      <c r="Q534" s="14">
        <v>1</v>
      </c>
    </row>
    <row r="535" spans="1:17">
      <c r="A535" s="14">
        <v>84643</v>
      </c>
      <c r="B535" s="14" t="s">
        <v>0</v>
      </c>
      <c r="C535" s="14" t="s">
        <v>203</v>
      </c>
      <c r="D535" s="20" t="s">
        <v>10605</v>
      </c>
      <c r="E535" s="15" t="str">
        <f>HYPERLINK("https://stat100.ameba.jp/tnk47/ratio20/illustrations/card/ill_84643_rikayaojo03.jpg?202103-5-RELEASE-marathon-521", "■")</f>
        <v>■</v>
      </c>
      <c r="F535" s="14" t="s">
        <v>6853</v>
      </c>
      <c r="G535" s="14">
        <v>186288</v>
      </c>
      <c r="H535" s="14">
        <v>134934</v>
      </c>
      <c r="I535" s="14">
        <v>28</v>
      </c>
      <c r="J535" s="14" t="s">
        <v>315</v>
      </c>
      <c r="K535" s="14" t="s">
        <v>6852</v>
      </c>
      <c r="L535" s="14" t="s">
        <v>6851</v>
      </c>
      <c r="M535" s="14" t="s">
        <v>9158</v>
      </c>
      <c r="N535" s="14" t="s">
        <v>9158</v>
      </c>
      <c r="O535" s="19" t="s">
        <v>10082</v>
      </c>
      <c r="P535" s="14" t="s">
        <v>13124</v>
      </c>
      <c r="Q535" s="14">
        <v>1</v>
      </c>
    </row>
    <row r="536" spans="1:17">
      <c r="A536" s="14">
        <v>62043</v>
      </c>
      <c r="B536" s="14" t="s">
        <v>0</v>
      </c>
      <c r="C536" s="14" t="s">
        <v>158</v>
      </c>
      <c r="D536" s="20" t="s">
        <v>10233</v>
      </c>
      <c r="E536" s="15" t="str">
        <f>HYPERLINK("https://stat100.ameba.jp/tnk47/ratio20/illustrations/card/ill_62043_niutsuhimenookami03.jpg?202103-5-RELEASE-marathon-521", "■")</f>
        <v>■</v>
      </c>
      <c r="F536" s="14" t="s">
        <v>2022</v>
      </c>
      <c r="G536" s="14">
        <v>92574</v>
      </c>
      <c r="H536" s="14">
        <v>127814</v>
      </c>
      <c r="I536" s="14">
        <v>28</v>
      </c>
      <c r="J536" s="14" t="s">
        <v>169</v>
      </c>
      <c r="K536" s="14" t="s">
        <v>2023</v>
      </c>
      <c r="L536" s="14" t="s">
        <v>13144</v>
      </c>
      <c r="M536" s="14" t="s">
        <v>9158</v>
      </c>
      <c r="N536" s="14" t="s">
        <v>9158</v>
      </c>
      <c r="O536" s="19" t="s">
        <v>10093</v>
      </c>
      <c r="P536" s="14" t="s">
        <v>13145</v>
      </c>
      <c r="Q536" s="14">
        <v>1</v>
      </c>
    </row>
    <row r="537" spans="1:17">
      <c r="A537" s="14">
        <v>58743</v>
      </c>
      <c r="B537" s="14" t="s">
        <v>334</v>
      </c>
      <c r="C537" s="14" t="s">
        <v>209</v>
      </c>
      <c r="D537" s="20" t="s">
        <v>10273</v>
      </c>
      <c r="E537" s="15" t="str">
        <f>HYPERLINK("https://stat100.ameba.jp/tnk47/ratio20/illustrations/card/ill_58743_enkirienoki03.jpg?202103-5-RELEASE-marathon-521", "■")</f>
        <v>■</v>
      </c>
      <c r="F537" s="14" t="s">
        <v>2550</v>
      </c>
      <c r="G537" s="14">
        <v>84730</v>
      </c>
      <c r="H537" s="14">
        <v>115558</v>
      </c>
      <c r="I537" s="14">
        <v>28</v>
      </c>
      <c r="J537" s="14" t="s">
        <v>44</v>
      </c>
      <c r="K537" s="14" t="s">
        <v>2551</v>
      </c>
      <c r="L537" s="14" t="s">
        <v>95</v>
      </c>
      <c r="M537" s="14" t="s">
        <v>9158</v>
      </c>
      <c r="N537" s="14" t="s">
        <v>9158</v>
      </c>
      <c r="O537" s="19" t="s">
        <v>10091</v>
      </c>
      <c r="P537" s="14" t="s">
        <v>3670</v>
      </c>
      <c r="Q537" s="14">
        <v>1</v>
      </c>
    </row>
    <row r="538" spans="1:17">
      <c r="A538" s="14">
        <v>64043</v>
      </c>
      <c r="B538" s="14" t="s">
        <v>334</v>
      </c>
      <c r="C538" s="14" t="s">
        <v>209</v>
      </c>
      <c r="D538" s="20" t="s">
        <v>10262</v>
      </c>
      <c r="E538" s="15" t="str">
        <f>HYPERLINK("https://stat100.ameba.jp/tnk47/ratio20/illustrations/card/ill_64043_kegonnotaki03.jpg?202103-5-RELEASE-marathon-521", "■")</f>
        <v>■</v>
      </c>
      <c r="F538" s="14" t="s">
        <v>759</v>
      </c>
      <c r="G538" s="14">
        <v>133188</v>
      </c>
      <c r="H538" s="14">
        <v>96476</v>
      </c>
      <c r="I538" s="14">
        <v>28</v>
      </c>
      <c r="J538" s="14" t="s">
        <v>229</v>
      </c>
      <c r="K538" s="14" t="s">
        <v>230</v>
      </c>
      <c r="L538" s="14" t="s">
        <v>13143</v>
      </c>
      <c r="M538" s="14" t="s">
        <v>9158</v>
      </c>
      <c r="N538" s="14" t="s">
        <v>9158</v>
      </c>
      <c r="O538" s="19" t="s">
        <v>10070</v>
      </c>
      <c r="P538" s="14" t="s">
        <v>3579</v>
      </c>
      <c r="Q538" s="14">
        <v>1</v>
      </c>
    </row>
    <row r="539" spans="1:17">
      <c r="A539" s="14">
        <v>67643</v>
      </c>
      <c r="B539" s="14" t="s">
        <v>334</v>
      </c>
      <c r="C539" s="14" t="s">
        <v>209</v>
      </c>
      <c r="D539" s="20" t="s">
        <v>3033</v>
      </c>
      <c r="E539" s="15" t="str">
        <f>HYPERLINK("https://stat100.ameba.jp/tnk47/ratio20/illustrations/card/ill_67643_edokarakamichan03.jpg?202103-5-RELEASE-marathon-521", "■")</f>
        <v>■</v>
      </c>
      <c r="F539" s="6" t="s">
        <v>1196</v>
      </c>
      <c r="G539" s="14">
        <v>132228</v>
      </c>
      <c r="H539" s="14">
        <v>122960</v>
      </c>
      <c r="I539" s="14">
        <v>28</v>
      </c>
      <c r="J539" s="14" t="s">
        <v>26</v>
      </c>
      <c r="K539" s="14" t="s">
        <v>1197</v>
      </c>
      <c r="L539" s="14" t="s">
        <v>1198</v>
      </c>
      <c r="M539" s="14" t="s">
        <v>9158</v>
      </c>
      <c r="N539" s="14" t="s">
        <v>9158</v>
      </c>
      <c r="O539" s="19" t="s">
        <v>3037</v>
      </c>
      <c r="P539" s="14" t="s">
        <v>13128</v>
      </c>
      <c r="Q539" s="14">
        <v>1</v>
      </c>
    </row>
    <row r="541" spans="1:17">
      <c r="A541" s="14" t="s">
        <v>3844</v>
      </c>
    </row>
    <row r="542" spans="1:17">
      <c r="A542" s="14">
        <v>107019</v>
      </c>
      <c r="B542" s="14" t="s">
        <v>16695</v>
      </c>
    </row>
    <row r="543" spans="1:17">
      <c r="A543" s="9" t="s">
        <v>5787</v>
      </c>
      <c r="B543" s="14" t="s">
        <v>330</v>
      </c>
      <c r="C543" s="14" t="s">
        <v>270</v>
      </c>
      <c r="D543" s="14" t="s">
        <v>1101</v>
      </c>
      <c r="E543" s="15" t="str">
        <f>HYPERLINK("https://stat100.ameba.jp/tnk47/ratio20/illustrations/card/ill_76303_0_haroinkaguya03.jpg?202103-5-RELEASE-marathon-521x", "■")</f>
        <v>■</v>
      </c>
      <c r="F543" s="14" t="s">
        <v>332</v>
      </c>
      <c r="G543" s="14">
        <v>309414</v>
      </c>
      <c r="H543" s="14">
        <v>287652</v>
      </c>
      <c r="I543" s="14">
        <v>26</v>
      </c>
      <c r="J543" s="14" t="s">
        <v>274</v>
      </c>
      <c r="K543" s="14" t="s">
        <v>333</v>
      </c>
      <c r="L543" s="14" t="s">
        <v>276</v>
      </c>
      <c r="M543" s="14" t="s">
        <v>9158</v>
      </c>
      <c r="N543" s="14" t="s">
        <v>9158</v>
      </c>
      <c r="O543" s="9" t="s">
        <v>2723</v>
      </c>
      <c r="P543" s="14" t="s">
        <v>2724</v>
      </c>
      <c r="Q543" s="14">
        <v>1</v>
      </c>
    </row>
    <row r="544" spans="1:17">
      <c r="A544" s="14">
        <v>82903</v>
      </c>
      <c r="B544" s="14" t="s">
        <v>334</v>
      </c>
      <c r="C544" s="14" t="s">
        <v>185</v>
      </c>
      <c r="D544" s="19" t="s">
        <v>10439</v>
      </c>
      <c r="E544" s="15" t="str">
        <f>HYPERLINK("https://stat100.ameba.jp/tnk47/ratio20/illustrations/card/ill_82903_yukatamatsurisonobehideo03.jpg?202103-5-RELEASE-marathon-521x", "■")</f>
        <v>■</v>
      </c>
      <c r="F544" s="14" t="s">
        <v>5970</v>
      </c>
      <c r="G544" s="14">
        <v>101558</v>
      </c>
      <c r="H544" s="14">
        <v>94390</v>
      </c>
      <c r="I544" s="14">
        <v>26</v>
      </c>
      <c r="J544" s="14" t="s">
        <v>10</v>
      </c>
      <c r="K544" s="14" t="s">
        <v>5972</v>
      </c>
      <c r="L544" s="14" t="s">
        <v>5973</v>
      </c>
      <c r="M544" s="14" t="s">
        <v>9158</v>
      </c>
      <c r="N544" s="14" t="s">
        <v>9158</v>
      </c>
      <c r="O544" s="19" t="s">
        <v>10102</v>
      </c>
      <c r="P544" s="14" t="s">
        <v>3672</v>
      </c>
      <c r="Q544" s="14">
        <v>1</v>
      </c>
    </row>
    <row r="545" spans="1:19">
      <c r="A545" s="9">
        <v>72923</v>
      </c>
      <c r="B545" s="14" t="s">
        <v>0</v>
      </c>
      <c r="C545" s="14" t="s">
        <v>206</v>
      </c>
      <c r="D545" s="14" t="s">
        <v>1836</v>
      </c>
      <c r="E545" s="15" t="str">
        <f>HYPERLINK("https://stat100.ameba.jp/tnk47/ratio20/illustrations/card/ill_72923_amenohanayomemyorinni03.jpg?202103-5-RELEASE-marathon-521x", "■")</f>
        <v>■</v>
      </c>
      <c r="F545" s="14" t="s">
        <v>1837</v>
      </c>
      <c r="G545" s="14">
        <v>143714</v>
      </c>
      <c r="H545" s="14">
        <v>154562</v>
      </c>
      <c r="I545" s="14">
        <v>26</v>
      </c>
      <c r="J545" s="14" t="s">
        <v>194</v>
      </c>
      <c r="K545" s="14" t="s">
        <v>1838</v>
      </c>
      <c r="L545" s="14" t="s">
        <v>13160</v>
      </c>
      <c r="M545" s="14" t="s">
        <v>9158</v>
      </c>
      <c r="N545" s="14" t="s">
        <v>9158</v>
      </c>
      <c r="O545" s="9" t="s">
        <v>2752</v>
      </c>
      <c r="P545" s="14" t="s">
        <v>13123</v>
      </c>
      <c r="Q545" s="14">
        <v>1</v>
      </c>
    </row>
    <row r="546" spans="1:19">
      <c r="A546" s="9">
        <v>81143</v>
      </c>
      <c r="B546" s="14" t="s">
        <v>334</v>
      </c>
      <c r="C546" s="14" t="s">
        <v>205</v>
      </c>
      <c r="D546" s="14" t="s">
        <v>4516</v>
      </c>
      <c r="E546" s="15" t="str">
        <f>HYPERLINK("https://stat100.ameba.jp/tnk47/ratio20/illustrations/card/ill_81143_shinryokunokisetsumerompan03.jpg?202103-5-RELEASE-marathon-521x", "■")</f>
        <v>■</v>
      </c>
      <c r="F546" s="14" t="s">
        <v>4517</v>
      </c>
      <c r="G546" s="14">
        <v>122786</v>
      </c>
      <c r="H546" s="14">
        <v>114176</v>
      </c>
      <c r="I546" s="14">
        <v>26</v>
      </c>
      <c r="J546" s="14" t="s">
        <v>104</v>
      </c>
      <c r="K546" s="14" t="s">
        <v>4518</v>
      </c>
      <c r="L546" s="14" t="s">
        <v>3489</v>
      </c>
      <c r="M546" s="14" t="s">
        <v>9158</v>
      </c>
      <c r="N546" s="14" t="s">
        <v>9158</v>
      </c>
      <c r="O546" s="9" t="s">
        <v>3609</v>
      </c>
      <c r="P546" s="14" t="s">
        <v>3610</v>
      </c>
      <c r="Q546" s="14">
        <v>1</v>
      </c>
    </row>
    <row r="548" spans="1:19">
      <c r="A548" s="14" t="s">
        <v>4012</v>
      </c>
    </row>
    <row r="549" spans="1:19">
      <c r="A549" s="14">
        <v>236997</v>
      </c>
      <c r="B549" s="14" t="s">
        <v>16696</v>
      </c>
    </row>
    <row r="550" spans="1:19">
      <c r="A550" s="14" t="s">
        <v>5778</v>
      </c>
      <c r="B550" s="14" t="s">
        <v>330</v>
      </c>
      <c r="C550" s="14" t="s">
        <v>205</v>
      </c>
      <c r="D550" s="19" t="s">
        <v>3449</v>
      </c>
      <c r="E550" s="15" t="str">
        <f>HYPERLINK("https://stat100.ameba.jp/tnk47/ratio20/illustrations/card/ill_68783_0_gantammomotaro03.jpg?202103-5-RELEASE-marathon-521x", "■")</f>
        <v>■</v>
      </c>
      <c r="F550" s="14" t="s">
        <v>2273</v>
      </c>
      <c r="G550" s="14">
        <v>177824</v>
      </c>
      <c r="H550" s="14">
        <v>165310</v>
      </c>
      <c r="I550" s="14">
        <v>26</v>
      </c>
      <c r="J550" s="14" t="s">
        <v>274</v>
      </c>
      <c r="K550" s="14" t="s">
        <v>275</v>
      </c>
      <c r="L550" s="14" t="s">
        <v>276</v>
      </c>
      <c r="M550" s="14" t="s">
        <v>9158</v>
      </c>
      <c r="N550" s="14" t="s">
        <v>9158</v>
      </c>
      <c r="O550" s="19" t="s">
        <v>10099</v>
      </c>
      <c r="P550" s="14" t="s">
        <v>3085</v>
      </c>
      <c r="Q550" s="14">
        <v>1</v>
      </c>
    </row>
    <row r="551" spans="1:19">
      <c r="A551" s="14" t="s">
        <v>5607</v>
      </c>
      <c r="B551" s="14" t="s">
        <v>330</v>
      </c>
      <c r="C551" s="14" t="s">
        <v>200</v>
      </c>
      <c r="D551" s="20" t="s">
        <v>421</v>
      </c>
      <c r="E551" s="15" t="str">
        <f>HYPERLINK("https://stat100.ameba.jp/tnk47/ratio20/illustrations/card/ill_58853_0_setsubumpanikkuhiratsukaraicho03.jpg?202103-5-RELEASE-marathon-521x", "■")</f>
        <v>■</v>
      </c>
      <c r="F551" s="14" t="s">
        <v>1040</v>
      </c>
      <c r="G551" s="14">
        <v>163342</v>
      </c>
      <c r="H551" s="14">
        <v>145100</v>
      </c>
      <c r="I551" s="14">
        <v>26</v>
      </c>
      <c r="J551" s="14" t="s">
        <v>16</v>
      </c>
      <c r="K551" s="14" t="s">
        <v>1041</v>
      </c>
      <c r="L551" s="14" t="s">
        <v>1042</v>
      </c>
      <c r="M551" s="14" t="s">
        <v>9158</v>
      </c>
      <c r="N551" s="14" t="s">
        <v>9158</v>
      </c>
      <c r="O551" s="19" t="s">
        <v>10075</v>
      </c>
      <c r="P551" s="14" t="s">
        <v>2870</v>
      </c>
      <c r="Q551" s="14">
        <v>1</v>
      </c>
    </row>
    <row r="552" spans="1:19">
      <c r="A552" s="14" t="s">
        <v>5612</v>
      </c>
      <c r="B552" s="14" t="s">
        <v>52</v>
      </c>
      <c r="C552" s="14" t="s">
        <v>165</v>
      </c>
      <c r="D552" s="19" t="s">
        <v>789</v>
      </c>
      <c r="E552" s="15" t="str">
        <f>HYPERLINK("https://stat100.ameba.jp/tnk47/ratio20/illustrations/card/ill_49193_0_onmyoudouabenoseimei03.jpg?202103-5-RELEASE-marathon-521x", "■")</f>
        <v>■</v>
      </c>
      <c r="F552" s="14" t="s">
        <v>1896</v>
      </c>
      <c r="G552" s="14">
        <v>145100</v>
      </c>
      <c r="H552" s="14">
        <v>163342</v>
      </c>
      <c r="I552" s="14">
        <v>26</v>
      </c>
      <c r="J552" s="14" t="s">
        <v>10</v>
      </c>
      <c r="K552" s="14" t="s">
        <v>1897</v>
      </c>
      <c r="L552" s="14" t="s">
        <v>1898</v>
      </c>
      <c r="M552" s="14" t="s">
        <v>9158</v>
      </c>
      <c r="N552" s="14" t="s">
        <v>9158</v>
      </c>
      <c r="O552" s="14" t="s">
        <v>9158</v>
      </c>
      <c r="P552" s="14" t="s">
        <v>9158</v>
      </c>
      <c r="Q552" s="14" t="s">
        <v>9158</v>
      </c>
    </row>
    <row r="553" spans="1:19">
      <c r="A553" s="14">
        <v>85773</v>
      </c>
      <c r="B553" s="14" t="s">
        <v>0</v>
      </c>
      <c r="C553" s="14" t="s">
        <v>47</v>
      </c>
      <c r="D553" s="14" t="s">
        <v>16699</v>
      </c>
      <c r="E553" s="15" t="str">
        <f>HYPERLINK("https://stat100.ameba.jp/tnk47/ratio20/illustrations/card/ill_85773_fuyukomihitomeborechan03.jpg?202103-5-RELEASE-marathon-521x", "■")</f>
        <v>■</v>
      </c>
      <c r="F553" s="14" t="s">
        <v>16698</v>
      </c>
      <c r="G553" s="14">
        <v>132230</v>
      </c>
      <c r="H553" s="14">
        <v>122960</v>
      </c>
      <c r="I553" s="14">
        <v>28</v>
      </c>
      <c r="J553" s="14" t="s">
        <v>104</v>
      </c>
      <c r="K553" s="14" t="s">
        <v>16697</v>
      </c>
      <c r="L553" s="14" t="s">
        <v>15272</v>
      </c>
      <c r="M553" s="14" t="s">
        <v>9158</v>
      </c>
      <c r="N553" s="14" t="s">
        <v>9158</v>
      </c>
      <c r="O553" s="14" t="s">
        <v>9158</v>
      </c>
      <c r="P553" s="14" t="s">
        <v>9158</v>
      </c>
      <c r="Q553" s="14" t="s">
        <v>9158</v>
      </c>
      <c r="S553" s="14" t="s">
        <v>16707</v>
      </c>
    </row>
    <row r="554" spans="1:19">
      <c r="A554" s="14">
        <v>86513</v>
      </c>
      <c r="B554" s="14" t="s">
        <v>0</v>
      </c>
      <c r="C554" s="14" t="s">
        <v>41</v>
      </c>
      <c r="D554" s="14" t="s">
        <v>16702</v>
      </c>
      <c r="E554" s="15" t="str">
        <f>HYPERLINK("https://stat100.ameba.jp/tnk47/ratio20/illustrations/card/ill_86513_supahirosennorikyu03.jpg?202103-5-RELEASE-marathon-521x", "■")</f>
        <v>■</v>
      </c>
      <c r="F554" s="14" t="s">
        <v>16701</v>
      </c>
      <c r="G554" s="14">
        <v>109370</v>
      </c>
      <c r="H554" s="14">
        <v>101650</v>
      </c>
      <c r="I554" s="14">
        <v>28</v>
      </c>
      <c r="J554" s="14" t="s">
        <v>10</v>
      </c>
      <c r="K554" s="14" t="s">
        <v>16700</v>
      </c>
      <c r="L554" s="14" t="s">
        <v>5494</v>
      </c>
      <c r="M554" s="14" t="s">
        <v>9158</v>
      </c>
      <c r="N554" s="14" t="s">
        <v>9158</v>
      </c>
      <c r="O554" s="14" t="s">
        <v>9158</v>
      </c>
      <c r="P554" s="14" t="s">
        <v>9158</v>
      </c>
      <c r="Q554" s="14" t="s">
        <v>9158</v>
      </c>
      <c r="S554" s="14" t="s">
        <v>16708</v>
      </c>
    </row>
    <row r="555" spans="1:19">
      <c r="A555" s="14">
        <v>89293</v>
      </c>
      <c r="B555" s="14" t="s">
        <v>0</v>
      </c>
      <c r="C555" s="14" t="s">
        <v>47</v>
      </c>
      <c r="D555" s="14" t="s">
        <v>16706</v>
      </c>
      <c r="E555" s="15" t="str">
        <f>HYPERLINK("https://stat100.ameba.jp/tnk47/ratio20/illustrations/card/ill_89293_ransafuarukonsupia03.jpg?202103-5-RELEASE-marathon-521x", "■")</f>
        <v>■</v>
      </c>
      <c r="F555" s="14" t="s">
        <v>16705</v>
      </c>
      <c r="G555" s="14">
        <v>106178</v>
      </c>
      <c r="H555" s="14">
        <v>114208</v>
      </c>
      <c r="I555" s="14">
        <v>28</v>
      </c>
      <c r="J555" s="14" t="s">
        <v>38</v>
      </c>
      <c r="K555" s="14" t="s">
        <v>16704</v>
      </c>
      <c r="L555" s="14" t="s">
        <v>16703</v>
      </c>
      <c r="M555" s="14" t="s">
        <v>9158</v>
      </c>
      <c r="N555" s="14" t="s">
        <v>9158</v>
      </c>
      <c r="O555" s="14" t="s">
        <v>9158</v>
      </c>
      <c r="P555" s="14" t="s">
        <v>9158</v>
      </c>
      <c r="Q555" s="14" t="s">
        <v>9158</v>
      </c>
      <c r="S555" s="14" t="s">
        <v>16709</v>
      </c>
    </row>
    <row r="556" spans="1:19">
      <c r="A556" s="14">
        <v>88013</v>
      </c>
      <c r="B556" s="14" t="s">
        <v>15</v>
      </c>
      <c r="C556" s="14" t="s">
        <v>14</v>
      </c>
      <c r="D556" s="14" t="s">
        <v>16165</v>
      </c>
      <c r="E556" s="15" t="str">
        <f>HYPERLINK("https://stat100.ameba.jp/tnk47/ratio20/illustrations/card/ill_88013_sakanouenomasamichi03.jpg?202103-5-RELEASE-marathon-521x", "■")</f>
        <v>■</v>
      </c>
      <c r="F556" s="14" t="s">
        <v>16164</v>
      </c>
      <c r="G556" s="14">
        <v>69898</v>
      </c>
      <c r="H556" s="14">
        <v>77064</v>
      </c>
      <c r="I556" s="14">
        <v>26</v>
      </c>
      <c r="J556" s="14" t="s">
        <v>143</v>
      </c>
      <c r="K556" s="14" t="s">
        <v>16163</v>
      </c>
      <c r="L556" s="14" t="s">
        <v>16162</v>
      </c>
      <c r="M556" s="14" t="s">
        <v>9158</v>
      </c>
      <c r="N556" s="14" t="s">
        <v>9158</v>
      </c>
      <c r="O556" s="14" t="s">
        <v>9158</v>
      </c>
      <c r="P556" s="14" t="s">
        <v>9158</v>
      </c>
      <c r="Q556" s="14" t="s">
        <v>9158</v>
      </c>
      <c r="S556" s="14" t="s">
        <v>16177</v>
      </c>
    </row>
    <row r="557" spans="1:19">
      <c r="A557" s="14">
        <v>83843</v>
      </c>
      <c r="B557" s="14" t="s">
        <v>15</v>
      </c>
      <c r="C557" s="14" t="s">
        <v>101</v>
      </c>
      <c r="D557" s="14" t="s">
        <v>16169</v>
      </c>
      <c r="E557" s="15" t="str">
        <f>HYPERLINK("https://stat100.ameba.jp/tnk47/ratio20/illustrations/card/ill_83843_akihanookami03.jpg?202103-5-RELEASE-marathon-521x", "■")</f>
        <v>■</v>
      </c>
      <c r="F557" s="14" t="s">
        <v>16168</v>
      </c>
      <c r="G557" s="14">
        <v>69898</v>
      </c>
      <c r="H557" s="14">
        <v>77064</v>
      </c>
      <c r="I557" s="14">
        <v>26</v>
      </c>
      <c r="J557" s="14" t="s">
        <v>44</v>
      </c>
      <c r="K557" s="14" t="s">
        <v>16167</v>
      </c>
      <c r="L557" s="14" t="s">
        <v>16166</v>
      </c>
      <c r="M557" s="14" t="s">
        <v>9158</v>
      </c>
      <c r="N557" s="14" t="s">
        <v>9158</v>
      </c>
      <c r="O557" s="14" t="s">
        <v>9158</v>
      </c>
      <c r="P557" s="14" t="s">
        <v>9158</v>
      </c>
      <c r="Q557" s="14" t="s">
        <v>9158</v>
      </c>
      <c r="S557" s="14" t="s">
        <v>16178</v>
      </c>
    </row>
    <row r="558" spans="1:19">
      <c r="A558" s="14">
        <v>90263</v>
      </c>
      <c r="B558" s="14" t="s">
        <v>15</v>
      </c>
      <c r="C558" s="14" t="s">
        <v>107</v>
      </c>
      <c r="D558" s="14" t="s">
        <v>16173</v>
      </c>
      <c r="E558" s="15" t="str">
        <f>HYPERLINK("https://stat100.ameba.jp/tnk47/ratio20/illustrations/card/ill_90263_daikokaijidaiawamorichan03.jpg?202103-5-RELEASE-marathon-521x", "■")</f>
        <v>■</v>
      </c>
      <c r="F558" s="14" t="s">
        <v>16172</v>
      </c>
      <c r="G558" s="14">
        <v>77064</v>
      </c>
      <c r="H558" s="14">
        <v>69898</v>
      </c>
      <c r="I558" s="14">
        <v>26</v>
      </c>
      <c r="J558" s="14" t="s">
        <v>104</v>
      </c>
      <c r="K558" s="14" t="s">
        <v>16171</v>
      </c>
      <c r="L558" s="14" t="s">
        <v>16170</v>
      </c>
      <c r="M558" s="14" t="s">
        <v>9158</v>
      </c>
      <c r="N558" s="14" t="s">
        <v>9158</v>
      </c>
      <c r="O558" s="14" t="s">
        <v>9158</v>
      </c>
      <c r="P558" s="14" t="s">
        <v>9158</v>
      </c>
      <c r="Q558" s="14" t="s">
        <v>9158</v>
      </c>
      <c r="S558" s="14" t="s">
        <v>16174</v>
      </c>
    </row>
    <row r="560" spans="1:19">
      <c r="A560" s="14" t="s">
        <v>16711</v>
      </c>
    </row>
    <row r="561" spans="1:17">
      <c r="A561" s="14">
        <v>107022</v>
      </c>
      <c r="B561" s="14" t="s">
        <v>9859</v>
      </c>
    </row>
    <row r="562" spans="1:17">
      <c r="A562" s="14" t="s">
        <v>5804</v>
      </c>
      <c r="B562" s="14" t="s">
        <v>52</v>
      </c>
      <c r="C562" s="14" t="s">
        <v>14</v>
      </c>
      <c r="D562" s="19" t="s">
        <v>3195</v>
      </c>
      <c r="E562" s="15" t="str">
        <f>HYPERLINK("https://stat100.ameba.jp/tnk47/ratio20/illustrations/card/ill_75393_0_resukuinotsukisamaniittausagi03.jpg?202103-5-RELEASE-marathon-521x", "■")</f>
        <v>■</v>
      </c>
      <c r="F562" s="14" t="s">
        <v>3248</v>
      </c>
      <c r="G562" s="14">
        <v>273368</v>
      </c>
      <c r="H562" s="14">
        <v>254160</v>
      </c>
      <c r="I562" s="14">
        <v>24</v>
      </c>
      <c r="J562" s="14" t="s">
        <v>26</v>
      </c>
      <c r="K562" s="14" t="s">
        <v>3249</v>
      </c>
      <c r="L562" s="14" t="s">
        <v>3250</v>
      </c>
      <c r="M562" s="14" t="s">
        <v>9158</v>
      </c>
      <c r="N562" s="14" t="s">
        <v>9158</v>
      </c>
      <c r="O562" s="19" t="s">
        <v>10101</v>
      </c>
      <c r="P562" s="14" t="s">
        <v>3251</v>
      </c>
      <c r="Q562" s="14">
        <v>2</v>
      </c>
    </row>
    <row r="563" spans="1:17">
      <c r="A563" s="14" t="s">
        <v>5620</v>
      </c>
      <c r="B563" s="14" t="s">
        <v>52</v>
      </c>
      <c r="C563" s="14" t="s">
        <v>344</v>
      </c>
      <c r="D563" s="19" t="s">
        <v>669</v>
      </c>
      <c r="E563" s="15" t="str">
        <f>HYPERLINK("https://stat100.ameba.jp/tnk47/ratio20/illustrations/card/ill_67173_0_yukemuriawamorichan03.jpg?202103-5-RELEASE-marathon-521x", "■")</f>
        <v>■</v>
      </c>
      <c r="F563" s="14" t="s">
        <v>2043</v>
      </c>
      <c r="G563" s="14">
        <v>184400</v>
      </c>
      <c r="H563" s="14">
        <v>171436</v>
      </c>
      <c r="I563" s="14">
        <v>24</v>
      </c>
      <c r="J563" s="14" t="s">
        <v>104</v>
      </c>
      <c r="K563" s="14" t="s">
        <v>2044</v>
      </c>
      <c r="L563" s="14" t="s">
        <v>2045</v>
      </c>
      <c r="M563" s="14" t="s">
        <v>9158</v>
      </c>
      <c r="N563" s="14" t="s">
        <v>9158</v>
      </c>
      <c r="O563" s="19" t="s">
        <v>10087</v>
      </c>
      <c r="P563" s="14" t="s">
        <v>3455</v>
      </c>
      <c r="Q563" s="14">
        <v>1</v>
      </c>
    </row>
    <row r="564" spans="1:17">
      <c r="A564" s="14" t="s">
        <v>6132</v>
      </c>
      <c r="B564" s="14" t="s">
        <v>52</v>
      </c>
      <c r="C564" s="14" t="s">
        <v>205</v>
      </c>
      <c r="D564" s="19" t="s">
        <v>702</v>
      </c>
      <c r="E564" s="15" t="str">
        <f>HYPERLINK("https://stat100.ameba.jp/tnk47/ratio20/illustrations/card/ill_50693_0_hanamizugimimuratsuru03.jpg?202103-5-RELEASE-marathon-521x", "■")</f>
        <v>■</v>
      </c>
      <c r="F564" s="14" t="s">
        <v>2282</v>
      </c>
      <c r="G564" s="14">
        <v>133938</v>
      </c>
      <c r="H564" s="14">
        <v>150776</v>
      </c>
      <c r="I564" s="14">
        <v>24</v>
      </c>
      <c r="J564" s="14" t="s">
        <v>143</v>
      </c>
      <c r="K564" s="14" t="s">
        <v>2283</v>
      </c>
      <c r="L564" s="14" t="s">
        <v>2284</v>
      </c>
      <c r="M564" s="14" t="s">
        <v>9158</v>
      </c>
      <c r="N564" s="14" t="s">
        <v>9158</v>
      </c>
      <c r="O564" s="14" t="s">
        <v>9158</v>
      </c>
      <c r="P564" s="14" t="s">
        <v>9158</v>
      </c>
      <c r="Q564" s="14" t="s">
        <v>9158</v>
      </c>
    </row>
    <row r="565" spans="1:17">
      <c r="A565" s="14">
        <v>96073</v>
      </c>
      <c r="B565" s="14" t="s">
        <v>0</v>
      </c>
      <c r="C565" s="14" t="s">
        <v>96</v>
      </c>
      <c r="D565" s="14" t="s">
        <v>16683</v>
      </c>
      <c r="E565" s="15" t="str">
        <f>HYPERLINK("https://stat100.ameba.jp/tnk47/ratio20/illustrations/card/ill_96073_shinsengumikitanokata03.jpg?202103-5-RELEASE-marathon-521x", "■")</f>
        <v>■</v>
      </c>
      <c r="F565" s="14" t="s">
        <v>16682</v>
      </c>
      <c r="G565" s="14">
        <v>143714</v>
      </c>
      <c r="H565" s="14">
        <v>154562</v>
      </c>
      <c r="I565" s="14">
        <v>26</v>
      </c>
      <c r="J565" s="14" t="s">
        <v>143</v>
      </c>
      <c r="K565" s="14" t="s">
        <v>16681</v>
      </c>
      <c r="L565" s="14" t="s">
        <v>12026</v>
      </c>
      <c r="M565" s="14" t="s">
        <v>9158</v>
      </c>
      <c r="N565" s="14" t="s">
        <v>9158</v>
      </c>
      <c r="O565" s="14" t="s">
        <v>9158</v>
      </c>
      <c r="P565" s="14" t="s">
        <v>9158</v>
      </c>
      <c r="Q565" s="14" t="s">
        <v>9158</v>
      </c>
    </row>
    <row r="566" spans="1:17">
      <c r="A566" s="14">
        <v>96093</v>
      </c>
      <c r="B566" s="14" t="s">
        <v>15</v>
      </c>
      <c r="C566" s="14" t="s">
        <v>23</v>
      </c>
      <c r="D566" s="14" t="s">
        <v>16688</v>
      </c>
      <c r="E566" s="15" t="str">
        <f>HYPERLINK("https://stat100.ameba.jp/tnk47/ratio20/illustrations/card/ill_96093_honoikazuchinookami03.jpg?202103-5-RELEASE-marathon-521x", "■")</f>
        <v>■</v>
      </c>
      <c r="F566" s="14" t="s">
        <v>16687</v>
      </c>
      <c r="G566" s="14">
        <v>69898</v>
      </c>
      <c r="H566" s="14">
        <v>77064</v>
      </c>
      <c r="I566" s="14">
        <v>26</v>
      </c>
      <c r="J566" s="14" t="s">
        <v>44</v>
      </c>
      <c r="K566" s="14" t="s">
        <v>16686</v>
      </c>
      <c r="L566" s="14" t="s">
        <v>3319</v>
      </c>
      <c r="M566" s="14" t="s">
        <v>9158</v>
      </c>
      <c r="N566" s="14" t="s">
        <v>9158</v>
      </c>
      <c r="O566" s="14" t="s">
        <v>9158</v>
      </c>
      <c r="P566" s="14" t="s">
        <v>9158</v>
      </c>
      <c r="Q566" s="14" t="s">
        <v>9158</v>
      </c>
    </row>
    <row r="567" spans="1:17">
      <c r="A567" s="14">
        <v>96103</v>
      </c>
      <c r="B567" s="14" t="s">
        <v>22</v>
      </c>
      <c r="C567" s="14" t="s">
        <v>101</v>
      </c>
      <c r="D567" s="14" t="s">
        <v>16691</v>
      </c>
      <c r="E567" s="15" t="str">
        <f>HYPERLINK("https://stat100.ameba.jp/tnk47/ratio20/illustrations/card/ill_96103_higambanamiyukidayu03.jpg?202103-5-RELEASE-marathon-521x", "■")</f>
        <v>■</v>
      </c>
      <c r="F567" s="14" t="s">
        <v>16690</v>
      </c>
      <c r="G567" s="14">
        <v>54058</v>
      </c>
      <c r="H567" s="14">
        <v>44948</v>
      </c>
      <c r="I567" s="14">
        <v>26</v>
      </c>
      <c r="J567" s="14" t="s">
        <v>10</v>
      </c>
      <c r="K567" s="14" t="s">
        <v>16689</v>
      </c>
      <c r="L567" s="14" t="s">
        <v>2321</v>
      </c>
      <c r="M567" s="14" t="s">
        <v>9158</v>
      </c>
      <c r="N567" s="14" t="s">
        <v>9158</v>
      </c>
      <c r="O567" s="14" t="s">
        <v>9158</v>
      </c>
      <c r="P567" s="14" t="s">
        <v>9158</v>
      </c>
      <c r="Q567" s="14" t="s">
        <v>9158</v>
      </c>
    </row>
    <row r="568" spans="1:17">
      <c r="A568" s="14">
        <v>96113</v>
      </c>
      <c r="B568" s="14" t="s">
        <v>22</v>
      </c>
      <c r="C568" s="14" t="s">
        <v>1</v>
      </c>
      <c r="D568" s="14" t="s">
        <v>16694</v>
      </c>
      <c r="E568" s="15" t="str">
        <f>HYPERLINK("https://stat100.ameba.jp/tnk47/ratio20/illustrations/card/ill_96113_okanehira03.jpg?202103-5-RELEASE-marathon-521x", "■")</f>
        <v>■</v>
      </c>
      <c r="F568" s="14" t="s">
        <v>16693</v>
      </c>
      <c r="G568" s="14">
        <v>44948</v>
      </c>
      <c r="H568" s="14">
        <v>54058</v>
      </c>
      <c r="I568" s="14">
        <v>26</v>
      </c>
      <c r="J568" s="14" t="s">
        <v>44</v>
      </c>
      <c r="K568" s="14" t="s">
        <v>16692</v>
      </c>
      <c r="L568" s="14" t="s">
        <v>3780</v>
      </c>
      <c r="M568" s="14" t="s">
        <v>9158</v>
      </c>
      <c r="N568" s="14" t="s">
        <v>9158</v>
      </c>
      <c r="O568" s="14" t="s">
        <v>9158</v>
      </c>
      <c r="P568" s="14" t="s">
        <v>9158</v>
      </c>
      <c r="Q568" s="14" t="s">
        <v>9158</v>
      </c>
    </row>
    <row r="570" spans="1:17">
      <c r="A570" s="14" t="s">
        <v>4065</v>
      </c>
    </row>
    <row r="571" spans="1:17">
      <c r="A571" s="14">
        <v>107045</v>
      </c>
      <c r="B571" s="14" t="s">
        <v>16710</v>
      </c>
    </row>
    <row r="572" spans="1:17">
      <c r="A572" s="9" t="s">
        <v>5642</v>
      </c>
      <c r="B572" s="14" t="s">
        <v>330</v>
      </c>
      <c r="C572" s="14" t="s">
        <v>185</v>
      </c>
      <c r="D572" s="14" t="s">
        <v>3086</v>
      </c>
      <c r="E572" s="15" t="str">
        <f>HYPERLINK("https://stat100.ameba.jp/tnk47/ratio20/illustrations/card/ill_69593_0_setsubunyukionna03.jpg?202103-5-RELEASE-marathon-521x", "■")</f>
        <v>■</v>
      </c>
      <c r="F572" s="14" t="s">
        <v>3087</v>
      </c>
      <c r="G572" s="14">
        <v>192866</v>
      </c>
      <c r="H572" s="14">
        <v>207449</v>
      </c>
      <c r="I572" s="14">
        <v>27</v>
      </c>
      <c r="J572" s="14" t="s">
        <v>320</v>
      </c>
      <c r="K572" s="14" t="s">
        <v>3088</v>
      </c>
      <c r="L572" s="14" t="s">
        <v>3089</v>
      </c>
      <c r="M572" s="14" t="s">
        <v>9158</v>
      </c>
      <c r="N572" s="14" t="s">
        <v>9158</v>
      </c>
      <c r="O572" s="7" t="s">
        <v>3090</v>
      </c>
      <c r="P572" s="14" t="s">
        <v>3091</v>
      </c>
      <c r="Q572" s="14">
        <v>2</v>
      </c>
    </row>
    <row r="573" spans="1:17">
      <c r="A573" s="14">
        <v>60173</v>
      </c>
      <c r="B573" s="14" t="s">
        <v>0</v>
      </c>
      <c r="C573" s="14" t="s">
        <v>41</v>
      </c>
      <c r="D573" s="19" t="s">
        <v>10231</v>
      </c>
      <c r="E573" s="15" t="str">
        <f>HYPERLINK("https://stat100.ameba.jp/tnk47/ratio20/illustrations/card/ill_60173_kugutsushi03.jpg?202103-5-RELEASE-marathon-521x", "■")</f>
        <v>■</v>
      </c>
      <c r="F573" s="14" t="s">
        <v>4282</v>
      </c>
      <c r="G573" s="14">
        <v>96100</v>
      </c>
      <c r="H573" s="14">
        <v>132684</v>
      </c>
      <c r="I573" s="14">
        <v>26</v>
      </c>
      <c r="J573" s="14" t="s">
        <v>38</v>
      </c>
      <c r="K573" s="14" t="s">
        <v>4283</v>
      </c>
      <c r="L573" s="14" t="s">
        <v>2714</v>
      </c>
      <c r="M573" s="14" t="s">
        <v>9158</v>
      </c>
      <c r="N573" s="14" t="s">
        <v>9158</v>
      </c>
      <c r="O573" s="19" t="s">
        <v>10113</v>
      </c>
      <c r="P573" s="14" t="s">
        <v>4285</v>
      </c>
      <c r="Q573" s="14">
        <v>1</v>
      </c>
    </row>
    <row r="574" spans="1:17">
      <c r="A574" s="14">
        <v>76803</v>
      </c>
      <c r="B574" s="14" t="s">
        <v>334</v>
      </c>
      <c r="C574" s="14" t="s">
        <v>202</v>
      </c>
      <c r="D574" s="19" t="s">
        <v>673</v>
      </c>
      <c r="E574" s="15" t="str">
        <f>HYPERLINK("https://stat100.ameba.jp/tnk47/ratio20/illustrations/card/ill_76803_monsutakujirachan03.jpg?202103-5-RELEASE-marathon-521x", "■")</f>
        <v>■</v>
      </c>
      <c r="F574" s="14" t="s">
        <v>674</v>
      </c>
      <c r="G574" s="14">
        <v>172982</v>
      </c>
      <c r="H574" s="14">
        <v>125296</v>
      </c>
      <c r="I574" s="14">
        <v>26</v>
      </c>
      <c r="J574" s="14" t="s">
        <v>283</v>
      </c>
      <c r="K574" s="14" t="s">
        <v>675</v>
      </c>
      <c r="L574" s="14" t="s">
        <v>435</v>
      </c>
      <c r="M574" s="14" t="s">
        <v>9158</v>
      </c>
      <c r="N574" s="14" t="s">
        <v>9158</v>
      </c>
      <c r="O574" s="19" t="s">
        <v>3165</v>
      </c>
      <c r="P574" s="14" t="s">
        <v>13139</v>
      </c>
      <c r="Q574" s="14">
        <v>1</v>
      </c>
    </row>
    <row r="575" spans="1:17">
      <c r="A575" s="7">
        <v>85643</v>
      </c>
      <c r="B575" s="7" t="s">
        <v>0</v>
      </c>
      <c r="C575" s="7" t="s">
        <v>154</v>
      </c>
      <c r="D575" s="20" t="s">
        <v>10828</v>
      </c>
      <c r="E575" s="15" t="str">
        <f>HYPERLINK("https://stat100.ameba.jp/tnk47/ratio20/illustrations/card/ill_85643_hosekisho03.jpg?202103-5-RELEASE-marathon-521x", "■")</f>
        <v>■</v>
      </c>
      <c r="F575" s="7" t="s">
        <v>8420</v>
      </c>
      <c r="G575" s="7">
        <v>113630</v>
      </c>
      <c r="H575" s="7">
        <v>82318</v>
      </c>
      <c r="I575" s="14">
        <v>26</v>
      </c>
      <c r="J575" s="7" t="s">
        <v>26</v>
      </c>
      <c r="K575" s="7" t="s">
        <v>8418</v>
      </c>
      <c r="L575" s="7" t="s">
        <v>3260</v>
      </c>
      <c r="M575" s="14" t="s">
        <v>9158</v>
      </c>
      <c r="N575" s="14" t="s">
        <v>9158</v>
      </c>
      <c r="O575" s="19" t="s">
        <v>10091</v>
      </c>
      <c r="P575" s="7" t="s">
        <v>3670</v>
      </c>
      <c r="Q575" s="7">
        <v>1</v>
      </c>
    </row>
    <row r="577" spans="1:18">
      <c r="A577" s="14" t="s">
        <v>3643</v>
      </c>
      <c r="I577" s="7"/>
    </row>
    <row r="578" spans="1:18">
      <c r="A578" s="14">
        <v>107050</v>
      </c>
      <c r="B578" s="14" t="s">
        <v>16712</v>
      </c>
      <c r="I578" s="7"/>
    </row>
    <row r="579" spans="1:18">
      <c r="A579" s="14">
        <v>92495</v>
      </c>
      <c r="B579" s="14" t="s">
        <v>0</v>
      </c>
      <c r="C579" s="14" t="s">
        <v>202</v>
      </c>
      <c r="D579" s="18" t="s">
        <v>15065</v>
      </c>
      <c r="E579" s="15" t="str">
        <f>HYPERLINK("https://stat100.ameba.jp/tnk47/ratio20/illustrations/card/ill_92495_kaitokaranochosenjosukajammusume05.jpg?202103-5-RELEASE-marathon-521x", "■")</f>
        <v>■</v>
      </c>
      <c r="F579" s="14" t="s">
        <v>15064</v>
      </c>
      <c r="G579" s="14">
        <v>121038</v>
      </c>
      <c r="H579" s="14">
        <v>167158</v>
      </c>
      <c r="I579" s="14">
        <v>28</v>
      </c>
      <c r="J579" s="14" t="s">
        <v>26</v>
      </c>
      <c r="K579" s="14" t="s">
        <v>15062</v>
      </c>
      <c r="L579" s="14" t="s">
        <v>15061</v>
      </c>
      <c r="M579" s="14" t="s">
        <v>9158</v>
      </c>
      <c r="N579" s="14" t="s">
        <v>9158</v>
      </c>
      <c r="O579" s="14" t="s">
        <v>9158</v>
      </c>
      <c r="P579" s="14" t="s">
        <v>9158</v>
      </c>
      <c r="Q579" s="14" t="s">
        <v>9158</v>
      </c>
      <c r="R579" s="14" t="s">
        <v>174</v>
      </c>
    </row>
    <row r="580" spans="1:18">
      <c r="A580" s="14">
        <v>92493</v>
      </c>
      <c r="B580" s="14" t="s">
        <v>15</v>
      </c>
      <c r="C580" s="14" t="s">
        <v>154</v>
      </c>
      <c r="D580" s="18" t="s">
        <v>15065</v>
      </c>
      <c r="E580" s="15" t="str">
        <f>HYPERLINK("https://stat100.ameba.jp/tnk47/ratio20/illustrations/card/ill_92493_kaitokaranochosenjosukajammusume03.jpg?202103-5-RELEASE-marathon-521x", "■")</f>
        <v>■</v>
      </c>
      <c r="F580" s="14" t="s">
        <v>15064</v>
      </c>
      <c r="G580" s="14">
        <v>89174</v>
      </c>
      <c r="H580" s="14">
        <v>123158</v>
      </c>
      <c r="I580" s="14">
        <v>28</v>
      </c>
      <c r="J580" s="14" t="s">
        <v>26</v>
      </c>
      <c r="K580" s="14" t="s">
        <v>15062</v>
      </c>
      <c r="L580" s="14" t="s">
        <v>15066</v>
      </c>
      <c r="M580" s="14" t="s">
        <v>9158</v>
      </c>
      <c r="N580" s="14" t="s">
        <v>9158</v>
      </c>
      <c r="O580" s="14" t="s">
        <v>9158</v>
      </c>
      <c r="P580" s="14" t="s">
        <v>9158</v>
      </c>
      <c r="Q580" s="14" t="s">
        <v>9158</v>
      </c>
      <c r="R580" s="14" t="s">
        <v>175</v>
      </c>
    </row>
    <row r="581" spans="1:18">
      <c r="A581" s="14">
        <v>92491</v>
      </c>
      <c r="B581" s="14" t="s">
        <v>15</v>
      </c>
      <c r="C581" s="14" t="s">
        <v>154</v>
      </c>
      <c r="D581" s="18" t="s">
        <v>15065</v>
      </c>
      <c r="E581" s="15" t="str">
        <f>HYPERLINK("https://stat100.ameba.jp/tnk47/ratio20/illustrations/card/ill_92491_kaitokaranochosenjosukajammusume01.jpg?202103-5-RELEASE-marathon-521x", "■")</f>
        <v>■</v>
      </c>
      <c r="F581" s="14" t="s">
        <v>15064</v>
      </c>
      <c r="G581" s="14">
        <v>56728</v>
      </c>
      <c r="H581" s="14">
        <v>78344</v>
      </c>
      <c r="I581" s="14">
        <v>28</v>
      </c>
      <c r="J581" s="14" t="s">
        <v>26</v>
      </c>
      <c r="K581" s="14" t="s">
        <v>15062</v>
      </c>
      <c r="L581" s="14" t="s">
        <v>15067</v>
      </c>
      <c r="M581" s="14" t="s">
        <v>9158</v>
      </c>
      <c r="N581" s="14" t="s">
        <v>9158</v>
      </c>
      <c r="O581" s="14" t="s">
        <v>9158</v>
      </c>
      <c r="P581" s="14" t="s">
        <v>9158</v>
      </c>
      <c r="Q581" s="14" t="s">
        <v>9158</v>
      </c>
      <c r="R581" s="14" t="s">
        <v>176</v>
      </c>
    </row>
    <row r="582" spans="1:18">
      <c r="A582" s="14">
        <v>92515</v>
      </c>
      <c r="B582" s="14" t="s">
        <v>0</v>
      </c>
      <c r="C582" s="14" t="s">
        <v>202</v>
      </c>
      <c r="D582" s="18" t="s">
        <v>15216</v>
      </c>
      <c r="E582" s="15" t="str">
        <f>HYPERLINK("https://stat100.ameba.jp/tnk47/ratio20/illustrations/card/ill_92515_burakkukuin05.jpg?202103-5-RELEASE-marathon-521x", "■")</f>
        <v>■</v>
      </c>
      <c r="F582" s="14" t="s">
        <v>15215</v>
      </c>
      <c r="G582" s="14">
        <v>131636</v>
      </c>
      <c r="H582" s="14">
        <v>95308</v>
      </c>
      <c r="I582" s="14">
        <v>28</v>
      </c>
      <c r="J582" s="14" t="s">
        <v>77</v>
      </c>
      <c r="K582" s="14" t="s">
        <v>15214</v>
      </c>
      <c r="L582" s="14" t="s">
        <v>13491</v>
      </c>
      <c r="M582" s="14" t="s">
        <v>9158</v>
      </c>
      <c r="N582" s="14" t="s">
        <v>9158</v>
      </c>
      <c r="O582" s="14" t="s">
        <v>9158</v>
      </c>
      <c r="P582" s="14" t="s">
        <v>9158</v>
      </c>
      <c r="Q582" s="14" t="s">
        <v>9158</v>
      </c>
      <c r="R582" s="14" t="s">
        <v>174</v>
      </c>
    </row>
    <row r="583" spans="1:18">
      <c r="A583" s="14">
        <v>92513</v>
      </c>
      <c r="B583" s="14" t="s">
        <v>15</v>
      </c>
      <c r="C583" s="14" t="s">
        <v>41</v>
      </c>
      <c r="D583" s="18" t="s">
        <v>15216</v>
      </c>
      <c r="E583" s="15" t="str">
        <f>HYPERLINK("https://stat100.ameba.jp/tnk47/ratio20/illustrations/card/ill_92513_burakkukuin03.jpg?202103-5-RELEASE-marathon-521x", "■")</f>
        <v>■</v>
      </c>
      <c r="F583" s="14" t="s">
        <v>15215</v>
      </c>
      <c r="G583" s="14">
        <v>96978</v>
      </c>
      <c r="H583" s="14">
        <v>70218</v>
      </c>
      <c r="I583" s="14">
        <v>28</v>
      </c>
      <c r="J583" s="14" t="s">
        <v>77</v>
      </c>
      <c r="K583" s="14" t="s">
        <v>15214</v>
      </c>
      <c r="L583" s="14" t="s">
        <v>15217</v>
      </c>
      <c r="M583" s="14" t="s">
        <v>9158</v>
      </c>
      <c r="N583" s="14" t="s">
        <v>9158</v>
      </c>
      <c r="O583" s="14" t="s">
        <v>9158</v>
      </c>
      <c r="P583" s="14" t="s">
        <v>9158</v>
      </c>
      <c r="Q583" s="14" t="s">
        <v>9158</v>
      </c>
      <c r="R583" s="14" t="s">
        <v>175</v>
      </c>
    </row>
    <row r="584" spans="1:18">
      <c r="A584" s="14">
        <v>92511</v>
      </c>
      <c r="B584" s="14" t="s">
        <v>15</v>
      </c>
      <c r="C584" s="14" t="s">
        <v>41</v>
      </c>
      <c r="D584" s="18" t="s">
        <v>15216</v>
      </c>
      <c r="E584" s="15" t="str">
        <f>HYPERLINK("https://stat100.ameba.jp/tnk47/ratio20/illustrations/card/ill_92511_burakkukuin01.jpg?202103-5-RELEASE-marathon-521x", "■")</f>
        <v>■</v>
      </c>
      <c r="F584" s="14" t="s">
        <v>15215</v>
      </c>
      <c r="G584" s="14">
        <v>61684</v>
      </c>
      <c r="H584" s="14">
        <v>44660</v>
      </c>
      <c r="I584" s="14">
        <v>28</v>
      </c>
      <c r="J584" s="14" t="s">
        <v>77</v>
      </c>
      <c r="K584" s="14" t="s">
        <v>15214</v>
      </c>
      <c r="L584" s="14" t="s">
        <v>15218</v>
      </c>
      <c r="M584" s="14" t="s">
        <v>9158</v>
      </c>
      <c r="N584" s="14" t="s">
        <v>9158</v>
      </c>
      <c r="O584" s="14" t="s">
        <v>9158</v>
      </c>
      <c r="P584" s="14" t="s">
        <v>9158</v>
      </c>
      <c r="Q584" s="14" t="s">
        <v>9158</v>
      </c>
      <c r="R584" s="14" t="s">
        <v>176</v>
      </c>
    </row>
    <row r="585" spans="1:18">
      <c r="A585" s="14">
        <v>83065</v>
      </c>
      <c r="B585" s="14" t="s">
        <v>334</v>
      </c>
      <c r="C585" s="14" t="s">
        <v>35</v>
      </c>
      <c r="D585" s="19" t="s">
        <v>10484</v>
      </c>
      <c r="E585" s="15" t="str">
        <f>HYPERLINK("https://stat100.ameba.jp/tnk47/ratio20/illustrations/card/ill_83065_aisumajishan05.jpg?202103-5-RELEASE-marathon-521x", "■")</f>
        <v>■</v>
      </c>
      <c r="F585" s="14" t="s">
        <v>6180</v>
      </c>
      <c r="G585" s="14">
        <v>115284</v>
      </c>
      <c r="H585" s="14">
        <v>159200</v>
      </c>
      <c r="I585" s="14">
        <v>28</v>
      </c>
      <c r="J585" s="14" t="s">
        <v>104</v>
      </c>
      <c r="K585" s="14" t="s">
        <v>6181</v>
      </c>
      <c r="L585" s="14" t="s">
        <v>6182</v>
      </c>
      <c r="M585" s="14" t="s">
        <v>9158</v>
      </c>
      <c r="N585" s="14" t="s">
        <v>9158</v>
      </c>
      <c r="O585" s="14" t="s">
        <v>9158</v>
      </c>
      <c r="P585" s="14" t="s">
        <v>9158</v>
      </c>
      <c r="Q585" s="14" t="s">
        <v>9158</v>
      </c>
      <c r="R585" s="14" t="s">
        <v>174</v>
      </c>
    </row>
    <row r="586" spans="1:18">
      <c r="A586" s="14">
        <v>83063</v>
      </c>
      <c r="B586" s="14" t="s">
        <v>15</v>
      </c>
      <c r="C586" s="14" t="s">
        <v>158</v>
      </c>
      <c r="D586" s="19" t="s">
        <v>10484</v>
      </c>
      <c r="E586" s="15" t="str">
        <f>HYPERLINK("https://stat100.ameba.jp/tnk47/ratio20/illustrations/card/ill_83063_aisumajishan03.jpg?202103-5-RELEASE-marathon-521x", "■")</f>
        <v>■</v>
      </c>
      <c r="F586" s="14" t="s">
        <v>6180</v>
      </c>
      <c r="G586" s="14">
        <v>84940</v>
      </c>
      <c r="H586" s="14">
        <v>117308</v>
      </c>
      <c r="I586" s="14">
        <v>28</v>
      </c>
      <c r="J586" s="14" t="s">
        <v>104</v>
      </c>
      <c r="K586" s="14" t="s">
        <v>6181</v>
      </c>
      <c r="L586" s="14" t="s">
        <v>6186</v>
      </c>
      <c r="M586" s="14" t="s">
        <v>9158</v>
      </c>
      <c r="N586" s="14" t="s">
        <v>9158</v>
      </c>
      <c r="O586" s="14" t="s">
        <v>9158</v>
      </c>
      <c r="P586" s="14" t="s">
        <v>9158</v>
      </c>
      <c r="Q586" s="14" t="s">
        <v>9158</v>
      </c>
      <c r="R586" s="14" t="s">
        <v>175</v>
      </c>
    </row>
    <row r="587" spans="1:18">
      <c r="A587" s="14">
        <v>83061</v>
      </c>
      <c r="B587" s="14" t="s">
        <v>15</v>
      </c>
      <c r="C587" s="14" t="s">
        <v>158</v>
      </c>
      <c r="D587" s="19" t="s">
        <v>10484</v>
      </c>
      <c r="E587" s="15" t="str">
        <f>HYPERLINK("https://stat100.ameba.jp/tnk47/ratio20/illustrations/card/ill_83061_aisumajishan01.jpg?202103-5-RELEASE-marathon-521x", "■")</f>
        <v>■</v>
      </c>
      <c r="F587" s="14" t="s">
        <v>6180</v>
      </c>
      <c r="G587" s="14">
        <v>54040</v>
      </c>
      <c r="H587" s="14">
        <v>74620</v>
      </c>
      <c r="I587" s="14">
        <v>28</v>
      </c>
      <c r="J587" s="14" t="s">
        <v>104</v>
      </c>
      <c r="K587" s="14" t="s">
        <v>6181</v>
      </c>
      <c r="L587" s="14" t="s">
        <v>6187</v>
      </c>
      <c r="M587" s="14" t="s">
        <v>9158</v>
      </c>
      <c r="N587" s="14" t="s">
        <v>9158</v>
      </c>
      <c r="O587" s="14" t="s">
        <v>9158</v>
      </c>
      <c r="P587" s="14" t="s">
        <v>9158</v>
      </c>
      <c r="Q587" s="14" t="s">
        <v>9158</v>
      </c>
      <c r="R587" s="14" t="s">
        <v>176</v>
      </c>
    </row>
    <row r="589" spans="1:18">
      <c r="A589" s="14" t="s">
        <v>3916</v>
      </c>
    </row>
    <row r="590" spans="1:18">
      <c r="A590" s="14">
        <v>107067</v>
      </c>
      <c r="B590" s="14" t="s">
        <v>16713</v>
      </c>
    </row>
    <row r="591" spans="1:18">
      <c r="A591" s="14">
        <v>62203</v>
      </c>
      <c r="B591" s="14" t="s">
        <v>334</v>
      </c>
      <c r="C591" s="14" t="s">
        <v>154</v>
      </c>
      <c r="D591" s="20" t="s">
        <v>2260</v>
      </c>
      <c r="E591" s="15" t="str">
        <f>HYPERLINK("https://stat100.ameba.jp/tnk47/ratio20/illustrations/card/ill_62203_keishoimmasahime03.jpg?202103-5-RELEASE-marathon-521x", "■")</f>
        <v>■</v>
      </c>
      <c r="F591" s="14" t="s">
        <v>2261</v>
      </c>
      <c r="G591" s="14">
        <v>112286</v>
      </c>
      <c r="H591" s="14">
        <v>120766</v>
      </c>
      <c r="I591" s="14">
        <v>28</v>
      </c>
      <c r="J591" s="14" t="s">
        <v>77</v>
      </c>
      <c r="K591" s="14" t="s">
        <v>2262</v>
      </c>
      <c r="L591" s="14" t="s">
        <v>2263</v>
      </c>
      <c r="M591" s="14" t="s">
        <v>9158</v>
      </c>
      <c r="N591" s="14" t="s">
        <v>9158</v>
      </c>
      <c r="O591" s="14" t="s">
        <v>9158</v>
      </c>
      <c r="P591" s="14" t="s">
        <v>9158</v>
      </c>
      <c r="Q591" s="14" t="s">
        <v>9158</v>
      </c>
    </row>
    <row r="592" spans="1:18">
      <c r="A592" s="14">
        <v>69723</v>
      </c>
      <c r="B592" s="14" t="s">
        <v>334</v>
      </c>
      <c r="C592" s="14" t="s">
        <v>158</v>
      </c>
      <c r="D592" s="20" t="s">
        <v>3042</v>
      </c>
      <c r="E592" s="15" t="str">
        <f>HYPERLINK("https://stat100.ameba.jp/tnk47/ratio20/illustrations/card/ill_69723_nakaurajurian03.jpg?202103-5-RELEASE-marathon-521x", "■")</f>
        <v>■</v>
      </c>
      <c r="F592" s="14" t="s">
        <v>2257</v>
      </c>
      <c r="G592" s="14">
        <v>112286</v>
      </c>
      <c r="H592" s="14">
        <v>120766</v>
      </c>
      <c r="I592" s="14">
        <v>28</v>
      </c>
      <c r="J592" s="14" t="s">
        <v>173</v>
      </c>
      <c r="K592" s="14" t="s">
        <v>2258</v>
      </c>
      <c r="L592" s="14" t="s">
        <v>2259</v>
      </c>
      <c r="M592" s="14" t="s">
        <v>9158</v>
      </c>
      <c r="N592" s="14" t="s">
        <v>9158</v>
      </c>
      <c r="O592" s="14" t="s">
        <v>9158</v>
      </c>
      <c r="P592" s="14" t="s">
        <v>9158</v>
      </c>
      <c r="Q592" s="14" t="s">
        <v>9158</v>
      </c>
    </row>
    <row r="593" spans="1:17">
      <c r="A593" s="14">
        <v>62153</v>
      </c>
      <c r="B593" s="14" t="s">
        <v>334</v>
      </c>
      <c r="C593" s="14" t="s">
        <v>1</v>
      </c>
      <c r="D593" s="20" t="s">
        <v>16317</v>
      </c>
      <c r="E593" s="15" t="str">
        <f>HYPERLINK("https://stat100.ameba.jp/tnk47/ratio20/illustrations/card/ill_62153_obentonekodanuki03.jpg?202103-5-RELEASE-marathon-521x", "■")</f>
        <v>■</v>
      </c>
      <c r="F593" s="14" t="s">
        <v>16318</v>
      </c>
      <c r="G593" s="14">
        <v>116662</v>
      </c>
      <c r="H593" s="14">
        <v>108494</v>
      </c>
      <c r="I593" s="14">
        <v>28</v>
      </c>
      <c r="J593" s="14" t="s">
        <v>73</v>
      </c>
      <c r="K593" s="14" t="s">
        <v>12212</v>
      </c>
      <c r="L593" s="14" t="s">
        <v>16319</v>
      </c>
      <c r="M593" s="14" t="s">
        <v>9158</v>
      </c>
      <c r="N593" s="14" t="s">
        <v>9158</v>
      </c>
      <c r="O593" s="14" t="s">
        <v>9158</v>
      </c>
      <c r="P593" s="14" t="s">
        <v>9158</v>
      </c>
      <c r="Q593" s="14" t="s">
        <v>9158</v>
      </c>
    </row>
    <row r="594" spans="1:17">
      <c r="A594" s="14">
        <v>65173</v>
      </c>
      <c r="B594" s="14" t="s">
        <v>334</v>
      </c>
      <c r="C594" s="14" t="s">
        <v>101</v>
      </c>
      <c r="D594" s="20" t="s">
        <v>16320</v>
      </c>
      <c r="E594" s="15" t="str">
        <f>HYPERLINK("https://stat100.ameba.jp/tnk47/ratio20/illustrations/card/ill_65173_kimodameshihorahamahime03.jpg?202103-5-RELEASE-marathon-521x", "■")</f>
        <v>■</v>
      </c>
      <c r="F594" s="14" t="s">
        <v>3565</v>
      </c>
      <c r="G594" s="14">
        <v>108494</v>
      </c>
      <c r="H594" s="14">
        <v>116662</v>
      </c>
      <c r="I594" s="14">
        <v>28</v>
      </c>
      <c r="J594" s="14" t="s">
        <v>73</v>
      </c>
      <c r="K594" s="14" t="s">
        <v>16321</v>
      </c>
      <c r="L594" s="14" t="s">
        <v>16322</v>
      </c>
      <c r="M594" s="14" t="s">
        <v>9158</v>
      </c>
      <c r="N594" s="14" t="s">
        <v>9158</v>
      </c>
      <c r="O594" s="14" t="s">
        <v>9158</v>
      </c>
      <c r="P594" s="14" t="s">
        <v>9158</v>
      </c>
      <c r="Q594" s="14" t="s">
        <v>9158</v>
      </c>
    </row>
    <row r="595" spans="1:17">
      <c r="A595" s="14">
        <v>51923</v>
      </c>
      <c r="B595" s="14" t="s">
        <v>15</v>
      </c>
      <c r="C595" s="14" t="s">
        <v>165</v>
      </c>
      <c r="D595" s="20" t="s">
        <v>15362</v>
      </c>
      <c r="E595" s="15" t="str">
        <f>HYPERLINK("https://stat100.ameba.jp/tnk47/ratio20/illustrations/card/ill_51923_kemonomizugikokyu03.jpg?202103-5-RELEASE-marathon-521x", "■")</f>
        <v>■</v>
      </c>
      <c r="F595" s="14" t="s">
        <v>15367</v>
      </c>
      <c r="G595" s="14">
        <v>71136</v>
      </c>
      <c r="H595" s="14">
        <v>64520</v>
      </c>
      <c r="I595" s="14">
        <v>24</v>
      </c>
      <c r="J595" s="14" t="s">
        <v>38</v>
      </c>
      <c r="K595" s="14" t="s">
        <v>15365</v>
      </c>
      <c r="L595" s="14" t="s">
        <v>15364</v>
      </c>
      <c r="M595" s="14" t="s">
        <v>9158</v>
      </c>
      <c r="N595" s="14" t="s">
        <v>9158</v>
      </c>
      <c r="O595" s="14" t="s">
        <v>9158</v>
      </c>
      <c r="P595" s="14" t="s">
        <v>9158</v>
      </c>
      <c r="Q595" s="14" t="s">
        <v>9158</v>
      </c>
    </row>
    <row r="596" spans="1:17">
      <c r="A596" s="14">
        <v>52963</v>
      </c>
      <c r="B596" s="14" t="s">
        <v>15</v>
      </c>
      <c r="C596" s="14" t="s">
        <v>101</v>
      </c>
      <c r="D596" s="20" t="s">
        <v>102</v>
      </c>
      <c r="E596" s="15" t="str">
        <f>HYPERLINK("https://stat100.ameba.jp/tnk47/ratio20/illustrations/card/ill_52963_torampumomochan03.jpg?202103-5-RELEASE-marathon-521x", "■")</f>
        <v>■</v>
      </c>
      <c r="F596" s="14" t="s">
        <v>103</v>
      </c>
      <c r="G596" s="14">
        <v>64520</v>
      </c>
      <c r="H596" s="14">
        <v>71136</v>
      </c>
      <c r="I596" s="14">
        <v>24</v>
      </c>
      <c r="J596" s="14" t="s">
        <v>104</v>
      </c>
      <c r="K596" s="14" t="s">
        <v>105</v>
      </c>
      <c r="L596" s="14" t="s">
        <v>106</v>
      </c>
      <c r="M596" s="14" t="s">
        <v>9158</v>
      </c>
      <c r="N596" s="14" t="s">
        <v>9158</v>
      </c>
      <c r="O596" s="14" t="s">
        <v>9158</v>
      </c>
      <c r="P596" s="14" t="s">
        <v>9158</v>
      </c>
      <c r="Q596" s="14" t="s">
        <v>9158</v>
      </c>
    </row>
    <row r="597" spans="1:17">
      <c r="A597" s="14">
        <v>51383</v>
      </c>
      <c r="B597" s="14" t="s">
        <v>15</v>
      </c>
      <c r="C597" s="14" t="s">
        <v>1</v>
      </c>
      <c r="D597" s="20" t="s">
        <v>15363</v>
      </c>
      <c r="E597" s="15" t="str">
        <f>HYPERLINK("https://stat100.ameba.jp/tnk47/ratio20/illustrations/card/ill_51383_ozashikikyogokuichiko03.jpg?202103-5-RELEASE-marathon-521x", "■")</f>
        <v>■</v>
      </c>
      <c r="F597" s="14" t="s">
        <v>15371</v>
      </c>
      <c r="G597" s="14">
        <v>71136</v>
      </c>
      <c r="H597" s="14">
        <v>64520</v>
      </c>
      <c r="I597" s="14">
        <v>24</v>
      </c>
      <c r="J597" s="14" t="s">
        <v>16</v>
      </c>
      <c r="K597" s="14" t="s">
        <v>15369</v>
      </c>
      <c r="L597" s="14" t="s">
        <v>15368</v>
      </c>
      <c r="M597" s="14" t="s">
        <v>9158</v>
      </c>
      <c r="N597" s="14" t="s">
        <v>9158</v>
      </c>
      <c r="O597" s="14" t="s">
        <v>9158</v>
      </c>
      <c r="P597" s="14" t="s">
        <v>9158</v>
      </c>
      <c r="Q597" s="14" t="s">
        <v>9158</v>
      </c>
    </row>
    <row r="598" spans="1:17">
      <c r="A598" s="14">
        <v>51903</v>
      </c>
      <c r="B598" s="14" t="s">
        <v>15</v>
      </c>
      <c r="C598" s="14" t="s">
        <v>14</v>
      </c>
      <c r="D598" s="20" t="s">
        <v>16323</v>
      </c>
      <c r="E598" s="15" t="str">
        <f>HYPERLINK("https://stat100.ameba.jp/tnk47/ratio20/illustrations/card/ill_51903_kemonomizugiringochan03.jpg?202103-5-RELEASE-marathon-521x", "■")</f>
        <v>■</v>
      </c>
      <c r="F598" s="14" t="s">
        <v>16324</v>
      </c>
      <c r="G598" s="14">
        <v>71136</v>
      </c>
      <c r="H598" s="14">
        <v>64520</v>
      </c>
      <c r="I598" s="14">
        <v>24</v>
      </c>
      <c r="J598" s="14" t="s">
        <v>104</v>
      </c>
      <c r="K598" s="14" t="s">
        <v>16325</v>
      </c>
      <c r="L598" s="14" t="s">
        <v>16326</v>
      </c>
      <c r="M598" s="14" t="s">
        <v>9158</v>
      </c>
      <c r="N598" s="14" t="s">
        <v>9158</v>
      </c>
      <c r="O598" s="14" t="s">
        <v>9158</v>
      </c>
      <c r="P598" s="14" t="s">
        <v>9158</v>
      </c>
      <c r="Q598" s="14" t="s">
        <v>9158</v>
      </c>
    </row>
  </sheetData>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EBB63-D08B-4405-81AB-E92D1D85D9BB}">
  <dimension ref="A1:S655"/>
  <sheetViews>
    <sheetView zoomScale="55" zoomScaleNormal="55" workbookViewId="0">
      <pane ySplit="1" topLeftCell="A293" activePane="bottomLeft" state="frozen"/>
      <selection activeCell="A409" sqref="A409:Q409"/>
      <selection pane="bottomLeft" activeCell="H308" sqref="H308"/>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16723</v>
      </c>
    </row>
    <row r="4" spans="1:19">
      <c r="A4" s="14">
        <v>311714</v>
      </c>
      <c r="B4" s="14" t="s">
        <v>16721</v>
      </c>
    </row>
    <row r="5" spans="1:19">
      <c r="A5" s="14">
        <v>311763</v>
      </c>
      <c r="B5" s="14" t="s">
        <v>16722</v>
      </c>
    </row>
    <row r="6" spans="1:19">
      <c r="A6" s="14" t="s">
        <v>16720</v>
      </c>
      <c r="B6" s="7" t="s">
        <v>52</v>
      </c>
      <c r="C6" s="14" t="s">
        <v>202</v>
      </c>
      <c r="D6" s="18" t="s">
        <v>16719</v>
      </c>
      <c r="E6" s="15" t="str">
        <f>HYPERLINK("https://stat100.ameba.jp/tnk47/ratio20/illustrations/card/ill_96373_0_ohinasamaakitakomachichan03.jpg?202103-5-RELEASE-marathon-521x", "■")</f>
        <v>■</v>
      </c>
      <c r="F6" s="14" t="s">
        <v>16718</v>
      </c>
      <c r="G6" s="14">
        <v>311096</v>
      </c>
      <c r="H6" s="14">
        <v>380222</v>
      </c>
      <c r="I6" s="7">
        <v>33</v>
      </c>
      <c r="J6" s="14" t="s">
        <v>104</v>
      </c>
      <c r="K6" s="14" t="s">
        <v>16717</v>
      </c>
      <c r="L6" s="14" t="s">
        <v>16716</v>
      </c>
      <c r="M6" s="14" t="s">
        <v>9158</v>
      </c>
      <c r="N6" s="14" t="s">
        <v>9158</v>
      </c>
      <c r="O6" s="7" t="s">
        <v>16715</v>
      </c>
      <c r="P6" s="7" t="s">
        <v>16714</v>
      </c>
      <c r="Q6" s="7">
        <v>1</v>
      </c>
    </row>
    <row r="7" spans="1:19">
      <c r="A7" s="14">
        <v>96323</v>
      </c>
      <c r="B7" s="14" t="s">
        <v>0</v>
      </c>
      <c r="C7" s="14" t="s">
        <v>101</v>
      </c>
      <c r="D7" s="18" t="s">
        <v>16726</v>
      </c>
      <c r="E7" s="15" t="str">
        <f>HYPERLINK("https://stat100.ameba.jp/tnk47/ratio20/illustrations/card/ill_96323_ohinasamakubiwakomorichan03.jpg?202103-5-RELEASE-marathon-521x", "■")</f>
        <v>■</v>
      </c>
      <c r="F7" s="14" t="s">
        <v>16725</v>
      </c>
      <c r="G7" s="14">
        <v>127350</v>
      </c>
      <c r="H7" s="14">
        <v>136953</v>
      </c>
      <c r="I7" s="14">
        <v>29</v>
      </c>
      <c r="J7" s="14" t="s">
        <v>26</v>
      </c>
      <c r="K7" s="14" t="s">
        <v>16724</v>
      </c>
      <c r="L7" s="14" t="s">
        <v>15061</v>
      </c>
      <c r="M7" s="14" t="s">
        <v>9158</v>
      </c>
      <c r="N7" s="14" t="s">
        <v>9158</v>
      </c>
      <c r="O7" s="7" t="s">
        <v>3461</v>
      </c>
      <c r="P7" s="7" t="s">
        <v>3462</v>
      </c>
      <c r="Q7" s="7">
        <v>1</v>
      </c>
    </row>
    <row r="8" spans="1:19">
      <c r="A8" s="14">
        <v>96313</v>
      </c>
      <c r="B8" s="14" t="s">
        <v>0</v>
      </c>
      <c r="C8" s="14" t="s">
        <v>14</v>
      </c>
      <c r="D8" s="18" t="s">
        <v>16729</v>
      </c>
      <c r="E8" s="15" t="str">
        <f>HYPERLINK("https://stat100.ameba.jp/tnk47/ratio20/illustrations/card/ill_96313_ohinasamasappororamenchan03.jpg?202103-5-RELEASE-marathon-521x", "■")</f>
        <v>■</v>
      </c>
      <c r="F8" s="14" t="s">
        <v>16728</v>
      </c>
      <c r="G8" s="14">
        <v>127350</v>
      </c>
      <c r="H8" s="14">
        <v>136953</v>
      </c>
      <c r="I8" s="14">
        <v>29</v>
      </c>
      <c r="J8" s="14" t="s">
        <v>104</v>
      </c>
      <c r="K8" s="14" t="s">
        <v>16727</v>
      </c>
      <c r="L8" s="14" t="s">
        <v>14546</v>
      </c>
      <c r="M8" s="14" t="s">
        <v>2138</v>
      </c>
      <c r="N8" s="14" t="s">
        <v>2139</v>
      </c>
      <c r="O8" s="14" t="s">
        <v>9158</v>
      </c>
      <c r="P8" s="14" t="s">
        <v>9158</v>
      </c>
      <c r="Q8" s="14" t="s">
        <v>9158</v>
      </c>
      <c r="R8" s="14" t="s">
        <v>13120</v>
      </c>
    </row>
    <row r="9" spans="1:19">
      <c r="A9" s="14">
        <v>96333</v>
      </c>
      <c r="B9" s="14" t="s">
        <v>0</v>
      </c>
      <c r="C9" s="14" t="s">
        <v>107</v>
      </c>
      <c r="D9" s="18" t="s">
        <v>16732</v>
      </c>
      <c r="E9" s="15" t="str">
        <f>HYPERLINK("https://stat100.ameba.jp/tnk47/ratio20/illustrations/card/ill_96333_ohinasamasakezushi03.jpg?202103-5-RELEASE-marathon-521x", "■")</f>
        <v>■</v>
      </c>
      <c r="F9" s="14" t="s">
        <v>16731</v>
      </c>
      <c r="G9" s="14">
        <v>136953</v>
      </c>
      <c r="H9" s="14">
        <v>127350</v>
      </c>
      <c r="I9" s="14">
        <v>29</v>
      </c>
      <c r="J9" s="14" t="s">
        <v>104</v>
      </c>
      <c r="K9" s="14" t="s">
        <v>16730</v>
      </c>
      <c r="L9" s="14" t="s">
        <v>12340</v>
      </c>
      <c r="M9" s="14" t="s">
        <v>2138</v>
      </c>
      <c r="N9" s="14" t="s">
        <v>2139</v>
      </c>
      <c r="O9" s="14" t="s">
        <v>9158</v>
      </c>
      <c r="P9" s="14" t="s">
        <v>9158</v>
      </c>
      <c r="Q9" s="14" t="s">
        <v>9158</v>
      </c>
      <c r="R9" s="14" t="s">
        <v>13120</v>
      </c>
    </row>
    <row r="10" spans="1:19">
      <c r="A10" s="14">
        <v>96343</v>
      </c>
      <c r="B10" s="14" t="s">
        <v>15</v>
      </c>
      <c r="C10" s="14" t="s">
        <v>96</v>
      </c>
      <c r="D10" s="18" t="s">
        <v>16735</v>
      </c>
      <c r="E10" s="15" t="str">
        <f>HYPERLINK("https://stat100.ameba.jp/tnk47/ratio20/illustrations/card/ill_96343_shimogamojinjanonagashibina03.jpg?202103-5-RELEASE-marathon-521x", "■")</f>
        <v>■</v>
      </c>
      <c r="F10" s="14" t="s">
        <v>16734</v>
      </c>
      <c r="G10" s="7">
        <v>82992</v>
      </c>
      <c r="H10" s="7">
        <v>75274</v>
      </c>
      <c r="I10" s="7">
        <v>28</v>
      </c>
      <c r="J10" s="14" t="s">
        <v>38</v>
      </c>
      <c r="K10" s="7" t="s">
        <v>16733</v>
      </c>
      <c r="L10" s="7" t="s">
        <v>5407</v>
      </c>
      <c r="M10" s="14" t="s">
        <v>9158</v>
      </c>
      <c r="N10" s="14" t="s">
        <v>9158</v>
      </c>
      <c r="O10" s="14" t="s">
        <v>9158</v>
      </c>
      <c r="P10" s="14" t="s">
        <v>9158</v>
      </c>
      <c r="Q10" s="14" t="s">
        <v>9158</v>
      </c>
    </row>
    <row r="11" spans="1:19">
      <c r="A11" s="14">
        <v>96353</v>
      </c>
      <c r="B11" s="14" t="s">
        <v>15</v>
      </c>
      <c r="C11" s="14" t="s">
        <v>1</v>
      </c>
      <c r="D11" s="18" t="s">
        <v>16738</v>
      </c>
      <c r="E11" s="15" t="str">
        <f>HYPERLINK("https://stat100.ameba.jp/tnk47/ratio20/illustrations/card/ill_96353_ichigenkin03.jpg?202103-5-RELEASE-marathon-521x", "■")</f>
        <v>■</v>
      </c>
      <c r="F11" s="14" t="s">
        <v>16737</v>
      </c>
      <c r="G11" s="7">
        <v>75274</v>
      </c>
      <c r="H11" s="7">
        <v>82992</v>
      </c>
      <c r="I11" s="7">
        <v>28</v>
      </c>
      <c r="J11" s="14" t="s">
        <v>38</v>
      </c>
      <c r="K11" s="7" t="s">
        <v>16736</v>
      </c>
      <c r="L11" s="7" t="s">
        <v>5922</v>
      </c>
      <c r="M11" s="14" t="s">
        <v>9158</v>
      </c>
      <c r="N11" s="14" t="s">
        <v>9158</v>
      </c>
      <c r="O11" s="14" t="s">
        <v>9158</v>
      </c>
      <c r="P11" s="14" t="s">
        <v>9158</v>
      </c>
      <c r="Q11" s="14" t="s">
        <v>9158</v>
      </c>
    </row>
    <row r="12" spans="1:19">
      <c r="A12" s="14">
        <v>96363</v>
      </c>
      <c r="B12" s="14" t="s">
        <v>15</v>
      </c>
      <c r="C12" s="14" t="s">
        <v>23</v>
      </c>
      <c r="D12" s="18" t="s">
        <v>16741</v>
      </c>
      <c r="E12" s="15" t="str">
        <f>HYPERLINK("https://stat100.ameba.jp/tnk47/ratio20/illustrations/card/ill_96363_sugawaranotakasuenomusume03.jpg?202103-5-RELEASE-marathon-521x", "■")</f>
        <v>■</v>
      </c>
      <c r="F12" s="14" t="s">
        <v>16740</v>
      </c>
      <c r="G12" s="7">
        <v>82992</v>
      </c>
      <c r="H12" s="7">
        <v>75274</v>
      </c>
      <c r="I12" s="7">
        <v>28</v>
      </c>
      <c r="J12" s="14" t="s">
        <v>10</v>
      </c>
      <c r="K12" s="7" t="s">
        <v>16739</v>
      </c>
      <c r="L12" s="7" t="s">
        <v>4524</v>
      </c>
      <c r="M12" s="14" t="s">
        <v>9158</v>
      </c>
      <c r="N12" s="14" t="s">
        <v>9158</v>
      </c>
      <c r="O12" s="14" t="s">
        <v>9158</v>
      </c>
      <c r="P12" s="14" t="s">
        <v>9158</v>
      </c>
      <c r="Q12" s="14" t="s">
        <v>9158</v>
      </c>
    </row>
    <row r="13" spans="1:19">
      <c r="A13" s="14">
        <v>96383</v>
      </c>
      <c r="B13" s="14" t="s">
        <v>22</v>
      </c>
      <c r="C13" s="14" t="s">
        <v>101</v>
      </c>
      <c r="D13" s="18" t="s">
        <v>16744</v>
      </c>
      <c r="E13" s="15" t="str">
        <f>HYPERLINK("https://stat100.ameba.jp/tnk47/ratio20/illustrations/card/ill_96383_chiyohimenohatsusekku03.jpg?202103-5-RELEASE-marathon-521x", "■")</f>
        <v>■</v>
      </c>
      <c r="F13" s="14" t="s">
        <v>16743</v>
      </c>
      <c r="G13" s="7">
        <v>54058</v>
      </c>
      <c r="H13" s="7">
        <v>44948</v>
      </c>
      <c r="I13" s="7">
        <v>26</v>
      </c>
      <c r="J13" s="14" t="s">
        <v>38</v>
      </c>
      <c r="K13" s="7" t="s">
        <v>16742</v>
      </c>
      <c r="L13" s="7" t="s">
        <v>8872</v>
      </c>
      <c r="M13" s="14" t="s">
        <v>9158</v>
      </c>
      <c r="N13" s="14" t="s">
        <v>9158</v>
      </c>
      <c r="O13" s="14" t="s">
        <v>9158</v>
      </c>
      <c r="P13" s="14" t="s">
        <v>9158</v>
      </c>
      <c r="Q13" s="14" t="s">
        <v>9158</v>
      </c>
    </row>
    <row r="14" spans="1:19">
      <c r="A14" s="14">
        <v>96393</v>
      </c>
      <c r="B14" s="14" t="s">
        <v>22</v>
      </c>
      <c r="C14" s="14" t="s">
        <v>107</v>
      </c>
      <c r="D14" s="18" t="s">
        <v>16747</v>
      </c>
      <c r="E14" s="15" t="str">
        <f>HYPERLINK("https://stat100.ameba.jp/tnk47/ratio20/illustrations/card/ill_96393_mukashibanashimunakatasanjojin03.jpg?202103-5-RELEASE-marathon-521x", "■")</f>
        <v>■</v>
      </c>
      <c r="F14" s="14" t="s">
        <v>16746</v>
      </c>
      <c r="G14" s="7">
        <v>44948</v>
      </c>
      <c r="H14" s="7">
        <v>54058</v>
      </c>
      <c r="I14" s="7">
        <v>26</v>
      </c>
      <c r="J14" s="14" t="s">
        <v>44</v>
      </c>
      <c r="K14" s="7" t="s">
        <v>16745</v>
      </c>
      <c r="L14" s="7" t="s">
        <v>2158</v>
      </c>
      <c r="M14" s="14" t="s">
        <v>9158</v>
      </c>
      <c r="N14" s="14" t="s">
        <v>9158</v>
      </c>
      <c r="O14" s="14" t="s">
        <v>9158</v>
      </c>
      <c r="P14" s="14" t="s">
        <v>9158</v>
      </c>
      <c r="Q14" s="14" t="s">
        <v>9158</v>
      </c>
    </row>
    <row r="15" spans="1:19">
      <c r="A15" s="14">
        <v>96413</v>
      </c>
      <c r="B15" s="14" t="s">
        <v>30</v>
      </c>
      <c r="C15" s="14" t="s">
        <v>12565</v>
      </c>
      <c r="D15" s="18" t="s">
        <v>16748</v>
      </c>
      <c r="E15" s="15" t="str">
        <f>HYPERLINK("https://stat100.ameba.jp/tnk47/ratio20/illustrations/card/ill_96413_hobazushi03.jpg?202103-5-RELEASE-marathon-521x", "■")</f>
        <v>■</v>
      </c>
      <c r="F15" s="26" t="s">
        <v>16749</v>
      </c>
      <c r="G15" s="7" t="s">
        <v>12934</v>
      </c>
      <c r="H15" s="7" t="s">
        <v>12934</v>
      </c>
      <c r="I15" s="7">
        <v>19</v>
      </c>
      <c r="J15" s="14" t="s">
        <v>104</v>
      </c>
      <c r="K15" s="7" t="s">
        <v>12934</v>
      </c>
      <c r="L15" s="7" t="s">
        <v>12934</v>
      </c>
      <c r="M15" s="14" t="s">
        <v>9158</v>
      </c>
      <c r="N15" s="14" t="s">
        <v>9158</v>
      </c>
      <c r="O15" s="14" t="s">
        <v>9158</v>
      </c>
      <c r="P15" s="14" t="s">
        <v>9158</v>
      </c>
      <c r="Q15" s="14" t="s">
        <v>9158</v>
      </c>
      <c r="R15" s="26" t="s">
        <v>16752</v>
      </c>
    </row>
    <row r="16" spans="1:19">
      <c r="A16" s="14">
        <v>96403</v>
      </c>
      <c r="B16" s="14" t="s">
        <v>30</v>
      </c>
      <c r="C16" s="14" t="s">
        <v>96</v>
      </c>
      <c r="D16" s="18" t="s">
        <v>16750</v>
      </c>
      <c r="E16" s="15" t="str">
        <f>HYPERLINK("https://stat100.ameba.jp/tnk47/ratio20/illustrations/card/ill_96403_kinkinoozounichan03.jpg?202103-5-RELEASE-marathon-521x", "■")</f>
        <v>■</v>
      </c>
      <c r="F16" s="14" t="s">
        <v>16751</v>
      </c>
      <c r="G16" s="7" t="s">
        <v>12934</v>
      </c>
      <c r="H16" s="7" t="s">
        <v>12934</v>
      </c>
      <c r="I16" s="7">
        <v>19</v>
      </c>
      <c r="J16" s="14" t="s">
        <v>104</v>
      </c>
      <c r="K16" s="7" t="s">
        <v>12934</v>
      </c>
      <c r="L16" s="7" t="s">
        <v>12934</v>
      </c>
      <c r="M16" s="14" t="s">
        <v>9158</v>
      </c>
      <c r="N16" s="14" t="s">
        <v>9158</v>
      </c>
      <c r="O16" s="14" t="s">
        <v>9158</v>
      </c>
      <c r="P16" s="14" t="s">
        <v>9158</v>
      </c>
      <c r="Q16" s="14" t="s">
        <v>9158</v>
      </c>
    </row>
    <row r="17" spans="1:18">
      <c r="D17" s="7"/>
    </row>
    <row r="18" spans="1:18">
      <c r="A18" s="14" t="s">
        <v>16753</v>
      </c>
      <c r="D18" s="7"/>
    </row>
    <row r="19" spans="1:18">
      <c r="A19" s="14">
        <v>237016</v>
      </c>
      <c r="B19" s="14" t="s">
        <v>3748</v>
      </c>
      <c r="D19" s="7"/>
    </row>
    <row r="20" spans="1:18">
      <c r="A20" s="14">
        <v>96465</v>
      </c>
      <c r="B20" s="14" t="s">
        <v>0</v>
      </c>
      <c r="C20" s="14" t="s">
        <v>202</v>
      </c>
      <c r="D20" s="18" t="s">
        <v>16756</v>
      </c>
      <c r="E20" s="15" t="str">
        <f>HYPERLINK("https://stat100.ameba.jp/tnk47/ratio20/illustrations/card/ill_96465_ohinasamamaedakeiji05.jpg?202103-5-RELEASE-marathon-521x", "■")</f>
        <v>■</v>
      </c>
      <c r="F20" s="14" t="s">
        <v>16755</v>
      </c>
      <c r="G20" s="14">
        <v>217871</v>
      </c>
      <c r="H20" s="14">
        <v>157763</v>
      </c>
      <c r="I20" s="14">
        <v>29</v>
      </c>
      <c r="J20" s="14" t="s">
        <v>143</v>
      </c>
      <c r="K20" s="14" t="s">
        <v>16754</v>
      </c>
      <c r="L20" s="14" t="s">
        <v>12153</v>
      </c>
      <c r="M20" s="14" t="s">
        <v>9158</v>
      </c>
      <c r="N20" s="14" t="s">
        <v>9158</v>
      </c>
      <c r="O20" s="14" t="s">
        <v>9158</v>
      </c>
      <c r="P20" s="14" t="s">
        <v>9158</v>
      </c>
      <c r="Q20" s="14" t="s">
        <v>9158</v>
      </c>
      <c r="R20" s="14" t="s">
        <v>174</v>
      </c>
    </row>
    <row r="21" spans="1:18">
      <c r="A21" s="14">
        <v>96463</v>
      </c>
      <c r="B21" s="14" t="s">
        <v>15</v>
      </c>
      <c r="C21" s="14" t="s">
        <v>47</v>
      </c>
      <c r="D21" s="18" t="s">
        <v>16756</v>
      </c>
      <c r="E21" s="15" t="str">
        <f>HYPERLINK("https://stat100.ameba.jp/tnk47/ratio20/illustrations/card/ill_96463_ohinasamamaedakeiji03.jpg?202103-5-RELEASE-marathon-521x", "■")</f>
        <v>■</v>
      </c>
      <c r="F21" s="14" t="s">
        <v>16755</v>
      </c>
      <c r="G21" s="14">
        <v>160527</v>
      </c>
      <c r="H21" s="14">
        <v>116243</v>
      </c>
      <c r="I21" s="14">
        <v>29</v>
      </c>
      <c r="J21" s="14" t="s">
        <v>143</v>
      </c>
      <c r="K21" s="14" t="s">
        <v>16754</v>
      </c>
      <c r="L21" s="14" t="s">
        <v>12157</v>
      </c>
      <c r="M21" s="14" t="s">
        <v>9158</v>
      </c>
      <c r="N21" s="14" t="s">
        <v>9158</v>
      </c>
      <c r="O21" s="14" t="s">
        <v>9158</v>
      </c>
      <c r="P21" s="14" t="s">
        <v>9158</v>
      </c>
      <c r="Q21" s="14" t="s">
        <v>9158</v>
      </c>
      <c r="R21" s="14" t="s">
        <v>175</v>
      </c>
    </row>
    <row r="22" spans="1:18">
      <c r="A22" s="14">
        <v>96461</v>
      </c>
      <c r="B22" s="14" t="s">
        <v>15</v>
      </c>
      <c r="C22" s="14" t="s">
        <v>47</v>
      </c>
      <c r="D22" s="18" t="s">
        <v>16756</v>
      </c>
      <c r="E22" s="15" t="str">
        <f>HYPERLINK("https://stat100.ameba.jp/tnk47/ratio20/illustrations/card/ill_96461_ohinasamamaedakeiji01.jpg?202103-5-RELEASE-marathon-521x", "■")</f>
        <v>■</v>
      </c>
      <c r="F22" s="14" t="s">
        <v>16755</v>
      </c>
      <c r="G22" s="14">
        <v>102109</v>
      </c>
      <c r="H22" s="14">
        <v>73950</v>
      </c>
      <c r="I22" s="14">
        <v>29</v>
      </c>
      <c r="J22" s="14" t="s">
        <v>143</v>
      </c>
      <c r="K22" s="14" t="s">
        <v>16754</v>
      </c>
      <c r="L22" s="14" t="s">
        <v>12158</v>
      </c>
      <c r="M22" s="14" t="s">
        <v>9158</v>
      </c>
      <c r="N22" s="14" t="s">
        <v>9158</v>
      </c>
      <c r="O22" s="14" t="s">
        <v>9158</v>
      </c>
      <c r="P22" s="14" t="s">
        <v>9158</v>
      </c>
      <c r="Q22" s="14" t="s">
        <v>9158</v>
      </c>
      <c r="R22" s="14" t="s">
        <v>176</v>
      </c>
    </row>
    <row r="23" spans="1:18">
      <c r="D23" s="7"/>
    </row>
    <row r="24" spans="1:18">
      <c r="A24" s="14" t="s">
        <v>204</v>
      </c>
      <c r="D24" s="7"/>
    </row>
    <row r="25" spans="1:18">
      <c r="A25" s="14">
        <v>237044</v>
      </c>
      <c r="B25" s="14" t="s">
        <v>16757</v>
      </c>
      <c r="D25" s="7"/>
    </row>
    <row r="26" spans="1:18">
      <c r="A26" s="14" t="s">
        <v>6195</v>
      </c>
      <c r="B26" s="14" t="s">
        <v>52</v>
      </c>
      <c r="C26" s="14" t="s">
        <v>191</v>
      </c>
      <c r="D26" s="20" t="s">
        <v>10217</v>
      </c>
      <c r="E26" s="15" t="str">
        <f>HYPERLINK("https://stat100.ameba.jp/tnk47/ratio20/illustrations/card/ill_56493_0_poppukurisumasuikomakitsuno03.jpg?202103-5-RELEASE-marathon-521x", "■")</f>
        <v>■</v>
      </c>
      <c r="F26" s="14" t="s">
        <v>1769</v>
      </c>
      <c r="G26" s="14">
        <v>138212</v>
      </c>
      <c r="H26" s="14">
        <v>122776</v>
      </c>
      <c r="I26" s="14">
        <v>22</v>
      </c>
      <c r="J26" s="14" t="s">
        <v>77</v>
      </c>
      <c r="K26" s="14" t="s">
        <v>1770</v>
      </c>
      <c r="L26" s="14" t="s">
        <v>1771</v>
      </c>
      <c r="M26" s="14" t="s">
        <v>9158</v>
      </c>
      <c r="N26" s="14" t="s">
        <v>9158</v>
      </c>
      <c r="O26" s="19" t="s">
        <v>10120</v>
      </c>
      <c r="P26" s="14" t="s">
        <v>2724</v>
      </c>
      <c r="Q26" s="14">
        <v>1</v>
      </c>
    </row>
    <row r="27" spans="1:18">
      <c r="A27" s="14" t="s">
        <v>5620</v>
      </c>
      <c r="B27" s="14" t="s">
        <v>330</v>
      </c>
      <c r="C27" s="14" t="s">
        <v>206</v>
      </c>
      <c r="D27" s="20" t="s">
        <v>669</v>
      </c>
      <c r="E27" s="15" t="str">
        <f>HYPERLINK("https://stat100.ameba.jp/tnk47/ratio20/illustrations/card/ill_67173_0_yukemuriawamorichan03.jpg?202103-5-RELEASE-marathon-521x", "■")</f>
        <v>■</v>
      </c>
      <c r="F27" s="14" t="s">
        <v>670</v>
      </c>
      <c r="G27" s="14">
        <v>169032</v>
      </c>
      <c r="H27" s="14">
        <v>157150</v>
      </c>
      <c r="I27" s="14">
        <v>22</v>
      </c>
      <c r="J27" s="14" t="s">
        <v>283</v>
      </c>
      <c r="K27" s="14" t="s">
        <v>671</v>
      </c>
      <c r="L27" s="14" t="s">
        <v>672</v>
      </c>
      <c r="M27" s="14" t="s">
        <v>9158</v>
      </c>
      <c r="N27" s="14" t="s">
        <v>9158</v>
      </c>
      <c r="O27" s="19" t="s">
        <v>10087</v>
      </c>
      <c r="P27" s="14" t="s">
        <v>3455</v>
      </c>
      <c r="Q27" s="14">
        <v>1</v>
      </c>
    </row>
    <row r="28" spans="1:18">
      <c r="A28" s="14" t="s">
        <v>5622</v>
      </c>
      <c r="B28" s="14" t="s">
        <v>330</v>
      </c>
      <c r="C28" s="14" t="s">
        <v>335</v>
      </c>
      <c r="D28" s="19" t="s">
        <v>509</v>
      </c>
      <c r="E28" s="15" t="str">
        <f>HYPERLINK("https://stat100.ameba.jp/tnk47/ratio20/illustrations/card/ill_49953_0_yushamarihime03.jpg?202103-5-RELEASE-marathon-521x", "■")</f>
        <v>■</v>
      </c>
      <c r="F28" s="14" t="s">
        <v>510</v>
      </c>
      <c r="G28" s="14">
        <v>138212</v>
      </c>
      <c r="H28" s="14">
        <v>122776</v>
      </c>
      <c r="I28" s="14">
        <v>22</v>
      </c>
      <c r="J28" s="14" t="s">
        <v>315</v>
      </c>
      <c r="K28" s="14" t="s">
        <v>511</v>
      </c>
      <c r="L28" s="14" t="s">
        <v>512</v>
      </c>
      <c r="M28" s="14" t="s">
        <v>9158</v>
      </c>
      <c r="N28" s="14" t="s">
        <v>9158</v>
      </c>
      <c r="O28" s="14" t="s">
        <v>9158</v>
      </c>
      <c r="P28" s="14" t="s">
        <v>9158</v>
      </c>
      <c r="Q28" s="14" t="s">
        <v>9158</v>
      </c>
    </row>
    <row r="29" spans="1:18">
      <c r="A29" s="14">
        <v>91383</v>
      </c>
      <c r="B29" s="14" t="s">
        <v>334</v>
      </c>
      <c r="C29" s="14" t="s">
        <v>14</v>
      </c>
      <c r="D29" s="14" t="s">
        <v>14132</v>
      </c>
      <c r="E29" s="15" t="str">
        <f>HYPERLINK("https://stat100.ameba.jp/tnk47/ratio20/illustrations/card/ill_91383_ganga03.jpg?202103-5-RELEASE-marathon-521x", "■")</f>
        <v>■</v>
      </c>
      <c r="F29" s="14" t="s">
        <v>14134</v>
      </c>
      <c r="G29" s="14">
        <v>139860</v>
      </c>
      <c r="H29" s="14">
        <v>78696</v>
      </c>
      <c r="I29" s="14">
        <v>29</v>
      </c>
      <c r="J29" s="14" t="s">
        <v>10</v>
      </c>
      <c r="K29" s="14" t="s">
        <v>14136</v>
      </c>
      <c r="L29" s="14" t="s">
        <v>12648</v>
      </c>
      <c r="M29" s="14" t="s">
        <v>9158</v>
      </c>
      <c r="N29" s="14" t="s">
        <v>9158</v>
      </c>
      <c r="O29" s="14" t="s">
        <v>9158</v>
      </c>
      <c r="P29" s="14" t="s">
        <v>9158</v>
      </c>
      <c r="Q29" s="14" t="s">
        <v>9158</v>
      </c>
    </row>
    <row r="30" spans="1:18">
      <c r="A30" s="9">
        <v>69943</v>
      </c>
      <c r="B30" s="14" t="s">
        <v>0</v>
      </c>
      <c r="C30" s="14" t="s">
        <v>165</v>
      </c>
      <c r="D30" s="14" t="s">
        <v>1886</v>
      </c>
      <c r="E30" s="15" t="str">
        <f>HYPERLINK("https://stat100.ameba.jp/tnk47/ratio20/illustrations/card/ill_69943_hanzaiopakabaro03.jpg?202103-5-RELEASE-marathon-521x", "■")</f>
        <v>■</v>
      </c>
      <c r="F30" s="14" t="s">
        <v>1887</v>
      </c>
      <c r="G30" s="14">
        <v>139860</v>
      </c>
      <c r="H30" s="14">
        <v>78696</v>
      </c>
      <c r="I30" s="14">
        <v>29</v>
      </c>
      <c r="J30" s="14" t="s">
        <v>16</v>
      </c>
      <c r="K30" s="14" t="s">
        <v>1888</v>
      </c>
      <c r="L30" s="14" t="s">
        <v>1889</v>
      </c>
      <c r="M30" s="14" t="s">
        <v>9158</v>
      </c>
      <c r="N30" s="14" t="s">
        <v>9158</v>
      </c>
      <c r="O30" s="14" t="s">
        <v>9158</v>
      </c>
      <c r="P30" s="14" t="s">
        <v>9158</v>
      </c>
      <c r="Q30" s="14" t="s">
        <v>9158</v>
      </c>
    </row>
    <row r="31" spans="1:18">
      <c r="A31" s="14">
        <v>92453</v>
      </c>
      <c r="B31" s="14" t="s">
        <v>0</v>
      </c>
      <c r="C31" s="14" t="s">
        <v>23</v>
      </c>
      <c r="D31" s="14" t="s">
        <v>15078</v>
      </c>
      <c r="E31" s="15" t="str">
        <f>HYPERLINK("https://stat100.ameba.jp/tnk47/ratio20/illustrations/card/ill_92453_kaitokaranochosenjoakaiteruko03.jpg?202103-5-RELEASE-marathon-521x", "■")</f>
        <v>■</v>
      </c>
      <c r="F31" s="14" t="s">
        <v>15077</v>
      </c>
      <c r="G31" s="14">
        <v>172397</v>
      </c>
      <c r="H31" s="14">
        <v>160296</v>
      </c>
      <c r="I31" s="14">
        <v>29</v>
      </c>
      <c r="J31" s="14" t="s">
        <v>143</v>
      </c>
      <c r="K31" s="14" t="s">
        <v>15075</v>
      </c>
      <c r="L31" s="14" t="s">
        <v>12153</v>
      </c>
      <c r="M31" s="14" t="s">
        <v>9158</v>
      </c>
      <c r="N31" s="14" t="s">
        <v>9158</v>
      </c>
      <c r="O31" s="14" t="s">
        <v>9158</v>
      </c>
      <c r="P31" s="14" t="s">
        <v>9158</v>
      </c>
      <c r="Q31" s="14" t="s">
        <v>9158</v>
      </c>
    </row>
    <row r="33" spans="1:19">
      <c r="A33" s="14" t="s">
        <v>13431</v>
      </c>
    </row>
    <row r="34" spans="1:19">
      <c r="A34" s="14">
        <v>107128</v>
      </c>
      <c r="B34" s="14" t="s">
        <v>16758</v>
      </c>
      <c r="I34" s="7"/>
    </row>
    <row r="35" spans="1:19">
      <c r="A35" s="14" t="s">
        <v>15831</v>
      </c>
      <c r="B35" s="7" t="s">
        <v>52</v>
      </c>
      <c r="C35" s="14" t="s">
        <v>202</v>
      </c>
      <c r="D35" s="18" t="s">
        <v>15825</v>
      </c>
      <c r="E35" s="15" t="str">
        <f>HYPERLINK("https://stat100.ameba.jp/tnk47/ratio20/illustrations/card/ill_94293_0_kurisumasupurezentofukudahideko03.jpg?202103-5-RELEASE-marathon-521x", "■")</f>
        <v>■</v>
      </c>
      <c r="F35" s="14" t="s">
        <v>15830</v>
      </c>
      <c r="G35" s="14">
        <v>297100</v>
      </c>
      <c r="H35" s="14">
        <v>268524</v>
      </c>
      <c r="I35" s="7">
        <v>27</v>
      </c>
      <c r="J35" s="14" t="s">
        <v>16</v>
      </c>
      <c r="K35" s="14" t="s">
        <v>15829</v>
      </c>
      <c r="L35" s="14" t="s">
        <v>15828</v>
      </c>
      <c r="M35" s="14" t="s">
        <v>9158</v>
      </c>
      <c r="N35" s="14" t="s">
        <v>9158</v>
      </c>
      <c r="O35" s="6" t="s">
        <v>15827</v>
      </c>
      <c r="P35" s="7" t="s">
        <v>15826</v>
      </c>
      <c r="Q35" s="7">
        <v>1</v>
      </c>
    </row>
    <row r="36" spans="1:19">
      <c r="A36" s="14" t="s">
        <v>14997</v>
      </c>
      <c r="B36" s="7" t="s">
        <v>52</v>
      </c>
      <c r="C36" s="14" t="s">
        <v>202</v>
      </c>
      <c r="D36" s="18" t="s">
        <v>14996</v>
      </c>
      <c r="E36" s="15" t="str">
        <f>HYPERLINK("https://stat100.ameba.jp/tnk47/ratio20/illustrations/card/ill_92403_0_haroimmochizukichiyome03.jpg?202103-5-RELEASE-marathon-521x", "■")</f>
        <v>■</v>
      </c>
      <c r="F36" s="14" t="s">
        <v>15003</v>
      </c>
      <c r="G36" s="7">
        <v>327154</v>
      </c>
      <c r="H36" s="7">
        <v>267651</v>
      </c>
      <c r="I36" s="7">
        <v>27</v>
      </c>
      <c r="J36" s="14" t="s">
        <v>16</v>
      </c>
      <c r="K36" s="14" t="s">
        <v>15001</v>
      </c>
      <c r="L36" s="14" t="s">
        <v>15000</v>
      </c>
      <c r="M36" s="14" t="s">
        <v>9158</v>
      </c>
      <c r="N36" s="14" t="s">
        <v>9158</v>
      </c>
      <c r="O36" s="6" t="s">
        <v>14998</v>
      </c>
      <c r="P36" s="7" t="s">
        <v>14999</v>
      </c>
      <c r="Q36" s="7">
        <v>1</v>
      </c>
    </row>
    <row r="37" spans="1:19">
      <c r="A37" s="7" t="s">
        <v>8839</v>
      </c>
      <c r="B37" s="7" t="s">
        <v>52</v>
      </c>
      <c r="C37" s="7" t="s">
        <v>202</v>
      </c>
      <c r="D37" s="20" t="s">
        <v>10880</v>
      </c>
      <c r="E37" s="15" t="str">
        <f>HYPERLINK("https://stat100.ameba.jp/tnk47/ratio20/illustrations/card/ill_86273_0_oshogatsuniijimayae03.jpg?202103-5-RELEASE-marathon-521x", "■")</f>
        <v>■</v>
      </c>
      <c r="F37" s="7" t="s">
        <v>8838</v>
      </c>
      <c r="G37" s="7">
        <v>296321</v>
      </c>
      <c r="H37" s="7">
        <v>327865</v>
      </c>
      <c r="I37" s="7">
        <v>27</v>
      </c>
      <c r="J37" s="14" t="s">
        <v>173</v>
      </c>
      <c r="K37" s="7" t="s">
        <v>8837</v>
      </c>
      <c r="L37" s="7" t="s">
        <v>13211</v>
      </c>
      <c r="M37" s="14" t="s">
        <v>9158</v>
      </c>
      <c r="N37" s="14" t="s">
        <v>9158</v>
      </c>
      <c r="O37" s="19" t="s">
        <v>10134</v>
      </c>
      <c r="P37" s="7" t="s">
        <v>8870</v>
      </c>
      <c r="Q37" s="7">
        <v>1</v>
      </c>
    </row>
    <row r="38" spans="1:19">
      <c r="A38" s="9" t="s">
        <v>9325</v>
      </c>
      <c r="B38" s="7" t="s">
        <v>52</v>
      </c>
      <c r="C38" s="9" t="s">
        <v>202</v>
      </c>
      <c r="D38" s="19" t="s">
        <v>10947</v>
      </c>
      <c r="E38" s="15" t="str">
        <f>HYPERLINK("https://stat100.ameba.jp/tnk47/ratio20/illustrations/card/ill_86893_0_chokonohisukeban03.jpg?202103-5-RELEASE-marathon-521x", "■")</f>
        <v>■</v>
      </c>
      <c r="F38" s="14" t="s">
        <v>9332</v>
      </c>
      <c r="G38" s="9">
        <v>351727</v>
      </c>
      <c r="H38" s="9">
        <v>317873</v>
      </c>
      <c r="I38" s="7">
        <v>27</v>
      </c>
      <c r="J38" s="9" t="s">
        <v>187</v>
      </c>
      <c r="K38" s="14" t="s">
        <v>9330</v>
      </c>
      <c r="L38" s="14" t="s">
        <v>9331</v>
      </c>
      <c r="M38" s="14" t="s">
        <v>9158</v>
      </c>
      <c r="N38" s="14" t="s">
        <v>9158</v>
      </c>
      <c r="O38" s="19" t="s">
        <v>10136</v>
      </c>
      <c r="P38" s="7" t="s">
        <v>9324</v>
      </c>
      <c r="Q38" s="7">
        <v>1</v>
      </c>
    </row>
    <row r="39" spans="1:19">
      <c r="A39" s="14" t="s">
        <v>13435</v>
      </c>
      <c r="B39" s="7" t="s">
        <v>52</v>
      </c>
      <c r="C39" s="14" t="s">
        <v>202</v>
      </c>
      <c r="D39" s="18" t="s">
        <v>13434</v>
      </c>
      <c r="E39" s="15" t="str">
        <f>HYPERLINK("https://stat100.ameba.jp/tnk47/ratio20/illustrations/card/ill_91073_0_mizugiaidorusarukanigassen03.jpg?202103-5-RELEASE-marathon-521x", "■")</f>
        <v>■</v>
      </c>
      <c r="F39" s="14" t="s">
        <v>13436</v>
      </c>
      <c r="G39" s="14">
        <v>312433</v>
      </c>
      <c r="H39" s="14">
        <v>282374</v>
      </c>
      <c r="I39" s="7">
        <v>27</v>
      </c>
      <c r="J39" s="14" t="s">
        <v>38</v>
      </c>
      <c r="K39" s="14" t="s">
        <v>13437</v>
      </c>
      <c r="L39" s="14" t="s">
        <v>13438</v>
      </c>
      <c r="M39" s="14" t="s">
        <v>9158</v>
      </c>
      <c r="N39" s="14" t="s">
        <v>9158</v>
      </c>
      <c r="O39" s="6" t="s">
        <v>13439</v>
      </c>
      <c r="P39" s="7" t="s">
        <v>13440</v>
      </c>
      <c r="Q39" s="7">
        <v>1</v>
      </c>
    </row>
    <row r="40" spans="1:19">
      <c r="A40" s="7">
        <v>73443</v>
      </c>
      <c r="B40" s="7" t="s">
        <v>0</v>
      </c>
      <c r="C40" s="7" t="s">
        <v>185</v>
      </c>
      <c r="D40" s="20" t="s">
        <v>16953</v>
      </c>
      <c r="E40" s="15" t="str">
        <f>HYPERLINK("https://stat100.ameba.jp/tnk47/ratio20/illustrations/card/ill_73443_kejonumadensetsu03.jpg?202103-5-RELEASE-marathon-521x", "■")</f>
        <v>■</v>
      </c>
      <c r="F40" s="7" t="s">
        <v>8077</v>
      </c>
      <c r="G40" s="14">
        <v>122834</v>
      </c>
      <c r="H40" s="14">
        <v>132346</v>
      </c>
      <c r="I40" s="14">
        <v>29</v>
      </c>
      <c r="J40" s="7" t="s">
        <v>155</v>
      </c>
      <c r="K40" s="7" t="s">
        <v>8076</v>
      </c>
      <c r="L40" s="7" t="s">
        <v>3696</v>
      </c>
      <c r="M40" s="14" t="s">
        <v>9158</v>
      </c>
      <c r="N40" s="14" t="s">
        <v>9158</v>
      </c>
      <c r="O40" s="14" t="s">
        <v>9158</v>
      </c>
      <c r="P40" s="14" t="s">
        <v>9158</v>
      </c>
      <c r="Q40" s="14" t="s">
        <v>9158</v>
      </c>
    </row>
    <row r="41" spans="1:19">
      <c r="A41" s="9">
        <v>69663</v>
      </c>
      <c r="B41" s="9" t="s">
        <v>334</v>
      </c>
      <c r="C41" s="9" t="s">
        <v>200</v>
      </c>
      <c r="D41" s="9" t="s">
        <v>3568</v>
      </c>
      <c r="E41" s="15" t="str">
        <f>HYPERLINK("https://stat100.ameba.jp/tnk47/ratio20/illustrations/card/ill_69663_massajiuenopandachan03.jpg?202103-5-RELEASE-marathon-521x", "■")</f>
        <v>■</v>
      </c>
      <c r="F41" s="9" t="s">
        <v>11160</v>
      </c>
      <c r="G41" s="29" t="s">
        <v>12934</v>
      </c>
      <c r="H41" s="29" t="s">
        <v>12934</v>
      </c>
      <c r="I41" s="14">
        <v>29</v>
      </c>
      <c r="J41" s="9" t="s">
        <v>229</v>
      </c>
      <c r="K41" s="9" t="s">
        <v>3570</v>
      </c>
      <c r="L41" s="9" t="s">
        <v>13186</v>
      </c>
      <c r="M41" s="14" t="s">
        <v>9158</v>
      </c>
      <c r="N41" s="14" t="s">
        <v>9158</v>
      </c>
      <c r="O41" s="14" t="s">
        <v>9158</v>
      </c>
      <c r="P41" s="14" t="s">
        <v>9158</v>
      </c>
      <c r="Q41" s="14" t="s">
        <v>9158</v>
      </c>
      <c r="R41" s="29" t="s">
        <v>16759</v>
      </c>
      <c r="S41" s="29" t="s">
        <v>17030</v>
      </c>
    </row>
    <row r="42" spans="1:19">
      <c r="A42" s="14">
        <v>83213</v>
      </c>
      <c r="B42" s="14" t="s">
        <v>0</v>
      </c>
      <c r="C42" s="14" t="s">
        <v>191</v>
      </c>
      <c r="D42" s="19" t="s">
        <v>14434</v>
      </c>
      <c r="E42" s="15" t="str">
        <f>HYPERLINK("https://stat100.ameba.jp/tnk47/ratio20/illustrations/card/ill_83213_hanabishiechizenganinabechan03.jpg?202103-5-RELEASE-marathon-521x", "■")</f>
        <v>■</v>
      </c>
      <c r="F42" s="14" t="s">
        <v>6282</v>
      </c>
      <c r="G42" s="14">
        <v>127350</v>
      </c>
      <c r="H42" s="14">
        <v>136953</v>
      </c>
      <c r="I42" s="14">
        <v>29</v>
      </c>
      <c r="J42" s="14" t="s">
        <v>104</v>
      </c>
      <c r="K42" s="14" t="s">
        <v>6285</v>
      </c>
      <c r="L42" s="14" t="s">
        <v>131</v>
      </c>
      <c r="M42" s="14" t="s">
        <v>9158</v>
      </c>
      <c r="N42" s="14" t="s">
        <v>9158</v>
      </c>
      <c r="O42" s="14" t="s">
        <v>9158</v>
      </c>
      <c r="P42" s="14" t="s">
        <v>9158</v>
      </c>
      <c r="Q42" s="14" t="s">
        <v>9158</v>
      </c>
    </row>
    <row r="43" spans="1:19">
      <c r="A43" s="14">
        <v>83743</v>
      </c>
      <c r="B43" s="14" t="s">
        <v>0</v>
      </c>
      <c r="C43" s="14" t="s">
        <v>165</v>
      </c>
      <c r="D43" s="19" t="s">
        <v>10595</v>
      </c>
      <c r="E43" s="15" t="str">
        <f>HYPERLINK("https://stat100.ameba.jp/tnk47/ratio20/illustrations/card/ill_83743_usaginosatosahohime03.jpg?202103-5-RELEASE-marathon-521x", "■")</f>
        <v>■</v>
      </c>
      <c r="F43" s="14" t="s">
        <v>6784</v>
      </c>
      <c r="G43" s="14">
        <v>109970</v>
      </c>
      <c r="H43" s="14">
        <v>118287</v>
      </c>
      <c r="I43" s="14">
        <v>29</v>
      </c>
      <c r="J43" s="14" t="s">
        <v>44</v>
      </c>
      <c r="K43" s="14" t="s">
        <v>6783</v>
      </c>
      <c r="L43" s="14" t="s">
        <v>6782</v>
      </c>
      <c r="M43" s="14" t="s">
        <v>9158</v>
      </c>
      <c r="N43" s="14" t="s">
        <v>9158</v>
      </c>
      <c r="O43" s="14" t="s">
        <v>9158</v>
      </c>
      <c r="P43" s="14" t="s">
        <v>9158</v>
      </c>
      <c r="Q43" s="14" t="s">
        <v>9158</v>
      </c>
    </row>
    <row r="44" spans="1:19">
      <c r="A44" s="14">
        <v>78763</v>
      </c>
      <c r="B44" s="14" t="s">
        <v>334</v>
      </c>
      <c r="C44" s="14" t="s">
        <v>205</v>
      </c>
      <c r="D44" s="19" t="s">
        <v>16598</v>
      </c>
      <c r="E44" s="15" t="str">
        <f>HYPERLINK("https://stat100.ameba.jp/tnk47/ratio20/illustrations/card/ill_78763_shichifukujinorochinomusha03.jpg?202103-5-RELEASE-marathon-521x", "■")</f>
        <v>■</v>
      </c>
      <c r="F44" s="14" t="s">
        <v>2854</v>
      </c>
      <c r="G44" s="14">
        <v>160296</v>
      </c>
      <c r="H44" s="14">
        <v>172397</v>
      </c>
      <c r="I44" s="14">
        <v>29</v>
      </c>
      <c r="J44" s="14" t="s">
        <v>310</v>
      </c>
      <c r="K44" s="14" t="s">
        <v>2855</v>
      </c>
      <c r="L44" s="14" t="s">
        <v>407</v>
      </c>
      <c r="M44" s="14" t="s">
        <v>9158</v>
      </c>
      <c r="N44" s="14" t="s">
        <v>9158</v>
      </c>
      <c r="O44" s="14" t="s">
        <v>9158</v>
      </c>
      <c r="P44" s="14" t="s">
        <v>9158</v>
      </c>
      <c r="Q44" s="14" t="s">
        <v>9158</v>
      </c>
    </row>
    <row r="45" spans="1:19">
      <c r="A45" s="14">
        <v>66863</v>
      </c>
      <c r="B45" s="14" t="s">
        <v>0</v>
      </c>
      <c r="C45" s="14" t="s">
        <v>107</v>
      </c>
      <c r="D45" s="19" t="s">
        <v>10373</v>
      </c>
      <c r="E45" s="15" t="str">
        <f>HYPERLINK("https://stat100.ameba.jp/tnk47/ratio20/illustrations/card/ill_66863_haikaramomijibidorozaikuchan03.jpg?202103-5-RELEASE-marathon-521x", "■")</f>
        <v>■</v>
      </c>
      <c r="F45" s="14" t="s">
        <v>5683</v>
      </c>
      <c r="G45" s="29" t="s">
        <v>12934</v>
      </c>
      <c r="H45" s="29" t="s">
        <v>12934</v>
      </c>
      <c r="I45" s="14">
        <v>29</v>
      </c>
      <c r="J45" s="14" t="s">
        <v>26</v>
      </c>
      <c r="K45" s="14" t="s">
        <v>5684</v>
      </c>
      <c r="L45" s="14" t="s">
        <v>5685</v>
      </c>
      <c r="M45" s="14" t="s">
        <v>9158</v>
      </c>
      <c r="N45" s="14" t="s">
        <v>9158</v>
      </c>
      <c r="O45" s="14" t="s">
        <v>9158</v>
      </c>
      <c r="P45" s="14" t="s">
        <v>9158</v>
      </c>
      <c r="Q45" s="14" t="s">
        <v>9158</v>
      </c>
      <c r="R45" s="26" t="s">
        <v>16760</v>
      </c>
      <c r="S45" s="29" t="s">
        <v>17031</v>
      </c>
    </row>
    <row r="47" spans="1:19">
      <c r="A47" s="14" t="s">
        <v>4065</v>
      </c>
    </row>
    <row r="48" spans="1:19">
      <c r="A48" s="14">
        <v>107139</v>
      </c>
      <c r="B48" s="14" t="s">
        <v>9959</v>
      </c>
      <c r="G48" s="7"/>
    </row>
    <row r="49" spans="1:18">
      <c r="A49" s="14" t="s">
        <v>7150</v>
      </c>
      <c r="B49" s="14" t="s">
        <v>52</v>
      </c>
      <c r="C49" s="14" t="s">
        <v>202</v>
      </c>
      <c r="D49" s="20" t="s">
        <v>10656</v>
      </c>
      <c r="E49" s="15" t="str">
        <f>HYPERLINK("https://stat100.ameba.jp/tnk47/ratio20/illustrations/card/ill_84203_0_tarottofujiwaranoshoshi03.jpg?202103-5-RELEASE-marathon-521x", "■")</f>
        <v>■</v>
      </c>
      <c r="F49" s="14" t="s">
        <v>7153</v>
      </c>
      <c r="G49" s="14">
        <v>397406</v>
      </c>
      <c r="H49" s="14">
        <v>359198</v>
      </c>
      <c r="I49" s="14">
        <v>27</v>
      </c>
      <c r="J49" s="14" t="s">
        <v>10</v>
      </c>
      <c r="K49" s="14" t="s">
        <v>7152</v>
      </c>
      <c r="L49" s="14" t="s">
        <v>7151</v>
      </c>
      <c r="M49" s="14" t="s">
        <v>9158</v>
      </c>
      <c r="N49" s="14" t="s">
        <v>9158</v>
      </c>
      <c r="O49" s="19" t="s">
        <v>10128</v>
      </c>
      <c r="P49" s="14" t="s">
        <v>7154</v>
      </c>
      <c r="Q49" s="14">
        <v>1</v>
      </c>
    </row>
    <row r="50" spans="1:18">
      <c r="A50" s="14">
        <v>81903</v>
      </c>
      <c r="B50" s="14" t="s">
        <v>334</v>
      </c>
      <c r="C50" s="14" t="s">
        <v>47</v>
      </c>
      <c r="D50" s="20" t="s">
        <v>10200</v>
      </c>
      <c r="E50" s="15" t="str">
        <f>HYPERLINK("https://stat100.ameba.jp/tnk47/ratio20/illustrations/card/ill_81903_kiryuhimeiren03.jpg?202103-5-RELEASE-marathon-521x", "■")</f>
        <v>■</v>
      </c>
      <c r="F50" s="14" t="s">
        <v>4983</v>
      </c>
      <c r="G50" s="14">
        <v>89268</v>
      </c>
      <c r="H50" s="14">
        <v>123249</v>
      </c>
      <c r="I50" s="14">
        <v>27</v>
      </c>
      <c r="J50" s="14" t="s">
        <v>77</v>
      </c>
      <c r="K50" s="14" t="s">
        <v>4985</v>
      </c>
      <c r="L50" s="14" t="s">
        <v>4986</v>
      </c>
      <c r="M50" s="14" t="s">
        <v>9158</v>
      </c>
      <c r="N50" s="14" t="s">
        <v>9158</v>
      </c>
      <c r="O50" s="19" t="s">
        <v>10112</v>
      </c>
      <c r="P50" s="14" t="s">
        <v>13150</v>
      </c>
      <c r="Q50" s="14">
        <v>1</v>
      </c>
    </row>
    <row r="51" spans="1:18">
      <c r="A51" s="14">
        <v>78143</v>
      </c>
      <c r="B51" s="14" t="s">
        <v>334</v>
      </c>
      <c r="C51" s="14" t="s">
        <v>203</v>
      </c>
      <c r="D51" s="19" t="s">
        <v>10285</v>
      </c>
      <c r="E51" s="15" t="str">
        <f>HYPERLINK("https://stat100.ameba.jp/tnk47/ratio20/illustrations/card/ill_78143_kanibarukuin03.jpg?202103-5-RELEASE-marathon-521x", "■")</f>
        <v>■</v>
      </c>
      <c r="F51" s="14" t="s">
        <v>2687</v>
      </c>
      <c r="G51" s="14">
        <v>99702</v>
      </c>
      <c r="H51" s="14">
        <v>137662</v>
      </c>
      <c r="I51" s="14">
        <v>27</v>
      </c>
      <c r="J51" s="14" t="s">
        <v>26</v>
      </c>
      <c r="K51" s="14" t="s">
        <v>2688</v>
      </c>
      <c r="L51" s="14" t="s">
        <v>2137</v>
      </c>
      <c r="M51" s="14" t="s">
        <v>9158</v>
      </c>
      <c r="N51" s="14" t="s">
        <v>9158</v>
      </c>
      <c r="O51" s="19" t="s">
        <v>10103</v>
      </c>
      <c r="P51" s="14" t="s">
        <v>3897</v>
      </c>
      <c r="Q51" s="14">
        <v>1</v>
      </c>
    </row>
    <row r="52" spans="1:18">
      <c r="A52" s="14">
        <v>63283</v>
      </c>
      <c r="B52" s="14" t="s">
        <v>334</v>
      </c>
      <c r="C52" s="14" t="s">
        <v>209</v>
      </c>
      <c r="D52" s="19" t="s">
        <v>327</v>
      </c>
      <c r="E52" s="15" t="str">
        <f>HYPERLINK("https://stat100.ameba.jp/tnk47/ratio20/illustrations/card/ill_63283_mizuyokanchan03.jpg?202103-5-RELEASE-marathon-521x", "■")</f>
        <v>■</v>
      </c>
      <c r="F52" s="14" t="s">
        <v>327</v>
      </c>
      <c r="G52" s="14">
        <v>127507</v>
      </c>
      <c r="H52" s="14">
        <v>118568</v>
      </c>
      <c r="I52" s="14">
        <v>27</v>
      </c>
      <c r="J52" s="14" t="s">
        <v>283</v>
      </c>
      <c r="K52" s="14" t="s">
        <v>328</v>
      </c>
      <c r="L52" s="14" t="s">
        <v>329</v>
      </c>
      <c r="M52" s="14" t="s">
        <v>9158</v>
      </c>
      <c r="N52" s="14" t="s">
        <v>9158</v>
      </c>
      <c r="O52" s="19" t="s">
        <v>10084</v>
      </c>
      <c r="P52" s="14" t="s">
        <v>3563</v>
      </c>
      <c r="Q52" s="14">
        <v>1</v>
      </c>
    </row>
    <row r="54" spans="1:18">
      <c r="A54" s="14" t="s">
        <v>13327</v>
      </c>
    </row>
    <row r="55" spans="1:18">
      <c r="A55" s="14">
        <v>107144</v>
      </c>
      <c r="B55" s="14" t="s">
        <v>3747</v>
      </c>
    </row>
    <row r="56" spans="1:18">
      <c r="A56" s="14">
        <v>97493</v>
      </c>
      <c r="B56" s="14" t="s">
        <v>0</v>
      </c>
      <c r="C56" s="14" t="s">
        <v>335</v>
      </c>
      <c r="D56" s="14" t="s">
        <v>16764</v>
      </c>
      <c r="E56" s="15" t="str">
        <f>HYPERLINK("https://stat100.ameba.jp/tnk47/ratio20/illustrations/card/ill_97493_saiseinoshinkansopudeto03.jpg?202103-5-RELEASE-marathon-521x", "■")</f>
        <v>■</v>
      </c>
      <c r="F56" s="14" t="s">
        <v>16763</v>
      </c>
      <c r="G56" s="14">
        <v>132737</v>
      </c>
      <c r="H56" s="14">
        <v>142768</v>
      </c>
      <c r="I56" s="14">
        <v>29</v>
      </c>
      <c r="J56" s="14" t="s">
        <v>38</v>
      </c>
      <c r="K56" s="14" t="s">
        <v>16762</v>
      </c>
      <c r="L56" s="14" t="s">
        <v>16761</v>
      </c>
      <c r="M56" s="14" t="s">
        <v>2138</v>
      </c>
      <c r="N56" s="14" t="s">
        <v>2139</v>
      </c>
      <c r="O56" s="14" t="s">
        <v>9158</v>
      </c>
      <c r="P56" s="14" t="s">
        <v>9158</v>
      </c>
      <c r="Q56" s="14" t="s">
        <v>9158</v>
      </c>
      <c r="R56" s="14" t="s">
        <v>14748</v>
      </c>
    </row>
    <row r="57" spans="1:18">
      <c r="A57" s="14">
        <v>97492</v>
      </c>
      <c r="B57" s="14" t="s">
        <v>0</v>
      </c>
      <c r="C57" s="14" t="s">
        <v>335</v>
      </c>
      <c r="D57" s="14" t="s">
        <v>16764</v>
      </c>
      <c r="E57" s="15" t="str">
        <f>HYPERLINK("https://stat100.ameba.jp/tnk47/ratio20/illustrations/card/ill_97492_saiseinoshinkansopudeto02.jpg?202103-5-RELEASE-marathon-521x", "■")</f>
        <v>■</v>
      </c>
      <c r="F57" s="14" t="s">
        <v>16763</v>
      </c>
      <c r="G57" s="14">
        <v>109938</v>
      </c>
      <c r="H57" s="14">
        <v>119345</v>
      </c>
      <c r="I57" s="14">
        <v>29</v>
      </c>
      <c r="J57" s="14" t="s">
        <v>38</v>
      </c>
      <c r="K57" s="14" t="s">
        <v>16762</v>
      </c>
      <c r="L57" s="14" t="s">
        <v>16765</v>
      </c>
      <c r="M57" s="14" t="s">
        <v>13270</v>
      </c>
      <c r="N57" s="14" t="s">
        <v>13271</v>
      </c>
      <c r="O57" s="14" t="s">
        <v>9158</v>
      </c>
      <c r="P57" s="14" t="s">
        <v>9158</v>
      </c>
      <c r="Q57" s="14" t="s">
        <v>9158</v>
      </c>
      <c r="R57" s="14" t="s">
        <v>14748</v>
      </c>
    </row>
    <row r="58" spans="1:18">
      <c r="A58" s="14">
        <v>97491</v>
      </c>
      <c r="B58" s="14" t="s">
        <v>0</v>
      </c>
      <c r="C58" s="14" t="s">
        <v>335</v>
      </c>
      <c r="D58" s="14" t="s">
        <v>16764</v>
      </c>
      <c r="E58" s="15" t="str">
        <f>HYPERLINK("https://stat100.ameba.jp/tnk47/ratio20/illustrations/card/ill_97491_saiseinoshinkansopudeto01.jpg?202103-5-RELEASE-marathon-521x", "■")</f>
        <v>■</v>
      </c>
      <c r="F58" s="14" t="s">
        <v>16763</v>
      </c>
      <c r="G58" s="14">
        <v>84825</v>
      </c>
      <c r="H58" s="14">
        <v>91118</v>
      </c>
      <c r="I58" s="14">
        <v>29</v>
      </c>
      <c r="J58" s="14" t="s">
        <v>38</v>
      </c>
      <c r="K58" s="14" t="s">
        <v>16762</v>
      </c>
      <c r="L58" s="14" t="s">
        <v>16766</v>
      </c>
      <c r="M58" s="14" t="s">
        <v>13270</v>
      </c>
      <c r="N58" s="14" t="s">
        <v>13271</v>
      </c>
      <c r="O58" s="14" t="s">
        <v>9158</v>
      </c>
      <c r="P58" s="14" t="s">
        <v>9158</v>
      </c>
      <c r="Q58" s="14" t="s">
        <v>9158</v>
      </c>
      <c r="R58" s="14" t="s">
        <v>14748</v>
      </c>
    </row>
    <row r="59" spans="1:18">
      <c r="A59" s="14">
        <v>97503</v>
      </c>
      <c r="B59" s="14" t="s">
        <v>0</v>
      </c>
      <c r="C59" s="14" t="s">
        <v>200</v>
      </c>
      <c r="D59" s="14" t="s">
        <v>16770</v>
      </c>
      <c r="E59" s="15" t="str">
        <f>HYPERLINK("https://stat100.ameba.jp/tnk47/ratio20/illustrations/card/ill_97503_kokeinodein03.jpg?202103-5-RELEASE-marathon-521x", "■")</f>
        <v>■</v>
      </c>
      <c r="F59" s="14" t="s">
        <v>16769</v>
      </c>
      <c r="G59" s="14">
        <v>142768</v>
      </c>
      <c r="H59" s="14">
        <v>132737</v>
      </c>
      <c r="I59" s="14">
        <v>29</v>
      </c>
      <c r="J59" s="14" t="s">
        <v>143</v>
      </c>
      <c r="K59" s="14" t="s">
        <v>16768</v>
      </c>
      <c r="L59" s="14" t="s">
        <v>16767</v>
      </c>
      <c r="M59" s="14" t="s">
        <v>2138</v>
      </c>
      <c r="N59" s="14" t="s">
        <v>2139</v>
      </c>
      <c r="O59" s="14" t="s">
        <v>9158</v>
      </c>
      <c r="P59" s="14" t="s">
        <v>9158</v>
      </c>
      <c r="Q59" s="14" t="s">
        <v>9158</v>
      </c>
      <c r="R59" s="14" t="s">
        <v>14748</v>
      </c>
    </row>
    <row r="60" spans="1:18">
      <c r="A60" s="14">
        <v>97513</v>
      </c>
      <c r="B60" s="14" t="s">
        <v>0</v>
      </c>
      <c r="C60" s="14" t="s">
        <v>307</v>
      </c>
      <c r="D60" s="14" t="s">
        <v>16774</v>
      </c>
      <c r="E60" s="15" t="str">
        <f>HYPERLINK("https://stat100.ameba.jp/tnk47/ratio20/illustrations/card/ill_97513_yusuteiteia03.jpg?202103-5-RELEASE-marathon-521x", "■")</f>
        <v>■</v>
      </c>
      <c r="F60" s="14" t="s">
        <v>16773</v>
      </c>
      <c r="G60" s="14">
        <v>132737</v>
      </c>
      <c r="H60" s="14">
        <v>142768</v>
      </c>
      <c r="I60" s="14">
        <v>29</v>
      </c>
      <c r="J60" s="14" t="s">
        <v>44</v>
      </c>
      <c r="K60" s="14" t="s">
        <v>16772</v>
      </c>
      <c r="L60" s="14" t="s">
        <v>16771</v>
      </c>
      <c r="M60" s="14" t="s">
        <v>2138</v>
      </c>
      <c r="N60" s="14" t="s">
        <v>2139</v>
      </c>
      <c r="O60" s="14" t="s">
        <v>9158</v>
      </c>
      <c r="P60" s="14" t="s">
        <v>9158</v>
      </c>
      <c r="Q60" s="14" t="s">
        <v>9158</v>
      </c>
      <c r="R60" s="14" t="s">
        <v>14748</v>
      </c>
    </row>
    <row r="61" spans="1:18">
      <c r="A61" s="14">
        <v>97523</v>
      </c>
      <c r="B61" s="14" t="s">
        <v>0</v>
      </c>
      <c r="C61" s="14" t="s">
        <v>165</v>
      </c>
      <c r="D61" s="14" t="s">
        <v>16778</v>
      </c>
      <c r="E61" s="15" t="str">
        <f>HYPERLINK("https://stat100.ameba.jp/tnk47/ratio20/illustrations/card/ill_97523_karyua03.jpg?202103-5-RELEASE-marathon-521x", "■")</f>
        <v>■</v>
      </c>
      <c r="F61" s="14" t="s">
        <v>16777</v>
      </c>
      <c r="G61" s="14">
        <v>132737</v>
      </c>
      <c r="H61" s="14">
        <v>142768</v>
      </c>
      <c r="I61" s="14">
        <v>29</v>
      </c>
      <c r="J61" s="14" t="s">
        <v>26</v>
      </c>
      <c r="K61" s="14" t="s">
        <v>16776</v>
      </c>
      <c r="L61" s="14" t="s">
        <v>16775</v>
      </c>
      <c r="M61" s="14" t="s">
        <v>2138</v>
      </c>
      <c r="N61" s="14" t="s">
        <v>2139</v>
      </c>
      <c r="O61" s="14" t="s">
        <v>9158</v>
      </c>
      <c r="P61" s="14" t="s">
        <v>9158</v>
      </c>
      <c r="Q61" s="14" t="s">
        <v>9158</v>
      </c>
      <c r="R61" s="14" t="s">
        <v>14748</v>
      </c>
    </row>
    <row r="62" spans="1:18">
      <c r="A62" s="14">
        <v>97533</v>
      </c>
      <c r="B62" s="14" t="s">
        <v>0</v>
      </c>
      <c r="C62" s="9" t="s">
        <v>205</v>
      </c>
      <c r="D62" s="14" t="s">
        <v>16782</v>
      </c>
      <c r="E62" s="15" t="str">
        <f>HYPERLINK("https://stat100.ameba.jp/tnk47/ratio20/illustrations/card/ill_97533_pariakaka03.jpg?202103-5-RELEASE-marathon-521x", "■")</f>
        <v>■</v>
      </c>
      <c r="F62" s="14" t="s">
        <v>16781</v>
      </c>
      <c r="G62" s="14">
        <v>132737</v>
      </c>
      <c r="H62" s="14">
        <v>142768</v>
      </c>
      <c r="I62" s="14">
        <v>29</v>
      </c>
      <c r="J62" s="14" t="s">
        <v>10</v>
      </c>
      <c r="K62" s="14" t="s">
        <v>16780</v>
      </c>
      <c r="L62" s="14" t="s">
        <v>16779</v>
      </c>
      <c r="M62" s="14" t="s">
        <v>2138</v>
      </c>
      <c r="N62" s="14" t="s">
        <v>2139</v>
      </c>
      <c r="O62" s="14" t="s">
        <v>9158</v>
      </c>
      <c r="P62" s="14" t="s">
        <v>9158</v>
      </c>
      <c r="Q62" s="14" t="s">
        <v>9158</v>
      </c>
      <c r="R62" s="14" t="s">
        <v>14748</v>
      </c>
    </row>
    <row r="63" spans="1:18">
      <c r="A63" s="14">
        <v>97543</v>
      </c>
      <c r="B63" s="14" t="s">
        <v>0</v>
      </c>
      <c r="C63" s="14" t="s">
        <v>206</v>
      </c>
      <c r="D63" s="14" t="s">
        <v>16786</v>
      </c>
      <c r="E63" s="15" t="str">
        <f>HYPERLINK("https://stat100.ameba.jp/tnk47/ratio20/illustrations/card/ill_97543_kuroimorinohekuse03.jpg?202103-5-RELEASE-marathon-521x", "■")</f>
        <v>■</v>
      </c>
      <c r="F63" s="14" t="s">
        <v>16785</v>
      </c>
      <c r="G63" s="14">
        <v>142768</v>
      </c>
      <c r="H63" s="14">
        <v>132737</v>
      </c>
      <c r="I63" s="14">
        <v>29</v>
      </c>
      <c r="J63" s="14" t="s">
        <v>16</v>
      </c>
      <c r="K63" s="14" t="s">
        <v>16784</v>
      </c>
      <c r="L63" s="14" t="s">
        <v>16783</v>
      </c>
      <c r="M63" s="14" t="s">
        <v>2138</v>
      </c>
      <c r="N63" s="14" t="s">
        <v>2139</v>
      </c>
      <c r="O63" s="14" t="s">
        <v>9158</v>
      </c>
      <c r="P63" s="14" t="s">
        <v>9158</v>
      </c>
      <c r="Q63" s="14" t="s">
        <v>9158</v>
      </c>
      <c r="R63" s="14" t="s">
        <v>14748</v>
      </c>
    </row>
    <row r="65" spans="1:17">
      <c r="A65" s="14" t="s">
        <v>16787</v>
      </c>
    </row>
    <row r="66" spans="1:17">
      <c r="A66" s="14">
        <v>237069</v>
      </c>
      <c r="B66" s="14" t="s">
        <v>3770</v>
      </c>
    </row>
    <row r="67" spans="1:17">
      <c r="A67" s="14">
        <v>237075</v>
      </c>
      <c r="B67" s="14" t="s">
        <v>10028</v>
      </c>
    </row>
    <row r="68" spans="1:17">
      <c r="A68" s="14" t="s">
        <v>16720</v>
      </c>
      <c r="B68" s="7" t="s">
        <v>52</v>
      </c>
      <c r="C68" s="14" t="s">
        <v>202</v>
      </c>
      <c r="D68" s="18" t="s">
        <v>16719</v>
      </c>
      <c r="E68" s="15" t="str">
        <f>HYPERLINK("https://stat100.ameba.jp/tnk47/ratio20/illustrations/card/ill_96373_0_ohinasamaakitakomachichan03.jpg?202103-5-RELEASE-marathon-521x", "■")</f>
        <v>■</v>
      </c>
      <c r="F68" s="14" t="s">
        <v>16718</v>
      </c>
      <c r="G68" s="14">
        <v>273388</v>
      </c>
      <c r="H68" s="14">
        <v>334134</v>
      </c>
      <c r="I68" s="7">
        <v>29</v>
      </c>
      <c r="J68" s="14" t="s">
        <v>104</v>
      </c>
      <c r="K68" s="14" t="s">
        <v>16717</v>
      </c>
      <c r="L68" s="14" t="s">
        <v>16716</v>
      </c>
      <c r="M68" s="14" t="s">
        <v>9158</v>
      </c>
      <c r="N68" s="14" t="s">
        <v>9158</v>
      </c>
      <c r="O68" s="7" t="s">
        <v>16715</v>
      </c>
      <c r="P68" s="7" t="s">
        <v>16714</v>
      </c>
      <c r="Q68" s="7">
        <v>1</v>
      </c>
    </row>
    <row r="69" spans="1:17">
      <c r="A69" s="14">
        <v>96423</v>
      </c>
      <c r="B69" s="14" t="s">
        <v>0</v>
      </c>
      <c r="C69" s="14" t="s">
        <v>23</v>
      </c>
      <c r="D69" s="14" t="s">
        <v>16791</v>
      </c>
      <c r="E69" s="15" t="str">
        <f>HYPERLINK("https://stat100.ameba.jp/tnk47/ratio20/illustrations/card/ill_96423_ohinasamaakibameido03.jpg?202103-5-RELEASE-marathon-521x", "■")</f>
        <v>■</v>
      </c>
      <c r="F69" s="14" t="s">
        <v>16790</v>
      </c>
      <c r="G69" s="14">
        <v>105281</v>
      </c>
      <c r="H69" s="14">
        <v>113277</v>
      </c>
      <c r="I69" s="14">
        <v>29</v>
      </c>
      <c r="J69" s="14" t="s">
        <v>26</v>
      </c>
      <c r="K69" s="14" t="s">
        <v>16789</v>
      </c>
      <c r="L69" s="14" t="s">
        <v>16788</v>
      </c>
      <c r="M69" s="14" t="s">
        <v>9158</v>
      </c>
      <c r="N69" s="14" t="s">
        <v>9158</v>
      </c>
      <c r="O69" s="14" t="s">
        <v>9158</v>
      </c>
      <c r="P69" s="14" t="s">
        <v>9158</v>
      </c>
      <c r="Q69" s="14" t="s">
        <v>9158</v>
      </c>
    </row>
    <row r="70" spans="1:17">
      <c r="A70" s="14">
        <v>96433</v>
      </c>
      <c r="B70" s="14" t="s">
        <v>15</v>
      </c>
      <c r="C70" s="14" t="s">
        <v>307</v>
      </c>
      <c r="D70" s="14" t="s">
        <v>16794</v>
      </c>
      <c r="E70" s="15" t="str">
        <f>HYPERLINK("https://stat100.ameba.jp/tnk47/ratio20/illustrations/card/ill_96433_momonosekkukitsunenoyomeiri03.jpg?202103-5-RELEASE-marathon-521x", "■")</f>
        <v>■</v>
      </c>
      <c r="F70" s="14" t="s">
        <v>16793</v>
      </c>
      <c r="G70" s="14">
        <v>85956</v>
      </c>
      <c r="H70" s="14">
        <v>77962</v>
      </c>
      <c r="I70" s="14">
        <v>29</v>
      </c>
      <c r="J70" s="14" t="s">
        <v>38</v>
      </c>
      <c r="K70" s="14" t="s">
        <v>16792</v>
      </c>
      <c r="L70" s="14" t="s">
        <v>3267</v>
      </c>
      <c r="M70" s="14" t="s">
        <v>9158</v>
      </c>
      <c r="N70" s="14" t="s">
        <v>9158</v>
      </c>
      <c r="O70" s="14" t="s">
        <v>9158</v>
      </c>
      <c r="P70" s="14" t="s">
        <v>9158</v>
      </c>
      <c r="Q70" s="14" t="s">
        <v>9158</v>
      </c>
    </row>
    <row r="71" spans="1:17">
      <c r="A71" s="14">
        <v>96443</v>
      </c>
      <c r="B71" s="14" t="s">
        <v>22</v>
      </c>
      <c r="C71" s="14" t="s">
        <v>206</v>
      </c>
      <c r="D71" s="14" t="s">
        <v>16797</v>
      </c>
      <c r="E71" s="15" t="str">
        <f>HYPERLINK("https://stat100.ameba.jp/tnk47/ratio20/illustrations/card/ill_96443_meidomorimasenshia03.jpg?202103-5-RELEASE-marathon-521x", "■")</f>
        <v>■</v>
      </c>
      <c r="F71" s="14" t="s">
        <v>16796</v>
      </c>
      <c r="G71" s="14">
        <v>50134</v>
      </c>
      <c r="H71" s="14">
        <v>60296</v>
      </c>
      <c r="I71" s="14">
        <v>29</v>
      </c>
      <c r="J71" s="14" t="s">
        <v>77</v>
      </c>
      <c r="K71" s="14" t="s">
        <v>16795</v>
      </c>
      <c r="L71" s="14" t="s">
        <v>2424</v>
      </c>
      <c r="M71" s="14" t="s">
        <v>9158</v>
      </c>
      <c r="N71" s="14" t="s">
        <v>9158</v>
      </c>
      <c r="O71" s="14" t="s">
        <v>9158</v>
      </c>
      <c r="P71" s="14" t="s">
        <v>9158</v>
      </c>
      <c r="Q71" s="14" t="s">
        <v>9158</v>
      </c>
    </row>
    <row r="72" spans="1:17">
      <c r="A72" s="14">
        <v>96453</v>
      </c>
      <c r="B72" s="14" t="s">
        <v>22</v>
      </c>
      <c r="C72" s="14" t="s">
        <v>14</v>
      </c>
      <c r="D72" s="14" t="s">
        <v>16800</v>
      </c>
      <c r="E72" s="15" t="str">
        <f>HYPERLINK("https://stat100.ameba.jp/tnk47/ratio20/illustrations/card/ill_96453_supukare03.jpg?202103-5-RELEASE-marathon-521x", "■")</f>
        <v>■</v>
      </c>
      <c r="F72" s="14" t="s">
        <v>16799</v>
      </c>
      <c r="G72" s="14">
        <v>60296</v>
      </c>
      <c r="H72" s="14">
        <v>50134</v>
      </c>
      <c r="I72" s="14">
        <v>29</v>
      </c>
      <c r="J72" s="14" t="s">
        <v>104</v>
      </c>
      <c r="K72" s="14" t="s">
        <v>16798</v>
      </c>
      <c r="L72" s="14" t="s">
        <v>2674</v>
      </c>
      <c r="M72" s="14" t="s">
        <v>9158</v>
      </c>
      <c r="N72" s="14" t="s">
        <v>9158</v>
      </c>
      <c r="O72" s="14" t="s">
        <v>9158</v>
      </c>
      <c r="P72" s="14" t="s">
        <v>9158</v>
      </c>
      <c r="Q72" s="14" t="s">
        <v>9158</v>
      </c>
    </row>
    <row r="74" spans="1:17">
      <c r="A74" s="14" t="s">
        <v>3844</v>
      </c>
    </row>
    <row r="75" spans="1:17">
      <c r="A75" s="14">
        <v>107171</v>
      </c>
      <c r="B75" s="14" t="s">
        <v>10018</v>
      </c>
    </row>
    <row r="76" spans="1:17">
      <c r="A76" s="14" t="s">
        <v>5724</v>
      </c>
      <c r="B76" s="14" t="s">
        <v>330</v>
      </c>
      <c r="C76" s="14" t="s">
        <v>335</v>
      </c>
      <c r="D76" s="20" t="s">
        <v>698</v>
      </c>
      <c r="E76" s="15" t="str">
        <f>HYPERLINK("https://stat100.ameba.jp/tnk47/ratio20/illustrations/card/ill_66433_0_haroinfujishirogozen03.jpg?202103-5-RELEASE-marathon-521x", "■")</f>
        <v>■</v>
      </c>
      <c r="F76" s="14" t="s">
        <v>699</v>
      </c>
      <c r="G76" s="14">
        <v>165255</v>
      </c>
      <c r="H76" s="14">
        <v>177751</v>
      </c>
      <c r="I76" s="14">
        <v>27</v>
      </c>
      <c r="J76" s="14" t="s">
        <v>315</v>
      </c>
      <c r="K76" s="14" t="s">
        <v>700</v>
      </c>
      <c r="L76" s="14" t="s">
        <v>701</v>
      </c>
      <c r="M76" s="14" t="s">
        <v>9158</v>
      </c>
      <c r="N76" s="14" t="s">
        <v>9158</v>
      </c>
      <c r="O76" s="19" t="s">
        <v>10095</v>
      </c>
      <c r="P76" s="14" t="s">
        <v>3345</v>
      </c>
      <c r="Q76" s="14">
        <v>1</v>
      </c>
    </row>
    <row r="77" spans="1:17">
      <c r="A77" s="9">
        <v>87583</v>
      </c>
      <c r="B77" s="14" t="s">
        <v>0</v>
      </c>
      <c r="C77" s="9" t="s">
        <v>165</v>
      </c>
      <c r="D77" s="6" t="s">
        <v>9981</v>
      </c>
      <c r="E77" s="15" t="str">
        <f>HYPERLINK("https://stat100.ameba.jp/tnk47/ratio20/illustrations/card/ill_87583_oendanise03.jpg?202103-5-RELEASE-marathon-521x", "■")</f>
        <v>■</v>
      </c>
      <c r="F77" s="9" t="s">
        <v>9929</v>
      </c>
      <c r="G77" s="14">
        <v>109481</v>
      </c>
      <c r="H77" s="14">
        <v>101837</v>
      </c>
      <c r="I77" s="14">
        <v>27</v>
      </c>
      <c r="J77" s="9" t="s">
        <v>159</v>
      </c>
      <c r="K77" s="9" t="s">
        <v>9934</v>
      </c>
      <c r="L77" s="9" t="s">
        <v>9927</v>
      </c>
      <c r="M77" s="14" t="s">
        <v>9158</v>
      </c>
      <c r="N77" s="14" t="s">
        <v>9158</v>
      </c>
      <c r="O77" s="6" t="s">
        <v>4373</v>
      </c>
      <c r="P77" s="14" t="s">
        <v>4374</v>
      </c>
      <c r="Q77" s="14">
        <v>1</v>
      </c>
    </row>
    <row r="78" spans="1:17">
      <c r="A78" s="14">
        <v>88323</v>
      </c>
      <c r="B78" s="14" t="s">
        <v>0</v>
      </c>
      <c r="C78" s="14" t="s">
        <v>205</v>
      </c>
      <c r="D78" s="18" t="s">
        <v>12019</v>
      </c>
      <c r="E78" s="15" t="str">
        <f>HYPERLINK("https://stat100.ameba.jp/tnk47/ratio20/illustrations/card/ill_88323_hanamibakedanuki03.jpg?202103-5-RELEASE-marathon-521x", "■")</f>
        <v>■</v>
      </c>
      <c r="F78" s="14" t="s">
        <v>12020</v>
      </c>
      <c r="G78" s="14">
        <v>104619</v>
      </c>
      <c r="H78" s="14">
        <v>112496</v>
      </c>
      <c r="I78" s="14">
        <v>27</v>
      </c>
      <c r="J78" s="14" t="s">
        <v>73</v>
      </c>
      <c r="K78" s="14" t="s">
        <v>12021</v>
      </c>
      <c r="L78" s="14" t="s">
        <v>12022</v>
      </c>
      <c r="M78" s="14" t="s">
        <v>9158</v>
      </c>
      <c r="N78" s="14" t="s">
        <v>9158</v>
      </c>
      <c r="O78" s="6" t="s">
        <v>10064</v>
      </c>
      <c r="P78" s="7" t="s">
        <v>13150</v>
      </c>
      <c r="Q78" s="7">
        <v>1</v>
      </c>
    </row>
    <row r="79" spans="1:17">
      <c r="A79" s="9">
        <v>73723</v>
      </c>
      <c r="B79" s="14" t="s">
        <v>334</v>
      </c>
      <c r="C79" s="14" t="s">
        <v>191</v>
      </c>
      <c r="D79" s="14" t="s">
        <v>3456</v>
      </c>
      <c r="E79" s="15" t="str">
        <f>HYPERLINK("https://stat100.ameba.jp/tnk47/ratio20/illustrations/card/ill_73723_umibirakitomoegozen03.jpg?202103-5-RELEASE-marathon-521x", "■")</f>
        <v>■</v>
      </c>
      <c r="F79" s="14" t="s">
        <v>3457</v>
      </c>
      <c r="G79" s="14">
        <v>160507</v>
      </c>
      <c r="H79" s="14">
        <v>149240</v>
      </c>
      <c r="I79" s="14">
        <v>27</v>
      </c>
      <c r="J79" s="14" t="s">
        <v>143</v>
      </c>
      <c r="K79" s="14" t="s">
        <v>3458</v>
      </c>
      <c r="L79" s="14" t="s">
        <v>3459</v>
      </c>
      <c r="M79" s="14" t="s">
        <v>9158</v>
      </c>
      <c r="N79" s="14" t="s">
        <v>9158</v>
      </c>
      <c r="O79" s="18" t="s">
        <v>10057</v>
      </c>
      <c r="P79" s="14" t="s">
        <v>3460</v>
      </c>
      <c r="Q79" s="14">
        <v>1</v>
      </c>
    </row>
    <row r="81" spans="1:17">
      <c r="A81" s="14" t="s">
        <v>180</v>
      </c>
      <c r="G81" s="9"/>
      <c r="H81" s="9"/>
    </row>
    <row r="82" spans="1:17">
      <c r="A82" s="14">
        <v>107174</v>
      </c>
      <c r="B82" s="14" t="s">
        <v>3794</v>
      </c>
    </row>
    <row r="83" spans="1:17">
      <c r="A83" s="14" t="s">
        <v>5605</v>
      </c>
      <c r="B83" s="14" t="s">
        <v>52</v>
      </c>
      <c r="C83" s="14" t="s">
        <v>202</v>
      </c>
      <c r="D83" s="19" t="s">
        <v>10332</v>
      </c>
      <c r="E83" s="15" t="str">
        <f>HYPERLINK("https://stat100.ameba.jp/tnk47/ratio20/illustrations/card/ill_79373_0_hommeichokotennyohime03.jpg?202103-5-RELEASE-marathon-521x", "■")</f>
        <v>■</v>
      </c>
      <c r="F83" s="14" t="s">
        <v>3495</v>
      </c>
      <c r="G83" s="14">
        <v>296766</v>
      </c>
      <c r="H83" s="14">
        <v>268230</v>
      </c>
      <c r="I83" s="14">
        <v>24</v>
      </c>
      <c r="J83" s="14" t="s">
        <v>104</v>
      </c>
      <c r="K83" s="14" t="s">
        <v>3496</v>
      </c>
      <c r="L83" s="14" t="s">
        <v>3497</v>
      </c>
      <c r="M83" s="14" t="s">
        <v>9158</v>
      </c>
      <c r="N83" s="14" t="s">
        <v>9158</v>
      </c>
      <c r="O83" s="19" t="s">
        <v>10072</v>
      </c>
      <c r="P83" s="14" t="s">
        <v>3498</v>
      </c>
      <c r="Q83" s="14">
        <v>1</v>
      </c>
    </row>
    <row r="84" spans="1:17">
      <c r="A84" s="14" t="s">
        <v>5617</v>
      </c>
      <c r="B84" s="14" t="s">
        <v>330</v>
      </c>
      <c r="C84" s="14" t="s">
        <v>308</v>
      </c>
      <c r="D84" s="19" t="s">
        <v>385</v>
      </c>
      <c r="E84" s="15" t="str">
        <f>HYPERLINK("https://stat100.ameba.jp/tnk47/ratio20/illustrations/card/ill_59673_0_oheyashutendoji03.jpg?202103-5-RELEASE-marathon-521x", "■")</f>
        <v>■</v>
      </c>
      <c r="F84" s="14" t="s">
        <v>386</v>
      </c>
      <c r="G84" s="14">
        <v>168874</v>
      </c>
      <c r="H84" s="14">
        <v>181640</v>
      </c>
      <c r="I84" s="14">
        <v>24</v>
      </c>
      <c r="J84" s="14" t="s">
        <v>320</v>
      </c>
      <c r="K84" s="14" t="s">
        <v>387</v>
      </c>
      <c r="L84" s="14" t="s">
        <v>388</v>
      </c>
      <c r="M84" s="14" t="s">
        <v>9158</v>
      </c>
      <c r="N84" s="14" t="s">
        <v>9158</v>
      </c>
      <c r="O84" s="19" t="s">
        <v>10078</v>
      </c>
      <c r="P84" s="14" t="s">
        <v>3022</v>
      </c>
      <c r="Q84" s="14">
        <v>1</v>
      </c>
    </row>
    <row r="85" spans="1:17">
      <c r="A85" s="14" t="s">
        <v>5721</v>
      </c>
      <c r="B85" s="14" t="s">
        <v>52</v>
      </c>
      <c r="C85" s="14" t="s">
        <v>1</v>
      </c>
      <c r="D85" s="19" t="s">
        <v>513</v>
      </c>
      <c r="E85" s="15" t="str">
        <f>HYPERLINK("https://stat100.ameba.jp/tnk47/ratio20/illustrations/card/ill_44283_0_izumonokuni03.jpg?202103-5-RELEASE-marathon-521x", "■")</f>
        <v>■</v>
      </c>
      <c r="F85" s="14" t="s">
        <v>1716</v>
      </c>
      <c r="G85" s="14">
        <v>140448</v>
      </c>
      <c r="H85" s="14">
        <v>131538</v>
      </c>
      <c r="I85" s="14">
        <v>24</v>
      </c>
      <c r="J85" s="14" t="s">
        <v>16</v>
      </c>
      <c r="K85" s="14" t="s">
        <v>2254</v>
      </c>
      <c r="L85" s="14" t="s">
        <v>1718</v>
      </c>
      <c r="M85" s="14" t="s">
        <v>9158</v>
      </c>
      <c r="N85" s="14" t="s">
        <v>9158</v>
      </c>
      <c r="O85" s="14" t="s">
        <v>9158</v>
      </c>
      <c r="P85" s="14" t="s">
        <v>9158</v>
      </c>
      <c r="Q85" s="14" t="s">
        <v>9158</v>
      </c>
    </row>
    <row r="86" spans="1:17">
      <c r="A86" s="14">
        <v>96423</v>
      </c>
      <c r="B86" s="14" t="s">
        <v>0</v>
      </c>
      <c r="C86" s="14" t="s">
        <v>23</v>
      </c>
      <c r="D86" s="14" t="s">
        <v>16791</v>
      </c>
      <c r="E86" s="15" t="str">
        <f>HYPERLINK("https://stat100.ameba.jp/tnk47/ratio20/illustrations/card/ill_96423_ohinasamaakibameido03.jpg?202103-5-RELEASE-marathon-521x", "■")</f>
        <v>■</v>
      </c>
      <c r="F86" s="14" t="s">
        <v>16790</v>
      </c>
      <c r="G86" s="14">
        <v>98019</v>
      </c>
      <c r="H86" s="14">
        <v>105465</v>
      </c>
      <c r="I86" s="14">
        <v>27</v>
      </c>
      <c r="J86" s="14" t="s">
        <v>26</v>
      </c>
      <c r="K86" s="14" t="s">
        <v>16789</v>
      </c>
      <c r="L86" s="14" t="s">
        <v>16788</v>
      </c>
      <c r="M86" s="14" t="s">
        <v>9158</v>
      </c>
      <c r="N86" s="14" t="s">
        <v>9158</v>
      </c>
      <c r="O86" s="14" t="s">
        <v>9158</v>
      </c>
      <c r="P86" s="14" t="s">
        <v>9158</v>
      </c>
      <c r="Q86" s="14" t="s">
        <v>9158</v>
      </c>
    </row>
    <row r="87" spans="1:17">
      <c r="A87" s="14">
        <v>96433</v>
      </c>
      <c r="B87" s="14" t="s">
        <v>15</v>
      </c>
      <c r="C87" s="14" t="s">
        <v>307</v>
      </c>
      <c r="D87" s="14" t="s">
        <v>16794</v>
      </c>
      <c r="E87" s="15" t="str">
        <f>HYPERLINK("https://stat100.ameba.jp/tnk47/ratio20/illustrations/card/ill_96433_momonosekkukitsunenoyomeiri03.jpg?202103-5-RELEASE-marathon-521x", "■")</f>
        <v>■</v>
      </c>
      <c r="F87" s="14" t="s">
        <v>16793</v>
      </c>
      <c r="G87" s="14">
        <v>80028</v>
      </c>
      <c r="H87" s="14">
        <v>72586</v>
      </c>
      <c r="I87" s="14">
        <v>27</v>
      </c>
      <c r="J87" s="14" t="s">
        <v>38</v>
      </c>
      <c r="K87" s="14" t="s">
        <v>16792</v>
      </c>
      <c r="L87" s="14" t="s">
        <v>3267</v>
      </c>
      <c r="M87" s="14" t="s">
        <v>9158</v>
      </c>
      <c r="N87" s="14" t="s">
        <v>9158</v>
      </c>
      <c r="O87" s="14" t="s">
        <v>9158</v>
      </c>
      <c r="P87" s="14" t="s">
        <v>9158</v>
      </c>
      <c r="Q87" s="14" t="s">
        <v>9158</v>
      </c>
    </row>
    <row r="88" spans="1:17">
      <c r="A88" s="14">
        <v>96443</v>
      </c>
      <c r="B88" s="14" t="s">
        <v>22</v>
      </c>
      <c r="C88" s="14" t="s">
        <v>206</v>
      </c>
      <c r="D88" s="14" t="s">
        <v>16797</v>
      </c>
      <c r="E88" s="15" t="str">
        <f>HYPERLINK("https://stat100.ameba.jp/tnk47/ratio20/illustrations/card/ill_96443_meidomorimasenshia03.jpg?202103-5-RELEASE-marathon-521x", "■")</f>
        <v>■</v>
      </c>
      <c r="F88" s="14" t="s">
        <v>16796</v>
      </c>
      <c r="G88" s="14">
        <v>46676</v>
      </c>
      <c r="H88" s="14">
        <v>56138</v>
      </c>
      <c r="I88" s="14">
        <v>27</v>
      </c>
      <c r="J88" s="14" t="s">
        <v>77</v>
      </c>
      <c r="K88" s="14" t="s">
        <v>16795</v>
      </c>
      <c r="L88" s="14" t="s">
        <v>2424</v>
      </c>
      <c r="M88" s="14" t="s">
        <v>9158</v>
      </c>
      <c r="N88" s="14" t="s">
        <v>9158</v>
      </c>
      <c r="O88" s="14" t="s">
        <v>9158</v>
      </c>
      <c r="P88" s="14" t="s">
        <v>9158</v>
      </c>
      <c r="Q88" s="14" t="s">
        <v>9158</v>
      </c>
    </row>
    <row r="89" spans="1:17">
      <c r="A89" s="14">
        <v>96453</v>
      </c>
      <c r="B89" s="14" t="s">
        <v>22</v>
      </c>
      <c r="C89" s="14" t="s">
        <v>14</v>
      </c>
      <c r="D89" s="14" t="s">
        <v>16800</v>
      </c>
      <c r="E89" s="15" t="str">
        <f>HYPERLINK("https://stat100.ameba.jp/tnk47/ratio20/illustrations/card/ill_96453_supukare03.jpg?202103-5-RELEASE-marathon-521x", "■")</f>
        <v>■</v>
      </c>
      <c r="F89" s="14" t="s">
        <v>16799</v>
      </c>
      <c r="G89" s="14">
        <v>56138</v>
      </c>
      <c r="H89" s="14">
        <v>46676</v>
      </c>
      <c r="I89" s="14">
        <v>27</v>
      </c>
      <c r="J89" s="14" t="s">
        <v>104</v>
      </c>
      <c r="K89" s="14" t="s">
        <v>16798</v>
      </c>
      <c r="L89" s="14" t="s">
        <v>2674</v>
      </c>
      <c r="M89" s="14" t="s">
        <v>9158</v>
      </c>
      <c r="N89" s="14" t="s">
        <v>9158</v>
      </c>
      <c r="O89" s="14" t="s">
        <v>9158</v>
      </c>
      <c r="P89" s="14" t="s">
        <v>9158</v>
      </c>
      <c r="Q89" s="14" t="s">
        <v>9158</v>
      </c>
    </row>
    <row r="91" spans="1:17">
      <c r="A91" s="14" t="s">
        <v>3905</v>
      </c>
    </row>
    <row r="92" spans="1:17">
      <c r="A92" s="14">
        <v>237100</v>
      </c>
      <c r="B92" s="14" t="s">
        <v>16801</v>
      </c>
    </row>
    <row r="93" spans="1:17">
      <c r="A93" s="14" t="s">
        <v>5650</v>
      </c>
      <c r="B93" s="14" t="s">
        <v>52</v>
      </c>
      <c r="C93" s="14" t="s">
        <v>23</v>
      </c>
      <c r="D93" s="14" t="s">
        <v>136</v>
      </c>
      <c r="E93" s="15" t="str">
        <f>HYPERLINK("https://stat100.ameba.jp/tnk47/ratio20/illustrations/card/ill_68033_0_kurisumasupateikandamyojin03.jpg?202103-5-RELEASE-marathon-521x", "■")</f>
        <v>■</v>
      </c>
      <c r="F93" s="14" t="s">
        <v>1871</v>
      </c>
      <c r="G93" s="14">
        <v>139878</v>
      </c>
      <c r="H93" s="14">
        <v>150466</v>
      </c>
      <c r="I93" s="14">
        <v>22</v>
      </c>
      <c r="J93" s="14" t="s">
        <v>44</v>
      </c>
      <c r="K93" s="14" t="s">
        <v>1872</v>
      </c>
      <c r="L93" s="14" t="s">
        <v>1873</v>
      </c>
      <c r="M93" s="14" t="s">
        <v>9158</v>
      </c>
      <c r="N93" s="14" t="s">
        <v>9158</v>
      </c>
      <c r="O93" s="7" t="s">
        <v>3482</v>
      </c>
      <c r="P93" s="14" t="s">
        <v>3483</v>
      </c>
      <c r="Q93" s="14">
        <v>2</v>
      </c>
    </row>
    <row r="94" spans="1:17">
      <c r="A94" s="9" t="s">
        <v>5614</v>
      </c>
      <c r="B94" s="14" t="s">
        <v>52</v>
      </c>
      <c r="C94" s="14" t="s">
        <v>205</v>
      </c>
      <c r="D94" s="14" t="s">
        <v>947</v>
      </c>
      <c r="E94" s="15" t="str">
        <f>HYPERLINK("https://stat100.ameba.jp/tnk47/ratio20/illustrations/card/ill_56223_0_onsempanikkugohime03.jpg?202103-5-RELEASE-marathon-521x", "■")</f>
        <v>■</v>
      </c>
      <c r="F94" s="14" t="s">
        <v>948</v>
      </c>
      <c r="G94" s="14">
        <v>122776</v>
      </c>
      <c r="H94" s="14">
        <v>138212</v>
      </c>
      <c r="I94" s="14">
        <v>22</v>
      </c>
      <c r="J94" s="14" t="s">
        <v>77</v>
      </c>
      <c r="K94" s="14" t="s">
        <v>949</v>
      </c>
      <c r="L94" s="14" t="s">
        <v>950</v>
      </c>
      <c r="M94" s="14" t="s">
        <v>9158</v>
      </c>
      <c r="N94" s="14" t="s">
        <v>9158</v>
      </c>
      <c r="O94" s="9" t="s">
        <v>3021</v>
      </c>
      <c r="P94" s="14" t="s">
        <v>2890</v>
      </c>
      <c r="Q94" s="14">
        <v>1</v>
      </c>
    </row>
    <row r="95" spans="1:17">
      <c r="A95" s="9" t="s">
        <v>5612</v>
      </c>
      <c r="B95" s="14" t="s">
        <v>330</v>
      </c>
      <c r="C95" s="14" t="s">
        <v>165</v>
      </c>
      <c r="D95" s="14" t="s">
        <v>789</v>
      </c>
      <c r="E95" s="15" t="str">
        <f>HYPERLINK("https://stat100.ameba.jp/tnk47/ratio20/illustrations/card/ill_49193_0_onmyoudouabenoseimei03.jpg?202103-5-RELEASE-marathon-521x", "■")</f>
        <v>■</v>
      </c>
      <c r="F95" s="14" t="s">
        <v>790</v>
      </c>
      <c r="G95" s="14">
        <v>122776</v>
      </c>
      <c r="H95" s="14">
        <v>138212</v>
      </c>
      <c r="I95" s="14">
        <v>22</v>
      </c>
      <c r="J95" s="14" t="s">
        <v>351</v>
      </c>
      <c r="K95" s="14" t="s">
        <v>791</v>
      </c>
      <c r="L95" s="14" t="s">
        <v>792</v>
      </c>
      <c r="M95" s="14" t="s">
        <v>9158</v>
      </c>
      <c r="N95" s="14" t="s">
        <v>9158</v>
      </c>
      <c r="O95" s="14" t="s">
        <v>9158</v>
      </c>
      <c r="P95" s="14" t="s">
        <v>9158</v>
      </c>
      <c r="Q95" s="14" t="s">
        <v>9158</v>
      </c>
    </row>
    <row r="96" spans="1:17">
      <c r="A96" s="14">
        <v>89403</v>
      </c>
      <c r="B96" s="14" t="s">
        <v>0</v>
      </c>
      <c r="C96" s="14" t="s">
        <v>96</v>
      </c>
      <c r="D96" s="14" t="s">
        <v>12920</v>
      </c>
      <c r="E96" s="15" t="str">
        <f>HYPERLINK("https://stat100.ameba.jp/tnk47/ratio20/illustrations/card/ill_89403_minaraimajomokuren03.jpg?202103-5-RELEASE-marathon-521x", "■")</f>
        <v>■</v>
      </c>
      <c r="F96" s="14" t="s">
        <v>12921</v>
      </c>
      <c r="G96" s="14">
        <v>95155</v>
      </c>
      <c r="H96" s="14">
        <v>169148</v>
      </c>
      <c r="I96" s="14">
        <v>29</v>
      </c>
      <c r="J96" s="14" t="s">
        <v>38</v>
      </c>
      <c r="K96" s="14" t="s">
        <v>12923</v>
      </c>
      <c r="L96" s="14" t="s">
        <v>12924</v>
      </c>
      <c r="M96" s="14" t="s">
        <v>9158</v>
      </c>
      <c r="N96" s="14" t="s">
        <v>9158</v>
      </c>
      <c r="O96" s="14" t="s">
        <v>9158</v>
      </c>
      <c r="P96" s="14" t="s">
        <v>9158</v>
      </c>
      <c r="Q96" s="14" t="s">
        <v>9158</v>
      </c>
    </row>
    <row r="97" spans="1:17">
      <c r="A97" s="9">
        <v>77613</v>
      </c>
      <c r="B97" s="14" t="s">
        <v>0</v>
      </c>
      <c r="C97" s="14" t="s">
        <v>200</v>
      </c>
      <c r="D97" s="14" t="s">
        <v>1921</v>
      </c>
      <c r="E97" s="15" t="str">
        <f>HYPERLINK("https://stat100.ameba.jp/tnk47/ratio20/illustrations/card/ill_77613_kajinotochiotomechan03.jpg?202103-5-RELEASE-marathon-521x", "■")</f>
        <v>■</v>
      </c>
      <c r="F97" s="14" t="s">
        <v>1922</v>
      </c>
      <c r="G97" s="14">
        <v>95155</v>
      </c>
      <c r="H97" s="14">
        <v>169148</v>
      </c>
      <c r="I97" s="14">
        <v>29</v>
      </c>
      <c r="J97" s="14" t="s">
        <v>104</v>
      </c>
      <c r="K97" s="14" t="s">
        <v>1923</v>
      </c>
      <c r="L97" s="14" t="s">
        <v>1924</v>
      </c>
      <c r="M97" s="14" t="s">
        <v>9158</v>
      </c>
      <c r="N97" s="14" t="s">
        <v>9158</v>
      </c>
      <c r="O97" s="14" t="s">
        <v>9158</v>
      </c>
      <c r="P97" s="14" t="s">
        <v>9158</v>
      </c>
      <c r="Q97" s="14" t="s">
        <v>9158</v>
      </c>
    </row>
    <row r="98" spans="1:17">
      <c r="A98" s="9">
        <v>80093</v>
      </c>
      <c r="B98" s="9" t="s">
        <v>0</v>
      </c>
      <c r="C98" s="9" t="s">
        <v>185</v>
      </c>
      <c r="D98" s="19" t="s">
        <v>3771</v>
      </c>
      <c r="E98" s="15" t="str">
        <f>HYPERLINK("https://stat100.ameba.jp/tnk47/ratio20/illustrations/card/ill_80093_kafunshuraijakotsumusume03.jpg?202103-5-RELEASE-marathon-521x", "■")</f>
        <v>■</v>
      </c>
      <c r="F98" s="9" t="s">
        <v>3772</v>
      </c>
      <c r="G98" s="14">
        <v>112369</v>
      </c>
      <c r="H98" s="14">
        <v>120830</v>
      </c>
      <c r="I98" s="14">
        <v>29</v>
      </c>
      <c r="J98" s="9" t="s">
        <v>182</v>
      </c>
      <c r="K98" s="9" t="s">
        <v>3773</v>
      </c>
      <c r="L98" s="9" t="s">
        <v>2007</v>
      </c>
      <c r="M98" s="14" t="s">
        <v>9158</v>
      </c>
      <c r="N98" s="14" t="s">
        <v>9158</v>
      </c>
      <c r="O98" s="14" t="s">
        <v>9158</v>
      </c>
      <c r="P98" s="14" t="s">
        <v>9158</v>
      </c>
      <c r="Q98" s="14" t="s">
        <v>9158</v>
      </c>
    </row>
    <row r="100" spans="1:17">
      <c r="A100" s="14" t="s">
        <v>3911</v>
      </c>
    </row>
    <row r="101" spans="1:17">
      <c r="A101" s="14">
        <v>107197</v>
      </c>
      <c r="B101" s="14" t="s">
        <v>16802</v>
      </c>
    </row>
    <row r="102" spans="1:17">
      <c r="A102" s="14">
        <v>107207</v>
      </c>
      <c r="B102" s="14" t="s">
        <v>15721</v>
      </c>
      <c r="G102" s="9"/>
      <c r="H102" s="9"/>
    </row>
    <row r="103" spans="1:17">
      <c r="A103" s="7" t="s">
        <v>8100</v>
      </c>
      <c r="B103" s="7" t="s">
        <v>117</v>
      </c>
      <c r="C103" s="7" t="s">
        <v>202</v>
      </c>
      <c r="D103" s="19" t="s">
        <v>10784</v>
      </c>
      <c r="E103" s="15" t="str">
        <f>HYPERLINK("https://stat100.ameba.jp/tnk47/ratio20/illustrations/card/ill_86013_0_somemonosansaishiki03.jpg?202103-5-RELEASE-marathon-521x", "■")</f>
        <v>■</v>
      </c>
      <c r="F103" s="7" t="s">
        <v>8103</v>
      </c>
      <c r="G103" s="7">
        <v>349420</v>
      </c>
      <c r="H103" s="7">
        <v>315800</v>
      </c>
      <c r="I103" s="7">
        <v>30</v>
      </c>
      <c r="J103" s="7" t="s">
        <v>187</v>
      </c>
      <c r="K103" s="7" t="s">
        <v>8102</v>
      </c>
      <c r="L103" s="7" t="s">
        <v>8101</v>
      </c>
      <c r="M103" s="14" t="s">
        <v>9158</v>
      </c>
      <c r="N103" s="14" t="s">
        <v>9158</v>
      </c>
      <c r="O103" s="19" t="s">
        <v>10132</v>
      </c>
      <c r="P103" s="14" t="s">
        <v>3277</v>
      </c>
      <c r="Q103" s="14">
        <v>1</v>
      </c>
    </row>
    <row r="104" spans="1:17">
      <c r="A104" s="14" t="s">
        <v>14268</v>
      </c>
      <c r="B104" s="14" t="s">
        <v>117</v>
      </c>
      <c r="C104" s="14" t="s">
        <v>35</v>
      </c>
      <c r="D104" s="14" t="s">
        <v>14262</v>
      </c>
      <c r="E104" s="15" t="str">
        <f>HYPERLINK("https://stat100.ameba.jp/tnk47/ratio20/illustrations/card/ill_91543_0_reihosammeizan03.jpg?202103-5-RELEASE-marathon-521x", "■")</f>
        <v>■</v>
      </c>
      <c r="F104" s="14" t="s">
        <v>14267</v>
      </c>
      <c r="G104" s="14">
        <v>358458</v>
      </c>
      <c r="H104" s="14">
        <v>323964</v>
      </c>
      <c r="I104" s="14">
        <v>30</v>
      </c>
      <c r="J104" s="14" t="s">
        <v>44</v>
      </c>
      <c r="K104" s="14" t="s">
        <v>14266</v>
      </c>
      <c r="L104" s="14" t="s">
        <v>14265</v>
      </c>
      <c r="M104" s="14" t="s">
        <v>9158</v>
      </c>
      <c r="N104" s="14" t="s">
        <v>9158</v>
      </c>
      <c r="O104" s="14" t="s">
        <v>14269</v>
      </c>
      <c r="P104" s="14" t="s">
        <v>7154</v>
      </c>
      <c r="Q104" s="14">
        <v>1</v>
      </c>
    </row>
    <row r="105" spans="1:17">
      <c r="A105" s="9" t="s">
        <v>11574</v>
      </c>
      <c r="B105" s="9" t="s">
        <v>117</v>
      </c>
      <c r="C105" s="9" t="s">
        <v>202</v>
      </c>
      <c r="D105" s="9" t="s">
        <v>11568</v>
      </c>
      <c r="E105" s="15" t="str">
        <f>HYPERLINK("https://stat100.ameba.jp/tnk47/ratio20/illustrations/card/ill_88133_0_henreisankammi03.jpg?202103-5-RELEASE-marathon-521x", "■")</f>
        <v>■</v>
      </c>
      <c r="F105" s="9" t="s">
        <v>11573</v>
      </c>
      <c r="G105" s="9">
        <v>357990</v>
      </c>
      <c r="H105" s="9">
        <v>323564</v>
      </c>
      <c r="I105" s="9">
        <v>30</v>
      </c>
      <c r="J105" s="9" t="s">
        <v>216</v>
      </c>
      <c r="K105" s="9" t="s">
        <v>11570</v>
      </c>
      <c r="L105" s="9" t="s">
        <v>13227</v>
      </c>
      <c r="M105" s="14" t="s">
        <v>9158</v>
      </c>
      <c r="N105" s="14" t="s">
        <v>9158</v>
      </c>
      <c r="O105" s="9" t="s">
        <v>11571</v>
      </c>
      <c r="P105" s="9" t="s">
        <v>11572</v>
      </c>
      <c r="Q105" s="9">
        <v>1</v>
      </c>
    </row>
    <row r="106" spans="1:17">
      <c r="A106" s="14">
        <v>80163</v>
      </c>
      <c r="B106" s="14" t="s">
        <v>334</v>
      </c>
      <c r="C106" s="14" t="s">
        <v>158</v>
      </c>
      <c r="D106" s="19" t="s">
        <v>10391</v>
      </c>
      <c r="E106" s="15" t="str">
        <f>HYPERLINK("https://stat100.ameba.jp/tnk47/ratio20/illustrations/card/ill_80163_kuronosu03.jpg?202103-5-RELEASE-marathon-521x", "■")</f>
        <v>■</v>
      </c>
      <c r="F106" s="14" t="s">
        <v>3766</v>
      </c>
      <c r="G106" s="14">
        <v>95880</v>
      </c>
      <c r="H106" s="14">
        <v>132379</v>
      </c>
      <c r="I106" s="14">
        <v>29</v>
      </c>
      <c r="J106" s="14" t="s">
        <v>44</v>
      </c>
      <c r="K106" s="14" t="s">
        <v>3767</v>
      </c>
      <c r="L106" s="14" t="s">
        <v>1209</v>
      </c>
      <c r="M106" s="14" t="s">
        <v>9158</v>
      </c>
      <c r="N106" s="14" t="s">
        <v>9158</v>
      </c>
      <c r="O106" s="19" t="s">
        <v>2752</v>
      </c>
      <c r="P106" s="14" t="s">
        <v>13123</v>
      </c>
      <c r="Q106" s="14">
        <v>1</v>
      </c>
    </row>
    <row r="107" spans="1:17">
      <c r="A107" s="14">
        <v>84663</v>
      </c>
      <c r="B107" s="14" t="s">
        <v>334</v>
      </c>
      <c r="C107" s="14" t="s">
        <v>158</v>
      </c>
      <c r="D107" s="20" t="s">
        <v>10648</v>
      </c>
      <c r="E107" s="15" t="str">
        <f>HYPERLINK("https://stat100.ameba.jp/tnk47/ratio20/illustrations/card/ill_84663_juwannonefuerufuito03.jpg?202103-5-RELEASE-marathon-521x", "■")</f>
        <v>■</v>
      </c>
      <c r="F107" s="14" t="s">
        <v>7095</v>
      </c>
      <c r="G107" s="14">
        <v>97970</v>
      </c>
      <c r="H107" s="14">
        <v>135229</v>
      </c>
      <c r="I107" s="14">
        <v>29</v>
      </c>
      <c r="J107" s="14" t="s">
        <v>182</v>
      </c>
      <c r="K107" s="14" t="s">
        <v>7094</v>
      </c>
      <c r="L107" s="14" t="s">
        <v>7093</v>
      </c>
      <c r="M107" s="14" t="s">
        <v>9158</v>
      </c>
      <c r="N107" s="14" t="s">
        <v>9158</v>
      </c>
      <c r="O107" s="19" t="s">
        <v>10091</v>
      </c>
      <c r="P107" s="14" t="s">
        <v>3670</v>
      </c>
      <c r="Q107" s="14">
        <v>1</v>
      </c>
    </row>
    <row r="108" spans="1:17">
      <c r="A108" s="14">
        <v>83093</v>
      </c>
      <c r="B108" s="14" t="s">
        <v>0</v>
      </c>
      <c r="C108" s="14" t="s">
        <v>158</v>
      </c>
      <c r="D108" s="20" t="s">
        <v>10490</v>
      </c>
      <c r="E108" s="15" t="str">
        <f>HYPERLINK("https://stat100.ameba.jp/tnk47/ratio20/illustrations/card/ill_83093_yusuraume03.jpg?202103-5-RELEASE-marathon-521x", "■")</f>
        <v>■</v>
      </c>
      <c r="F108" s="14" t="s">
        <v>6267</v>
      </c>
      <c r="G108" s="14">
        <v>153288</v>
      </c>
      <c r="H108" s="14">
        <v>111017</v>
      </c>
      <c r="I108" s="14">
        <v>29</v>
      </c>
      <c r="J108" s="14" t="s">
        <v>104</v>
      </c>
      <c r="K108" s="14" t="s">
        <v>6266</v>
      </c>
      <c r="L108" s="14" t="s">
        <v>2409</v>
      </c>
      <c r="M108" s="14" t="s">
        <v>9158</v>
      </c>
      <c r="N108" s="14" t="s">
        <v>9158</v>
      </c>
      <c r="O108" s="19" t="s">
        <v>10090</v>
      </c>
      <c r="P108" s="14" t="s">
        <v>3460</v>
      </c>
      <c r="Q108" s="14">
        <v>1</v>
      </c>
    </row>
    <row r="109" spans="1:17">
      <c r="A109" s="9">
        <v>54713</v>
      </c>
      <c r="B109" s="14" t="s">
        <v>334</v>
      </c>
      <c r="C109" s="14" t="s">
        <v>264</v>
      </c>
      <c r="D109" s="14" t="s">
        <v>4369</v>
      </c>
      <c r="E109" s="15" t="str">
        <f>HYPERLINK("https://stat100.ameba.jp/tnk47/ratio20/illustrations/card/ill_54713_okashiononokomachi03.jpg?202103-5-RELEASE-marathon-521x", "■")</f>
        <v>■</v>
      </c>
      <c r="F109" s="14" t="s">
        <v>4370</v>
      </c>
      <c r="G109" s="14">
        <v>111776</v>
      </c>
      <c r="H109" s="14">
        <v>103924</v>
      </c>
      <c r="I109" s="14">
        <v>29</v>
      </c>
      <c r="J109" s="14" t="s">
        <v>10</v>
      </c>
      <c r="K109" s="14" t="s">
        <v>4371</v>
      </c>
      <c r="L109" s="14" t="s">
        <v>4372</v>
      </c>
      <c r="M109" s="14" t="s">
        <v>9158</v>
      </c>
      <c r="N109" s="14" t="s">
        <v>9158</v>
      </c>
      <c r="O109" s="9" t="s">
        <v>4373</v>
      </c>
      <c r="P109" s="14" t="s">
        <v>4374</v>
      </c>
      <c r="Q109" s="14">
        <v>1</v>
      </c>
    </row>
    <row r="110" spans="1:17">
      <c r="A110" s="14">
        <v>75883</v>
      </c>
      <c r="B110" s="14" t="s">
        <v>334</v>
      </c>
      <c r="C110" s="14" t="s">
        <v>154</v>
      </c>
      <c r="D110" s="19" t="s">
        <v>10402</v>
      </c>
      <c r="E110" s="15" t="str">
        <f>HYPERLINK("https://stat100.ameba.jp/tnk47/ratio20/illustrations/card/ill_75883_kitajokagehiro03.jpg?202103-5-RELEASE-marathon-521x", "■")</f>
        <v>■</v>
      </c>
      <c r="F110" s="14" t="s">
        <v>2411</v>
      </c>
      <c r="G110" s="14">
        <v>139753</v>
      </c>
      <c r="H110" s="14">
        <v>192940</v>
      </c>
      <c r="I110" s="14">
        <v>29</v>
      </c>
      <c r="J110" s="14" t="s">
        <v>143</v>
      </c>
      <c r="K110" s="14" t="s">
        <v>2412</v>
      </c>
      <c r="L110" s="14" t="s">
        <v>1148</v>
      </c>
      <c r="M110" s="14" t="s">
        <v>9158</v>
      </c>
      <c r="N110" s="14" t="s">
        <v>9158</v>
      </c>
      <c r="O110" s="19" t="s">
        <v>10106</v>
      </c>
      <c r="P110" s="14" t="s">
        <v>3330</v>
      </c>
      <c r="Q110" s="14">
        <v>2</v>
      </c>
    </row>
    <row r="111" spans="1:17">
      <c r="A111" s="14">
        <v>75083</v>
      </c>
      <c r="B111" s="14" t="s">
        <v>334</v>
      </c>
      <c r="C111" s="14" t="s">
        <v>209</v>
      </c>
      <c r="D111" s="19" t="s">
        <v>10401</v>
      </c>
      <c r="E111" s="15" t="str">
        <f>HYPERLINK("https://stat100.ameba.jp/tnk47/ratio20/illustrations/card/ill_75083_sukumizuhanakosan03.jpg?202103-5-RELEASE-marathon-521x", "■")</f>
        <v>■</v>
      </c>
      <c r="F111" s="14" t="s">
        <v>1020</v>
      </c>
      <c r="G111" s="14">
        <v>135229</v>
      </c>
      <c r="H111" s="14">
        <v>97970</v>
      </c>
      <c r="I111" s="14">
        <v>29</v>
      </c>
      <c r="J111" s="14" t="s">
        <v>73</v>
      </c>
      <c r="K111" s="14" t="s">
        <v>1021</v>
      </c>
      <c r="L111" s="14" t="s">
        <v>1022</v>
      </c>
      <c r="M111" s="14" t="s">
        <v>9158</v>
      </c>
      <c r="N111" s="14" t="s">
        <v>9158</v>
      </c>
      <c r="O111" s="19" t="s">
        <v>10105</v>
      </c>
      <c r="P111" s="14" t="s">
        <v>3416</v>
      </c>
      <c r="Q111" s="14">
        <v>1</v>
      </c>
    </row>
    <row r="113" spans="1:17">
      <c r="A113" s="14" t="s">
        <v>4065</v>
      </c>
    </row>
    <row r="114" spans="1:17">
      <c r="A114" s="14">
        <v>107220</v>
      </c>
      <c r="B114" s="14" t="s">
        <v>3811</v>
      </c>
    </row>
    <row r="115" spans="1:17">
      <c r="A115" s="14" t="s">
        <v>6508</v>
      </c>
      <c r="B115" s="14" t="s">
        <v>330</v>
      </c>
      <c r="C115" s="14" t="s">
        <v>35</v>
      </c>
      <c r="D115" s="20" t="s">
        <v>10168</v>
      </c>
      <c r="E115" s="15" t="str">
        <f>HYPERLINK("https://stat100.ameba.jp/tnk47/ratio20/illustrations/card/ill_81783_0_denshagarukoteipenginchan03.jpg?202103-5-RELEASE-marathon-521x", "■")</f>
        <v>■</v>
      </c>
      <c r="F115" s="14" t="s">
        <v>4834</v>
      </c>
      <c r="G115" s="14">
        <v>313989</v>
      </c>
      <c r="H115" s="14">
        <v>283765</v>
      </c>
      <c r="I115" s="14">
        <v>27</v>
      </c>
      <c r="J115" s="14" t="s">
        <v>26</v>
      </c>
      <c r="K115" s="14" t="s">
        <v>4836</v>
      </c>
      <c r="L115" s="14" t="s">
        <v>1783</v>
      </c>
      <c r="M115" s="14" t="s">
        <v>9158</v>
      </c>
      <c r="N115" s="14" t="s">
        <v>9158</v>
      </c>
      <c r="O115" s="19" t="s">
        <v>10124</v>
      </c>
      <c r="P115" s="14" t="s">
        <v>4838</v>
      </c>
      <c r="Q115" s="14">
        <v>1</v>
      </c>
    </row>
    <row r="116" spans="1:17">
      <c r="A116" s="14">
        <v>71333</v>
      </c>
      <c r="B116" s="14" t="s">
        <v>0</v>
      </c>
      <c r="C116" s="14" t="s">
        <v>41</v>
      </c>
      <c r="D116" s="19" t="s">
        <v>10256</v>
      </c>
      <c r="E116" s="15" t="str">
        <f>HYPERLINK("https://stat100.ameba.jp/tnk47/ratio20/illustrations/card/ill_71333_fujiwaranokamatari03.jpg?202103-5-RELEASE-marathon-521x", "■")</f>
        <v>■</v>
      </c>
      <c r="F116" s="14" t="s">
        <v>58</v>
      </c>
      <c r="G116" s="14">
        <v>118001</v>
      </c>
      <c r="H116" s="14">
        <v>85483</v>
      </c>
      <c r="I116" s="14">
        <v>27</v>
      </c>
      <c r="J116" s="14" t="s">
        <v>10</v>
      </c>
      <c r="K116" s="14" t="s">
        <v>59</v>
      </c>
      <c r="L116" s="14" t="s">
        <v>60</v>
      </c>
      <c r="M116" s="14" t="s">
        <v>9158</v>
      </c>
      <c r="N116" s="14" t="s">
        <v>9158</v>
      </c>
      <c r="O116" s="19" t="s">
        <v>10098</v>
      </c>
      <c r="P116" s="14" t="s">
        <v>3491</v>
      </c>
      <c r="Q116" s="14">
        <v>1</v>
      </c>
    </row>
    <row r="117" spans="1:17">
      <c r="A117" s="9">
        <v>85363</v>
      </c>
      <c r="B117" s="9" t="s">
        <v>0</v>
      </c>
      <c r="C117" s="9" t="s">
        <v>158</v>
      </c>
      <c r="D117" s="19" t="s">
        <v>10708</v>
      </c>
      <c r="E117" s="15" t="str">
        <f>HYPERLINK("https://stat100.ameba.jp/tnk47/ratio20/illustrations/card/ill_85363_sukarunetaisa03.jpg?202103-5-RELEASE-marathon-521x", "■")</f>
        <v>■</v>
      </c>
      <c r="F117" s="9" t="s">
        <v>7506</v>
      </c>
      <c r="G117" s="9">
        <v>130113</v>
      </c>
      <c r="H117" s="9">
        <v>179634</v>
      </c>
      <c r="I117" s="9">
        <v>27</v>
      </c>
      <c r="J117" s="9" t="s">
        <v>194</v>
      </c>
      <c r="K117" s="9" t="s">
        <v>7504</v>
      </c>
      <c r="L117" s="9" t="s">
        <v>1148</v>
      </c>
      <c r="M117" s="14" t="s">
        <v>9864</v>
      </c>
      <c r="N117" s="14" t="s">
        <v>9158</v>
      </c>
      <c r="O117" s="19" t="s">
        <v>10106</v>
      </c>
      <c r="P117" s="14" t="s">
        <v>3330</v>
      </c>
      <c r="Q117" s="14">
        <v>2</v>
      </c>
    </row>
    <row r="118" spans="1:17">
      <c r="A118" s="7">
        <v>85043</v>
      </c>
      <c r="B118" s="7" t="s">
        <v>0</v>
      </c>
      <c r="C118" s="14" t="s">
        <v>209</v>
      </c>
      <c r="D118" s="19" t="s">
        <v>10752</v>
      </c>
      <c r="E118" s="15" t="str">
        <f>HYPERLINK("https://stat100.ameba.jp/tnk47/ratio20/illustrations/card/ill_85043_sutoroberireddo03.jpg?202103-5-RELEASE-marathon-521x", "■")</f>
        <v>■</v>
      </c>
      <c r="F118" s="7" t="s">
        <v>7843</v>
      </c>
      <c r="G118" s="14">
        <v>142716</v>
      </c>
      <c r="H118" s="14">
        <v>103361</v>
      </c>
      <c r="I118" s="9">
        <v>27</v>
      </c>
      <c r="J118" s="7" t="s">
        <v>104</v>
      </c>
      <c r="K118" s="7" t="s">
        <v>7841</v>
      </c>
      <c r="L118" s="7" t="s">
        <v>2409</v>
      </c>
      <c r="M118" s="14" t="s">
        <v>9158</v>
      </c>
      <c r="N118" s="14" t="s">
        <v>9158</v>
      </c>
      <c r="O118" s="19" t="s">
        <v>10102</v>
      </c>
      <c r="P118" s="14" t="s">
        <v>3672</v>
      </c>
      <c r="Q118" s="14">
        <v>1</v>
      </c>
    </row>
    <row r="119" spans="1:17">
      <c r="G119" s="7"/>
      <c r="H119" s="7"/>
      <c r="I119" s="7"/>
    </row>
    <row r="120" spans="1:17">
      <c r="A120" s="14" t="s">
        <v>3916</v>
      </c>
    </row>
    <row r="121" spans="1:17">
      <c r="A121" s="14">
        <v>107225</v>
      </c>
      <c r="B121" s="14" t="s">
        <v>3812</v>
      </c>
    </row>
    <row r="122" spans="1:17">
      <c r="A122" s="14">
        <v>76103</v>
      </c>
      <c r="B122" s="14" t="s">
        <v>334</v>
      </c>
      <c r="C122" s="14" t="s">
        <v>154</v>
      </c>
      <c r="D122" s="19" t="s">
        <v>570</v>
      </c>
      <c r="E122" s="15" t="str">
        <f>HYPERLINK("https://stat100.ameba.jp/tnk47/ratio20/illustrations/card/ill_76103_shibuaji03.jpg?202103-5-RELEASE-marathon-521x", "■")</f>
        <v>■</v>
      </c>
      <c r="F122" s="14" t="s">
        <v>1122</v>
      </c>
      <c r="G122" s="14">
        <v>125078</v>
      </c>
      <c r="H122" s="14">
        <v>116296</v>
      </c>
      <c r="I122" s="14">
        <v>29</v>
      </c>
      <c r="J122" s="14" t="s">
        <v>143</v>
      </c>
      <c r="K122" s="14" t="s">
        <v>1123</v>
      </c>
      <c r="L122" s="14" t="s">
        <v>1124</v>
      </c>
      <c r="M122" s="14" t="s">
        <v>9864</v>
      </c>
      <c r="N122" s="14" t="s">
        <v>9158</v>
      </c>
      <c r="O122" s="14" t="s">
        <v>9158</v>
      </c>
      <c r="P122" s="14" t="s">
        <v>9158</v>
      </c>
      <c r="Q122" s="14" t="s">
        <v>9158</v>
      </c>
    </row>
    <row r="123" spans="1:17">
      <c r="A123" s="14">
        <v>76113</v>
      </c>
      <c r="B123" s="14" t="s">
        <v>334</v>
      </c>
      <c r="C123" s="14" t="s">
        <v>158</v>
      </c>
      <c r="D123" s="19" t="s">
        <v>10268</v>
      </c>
      <c r="E123" s="15" t="str">
        <f>HYPERLINK("https://stat100.ameba.jp/tnk47/ratio20/illustrations/card/ill_76113_jannudaruku03.jpg?202103-5-RELEASE-marathon-521x", "■")</f>
        <v>■</v>
      </c>
      <c r="F123" s="14" t="s">
        <v>1126</v>
      </c>
      <c r="G123" s="14">
        <v>125078</v>
      </c>
      <c r="H123" s="14">
        <v>116296</v>
      </c>
      <c r="I123" s="14">
        <v>29</v>
      </c>
      <c r="J123" s="14" t="s">
        <v>10</v>
      </c>
      <c r="K123" s="14" t="s">
        <v>1127</v>
      </c>
      <c r="L123" s="14" t="s">
        <v>1128</v>
      </c>
      <c r="M123" s="14" t="s">
        <v>9158</v>
      </c>
      <c r="N123" s="14" t="s">
        <v>9158</v>
      </c>
      <c r="O123" s="14" t="s">
        <v>9158</v>
      </c>
      <c r="P123" s="14" t="s">
        <v>9158</v>
      </c>
      <c r="Q123" s="14" t="s">
        <v>9158</v>
      </c>
    </row>
    <row r="124" spans="1:17">
      <c r="A124" s="14">
        <v>63323</v>
      </c>
      <c r="B124" s="14" t="s">
        <v>0</v>
      </c>
      <c r="C124" s="14" t="s">
        <v>200</v>
      </c>
      <c r="D124" s="19" t="s">
        <v>10269</v>
      </c>
      <c r="E124" s="15" t="str">
        <f>HYPERLINK("https://stat100.ameba.jp/tnk47/ratio20/illustrations/card/ill_63323_ajisaikushinadahime03.jpg?202103-5-RELEASE-marathon-521x", "■")</f>
        <v>■</v>
      </c>
      <c r="F124" s="14" t="s">
        <v>3583</v>
      </c>
      <c r="G124" s="14">
        <v>109970</v>
      </c>
      <c r="H124" s="14">
        <v>118287</v>
      </c>
      <c r="I124" s="14">
        <v>29</v>
      </c>
      <c r="J124" s="14" t="s">
        <v>44</v>
      </c>
      <c r="K124" s="14" t="s">
        <v>3584</v>
      </c>
      <c r="L124" s="14" t="s">
        <v>2400</v>
      </c>
      <c r="M124" s="14" t="s">
        <v>9158</v>
      </c>
      <c r="N124" s="14" t="s">
        <v>9158</v>
      </c>
      <c r="O124" s="14" t="s">
        <v>9158</v>
      </c>
      <c r="P124" s="14" t="s">
        <v>9158</v>
      </c>
      <c r="Q124" s="14" t="s">
        <v>9158</v>
      </c>
    </row>
    <row r="125" spans="1:17">
      <c r="A125" s="14">
        <v>59863</v>
      </c>
      <c r="B125" s="14" t="s">
        <v>334</v>
      </c>
      <c r="C125" s="14" t="s">
        <v>165</v>
      </c>
      <c r="D125" s="19" t="s">
        <v>318</v>
      </c>
      <c r="E125" s="15" t="str">
        <f>HYPERLINK("https://stat100.ameba.jp/tnk47/ratio20/illustrations/card/ill_59863_yoseiichimokuren03.jpg?202103-5-RELEASE-marathon-521x", "■")</f>
        <v>■</v>
      </c>
      <c r="F125" s="14" t="s">
        <v>319</v>
      </c>
      <c r="G125" s="14">
        <v>120830</v>
      </c>
      <c r="H125" s="14">
        <v>112369</v>
      </c>
      <c r="I125" s="14">
        <v>29</v>
      </c>
      <c r="J125" s="14" t="s">
        <v>320</v>
      </c>
      <c r="K125" s="14" t="s">
        <v>321</v>
      </c>
      <c r="L125" s="14" t="s">
        <v>322</v>
      </c>
      <c r="M125" s="14" t="s">
        <v>9158</v>
      </c>
      <c r="N125" s="14" t="s">
        <v>9158</v>
      </c>
      <c r="O125" s="14" t="s">
        <v>9158</v>
      </c>
      <c r="P125" s="14" t="s">
        <v>9158</v>
      </c>
      <c r="Q125" s="14" t="s">
        <v>9158</v>
      </c>
    </row>
    <row r="126" spans="1:17">
      <c r="A126" s="14">
        <v>51823</v>
      </c>
      <c r="B126" s="14" t="s">
        <v>15</v>
      </c>
      <c r="C126" s="14" t="s">
        <v>101</v>
      </c>
      <c r="D126" s="19" t="s">
        <v>10587</v>
      </c>
      <c r="E126" s="15" t="str">
        <f>HYPERLINK("https://stat100.ameba.jp/tnk47/ratio20/illustrations/card/ill_51823_jukimatsu03.jpg?202103-5-RELEASE-marathon-521x", "■")</f>
        <v>■</v>
      </c>
      <c r="F126" s="14" t="s">
        <v>6742</v>
      </c>
      <c r="G126" s="14">
        <v>64520</v>
      </c>
      <c r="H126" s="14">
        <v>71136</v>
      </c>
      <c r="I126" s="14">
        <v>24</v>
      </c>
      <c r="J126" s="14" t="s">
        <v>77</v>
      </c>
      <c r="K126" s="14" t="s">
        <v>6743</v>
      </c>
      <c r="L126" s="14" t="s">
        <v>6744</v>
      </c>
      <c r="M126" s="14" t="s">
        <v>9158</v>
      </c>
      <c r="N126" s="14" t="s">
        <v>9158</v>
      </c>
      <c r="O126" s="14" t="s">
        <v>9158</v>
      </c>
      <c r="P126" s="14" t="s">
        <v>9158</v>
      </c>
      <c r="Q126" s="14" t="s">
        <v>9158</v>
      </c>
    </row>
    <row r="127" spans="1:17">
      <c r="A127" s="14">
        <v>51773</v>
      </c>
      <c r="B127" s="14" t="s">
        <v>15</v>
      </c>
      <c r="C127" s="14" t="s">
        <v>205</v>
      </c>
      <c r="D127" s="19" t="s">
        <v>10588</v>
      </c>
      <c r="E127" s="15" t="str">
        <f>HYPERLINK("https://stat100.ameba.jp/tnk47/ratio20/illustrations/card/ill_51773_kawaasobikanekomisuzu03.jpg?202103-5-RELEASE-marathon-521x", "■")</f>
        <v>■</v>
      </c>
      <c r="F127" s="14" t="s">
        <v>6747</v>
      </c>
      <c r="G127" s="14">
        <v>71136</v>
      </c>
      <c r="H127" s="14">
        <v>64520</v>
      </c>
      <c r="I127" s="14">
        <v>24</v>
      </c>
      <c r="J127" s="14" t="s">
        <v>10</v>
      </c>
      <c r="K127" s="14" t="s">
        <v>6746</v>
      </c>
      <c r="L127" s="14" t="s">
        <v>6745</v>
      </c>
      <c r="M127" s="14" t="s">
        <v>9158</v>
      </c>
      <c r="N127" s="14" t="s">
        <v>9158</v>
      </c>
      <c r="O127" s="14" t="s">
        <v>9158</v>
      </c>
      <c r="P127" s="14" t="s">
        <v>9158</v>
      </c>
      <c r="Q127" s="14" t="s">
        <v>9158</v>
      </c>
    </row>
    <row r="128" spans="1:17">
      <c r="A128" s="14">
        <v>51733</v>
      </c>
      <c r="B128" s="14" t="s">
        <v>15</v>
      </c>
      <c r="C128" s="14" t="s">
        <v>185</v>
      </c>
      <c r="D128" s="19" t="s">
        <v>10589</v>
      </c>
      <c r="E128" s="15" t="str">
        <f>HYPERLINK("https://stat100.ameba.jp/tnk47/ratio20/illustrations/card/ill_51733_ekusoshisutopoiyampe03.jpg?202103-5-RELEASE-marathon-521x", "■")</f>
        <v>■</v>
      </c>
      <c r="F128" s="14" t="s">
        <v>6750</v>
      </c>
      <c r="G128" s="14">
        <v>64520</v>
      </c>
      <c r="H128" s="14">
        <v>71136</v>
      </c>
      <c r="I128" s="14">
        <v>24</v>
      </c>
      <c r="J128" s="14" t="s">
        <v>274</v>
      </c>
      <c r="K128" s="14" t="s">
        <v>6749</v>
      </c>
      <c r="L128" s="14" t="s">
        <v>6748</v>
      </c>
      <c r="M128" s="14" t="s">
        <v>9158</v>
      </c>
      <c r="N128" s="14" t="s">
        <v>9158</v>
      </c>
      <c r="O128" s="14" t="s">
        <v>9158</v>
      </c>
      <c r="P128" s="14" t="s">
        <v>9158</v>
      </c>
      <c r="Q128" s="14" t="s">
        <v>9158</v>
      </c>
    </row>
    <row r="129" spans="1:17">
      <c r="A129" s="14">
        <v>55743</v>
      </c>
      <c r="B129" s="14" t="s">
        <v>15</v>
      </c>
      <c r="C129" s="14" t="s">
        <v>96</v>
      </c>
      <c r="D129" s="19" t="s">
        <v>10590</v>
      </c>
      <c r="E129" s="15" t="str">
        <f>HYPERLINK("https://stat100.ameba.jp/tnk47/ratio20/illustrations/card/ill_55743_nankoume03.jpg?202103-5-RELEASE-marathon-521x", "■")</f>
        <v>■</v>
      </c>
      <c r="F129" s="14" t="s">
        <v>4308</v>
      </c>
      <c r="G129" s="14">
        <v>64520</v>
      </c>
      <c r="H129" s="14">
        <v>71136</v>
      </c>
      <c r="I129" s="14">
        <v>24</v>
      </c>
      <c r="J129" s="14" t="s">
        <v>216</v>
      </c>
      <c r="K129" s="14" t="s">
        <v>4310</v>
      </c>
      <c r="L129" s="14" t="s">
        <v>4311</v>
      </c>
      <c r="M129" s="14" t="s">
        <v>9158</v>
      </c>
      <c r="N129" s="14" t="s">
        <v>9158</v>
      </c>
      <c r="O129" s="14" t="s">
        <v>9158</v>
      </c>
      <c r="P129" s="14" t="s">
        <v>9158</v>
      </c>
      <c r="Q129" s="14" t="s">
        <v>9158</v>
      </c>
    </row>
    <row r="131" spans="1:17">
      <c r="A131" s="14" t="s">
        <v>12630</v>
      </c>
    </row>
    <row r="132" spans="1:17">
      <c r="A132" s="14">
        <v>237125</v>
      </c>
      <c r="B132" s="14" t="s">
        <v>16819</v>
      </c>
    </row>
    <row r="133" spans="1:17">
      <c r="A133" s="14">
        <v>237135</v>
      </c>
      <c r="B133" s="14" t="s">
        <v>15725</v>
      </c>
    </row>
    <row r="134" spans="1:17">
      <c r="A134" s="9" t="s">
        <v>12742</v>
      </c>
    </row>
    <row r="135" spans="1:17">
      <c r="A135" s="14" t="s">
        <v>12532</v>
      </c>
      <c r="B135" s="7" t="s">
        <v>52</v>
      </c>
      <c r="C135" s="14" t="s">
        <v>202</v>
      </c>
      <c r="D135" s="18" t="s">
        <v>12528</v>
      </c>
      <c r="E135" s="15" t="str">
        <f>HYPERLINK("https://stat100.ameba.jp/tnk47/ratio20/illustrations/card/ill_89073_0_efuwanresuyokohamaserachan03.jpg?202103-5-RELEASE-marathon-521x", "■")</f>
        <v>■</v>
      </c>
      <c r="F135" s="14" t="s">
        <v>12529</v>
      </c>
      <c r="G135" s="14">
        <v>307998</v>
      </c>
      <c r="H135" s="14">
        <v>340784</v>
      </c>
      <c r="I135" s="7">
        <v>28</v>
      </c>
      <c r="J135" s="14" t="s">
        <v>229</v>
      </c>
      <c r="K135" s="14" t="s">
        <v>12530</v>
      </c>
      <c r="L135" s="14" t="s">
        <v>12531</v>
      </c>
      <c r="M135" s="14" t="s">
        <v>9158</v>
      </c>
      <c r="N135" s="14" t="s">
        <v>9158</v>
      </c>
      <c r="O135" s="6" t="s">
        <v>12533</v>
      </c>
      <c r="P135" s="7" t="s">
        <v>12534</v>
      </c>
      <c r="Q135" s="7">
        <v>1</v>
      </c>
    </row>
    <row r="136" spans="1:17">
      <c r="A136" s="14" t="s">
        <v>12012</v>
      </c>
      <c r="B136" s="7" t="s">
        <v>52</v>
      </c>
      <c r="C136" s="14" t="s">
        <v>202</v>
      </c>
      <c r="D136" s="18" t="s">
        <v>12013</v>
      </c>
      <c r="E136" s="15" t="str">
        <f>HYPERLINK("https://stat100.ameba.jp/tnk47/ratio20/illustrations/card/ill_88363_0_hanamijingukogo03.jpg?202103-5-RELEASE-marathon-521x", "■")</f>
        <v>■</v>
      </c>
      <c r="F136" s="14" t="s">
        <v>12014</v>
      </c>
      <c r="G136" s="14">
        <v>340784</v>
      </c>
      <c r="H136" s="14">
        <v>307998</v>
      </c>
      <c r="I136" s="7">
        <v>28</v>
      </c>
      <c r="J136" s="14" t="s">
        <v>10</v>
      </c>
      <c r="K136" s="14" t="s">
        <v>12015</v>
      </c>
      <c r="L136" s="14" t="s">
        <v>12016</v>
      </c>
      <c r="M136" s="14" t="s">
        <v>9158</v>
      </c>
      <c r="N136" s="14" t="s">
        <v>9158</v>
      </c>
      <c r="O136" s="6" t="s">
        <v>12017</v>
      </c>
      <c r="P136" s="7" t="s">
        <v>12018</v>
      </c>
      <c r="Q136" s="7">
        <v>1</v>
      </c>
    </row>
    <row r="137" spans="1:17">
      <c r="A137" s="7" t="s">
        <v>8437</v>
      </c>
      <c r="B137" s="7" t="s">
        <v>52</v>
      </c>
      <c r="C137" s="7" t="s">
        <v>202</v>
      </c>
      <c r="D137" s="20" t="s">
        <v>10806</v>
      </c>
      <c r="E137" s="15" t="str">
        <f>HYPERLINK("https://stat100.ameba.jp/tnk47/ratio20/illustrations/card/ill_85523_0_seitankuronikurukusumotoine03.jpg?202103-5-RELEASE-marathon-521x", "■")</f>
        <v>■</v>
      </c>
      <c r="F137" s="7" t="s">
        <v>8440</v>
      </c>
      <c r="G137" s="7">
        <v>339204</v>
      </c>
      <c r="H137" s="7">
        <v>306590</v>
      </c>
      <c r="I137" s="7">
        <v>28</v>
      </c>
      <c r="J137" s="14" t="s">
        <v>77</v>
      </c>
      <c r="K137" s="7" t="s">
        <v>8446</v>
      </c>
      <c r="L137" s="7" t="s">
        <v>8439</v>
      </c>
      <c r="M137" s="14" t="s">
        <v>9158</v>
      </c>
      <c r="N137" s="14" t="s">
        <v>9158</v>
      </c>
      <c r="O137" s="19" t="s">
        <v>10133</v>
      </c>
      <c r="P137" s="7" t="s">
        <v>8441</v>
      </c>
      <c r="Q137" s="7">
        <v>1</v>
      </c>
    </row>
    <row r="138" spans="1:17">
      <c r="A138" s="14">
        <v>79643</v>
      </c>
      <c r="B138" s="14" t="s">
        <v>334</v>
      </c>
      <c r="C138" s="14" t="s">
        <v>185</v>
      </c>
      <c r="D138" s="19" t="s">
        <v>10622</v>
      </c>
      <c r="E138" s="15" t="str">
        <f>HYPERLINK("https://stat100.ameba.jp/tnk47/ratio20/illustrations/card/ill_79643_hibikiwataruneirosonobehideo03.jpg?202103-5-RELEASE-marathon-521x", "■")</f>
        <v>■</v>
      </c>
      <c r="F138" s="14" t="s">
        <v>3603</v>
      </c>
      <c r="G138" s="14">
        <v>105281</v>
      </c>
      <c r="H138" s="14">
        <v>113277</v>
      </c>
      <c r="I138" s="14">
        <v>29</v>
      </c>
      <c r="J138" s="14" t="s">
        <v>173</v>
      </c>
      <c r="K138" s="14" t="s">
        <v>3604</v>
      </c>
      <c r="L138" s="14" t="s">
        <v>2057</v>
      </c>
      <c r="M138" s="14" t="s">
        <v>9158</v>
      </c>
      <c r="N138" s="14" t="s">
        <v>9158</v>
      </c>
      <c r="O138" s="14" t="s">
        <v>9158</v>
      </c>
      <c r="P138" s="14" t="s">
        <v>9158</v>
      </c>
      <c r="Q138" s="14" t="s">
        <v>9158</v>
      </c>
    </row>
    <row r="139" spans="1:17">
      <c r="A139" s="14">
        <v>81833</v>
      </c>
      <c r="B139" s="14" t="s">
        <v>0</v>
      </c>
      <c r="C139" s="14" t="s">
        <v>200</v>
      </c>
      <c r="D139" s="19" t="s">
        <v>10191</v>
      </c>
      <c r="E139" s="15" t="str">
        <f>HYPERLINK("https://stat100.ameba.jp/tnk47/ratio20/illustrations/card/ill_81833_amehimenogyakushuhojotsunataka03.jpg?202103-5-RELEASE-marathon-521x", "■")</f>
        <v>■</v>
      </c>
      <c r="F139" s="14" t="s">
        <v>4941</v>
      </c>
      <c r="G139" s="14">
        <v>172397</v>
      </c>
      <c r="H139" s="14">
        <v>160296</v>
      </c>
      <c r="I139" s="14">
        <v>29</v>
      </c>
      <c r="J139" s="14" t="s">
        <v>143</v>
      </c>
      <c r="K139" s="14" t="s">
        <v>4943</v>
      </c>
      <c r="L139" s="14" t="s">
        <v>3459</v>
      </c>
      <c r="M139" s="14" t="s">
        <v>9158</v>
      </c>
      <c r="N139" s="14" t="s">
        <v>9158</v>
      </c>
      <c r="O139" s="14" t="s">
        <v>9158</v>
      </c>
      <c r="P139" s="14" t="s">
        <v>9158</v>
      </c>
      <c r="Q139" s="14" t="s">
        <v>9158</v>
      </c>
    </row>
    <row r="140" spans="1:17">
      <c r="A140" s="14">
        <v>89123</v>
      </c>
      <c r="B140" s="14" t="s">
        <v>334</v>
      </c>
      <c r="C140" s="14" t="s">
        <v>101</v>
      </c>
      <c r="D140" s="14" t="s">
        <v>12591</v>
      </c>
      <c r="E140" s="15" t="str">
        <f>HYPERLINK("https://stat100.ameba.jp/tnk47/ratio20/illustrations/card/ill_89123_uchusensoyasharyujin03.jpg?202103-5-RELEASE-marathon-521x", "■")</f>
        <v>■</v>
      </c>
      <c r="F140" s="14" t="s">
        <v>12596</v>
      </c>
      <c r="G140" s="14">
        <v>105281</v>
      </c>
      <c r="H140" s="14">
        <v>113277</v>
      </c>
      <c r="I140" s="14">
        <v>29</v>
      </c>
      <c r="J140" s="14" t="s">
        <v>44</v>
      </c>
      <c r="K140" s="14" t="s">
        <v>12598</v>
      </c>
      <c r="L140" s="14" t="s">
        <v>12599</v>
      </c>
      <c r="M140" s="14" t="s">
        <v>9158</v>
      </c>
      <c r="N140" s="14" t="s">
        <v>9158</v>
      </c>
      <c r="O140" s="14" t="s">
        <v>9158</v>
      </c>
      <c r="P140" s="14" t="s">
        <v>9158</v>
      </c>
      <c r="Q140" s="14" t="s">
        <v>9158</v>
      </c>
    </row>
    <row r="141" spans="1:17">
      <c r="A141" s="9">
        <v>87833</v>
      </c>
      <c r="B141" s="9" t="s">
        <v>0</v>
      </c>
      <c r="C141" s="9" t="s">
        <v>165</v>
      </c>
      <c r="D141" s="9" t="s">
        <v>11592</v>
      </c>
      <c r="E141" s="15" t="str">
        <f>HYPERLINK("https://stat100.ameba.jp/tnk47/ratio20/illustrations/card/ill_87833_howaitodepateishieru03.jpg?202103-5-RELEASE-marathon-521x", "■")</f>
        <v>■</v>
      </c>
      <c r="F141" s="9" t="s">
        <v>11593</v>
      </c>
      <c r="G141" s="14">
        <v>172397</v>
      </c>
      <c r="H141" s="14">
        <v>160296</v>
      </c>
      <c r="I141" s="14">
        <v>29</v>
      </c>
      <c r="J141" s="9" t="s">
        <v>216</v>
      </c>
      <c r="K141" s="9" t="s">
        <v>11594</v>
      </c>
      <c r="L141" s="9" t="s">
        <v>13230</v>
      </c>
      <c r="M141" s="14" t="s">
        <v>9158</v>
      </c>
      <c r="N141" s="14" t="s">
        <v>9158</v>
      </c>
      <c r="O141" s="14" t="s">
        <v>9158</v>
      </c>
      <c r="P141" s="14" t="s">
        <v>9158</v>
      </c>
      <c r="Q141" s="14" t="s">
        <v>9158</v>
      </c>
    </row>
    <row r="142" spans="1:17">
      <c r="A142" s="14">
        <v>89243</v>
      </c>
      <c r="B142" s="14" t="s">
        <v>0</v>
      </c>
      <c r="C142" s="14" t="s">
        <v>1</v>
      </c>
      <c r="D142" s="14" t="s">
        <v>12643</v>
      </c>
      <c r="E142" s="15" t="str">
        <f>HYPERLINK("https://stat100.ameba.jp/tnk47/ratio20/illustrations/card/ill_89243_kajinoinona03.jpg?202103-5-RELEASE-marathon-521x", "■")</f>
        <v>■</v>
      </c>
      <c r="F142" s="14" t="s">
        <v>12647</v>
      </c>
      <c r="G142" s="14">
        <v>113277</v>
      </c>
      <c r="H142" s="14">
        <v>105281</v>
      </c>
      <c r="I142" s="14">
        <v>29</v>
      </c>
      <c r="J142" s="14" t="s">
        <v>10</v>
      </c>
      <c r="K142" s="14" t="s">
        <v>12649</v>
      </c>
      <c r="L142" s="14" t="s">
        <v>12648</v>
      </c>
      <c r="M142" s="14" t="s">
        <v>9158</v>
      </c>
      <c r="N142" s="14" t="s">
        <v>9158</v>
      </c>
      <c r="O142" s="14" t="s">
        <v>9158</v>
      </c>
      <c r="P142" s="14" t="s">
        <v>9158</v>
      </c>
      <c r="Q142" s="14" t="s">
        <v>9158</v>
      </c>
    </row>
    <row r="143" spans="1:17">
      <c r="A143" s="14">
        <v>88793</v>
      </c>
      <c r="B143" s="14" t="s">
        <v>0</v>
      </c>
      <c r="C143" s="14" t="s">
        <v>107</v>
      </c>
      <c r="D143" s="14" t="s">
        <v>12404</v>
      </c>
      <c r="E143" s="15" t="str">
        <f>HYPERLINK("https://stat100.ameba.jp/tnk47/ratio20/illustrations/card/ill_88793_ichigogariyakushimachan03.jpg?202103-5-RELEASE-marathon-521x", "■")</f>
        <v>■</v>
      </c>
      <c r="F143" s="14" t="s">
        <v>12412</v>
      </c>
      <c r="G143" s="14">
        <v>122834</v>
      </c>
      <c r="H143" s="14">
        <v>132112</v>
      </c>
      <c r="I143" s="14">
        <v>29</v>
      </c>
      <c r="J143" s="14" t="s">
        <v>26</v>
      </c>
      <c r="K143" s="14" t="s">
        <v>12411</v>
      </c>
      <c r="L143" s="14" t="s">
        <v>2489</v>
      </c>
      <c r="M143" s="14" t="s">
        <v>9158</v>
      </c>
      <c r="N143" s="14" t="s">
        <v>9158</v>
      </c>
      <c r="O143" s="14" t="s">
        <v>9158</v>
      </c>
      <c r="P143" s="14" t="s">
        <v>9158</v>
      </c>
      <c r="Q143" s="14" t="s">
        <v>9158</v>
      </c>
    </row>
    <row r="145" spans="1:18">
      <c r="A145" s="14" t="s">
        <v>13327</v>
      </c>
    </row>
    <row r="146" spans="1:18">
      <c r="A146" s="14">
        <v>107238</v>
      </c>
      <c r="B146" s="14" t="s">
        <v>11494</v>
      </c>
    </row>
    <row r="147" spans="1:18">
      <c r="A147" s="14">
        <v>94773</v>
      </c>
      <c r="B147" s="14" t="s">
        <v>0</v>
      </c>
      <c r="C147" s="14" t="s">
        <v>335</v>
      </c>
      <c r="D147" s="14" t="s">
        <v>15781</v>
      </c>
      <c r="E147" s="15" t="str">
        <f>HYPERLINK("https://stat100.ameba.jp/tnk47/ratio20/illustrations/card/ill_94773_baiorinisutosuru03.jpg?202103-5-RELEASE-marathon-521x", "■")</f>
        <v>■</v>
      </c>
      <c r="F147" s="14" t="s">
        <v>15780</v>
      </c>
      <c r="G147" s="14">
        <v>132737</v>
      </c>
      <c r="H147" s="14">
        <v>142768</v>
      </c>
      <c r="I147" s="14">
        <v>29</v>
      </c>
      <c r="J147" s="14" t="s">
        <v>16</v>
      </c>
      <c r="K147" s="14" t="s">
        <v>15779</v>
      </c>
      <c r="L147" s="14" t="s">
        <v>15778</v>
      </c>
      <c r="M147" s="14" t="s">
        <v>2138</v>
      </c>
      <c r="N147" s="14" t="s">
        <v>2139</v>
      </c>
      <c r="O147" s="14" t="s">
        <v>9158</v>
      </c>
      <c r="P147" s="14" t="s">
        <v>9158</v>
      </c>
      <c r="Q147" s="14" t="s">
        <v>9158</v>
      </c>
      <c r="R147" s="14" t="s">
        <v>14748</v>
      </c>
    </row>
    <row r="148" spans="1:18">
      <c r="A148" s="14">
        <v>94772</v>
      </c>
      <c r="B148" s="14" t="s">
        <v>0</v>
      </c>
      <c r="C148" s="14" t="s">
        <v>335</v>
      </c>
      <c r="D148" s="14" t="s">
        <v>15781</v>
      </c>
      <c r="E148" s="15" t="str">
        <f>HYPERLINK("https://stat100.ameba.jp/tnk47/ratio20/illustrations/card/ill_94772_baiorinisutosuru02.jpg?202103-5-RELEASE-marathon-521x", "■")</f>
        <v>■</v>
      </c>
      <c r="F148" s="14" t="s">
        <v>15780</v>
      </c>
      <c r="G148" s="14">
        <v>109938</v>
      </c>
      <c r="H148" s="14">
        <v>119345</v>
      </c>
      <c r="I148" s="14">
        <v>29</v>
      </c>
      <c r="J148" s="14" t="s">
        <v>16</v>
      </c>
      <c r="K148" s="14" t="s">
        <v>15779</v>
      </c>
      <c r="L148" s="14" t="s">
        <v>15778</v>
      </c>
      <c r="M148" s="14" t="s">
        <v>13270</v>
      </c>
      <c r="N148" s="14" t="s">
        <v>13271</v>
      </c>
      <c r="O148" s="14" t="s">
        <v>9158</v>
      </c>
      <c r="P148" s="14" t="s">
        <v>9158</v>
      </c>
      <c r="Q148" s="14" t="s">
        <v>9158</v>
      </c>
      <c r="R148" s="14" t="s">
        <v>14748</v>
      </c>
    </row>
    <row r="149" spans="1:18">
      <c r="A149" s="14">
        <v>94771</v>
      </c>
      <c r="B149" s="14" t="s">
        <v>0</v>
      </c>
      <c r="C149" s="14" t="s">
        <v>335</v>
      </c>
      <c r="D149" s="14" t="s">
        <v>15781</v>
      </c>
      <c r="E149" s="15" t="str">
        <f>HYPERLINK("https://stat100.ameba.jp/tnk47/ratio20/illustrations/card/ill_94771_baiorinisutosuru01.jpg?202103-5-RELEASE-marathon-521x", "■")</f>
        <v>■</v>
      </c>
      <c r="F149" s="14" t="s">
        <v>15780</v>
      </c>
      <c r="G149" s="14">
        <v>84825</v>
      </c>
      <c r="H149" s="14">
        <v>91118</v>
      </c>
      <c r="I149" s="14">
        <v>29</v>
      </c>
      <c r="J149" s="14" t="s">
        <v>16</v>
      </c>
      <c r="K149" s="14" t="s">
        <v>15779</v>
      </c>
      <c r="L149" s="14" t="s">
        <v>15778</v>
      </c>
      <c r="M149" s="14" t="s">
        <v>13270</v>
      </c>
      <c r="N149" s="14" t="s">
        <v>13271</v>
      </c>
      <c r="O149" s="14" t="s">
        <v>9158</v>
      </c>
      <c r="P149" s="14" t="s">
        <v>9158</v>
      </c>
      <c r="Q149" s="14" t="s">
        <v>9158</v>
      </c>
      <c r="R149" s="14" t="s">
        <v>14748</v>
      </c>
    </row>
    <row r="150" spans="1:18">
      <c r="A150" s="14">
        <v>94783</v>
      </c>
      <c r="B150" s="14" t="s">
        <v>0</v>
      </c>
      <c r="C150" s="14" t="s">
        <v>200</v>
      </c>
      <c r="D150" s="14" t="s">
        <v>15784</v>
      </c>
      <c r="E150" s="15" t="str">
        <f>HYPERLINK("https://stat100.ameba.jp/tnk47/ratio20/illustrations/card/ill_94783_deusuekusumashina03.jpg?202103-5-RELEASE-marathon-521x", "■")</f>
        <v>■</v>
      </c>
      <c r="F150" s="14" t="s">
        <v>15785</v>
      </c>
      <c r="G150" s="14">
        <v>132737</v>
      </c>
      <c r="H150" s="14">
        <v>142768</v>
      </c>
      <c r="I150" s="14">
        <v>29</v>
      </c>
      <c r="J150" s="14" t="s">
        <v>10</v>
      </c>
      <c r="K150" s="14" t="s">
        <v>15783</v>
      </c>
      <c r="L150" s="14" t="s">
        <v>15782</v>
      </c>
      <c r="M150" s="14" t="s">
        <v>2138</v>
      </c>
      <c r="N150" s="14" t="s">
        <v>2139</v>
      </c>
      <c r="O150" s="14" t="s">
        <v>9158</v>
      </c>
      <c r="P150" s="14" t="s">
        <v>9158</v>
      </c>
      <c r="Q150" s="14" t="s">
        <v>9158</v>
      </c>
      <c r="R150" s="14" t="s">
        <v>14748</v>
      </c>
    </row>
    <row r="151" spans="1:18">
      <c r="A151" s="14">
        <v>94793</v>
      </c>
      <c r="B151" s="14" t="s">
        <v>0</v>
      </c>
      <c r="C151" s="14" t="s">
        <v>307</v>
      </c>
      <c r="D151" s="14" t="s">
        <v>15789</v>
      </c>
      <c r="E151" s="15" t="str">
        <f>HYPERLINK("https://stat100.ameba.jp/tnk47/ratio20/illustrations/card/ill_94793_eiyukohoseiashuramu03.jpg?202103-5-RELEASE-marathon-521x", "■")</f>
        <v>■</v>
      </c>
      <c r="F151" s="14" t="s">
        <v>15788</v>
      </c>
      <c r="G151" s="14">
        <v>142768</v>
      </c>
      <c r="H151" s="14">
        <v>132737</v>
      </c>
      <c r="I151" s="14">
        <v>29</v>
      </c>
      <c r="J151" s="14" t="s">
        <v>143</v>
      </c>
      <c r="K151" s="14" t="s">
        <v>15787</v>
      </c>
      <c r="L151" s="14" t="s">
        <v>15786</v>
      </c>
      <c r="M151" s="14" t="s">
        <v>2138</v>
      </c>
      <c r="N151" s="14" t="s">
        <v>2139</v>
      </c>
      <c r="O151" s="14" t="s">
        <v>9158</v>
      </c>
      <c r="P151" s="14" t="s">
        <v>9158</v>
      </c>
      <c r="Q151" s="14" t="s">
        <v>9158</v>
      </c>
      <c r="R151" s="14" t="s">
        <v>14748</v>
      </c>
    </row>
    <row r="152" spans="1:18">
      <c r="A152" s="14">
        <v>94803</v>
      </c>
      <c r="B152" s="14" t="s">
        <v>0</v>
      </c>
      <c r="C152" s="14" t="s">
        <v>165</v>
      </c>
      <c r="D152" s="14" t="s">
        <v>15793</v>
      </c>
      <c r="E152" s="15" t="str">
        <f>HYPERLINK("https://stat100.ameba.jp/tnk47/ratio20/illustrations/card/ill_94803_pideiria03.jpg?202103-5-RELEASE-marathon-521x", "■")</f>
        <v>■</v>
      </c>
      <c r="F152" s="14" t="s">
        <v>15792</v>
      </c>
      <c r="G152" s="14">
        <v>142768</v>
      </c>
      <c r="H152" s="14">
        <v>132737</v>
      </c>
      <c r="I152" s="14">
        <v>29</v>
      </c>
      <c r="J152" s="14" t="s">
        <v>77</v>
      </c>
      <c r="K152" s="14" t="s">
        <v>15791</v>
      </c>
      <c r="L152" s="14" t="s">
        <v>15790</v>
      </c>
      <c r="M152" s="14" t="s">
        <v>2138</v>
      </c>
      <c r="N152" s="14" t="s">
        <v>2139</v>
      </c>
      <c r="O152" s="14" t="s">
        <v>9158</v>
      </c>
      <c r="P152" s="14" t="s">
        <v>9158</v>
      </c>
      <c r="Q152" s="14" t="s">
        <v>9158</v>
      </c>
      <c r="R152" s="14" t="s">
        <v>14748</v>
      </c>
    </row>
    <row r="153" spans="1:18">
      <c r="A153" s="14">
        <v>94813</v>
      </c>
      <c r="B153" s="14" t="s">
        <v>0</v>
      </c>
      <c r="C153" s="9" t="s">
        <v>205</v>
      </c>
      <c r="D153" s="14" t="s">
        <v>15796</v>
      </c>
      <c r="E153" s="15" t="str">
        <f>HYPERLINK("https://stat100.ameba.jp/tnk47/ratio20/illustrations/card/ill_94813_satogashinomajoshukuru03.jpg?202103-5-RELEASE-marathon-521x", "■")</f>
        <v>■</v>
      </c>
      <c r="F153" s="14" t="s">
        <v>15795</v>
      </c>
      <c r="G153" s="14">
        <v>142768</v>
      </c>
      <c r="H153" s="14">
        <v>132737</v>
      </c>
      <c r="I153" s="14">
        <v>29</v>
      </c>
      <c r="J153" s="14" t="s">
        <v>104</v>
      </c>
      <c r="K153" s="14" t="s">
        <v>15794</v>
      </c>
      <c r="L153" s="14" t="s">
        <v>13292</v>
      </c>
      <c r="M153" s="14" t="s">
        <v>2138</v>
      </c>
      <c r="N153" s="14" t="s">
        <v>2139</v>
      </c>
      <c r="O153" s="14" t="s">
        <v>9158</v>
      </c>
      <c r="P153" s="14" t="s">
        <v>9158</v>
      </c>
      <c r="Q153" s="14" t="s">
        <v>9158</v>
      </c>
      <c r="R153" s="14" t="s">
        <v>14748</v>
      </c>
    </row>
    <row r="154" spans="1:18">
      <c r="A154" s="14">
        <v>94823</v>
      </c>
      <c r="B154" s="14" t="s">
        <v>0</v>
      </c>
      <c r="C154" s="14" t="s">
        <v>206</v>
      </c>
      <c r="D154" s="14" t="s">
        <v>15800</v>
      </c>
      <c r="E154" s="15" t="str">
        <f>HYPERLINK("https://stat100.ameba.jp/tnk47/ratio20/illustrations/card/ill_94823_sandorizado03.jpg?202103-5-RELEASE-marathon-521x", "■")</f>
        <v>■</v>
      </c>
      <c r="F154" s="14" t="s">
        <v>15799</v>
      </c>
      <c r="G154" s="14">
        <v>132737</v>
      </c>
      <c r="H154" s="14">
        <v>142768</v>
      </c>
      <c r="I154" s="14">
        <v>29</v>
      </c>
      <c r="J154" s="14" t="s">
        <v>73</v>
      </c>
      <c r="K154" s="14" t="s">
        <v>15798</v>
      </c>
      <c r="L154" s="14" t="s">
        <v>15797</v>
      </c>
      <c r="M154" s="14" t="s">
        <v>2138</v>
      </c>
      <c r="N154" s="14" t="s">
        <v>2139</v>
      </c>
      <c r="O154" s="14" t="s">
        <v>9158</v>
      </c>
      <c r="P154" s="14" t="s">
        <v>9158</v>
      </c>
      <c r="Q154" s="14" t="s">
        <v>9158</v>
      </c>
      <c r="R154" s="14" t="s">
        <v>14748</v>
      </c>
    </row>
    <row r="156" spans="1:18">
      <c r="A156" s="14" t="s">
        <v>16822</v>
      </c>
    </row>
    <row r="157" spans="1:18">
      <c r="A157" s="14">
        <v>237142</v>
      </c>
      <c r="B157" s="14" t="s">
        <v>3828</v>
      </c>
    </row>
    <row r="158" spans="1:18">
      <c r="A158" s="14">
        <v>237148</v>
      </c>
      <c r="B158" s="14" t="s">
        <v>11480</v>
      </c>
      <c r="I158" s="7"/>
    </row>
    <row r="159" spans="1:18">
      <c r="A159" s="14" t="s">
        <v>16720</v>
      </c>
      <c r="B159" s="7" t="s">
        <v>52</v>
      </c>
      <c r="C159" s="14" t="s">
        <v>202</v>
      </c>
      <c r="D159" s="18" t="s">
        <v>16719</v>
      </c>
      <c r="E159" s="15" t="str">
        <f>HYPERLINK("https://stat100.ameba.jp/tnk47/ratio20/illustrations/card/ill_96373_0_ohinasamaakitakomachichan03.jpg?202103-5-RELEASE-marathon-521x", "■")</f>
        <v>■</v>
      </c>
      <c r="F159" s="14" t="s">
        <v>16718</v>
      </c>
      <c r="G159" s="14">
        <v>273388</v>
      </c>
      <c r="H159" s="14">
        <v>334134</v>
      </c>
      <c r="I159" s="7">
        <v>29</v>
      </c>
      <c r="J159" s="14" t="s">
        <v>104</v>
      </c>
      <c r="K159" s="14" t="s">
        <v>16717</v>
      </c>
      <c r="L159" s="14" t="s">
        <v>16716</v>
      </c>
      <c r="M159" s="14" t="s">
        <v>9158</v>
      </c>
      <c r="N159" s="14" t="s">
        <v>9158</v>
      </c>
      <c r="O159" s="7" t="s">
        <v>16715</v>
      </c>
      <c r="P159" s="7" t="s">
        <v>16714</v>
      </c>
      <c r="Q159" s="7">
        <v>1</v>
      </c>
    </row>
    <row r="160" spans="1:18">
      <c r="A160" s="14">
        <v>96553</v>
      </c>
      <c r="B160" s="14" t="s">
        <v>0</v>
      </c>
      <c r="C160" s="14" t="s">
        <v>101</v>
      </c>
      <c r="D160" s="14" t="s">
        <v>16826</v>
      </c>
      <c r="E160" s="15" t="str">
        <f>HYPERLINK("https://stat100.ameba.jp/tnk47/ratio20/illustrations/card/ill_96553_saishomarugotto03.jpg?202103-5-RELEASE-marathon-521x", "■")</f>
        <v>■</v>
      </c>
      <c r="F160" s="14" t="s">
        <v>16825</v>
      </c>
      <c r="G160" s="14">
        <v>105281</v>
      </c>
      <c r="H160" s="14">
        <v>113277</v>
      </c>
      <c r="I160" s="14">
        <v>29</v>
      </c>
      <c r="J160" s="14" t="s">
        <v>44</v>
      </c>
      <c r="K160" s="14" t="s">
        <v>16824</v>
      </c>
      <c r="L160" s="14" t="s">
        <v>16823</v>
      </c>
      <c r="M160" s="14" t="s">
        <v>9158</v>
      </c>
      <c r="N160" s="14" t="s">
        <v>9158</v>
      </c>
      <c r="O160" s="14" t="s">
        <v>9158</v>
      </c>
      <c r="P160" s="14" t="s">
        <v>9158</v>
      </c>
      <c r="Q160" s="14" t="s">
        <v>9158</v>
      </c>
    </row>
    <row r="161" spans="1:19">
      <c r="A161" s="14">
        <v>96563</v>
      </c>
      <c r="B161" s="14" t="s">
        <v>0</v>
      </c>
      <c r="C161" s="14" t="s">
        <v>96</v>
      </c>
      <c r="D161" s="14" t="s">
        <v>16829</v>
      </c>
      <c r="E161" s="15" t="str">
        <f>HYPERLINK("https://stat100.ameba.jp/tnk47/ratio20/illustrations/card/ill_96563_junihitoe03.jpg?202103-5-RELEASE-marathon-521x", "■")</f>
        <v>■</v>
      </c>
      <c r="F161" s="14" t="s">
        <v>16828</v>
      </c>
      <c r="G161" s="14">
        <v>118287</v>
      </c>
      <c r="H161" s="14">
        <v>109970</v>
      </c>
      <c r="I161" s="14">
        <v>29</v>
      </c>
      <c r="J161" s="14" t="s">
        <v>38</v>
      </c>
      <c r="K161" s="14" t="s">
        <v>16827</v>
      </c>
      <c r="L161" s="14" t="s">
        <v>13427</v>
      </c>
      <c r="M161" s="14" t="s">
        <v>9158</v>
      </c>
      <c r="N161" s="14" t="s">
        <v>9158</v>
      </c>
      <c r="O161" s="14" t="s">
        <v>9158</v>
      </c>
      <c r="P161" s="14" t="s">
        <v>9158</v>
      </c>
      <c r="Q161" s="14" t="s">
        <v>9158</v>
      </c>
    </row>
    <row r="162" spans="1:19">
      <c r="A162" s="14">
        <v>96573</v>
      </c>
      <c r="B162" s="14" t="s">
        <v>15</v>
      </c>
      <c r="C162" s="14" t="s">
        <v>1</v>
      </c>
      <c r="D162" s="14" t="s">
        <v>16832</v>
      </c>
      <c r="E162" s="15" t="str">
        <f>HYPERLINK("https://stat100.ameba.jp/tnk47/ratio20/illustrations/card/ill_96573_kurohime03.jpg?202103-5-RELEASE-marathon-521x", "■")</f>
        <v>■</v>
      </c>
      <c r="F162" s="14" t="s">
        <v>16831</v>
      </c>
      <c r="G162" s="14">
        <v>77962</v>
      </c>
      <c r="H162" s="14">
        <v>85956</v>
      </c>
      <c r="I162" s="14">
        <v>29</v>
      </c>
      <c r="J162" s="14" t="s">
        <v>16</v>
      </c>
      <c r="K162" s="14" t="s">
        <v>16830</v>
      </c>
      <c r="L162" s="14" t="s">
        <v>981</v>
      </c>
      <c r="M162" s="14" t="s">
        <v>9158</v>
      </c>
      <c r="N162" s="14" t="s">
        <v>9158</v>
      </c>
      <c r="O162" s="14" t="s">
        <v>9158</v>
      </c>
      <c r="P162" s="14" t="s">
        <v>9158</v>
      </c>
      <c r="Q162" s="14" t="s">
        <v>9158</v>
      </c>
    </row>
    <row r="163" spans="1:19">
      <c r="A163" s="14">
        <v>96583</v>
      </c>
      <c r="B163" s="14" t="s">
        <v>22</v>
      </c>
      <c r="C163" s="14" t="s">
        <v>14</v>
      </c>
      <c r="D163" s="14" t="s">
        <v>16835</v>
      </c>
      <c r="E163" s="15" t="str">
        <f>HYPERLINK("https://stat100.ameba.jp/tnk47/ratio20/illustrations/card/ill_96583_kokeshichan03.jpg?202103-5-RELEASE-marathon-521x", "■")</f>
        <v>■</v>
      </c>
      <c r="F163" s="14" t="s">
        <v>16834</v>
      </c>
      <c r="G163" s="14">
        <v>60296</v>
      </c>
      <c r="H163" s="14">
        <v>50134</v>
      </c>
      <c r="I163" s="14">
        <v>29</v>
      </c>
      <c r="J163" s="14" t="s">
        <v>26</v>
      </c>
      <c r="K163" s="14" t="s">
        <v>16833</v>
      </c>
      <c r="L163" s="14" t="s">
        <v>2635</v>
      </c>
      <c r="M163" s="14" t="s">
        <v>9158</v>
      </c>
      <c r="N163" s="14" t="s">
        <v>9158</v>
      </c>
      <c r="O163" s="14" t="s">
        <v>9158</v>
      </c>
      <c r="P163" s="14" t="s">
        <v>9158</v>
      </c>
      <c r="Q163" s="14" t="s">
        <v>9158</v>
      </c>
    </row>
    <row r="164" spans="1:19">
      <c r="A164" s="14">
        <v>96593</v>
      </c>
      <c r="B164" s="14" t="s">
        <v>22</v>
      </c>
      <c r="C164" s="14" t="s">
        <v>107</v>
      </c>
      <c r="D164" s="14" t="s">
        <v>16838</v>
      </c>
      <c r="E164" s="15" t="str">
        <f>HYPERLINK("https://stat100.ameba.jp/tnk47/ratio20/illustrations/card/ill_96593_kasuterachan03.jpg?202103-5-RELEASE-marathon-521x", "■")</f>
        <v>■</v>
      </c>
      <c r="F164" s="14" t="s">
        <v>16837</v>
      </c>
      <c r="G164" s="14">
        <v>50134</v>
      </c>
      <c r="H164" s="14">
        <v>60296</v>
      </c>
      <c r="I164" s="14">
        <v>29</v>
      </c>
      <c r="J164" s="14" t="s">
        <v>26</v>
      </c>
      <c r="K164" s="14" t="s">
        <v>16836</v>
      </c>
      <c r="L164" s="14" t="s">
        <v>28</v>
      </c>
      <c r="M164" s="14" t="s">
        <v>9158</v>
      </c>
      <c r="N164" s="14" t="s">
        <v>9158</v>
      </c>
      <c r="O164" s="14" t="s">
        <v>9158</v>
      </c>
      <c r="P164" s="14" t="s">
        <v>9158</v>
      </c>
      <c r="Q164" s="14" t="s">
        <v>9158</v>
      </c>
    </row>
    <row r="166" spans="1:19">
      <c r="A166" s="14" t="s">
        <v>4012</v>
      </c>
    </row>
    <row r="167" spans="1:19">
      <c r="A167" s="14">
        <v>237175</v>
      </c>
      <c r="B167" s="14" t="s">
        <v>11541</v>
      </c>
    </row>
    <row r="168" spans="1:19">
      <c r="A168" s="9" t="s">
        <v>5602</v>
      </c>
      <c r="B168" s="14" t="s">
        <v>330</v>
      </c>
      <c r="C168" s="14" t="s">
        <v>185</v>
      </c>
      <c r="D168" s="14" t="s">
        <v>2093</v>
      </c>
      <c r="E168" s="15" t="str">
        <f>HYPERLINK("https://stat100.ameba.jp/tnk47/ratio20/illustrations/card/ill_55313_0_haroinononokomachi03.jpg?202103-5-RELEASE-marathon-521x", "■")</f>
        <v>■</v>
      </c>
      <c r="F168" s="14" t="s">
        <v>814</v>
      </c>
      <c r="G168" s="14">
        <v>163342</v>
      </c>
      <c r="H168" s="14">
        <v>145100</v>
      </c>
      <c r="I168" s="14">
        <v>26</v>
      </c>
      <c r="J168" s="14" t="s">
        <v>351</v>
      </c>
      <c r="K168" s="14" t="s">
        <v>815</v>
      </c>
      <c r="L168" s="14" t="s">
        <v>816</v>
      </c>
      <c r="M168" s="14" t="s">
        <v>9158</v>
      </c>
      <c r="N168" s="14" t="s">
        <v>9158</v>
      </c>
      <c r="O168" s="9" t="s">
        <v>2733</v>
      </c>
      <c r="P168" s="14" t="s">
        <v>2734</v>
      </c>
      <c r="Q168" s="14">
        <v>1</v>
      </c>
    </row>
    <row r="169" spans="1:19">
      <c r="A169" s="14" t="s">
        <v>5615</v>
      </c>
      <c r="B169" s="14" t="s">
        <v>330</v>
      </c>
      <c r="C169" s="14" t="s">
        <v>206</v>
      </c>
      <c r="D169" s="20" t="s">
        <v>2814</v>
      </c>
      <c r="E169" s="15" t="str">
        <f>HYPERLINK("https://stat100.ameba.jp/tnk47/ratio20/illustrations/card/ill_57733_0_shogatsunisenjunanaamakusashiro03.jpg?202103-5-RELEASE-marathon-521x", "■")</f>
        <v>■</v>
      </c>
      <c r="F169" s="14" t="s">
        <v>2815</v>
      </c>
      <c r="G169" s="14">
        <v>145100</v>
      </c>
      <c r="H169" s="14">
        <v>163342</v>
      </c>
      <c r="I169" s="14">
        <v>26</v>
      </c>
      <c r="J169" s="14" t="s">
        <v>351</v>
      </c>
      <c r="K169" s="14" t="s">
        <v>2816</v>
      </c>
      <c r="L169" s="14" t="s">
        <v>2817</v>
      </c>
      <c r="M169" s="14" t="s">
        <v>9158</v>
      </c>
      <c r="N169" s="14" t="s">
        <v>9158</v>
      </c>
      <c r="O169" s="19" t="s">
        <v>10077</v>
      </c>
      <c r="P169" s="14" t="s">
        <v>3062</v>
      </c>
      <c r="Q169" s="14">
        <v>1</v>
      </c>
    </row>
    <row r="170" spans="1:19">
      <c r="A170" s="14" t="s">
        <v>5627</v>
      </c>
      <c r="B170" s="14" t="s">
        <v>330</v>
      </c>
      <c r="C170" s="14" t="s">
        <v>191</v>
      </c>
      <c r="D170" s="19" t="s">
        <v>393</v>
      </c>
      <c r="E170" s="15" t="str">
        <f>HYPERLINK("https://stat100.ameba.jp/tnk47/ratio20/illustrations/card/ill_46283_0_odanobunaga03.jpg?202103-5-RELEASE-marathon-521x", "■")</f>
        <v>■</v>
      </c>
      <c r="F170" s="14" t="s">
        <v>1073</v>
      </c>
      <c r="G170" s="14">
        <v>142500</v>
      </c>
      <c r="H170" s="14">
        <v>152152</v>
      </c>
      <c r="I170" s="14">
        <v>26</v>
      </c>
      <c r="J170" s="14" t="s">
        <v>143</v>
      </c>
      <c r="K170" s="14" t="s">
        <v>1074</v>
      </c>
      <c r="L170" s="14" t="s">
        <v>1075</v>
      </c>
      <c r="M170" s="14" t="s">
        <v>9158</v>
      </c>
      <c r="N170" s="14" t="s">
        <v>9158</v>
      </c>
      <c r="O170" s="14" t="s">
        <v>9158</v>
      </c>
      <c r="P170" s="14" t="s">
        <v>9158</v>
      </c>
      <c r="Q170" s="14" t="s">
        <v>9158</v>
      </c>
    </row>
    <row r="171" spans="1:19">
      <c r="A171" s="14">
        <v>91553</v>
      </c>
      <c r="B171" s="14" t="s">
        <v>0</v>
      </c>
      <c r="C171" s="14" t="s">
        <v>35</v>
      </c>
      <c r="D171" s="14" t="s">
        <v>16842</v>
      </c>
      <c r="E171" s="15" t="str">
        <f>HYPERLINK("https://stat100.ameba.jp/tnk47/ratio20/illustrations/card/ill_91553_gyangukintaro03.jpg?202103-5-RELEASE-marathon-521x", "■")</f>
        <v>■</v>
      </c>
      <c r="F171" s="14" t="s">
        <v>16841</v>
      </c>
      <c r="G171" s="14">
        <v>114488</v>
      </c>
      <c r="H171" s="14">
        <v>123062</v>
      </c>
      <c r="I171" s="14">
        <v>29</v>
      </c>
      <c r="J171" s="14" t="s">
        <v>38</v>
      </c>
      <c r="K171" s="14" t="s">
        <v>16840</v>
      </c>
      <c r="L171" s="14" t="s">
        <v>16839</v>
      </c>
      <c r="M171" s="14" t="s">
        <v>9158</v>
      </c>
      <c r="N171" s="14" t="s">
        <v>9158</v>
      </c>
      <c r="O171" s="14" t="s">
        <v>9158</v>
      </c>
      <c r="P171" s="14" t="s">
        <v>9158</v>
      </c>
      <c r="Q171" s="14" t="s">
        <v>9158</v>
      </c>
      <c r="S171" s="14" t="s">
        <v>16860</v>
      </c>
    </row>
    <row r="172" spans="1:19">
      <c r="A172" s="14">
        <v>89823</v>
      </c>
      <c r="B172" s="14" t="s">
        <v>0</v>
      </c>
      <c r="C172" s="14" t="s">
        <v>47</v>
      </c>
      <c r="D172" s="14" t="s">
        <v>16846</v>
      </c>
      <c r="E172" s="15" t="str">
        <f>HYPERLINK("https://stat100.ameba.jp/tnk47/ratio20/illustrations/card/ill_89823_yojutsukitsunetsuki03.jpg?202103-5-RELEASE-marathon-521x", "■")</f>
        <v>■</v>
      </c>
      <c r="F172" s="14" t="s">
        <v>16845</v>
      </c>
      <c r="G172" s="14">
        <v>117591</v>
      </c>
      <c r="H172" s="14">
        <v>109381</v>
      </c>
      <c r="I172" s="14">
        <v>29</v>
      </c>
      <c r="J172" s="14" t="s">
        <v>73</v>
      </c>
      <c r="K172" s="14" t="s">
        <v>16844</v>
      </c>
      <c r="L172" s="14" t="s">
        <v>16843</v>
      </c>
      <c r="M172" s="14" t="s">
        <v>9158</v>
      </c>
      <c r="N172" s="14" t="s">
        <v>9158</v>
      </c>
      <c r="O172" s="14" t="s">
        <v>9158</v>
      </c>
      <c r="P172" s="14" t="s">
        <v>9158</v>
      </c>
      <c r="Q172" s="14" t="s">
        <v>9158</v>
      </c>
      <c r="S172" s="14" t="s">
        <v>16862</v>
      </c>
    </row>
    <row r="173" spans="1:19">
      <c r="A173" s="14">
        <v>91423</v>
      </c>
      <c r="B173" s="14" t="s">
        <v>0</v>
      </c>
      <c r="C173" s="14" t="s">
        <v>41</v>
      </c>
      <c r="D173" s="14" t="s">
        <v>16849</v>
      </c>
      <c r="E173" s="15" t="str">
        <f>HYPERLINK("https://stat100.ameba.jp/tnk47/ratio20/illustrations/card/ill_91423_suizokukanehimenomikoto03.jpg?202103-5-RELEASE-marathon-521x", "■")</f>
        <v>■</v>
      </c>
      <c r="F173" s="14" t="s">
        <v>16848</v>
      </c>
      <c r="G173" s="14">
        <v>113277</v>
      </c>
      <c r="H173" s="14">
        <v>105281</v>
      </c>
      <c r="I173" s="14">
        <v>29</v>
      </c>
      <c r="J173" s="14" t="s">
        <v>44</v>
      </c>
      <c r="K173" s="14" t="s">
        <v>16847</v>
      </c>
      <c r="L173" s="14" t="s">
        <v>14197</v>
      </c>
      <c r="M173" s="14" t="s">
        <v>9158</v>
      </c>
      <c r="N173" s="14" t="s">
        <v>9158</v>
      </c>
      <c r="O173" s="14" t="s">
        <v>9158</v>
      </c>
      <c r="P173" s="14" t="s">
        <v>9158</v>
      </c>
      <c r="Q173" s="14" t="s">
        <v>9158</v>
      </c>
      <c r="S173" s="14" t="s">
        <v>16864</v>
      </c>
    </row>
    <row r="174" spans="1:19">
      <c r="A174" s="14">
        <v>79243</v>
      </c>
      <c r="B174" s="14" t="s">
        <v>15</v>
      </c>
      <c r="C174" s="14" t="s">
        <v>96</v>
      </c>
      <c r="D174" s="14" t="s">
        <v>16852</v>
      </c>
      <c r="E174" s="15" t="str">
        <f>HYPERLINK("https://stat100.ameba.jp/tnk47/ratio20/illustrations/card/ill_79243_sadohayamisosei03.jpg?202103-5-RELEASE-marathon-521x", "■")</f>
        <v>■</v>
      </c>
      <c r="F174" s="14" t="s">
        <v>16851</v>
      </c>
      <c r="G174" s="14">
        <v>69898</v>
      </c>
      <c r="H174" s="14">
        <v>77064</v>
      </c>
      <c r="I174" s="14">
        <v>26</v>
      </c>
      <c r="J174" s="14" t="s">
        <v>10</v>
      </c>
      <c r="K174" s="14" t="s">
        <v>16850</v>
      </c>
      <c r="L174" s="14" t="s">
        <v>12317</v>
      </c>
      <c r="M174" s="14" t="s">
        <v>9158</v>
      </c>
      <c r="N174" s="14" t="s">
        <v>9158</v>
      </c>
      <c r="O174" s="14" t="s">
        <v>9158</v>
      </c>
      <c r="P174" s="14" t="s">
        <v>9158</v>
      </c>
      <c r="Q174" s="14" t="s">
        <v>9158</v>
      </c>
      <c r="S174" s="14" t="s">
        <v>16861</v>
      </c>
    </row>
    <row r="175" spans="1:19">
      <c r="A175" s="14">
        <v>87283</v>
      </c>
      <c r="B175" s="14" t="s">
        <v>15</v>
      </c>
      <c r="C175" s="14" t="s">
        <v>23</v>
      </c>
      <c r="D175" s="14" t="s">
        <v>16855</v>
      </c>
      <c r="E175" s="15" t="str">
        <f>HYPERLINK("https://stat100.ameba.jp/tnk47/ratio20/illustrations/card/ill_87283_obentoarisubekon03.jpg?202103-5-RELEASE-marathon-521x", "■")</f>
        <v>■</v>
      </c>
      <c r="F175" s="14" t="s">
        <v>16854</v>
      </c>
      <c r="G175" s="14">
        <v>69898</v>
      </c>
      <c r="H175" s="14">
        <v>77064</v>
      </c>
      <c r="I175" s="14">
        <v>26</v>
      </c>
      <c r="J175" s="14" t="s">
        <v>16</v>
      </c>
      <c r="K175" s="14" t="s">
        <v>6085</v>
      </c>
      <c r="L175" s="14" t="s">
        <v>16853</v>
      </c>
      <c r="M175" s="14" t="s">
        <v>9158</v>
      </c>
      <c r="N175" s="14" t="s">
        <v>9158</v>
      </c>
      <c r="O175" s="14" t="s">
        <v>9158</v>
      </c>
      <c r="P175" s="14" t="s">
        <v>9158</v>
      </c>
      <c r="Q175" s="14" t="s">
        <v>9158</v>
      </c>
      <c r="S175" s="14" t="s">
        <v>16863</v>
      </c>
    </row>
    <row r="176" spans="1:19">
      <c r="A176" s="14">
        <v>69983</v>
      </c>
      <c r="B176" s="14" t="s">
        <v>15</v>
      </c>
      <c r="C176" s="14" t="s">
        <v>1</v>
      </c>
      <c r="D176" s="14" t="s">
        <v>16859</v>
      </c>
      <c r="E176" s="15" t="str">
        <f>HYPERLINK("https://stat100.ameba.jp/tnk47/ratio20/illustrations/card/ill_69983_senreigohime03.jpg?202103-5-RELEASE-marathon-521x", "■")</f>
        <v>■</v>
      </c>
      <c r="F176" s="14" t="s">
        <v>16858</v>
      </c>
      <c r="G176" s="14">
        <v>77064</v>
      </c>
      <c r="H176" s="14">
        <v>69898</v>
      </c>
      <c r="I176" s="14">
        <v>26</v>
      </c>
      <c r="J176" s="14" t="s">
        <v>77</v>
      </c>
      <c r="K176" s="14" t="s">
        <v>16857</v>
      </c>
      <c r="L176" s="14" t="s">
        <v>16856</v>
      </c>
      <c r="M176" s="14" t="s">
        <v>9158</v>
      </c>
      <c r="N176" s="14" t="s">
        <v>9158</v>
      </c>
      <c r="O176" s="14" t="s">
        <v>9158</v>
      </c>
      <c r="P176" s="14" t="s">
        <v>9158</v>
      </c>
      <c r="Q176" s="14" t="s">
        <v>9158</v>
      </c>
      <c r="S176" s="14" t="s">
        <v>16865</v>
      </c>
    </row>
    <row r="178" spans="1:18">
      <c r="A178" s="14" t="s">
        <v>16923</v>
      </c>
    </row>
    <row r="179" spans="1:18">
      <c r="A179" s="14">
        <v>237196</v>
      </c>
      <c r="B179" s="14" t="s">
        <v>3898</v>
      </c>
    </row>
    <row r="180" spans="1:18">
      <c r="A180" s="14">
        <v>96475</v>
      </c>
      <c r="B180" s="14" t="s">
        <v>0</v>
      </c>
      <c r="C180" s="14" t="s">
        <v>202</v>
      </c>
      <c r="D180" s="18" t="s">
        <v>16927</v>
      </c>
      <c r="E180" s="15" t="str">
        <f>HYPERLINK("https://stat100.ameba.jp/tnk47/ratio20/illustrations/card/ill_96475_saishokoshika05.jpg?202103-5-RELEASE-marathon-521x", "■")</f>
        <v>■</v>
      </c>
      <c r="F180" s="14" t="s">
        <v>16926</v>
      </c>
      <c r="G180" s="14">
        <v>102501</v>
      </c>
      <c r="H180" s="14">
        <v>141567</v>
      </c>
      <c r="I180" s="14">
        <v>29</v>
      </c>
      <c r="J180" s="14" t="s">
        <v>16</v>
      </c>
      <c r="K180" s="14" t="s">
        <v>16925</v>
      </c>
      <c r="L180" s="14" t="s">
        <v>16924</v>
      </c>
      <c r="M180" s="14" t="s">
        <v>9158</v>
      </c>
      <c r="N180" s="14" t="s">
        <v>9158</v>
      </c>
      <c r="O180" s="14" t="s">
        <v>9158</v>
      </c>
      <c r="P180" s="14" t="s">
        <v>9158</v>
      </c>
      <c r="Q180" s="14" t="s">
        <v>9158</v>
      </c>
      <c r="R180" s="14" t="s">
        <v>174</v>
      </c>
    </row>
    <row r="181" spans="1:18">
      <c r="A181" s="14">
        <v>96473</v>
      </c>
      <c r="B181" s="14" t="s">
        <v>15</v>
      </c>
      <c r="C181" s="14" t="s">
        <v>41</v>
      </c>
      <c r="D181" s="18" t="s">
        <v>16927</v>
      </c>
      <c r="E181" s="15" t="str">
        <f>HYPERLINK("https://stat100.ameba.jp/tnk47/ratio20/illustrations/card/ill_96473_saishokoshika03.jpg?202103-5-RELEASE-marathon-521x", "■")</f>
        <v>■</v>
      </c>
      <c r="F181" s="14" t="s">
        <v>16926</v>
      </c>
      <c r="G181" s="14">
        <v>75511</v>
      </c>
      <c r="H181" s="14">
        <v>104304</v>
      </c>
      <c r="I181" s="14">
        <v>29</v>
      </c>
      <c r="J181" s="14" t="s">
        <v>16</v>
      </c>
      <c r="K181" s="14" t="s">
        <v>16925</v>
      </c>
      <c r="L181" s="14" t="s">
        <v>4831</v>
      </c>
      <c r="M181" s="14" t="s">
        <v>9158</v>
      </c>
      <c r="N181" s="14" t="s">
        <v>9158</v>
      </c>
      <c r="O181" s="14" t="s">
        <v>9158</v>
      </c>
      <c r="P181" s="14" t="s">
        <v>9158</v>
      </c>
      <c r="Q181" s="14" t="s">
        <v>9158</v>
      </c>
      <c r="R181" s="14" t="s">
        <v>175</v>
      </c>
    </row>
    <row r="182" spans="1:18">
      <c r="A182" s="14">
        <v>96471</v>
      </c>
      <c r="B182" s="14" t="s">
        <v>15</v>
      </c>
      <c r="C182" s="14" t="s">
        <v>41</v>
      </c>
      <c r="D182" s="18" t="s">
        <v>16927</v>
      </c>
      <c r="E182" s="15" t="str">
        <f>HYPERLINK("https://stat100.ameba.jp/tnk47/ratio20/illustrations/card/ill_96471_saishokoshika01.jpg?202103-5-RELEASE-marathon-521x", "■")</f>
        <v>■</v>
      </c>
      <c r="F182" s="14" t="s">
        <v>16926</v>
      </c>
      <c r="G182" s="14">
        <v>48053</v>
      </c>
      <c r="H182" s="14">
        <v>66352</v>
      </c>
      <c r="I182" s="14">
        <v>29</v>
      </c>
      <c r="J182" s="14" t="s">
        <v>16</v>
      </c>
      <c r="K182" s="14" t="s">
        <v>16925</v>
      </c>
      <c r="L182" s="14" t="s">
        <v>16928</v>
      </c>
      <c r="M182" s="14" t="s">
        <v>9158</v>
      </c>
      <c r="N182" s="14" t="s">
        <v>9158</v>
      </c>
      <c r="O182" s="14" t="s">
        <v>9158</v>
      </c>
      <c r="P182" s="14" t="s">
        <v>9158</v>
      </c>
      <c r="Q182" s="14" t="s">
        <v>9158</v>
      </c>
      <c r="R182" s="14" t="s">
        <v>176</v>
      </c>
    </row>
    <row r="184" spans="1:18">
      <c r="A184" s="14" t="s">
        <v>3844</v>
      </c>
    </row>
    <row r="185" spans="1:18">
      <c r="A185" s="14">
        <v>107266</v>
      </c>
      <c r="B185" s="14" t="s">
        <v>11555</v>
      </c>
    </row>
    <row r="186" spans="1:18">
      <c r="A186" s="14" t="s">
        <v>5607</v>
      </c>
      <c r="B186" s="14" t="s">
        <v>330</v>
      </c>
      <c r="C186" s="14" t="s">
        <v>200</v>
      </c>
      <c r="D186" s="19" t="s">
        <v>421</v>
      </c>
      <c r="E186" s="15" t="str">
        <f>HYPERLINK("https://stat100.ameba.jp/tnk47/ratio20/illustrations/card/ill_58853_0_setsubumpanikkuhiratsukaraicho03.jpg?202103-5-RELEASE-marathon-521x", "■")</f>
        <v>■</v>
      </c>
      <c r="F186" s="14" t="s">
        <v>1040</v>
      </c>
      <c r="G186" s="14">
        <v>169624</v>
      </c>
      <c r="H186" s="14">
        <v>150680</v>
      </c>
      <c r="I186" s="14">
        <v>27</v>
      </c>
      <c r="J186" s="14" t="s">
        <v>16</v>
      </c>
      <c r="K186" s="14" t="s">
        <v>1041</v>
      </c>
      <c r="L186" s="14" t="s">
        <v>1042</v>
      </c>
      <c r="M186" s="14" t="s">
        <v>9158</v>
      </c>
      <c r="N186" s="14" t="s">
        <v>9158</v>
      </c>
      <c r="O186" s="19" t="s">
        <v>10075</v>
      </c>
      <c r="P186" s="14" t="s">
        <v>2870</v>
      </c>
      <c r="Q186" s="14">
        <v>1</v>
      </c>
    </row>
    <row r="187" spans="1:18">
      <c r="A187" s="14">
        <v>81743</v>
      </c>
      <c r="B187" s="14" t="s">
        <v>334</v>
      </c>
      <c r="C187" s="14" t="s">
        <v>107</v>
      </c>
      <c r="D187" s="19" t="s">
        <v>10171</v>
      </c>
      <c r="E187" s="15" t="str">
        <f>HYPERLINK("https://stat100.ameba.jp/tnk47/ratio20/illustrations/card/ill_81743_denshagarusakyogabashinohebi03.jpg?202103-5-RELEASE-marathon-521x", "■")</f>
        <v>■</v>
      </c>
      <c r="F187" s="14" t="s">
        <v>4853</v>
      </c>
      <c r="G187" s="14">
        <v>123220</v>
      </c>
      <c r="H187" s="14">
        <v>114362</v>
      </c>
      <c r="I187" s="14">
        <v>27</v>
      </c>
      <c r="J187" s="14" t="s">
        <v>38</v>
      </c>
      <c r="K187" s="14" t="s">
        <v>4855</v>
      </c>
      <c r="L187" s="14" t="s">
        <v>4856</v>
      </c>
      <c r="M187" s="14" t="s">
        <v>9158</v>
      </c>
      <c r="N187" s="14" t="s">
        <v>9158</v>
      </c>
      <c r="O187" s="19" t="s">
        <v>10091</v>
      </c>
      <c r="P187" s="14" t="s">
        <v>3670</v>
      </c>
      <c r="Q187" s="14">
        <v>1</v>
      </c>
    </row>
    <row r="188" spans="1:18">
      <c r="A188" s="14">
        <v>75873</v>
      </c>
      <c r="B188" s="14" t="s">
        <v>334</v>
      </c>
      <c r="C188" s="14" t="s">
        <v>209</v>
      </c>
      <c r="D188" s="19" t="s">
        <v>10221</v>
      </c>
      <c r="E188" s="15" t="str">
        <f>HYPERLINK("https://stat100.ameba.jp/tnk47/ratio20/illustrations/card/ill_75873_harajukuroriitachan03.jpg?202103-5-RELEASE-marathon-521x", "■")</f>
        <v>■</v>
      </c>
      <c r="F188" s="14" t="s">
        <v>1945</v>
      </c>
      <c r="G188" s="14">
        <v>118568</v>
      </c>
      <c r="H188" s="14">
        <v>127507</v>
      </c>
      <c r="I188" s="14">
        <v>27</v>
      </c>
      <c r="J188" s="14" t="s">
        <v>26</v>
      </c>
      <c r="K188" s="14" t="s">
        <v>1946</v>
      </c>
      <c r="L188" s="14" t="s">
        <v>1947</v>
      </c>
      <c r="M188" s="14" t="s">
        <v>9158</v>
      </c>
      <c r="N188" s="14" t="s">
        <v>9158</v>
      </c>
      <c r="O188" s="19" t="s">
        <v>2752</v>
      </c>
      <c r="P188" s="14" t="s">
        <v>13123</v>
      </c>
      <c r="Q188" s="14">
        <v>1</v>
      </c>
    </row>
    <row r="189" spans="1:18">
      <c r="A189" s="14">
        <v>66363</v>
      </c>
      <c r="B189" s="14" t="s">
        <v>334</v>
      </c>
      <c r="C189" s="14" t="s">
        <v>158</v>
      </c>
      <c r="D189" s="19" t="s">
        <v>2910</v>
      </c>
      <c r="E189" s="15" t="str">
        <f>HYPERLINK("https://stat100.ameba.jp/tnk47/ratio20/illustrations/card/ill_66363_iharasaikaku03.jpg?202103-5-RELEASE-marathon-521x", "■")</f>
        <v>■</v>
      </c>
      <c r="F189" s="14" t="s">
        <v>122</v>
      </c>
      <c r="G189" s="9">
        <v>88781</v>
      </c>
      <c r="H189" s="9">
        <v>122539</v>
      </c>
      <c r="I189" s="14">
        <v>27</v>
      </c>
      <c r="J189" s="14" t="s">
        <v>414</v>
      </c>
      <c r="K189" s="14" t="s">
        <v>2911</v>
      </c>
      <c r="L189" s="14" t="s">
        <v>1575</v>
      </c>
      <c r="M189" s="14" t="s">
        <v>9158</v>
      </c>
      <c r="N189" s="14" t="s">
        <v>9158</v>
      </c>
      <c r="O189" s="19" t="s">
        <v>10074</v>
      </c>
      <c r="P189" s="14" t="s">
        <v>2822</v>
      </c>
      <c r="Q189" s="14">
        <v>1</v>
      </c>
    </row>
    <row r="191" spans="1:18">
      <c r="A191" s="14" t="s">
        <v>207</v>
      </c>
    </row>
    <row r="192" spans="1:18">
      <c r="A192" s="14">
        <v>107269</v>
      </c>
      <c r="B192" s="14" t="s">
        <v>3904</v>
      </c>
    </row>
    <row r="193" spans="1:17">
      <c r="A193" s="14" t="s">
        <v>5843</v>
      </c>
      <c r="B193" s="14" t="s">
        <v>52</v>
      </c>
      <c r="C193" s="14" t="s">
        <v>202</v>
      </c>
      <c r="D193" s="19" t="s">
        <v>10291</v>
      </c>
      <c r="E193" s="15" t="str">
        <f>HYPERLINK("https://stat100.ameba.jp/tnk47/ratio20/illustrations/card/ill_77963_0_kurisumasudaisakusentakiyashahime03.jpg?202103-5-RELEASE-marathon-521x", "■")</f>
        <v>■</v>
      </c>
      <c r="F193" s="14" t="s">
        <v>2127</v>
      </c>
      <c r="G193" s="14">
        <v>294746</v>
      </c>
      <c r="H193" s="14">
        <v>266388</v>
      </c>
      <c r="I193" s="14">
        <v>24</v>
      </c>
      <c r="J193" s="14" t="s">
        <v>77</v>
      </c>
      <c r="K193" s="14" t="s">
        <v>2128</v>
      </c>
      <c r="L193" s="14" t="s">
        <v>2129</v>
      </c>
      <c r="M193" s="14" t="s">
        <v>9158</v>
      </c>
      <c r="N193" s="14" t="s">
        <v>9158</v>
      </c>
      <c r="O193" s="19" t="s">
        <v>10107</v>
      </c>
      <c r="P193" s="14" t="s">
        <v>3589</v>
      </c>
      <c r="Q193" s="14">
        <v>2</v>
      </c>
    </row>
    <row r="194" spans="1:17">
      <c r="A194" s="14" t="s">
        <v>5618</v>
      </c>
      <c r="B194" s="14" t="s">
        <v>52</v>
      </c>
      <c r="C194" s="14" t="s">
        <v>23</v>
      </c>
      <c r="D194" s="19" t="s">
        <v>665</v>
      </c>
      <c r="E194" s="15" t="str">
        <f>HYPERLINK("https://stat100.ameba.jp/tnk47/ratio20/illustrations/card/ill_63173_0_minazukikonakaiteruko03.jpg?202103-5-RELEASE-marathon-521x", "■")</f>
        <v>■</v>
      </c>
      <c r="F194" s="14" t="s">
        <v>1188</v>
      </c>
      <c r="G194" s="14">
        <v>208310</v>
      </c>
      <c r="H194" s="14">
        <v>224026</v>
      </c>
      <c r="I194" s="14">
        <v>24</v>
      </c>
      <c r="J194" s="14" t="s">
        <v>143</v>
      </c>
      <c r="K194" s="14" t="s">
        <v>1189</v>
      </c>
      <c r="L194" s="14" t="s">
        <v>1190</v>
      </c>
      <c r="M194" s="14" t="s">
        <v>9158</v>
      </c>
      <c r="N194" s="14" t="s">
        <v>9158</v>
      </c>
      <c r="O194" s="19" t="s">
        <v>10079</v>
      </c>
      <c r="P194" s="14" t="s">
        <v>3329</v>
      </c>
      <c r="Q194" s="14">
        <v>1</v>
      </c>
    </row>
    <row r="195" spans="1:17">
      <c r="A195" s="14" t="s">
        <v>5612</v>
      </c>
      <c r="B195" s="14" t="s">
        <v>52</v>
      </c>
      <c r="C195" s="14" t="s">
        <v>165</v>
      </c>
      <c r="D195" s="19" t="s">
        <v>789</v>
      </c>
      <c r="E195" s="15" t="str">
        <f>HYPERLINK("https://stat100.ameba.jp/tnk47/ratio20/illustrations/card/ill_49193_0_onmyoudouabenoseimei03.jpg?202103-5-RELEASE-marathon-521x", "■")</f>
        <v>■</v>
      </c>
      <c r="F195" s="14" t="s">
        <v>1896</v>
      </c>
      <c r="G195" s="14">
        <v>133938</v>
      </c>
      <c r="H195" s="14">
        <v>150776</v>
      </c>
      <c r="I195" s="14">
        <v>24</v>
      </c>
      <c r="J195" s="14" t="s">
        <v>10</v>
      </c>
      <c r="K195" s="14" t="s">
        <v>1897</v>
      </c>
      <c r="L195" s="14" t="s">
        <v>1898</v>
      </c>
      <c r="M195" s="14" t="s">
        <v>9158</v>
      </c>
      <c r="N195" s="14" t="s">
        <v>9158</v>
      </c>
      <c r="O195" s="14" t="s">
        <v>9158</v>
      </c>
      <c r="P195" s="14" t="s">
        <v>9158</v>
      </c>
      <c r="Q195" s="14" t="s">
        <v>9158</v>
      </c>
    </row>
    <row r="196" spans="1:17">
      <c r="A196" s="14">
        <v>96553</v>
      </c>
      <c r="B196" s="14" t="s">
        <v>0</v>
      </c>
      <c r="C196" s="14" t="s">
        <v>101</v>
      </c>
      <c r="D196" s="14" t="s">
        <v>16826</v>
      </c>
      <c r="E196" s="15" t="str">
        <f>HYPERLINK("https://stat100.ameba.jp/tnk47/ratio20/illustrations/card/ill_96553_saishomarugotto03.jpg?202103-5-RELEASE-marathon-521x", "■")</f>
        <v>■</v>
      </c>
      <c r="F196" s="14" t="s">
        <v>16825</v>
      </c>
      <c r="G196" s="14">
        <v>98019</v>
      </c>
      <c r="H196" s="14">
        <v>105465</v>
      </c>
      <c r="I196" s="14">
        <v>27</v>
      </c>
      <c r="J196" s="14" t="s">
        <v>44</v>
      </c>
      <c r="K196" s="14" t="s">
        <v>16824</v>
      </c>
      <c r="L196" s="14" t="s">
        <v>16823</v>
      </c>
      <c r="M196" s="14" t="s">
        <v>9158</v>
      </c>
      <c r="N196" s="14" t="s">
        <v>9158</v>
      </c>
      <c r="O196" s="14" t="s">
        <v>9158</v>
      </c>
      <c r="P196" s="14" t="s">
        <v>9158</v>
      </c>
      <c r="Q196" s="14" t="s">
        <v>9158</v>
      </c>
    </row>
    <row r="197" spans="1:17">
      <c r="A197" s="14">
        <v>96573</v>
      </c>
      <c r="B197" s="14" t="s">
        <v>15</v>
      </c>
      <c r="C197" s="14" t="s">
        <v>1</v>
      </c>
      <c r="D197" s="14" t="s">
        <v>16832</v>
      </c>
      <c r="E197" s="15" t="str">
        <f>HYPERLINK("https://stat100.ameba.jp/tnk47/ratio20/illustrations/card/ill_96573_kurohime03.jpg?202103-5-RELEASE-marathon-521x", "■")</f>
        <v>■</v>
      </c>
      <c r="F197" s="14" t="s">
        <v>16831</v>
      </c>
      <c r="G197" s="14">
        <v>72586</v>
      </c>
      <c r="H197" s="14">
        <v>80028</v>
      </c>
      <c r="I197" s="14">
        <v>27</v>
      </c>
      <c r="J197" s="14" t="s">
        <v>16</v>
      </c>
      <c r="K197" s="14" t="s">
        <v>16830</v>
      </c>
      <c r="L197" s="14" t="s">
        <v>981</v>
      </c>
      <c r="M197" s="14" t="s">
        <v>9158</v>
      </c>
      <c r="N197" s="14" t="s">
        <v>9158</v>
      </c>
      <c r="O197" s="14" t="s">
        <v>9158</v>
      </c>
      <c r="P197" s="14" t="s">
        <v>9158</v>
      </c>
      <c r="Q197" s="14" t="s">
        <v>9158</v>
      </c>
    </row>
    <row r="198" spans="1:17">
      <c r="A198" s="14">
        <v>96583</v>
      </c>
      <c r="B198" s="14" t="s">
        <v>22</v>
      </c>
      <c r="C198" s="14" t="s">
        <v>14</v>
      </c>
      <c r="D198" s="14" t="s">
        <v>16835</v>
      </c>
      <c r="E198" s="15" t="str">
        <f>HYPERLINK("https://stat100.ameba.jp/tnk47/ratio20/illustrations/card/ill_96583_kokeshichan03.jpg?202103-5-RELEASE-marathon-521x", "■")</f>
        <v>■</v>
      </c>
      <c r="F198" s="14" t="s">
        <v>16834</v>
      </c>
      <c r="G198" s="14">
        <v>56138</v>
      </c>
      <c r="H198" s="14">
        <v>46676</v>
      </c>
      <c r="I198" s="14">
        <v>27</v>
      </c>
      <c r="J198" s="14" t="s">
        <v>26</v>
      </c>
      <c r="K198" s="14" t="s">
        <v>16833</v>
      </c>
      <c r="L198" s="14" t="s">
        <v>2635</v>
      </c>
      <c r="M198" s="14" t="s">
        <v>9158</v>
      </c>
      <c r="N198" s="14" t="s">
        <v>9158</v>
      </c>
      <c r="O198" s="14" t="s">
        <v>9158</v>
      </c>
      <c r="P198" s="14" t="s">
        <v>9158</v>
      </c>
      <c r="Q198" s="14" t="s">
        <v>9158</v>
      </c>
    </row>
    <row r="199" spans="1:17">
      <c r="A199" s="14">
        <v>96593</v>
      </c>
      <c r="B199" s="14" t="s">
        <v>22</v>
      </c>
      <c r="C199" s="14" t="s">
        <v>107</v>
      </c>
      <c r="D199" s="14" t="s">
        <v>16838</v>
      </c>
      <c r="E199" s="15" t="str">
        <f>HYPERLINK("https://stat100.ameba.jp/tnk47/ratio20/illustrations/card/ill_96593_kasuterachan03.jpg?202103-5-RELEASE-marathon-521x", "■")</f>
        <v>■</v>
      </c>
      <c r="F199" s="14" t="s">
        <v>16837</v>
      </c>
      <c r="G199" s="14">
        <v>46676</v>
      </c>
      <c r="H199" s="14">
        <v>56138</v>
      </c>
      <c r="I199" s="14">
        <v>27</v>
      </c>
      <c r="J199" s="14" t="s">
        <v>26</v>
      </c>
      <c r="K199" s="14" t="s">
        <v>16836</v>
      </c>
      <c r="L199" s="14" t="s">
        <v>28</v>
      </c>
      <c r="M199" s="14" t="s">
        <v>9158</v>
      </c>
      <c r="N199" s="14" t="s">
        <v>9158</v>
      </c>
      <c r="O199" s="14" t="s">
        <v>9158</v>
      </c>
      <c r="P199" s="14" t="s">
        <v>9158</v>
      </c>
      <c r="Q199" s="14" t="s">
        <v>9158</v>
      </c>
    </row>
    <row r="201" spans="1:17">
      <c r="A201" s="14" t="s">
        <v>4065</v>
      </c>
    </row>
    <row r="202" spans="1:17">
      <c r="A202" s="14">
        <v>107292</v>
      </c>
      <c r="B202" s="14" t="s">
        <v>16950</v>
      </c>
    </row>
    <row r="203" spans="1:17">
      <c r="A203" s="9" t="s">
        <v>6905</v>
      </c>
      <c r="B203" s="14" t="s">
        <v>330</v>
      </c>
      <c r="C203" s="14" t="s">
        <v>35</v>
      </c>
      <c r="D203" s="14" t="s">
        <v>4161</v>
      </c>
      <c r="E203" s="15" t="str">
        <f>HYPERLINK("https://stat100.ameba.jp/tnk47/ratio20/illustrations/card/ill_80623_0_ohanamigurampingutominushihime03.jpg?202103-5-RELEASE-marathon-521x", "■")</f>
        <v>■</v>
      </c>
      <c r="F203" s="14" t="s">
        <v>4162</v>
      </c>
      <c r="G203" s="14">
        <v>325434</v>
      </c>
      <c r="H203" s="14">
        <v>294156</v>
      </c>
      <c r="I203" s="14">
        <v>27</v>
      </c>
      <c r="J203" s="14" t="s">
        <v>44</v>
      </c>
      <c r="K203" s="14" t="s">
        <v>4163</v>
      </c>
      <c r="L203" s="14" t="s">
        <v>4164</v>
      </c>
      <c r="M203" s="14" t="s">
        <v>9158</v>
      </c>
      <c r="N203" s="14" t="s">
        <v>9158</v>
      </c>
      <c r="O203" s="9" t="s">
        <v>4165</v>
      </c>
      <c r="P203" s="14" t="s">
        <v>4166</v>
      </c>
      <c r="Q203" s="14">
        <v>1</v>
      </c>
    </row>
    <row r="204" spans="1:17">
      <c r="A204" s="14">
        <v>81023</v>
      </c>
      <c r="B204" s="14" t="s">
        <v>334</v>
      </c>
      <c r="C204" s="14" t="s">
        <v>41</v>
      </c>
      <c r="D204" s="19" t="s">
        <v>10274</v>
      </c>
      <c r="E204" s="15" t="str">
        <f>HYPERLINK("https://stat100.ameba.jp/tnk47/ratio20/illustrations/card/ill_81023_momonokenki03.jpg?202103-5-RELEASE-marathon-521x", "■")</f>
        <v>■</v>
      </c>
      <c r="F204" s="14" t="s">
        <v>4088</v>
      </c>
      <c r="G204" s="14">
        <v>142716</v>
      </c>
      <c r="H204" s="14">
        <v>103361</v>
      </c>
      <c r="I204" s="14">
        <v>27</v>
      </c>
      <c r="J204" s="14" t="s">
        <v>143</v>
      </c>
      <c r="K204" s="14" t="s">
        <v>4089</v>
      </c>
      <c r="L204" s="14" t="s">
        <v>2049</v>
      </c>
      <c r="M204" s="14" t="s">
        <v>9158</v>
      </c>
      <c r="N204" s="14" t="s">
        <v>9158</v>
      </c>
      <c r="O204" s="19" t="s">
        <v>10096</v>
      </c>
      <c r="P204" s="14" t="s">
        <v>3245</v>
      </c>
      <c r="Q204" s="14">
        <v>1</v>
      </c>
    </row>
    <row r="205" spans="1:17">
      <c r="A205" s="14">
        <v>75053</v>
      </c>
      <c r="B205" s="14" t="s">
        <v>334</v>
      </c>
      <c r="C205" s="14" t="s">
        <v>47</v>
      </c>
      <c r="D205" s="19" t="s">
        <v>10366</v>
      </c>
      <c r="E205" s="15" t="str">
        <f>HYPERLINK("https://stat100.ameba.jp/tnk47/ratio20/illustrations/card/ill_75053_goshikinuma03.jpg?202103-5-RELEASE-marathon-521x", "■")</f>
        <v>■</v>
      </c>
      <c r="F205" s="14" t="s">
        <v>5644</v>
      </c>
      <c r="G205" s="14">
        <v>99702</v>
      </c>
      <c r="H205" s="14">
        <v>137662</v>
      </c>
      <c r="I205" s="14">
        <v>27</v>
      </c>
      <c r="J205" s="14" t="s">
        <v>26</v>
      </c>
      <c r="K205" s="14" t="s">
        <v>5646</v>
      </c>
      <c r="L205" s="14" t="s">
        <v>2137</v>
      </c>
      <c r="M205" s="14" t="s">
        <v>9158</v>
      </c>
      <c r="N205" s="14" t="s">
        <v>9158</v>
      </c>
      <c r="O205" s="19" t="s">
        <v>10093</v>
      </c>
      <c r="P205" s="14" t="s">
        <v>13145</v>
      </c>
      <c r="Q205" s="14">
        <v>1</v>
      </c>
    </row>
    <row r="206" spans="1:17">
      <c r="A206" s="14">
        <v>84333</v>
      </c>
      <c r="B206" s="14" t="s">
        <v>0</v>
      </c>
      <c r="C206" s="14" t="s">
        <v>209</v>
      </c>
      <c r="D206" s="19" t="s">
        <v>10692</v>
      </c>
      <c r="E206" s="15" t="str">
        <f>HYPERLINK("https://stat100.ameba.jp/tnk47/ratio20/illustrations/card/ill_84333_otometeia03.jpg?202103-5-RELEASE-marathon-521x", "■")</f>
        <v>■</v>
      </c>
      <c r="F206" s="14" t="s">
        <v>7401</v>
      </c>
      <c r="G206" s="14">
        <v>118001</v>
      </c>
      <c r="H206" s="14">
        <v>85483</v>
      </c>
      <c r="I206" s="14">
        <v>27</v>
      </c>
      <c r="J206" s="14" t="s">
        <v>16</v>
      </c>
      <c r="K206" s="14" t="s">
        <v>7399</v>
      </c>
      <c r="L206" s="14" t="s">
        <v>4046</v>
      </c>
      <c r="M206" s="14" t="s">
        <v>9158</v>
      </c>
      <c r="N206" s="14" t="s">
        <v>9158</v>
      </c>
      <c r="O206" s="19" t="s">
        <v>10129</v>
      </c>
      <c r="P206" s="14" t="s">
        <v>3581</v>
      </c>
      <c r="Q206" s="14">
        <v>1</v>
      </c>
    </row>
    <row r="208" spans="1:17">
      <c r="A208" s="14" t="s">
        <v>204</v>
      </c>
      <c r="D208" s="7"/>
    </row>
    <row r="209" spans="1:17">
      <c r="A209" s="14">
        <v>237225</v>
      </c>
      <c r="B209" s="14" t="s">
        <v>16951</v>
      </c>
      <c r="D209" s="7"/>
    </row>
    <row r="210" spans="1:17">
      <c r="A210" s="14" t="s">
        <v>6195</v>
      </c>
      <c r="B210" s="14" t="s">
        <v>52</v>
      </c>
      <c r="C210" s="14" t="s">
        <v>191</v>
      </c>
      <c r="D210" s="20" t="s">
        <v>10217</v>
      </c>
      <c r="E210" s="15" t="str">
        <f>HYPERLINK("https://stat100.ameba.jp/tnk47/ratio20/illustrations/card/ill_56493_0_poppukurisumasuikomakitsuno03.jpg?202103-5-RELEASE-marathon-521x", "■")</f>
        <v>■</v>
      </c>
      <c r="F210" s="14" t="s">
        <v>1769</v>
      </c>
      <c r="G210" s="14">
        <v>138212</v>
      </c>
      <c r="H210" s="14">
        <v>122776</v>
      </c>
      <c r="I210" s="14">
        <v>22</v>
      </c>
      <c r="J210" s="14" t="s">
        <v>77</v>
      </c>
      <c r="K210" s="14" t="s">
        <v>1770</v>
      </c>
      <c r="L210" s="14" t="s">
        <v>1771</v>
      </c>
      <c r="M210" s="14" t="s">
        <v>9158</v>
      </c>
      <c r="N210" s="14" t="s">
        <v>9158</v>
      </c>
      <c r="O210" s="19" t="s">
        <v>10120</v>
      </c>
      <c r="P210" s="14" t="s">
        <v>2724</v>
      </c>
      <c r="Q210" s="14">
        <v>1</v>
      </c>
    </row>
    <row r="211" spans="1:17">
      <c r="A211" s="14" t="s">
        <v>5620</v>
      </c>
      <c r="B211" s="14" t="s">
        <v>330</v>
      </c>
      <c r="C211" s="14" t="s">
        <v>206</v>
      </c>
      <c r="D211" s="20" t="s">
        <v>669</v>
      </c>
      <c r="E211" s="15" t="str">
        <f>HYPERLINK("https://stat100.ameba.jp/tnk47/ratio20/illustrations/card/ill_67173_0_yukemuriawamorichan03.jpg?202103-5-RELEASE-marathon-521x", "■")</f>
        <v>■</v>
      </c>
      <c r="F211" s="14" t="s">
        <v>670</v>
      </c>
      <c r="G211" s="14">
        <v>169032</v>
      </c>
      <c r="H211" s="14">
        <v>157150</v>
      </c>
      <c r="I211" s="14">
        <v>22</v>
      </c>
      <c r="J211" s="14" t="s">
        <v>283</v>
      </c>
      <c r="K211" s="14" t="s">
        <v>671</v>
      </c>
      <c r="L211" s="14" t="s">
        <v>672</v>
      </c>
      <c r="M211" s="14" t="s">
        <v>9158</v>
      </c>
      <c r="N211" s="14" t="s">
        <v>9158</v>
      </c>
      <c r="O211" s="19" t="s">
        <v>10087</v>
      </c>
      <c r="P211" s="14" t="s">
        <v>3455</v>
      </c>
      <c r="Q211" s="14">
        <v>1</v>
      </c>
    </row>
    <row r="212" spans="1:17">
      <c r="A212" s="14" t="s">
        <v>5622</v>
      </c>
      <c r="B212" s="14" t="s">
        <v>330</v>
      </c>
      <c r="C212" s="14" t="s">
        <v>335</v>
      </c>
      <c r="D212" s="19" t="s">
        <v>509</v>
      </c>
      <c r="E212" s="15" t="str">
        <f>HYPERLINK("https://stat100.ameba.jp/tnk47/ratio20/illustrations/card/ill_49953_0_yushamarihime03.jpg?202103-5-RELEASE-marathon-521x", "■")</f>
        <v>■</v>
      </c>
      <c r="F212" s="14" t="s">
        <v>510</v>
      </c>
      <c r="G212" s="14">
        <v>138212</v>
      </c>
      <c r="H212" s="14">
        <v>122776</v>
      </c>
      <c r="I212" s="14">
        <v>22</v>
      </c>
      <c r="J212" s="14" t="s">
        <v>315</v>
      </c>
      <c r="K212" s="14" t="s">
        <v>511</v>
      </c>
      <c r="L212" s="14" t="s">
        <v>512</v>
      </c>
      <c r="M212" s="14" t="s">
        <v>9158</v>
      </c>
      <c r="N212" s="14" t="s">
        <v>9158</v>
      </c>
      <c r="O212" s="14" t="s">
        <v>9158</v>
      </c>
      <c r="P212" s="14" t="s">
        <v>9158</v>
      </c>
      <c r="Q212" s="14" t="s">
        <v>9158</v>
      </c>
    </row>
    <row r="213" spans="1:17">
      <c r="A213" s="14">
        <v>71753</v>
      </c>
      <c r="B213" s="14" t="s">
        <v>0</v>
      </c>
      <c r="C213" s="14" t="s">
        <v>205</v>
      </c>
      <c r="D213" s="19" t="s">
        <v>11542</v>
      </c>
      <c r="E213" s="15" t="str">
        <f>HYPERLINK("https://stat100.ameba.jp/tnk47/ratio20/illustrations/card/ill_71753_kozaiyoshikiyo03.jpg?202103-5-RELEASE-marathon-521x", "■")</f>
        <v>■</v>
      </c>
      <c r="F213" s="14" t="s">
        <v>3617</v>
      </c>
      <c r="G213" s="14">
        <v>139860</v>
      </c>
      <c r="H213" s="14">
        <v>78696</v>
      </c>
      <c r="I213" s="14">
        <v>29</v>
      </c>
      <c r="J213" s="14" t="s">
        <v>194</v>
      </c>
      <c r="K213" s="14" t="s">
        <v>3618</v>
      </c>
      <c r="L213" s="14" t="s">
        <v>912</v>
      </c>
      <c r="M213" s="14" t="s">
        <v>9158</v>
      </c>
      <c r="N213" s="14" t="s">
        <v>9158</v>
      </c>
      <c r="O213" s="14" t="s">
        <v>9158</v>
      </c>
      <c r="P213" s="14" t="s">
        <v>9158</v>
      </c>
      <c r="Q213" s="14" t="s">
        <v>9158</v>
      </c>
    </row>
    <row r="214" spans="1:17">
      <c r="A214" s="9">
        <v>54093</v>
      </c>
      <c r="B214" s="9" t="s">
        <v>334</v>
      </c>
      <c r="C214" s="9" t="s">
        <v>191</v>
      </c>
      <c r="D214" s="9" t="s">
        <v>618</v>
      </c>
      <c r="E214" s="15" t="str">
        <f>HYPERLINK("https://stat100.ameba.jp/tnk47/ratio20/illustrations/card/ill_54093_fuyugaki03.jpg?202103-5-RELEASE-marathon-521x", "■")</f>
        <v>■</v>
      </c>
      <c r="F214" s="9" t="s">
        <v>619</v>
      </c>
      <c r="G214" s="14">
        <v>125824</v>
      </c>
      <c r="H214" s="14">
        <v>90456</v>
      </c>
      <c r="I214" s="14">
        <v>29</v>
      </c>
      <c r="J214" s="9" t="s">
        <v>283</v>
      </c>
      <c r="K214" s="9" t="s">
        <v>620</v>
      </c>
      <c r="L214" s="9" t="s">
        <v>621</v>
      </c>
      <c r="M214" s="14" t="s">
        <v>9158</v>
      </c>
      <c r="N214" s="14" t="s">
        <v>9158</v>
      </c>
      <c r="O214" s="14" t="s">
        <v>9158</v>
      </c>
      <c r="P214" s="14" t="s">
        <v>9158</v>
      </c>
      <c r="Q214" s="14" t="s">
        <v>9158</v>
      </c>
    </row>
    <row r="215" spans="1:17">
      <c r="A215" s="9">
        <v>76563</v>
      </c>
      <c r="B215" s="14" t="s">
        <v>334</v>
      </c>
      <c r="C215" s="14" t="s">
        <v>344</v>
      </c>
      <c r="D215" s="14" t="s">
        <v>3872</v>
      </c>
      <c r="E215" s="15" t="str">
        <f>HYPERLINK("https://stat100.ameba.jp/tnk47/ratio20/illustrations/card/ill_76563_hannarideru03.jpg?202103-5-RELEASE-marathon-521x", "■")</f>
        <v>■</v>
      </c>
      <c r="F215" s="14" t="s">
        <v>741</v>
      </c>
      <c r="G215" s="14">
        <v>113277</v>
      </c>
      <c r="H215" s="14">
        <v>105281</v>
      </c>
      <c r="I215" s="14">
        <v>29</v>
      </c>
      <c r="J215" s="14" t="s">
        <v>351</v>
      </c>
      <c r="K215" s="14" t="s">
        <v>742</v>
      </c>
      <c r="L215" s="14" t="s">
        <v>743</v>
      </c>
      <c r="M215" s="14" t="s">
        <v>9158</v>
      </c>
      <c r="N215" s="14" t="s">
        <v>9158</v>
      </c>
      <c r="O215" s="14" t="s">
        <v>9158</v>
      </c>
      <c r="P215" s="14" t="s">
        <v>9158</v>
      </c>
      <c r="Q215" s="14" t="s">
        <v>9158</v>
      </c>
    </row>
    <row r="217" spans="1:17">
      <c r="A217" s="14" t="s">
        <v>3911</v>
      </c>
    </row>
    <row r="218" spans="1:17">
      <c r="A218" s="14">
        <v>107357</v>
      </c>
      <c r="B218" s="14" t="s">
        <v>16952</v>
      </c>
      <c r="G218" s="9"/>
      <c r="H218" s="9"/>
      <c r="I218" s="9"/>
    </row>
    <row r="219" spans="1:17">
      <c r="A219" s="14">
        <v>107367</v>
      </c>
      <c r="B219" s="14" t="s">
        <v>15721</v>
      </c>
    </row>
    <row r="220" spans="1:17">
      <c r="A220" s="14" t="s">
        <v>15831</v>
      </c>
      <c r="B220" s="7" t="s">
        <v>52</v>
      </c>
      <c r="C220" s="14" t="s">
        <v>202</v>
      </c>
      <c r="D220" s="18" t="s">
        <v>15825</v>
      </c>
      <c r="E220" s="15" t="str">
        <f>HYPERLINK("https://stat100.ameba.jp/tnk47/ratio20/illustrations/card/ill_94293_0_kurisumasupurezentofukudahideko03.jpg?202103-5-RELEASE-marathon-521x", "■")</f>
        <v>■</v>
      </c>
      <c r="F220" s="14" t="s">
        <v>15830</v>
      </c>
      <c r="G220" s="14">
        <v>319106</v>
      </c>
      <c r="H220" s="14">
        <v>288416</v>
      </c>
      <c r="I220" s="7">
        <v>29</v>
      </c>
      <c r="J220" s="14" t="s">
        <v>16</v>
      </c>
      <c r="K220" s="14" t="s">
        <v>15829</v>
      </c>
      <c r="L220" s="14" t="s">
        <v>15828</v>
      </c>
      <c r="M220" s="14" t="s">
        <v>9158</v>
      </c>
      <c r="N220" s="14" t="s">
        <v>9158</v>
      </c>
      <c r="O220" s="6" t="s">
        <v>15827</v>
      </c>
      <c r="P220" s="7" t="s">
        <v>15826</v>
      </c>
      <c r="Q220" s="7">
        <v>1</v>
      </c>
    </row>
    <row r="221" spans="1:17">
      <c r="A221" s="9" t="s">
        <v>9891</v>
      </c>
      <c r="B221" s="7" t="s">
        <v>52</v>
      </c>
      <c r="C221" s="9" t="s">
        <v>202</v>
      </c>
      <c r="D221" s="6" t="s">
        <v>9978</v>
      </c>
      <c r="E221" s="15" t="str">
        <f>HYPERLINK("https://stat100.ameba.jp/tnk47/ratio20/illustrations/card/ill_87643_0_oendanotohime03.jpg?202103-5-RELEASE-marathon-521x", "■")</f>
        <v>■</v>
      </c>
      <c r="F221" s="14" t="s">
        <v>9928</v>
      </c>
      <c r="G221" s="9">
        <v>301982</v>
      </c>
      <c r="H221" s="9">
        <v>369062</v>
      </c>
      <c r="I221" s="7">
        <v>29</v>
      </c>
      <c r="J221" s="9" t="s">
        <v>155</v>
      </c>
      <c r="K221" s="14" t="s">
        <v>9932</v>
      </c>
      <c r="L221" s="14" t="s">
        <v>9933</v>
      </c>
      <c r="M221" s="14" t="s">
        <v>9158</v>
      </c>
      <c r="N221" s="14" t="s">
        <v>9158</v>
      </c>
      <c r="O221" s="6" t="s">
        <v>9989</v>
      </c>
      <c r="P221" s="7" t="s">
        <v>9944</v>
      </c>
      <c r="Q221" s="7">
        <v>1</v>
      </c>
    </row>
    <row r="222" spans="1:17">
      <c r="A222" s="14" t="s">
        <v>5622</v>
      </c>
      <c r="B222" s="14" t="s">
        <v>330</v>
      </c>
      <c r="C222" s="14" t="s">
        <v>335</v>
      </c>
      <c r="D222" s="19" t="s">
        <v>509</v>
      </c>
      <c r="E222" s="15" t="str">
        <f>HYPERLINK("https://stat100.ameba.jp/tnk47/ratio20/illustrations/card/ill_49953_0_yushamarihime03.jpg?202103-5-RELEASE-marathon-521x", "■")</f>
        <v>■</v>
      </c>
      <c r="F222" s="14" t="s">
        <v>510</v>
      </c>
      <c r="G222" s="14">
        <v>182188</v>
      </c>
      <c r="H222" s="14">
        <v>161842</v>
      </c>
      <c r="I222" s="7">
        <v>29</v>
      </c>
      <c r="J222" s="14" t="s">
        <v>315</v>
      </c>
      <c r="K222" s="14" t="s">
        <v>511</v>
      </c>
      <c r="L222" s="14" t="s">
        <v>512</v>
      </c>
      <c r="M222" s="14" t="s">
        <v>9158</v>
      </c>
      <c r="N222" s="14" t="s">
        <v>9158</v>
      </c>
      <c r="O222" s="14" t="s">
        <v>9158</v>
      </c>
      <c r="P222" s="14" t="s">
        <v>9158</v>
      </c>
      <c r="Q222" s="14" t="s">
        <v>9158</v>
      </c>
    </row>
    <row r="223" spans="1:17">
      <c r="A223" s="14">
        <v>79523</v>
      </c>
      <c r="B223" s="14" t="s">
        <v>0</v>
      </c>
      <c r="C223" s="14" t="s">
        <v>203</v>
      </c>
      <c r="D223" s="20" t="s">
        <v>10309</v>
      </c>
      <c r="E223" s="15" t="str">
        <f>HYPERLINK("https://stat100.ameba.jp/tnk47/ratio20/illustrations/card/ill_79523_shikyokunoashurato03.jpg?202103-5-RELEASE-marathon-521x", "■")</f>
        <v>■</v>
      </c>
      <c r="F223" s="14" t="s">
        <v>3590</v>
      </c>
      <c r="G223" s="14">
        <v>91815</v>
      </c>
      <c r="H223" s="14">
        <v>126741</v>
      </c>
      <c r="I223" s="7">
        <v>29</v>
      </c>
      <c r="J223" s="14" t="s">
        <v>77</v>
      </c>
      <c r="K223" s="14" t="s">
        <v>3591</v>
      </c>
      <c r="L223" s="14" t="s">
        <v>1955</v>
      </c>
      <c r="M223" s="14" t="s">
        <v>9158</v>
      </c>
      <c r="N223" s="14" t="s">
        <v>9158</v>
      </c>
      <c r="O223" s="19" t="s">
        <v>10074</v>
      </c>
      <c r="P223" s="14" t="s">
        <v>3592</v>
      </c>
      <c r="Q223" s="14">
        <v>1</v>
      </c>
    </row>
    <row r="224" spans="1:17">
      <c r="A224" s="14">
        <v>73893</v>
      </c>
      <c r="B224" s="14" t="s">
        <v>334</v>
      </c>
      <c r="C224" s="14" t="s">
        <v>203</v>
      </c>
      <c r="D224" s="19" t="s">
        <v>10388</v>
      </c>
      <c r="E224" s="15" t="str">
        <f>HYPERLINK("https://stat100.ameba.jp/tnk47/ratio20/illustrations/card/ill_73893_kurohachidaimyojintookami03.jpg?202103-5-RELEASE-marathon-521x", "■")</f>
        <v>■</v>
      </c>
      <c r="F224" s="14" t="s">
        <v>685</v>
      </c>
      <c r="G224" s="14">
        <v>147992</v>
      </c>
      <c r="H224" s="14">
        <v>107188</v>
      </c>
      <c r="I224" s="7">
        <v>29</v>
      </c>
      <c r="J224" s="14" t="s">
        <v>274</v>
      </c>
      <c r="K224" s="14" t="s">
        <v>686</v>
      </c>
      <c r="L224" s="14" t="s">
        <v>428</v>
      </c>
      <c r="M224" s="14" t="s">
        <v>9158</v>
      </c>
      <c r="N224" s="14" t="s">
        <v>9158</v>
      </c>
      <c r="O224" s="19" t="s">
        <v>10100</v>
      </c>
      <c r="P224" s="14" t="s">
        <v>3810</v>
      </c>
      <c r="Q224" s="14">
        <v>1</v>
      </c>
    </row>
    <row r="225" spans="1:17">
      <c r="A225" s="14">
        <v>77673</v>
      </c>
      <c r="B225" s="14" t="s">
        <v>334</v>
      </c>
      <c r="C225" s="14" t="s">
        <v>158</v>
      </c>
      <c r="D225" s="19" t="s">
        <v>10270</v>
      </c>
      <c r="E225" s="15" t="str">
        <f>HYPERLINK("https://stat100.ameba.jp/tnk47/ratio20/illustrations/card/ill_77673_ryunochoji03.jpg?202103-5-RELEASE-marathon-521x", "■")</f>
        <v>■</v>
      </c>
      <c r="F225" s="14" t="s">
        <v>1777</v>
      </c>
      <c r="G225" s="14">
        <v>135229</v>
      </c>
      <c r="H225" s="14">
        <v>97970</v>
      </c>
      <c r="I225" s="7">
        <v>29</v>
      </c>
      <c r="J225" s="14" t="s">
        <v>73</v>
      </c>
      <c r="K225" s="14" t="s">
        <v>1778</v>
      </c>
      <c r="L225" s="14" t="s">
        <v>1779</v>
      </c>
      <c r="M225" s="14" t="s">
        <v>9158</v>
      </c>
      <c r="N225" s="14" t="s">
        <v>9158</v>
      </c>
      <c r="O225" s="19" t="s">
        <v>10090</v>
      </c>
      <c r="P225" s="14" t="s">
        <v>3460</v>
      </c>
      <c r="Q225" s="14">
        <v>1</v>
      </c>
    </row>
    <row r="226" spans="1:17">
      <c r="A226" s="14">
        <v>65643</v>
      </c>
      <c r="B226" s="14" t="s">
        <v>0</v>
      </c>
      <c r="C226" s="14" t="s">
        <v>209</v>
      </c>
      <c r="D226" s="20" t="s">
        <v>1681</v>
      </c>
      <c r="E226" s="15" t="str">
        <f>HYPERLINK("https://stat100.ameba.jp/tnk47/ratio20/illustrations/card/ill_65643_shitompekamui03.jpg?202103-5-RELEASE-marathon-521x", "■")</f>
        <v>■</v>
      </c>
      <c r="F226" s="14" t="s">
        <v>1250</v>
      </c>
      <c r="G226" s="14">
        <v>95880</v>
      </c>
      <c r="H226" s="14">
        <v>132379</v>
      </c>
      <c r="I226" s="7">
        <v>29</v>
      </c>
      <c r="J226" s="14" t="s">
        <v>44</v>
      </c>
      <c r="K226" s="14" t="s">
        <v>1251</v>
      </c>
      <c r="L226" s="14" t="s">
        <v>1252</v>
      </c>
      <c r="M226" s="14" t="s">
        <v>9158</v>
      </c>
      <c r="N226" s="14" t="s">
        <v>9158</v>
      </c>
      <c r="O226" s="19" t="s">
        <v>10096</v>
      </c>
      <c r="P226" s="14" t="s">
        <v>3245</v>
      </c>
      <c r="Q226" s="14">
        <v>1</v>
      </c>
    </row>
    <row r="227" spans="1:17">
      <c r="A227" s="14">
        <v>83083</v>
      </c>
      <c r="B227" s="14" t="s">
        <v>0</v>
      </c>
      <c r="C227" s="14" t="s">
        <v>209</v>
      </c>
      <c r="D227" s="19" t="s">
        <v>10469</v>
      </c>
      <c r="E227" s="15" t="str">
        <f>HYPERLINK("https://stat100.ameba.jp/tnk47/ratio20/illustrations/card/ill_83083_burakkukingu03.jpg?202103-5-RELEASE-marathon-521x", "■")</f>
        <v>■</v>
      </c>
      <c r="F227" s="14" t="s">
        <v>6093</v>
      </c>
      <c r="G227" s="14">
        <v>139753</v>
      </c>
      <c r="H227" s="14">
        <v>192940</v>
      </c>
      <c r="I227" s="7">
        <v>29</v>
      </c>
      <c r="J227" s="14" t="s">
        <v>194</v>
      </c>
      <c r="K227" s="14" t="s">
        <v>6095</v>
      </c>
      <c r="L227" s="14" t="s">
        <v>1148</v>
      </c>
      <c r="M227" s="14" t="s">
        <v>9158</v>
      </c>
      <c r="N227" s="14" t="s">
        <v>9158</v>
      </c>
      <c r="O227" s="19" t="s">
        <v>10117</v>
      </c>
      <c r="P227" s="14" t="s">
        <v>3625</v>
      </c>
      <c r="Q227" s="14">
        <v>1</v>
      </c>
    </row>
    <row r="228" spans="1:17">
      <c r="A228" s="7">
        <v>85643</v>
      </c>
      <c r="B228" s="7" t="s">
        <v>0</v>
      </c>
      <c r="C228" s="7" t="s">
        <v>154</v>
      </c>
      <c r="D228" s="20" t="s">
        <v>10828</v>
      </c>
      <c r="E228" s="15" t="str">
        <f>HYPERLINK("https://stat100.ameba.jp/tnk47/ratio20/illustrations/card/ill_85643_hosekisho03.jpg?202103-5-RELEASE-marathon-521x", "■")</f>
        <v>■</v>
      </c>
      <c r="F228" s="7" t="s">
        <v>8420</v>
      </c>
      <c r="G228" s="14">
        <v>126741</v>
      </c>
      <c r="H228" s="14">
        <v>91815</v>
      </c>
      <c r="I228" s="7">
        <v>29</v>
      </c>
      <c r="J228" s="7" t="s">
        <v>26</v>
      </c>
      <c r="K228" s="7" t="s">
        <v>8418</v>
      </c>
      <c r="L228" s="7" t="s">
        <v>3260</v>
      </c>
      <c r="M228" s="14" t="s">
        <v>9158</v>
      </c>
      <c r="N228" s="14" t="s">
        <v>9158</v>
      </c>
      <c r="O228" s="19" t="s">
        <v>10091</v>
      </c>
      <c r="P228" s="7" t="s">
        <v>3670</v>
      </c>
      <c r="Q228" s="7">
        <v>1</v>
      </c>
    </row>
    <row r="230" spans="1:17">
      <c r="A230" s="14" t="s">
        <v>207</v>
      </c>
    </row>
    <row r="231" spans="1:17">
      <c r="A231" s="14">
        <v>107297</v>
      </c>
      <c r="B231" s="14" t="s">
        <v>11560</v>
      </c>
    </row>
    <row r="232" spans="1:17">
      <c r="A232" s="14" t="s">
        <v>13086</v>
      </c>
      <c r="B232" s="7" t="s">
        <v>52</v>
      </c>
      <c r="C232" s="14" t="s">
        <v>202</v>
      </c>
      <c r="D232" s="18" t="s">
        <v>13084</v>
      </c>
      <c r="E232" s="15" t="str">
        <f>HYPERLINK("https://stat100.ameba.jp/tnk47/ratio20/illustrations/card/ill_89703_0_jumburaidohimiko03.jpg?202103-5-RELEASE-marathon-521x", "■")</f>
        <v>■</v>
      </c>
      <c r="F232" s="14" t="s">
        <v>13085</v>
      </c>
      <c r="G232" s="14">
        <v>305862</v>
      </c>
      <c r="H232" s="14">
        <v>250236</v>
      </c>
      <c r="I232" s="7">
        <v>24</v>
      </c>
      <c r="J232" s="14" t="s">
        <v>10</v>
      </c>
      <c r="K232" s="14" t="s">
        <v>13087</v>
      </c>
      <c r="L232" s="14" t="s">
        <v>12016</v>
      </c>
      <c r="M232" s="14" t="s">
        <v>9158</v>
      </c>
      <c r="N232" s="14" t="s">
        <v>9158</v>
      </c>
      <c r="O232" s="6" t="s">
        <v>13088</v>
      </c>
      <c r="P232" s="7" t="s">
        <v>13089</v>
      </c>
      <c r="Q232" s="7">
        <v>1</v>
      </c>
    </row>
    <row r="233" spans="1:17">
      <c r="A233" s="14" t="s">
        <v>6598</v>
      </c>
      <c r="B233" s="14" t="s">
        <v>330</v>
      </c>
      <c r="C233" s="14" t="s">
        <v>35</v>
      </c>
      <c r="D233" s="19" t="s">
        <v>10555</v>
      </c>
      <c r="E233" s="15" t="str">
        <f>HYPERLINK("https://stat100.ameba.jp/tnk47/ratio20/illustrations/card/ill_83553_0_kajuenamoronagu03.jpg?202103-5-RELEASE-marathon-521x", "■")</f>
        <v>■</v>
      </c>
      <c r="F233" s="14" t="s">
        <v>6597</v>
      </c>
      <c r="G233" s="14">
        <v>252640</v>
      </c>
      <c r="H233" s="14">
        <v>279536</v>
      </c>
      <c r="I233" s="14">
        <v>24</v>
      </c>
      <c r="J233" s="14" t="s">
        <v>44</v>
      </c>
      <c r="K233" s="14" t="s">
        <v>6595</v>
      </c>
      <c r="L233" s="14" t="s">
        <v>6594</v>
      </c>
      <c r="M233" s="14" t="s">
        <v>9158</v>
      </c>
      <c r="N233" s="14" t="s">
        <v>9158</v>
      </c>
      <c r="O233" s="19" t="s">
        <v>10125</v>
      </c>
      <c r="P233" s="14" t="s">
        <v>6599</v>
      </c>
      <c r="Q233" s="14">
        <v>1</v>
      </c>
    </row>
    <row r="234" spans="1:17">
      <c r="A234" s="14" t="s">
        <v>5830</v>
      </c>
      <c r="B234" s="14" t="s">
        <v>330</v>
      </c>
      <c r="C234" s="14" t="s">
        <v>191</v>
      </c>
      <c r="D234" s="19" t="s">
        <v>793</v>
      </c>
      <c r="E234" s="15" t="str">
        <f>HYPERLINK("https://stat100.ameba.jp/tnk47/ratio20/illustrations/card/ill_39933_0_reihiiinaotora03.jpg?202103-5-RELEASE-marathon-521x", "■")</f>
        <v>■</v>
      </c>
      <c r="F234" s="14" t="s">
        <v>794</v>
      </c>
      <c r="G234" s="14">
        <v>131538</v>
      </c>
      <c r="H234" s="14">
        <v>140448</v>
      </c>
      <c r="I234" s="14">
        <v>24</v>
      </c>
      <c r="J234" s="14" t="s">
        <v>315</v>
      </c>
      <c r="K234" s="14" t="s">
        <v>795</v>
      </c>
      <c r="L234" s="14" t="s">
        <v>796</v>
      </c>
      <c r="M234" s="14" t="s">
        <v>9158</v>
      </c>
      <c r="N234" s="14" t="s">
        <v>9158</v>
      </c>
      <c r="O234" s="14" t="s">
        <v>9158</v>
      </c>
      <c r="P234" s="14" t="s">
        <v>9158</v>
      </c>
      <c r="Q234" s="14" t="s">
        <v>9158</v>
      </c>
    </row>
    <row r="235" spans="1:17">
      <c r="A235" s="14">
        <v>96563</v>
      </c>
      <c r="B235" s="14" t="s">
        <v>0</v>
      </c>
      <c r="C235" s="14" t="s">
        <v>96</v>
      </c>
      <c r="D235" s="14" t="s">
        <v>16829</v>
      </c>
      <c r="E235" s="15" t="str">
        <f>HYPERLINK("https://stat100.ameba.jp/tnk47/ratio20/illustrations/card/ill_96563_junihitoe03.jpg?202103-5-RELEASE-marathon-521x", "■")</f>
        <v>■</v>
      </c>
      <c r="F235" s="14" t="s">
        <v>16828</v>
      </c>
      <c r="G235" s="14">
        <v>110129</v>
      </c>
      <c r="H235" s="14">
        <v>102386</v>
      </c>
      <c r="I235" s="14">
        <v>27</v>
      </c>
      <c r="J235" s="14" t="s">
        <v>38</v>
      </c>
      <c r="K235" s="14" t="s">
        <v>16827</v>
      </c>
      <c r="L235" s="14" t="s">
        <v>13427</v>
      </c>
      <c r="M235" s="14" t="s">
        <v>9158</v>
      </c>
      <c r="N235" s="14" t="s">
        <v>9158</v>
      </c>
      <c r="O235" s="14" t="s">
        <v>9158</v>
      </c>
      <c r="P235" s="14" t="s">
        <v>9158</v>
      </c>
      <c r="Q235" s="14" t="s">
        <v>9158</v>
      </c>
    </row>
    <row r="236" spans="1:17">
      <c r="A236" s="14">
        <v>96573</v>
      </c>
      <c r="B236" s="14" t="s">
        <v>15</v>
      </c>
      <c r="C236" s="14" t="s">
        <v>1</v>
      </c>
      <c r="D236" s="14" t="s">
        <v>16832</v>
      </c>
      <c r="E236" s="15" t="str">
        <f>HYPERLINK("https://stat100.ameba.jp/tnk47/ratio20/illustrations/card/ill_96573_kurohime03.jpg?202103-5-RELEASE-marathon-521x", "■")</f>
        <v>■</v>
      </c>
      <c r="F236" s="14" t="s">
        <v>16831</v>
      </c>
      <c r="G236" s="14">
        <v>72586</v>
      </c>
      <c r="H236" s="14">
        <v>80028</v>
      </c>
      <c r="I236" s="14">
        <v>27</v>
      </c>
      <c r="J236" s="14" t="s">
        <v>16</v>
      </c>
      <c r="K236" s="14" t="s">
        <v>16830</v>
      </c>
      <c r="L236" s="14" t="s">
        <v>981</v>
      </c>
      <c r="M236" s="14" t="s">
        <v>9158</v>
      </c>
      <c r="N236" s="14" t="s">
        <v>9158</v>
      </c>
      <c r="O236" s="14" t="s">
        <v>9158</v>
      </c>
      <c r="P236" s="14" t="s">
        <v>9158</v>
      </c>
      <c r="Q236" s="14" t="s">
        <v>9158</v>
      </c>
    </row>
    <row r="237" spans="1:17">
      <c r="A237" s="14">
        <v>96583</v>
      </c>
      <c r="B237" s="14" t="s">
        <v>22</v>
      </c>
      <c r="C237" s="14" t="s">
        <v>14</v>
      </c>
      <c r="D237" s="14" t="s">
        <v>16835</v>
      </c>
      <c r="E237" s="15" t="str">
        <f>HYPERLINK("https://stat100.ameba.jp/tnk47/ratio20/illustrations/card/ill_96583_kokeshichan03.jpg?202103-5-RELEASE-marathon-521x", "■")</f>
        <v>■</v>
      </c>
      <c r="F237" s="14" t="s">
        <v>16834</v>
      </c>
      <c r="G237" s="14">
        <v>56138</v>
      </c>
      <c r="H237" s="14">
        <v>46676</v>
      </c>
      <c r="I237" s="14">
        <v>27</v>
      </c>
      <c r="J237" s="14" t="s">
        <v>26</v>
      </c>
      <c r="K237" s="14" t="s">
        <v>16833</v>
      </c>
      <c r="L237" s="14" t="s">
        <v>2635</v>
      </c>
      <c r="M237" s="14" t="s">
        <v>9158</v>
      </c>
      <c r="N237" s="14" t="s">
        <v>9158</v>
      </c>
      <c r="O237" s="14" t="s">
        <v>9158</v>
      </c>
      <c r="P237" s="14" t="s">
        <v>9158</v>
      </c>
      <c r="Q237" s="14" t="s">
        <v>9158</v>
      </c>
    </row>
    <row r="238" spans="1:17">
      <c r="A238" s="14">
        <v>96593</v>
      </c>
      <c r="B238" s="14" t="s">
        <v>22</v>
      </c>
      <c r="C238" s="14" t="s">
        <v>107</v>
      </c>
      <c r="D238" s="14" t="s">
        <v>16838</v>
      </c>
      <c r="E238" s="15" t="str">
        <f>HYPERLINK("https://stat100.ameba.jp/tnk47/ratio20/illustrations/card/ill_96593_kasuterachan03.jpg?202103-5-RELEASE-marathon-521x", "■")</f>
        <v>■</v>
      </c>
      <c r="F238" s="14" t="s">
        <v>16837</v>
      </c>
      <c r="G238" s="14">
        <v>46676</v>
      </c>
      <c r="H238" s="14">
        <v>56138</v>
      </c>
      <c r="I238" s="14">
        <v>27</v>
      </c>
      <c r="J238" s="14" t="s">
        <v>26</v>
      </c>
      <c r="K238" s="14" t="s">
        <v>16836</v>
      </c>
      <c r="L238" s="14" t="s">
        <v>28</v>
      </c>
      <c r="M238" s="14" t="s">
        <v>9158</v>
      </c>
      <c r="N238" s="14" t="s">
        <v>9158</v>
      </c>
      <c r="O238" s="14" t="s">
        <v>9158</v>
      </c>
      <c r="P238" s="14" t="s">
        <v>9158</v>
      </c>
      <c r="Q238" s="14" t="s">
        <v>9158</v>
      </c>
    </row>
    <row r="240" spans="1:17">
      <c r="A240" s="14" t="s">
        <v>3916</v>
      </c>
    </row>
    <row r="241" spans="1:17">
      <c r="A241" s="14">
        <v>107320</v>
      </c>
      <c r="B241" s="14" t="s">
        <v>17046</v>
      </c>
    </row>
    <row r="242" spans="1:17">
      <c r="A242" s="14">
        <v>71013</v>
      </c>
      <c r="B242" s="14" t="s">
        <v>334</v>
      </c>
      <c r="C242" s="14" t="s">
        <v>154</v>
      </c>
      <c r="D242" s="19" t="s">
        <v>837</v>
      </c>
      <c r="E242" s="15" t="str">
        <f>HYPERLINK("https://stat100.ameba.jp/tnk47/ratio20/illustrations/card/ill_71013_fujutsushisarashina03.jpg?202103-5-RELEASE-marathon-521x", "■")</f>
        <v>■</v>
      </c>
      <c r="F242" s="14" t="s">
        <v>838</v>
      </c>
      <c r="G242" s="14">
        <v>116296</v>
      </c>
      <c r="H242" s="14">
        <v>125078</v>
      </c>
      <c r="I242" s="14">
        <v>29</v>
      </c>
      <c r="J242" s="14" t="s">
        <v>155</v>
      </c>
      <c r="K242" s="14" t="s">
        <v>1231</v>
      </c>
      <c r="L242" s="14" t="s">
        <v>13152</v>
      </c>
      <c r="M242" s="14" t="s">
        <v>9864</v>
      </c>
      <c r="N242" s="14" t="s">
        <v>9158</v>
      </c>
      <c r="O242" s="14" t="s">
        <v>9158</v>
      </c>
      <c r="P242" s="14" t="s">
        <v>9158</v>
      </c>
      <c r="Q242" s="14" t="s">
        <v>9158</v>
      </c>
    </row>
    <row r="243" spans="1:17">
      <c r="A243" s="14">
        <v>71023</v>
      </c>
      <c r="B243" s="14" t="s">
        <v>334</v>
      </c>
      <c r="C243" s="14" t="s">
        <v>158</v>
      </c>
      <c r="D243" s="19" t="s">
        <v>841</v>
      </c>
      <c r="E243" s="15" t="str">
        <f>HYPERLINK("https://stat100.ameba.jp/tnk47/ratio20/illustrations/card/ill_71023_ommyojiiroha03.jpg?202103-5-RELEASE-marathon-521x", "■")</f>
        <v>■</v>
      </c>
      <c r="F243" s="14" t="s">
        <v>842</v>
      </c>
      <c r="G243" s="14">
        <v>116296</v>
      </c>
      <c r="H243" s="14">
        <v>125078</v>
      </c>
      <c r="I243" s="14">
        <v>29</v>
      </c>
      <c r="J243" s="14" t="s">
        <v>159</v>
      </c>
      <c r="K243" s="14" t="s">
        <v>1232</v>
      </c>
      <c r="L243" s="14" t="s">
        <v>1233</v>
      </c>
      <c r="M243" s="14" t="s">
        <v>9158</v>
      </c>
      <c r="N243" s="14" t="s">
        <v>9158</v>
      </c>
      <c r="O243" s="14" t="s">
        <v>9158</v>
      </c>
      <c r="P243" s="14" t="s">
        <v>9158</v>
      </c>
      <c r="Q243" s="14" t="s">
        <v>9158</v>
      </c>
    </row>
    <row r="244" spans="1:17">
      <c r="A244" s="14">
        <v>66053</v>
      </c>
      <c r="B244" s="14" t="s">
        <v>334</v>
      </c>
      <c r="C244" s="14" t="s">
        <v>205</v>
      </c>
      <c r="D244" s="19" t="s">
        <v>3046</v>
      </c>
      <c r="E244" s="15" t="str">
        <f>HYPERLINK("https://stat100.ameba.jp/tnk47/ratio20/illustrations/card/ill_66053_serebukushiyatamanokami03.jpg?202103-5-RELEASE-marathon-521x", "■")</f>
        <v>■</v>
      </c>
      <c r="F244" s="14" t="s">
        <v>2265</v>
      </c>
      <c r="G244" s="14">
        <v>118287</v>
      </c>
      <c r="H244" s="14">
        <v>109970</v>
      </c>
      <c r="I244" s="14">
        <v>29</v>
      </c>
      <c r="J244" s="14" t="s">
        <v>44</v>
      </c>
      <c r="K244" s="14" t="s">
        <v>2266</v>
      </c>
      <c r="L244" s="14" t="s">
        <v>1860</v>
      </c>
      <c r="M244" s="14" t="s">
        <v>9158</v>
      </c>
      <c r="N244" s="14" t="s">
        <v>9158</v>
      </c>
      <c r="O244" s="14" t="s">
        <v>9158</v>
      </c>
      <c r="P244" s="14" t="s">
        <v>9158</v>
      </c>
      <c r="Q244" s="14" t="s">
        <v>9158</v>
      </c>
    </row>
    <row r="245" spans="1:17">
      <c r="A245" s="14">
        <v>65923</v>
      </c>
      <c r="B245" s="14" t="s">
        <v>334</v>
      </c>
      <c r="C245" s="14" t="s">
        <v>185</v>
      </c>
      <c r="D245" s="19" t="s">
        <v>10204</v>
      </c>
      <c r="E245" s="15" t="str">
        <f>HYPERLINK("https://stat100.ameba.jp/tnk47/ratio20/illustrations/card/ill_65923_arabianginko03.jpg?202103-5-RELEASE-marathon-521x", "■")</f>
        <v>■</v>
      </c>
      <c r="F245" s="14" t="s">
        <v>4978</v>
      </c>
      <c r="G245" s="14">
        <v>120830</v>
      </c>
      <c r="H245" s="14">
        <v>112369</v>
      </c>
      <c r="I245" s="14">
        <v>29</v>
      </c>
      <c r="J245" s="14" t="s">
        <v>182</v>
      </c>
      <c r="K245" s="14" t="s">
        <v>3679</v>
      </c>
      <c r="L245" s="14" t="s">
        <v>13188</v>
      </c>
      <c r="M245" s="14" t="s">
        <v>9158</v>
      </c>
      <c r="N245" s="14" t="s">
        <v>9158</v>
      </c>
      <c r="O245" s="14" t="s">
        <v>9158</v>
      </c>
      <c r="P245" s="14" t="s">
        <v>9158</v>
      </c>
      <c r="Q245" s="14" t="s">
        <v>9158</v>
      </c>
    </row>
    <row r="246" spans="1:17">
      <c r="A246" s="14">
        <v>52863</v>
      </c>
      <c r="B246" s="14" t="s">
        <v>15</v>
      </c>
      <c r="C246" s="14" t="s">
        <v>191</v>
      </c>
      <c r="D246" s="19" t="s">
        <v>10516</v>
      </c>
      <c r="E246" s="15" t="str">
        <f>HYPERLINK("https://stat100.ameba.jp/tnk47/ratio20/illustrations/card/ill_52863_andoroidokingyonota03.jpg?202103-5-RELEASE-marathon-521x", "■")</f>
        <v>■</v>
      </c>
      <c r="F246" s="14" t="s">
        <v>6409</v>
      </c>
      <c r="G246" s="14">
        <v>64520</v>
      </c>
      <c r="H246" s="14">
        <v>71136</v>
      </c>
      <c r="I246" s="14">
        <v>24</v>
      </c>
      <c r="J246" s="14" t="s">
        <v>38</v>
      </c>
      <c r="K246" s="14" t="s">
        <v>6407</v>
      </c>
      <c r="L246" s="14" t="s">
        <v>6406</v>
      </c>
      <c r="M246" s="14" t="s">
        <v>9158</v>
      </c>
      <c r="N246" s="14" t="s">
        <v>9158</v>
      </c>
      <c r="O246" s="14" t="s">
        <v>9158</v>
      </c>
      <c r="P246" s="14" t="s">
        <v>9158</v>
      </c>
      <c r="Q246" s="14" t="s">
        <v>9158</v>
      </c>
    </row>
    <row r="247" spans="1:17">
      <c r="A247" s="14">
        <v>51593</v>
      </c>
      <c r="B247" s="14" t="s">
        <v>15</v>
      </c>
      <c r="C247" s="14" t="s">
        <v>200</v>
      </c>
      <c r="D247" s="19" t="s">
        <v>10517</v>
      </c>
      <c r="E247" s="15" t="str">
        <f>HYPERLINK("https://stat100.ameba.jp/tnk47/ratio20/illustrations/card/ill_51593_kishuhondatadakatsu03.jpg?202103-5-RELEASE-marathon-521x", "■")</f>
        <v>■</v>
      </c>
      <c r="F247" s="14" t="s">
        <v>6413</v>
      </c>
      <c r="G247" s="14">
        <v>64520</v>
      </c>
      <c r="H247" s="14">
        <v>71136</v>
      </c>
      <c r="I247" s="14">
        <v>24</v>
      </c>
      <c r="J247" s="14" t="s">
        <v>143</v>
      </c>
      <c r="K247" s="14" t="s">
        <v>6411</v>
      </c>
      <c r="L247" s="14" t="s">
        <v>6410</v>
      </c>
      <c r="M247" s="14" t="s">
        <v>9158</v>
      </c>
      <c r="N247" s="14" t="s">
        <v>9158</v>
      </c>
      <c r="O247" s="14" t="s">
        <v>9158</v>
      </c>
      <c r="P247" s="14" t="s">
        <v>9158</v>
      </c>
      <c r="Q247" s="14" t="s">
        <v>9158</v>
      </c>
    </row>
    <row r="248" spans="1:17">
      <c r="A248" s="14">
        <v>55403</v>
      </c>
      <c r="B248" s="14" t="s">
        <v>15</v>
      </c>
      <c r="C248" s="14" t="s">
        <v>165</v>
      </c>
      <c r="D248" s="19" t="s">
        <v>10518</v>
      </c>
      <c r="E248" s="15" t="str">
        <f>HYPERLINK("https://stat100.ameba.jp/tnk47/ratio20/illustrations/card/ill_55403_undokaikyogokumaria03.jpg?202103-5-RELEASE-marathon-521x", "■")</f>
        <v>■</v>
      </c>
      <c r="F248" s="14" t="s">
        <v>6417</v>
      </c>
      <c r="G248" s="14">
        <v>71136</v>
      </c>
      <c r="H248" s="14">
        <v>64520</v>
      </c>
      <c r="I248" s="14">
        <v>24</v>
      </c>
      <c r="J248" s="14" t="s">
        <v>77</v>
      </c>
      <c r="K248" s="14" t="s">
        <v>6415</v>
      </c>
      <c r="L248" s="14" t="s">
        <v>6414</v>
      </c>
      <c r="M248" s="14" t="s">
        <v>9158</v>
      </c>
      <c r="N248" s="14" t="s">
        <v>9158</v>
      </c>
      <c r="O248" s="14" t="s">
        <v>9158</v>
      </c>
      <c r="P248" s="14" t="s">
        <v>9158</v>
      </c>
      <c r="Q248" s="14" t="s">
        <v>9158</v>
      </c>
    </row>
    <row r="249" spans="1:17">
      <c r="A249" s="14">
        <v>52973</v>
      </c>
      <c r="B249" s="14" t="s">
        <v>15</v>
      </c>
      <c r="C249" s="14" t="s">
        <v>206</v>
      </c>
      <c r="D249" s="19" t="s">
        <v>10519</v>
      </c>
      <c r="E249" s="15" t="str">
        <f>HYPERLINK("https://stat100.ameba.jp/tnk47/ratio20/illustrations/card/ill_55403_undokaikyogokumaria03.jpg?202103-5-RELEASE-marathon-521x", "■")</f>
        <v>■</v>
      </c>
      <c r="F249" s="14" t="s">
        <v>6421</v>
      </c>
      <c r="G249" s="14">
        <v>71136</v>
      </c>
      <c r="H249" s="14">
        <v>64520</v>
      </c>
      <c r="I249" s="14">
        <v>24</v>
      </c>
      <c r="J249" s="14" t="s">
        <v>44</v>
      </c>
      <c r="K249" s="14" t="s">
        <v>6419</v>
      </c>
      <c r="L249" s="14" t="s">
        <v>6418</v>
      </c>
      <c r="M249" s="14" t="s">
        <v>9158</v>
      </c>
      <c r="N249" s="14" t="s">
        <v>9158</v>
      </c>
      <c r="O249" s="14" t="s">
        <v>9158</v>
      </c>
      <c r="P249" s="14" t="s">
        <v>9158</v>
      </c>
      <c r="Q249" s="14" t="s">
        <v>9158</v>
      </c>
    </row>
    <row r="251" spans="1:17">
      <c r="A251" s="14" t="s">
        <v>4065</v>
      </c>
    </row>
    <row r="252" spans="1:17">
      <c r="A252" s="14">
        <v>107332</v>
      </c>
      <c r="B252" s="14" t="s">
        <v>3927</v>
      </c>
    </row>
    <row r="253" spans="1:17">
      <c r="A253" s="14" t="s">
        <v>5601</v>
      </c>
      <c r="B253" s="14" t="s">
        <v>330</v>
      </c>
      <c r="C253" s="14" t="s">
        <v>35</v>
      </c>
      <c r="D253" s="19" t="s">
        <v>10318</v>
      </c>
      <c r="E253" s="15" t="str">
        <f>HYPERLINK("https://stat100.ameba.jp/tnk47/ratio20/illustrations/card/ill_82423_0_bikinigarukishi03.jpg?202103-5-RELEASE-marathon-521x", "■")</f>
        <v>■</v>
      </c>
      <c r="F253" s="14" t="s">
        <v>5391</v>
      </c>
      <c r="G253" s="14">
        <v>326924</v>
      </c>
      <c r="H253" s="14">
        <v>295479</v>
      </c>
      <c r="I253" s="14">
        <v>27</v>
      </c>
      <c r="J253" s="14" t="s">
        <v>77</v>
      </c>
      <c r="K253" s="14" t="s">
        <v>5392</v>
      </c>
      <c r="L253" s="14" t="s">
        <v>5393</v>
      </c>
      <c r="M253" s="14" t="s">
        <v>9158</v>
      </c>
      <c r="N253" s="14" t="s">
        <v>9158</v>
      </c>
      <c r="O253" s="19" t="s">
        <v>10069</v>
      </c>
      <c r="P253" s="14" t="s">
        <v>5394</v>
      </c>
      <c r="Q253" s="14">
        <v>1</v>
      </c>
    </row>
    <row r="254" spans="1:17">
      <c r="A254" s="14">
        <v>83393</v>
      </c>
      <c r="B254" s="14" t="s">
        <v>334</v>
      </c>
      <c r="C254" s="14" t="s">
        <v>209</v>
      </c>
      <c r="D254" s="19" t="s">
        <v>10381</v>
      </c>
      <c r="E254" s="15" t="str">
        <f>HYPERLINK("https://stat100.ameba.jp/tnk47/ratio20/illustrations/card/ill_83393_rito03.jpg?202103-5-RELEASE-marathon-521x", "■")</f>
        <v>■</v>
      </c>
      <c r="F254" s="14" t="s">
        <v>5735</v>
      </c>
      <c r="G254" s="14">
        <v>137786</v>
      </c>
      <c r="H254" s="14">
        <v>99796</v>
      </c>
      <c r="I254" s="14">
        <v>27</v>
      </c>
      <c r="J254" s="14" t="s">
        <v>38</v>
      </c>
      <c r="K254" s="14" t="s">
        <v>5738</v>
      </c>
      <c r="L254" s="14" t="s">
        <v>5400</v>
      </c>
      <c r="M254" s="14" t="s">
        <v>9158</v>
      </c>
      <c r="N254" s="14" t="s">
        <v>9158</v>
      </c>
      <c r="O254" s="19" t="s">
        <v>10098</v>
      </c>
      <c r="P254" s="14" t="s">
        <v>3491</v>
      </c>
      <c r="Q254" s="14">
        <v>1</v>
      </c>
    </row>
    <row r="255" spans="1:17">
      <c r="A255" s="7">
        <v>85653</v>
      </c>
      <c r="B255" s="7" t="s">
        <v>0</v>
      </c>
      <c r="C255" s="14" t="s">
        <v>158</v>
      </c>
      <c r="D255" s="20" t="s">
        <v>10846</v>
      </c>
      <c r="E255" s="15" t="str">
        <f>HYPERLINK("https://stat100.ameba.jp/tnk47/ratio20/illustrations/card/ill_85653_onashiefumizuno03.jpg?202103-5-RELEASE-marathon-521x", "■")</f>
        <v>■</v>
      </c>
      <c r="F255" s="7" t="s">
        <v>8587</v>
      </c>
      <c r="G255" s="7">
        <v>103361</v>
      </c>
      <c r="H255" s="7">
        <v>142716</v>
      </c>
      <c r="I255" s="14">
        <v>27</v>
      </c>
      <c r="J255" s="7" t="s">
        <v>216</v>
      </c>
      <c r="K255" s="7" t="s">
        <v>8586</v>
      </c>
      <c r="L255" s="7" t="s">
        <v>131</v>
      </c>
      <c r="M255" s="14" t="s">
        <v>9158</v>
      </c>
      <c r="N255" s="14" t="s">
        <v>9158</v>
      </c>
      <c r="O255" s="19" t="s">
        <v>4074</v>
      </c>
      <c r="P255" s="14" t="s">
        <v>3462</v>
      </c>
      <c r="Q255" s="14">
        <v>1</v>
      </c>
    </row>
    <row r="256" spans="1:17">
      <c r="A256" s="9">
        <v>68693</v>
      </c>
      <c r="B256" s="14" t="s">
        <v>334</v>
      </c>
      <c r="C256" s="14" t="s">
        <v>154</v>
      </c>
      <c r="D256" s="14" t="s">
        <v>3465</v>
      </c>
      <c r="E256" s="15" t="str">
        <f>HYPERLINK("https://stat100.ameba.jp/tnk47/ratio20/illustrations/card/ill_68693_mayoiga03.jpg?202103-5-RELEASE-marathon-521x", "■")</f>
        <v>■</v>
      </c>
      <c r="F256" s="14" t="s">
        <v>3466</v>
      </c>
      <c r="G256" s="14">
        <v>142716</v>
      </c>
      <c r="H256" s="14">
        <v>103361</v>
      </c>
      <c r="I256" s="14">
        <v>27</v>
      </c>
      <c r="J256" s="14" t="s">
        <v>73</v>
      </c>
      <c r="K256" s="14" t="s">
        <v>3467</v>
      </c>
      <c r="L256" s="14" t="s">
        <v>3468</v>
      </c>
      <c r="M256" s="14" t="s">
        <v>9158</v>
      </c>
      <c r="N256" s="14" t="s">
        <v>9158</v>
      </c>
      <c r="O256" s="7" t="s">
        <v>3469</v>
      </c>
      <c r="P256" s="14" t="s">
        <v>13128</v>
      </c>
      <c r="Q256" s="14">
        <v>1</v>
      </c>
    </row>
    <row r="258" spans="1:18">
      <c r="A258" s="14" t="s">
        <v>13327</v>
      </c>
    </row>
    <row r="259" spans="1:18">
      <c r="A259" s="14">
        <v>107337</v>
      </c>
      <c r="B259" s="14" t="s">
        <v>11577</v>
      </c>
    </row>
    <row r="260" spans="1:18">
      <c r="A260" s="14">
        <v>92173</v>
      </c>
      <c r="B260" s="14" t="s">
        <v>0</v>
      </c>
      <c r="C260" s="14" t="s">
        <v>335</v>
      </c>
      <c r="D260" s="14" t="s">
        <v>14616</v>
      </c>
      <c r="E260" s="15" t="str">
        <f>HYPERLINK("https://stat100.ameba.jp/tnk47/ratio20/illustrations/card/ill_92173_atorasu03.jpg?202103-5-RELEASE-marathon-521x", "■")</f>
        <v>■</v>
      </c>
      <c r="F260" s="14" t="s">
        <v>14617</v>
      </c>
      <c r="G260" s="14">
        <v>142768</v>
      </c>
      <c r="H260" s="14">
        <v>132737</v>
      </c>
      <c r="I260" s="14">
        <v>29</v>
      </c>
      <c r="J260" s="14" t="s">
        <v>77</v>
      </c>
      <c r="K260" s="14" t="s">
        <v>14619</v>
      </c>
      <c r="L260" s="14" t="s">
        <v>14618</v>
      </c>
      <c r="M260" s="14" t="s">
        <v>2138</v>
      </c>
      <c r="N260" s="14" t="s">
        <v>2139</v>
      </c>
      <c r="O260" s="14" t="s">
        <v>9158</v>
      </c>
      <c r="P260" s="14" t="s">
        <v>9158</v>
      </c>
      <c r="Q260" s="14" t="s">
        <v>9158</v>
      </c>
      <c r="R260" s="14" t="s">
        <v>14748</v>
      </c>
    </row>
    <row r="261" spans="1:18">
      <c r="A261" s="14">
        <v>92172</v>
      </c>
      <c r="B261" s="14" t="s">
        <v>0</v>
      </c>
      <c r="C261" s="14" t="s">
        <v>335</v>
      </c>
      <c r="D261" s="14" t="s">
        <v>14616</v>
      </c>
      <c r="E261" s="15" t="str">
        <f>HYPERLINK("https://stat100.ameba.jp/tnk47/ratio20/illustrations/card/ill_92172_atorasu02.jpg?202103-5-RELEASE-marathon-521x", "■")</f>
        <v>■</v>
      </c>
      <c r="F261" s="14" t="s">
        <v>14617</v>
      </c>
      <c r="G261" s="14">
        <v>119345</v>
      </c>
      <c r="H261" s="14">
        <v>109938</v>
      </c>
      <c r="I261" s="14">
        <v>29</v>
      </c>
      <c r="J261" s="14" t="s">
        <v>77</v>
      </c>
      <c r="K261" s="14" t="s">
        <v>14619</v>
      </c>
      <c r="L261" s="14" t="s">
        <v>14618</v>
      </c>
      <c r="M261" s="14" t="s">
        <v>13270</v>
      </c>
      <c r="N261" s="14" t="s">
        <v>13271</v>
      </c>
      <c r="O261" s="14" t="s">
        <v>9158</v>
      </c>
      <c r="P261" s="14" t="s">
        <v>9158</v>
      </c>
      <c r="Q261" s="14" t="s">
        <v>9158</v>
      </c>
      <c r="R261" s="14" t="s">
        <v>14748</v>
      </c>
    </row>
    <row r="262" spans="1:18">
      <c r="A262" s="14">
        <v>92171</v>
      </c>
      <c r="B262" s="14" t="s">
        <v>0</v>
      </c>
      <c r="C262" s="14" t="s">
        <v>335</v>
      </c>
      <c r="D262" s="14" t="s">
        <v>14616</v>
      </c>
      <c r="E262" s="15" t="str">
        <f>HYPERLINK("https://stat100.ameba.jp/tnk47/ratio20/illustrations/card/ill_92171_atorasu01.jpg?202103-5-RELEASE-marathon-521x", "■")</f>
        <v>■</v>
      </c>
      <c r="F262" s="14" t="s">
        <v>14617</v>
      </c>
      <c r="G262" s="14">
        <v>91118</v>
      </c>
      <c r="H262" s="14">
        <v>84825</v>
      </c>
      <c r="I262" s="14">
        <v>29</v>
      </c>
      <c r="J262" s="14" t="s">
        <v>77</v>
      </c>
      <c r="K262" s="14" t="s">
        <v>14619</v>
      </c>
      <c r="L262" s="14" t="s">
        <v>14618</v>
      </c>
      <c r="M262" s="14" t="s">
        <v>13270</v>
      </c>
      <c r="N262" s="14" t="s">
        <v>13271</v>
      </c>
      <c r="O262" s="14" t="s">
        <v>9158</v>
      </c>
      <c r="P262" s="14" t="s">
        <v>9158</v>
      </c>
      <c r="Q262" s="14" t="s">
        <v>9158</v>
      </c>
      <c r="R262" s="14" t="s">
        <v>14748</v>
      </c>
    </row>
    <row r="263" spans="1:18">
      <c r="A263" s="14">
        <v>92183</v>
      </c>
      <c r="B263" s="14" t="s">
        <v>0</v>
      </c>
      <c r="C263" s="14" t="s">
        <v>200</v>
      </c>
      <c r="D263" s="14" t="s">
        <v>14624</v>
      </c>
      <c r="E263" s="15" t="str">
        <f>HYPERLINK("https://stat100.ameba.jp/tnk47/ratio20/illustrations/card/ill_92183_shokorafue03.jpg?202103-5-RELEASE-marathon-521x", "■")</f>
        <v>■</v>
      </c>
      <c r="F263" s="14" t="s">
        <v>14623</v>
      </c>
      <c r="G263" s="14">
        <v>142768</v>
      </c>
      <c r="H263" s="14">
        <v>132737</v>
      </c>
      <c r="I263" s="14">
        <v>29</v>
      </c>
      <c r="J263" s="14" t="s">
        <v>104</v>
      </c>
      <c r="K263" s="14" t="s">
        <v>14621</v>
      </c>
      <c r="L263" s="14" t="s">
        <v>14620</v>
      </c>
      <c r="M263" s="14" t="s">
        <v>2138</v>
      </c>
      <c r="N263" s="14" t="s">
        <v>2139</v>
      </c>
      <c r="O263" s="14" t="s">
        <v>9158</v>
      </c>
      <c r="P263" s="14" t="s">
        <v>9158</v>
      </c>
      <c r="Q263" s="14" t="s">
        <v>9158</v>
      </c>
      <c r="R263" s="14" t="s">
        <v>14748</v>
      </c>
    </row>
    <row r="264" spans="1:18">
      <c r="A264" s="14">
        <v>92193</v>
      </c>
      <c r="B264" s="14" t="s">
        <v>0</v>
      </c>
      <c r="C264" s="14" t="s">
        <v>307</v>
      </c>
      <c r="D264" s="14" t="s">
        <v>14629</v>
      </c>
      <c r="E264" s="15" t="str">
        <f>HYPERLINK("https://stat100.ameba.jp/tnk47/ratio20/illustrations/card/ill_92193_kerubu03.jpg?202103-5-RELEASE-marathon-521x", "■")</f>
        <v>■</v>
      </c>
      <c r="F264" s="14" t="s">
        <v>14628</v>
      </c>
      <c r="G264" s="14">
        <v>142768</v>
      </c>
      <c r="H264" s="14">
        <v>132737</v>
      </c>
      <c r="I264" s="14">
        <v>29</v>
      </c>
      <c r="J264" s="14" t="s">
        <v>44</v>
      </c>
      <c r="K264" s="14" t="s">
        <v>14626</v>
      </c>
      <c r="L264" s="14" t="s">
        <v>14625</v>
      </c>
      <c r="M264" s="14" t="s">
        <v>2138</v>
      </c>
      <c r="N264" s="14" t="s">
        <v>2139</v>
      </c>
      <c r="O264" s="14" t="s">
        <v>9158</v>
      </c>
      <c r="P264" s="14" t="s">
        <v>9158</v>
      </c>
      <c r="Q264" s="14" t="s">
        <v>9158</v>
      </c>
      <c r="R264" s="14" t="s">
        <v>14748</v>
      </c>
    </row>
    <row r="265" spans="1:18">
      <c r="A265" s="14">
        <v>92203</v>
      </c>
      <c r="B265" s="14" t="s">
        <v>0</v>
      </c>
      <c r="C265" s="14" t="s">
        <v>165</v>
      </c>
      <c r="D265" s="14" t="s">
        <v>14634</v>
      </c>
      <c r="E265" s="15" t="str">
        <f>HYPERLINK("https://stat100.ameba.jp/tnk47/ratio20/illustrations/card/ill_92203_tarazetotoreda03.jpg?202103-5-RELEASE-marathon-521x", "■")</f>
        <v>■</v>
      </c>
      <c r="F265" s="14" t="s">
        <v>14633</v>
      </c>
      <c r="G265" s="14">
        <v>132737</v>
      </c>
      <c r="H265" s="14">
        <v>142768</v>
      </c>
      <c r="I265" s="14">
        <v>29</v>
      </c>
      <c r="J265" s="14" t="s">
        <v>73</v>
      </c>
      <c r="K265" s="14" t="s">
        <v>14631</v>
      </c>
      <c r="L265" s="14" t="s">
        <v>14630</v>
      </c>
      <c r="M265" s="14" t="s">
        <v>2138</v>
      </c>
      <c r="N265" s="14" t="s">
        <v>2139</v>
      </c>
      <c r="O265" s="14" t="s">
        <v>9158</v>
      </c>
      <c r="P265" s="14" t="s">
        <v>9158</v>
      </c>
      <c r="Q265" s="14" t="s">
        <v>9158</v>
      </c>
      <c r="R265" s="14" t="s">
        <v>14748</v>
      </c>
    </row>
    <row r="266" spans="1:18">
      <c r="A266" s="14">
        <v>92213</v>
      </c>
      <c r="B266" s="14" t="s">
        <v>0</v>
      </c>
      <c r="C266" s="9" t="s">
        <v>205</v>
      </c>
      <c r="D266" s="14" t="s">
        <v>14639</v>
      </c>
      <c r="E266" s="15" t="str">
        <f>HYPERLINK("https://stat100.ameba.jp/tnk47/ratio20/illustrations/card/ill_92213_pushikopompoi03.jpg?202103-5-RELEASE-marathon-521x", "■")</f>
        <v>■</v>
      </c>
      <c r="F266" s="14" t="s">
        <v>14638</v>
      </c>
      <c r="G266" s="14">
        <v>132737</v>
      </c>
      <c r="H266" s="14">
        <v>142768</v>
      </c>
      <c r="I266" s="14">
        <v>29</v>
      </c>
      <c r="J266" s="14" t="s">
        <v>38</v>
      </c>
      <c r="K266" s="14" t="s">
        <v>14636</v>
      </c>
      <c r="L266" s="14" t="s">
        <v>14635</v>
      </c>
      <c r="M266" s="14" t="s">
        <v>2138</v>
      </c>
      <c r="N266" s="14" t="s">
        <v>2139</v>
      </c>
      <c r="O266" s="14" t="s">
        <v>9158</v>
      </c>
      <c r="P266" s="14" t="s">
        <v>9158</v>
      </c>
      <c r="Q266" s="14" t="s">
        <v>9158</v>
      </c>
      <c r="R266" s="14" t="s">
        <v>14748</v>
      </c>
    </row>
    <row r="267" spans="1:18">
      <c r="A267" s="14">
        <v>92223</v>
      </c>
      <c r="B267" s="14" t="s">
        <v>0</v>
      </c>
      <c r="C267" s="14" t="s">
        <v>206</v>
      </c>
      <c r="D267" s="14" t="s">
        <v>14644</v>
      </c>
      <c r="E267" s="15" t="str">
        <f>HYPERLINK("https://stat100.ameba.jp/tnk47/ratio20/illustrations/card/ill_92223_sanfuraua03.jpg?202103-5-RELEASE-marathon-521x", "■")</f>
        <v>■</v>
      </c>
      <c r="F267" s="14" t="s">
        <v>14643</v>
      </c>
      <c r="G267" s="14">
        <v>132737</v>
      </c>
      <c r="H267" s="14">
        <v>142768</v>
      </c>
      <c r="I267" s="14">
        <v>29</v>
      </c>
      <c r="J267" s="14" t="s">
        <v>26</v>
      </c>
      <c r="K267" s="14" t="s">
        <v>14641</v>
      </c>
      <c r="L267" s="14" t="s">
        <v>14640</v>
      </c>
      <c r="M267" s="14" t="s">
        <v>2138</v>
      </c>
      <c r="N267" s="14" t="s">
        <v>2139</v>
      </c>
      <c r="O267" s="14" t="s">
        <v>9158</v>
      </c>
      <c r="P267" s="14" t="s">
        <v>9158</v>
      </c>
      <c r="Q267" s="14" t="s">
        <v>9158</v>
      </c>
      <c r="R267" s="14" t="s">
        <v>14748</v>
      </c>
    </row>
    <row r="268" spans="1:18">
      <c r="D268" s="19"/>
      <c r="E268" s="15"/>
    </row>
    <row r="269" spans="1:18">
      <c r="A269" s="14" t="s">
        <v>16803</v>
      </c>
    </row>
    <row r="270" spans="1:18">
      <c r="A270" s="14">
        <v>237250</v>
      </c>
      <c r="B270" s="14" t="s">
        <v>3933</v>
      </c>
    </row>
    <row r="271" spans="1:18">
      <c r="A271" s="14">
        <v>237256</v>
      </c>
      <c r="B271" s="14" t="s">
        <v>11481</v>
      </c>
    </row>
    <row r="272" spans="1:18">
      <c r="A272" s="14" t="s">
        <v>16720</v>
      </c>
      <c r="B272" s="7" t="s">
        <v>52</v>
      </c>
      <c r="C272" s="14" t="s">
        <v>202</v>
      </c>
      <c r="D272" s="18" t="s">
        <v>16719</v>
      </c>
      <c r="E272" s="15" t="str">
        <f>HYPERLINK("https://stat100.ameba.jp/tnk47/ratio20/illustrations/card/ill_96373_0_ohinasamaakitakomachichan03.jpg?202103-5-RELEASE-marathon-521x", "■")</f>
        <v>■</v>
      </c>
      <c r="F272" s="14" t="s">
        <v>16718</v>
      </c>
      <c r="G272" s="14">
        <v>273388</v>
      </c>
      <c r="H272" s="14">
        <v>334134</v>
      </c>
      <c r="I272" s="7">
        <v>29</v>
      </c>
      <c r="J272" s="14" t="s">
        <v>104</v>
      </c>
      <c r="K272" s="14" t="s">
        <v>16717</v>
      </c>
      <c r="L272" s="14" t="s">
        <v>16716</v>
      </c>
      <c r="M272" s="14" t="s">
        <v>9158</v>
      </c>
      <c r="N272" s="14" t="s">
        <v>9158</v>
      </c>
      <c r="O272" s="7" t="s">
        <v>16715</v>
      </c>
      <c r="P272" s="7" t="s">
        <v>16714</v>
      </c>
      <c r="Q272" s="7">
        <v>1</v>
      </c>
    </row>
    <row r="273" spans="1:17">
      <c r="A273" s="14">
        <v>96613</v>
      </c>
      <c r="B273" s="14" t="s">
        <v>0</v>
      </c>
      <c r="C273" s="14" t="s">
        <v>23</v>
      </c>
      <c r="D273" s="14" t="s">
        <v>16807</v>
      </c>
      <c r="E273" s="15" t="str">
        <f>HYPERLINK("https://stat100.ameba.jp/tnk47/ratio20/illustrations/card/ill_96613_dangambaunteigaru03.jpg?202103-5-RELEASE-marathon-521x", "■")</f>
        <v>■</v>
      </c>
      <c r="F273" s="14" t="s">
        <v>16806</v>
      </c>
      <c r="G273" s="14">
        <v>105281</v>
      </c>
      <c r="H273" s="14">
        <v>113277</v>
      </c>
      <c r="I273" s="14">
        <v>29</v>
      </c>
      <c r="J273" s="14" t="s">
        <v>10</v>
      </c>
      <c r="K273" s="14" t="s">
        <v>16805</v>
      </c>
      <c r="L273" s="14" t="s">
        <v>15708</v>
      </c>
      <c r="M273" s="14" t="s">
        <v>9158</v>
      </c>
      <c r="N273" s="14" t="s">
        <v>9158</v>
      </c>
      <c r="O273" s="14" t="s">
        <v>9158</v>
      </c>
      <c r="P273" s="14" t="s">
        <v>9158</v>
      </c>
      <c r="Q273" s="14" t="s">
        <v>9158</v>
      </c>
    </row>
    <row r="274" spans="1:17">
      <c r="A274" s="14">
        <v>96623</v>
      </c>
      <c r="B274" s="14" t="s">
        <v>0</v>
      </c>
      <c r="C274" s="14" t="s">
        <v>107</v>
      </c>
      <c r="D274" s="14" t="s">
        <v>16809</v>
      </c>
      <c r="E274" s="15" t="str">
        <f>HYPERLINK("https://stat100.ameba.jp/tnk47/ratio20/illustrations/card/ill_96623_andoroidootomosorin03.jpg?202103-5-RELEASE-marathon-521x", "■")</f>
        <v>■</v>
      </c>
      <c r="F274" s="14" t="s">
        <v>16808</v>
      </c>
      <c r="G274" s="14">
        <v>105281</v>
      </c>
      <c r="H274" s="14">
        <v>113277</v>
      </c>
      <c r="I274" s="14">
        <v>29</v>
      </c>
      <c r="J274" s="14" t="s">
        <v>143</v>
      </c>
      <c r="K274" s="14" t="s">
        <v>8293</v>
      </c>
      <c r="L274" s="14" t="s">
        <v>14552</v>
      </c>
      <c r="M274" s="14" t="s">
        <v>9158</v>
      </c>
      <c r="N274" s="14" t="s">
        <v>9158</v>
      </c>
      <c r="O274" s="14" t="s">
        <v>9158</v>
      </c>
      <c r="P274" s="14" t="s">
        <v>9158</v>
      </c>
      <c r="Q274" s="14" t="s">
        <v>9158</v>
      </c>
    </row>
    <row r="275" spans="1:17">
      <c r="A275" s="14">
        <v>96633</v>
      </c>
      <c r="B275" s="14" t="s">
        <v>15</v>
      </c>
      <c r="C275" s="14" t="s">
        <v>1</v>
      </c>
      <c r="D275" s="14" t="s">
        <v>16812</v>
      </c>
      <c r="E275" s="15" t="str">
        <f>HYPERLINK("https://stat100.ameba.jp/tnk47/ratio20/illustrations/card/ill_96633_torejatakasugishinsaku03.jpg?202103-5-RELEASE-marathon-521x", "■")</f>
        <v>■</v>
      </c>
      <c r="F275" s="14" t="s">
        <v>16811</v>
      </c>
      <c r="G275" s="14">
        <v>85956</v>
      </c>
      <c r="H275" s="14">
        <v>77962</v>
      </c>
      <c r="I275" s="14">
        <v>29</v>
      </c>
      <c r="J275" s="14" t="s">
        <v>143</v>
      </c>
      <c r="K275" s="14" t="s">
        <v>16810</v>
      </c>
      <c r="L275" s="14" t="s">
        <v>3524</v>
      </c>
      <c r="M275" s="14" t="s">
        <v>9158</v>
      </c>
      <c r="N275" s="14" t="s">
        <v>9158</v>
      </c>
      <c r="O275" s="14" t="s">
        <v>9158</v>
      </c>
      <c r="P275" s="14" t="s">
        <v>9158</v>
      </c>
      <c r="Q275" s="14" t="s">
        <v>9158</v>
      </c>
    </row>
    <row r="276" spans="1:17">
      <c r="A276" s="14">
        <v>96643</v>
      </c>
      <c r="B276" s="14" t="s">
        <v>22</v>
      </c>
      <c r="C276" s="14" t="s">
        <v>14</v>
      </c>
      <c r="D276" s="14" t="s">
        <v>16815</v>
      </c>
      <c r="E276" s="15" t="str">
        <f>HYPERLINK("https://stat100.ameba.jp/tnk47/ratio20/illustrations/card/ill_96643_dosankochan03.jpg?202103-5-RELEASE-marathon-521x", "■")</f>
        <v>■</v>
      </c>
      <c r="F276" s="14" t="s">
        <v>16814</v>
      </c>
      <c r="G276" s="14">
        <v>50134</v>
      </c>
      <c r="H276" s="14">
        <v>60296</v>
      </c>
      <c r="I276" s="14">
        <v>29</v>
      </c>
      <c r="J276" s="14" t="s">
        <v>26</v>
      </c>
      <c r="K276" s="14" t="s">
        <v>16813</v>
      </c>
      <c r="L276" s="14" t="s">
        <v>28</v>
      </c>
      <c r="M276" s="14" t="s">
        <v>9158</v>
      </c>
      <c r="N276" s="14" t="s">
        <v>9158</v>
      </c>
      <c r="O276" s="14" t="s">
        <v>9158</v>
      </c>
      <c r="P276" s="14" t="s">
        <v>9158</v>
      </c>
      <c r="Q276" s="14" t="s">
        <v>9158</v>
      </c>
    </row>
    <row r="277" spans="1:17">
      <c r="A277" s="14">
        <v>96653</v>
      </c>
      <c r="B277" s="14" t="s">
        <v>22</v>
      </c>
      <c r="C277" s="14" t="s">
        <v>101</v>
      </c>
      <c r="D277" s="14" t="s">
        <v>16818</v>
      </c>
      <c r="E277" s="15" t="str">
        <f>HYPERLINK("https://stat100.ameba.jp/tnk47/ratio20/illustrations/card/ill_96653_miritarikaganochiyojo03.jpg?202103-5-RELEASE-marathon-521x", "■")</f>
        <v>■</v>
      </c>
      <c r="F277" s="14" t="s">
        <v>16817</v>
      </c>
      <c r="G277" s="14">
        <v>60296</v>
      </c>
      <c r="H277" s="14">
        <v>50134</v>
      </c>
      <c r="I277" s="14">
        <v>29</v>
      </c>
      <c r="J277" s="14" t="s">
        <v>16</v>
      </c>
      <c r="K277" s="14" t="s">
        <v>16816</v>
      </c>
      <c r="L277" s="14" t="s">
        <v>1115</v>
      </c>
      <c r="M277" s="14" t="s">
        <v>9158</v>
      </c>
      <c r="N277" s="14" t="s">
        <v>9158</v>
      </c>
      <c r="O277" s="14" t="s">
        <v>9158</v>
      </c>
      <c r="P277" s="14" t="s">
        <v>9158</v>
      </c>
      <c r="Q277" s="14" t="s">
        <v>9158</v>
      </c>
    </row>
    <row r="279" spans="1:17">
      <c r="A279" s="14" t="s">
        <v>3905</v>
      </c>
    </row>
    <row r="280" spans="1:17">
      <c r="A280" s="14">
        <v>237284</v>
      </c>
      <c r="B280" s="14" t="s">
        <v>16804</v>
      </c>
    </row>
    <row r="281" spans="1:17">
      <c r="A281" s="14" t="s">
        <v>5650</v>
      </c>
      <c r="B281" s="14" t="s">
        <v>52</v>
      </c>
      <c r="C281" s="14" t="s">
        <v>23</v>
      </c>
      <c r="D281" s="14" t="s">
        <v>136</v>
      </c>
      <c r="E281" s="15" t="str">
        <f>HYPERLINK("https://stat100.ameba.jp/tnk47/ratio20/illustrations/card/ill_68033_0_kurisumasupateikandamyojin03.jpg?202103-5-RELEASE-marathon-521x", "■")</f>
        <v>■</v>
      </c>
      <c r="F281" s="14" t="s">
        <v>1871</v>
      </c>
      <c r="G281" s="14">
        <v>139878</v>
      </c>
      <c r="H281" s="14">
        <v>150466</v>
      </c>
      <c r="I281" s="14">
        <v>22</v>
      </c>
      <c r="J281" s="14" t="s">
        <v>44</v>
      </c>
      <c r="K281" s="14" t="s">
        <v>1872</v>
      </c>
      <c r="L281" s="14" t="s">
        <v>1873</v>
      </c>
      <c r="M281" s="14" t="s">
        <v>9158</v>
      </c>
      <c r="N281" s="14" t="s">
        <v>9158</v>
      </c>
      <c r="O281" s="7" t="s">
        <v>3482</v>
      </c>
      <c r="P281" s="14" t="s">
        <v>3483</v>
      </c>
      <c r="Q281" s="14">
        <v>2</v>
      </c>
    </row>
    <row r="282" spans="1:17">
      <c r="A282" s="9" t="s">
        <v>5614</v>
      </c>
      <c r="B282" s="14" t="s">
        <v>52</v>
      </c>
      <c r="C282" s="14" t="s">
        <v>205</v>
      </c>
      <c r="D282" s="14" t="s">
        <v>947</v>
      </c>
      <c r="E282" s="15" t="str">
        <f>HYPERLINK("https://stat100.ameba.jp/tnk47/ratio20/illustrations/card/ill_56223_0_onsempanikkugohime03.jpg?202103-5-RELEASE-marathon-521x", "■")</f>
        <v>■</v>
      </c>
      <c r="F282" s="14" t="s">
        <v>948</v>
      </c>
      <c r="G282" s="14">
        <v>122776</v>
      </c>
      <c r="H282" s="14">
        <v>138212</v>
      </c>
      <c r="I282" s="14">
        <v>22</v>
      </c>
      <c r="J282" s="14" t="s">
        <v>77</v>
      </c>
      <c r="K282" s="14" t="s">
        <v>949</v>
      </c>
      <c r="L282" s="14" t="s">
        <v>950</v>
      </c>
      <c r="M282" s="14" t="s">
        <v>9158</v>
      </c>
      <c r="N282" s="14" t="s">
        <v>9158</v>
      </c>
      <c r="O282" s="9" t="s">
        <v>3021</v>
      </c>
      <c r="P282" s="14" t="s">
        <v>2890</v>
      </c>
      <c r="Q282" s="14">
        <v>1</v>
      </c>
    </row>
    <row r="283" spans="1:17">
      <c r="A283" s="9" t="s">
        <v>5612</v>
      </c>
      <c r="B283" s="14" t="s">
        <v>330</v>
      </c>
      <c r="C283" s="14" t="s">
        <v>165</v>
      </c>
      <c r="D283" s="14" t="s">
        <v>789</v>
      </c>
      <c r="E283" s="15" t="str">
        <f>HYPERLINK("https://stat100.ameba.jp/tnk47/ratio20/illustrations/card/ill_49193_0_onmyoudouabenoseimei03.jpg?202103-5-RELEASE-marathon-521x", "■")</f>
        <v>■</v>
      </c>
      <c r="F283" s="14" t="s">
        <v>790</v>
      </c>
      <c r="G283" s="14">
        <v>122776</v>
      </c>
      <c r="H283" s="14">
        <v>138212</v>
      </c>
      <c r="I283" s="14">
        <v>22</v>
      </c>
      <c r="J283" s="14" t="s">
        <v>351</v>
      </c>
      <c r="K283" s="14" t="s">
        <v>791</v>
      </c>
      <c r="L283" s="14" t="s">
        <v>792</v>
      </c>
      <c r="M283" s="14" t="s">
        <v>9158</v>
      </c>
      <c r="N283" s="14" t="s">
        <v>9158</v>
      </c>
      <c r="O283" s="14" t="s">
        <v>9158</v>
      </c>
      <c r="P283" s="14" t="s">
        <v>9158</v>
      </c>
      <c r="Q283" s="14" t="s">
        <v>9158</v>
      </c>
    </row>
    <row r="284" spans="1:17">
      <c r="A284" s="14">
        <v>92033</v>
      </c>
      <c r="B284" s="14" t="s">
        <v>0</v>
      </c>
      <c r="C284" s="14" t="s">
        <v>307</v>
      </c>
      <c r="D284" s="14" t="s">
        <v>14909</v>
      </c>
      <c r="E284" s="15" t="str">
        <f>HYPERLINK("https://stat100.ameba.jp/tnk47/ratio20/illustrations/card/ill_92033_utatanedorumausu03.jpg?202103-5-RELEASE-marathon-521x", "■")</f>
        <v>■</v>
      </c>
      <c r="F284" s="14" t="s">
        <v>14908</v>
      </c>
      <c r="G284" s="14">
        <v>119785</v>
      </c>
      <c r="H284" s="14">
        <v>212908</v>
      </c>
      <c r="I284" s="14">
        <v>29</v>
      </c>
      <c r="J284" s="14" t="s">
        <v>104</v>
      </c>
      <c r="K284" s="14" t="s">
        <v>14907</v>
      </c>
      <c r="L284" s="14" t="s">
        <v>12356</v>
      </c>
      <c r="M284" s="14" t="s">
        <v>9158</v>
      </c>
      <c r="N284" s="14" t="s">
        <v>9158</v>
      </c>
      <c r="O284" s="14" t="s">
        <v>9158</v>
      </c>
      <c r="P284" s="14" t="s">
        <v>9158</v>
      </c>
      <c r="Q284" s="14" t="s">
        <v>9158</v>
      </c>
    </row>
    <row r="285" spans="1:17">
      <c r="A285" s="9">
        <v>73513</v>
      </c>
      <c r="B285" s="14" t="s">
        <v>334</v>
      </c>
      <c r="C285" s="14" t="s">
        <v>107</v>
      </c>
      <c r="D285" s="14" t="s">
        <v>4082</v>
      </c>
      <c r="E285" s="15" t="str">
        <f>HYPERLINK("https://stat100.ameba.jp/tnk47/ratio20/illustrations/card/ill_73513_shimazutokiwa03.jpg?202103-5-RELEASE-marathon-521x", "■")</f>
        <v>■</v>
      </c>
      <c r="F285" s="14" t="s">
        <v>4083</v>
      </c>
      <c r="G285" s="14">
        <v>78696</v>
      </c>
      <c r="H285" s="14">
        <v>139860</v>
      </c>
      <c r="I285" s="14">
        <v>29</v>
      </c>
      <c r="J285" s="14" t="s">
        <v>77</v>
      </c>
      <c r="K285" s="14" t="s">
        <v>4084</v>
      </c>
      <c r="L285" s="14" t="s">
        <v>969</v>
      </c>
      <c r="M285" s="14" t="s">
        <v>9158</v>
      </c>
      <c r="N285" s="14" t="s">
        <v>9158</v>
      </c>
      <c r="O285" s="14" t="s">
        <v>9158</v>
      </c>
      <c r="P285" s="14" t="s">
        <v>9158</v>
      </c>
      <c r="Q285" s="14" t="s">
        <v>9158</v>
      </c>
    </row>
    <row r="286" spans="1:17">
      <c r="A286" s="9">
        <v>72443</v>
      </c>
      <c r="B286" s="14" t="s">
        <v>334</v>
      </c>
      <c r="C286" s="14" t="s">
        <v>205</v>
      </c>
      <c r="D286" s="14" t="s">
        <v>3006</v>
      </c>
      <c r="E286" s="15" t="str">
        <f>HYPERLINK("https://stat100.ameba.jp/tnk47/ratio20/illustrations/card/ill_72443_uragamimasamune03.jpg?202103-5-RELEASE-marathon-521x", "■")</f>
        <v>■</v>
      </c>
      <c r="F286" s="14" t="s">
        <v>3007</v>
      </c>
      <c r="G286" s="14">
        <v>122834</v>
      </c>
      <c r="H286" s="14">
        <v>132112</v>
      </c>
      <c r="I286" s="14">
        <v>29</v>
      </c>
      <c r="J286" s="14" t="s">
        <v>310</v>
      </c>
      <c r="K286" s="14" t="s">
        <v>3008</v>
      </c>
      <c r="L286" s="14" t="s">
        <v>3009</v>
      </c>
      <c r="M286" s="14" t="s">
        <v>9158</v>
      </c>
      <c r="N286" s="14" t="s">
        <v>9158</v>
      </c>
      <c r="O286" s="14" t="s">
        <v>9158</v>
      </c>
      <c r="P286" s="14" t="s">
        <v>9158</v>
      </c>
      <c r="Q286" s="14" t="s">
        <v>9158</v>
      </c>
    </row>
    <row r="288" spans="1:17">
      <c r="A288" s="14" t="s">
        <v>16866</v>
      </c>
    </row>
    <row r="289" spans="1:19">
      <c r="A289" s="14">
        <v>237309</v>
      </c>
      <c r="B289" s="14" t="s">
        <v>3949</v>
      </c>
    </row>
    <row r="290" spans="1:19">
      <c r="A290" s="14">
        <v>96485</v>
      </c>
      <c r="B290" s="14" t="s">
        <v>0</v>
      </c>
      <c r="C290" s="14" t="s">
        <v>202</v>
      </c>
      <c r="D290" s="18" t="s">
        <v>16870</v>
      </c>
      <c r="E290" s="15" t="str">
        <f>HYPERLINK("https://stat100.ameba.jp/tnk47/ratio20/illustrations/card/ill_96485_matagichan05.jpg?202103-5-RELEASE-marathon-521xx", "■")</f>
        <v>■</v>
      </c>
      <c r="F290" s="14" t="s">
        <v>16869</v>
      </c>
      <c r="G290" s="14">
        <v>119401</v>
      </c>
      <c r="H290" s="14">
        <v>164886</v>
      </c>
      <c r="I290" s="14">
        <v>29</v>
      </c>
      <c r="J290" s="14" t="s">
        <v>26</v>
      </c>
      <c r="K290" s="14" t="s">
        <v>16868</v>
      </c>
      <c r="L290" s="14" t="s">
        <v>16867</v>
      </c>
      <c r="M290" s="14" t="s">
        <v>9158</v>
      </c>
      <c r="N290" s="14" t="s">
        <v>9158</v>
      </c>
      <c r="O290" s="14" t="s">
        <v>9158</v>
      </c>
      <c r="P290" s="14" t="s">
        <v>9158</v>
      </c>
      <c r="Q290" s="14" t="s">
        <v>9158</v>
      </c>
      <c r="R290" s="14" t="s">
        <v>174</v>
      </c>
    </row>
    <row r="291" spans="1:19">
      <c r="A291" s="14">
        <v>96483</v>
      </c>
      <c r="B291" s="14" t="s">
        <v>15</v>
      </c>
      <c r="C291" s="14" t="s">
        <v>47</v>
      </c>
      <c r="D291" s="18" t="s">
        <v>16870</v>
      </c>
      <c r="E291" s="15" t="str">
        <f>HYPERLINK("https://stat100.ameba.jp/tnk47/ratio20/illustrations/card/ill_96483_matagichan03.jpg?202103-5-RELEASE-marathon-521xx", "■")</f>
        <v>■</v>
      </c>
      <c r="F291" s="14" t="s">
        <v>16869</v>
      </c>
      <c r="G291" s="14">
        <v>87973</v>
      </c>
      <c r="H291" s="14">
        <v>121498</v>
      </c>
      <c r="I291" s="14">
        <v>29</v>
      </c>
      <c r="J291" s="14" t="s">
        <v>26</v>
      </c>
      <c r="K291" s="14" t="s">
        <v>16868</v>
      </c>
      <c r="L291" s="14" t="s">
        <v>16871</v>
      </c>
      <c r="M291" s="14" t="s">
        <v>9158</v>
      </c>
      <c r="N291" s="14" t="s">
        <v>9158</v>
      </c>
      <c r="O291" s="14" t="s">
        <v>9158</v>
      </c>
      <c r="P291" s="14" t="s">
        <v>9158</v>
      </c>
      <c r="Q291" s="14" t="s">
        <v>9158</v>
      </c>
      <c r="R291" s="14" t="s">
        <v>175</v>
      </c>
    </row>
    <row r="292" spans="1:19">
      <c r="A292" s="14">
        <v>96481</v>
      </c>
      <c r="B292" s="14" t="s">
        <v>15</v>
      </c>
      <c r="C292" s="14" t="s">
        <v>47</v>
      </c>
      <c r="D292" s="18" t="s">
        <v>16870</v>
      </c>
      <c r="E292" s="15" t="str">
        <f>HYPERLINK("https://stat100.ameba.jp/tnk47/ratio20/illustrations/card/ill_96481_matagichan01.jpg?202103-5-RELEASE-marathon-521xx", "■")</f>
        <v>■</v>
      </c>
      <c r="F292" s="14" t="s">
        <v>16869</v>
      </c>
      <c r="G292" s="14">
        <v>55970</v>
      </c>
      <c r="H292" s="14">
        <v>77285</v>
      </c>
      <c r="I292" s="14">
        <v>29</v>
      </c>
      <c r="J292" s="14" t="s">
        <v>26</v>
      </c>
      <c r="K292" s="14" t="s">
        <v>16868</v>
      </c>
      <c r="L292" s="14" t="s">
        <v>16872</v>
      </c>
      <c r="M292" s="14" t="s">
        <v>9158</v>
      </c>
      <c r="N292" s="14" t="s">
        <v>9158</v>
      </c>
      <c r="O292" s="14" t="s">
        <v>9158</v>
      </c>
      <c r="P292" s="14" t="s">
        <v>9158</v>
      </c>
      <c r="Q292" s="14" t="s">
        <v>9158</v>
      </c>
      <c r="R292" s="14" t="s">
        <v>176</v>
      </c>
    </row>
    <row r="294" spans="1:19">
      <c r="A294" s="14" t="s">
        <v>16873</v>
      </c>
    </row>
    <row r="295" spans="1:19">
      <c r="A295" s="14">
        <v>107381</v>
      </c>
      <c r="B295" s="14" t="s">
        <v>16874</v>
      </c>
    </row>
    <row r="296" spans="1:19">
      <c r="A296" s="14">
        <v>70563</v>
      </c>
      <c r="B296" s="14" t="s">
        <v>0</v>
      </c>
      <c r="C296" s="14" t="s">
        <v>41</v>
      </c>
      <c r="D296" s="14" t="s">
        <v>11796</v>
      </c>
      <c r="E296" s="15" t="str">
        <f>HYPERLINK("https://stat100.ameba.jp/tnk47/ratio20/illustrations/card/ill_70563_eishokotaigo03.jpg?202103-5-RELEASE-marathon-521xx", "■")</f>
        <v>■</v>
      </c>
      <c r="F296" s="14" t="s">
        <v>5345</v>
      </c>
      <c r="G296" s="14">
        <v>113277</v>
      </c>
      <c r="H296" s="14">
        <v>105281</v>
      </c>
      <c r="I296" s="14">
        <v>29</v>
      </c>
      <c r="J296" s="14" t="s">
        <v>77</v>
      </c>
      <c r="K296" s="14" t="s">
        <v>5347</v>
      </c>
      <c r="L296" s="14" t="s">
        <v>4096</v>
      </c>
      <c r="M296" s="14" t="s">
        <v>9158</v>
      </c>
      <c r="N296" s="14" t="s">
        <v>9158</v>
      </c>
      <c r="O296" s="14" t="s">
        <v>9158</v>
      </c>
      <c r="P296" s="14" t="s">
        <v>9158</v>
      </c>
      <c r="Q296" s="14" t="s">
        <v>9158</v>
      </c>
      <c r="S296" s="14" t="s">
        <v>11797</v>
      </c>
    </row>
    <row r="297" spans="1:19">
      <c r="A297" s="9">
        <v>76703</v>
      </c>
      <c r="B297" s="14" t="s">
        <v>334</v>
      </c>
      <c r="C297" s="14" t="s">
        <v>185</v>
      </c>
      <c r="D297" s="14" t="s">
        <v>1105</v>
      </c>
      <c r="E297" s="15" t="str">
        <f>HYPERLINK("https://stat100.ameba.jp/tnk47/ratio20/illustrations/card/ill_76703_dondonyaki03.jpg?202103-5-RELEASE-marathon-521xx", "■")</f>
        <v>■</v>
      </c>
      <c r="F297" s="14" t="s">
        <v>1106</v>
      </c>
      <c r="G297" s="14">
        <v>136953</v>
      </c>
      <c r="H297" s="14">
        <v>127350</v>
      </c>
      <c r="I297" s="14">
        <v>29</v>
      </c>
      <c r="J297" s="14" t="s">
        <v>104</v>
      </c>
      <c r="K297" s="14" t="s">
        <v>1107</v>
      </c>
      <c r="L297" s="14" t="s">
        <v>1108</v>
      </c>
      <c r="M297" s="14" t="s">
        <v>9158</v>
      </c>
      <c r="N297" s="14" t="s">
        <v>9158</v>
      </c>
      <c r="O297" s="14" t="s">
        <v>9158</v>
      </c>
      <c r="P297" s="14" t="s">
        <v>9158</v>
      </c>
      <c r="Q297" s="14" t="s">
        <v>9158</v>
      </c>
    </row>
    <row r="298" spans="1:19">
      <c r="A298" s="9">
        <v>71693</v>
      </c>
      <c r="B298" s="14" t="s">
        <v>334</v>
      </c>
      <c r="C298" s="14" t="s">
        <v>200</v>
      </c>
      <c r="D298" s="14" t="s">
        <v>2598</v>
      </c>
      <c r="E298" s="15" t="str">
        <f>HYPERLINK("https://stat100.ameba.jp/tnk47/ratio20/illustrations/card/ill_71693_shokugyotaikenakaiteruko03.jpg?202103-5-RELEASE-marathon-521xx", "■")</f>
        <v>■</v>
      </c>
      <c r="F298" s="14" t="s">
        <v>2599</v>
      </c>
      <c r="G298" s="14">
        <v>160296</v>
      </c>
      <c r="H298" s="14">
        <v>172397</v>
      </c>
      <c r="I298" s="14">
        <v>29</v>
      </c>
      <c r="J298" s="14" t="s">
        <v>143</v>
      </c>
      <c r="K298" s="14" t="s">
        <v>2600</v>
      </c>
      <c r="L298" s="14" t="s">
        <v>1148</v>
      </c>
      <c r="M298" s="14" t="s">
        <v>9158</v>
      </c>
      <c r="N298" s="14" t="s">
        <v>9158</v>
      </c>
      <c r="O298" s="14" t="s">
        <v>9158</v>
      </c>
      <c r="P298" s="14" t="s">
        <v>9158</v>
      </c>
      <c r="Q298" s="14" t="s">
        <v>9158</v>
      </c>
    </row>
    <row r="299" spans="1:19">
      <c r="A299" s="7">
        <v>85133</v>
      </c>
      <c r="B299" s="7" t="s">
        <v>15</v>
      </c>
      <c r="C299" s="7" t="s">
        <v>191</v>
      </c>
      <c r="D299" s="19" t="s">
        <v>10762</v>
      </c>
      <c r="E299" s="15" t="str">
        <f>HYPERLINK("https://stat100.ameba.jp/tnk47/ratio20/illustrations/card/ill_85133_sukurugaruikedasen03.jpg?202103-5-RELEASE-marathon-521xx", "■")</f>
        <v>■</v>
      </c>
      <c r="F299" s="7" t="s">
        <v>7907</v>
      </c>
      <c r="G299" s="14">
        <v>59280</v>
      </c>
      <c r="H299" s="14">
        <v>53768</v>
      </c>
      <c r="I299" s="14">
        <v>20</v>
      </c>
      <c r="J299" s="7" t="s">
        <v>194</v>
      </c>
      <c r="K299" s="7" t="s">
        <v>3523</v>
      </c>
      <c r="L299" s="7" t="s">
        <v>3524</v>
      </c>
      <c r="M299" s="14" t="s">
        <v>9158</v>
      </c>
      <c r="N299" s="14" t="s">
        <v>9158</v>
      </c>
      <c r="O299" s="14" t="s">
        <v>9158</v>
      </c>
      <c r="P299" s="14" t="s">
        <v>9158</v>
      </c>
      <c r="Q299" s="14" t="s">
        <v>9158</v>
      </c>
    </row>
    <row r="300" spans="1:19">
      <c r="A300" s="14">
        <v>32273</v>
      </c>
      <c r="B300" s="14" t="s">
        <v>15</v>
      </c>
      <c r="C300" s="14" t="s">
        <v>96</v>
      </c>
      <c r="D300" s="19" t="s">
        <v>10192</v>
      </c>
      <c r="E300" s="15" t="str">
        <f>HYPERLINK("https://stat100.ameba.jp/tnk47/ratio20/illustrations/card/ill_32273_okumurashiu03.jpg?202103-5-RELEASE-marathon-521xx", "■")</f>
        <v>■</v>
      </c>
      <c r="F300" s="14" t="s">
        <v>4947</v>
      </c>
      <c r="G300" s="14">
        <v>53768</v>
      </c>
      <c r="H300" s="14">
        <v>59280</v>
      </c>
      <c r="I300" s="14">
        <v>20</v>
      </c>
      <c r="J300" s="14" t="s">
        <v>10</v>
      </c>
      <c r="K300" s="14" t="s">
        <v>4949</v>
      </c>
      <c r="L300" s="14" t="s">
        <v>3337</v>
      </c>
      <c r="M300" s="14" t="s">
        <v>9158</v>
      </c>
      <c r="N300" s="14" t="s">
        <v>9158</v>
      </c>
      <c r="O300" s="9" t="s">
        <v>9158</v>
      </c>
      <c r="P300" s="14" t="s">
        <v>9158</v>
      </c>
      <c r="Q300" s="14" t="s">
        <v>9158</v>
      </c>
    </row>
    <row r="301" spans="1:19">
      <c r="A301" s="9">
        <v>78223</v>
      </c>
      <c r="B301" s="14" t="s">
        <v>15</v>
      </c>
      <c r="C301" s="14" t="s">
        <v>205</v>
      </c>
      <c r="D301" s="14" t="s">
        <v>2315</v>
      </c>
      <c r="E301" s="15" t="str">
        <f>HYPERLINK("https://stat100.ameba.jp/tnk47/ratio20/illustrations/card/ill_78223_kurenootometsubaki03.jpg?202103-5-RELEASE-marathon-521xx", "■")</f>
        <v>■</v>
      </c>
      <c r="F301" s="14" t="s">
        <v>2316</v>
      </c>
      <c r="G301" s="14">
        <v>53768</v>
      </c>
      <c r="H301" s="14">
        <v>59280</v>
      </c>
      <c r="I301" s="14">
        <v>20</v>
      </c>
      <c r="J301" s="14" t="s">
        <v>38</v>
      </c>
      <c r="K301" s="14" t="s">
        <v>2317</v>
      </c>
      <c r="L301" s="14" t="s">
        <v>1753</v>
      </c>
      <c r="M301" s="14" t="s">
        <v>9158</v>
      </c>
      <c r="N301" s="14" t="s">
        <v>9158</v>
      </c>
      <c r="O301" s="14" t="s">
        <v>9158</v>
      </c>
      <c r="P301" s="14" t="s">
        <v>9158</v>
      </c>
      <c r="Q301" s="14" t="s">
        <v>9158</v>
      </c>
    </row>
    <row r="303" spans="1:19">
      <c r="A303" s="14" t="s">
        <v>16875</v>
      </c>
      <c r="G303" s="7"/>
      <c r="H303" s="7"/>
      <c r="I303" s="7"/>
    </row>
    <row r="304" spans="1:19">
      <c r="A304" s="14">
        <v>107397</v>
      </c>
      <c r="B304" s="14" t="s">
        <v>16876</v>
      </c>
    </row>
    <row r="305" spans="1:17">
      <c r="A305" s="14">
        <v>107426</v>
      </c>
      <c r="B305" s="14" t="s">
        <v>16877</v>
      </c>
    </row>
    <row r="306" spans="1:17">
      <c r="A306" s="14" t="s">
        <v>16882</v>
      </c>
      <c r="B306" s="14" t="s">
        <v>117</v>
      </c>
      <c r="C306" s="14" t="s">
        <v>35</v>
      </c>
      <c r="D306" s="14" t="s">
        <v>16883</v>
      </c>
      <c r="E306" s="15" t="str">
        <f>HYPERLINK("https://stat100.ameba.jp/tnk47/ratio20/illustrations/card/ill_96663_0_karezammai03.jpg?202103-5-RELEASE-marathon-521xx", "■")</f>
        <v>■</v>
      </c>
      <c r="F306" s="14" t="s">
        <v>16881</v>
      </c>
      <c r="G306" s="14">
        <v>349474</v>
      </c>
      <c r="H306" s="14">
        <v>375878</v>
      </c>
      <c r="I306" s="14">
        <v>31</v>
      </c>
      <c r="J306" s="14" t="s">
        <v>104</v>
      </c>
      <c r="K306" s="14" t="s">
        <v>16880</v>
      </c>
      <c r="L306" s="14" t="s">
        <v>16878</v>
      </c>
      <c r="M306" s="14" t="s">
        <v>9158</v>
      </c>
      <c r="N306" s="14" t="s">
        <v>9158</v>
      </c>
      <c r="O306" s="14" t="s">
        <v>16879</v>
      </c>
      <c r="P306" s="14" t="s">
        <v>9944</v>
      </c>
      <c r="Q306" s="14">
        <v>1</v>
      </c>
    </row>
    <row r="307" spans="1:17">
      <c r="A307" s="14">
        <v>75103</v>
      </c>
      <c r="B307" s="14" t="s">
        <v>334</v>
      </c>
      <c r="C307" s="14" t="s">
        <v>14</v>
      </c>
      <c r="D307" s="14" t="s">
        <v>16886</v>
      </c>
      <c r="E307" s="15" t="str">
        <f>HYPERLINK("https://stat100.ameba.jp/tnk47/ratio20/illustrations/card/ill_75103_ebikosuejiro03.jpg?202103-5-RELEASE-marathon-521xx", "■")</f>
        <v>■</v>
      </c>
      <c r="F307" s="14" t="s">
        <v>16885</v>
      </c>
      <c r="G307" s="14">
        <v>113277</v>
      </c>
      <c r="H307" s="14">
        <v>105281</v>
      </c>
      <c r="I307" s="14">
        <v>29</v>
      </c>
      <c r="J307" s="14" t="s">
        <v>10</v>
      </c>
      <c r="K307" s="14" t="s">
        <v>16884</v>
      </c>
      <c r="L307" s="14" t="s">
        <v>1202</v>
      </c>
      <c r="M307" s="14" t="s">
        <v>9158</v>
      </c>
      <c r="N307" s="14" t="s">
        <v>9158</v>
      </c>
      <c r="O307" s="14" t="s">
        <v>9158</v>
      </c>
      <c r="P307" s="14" t="s">
        <v>9158</v>
      </c>
      <c r="Q307" s="14" t="s">
        <v>9158</v>
      </c>
    </row>
    <row r="308" spans="1:17">
      <c r="A308" s="9">
        <v>60813</v>
      </c>
      <c r="B308" s="9" t="s">
        <v>334</v>
      </c>
      <c r="C308" s="9" t="s">
        <v>200</v>
      </c>
      <c r="D308" s="9" t="s">
        <v>10842</v>
      </c>
      <c r="E308" s="15" t="str">
        <f>HYPERLINK("https://stat100.ameba.jp/tnk47/ratio20/illustrations/card/ill_60813_hieigo03.jpg?202103-5-RELEASE-marathon-521xx", "■")</f>
        <v>■</v>
      </c>
      <c r="F308" s="9" t="s">
        <v>11131</v>
      </c>
      <c r="G308" s="9">
        <v>113277</v>
      </c>
      <c r="H308" s="9">
        <v>105281</v>
      </c>
      <c r="I308" s="14">
        <v>29</v>
      </c>
      <c r="J308" s="9" t="s">
        <v>315</v>
      </c>
      <c r="K308" s="9" t="s">
        <v>11132</v>
      </c>
      <c r="L308" s="9" t="s">
        <v>1432</v>
      </c>
      <c r="M308" s="14" t="s">
        <v>9158</v>
      </c>
      <c r="N308" s="14" t="s">
        <v>9158</v>
      </c>
      <c r="O308" s="14" t="s">
        <v>9158</v>
      </c>
      <c r="P308" s="14" t="s">
        <v>9158</v>
      </c>
      <c r="Q308" s="14" t="s">
        <v>9158</v>
      </c>
    </row>
    <row r="309" spans="1:17">
      <c r="A309" s="9">
        <v>60803</v>
      </c>
      <c r="B309" s="14" t="s">
        <v>334</v>
      </c>
      <c r="C309" s="14" t="s">
        <v>191</v>
      </c>
      <c r="D309" s="14" t="s">
        <v>4601</v>
      </c>
      <c r="E309" s="15" t="str">
        <f>HYPERLINK("https://stat100.ameba.jp/tnk47/ratio20/illustrations/card/ill_60803_intonkonohatengu03.jpg?202103-5-RELEASE-marathon-521xx", "■")</f>
        <v>■</v>
      </c>
      <c r="F309" s="14" t="s">
        <v>4602</v>
      </c>
      <c r="G309" s="14">
        <v>120830</v>
      </c>
      <c r="H309" s="14">
        <v>112369</v>
      </c>
      <c r="I309" s="14">
        <v>29</v>
      </c>
      <c r="J309" s="14" t="s">
        <v>73</v>
      </c>
      <c r="K309" s="14" t="s">
        <v>4603</v>
      </c>
      <c r="L309" s="14" t="s">
        <v>4604</v>
      </c>
      <c r="M309" s="14" t="s">
        <v>9158</v>
      </c>
      <c r="N309" s="14" t="s">
        <v>9158</v>
      </c>
      <c r="O309" s="14" t="s">
        <v>9158</v>
      </c>
      <c r="P309" s="14" t="s">
        <v>9158</v>
      </c>
      <c r="Q309" s="14" t="s">
        <v>9158</v>
      </c>
    </row>
    <row r="310" spans="1:17">
      <c r="A310" s="9">
        <v>65013</v>
      </c>
      <c r="B310" s="14" t="s">
        <v>334</v>
      </c>
      <c r="C310" s="14" t="s">
        <v>165</v>
      </c>
      <c r="D310" s="14" t="s">
        <v>2882</v>
      </c>
      <c r="E310" s="15" t="str">
        <f>HYPERLINK("https://stat100.ameba.jp/tnk47/ratio20/illustrations/card/ill_65013_showaretoropoppushibanosonome03.jpg?202103-5-RELEASE-marathon-521xx", "■")</f>
        <v>■</v>
      </c>
      <c r="F310" s="14" t="s">
        <v>2883</v>
      </c>
      <c r="G310" s="14">
        <v>113277</v>
      </c>
      <c r="H310" s="14">
        <v>105281</v>
      </c>
      <c r="I310" s="14">
        <v>29</v>
      </c>
      <c r="J310" s="14" t="s">
        <v>351</v>
      </c>
      <c r="K310" s="14" t="s">
        <v>2884</v>
      </c>
      <c r="L310" s="14" t="s">
        <v>1438</v>
      </c>
      <c r="M310" s="14" t="s">
        <v>9158</v>
      </c>
      <c r="N310" s="14" t="s">
        <v>9158</v>
      </c>
      <c r="O310" s="14" t="s">
        <v>9158</v>
      </c>
      <c r="P310" s="14" t="s">
        <v>9158</v>
      </c>
      <c r="Q310" s="14" t="s">
        <v>9158</v>
      </c>
    </row>
    <row r="311" spans="1:17">
      <c r="A311" s="14">
        <v>71473</v>
      </c>
      <c r="B311" s="14" t="s">
        <v>334</v>
      </c>
      <c r="C311" s="14" t="s">
        <v>1</v>
      </c>
      <c r="D311" s="19" t="s">
        <v>10508</v>
      </c>
      <c r="E311" s="15" t="str">
        <f>HYPERLINK("https://stat100.ameba.jp/tnk47/ratio20/illustrations/card/ill_71473_nyugakushikishirubaakusechan03.jpg?202103-5-RELEASE-marathon-521xx", "■")</f>
        <v>■</v>
      </c>
      <c r="F311" s="14" t="s">
        <v>4212</v>
      </c>
      <c r="G311" s="14">
        <v>132112</v>
      </c>
      <c r="H311" s="14">
        <v>122834</v>
      </c>
      <c r="I311" s="14">
        <v>29</v>
      </c>
      <c r="J311" s="14" t="s">
        <v>26</v>
      </c>
      <c r="K311" s="14" t="s">
        <v>4213</v>
      </c>
      <c r="L311" s="14" t="s">
        <v>2181</v>
      </c>
      <c r="M311" s="14" t="s">
        <v>9158</v>
      </c>
      <c r="N311" s="14" t="s">
        <v>9158</v>
      </c>
      <c r="O311" s="14" t="s">
        <v>9158</v>
      </c>
      <c r="P311" s="14" t="s">
        <v>9158</v>
      </c>
      <c r="Q311" s="14" t="s">
        <v>9158</v>
      </c>
    </row>
    <row r="312" spans="1:17">
      <c r="A312" s="9">
        <v>68993</v>
      </c>
      <c r="B312" s="14" t="s">
        <v>334</v>
      </c>
      <c r="C312" s="14" t="s">
        <v>206</v>
      </c>
      <c r="D312" s="14" t="s">
        <v>2406</v>
      </c>
      <c r="E312" s="15" t="str">
        <f>HYPERLINK("https://stat100.ameba.jp/tnk47/ratio20/illustrations/card/ill_68993_namahageyoriyorichan03.jpg?202103-5-RELEASE-marathon-521xx", "■")</f>
        <v>■</v>
      </c>
      <c r="F312" s="14" t="s">
        <v>2407</v>
      </c>
      <c r="G312" s="14">
        <v>136953</v>
      </c>
      <c r="H312" s="14">
        <v>127350</v>
      </c>
      <c r="I312" s="14">
        <v>29</v>
      </c>
      <c r="J312" s="14" t="s">
        <v>104</v>
      </c>
      <c r="K312" s="14" t="s">
        <v>2408</v>
      </c>
      <c r="L312" s="14" t="s">
        <v>2409</v>
      </c>
      <c r="M312" s="14" t="s">
        <v>9158</v>
      </c>
      <c r="N312" s="14" t="s">
        <v>9158</v>
      </c>
      <c r="O312" s="14" t="s">
        <v>9158</v>
      </c>
      <c r="P312" s="14" t="s">
        <v>9158</v>
      </c>
      <c r="Q312" s="14" t="s">
        <v>9158</v>
      </c>
    </row>
    <row r="314" spans="1:17">
      <c r="A314" s="14" t="s">
        <v>1711</v>
      </c>
    </row>
    <row r="315" spans="1:17">
      <c r="A315" s="14">
        <v>107436</v>
      </c>
      <c r="B315" s="14" t="s">
        <v>3983</v>
      </c>
    </row>
    <row r="316" spans="1:17">
      <c r="A316" s="14" t="s">
        <v>5619</v>
      </c>
      <c r="B316" s="14" t="s">
        <v>330</v>
      </c>
      <c r="C316" s="14" t="s">
        <v>202</v>
      </c>
      <c r="D316" s="19" t="s">
        <v>10348</v>
      </c>
      <c r="E316" s="15" t="str">
        <f>HYPERLINK("https://stat100.ameba.jp/tnk47/ratio20/illustrations/card/ill_81183_0_shinryokunokisetsuamaterasu03.jpg?202103-5-RELEASE-marathon-521xx", "■")</f>
        <v>■</v>
      </c>
      <c r="F316" s="14" t="s">
        <v>4505</v>
      </c>
      <c r="G316" s="14">
        <v>252122</v>
      </c>
      <c r="H316" s="14">
        <v>278984</v>
      </c>
      <c r="I316" s="14">
        <v>24</v>
      </c>
      <c r="J316" s="14" t="s">
        <v>44</v>
      </c>
      <c r="K316" s="14" t="s">
        <v>4506</v>
      </c>
      <c r="L316" s="14" t="s">
        <v>4507</v>
      </c>
      <c r="M316" s="14" t="s">
        <v>9158</v>
      </c>
      <c r="N316" s="14" t="s">
        <v>9158</v>
      </c>
      <c r="O316" s="19" t="s">
        <v>10083</v>
      </c>
      <c r="P316" s="14" t="s">
        <v>4509</v>
      </c>
      <c r="Q316" s="14">
        <v>0</v>
      </c>
    </row>
    <row r="317" spans="1:17">
      <c r="A317" s="14" t="s">
        <v>5822</v>
      </c>
      <c r="B317" s="14" t="s">
        <v>330</v>
      </c>
      <c r="C317" s="14" t="s">
        <v>307</v>
      </c>
      <c r="D317" s="19" t="s">
        <v>306</v>
      </c>
      <c r="E317" s="15" t="str">
        <f>HYPERLINK("https://stat100.ameba.jp/tnk47/ratio20/illustrations/card/ill_71403_0_ohanamisanadayukimura03.jpg?202103-5-RELEASE-marathon-521xx", "■")</f>
        <v>■</v>
      </c>
      <c r="F317" s="14" t="s">
        <v>309</v>
      </c>
      <c r="G317" s="14">
        <v>224026</v>
      </c>
      <c r="H317" s="14">
        <v>208310</v>
      </c>
      <c r="I317" s="14">
        <v>24</v>
      </c>
      <c r="J317" s="14" t="s">
        <v>310</v>
      </c>
      <c r="K317" s="14" t="s">
        <v>311</v>
      </c>
      <c r="L317" s="14" t="s">
        <v>312</v>
      </c>
      <c r="M317" s="14" t="s">
        <v>9158</v>
      </c>
      <c r="N317" s="14" t="s">
        <v>9158</v>
      </c>
      <c r="O317" s="19" t="s">
        <v>10104</v>
      </c>
      <c r="P317" s="14" t="s">
        <v>3418</v>
      </c>
      <c r="Q317" s="14">
        <v>2</v>
      </c>
    </row>
    <row r="318" spans="1:17">
      <c r="A318" s="14" t="s">
        <v>5902</v>
      </c>
      <c r="B318" s="14" t="s">
        <v>330</v>
      </c>
      <c r="C318" s="14" t="s">
        <v>206</v>
      </c>
      <c r="D318" s="19" t="s">
        <v>483</v>
      </c>
      <c r="E318" s="15" t="str">
        <f>HYPERLINK("https://stat100.ameba.jp/tnk47/ratio20/illustrations/card/ill_40343_0_heshikirihasebekurodakambe03.jpg?202103-5-RELEASE-marathon-521xx", "■")</f>
        <v>■</v>
      </c>
      <c r="F318" s="14" t="s">
        <v>906</v>
      </c>
      <c r="G318" s="14">
        <v>140448</v>
      </c>
      <c r="H318" s="14">
        <v>131538</v>
      </c>
      <c r="I318" s="14">
        <v>24</v>
      </c>
      <c r="J318" s="14" t="s">
        <v>16</v>
      </c>
      <c r="K318" s="14" t="s">
        <v>907</v>
      </c>
      <c r="L318" s="14" t="s">
        <v>908</v>
      </c>
      <c r="M318" s="14" t="s">
        <v>9158</v>
      </c>
      <c r="N318" s="14" t="s">
        <v>9158</v>
      </c>
      <c r="O318" s="14" t="s">
        <v>9158</v>
      </c>
      <c r="P318" s="14" t="s">
        <v>9158</v>
      </c>
      <c r="Q318" s="14" t="s">
        <v>9158</v>
      </c>
    </row>
    <row r="319" spans="1:17">
      <c r="A319" s="14">
        <v>96613</v>
      </c>
      <c r="B319" s="14" t="s">
        <v>0</v>
      </c>
      <c r="C319" s="14" t="s">
        <v>23</v>
      </c>
      <c r="D319" s="14" t="s">
        <v>16807</v>
      </c>
      <c r="E319" s="15" t="str">
        <f>HYPERLINK("https://stat100.ameba.jp/tnk47/ratio20/illustrations/card/ill_96613_dangambaunteigaru03.jpg?202103-5-RELEASE-marathon-521xx", "■")</f>
        <v>■</v>
      </c>
      <c r="F319" s="14" t="s">
        <v>16806</v>
      </c>
      <c r="G319" s="14">
        <v>98019</v>
      </c>
      <c r="H319" s="14">
        <v>105465</v>
      </c>
      <c r="I319" s="14">
        <v>27</v>
      </c>
      <c r="J319" s="14" t="s">
        <v>10</v>
      </c>
      <c r="K319" s="14" t="s">
        <v>16805</v>
      </c>
      <c r="L319" s="14" t="s">
        <v>15708</v>
      </c>
      <c r="M319" s="14" t="s">
        <v>9158</v>
      </c>
      <c r="N319" s="14" t="s">
        <v>9158</v>
      </c>
      <c r="O319" s="14" t="s">
        <v>9158</v>
      </c>
      <c r="P319" s="14" t="s">
        <v>9158</v>
      </c>
      <c r="Q319" s="14" t="s">
        <v>9158</v>
      </c>
    </row>
    <row r="320" spans="1:17">
      <c r="A320" s="14">
        <v>96633</v>
      </c>
      <c r="B320" s="14" t="s">
        <v>15</v>
      </c>
      <c r="C320" s="14" t="s">
        <v>1</v>
      </c>
      <c r="D320" s="14" t="s">
        <v>16812</v>
      </c>
      <c r="E320" s="15" t="str">
        <f>HYPERLINK("https://stat100.ameba.jp/tnk47/ratio20/illustrations/card/ill_96633_torejatakasugishinsaku03.jpg?202103-5-RELEASE-marathon-521xx", "■")</f>
        <v>■</v>
      </c>
      <c r="F320" s="14" t="s">
        <v>16811</v>
      </c>
      <c r="G320" s="14">
        <v>80028</v>
      </c>
      <c r="H320" s="14">
        <v>72586</v>
      </c>
      <c r="I320" s="14">
        <v>27</v>
      </c>
      <c r="J320" s="14" t="s">
        <v>143</v>
      </c>
      <c r="K320" s="14" t="s">
        <v>16810</v>
      </c>
      <c r="L320" s="14" t="s">
        <v>3524</v>
      </c>
      <c r="M320" s="14" t="s">
        <v>9158</v>
      </c>
      <c r="N320" s="14" t="s">
        <v>9158</v>
      </c>
      <c r="O320" s="14" t="s">
        <v>9158</v>
      </c>
      <c r="P320" s="14" t="s">
        <v>9158</v>
      </c>
      <c r="Q320" s="14" t="s">
        <v>9158</v>
      </c>
    </row>
    <row r="321" spans="1:17">
      <c r="A321" s="14">
        <v>96643</v>
      </c>
      <c r="B321" s="14" t="s">
        <v>22</v>
      </c>
      <c r="C321" s="14" t="s">
        <v>14</v>
      </c>
      <c r="D321" s="14" t="s">
        <v>16815</v>
      </c>
      <c r="E321" s="15" t="str">
        <f>HYPERLINK("https://stat100.ameba.jp/tnk47/ratio20/illustrations/card/ill_96643_dosankochan03.jpg?202103-5-RELEASE-marathon-521xx", "■")</f>
        <v>■</v>
      </c>
      <c r="F321" s="14" t="s">
        <v>16814</v>
      </c>
      <c r="G321" s="14">
        <v>46676</v>
      </c>
      <c r="H321" s="14">
        <v>56138</v>
      </c>
      <c r="I321" s="14">
        <v>27</v>
      </c>
      <c r="J321" s="14" t="s">
        <v>26</v>
      </c>
      <c r="K321" s="14" t="s">
        <v>16813</v>
      </c>
      <c r="L321" s="14" t="s">
        <v>28</v>
      </c>
      <c r="M321" s="14" t="s">
        <v>9158</v>
      </c>
      <c r="N321" s="14" t="s">
        <v>9158</v>
      </c>
      <c r="O321" s="14" t="s">
        <v>9158</v>
      </c>
      <c r="P321" s="14" t="s">
        <v>9158</v>
      </c>
      <c r="Q321" s="14" t="s">
        <v>9158</v>
      </c>
    </row>
    <row r="322" spans="1:17">
      <c r="A322" s="14">
        <v>96653</v>
      </c>
      <c r="B322" s="14" t="s">
        <v>22</v>
      </c>
      <c r="C322" s="14" t="s">
        <v>101</v>
      </c>
      <c r="D322" s="14" t="s">
        <v>16818</v>
      </c>
      <c r="E322" s="15" t="str">
        <f>HYPERLINK("https://stat100.ameba.jp/tnk47/ratio20/illustrations/card/ill_96653_miritarikaganochiyojo03.jpg?202103-5-RELEASE-marathon-521xx", "■")</f>
        <v>■</v>
      </c>
      <c r="F322" s="14" t="s">
        <v>16817</v>
      </c>
      <c r="G322" s="14">
        <v>56138</v>
      </c>
      <c r="H322" s="14">
        <v>46676</v>
      </c>
      <c r="I322" s="14">
        <v>27</v>
      </c>
      <c r="J322" s="14" t="s">
        <v>16</v>
      </c>
      <c r="K322" s="14" t="s">
        <v>16816</v>
      </c>
      <c r="L322" s="14" t="s">
        <v>1115</v>
      </c>
      <c r="M322" s="14" t="s">
        <v>9158</v>
      </c>
      <c r="N322" s="14" t="s">
        <v>9158</v>
      </c>
      <c r="O322" s="14" t="s">
        <v>9158</v>
      </c>
      <c r="P322" s="14" t="s">
        <v>9158</v>
      </c>
      <c r="Q322" s="14" t="s">
        <v>9158</v>
      </c>
    </row>
    <row r="324" spans="1:17">
      <c r="A324" s="14" t="s">
        <v>3844</v>
      </c>
    </row>
    <row r="325" spans="1:17">
      <c r="A325" s="14">
        <v>107459</v>
      </c>
      <c r="B325" s="14" t="s">
        <v>16920</v>
      </c>
    </row>
    <row r="326" spans="1:17">
      <c r="A326" s="14" t="s">
        <v>5734</v>
      </c>
      <c r="B326" s="14" t="s">
        <v>330</v>
      </c>
      <c r="C326" s="14" t="s">
        <v>202</v>
      </c>
      <c r="D326" s="19" t="s">
        <v>2297</v>
      </c>
      <c r="E326" s="15" t="str">
        <f>HYPERLINK("https://stat100.ameba.jp/tnk47/ratio20/illustrations/card/ill_74593_0_natsuyuenchikoshihikari03.jpg?202103-5-RELEASE-marathon-521xx", "■")</f>
        <v>■</v>
      </c>
      <c r="F326" s="14" t="s">
        <v>1498</v>
      </c>
      <c r="G326" s="14">
        <v>292494</v>
      </c>
      <c r="H326" s="14">
        <v>271923</v>
      </c>
      <c r="I326" s="14">
        <v>27</v>
      </c>
      <c r="J326" s="14" t="s">
        <v>283</v>
      </c>
      <c r="K326" s="14" t="s">
        <v>1499</v>
      </c>
      <c r="L326" s="14" t="s">
        <v>1500</v>
      </c>
      <c r="M326" s="14" t="s">
        <v>9158</v>
      </c>
      <c r="N326" s="14" t="s">
        <v>9158</v>
      </c>
      <c r="O326" s="19" t="s">
        <v>2731</v>
      </c>
      <c r="P326" s="14" t="s">
        <v>2732</v>
      </c>
      <c r="Q326" s="14">
        <v>1</v>
      </c>
    </row>
    <row r="327" spans="1:17">
      <c r="A327" s="14">
        <v>83513</v>
      </c>
      <c r="B327" s="14" t="s">
        <v>334</v>
      </c>
      <c r="C327" s="14" t="s">
        <v>1</v>
      </c>
      <c r="D327" s="20" t="s">
        <v>10556</v>
      </c>
      <c r="E327" s="15" t="str">
        <f>HYPERLINK("https://stat100.ameba.jp/tnk47/ratio20/illustrations/card/ill_83513_kajuemmimuratsuru03.jpg?202103-5-RELEASE-marathon-521xx", "■")</f>
        <v>■</v>
      </c>
      <c r="F327" s="14" t="s">
        <v>6603</v>
      </c>
      <c r="G327" s="14">
        <v>160507</v>
      </c>
      <c r="H327" s="14">
        <v>149240</v>
      </c>
      <c r="I327" s="14">
        <v>27</v>
      </c>
      <c r="J327" s="14" t="s">
        <v>143</v>
      </c>
      <c r="K327" s="14" t="s">
        <v>6601</v>
      </c>
      <c r="L327" s="14" t="s">
        <v>6600</v>
      </c>
      <c r="M327" s="14" t="s">
        <v>9158</v>
      </c>
      <c r="N327" s="14" t="s">
        <v>9158</v>
      </c>
      <c r="O327" s="19" t="s">
        <v>2951</v>
      </c>
      <c r="P327" s="14" t="s">
        <v>13122</v>
      </c>
      <c r="Q327" s="14">
        <v>1</v>
      </c>
    </row>
    <row r="328" spans="1:17">
      <c r="A328" s="14">
        <v>91653</v>
      </c>
      <c r="B328" s="14" t="s">
        <v>0</v>
      </c>
      <c r="C328" s="14" t="s">
        <v>96</v>
      </c>
      <c r="D328" s="18" t="s">
        <v>14544</v>
      </c>
      <c r="E328" s="15" t="str">
        <f>HYPERLINK("https://stat100.ameba.jp/tnk47/ratio20/illustrations/card/ill_91653_ninjashugyosunakakemusume03.jpg?202103-5-RELEASE-marathon-521xx", "■")</f>
        <v>■</v>
      </c>
      <c r="F328" s="14" t="s">
        <v>14543</v>
      </c>
      <c r="G328" s="14">
        <v>105465</v>
      </c>
      <c r="H328" s="14">
        <v>98019</v>
      </c>
      <c r="I328" s="14">
        <v>27</v>
      </c>
      <c r="J328" s="14" t="s">
        <v>73</v>
      </c>
      <c r="K328" s="14" t="s">
        <v>14541</v>
      </c>
      <c r="L328" s="14" t="s">
        <v>12211</v>
      </c>
      <c r="M328" s="14" t="s">
        <v>9158</v>
      </c>
      <c r="N328" s="14" t="s">
        <v>9158</v>
      </c>
      <c r="O328" s="6" t="s">
        <v>10054</v>
      </c>
      <c r="P328" s="7" t="s">
        <v>3672</v>
      </c>
      <c r="Q328" s="7">
        <v>1</v>
      </c>
    </row>
    <row r="329" spans="1:17">
      <c r="A329" s="9">
        <v>73913</v>
      </c>
      <c r="B329" s="14" t="s">
        <v>334</v>
      </c>
      <c r="C329" s="14" t="s">
        <v>154</v>
      </c>
      <c r="D329" s="14" t="s">
        <v>1206</v>
      </c>
      <c r="E329" s="15" t="str">
        <f>HYPERLINK("https://stat100.ameba.jp/tnk47/ratio20/illustrations/card/ill_73913_atsutajingu03.jpg?202103-5-RELEASE-marathon-521xx", "■")</f>
        <v>■</v>
      </c>
      <c r="F329" s="14" t="s">
        <v>1207</v>
      </c>
      <c r="G329" s="14">
        <v>89268</v>
      </c>
      <c r="H329" s="14">
        <v>123249</v>
      </c>
      <c r="I329" s="14">
        <v>27</v>
      </c>
      <c r="J329" s="14" t="s">
        <v>44</v>
      </c>
      <c r="K329" s="14" t="s">
        <v>1208</v>
      </c>
      <c r="L329" s="14" t="s">
        <v>1209</v>
      </c>
      <c r="M329" s="14" t="s">
        <v>9158</v>
      </c>
      <c r="N329" s="14" t="s">
        <v>9158</v>
      </c>
      <c r="O329" s="17" t="s">
        <v>10053</v>
      </c>
      <c r="P329" s="14" t="s">
        <v>2822</v>
      </c>
      <c r="Q329" s="14">
        <v>1</v>
      </c>
    </row>
    <row r="331" spans="1:17">
      <c r="A331" s="14" t="s">
        <v>4065</v>
      </c>
    </row>
    <row r="332" spans="1:17">
      <c r="A332" s="14">
        <v>107462</v>
      </c>
      <c r="B332" s="14" t="s">
        <v>16921</v>
      </c>
    </row>
    <row r="333" spans="1:17">
      <c r="A333" s="14" t="s">
        <v>5963</v>
      </c>
      <c r="B333" s="14" t="s">
        <v>330</v>
      </c>
      <c r="C333" s="14" t="s">
        <v>35</v>
      </c>
      <c r="D333" s="19" t="s">
        <v>10438</v>
      </c>
      <c r="E333" s="15" t="str">
        <f>HYPERLINK("https://stat100.ameba.jp/tnk47/ratio20/illustrations/card/ill_82963_0_yukatamatsuritomokazuki03.jpg?202103-5-RELEASE-marathon-521xx", "■")</f>
        <v>■</v>
      </c>
      <c r="F333" s="14" t="s">
        <v>5964</v>
      </c>
      <c r="G333" s="14">
        <v>321625</v>
      </c>
      <c r="H333" s="14">
        <v>355871</v>
      </c>
      <c r="I333" s="14">
        <v>27</v>
      </c>
      <c r="J333" s="14" t="s">
        <v>73</v>
      </c>
      <c r="K333" s="14" t="s">
        <v>5966</v>
      </c>
      <c r="L333" s="14" t="s">
        <v>5967</v>
      </c>
      <c r="M333" s="14" t="s">
        <v>9158</v>
      </c>
      <c r="N333" s="14" t="s">
        <v>9158</v>
      </c>
      <c r="O333" s="19" t="s">
        <v>10115</v>
      </c>
      <c r="P333" s="14" t="s">
        <v>5968</v>
      </c>
      <c r="Q333" s="14">
        <v>1</v>
      </c>
    </row>
    <row r="334" spans="1:17">
      <c r="A334" s="14">
        <v>84653</v>
      </c>
      <c r="B334" s="14" t="s">
        <v>334</v>
      </c>
      <c r="C334" s="14" t="s">
        <v>209</v>
      </c>
      <c r="D334" s="20" t="s">
        <v>10626</v>
      </c>
      <c r="E334" s="15" t="str">
        <f>HYPERLINK("https://stat100.ameba.jp/tnk47/ratio20/illustrations/card/ill_84653_soru03.jpg?202103-5-RELEASE-marathon-521xx", "■")</f>
        <v>■</v>
      </c>
      <c r="F334" s="14" t="s">
        <v>6954</v>
      </c>
      <c r="G334" s="14">
        <v>85483</v>
      </c>
      <c r="H334" s="14">
        <v>118001</v>
      </c>
      <c r="I334" s="14">
        <v>27</v>
      </c>
      <c r="J334" s="14" t="s">
        <v>44</v>
      </c>
      <c r="K334" s="14" t="s">
        <v>6956</v>
      </c>
      <c r="L334" s="14" t="s">
        <v>3652</v>
      </c>
      <c r="M334" s="14" t="s">
        <v>9158</v>
      </c>
      <c r="N334" s="14" t="s">
        <v>9158</v>
      </c>
      <c r="O334" s="19" t="s">
        <v>10103</v>
      </c>
      <c r="P334" s="14" t="s">
        <v>3897</v>
      </c>
      <c r="Q334" s="14">
        <v>1</v>
      </c>
    </row>
    <row r="335" spans="1:17">
      <c r="A335" s="14">
        <v>84323</v>
      </c>
      <c r="B335" s="14" t="s">
        <v>0</v>
      </c>
      <c r="C335" s="14" t="s">
        <v>158</v>
      </c>
      <c r="D335" s="19" t="s">
        <v>10669</v>
      </c>
      <c r="E335" s="15" t="str">
        <f>HYPERLINK("https://stat100.ameba.jp/tnk47/ratio20/illustrations/card/ill_84323_kagizumebyakko03.jpg?202103-5-RELEASE-marathon-521xx", "■")</f>
        <v>■</v>
      </c>
      <c r="F335" s="14" t="s">
        <v>7284</v>
      </c>
      <c r="G335" s="14">
        <v>137662</v>
      </c>
      <c r="H335" s="14">
        <v>99702</v>
      </c>
      <c r="I335" s="14">
        <v>27</v>
      </c>
      <c r="J335" s="14" t="s">
        <v>155</v>
      </c>
      <c r="K335" s="14" t="s">
        <v>7283</v>
      </c>
      <c r="L335" s="14" t="s">
        <v>7282</v>
      </c>
      <c r="M335" s="14" t="s">
        <v>9158</v>
      </c>
      <c r="N335" s="14" t="s">
        <v>9158</v>
      </c>
      <c r="O335" s="19" t="s">
        <v>10109</v>
      </c>
      <c r="P335" s="14" t="s">
        <v>3625</v>
      </c>
      <c r="Q335" s="14">
        <v>1</v>
      </c>
    </row>
    <row r="336" spans="1:17">
      <c r="A336" s="14">
        <v>82543</v>
      </c>
      <c r="B336" s="14" t="s">
        <v>334</v>
      </c>
      <c r="C336" s="14" t="s">
        <v>41</v>
      </c>
      <c r="D336" s="20" t="s">
        <v>10342</v>
      </c>
      <c r="E336" s="15" t="str">
        <f>HYPERLINK("https://stat100.ameba.jp/tnk47/ratio20/illustrations/card/ill_82543_nabeshimanagako03.jpg?202103-5-RELEASE-marathon-521xx", "■")</f>
        <v>■</v>
      </c>
      <c r="F336" s="14" t="s">
        <v>5491</v>
      </c>
      <c r="G336" s="14">
        <v>118001</v>
      </c>
      <c r="H336" s="14">
        <v>85483</v>
      </c>
      <c r="I336" s="14">
        <v>27</v>
      </c>
      <c r="J336" s="14" t="s">
        <v>10</v>
      </c>
      <c r="K336" s="14" t="s">
        <v>5493</v>
      </c>
      <c r="L336" s="14" t="s">
        <v>5494</v>
      </c>
      <c r="M336" s="14" t="s">
        <v>9158</v>
      </c>
      <c r="N336" s="14" t="s">
        <v>9158</v>
      </c>
      <c r="O336" s="19" t="s">
        <v>10080</v>
      </c>
      <c r="P336" s="14" t="s">
        <v>3705</v>
      </c>
      <c r="Q336" s="14">
        <v>1</v>
      </c>
    </row>
    <row r="337" spans="1:17">
      <c r="I337" s="9"/>
    </row>
    <row r="338" spans="1:17">
      <c r="A338" s="14" t="s">
        <v>3916</v>
      </c>
      <c r="I338" s="9"/>
    </row>
    <row r="339" spans="1:17">
      <c r="A339" s="14">
        <v>107467</v>
      </c>
      <c r="B339" s="14" t="s">
        <v>16922</v>
      </c>
      <c r="I339" s="9"/>
    </row>
    <row r="340" spans="1:17">
      <c r="A340" s="9">
        <v>60363</v>
      </c>
      <c r="B340" s="14" t="s">
        <v>0</v>
      </c>
      <c r="C340" s="14" t="s">
        <v>209</v>
      </c>
      <c r="D340" s="14" t="s">
        <v>3918</v>
      </c>
      <c r="E340" s="15" t="str">
        <f>HYPERLINK("https://stat100.ameba.jp/tnk47/ratio20/illustrations/card/ill_60363_shirakaba03.jpg?202103-5-RELEASE-marathon-521xx", "■")</f>
        <v>■</v>
      </c>
      <c r="F340" s="14" t="s">
        <v>3919</v>
      </c>
      <c r="G340" s="14">
        <v>116296</v>
      </c>
      <c r="H340" s="14">
        <v>125078</v>
      </c>
      <c r="I340" s="9">
        <v>29</v>
      </c>
      <c r="J340" s="14" t="s">
        <v>26</v>
      </c>
      <c r="K340" s="14" t="s">
        <v>3920</v>
      </c>
      <c r="L340" s="14" t="s">
        <v>3921</v>
      </c>
      <c r="M340" s="14" t="s">
        <v>9158</v>
      </c>
      <c r="N340" s="14" t="s">
        <v>9158</v>
      </c>
      <c r="O340" s="14" t="s">
        <v>9158</v>
      </c>
      <c r="P340" s="14" t="s">
        <v>9158</v>
      </c>
      <c r="Q340" s="14" t="s">
        <v>9158</v>
      </c>
    </row>
    <row r="341" spans="1:17">
      <c r="A341" s="9">
        <v>59413</v>
      </c>
      <c r="B341" s="14" t="s">
        <v>334</v>
      </c>
      <c r="C341" s="14" t="s">
        <v>158</v>
      </c>
      <c r="D341" s="14" t="s">
        <v>3922</v>
      </c>
      <c r="E341" s="15" t="str">
        <f>HYPERLINK("https://stat100.ameba.jp/tnk47/ratio20/illustrations/card/ill_59413_otogosahime03.jpg?202103-5-RELEASE-marathon-521xx", "■")</f>
        <v>■</v>
      </c>
      <c r="F341" s="14" t="s">
        <v>3923</v>
      </c>
      <c r="G341" s="14">
        <v>116296</v>
      </c>
      <c r="H341" s="14">
        <v>125078</v>
      </c>
      <c r="I341" s="14">
        <v>29</v>
      </c>
      <c r="J341" s="14" t="s">
        <v>38</v>
      </c>
      <c r="K341" s="14" t="s">
        <v>3924</v>
      </c>
      <c r="L341" s="14" t="s">
        <v>3925</v>
      </c>
      <c r="M341" s="14" t="s">
        <v>9158</v>
      </c>
      <c r="N341" s="14" t="s">
        <v>9158</v>
      </c>
      <c r="O341" s="14" t="s">
        <v>9158</v>
      </c>
      <c r="P341" s="14" t="s">
        <v>9158</v>
      </c>
      <c r="Q341" s="14" t="s">
        <v>9158</v>
      </c>
    </row>
    <row r="342" spans="1:17">
      <c r="A342" s="14">
        <v>76483</v>
      </c>
      <c r="B342" s="14" t="s">
        <v>334</v>
      </c>
      <c r="C342" s="14" t="s">
        <v>307</v>
      </c>
      <c r="D342" s="20" t="s">
        <v>589</v>
      </c>
      <c r="E342" s="15" t="str">
        <f>HYPERLINK("https://stat100.ameba.jp/tnk47/ratio20/illustrations/card/ill_76483_yukemurimizuhanome03.jpg?202103-5-RELEASE-marathon-521xx", "■")</f>
        <v>■</v>
      </c>
      <c r="F342" s="14" t="s">
        <v>590</v>
      </c>
      <c r="G342" s="14">
        <v>118287</v>
      </c>
      <c r="H342" s="14">
        <v>109970</v>
      </c>
      <c r="I342" s="9">
        <v>29</v>
      </c>
      <c r="J342" s="14" t="s">
        <v>401</v>
      </c>
      <c r="K342" s="14" t="s">
        <v>591</v>
      </c>
      <c r="L342" s="14" t="s">
        <v>592</v>
      </c>
      <c r="M342" s="14" t="s">
        <v>9158</v>
      </c>
      <c r="N342" s="14" t="s">
        <v>9158</v>
      </c>
      <c r="O342" s="14" t="s">
        <v>9158</v>
      </c>
      <c r="P342" s="14" t="s">
        <v>9158</v>
      </c>
      <c r="Q342" s="14" t="s">
        <v>9158</v>
      </c>
    </row>
    <row r="343" spans="1:17">
      <c r="A343" s="14">
        <v>70023</v>
      </c>
      <c r="B343" s="14" t="s">
        <v>334</v>
      </c>
      <c r="C343" s="14" t="s">
        <v>344</v>
      </c>
      <c r="D343" s="20" t="s">
        <v>10230</v>
      </c>
      <c r="E343" s="15" t="str">
        <f>HYPERLINK("https://stat100.ameba.jp/tnk47/ratio20/illustrations/card/ill_70023_yukinoukokunabeshimanobakeneko03.jpg?202103-5-RELEASE-marathon-521xx", "■")</f>
        <v>■</v>
      </c>
      <c r="F343" s="14" t="s">
        <v>769</v>
      </c>
      <c r="G343" s="14">
        <v>112369</v>
      </c>
      <c r="H343" s="14">
        <v>120830</v>
      </c>
      <c r="I343" s="14">
        <v>29</v>
      </c>
      <c r="J343" s="14" t="s">
        <v>320</v>
      </c>
      <c r="K343" s="14" t="s">
        <v>770</v>
      </c>
      <c r="L343" s="14" t="s">
        <v>771</v>
      </c>
      <c r="M343" s="14" t="s">
        <v>9158</v>
      </c>
      <c r="N343" s="14" t="s">
        <v>9158</v>
      </c>
      <c r="O343" s="14" t="s">
        <v>9158</v>
      </c>
      <c r="P343" s="14" t="s">
        <v>9158</v>
      </c>
      <c r="Q343" s="14" t="s">
        <v>9158</v>
      </c>
    </row>
    <row r="344" spans="1:17">
      <c r="A344" s="14">
        <v>52733</v>
      </c>
      <c r="B344" s="14" t="s">
        <v>15</v>
      </c>
      <c r="C344" s="14" t="s">
        <v>185</v>
      </c>
      <c r="D344" s="20" t="s">
        <v>10491</v>
      </c>
      <c r="E344" s="15" t="str">
        <f>HYPERLINK("https://stat100.ameba.jp/tnk47/ratio20/illustrations/card/ill_52733_sekkinambutsuruhime03.jpg?202103-5-RELEASE-marathon-521xx", "■")</f>
        <v>■</v>
      </c>
      <c r="F344" s="14" t="s">
        <v>6246</v>
      </c>
      <c r="G344" s="14">
        <v>64520</v>
      </c>
      <c r="H344" s="14">
        <v>71136</v>
      </c>
      <c r="I344" s="14">
        <v>24</v>
      </c>
      <c r="J344" s="14" t="s">
        <v>77</v>
      </c>
      <c r="K344" s="14" t="s">
        <v>6248</v>
      </c>
      <c r="L344" s="14" t="s">
        <v>6249</v>
      </c>
      <c r="M344" s="14" t="s">
        <v>9158</v>
      </c>
      <c r="N344" s="14" t="s">
        <v>9158</v>
      </c>
      <c r="O344" s="14" t="s">
        <v>9158</v>
      </c>
      <c r="P344" s="14" t="s">
        <v>9158</v>
      </c>
      <c r="Q344" s="14" t="s">
        <v>9158</v>
      </c>
    </row>
    <row r="345" spans="1:17">
      <c r="A345" s="14">
        <v>54003</v>
      </c>
      <c r="B345" s="14" t="s">
        <v>15</v>
      </c>
      <c r="C345" s="14" t="s">
        <v>200</v>
      </c>
      <c r="D345" s="20" t="s">
        <v>10492</v>
      </c>
      <c r="E345" s="15" t="str">
        <f>HYPERLINK("https://stat100.ameba.jp/tnk47/ratio20/illustrations/card/ill_54003_seiryumegurihiguchiichiyo03.jpg?202103-5-RELEASE-marathon-521xx", "■")</f>
        <v>■</v>
      </c>
      <c r="F345" s="14" t="s">
        <v>6250</v>
      </c>
      <c r="G345" s="14">
        <v>71136</v>
      </c>
      <c r="H345" s="14">
        <v>64520</v>
      </c>
      <c r="I345" s="14">
        <v>24</v>
      </c>
      <c r="J345" s="14" t="s">
        <v>10</v>
      </c>
      <c r="K345" s="14" t="s">
        <v>6252</v>
      </c>
      <c r="L345" s="14" t="s">
        <v>6253</v>
      </c>
      <c r="M345" s="14" t="s">
        <v>9158</v>
      </c>
      <c r="N345" s="14" t="s">
        <v>9158</v>
      </c>
      <c r="O345" s="14" t="s">
        <v>9158</v>
      </c>
      <c r="P345" s="14" t="s">
        <v>9158</v>
      </c>
      <c r="Q345" s="14" t="s">
        <v>9158</v>
      </c>
    </row>
    <row r="346" spans="1:17">
      <c r="A346" s="14">
        <v>51833</v>
      </c>
      <c r="B346" s="14" t="s">
        <v>15</v>
      </c>
      <c r="C346" s="14" t="s">
        <v>205</v>
      </c>
      <c r="D346" s="20" t="s">
        <v>10493</v>
      </c>
      <c r="E346" s="15" t="str">
        <f>HYPERLINK("https://stat100.ameba.jp/tnk47/ratio20/illustrations/card/ill_51833_jukimakitsuhikonomikoto03.jpg?202103-5-RELEASE-marathon-521xx", "■")</f>
        <v>■</v>
      </c>
      <c r="F346" s="14" t="s">
        <v>6254</v>
      </c>
      <c r="G346" s="14">
        <v>71136</v>
      </c>
      <c r="H346" s="14">
        <v>64520</v>
      </c>
      <c r="I346" s="14">
        <v>24</v>
      </c>
      <c r="J346" s="14" t="s">
        <v>44</v>
      </c>
      <c r="K346" s="14" t="s">
        <v>6257</v>
      </c>
      <c r="L346" s="14" t="s">
        <v>6256</v>
      </c>
      <c r="M346" s="14" t="s">
        <v>9158</v>
      </c>
      <c r="N346" s="14" t="s">
        <v>9158</v>
      </c>
      <c r="O346" s="14" t="s">
        <v>9158</v>
      </c>
      <c r="P346" s="14" t="s">
        <v>9158</v>
      </c>
      <c r="Q346" s="14" t="s">
        <v>9158</v>
      </c>
    </row>
    <row r="347" spans="1:17">
      <c r="A347" s="14">
        <v>53203</v>
      </c>
      <c r="B347" s="14" t="s">
        <v>15</v>
      </c>
      <c r="C347" s="14" t="s">
        <v>165</v>
      </c>
      <c r="D347" s="20" t="s">
        <v>10494</v>
      </c>
      <c r="E347" s="15" t="str">
        <f>HYPERLINK("https://stat100.ameba.jp/tnk47/ratio20/illustrations/card/ill_53203_buruhawaichan03.jpg?202103-5-RELEASE-marathon-521xx", "■")</f>
        <v>■</v>
      </c>
      <c r="F347" s="14" t="s">
        <v>6258</v>
      </c>
      <c r="G347" s="14">
        <v>64520</v>
      </c>
      <c r="H347" s="14">
        <v>71136</v>
      </c>
      <c r="I347" s="14">
        <v>24</v>
      </c>
      <c r="J347" s="14" t="s">
        <v>104</v>
      </c>
      <c r="K347" s="14" t="s">
        <v>6261</v>
      </c>
      <c r="L347" s="14" t="s">
        <v>6260</v>
      </c>
      <c r="M347" s="14" t="s">
        <v>9158</v>
      </c>
      <c r="N347" s="14" t="s">
        <v>9158</v>
      </c>
      <c r="O347" s="14" t="s">
        <v>9158</v>
      </c>
      <c r="P347" s="14" t="s">
        <v>9158</v>
      </c>
      <c r="Q347" s="14" t="s">
        <v>9158</v>
      </c>
    </row>
    <row r="349" spans="1:17">
      <c r="A349" s="14" t="s">
        <v>208</v>
      </c>
    </row>
    <row r="350" spans="1:17">
      <c r="A350" s="14">
        <v>237341</v>
      </c>
      <c r="B350" s="14" t="s">
        <v>16888</v>
      </c>
    </row>
    <row r="351" spans="1:17">
      <c r="A351" s="9" t="s">
        <v>5602</v>
      </c>
      <c r="B351" s="14" t="s">
        <v>330</v>
      </c>
      <c r="C351" s="14" t="s">
        <v>185</v>
      </c>
      <c r="D351" s="14" t="s">
        <v>2093</v>
      </c>
      <c r="E351" s="15" t="str">
        <f>HYPERLINK("https://stat100.ameba.jp/tnk47/ratio20/illustrations/card/ill_55313_0_haroinononokomachi03.jpg?202104-i_prefecture_active_user", "■")</f>
        <v>■</v>
      </c>
      <c r="F351" s="14" t="s">
        <v>814</v>
      </c>
      <c r="G351" s="14">
        <v>163342</v>
      </c>
      <c r="H351" s="14">
        <v>145100</v>
      </c>
      <c r="I351" s="14">
        <v>26</v>
      </c>
      <c r="J351" s="14" t="s">
        <v>351</v>
      </c>
      <c r="K351" s="14" t="s">
        <v>815</v>
      </c>
      <c r="L351" s="14" t="s">
        <v>816</v>
      </c>
      <c r="M351" s="14" t="s">
        <v>9158</v>
      </c>
      <c r="N351" s="14" t="s">
        <v>9158</v>
      </c>
      <c r="O351" s="9" t="s">
        <v>2733</v>
      </c>
      <c r="P351" s="14" t="s">
        <v>2734</v>
      </c>
      <c r="Q351" s="14">
        <v>1</v>
      </c>
    </row>
    <row r="352" spans="1:17">
      <c r="A352" s="14" t="s">
        <v>5615</v>
      </c>
      <c r="B352" s="14" t="s">
        <v>330</v>
      </c>
      <c r="C352" s="14" t="s">
        <v>206</v>
      </c>
      <c r="D352" s="20" t="s">
        <v>2814</v>
      </c>
      <c r="E352" s="15" t="str">
        <f>HYPERLINK("https://stat100.ameba.jp/tnk47/ratio20/illustrations/card/ill_57733_0_shogatsunisenjunanaamakusashiro03.jpg?202104-i_prefecture_active_user", "■")</f>
        <v>■</v>
      </c>
      <c r="F352" s="14" t="s">
        <v>2815</v>
      </c>
      <c r="G352" s="14">
        <v>145100</v>
      </c>
      <c r="H352" s="14">
        <v>163342</v>
      </c>
      <c r="I352" s="14">
        <v>26</v>
      </c>
      <c r="J352" s="14" t="s">
        <v>351</v>
      </c>
      <c r="K352" s="14" t="s">
        <v>2816</v>
      </c>
      <c r="L352" s="14" t="s">
        <v>2817</v>
      </c>
      <c r="M352" s="14" t="s">
        <v>9158</v>
      </c>
      <c r="N352" s="14" t="s">
        <v>9158</v>
      </c>
      <c r="O352" s="19" t="s">
        <v>10077</v>
      </c>
      <c r="P352" s="14" t="s">
        <v>3062</v>
      </c>
      <c r="Q352" s="14">
        <v>1</v>
      </c>
    </row>
    <row r="353" spans="1:19">
      <c r="A353" s="14" t="s">
        <v>5627</v>
      </c>
      <c r="B353" s="14" t="s">
        <v>330</v>
      </c>
      <c r="C353" s="14" t="s">
        <v>191</v>
      </c>
      <c r="D353" s="19" t="s">
        <v>393</v>
      </c>
      <c r="E353" s="15" t="str">
        <f>HYPERLINK("https://stat100.ameba.jp/tnk47/ratio20/illustrations/card/ill_46283_0_odanobunaga03.jpg?202104-i_prefecture_active_user", "■")</f>
        <v>■</v>
      </c>
      <c r="F353" s="14" t="s">
        <v>1073</v>
      </c>
      <c r="G353" s="14">
        <v>142500</v>
      </c>
      <c r="H353" s="14">
        <v>152152</v>
      </c>
      <c r="I353" s="14">
        <v>26</v>
      </c>
      <c r="J353" s="14" t="s">
        <v>143</v>
      </c>
      <c r="K353" s="14" t="s">
        <v>1074</v>
      </c>
      <c r="L353" s="14" t="s">
        <v>1075</v>
      </c>
      <c r="M353" s="14" t="s">
        <v>9158</v>
      </c>
      <c r="N353" s="14" t="s">
        <v>9158</v>
      </c>
      <c r="O353" s="14" t="s">
        <v>9158</v>
      </c>
      <c r="P353" s="14" t="s">
        <v>9158</v>
      </c>
      <c r="Q353" s="14" t="s">
        <v>9158</v>
      </c>
    </row>
    <row r="354" spans="1:19">
      <c r="A354" s="14">
        <v>90733</v>
      </c>
      <c r="B354" s="14" t="s">
        <v>0</v>
      </c>
      <c r="C354" s="14" t="s">
        <v>47</v>
      </c>
      <c r="D354" s="14" t="s">
        <v>16892</v>
      </c>
      <c r="E354" s="15" t="str">
        <f>HYPERLINK("https://stat100.ameba.jp/tnk47/ratio20/illustrations/card/ill_90733_suitsuzammainene03.jpg?202104-i_prefecture_active_user", "■")</f>
        <v>■</v>
      </c>
      <c r="F354" s="14" t="s">
        <v>16891</v>
      </c>
      <c r="G354" s="14">
        <v>127350</v>
      </c>
      <c r="H354" s="14">
        <v>136953</v>
      </c>
      <c r="I354" s="14">
        <v>29</v>
      </c>
      <c r="J354" s="14" t="s">
        <v>77</v>
      </c>
      <c r="K354" s="14" t="s">
        <v>16890</v>
      </c>
      <c r="L354" s="14" t="s">
        <v>16889</v>
      </c>
      <c r="M354" s="14" t="s">
        <v>9158</v>
      </c>
      <c r="N354" s="14" t="s">
        <v>9158</v>
      </c>
      <c r="O354" s="14" t="s">
        <v>9158</v>
      </c>
      <c r="P354" s="14" t="s">
        <v>9158</v>
      </c>
      <c r="Q354" s="14" t="s">
        <v>9158</v>
      </c>
      <c r="S354" s="14" t="s">
        <v>16901</v>
      </c>
    </row>
    <row r="355" spans="1:19">
      <c r="A355" s="14">
        <v>89193</v>
      </c>
      <c r="B355" s="14" t="s">
        <v>0</v>
      </c>
      <c r="C355" s="14" t="s">
        <v>41</v>
      </c>
      <c r="D355" s="14" t="s">
        <v>16896</v>
      </c>
      <c r="E355" s="15" t="str">
        <f>HYPERLINK("https://stat100.ameba.jp/tnk47/ratio20/illustrations/card/ill_89193_kajinogyamburufueari03.jpg?202104-i_prefecture_active_user", "■")</f>
        <v>■</v>
      </c>
      <c r="F355" s="14" t="s">
        <v>16895</v>
      </c>
      <c r="G355" s="14">
        <v>109381</v>
      </c>
      <c r="H355" s="14">
        <v>117591</v>
      </c>
      <c r="I355" s="14">
        <v>29</v>
      </c>
      <c r="J355" s="14" t="s">
        <v>16</v>
      </c>
      <c r="K355" s="14" t="s">
        <v>16894</v>
      </c>
      <c r="L355" s="14" t="s">
        <v>16893</v>
      </c>
      <c r="M355" s="14" t="s">
        <v>9158</v>
      </c>
      <c r="N355" s="14" t="s">
        <v>9158</v>
      </c>
      <c r="O355" s="14" t="s">
        <v>9158</v>
      </c>
      <c r="P355" s="14" t="s">
        <v>9158</v>
      </c>
      <c r="Q355" s="14" t="s">
        <v>9158</v>
      </c>
      <c r="S355" s="14" t="s">
        <v>16902</v>
      </c>
    </row>
    <row r="356" spans="1:19">
      <c r="A356" s="14">
        <v>90613</v>
      </c>
      <c r="B356" s="14" t="s">
        <v>0</v>
      </c>
      <c r="C356" s="14" t="s">
        <v>47</v>
      </c>
      <c r="D356" s="14" t="s">
        <v>16900</v>
      </c>
      <c r="E356" s="15" t="str">
        <f>HYPERLINK("https://stat100.ameba.jp/tnk47/ratio20/illustrations/card/ill_90613_arabiangandaruba03.jpg?202104-i_prefecture_active_user", "■")</f>
        <v>■</v>
      </c>
      <c r="F356" s="14" t="s">
        <v>16899</v>
      </c>
      <c r="G356" s="14">
        <v>132112</v>
      </c>
      <c r="H356" s="14">
        <v>122834</v>
      </c>
      <c r="I356" s="14">
        <v>29</v>
      </c>
      <c r="J356" s="14" t="s">
        <v>26</v>
      </c>
      <c r="K356" s="14" t="s">
        <v>16898</v>
      </c>
      <c r="L356" s="14" t="s">
        <v>16897</v>
      </c>
      <c r="M356" s="14" t="s">
        <v>9158</v>
      </c>
      <c r="N356" s="14" t="s">
        <v>9158</v>
      </c>
      <c r="O356" s="14" t="s">
        <v>9158</v>
      </c>
      <c r="P356" s="14" t="s">
        <v>9158</v>
      </c>
      <c r="Q356" s="14" t="s">
        <v>9158</v>
      </c>
      <c r="S356" s="14" t="s">
        <v>16903</v>
      </c>
    </row>
    <row r="357" spans="1:19">
      <c r="A357" s="14">
        <v>79243</v>
      </c>
      <c r="B357" s="14" t="s">
        <v>15</v>
      </c>
      <c r="C357" s="14" t="s">
        <v>96</v>
      </c>
      <c r="D357" s="14" t="s">
        <v>16852</v>
      </c>
      <c r="E357" s="15" t="str">
        <f>HYPERLINK("https://stat100.ameba.jp/tnk47/ratio20/illustrations/card/ill_79243_sadohayamisosei03.jpg?202104-i_prefecture_active_user", "■")</f>
        <v>■</v>
      </c>
      <c r="F357" s="14" t="s">
        <v>16851</v>
      </c>
      <c r="G357" s="14">
        <v>69898</v>
      </c>
      <c r="H357" s="14">
        <v>77064</v>
      </c>
      <c r="I357" s="14">
        <v>26</v>
      </c>
      <c r="J357" s="14" t="s">
        <v>10</v>
      </c>
      <c r="K357" s="14" t="s">
        <v>16850</v>
      </c>
      <c r="L357" s="14" t="s">
        <v>12317</v>
      </c>
      <c r="M357" s="14" t="s">
        <v>9158</v>
      </c>
      <c r="N357" s="14" t="s">
        <v>9158</v>
      </c>
      <c r="O357" s="14" t="s">
        <v>9158</v>
      </c>
      <c r="P357" s="14" t="s">
        <v>9158</v>
      </c>
      <c r="Q357" s="14" t="s">
        <v>9158</v>
      </c>
      <c r="S357" s="14" t="s">
        <v>16861</v>
      </c>
    </row>
    <row r="358" spans="1:19">
      <c r="A358" s="14">
        <v>87283</v>
      </c>
      <c r="B358" s="14" t="s">
        <v>15</v>
      </c>
      <c r="C358" s="14" t="s">
        <v>23</v>
      </c>
      <c r="D358" s="14" t="s">
        <v>16855</v>
      </c>
      <c r="E358" s="15" t="str">
        <f>HYPERLINK("https://stat100.ameba.jp/tnk47/ratio20/illustrations/card/ill_87283_obentoarisubekon03.jpg?202104-i_prefecture_active_user", "■")</f>
        <v>■</v>
      </c>
      <c r="F358" s="14" t="s">
        <v>16854</v>
      </c>
      <c r="G358" s="14">
        <v>69898</v>
      </c>
      <c r="H358" s="14">
        <v>77064</v>
      </c>
      <c r="I358" s="14">
        <v>26</v>
      </c>
      <c r="J358" s="14" t="s">
        <v>16</v>
      </c>
      <c r="K358" s="14" t="s">
        <v>6085</v>
      </c>
      <c r="L358" s="14" t="s">
        <v>16853</v>
      </c>
      <c r="M358" s="14" t="s">
        <v>9158</v>
      </c>
      <c r="N358" s="14" t="s">
        <v>9158</v>
      </c>
      <c r="O358" s="14" t="s">
        <v>9158</v>
      </c>
      <c r="P358" s="14" t="s">
        <v>9158</v>
      </c>
      <c r="Q358" s="14" t="s">
        <v>9158</v>
      </c>
      <c r="S358" s="14" t="s">
        <v>16863</v>
      </c>
    </row>
    <row r="359" spans="1:19">
      <c r="A359" s="14">
        <v>69983</v>
      </c>
      <c r="B359" s="14" t="s">
        <v>15</v>
      </c>
      <c r="C359" s="14" t="s">
        <v>1</v>
      </c>
      <c r="D359" s="14" t="s">
        <v>16859</v>
      </c>
      <c r="E359" s="15" t="str">
        <f>HYPERLINK("https://stat100.ameba.jp/tnk47/ratio20/illustrations/card/ill_69983_senreigohime03.jpg?202104-i_prefecture_active_user", "■")</f>
        <v>■</v>
      </c>
      <c r="F359" s="14" t="s">
        <v>16858</v>
      </c>
      <c r="G359" s="14">
        <v>77064</v>
      </c>
      <c r="H359" s="14">
        <v>69898</v>
      </c>
      <c r="I359" s="14">
        <v>26</v>
      </c>
      <c r="J359" s="14" t="s">
        <v>77</v>
      </c>
      <c r="K359" s="14" t="s">
        <v>16857</v>
      </c>
      <c r="L359" s="14" t="s">
        <v>16856</v>
      </c>
      <c r="M359" s="14" t="s">
        <v>9158</v>
      </c>
      <c r="N359" s="14" t="s">
        <v>9158</v>
      </c>
      <c r="O359" s="14" t="s">
        <v>9158</v>
      </c>
      <c r="P359" s="14" t="s">
        <v>9158</v>
      </c>
      <c r="Q359" s="14" t="s">
        <v>9158</v>
      </c>
      <c r="S359" s="14" t="s">
        <v>16865</v>
      </c>
    </row>
    <row r="361" spans="1:19">
      <c r="A361" s="14" t="s">
        <v>13327</v>
      </c>
    </row>
    <row r="362" spans="1:19">
      <c r="A362" s="14">
        <v>107479</v>
      </c>
      <c r="B362" s="14" t="s">
        <v>3992</v>
      </c>
    </row>
    <row r="363" spans="1:19">
      <c r="A363" s="14">
        <v>86063</v>
      </c>
      <c r="B363" s="14" t="s">
        <v>334</v>
      </c>
      <c r="C363" s="14" t="s">
        <v>14</v>
      </c>
      <c r="D363" s="19" t="s">
        <v>10818</v>
      </c>
      <c r="E363" s="15" t="str">
        <f>HYPERLINK("https://stat100.ameba.jp/tnk47/ratio20/illustrations/card/ill_86063_uotchimeika03.jpg?202104-i_prefecture_active_user", "■")</f>
        <v>■</v>
      </c>
      <c r="F363" s="14" t="s">
        <v>8368</v>
      </c>
      <c r="G363" s="14">
        <v>132737</v>
      </c>
      <c r="H363" s="14">
        <v>142768</v>
      </c>
      <c r="I363" s="14">
        <v>29</v>
      </c>
      <c r="J363" s="14" t="s">
        <v>173</v>
      </c>
      <c r="K363" s="14" t="s">
        <v>8367</v>
      </c>
      <c r="L363" s="14" t="s">
        <v>8366</v>
      </c>
      <c r="M363" s="14" t="s">
        <v>13130</v>
      </c>
      <c r="N363" s="14" t="s">
        <v>343</v>
      </c>
      <c r="O363" s="14" t="s">
        <v>9158</v>
      </c>
      <c r="P363" s="14" t="s">
        <v>9158</v>
      </c>
      <c r="Q363" s="14" t="s">
        <v>9158</v>
      </c>
      <c r="R363" s="14" t="s">
        <v>14748</v>
      </c>
    </row>
    <row r="364" spans="1:19">
      <c r="A364" s="14">
        <v>86062</v>
      </c>
      <c r="B364" s="14" t="s">
        <v>334</v>
      </c>
      <c r="C364" s="14" t="s">
        <v>14</v>
      </c>
      <c r="D364" s="19" t="s">
        <v>10818</v>
      </c>
      <c r="E364" s="15" t="str">
        <f>HYPERLINK("https://stat100.ameba.jp/tnk47/ratio20/illustrations/card/ill_86062_uotchimeika02.jpg?202104-i_prefecture_active_user", "■")</f>
        <v>■</v>
      </c>
      <c r="F364" s="14" t="s">
        <v>8368</v>
      </c>
      <c r="G364" s="14">
        <v>109938</v>
      </c>
      <c r="H364" s="14">
        <v>119345</v>
      </c>
      <c r="I364" s="14">
        <v>29</v>
      </c>
      <c r="J364" s="14" t="s">
        <v>173</v>
      </c>
      <c r="K364" s="14" t="s">
        <v>8367</v>
      </c>
      <c r="L364" s="14" t="s">
        <v>8366</v>
      </c>
      <c r="M364" s="14" t="s">
        <v>13131</v>
      </c>
      <c r="N364" s="14" t="s">
        <v>251</v>
      </c>
      <c r="O364" s="14" t="s">
        <v>9158</v>
      </c>
      <c r="P364" s="14" t="s">
        <v>9158</v>
      </c>
      <c r="Q364" s="14" t="s">
        <v>9158</v>
      </c>
      <c r="R364" s="14" t="s">
        <v>14748</v>
      </c>
    </row>
    <row r="365" spans="1:19">
      <c r="A365" s="14">
        <v>86061</v>
      </c>
      <c r="B365" s="14" t="s">
        <v>0</v>
      </c>
      <c r="C365" s="14" t="s">
        <v>14</v>
      </c>
      <c r="D365" s="19" t="s">
        <v>10818</v>
      </c>
      <c r="E365" s="15" t="str">
        <f>HYPERLINK("https://stat100.ameba.jp/tnk47/ratio20/illustrations/card/ill_86061_uotchimeika01.jpg?202104-i_prefecture_active_user", "■")</f>
        <v>■</v>
      </c>
      <c r="F365" s="14" t="s">
        <v>8368</v>
      </c>
      <c r="G365" s="14">
        <v>84825</v>
      </c>
      <c r="H365" s="14">
        <v>91118</v>
      </c>
      <c r="I365" s="14">
        <v>29</v>
      </c>
      <c r="J365" s="14" t="s">
        <v>173</v>
      </c>
      <c r="K365" s="14" t="s">
        <v>8367</v>
      </c>
      <c r="L365" s="14" t="s">
        <v>8366</v>
      </c>
      <c r="M365" s="14" t="s">
        <v>13131</v>
      </c>
      <c r="N365" s="14" t="s">
        <v>251</v>
      </c>
      <c r="O365" s="14" t="s">
        <v>9158</v>
      </c>
      <c r="P365" s="14" t="s">
        <v>9158</v>
      </c>
      <c r="Q365" s="14" t="s">
        <v>9158</v>
      </c>
      <c r="R365" s="14" t="s">
        <v>14748</v>
      </c>
    </row>
    <row r="366" spans="1:19">
      <c r="A366" s="14">
        <v>86073</v>
      </c>
      <c r="B366" s="14" t="s">
        <v>334</v>
      </c>
      <c r="C366" s="14" t="s">
        <v>23</v>
      </c>
      <c r="D366" s="19" t="s">
        <v>10819</v>
      </c>
      <c r="E366" s="15" t="str">
        <f>HYPERLINK("https://stat100.ameba.jp/tnk47/ratio20/illustrations/card/ill_86073_maddohatta03.jpg?202104-i_prefecture_active_user", "■")</f>
        <v>■</v>
      </c>
      <c r="F366" s="14" t="s">
        <v>8371</v>
      </c>
      <c r="G366" s="14">
        <v>132737</v>
      </c>
      <c r="H366" s="14">
        <v>142768</v>
      </c>
      <c r="I366" s="14">
        <v>29</v>
      </c>
      <c r="J366" s="14" t="s">
        <v>155</v>
      </c>
      <c r="K366" s="14" t="s">
        <v>8370</v>
      </c>
      <c r="L366" s="14" t="s">
        <v>8369</v>
      </c>
      <c r="M366" s="14" t="s">
        <v>13130</v>
      </c>
      <c r="N366" s="14" t="s">
        <v>343</v>
      </c>
      <c r="O366" s="14" t="s">
        <v>9158</v>
      </c>
      <c r="P366" s="14" t="s">
        <v>9158</v>
      </c>
      <c r="Q366" s="14" t="s">
        <v>9158</v>
      </c>
      <c r="R366" s="14" t="s">
        <v>14748</v>
      </c>
    </row>
    <row r="367" spans="1:19">
      <c r="A367" s="14">
        <v>86083</v>
      </c>
      <c r="B367" s="14" t="s">
        <v>334</v>
      </c>
      <c r="C367" s="14" t="s">
        <v>101</v>
      </c>
      <c r="D367" s="19" t="s">
        <v>10820</v>
      </c>
      <c r="E367" s="15" t="str">
        <f>HYPERLINK("https://stat100.ameba.jp/tnk47/ratio20/illustrations/card/ill_86083_keieinochojomeruro03.jpg?202104-i_prefecture_active_user", "■")</f>
        <v>■</v>
      </c>
      <c r="F367" s="14" t="s">
        <v>8375</v>
      </c>
      <c r="G367" s="14">
        <v>142768</v>
      </c>
      <c r="H367" s="14">
        <v>132737</v>
      </c>
      <c r="I367" s="14">
        <v>29</v>
      </c>
      <c r="J367" s="14" t="s">
        <v>229</v>
      </c>
      <c r="K367" s="14" t="s">
        <v>8374</v>
      </c>
      <c r="L367" s="14" t="s">
        <v>8373</v>
      </c>
      <c r="M367" s="14" t="s">
        <v>13130</v>
      </c>
      <c r="N367" s="14" t="s">
        <v>343</v>
      </c>
      <c r="O367" s="14" t="s">
        <v>9158</v>
      </c>
      <c r="P367" s="14" t="s">
        <v>9158</v>
      </c>
      <c r="Q367" s="14" t="s">
        <v>9158</v>
      </c>
      <c r="R367" s="14" t="s">
        <v>14748</v>
      </c>
    </row>
    <row r="368" spans="1:19">
      <c r="A368" s="14">
        <v>86093</v>
      </c>
      <c r="B368" s="14" t="s">
        <v>0</v>
      </c>
      <c r="C368" s="14" t="s">
        <v>96</v>
      </c>
      <c r="D368" s="19" t="s">
        <v>10821</v>
      </c>
      <c r="E368" s="15" t="str">
        <f>HYPERLINK("https://stat100.ameba.jp/tnk47/ratio20/illustrations/card/ill_86093_minamotonoyoshimitsu03.jpg?202104-i_prefecture_active_user", "■")</f>
        <v>■</v>
      </c>
      <c r="F368" s="14" t="s">
        <v>8379</v>
      </c>
      <c r="G368" s="14">
        <v>142768</v>
      </c>
      <c r="H368" s="14">
        <v>132737</v>
      </c>
      <c r="I368" s="14">
        <v>29</v>
      </c>
      <c r="J368" s="14" t="s">
        <v>194</v>
      </c>
      <c r="K368" s="14" t="s">
        <v>8377</v>
      </c>
      <c r="L368" s="14" t="s">
        <v>8376</v>
      </c>
      <c r="M368" s="14" t="s">
        <v>13130</v>
      </c>
      <c r="N368" s="14" t="s">
        <v>343</v>
      </c>
      <c r="O368" s="14" t="s">
        <v>9158</v>
      </c>
      <c r="P368" s="14" t="s">
        <v>9158</v>
      </c>
      <c r="Q368" s="14" t="s">
        <v>9158</v>
      </c>
      <c r="R368" s="14" t="s">
        <v>14748</v>
      </c>
    </row>
    <row r="369" spans="1:18">
      <c r="A369" s="14">
        <v>86103</v>
      </c>
      <c r="B369" s="14" t="s">
        <v>334</v>
      </c>
      <c r="C369" s="14" t="s">
        <v>205</v>
      </c>
      <c r="D369" s="19" t="s">
        <v>10822</v>
      </c>
      <c r="E369" s="15" t="str">
        <f>HYPERLINK("https://stat100.ameba.jp/tnk47/ratio20/illustrations/card/ill_86103_omatsudaimyojin03.jpg?202104-i_prefecture_active_user", "■")</f>
        <v>■</v>
      </c>
      <c r="F369" s="14" t="s">
        <v>8383</v>
      </c>
      <c r="G369" s="14">
        <v>142768</v>
      </c>
      <c r="H369" s="14">
        <v>132737</v>
      </c>
      <c r="I369" s="14">
        <v>29</v>
      </c>
      <c r="J369" s="14" t="s">
        <v>169</v>
      </c>
      <c r="K369" s="14" t="s">
        <v>8381</v>
      </c>
      <c r="L369" s="14" t="s">
        <v>8380</v>
      </c>
      <c r="M369" s="14" t="s">
        <v>13130</v>
      </c>
      <c r="N369" s="14" t="s">
        <v>343</v>
      </c>
      <c r="O369" s="14" t="s">
        <v>9158</v>
      </c>
      <c r="P369" s="14" t="s">
        <v>9158</v>
      </c>
      <c r="Q369" s="14" t="s">
        <v>9158</v>
      </c>
      <c r="R369" s="14" t="s">
        <v>14748</v>
      </c>
    </row>
    <row r="370" spans="1:18">
      <c r="A370" s="14">
        <v>86113</v>
      </c>
      <c r="B370" s="14" t="s">
        <v>334</v>
      </c>
      <c r="C370" s="14" t="s">
        <v>107</v>
      </c>
      <c r="D370" s="19" t="s">
        <v>10823</v>
      </c>
      <c r="E370" s="15" t="str">
        <f>HYPERLINK("https://stat100.ameba.jp/tnk47/ratio20/illustrations/card/ill_86113_yuno03.jpg?202104-i_prefecture_active_user", "■")</f>
        <v>■</v>
      </c>
      <c r="F370" s="14" t="s">
        <v>8387</v>
      </c>
      <c r="G370" s="14">
        <v>132737</v>
      </c>
      <c r="H370" s="14">
        <v>142768</v>
      </c>
      <c r="I370" s="14">
        <v>29</v>
      </c>
      <c r="J370" s="14" t="s">
        <v>159</v>
      </c>
      <c r="K370" s="14" t="s">
        <v>8385</v>
      </c>
      <c r="L370" s="14" t="s">
        <v>8384</v>
      </c>
      <c r="M370" s="14" t="s">
        <v>13130</v>
      </c>
      <c r="N370" s="14" t="s">
        <v>343</v>
      </c>
      <c r="O370" s="14" t="s">
        <v>9158</v>
      </c>
      <c r="P370" s="14" t="s">
        <v>9158</v>
      </c>
      <c r="Q370" s="14" t="s">
        <v>9158</v>
      </c>
      <c r="R370" s="14" t="s">
        <v>14748</v>
      </c>
    </row>
    <row r="372" spans="1:18">
      <c r="A372" s="14" t="s">
        <v>1711</v>
      </c>
    </row>
    <row r="373" spans="1:18">
      <c r="A373" s="14">
        <v>107499</v>
      </c>
      <c r="B373" s="14" t="s">
        <v>3993</v>
      </c>
    </row>
    <row r="374" spans="1:18">
      <c r="A374" s="14" t="s">
        <v>6508</v>
      </c>
      <c r="B374" s="14" t="s">
        <v>330</v>
      </c>
      <c r="C374" s="14" t="s">
        <v>35</v>
      </c>
      <c r="D374" s="19" t="s">
        <v>10168</v>
      </c>
      <c r="E374" s="15" t="str">
        <f>HYPERLINK("https://stat100.ameba.jp/tnk47/ratio20/illustrations/card/ill_81783_0_denshagarukoteipenginchan03.jpg?202104-i_prefecture_active_user", "■")</f>
        <v>■</v>
      </c>
      <c r="F374" s="14" t="s">
        <v>4834</v>
      </c>
      <c r="G374" s="14">
        <v>279102</v>
      </c>
      <c r="H374" s="14">
        <v>252236</v>
      </c>
      <c r="I374" s="14">
        <v>24</v>
      </c>
      <c r="J374" s="14" t="s">
        <v>26</v>
      </c>
      <c r="K374" s="14" t="s">
        <v>4836</v>
      </c>
      <c r="L374" s="14" t="s">
        <v>1783</v>
      </c>
      <c r="M374" s="14" t="s">
        <v>9158</v>
      </c>
      <c r="N374" s="14" t="s">
        <v>9158</v>
      </c>
      <c r="O374" s="19" t="s">
        <v>9993</v>
      </c>
      <c r="P374" s="14" t="s">
        <v>4838</v>
      </c>
      <c r="Q374" s="14">
        <v>1</v>
      </c>
    </row>
    <row r="375" spans="1:18">
      <c r="A375" s="14" t="s">
        <v>5623</v>
      </c>
      <c r="B375" s="14" t="s">
        <v>330</v>
      </c>
      <c r="C375" s="14" t="s">
        <v>165</v>
      </c>
      <c r="D375" s="19" t="s">
        <v>3146</v>
      </c>
      <c r="E375" s="15" t="str">
        <f>HYPERLINK("https://stat100.ameba.jp/tnk47/ratio20/illustrations/card/ill_65713_0_undokaionikirimaru03.jpg?202104-i_prefecture_active_user", "■")</f>
        <v>■</v>
      </c>
      <c r="F375" s="14" t="s">
        <v>535</v>
      </c>
      <c r="G375" s="14">
        <v>181640</v>
      </c>
      <c r="H375" s="14">
        <v>168874</v>
      </c>
      <c r="I375" s="14">
        <v>24</v>
      </c>
      <c r="J375" s="14" t="s">
        <v>320</v>
      </c>
      <c r="K375" s="14" t="s">
        <v>3147</v>
      </c>
      <c r="L375" s="14" t="s">
        <v>3148</v>
      </c>
      <c r="M375" s="14" t="s">
        <v>9158</v>
      </c>
      <c r="N375" s="14" t="s">
        <v>9158</v>
      </c>
      <c r="O375" s="19" t="s">
        <v>2869</v>
      </c>
      <c r="P375" s="14" t="s">
        <v>2870</v>
      </c>
      <c r="Q375" s="14">
        <v>1</v>
      </c>
    </row>
    <row r="376" spans="1:18">
      <c r="A376" s="14" t="s">
        <v>5897</v>
      </c>
      <c r="B376" s="14" t="s">
        <v>52</v>
      </c>
      <c r="C376" s="14" t="s">
        <v>23</v>
      </c>
      <c r="D376" s="19" t="s">
        <v>277</v>
      </c>
      <c r="E376" s="15" t="str">
        <f>HYPERLINK("https://stat100.ameba.jp/tnk47/ratio20/illustrations/card/ill_40913_0_reigyokudensetsufusehime03.jpg?202104-i_prefecture_active_user", "■")</f>
        <v>■</v>
      </c>
      <c r="F376" s="14" t="s">
        <v>955</v>
      </c>
      <c r="G376" s="14">
        <v>131538</v>
      </c>
      <c r="H376" s="14">
        <v>140448</v>
      </c>
      <c r="I376" s="14">
        <v>24</v>
      </c>
      <c r="J376" s="14" t="s">
        <v>38</v>
      </c>
      <c r="K376" s="14" t="s">
        <v>956</v>
      </c>
      <c r="L376" s="14" t="s">
        <v>957</v>
      </c>
      <c r="M376" s="14" t="s">
        <v>9158</v>
      </c>
      <c r="N376" s="14" t="s">
        <v>9158</v>
      </c>
      <c r="O376" s="14" t="s">
        <v>9158</v>
      </c>
      <c r="P376" s="14" t="s">
        <v>9158</v>
      </c>
      <c r="Q376" s="14" t="s">
        <v>9158</v>
      </c>
    </row>
    <row r="377" spans="1:18">
      <c r="A377" s="14">
        <v>96623</v>
      </c>
      <c r="B377" s="14" t="s">
        <v>0</v>
      </c>
      <c r="C377" s="14" t="s">
        <v>107</v>
      </c>
      <c r="D377" s="14" t="s">
        <v>16809</v>
      </c>
      <c r="E377" s="15" t="str">
        <f>HYPERLINK("https://stat100.ameba.jp/tnk47/ratio20/illustrations/card/ill_96623_andoroidootomosorin03.jpg?202104-i_prefecture_active_user", "■")</f>
        <v>■</v>
      </c>
      <c r="F377" s="14" t="s">
        <v>16808</v>
      </c>
      <c r="G377" s="14">
        <v>98019</v>
      </c>
      <c r="H377" s="14">
        <v>105465</v>
      </c>
      <c r="I377" s="14">
        <v>27</v>
      </c>
      <c r="J377" s="14" t="s">
        <v>143</v>
      </c>
      <c r="K377" s="14" t="s">
        <v>8293</v>
      </c>
      <c r="L377" s="14" t="s">
        <v>14552</v>
      </c>
      <c r="M377" s="14" t="s">
        <v>9158</v>
      </c>
      <c r="N377" s="14" t="s">
        <v>9158</v>
      </c>
      <c r="O377" s="14" t="s">
        <v>9158</v>
      </c>
      <c r="P377" s="14" t="s">
        <v>9158</v>
      </c>
      <c r="Q377" s="14" t="s">
        <v>9158</v>
      </c>
    </row>
    <row r="378" spans="1:18">
      <c r="A378" s="14">
        <v>96633</v>
      </c>
      <c r="B378" s="14" t="s">
        <v>15</v>
      </c>
      <c r="C378" s="14" t="s">
        <v>1</v>
      </c>
      <c r="D378" s="14" t="s">
        <v>16812</v>
      </c>
      <c r="E378" s="15" t="str">
        <f>HYPERLINK("https://stat100.ameba.jp/tnk47/ratio20/illustrations/card/ill_96633_torejatakasugishinsaku03.jpg?202104-i_prefecture_active_user", "■")</f>
        <v>■</v>
      </c>
      <c r="F378" s="14" t="s">
        <v>16811</v>
      </c>
      <c r="G378" s="14">
        <v>80028</v>
      </c>
      <c r="H378" s="14">
        <v>72586</v>
      </c>
      <c r="I378" s="14">
        <v>27</v>
      </c>
      <c r="J378" s="14" t="s">
        <v>143</v>
      </c>
      <c r="K378" s="14" t="s">
        <v>16810</v>
      </c>
      <c r="L378" s="14" t="s">
        <v>3524</v>
      </c>
      <c r="M378" s="14" t="s">
        <v>9158</v>
      </c>
      <c r="N378" s="14" t="s">
        <v>9158</v>
      </c>
      <c r="O378" s="14" t="s">
        <v>9158</v>
      </c>
      <c r="P378" s="14" t="s">
        <v>9158</v>
      </c>
      <c r="Q378" s="14" t="s">
        <v>9158</v>
      </c>
    </row>
    <row r="379" spans="1:18">
      <c r="A379" s="14">
        <v>96643</v>
      </c>
      <c r="B379" s="14" t="s">
        <v>22</v>
      </c>
      <c r="C379" s="14" t="s">
        <v>14</v>
      </c>
      <c r="D379" s="14" t="s">
        <v>16815</v>
      </c>
      <c r="E379" s="15" t="str">
        <f>HYPERLINK("https://stat100.ameba.jp/tnk47/ratio20/illustrations/card/ill_96643_dosankochan03.jpg?202104-i_prefecture_active_user", "■")</f>
        <v>■</v>
      </c>
      <c r="F379" s="14" t="s">
        <v>16814</v>
      </c>
      <c r="G379" s="14">
        <v>46676</v>
      </c>
      <c r="H379" s="14">
        <v>56138</v>
      </c>
      <c r="I379" s="14">
        <v>27</v>
      </c>
      <c r="J379" s="14" t="s">
        <v>26</v>
      </c>
      <c r="K379" s="14" t="s">
        <v>16813</v>
      </c>
      <c r="L379" s="14" t="s">
        <v>28</v>
      </c>
      <c r="M379" s="14" t="s">
        <v>9158</v>
      </c>
      <c r="N379" s="14" t="s">
        <v>9158</v>
      </c>
      <c r="O379" s="14" t="s">
        <v>9158</v>
      </c>
      <c r="P379" s="14" t="s">
        <v>9158</v>
      </c>
      <c r="Q379" s="14" t="s">
        <v>9158</v>
      </c>
    </row>
    <row r="380" spans="1:18">
      <c r="A380" s="14">
        <v>96653</v>
      </c>
      <c r="B380" s="14" t="s">
        <v>22</v>
      </c>
      <c r="C380" s="14" t="s">
        <v>101</v>
      </c>
      <c r="D380" s="14" t="s">
        <v>16818</v>
      </c>
      <c r="E380" s="15" t="str">
        <f>HYPERLINK("https://stat100.ameba.jp/tnk47/ratio20/illustrations/card/ill_96653_miritarikaganochiyojo03.jpg?202104-i_prefecture_active_user", "■")</f>
        <v>■</v>
      </c>
      <c r="F380" s="14" t="s">
        <v>16817</v>
      </c>
      <c r="G380" s="14">
        <v>56138</v>
      </c>
      <c r="H380" s="14">
        <v>46676</v>
      </c>
      <c r="I380" s="14">
        <v>27</v>
      </c>
      <c r="J380" s="14" t="s">
        <v>16</v>
      </c>
      <c r="K380" s="14" t="s">
        <v>16816</v>
      </c>
      <c r="L380" s="14" t="s">
        <v>1115</v>
      </c>
      <c r="M380" s="14" t="s">
        <v>9158</v>
      </c>
      <c r="N380" s="14" t="s">
        <v>9158</v>
      </c>
      <c r="O380" s="14" t="s">
        <v>9158</v>
      </c>
      <c r="P380" s="14" t="s">
        <v>9158</v>
      </c>
      <c r="Q380" s="14" t="s">
        <v>9158</v>
      </c>
    </row>
    <row r="382" spans="1:18">
      <c r="A382" s="14" t="s">
        <v>13431</v>
      </c>
    </row>
    <row r="383" spans="1:18">
      <c r="A383" s="14">
        <v>107530</v>
      </c>
      <c r="B383" s="14" t="s">
        <v>16917</v>
      </c>
    </row>
    <row r="384" spans="1:18">
      <c r="A384" s="14" t="s">
        <v>14892</v>
      </c>
      <c r="B384" s="14" t="s">
        <v>117</v>
      </c>
      <c r="C384" s="14" t="s">
        <v>202</v>
      </c>
      <c r="D384" s="14" t="s">
        <v>14899</v>
      </c>
      <c r="E384" s="15" t="str">
        <f>HYPERLINK("https://stat100.ameba.jp/tnk47/ratio20/illustrations/card/ill_92153_0_tenkurohachishunennoshukuten03.jpg?202104-i_prefecture_active_user", "■")</f>
        <v>■</v>
      </c>
      <c r="F384" s="14" t="s">
        <v>14898</v>
      </c>
      <c r="G384" s="14">
        <v>326924</v>
      </c>
      <c r="H384" s="14">
        <v>303959</v>
      </c>
      <c r="I384" s="14">
        <v>27</v>
      </c>
      <c r="J384" s="14" t="s">
        <v>77</v>
      </c>
      <c r="K384" s="14" t="s">
        <v>14896</v>
      </c>
      <c r="L384" s="14" t="s">
        <v>14895</v>
      </c>
      <c r="M384" s="14" t="s">
        <v>9158</v>
      </c>
      <c r="N384" s="14" t="s">
        <v>9158</v>
      </c>
      <c r="O384" s="14" t="s">
        <v>14894</v>
      </c>
      <c r="P384" s="14" t="s">
        <v>14893</v>
      </c>
      <c r="Q384" s="14">
        <v>0</v>
      </c>
    </row>
    <row r="385" spans="1:18">
      <c r="A385" s="14" t="s">
        <v>16918</v>
      </c>
      <c r="B385" s="14" t="s">
        <v>117</v>
      </c>
      <c r="C385" s="14" t="s">
        <v>202</v>
      </c>
      <c r="D385" s="14" t="s">
        <v>14899</v>
      </c>
      <c r="E385" s="15" t="str">
        <f>HYPERLINK("https://stat100.ameba.jp/tnk47/ratio20/illustrations/card/ill_92152_0_tenkurohachishunennoshukuten02.jpg?202104-i_prefecture_active_user", "■")</f>
        <v>■</v>
      </c>
      <c r="F385" s="14" t="s">
        <v>14898</v>
      </c>
      <c r="G385" s="14">
        <v>273282</v>
      </c>
      <c r="H385" s="14">
        <v>251741</v>
      </c>
      <c r="I385" s="14">
        <v>27</v>
      </c>
      <c r="J385" s="14" t="s">
        <v>77</v>
      </c>
      <c r="K385" s="14" t="s">
        <v>14896</v>
      </c>
      <c r="L385" s="14" t="s">
        <v>3501</v>
      </c>
      <c r="M385" s="14" t="s">
        <v>9158</v>
      </c>
      <c r="N385" s="14" t="s">
        <v>9158</v>
      </c>
      <c r="O385" s="14" t="s">
        <v>14894</v>
      </c>
      <c r="P385" s="14" t="s">
        <v>14893</v>
      </c>
      <c r="Q385" s="14">
        <v>0</v>
      </c>
    </row>
    <row r="386" spans="1:18">
      <c r="A386" s="14" t="s">
        <v>16919</v>
      </c>
      <c r="B386" s="14" t="s">
        <v>117</v>
      </c>
      <c r="C386" s="14" t="s">
        <v>202</v>
      </c>
      <c r="D386" s="14" t="s">
        <v>14899</v>
      </c>
      <c r="E386" s="15" t="str">
        <f>HYPERLINK("https://stat100.ameba.jp/tnk47/ratio20/illustrations/card/ill_92151_0_tenkurohachishunennoshukuten01.jpg?202104-i_prefecture_active_user", "■")</f>
        <v>■</v>
      </c>
      <c r="F386" s="14" t="s">
        <v>14898</v>
      </c>
      <c r="G386" s="14">
        <v>208656</v>
      </c>
      <c r="H386" s="14">
        <v>194238</v>
      </c>
      <c r="I386" s="14">
        <v>27</v>
      </c>
      <c r="J386" s="14" t="s">
        <v>77</v>
      </c>
      <c r="K386" s="14" t="s">
        <v>14896</v>
      </c>
      <c r="L386" s="14" t="s">
        <v>932</v>
      </c>
      <c r="M386" s="14" t="s">
        <v>9158</v>
      </c>
      <c r="N386" s="14" t="s">
        <v>9158</v>
      </c>
      <c r="O386" s="14" t="s">
        <v>14894</v>
      </c>
      <c r="P386" s="14" t="s">
        <v>14893</v>
      </c>
      <c r="Q386" s="14">
        <v>0</v>
      </c>
    </row>
    <row r="387" spans="1:18">
      <c r="A387" s="14">
        <v>81723</v>
      </c>
      <c r="B387" s="14" t="s">
        <v>334</v>
      </c>
      <c r="C387" s="14" t="s">
        <v>14</v>
      </c>
      <c r="D387" s="19" t="s">
        <v>10169</v>
      </c>
      <c r="E387" s="15" t="str">
        <f>HYPERLINK("https://stat100.ameba.jp/tnk47/ratio20/illustrations/card/ill_81723_denshagarusafuaia03.jpg?202104-i_prefecture_active_user", "■")</f>
        <v>■</v>
      </c>
      <c r="F387" s="14" t="s">
        <v>4841</v>
      </c>
      <c r="G387" s="14">
        <v>109381</v>
      </c>
      <c r="H387" s="14">
        <v>117591</v>
      </c>
      <c r="I387" s="14">
        <v>29</v>
      </c>
      <c r="J387" s="14" t="s">
        <v>16</v>
      </c>
      <c r="K387" s="14" t="s">
        <v>4843</v>
      </c>
      <c r="L387" s="14" t="s">
        <v>1997</v>
      </c>
      <c r="M387" s="14" t="s">
        <v>2138</v>
      </c>
      <c r="N387" s="14" t="s">
        <v>2139</v>
      </c>
      <c r="O387" s="9" t="s">
        <v>9158</v>
      </c>
      <c r="P387" s="14" t="s">
        <v>9158</v>
      </c>
      <c r="Q387" s="14" t="s">
        <v>9158</v>
      </c>
      <c r="R387" s="14" t="s">
        <v>13120</v>
      </c>
    </row>
    <row r="388" spans="1:18">
      <c r="A388" s="14">
        <v>82363</v>
      </c>
      <c r="B388" s="14" t="s">
        <v>334</v>
      </c>
      <c r="C388" s="14" t="s">
        <v>200</v>
      </c>
      <c r="D388" s="19" t="s">
        <v>10319</v>
      </c>
      <c r="E388" s="15" t="str">
        <f>HYPERLINK("https://stat100.ameba.jp/tnk47/ratio20/illustrations/card/ill_82363_bikinigaruteneiin03.jpg?202104-i_prefecture_active_user", "■")</f>
        <v>■</v>
      </c>
      <c r="F388" s="14" t="s">
        <v>5395</v>
      </c>
      <c r="G388" s="14">
        <v>105281</v>
      </c>
      <c r="H388" s="14">
        <v>113277</v>
      </c>
      <c r="I388" s="14">
        <v>29</v>
      </c>
      <c r="J388" s="14" t="s">
        <v>10</v>
      </c>
      <c r="K388" s="14" t="s">
        <v>5396</v>
      </c>
      <c r="L388" s="14" t="s">
        <v>12</v>
      </c>
      <c r="M388" s="14" t="s">
        <v>2138</v>
      </c>
      <c r="N388" s="14" t="s">
        <v>2139</v>
      </c>
      <c r="O388" s="14" t="s">
        <v>9158</v>
      </c>
      <c r="P388" s="14" t="s">
        <v>9158</v>
      </c>
      <c r="Q388" s="14" t="s">
        <v>9158</v>
      </c>
      <c r="R388" s="14" t="s">
        <v>13120</v>
      </c>
    </row>
    <row r="389" spans="1:18">
      <c r="A389" s="9">
        <v>79973</v>
      </c>
      <c r="B389" s="14" t="s">
        <v>334</v>
      </c>
      <c r="C389" s="14" t="s">
        <v>101</v>
      </c>
      <c r="D389" s="14" t="s">
        <v>3717</v>
      </c>
      <c r="E389" s="15" t="str">
        <f>HYPERLINK("https://stat100.ameba.jp/tnk47/ratio20/illustrations/card/ill_79973_hinamatsurihangakugozen03.jpg?202104-i_prefecture_active_user", "■")</f>
        <v>■</v>
      </c>
      <c r="F389" s="14" t="s">
        <v>3718</v>
      </c>
      <c r="G389" s="14">
        <v>160296</v>
      </c>
      <c r="H389" s="14">
        <v>172397</v>
      </c>
      <c r="I389" s="14">
        <v>29</v>
      </c>
      <c r="J389" s="14" t="s">
        <v>143</v>
      </c>
      <c r="K389" s="14" t="s">
        <v>3719</v>
      </c>
      <c r="L389" s="14" t="s">
        <v>1148</v>
      </c>
      <c r="M389" s="14" t="s">
        <v>2138</v>
      </c>
      <c r="N389" s="14" t="s">
        <v>2139</v>
      </c>
      <c r="O389" s="14" t="s">
        <v>9158</v>
      </c>
      <c r="P389" s="14" t="s">
        <v>9158</v>
      </c>
      <c r="Q389" s="14" t="s">
        <v>9158</v>
      </c>
      <c r="R389" s="14" t="s">
        <v>13120</v>
      </c>
    </row>
    <row r="390" spans="1:18">
      <c r="A390" s="14">
        <v>82913</v>
      </c>
      <c r="B390" s="14" t="s">
        <v>334</v>
      </c>
      <c r="C390" s="14" t="s">
        <v>165</v>
      </c>
      <c r="D390" s="19" t="s">
        <v>10440</v>
      </c>
      <c r="E390" s="15" t="str">
        <f>HYPERLINK("https://stat100.ameba.jp/tnk47/ratio20/illustrations/card/ill_82913_yukatamatsurikujotakeko03.jpg?202104-i_prefecture_active_user", "■")</f>
        <v>■</v>
      </c>
      <c r="F390" s="14" t="s">
        <v>5975</v>
      </c>
      <c r="G390" s="14">
        <v>109381</v>
      </c>
      <c r="H390" s="14">
        <v>117591</v>
      </c>
      <c r="I390" s="14">
        <v>29</v>
      </c>
      <c r="J390" s="14" t="s">
        <v>16</v>
      </c>
      <c r="K390" s="14" t="s">
        <v>5978</v>
      </c>
      <c r="L390" s="14" t="s">
        <v>124</v>
      </c>
      <c r="M390" s="14" t="s">
        <v>2138</v>
      </c>
      <c r="N390" s="14" t="s">
        <v>2139</v>
      </c>
      <c r="O390" s="14" t="s">
        <v>9158</v>
      </c>
      <c r="P390" s="14" t="s">
        <v>9158</v>
      </c>
      <c r="Q390" s="14" t="s">
        <v>9158</v>
      </c>
      <c r="R390" s="14" t="s">
        <v>13120</v>
      </c>
    </row>
    <row r="391" spans="1:18">
      <c r="A391" s="9">
        <v>77133</v>
      </c>
      <c r="B391" s="14" t="s">
        <v>334</v>
      </c>
      <c r="C391" s="14" t="s">
        <v>205</v>
      </c>
      <c r="D391" s="14" t="s">
        <v>9854</v>
      </c>
      <c r="E391" s="15" t="str">
        <f>HYPERLINK("https://stat100.ameba.jp/tnk47/ratio20/illustrations/card/ill_77133_yukemuriyozenin03.jpg?202104-i_prefecture_active_user", "■")</f>
        <v>■</v>
      </c>
      <c r="F391" s="14" t="s">
        <v>13710</v>
      </c>
      <c r="G391" s="14">
        <v>105281</v>
      </c>
      <c r="H391" s="14">
        <v>113277</v>
      </c>
      <c r="I391" s="14">
        <v>29</v>
      </c>
      <c r="J391" s="14" t="s">
        <v>315</v>
      </c>
      <c r="K391" s="14" t="s">
        <v>1380</v>
      </c>
      <c r="L391" s="14" t="s">
        <v>608</v>
      </c>
      <c r="M391" s="14" t="s">
        <v>342</v>
      </c>
      <c r="N391" s="14" t="s">
        <v>343</v>
      </c>
      <c r="O391" s="14" t="s">
        <v>9158</v>
      </c>
      <c r="P391" s="14" t="s">
        <v>9158</v>
      </c>
      <c r="Q391" s="14" t="s">
        <v>9158</v>
      </c>
      <c r="R391" s="14" t="s">
        <v>13120</v>
      </c>
    </row>
    <row r="392" spans="1:18">
      <c r="A392" s="14">
        <v>84163</v>
      </c>
      <c r="B392" s="14" t="s">
        <v>0</v>
      </c>
      <c r="C392" s="14" t="s">
        <v>206</v>
      </c>
      <c r="D392" s="19" t="s">
        <v>12905</v>
      </c>
      <c r="E392" s="15" t="str">
        <f>HYPERLINK("https://stat100.ameba.jp/tnk47/ratio20/illustrations/card/ill_84163_tarottokameishokin03.jpg?202104-i_prefecture_active_user", "■")</f>
        <v>■</v>
      </c>
      <c r="F392" s="14" t="s">
        <v>7162</v>
      </c>
      <c r="G392" s="14">
        <v>109381</v>
      </c>
      <c r="H392" s="14">
        <v>117591</v>
      </c>
      <c r="I392" s="14">
        <v>29</v>
      </c>
      <c r="J392" s="14" t="s">
        <v>16</v>
      </c>
      <c r="K392" s="14" t="s">
        <v>7161</v>
      </c>
      <c r="L392" s="14" t="s">
        <v>7160</v>
      </c>
      <c r="M392" s="14" t="s">
        <v>2138</v>
      </c>
      <c r="N392" s="14" t="s">
        <v>2139</v>
      </c>
      <c r="O392" s="14" t="s">
        <v>9158</v>
      </c>
      <c r="P392" s="14" t="s">
        <v>9158</v>
      </c>
      <c r="Q392" s="14" t="s">
        <v>9158</v>
      </c>
      <c r="R392" s="14" t="s">
        <v>13120</v>
      </c>
    </row>
    <row r="394" spans="1:18">
      <c r="A394" s="14" t="s">
        <v>4065</v>
      </c>
    </row>
    <row r="395" spans="1:18">
      <c r="A395" s="14">
        <v>107522</v>
      </c>
      <c r="B395" s="14" t="s">
        <v>16916</v>
      </c>
    </row>
    <row r="396" spans="1:18">
      <c r="A396" s="14" t="s">
        <v>5605</v>
      </c>
      <c r="B396" s="14" t="s">
        <v>52</v>
      </c>
      <c r="C396" s="14" t="s">
        <v>202</v>
      </c>
      <c r="D396" s="19" t="s">
        <v>10332</v>
      </c>
      <c r="E396" s="15" t="str">
        <f>HYPERLINK("https://stat100.ameba.jp/tnk47/ratio20/illustrations/card/ill_79373_0_hommeichokotennyohime03.jpg?202104-i_prefecture_active_user", "■")</f>
        <v>■</v>
      </c>
      <c r="F396" s="14" t="s">
        <v>3495</v>
      </c>
      <c r="G396" s="14">
        <v>333862</v>
      </c>
      <c r="H396" s="14">
        <v>301759</v>
      </c>
      <c r="I396" s="14">
        <v>27</v>
      </c>
      <c r="J396" s="14" t="s">
        <v>104</v>
      </c>
      <c r="K396" s="14" t="s">
        <v>3496</v>
      </c>
      <c r="L396" s="14" t="s">
        <v>3497</v>
      </c>
      <c r="M396" s="14" t="s">
        <v>9158</v>
      </c>
      <c r="N396" s="14" t="s">
        <v>9158</v>
      </c>
      <c r="O396" s="19" t="s">
        <v>10072</v>
      </c>
      <c r="P396" s="14" t="s">
        <v>3498</v>
      </c>
      <c r="Q396" s="14">
        <v>1</v>
      </c>
    </row>
    <row r="397" spans="1:18">
      <c r="A397" s="7">
        <v>85053</v>
      </c>
      <c r="B397" s="7" t="s">
        <v>0</v>
      </c>
      <c r="C397" s="7" t="s">
        <v>158</v>
      </c>
      <c r="D397" s="19" t="s">
        <v>10768</v>
      </c>
      <c r="E397" s="15" t="str">
        <f>HYPERLINK("https://stat100.ameba.jp/tnk47/ratio20/illustrations/card/ill_85053_heideirumu03.jpg?202104-i_prefecture_active_user", "■")</f>
        <v>■</v>
      </c>
      <c r="F397" s="7" t="s">
        <v>7969</v>
      </c>
      <c r="G397" s="7">
        <v>123249</v>
      </c>
      <c r="H397" s="7">
        <v>89268</v>
      </c>
      <c r="I397" s="14">
        <v>27</v>
      </c>
      <c r="J397" s="7" t="s">
        <v>169</v>
      </c>
      <c r="K397" s="7" t="s">
        <v>7968</v>
      </c>
      <c r="L397" s="7" t="s">
        <v>7967</v>
      </c>
      <c r="M397" s="14" t="s">
        <v>9158</v>
      </c>
      <c r="N397" s="14" t="s">
        <v>9158</v>
      </c>
      <c r="O397" s="19" t="s">
        <v>10085</v>
      </c>
      <c r="P397" s="7" t="s">
        <v>4374</v>
      </c>
      <c r="Q397" s="7">
        <v>1</v>
      </c>
    </row>
    <row r="398" spans="1:18">
      <c r="A398" s="14">
        <v>78133</v>
      </c>
      <c r="B398" s="14" t="s">
        <v>0</v>
      </c>
      <c r="C398" s="14" t="s">
        <v>154</v>
      </c>
      <c r="D398" s="20" t="s">
        <v>10313</v>
      </c>
      <c r="E398" s="15" t="str">
        <f>HYPERLINK("https://stat100.ameba.jp/tnk47/ratio20/illustrations/card/ill_78133_akazukin03.jpg?202104-i_prefecture_active_user", "■")</f>
        <v>■</v>
      </c>
      <c r="F398" s="14" t="s">
        <v>2202</v>
      </c>
      <c r="G398" s="14">
        <v>99796</v>
      </c>
      <c r="H398" s="14">
        <v>137786</v>
      </c>
      <c r="I398" s="14">
        <v>27</v>
      </c>
      <c r="J398" s="14" t="s">
        <v>38</v>
      </c>
      <c r="K398" s="14" t="s">
        <v>2203</v>
      </c>
      <c r="L398" s="14" t="s">
        <v>2204</v>
      </c>
      <c r="M398" s="14" t="s">
        <v>9158</v>
      </c>
      <c r="N398" s="14" t="s">
        <v>9158</v>
      </c>
      <c r="O398" s="19" t="s">
        <v>2917</v>
      </c>
      <c r="P398" s="14" t="s">
        <v>3531</v>
      </c>
      <c r="Q398" s="14">
        <v>1</v>
      </c>
    </row>
    <row r="399" spans="1:18">
      <c r="A399" s="14">
        <v>67643</v>
      </c>
      <c r="B399" s="14" t="s">
        <v>334</v>
      </c>
      <c r="C399" s="14" t="s">
        <v>209</v>
      </c>
      <c r="D399" s="20" t="s">
        <v>3033</v>
      </c>
      <c r="E399" s="15" t="str">
        <f>HYPERLINK("https://stat100.ameba.jp/tnk47/ratio20/illustrations/card/ill_67643_edokarakamichan03.jpg?202104-i_prefecture_active_user", "■")</f>
        <v>■</v>
      </c>
      <c r="F399" s="6" t="s">
        <v>1196</v>
      </c>
      <c r="G399" s="14">
        <v>127505</v>
      </c>
      <c r="H399" s="14">
        <v>118568</v>
      </c>
      <c r="I399" s="14">
        <v>27</v>
      </c>
      <c r="J399" s="14" t="s">
        <v>26</v>
      </c>
      <c r="K399" s="14" t="s">
        <v>1197</v>
      </c>
      <c r="L399" s="14" t="s">
        <v>1198</v>
      </c>
      <c r="M399" s="14" t="s">
        <v>9158</v>
      </c>
      <c r="N399" s="14" t="s">
        <v>9158</v>
      </c>
      <c r="O399" s="19" t="s">
        <v>3037</v>
      </c>
      <c r="P399" s="14" t="s">
        <v>13128</v>
      </c>
      <c r="Q399" s="14">
        <v>1</v>
      </c>
    </row>
    <row r="401" spans="1:17">
      <c r="A401" s="14" t="s">
        <v>3844</v>
      </c>
    </row>
    <row r="402" spans="1:17">
      <c r="A402" s="14">
        <v>107527</v>
      </c>
      <c r="B402" s="14" t="s">
        <v>16915</v>
      </c>
    </row>
    <row r="403" spans="1:17">
      <c r="A403" s="14" t="s">
        <v>5778</v>
      </c>
      <c r="B403" s="14" t="s">
        <v>330</v>
      </c>
      <c r="C403" s="14" t="s">
        <v>205</v>
      </c>
      <c r="D403" s="19" t="s">
        <v>272</v>
      </c>
      <c r="E403" s="15" t="str">
        <f>HYPERLINK("https://stat100.ameba.jp/tnk47/ratio20/illustrations/card/ill_68783_0_gantammomotaro03.jpg?202104-i_prefecture_active_user", "■")</f>
        <v>■</v>
      </c>
      <c r="F403" s="14" t="s">
        <v>2273</v>
      </c>
      <c r="G403" s="14">
        <v>184662</v>
      </c>
      <c r="H403" s="14">
        <v>171669</v>
      </c>
      <c r="I403" s="14">
        <v>27</v>
      </c>
      <c r="J403" s="14" t="s">
        <v>274</v>
      </c>
      <c r="K403" s="14" t="s">
        <v>275</v>
      </c>
      <c r="L403" s="14" t="s">
        <v>276</v>
      </c>
      <c r="M403" s="14" t="s">
        <v>9158</v>
      </c>
      <c r="N403" s="14" t="s">
        <v>9158</v>
      </c>
      <c r="O403" s="19" t="s">
        <v>10099</v>
      </c>
      <c r="P403" s="14" t="s">
        <v>3085</v>
      </c>
      <c r="Q403" s="14">
        <v>1</v>
      </c>
    </row>
    <row r="404" spans="1:17">
      <c r="A404" s="14">
        <v>85483</v>
      </c>
      <c r="B404" s="14" t="s">
        <v>0</v>
      </c>
      <c r="C404" s="14" t="s">
        <v>206</v>
      </c>
      <c r="D404" s="20" t="s">
        <v>10807</v>
      </c>
      <c r="E404" s="15" t="str">
        <f>HYPERLINK("https://stat100.ameba.jp/tnk47/ratio20/illustrations/card/ill_85483_seitankuronikururirimu03.jpg?202104-i_prefecture_active_user", "■")</f>
        <v>■</v>
      </c>
      <c r="F404" s="14" t="s">
        <v>8445</v>
      </c>
      <c r="G404" s="14">
        <v>112496</v>
      </c>
      <c r="H404" s="14">
        <v>104619</v>
      </c>
      <c r="I404" s="14">
        <v>27</v>
      </c>
      <c r="J404" s="14" t="s">
        <v>182</v>
      </c>
      <c r="K404" s="14" t="s">
        <v>8444</v>
      </c>
      <c r="L404" s="14" t="s">
        <v>2308</v>
      </c>
      <c r="M404" s="14" t="s">
        <v>9158</v>
      </c>
      <c r="N404" s="14" t="s">
        <v>9158</v>
      </c>
      <c r="O404" s="19" t="s">
        <v>10086</v>
      </c>
      <c r="P404" s="14" t="s">
        <v>3701</v>
      </c>
      <c r="Q404" s="14">
        <v>1</v>
      </c>
    </row>
    <row r="405" spans="1:17">
      <c r="A405" s="14">
        <v>89013</v>
      </c>
      <c r="B405" s="14" t="s">
        <v>0</v>
      </c>
      <c r="C405" s="14" t="s">
        <v>23</v>
      </c>
      <c r="D405" s="18" t="s">
        <v>12538</v>
      </c>
      <c r="E405" s="15" t="str">
        <f>HYPERLINK("https://stat100.ameba.jp/tnk47/ratio20/illustrations/card/ill_89013_efuwanresutokugawaieyasu03.jpg?202104-i_prefecture_active_user", "■")</f>
        <v>■</v>
      </c>
      <c r="F405" s="14" t="s">
        <v>12539</v>
      </c>
      <c r="G405" s="14">
        <v>149240</v>
      </c>
      <c r="H405" s="14">
        <v>160507</v>
      </c>
      <c r="I405" s="14">
        <v>27</v>
      </c>
      <c r="J405" s="14" t="s">
        <v>143</v>
      </c>
      <c r="K405" s="14" t="s">
        <v>12540</v>
      </c>
      <c r="L405" s="14" t="s">
        <v>12026</v>
      </c>
      <c r="M405" s="14" t="s">
        <v>9158</v>
      </c>
      <c r="N405" s="14" t="s">
        <v>9158</v>
      </c>
      <c r="O405" s="6" t="s">
        <v>3624</v>
      </c>
      <c r="P405" s="7" t="s">
        <v>3625</v>
      </c>
      <c r="Q405" s="7">
        <v>1</v>
      </c>
    </row>
    <row r="406" spans="1:17">
      <c r="A406" s="14">
        <v>76243</v>
      </c>
      <c r="B406" s="14" t="s">
        <v>334</v>
      </c>
      <c r="C406" s="14" t="s">
        <v>335</v>
      </c>
      <c r="D406" s="20" t="s">
        <v>10263</v>
      </c>
      <c r="E406" s="15" t="str">
        <f>HYPERLINK("https://stat100.ameba.jp/tnk47/ratio20/illustrations/card/ill_76243_haroinkaraguchinihonshuchan03.jpg?202104-i_prefecture_active_user", "■")</f>
        <v>■</v>
      </c>
      <c r="F406" s="14" t="s">
        <v>336</v>
      </c>
      <c r="G406" s="14">
        <v>127507</v>
      </c>
      <c r="H406" s="14">
        <v>118568</v>
      </c>
      <c r="I406" s="14">
        <v>27</v>
      </c>
      <c r="J406" s="14" t="s">
        <v>283</v>
      </c>
      <c r="K406" s="14" t="s">
        <v>337</v>
      </c>
      <c r="L406" s="14" t="s">
        <v>338</v>
      </c>
      <c r="M406" s="14" t="s">
        <v>9158</v>
      </c>
      <c r="N406" s="14" t="s">
        <v>9158</v>
      </c>
      <c r="O406" s="19" t="s">
        <v>10090</v>
      </c>
      <c r="P406" s="14" t="s">
        <v>3561</v>
      </c>
      <c r="Q406" s="14">
        <v>1</v>
      </c>
    </row>
    <row r="408" spans="1:17">
      <c r="A408" s="14" t="s">
        <v>4422</v>
      </c>
    </row>
    <row r="409" spans="1:17">
      <c r="A409" s="14">
        <v>237360</v>
      </c>
      <c r="B409" s="14" t="s">
        <v>4042</v>
      </c>
    </row>
    <row r="410" spans="1:17">
      <c r="A410" s="14" t="s">
        <v>5848</v>
      </c>
      <c r="B410" s="14" t="s">
        <v>52</v>
      </c>
      <c r="C410" s="14" t="s">
        <v>200</v>
      </c>
      <c r="D410" s="20" t="s">
        <v>3160</v>
      </c>
      <c r="E410" s="15" t="str">
        <f>HYPERLINK("https://stat100.ameba.jp/tnk47/ratio20/illustrations/card/ill_72963_0_amenohanayomehiguchiichiyo03.jpg?202104-i_prefecture_active_user", "■")</f>
        <v>■</v>
      </c>
      <c r="F410" s="14" t="s">
        <v>1139</v>
      </c>
      <c r="G410" s="14">
        <v>134004</v>
      </c>
      <c r="H410" s="14">
        <v>124600</v>
      </c>
      <c r="I410" s="14">
        <v>20</v>
      </c>
      <c r="J410" s="14" t="s">
        <v>10</v>
      </c>
      <c r="K410" s="14" t="s">
        <v>1140</v>
      </c>
      <c r="L410" s="14" t="s">
        <v>1141</v>
      </c>
      <c r="M410" s="14" t="s">
        <v>9158</v>
      </c>
      <c r="N410" s="14" t="s">
        <v>9158</v>
      </c>
      <c r="O410" s="19" t="s">
        <v>3162</v>
      </c>
      <c r="P410" s="14" t="s">
        <v>3410</v>
      </c>
      <c r="Q410" s="14">
        <v>1</v>
      </c>
    </row>
    <row r="411" spans="1:17">
      <c r="A411" s="14">
        <v>96693</v>
      </c>
      <c r="B411" s="14" t="s">
        <v>0</v>
      </c>
      <c r="C411" s="14" t="s">
        <v>101</v>
      </c>
      <c r="D411" s="14" t="s">
        <v>16907</v>
      </c>
      <c r="E411" s="15" t="str">
        <f>HYPERLINK("https://stat100.ameba.jp/tnk47/ratio20/illustrations/card/ill_96693_gurimuhirudo03.jpg?202104-i_prefecture_active_user", "■")</f>
        <v>■</v>
      </c>
      <c r="F411" s="14" t="s">
        <v>16906</v>
      </c>
      <c r="G411" s="14">
        <v>139860</v>
      </c>
      <c r="H411" s="14">
        <v>78696</v>
      </c>
      <c r="I411" s="14">
        <v>29</v>
      </c>
      <c r="J411" s="14" t="s">
        <v>73</v>
      </c>
      <c r="K411" s="14" t="s">
        <v>16905</v>
      </c>
      <c r="L411" s="14" t="s">
        <v>16191</v>
      </c>
      <c r="M411" s="14" t="s">
        <v>9158</v>
      </c>
      <c r="N411" s="14" t="s">
        <v>9158</v>
      </c>
      <c r="O411" s="14" t="s">
        <v>9158</v>
      </c>
      <c r="P411" s="14" t="s">
        <v>9158</v>
      </c>
      <c r="Q411" s="14" t="s">
        <v>9158</v>
      </c>
    </row>
    <row r="412" spans="1:17">
      <c r="A412" s="14">
        <v>96692</v>
      </c>
      <c r="B412" s="14" t="s">
        <v>0</v>
      </c>
      <c r="C412" s="14" t="s">
        <v>101</v>
      </c>
      <c r="D412" s="14" t="s">
        <v>16907</v>
      </c>
      <c r="E412" s="15" t="str">
        <f>HYPERLINK("https://stat100.ameba.jp/tnk47/ratio20/illustrations/card/ill_96692_gurimuhirudo02.jpg?202104-i_prefecture_active_user", "■")</f>
        <v>■</v>
      </c>
      <c r="F412" s="14" t="s">
        <v>16906</v>
      </c>
      <c r="G412" s="14">
        <v>116406</v>
      </c>
      <c r="H412" s="14">
        <v>65498</v>
      </c>
      <c r="I412" s="14">
        <v>29</v>
      </c>
      <c r="J412" s="14" t="s">
        <v>73</v>
      </c>
      <c r="K412" s="14" t="s">
        <v>16905</v>
      </c>
      <c r="L412" s="14" t="s">
        <v>16908</v>
      </c>
      <c r="M412" s="14" t="s">
        <v>9158</v>
      </c>
      <c r="N412" s="14" t="s">
        <v>9158</v>
      </c>
      <c r="O412" s="14" t="s">
        <v>9158</v>
      </c>
      <c r="P412" s="14" t="s">
        <v>9158</v>
      </c>
      <c r="Q412" s="14" t="s">
        <v>9158</v>
      </c>
    </row>
    <row r="413" spans="1:17">
      <c r="A413" s="14">
        <v>96691</v>
      </c>
      <c r="B413" s="14" t="s">
        <v>0</v>
      </c>
      <c r="C413" s="14" t="s">
        <v>101</v>
      </c>
      <c r="D413" s="14" t="s">
        <v>16907</v>
      </c>
      <c r="E413" s="15" t="str">
        <f>HYPERLINK("https://stat100.ameba.jp/tnk47/ratio20/illustrations/card/ill_96691_gurimuhirudo01.jpg?202104-i_prefecture_active_user", "■")</f>
        <v>■</v>
      </c>
      <c r="F413" s="14" t="s">
        <v>16906</v>
      </c>
      <c r="G413" s="14">
        <v>89320</v>
      </c>
      <c r="H413" s="14">
        <v>50257</v>
      </c>
      <c r="I413" s="14">
        <v>29</v>
      </c>
      <c r="J413" s="14" t="s">
        <v>73</v>
      </c>
      <c r="K413" s="14" t="s">
        <v>16905</v>
      </c>
      <c r="L413" s="14" t="s">
        <v>16909</v>
      </c>
      <c r="M413" s="14" t="s">
        <v>9158</v>
      </c>
      <c r="N413" s="14" t="s">
        <v>9158</v>
      </c>
      <c r="O413" s="14" t="s">
        <v>9158</v>
      </c>
      <c r="P413" s="14" t="s">
        <v>9158</v>
      </c>
      <c r="Q413" s="14" t="s">
        <v>9158</v>
      </c>
    </row>
    <row r="414" spans="1:17">
      <c r="A414" s="14">
        <v>96703</v>
      </c>
      <c r="B414" s="14" t="s">
        <v>0</v>
      </c>
      <c r="C414" s="14" t="s">
        <v>1</v>
      </c>
      <c r="D414" s="14" t="s">
        <v>16912</v>
      </c>
      <c r="E414" s="15" t="str">
        <f>HYPERLINK("https://stat100.ameba.jp/tnk47/ratio20/illustrations/card/ill_96703_teienhatonokuin03.jpg?202104-i_prefecture_active_user", "■")</f>
        <v>■</v>
      </c>
      <c r="F414" s="14" t="s">
        <v>16911</v>
      </c>
      <c r="G414" s="14">
        <v>146079</v>
      </c>
      <c r="H414" s="14">
        <v>82180</v>
      </c>
      <c r="I414" s="14">
        <v>29</v>
      </c>
      <c r="J414" s="14" t="s">
        <v>38</v>
      </c>
      <c r="K414" s="14" t="s">
        <v>16910</v>
      </c>
      <c r="L414" s="14" t="s">
        <v>12998</v>
      </c>
      <c r="M414" s="14" t="s">
        <v>9158</v>
      </c>
      <c r="N414" s="14" t="s">
        <v>9158</v>
      </c>
      <c r="O414" s="14" t="s">
        <v>9158</v>
      </c>
      <c r="P414" s="14" t="s">
        <v>9158</v>
      </c>
      <c r="Q414" s="14" t="s">
        <v>9158</v>
      </c>
    </row>
    <row r="415" spans="1:17">
      <c r="A415" s="14">
        <v>96702</v>
      </c>
      <c r="B415" s="14" t="s">
        <v>0</v>
      </c>
      <c r="C415" s="14" t="s">
        <v>1</v>
      </c>
      <c r="D415" s="14" t="s">
        <v>16912</v>
      </c>
      <c r="E415" s="15" t="str">
        <f>HYPERLINK("https://stat100.ameba.jp/tnk47/ratio20/illustrations/card/ill_96702_teienhatonokuin02.jpg?202104-i_prefecture_active_user", "■")</f>
        <v>■</v>
      </c>
      <c r="F415" s="14" t="s">
        <v>16911</v>
      </c>
      <c r="G415" s="14">
        <v>121544</v>
      </c>
      <c r="H415" s="14">
        <v>68411</v>
      </c>
      <c r="I415" s="14">
        <v>29</v>
      </c>
      <c r="J415" s="14" t="s">
        <v>38</v>
      </c>
      <c r="K415" s="14" t="s">
        <v>16910</v>
      </c>
      <c r="L415" s="14" t="s">
        <v>16913</v>
      </c>
      <c r="M415" s="14" t="s">
        <v>9158</v>
      </c>
      <c r="N415" s="14" t="s">
        <v>9158</v>
      </c>
      <c r="O415" s="14" t="s">
        <v>9158</v>
      </c>
      <c r="P415" s="14" t="s">
        <v>9158</v>
      </c>
      <c r="Q415" s="14" t="s">
        <v>9158</v>
      </c>
    </row>
    <row r="416" spans="1:17">
      <c r="A416" s="14">
        <v>96701</v>
      </c>
      <c r="B416" s="14" t="s">
        <v>0</v>
      </c>
      <c r="C416" s="14" t="s">
        <v>1</v>
      </c>
      <c r="D416" s="14" t="s">
        <v>16912</v>
      </c>
      <c r="E416" s="15" t="str">
        <f>HYPERLINK("https://stat100.ameba.jp/tnk47/ratio20/illustrations/card/ill_96701_teienhatonokuin01.jpg?202104-i_prefecture_active_user", "■")</f>
        <v>■</v>
      </c>
      <c r="F416" s="14" t="s">
        <v>16911</v>
      </c>
      <c r="G416" s="14">
        <v>93264</v>
      </c>
      <c r="H416" s="14">
        <v>52490</v>
      </c>
      <c r="I416" s="14">
        <v>29</v>
      </c>
      <c r="J416" s="14" t="s">
        <v>38</v>
      </c>
      <c r="K416" s="14" t="s">
        <v>16910</v>
      </c>
      <c r="L416" s="14" t="s">
        <v>16914</v>
      </c>
      <c r="M416" s="14" t="s">
        <v>9158</v>
      </c>
      <c r="N416" s="14" t="s">
        <v>9158</v>
      </c>
      <c r="O416" s="14" t="s">
        <v>9158</v>
      </c>
      <c r="P416" s="14" t="s">
        <v>9158</v>
      </c>
      <c r="Q416" s="14" t="s">
        <v>9158</v>
      </c>
    </row>
    <row r="418" spans="1:17">
      <c r="A418" s="14" t="s">
        <v>3911</v>
      </c>
    </row>
    <row r="419" spans="1:17">
      <c r="A419" s="14">
        <v>107541</v>
      </c>
      <c r="B419" s="14" t="s">
        <v>16904</v>
      </c>
    </row>
    <row r="420" spans="1:17">
      <c r="A420" s="14">
        <v>107551</v>
      </c>
      <c r="B420" s="14" t="s">
        <v>15721</v>
      </c>
    </row>
    <row r="421" spans="1:17">
      <c r="A421" s="14" t="s">
        <v>13442</v>
      </c>
      <c r="B421" s="7" t="s">
        <v>52</v>
      </c>
      <c r="C421" s="14" t="s">
        <v>202</v>
      </c>
      <c r="D421" s="18" t="s">
        <v>13441</v>
      </c>
      <c r="E421" s="15" t="str">
        <f>HYPERLINK("https://stat100.ameba.jp/tnk47/ratio20/illustrations/card/ill_90393_0_nangokubakansusanukiudonchan03.jpg?202104-i_prefecture_active_user", "■")</f>
        <v>■</v>
      </c>
      <c r="F421" s="14" t="s">
        <v>13443</v>
      </c>
      <c r="G421" s="14">
        <v>302369</v>
      </c>
      <c r="H421" s="14">
        <v>369585</v>
      </c>
      <c r="I421" s="7">
        <v>29</v>
      </c>
      <c r="J421" s="14" t="s">
        <v>104</v>
      </c>
      <c r="K421" s="14" t="s">
        <v>13444</v>
      </c>
      <c r="L421" s="14" t="s">
        <v>13445</v>
      </c>
      <c r="M421" s="14" t="s">
        <v>9158</v>
      </c>
      <c r="N421" s="14" t="s">
        <v>9158</v>
      </c>
      <c r="O421" s="6" t="s">
        <v>13446</v>
      </c>
      <c r="P421" s="7" t="s">
        <v>13447</v>
      </c>
      <c r="Q421" s="7">
        <v>1</v>
      </c>
    </row>
    <row r="422" spans="1:17">
      <c r="A422" s="14" t="s">
        <v>12532</v>
      </c>
      <c r="B422" s="7" t="s">
        <v>52</v>
      </c>
      <c r="C422" s="14" t="s">
        <v>202</v>
      </c>
      <c r="D422" s="18" t="s">
        <v>12528</v>
      </c>
      <c r="E422" s="15" t="str">
        <f>HYPERLINK("https://stat100.ameba.jp/tnk47/ratio20/illustrations/card/ill_89073_0_efuwanresuyokohamaserachan03.jpg?202104-i_prefecture_active_user", "■")</f>
        <v>■</v>
      </c>
      <c r="F422" s="14" t="s">
        <v>12529</v>
      </c>
      <c r="G422" s="14">
        <v>318998</v>
      </c>
      <c r="H422" s="14">
        <v>352956</v>
      </c>
      <c r="I422" s="7">
        <v>29</v>
      </c>
      <c r="J422" s="14" t="s">
        <v>229</v>
      </c>
      <c r="K422" s="14" t="s">
        <v>12530</v>
      </c>
      <c r="L422" s="14" t="s">
        <v>12531</v>
      </c>
      <c r="M422" s="14" t="s">
        <v>9158</v>
      </c>
      <c r="N422" s="14" t="s">
        <v>9158</v>
      </c>
      <c r="O422" s="6" t="s">
        <v>12533</v>
      </c>
      <c r="P422" s="7" t="s">
        <v>12534</v>
      </c>
      <c r="Q422" s="7">
        <v>1</v>
      </c>
    </row>
    <row r="423" spans="1:17">
      <c r="A423" s="14" t="s">
        <v>5625</v>
      </c>
      <c r="B423" s="14" t="s">
        <v>330</v>
      </c>
      <c r="C423" s="14" t="s">
        <v>200</v>
      </c>
      <c r="D423" s="20" t="s">
        <v>630</v>
      </c>
      <c r="E423" s="15" t="str">
        <f>HYPERLINK("https://stat100.ameba.jp/tnk47/ratio20/illustrations/card/ill_48283_0_kyuubitamamonomae03.jpg?202104-i_prefecture_active_user", "■")</f>
        <v>■</v>
      </c>
      <c r="F423" s="14" t="s">
        <v>631</v>
      </c>
      <c r="G423" s="14">
        <v>182188</v>
      </c>
      <c r="H423" s="14">
        <v>161842</v>
      </c>
      <c r="I423" s="7">
        <v>29</v>
      </c>
      <c r="J423" s="14" t="s">
        <v>320</v>
      </c>
      <c r="K423" s="14" t="s">
        <v>632</v>
      </c>
      <c r="L423" s="14" t="s">
        <v>633</v>
      </c>
      <c r="M423" s="14" t="s">
        <v>9158</v>
      </c>
      <c r="N423" s="14" t="s">
        <v>9158</v>
      </c>
      <c r="O423" s="14" t="s">
        <v>9158</v>
      </c>
      <c r="P423" s="14" t="s">
        <v>9158</v>
      </c>
      <c r="Q423" s="14" t="s">
        <v>9158</v>
      </c>
    </row>
    <row r="424" spans="1:17">
      <c r="A424" s="14">
        <v>63273</v>
      </c>
      <c r="B424" s="14" t="s">
        <v>334</v>
      </c>
      <c r="C424" s="14" t="s">
        <v>158</v>
      </c>
      <c r="D424" s="19" t="s">
        <v>828</v>
      </c>
      <c r="E424" s="15" t="str">
        <f>HYPERLINK("https://stat100.ameba.jp/tnk47/ratio20/illustrations/card/ill_63273_tsukushimai03.jpg?202104-i_prefecture_active_user", "■")</f>
        <v>■</v>
      </c>
      <c r="F424" s="14" t="s">
        <v>1211</v>
      </c>
      <c r="G424" s="14">
        <v>147992</v>
      </c>
      <c r="H424" s="14">
        <v>107188</v>
      </c>
      <c r="I424" s="7">
        <v>29</v>
      </c>
      <c r="J424" s="14" t="s">
        <v>38</v>
      </c>
      <c r="K424" s="14" t="s">
        <v>1212</v>
      </c>
      <c r="L424" s="14" t="s">
        <v>1213</v>
      </c>
      <c r="M424" s="14" t="s">
        <v>9158</v>
      </c>
      <c r="N424" s="14" t="s">
        <v>9158</v>
      </c>
      <c r="O424" s="19" t="s">
        <v>10110</v>
      </c>
      <c r="P424" s="14" t="s">
        <v>13128</v>
      </c>
      <c r="Q424" s="14">
        <v>1</v>
      </c>
    </row>
    <row r="425" spans="1:17">
      <c r="A425" s="14">
        <v>60763</v>
      </c>
      <c r="B425" s="14" t="s">
        <v>334</v>
      </c>
      <c r="C425" s="14" t="s">
        <v>203</v>
      </c>
      <c r="D425" s="20" t="s">
        <v>10420</v>
      </c>
      <c r="E425" s="15" t="str">
        <f>HYPERLINK("https://stat100.ameba.jp/tnk47/ratio20/illustrations/card/ill_60763_fujiwarakagekiyo03.jpg?202104-i_prefecture_active_user", "■")</f>
        <v>■</v>
      </c>
      <c r="F425" s="14" t="s">
        <v>1146</v>
      </c>
      <c r="G425" s="14">
        <v>139753</v>
      </c>
      <c r="H425" s="14">
        <v>192940</v>
      </c>
      <c r="I425" s="7">
        <v>29</v>
      </c>
      <c r="J425" s="14" t="s">
        <v>143</v>
      </c>
      <c r="K425" s="14" t="s">
        <v>1147</v>
      </c>
      <c r="L425" s="14" t="s">
        <v>1148</v>
      </c>
      <c r="M425" s="14" t="s">
        <v>9158</v>
      </c>
      <c r="N425" s="14" t="s">
        <v>9158</v>
      </c>
      <c r="O425" s="19" t="s">
        <v>10112</v>
      </c>
      <c r="P425" s="14" t="s">
        <v>13150</v>
      </c>
      <c r="Q425" s="14">
        <v>1</v>
      </c>
    </row>
    <row r="426" spans="1:17">
      <c r="A426" s="16">
        <v>75853</v>
      </c>
      <c r="B426" s="14" t="s">
        <v>334</v>
      </c>
      <c r="C426" s="14" t="s">
        <v>41</v>
      </c>
      <c r="D426" s="19" t="s">
        <v>10224</v>
      </c>
      <c r="E426" s="15" t="str">
        <f>HYPERLINK("https://stat100.ameba.jp/tnk47/ratio20/illustrations/card/ill_75853_moruganoyuki03.jpg?202104-i_prefecture_active_user", "■")</f>
        <v>■</v>
      </c>
      <c r="F426" s="14" t="s">
        <v>5106</v>
      </c>
      <c r="G426" s="14">
        <v>145000</v>
      </c>
      <c r="H426" s="14">
        <v>134821</v>
      </c>
      <c r="I426" s="7">
        <v>29</v>
      </c>
      <c r="J426" s="14" t="s">
        <v>16</v>
      </c>
      <c r="K426" s="14" t="s">
        <v>5108</v>
      </c>
      <c r="L426" s="14" t="s">
        <v>1881</v>
      </c>
      <c r="M426" s="14" t="s">
        <v>9158</v>
      </c>
      <c r="N426" s="14" t="s">
        <v>9158</v>
      </c>
      <c r="O426" s="7" t="s">
        <v>3578</v>
      </c>
      <c r="P426" s="14" t="s">
        <v>3579</v>
      </c>
      <c r="Q426" s="14">
        <v>1</v>
      </c>
    </row>
    <row r="427" spans="1:17">
      <c r="A427" s="14">
        <v>70373</v>
      </c>
      <c r="B427" s="14" t="s">
        <v>334</v>
      </c>
      <c r="C427" s="14" t="s">
        <v>209</v>
      </c>
      <c r="D427" s="20" t="s">
        <v>10226</v>
      </c>
      <c r="E427" s="15" t="str">
        <f>HYPERLINK("https://stat100.ameba.jp/tnk47/ratio20/illustrations/card/ill_70373_amanoyasukage03.jpg?202104-i_prefecture_active_user", "■")</f>
        <v>■</v>
      </c>
      <c r="F427" s="14" t="s">
        <v>2617</v>
      </c>
      <c r="G427" s="14">
        <v>149802</v>
      </c>
      <c r="H427" s="14">
        <v>161113</v>
      </c>
      <c r="I427" s="7">
        <v>29</v>
      </c>
      <c r="J427" s="14" t="s">
        <v>143</v>
      </c>
      <c r="K427" s="14" t="s">
        <v>2618</v>
      </c>
      <c r="L427" s="14" t="s">
        <v>2619</v>
      </c>
      <c r="M427" s="14" t="s">
        <v>9158</v>
      </c>
      <c r="N427" s="14" t="s">
        <v>9158</v>
      </c>
      <c r="O427" s="19" t="s">
        <v>10081</v>
      </c>
      <c r="P427" s="14" t="s">
        <v>4146</v>
      </c>
      <c r="Q427" s="14">
        <v>1</v>
      </c>
    </row>
    <row r="428" spans="1:17">
      <c r="A428" s="9">
        <v>67953</v>
      </c>
      <c r="B428" s="14" t="s">
        <v>334</v>
      </c>
      <c r="C428" s="14" t="s">
        <v>209</v>
      </c>
      <c r="D428" s="14" t="s">
        <v>2486</v>
      </c>
      <c r="E428" s="15" t="str">
        <f>HYPERLINK("https://stat100.ameba.jp/tnk47/ratio20/illustrations/card/ill_67953_kutaniyaki03.jpg?202104-i_prefecture_active_user", "■")</f>
        <v>■</v>
      </c>
      <c r="F428" s="14" t="s">
        <v>2487</v>
      </c>
      <c r="G428" s="14">
        <v>95357</v>
      </c>
      <c r="H428" s="14">
        <v>131617</v>
      </c>
      <c r="I428" s="7">
        <v>29</v>
      </c>
      <c r="J428" s="14" t="s">
        <v>26</v>
      </c>
      <c r="K428" s="14" t="s">
        <v>2488</v>
      </c>
      <c r="L428" s="14" t="s">
        <v>2489</v>
      </c>
      <c r="M428" s="14" t="s">
        <v>9158</v>
      </c>
      <c r="N428" s="14" t="s">
        <v>9158</v>
      </c>
      <c r="O428" s="17" t="s">
        <v>10053</v>
      </c>
      <c r="P428" s="14" t="s">
        <v>3592</v>
      </c>
      <c r="Q428" s="14">
        <v>1</v>
      </c>
    </row>
    <row r="429" spans="1:17">
      <c r="A429" s="14">
        <v>81313</v>
      </c>
      <c r="B429" s="14" t="s">
        <v>0</v>
      </c>
      <c r="C429" s="14" t="s">
        <v>154</v>
      </c>
      <c r="D429" s="20" t="s">
        <v>10511</v>
      </c>
      <c r="E429" s="15" t="str">
        <f>HYPERLINK("https://stat100.ameba.jp/tnk47/ratio20/illustrations/card/ill_81313_harihara03.jpg?202104-i_prefecture_active_user", "■")</f>
        <v>■</v>
      </c>
      <c r="F429" s="14" t="s">
        <v>4667</v>
      </c>
      <c r="G429" s="14">
        <v>192940</v>
      </c>
      <c r="H429" s="14">
        <v>139753</v>
      </c>
      <c r="I429" s="7">
        <v>29</v>
      </c>
      <c r="J429" s="14" t="s">
        <v>44</v>
      </c>
      <c r="K429" s="14" t="s">
        <v>4668</v>
      </c>
      <c r="L429" s="14" t="s">
        <v>4669</v>
      </c>
      <c r="M429" s="14" t="s">
        <v>9158</v>
      </c>
      <c r="N429" s="14" t="s">
        <v>9158</v>
      </c>
      <c r="O429" s="19" t="s">
        <v>10114</v>
      </c>
      <c r="P429" s="14" t="s">
        <v>3658</v>
      </c>
      <c r="Q429" s="14">
        <v>1</v>
      </c>
    </row>
    <row r="431" spans="1:17">
      <c r="A431" s="14" t="s">
        <v>4076</v>
      </c>
      <c r="I431" s="9"/>
    </row>
    <row r="432" spans="1:17">
      <c r="A432" s="14">
        <v>237392</v>
      </c>
      <c r="B432" s="14" t="s">
        <v>4077</v>
      </c>
      <c r="I432" s="9"/>
    </row>
    <row r="433" spans="1:17">
      <c r="A433" s="14" t="s">
        <v>5615</v>
      </c>
      <c r="B433" s="14" t="s">
        <v>330</v>
      </c>
      <c r="C433" s="14" t="s">
        <v>206</v>
      </c>
      <c r="D433" s="19" t="s">
        <v>2814</v>
      </c>
      <c r="E433" s="15" t="str">
        <f>HYPERLINK("https://stat100.ameba.jp/tnk47/ratio20/illustrations/card/ill_57733_0_shogatsunisenjunanaamakusashiro03.jpg?202012-X-RELEASE-GP-insert-battleleague", "■")</f>
        <v>■</v>
      </c>
      <c r="F433" s="14" t="s">
        <v>2815</v>
      </c>
      <c r="G433" s="14">
        <v>111616</v>
      </c>
      <c r="H433" s="14">
        <v>125648</v>
      </c>
      <c r="I433" s="14">
        <v>20</v>
      </c>
      <c r="J433" s="14" t="s">
        <v>351</v>
      </c>
      <c r="K433" s="14" t="s">
        <v>2816</v>
      </c>
      <c r="L433" s="14" t="s">
        <v>2817</v>
      </c>
      <c r="M433" s="14" t="s">
        <v>9158</v>
      </c>
      <c r="N433" s="14" t="s">
        <v>9158</v>
      </c>
      <c r="O433" s="19" t="s">
        <v>10077</v>
      </c>
      <c r="P433" s="14" t="s">
        <v>3062</v>
      </c>
      <c r="Q433" s="14">
        <v>1</v>
      </c>
    </row>
    <row r="434" spans="1:17">
      <c r="A434" s="14">
        <v>96713</v>
      </c>
      <c r="B434" s="14" t="s">
        <v>334</v>
      </c>
      <c r="C434" s="14" t="s">
        <v>96</v>
      </c>
      <c r="D434" s="14" t="s">
        <v>17047</v>
      </c>
      <c r="E434" s="15" t="str">
        <f>HYPERLINK("https://stat100.ameba.jp/tnk47/ratio20/illustrations/card/ill_96713_asutoraia03.jpg?202104-i_prefecture_active_user", "■")</f>
        <v>■</v>
      </c>
      <c r="F434" s="14" t="s">
        <v>17050</v>
      </c>
      <c r="G434" s="14">
        <v>78696</v>
      </c>
      <c r="H434" s="14">
        <v>139860</v>
      </c>
      <c r="I434" s="7">
        <v>29</v>
      </c>
      <c r="J434" s="14" t="s">
        <v>44</v>
      </c>
      <c r="K434" s="14" t="s">
        <v>17049</v>
      </c>
      <c r="L434" s="14" t="s">
        <v>15938</v>
      </c>
      <c r="M434" s="14" t="s">
        <v>9158</v>
      </c>
      <c r="N434" s="14" t="s">
        <v>9158</v>
      </c>
      <c r="O434" s="14" t="s">
        <v>9158</v>
      </c>
      <c r="P434" s="14" t="s">
        <v>9158</v>
      </c>
      <c r="Q434" s="14" t="s">
        <v>9158</v>
      </c>
    </row>
    <row r="435" spans="1:17">
      <c r="A435" s="14">
        <v>96712</v>
      </c>
      <c r="B435" s="14" t="s">
        <v>334</v>
      </c>
      <c r="C435" s="14" t="s">
        <v>96</v>
      </c>
      <c r="D435" s="14" t="s">
        <v>17047</v>
      </c>
      <c r="E435" s="15" t="str">
        <f>HYPERLINK("https://stat100.ameba.jp/tnk47/ratio20/illustrations/card/ill_96712_asutoraia02.jpg?202104-i_prefecture_active_user", "■")</f>
        <v>■</v>
      </c>
      <c r="F435" s="14" t="s">
        <v>17050</v>
      </c>
      <c r="G435" s="14">
        <v>65498</v>
      </c>
      <c r="H435" s="14">
        <v>116406</v>
      </c>
      <c r="I435" s="7">
        <v>29</v>
      </c>
      <c r="J435" s="14" t="s">
        <v>44</v>
      </c>
      <c r="K435" s="14" t="s">
        <v>17049</v>
      </c>
      <c r="L435" s="14" t="s">
        <v>17051</v>
      </c>
      <c r="M435" s="14" t="s">
        <v>9158</v>
      </c>
      <c r="N435" s="14" t="s">
        <v>9158</v>
      </c>
      <c r="O435" s="14" t="s">
        <v>9158</v>
      </c>
      <c r="P435" s="14" t="s">
        <v>9158</v>
      </c>
      <c r="Q435" s="14" t="s">
        <v>9158</v>
      </c>
    </row>
    <row r="436" spans="1:17">
      <c r="A436" s="14">
        <v>96711</v>
      </c>
      <c r="B436" s="14" t="s">
        <v>334</v>
      </c>
      <c r="C436" s="14" t="s">
        <v>96</v>
      </c>
      <c r="D436" s="14" t="s">
        <v>17047</v>
      </c>
      <c r="E436" s="15" t="str">
        <f>HYPERLINK("https://stat100.ameba.jp/tnk47/ratio20/illustrations/card/ill_96711_asutoraia01.jpg?202104-i_prefecture_active_user", "■")</f>
        <v>■</v>
      </c>
      <c r="F436" s="14" t="s">
        <v>17050</v>
      </c>
      <c r="G436" s="14">
        <v>50257</v>
      </c>
      <c r="H436" s="14">
        <v>89320</v>
      </c>
      <c r="I436" s="7">
        <v>29</v>
      </c>
      <c r="J436" s="14" t="s">
        <v>44</v>
      </c>
      <c r="K436" s="14" t="s">
        <v>17049</v>
      </c>
      <c r="L436" s="14" t="s">
        <v>17052</v>
      </c>
      <c r="M436" s="14" t="s">
        <v>9158</v>
      </c>
      <c r="N436" s="14" t="s">
        <v>9158</v>
      </c>
      <c r="O436" s="14" t="s">
        <v>9158</v>
      </c>
      <c r="P436" s="14" t="s">
        <v>9158</v>
      </c>
      <c r="Q436" s="14" t="s">
        <v>9158</v>
      </c>
    </row>
    <row r="437" spans="1:17">
      <c r="A437" s="14">
        <v>96723</v>
      </c>
      <c r="B437" s="14" t="s">
        <v>334</v>
      </c>
      <c r="C437" s="14" t="s">
        <v>14</v>
      </c>
      <c r="D437" s="14" t="s">
        <v>17048</v>
      </c>
      <c r="E437" s="15" t="str">
        <f>HYPERLINK("https://stat100.ameba.jp/tnk47/ratio20/illustrations/card/ill_96723_hitsujichan03.jpg?202104-i_prefecture_active_user", "■")</f>
        <v>■</v>
      </c>
      <c r="F437" s="14" t="s">
        <v>17048</v>
      </c>
      <c r="G437" s="14">
        <v>119785</v>
      </c>
      <c r="H437" s="14">
        <v>212908</v>
      </c>
      <c r="I437" s="7">
        <v>29</v>
      </c>
      <c r="J437" s="14" t="s">
        <v>26</v>
      </c>
      <c r="K437" s="14" t="s">
        <v>17054</v>
      </c>
      <c r="L437" s="14" t="s">
        <v>17053</v>
      </c>
      <c r="M437" s="14" t="s">
        <v>9158</v>
      </c>
      <c r="N437" s="14" t="s">
        <v>9158</v>
      </c>
      <c r="O437" s="14" t="s">
        <v>9158</v>
      </c>
      <c r="P437" s="14" t="s">
        <v>9158</v>
      </c>
      <c r="Q437" s="14" t="s">
        <v>9158</v>
      </c>
    </row>
    <row r="438" spans="1:17">
      <c r="A438" s="14">
        <v>96722</v>
      </c>
      <c r="B438" s="14" t="s">
        <v>334</v>
      </c>
      <c r="C438" s="14" t="s">
        <v>14</v>
      </c>
      <c r="D438" s="14" t="s">
        <v>17048</v>
      </c>
      <c r="E438" s="15" t="str">
        <f>HYPERLINK("https://stat100.ameba.jp/tnk47/ratio20/illustrations/card/ill_96722_hitsujichan02.jpg?202104-i_prefecture_active_user", "■")</f>
        <v>■</v>
      </c>
      <c r="F438" s="14" t="s">
        <v>17048</v>
      </c>
      <c r="G438" s="14">
        <v>99690</v>
      </c>
      <c r="H438" s="14">
        <v>177149</v>
      </c>
      <c r="I438" s="7">
        <v>29</v>
      </c>
      <c r="J438" s="14" t="s">
        <v>26</v>
      </c>
      <c r="K438" s="14" t="s">
        <v>17054</v>
      </c>
      <c r="L438" s="14" t="s">
        <v>16872</v>
      </c>
      <c r="M438" s="14" t="s">
        <v>9158</v>
      </c>
      <c r="N438" s="14" t="s">
        <v>9158</v>
      </c>
      <c r="O438" s="14" t="s">
        <v>9158</v>
      </c>
      <c r="P438" s="14" t="s">
        <v>9158</v>
      </c>
      <c r="Q438" s="14" t="s">
        <v>9158</v>
      </c>
    </row>
    <row r="439" spans="1:17">
      <c r="A439" s="14">
        <v>96721</v>
      </c>
      <c r="B439" s="14" t="s">
        <v>0</v>
      </c>
      <c r="C439" s="14" t="s">
        <v>14</v>
      </c>
      <c r="D439" s="14" t="s">
        <v>17048</v>
      </c>
      <c r="E439" s="15" t="str">
        <f>HYPERLINK("https://stat100.ameba.jp/tnk47/ratio20/illustrations/card/ill_96721_hitsujichan01.jpg?202104-i_prefecture_active_user", "■")</f>
        <v>■</v>
      </c>
      <c r="F439" s="14" t="s">
        <v>17048</v>
      </c>
      <c r="G439" s="14">
        <v>76502</v>
      </c>
      <c r="H439" s="14">
        <v>135952</v>
      </c>
      <c r="I439" s="7">
        <v>29</v>
      </c>
      <c r="J439" s="14" t="s">
        <v>26</v>
      </c>
      <c r="K439" s="14" t="s">
        <v>17054</v>
      </c>
      <c r="L439" s="14" t="s">
        <v>17055</v>
      </c>
      <c r="M439" s="14" t="s">
        <v>9158</v>
      </c>
      <c r="N439" s="14" t="s">
        <v>9158</v>
      </c>
      <c r="O439" s="14" t="s">
        <v>9158</v>
      </c>
      <c r="P439" s="14" t="s">
        <v>9158</v>
      </c>
      <c r="Q439" s="14" t="s">
        <v>9158</v>
      </c>
    </row>
    <row r="441" spans="1:17">
      <c r="A441" s="14" t="s">
        <v>8239</v>
      </c>
    </row>
    <row r="442" spans="1:17">
      <c r="A442" s="14">
        <v>237423</v>
      </c>
      <c r="B442" s="14" t="s">
        <v>11932</v>
      </c>
    </row>
    <row r="443" spans="1:17">
      <c r="A443" s="14">
        <v>237459</v>
      </c>
      <c r="B443" s="14" t="s">
        <v>18545</v>
      </c>
    </row>
    <row r="444" spans="1:17">
      <c r="A444" s="14" t="s">
        <v>17060</v>
      </c>
      <c r="B444" s="14" t="s">
        <v>117</v>
      </c>
      <c r="C444" s="14" t="s">
        <v>35</v>
      </c>
      <c r="D444" s="14" t="s">
        <v>17059</v>
      </c>
      <c r="E444" s="15" t="str">
        <f>HYPERLINK("https://stat100.ameba.jp/tnk47/ratio20/illustrations/card/ill_96843_0_tenkuroairando03.jpg?202104-i_prefecture_active_user", "■")</f>
        <v>■</v>
      </c>
      <c r="F444" s="14" t="s">
        <v>17058</v>
      </c>
      <c r="G444" s="14">
        <v>422461</v>
      </c>
      <c r="H444" s="14">
        <v>467373</v>
      </c>
      <c r="I444" s="14">
        <v>35</v>
      </c>
      <c r="J444" s="14" t="s">
        <v>26</v>
      </c>
      <c r="K444" s="14" t="s">
        <v>17057</v>
      </c>
      <c r="L444" s="14" t="s">
        <v>17056</v>
      </c>
      <c r="M444" s="14" t="s">
        <v>9158</v>
      </c>
      <c r="N444" s="14" t="s">
        <v>9158</v>
      </c>
      <c r="O444" s="14" t="s">
        <v>9158</v>
      </c>
      <c r="P444" s="14" t="s">
        <v>9158</v>
      </c>
      <c r="Q444" s="14" t="s">
        <v>9158</v>
      </c>
    </row>
    <row r="445" spans="1:17">
      <c r="A445" s="14" t="s">
        <v>16460</v>
      </c>
      <c r="B445" s="14" t="s">
        <v>117</v>
      </c>
      <c r="C445" s="14" t="s">
        <v>35</v>
      </c>
      <c r="D445" s="14" t="s">
        <v>16455</v>
      </c>
      <c r="E445" s="15" t="str">
        <f>HYPERLINK("https://stat100.ameba.jp/tnk47/ratio20/illustrations/card/ill_94753_0_tenkurokesutora03.jpg?202104-i_prefecture_active_user", "■")</f>
        <v>■</v>
      </c>
      <c r="F445" s="14" t="s">
        <v>16459</v>
      </c>
      <c r="G445" s="14">
        <v>466453</v>
      </c>
      <c r="H445" s="14">
        <v>421576</v>
      </c>
      <c r="I445" s="14">
        <v>35</v>
      </c>
      <c r="J445" s="14" t="s">
        <v>73</v>
      </c>
      <c r="K445" s="14" t="s">
        <v>16458</v>
      </c>
      <c r="L445" s="14" t="s">
        <v>16457</v>
      </c>
      <c r="M445" s="14" t="s">
        <v>9158</v>
      </c>
      <c r="N445" s="14" t="s">
        <v>9158</v>
      </c>
      <c r="O445" s="14" t="s">
        <v>9158</v>
      </c>
      <c r="P445" s="14" t="s">
        <v>9158</v>
      </c>
      <c r="Q445" s="14" t="s">
        <v>9158</v>
      </c>
    </row>
    <row r="446" spans="1:17">
      <c r="A446" s="14" t="s">
        <v>16453</v>
      </c>
      <c r="B446" s="14" t="s">
        <v>117</v>
      </c>
      <c r="C446" s="14" t="s">
        <v>35</v>
      </c>
      <c r="D446" s="14" t="s">
        <v>16452</v>
      </c>
      <c r="E446" s="15" t="str">
        <f>HYPERLINK("https://stat100.ameba.jp/tnk47/ratio20/illustrations/card/ill_95473_0_tenkurofurutsuparadaisu03.jpg?202104-i_prefecture_active_user", "■")</f>
        <v>■</v>
      </c>
      <c r="F446" s="14" t="s">
        <v>16451</v>
      </c>
      <c r="G446" s="14">
        <v>421914</v>
      </c>
      <c r="H446" s="14">
        <v>466826</v>
      </c>
      <c r="I446" s="14">
        <v>35</v>
      </c>
      <c r="J446" s="14" t="s">
        <v>104</v>
      </c>
      <c r="K446" s="14" t="s">
        <v>16450</v>
      </c>
      <c r="L446" s="14" t="s">
        <v>16449</v>
      </c>
      <c r="M446" s="14" t="s">
        <v>9158</v>
      </c>
      <c r="N446" s="14" t="s">
        <v>9158</v>
      </c>
      <c r="O446" s="14" t="s">
        <v>9158</v>
      </c>
      <c r="P446" s="14" t="s">
        <v>9158</v>
      </c>
      <c r="Q446" s="14" t="s">
        <v>9158</v>
      </c>
    </row>
    <row r="447" spans="1:17">
      <c r="A447" s="14" t="s">
        <v>16549</v>
      </c>
      <c r="B447" s="14" t="s">
        <v>117</v>
      </c>
      <c r="C447" s="14" t="s">
        <v>35</v>
      </c>
      <c r="D447" s="14" t="s">
        <v>16550</v>
      </c>
      <c r="E447" s="15" t="str">
        <f>HYPERLINK("https://stat100.ameba.jp/tnk47/ratio20/illustrations/card/ill_96123_0_tenkuroyukimatsuri03.jpg?202104-i_prefecture_active_user", "■")</f>
        <v>■</v>
      </c>
      <c r="F447" s="14" t="s">
        <v>16548</v>
      </c>
      <c r="G447" s="14">
        <v>466826</v>
      </c>
      <c r="H447" s="14">
        <v>421914</v>
      </c>
      <c r="I447" s="14">
        <v>35</v>
      </c>
      <c r="J447" s="14" t="s">
        <v>77</v>
      </c>
      <c r="K447" s="14" t="s">
        <v>16547</v>
      </c>
      <c r="L447" s="14" t="s">
        <v>16546</v>
      </c>
      <c r="M447" s="14" t="s">
        <v>9158</v>
      </c>
      <c r="N447" s="14" t="s">
        <v>9158</v>
      </c>
      <c r="O447" s="14" t="s">
        <v>9158</v>
      </c>
      <c r="P447" s="14" t="s">
        <v>9158</v>
      </c>
      <c r="Q447" s="14" t="s">
        <v>9158</v>
      </c>
    </row>
    <row r="448" spans="1:17">
      <c r="A448" s="14" t="s">
        <v>7150</v>
      </c>
      <c r="B448" s="14" t="s">
        <v>52</v>
      </c>
      <c r="C448" s="14" t="s">
        <v>202</v>
      </c>
      <c r="D448" s="19" t="s">
        <v>10656</v>
      </c>
      <c r="E448" s="15" t="str">
        <f>HYPERLINK("https://stat100.ameba.jp/tnk47/ratio20/illustrations/card/ill_84203_0_tarottofujiwaranoshoshi03.jpg?202104-i_prefecture_active_user", "■")</f>
        <v>■</v>
      </c>
      <c r="F448" s="14" t="s">
        <v>7153</v>
      </c>
      <c r="G448" s="14">
        <v>323812</v>
      </c>
      <c r="H448" s="14">
        <v>292680</v>
      </c>
      <c r="I448" s="14">
        <v>22</v>
      </c>
      <c r="J448" s="14" t="s">
        <v>10</v>
      </c>
      <c r="K448" s="14" t="s">
        <v>7152</v>
      </c>
      <c r="L448" s="14" t="s">
        <v>7151</v>
      </c>
      <c r="M448" s="14" t="s">
        <v>9158</v>
      </c>
      <c r="N448" s="14" t="s">
        <v>9158</v>
      </c>
      <c r="O448" s="19" t="s">
        <v>10128</v>
      </c>
      <c r="P448" s="14" t="s">
        <v>7154</v>
      </c>
      <c r="Q448" s="14">
        <v>1</v>
      </c>
    </row>
    <row r="449" spans="1:17">
      <c r="A449" s="7">
        <v>85113</v>
      </c>
      <c r="B449" s="7" t="s">
        <v>0</v>
      </c>
      <c r="C449" s="7" t="s">
        <v>185</v>
      </c>
      <c r="D449" s="19" t="s">
        <v>10760</v>
      </c>
      <c r="E449" s="15" t="str">
        <f>HYPERLINK("https://stat100.ameba.jp/tnk47/ratio20/illustrations/card/ill_85113_gakuensainaoekanetsugu03.jpg?202104-i_prefecture_active_user", "■")</f>
        <v>■</v>
      </c>
      <c r="F449" s="7" t="s">
        <v>7901</v>
      </c>
      <c r="G449" s="14">
        <v>172397</v>
      </c>
      <c r="H449" s="14">
        <v>160296</v>
      </c>
      <c r="I449" s="14">
        <v>29</v>
      </c>
      <c r="J449" s="7" t="s">
        <v>194</v>
      </c>
      <c r="K449" s="7" t="s">
        <v>7900</v>
      </c>
      <c r="L449" s="7" t="s">
        <v>3459</v>
      </c>
      <c r="M449" s="14" t="s">
        <v>9158</v>
      </c>
      <c r="N449" s="14" t="s">
        <v>9158</v>
      </c>
      <c r="O449" s="14" t="s">
        <v>9158</v>
      </c>
      <c r="P449" s="14" t="s">
        <v>9158</v>
      </c>
      <c r="Q449" s="14" t="s">
        <v>9158</v>
      </c>
    </row>
    <row r="450" spans="1:17">
      <c r="A450" s="14">
        <v>83163</v>
      </c>
      <c r="B450" s="14" t="s">
        <v>0</v>
      </c>
      <c r="C450" s="14" t="s">
        <v>200</v>
      </c>
      <c r="D450" s="20" t="s">
        <v>10480</v>
      </c>
      <c r="E450" s="15" t="str">
        <f>HYPERLINK("https://stat100.ameba.jp/tnk47/ratio20/illustrations/card/ill_83163_mangamatsurifutomakimatsurizushi03.jpg?202104-i_prefecture_active_user", "■")</f>
        <v>■</v>
      </c>
      <c r="F450" s="14" t="s">
        <v>6164</v>
      </c>
      <c r="G450" s="14">
        <v>136953</v>
      </c>
      <c r="H450" s="14">
        <v>127350</v>
      </c>
      <c r="I450" s="14">
        <v>29</v>
      </c>
      <c r="J450" s="14" t="s">
        <v>104</v>
      </c>
      <c r="K450" s="14" t="s">
        <v>6166</v>
      </c>
      <c r="L450" s="14" t="s">
        <v>2409</v>
      </c>
      <c r="M450" s="14" t="s">
        <v>9158</v>
      </c>
      <c r="N450" s="14" t="s">
        <v>9158</v>
      </c>
      <c r="O450" s="14" t="s">
        <v>9158</v>
      </c>
      <c r="P450" s="14" t="s">
        <v>9158</v>
      </c>
      <c r="Q450" s="14" t="s">
        <v>9158</v>
      </c>
    </row>
    <row r="451" spans="1:17">
      <c r="A451" s="14">
        <v>79713</v>
      </c>
      <c r="B451" s="14" t="s">
        <v>0</v>
      </c>
      <c r="C451" s="14" t="s">
        <v>191</v>
      </c>
      <c r="D451" s="19" t="s">
        <v>10717</v>
      </c>
      <c r="E451" s="15" t="str">
        <f>HYPERLINK("https://stat100.ameba.jp/tnk47/ratio20/illustrations/card/ill_79713_yukinosaitembodeikonchan03.jpg?202104-i_prefecture_active_user", "■")</f>
        <v>■</v>
      </c>
      <c r="F451" s="14" t="s">
        <v>3689</v>
      </c>
      <c r="G451" s="14">
        <v>132112</v>
      </c>
      <c r="H451" s="14">
        <v>122834</v>
      </c>
      <c r="I451" s="14">
        <v>29</v>
      </c>
      <c r="J451" s="14" t="s">
        <v>26</v>
      </c>
      <c r="K451" s="14" t="s">
        <v>3690</v>
      </c>
      <c r="L451" s="14" t="s">
        <v>1086</v>
      </c>
      <c r="M451" s="14" t="s">
        <v>9158</v>
      </c>
      <c r="N451" s="14" t="s">
        <v>9158</v>
      </c>
      <c r="O451" s="14" t="s">
        <v>9158</v>
      </c>
      <c r="P451" s="14" t="s">
        <v>9158</v>
      </c>
      <c r="Q451" s="14" t="s">
        <v>9158</v>
      </c>
    </row>
    <row r="452" spans="1:17">
      <c r="A452" s="14">
        <v>82663</v>
      </c>
      <c r="B452" s="14" t="s">
        <v>0</v>
      </c>
      <c r="C452" s="14" t="s">
        <v>165</v>
      </c>
      <c r="D452" s="20" t="s">
        <v>10368</v>
      </c>
      <c r="E452" s="15" t="str">
        <f>HYPERLINK("https://stat100.ameba.jp/tnk47/ratio20/illustrations/card/ill_82663_fuisshingukoshikibunonaishi03.jpg?202104-i_prefecture_active_user", "■")</f>
        <v>■</v>
      </c>
      <c r="F452" s="14" t="s">
        <v>5662</v>
      </c>
      <c r="G452" s="14">
        <v>117591</v>
      </c>
      <c r="H452" s="14">
        <v>109381</v>
      </c>
      <c r="I452" s="14">
        <v>29</v>
      </c>
      <c r="J452" s="14" t="s">
        <v>414</v>
      </c>
      <c r="K452" s="14" t="s">
        <v>5663</v>
      </c>
      <c r="L452" s="14" t="s">
        <v>920</v>
      </c>
      <c r="M452" s="14" t="s">
        <v>9158</v>
      </c>
      <c r="N452" s="14" t="s">
        <v>9158</v>
      </c>
      <c r="O452" s="14" t="s">
        <v>9158</v>
      </c>
      <c r="P452" s="14" t="s">
        <v>9158</v>
      </c>
      <c r="Q452" s="14" t="s">
        <v>9158</v>
      </c>
    </row>
    <row r="453" spans="1:17">
      <c r="A453" s="9">
        <v>87163</v>
      </c>
      <c r="B453" s="9" t="s">
        <v>0</v>
      </c>
      <c r="C453" s="9" t="s">
        <v>205</v>
      </c>
      <c r="D453" s="19" t="s">
        <v>10974</v>
      </c>
      <c r="E453" s="15" t="str">
        <f>HYPERLINK("https://stat100.ameba.jp/tnk47/ratio20/illustrations/card/ill_87163_minazukikongoryunotsubone03.jpg?202104-i_prefecture_active_user", "■")</f>
        <v>■</v>
      </c>
      <c r="F453" s="9" t="s">
        <v>9546</v>
      </c>
      <c r="G453" s="14">
        <v>113277</v>
      </c>
      <c r="H453" s="14">
        <v>105281</v>
      </c>
      <c r="I453" s="14">
        <v>29</v>
      </c>
      <c r="J453" s="9" t="s">
        <v>187</v>
      </c>
      <c r="K453" s="9" t="s">
        <v>9545</v>
      </c>
      <c r="L453" s="9" t="s">
        <v>76</v>
      </c>
      <c r="M453" s="14" t="s">
        <v>9158</v>
      </c>
      <c r="N453" s="14" t="s">
        <v>9158</v>
      </c>
      <c r="O453" s="14" t="s">
        <v>9158</v>
      </c>
      <c r="P453" s="14" t="s">
        <v>9158</v>
      </c>
      <c r="Q453" s="14" t="s">
        <v>9158</v>
      </c>
    </row>
    <row r="454" spans="1:17">
      <c r="A454" s="7">
        <v>75573</v>
      </c>
      <c r="B454" s="7" t="s">
        <v>0</v>
      </c>
      <c r="C454" s="7" t="s">
        <v>206</v>
      </c>
      <c r="D454" s="19" t="s">
        <v>10380</v>
      </c>
      <c r="E454" s="15" t="str">
        <f>HYPERLINK("https://stat100.ameba.jp/tnk47/ratio20/illustrations/card/ill_75573_niirotadamoto03.jpg?202104-i_prefecture_active_user", "■")</f>
        <v>■</v>
      </c>
      <c r="F454" s="7" t="s">
        <v>5726</v>
      </c>
      <c r="G454" s="14">
        <v>172397</v>
      </c>
      <c r="H454" s="14">
        <v>160296</v>
      </c>
      <c r="I454" s="14">
        <v>29</v>
      </c>
      <c r="J454" s="7" t="s">
        <v>194</v>
      </c>
      <c r="K454" s="7" t="s">
        <v>5728</v>
      </c>
      <c r="L454" s="7" t="s">
        <v>3459</v>
      </c>
      <c r="M454" s="14" t="s">
        <v>9158</v>
      </c>
      <c r="N454" s="14" t="s">
        <v>9158</v>
      </c>
      <c r="O454" s="14" t="s">
        <v>9158</v>
      </c>
      <c r="P454" s="14" t="s">
        <v>9158</v>
      </c>
      <c r="Q454" s="14" t="s">
        <v>9158</v>
      </c>
    </row>
    <row r="456" spans="1:17">
      <c r="A456" s="14" t="s">
        <v>4065</v>
      </c>
      <c r="G456" s="7"/>
      <c r="H456" s="7"/>
      <c r="I456" s="7"/>
    </row>
    <row r="457" spans="1:17">
      <c r="A457" s="14">
        <v>107597</v>
      </c>
      <c r="B457" s="14" t="s">
        <v>17154</v>
      </c>
      <c r="I457" s="7"/>
    </row>
    <row r="458" spans="1:17">
      <c r="A458" s="9" t="s">
        <v>6030</v>
      </c>
      <c r="B458" s="14" t="s">
        <v>330</v>
      </c>
      <c r="C458" s="14" t="s">
        <v>202</v>
      </c>
      <c r="D458" s="14" t="s">
        <v>3708</v>
      </c>
      <c r="E458" s="15" t="str">
        <f>HYPERLINK("https://stat100.ameba.jp/tnk47/ratio20/illustrations/card/ill_80023_0_hinamatsurikyogokumaria03.jpg?202104-i_prefecture_active_user", "■")</f>
        <v>■</v>
      </c>
      <c r="F458" s="14" t="s">
        <v>3709</v>
      </c>
      <c r="G458" s="14">
        <v>363858</v>
      </c>
      <c r="H458" s="14">
        <v>402625</v>
      </c>
      <c r="I458" s="14">
        <v>27</v>
      </c>
      <c r="J458" s="14" t="s">
        <v>26</v>
      </c>
      <c r="K458" s="14" t="s">
        <v>3710</v>
      </c>
      <c r="L458" s="14" t="s">
        <v>3711</v>
      </c>
      <c r="M458" s="14" t="s">
        <v>9158</v>
      </c>
      <c r="N458" s="14" t="s">
        <v>9158</v>
      </c>
      <c r="O458" s="9" t="s">
        <v>3712</v>
      </c>
      <c r="P458" s="14" t="s">
        <v>3713</v>
      </c>
      <c r="Q458" s="14">
        <v>1</v>
      </c>
    </row>
    <row r="459" spans="1:17">
      <c r="A459" s="14">
        <v>81303</v>
      </c>
      <c r="B459" s="14" t="s">
        <v>334</v>
      </c>
      <c r="C459" s="14" t="s">
        <v>41</v>
      </c>
      <c r="D459" s="20" t="s">
        <v>10349</v>
      </c>
      <c r="E459" s="15" t="str">
        <f>HYPERLINK("https://stat100.ameba.jp/tnk47/ratio20/illustrations/card/ill_81303_suteirukuin03.jpg?202104-i_prefecture_active_user", "■")</f>
        <v>■</v>
      </c>
      <c r="F459" s="14" t="s">
        <v>4581</v>
      </c>
      <c r="G459" s="14">
        <v>130113</v>
      </c>
      <c r="H459" s="14">
        <v>179634</v>
      </c>
      <c r="I459" s="9">
        <v>27</v>
      </c>
      <c r="J459" s="14" t="s">
        <v>104</v>
      </c>
      <c r="K459" s="14" t="s">
        <v>4582</v>
      </c>
      <c r="L459" s="14" t="s">
        <v>2304</v>
      </c>
      <c r="M459" s="14" t="s">
        <v>9158</v>
      </c>
      <c r="N459" s="14" t="s">
        <v>9158</v>
      </c>
      <c r="O459" s="19" t="s">
        <v>10084</v>
      </c>
      <c r="P459" s="14" t="s">
        <v>4584</v>
      </c>
      <c r="Q459" s="14">
        <v>1</v>
      </c>
    </row>
    <row r="460" spans="1:17">
      <c r="A460" s="14">
        <v>66353</v>
      </c>
      <c r="B460" s="14" t="s">
        <v>0</v>
      </c>
      <c r="C460" s="14" t="s">
        <v>41</v>
      </c>
      <c r="D460" s="14" t="s">
        <v>141</v>
      </c>
      <c r="E460" s="15" t="str">
        <f>HYPERLINK("https://stat100.ameba.jp/tnk47/ratio20/illustrations/card/ill_66353_kajiwaranyudotoan03.jpg?202104-i_prefecture_active_user", "■")</f>
        <v>■</v>
      </c>
      <c r="F460" s="14" t="s">
        <v>142</v>
      </c>
      <c r="G460" s="14">
        <v>179634</v>
      </c>
      <c r="H460" s="14">
        <v>130113</v>
      </c>
      <c r="I460" s="14">
        <v>27</v>
      </c>
      <c r="J460" s="14" t="s">
        <v>143</v>
      </c>
      <c r="K460" s="14" t="s">
        <v>144</v>
      </c>
      <c r="L460" s="14" t="s">
        <v>145</v>
      </c>
      <c r="M460" s="14" t="s">
        <v>9158</v>
      </c>
      <c r="N460" s="14" t="s">
        <v>9158</v>
      </c>
      <c r="O460" s="17" t="s">
        <v>10054</v>
      </c>
      <c r="P460" s="14" t="s">
        <v>3672</v>
      </c>
      <c r="Q460" s="14">
        <v>1</v>
      </c>
    </row>
    <row r="461" spans="1:17">
      <c r="A461" s="14">
        <v>84633</v>
      </c>
      <c r="B461" s="14" t="s">
        <v>334</v>
      </c>
      <c r="C461" s="14" t="s">
        <v>154</v>
      </c>
      <c r="D461" s="20" t="s">
        <v>10586</v>
      </c>
      <c r="E461" s="15" t="str">
        <f>HYPERLINK("https://stat100.ameba.jp/tnk47/ratio20/illustrations/card/ill_84633_akubishoppu03.jpg?202104-i_prefecture_active_user", "■")</f>
        <v>■</v>
      </c>
      <c r="F461" s="14" t="s">
        <v>6762</v>
      </c>
      <c r="G461" s="14">
        <v>118001</v>
      </c>
      <c r="H461" s="14">
        <v>85483</v>
      </c>
      <c r="I461" s="14">
        <v>27</v>
      </c>
      <c r="J461" s="14" t="s">
        <v>10</v>
      </c>
      <c r="K461" s="14" t="s">
        <v>6764</v>
      </c>
      <c r="L461" s="14" t="s">
        <v>6763</v>
      </c>
      <c r="M461" s="14" t="s">
        <v>9158</v>
      </c>
      <c r="N461" s="14" t="s">
        <v>9158</v>
      </c>
      <c r="O461" s="19" t="s">
        <v>10090</v>
      </c>
      <c r="P461" s="14" t="s">
        <v>3460</v>
      </c>
      <c r="Q461" s="14">
        <v>1</v>
      </c>
    </row>
    <row r="463" spans="1:17">
      <c r="A463" s="14" t="s">
        <v>3916</v>
      </c>
    </row>
    <row r="464" spans="1:17">
      <c r="A464" s="14">
        <v>107585</v>
      </c>
      <c r="B464" s="14" t="s">
        <v>17155</v>
      </c>
    </row>
    <row r="465" spans="1:17">
      <c r="A465" s="14">
        <v>84733</v>
      </c>
      <c r="B465" s="14" t="s">
        <v>0</v>
      </c>
      <c r="C465" s="14" t="s">
        <v>154</v>
      </c>
      <c r="D465" s="19" t="s">
        <v>10677</v>
      </c>
      <c r="E465" s="15" t="str">
        <f>HYPERLINK("https://stat100.ameba.jp/tnk47/ratio20/illustrations/card/ill_84733_madadoru03.jpg?202104-i_prefecture_active_user", "■")</f>
        <v>■</v>
      </c>
      <c r="F465" s="14" t="s">
        <v>7293</v>
      </c>
      <c r="G465" s="14">
        <v>125078</v>
      </c>
      <c r="H465" s="14">
        <v>116296</v>
      </c>
      <c r="I465" s="14">
        <v>29</v>
      </c>
      <c r="J465" s="14" t="s">
        <v>182</v>
      </c>
      <c r="K465" s="14" t="s">
        <v>7296</v>
      </c>
      <c r="L465" s="14" t="s">
        <v>7295</v>
      </c>
      <c r="M465" s="14" t="s">
        <v>9158</v>
      </c>
      <c r="N465" s="14" t="s">
        <v>9158</v>
      </c>
      <c r="O465" s="14" t="s">
        <v>9158</v>
      </c>
      <c r="P465" s="14" t="s">
        <v>9158</v>
      </c>
      <c r="Q465" s="14" t="s">
        <v>9158</v>
      </c>
    </row>
    <row r="466" spans="1:17">
      <c r="A466" s="14">
        <v>84743</v>
      </c>
      <c r="B466" s="14" t="s">
        <v>0</v>
      </c>
      <c r="C466" s="14" t="s">
        <v>158</v>
      </c>
      <c r="D466" s="19" t="s">
        <v>10678</v>
      </c>
      <c r="E466" s="15" t="str">
        <f>HYPERLINK("https://stat100.ameba.jp/tnk47/ratio20/illustrations/card/ill_84743_rinnenonyumpe03.jpg?202104-i_prefecture_active_user", "■")</f>
        <v>■</v>
      </c>
      <c r="F466" s="14" t="s">
        <v>7294</v>
      </c>
      <c r="G466" s="14">
        <v>125078</v>
      </c>
      <c r="H466" s="14">
        <v>116296</v>
      </c>
      <c r="I466" s="14">
        <v>29</v>
      </c>
      <c r="J466" s="14" t="s">
        <v>169</v>
      </c>
      <c r="K466" s="14" t="s">
        <v>7297</v>
      </c>
      <c r="L466" s="14" t="s">
        <v>7298</v>
      </c>
      <c r="M466" s="14" t="s">
        <v>9158</v>
      </c>
      <c r="N466" s="14" t="s">
        <v>9158</v>
      </c>
      <c r="O466" s="14" t="s">
        <v>9158</v>
      </c>
      <c r="P466" s="14" t="s">
        <v>9158</v>
      </c>
      <c r="Q466" s="14" t="s">
        <v>9158</v>
      </c>
    </row>
    <row r="467" spans="1:17">
      <c r="A467" s="14">
        <v>69883</v>
      </c>
      <c r="B467" s="14" t="s">
        <v>334</v>
      </c>
      <c r="C467" s="14" t="s">
        <v>185</v>
      </c>
      <c r="D467" s="19" t="s">
        <v>10293</v>
      </c>
      <c r="E467" s="15" t="str">
        <f>HYPERLINK("https://stat100.ameba.jp/tnk47/ratio20/illustrations/card/ill_69883_kyupiddotominushihime03.jpg?202104-i_prefecture_active_user", "■")</f>
        <v>■</v>
      </c>
      <c r="F467" s="14" t="s">
        <v>4142</v>
      </c>
      <c r="G467" s="14">
        <v>109970</v>
      </c>
      <c r="H467" s="14">
        <v>118287</v>
      </c>
      <c r="I467" s="14">
        <v>29</v>
      </c>
      <c r="J467" s="14" t="s">
        <v>169</v>
      </c>
      <c r="K467" s="14" t="s">
        <v>4143</v>
      </c>
      <c r="L467" s="14" t="s">
        <v>13190</v>
      </c>
      <c r="M467" s="14" t="s">
        <v>9158</v>
      </c>
      <c r="N467" s="14" t="s">
        <v>9158</v>
      </c>
      <c r="O467" s="14" t="s">
        <v>9158</v>
      </c>
      <c r="P467" s="14" t="s">
        <v>9158</v>
      </c>
      <c r="Q467" s="14" t="s">
        <v>9158</v>
      </c>
    </row>
    <row r="468" spans="1:17">
      <c r="A468" s="14">
        <v>67243</v>
      </c>
      <c r="B468" s="14" t="s">
        <v>334</v>
      </c>
      <c r="C468" s="14" t="s">
        <v>205</v>
      </c>
      <c r="D468" s="20" t="s">
        <v>10199</v>
      </c>
      <c r="E468" s="15" t="str">
        <f>HYPERLINK("https://stat100.ameba.jp/tnk47/ratio20/illustrations/card/ill_67243_onsenyadomoryo03.jpg?202104-i_prefecture_active_user", "■")</f>
        <v>■</v>
      </c>
      <c r="F468" s="14" t="s">
        <v>3638</v>
      </c>
      <c r="G468" s="14">
        <v>112369</v>
      </c>
      <c r="H468" s="14">
        <v>120830</v>
      </c>
      <c r="I468" s="14">
        <v>29</v>
      </c>
      <c r="J468" s="14" t="s">
        <v>182</v>
      </c>
      <c r="K468" s="14" t="s">
        <v>3639</v>
      </c>
      <c r="L468" s="14" t="s">
        <v>3640</v>
      </c>
      <c r="M468" s="14" t="s">
        <v>9158</v>
      </c>
      <c r="N468" s="14" t="s">
        <v>9158</v>
      </c>
      <c r="O468" s="14" t="s">
        <v>9158</v>
      </c>
      <c r="P468" s="14" t="s">
        <v>9158</v>
      </c>
      <c r="Q468" s="14" t="s">
        <v>9158</v>
      </c>
    </row>
    <row r="469" spans="1:17">
      <c r="A469" s="14">
        <v>52973</v>
      </c>
      <c r="B469" s="14" t="s">
        <v>15</v>
      </c>
      <c r="C469" s="14" t="s">
        <v>206</v>
      </c>
      <c r="D469" s="19" t="s">
        <v>10519</v>
      </c>
      <c r="E469" s="15" t="str">
        <f>HYPERLINK("https://stat100.ameba.jp/tnk47/ratio20/illustrations/card/ill_52973_torampuamoronagu03.jpg?202104-i_prefecture_active_user", "■")</f>
        <v>■</v>
      </c>
      <c r="F469" s="14" t="s">
        <v>6421</v>
      </c>
      <c r="G469" s="14">
        <v>71136</v>
      </c>
      <c r="H469" s="14">
        <v>64520</v>
      </c>
      <c r="I469" s="14">
        <v>24</v>
      </c>
      <c r="J469" s="14" t="s">
        <v>44</v>
      </c>
      <c r="K469" s="14" t="s">
        <v>6419</v>
      </c>
      <c r="L469" s="14" t="s">
        <v>6418</v>
      </c>
      <c r="M469" s="14" t="s">
        <v>9158</v>
      </c>
      <c r="N469" s="14" t="s">
        <v>9158</v>
      </c>
      <c r="O469" s="14" t="s">
        <v>9158</v>
      </c>
      <c r="P469" s="14" t="s">
        <v>9158</v>
      </c>
      <c r="Q469" s="14" t="s">
        <v>9158</v>
      </c>
    </row>
    <row r="470" spans="1:17">
      <c r="A470" s="14">
        <v>52333</v>
      </c>
      <c r="B470" s="14" t="s">
        <v>15</v>
      </c>
      <c r="C470" s="14" t="s">
        <v>200</v>
      </c>
      <c r="D470" s="19" t="s">
        <v>10537</v>
      </c>
      <c r="E470" s="15" t="str">
        <f>HYPERLINK("https://stat100.ameba.jp/tnk47/ratio20/illustrations/card/ill_52333_chichibuyomatsuri03.jpg?202104-i_prefecture_active_user", "■")</f>
        <v>■</v>
      </c>
      <c r="F470" s="14" t="s">
        <v>3614</v>
      </c>
      <c r="G470" s="14">
        <v>71136</v>
      </c>
      <c r="H470" s="14">
        <v>64520</v>
      </c>
      <c r="I470" s="14">
        <v>24</v>
      </c>
      <c r="J470" s="14" t="s">
        <v>38</v>
      </c>
      <c r="K470" s="14" t="s">
        <v>3615</v>
      </c>
      <c r="L470" s="14" t="s">
        <v>3616</v>
      </c>
      <c r="M470" s="14" t="s">
        <v>9158</v>
      </c>
      <c r="N470" s="14" t="s">
        <v>9158</v>
      </c>
      <c r="O470" s="14" t="s">
        <v>9158</v>
      </c>
      <c r="P470" s="14" t="s">
        <v>9158</v>
      </c>
      <c r="Q470" s="14" t="s">
        <v>9158</v>
      </c>
    </row>
    <row r="471" spans="1:17">
      <c r="A471" s="14">
        <v>51913</v>
      </c>
      <c r="B471" s="14" t="s">
        <v>15</v>
      </c>
      <c r="C471" s="14" t="s">
        <v>191</v>
      </c>
      <c r="D471" s="19" t="s">
        <v>10538</v>
      </c>
      <c r="E471" s="15" t="str">
        <f>HYPERLINK("https://stat100.ameba.jp/tnk47/ratio20/illustrations/card/ill_51913_kemonomizugihamahime03.jpg?202104-i_prefecture_active_user", "■")</f>
        <v>■</v>
      </c>
      <c r="F471" s="14" t="s">
        <v>6501</v>
      </c>
      <c r="G471" s="14">
        <v>64520</v>
      </c>
      <c r="H471" s="14">
        <v>71136</v>
      </c>
      <c r="I471" s="14">
        <v>24</v>
      </c>
      <c r="J471" s="14" t="s">
        <v>182</v>
      </c>
      <c r="K471" s="14" t="s">
        <v>6500</v>
      </c>
      <c r="L471" s="14" t="s">
        <v>6499</v>
      </c>
      <c r="M471" s="14" t="s">
        <v>9158</v>
      </c>
      <c r="N471" s="14" t="s">
        <v>9158</v>
      </c>
      <c r="O471" s="14" t="s">
        <v>9158</v>
      </c>
      <c r="P471" s="14" t="s">
        <v>9158</v>
      </c>
      <c r="Q471" s="14" t="s">
        <v>9158</v>
      </c>
    </row>
    <row r="472" spans="1:17">
      <c r="A472" s="14">
        <v>53203</v>
      </c>
      <c r="B472" s="14" t="s">
        <v>15</v>
      </c>
      <c r="C472" s="14" t="s">
        <v>165</v>
      </c>
      <c r="D472" s="20" t="s">
        <v>10494</v>
      </c>
      <c r="E472" s="15" t="str">
        <f>HYPERLINK("https://stat100.ameba.jp/tnk47/ratio20/illustrations/card/ill_53203_buruhawaichan03.jpg?202104-i_prefecture_active_user", "■")</f>
        <v>■</v>
      </c>
      <c r="F472" s="14" t="s">
        <v>6258</v>
      </c>
      <c r="G472" s="14">
        <v>64520</v>
      </c>
      <c r="H472" s="14">
        <v>71136</v>
      </c>
      <c r="I472" s="14">
        <v>24</v>
      </c>
      <c r="J472" s="14" t="s">
        <v>104</v>
      </c>
      <c r="K472" s="14" t="s">
        <v>6261</v>
      </c>
      <c r="L472" s="14" t="s">
        <v>6260</v>
      </c>
      <c r="M472" s="14" t="s">
        <v>9158</v>
      </c>
      <c r="N472" s="14" t="s">
        <v>9158</v>
      </c>
      <c r="O472" s="14" t="s">
        <v>9158</v>
      </c>
      <c r="P472" s="14" t="s">
        <v>9158</v>
      </c>
      <c r="Q472" s="14" t="s">
        <v>9158</v>
      </c>
    </row>
    <row r="474" spans="1:17">
      <c r="A474" s="14" t="s">
        <v>13914</v>
      </c>
    </row>
    <row r="475" spans="1:17">
      <c r="A475" s="14">
        <v>107602</v>
      </c>
      <c r="B475" s="14" t="s">
        <v>17156</v>
      </c>
    </row>
    <row r="476" spans="1:17">
      <c r="A476" s="14">
        <v>98183</v>
      </c>
      <c r="B476" s="14" t="s">
        <v>334</v>
      </c>
      <c r="C476" s="7" t="s">
        <v>185</v>
      </c>
      <c r="D476" s="14" t="s">
        <v>17160</v>
      </c>
      <c r="E476" s="15" t="str">
        <f>HYPERLINK("https://stat100.ameba.jp/tnk47/ratio20/illustrations/card/ill_98183_yokonosaitenogamanosamonkanjimu03.jpg?202104-i_prefecture_active_user", "■")</f>
        <v>■</v>
      </c>
      <c r="F476" s="14" t="s">
        <v>17159</v>
      </c>
      <c r="G476" s="14">
        <v>97668</v>
      </c>
      <c r="H476" s="14">
        <v>173760</v>
      </c>
      <c r="I476" s="14">
        <v>29</v>
      </c>
      <c r="J476" s="14" t="s">
        <v>10</v>
      </c>
      <c r="K476" s="14" t="s">
        <v>17158</v>
      </c>
      <c r="L476" s="14" t="s">
        <v>17157</v>
      </c>
      <c r="M476" s="14" t="s">
        <v>9158</v>
      </c>
      <c r="N476" s="14" t="s">
        <v>9158</v>
      </c>
      <c r="O476" s="14" t="s">
        <v>9158</v>
      </c>
      <c r="P476" s="14" t="s">
        <v>9158</v>
      </c>
      <c r="Q476" s="14" t="s">
        <v>9158</v>
      </c>
    </row>
    <row r="477" spans="1:17">
      <c r="A477" s="14">
        <v>98193</v>
      </c>
      <c r="B477" s="14" t="s">
        <v>334</v>
      </c>
      <c r="C477" s="14" t="s">
        <v>200</v>
      </c>
      <c r="D477" s="14" t="s">
        <v>17164</v>
      </c>
      <c r="E477" s="15" t="str">
        <f>HYPERLINK("https://stat100.ameba.jp/tnk47/ratio20/illustrations/card/ill_98193_yokonosaitenfuoeru03.jpg?202104-i_prefecture_active_user", "■")</f>
        <v>■</v>
      </c>
      <c r="F477" s="14" t="s">
        <v>17163</v>
      </c>
      <c r="G477" s="14">
        <v>97668</v>
      </c>
      <c r="H477" s="14">
        <v>173760</v>
      </c>
      <c r="I477" s="14">
        <v>29</v>
      </c>
      <c r="J477" s="14" t="s">
        <v>16</v>
      </c>
      <c r="K477" s="14" t="s">
        <v>17162</v>
      </c>
      <c r="L477" s="14" t="s">
        <v>17161</v>
      </c>
      <c r="M477" s="14" t="s">
        <v>9158</v>
      </c>
      <c r="N477" s="14" t="s">
        <v>9158</v>
      </c>
      <c r="O477" s="14" t="s">
        <v>9158</v>
      </c>
      <c r="P477" s="14" t="s">
        <v>9158</v>
      </c>
      <c r="Q477" s="14" t="s">
        <v>9158</v>
      </c>
    </row>
    <row r="478" spans="1:17">
      <c r="A478" s="14">
        <v>98203</v>
      </c>
      <c r="B478" s="14" t="s">
        <v>334</v>
      </c>
      <c r="C478" s="14" t="s">
        <v>191</v>
      </c>
      <c r="D478" s="14" t="s">
        <v>17168</v>
      </c>
      <c r="E478" s="15" t="str">
        <f>HYPERLINK("https://stat100.ameba.jp/tnk47/ratio20/illustrations/card/ill_98203_yokonosaitentori03.jpg?202104-i_prefecture_active_user", "■")</f>
        <v>■</v>
      </c>
      <c r="F478" s="14" t="s">
        <v>17167</v>
      </c>
      <c r="G478" s="14">
        <v>97668</v>
      </c>
      <c r="H478" s="14">
        <v>173760</v>
      </c>
      <c r="I478" s="14">
        <v>29</v>
      </c>
      <c r="J478" s="14" t="s">
        <v>44</v>
      </c>
      <c r="K478" s="14" t="s">
        <v>17166</v>
      </c>
      <c r="L478" s="14" t="s">
        <v>17165</v>
      </c>
      <c r="M478" s="14" t="s">
        <v>9158</v>
      </c>
      <c r="N478" s="14" t="s">
        <v>9158</v>
      </c>
      <c r="O478" s="14" t="s">
        <v>9158</v>
      </c>
      <c r="P478" s="14" t="s">
        <v>9158</v>
      </c>
      <c r="Q478" s="14" t="s">
        <v>9158</v>
      </c>
    </row>
    <row r="479" spans="1:17">
      <c r="A479" s="14">
        <v>98213</v>
      </c>
      <c r="B479" s="14" t="s">
        <v>334</v>
      </c>
      <c r="C479" s="14" t="s">
        <v>165</v>
      </c>
      <c r="D479" s="14" t="s">
        <v>17172</v>
      </c>
      <c r="E479" s="15" t="str">
        <f>HYPERLINK("https://stat100.ameba.jp/tnk47/ratio20/illustrations/card/ill_98213_yokonosaitentareia03.jpg?202104-i_prefecture_active_user", "■")</f>
        <v>■</v>
      </c>
      <c r="F479" s="14" t="s">
        <v>17171</v>
      </c>
      <c r="G479" s="14">
        <v>97668</v>
      </c>
      <c r="H479" s="14">
        <v>173760</v>
      </c>
      <c r="I479" s="14">
        <v>29</v>
      </c>
      <c r="J479" s="14" t="s">
        <v>26</v>
      </c>
      <c r="K479" s="14" t="s">
        <v>17170</v>
      </c>
      <c r="L479" s="14" t="s">
        <v>17169</v>
      </c>
      <c r="M479" s="14" t="s">
        <v>9158</v>
      </c>
      <c r="N479" s="14" t="s">
        <v>9158</v>
      </c>
      <c r="O479" s="14" t="s">
        <v>9158</v>
      </c>
      <c r="P479" s="14" t="s">
        <v>9158</v>
      </c>
      <c r="Q479" s="14" t="s">
        <v>9158</v>
      </c>
    </row>
    <row r="480" spans="1:17">
      <c r="A480" s="14">
        <v>98223</v>
      </c>
      <c r="B480" s="14" t="s">
        <v>334</v>
      </c>
      <c r="C480" s="9" t="s">
        <v>205</v>
      </c>
      <c r="D480" s="14" t="s">
        <v>17176</v>
      </c>
      <c r="E480" s="15" t="str">
        <f>HYPERLINK("https://stat100.ameba.jp/tnk47/ratio20/illustrations/card/ill_98223_yokonosaitemmagishuta03.jpg?202104-i_prefecture_active_user", "■")</f>
        <v>■</v>
      </c>
      <c r="F480" s="14" t="s">
        <v>17175</v>
      </c>
      <c r="G480" s="14">
        <v>97668</v>
      </c>
      <c r="H480" s="14">
        <v>173760</v>
      </c>
      <c r="I480" s="14">
        <v>29</v>
      </c>
      <c r="J480" s="14" t="s">
        <v>143</v>
      </c>
      <c r="K480" s="14" t="s">
        <v>17174</v>
      </c>
      <c r="L480" s="14" t="s">
        <v>17173</v>
      </c>
      <c r="M480" s="14" t="s">
        <v>9158</v>
      </c>
      <c r="N480" s="14" t="s">
        <v>9158</v>
      </c>
      <c r="O480" s="14" t="s">
        <v>9158</v>
      </c>
      <c r="P480" s="14" t="s">
        <v>9158</v>
      </c>
      <c r="Q480" s="14" t="s">
        <v>9158</v>
      </c>
    </row>
    <row r="481" spans="1:18">
      <c r="A481" s="14">
        <v>98233</v>
      </c>
      <c r="B481" s="14" t="s">
        <v>334</v>
      </c>
      <c r="C481" s="7" t="s">
        <v>206</v>
      </c>
      <c r="D481" s="14" t="s">
        <v>17180</v>
      </c>
      <c r="E481" s="15" t="str">
        <f>HYPERLINK("https://stat100.ameba.jp/tnk47/ratio20/illustrations/card/ill_98233_yokonosaitenharumonia03.jpg?202104-i_prefecture_active_user", "■")</f>
        <v>■</v>
      </c>
      <c r="F481" s="14" t="s">
        <v>17179</v>
      </c>
      <c r="G481" s="14">
        <v>97668</v>
      </c>
      <c r="H481" s="14">
        <v>173760</v>
      </c>
      <c r="I481" s="14">
        <v>29</v>
      </c>
      <c r="J481" s="14" t="s">
        <v>73</v>
      </c>
      <c r="K481" s="14" t="s">
        <v>17178</v>
      </c>
      <c r="L481" s="14" t="s">
        <v>17177</v>
      </c>
      <c r="M481" s="14" t="s">
        <v>9158</v>
      </c>
      <c r="N481" s="14" t="s">
        <v>9158</v>
      </c>
      <c r="O481" s="14" t="s">
        <v>9158</v>
      </c>
      <c r="P481" s="14" t="s">
        <v>9158</v>
      </c>
      <c r="Q481" s="14" t="s">
        <v>9158</v>
      </c>
    </row>
    <row r="482" spans="1:18">
      <c r="G482" s="9"/>
      <c r="H482" s="9"/>
    </row>
    <row r="483" spans="1:18">
      <c r="A483" s="14" t="s">
        <v>13327</v>
      </c>
    </row>
    <row r="484" spans="1:18">
      <c r="A484" s="14">
        <v>107565</v>
      </c>
      <c r="B484" s="14" t="s">
        <v>17181</v>
      </c>
    </row>
    <row r="485" spans="1:18">
      <c r="A485" s="14">
        <v>82213</v>
      </c>
      <c r="B485" s="14" t="s">
        <v>0</v>
      </c>
      <c r="C485" s="14" t="s">
        <v>185</v>
      </c>
      <c r="D485" s="19" t="s">
        <v>10185</v>
      </c>
      <c r="E485" s="15" t="str">
        <f>HYPERLINK("https://stat100.ameba.jp/tnk47/ratio20/illustrations/card/ill_82213_tatarimokke03.jpg?202104-i_prefecture_active_user", "■")</f>
        <v>■</v>
      </c>
      <c r="F485" s="14" t="s">
        <v>4935</v>
      </c>
      <c r="G485" s="14">
        <v>132737</v>
      </c>
      <c r="H485" s="14">
        <v>142768</v>
      </c>
      <c r="I485" s="14">
        <v>29</v>
      </c>
      <c r="J485" s="14" t="s">
        <v>182</v>
      </c>
      <c r="K485" s="14" t="s">
        <v>4937</v>
      </c>
      <c r="L485" s="14" t="s">
        <v>13191</v>
      </c>
      <c r="M485" s="14" t="s">
        <v>13130</v>
      </c>
      <c r="N485" s="14" t="s">
        <v>343</v>
      </c>
      <c r="O485" s="14" t="s">
        <v>9158</v>
      </c>
      <c r="P485" s="14" t="s">
        <v>9158</v>
      </c>
      <c r="Q485" s="14" t="s">
        <v>9158</v>
      </c>
      <c r="R485" s="14" t="s">
        <v>14748</v>
      </c>
    </row>
    <row r="486" spans="1:18">
      <c r="A486" s="14">
        <v>82212</v>
      </c>
      <c r="B486" s="14" t="s">
        <v>334</v>
      </c>
      <c r="C486" s="14" t="s">
        <v>185</v>
      </c>
      <c r="D486" s="19" t="s">
        <v>10185</v>
      </c>
      <c r="E486" s="15" t="str">
        <f>HYPERLINK("https://stat100.ameba.jp/tnk47/ratio20/illustrations/card/ill_82212_tatarimokke02.jpg?202104-i_prefecture_active_user", "■")</f>
        <v>■</v>
      </c>
      <c r="F486" s="14" t="s">
        <v>4935</v>
      </c>
      <c r="G486" s="14">
        <v>109938</v>
      </c>
      <c r="H486" s="14">
        <v>119345</v>
      </c>
      <c r="I486" s="14">
        <v>29</v>
      </c>
      <c r="J486" s="14" t="s">
        <v>182</v>
      </c>
      <c r="K486" s="14" t="s">
        <v>4937</v>
      </c>
      <c r="L486" s="14" t="s">
        <v>13191</v>
      </c>
      <c r="M486" s="14" t="s">
        <v>13131</v>
      </c>
      <c r="N486" s="14" t="s">
        <v>251</v>
      </c>
      <c r="O486" s="14" t="s">
        <v>9158</v>
      </c>
      <c r="P486" s="14" t="s">
        <v>9158</v>
      </c>
      <c r="Q486" s="14" t="s">
        <v>9158</v>
      </c>
      <c r="R486" s="14" t="s">
        <v>14748</v>
      </c>
    </row>
    <row r="487" spans="1:18">
      <c r="A487" s="14">
        <v>82211</v>
      </c>
      <c r="B487" s="14" t="s">
        <v>0</v>
      </c>
      <c r="C487" s="14" t="s">
        <v>185</v>
      </c>
      <c r="D487" s="19" t="s">
        <v>10185</v>
      </c>
      <c r="E487" s="15" t="str">
        <f>HYPERLINK("https://stat100.ameba.jp/tnk47/ratio20/illustrations/card/ill_82211_tatarimokke01.jpg?202104-i_prefecture_active_user", "■")</f>
        <v>■</v>
      </c>
      <c r="F487" s="14" t="s">
        <v>4935</v>
      </c>
      <c r="G487" s="14">
        <v>84825</v>
      </c>
      <c r="H487" s="14">
        <v>91118</v>
      </c>
      <c r="I487" s="14">
        <v>29</v>
      </c>
      <c r="J487" s="14" t="s">
        <v>182</v>
      </c>
      <c r="K487" s="14" t="s">
        <v>4937</v>
      </c>
      <c r="L487" s="14" t="s">
        <v>13191</v>
      </c>
      <c r="M487" s="14" t="s">
        <v>13131</v>
      </c>
      <c r="N487" s="14" t="s">
        <v>251</v>
      </c>
      <c r="O487" s="14" t="s">
        <v>9158</v>
      </c>
      <c r="P487" s="14" t="s">
        <v>9158</v>
      </c>
      <c r="Q487" s="14" t="s">
        <v>9158</v>
      </c>
      <c r="R487" s="14" t="s">
        <v>14748</v>
      </c>
    </row>
    <row r="488" spans="1:18">
      <c r="A488" s="14">
        <v>82223</v>
      </c>
      <c r="B488" s="14" t="s">
        <v>334</v>
      </c>
      <c r="C488" s="14" t="s">
        <v>200</v>
      </c>
      <c r="D488" s="19" t="s">
        <v>10186</v>
      </c>
      <c r="E488" s="15" t="str">
        <f>HYPERLINK("https://stat100.ameba.jp/tnk47/ratio20/illustrations/card/ill_82223_oyayubihime03.jpg?202104-i_prefecture_active_user", "■")</f>
        <v>■</v>
      </c>
      <c r="F488" s="14" t="s">
        <v>4931</v>
      </c>
      <c r="G488" s="14">
        <v>142768</v>
      </c>
      <c r="H488" s="14">
        <v>132737</v>
      </c>
      <c r="I488" s="14">
        <v>29</v>
      </c>
      <c r="J488" s="14" t="s">
        <v>155</v>
      </c>
      <c r="K488" s="14" t="s">
        <v>4933</v>
      </c>
      <c r="L488" s="14" t="s">
        <v>4934</v>
      </c>
      <c r="M488" s="14" t="s">
        <v>13130</v>
      </c>
      <c r="N488" s="14" t="s">
        <v>343</v>
      </c>
      <c r="O488" s="14" t="s">
        <v>9158</v>
      </c>
      <c r="P488" s="14" t="s">
        <v>9158</v>
      </c>
      <c r="Q488" s="14" t="s">
        <v>9158</v>
      </c>
      <c r="R488" s="14" t="s">
        <v>14748</v>
      </c>
    </row>
    <row r="489" spans="1:18">
      <c r="A489" s="14">
        <v>82233</v>
      </c>
      <c r="B489" s="14" t="s">
        <v>334</v>
      </c>
      <c r="C489" s="14" t="s">
        <v>191</v>
      </c>
      <c r="D489" s="19" t="s">
        <v>10187</v>
      </c>
      <c r="E489" s="15" t="str">
        <f>HYPERLINK("https://stat100.ameba.jp/tnk47/ratio20/illustrations/card/ill_82233_iseokiku03.jpg?202104-i_prefecture_active_user", "■")</f>
        <v>■</v>
      </c>
      <c r="F489" s="14" t="s">
        <v>4924</v>
      </c>
      <c r="G489" s="14">
        <v>142768</v>
      </c>
      <c r="H489" s="14">
        <v>132737</v>
      </c>
      <c r="I489" s="14">
        <v>29</v>
      </c>
      <c r="J489" s="14" t="s">
        <v>187</v>
      </c>
      <c r="K489" s="14" t="s">
        <v>4926</v>
      </c>
      <c r="L489" s="14" t="s">
        <v>4930</v>
      </c>
      <c r="M489" s="14" t="s">
        <v>13130</v>
      </c>
      <c r="N489" s="14" t="s">
        <v>343</v>
      </c>
      <c r="O489" s="14" t="s">
        <v>9158</v>
      </c>
      <c r="P489" s="14" t="s">
        <v>9158</v>
      </c>
      <c r="Q489" s="14" t="s">
        <v>9158</v>
      </c>
      <c r="R489" s="14" t="s">
        <v>14748</v>
      </c>
    </row>
    <row r="490" spans="1:18">
      <c r="A490" s="14">
        <v>82243</v>
      </c>
      <c r="B490" s="14" t="s">
        <v>0</v>
      </c>
      <c r="C490" s="14" t="s">
        <v>165</v>
      </c>
      <c r="D490" s="19" t="s">
        <v>10188</v>
      </c>
      <c r="E490" s="15" t="str">
        <f>HYPERLINK("https://stat100.ameba.jp/tnk47/ratio20/illustrations/card/ill_82243_nanohana03.jpg?202104-i_prefecture_active_user", "■")</f>
        <v>■</v>
      </c>
      <c r="F490" s="14" t="s">
        <v>4921</v>
      </c>
      <c r="G490" s="14">
        <v>142768</v>
      </c>
      <c r="H490" s="14">
        <v>132737</v>
      </c>
      <c r="I490" s="14">
        <v>29</v>
      </c>
      <c r="J490" s="14" t="s">
        <v>229</v>
      </c>
      <c r="K490" s="14" t="s">
        <v>4923</v>
      </c>
      <c r="L490" s="14" t="s">
        <v>4929</v>
      </c>
      <c r="M490" s="14" t="s">
        <v>13130</v>
      </c>
      <c r="N490" s="14" t="s">
        <v>343</v>
      </c>
      <c r="O490" s="14" t="s">
        <v>9158</v>
      </c>
      <c r="P490" s="14" t="s">
        <v>9158</v>
      </c>
      <c r="Q490" s="14" t="s">
        <v>9158</v>
      </c>
      <c r="R490" s="14" t="s">
        <v>14748</v>
      </c>
    </row>
    <row r="491" spans="1:18">
      <c r="A491" s="14">
        <v>82253</v>
      </c>
      <c r="B491" s="14" t="s">
        <v>334</v>
      </c>
      <c r="C491" s="14" t="s">
        <v>205</v>
      </c>
      <c r="D491" s="19" t="s">
        <v>10189</v>
      </c>
      <c r="E491" s="15" t="str">
        <f>HYPERLINK("https://stat100.ameba.jp/tnk47/ratio20/illustrations/card/ill_82253_ajisaikyogokuichiko03.jpg?202104-i_prefecture_active_user", "■")</f>
        <v>■</v>
      </c>
      <c r="F491" s="14" t="s">
        <v>4920</v>
      </c>
      <c r="G491" s="14">
        <v>132737</v>
      </c>
      <c r="H491" s="14">
        <v>142768</v>
      </c>
      <c r="I491" s="14">
        <v>29</v>
      </c>
      <c r="J491" s="14" t="s">
        <v>159</v>
      </c>
      <c r="K491" s="14" t="s">
        <v>4919</v>
      </c>
      <c r="L491" s="14" t="s">
        <v>4927</v>
      </c>
      <c r="M491" s="14" t="s">
        <v>13130</v>
      </c>
      <c r="N491" s="14" t="s">
        <v>343</v>
      </c>
      <c r="O491" s="14" t="s">
        <v>9158</v>
      </c>
      <c r="P491" s="14" t="s">
        <v>9158</v>
      </c>
      <c r="Q491" s="14" t="s">
        <v>9158</v>
      </c>
      <c r="R491" s="14" t="s">
        <v>14748</v>
      </c>
    </row>
    <row r="492" spans="1:18">
      <c r="A492" s="14">
        <v>82263</v>
      </c>
      <c r="B492" s="14" t="s">
        <v>334</v>
      </c>
      <c r="C492" s="14" t="s">
        <v>206</v>
      </c>
      <c r="D492" s="19" t="s">
        <v>10190</v>
      </c>
      <c r="E492" s="15" t="str">
        <f>HYPERLINK("https://stat100.ameba.jp/tnk47/ratio20/illustrations/card/ill_82263_euterupe03.jpg?202104-i_prefecture_active_user", "■")</f>
        <v>■</v>
      </c>
      <c r="F492" s="14" t="s">
        <v>4915</v>
      </c>
      <c r="G492" s="14">
        <v>132737</v>
      </c>
      <c r="H492" s="14">
        <v>142768</v>
      </c>
      <c r="I492" s="14">
        <v>29</v>
      </c>
      <c r="J492" s="14" t="s">
        <v>169</v>
      </c>
      <c r="K492" s="14" t="s">
        <v>4917</v>
      </c>
      <c r="L492" s="14" t="s">
        <v>4928</v>
      </c>
      <c r="M492" s="14" t="s">
        <v>13130</v>
      </c>
      <c r="N492" s="14" t="s">
        <v>343</v>
      </c>
      <c r="O492" s="14" t="s">
        <v>9158</v>
      </c>
      <c r="P492" s="14" t="s">
        <v>9158</v>
      </c>
      <c r="Q492" s="14" t="s">
        <v>9158</v>
      </c>
      <c r="R492" s="14" t="s">
        <v>14748</v>
      </c>
    </row>
    <row r="494" spans="1:18">
      <c r="A494" s="14" t="s">
        <v>16967</v>
      </c>
      <c r="I494" s="7"/>
    </row>
    <row r="495" spans="1:18">
      <c r="A495" s="14">
        <v>237488</v>
      </c>
      <c r="B495" s="14" t="s">
        <v>11965</v>
      </c>
      <c r="I495" s="7"/>
    </row>
    <row r="496" spans="1:18">
      <c r="A496" s="14">
        <v>237494</v>
      </c>
      <c r="B496" s="14" t="s">
        <v>11966</v>
      </c>
    </row>
    <row r="497" spans="1:19">
      <c r="A497" s="14" t="s">
        <v>16720</v>
      </c>
      <c r="B497" s="7" t="s">
        <v>52</v>
      </c>
      <c r="C497" s="14" t="s">
        <v>202</v>
      </c>
      <c r="D497" s="18" t="s">
        <v>16719</v>
      </c>
      <c r="E497" s="15" t="str">
        <f>HYPERLINK("https://stat100.ameba.jp/tnk47/ratio20/illustrations/card/ill_96373_0_ohinasamaakitakomachichan03.jpg?202103-5-RELEASE-marathon-521x", "■")</f>
        <v>■</v>
      </c>
      <c r="F497" s="14" t="s">
        <v>16718</v>
      </c>
      <c r="G497" s="14">
        <v>273388</v>
      </c>
      <c r="H497" s="14">
        <v>334134</v>
      </c>
      <c r="I497" s="7">
        <v>29</v>
      </c>
      <c r="J497" s="14" t="s">
        <v>104</v>
      </c>
      <c r="K497" s="14" t="s">
        <v>16717</v>
      </c>
      <c r="L497" s="14" t="s">
        <v>16716</v>
      </c>
      <c r="M497" s="14" t="s">
        <v>9158</v>
      </c>
      <c r="N497" s="14" t="s">
        <v>9158</v>
      </c>
      <c r="O497" s="7" t="s">
        <v>16715</v>
      </c>
      <c r="P497" s="7" t="s">
        <v>16714</v>
      </c>
      <c r="Q497" s="7">
        <v>1</v>
      </c>
    </row>
    <row r="498" spans="1:19">
      <c r="A498" s="14">
        <v>96793</v>
      </c>
      <c r="B498" s="14" t="s">
        <v>0</v>
      </c>
      <c r="C498" s="14" t="s">
        <v>23</v>
      </c>
      <c r="D498" s="14" t="s">
        <v>16971</v>
      </c>
      <c r="E498" s="15" t="str">
        <f>HYPERLINK("https://stat100.ameba.jp/tnk47/ratio20/illustrations/card/ill_96793_basunotabimashumarochan03.jpg?202104-i_prefecture_active_user", "■")</f>
        <v>■</v>
      </c>
      <c r="F498" s="14" t="s">
        <v>16970</v>
      </c>
      <c r="G498" s="14">
        <v>136953</v>
      </c>
      <c r="H498" s="14">
        <v>127350</v>
      </c>
      <c r="I498" s="7">
        <v>29</v>
      </c>
      <c r="J498" s="14" t="s">
        <v>104</v>
      </c>
      <c r="K498" s="14" t="s">
        <v>16969</v>
      </c>
      <c r="L498" s="14" t="s">
        <v>16968</v>
      </c>
      <c r="M498" s="14" t="s">
        <v>9158</v>
      </c>
      <c r="N498" s="14" t="s">
        <v>9158</v>
      </c>
      <c r="O498" s="14" t="s">
        <v>9158</v>
      </c>
      <c r="P498" s="14" t="s">
        <v>9158</v>
      </c>
      <c r="Q498" s="14" t="s">
        <v>9158</v>
      </c>
    </row>
    <row r="499" spans="1:19">
      <c r="A499" s="14">
        <v>96803</v>
      </c>
      <c r="B499" s="14" t="s">
        <v>0</v>
      </c>
      <c r="C499" s="14" t="s">
        <v>1</v>
      </c>
      <c r="D499" s="14" t="s">
        <v>16975</v>
      </c>
      <c r="E499" s="15" t="str">
        <f>HYPERLINK("https://stat100.ameba.jp/tnk47/ratio20/illustrations/card/ill_96803_suparizotomimuratsuru03.jpg?202104-i_prefecture_active_user", "■")</f>
        <v>■</v>
      </c>
      <c r="F499" s="14" t="s">
        <v>16974</v>
      </c>
      <c r="G499" s="14">
        <v>113277</v>
      </c>
      <c r="H499" s="14">
        <v>105281</v>
      </c>
      <c r="I499" s="7">
        <v>29</v>
      </c>
      <c r="J499" s="14" t="s">
        <v>77</v>
      </c>
      <c r="K499" s="14" t="s">
        <v>16973</v>
      </c>
      <c r="L499" s="14" t="s">
        <v>16972</v>
      </c>
      <c r="M499" s="14" t="s">
        <v>9158</v>
      </c>
      <c r="N499" s="14" t="s">
        <v>9158</v>
      </c>
      <c r="O499" s="14" t="s">
        <v>9158</v>
      </c>
      <c r="P499" s="14" t="s">
        <v>9158</v>
      </c>
      <c r="Q499" s="14" t="s">
        <v>9158</v>
      </c>
    </row>
    <row r="500" spans="1:19">
      <c r="A500" s="14">
        <v>96813</v>
      </c>
      <c r="B500" s="14" t="s">
        <v>15</v>
      </c>
      <c r="C500" s="14" t="s">
        <v>14</v>
      </c>
      <c r="D500" s="14" t="s">
        <v>16977</v>
      </c>
      <c r="E500" s="15" t="str">
        <f>HYPERLINK("https://stat100.ameba.jp/tnk47/ratio20/illustrations/card/ill_96813_safuaripakunambutsuruhime03.jpg?202104-i_prefecture_active_user", "■")</f>
        <v>■</v>
      </c>
      <c r="F500" s="14" t="s">
        <v>16976</v>
      </c>
      <c r="G500" s="14">
        <v>77962</v>
      </c>
      <c r="H500" s="14">
        <v>85956</v>
      </c>
      <c r="I500" s="7">
        <v>29</v>
      </c>
      <c r="J500" s="14" t="s">
        <v>77</v>
      </c>
      <c r="K500" s="14" t="s">
        <v>3343</v>
      </c>
      <c r="L500" s="14" t="s">
        <v>973</v>
      </c>
      <c r="M500" s="14" t="s">
        <v>9158</v>
      </c>
      <c r="N500" s="14" t="s">
        <v>9158</v>
      </c>
      <c r="O500" s="14" t="s">
        <v>9158</v>
      </c>
      <c r="P500" s="14" t="s">
        <v>9158</v>
      </c>
      <c r="Q500" s="14" t="s">
        <v>9158</v>
      </c>
    </row>
    <row r="501" spans="1:19">
      <c r="A501" s="14">
        <v>96823</v>
      </c>
      <c r="B501" s="14" t="s">
        <v>22</v>
      </c>
      <c r="C501" s="14" t="s">
        <v>101</v>
      </c>
      <c r="D501" s="14" t="s">
        <v>16980</v>
      </c>
      <c r="E501" s="15" t="str">
        <f>HYPERLINK("https://stat100.ameba.jp/tnk47/ratio20/illustrations/card/ill_96823_ujotokuhime03.jpg?202104-i_prefecture_active_user", "■")</f>
        <v>■</v>
      </c>
      <c r="F501" s="14" t="s">
        <v>16979</v>
      </c>
      <c r="G501" s="14">
        <v>60296</v>
      </c>
      <c r="H501" s="14">
        <v>50134</v>
      </c>
      <c r="I501" s="7">
        <v>29</v>
      </c>
      <c r="J501" s="14" t="s">
        <v>77</v>
      </c>
      <c r="K501" s="14" t="s">
        <v>16978</v>
      </c>
      <c r="L501" s="14" t="s">
        <v>1732</v>
      </c>
      <c r="M501" s="14" t="s">
        <v>9158</v>
      </c>
      <c r="N501" s="14" t="s">
        <v>9158</v>
      </c>
      <c r="O501" s="14" t="s">
        <v>9158</v>
      </c>
      <c r="P501" s="14" t="s">
        <v>9158</v>
      </c>
      <c r="Q501" s="14" t="s">
        <v>9158</v>
      </c>
    </row>
    <row r="502" spans="1:19">
      <c r="A502" s="14">
        <v>96833</v>
      </c>
      <c r="B502" s="14" t="s">
        <v>22</v>
      </c>
      <c r="C502" s="14" t="s">
        <v>96</v>
      </c>
      <c r="D502" s="14" t="s">
        <v>16983</v>
      </c>
      <c r="E502" s="15" t="str">
        <f>HYPERLINK("https://stat100.ameba.jp/tnk47/ratio20/illustrations/card/ill_96833_korakukushikatsuchan03.jpg?202104-i_prefecture_active_user", "■")</f>
        <v>■</v>
      </c>
      <c r="F502" s="14" t="s">
        <v>16982</v>
      </c>
      <c r="G502" s="14">
        <v>50134</v>
      </c>
      <c r="H502" s="14">
        <v>60296</v>
      </c>
      <c r="I502" s="7">
        <v>29</v>
      </c>
      <c r="J502" s="14" t="s">
        <v>104</v>
      </c>
      <c r="K502" s="14" t="s">
        <v>16981</v>
      </c>
      <c r="L502" s="14" t="s">
        <v>3839</v>
      </c>
      <c r="M502" s="14" t="s">
        <v>9158</v>
      </c>
      <c r="N502" s="14" t="s">
        <v>9158</v>
      </c>
      <c r="O502" s="14" t="s">
        <v>9158</v>
      </c>
      <c r="P502" s="14" t="s">
        <v>9158</v>
      </c>
      <c r="Q502" s="14" t="s">
        <v>9158</v>
      </c>
    </row>
    <row r="504" spans="1:19">
      <c r="A504" s="14" t="s">
        <v>208</v>
      </c>
    </row>
    <row r="505" spans="1:19">
      <c r="A505" s="14">
        <v>237523</v>
      </c>
      <c r="B505" s="14" t="s">
        <v>11963</v>
      </c>
    </row>
    <row r="506" spans="1:19">
      <c r="A506" s="9" t="s">
        <v>5602</v>
      </c>
      <c r="B506" s="14" t="s">
        <v>330</v>
      </c>
      <c r="C506" s="14" t="s">
        <v>185</v>
      </c>
      <c r="D506" s="14" t="s">
        <v>2093</v>
      </c>
      <c r="E506" s="15" t="str">
        <f>HYPERLINK("https://stat100.ameba.jp/tnk47/ratio20/illustrations/card/ill_55313_0_haroinononokomachi03.jpg?202104-i_prefecture_active_user", "■")</f>
        <v>■</v>
      </c>
      <c r="F506" s="14" t="s">
        <v>814</v>
      </c>
      <c r="G506" s="14">
        <v>163342</v>
      </c>
      <c r="H506" s="14">
        <v>145100</v>
      </c>
      <c r="I506" s="14">
        <v>26</v>
      </c>
      <c r="J506" s="14" t="s">
        <v>351</v>
      </c>
      <c r="K506" s="14" t="s">
        <v>815</v>
      </c>
      <c r="L506" s="14" t="s">
        <v>816</v>
      </c>
      <c r="M506" s="14" t="s">
        <v>9158</v>
      </c>
      <c r="N506" s="14" t="s">
        <v>9158</v>
      </c>
      <c r="O506" s="9" t="s">
        <v>2733</v>
      </c>
      <c r="P506" s="14" t="s">
        <v>2734</v>
      </c>
      <c r="Q506" s="14">
        <v>1</v>
      </c>
    </row>
    <row r="507" spans="1:19">
      <c r="A507" s="14" t="s">
        <v>5615</v>
      </c>
      <c r="B507" s="14" t="s">
        <v>330</v>
      </c>
      <c r="C507" s="14" t="s">
        <v>206</v>
      </c>
      <c r="D507" s="20" t="s">
        <v>2814</v>
      </c>
      <c r="E507" s="15" t="str">
        <f>HYPERLINK("https://stat100.ameba.jp/tnk47/ratio20/illustrations/card/ill_57733_0_shogatsunisenjunanaamakusashiro03.jpg?202104-i_prefecture_active_user", "■")</f>
        <v>■</v>
      </c>
      <c r="F507" s="14" t="s">
        <v>2815</v>
      </c>
      <c r="G507" s="14">
        <v>145100</v>
      </c>
      <c r="H507" s="14">
        <v>163342</v>
      </c>
      <c r="I507" s="14">
        <v>26</v>
      </c>
      <c r="J507" s="14" t="s">
        <v>351</v>
      </c>
      <c r="K507" s="14" t="s">
        <v>2816</v>
      </c>
      <c r="L507" s="14" t="s">
        <v>2817</v>
      </c>
      <c r="M507" s="14" t="s">
        <v>9158</v>
      </c>
      <c r="N507" s="14" t="s">
        <v>9158</v>
      </c>
      <c r="O507" s="19" t="s">
        <v>10077</v>
      </c>
      <c r="P507" s="14" t="s">
        <v>3062</v>
      </c>
      <c r="Q507" s="14">
        <v>1</v>
      </c>
    </row>
    <row r="508" spans="1:19">
      <c r="A508" s="14" t="s">
        <v>5627</v>
      </c>
      <c r="B508" s="14" t="s">
        <v>330</v>
      </c>
      <c r="C508" s="14" t="s">
        <v>191</v>
      </c>
      <c r="D508" s="19" t="s">
        <v>393</v>
      </c>
      <c r="E508" s="15" t="str">
        <f>HYPERLINK("https://stat100.ameba.jp/tnk47/ratio20/illustrations/card/ill_46283_0_odanobunaga03.jpg?202104-i_prefecture_active_user", "■")</f>
        <v>■</v>
      </c>
      <c r="F508" s="14" t="s">
        <v>1073</v>
      </c>
      <c r="G508" s="14">
        <v>142500</v>
      </c>
      <c r="H508" s="14">
        <v>152152</v>
      </c>
      <c r="I508" s="14">
        <v>26</v>
      </c>
      <c r="J508" s="14" t="s">
        <v>143</v>
      </c>
      <c r="K508" s="14" t="s">
        <v>1074</v>
      </c>
      <c r="L508" s="14" t="s">
        <v>1075</v>
      </c>
      <c r="M508" s="14" t="s">
        <v>9158</v>
      </c>
      <c r="N508" s="14" t="s">
        <v>9158</v>
      </c>
      <c r="O508" s="14" t="s">
        <v>9158</v>
      </c>
      <c r="P508" s="14" t="s">
        <v>9158</v>
      </c>
      <c r="Q508" s="14" t="s">
        <v>9158</v>
      </c>
    </row>
    <row r="509" spans="1:19">
      <c r="A509" s="14">
        <v>88003</v>
      </c>
      <c r="B509" s="14" t="s">
        <v>0</v>
      </c>
      <c r="C509" s="14" t="s">
        <v>41</v>
      </c>
      <c r="D509" s="14" t="s">
        <v>16959</v>
      </c>
      <c r="E509" s="15" t="str">
        <f>HYPERLINK("https://stat100.ameba.jp/tnk47/ratio20/illustrations/card/ill_88003_meishuegiru03.jpg?202104-i_prefecture_active_user", "■")</f>
        <v>■</v>
      </c>
      <c r="F509" s="14" t="s">
        <v>16958</v>
      </c>
      <c r="G509" s="14">
        <v>160296</v>
      </c>
      <c r="H509" s="14">
        <v>172397</v>
      </c>
      <c r="I509" s="14">
        <v>29</v>
      </c>
      <c r="J509" s="14" t="s">
        <v>26</v>
      </c>
      <c r="K509" s="14" t="s">
        <v>16957</v>
      </c>
      <c r="L509" s="14" t="s">
        <v>5456</v>
      </c>
      <c r="M509" s="14" t="s">
        <v>9158</v>
      </c>
      <c r="N509" s="14" t="s">
        <v>9158</v>
      </c>
      <c r="O509" s="14" t="s">
        <v>9158</v>
      </c>
      <c r="P509" s="14" t="s">
        <v>9158</v>
      </c>
      <c r="Q509" s="14" t="s">
        <v>9158</v>
      </c>
      <c r="S509" s="14" t="s">
        <v>16956</v>
      </c>
    </row>
    <row r="510" spans="1:19">
      <c r="A510" s="14">
        <v>90513</v>
      </c>
      <c r="B510" s="14" t="s">
        <v>0</v>
      </c>
      <c r="C510" s="14" t="s">
        <v>41</v>
      </c>
      <c r="D510" s="14" t="s">
        <v>16963</v>
      </c>
      <c r="E510" s="15" t="str">
        <f>HYPERLINK("https://stat100.ameba.jp/tnk47/ratio20/illustrations/card/ill_90513_garuda03.jpg?202104-i_prefecture_active_user", "■")</f>
        <v>■</v>
      </c>
      <c r="F510" s="14" t="s">
        <v>16962</v>
      </c>
      <c r="G510" s="14">
        <v>109381</v>
      </c>
      <c r="H510" s="14">
        <v>117591</v>
      </c>
      <c r="I510" s="14">
        <v>29</v>
      </c>
      <c r="J510" s="14" t="s">
        <v>38</v>
      </c>
      <c r="K510" s="14" t="s">
        <v>16961</v>
      </c>
      <c r="L510" s="14" t="s">
        <v>16960</v>
      </c>
      <c r="M510" s="14" t="s">
        <v>9158</v>
      </c>
      <c r="N510" s="14" t="s">
        <v>9158</v>
      </c>
      <c r="O510" s="14" t="s">
        <v>9158</v>
      </c>
      <c r="P510" s="14" t="s">
        <v>9158</v>
      </c>
      <c r="Q510" s="14" t="s">
        <v>9158</v>
      </c>
      <c r="S510" s="14" t="s">
        <v>16954</v>
      </c>
    </row>
    <row r="511" spans="1:19">
      <c r="A511" s="14">
        <v>93783</v>
      </c>
      <c r="B511" s="14" t="s">
        <v>0</v>
      </c>
      <c r="C511" s="14" t="s">
        <v>47</v>
      </c>
      <c r="D511" s="14" t="s">
        <v>16966</v>
      </c>
      <c r="E511" s="15" t="str">
        <f>HYPERLINK("https://stat100.ameba.jp/tnk47/ratio20/illustrations/card/ill_93783_paradokusu03.jpg?202104-i_prefecture_active_user", "■")</f>
        <v>■</v>
      </c>
      <c r="F511" s="14" t="s">
        <v>16965</v>
      </c>
      <c r="G511" s="14">
        <v>113277</v>
      </c>
      <c r="H511" s="14">
        <v>105281</v>
      </c>
      <c r="I511" s="14">
        <v>29</v>
      </c>
      <c r="J511" s="14" t="s">
        <v>16</v>
      </c>
      <c r="K511" s="14" t="s">
        <v>16964</v>
      </c>
      <c r="L511" s="14" t="s">
        <v>14197</v>
      </c>
      <c r="M511" s="14" t="s">
        <v>9158</v>
      </c>
      <c r="N511" s="14" t="s">
        <v>9158</v>
      </c>
      <c r="O511" s="14" t="s">
        <v>9158</v>
      </c>
      <c r="P511" s="14" t="s">
        <v>9158</v>
      </c>
      <c r="Q511" s="14" t="s">
        <v>9158</v>
      </c>
      <c r="S511" s="14" t="s">
        <v>16955</v>
      </c>
    </row>
    <row r="512" spans="1:19">
      <c r="A512" s="14">
        <v>79243</v>
      </c>
      <c r="B512" s="14" t="s">
        <v>15</v>
      </c>
      <c r="C512" s="14" t="s">
        <v>96</v>
      </c>
      <c r="D512" s="14" t="s">
        <v>16852</v>
      </c>
      <c r="E512" s="15" t="str">
        <f>HYPERLINK("https://stat100.ameba.jp/tnk47/ratio20/illustrations/card/ill_79243_sadohayamisosei03.jpg?202104-i_prefecture_active_user", "■")</f>
        <v>■</v>
      </c>
      <c r="F512" s="14" t="s">
        <v>16851</v>
      </c>
      <c r="G512" s="14">
        <v>69898</v>
      </c>
      <c r="H512" s="14">
        <v>77064</v>
      </c>
      <c r="I512" s="14">
        <v>26</v>
      </c>
      <c r="J512" s="14" t="s">
        <v>10</v>
      </c>
      <c r="K512" s="14" t="s">
        <v>16850</v>
      </c>
      <c r="L512" s="14" t="s">
        <v>12317</v>
      </c>
      <c r="M512" s="14" t="s">
        <v>9158</v>
      </c>
      <c r="N512" s="14" t="s">
        <v>9158</v>
      </c>
      <c r="O512" s="14" t="s">
        <v>9158</v>
      </c>
      <c r="P512" s="14" t="s">
        <v>9158</v>
      </c>
      <c r="Q512" s="14" t="s">
        <v>9158</v>
      </c>
      <c r="S512" s="14" t="s">
        <v>16861</v>
      </c>
    </row>
    <row r="513" spans="1:19">
      <c r="A513" s="14">
        <v>87283</v>
      </c>
      <c r="B513" s="14" t="s">
        <v>15</v>
      </c>
      <c r="C513" s="14" t="s">
        <v>23</v>
      </c>
      <c r="D513" s="14" t="s">
        <v>16855</v>
      </c>
      <c r="E513" s="15" t="str">
        <f>HYPERLINK("https://stat100.ameba.jp/tnk47/ratio20/illustrations/card/ill_87283_obentoarisubekon03.jpg?202104-i_prefecture_active_user", "■")</f>
        <v>■</v>
      </c>
      <c r="F513" s="14" t="s">
        <v>16854</v>
      </c>
      <c r="G513" s="14">
        <v>69898</v>
      </c>
      <c r="H513" s="14">
        <v>77064</v>
      </c>
      <c r="I513" s="14">
        <v>26</v>
      </c>
      <c r="J513" s="14" t="s">
        <v>16</v>
      </c>
      <c r="K513" s="14" t="s">
        <v>6085</v>
      </c>
      <c r="L513" s="14" t="s">
        <v>16853</v>
      </c>
      <c r="M513" s="14" t="s">
        <v>9158</v>
      </c>
      <c r="N513" s="14" t="s">
        <v>9158</v>
      </c>
      <c r="O513" s="14" t="s">
        <v>9158</v>
      </c>
      <c r="P513" s="14" t="s">
        <v>9158</v>
      </c>
      <c r="Q513" s="14" t="s">
        <v>9158</v>
      </c>
      <c r="S513" s="14" t="s">
        <v>16863</v>
      </c>
    </row>
    <row r="514" spans="1:19">
      <c r="A514" s="14">
        <v>69983</v>
      </c>
      <c r="B514" s="14" t="s">
        <v>15</v>
      </c>
      <c r="C514" s="14" t="s">
        <v>1</v>
      </c>
      <c r="D514" s="14" t="s">
        <v>16859</v>
      </c>
      <c r="E514" s="15" t="str">
        <f>HYPERLINK("https://stat100.ameba.jp/tnk47/ratio20/illustrations/card/ill_69983_senreigohime03.jpg?202104-i_prefecture_active_user", "■")</f>
        <v>■</v>
      </c>
      <c r="F514" s="14" t="s">
        <v>16858</v>
      </c>
      <c r="G514" s="14">
        <v>77064</v>
      </c>
      <c r="H514" s="14">
        <v>69898</v>
      </c>
      <c r="I514" s="14">
        <v>26</v>
      </c>
      <c r="J514" s="14" t="s">
        <v>77</v>
      </c>
      <c r="K514" s="14" t="s">
        <v>16857</v>
      </c>
      <c r="L514" s="14" t="s">
        <v>16856</v>
      </c>
      <c r="M514" s="14" t="s">
        <v>9158</v>
      </c>
      <c r="N514" s="14" t="s">
        <v>9158</v>
      </c>
      <c r="O514" s="14" t="s">
        <v>9158</v>
      </c>
      <c r="P514" s="14" t="s">
        <v>9158</v>
      </c>
      <c r="Q514" s="14" t="s">
        <v>9158</v>
      </c>
      <c r="S514" s="14" t="s">
        <v>16865</v>
      </c>
    </row>
    <row r="516" spans="1:19">
      <c r="A516" s="14" t="s">
        <v>4065</v>
      </c>
    </row>
    <row r="517" spans="1:19">
      <c r="A517" s="14">
        <v>107625</v>
      </c>
      <c r="B517" s="14" t="s">
        <v>11995</v>
      </c>
    </row>
    <row r="518" spans="1:19">
      <c r="A518" s="9" t="s">
        <v>5843</v>
      </c>
      <c r="B518" s="14" t="s">
        <v>52</v>
      </c>
      <c r="C518" s="14" t="s">
        <v>202</v>
      </c>
      <c r="D518" s="14" t="s">
        <v>2126</v>
      </c>
      <c r="E518" s="15" t="str">
        <f>HYPERLINK("https://stat100.ameba.jp/tnk47/ratio20/illustrations/card/ill_77963_0_kurisumasudaisakusentakiyashahime03.jpg?202104-i_prefecture_active_user", "■")</f>
        <v>■</v>
      </c>
      <c r="F518" s="14" t="s">
        <v>2127</v>
      </c>
      <c r="G518" s="14">
        <v>331590</v>
      </c>
      <c r="H518" s="14">
        <v>299687</v>
      </c>
      <c r="I518" s="14">
        <v>27</v>
      </c>
      <c r="J518" s="14" t="s">
        <v>77</v>
      </c>
      <c r="K518" s="14" t="s">
        <v>2128</v>
      </c>
      <c r="L518" s="14" t="s">
        <v>2129</v>
      </c>
      <c r="M518" s="14" t="s">
        <v>9158</v>
      </c>
      <c r="N518" s="14" t="s">
        <v>9158</v>
      </c>
      <c r="O518" s="9" t="s">
        <v>3588</v>
      </c>
      <c r="P518" s="14" t="s">
        <v>3589</v>
      </c>
      <c r="Q518" s="14">
        <v>2</v>
      </c>
    </row>
    <row r="519" spans="1:19">
      <c r="A519" s="14">
        <v>80743</v>
      </c>
      <c r="B519" s="14" t="s">
        <v>0</v>
      </c>
      <c r="C519" s="14" t="s">
        <v>209</v>
      </c>
      <c r="D519" s="20" t="s">
        <v>10414</v>
      </c>
      <c r="E519" s="15" t="str">
        <f>HYPERLINK("https://stat100.ameba.jp/tnk47/ratio20/illustrations/card/ill_80743_senseijutsushi03.jpg?202104-i_prefecture_active_user", "■")</f>
        <v>■</v>
      </c>
      <c r="F519" s="14" t="s">
        <v>4249</v>
      </c>
      <c r="G519" s="14">
        <v>85483</v>
      </c>
      <c r="H519" s="14">
        <v>118001</v>
      </c>
      <c r="I519" s="14">
        <v>27</v>
      </c>
      <c r="J519" s="14" t="s">
        <v>16</v>
      </c>
      <c r="K519" s="14" t="s">
        <v>4250</v>
      </c>
      <c r="L519" s="14" t="s">
        <v>4251</v>
      </c>
      <c r="M519" s="14" t="s">
        <v>9158</v>
      </c>
      <c r="N519" s="14" t="s">
        <v>9158</v>
      </c>
      <c r="O519" s="19" t="s">
        <v>10109</v>
      </c>
      <c r="P519" s="14" t="s">
        <v>3625</v>
      </c>
      <c r="Q519" s="14">
        <v>1</v>
      </c>
    </row>
    <row r="520" spans="1:19">
      <c r="A520" s="14">
        <v>78123</v>
      </c>
      <c r="B520" s="14" t="s">
        <v>334</v>
      </c>
      <c r="C520" s="14" t="s">
        <v>209</v>
      </c>
      <c r="D520" s="6" t="s">
        <v>10010</v>
      </c>
      <c r="E520" s="15" t="str">
        <f>HYPERLINK("https://stat100.ameba.jp/tnk47/ratio20/illustrations/card/ill_78123_madannoteirusorushieru03.jpg?202104-i_prefecture_active_user", "■")</f>
        <v>■</v>
      </c>
      <c r="F520" s="14" t="s">
        <v>3024</v>
      </c>
      <c r="G520" s="14">
        <v>179634</v>
      </c>
      <c r="H520" s="14">
        <v>130113</v>
      </c>
      <c r="I520" s="9">
        <v>27</v>
      </c>
      <c r="J520" s="14" t="s">
        <v>310</v>
      </c>
      <c r="K520" s="14" t="s">
        <v>3025</v>
      </c>
      <c r="L520" s="14" t="s">
        <v>443</v>
      </c>
      <c r="M520" s="14" t="s">
        <v>9158</v>
      </c>
      <c r="N520" s="14" t="s">
        <v>9158</v>
      </c>
      <c r="O520" s="17" t="s">
        <v>3414</v>
      </c>
      <c r="P520" s="14" t="s">
        <v>13122</v>
      </c>
      <c r="Q520" s="14">
        <v>1</v>
      </c>
    </row>
    <row r="521" spans="1:19">
      <c r="A521" s="14">
        <v>52083</v>
      </c>
      <c r="B521" s="14" t="s">
        <v>0</v>
      </c>
      <c r="C521" s="14" t="s">
        <v>158</v>
      </c>
      <c r="D521" s="20" t="s">
        <v>2913</v>
      </c>
      <c r="E521" s="15" t="str">
        <f>HYPERLINK("https://stat100.ameba.jp/tnk47/ratio20/illustrations/card/ill_52083_berubetto03.jpg?202104-i_prefecture_active_user", "■")</f>
        <v>■</v>
      </c>
      <c r="F521" s="14" t="s">
        <v>944</v>
      </c>
      <c r="G521" s="14">
        <v>93030</v>
      </c>
      <c r="H521" s="14">
        <v>128431</v>
      </c>
      <c r="I521" s="14">
        <v>27</v>
      </c>
      <c r="J521" s="14" t="s">
        <v>26</v>
      </c>
      <c r="K521" s="14" t="s">
        <v>1864</v>
      </c>
      <c r="L521" s="14" t="s">
        <v>1865</v>
      </c>
      <c r="M521" s="14" t="s">
        <v>9158</v>
      </c>
      <c r="N521" s="14" t="s">
        <v>9158</v>
      </c>
      <c r="O521" s="19" t="s">
        <v>2917</v>
      </c>
      <c r="P521" s="14" t="s">
        <v>2918</v>
      </c>
      <c r="Q521" s="14">
        <v>1</v>
      </c>
    </row>
    <row r="523" spans="1:19">
      <c r="A523" s="14" t="s">
        <v>3844</v>
      </c>
    </row>
    <row r="524" spans="1:19">
      <c r="A524" s="14">
        <v>107630</v>
      </c>
      <c r="B524" s="14" t="s">
        <v>11997</v>
      </c>
    </row>
    <row r="525" spans="1:19">
      <c r="A525" s="14" t="s">
        <v>5617</v>
      </c>
      <c r="B525" s="14" t="s">
        <v>330</v>
      </c>
      <c r="C525" s="14" t="s">
        <v>308</v>
      </c>
      <c r="D525" s="19" t="s">
        <v>385</v>
      </c>
      <c r="E525" s="15" t="str">
        <f>HYPERLINK("https://stat100.ameba.jp/tnk47/ratio20/illustrations/card/ill_59673_0_oheyashutendoji03.jpg?202104-i_prefecture_active_user", "■")</f>
        <v>■</v>
      </c>
      <c r="F525" s="14" t="s">
        <v>386</v>
      </c>
      <c r="G525" s="14">
        <v>189983</v>
      </c>
      <c r="H525" s="14">
        <v>204345</v>
      </c>
      <c r="I525" s="14">
        <v>27</v>
      </c>
      <c r="J525" s="14" t="s">
        <v>320</v>
      </c>
      <c r="K525" s="14" t="s">
        <v>387</v>
      </c>
      <c r="L525" s="14" t="s">
        <v>388</v>
      </c>
      <c r="M525" s="14" t="s">
        <v>9158</v>
      </c>
      <c r="N525" s="14" t="s">
        <v>9158</v>
      </c>
      <c r="O525" s="19" t="s">
        <v>10078</v>
      </c>
      <c r="P525" s="14" t="s">
        <v>3022</v>
      </c>
      <c r="Q525" s="14">
        <v>1</v>
      </c>
    </row>
    <row r="526" spans="1:19">
      <c r="A526" s="14">
        <v>77123</v>
      </c>
      <c r="B526" s="14" t="s">
        <v>334</v>
      </c>
      <c r="C526" s="14" t="s">
        <v>191</v>
      </c>
      <c r="D526" s="20" t="s">
        <v>10424</v>
      </c>
      <c r="E526" s="15" t="str">
        <f>HYPERLINK("https://stat100.ameba.jp/tnk47/ratio20/illustrations/card/ill_77123_yukemuriizuna03.jpg?202104-i_prefecture_active_user", "■")</f>
        <v>■</v>
      </c>
      <c r="F526" s="14" t="s">
        <v>1377</v>
      </c>
      <c r="G526" s="14">
        <v>112496</v>
      </c>
      <c r="H526" s="14">
        <v>104619</v>
      </c>
      <c r="I526" s="14">
        <v>27</v>
      </c>
      <c r="J526" s="14" t="s">
        <v>320</v>
      </c>
      <c r="K526" s="14" t="s">
        <v>1378</v>
      </c>
      <c r="L526" s="14" t="s">
        <v>1379</v>
      </c>
      <c r="M526" s="14" t="s">
        <v>9158</v>
      </c>
      <c r="N526" s="14" t="s">
        <v>9158</v>
      </c>
      <c r="O526" s="19" t="s">
        <v>2838</v>
      </c>
      <c r="P526" s="14" t="s">
        <v>3579</v>
      </c>
      <c r="Q526" s="14">
        <v>1</v>
      </c>
    </row>
    <row r="527" spans="1:19">
      <c r="A527" s="14">
        <v>74553</v>
      </c>
      <c r="B527" s="14" t="s">
        <v>0</v>
      </c>
      <c r="C527" s="14" t="s">
        <v>107</v>
      </c>
      <c r="D527" s="19" t="s">
        <v>10389</v>
      </c>
      <c r="E527" s="15" t="str">
        <f>HYPERLINK("https://stat100.ameba.jp/tnk47/ratio20/illustrations/card/ill_74553_natsuyuenchikusumotoine03.jpg?202104-i_prefecture_active_user", "■")</f>
        <v>■</v>
      </c>
      <c r="F527" s="14" t="s">
        <v>4109</v>
      </c>
      <c r="G527" s="14">
        <v>109481</v>
      </c>
      <c r="H527" s="14">
        <v>101837</v>
      </c>
      <c r="I527" s="14">
        <v>27</v>
      </c>
      <c r="J527" s="14" t="s">
        <v>16</v>
      </c>
      <c r="K527" s="14" t="s">
        <v>4110</v>
      </c>
      <c r="L527" s="14" t="s">
        <v>1149</v>
      </c>
      <c r="M527" s="14" t="s">
        <v>9158</v>
      </c>
      <c r="N527" s="14" t="s">
        <v>9158</v>
      </c>
      <c r="O527" s="19" t="s">
        <v>10090</v>
      </c>
      <c r="P527" s="14" t="s">
        <v>3460</v>
      </c>
      <c r="Q527" s="14">
        <v>1</v>
      </c>
    </row>
    <row r="528" spans="1:19">
      <c r="A528" s="14">
        <v>79313</v>
      </c>
      <c r="B528" s="14" t="s">
        <v>334</v>
      </c>
      <c r="C528" s="14" t="s">
        <v>185</v>
      </c>
      <c r="D528" s="20" t="s">
        <v>10334</v>
      </c>
      <c r="E528" s="15" t="str">
        <f>HYPERLINK("https://stat100.ameba.jp/tnk47/ratio20/illustrations/card/ill_79313_hommeichokodatemasamune03.jpg?202104-i_prefecture_active_user", "■")</f>
        <v>■</v>
      </c>
      <c r="F528" s="14" t="s">
        <v>3499</v>
      </c>
      <c r="G528" s="14">
        <v>149240</v>
      </c>
      <c r="H528" s="14">
        <v>160507</v>
      </c>
      <c r="I528" s="14">
        <v>27</v>
      </c>
      <c r="J528" s="14" t="s">
        <v>143</v>
      </c>
      <c r="K528" s="14" t="s">
        <v>3500</v>
      </c>
      <c r="L528" s="14" t="s">
        <v>1148</v>
      </c>
      <c r="M528" s="14" t="s">
        <v>9158</v>
      </c>
      <c r="N528" s="14" t="s">
        <v>9158</v>
      </c>
      <c r="O528" s="19" t="s">
        <v>2752</v>
      </c>
      <c r="P528" s="14" t="s">
        <v>13123</v>
      </c>
      <c r="Q528" s="14">
        <v>1</v>
      </c>
    </row>
    <row r="530" spans="1:17">
      <c r="A530" s="14" t="s">
        <v>9283</v>
      </c>
    </row>
    <row r="531" spans="1:17">
      <c r="A531" s="14">
        <v>107633</v>
      </c>
      <c r="B531" s="14" t="s">
        <v>4138</v>
      </c>
    </row>
    <row r="532" spans="1:17">
      <c r="A532" s="14" t="s">
        <v>5733</v>
      </c>
      <c r="B532" s="14" t="s">
        <v>330</v>
      </c>
      <c r="C532" s="14" t="s">
        <v>202</v>
      </c>
      <c r="D532" s="19" t="s">
        <v>2744</v>
      </c>
      <c r="E532" s="15" t="str">
        <f>HYPERLINK("https://stat100.ameba.jp/tnk47/ratio20/illustrations/card/ill_78693_0_kyupittokoinomikoto03.jpg?202104-i_prefecture_active_user", "■")</f>
        <v>■</v>
      </c>
      <c r="F532" s="14" t="s">
        <v>2745</v>
      </c>
      <c r="G532" s="14">
        <v>251516</v>
      </c>
      <c r="H532" s="14">
        <v>278294</v>
      </c>
      <c r="I532" s="14">
        <v>24</v>
      </c>
      <c r="J532" s="14" t="s">
        <v>274</v>
      </c>
      <c r="K532" s="14" t="s">
        <v>2746</v>
      </c>
      <c r="L532" s="14" t="s">
        <v>2747</v>
      </c>
      <c r="M532" s="14" t="s">
        <v>9158</v>
      </c>
      <c r="N532" s="14" t="s">
        <v>9158</v>
      </c>
      <c r="O532" s="19" t="s">
        <v>10097</v>
      </c>
      <c r="P532" s="14" t="s">
        <v>2748</v>
      </c>
      <c r="Q532" s="14">
        <v>1</v>
      </c>
    </row>
    <row r="533" spans="1:17">
      <c r="A533" s="9" t="s">
        <v>5899</v>
      </c>
      <c r="B533" s="14" t="s">
        <v>330</v>
      </c>
      <c r="C533" s="14" t="s">
        <v>205</v>
      </c>
      <c r="D533" s="14" t="s">
        <v>1185</v>
      </c>
      <c r="E533" s="15" t="str">
        <f>HYPERLINK("https://stat100.ameba.jp/tnk47/ratio20/illustrations/card/ill_73773_0_umibirakiinugamigyobu03.jpg?202104-i_prefecture_active_user", "■")</f>
        <v>■</v>
      </c>
      <c r="F533" s="14" t="s">
        <v>935</v>
      </c>
      <c r="G533" s="14">
        <v>208256</v>
      </c>
      <c r="H533" s="14">
        <v>224000</v>
      </c>
      <c r="I533" s="14">
        <v>24</v>
      </c>
      <c r="J533" s="14" t="s">
        <v>73</v>
      </c>
      <c r="K533" s="14" t="s">
        <v>1186</v>
      </c>
      <c r="L533" s="14" t="s">
        <v>1187</v>
      </c>
      <c r="M533" s="14" t="s">
        <v>9158</v>
      </c>
      <c r="N533" s="14" t="s">
        <v>9158</v>
      </c>
      <c r="O533" s="9" t="s">
        <v>2978</v>
      </c>
      <c r="P533" s="14" t="s">
        <v>2979</v>
      </c>
      <c r="Q533" s="14">
        <v>2</v>
      </c>
    </row>
    <row r="534" spans="1:17">
      <c r="A534" s="14" t="s">
        <v>5622</v>
      </c>
      <c r="B534" s="14" t="s">
        <v>330</v>
      </c>
      <c r="C534" s="14" t="s">
        <v>335</v>
      </c>
      <c r="D534" s="19" t="s">
        <v>1043</v>
      </c>
      <c r="E534" s="15" t="str">
        <f>HYPERLINK("https://stat100.ameba.jp/tnk47/ratio20/illustrations/card/ill_49953_0_yushamarihime03.jpg?202104-i_prefecture_active_user", "■")</f>
        <v>■</v>
      </c>
      <c r="F534" s="14" t="s">
        <v>510</v>
      </c>
      <c r="G534" s="14">
        <v>150776</v>
      </c>
      <c r="H534" s="14">
        <v>133938</v>
      </c>
      <c r="I534" s="14">
        <v>24</v>
      </c>
      <c r="J534" s="14" t="s">
        <v>315</v>
      </c>
      <c r="K534" s="14" t="s">
        <v>511</v>
      </c>
      <c r="L534" s="14" t="s">
        <v>512</v>
      </c>
      <c r="M534" s="14" t="s">
        <v>9158</v>
      </c>
      <c r="N534" s="14" t="s">
        <v>9158</v>
      </c>
      <c r="O534" s="14" t="s">
        <v>9158</v>
      </c>
      <c r="P534" s="14" t="s">
        <v>9158</v>
      </c>
      <c r="Q534" s="14" t="s">
        <v>9158</v>
      </c>
    </row>
    <row r="535" spans="1:17">
      <c r="A535" s="14">
        <v>96793</v>
      </c>
      <c r="B535" s="14" t="s">
        <v>0</v>
      </c>
      <c r="C535" s="14" t="s">
        <v>23</v>
      </c>
      <c r="D535" s="14" t="s">
        <v>16971</v>
      </c>
      <c r="E535" s="15" t="str">
        <f>HYPERLINK("https://stat100.ameba.jp/tnk47/ratio20/illustrations/card/ill_96793_basunotabimashumarochan03.jpg?202104-i_prefecture_active_user", "■")</f>
        <v>■</v>
      </c>
      <c r="F535" s="14" t="s">
        <v>16970</v>
      </c>
      <c r="G535" s="14">
        <v>127507</v>
      </c>
      <c r="H535" s="14">
        <v>118568</v>
      </c>
      <c r="I535" s="14">
        <v>27</v>
      </c>
      <c r="J535" s="14" t="s">
        <v>104</v>
      </c>
      <c r="K535" s="14" t="s">
        <v>16969</v>
      </c>
      <c r="L535" s="14" t="s">
        <v>16968</v>
      </c>
      <c r="M535" s="14" t="s">
        <v>9158</v>
      </c>
      <c r="N535" s="14" t="s">
        <v>9158</v>
      </c>
      <c r="O535" s="14" t="s">
        <v>9158</v>
      </c>
      <c r="P535" s="14" t="s">
        <v>9158</v>
      </c>
      <c r="Q535" s="14" t="s">
        <v>9158</v>
      </c>
    </row>
    <row r="536" spans="1:17">
      <c r="A536" s="14">
        <v>96813</v>
      </c>
      <c r="B536" s="14" t="s">
        <v>15</v>
      </c>
      <c r="C536" s="14" t="s">
        <v>14</v>
      </c>
      <c r="D536" s="14" t="s">
        <v>16977</v>
      </c>
      <c r="E536" s="15" t="str">
        <f>HYPERLINK("https://stat100.ameba.jp/tnk47/ratio20/illustrations/card/ill_96813_safuaripakunambutsuruhime03.jpg?202104-i_prefecture_active_user", "■")</f>
        <v>■</v>
      </c>
      <c r="F536" s="14" t="s">
        <v>16976</v>
      </c>
      <c r="G536" s="14">
        <v>72586</v>
      </c>
      <c r="H536" s="14">
        <v>80028</v>
      </c>
      <c r="I536" s="14">
        <v>27</v>
      </c>
      <c r="J536" s="14" t="s">
        <v>77</v>
      </c>
      <c r="K536" s="14" t="s">
        <v>3343</v>
      </c>
      <c r="L536" s="14" t="s">
        <v>973</v>
      </c>
      <c r="M536" s="14" t="s">
        <v>9158</v>
      </c>
      <c r="N536" s="14" t="s">
        <v>9158</v>
      </c>
      <c r="O536" s="14" t="s">
        <v>9158</v>
      </c>
      <c r="P536" s="14" t="s">
        <v>9158</v>
      </c>
      <c r="Q536" s="14" t="s">
        <v>9158</v>
      </c>
    </row>
    <row r="537" spans="1:17">
      <c r="A537" s="14">
        <v>96823</v>
      </c>
      <c r="B537" s="14" t="s">
        <v>22</v>
      </c>
      <c r="C537" s="14" t="s">
        <v>101</v>
      </c>
      <c r="D537" s="14" t="s">
        <v>16980</v>
      </c>
      <c r="E537" s="15" t="str">
        <f>HYPERLINK("https://stat100.ameba.jp/tnk47/ratio20/illustrations/card/ill_96823_ujotokuhime03.jpg?202104-i_prefecture_active_user", "■")</f>
        <v>■</v>
      </c>
      <c r="F537" s="14" t="s">
        <v>16979</v>
      </c>
      <c r="G537" s="14">
        <v>56138</v>
      </c>
      <c r="H537" s="14">
        <v>46676</v>
      </c>
      <c r="I537" s="14">
        <v>27</v>
      </c>
      <c r="J537" s="14" t="s">
        <v>77</v>
      </c>
      <c r="K537" s="14" t="s">
        <v>16978</v>
      </c>
      <c r="L537" s="14" t="s">
        <v>1732</v>
      </c>
      <c r="M537" s="14" t="s">
        <v>9158</v>
      </c>
      <c r="N537" s="14" t="s">
        <v>9158</v>
      </c>
      <c r="O537" s="14" t="s">
        <v>9158</v>
      </c>
      <c r="P537" s="14" t="s">
        <v>9158</v>
      </c>
      <c r="Q537" s="14" t="s">
        <v>9158</v>
      </c>
    </row>
    <row r="538" spans="1:17">
      <c r="A538" s="14">
        <v>96833</v>
      </c>
      <c r="B538" s="14" t="s">
        <v>22</v>
      </c>
      <c r="C538" s="14" t="s">
        <v>96</v>
      </c>
      <c r="D538" s="14" t="s">
        <v>16983</v>
      </c>
      <c r="E538" s="15" t="str">
        <f>HYPERLINK("https://stat100.ameba.jp/tnk47/ratio20/illustrations/card/ill_96833_korakukushikatsuchan03.jpg?202104-i_prefecture_active_user", "■")</f>
        <v>■</v>
      </c>
      <c r="F538" s="14" t="s">
        <v>16982</v>
      </c>
      <c r="G538" s="14">
        <v>46676</v>
      </c>
      <c r="H538" s="14">
        <v>56138</v>
      </c>
      <c r="I538" s="14">
        <v>27</v>
      </c>
      <c r="J538" s="14" t="s">
        <v>104</v>
      </c>
      <c r="K538" s="14" t="s">
        <v>16981</v>
      </c>
      <c r="L538" s="14" t="s">
        <v>3839</v>
      </c>
      <c r="M538" s="14" t="s">
        <v>9158</v>
      </c>
      <c r="N538" s="14" t="s">
        <v>9158</v>
      </c>
      <c r="O538" s="14" t="s">
        <v>9158</v>
      </c>
      <c r="P538" s="14" t="s">
        <v>9158</v>
      </c>
      <c r="Q538" s="14" t="s">
        <v>9158</v>
      </c>
    </row>
    <row r="540" spans="1:17">
      <c r="A540" s="14" t="s">
        <v>3905</v>
      </c>
      <c r="I540" s="7"/>
    </row>
    <row r="541" spans="1:17">
      <c r="A541" s="14">
        <v>237541</v>
      </c>
      <c r="B541" s="14" t="s">
        <v>17182</v>
      </c>
      <c r="I541" s="7"/>
    </row>
    <row r="542" spans="1:17">
      <c r="A542" s="14" t="s">
        <v>5650</v>
      </c>
      <c r="B542" s="14" t="s">
        <v>52</v>
      </c>
      <c r="C542" s="14" t="s">
        <v>23</v>
      </c>
      <c r="D542" s="19" t="s">
        <v>809</v>
      </c>
      <c r="E542" s="15" t="str">
        <f>HYPERLINK("https://stat100.ameba.jp/tnk47/ratio20/illustrations/card/ill_68033_0_kurisumasupateikandamyojin03.jpg?202104-i_prefecture_active_user", "■")</f>
        <v>■</v>
      </c>
      <c r="F542" s="14" t="s">
        <v>1871</v>
      </c>
      <c r="G542" s="14">
        <v>139878</v>
      </c>
      <c r="H542" s="14">
        <v>150466</v>
      </c>
      <c r="I542" s="14">
        <v>22</v>
      </c>
      <c r="J542" s="14" t="s">
        <v>44</v>
      </c>
      <c r="K542" s="14" t="s">
        <v>1872</v>
      </c>
      <c r="L542" s="14" t="s">
        <v>1873</v>
      </c>
      <c r="M542" s="14" t="s">
        <v>9158</v>
      </c>
      <c r="N542" s="14" t="s">
        <v>9158</v>
      </c>
      <c r="O542" s="19" t="s">
        <v>2997</v>
      </c>
      <c r="P542" s="14" t="s">
        <v>3483</v>
      </c>
      <c r="Q542" s="14">
        <v>2</v>
      </c>
    </row>
    <row r="543" spans="1:17">
      <c r="A543" s="9" t="s">
        <v>5614</v>
      </c>
      <c r="B543" s="14" t="s">
        <v>52</v>
      </c>
      <c r="C543" s="14" t="s">
        <v>205</v>
      </c>
      <c r="D543" s="14" t="s">
        <v>947</v>
      </c>
      <c r="E543" s="15" t="str">
        <f>HYPERLINK("https://stat100.ameba.jp/tnk47/ratio20/illustrations/card/ill_56223_0_onsempanikkugohime03.jpg?202104-i_prefecture_active_user", "■")</f>
        <v>■</v>
      </c>
      <c r="F543" s="14" t="s">
        <v>948</v>
      </c>
      <c r="G543" s="14">
        <v>122776</v>
      </c>
      <c r="H543" s="14">
        <v>138212</v>
      </c>
      <c r="I543" s="14">
        <v>22</v>
      </c>
      <c r="J543" s="14" t="s">
        <v>77</v>
      </c>
      <c r="K543" s="14" t="s">
        <v>949</v>
      </c>
      <c r="L543" s="14" t="s">
        <v>950</v>
      </c>
      <c r="M543" s="14" t="s">
        <v>9158</v>
      </c>
      <c r="N543" s="14" t="s">
        <v>9158</v>
      </c>
      <c r="O543" s="9" t="s">
        <v>3021</v>
      </c>
      <c r="P543" s="14" t="s">
        <v>2890</v>
      </c>
      <c r="Q543" s="14">
        <v>1</v>
      </c>
    </row>
    <row r="544" spans="1:17">
      <c r="A544" s="9" t="s">
        <v>5612</v>
      </c>
      <c r="B544" s="14" t="s">
        <v>330</v>
      </c>
      <c r="C544" s="14" t="s">
        <v>165</v>
      </c>
      <c r="D544" s="14" t="s">
        <v>789</v>
      </c>
      <c r="E544" s="15" t="str">
        <f>HYPERLINK("https://stat100.ameba.jp/tnk47/ratio20/illustrations/card/ill_49193_0_onmyoudouabenoseimei03.jpg?202104-i_prefecture_active_user", "■")</f>
        <v>■</v>
      </c>
      <c r="F544" s="14" t="s">
        <v>790</v>
      </c>
      <c r="G544" s="14">
        <v>122776</v>
      </c>
      <c r="H544" s="14">
        <v>138212</v>
      </c>
      <c r="I544" s="14">
        <v>22</v>
      </c>
      <c r="J544" s="14" t="s">
        <v>351</v>
      </c>
      <c r="K544" s="14" t="s">
        <v>791</v>
      </c>
      <c r="L544" s="14" t="s">
        <v>792</v>
      </c>
      <c r="M544" s="14" t="s">
        <v>9158</v>
      </c>
      <c r="N544" s="14" t="s">
        <v>9158</v>
      </c>
      <c r="O544" s="14" t="s">
        <v>9158</v>
      </c>
      <c r="P544" s="14" t="s">
        <v>9158</v>
      </c>
      <c r="Q544" s="14" t="s">
        <v>9158</v>
      </c>
    </row>
    <row r="545" spans="1:18">
      <c r="A545" s="14">
        <v>92003</v>
      </c>
      <c r="B545" s="14" t="s">
        <v>0</v>
      </c>
      <c r="C545" s="14" t="s">
        <v>14</v>
      </c>
      <c r="D545" s="14" t="s">
        <v>14904</v>
      </c>
      <c r="E545" s="15" t="str">
        <f>HYPERLINK("https://stat100.ameba.jp/tnk47/ratio20/illustrations/card/ill_92003_hibikiwataruneiroseiseshiria03.jpg?202104-i_prefecture_active_user", "■")</f>
        <v>■</v>
      </c>
      <c r="F545" s="14" t="s">
        <v>14903</v>
      </c>
      <c r="G545" s="14">
        <v>82180</v>
      </c>
      <c r="H545" s="14">
        <v>146079</v>
      </c>
      <c r="I545" s="14">
        <v>29</v>
      </c>
      <c r="J545" s="14" t="s">
        <v>10</v>
      </c>
      <c r="K545" s="14" t="s">
        <v>14902</v>
      </c>
      <c r="L545" s="14" t="s">
        <v>14901</v>
      </c>
      <c r="M545" s="14" t="s">
        <v>9158</v>
      </c>
      <c r="N545" s="14" t="s">
        <v>9158</v>
      </c>
      <c r="O545" s="14" t="s">
        <v>9158</v>
      </c>
      <c r="P545" s="14" t="s">
        <v>9158</v>
      </c>
      <c r="Q545" s="14" t="s">
        <v>9158</v>
      </c>
    </row>
    <row r="546" spans="1:18">
      <c r="A546" s="14">
        <v>70803</v>
      </c>
      <c r="B546" s="14" t="s">
        <v>334</v>
      </c>
      <c r="C546" s="14" t="s">
        <v>96</v>
      </c>
      <c r="D546" s="19" t="s">
        <v>10341</v>
      </c>
      <c r="E546" s="15" t="str">
        <f>HYPERLINK("https://stat100.ameba.jp/tnk47/ratio20/illustrations/card/ill_70803_awabichan03.jpg?202104-i_prefecture_active_user", "■")</f>
        <v>■</v>
      </c>
      <c r="F546" s="14" t="s">
        <v>2465</v>
      </c>
      <c r="G546" s="14">
        <v>81727</v>
      </c>
      <c r="H546" s="14">
        <v>145247</v>
      </c>
      <c r="I546" s="14">
        <v>29</v>
      </c>
      <c r="J546" s="14" t="s">
        <v>104</v>
      </c>
      <c r="K546" s="14" t="s">
        <v>2466</v>
      </c>
      <c r="L546" s="14" t="s">
        <v>1924</v>
      </c>
      <c r="M546" s="14" t="s">
        <v>9158</v>
      </c>
      <c r="N546" s="14" t="s">
        <v>9158</v>
      </c>
      <c r="O546" s="14" t="s">
        <v>9158</v>
      </c>
      <c r="P546" s="14" t="s">
        <v>9158</v>
      </c>
      <c r="Q546" s="14" t="s">
        <v>9158</v>
      </c>
    </row>
    <row r="547" spans="1:18">
      <c r="A547" s="14">
        <v>91263</v>
      </c>
      <c r="B547" s="14" t="s">
        <v>0</v>
      </c>
      <c r="C547" s="14" t="s">
        <v>23</v>
      </c>
      <c r="D547" s="14" t="s">
        <v>13613</v>
      </c>
      <c r="E547" s="15" t="str">
        <f>HYPERLINK("https://stat100.ameba.jp/tnk47/ratio20/illustrations/card/ill_91263_toriimototada03.jpg?202104-i_prefecture_active_user", "■")</f>
        <v>■</v>
      </c>
      <c r="F547" s="14" t="s">
        <v>13614</v>
      </c>
      <c r="G547" s="14">
        <v>160296</v>
      </c>
      <c r="H547" s="14">
        <v>172397</v>
      </c>
      <c r="I547" s="14">
        <v>29</v>
      </c>
      <c r="J547" s="14" t="s">
        <v>143</v>
      </c>
      <c r="K547" s="14" t="s">
        <v>1205</v>
      </c>
      <c r="L547" s="14" t="s">
        <v>12361</v>
      </c>
      <c r="M547" s="14" t="s">
        <v>9158</v>
      </c>
      <c r="N547" s="14" t="s">
        <v>9158</v>
      </c>
      <c r="O547" s="14" t="s">
        <v>9158</v>
      </c>
      <c r="P547" s="14" t="s">
        <v>9158</v>
      </c>
      <c r="Q547" s="14" t="s">
        <v>9158</v>
      </c>
    </row>
    <row r="549" spans="1:18">
      <c r="A549" s="14" t="s">
        <v>13327</v>
      </c>
    </row>
    <row r="550" spans="1:18">
      <c r="A550" s="14">
        <v>107789</v>
      </c>
      <c r="B550" s="14" t="s">
        <v>11998</v>
      </c>
    </row>
    <row r="551" spans="1:18">
      <c r="A551" s="14">
        <v>97493</v>
      </c>
      <c r="B551" s="14" t="s">
        <v>0</v>
      </c>
      <c r="C551" s="14" t="s">
        <v>335</v>
      </c>
      <c r="D551" s="14" t="s">
        <v>16764</v>
      </c>
      <c r="E551" s="15" t="str">
        <f>HYPERLINK("https://stat100.ameba.jp/tnk47/ratio20/illustrations/card/ill_97493_saiseinoshinkansopudeto03.jpg?202104-i_prefecture_active_user", "■")</f>
        <v>■</v>
      </c>
      <c r="F551" s="14" t="s">
        <v>16763</v>
      </c>
      <c r="G551" s="14">
        <v>132737</v>
      </c>
      <c r="H551" s="14">
        <v>142768</v>
      </c>
      <c r="I551" s="14">
        <v>29</v>
      </c>
      <c r="J551" s="14" t="s">
        <v>38</v>
      </c>
      <c r="K551" s="14" t="s">
        <v>16762</v>
      </c>
      <c r="L551" s="14" t="s">
        <v>16761</v>
      </c>
      <c r="M551" s="14" t="s">
        <v>2138</v>
      </c>
      <c r="N551" s="14" t="s">
        <v>2139</v>
      </c>
      <c r="O551" s="14" t="s">
        <v>9158</v>
      </c>
      <c r="P551" s="14" t="s">
        <v>9158</v>
      </c>
      <c r="Q551" s="14" t="s">
        <v>9158</v>
      </c>
      <c r="R551" s="14" t="s">
        <v>14748</v>
      </c>
    </row>
    <row r="552" spans="1:18">
      <c r="A552" s="14">
        <v>97492</v>
      </c>
      <c r="B552" s="14" t="s">
        <v>0</v>
      </c>
      <c r="C552" s="14" t="s">
        <v>335</v>
      </c>
      <c r="D552" s="14" t="s">
        <v>16764</v>
      </c>
      <c r="E552" s="15" t="str">
        <f>HYPERLINK("https://stat100.ameba.jp/tnk47/ratio20/illustrations/card/ill_97492_saiseinoshinkansopudeto02.jpg?202104-i_prefecture_active_user", "■")</f>
        <v>■</v>
      </c>
      <c r="F552" s="14" t="s">
        <v>16763</v>
      </c>
      <c r="G552" s="14">
        <v>109938</v>
      </c>
      <c r="H552" s="14">
        <v>119345</v>
      </c>
      <c r="I552" s="14">
        <v>29</v>
      </c>
      <c r="J552" s="14" t="s">
        <v>38</v>
      </c>
      <c r="K552" s="14" t="s">
        <v>16762</v>
      </c>
      <c r="L552" s="14" t="s">
        <v>16765</v>
      </c>
      <c r="M552" s="14" t="s">
        <v>13270</v>
      </c>
      <c r="N552" s="14" t="s">
        <v>13271</v>
      </c>
      <c r="O552" s="14" t="s">
        <v>9158</v>
      </c>
      <c r="P552" s="14" t="s">
        <v>9158</v>
      </c>
      <c r="Q552" s="14" t="s">
        <v>9158</v>
      </c>
      <c r="R552" s="14" t="s">
        <v>14748</v>
      </c>
    </row>
    <row r="553" spans="1:18">
      <c r="A553" s="14">
        <v>97491</v>
      </c>
      <c r="B553" s="14" t="s">
        <v>0</v>
      </c>
      <c r="C553" s="14" t="s">
        <v>335</v>
      </c>
      <c r="D553" s="14" t="s">
        <v>16764</v>
      </c>
      <c r="E553" s="15" t="str">
        <f>HYPERLINK("https://stat100.ameba.jp/tnk47/ratio20/illustrations/card/ill_97491_saiseinoshinkansopudeto01.jpg?202104-i_prefecture_active_user", "■")</f>
        <v>■</v>
      </c>
      <c r="F553" s="14" t="s">
        <v>16763</v>
      </c>
      <c r="G553" s="14">
        <v>84825</v>
      </c>
      <c r="H553" s="14">
        <v>91118</v>
      </c>
      <c r="I553" s="14">
        <v>29</v>
      </c>
      <c r="J553" s="14" t="s">
        <v>38</v>
      </c>
      <c r="K553" s="14" t="s">
        <v>16762</v>
      </c>
      <c r="L553" s="14" t="s">
        <v>16766</v>
      </c>
      <c r="M553" s="14" t="s">
        <v>13270</v>
      </c>
      <c r="N553" s="14" t="s">
        <v>13271</v>
      </c>
      <c r="O553" s="14" t="s">
        <v>9158</v>
      </c>
      <c r="P553" s="14" t="s">
        <v>9158</v>
      </c>
      <c r="Q553" s="14" t="s">
        <v>9158</v>
      </c>
      <c r="R553" s="14" t="s">
        <v>14748</v>
      </c>
    </row>
    <row r="554" spans="1:18">
      <c r="A554" s="14">
        <v>97503</v>
      </c>
      <c r="B554" s="14" t="s">
        <v>0</v>
      </c>
      <c r="C554" s="14" t="s">
        <v>200</v>
      </c>
      <c r="D554" s="14" t="s">
        <v>16770</v>
      </c>
      <c r="E554" s="15" t="str">
        <f>HYPERLINK("https://stat100.ameba.jp/tnk47/ratio20/illustrations/card/ill_97503_kokeinodein03.jpg?202104-i_prefecture_active_user", "■")</f>
        <v>■</v>
      </c>
      <c r="F554" s="14" t="s">
        <v>16769</v>
      </c>
      <c r="G554" s="14">
        <v>142768</v>
      </c>
      <c r="H554" s="14">
        <v>132737</v>
      </c>
      <c r="I554" s="14">
        <v>29</v>
      </c>
      <c r="J554" s="14" t="s">
        <v>143</v>
      </c>
      <c r="K554" s="14" t="s">
        <v>16768</v>
      </c>
      <c r="L554" s="14" t="s">
        <v>16767</v>
      </c>
      <c r="M554" s="14" t="s">
        <v>2138</v>
      </c>
      <c r="N554" s="14" t="s">
        <v>2139</v>
      </c>
      <c r="O554" s="14" t="s">
        <v>9158</v>
      </c>
      <c r="P554" s="14" t="s">
        <v>9158</v>
      </c>
      <c r="Q554" s="14" t="s">
        <v>9158</v>
      </c>
      <c r="R554" s="14" t="s">
        <v>14748</v>
      </c>
    </row>
    <row r="555" spans="1:18">
      <c r="A555" s="14">
        <v>97513</v>
      </c>
      <c r="B555" s="14" t="s">
        <v>0</v>
      </c>
      <c r="C555" s="14" t="s">
        <v>307</v>
      </c>
      <c r="D555" s="14" t="s">
        <v>16774</v>
      </c>
      <c r="E555" s="15" t="str">
        <f>HYPERLINK("https://stat100.ameba.jp/tnk47/ratio20/illustrations/card/ill_97513_yusuteiteia03.jpg?202104-i_prefecture_active_user", "■")</f>
        <v>■</v>
      </c>
      <c r="F555" s="14" t="s">
        <v>16773</v>
      </c>
      <c r="G555" s="14">
        <v>132737</v>
      </c>
      <c r="H555" s="14">
        <v>142768</v>
      </c>
      <c r="I555" s="14">
        <v>29</v>
      </c>
      <c r="J555" s="14" t="s">
        <v>44</v>
      </c>
      <c r="K555" s="14" t="s">
        <v>16772</v>
      </c>
      <c r="L555" s="14" t="s">
        <v>16771</v>
      </c>
      <c r="M555" s="14" t="s">
        <v>2138</v>
      </c>
      <c r="N555" s="14" t="s">
        <v>2139</v>
      </c>
      <c r="O555" s="14" t="s">
        <v>9158</v>
      </c>
      <c r="P555" s="14" t="s">
        <v>9158</v>
      </c>
      <c r="Q555" s="14" t="s">
        <v>9158</v>
      </c>
      <c r="R555" s="14" t="s">
        <v>14748</v>
      </c>
    </row>
    <row r="556" spans="1:18">
      <c r="A556" s="14">
        <v>97523</v>
      </c>
      <c r="B556" s="14" t="s">
        <v>0</v>
      </c>
      <c r="C556" s="14" t="s">
        <v>165</v>
      </c>
      <c r="D556" s="14" t="s">
        <v>16778</v>
      </c>
      <c r="E556" s="15" t="str">
        <f>HYPERLINK("https://stat100.ameba.jp/tnk47/ratio20/illustrations/card/ill_97523_karyua03.jpg?202104-i_prefecture_active_user", "■")</f>
        <v>■</v>
      </c>
      <c r="F556" s="14" t="s">
        <v>16777</v>
      </c>
      <c r="G556" s="14">
        <v>132737</v>
      </c>
      <c r="H556" s="14">
        <v>142768</v>
      </c>
      <c r="I556" s="14">
        <v>29</v>
      </c>
      <c r="J556" s="14" t="s">
        <v>26</v>
      </c>
      <c r="K556" s="14" t="s">
        <v>16776</v>
      </c>
      <c r="L556" s="14" t="s">
        <v>16775</v>
      </c>
      <c r="M556" s="14" t="s">
        <v>2138</v>
      </c>
      <c r="N556" s="14" t="s">
        <v>2139</v>
      </c>
      <c r="O556" s="14" t="s">
        <v>9158</v>
      </c>
      <c r="P556" s="14" t="s">
        <v>9158</v>
      </c>
      <c r="Q556" s="14" t="s">
        <v>9158</v>
      </c>
      <c r="R556" s="14" t="s">
        <v>14748</v>
      </c>
    </row>
    <row r="557" spans="1:18">
      <c r="A557" s="14">
        <v>97533</v>
      </c>
      <c r="B557" s="14" t="s">
        <v>0</v>
      </c>
      <c r="C557" s="9" t="s">
        <v>205</v>
      </c>
      <c r="D557" s="14" t="s">
        <v>16782</v>
      </c>
      <c r="E557" s="15" t="str">
        <f>HYPERLINK("https://stat100.ameba.jp/tnk47/ratio20/illustrations/card/ill_97533_pariakaka03.jpg?202104-i_prefecture_active_user", "■")</f>
        <v>■</v>
      </c>
      <c r="F557" s="14" t="s">
        <v>16781</v>
      </c>
      <c r="G557" s="14">
        <v>132737</v>
      </c>
      <c r="H557" s="14">
        <v>142768</v>
      </c>
      <c r="I557" s="14">
        <v>29</v>
      </c>
      <c r="J557" s="14" t="s">
        <v>10</v>
      </c>
      <c r="K557" s="14" t="s">
        <v>16780</v>
      </c>
      <c r="L557" s="14" t="s">
        <v>16779</v>
      </c>
      <c r="M557" s="14" t="s">
        <v>2138</v>
      </c>
      <c r="N557" s="14" t="s">
        <v>2139</v>
      </c>
      <c r="O557" s="14" t="s">
        <v>9158</v>
      </c>
      <c r="P557" s="14" t="s">
        <v>9158</v>
      </c>
      <c r="Q557" s="14" t="s">
        <v>9158</v>
      </c>
      <c r="R557" s="14" t="s">
        <v>14748</v>
      </c>
    </row>
    <row r="558" spans="1:18">
      <c r="A558" s="14">
        <v>97543</v>
      </c>
      <c r="B558" s="14" t="s">
        <v>0</v>
      </c>
      <c r="C558" s="14" t="s">
        <v>206</v>
      </c>
      <c r="D558" s="14" t="s">
        <v>16786</v>
      </c>
      <c r="E558" s="15" t="str">
        <f>HYPERLINK("https://stat100.ameba.jp/tnk47/ratio20/illustrations/card/ill_97543_kuroimorinohekuse03.jpg?202104-i_prefecture_active_user", "■")</f>
        <v>■</v>
      </c>
      <c r="F558" s="14" t="s">
        <v>16785</v>
      </c>
      <c r="G558" s="14">
        <v>142768</v>
      </c>
      <c r="H558" s="14">
        <v>132737</v>
      </c>
      <c r="I558" s="14">
        <v>29</v>
      </c>
      <c r="J558" s="14" t="s">
        <v>16</v>
      </c>
      <c r="K558" s="14" t="s">
        <v>16784</v>
      </c>
      <c r="L558" s="14" t="s">
        <v>16783</v>
      </c>
      <c r="M558" s="14" t="s">
        <v>2138</v>
      </c>
      <c r="N558" s="14" t="s">
        <v>2139</v>
      </c>
      <c r="O558" s="14" t="s">
        <v>9158</v>
      </c>
      <c r="P558" s="14" t="s">
        <v>9158</v>
      </c>
      <c r="Q558" s="14" t="s">
        <v>9158</v>
      </c>
      <c r="R558" s="14" t="s">
        <v>14748</v>
      </c>
    </row>
    <row r="560" spans="1:18">
      <c r="A560" s="14" t="s">
        <v>3643</v>
      </c>
    </row>
    <row r="561" spans="1:18">
      <c r="A561" s="14">
        <v>107656</v>
      </c>
      <c r="B561" s="14" t="s">
        <v>12003</v>
      </c>
    </row>
    <row r="562" spans="1:18">
      <c r="A562" s="14">
        <v>93735</v>
      </c>
      <c r="B562" s="14" t="s">
        <v>0</v>
      </c>
      <c r="C562" s="14" t="s">
        <v>202</v>
      </c>
      <c r="D562" s="18" t="s">
        <v>15517</v>
      </c>
      <c r="E562" s="15" t="str">
        <f>HYPERLINK("https://stat100.ameba.jp/tnk47/ratio20/illustrations/card/ill_93735_bampaiahantahitokagehana05.jpg?202104-i_prefecture_active_user", "■")</f>
        <v>■</v>
      </c>
      <c r="F562" s="14" t="s">
        <v>15516</v>
      </c>
      <c r="G562" s="14">
        <v>138202</v>
      </c>
      <c r="H562" s="14">
        <v>100052</v>
      </c>
      <c r="I562" s="14">
        <v>28</v>
      </c>
      <c r="J562" s="14" t="s">
        <v>38</v>
      </c>
      <c r="K562" s="14" t="s">
        <v>15515</v>
      </c>
      <c r="L562" s="14" t="s">
        <v>15520</v>
      </c>
      <c r="M562" s="14" t="s">
        <v>9158</v>
      </c>
      <c r="N562" s="14" t="s">
        <v>9158</v>
      </c>
      <c r="O562" s="14" t="s">
        <v>9158</v>
      </c>
      <c r="P562" s="14" t="s">
        <v>9158</v>
      </c>
      <c r="Q562" s="14" t="s">
        <v>9158</v>
      </c>
      <c r="R562" s="14" t="s">
        <v>174</v>
      </c>
    </row>
    <row r="563" spans="1:18">
      <c r="A563" s="14">
        <v>93733</v>
      </c>
      <c r="B563" s="14" t="s">
        <v>15</v>
      </c>
      <c r="C563" s="14" t="s">
        <v>41</v>
      </c>
      <c r="D563" s="18" t="s">
        <v>15517</v>
      </c>
      <c r="E563" s="15" t="str">
        <f>HYPERLINK("https://stat100.ameba.jp/tnk47/ratio20/illustrations/card/ill_93733_bampaiahantahitokagehana03.jpg?202104-i_prefecture_active_user", "■")</f>
        <v>■</v>
      </c>
      <c r="F563" s="14" t="s">
        <v>15516</v>
      </c>
      <c r="G563" s="14">
        <v>101816</v>
      </c>
      <c r="H563" s="14">
        <v>73710</v>
      </c>
      <c r="I563" s="14">
        <v>28</v>
      </c>
      <c r="J563" s="14" t="s">
        <v>38</v>
      </c>
      <c r="K563" s="14" t="s">
        <v>15515</v>
      </c>
      <c r="L563" s="14" t="s">
        <v>15519</v>
      </c>
      <c r="M563" s="14" t="s">
        <v>9158</v>
      </c>
      <c r="N563" s="14" t="s">
        <v>9158</v>
      </c>
      <c r="O563" s="14" t="s">
        <v>9158</v>
      </c>
      <c r="P563" s="14" t="s">
        <v>9158</v>
      </c>
      <c r="Q563" s="14" t="s">
        <v>9158</v>
      </c>
      <c r="R563" s="14" t="s">
        <v>175</v>
      </c>
    </row>
    <row r="564" spans="1:18">
      <c r="A564" s="14">
        <v>93731</v>
      </c>
      <c r="B564" s="14" t="s">
        <v>15</v>
      </c>
      <c r="C564" s="14" t="s">
        <v>41</v>
      </c>
      <c r="D564" s="18" t="s">
        <v>15517</v>
      </c>
      <c r="E564" s="15" t="str">
        <f>HYPERLINK("https://stat100.ameba.jp/tnk47/ratio20/illustrations/card/ill_93731_bampaiahantahitokagehana01.jpg?202104-i_prefecture_active_user", "■")</f>
        <v>■</v>
      </c>
      <c r="F564" s="14" t="s">
        <v>15516</v>
      </c>
      <c r="G564" s="14">
        <v>64764</v>
      </c>
      <c r="H564" s="14">
        <v>46872</v>
      </c>
      <c r="I564" s="14">
        <v>28</v>
      </c>
      <c r="J564" s="14" t="s">
        <v>38</v>
      </c>
      <c r="K564" s="14" t="s">
        <v>15515</v>
      </c>
      <c r="L564" s="14" t="s">
        <v>15514</v>
      </c>
      <c r="M564" s="14" t="s">
        <v>9158</v>
      </c>
      <c r="N564" s="14" t="s">
        <v>9158</v>
      </c>
      <c r="O564" s="14" t="s">
        <v>9158</v>
      </c>
      <c r="P564" s="14" t="s">
        <v>9158</v>
      </c>
      <c r="Q564" s="14" t="s">
        <v>9158</v>
      </c>
      <c r="R564" s="14" t="s">
        <v>176</v>
      </c>
    </row>
    <row r="565" spans="1:18">
      <c r="A565" s="14">
        <v>93955</v>
      </c>
      <c r="B565" s="14" t="s">
        <v>0</v>
      </c>
      <c r="C565" s="14" t="s">
        <v>35</v>
      </c>
      <c r="D565" s="14" t="s">
        <v>15664</v>
      </c>
      <c r="E565" s="15" t="str">
        <f>HYPERLINK("https://stat100.ameba.jp/tnk47/ratio20/illustrations/card/ill_93955_akinoshishakashia05.jpg?202104-i_prefecture_active_user", "■")</f>
        <v>■</v>
      </c>
      <c r="F565" s="14" t="s">
        <v>15663</v>
      </c>
      <c r="G565" s="14">
        <v>131636</v>
      </c>
      <c r="H565" s="14">
        <v>95308</v>
      </c>
      <c r="I565" s="14">
        <v>28</v>
      </c>
      <c r="J565" s="14" t="s">
        <v>44</v>
      </c>
      <c r="K565" s="14" t="s">
        <v>15661</v>
      </c>
      <c r="L565" s="14" t="s">
        <v>14197</v>
      </c>
      <c r="M565" s="14" t="s">
        <v>9158</v>
      </c>
      <c r="N565" s="14" t="s">
        <v>9158</v>
      </c>
      <c r="O565" s="14" t="s">
        <v>9158</v>
      </c>
      <c r="P565" s="14" t="s">
        <v>9158</v>
      </c>
      <c r="Q565" s="14" t="s">
        <v>9158</v>
      </c>
      <c r="R565" s="14" t="s">
        <v>174</v>
      </c>
    </row>
    <row r="566" spans="1:18">
      <c r="A566" s="14">
        <v>93953</v>
      </c>
      <c r="B566" s="14" t="s">
        <v>15</v>
      </c>
      <c r="C566" s="14" t="s">
        <v>47</v>
      </c>
      <c r="D566" s="14" t="s">
        <v>15664</v>
      </c>
      <c r="E566" s="15" t="str">
        <f>HYPERLINK("https://stat100.ameba.jp/tnk47/ratio20/illustrations/card/ill_93953_akinoshishakashia03.jpg?202104-i_prefecture_active_user", "■")</f>
        <v>■</v>
      </c>
      <c r="F566" s="14" t="s">
        <v>15663</v>
      </c>
      <c r="G566" s="14">
        <v>96978</v>
      </c>
      <c r="H566" s="14">
        <v>70218</v>
      </c>
      <c r="I566" s="14">
        <v>28</v>
      </c>
      <c r="J566" s="14" t="s">
        <v>44</v>
      </c>
      <c r="K566" s="14" t="s">
        <v>15661</v>
      </c>
      <c r="L566" s="14" t="s">
        <v>14731</v>
      </c>
      <c r="M566" s="14" t="s">
        <v>9158</v>
      </c>
      <c r="N566" s="14" t="s">
        <v>9158</v>
      </c>
      <c r="O566" s="14" t="s">
        <v>9158</v>
      </c>
      <c r="P566" s="14" t="s">
        <v>9158</v>
      </c>
      <c r="Q566" s="14" t="s">
        <v>9158</v>
      </c>
      <c r="R566" s="14" t="s">
        <v>175</v>
      </c>
    </row>
    <row r="567" spans="1:18">
      <c r="A567" s="14">
        <v>93951</v>
      </c>
      <c r="B567" s="14" t="s">
        <v>15</v>
      </c>
      <c r="C567" s="14" t="s">
        <v>47</v>
      </c>
      <c r="D567" s="14" t="s">
        <v>15664</v>
      </c>
      <c r="E567" s="15" t="str">
        <f>HYPERLINK("https://stat100.ameba.jp/tnk47/ratio20/illustrations/card/ill_93951_akinoshishakashia01.jpg?202104-i_prefecture_active_user", "■")</f>
        <v>■</v>
      </c>
      <c r="F567" s="14" t="s">
        <v>15663</v>
      </c>
      <c r="G567" s="14">
        <v>61684</v>
      </c>
      <c r="H567" s="14">
        <v>44660</v>
      </c>
      <c r="I567" s="14">
        <v>28</v>
      </c>
      <c r="J567" s="14" t="s">
        <v>44</v>
      </c>
      <c r="K567" s="14" t="s">
        <v>15661</v>
      </c>
      <c r="L567" s="14" t="s">
        <v>15670</v>
      </c>
      <c r="M567" s="14" t="s">
        <v>9158</v>
      </c>
      <c r="N567" s="14" t="s">
        <v>9158</v>
      </c>
      <c r="O567" s="14" t="s">
        <v>9158</v>
      </c>
      <c r="P567" s="14" t="s">
        <v>9158</v>
      </c>
      <c r="Q567" s="14" t="s">
        <v>9158</v>
      </c>
      <c r="R567" s="14" t="s">
        <v>176</v>
      </c>
    </row>
    <row r="568" spans="1:18">
      <c r="A568" s="14">
        <v>83075</v>
      </c>
      <c r="B568" s="14" t="s">
        <v>0</v>
      </c>
      <c r="C568" s="14" t="s">
        <v>202</v>
      </c>
      <c r="D568" s="19" t="s">
        <v>10502</v>
      </c>
      <c r="E568" s="15" t="str">
        <f>HYPERLINK("https://stat100.ameba.jp/tnk47/ratio20/illustrations/card/ill_83075_parakerusutera05.jpg?202104-i_prefecture_active_user", "■")</f>
        <v>■</v>
      </c>
      <c r="F568" s="14" t="s">
        <v>6305</v>
      </c>
      <c r="G568" s="14">
        <v>95308</v>
      </c>
      <c r="H568" s="14">
        <v>131636</v>
      </c>
      <c r="I568" s="14">
        <v>28</v>
      </c>
      <c r="J568" s="14" t="s">
        <v>10</v>
      </c>
      <c r="K568" s="14" t="s">
        <v>6314</v>
      </c>
      <c r="L568" s="14" t="s">
        <v>3851</v>
      </c>
      <c r="M568" s="14" t="s">
        <v>9158</v>
      </c>
      <c r="N568" s="14" t="s">
        <v>9158</v>
      </c>
      <c r="O568" s="14" t="s">
        <v>9158</v>
      </c>
      <c r="P568" s="14" t="s">
        <v>9158</v>
      </c>
      <c r="Q568" s="14" t="s">
        <v>9158</v>
      </c>
      <c r="R568" s="14" t="s">
        <v>174</v>
      </c>
    </row>
    <row r="569" spans="1:18">
      <c r="A569" s="14">
        <v>83073</v>
      </c>
      <c r="B569" s="14" t="s">
        <v>15</v>
      </c>
      <c r="C569" s="14" t="s">
        <v>209</v>
      </c>
      <c r="D569" s="19" t="s">
        <v>10502</v>
      </c>
      <c r="E569" s="15" t="str">
        <f>HYPERLINK("https://stat100.ameba.jp/tnk47/ratio20/illustrations/card/ill_83073_parakerusutera03.jpg?202104-i_prefecture_active_user", "■")</f>
        <v>■</v>
      </c>
      <c r="F569" s="14" t="s">
        <v>6305</v>
      </c>
      <c r="G569" s="14">
        <v>70218</v>
      </c>
      <c r="H569" s="14">
        <v>95308</v>
      </c>
      <c r="I569" s="14">
        <v>28</v>
      </c>
      <c r="J569" s="14" t="s">
        <v>10</v>
      </c>
      <c r="K569" s="14" t="s">
        <v>6314</v>
      </c>
      <c r="L569" s="14" t="s">
        <v>3852</v>
      </c>
      <c r="M569" s="14" t="s">
        <v>9158</v>
      </c>
      <c r="N569" s="14" t="s">
        <v>9158</v>
      </c>
      <c r="O569" s="14" t="s">
        <v>9158</v>
      </c>
      <c r="P569" s="14" t="s">
        <v>9158</v>
      </c>
      <c r="Q569" s="14" t="s">
        <v>9158</v>
      </c>
      <c r="R569" s="14" t="s">
        <v>175</v>
      </c>
    </row>
    <row r="570" spans="1:18">
      <c r="A570" s="14">
        <v>83071</v>
      </c>
      <c r="B570" s="14" t="s">
        <v>15</v>
      </c>
      <c r="C570" s="14" t="s">
        <v>209</v>
      </c>
      <c r="D570" s="19" t="s">
        <v>10502</v>
      </c>
      <c r="E570" s="15" t="str">
        <f>HYPERLINK("https://stat100.ameba.jp/tnk47/ratio20/illustrations/card/ill_83071_parakerusutera01.jpg?202104-i_prefecture_active_user", "■")</f>
        <v>■</v>
      </c>
      <c r="F570" s="14" t="s">
        <v>6305</v>
      </c>
      <c r="G570" s="14">
        <v>44660</v>
      </c>
      <c r="H570" s="14">
        <v>61684</v>
      </c>
      <c r="I570" s="14">
        <v>28</v>
      </c>
      <c r="J570" s="14" t="s">
        <v>10</v>
      </c>
      <c r="K570" s="14" t="s">
        <v>6314</v>
      </c>
      <c r="L570" s="14" t="s">
        <v>3683</v>
      </c>
      <c r="M570" s="14" t="s">
        <v>9158</v>
      </c>
      <c r="N570" s="14" t="s">
        <v>9158</v>
      </c>
      <c r="O570" s="14" t="s">
        <v>9158</v>
      </c>
      <c r="P570" s="14" t="s">
        <v>9158</v>
      </c>
      <c r="Q570" s="14" t="s">
        <v>9158</v>
      </c>
      <c r="R570" s="14" t="s">
        <v>176</v>
      </c>
    </row>
    <row r="572" spans="1:18">
      <c r="A572" s="14" t="s">
        <v>12630</v>
      </c>
    </row>
    <row r="573" spans="1:18">
      <c r="A573" s="14">
        <v>237566</v>
      </c>
      <c r="B573" s="14" t="s">
        <v>17183</v>
      </c>
    </row>
    <row r="574" spans="1:18">
      <c r="A574" s="14">
        <v>237576</v>
      </c>
      <c r="B574" s="14" t="s">
        <v>15725</v>
      </c>
    </row>
    <row r="575" spans="1:18">
      <c r="A575" s="14" t="s">
        <v>11909</v>
      </c>
    </row>
    <row r="576" spans="1:18">
      <c r="A576" s="9" t="s">
        <v>9325</v>
      </c>
      <c r="B576" s="7" t="s">
        <v>52</v>
      </c>
      <c r="C576" s="9" t="s">
        <v>202</v>
      </c>
      <c r="D576" s="19" t="s">
        <v>10947</v>
      </c>
      <c r="E576" s="15" t="str">
        <f>HYPERLINK("https://stat100.ameba.jp/tnk47/ratio20/illustrations/card/ill_86893_0_chokonohisukeban03.jpg?202104-i_prefecture_active_user", "■")</f>
        <v>■</v>
      </c>
      <c r="F576" s="14" t="s">
        <v>9332</v>
      </c>
      <c r="G576" s="9">
        <v>364754</v>
      </c>
      <c r="H576" s="9">
        <v>329646</v>
      </c>
      <c r="I576" s="7">
        <v>28</v>
      </c>
      <c r="J576" s="9" t="s">
        <v>187</v>
      </c>
      <c r="K576" s="14" t="s">
        <v>9330</v>
      </c>
      <c r="L576" s="14" t="s">
        <v>9331</v>
      </c>
      <c r="M576" s="14" t="s">
        <v>9158</v>
      </c>
      <c r="N576" s="14" t="s">
        <v>9158</v>
      </c>
      <c r="O576" s="19" t="s">
        <v>10136</v>
      </c>
      <c r="P576" s="7" t="s">
        <v>9324</v>
      </c>
      <c r="Q576" s="7">
        <v>1</v>
      </c>
    </row>
    <row r="577" spans="1:17">
      <c r="A577" s="14" t="s">
        <v>5891</v>
      </c>
      <c r="B577" s="14" t="s">
        <v>330</v>
      </c>
      <c r="C577" s="14" t="s">
        <v>202</v>
      </c>
      <c r="D577" s="20" t="s">
        <v>1371</v>
      </c>
      <c r="E577" s="15" t="str">
        <f>HYPERLINK("https://stat100.ameba.jp/tnk47/ratio20/illustrations/card/ill_77173_0_yukemuritomoegozen03.jpg?202104-i_prefecture_active_user", "■")</f>
        <v>■</v>
      </c>
      <c r="F577" s="14" t="s">
        <v>1372</v>
      </c>
      <c r="G577" s="14">
        <v>280684</v>
      </c>
      <c r="H577" s="14">
        <v>310558</v>
      </c>
      <c r="I577" s="14">
        <v>28</v>
      </c>
      <c r="J577" s="14" t="s">
        <v>310</v>
      </c>
      <c r="K577" s="14" t="s">
        <v>1373</v>
      </c>
      <c r="L577" s="14" t="s">
        <v>1374</v>
      </c>
      <c r="M577" s="14" t="s">
        <v>9158</v>
      </c>
      <c r="N577" s="14" t="s">
        <v>9158</v>
      </c>
      <c r="O577" s="19" t="s">
        <v>4067</v>
      </c>
      <c r="P577" s="14" t="s">
        <v>3879</v>
      </c>
      <c r="Q577" s="14">
        <v>2</v>
      </c>
    </row>
    <row r="578" spans="1:17">
      <c r="A578" s="14" t="s">
        <v>13435</v>
      </c>
      <c r="B578" s="7" t="s">
        <v>52</v>
      </c>
      <c r="C578" s="14" t="s">
        <v>202</v>
      </c>
      <c r="D578" s="18" t="s">
        <v>13434</v>
      </c>
      <c r="E578" s="15" t="str">
        <f>HYPERLINK("https://stat100.ameba.jp/tnk47/ratio20/illustrations/card/ill_91073_0_mizugiaidorusarukanigassen03.jpg?202104-i_prefecture_active_user", "■")</f>
        <v>■</v>
      </c>
      <c r="F578" s="14" t="s">
        <v>13436</v>
      </c>
      <c r="G578" s="14">
        <v>324004</v>
      </c>
      <c r="H578" s="14">
        <v>292832</v>
      </c>
      <c r="I578" s="7">
        <v>28</v>
      </c>
      <c r="J578" s="14" t="s">
        <v>38</v>
      </c>
      <c r="K578" s="14" t="s">
        <v>13437</v>
      </c>
      <c r="L578" s="14" t="s">
        <v>13438</v>
      </c>
      <c r="M578" s="14" t="s">
        <v>9158</v>
      </c>
      <c r="N578" s="14" t="s">
        <v>9158</v>
      </c>
      <c r="O578" s="6" t="s">
        <v>13439</v>
      </c>
      <c r="P578" s="7" t="s">
        <v>13440</v>
      </c>
      <c r="Q578" s="7">
        <v>1</v>
      </c>
    </row>
    <row r="579" spans="1:17">
      <c r="A579" s="14">
        <v>88573</v>
      </c>
      <c r="B579" s="14" t="s">
        <v>0</v>
      </c>
      <c r="C579" s="14" t="s">
        <v>185</v>
      </c>
      <c r="D579" s="14" t="s">
        <v>12124</v>
      </c>
      <c r="E579" s="15" t="str">
        <f>HYPERLINK("https://stat100.ameba.jp/tnk47/ratio20/illustrations/card/ill_88573_mukadehime03.jpg?202104-i_prefecture_active_user", "■")</f>
        <v>■</v>
      </c>
      <c r="F579" s="14" t="s">
        <v>12138</v>
      </c>
      <c r="G579" s="14">
        <v>109381</v>
      </c>
      <c r="H579" s="14">
        <v>117591</v>
      </c>
      <c r="I579" s="14">
        <v>29</v>
      </c>
      <c r="J579" s="14" t="s">
        <v>155</v>
      </c>
      <c r="K579" s="14" t="s">
        <v>12137</v>
      </c>
      <c r="L579" s="14" t="s">
        <v>12136</v>
      </c>
      <c r="M579" s="14" t="s">
        <v>9158</v>
      </c>
      <c r="N579" s="14" t="s">
        <v>9158</v>
      </c>
      <c r="O579" s="14" t="s">
        <v>9158</v>
      </c>
      <c r="P579" s="14" t="s">
        <v>9158</v>
      </c>
      <c r="Q579" s="14" t="s">
        <v>9158</v>
      </c>
    </row>
    <row r="580" spans="1:17">
      <c r="A580" s="14">
        <v>88623</v>
      </c>
      <c r="B580" s="14" t="s">
        <v>0</v>
      </c>
      <c r="C580" s="14" t="s">
        <v>200</v>
      </c>
      <c r="D580" s="14" t="s">
        <v>12204</v>
      </c>
      <c r="E580" s="15" t="str">
        <f>HYPERLINK("https://stat100.ameba.jp/tnk47/ratio20/illustrations/card/ill_88623_yuenchirorakosuta03.jpg?202104-i_prefecture_active_user", "■")</f>
        <v>■</v>
      </c>
      <c r="F580" s="14" t="s">
        <v>12205</v>
      </c>
      <c r="G580" s="14">
        <v>132112</v>
      </c>
      <c r="H580" s="14">
        <v>122834</v>
      </c>
      <c r="I580" s="14">
        <v>29</v>
      </c>
      <c r="J580" s="14" t="s">
        <v>26</v>
      </c>
      <c r="K580" s="14" t="s">
        <v>12207</v>
      </c>
      <c r="L580" s="14" t="s">
        <v>12208</v>
      </c>
      <c r="M580" s="14" t="s">
        <v>9158</v>
      </c>
      <c r="N580" s="14" t="s">
        <v>9158</v>
      </c>
      <c r="O580" s="14" t="s">
        <v>9158</v>
      </c>
      <c r="P580" s="14" t="s">
        <v>9158</v>
      </c>
      <c r="Q580" s="14" t="s">
        <v>9158</v>
      </c>
    </row>
    <row r="581" spans="1:17">
      <c r="A581" s="14">
        <v>89303</v>
      </c>
      <c r="B581" s="14" t="s">
        <v>0</v>
      </c>
      <c r="C581" s="14" t="s">
        <v>101</v>
      </c>
      <c r="D581" s="14" t="s">
        <v>12706</v>
      </c>
      <c r="E581" s="15" t="str">
        <f>HYPERLINK("https://stat100.ameba.jp/tnk47/ratio20/illustrations/card/ill_89303_ransaapaosha03.jpg?202104-i_prefecture_active_user", "■")</f>
        <v>■</v>
      </c>
      <c r="F581" s="14" t="s">
        <v>12712</v>
      </c>
      <c r="G581" s="14">
        <v>132112</v>
      </c>
      <c r="H581" s="14">
        <v>122834</v>
      </c>
      <c r="I581" s="14">
        <v>29</v>
      </c>
      <c r="J581" s="14" t="s">
        <v>38</v>
      </c>
      <c r="K581" s="14" t="s">
        <v>12714</v>
      </c>
      <c r="L581" s="14" t="s">
        <v>12715</v>
      </c>
      <c r="M581" s="14" t="s">
        <v>9158</v>
      </c>
      <c r="N581" s="14" t="s">
        <v>9158</v>
      </c>
      <c r="O581" s="14" t="s">
        <v>9158</v>
      </c>
      <c r="P581" s="14" t="s">
        <v>9158</v>
      </c>
      <c r="Q581" s="14" t="s">
        <v>9158</v>
      </c>
    </row>
    <row r="582" spans="1:17">
      <c r="A582" s="14">
        <v>89753</v>
      </c>
      <c r="B582" s="14" t="s">
        <v>334</v>
      </c>
      <c r="C582" s="14" t="s">
        <v>96</v>
      </c>
      <c r="D582" s="14" t="s">
        <v>13302</v>
      </c>
      <c r="E582" s="15" t="str">
        <f>HYPERLINK("https://stat100.ameba.jp/tnk47/ratio20/illustrations/card/ill_89753_sennyusosanukatanookimi03.jpg?202104-i_prefecture_active_user", "■")</f>
        <v>■</v>
      </c>
      <c r="F582" s="14" t="s">
        <v>13304</v>
      </c>
      <c r="G582" s="14">
        <v>105281</v>
      </c>
      <c r="H582" s="14">
        <v>113277</v>
      </c>
      <c r="I582" s="14">
        <v>29</v>
      </c>
      <c r="J582" s="14" t="s">
        <v>16</v>
      </c>
      <c r="K582" s="14" t="s">
        <v>13306</v>
      </c>
      <c r="L582" s="14" t="s">
        <v>12599</v>
      </c>
      <c r="M582" s="14" t="s">
        <v>9158</v>
      </c>
      <c r="N582" s="14" t="s">
        <v>9158</v>
      </c>
      <c r="O582" s="14" t="s">
        <v>9158</v>
      </c>
      <c r="P582" s="14" t="s">
        <v>9158</v>
      </c>
      <c r="Q582" s="14" t="s">
        <v>9158</v>
      </c>
    </row>
    <row r="583" spans="1:17">
      <c r="A583" s="14">
        <v>89483</v>
      </c>
      <c r="B583" s="14" t="s">
        <v>0</v>
      </c>
      <c r="C583" s="14" t="s">
        <v>1</v>
      </c>
      <c r="D583" s="14" t="s">
        <v>12999</v>
      </c>
      <c r="E583" s="15" t="str">
        <f>HYPERLINK("https://stat100.ameba.jp/tnk47/ratio20/illustrations/card/ill_89483_tenyueiju03.jpg?202104-i_prefecture_active_user", "■")</f>
        <v>■</v>
      </c>
      <c r="F583" s="14" t="s">
        <v>13003</v>
      </c>
      <c r="G583" s="14">
        <v>113277</v>
      </c>
      <c r="H583" s="14">
        <v>105281</v>
      </c>
      <c r="I583" s="14">
        <v>29</v>
      </c>
      <c r="J583" s="14" t="s">
        <v>77</v>
      </c>
      <c r="K583" s="14" t="s">
        <v>8607</v>
      </c>
      <c r="L583" s="14" t="s">
        <v>12081</v>
      </c>
      <c r="M583" s="14" t="s">
        <v>9158</v>
      </c>
      <c r="N583" s="14" t="s">
        <v>9158</v>
      </c>
      <c r="O583" s="14" t="s">
        <v>9158</v>
      </c>
      <c r="P583" s="14" t="s">
        <v>9158</v>
      </c>
      <c r="Q583" s="14" t="s">
        <v>9158</v>
      </c>
    </row>
    <row r="584" spans="1:17">
      <c r="A584" s="14">
        <v>91123</v>
      </c>
      <c r="B584" s="14" t="s">
        <v>0</v>
      </c>
      <c r="C584" s="14" t="s">
        <v>107</v>
      </c>
      <c r="D584" s="14" t="s">
        <v>13566</v>
      </c>
      <c r="E584" s="15" t="str">
        <f>HYPERLINK("https://stat100.ameba.jp/tnk47/ratio20/illustrations/card/ill_91123_mizugiaidorunurikabe03.jpg?202104-i_prefecture_active_user", "■")</f>
        <v>■</v>
      </c>
      <c r="F584" s="14" t="s">
        <v>13569</v>
      </c>
      <c r="G584" s="14">
        <v>160296</v>
      </c>
      <c r="H584" s="14">
        <v>172397</v>
      </c>
      <c r="I584" s="14">
        <v>29</v>
      </c>
      <c r="J584" s="14" t="s">
        <v>73</v>
      </c>
      <c r="K584" s="14" t="s">
        <v>13571</v>
      </c>
      <c r="L584" s="14" t="s">
        <v>12721</v>
      </c>
      <c r="M584" s="14" t="s">
        <v>9158</v>
      </c>
      <c r="N584" s="14" t="s">
        <v>9158</v>
      </c>
      <c r="O584" s="14" t="s">
        <v>9158</v>
      </c>
      <c r="P584" s="14" t="s">
        <v>9158</v>
      </c>
      <c r="Q584" s="14" t="s">
        <v>9158</v>
      </c>
    </row>
    <row r="586" spans="1:17">
      <c r="A586" s="14" t="s">
        <v>3911</v>
      </c>
      <c r="I586" s="7"/>
    </row>
    <row r="587" spans="1:17">
      <c r="A587" s="14">
        <v>107753</v>
      </c>
      <c r="B587" s="14" t="s">
        <v>17184</v>
      </c>
      <c r="I587" s="7"/>
    </row>
    <row r="588" spans="1:17">
      <c r="A588" s="14">
        <v>107763</v>
      </c>
      <c r="B588" s="14" t="s">
        <v>15721</v>
      </c>
      <c r="I588" s="7"/>
    </row>
    <row r="589" spans="1:17">
      <c r="A589" s="14" t="s">
        <v>15440</v>
      </c>
      <c r="B589" s="7" t="s">
        <v>52</v>
      </c>
      <c r="C589" s="14" t="s">
        <v>202</v>
      </c>
      <c r="D589" s="18" t="s">
        <v>15441</v>
      </c>
      <c r="E589" s="15" t="str">
        <f>HYPERLINK("https://stat100.ameba.jp/tnk47/ratio20/illustrations/card/ill_93683_0_yukemurionsenshirowainchan03.jpg?202104-i_prefecture_active_user", "■")</f>
        <v>■</v>
      </c>
      <c r="F589" s="14" t="s">
        <v>15444</v>
      </c>
      <c r="G589" s="14">
        <v>287477</v>
      </c>
      <c r="H589" s="14">
        <v>351388</v>
      </c>
      <c r="I589" s="14">
        <v>29</v>
      </c>
      <c r="J589" s="14" t="s">
        <v>104</v>
      </c>
      <c r="K589" s="14" t="s">
        <v>15443</v>
      </c>
      <c r="L589" s="14" t="s">
        <v>15442</v>
      </c>
      <c r="M589" s="14" t="s">
        <v>9158</v>
      </c>
      <c r="N589" s="14" t="s">
        <v>9158</v>
      </c>
      <c r="O589" s="6" t="s">
        <v>15445</v>
      </c>
      <c r="P589" s="7" t="s">
        <v>15446</v>
      </c>
      <c r="Q589" s="7">
        <v>1</v>
      </c>
    </row>
    <row r="590" spans="1:17">
      <c r="A590" s="14" t="s">
        <v>13086</v>
      </c>
      <c r="B590" s="7" t="s">
        <v>52</v>
      </c>
      <c r="C590" s="14" t="s">
        <v>202</v>
      </c>
      <c r="D590" s="18" t="s">
        <v>13084</v>
      </c>
      <c r="E590" s="15" t="str">
        <f>HYPERLINK("https://stat100.ameba.jp/tnk47/ratio20/illustrations/card/ill_89703_0_jumburaidohimiko03.jpg?202104-i_prefecture_active_user", "■")</f>
        <v>■</v>
      </c>
      <c r="F590" s="14" t="s">
        <v>13085</v>
      </c>
      <c r="G590" s="14">
        <v>369585</v>
      </c>
      <c r="H590" s="14">
        <v>302369</v>
      </c>
      <c r="I590" s="14">
        <v>29</v>
      </c>
      <c r="J590" s="14" t="s">
        <v>10</v>
      </c>
      <c r="K590" s="14" t="s">
        <v>13087</v>
      </c>
      <c r="L590" s="14" t="s">
        <v>12016</v>
      </c>
      <c r="M590" s="14" t="s">
        <v>9158</v>
      </c>
      <c r="N590" s="14" t="s">
        <v>9158</v>
      </c>
      <c r="O590" s="6" t="s">
        <v>13088</v>
      </c>
      <c r="P590" s="7" t="s">
        <v>13089</v>
      </c>
      <c r="Q590" s="7">
        <v>1</v>
      </c>
    </row>
    <row r="591" spans="1:17">
      <c r="A591" s="14" t="s">
        <v>5721</v>
      </c>
      <c r="B591" s="14" t="s">
        <v>52</v>
      </c>
      <c r="C591" s="14" t="s">
        <v>1</v>
      </c>
      <c r="D591" s="19" t="s">
        <v>513</v>
      </c>
      <c r="E591" s="15" t="str">
        <f>HYPERLINK("https://stat100.ameba.jp/tnk47/ratio20/illustrations/card/ill_44283_0_izumonokuni03.jpg?202104-i_prefecture_active_user", "■")</f>
        <v>■</v>
      </c>
      <c r="F591" s="14" t="s">
        <v>1716</v>
      </c>
      <c r="G591" s="14">
        <v>169708</v>
      </c>
      <c r="H591" s="14">
        <v>158942</v>
      </c>
      <c r="I591" s="14">
        <v>29</v>
      </c>
      <c r="J591" s="14" t="s">
        <v>16</v>
      </c>
      <c r="K591" s="14" t="s">
        <v>2254</v>
      </c>
      <c r="L591" s="14" t="s">
        <v>1718</v>
      </c>
      <c r="M591" s="14" t="s">
        <v>9158</v>
      </c>
      <c r="N591" s="14" t="s">
        <v>9158</v>
      </c>
      <c r="O591" s="14" t="s">
        <v>9158</v>
      </c>
      <c r="P591" s="14" t="s">
        <v>9158</v>
      </c>
      <c r="Q591" s="14" t="s">
        <v>9158</v>
      </c>
    </row>
    <row r="592" spans="1:17">
      <c r="A592" s="14">
        <v>76803</v>
      </c>
      <c r="B592" s="14" t="s">
        <v>334</v>
      </c>
      <c r="C592" s="14" t="s">
        <v>202</v>
      </c>
      <c r="D592" s="19" t="s">
        <v>673</v>
      </c>
      <c r="E592" s="15" t="str">
        <f>HYPERLINK("https://stat100.ameba.jp/tnk47/ratio20/illustrations/card/ill_76803_monsutakujirachan03.jpg?202104-i_prefecture_active_user", "■")</f>
        <v>■</v>
      </c>
      <c r="F592" s="14" t="s">
        <v>674</v>
      </c>
      <c r="G592" s="14">
        <v>192940</v>
      </c>
      <c r="H592" s="14">
        <v>139753</v>
      </c>
      <c r="I592" s="14">
        <v>29</v>
      </c>
      <c r="J592" s="14" t="s">
        <v>283</v>
      </c>
      <c r="K592" s="14" t="s">
        <v>675</v>
      </c>
      <c r="L592" s="14" t="s">
        <v>435</v>
      </c>
      <c r="M592" s="14" t="s">
        <v>9158</v>
      </c>
      <c r="N592" s="14" t="s">
        <v>9158</v>
      </c>
      <c r="O592" s="19" t="s">
        <v>3165</v>
      </c>
      <c r="P592" s="14" t="s">
        <v>13139</v>
      </c>
      <c r="Q592" s="14">
        <v>1</v>
      </c>
    </row>
    <row r="593" spans="1:17">
      <c r="A593" s="14">
        <v>60173</v>
      </c>
      <c r="B593" s="14" t="s">
        <v>0</v>
      </c>
      <c r="C593" s="14" t="s">
        <v>41</v>
      </c>
      <c r="D593" s="19" t="s">
        <v>10231</v>
      </c>
      <c r="E593" s="15" t="str">
        <f>HYPERLINK("https://stat100.ameba.jp/tnk47/ratio20/illustrations/card/ill_60173_kugutsushi03.jpg?202104-i_prefecture_active_user", "■")</f>
        <v>■</v>
      </c>
      <c r="F593" s="14" t="s">
        <v>4282</v>
      </c>
      <c r="G593" s="14">
        <v>107188</v>
      </c>
      <c r="H593" s="14">
        <v>147992</v>
      </c>
      <c r="I593" s="14">
        <v>29</v>
      </c>
      <c r="J593" s="14" t="s">
        <v>38</v>
      </c>
      <c r="K593" s="14" t="s">
        <v>4283</v>
      </c>
      <c r="L593" s="14" t="s">
        <v>2714</v>
      </c>
      <c r="M593" s="14" t="s">
        <v>9158</v>
      </c>
      <c r="N593" s="14" t="s">
        <v>9158</v>
      </c>
      <c r="O593" s="19" t="s">
        <v>10113</v>
      </c>
      <c r="P593" s="14" t="s">
        <v>4285</v>
      </c>
      <c r="Q593" s="14">
        <v>1</v>
      </c>
    </row>
    <row r="594" spans="1:17">
      <c r="A594" s="14">
        <v>62473</v>
      </c>
      <c r="B594" s="14" t="s">
        <v>334</v>
      </c>
      <c r="C594" s="14" t="s">
        <v>203</v>
      </c>
      <c r="D594" s="20" t="s">
        <v>2834</v>
      </c>
      <c r="E594" s="15" t="str">
        <f>HYPERLINK("https://stat100.ameba.jp/tnk47/ratio20/illustrations/card/ill_62473_kokuriko03.jpg?202104-i_prefecture_active_user", "■")</f>
        <v>■</v>
      </c>
      <c r="F594" s="14" t="s">
        <v>2835</v>
      </c>
      <c r="G594" s="14">
        <v>132379</v>
      </c>
      <c r="H594" s="14">
        <v>95880</v>
      </c>
      <c r="I594" s="14">
        <v>29</v>
      </c>
      <c r="J594" s="14" t="s">
        <v>401</v>
      </c>
      <c r="K594" s="14" t="s">
        <v>2836</v>
      </c>
      <c r="L594" s="14" t="s">
        <v>2837</v>
      </c>
      <c r="M594" s="14" t="s">
        <v>9158</v>
      </c>
      <c r="N594" s="14" t="s">
        <v>9158</v>
      </c>
      <c r="O594" s="19" t="s">
        <v>2838</v>
      </c>
      <c r="P594" s="14" t="s">
        <v>2839</v>
      </c>
      <c r="Q594" s="14">
        <v>1</v>
      </c>
    </row>
    <row r="595" spans="1:17">
      <c r="A595" s="14">
        <v>67103</v>
      </c>
      <c r="B595" s="14" t="s">
        <v>334</v>
      </c>
      <c r="C595" s="14" t="s">
        <v>154</v>
      </c>
      <c r="D595" s="20" t="s">
        <v>10253</v>
      </c>
      <c r="E595" s="15" t="str">
        <f>HYPERLINK("https://stat100.ameba.jp/tnk47/ratio20/illustrations/card/ill_67103_ankonabe03.jpg?202104-i_prefecture_active_user", "■")</f>
        <v>■</v>
      </c>
      <c r="F595" s="14" t="s">
        <v>1283</v>
      </c>
      <c r="G595" s="14">
        <v>111017</v>
      </c>
      <c r="H595" s="14">
        <v>153288</v>
      </c>
      <c r="I595" s="14">
        <v>29</v>
      </c>
      <c r="J595" s="14" t="s">
        <v>216</v>
      </c>
      <c r="K595" s="14" t="s">
        <v>1284</v>
      </c>
      <c r="L595" s="14" t="s">
        <v>13153</v>
      </c>
      <c r="M595" s="14" t="s">
        <v>9158</v>
      </c>
      <c r="N595" s="14" t="s">
        <v>9158</v>
      </c>
      <c r="O595" s="19" t="s">
        <v>4074</v>
      </c>
      <c r="P595" s="14" t="s">
        <v>3462</v>
      </c>
      <c r="Q595" s="14">
        <v>1</v>
      </c>
    </row>
    <row r="596" spans="1:17">
      <c r="A596" s="14">
        <v>79513</v>
      </c>
      <c r="B596" s="14" t="s">
        <v>334</v>
      </c>
      <c r="C596" s="14" t="s">
        <v>209</v>
      </c>
      <c r="D596" s="19" t="s">
        <v>10404</v>
      </c>
      <c r="E596" s="15" t="str">
        <f>HYPERLINK("https://stat100.ameba.jp/tnk47/ratio20/illustrations/card/ill_79513_suzafuonia03.jpg?202104-i_prefecture_active_user", "■")</f>
        <v>■</v>
      </c>
      <c r="F596" s="14" t="s">
        <v>3529</v>
      </c>
      <c r="G596" s="14">
        <v>91815</v>
      </c>
      <c r="H596" s="14">
        <v>126741</v>
      </c>
      <c r="I596" s="14">
        <v>29</v>
      </c>
      <c r="J596" s="14" t="s">
        <v>10</v>
      </c>
      <c r="K596" s="14" t="s">
        <v>3532</v>
      </c>
      <c r="L596" s="14" t="s">
        <v>12</v>
      </c>
      <c r="M596" s="14" t="s">
        <v>9158</v>
      </c>
      <c r="N596" s="14" t="s">
        <v>9158</v>
      </c>
      <c r="O596" s="19" t="s">
        <v>2917</v>
      </c>
      <c r="P596" s="14" t="s">
        <v>3531</v>
      </c>
      <c r="Q596" s="14">
        <v>1</v>
      </c>
    </row>
    <row r="597" spans="1:17">
      <c r="A597" s="14">
        <v>75073</v>
      </c>
      <c r="B597" s="14" t="s">
        <v>334</v>
      </c>
      <c r="C597" s="14" t="s">
        <v>154</v>
      </c>
      <c r="D597" s="20" t="s">
        <v>4252</v>
      </c>
      <c r="E597" s="15" t="str">
        <f>HYPERLINK("https://stat100.ameba.jp/tnk47/ratio20/illustrations/card/ill_75073_puruchacha03.jpg?202104-i_prefecture_active_user", "■")</f>
        <v>■</v>
      </c>
      <c r="F597" s="14" t="s">
        <v>4253</v>
      </c>
      <c r="G597" s="14">
        <v>126741</v>
      </c>
      <c r="H597" s="14">
        <v>91815</v>
      </c>
      <c r="I597" s="14">
        <v>29</v>
      </c>
      <c r="J597" s="14" t="s">
        <v>315</v>
      </c>
      <c r="K597" s="14" t="s">
        <v>4254</v>
      </c>
      <c r="L597" s="14" t="s">
        <v>1432</v>
      </c>
      <c r="M597" s="14" t="s">
        <v>9158</v>
      </c>
      <c r="N597" s="14" t="s">
        <v>9158</v>
      </c>
      <c r="O597" s="19" t="s">
        <v>10082</v>
      </c>
      <c r="P597" s="14" t="s">
        <v>13124</v>
      </c>
      <c r="Q597" s="14">
        <v>1</v>
      </c>
    </row>
    <row r="599" spans="1:17">
      <c r="A599" s="14" t="s">
        <v>9283</v>
      </c>
    </row>
    <row r="600" spans="1:17">
      <c r="A600" s="14">
        <v>107673</v>
      </c>
      <c r="B600" s="14" t="s">
        <v>17185</v>
      </c>
    </row>
    <row r="601" spans="1:17">
      <c r="A601" s="9" t="s">
        <v>9891</v>
      </c>
      <c r="B601" s="7" t="s">
        <v>52</v>
      </c>
      <c r="C601" s="9" t="s">
        <v>202</v>
      </c>
      <c r="D601" s="6" t="s">
        <v>9978</v>
      </c>
      <c r="E601" s="15" t="str">
        <f>HYPERLINK("https://stat100.ameba.jp/tnk47/ratio20/illustrations/card/ill_87643_0_oendanotohime03.jpg?202104-5-RELEASE-marathon-526", "■")</f>
        <v>■</v>
      </c>
      <c r="F601" s="14" t="s">
        <v>9928</v>
      </c>
      <c r="G601" s="9">
        <v>249916</v>
      </c>
      <c r="H601" s="9">
        <v>305430</v>
      </c>
      <c r="I601" s="14">
        <v>24</v>
      </c>
      <c r="J601" s="9" t="s">
        <v>155</v>
      </c>
      <c r="K601" s="14" t="s">
        <v>9932</v>
      </c>
      <c r="L601" s="14" t="s">
        <v>9933</v>
      </c>
      <c r="M601" s="14" t="s">
        <v>9158</v>
      </c>
      <c r="N601" s="14" t="s">
        <v>9158</v>
      </c>
      <c r="O601" s="6" t="s">
        <v>9989</v>
      </c>
      <c r="P601" s="7" t="s">
        <v>9944</v>
      </c>
      <c r="Q601" s="7">
        <v>1</v>
      </c>
    </row>
    <row r="602" spans="1:17">
      <c r="A602" s="14" t="s">
        <v>12012</v>
      </c>
      <c r="B602" s="7" t="s">
        <v>52</v>
      </c>
      <c r="C602" s="14" t="s">
        <v>202</v>
      </c>
      <c r="D602" s="18" t="s">
        <v>12013</v>
      </c>
      <c r="E602" s="15" t="str">
        <f>HYPERLINK("https://stat100.ameba.jp/tnk47/ratio20/illustrations/card/ill_88363_0_hanamijingukogo03.jpg?202104-5-RELEASE-marathon-526", "■")</f>
        <v>■</v>
      </c>
      <c r="F602" s="14" t="s">
        <v>12014</v>
      </c>
      <c r="G602" s="14">
        <v>292102</v>
      </c>
      <c r="H602" s="14">
        <v>263998</v>
      </c>
      <c r="I602" s="7">
        <v>24</v>
      </c>
      <c r="J602" s="14" t="s">
        <v>10</v>
      </c>
      <c r="K602" s="14" t="s">
        <v>12015</v>
      </c>
      <c r="L602" s="14" t="s">
        <v>12016</v>
      </c>
      <c r="M602" s="14" t="s">
        <v>9158</v>
      </c>
      <c r="N602" s="14" t="s">
        <v>9158</v>
      </c>
      <c r="O602" s="6" t="s">
        <v>12017</v>
      </c>
      <c r="P602" s="7" t="s">
        <v>12018</v>
      </c>
      <c r="Q602" s="7">
        <v>1</v>
      </c>
    </row>
    <row r="603" spans="1:17">
      <c r="A603" s="14" t="s">
        <v>5625</v>
      </c>
      <c r="B603" s="14" t="s">
        <v>330</v>
      </c>
      <c r="C603" s="14" t="s">
        <v>200</v>
      </c>
      <c r="D603" s="19" t="s">
        <v>630</v>
      </c>
      <c r="E603" s="15" t="str">
        <f>HYPERLINK("https://stat100.ameba.jp/tnk47/ratio20/illustrations/card/ill_48283_0_kyuubitamamonomae03.jpg?202104-5-RELEASE-marathon-526", "■")</f>
        <v>■</v>
      </c>
      <c r="F603" s="14" t="s">
        <v>631</v>
      </c>
      <c r="G603" s="14">
        <v>150776</v>
      </c>
      <c r="H603" s="14">
        <v>133938</v>
      </c>
      <c r="I603" s="14">
        <v>24</v>
      </c>
      <c r="J603" s="14" t="s">
        <v>320</v>
      </c>
      <c r="K603" s="14" t="s">
        <v>632</v>
      </c>
      <c r="L603" s="14" t="s">
        <v>633</v>
      </c>
      <c r="M603" s="14" t="s">
        <v>9158</v>
      </c>
      <c r="N603" s="14" t="s">
        <v>9158</v>
      </c>
      <c r="O603" s="14" t="s">
        <v>9158</v>
      </c>
      <c r="P603" s="14" t="s">
        <v>9158</v>
      </c>
      <c r="Q603" s="14" t="s">
        <v>9158</v>
      </c>
    </row>
    <row r="604" spans="1:17">
      <c r="A604" s="14">
        <v>96803</v>
      </c>
      <c r="B604" s="14" t="s">
        <v>0</v>
      </c>
      <c r="C604" s="14" t="s">
        <v>1</v>
      </c>
      <c r="D604" s="14" t="s">
        <v>16975</v>
      </c>
      <c r="E604" s="15" t="str">
        <f>HYPERLINK("https://stat100.ameba.jp/tnk47/ratio20/illustrations/card/ill_96803_suparizotomimuratsuru03.jpg?202104-5-RELEASE-marathon-526", "■")</f>
        <v>■</v>
      </c>
      <c r="F604" s="14" t="s">
        <v>16974</v>
      </c>
      <c r="G604" s="14">
        <v>105465</v>
      </c>
      <c r="H604" s="14">
        <v>98019</v>
      </c>
      <c r="I604" s="14">
        <v>27</v>
      </c>
      <c r="J604" s="14" t="s">
        <v>77</v>
      </c>
      <c r="K604" s="14" t="s">
        <v>16973</v>
      </c>
      <c r="L604" s="14" t="s">
        <v>16972</v>
      </c>
      <c r="M604" s="14" t="s">
        <v>9158</v>
      </c>
      <c r="N604" s="14" t="s">
        <v>9158</v>
      </c>
      <c r="O604" s="14" t="s">
        <v>9158</v>
      </c>
      <c r="P604" s="14" t="s">
        <v>9158</v>
      </c>
      <c r="Q604" s="14" t="s">
        <v>9158</v>
      </c>
    </row>
    <row r="605" spans="1:17">
      <c r="A605" s="14">
        <v>96813</v>
      </c>
      <c r="B605" s="14" t="s">
        <v>15</v>
      </c>
      <c r="C605" s="14" t="s">
        <v>14</v>
      </c>
      <c r="D605" s="14" t="s">
        <v>16977</v>
      </c>
      <c r="E605" s="15" t="str">
        <f>HYPERLINK("https://stat100.ameba.jp/tnk47/ratio20/illustrations/card/ill_96813_safuaripakunambutsuruhime03.jpg?202104-5-RELEASE-marathon-526", "■")</f>
        <v>■</v>
      </c>
      <c r="F605" s="14" t="s">
        <v>16976</v>
      </c>
      <c r="G605" s="14">
        <v>72586</v>
      </c>
      <c r="H605" s="14">
        <v>80028</v>
      </c>
      <c r="I605" s="14">
        <v>27</v>
      </c>
      <c r="J605" s="14" t="s">
        <v>77</v>
      </c>
      <c r="K605" s="14" t="s">
        <v>3343</v>
      </c>
      <c r="L605" s="14" t="s">
        <v>973</v>
      </c>
      <c r="M605" s="14" t="s">
        <v>9158</v>
      </c>
      <c r="N605" s="14" t="s">
        <v>9158</v>
      </c>
      <c r="O605" s="14" t="s">
        <v>9158</v>
      </c>
      <c r="P605" s="14" t="s">
        <v>9158</v>
      </c>
      <c r="Q605" s="14" t="s">
        <v>9158</v>
      </c>
    </row>
    <row r="606" spans="1:17">
      <c r="A606" s="14">
        <v>96823</v>
      </c>
      <c r="B606" s="14" t="s">
        <v>22</v>
      </c>
      <c r="C606" s="14" t="s">
        <v>101</v>
      </c>
      <c r="D606" s="14" t="s">
        <v>16980</v>
      </c>
      <c r="E606" s="15" t="str">
        <f>HYPERLINK("https://stat100.ameba.jp/tnk47/ratio20/illustrations/card/ill_96823_ujotokuhime03.jpg?202104-5-RELEASE-marathon-526", "■")</f>
        <v>■</v>
      </c>
      <c r="F606" s="14" t="s">
        <v>16979</v>
      </c>
      <c r="G606" s="14">
        <v>56138</v>
      </c>
      <c r="H606" s="14">
        <v>46676</v>
      </c>
      <c r="I606" s="14">
        <v>27</v>
      </c>
      <c r="J606" s="14" t="s">
        <v>77</v>
      </c>
      <c r="K606" s="14" t="s">
        <v>16978</v>
      </c>
      <c r="L606" s="14" t="s">
        <v>1732</v>
      </c>
      <c r="M606" s="14" t="s">
        <v>9158</v>
      </c>
      <c r="N606" s="14" t="s">
        <v>9158</v>
      </c>
      <c r="O606" s="14" t="s">
        <v>9158</v>
      </c>
      <c r="P606" s="14" t="s">
        <v>9158</v>
      </c>
      <c r="Q606" s="14" t="s">
        <v>9158</v>
      </c>
    </row>
    <row r="607" spans="1:17">
      <c r="A607" s="14">
        <v>96833</v>
      </c>
      <c r="B607" s="14" t="s">
        <v>22</v>
      </c>
      <c r="C607" s="14" t="s">
        <v>96</v>
      </c>
      <c r="D607" s="14" t="s">
        <v>16983</v>
      </c>
      <c r="E607" s="15" t="str">
        <f>HYPERLINK("https://stat100.ameba.jp/tnk47/ratio20/illustrations/card/ill_96833_korakukushikatsuchan03.jpg?202104-5-RELEASE-marathon-526", "■")</f>
        <v>■</v>
      </c>
      <c r="F607" s="14" t="s">
        <v>16982</v>
      </c>
      <c r="G607" s="14">
        <v>46676</v>
      </c>
      <c r="H607" s="14">
        <v>56138</v>
      </c>
      <c r="I607" s="14">
        <v>27</v>
      </c>
      <c r="J607" s="14" t="s">
        <v>104</v>
      </c>
      <c r="K607" s="14" t="s">
        <v>16981</v>
      </c>
      <c r="L607" s="14" t="s">
        <v>3839</v>
      </c>
      <c r="M607" s="14" t="s">
        <v>9158</v>
      </c>
      <c r="N607" s="14" t="s">
        <v>9158</v>
      </c>
      <c r="O607" s="14" t="s">
        <v>9158</v>
      </c>
      <c r="P607" s="14" t="s">
        <v>9158</v>
      </c>
      <c r="Q607" s="14" t="s">
        <v>9158</v>
      </c>
    </row>
    <row r="609" spans="1:17">
      <c r="A609" s="14" t="s">
        <v>3916</v>
      </c>
    </row>
    <row r="610" spans="1:17">
      <c r="A610" s="14">
        <v>107701</v>
      </c>
      <c r="B610" s="14" t="s">
        <v>17186</v>
      </c>
    </row>
    <row r="611" spans="1:17">
      <c r="A611" s="14">
        <v>62203</v>
      </c>
      <c r="B611" s="14" t="s">
        <v>334</v>
      </c>
      <c r="C611" s="14" t="s">
        <v>154</v>
      </c>
      <c r="D611" s="20" t="s">
        <v>2260</v>
      </c>
      <c r="E611" s="15" t="str">
        <f>HYPERLINK("https://stat100.ameba.jp/tnk47/ratio20/illustrations/card/ill_62203_keishoimmasahime03.jpg?202104-5-RELEASE-marathon-526", "■")</f>
        <v>■</v>
      </c>
      <c r="F611" s="14" t="s">
        <v>2261</v>
      </c>
      <c r="G611" s="14">
        <v>116296</v>
      </c>
      <c r="H611" s="14">
        <v>125078</v>
      </c>
      <c r="I611" s="14">
        <v>29</v>
      </c>
      <c r="J611" s="14" t="s">
        <v>77</v>
      </c>
      <c r="K611" s="14" t="s">
        <v>2262</v>
      </c>
      <c r="L611" s="14" t="s">
        <v>2263</v>
      </c>
      <c r="M611" s="14" t="s">
        <v>9158</v>
      </c>
      <c r="N611" s="14" t="s">
        <v>9158</v>
      </c>
      <c r="O611" s="14" t="s">
        <v>9158</v>
      </c>
      <c r="P611" s="14" t="s">
        <v>9158</v>
      </c>
      <c r="Q611" s="14" t="s">
        <v>9158</v>
      </c>
    </row>
    <row r="612" spans="1:17">
      <c r="A612" s="14">
        <v>69723</v>
      </c>
      <c r="B612" s="14" t="s">
        <v>334</v>
      </c>
      <c r="C612" s="14" t="s">
        <v>158</v>
      </c>
      <c r="D612" s="20" t="s">
        <v>3042</v>
      </c>
      <c r="E612" s="15" t="str">
        <f>HYPERLINK("https://stat100.ameba.jp/tnk47/ratio20/illustrations/card/ill_69723_nakaurajurian03.jpg?202104-5-RELEASE-marathon-526", "■")</f>
        <v>■</v>
      </c>
      <c r="F612" s="14" t="s">
        <v>2257</v>
      </c>
      <c r="G612" s="14">
        <v>116296</v>
      </c>
      <c r="H612" s="14">
        <v>125078</v>
      </c>
      <c r="I612" s="14">
        <v>29</v>
      </c>
      <c r="J612" s="14" t="s">
        <v>173</v>
      </c>
      <c r="K612" s="14" t="s">
        <v>2258</v>
      </c>
      <c r="L612" s="14" t="s">
        <v>2259</v>
      </c>
      <c r="M612" s="14" t="s">
        <v>9158</v>
      </c>
      <c r="N612" s="14" t="s">
        <v>9158</v>
      </c>
      <c r="O612" s="14" t="s">
        <v>9158</v>
      </c>
      <c r="P612" s="14" t="s">
        <v>9158</v>
      </c>
      <c r="Q612" s="14" t="s">
        <v>9158</v>
      </c>
    </row>
    <row r="613" spans="1:17">
      <c r="A613" s="14">
        <v>62153</v>
      </c>
      <c r="B613" s="14" t="s">
        <v>334</v>
      </c>
      <c r="C613" s="14" t="s">
        <v>1</v>
      </c>
      <c r="D613" s="20" t="s">
        <v>16317</v>
      </c>
      <c r="E613" s="15" t="str">
        <f>HYPERLINK("https://stat100.ameba.jp/tnk47/ratio20/illustrations/card/ill_62153_obentonekodanuki03.jpg?202104-5-RELEASE-marathon-526", "■")</f>
        <v>■</v>
      </c>
      <c r="F613" s="14" t="s">
        <v>16318</v>
      </c>
      <c r="G613" s="14">
        <v>120830</v>
      </c>
      <c r="H613" s="14">
        <v>112369</v>
      </c>
      <c r="I613" s="14">
        <v>29</v>
      </c>
      <c r="J613" s="14" t="s">
        <v>73</v>
      </c>
      <c r="K613" s="14" t="s">
        <v>12212</v>
      </c>
      <c r="L613" s="14" t="s">
        <v>16319</v>
      </c>
      <c r="M613" s="14" t="s">
        <v>9158</v>
      </c>
      <c r="N613" s="14" t="s">
        <v>9158</v>
      </c>
      <c r="O613" s="14" t="s">
        <v>9158</v>
      </c>
      <c r="P613" s="14" t="s">
        <v>9158</v>
      </c>
      <c r="Q613" s="14" t="s">
        <v>9158</v>
      </c>
    </row>
    <row r="614" spans="1:17">
      <c r="A614" s="14">
        <v>65173</v>
      </c>
      <c r="B614" s="14" t="s">
        <v>334</v>
      </c>
      <c r="C614" s="14" t="s">
        <v>101</v>
      </c>
      <c r="D614" s="20" t="s">
        <v>16320</v>
      </c>
      <c r="E614" s="15" t="str">
        <f>HYPERLINK("https://stat100.ameba.jp/tnk47/ratio20/illustrations/card/ill_65173_kimodameshihorahamahime03.jpg?202104-5-RELEASE-marathon-526", "■")</f>
        <v>■</v>
      </c>
      <c r="F614" s="14" t="s">
        <v>3565</v>
      </c>
      <c r="G614" s="14">
        <v>112369</v>
      </c>
      <c r="H614" s="14">
        <v>120830</v>
      </c>
      <c r="I614" s="14">
        <v>29</v>
      </c>
      <c r="J614" s="14" t="s">
        <v>73</v>
      </c>
      <c r="K614" s="14" t="s">
        <v>16321</v>
      </c>
      <c r="L614" s="14" t="s">
        <v>16322</v>
      </c>
      <c r="M614" s="14" t="s">
        <v>9158</v>
      </c>
      <c r="N614" s="14" t="s">
        <v>9158</v>
      </c>
      <c r="O614" s="14" t="s">
        <v>9158</v>
      </c>
      <c r="P614" s="14" t="s">
        <v>9158</v>
      </c>
      <c r="Q614" s="14" t="s">
        <v>9158</v>
      </c>
    </row>
    <row r="615" spans="1:17">
      <c r="A615" s="14">
        <v>51923</v>
      </c>
      <c r="B615" s="14" t="s">
        <v>15</v>
      </c>
      <c r="C615" s="14" t="s">
        <v>165</v>
      </c>
      <c r="D615" s="20" t="s">
        <v>15362</v>
      </c>
      <c r="E615" s="15" t="str">
        <f>HYPERLINK("https://stat100.ameba.jp/tnk47/ratio20/illustrations/card/ill_51923_kemonomizugikokyu03.jpg?202104-5-RELEASE-marathon-526", "■")</f>
        <v>■</v>
      </c>
      <c r="F615" s="14" t="s">
        <v>15367</v>
      </c>
      <c r="G615" s="14">
        <v>71136</v>
      </c>
      <c r="H615" s="14">
        <v>64520</v>
      </c>
      <c r="I615" s="14">
        <v>24</v>
      </c>
      <c r="J615" s="14" t="s">
        <v>38</v>
      </c>
      <c r="K615" s="14" t="s">
        <v>15365</v>
      </c>
      <c r="L615" s="14" t="s">
        <v>15364</v>
      </c>
      <c r="M615" s="14" t="s">
        <v>9158</v>
      </c>
      <c r="N615" s="14" t="s">
        <v>9158</v>
      </c>
      <c r="O615" s="14" t="s">
        <v>9158</v>
      </c>
      <c r="P615" s="14" t="s">
        <v>9158</v>
      </c>
      <c r="Q615" s="14" t="s">
        <v>9158</v>
      </c>
    </row>
    <row r="616" spans="1:17">
      <c r="A616" s="14">
        <v>52963</v>
      </c>
      <c r="B616" s="14" t="s">
        <v>15</v>
      </c>
      <c r="C616" s="14" t="s">
        <v>101</v>
      </c>
      <c r="D616" s="20" t="s">
        <v>102</v>
      </c>
      <c r="E616" s="15" t="str">
        <f>HYPERLINK("https://stat100.ameba.jp/tnk47/ratio20/illustrations/card/ill_52963_torampumomochan03.jpg?202104-5-RELEASE-marathon-526", "■")</f>
        <v>■</v>
      </c>
      <c r="F616" s="14" t="s">
        <v>103</v>
      </c>
      <c r="G616" s="14">
        <v>64520</v>
      </c>
      <c r="H616" s="14">
        <v>71136</v>
      </c>
      <c r="I616" s="14">
        <v>24</v>
      </c>
      <c r="J616" s="14" t="s">
        <v>104</v>
      </c>
      <c r="K616" s="14" t="s">
        <v>105</v>
      </c>
      <c r="L616" s="14" t="s">
        <v>106</v>
      </c>
      <c r="M616" s="14" t="s">
        <v>9158</v>
      </c>
      <c r="N616" s="14" t="s">
        <v>9158</v>
      </c>
      <c r="O616" s="14" t="s">
        <v>9158</v>
      </c>
      <c r="P616" s="14" t="s">
        <v>9158</v>
      </c>
      <c r="Q616" s="14" t="s">
        <v>9158</v>
      </c>
    </row>
    <row r="617" spans="1:17">
      <c r="A617" s="14">
        <v>51383</v>
      </c>
      <c r="B617" s="14" t="s">
        <v>15</v>
      </c>
      <c r="C617" s="14" t="s">
        <v>1</v>
      </c>
      <c r="D617" s="20" t="s">
        <v>15363</v>
      </c>
      <c r="E617" s="15" t="str">
        <f>HYPERLINK("https://stat100.ameba.jp/tnk47/ratio20/illustrations/card/ill_51383_ozashikikyogokuichiko03.jpg?202104-5-RELEASE-marathon-526", "■")</f>
        <v>■</v>
      </c>
      <c r="F617" s="14" t="s">
        <v>15371</v>
      </c>
      <c r="G617" s="14">
        <v>71136</v>
      </c>
      <c r="H617" s="14">
        <v>64520</v>
      </c>
      <c r="I617" s="14">
        <v>24</v>
      </c>
      <c r="J617" s="14" t="s">
        <v>16</v>
      </c>
      <c r="K617" s="14" t="s">
        <v>15369</v>
      </c>
      <c r="L617" s="14" t="s">
        <v>15368</v>
      </c>
      <c r="M617" s="14" t="s">
        <v>9158</v>
      </c>
      <c r="N617" s="14" t="s">
        <v>9158</v>
      </c>
      <c r="O617" s="14" t="s">
        <v>9158</v>
      </c>
      <c r="P617" s="14" t="s">
        <v>9158</v>
      </c>
      <c r="Q617" s="14" t="s">
        <v>9158</v>
      </c>
    </row>
    <row r="618" spans="1:17">
      <c r="A618" s="14">
        <v>51903</v>
      </c>
      <c r="B618" s="14" t="s">
        <v>15</v>
      </c>
      <c r="C618" s="14" t="s">
        <v>14</v>
      </c>
      <c r="D618" s="20" t="s">
        <v>16323</v>
      </c>
      <c r="E618" s="15" t="str">
        <f>HYPERLINK("https://stat100.ameba.jp/tnk47/ratio20/illustrations/card/ill_51903_kemonomizugiringochan03.jpg?202104-5-RELEASE-marathon-526", "■")</f>
        <v>■</v>
      </c>
      <c r="F618" s="14" t="s">
        <v>16324</v>
      </c>
      <c r="G618" s="14">
        <v>71136</v>
      </c>
      <c r="H618" s="14">
        <v>64520</v>
      </c>
      <c r="I618" s="14">
        <v>24</v>
      </c>
      <c r="J618" s="14" t="s">
        <v>104</v>
      </c>
      <c r="K618" s="14" t="s">
        <v>16325</v>
      </c>
      <c r="L618" s="14" t="s">
        <v>16326</v>
      </c>
      <c r="M618" s="14" t="s">
        <v>9158</v>
      </c>
      <c r="N618" s="14" t="s">
        <v>9158</v>
      </c>
      <c r="O618" s="14" t="s">
        <v>9158</v>
      </c>
      <c r="P618" s="14" t="s">
        <v>9158</v>
      </c>
      <c r="Q618" s="14" t="s">
        <v>9158</v>
      </c>
    </row>
    <row r="620" spans="1:17">
      <c r="A620" s="14" t="s">
        <v>4065</v>
      </c>
    </row>
    <row r="621" spans="1:17">
      <c r="A621" s="14">
        <v>107696</v>
      </c>
      <c r="B621" s="14" t="s">
        <v>17187</v>
      </c>
    </row>
    <row r="622" spans="1:17">
      <c r="A622" s="9" t="s">
        <v>5787</v>
      </c>
      <c r="B622" s="14" t="s">
        <v>330</v>
      </c>
      <c r="C622" s="14" t="s">
        <v>270</v>
      </c>
      <c r="D622" s="14" t="s">
        <v>1101</v>
      </c>
      <c r="E622" s="15" t="str">
        <f>HYPERLINK("https://stat100.ameba.jp/tnk47/ratio20/illustrations/card/ill_76303_0_haroinkaguya03.jpg?202104-5-RELEASE-marathon-526", "■")</f>
        <v>■</v>
      </c>
      <c r="F622" s="14" t="s">
        <v>332</v>
      </c>
      <c r="G622" s="14">
        <v>321315</v>
      </c>
      <c r="H622" s="14">
        <v>298717</v>
      </c>
      <c r="I622" s="14">
        <v>27</v>
      </c>
      <c r="J622" s="14" t="s">
        <v>274</v>
      </c>
      <c r="K622" s="14" t="s">
        <v>333</v>
      </c>
      <c r="L622" s="14" t="s">
        <v>276</v>
      </c>
      <c r="M622" s="14" t="s">
        <v>9158</v>
      </c>
      <c r="N622" s="14" t="s">
        <v>9158</v>
      </c>
      <c r="O622" s="9" t="s">
        <v>2723</v>
      </c>
      <c r="P622" s="14" t="s">
        <v>2724</v>
      </c>
      <c r="Q622" s="14">
        <v>1</v>
      </c>
    </row>
    <row r="623" spans="1:17">
      <c r="A623" s="14">
        <v>77663</v>
      </c>
      <c r="B623" s="14" t="s">
        <v>334</v>
      </c>
      <c r="C623" s="14" t="s">
        <v>202</v>
      </c>
      <c r="D623" s="20" t="s">
        <v>10614</v>
      </c>
      <c r="E623" s="15" t="str">
        <f>HYPERLINK("https://stat100.ameba.jp/tnk47/ratio20/illustrations/card/ill_77663_deipuburu03.jpg?202104-5-RELEASE-marathon-526", "■")</f>
        <v>■</v>
      </c>
      <c r="F623" s="14" t="s">
        <v>1573</v>
      </c>
      <c r="G623" s="14">
        <v>88781</v>
      </c>
      <c r="H623" s="14">
        <v>122539</v>
      </c>
      <c r="I623" s="14">
        <v>27</v>
      </c>
      <c r="J623" s="14" t="s">
        <v>414</v>
      </c>
      <c r="K623" s="14" t="s">
        <v>1574</v>
      </c>
      <c r="L623" s="14" t="s">
        <v>1575</v>
      </c>
      <c r="M623" s="14" t="s">
        <v>9158</v>
      </c>
      <c r="N623" s="14" t="s">
        <v>9158</v>
      </c>
      <c r="O623" s="19" t="s">
        <v>10117</v>
      </c>
      <c r="P623" s="14" t="s">
        <v>3625</v>
      </c>
      <c r="Q623" s="14">
        <v>1</v>
      </c>
    </row>
    <row r="624" spans="1:17">
      <c r="A624" s="14">
        <v>81023</v>
      </c>
      <c r="B624" s="14" t="s">
        <v>334</v>
      </c>
      <c r="C624" s="14" t="s">
        <v>41</v>
      </c>
      <c r="D624" s="19" t="s">
        <v>10274</v>
      </c>
      <c r="E624" s="15" t="str">
        <f>HYPERLINK("https://stat100.ameba.jp/tnk47/ratio20/illustrations/card/ill_81023_momonokenki03.jpg?202104-5-RELEASE-marathon-526", "■")</f>
        <v>■</v>
      </c>
      <c r="F624" s="14" t="s">
        <v>4088</v>
      </c>
      <c r="G624" s="14">
        <v>142716</v>
      </c>
      <c r="H624" s="14">
        <v>103361</v>
      </c>
      <c r="I624" s="14">
        <v>27</v>
      </c>
      <c r="J624" s="14" t="s">
        <v>143</v>
      </c>
      <c r="K624" s="14" t="s">
        <v>4089</v>
      </c>
      <c r="L624" s="14" t="s">
        <v>2049</v>
      </c>
      <c r="M624" s="14" t="s">
        <v>9158</v>
      </c>
      <c r="N624" s="14" t="s">
        <v>9158</v>
      </c>
      <c r="O624" s="19" t="s">
        <v>10096</v>
      </c>
      <c r="P624" s="14" t="s">
        <v>3245</v>
      </c>
      <c r="Q624" s="14">
        <v>1</v>
      </c>
    </row>
    <row r="625" spans="1:18">
      <c r="A625" s="14">
        <v>80173</v>
      </c>
      <c r="B625" s="14" t="s">
        <v>334</v>
      </c>
      <c r="C625" s="14" t="s">
        <v>47</v>
      </c>
      <c r="D625" s="20" t="s">
        <v>10390</v>
      </c>
      <c r="E625" s="15" t="str">
        <f>HYPERLINK("https://stat100.ameba.jp/tnk47/ratio20/illustrations/card/ill_80173_jusomedeia03.jpg?202104-5-RELEASE-marathon-526", "■")</f>
        <v>■</v>
      </c>
      <c r="F625" s="14" t="s">
        <v>3914</v>
      </c>
      <c r="G625" s="14">
        <v>103361</v>
      </c>
      <c r="H625" s="14">
        <v>142716</v>
      </c>
      <c r="I625" s="14">
        <v>27</v>
      </c>
      <c r="J625" s="14" t="s">
        <v>73</v>
      </c>
      <c r="K625" s="14" t="s">
        <v>3915</v>
      </c>
      <c r="L625" s="14" t="s">
        <v>1033</v>
      </c>
      <c r="M625" s="14" t="s">
        <v>9158</v>
      </c>
      <c r="N625" s="14" t="s">
        <v>9158</v>
      </c>
      <c r="O625" s="19" t="s">
        <v>10074</v>
      </c>
      <c r="P625" s="14" t="s">
        <v>3592</v>
      </c>
      <c r="Q625" s="14">
        <v>1</v>
      </c>
    </row>
    <row r="627" spans="1:18">
      <c r="A627" s="14" t="s">
        <v>13327</v>
      </c>
    </row>
    <row r="628" spans="1:18">
      <c r="A628" s="14">
        <v>107713</v>
      </c>
      <c r="B628" s="14" t="s">
        <v>4157</v>
      </c>
    </row>
    <row r="629" spans="1:18">
      <c r="A629" s="14">
        <v>83973</v>
      </c>
      <c r="B629" s="14" t="s">
        <v>334</v>
      </c>
      <c r="C629" s="14" t="s">
        <v>14</v>
      </c>
      <c r="D629" s="19" t="s">
        <v>10570</v>
      </c>
      <c r="E629" s="15" t="str">
        <f>HYPERLINK("https://stat100.ameba.jp/tnk47/ratio20/illustrations/card/ill_83973_nekokishiirurosu03.jpg?202104-5-RELEASE-marathon-526", "■")</f>
        <v>■</v>
      </c>
      <c r="F629" s="14" t="s">
        <v>6706</v>
      </c>
      <c r="G629" s="14">
        <v>142768</v>
      </c>
      <c r="H629" s="14">
        <v>132737</v>
      </c>
      <c r="I629" s="14">
        <v>29</v>
      </c>
      <c r="J629" s="14" t="s">
        <v>229</v>
      </c>
      <c r="K629" s="14" t="s">
        <v>6707</v>
      </c>
      <c r="L629" s="14" t="s">
        <v>13202</v>
      </c>
      <c r="M629" s="14" t="s">
        <v>13130</v>
      </c>
      <c r="N629" s="14" t="s">
        <v>343</v>
      </c>
      <c r="O629" s="14" t="s">
        <v>9158</v>
      </c>
      <c r="P629" s="14" t="s">
        <v>9158</v>
      </c>
      <c r="Q629" s="14" t="s">
        <v>9158</v>
      </c>
      <c r="R629" s="14" t="s">
        <v>14748</v>
      </c>
    </row>
    <row r="630" spans="1:18">
      <c r="A630" s="14">
        <v>83972</v>
      </c>
      <c r="B630" s="14" t="s">
        <v>334</v>
      </c>
      <c r="C630" s="14" t="s">
        <v>14</v>
      </c>
      <c r="D630" s="19" t="s">
        <v>10570</v>
      </c>
      <c r="E630" s="15" t="str">
        <f>HYPERLINK("https://stat100.ameba.jp/tnk47/ratio20/illustrations/card/ill_83972_nekokishiirurosu02.jpg?202104-5-RELEASE-marathon-526", "■")</f>
        <v>■</v>
      </c>
      <c r="F630" s="14" t="s">
        <v>6706</v>
      </c>
      <c r="G630" s="14">
        <v>119345</v>
      </c>
      <c r="H630" s="14">
        <v>109938</v>
      </c>
      <c r="I630" s="14">
        <v>29</v>
      </c>
      <c r="J630" s="14" t="s">
        <v>229</v>
      </c>
      <c r="K630" s="14" t="s">
        <v>6707</v>
      </c>
      <c r="L630" s="14" t="s">
        <v>13201</v>
      </c>
      <c r="M630" s="14" t="s">
        <v>13131</v>
      </c>
      <c r="N630" s="14" t="s">
        <v>251</v>
      </c>
      <c r="O630" s="14" t="s">
        <v>9158</v>
      </c>
      <c r="P630" s="14" t="s">
        <v>9158</v>
      </c>
      <c r="Q630" s="14" t="s">
        <v>9158</v>
      </c>
      <c r="R630" s="14" t="s">
        <v>14748</v>
      </c>
    </row>
    <row r="631" spans="1:18">
      <c r="A631" s="14">
        <v>83971</v>
      </c>
      <c r="B631" s="14" t="s">
        <v>0</v>
      </c>
      <c r="C631" s="14" t="s">
        <v>14</v>
      </c>
      <c r="D631" s="19" t="s">
        <v>10570</v>
      </c>
      <c r="E631" s="15" t="str">
        <f>HYPERLINK("https://stat100.ameba.jp/tnk47/ratio20/illustrations/card/ill_83971_nekokishiirurosu01.jpg?202104-5-RELEASE-marathon-526", "■")</f>
        <v>■</v>
      </c>
      <c r="F631" s="14" t="s">
        <v>6706</v>
      </c>
      <c r="G631" s="14">
        <v>91118</v>
      </c>
      <c r="H631" s="14">
        <v>84825</v>
      </c>
      <c r="I631" s="14">
        <v>29</v>
      </c>
      <c r="J631" s="14" t="s">
        <v>229</v>
      </c>
      <c r="K631" s="14" t="s">
        <v>6707</v>
      </c>
      <c r="L631" s="14" t="s">
        <v>13201</v>
      </c>
      <c r="M631" s="14" t="s">
        <v>13131</v>
      </c>
      <c r="N631" s="14" t="s">
        <v>251</v>
      </c>
      <c r="O631" s="14" t="s">
        <v>9158</v>
      </c>
      <c r="P631" s="14" t="s">
        <v>9158</v>
      </c>
      <c r="Q631" s="14" t="s">
        <v>9158</v>
      </c>
      <c r="R631" s="14" t="s">
        <v>14748</v>
      </c>
    </row>
    <row r="632" spans="1:18">
      <c r="A632" s="14">
        <v>83983</v>
      </c>
      <c r="B632" s="14" t="s">
        <v>334</v>
      </c>
      <c r="C632" s="14" t="s">
        <v>23</v>
      </c>
      <c r="D632" s="19" t="s">
        <v>10571</v>
      </c>
      <c r="E632" s="15" t="str">
        <f>HYPERLINK("https://stat100.ameba.jp/tnk47/ratio20/illustrations/card/ill_83983_ryujinsui03.jpg?202104-5-RELEASE-marathon-526", "■")</f>
        <v>■</v>
      </c>
      <c r="F632" s="14" t="s">
        <v>6708</v>
      </c>
      <c r="G632" s="14">
        <v>132737</v>
      </c>
      <c r="H632" s="14">
        <v>142768</v>
      </c>
      <c r="I632" s="14">
        <v>29</v>
      </c>
      <c r="J632" s="14" t="s">
        <v>169</v>
      </c>
      <c r="K632" s="14" t="s">
        <v>6710</v>
      </c>
      <c r="L632" s="14" t="s">
        <v>6721</v>
      </c>
      <c r="M632" s="14" t="s">
        <v>13130</v>
      </c>
      <c r="N632" s="14" t="s">
        <v>343</v>
      </c>
      <c r="O632" s="14" t="s">
        <v>9158</v>
      </c>
      <c r="P632" s="14" t="s">
        <v>9158</v>
      </c>
      <c r="Q632" s="14" t="s">
        <v>9158</v>
      </c>
      <c r="R632" s="14" t="s">
        <v>14748</v>
      </c>
    </row>
    <row r="633" spans="1:18">
      <c r="A633" s="14">
        <v>83993</v>
      </c>
      <c r="B633" s="14" t="s">
        <v>334</v>
      </c>
      <c r="C633" s="14" t="s">
        <v>101</v>
      </c>
      <c r="D633" s="19" t="s">
        <v>10572</v>
      </c>
      <c r="E633" s="15" t="str">
        <f>HYPERLINK("https://stat100.ameba.jp/tnk47/ratio20/illustrations/card/ill_83993_enjieruzuranotamagochan03.jpg?202104-5-RELEASE-marathon-526", "■")</f>
        <v>■</v>
      </c>
      <c r="F633" s="14" t="s">
        <v>6722</v>
      </c>
      <c r="G633" s="14">
        <v>132737</v>
      </c>
      <c r="H633" s="14">
        <v>142768</v>
      </c>
      <c r="I633" s="14">
        <v>29</v>
      </c>
      <c r="J633" s="14" t="s">
        <v>216</v>
      </c>
      <c r="K633" s="14" t="s">
        <v>6723</v>
      </c>
      <c r="L633" s="14" t="s">
        <v>6724</v>
      </c>
      <c r="M633" s="14" t="s">
        <v>13130</v>
      </c>
      <c r="N633" s="14" t="s">
        <v>343</v>
      </c>
      <c r="O633" s="14" t="s">
        <v>9158</v>
      </c>
      <c r="P633" s="14" t="s">
        <v>9158</v>
      </c>
      <c r="Q633" s="14" t="s">
        <v>9158</v>
      </c>
      <c r="R633" s="14" t="s">
        <v>14748</v>
      </c>
    </row>
    <row r="634" spans="1:18">
      <c r="A634" s="14">
        <v>84003</v>
      </c>
      <c r="B634" s="14" t="s">
        <v>0</v>
      </c>
      <c r="C634" s="14" t="s">
        <v>96</v>
      </c>
      <c r="D634" s="19" t="s">
        <v>10573</v>
      </c>
      <c r="E634" s="15" t="str">
        <f>HYPERLINK("https://stat100.ameba.jp/tnk47/ratio20/illustrations/card/ill_84003_sukoropendora03.jpg?202104-5-RELEASE-marathon-526", "■")</f>
        <v>■</v>
      </c>
      <c r="F634" s="14" t="s">
        <v>6725</v>
      </c>
      <c r="G634" s="14">
        <v>142768</v>
      </c>
      <c r="H634" s="14">
        <v>132737</v>
      </c>
      <c r="I634" s="14">
        <v>29</v>
      </c>
      <c r="J634" s="14" t="s">
        <v>182</v>
      </c>
      <c r="K634" s="14" t="s">
        <v>6727</v>
      </c>
      <c r="L634" s="14" t="s">
        <v>6728</v>
      </c>
      <c r="M634" s="14" t="s">
        <v>13130</v>
      </c>
      <c r="N634" s="14" t="s">
        <v>343</v>
      </c>
      <c r="O634" s="14" t="s">
        <v>9158</v>
      </c>
      <c r="P634" s="14" t="s">
        <v>9158</v>
      </c>
      <c r="Q634" s="14" t="s">
        <v>9158</v>
      </c>
      <c r="R634" s="14" t="s">
        <v>14748</v>
      </c>
    </row>
    <row r="635" spans="1:18">
      <c r="A635" s="14">
        <v>84013</v>
      </c>
      <c r="B635" s="14" t="s">
        <v>334</v>
      </c>
      <c r="C635" s="14" t="s">
        <v>205</v>
      </c>
      <c r="D635" s="19" t="s">
        <v>10574</v>
      </c>
      <c r="E635" s="15" t="str">
        <f>HYPERLINK("https://stat100.ameba.jp/tnk47/ratio20/illustrations/card/ill_84013_neikiddo03.jpg?202104-5-RELEASE-marathon-526", "■")</f>
        <v>■</v>
      </c>
      <c r="F635" s="14" t="s">
        <v>6729</v>
      </c>
      <c r="G635" s="14">
        <v>132737</v>
      </c>
      <c r="H635" s="14">
        <v>142768</v>
      </c>
      <c r="I635" s="14">
        <v>29</v>
      </c>
      <c r="J635" s="14" t="s">
        <v>194</v>
      </c>
      <c r="K635" s="14" t="s">
        <v>6731</v>
      </c>
      <c r="L635" s="14" t="s">
        <v>6732</v>
      </c>
      <c r="M635" s="14" t="s">
        <v>13130</v>
      </c>
      <c r="N635" s="14" t="s">
        <v>343</v>
      </c>
      <c r="O635" s="14" t="s">
        <v>9158</v>
      </c>
      <c r="P635" s="14" t="s">
        <v>9158</v>
      </c>
      <c r="Q635" s="14" t="s">
        <v>9158</v>
      </c>
      <c r="R635" s="14" t="s">
        <v>14748</v>
      </c>
    </row>
    <row r="636" spans="1:18">
      <c r="A636" s="14">
        <v>76763</v>
      </c>
      <c r="B636" s="14" t="s">
        <v>334</v>
      </c>
      <c r="C636" s="14" t="s">
        <v>107</v>
      </c>
      <c r="D636" s="19" t="s">
        <v>10575</v>
      </c>
      <c r="E636" s="15" t="str">
        <f>HYPERLINK("https://stat100.ameba.jp/tnk47/ratio20/illustrations/card/ill_76763_monsutanabeshimakeiginni03.jpg?202104-5-RELEASE-marathon-526", "■")</f>
        <v>■</v>
      </c>
      <c r="F636" s="14" t="s">
        <v>6733</v>
      </c>
      <c r="G636" s="14">
        <v>142768</v>
      </c>
      <c r="H636" s="14">
        <v>132737</v>
      </c>
      <c r="I636" s="14">
        <v>29</v>
      </c>
      <c r="J636" s="14" t="s">
        <v>187</v>
      </c>
      <c r="K636" s="14" t="s">
        <v>6735</v>
      </c>
      <c r="L636" s="14" t="s">
        <v>6736</v>
      </c>
      <c r="M636" s="14" t="s">
        <v>13130</v>
      </c>
      <c r="N636" s="14" t="s">
        <v>343</v>
      </c>
      <c r="O636" s="14" t="s">
        <v>9158</v>
      </c>
      <c r="P636" s="14" t="s">
        <v>9158</v>
      </c>
      <c r="Q636" s="14" t="s">
        <v>9158</v>
      </c>
      <c r="R636" s="14" t="s">
        <v>14748</v>
      </c>
    </row>
    <row r="638" spans="1:18">
      <c r="A638" s="14" t="s">
        <v>3643</v>
      </c>
    </row>
    <row r="639" spans="1:18">
      <c r="A639" s="14">
        <v>107733</v>
      </c>
      <c r="B639" s="14" t="s">
        <v>12051</v>
      </c>
    </row>
    <row r="640" spans="1:18">
      <c r="A640" s="14">
        <v>93885</v>
      </c>
      <c r="B640" s="14" t="s">
        <v>0</v>
      </c>
      <c r="C640" s="14" t="s">
        <v>202</v>
      </c>
      <c r="D640" s="18" t="s">
        <v>15565</v>
      </c>
      <c r="E640" s="15" t="str">
        <f>HYPERLINK("https://stat100.ameba.jp/tnk47/ratio20/illustrations/card/ill_93885_hyakujukireo05.jpg?202104-5-RELEASE-marathon-526x", "■")</f>
        <v>■</v>
      </c>
      <c r="F640" s="14" t="s">
        <v>15564</v>
      </c>
      <c r="G640" s="14">
        <v>145082</v>
      </c>
      <c r="H640" s="14">
        <v>200370</v>
      </c>
      <c r="I640" s="14">
        <v>28</v>
      </c>
      <c r="J640" s="14" t="s">
        <v>143</v>
      </c>
      <c r="K640" s="14" t="s">
        <v>15562</v>
      </c>
      <c r="L640" s="14" t="s">
        <v>12361</v>
      </c>
      <c r="M640" s="14" t="s">
        <v>9158</v>
      </c>
      <c r="N640" s="14" t="s">
        <v>9158</v>
      </c>
      <c r="O640" s="14" t="s">
        <v>9158</v>
      </c>
      <c r="P640" s="14" t="s">
        <v>9158</v>
      </c>
      <c r="Q640" s="14" t="s">
        <v>9158</v>
      </c>
      <c r="R640" s="14" t="s">
        <v>174</v>
      </c>
    </row>
    <row r="641" spans="1:18">
      <c r="A641" s="14">
        <v>93883</v>
      </c>
      <c r="B641" s="14" t="s">
        <v>15</v>
      </c>
      <c r="C641" s="14" t="s">
        <v>41</v>
      </c>
      <c r="D641" s="18" t="s">
        <v>15565</v>
      </c>
      <c r="E641" s="15" t="str">
        <f>HYPERLINK("https://stat100.ameba.jp/tnk47/ratio20/illustrations/card/ill_93883_hyakujukireo03.jpg?202104-5-RELEASE-marathon-526x", "■")</f>
        <v>■</v>
      </c>
      <c r="F641" s="14" t="s">
        <v>15564</v>
      </c>
      <c r="G641" s="14">
        <v>106890</v>
      </c>
      <c r="H641" s="14">
        <v>147630</v>
      </c>
      <c r="I641" s="14">
        <v>28</v>
      </c>
      <c r="J641" s="14" t="s">
        <v>143</v>
      </c>
      <c r="K641" s="14" t="s">
        <v>15562</v>
      </c>
      <c r="L641" s="14" t="s">
        <v>13527</v>
      </c>
      <c r="M641" s="14" t="s">
        <v>9158</v>
      </c>
      <c r="N641" s="14" t="s">
        <v>9158</v>
      </c>
      <c r="O641" s="14" t="s">
        <v>9158</v>
      </c>
      <c r="P641" s="14" t="s">
        <v>9158</v>
      </c>
      <c r="Q641" s="14" t="s">
        <v>9158</v>
      </c>
      <c r="R641" s="14" t="s">
        <v>175</v>
      </c>
    </row>
    <row r="642" spans="1:18">
      <c r="A642" s="14">
        <v>93881</v>
      </c>
      <c r="B642" s="14" t="s">
        <v>15</v>
      </c>
      <c r="C642" s="14" t="s">
        <v>41</v>
      </c>
      <c r="D642" s="18" t="s">
        <v>15565</v>
      </c>
      <c r="E642" s="15" t="str">
        <f>HYPERLINK("https://stat100.ameba.jp/tnk47/ratio20/illustrations/card/ill_93881_hyakujukireo01.jpg?202104-5-RELEASE-marathon-526x", "■")</f>
        <v>■</v>
      </c>
      <c r="F642" s="14" t="s">
        <v>15564</v>
      </c>
      <c r="G642" s="14">
        <v>68012</v>
      </c>
      <c r="H642" s="14">
        <v>93912</v>
      </c>
      <c r="I642" s="14">
        <v>28</v>
      </c>
      <c r="J642" s="14" t="s">
        <v>143</v>
      </c>
      <c r="K642" s="14" t="s">
        <v>15562</v>
      </c>
      <c r="L642" s="14" t="s">
        <v>13528</v>
      </c>
      <c r="M642" s="14" t="s">
        <v>9158</v>
      </c>
      <c r="N642" s="14" t="s">
        <v>9158</v>
      </c>
      <c r="O642" s="14" t="s">
        <v>9158</v>
      </c>
      <c r="P642" s="14" t="s">
        <v>9158</v>
      </c>
      <c r="Q642" s="14" t="s">
        <v>9158</v>
      </c>
      <c r="R642" s="14" t="s">
        <v>176</v>
      </c>
    </row>
    <row r="643" spans="1:18">
      <c r="A643" s="14">
        <v>92505</v>
      </c>
      <c r="B643" s="14" t="s">
        <v>0</v>
      </c>
      <c r="C643" s="14" t="s">
        <v>202</v>
      </c>
      <c r="D643" s="18" t="s">
        <v>15167</v>
      </c>
      <c r="E643" s="15" t="str">
        <f>HYPERLINK("https://stat100.ameba.jp/tnk47/ratio20/illustrations/card/ill_92505_bampaiakuin05.jpg?202104-5-RELEASE-marathon-526x", "■")</f>
        <v>■</v>
      </c>
      <c r="F643" s="14" t="s">
        <v>15166</v>
      </c>
      <c r="G643" s="14">
        <v>200370</v>
      </c>
      <c r="H643" s="14">
        <v>145082</v>
      </c>
      <c r="I643" s="14">
        <v>28</v>
      </c>
      <c r="J643" s="14" t="s">
        <v>73</v>
      </c>
      <c r="K643" s="14" t="s">
        <v>15164</v>
      </c>
      <c r="L643" s="14" t="s">
        <v>13766</v>
      </c>
      <c r="M643" s="14" t="s">
        <v>9158</v>
      </c>
      <c r="N643" s="14" t="s">
        <v>9158</v>
      </c>
      <c r="O643" s="14" t="s">
        <v>9158</v>
      </c>
      <c r="P643" s="14" t="s">
        <v>9158</v>
      </c>
      <c r="Q643" s="14" t="s">
        <v>9158</v>
      </c>
      <c r="R643" s="14" t="s">
        <v>174</v>
      </c>
    </row>
    <row r="644" spans="1:18">
      <c r="A644" s="14">
        <v>92503</v>
      </c>
      <c r="B644" s="14" t="s">
        <v>15</v>
      </c>
      <c r="C644" s="14" t="s">
        <v>154</v>
      </c>
      <c r="D644" s="18" t="s">
        <v>15167</v>
      </c>
      <c r="E644" s="15" t="str">
        <f>HYPERLINK("https://stat100.ameba.jp/tnk47/ratio20/illustrations/card/ill_92503_bampaiakuin03.jpg?202104-5-RELEASE-marathon-526x", "■")</f>
        <v>■</v>
      </c>
      <c r="F644" s="14" t="s">
        <v>15166</v>
      </c>
      <c r="G644" s="14">
        <v>147630</v>
      </c>
      <c r="H644" s="14">
        <v>106890</v>
      </c>
      <c r="I644" s="14">
        <v>28</v>
      </c>
      <c r="J644" s="14" t="s">
        <v>73</v>
      </c>
      <c r="K644" s="14" t="s">
        <v>15164</v>
      </c>
      <c r="L644" s="14" t="s">
        <v>13769</v>
      </c>
      <c r="M644" s="14" t="s">
        <v>9158</v>
      </c>
      <c r="N644" s="14" t="s">
        <v>9158</v>
      </c>
      <c r="O644" s="14" t="s">
        <v>9158</v>
      </c>
      <c r="P644" s="14" t="s">
        <v>9158</v>
      </c>
      <c r="Q644" s="14" t="s">
        <v>9158</v>
      </c>
      <c r="R644" s="14" t="s">
        <v>175</v>
      </c>
    </row>
    <row r="645" spans="1:18">
      <c r="A645" s="14">
        <v>92501</v>
      </c>
      <c r="B645" s="14" t="s">
        <v>15</v>
      </c>
      <c r="C645" s="14" t="s">
        <v>154</v>
      </c>
      <c r="D645" s="18" t="s">
        <v>15167</v>
      </c>
      <c r="E645" s="15" t="str">
        <f>HYPERLINK("https://stat100.ameba.jp/tnk47/ratio20/illustrations/card/ill_92501_bampaiakuin01.jpg?202104-5-RELEASE-marathon-526x", "■")</f>
        <v>■</v>
      </c>
      <c r="F645" s="14" t="s">
        <v>15166</v>
      </c>
      <c r="G645" s="14">
        <v>93912</v>
      </c>
      <c r="H645" s="14">
        <v>68012</v>
      </c>
      <c r="I645" s="14">
        <v>28</v>
      </c>
      <c r="J645" s="14" t="s">
        <v>73</v>
      </c>
      <c r="K645" s="14" t="s">
        <v>15164</v>
      </c>
      <c r="L645" s="14" t="s">
        <v>13770</v>
      </c>
      <c r="M645" s="14" t="s">
        <v>9158</v>
      </c>
      <c r="N645" s="14" t="s">
        <v>9158</v>
      </c>
      <c r="O645" s="14" t="s">
        <v>9158</v>
      </c>
      <c r="P645" s="14" t="s">
        <v>9158</v>
      </c>
      <c r="Q645" s="14" t="s">
        <v>9158</v>
      </c>
      <c r="R645" s="14" t="s">
        <v>176</v>
      </c>
    </row>
    <row r="646" spans="1:18">
      <c r="A646" s="9">
        <v>78815</v>
      </c>
      <c r="B646" s="14" t="s">
        <v>334</v>
      </c>
      <c r="C646" s="14" t="s">
        <v>202</v>
      </c>
      <c r="D646" s="14" t="s">
        <v>3117</v>
      </c>
      <c r="E646" s="15" t="str">
        <f>HYPERLINK("https://stat100.ameba.jp/tnk47/ratio20/illustrations/card/ill_78815_waishatsutamagokakegohanchan05.jpg?202104-5-RELEASE-marathon-526x", "■")</f>
        <v>■</v>
      </c>
      <c r="F646" s="14" t="s">
        <v>3118</v>
      </c>
      <c r="G646" s="14">
        <v>200370</v>
      </c>
      <c r="H646" s="14">
        <v>145082</v>
      </c>
      <c r="I646" s="14">
        <v>28</v>
      </c>
      <c r="J646" s="14" t="s">
        <v>283</v>
      </c>
      <c r="K646" s="14" t="s">
        <v>3119</v>
      </c>
      <c r="L646" s="14" t="s">
        <v>3120</v>
      </c>
      <c r="M646" s="14" t="s">
        <v>9158</v>
      </c>
      <c r="N646" s="14" t="s">
        <v>9158</v>
      </c>
      <c r="O646" s="14" t="s">
        <v>9158</v>
      </c>
      <c r="P646" s="14" t="s">
        <v>9158</v>
      </c>
      <c r="Q646" s="14" t="s">
        <v>9158</v>
      </c>
      <c r="R646" s="14" t="s">
        <v>174</v>
      </c>
    </row>
    <row r="647" spans="1:18">
      <c r="A647" s="9">
        <v>78813</v>
      </c>
      <c r="B647" s="14" t="s">
        <v>348</v>
      </c>
      <c r="C647" s="14" t="s">
        <v>158</v>
      </c>
      <c r="D647" s="14" t="s">
        <v>3117</v>
      </c>
      <c r="E647" s="15" t="str">
        <f>HYPERLINK("https://stat100.ameba.jp/tnk47/ratio20/illustrations/card/ill_78813_waishatsutamagokakegohanchan03.jpg?202104-5-RELEASE-marathon-526x", "■")</f>
        <v>■</v>
      </c>
      <c r="F647" s="14" t="s">
        <v>3118</v>
      </c>
      <c r="G647" s="14">
        <v>147630</v>
      </c>
      <c r="H647" s="14">
        <v>106890</v>
      </c>
      <c r="I647" s="14">
        <v>28</v>
      </c>
      <c r="J647" s="14" t="s">
        <v>283</v>
      </c>
      <c r="K647" s="14" t="s">
        <v>3119</v>
      </c>
      <c r="L647" s="14" t="s">
        <v>3121</v>
      </c>
      <c r="M647" s="14" t="s">
        <v>9158</v>
      </c>
      <c r="N647" s="14" t="s">
        <v>9158</v>
      </c>
      <c r="O647" s="14" t="s">
        <v>9158</v>
      </c>
      <c r="P647" s="14" t="s">
        <v>9158</v>
      </c>
      <c r="Q647" s="14" t="s">
        <v>9158</v>
      </c>
      <c r="R647" s="14" t="s">
        <v>175</v>
      </c>
    </row>
    <row r="648" spans="1:18">
      <c r="A648" s="9">
        <v>78811</v>
      </c>
      <c r="B648" s="14" t="s">
        <v>348</v>
      </c>
      <c r="C648" s="14" t="s">
        <v>158</v>
      </c>
      <c r="D648" s="14" t="s">
        <v>3117</v>
      </c>
      <c r="E648" s="15" t="str">
        <f>HYPERLINK("https://stat100.ameba.jp/tnk47/ratio20/illustrations/card/ill_78811_waishatsutamagokakegohanchan01.jpg?202104-5-RELEASE-marathon-526x", "■")</f>
        <v>■</v>
      </c>
      <c r="F648" s="14" t="s">
        <v>3118</v>
      </c>
      <c r="G648" s="14">
        <v>93912</v>
      </c>
      <c r="H648" s="14">
        <v>68012</v>
      </c>
      <c r="I648" s="14">
        <v>28</v>
      </c>
      <c r="J648" s="14" t="s">
        <v>283</v>
      </c>
      <c r="K648" s="14" t="s">
        <v>3119</v>
      </c>
      <c r="L648" s="14" t="s">
        <v>3122</v>
      </c>
      <c r="M648" s="14" t="s">
        <v>9158</v>
      </c>
      <c r="N648" s="14" t="s">
        <v>9158</v>
      </c>
      <c r="O648" s="14" t="s">
        <v>9158</v>
      </c>
      <c r="P648" s="14" t="s">
        <v>9158</v>
      </c>
      <c r="Q648" s="14" t="s">
        <v>9158</v>
      </c>
      <c r="R648" s="14" t="s">
        <v>176</v>
      </c>
    </row>
    <row r="650" spans="1:18">
      <c r="A650" s="14" t="s">
        <v>3844</v>
      </c>
    </row>
    <row r="651" spans="1:18">
      <c r="A651" s="14">
        <v>107750</v>
      </c>
      <c r="B651" s="14" t="s">
        <v>17188</v>
      </c>
    </row>
    <row r="652" spans="1:18">
      <c r="A652" s="14" t="s">
        <v>5804</v>
      </c>
      <c r="B652" s="14" t="s">
        <v>52</v>
      </c>
      <c r="C652" s="14" t="s">
        <v>14</v>
      </c>
      <c r="D652" s="19" t="s">
        <v>3195</v>
      </c>
      <c r="E652" s="15" t="str">
        <f>HYPERLINK("https://stat100.ameba.jp/tnk47/ratio20/illustrations/card/ill_75393_0_resukuinotsukisamaniittausagi03.jpg?202104-5-RELEASE-marathon-526x", "■")</f>
        <v>■</v>
      </c>
      <c r="F652" s="14" t="s">
        <v>3248</v>
      </c>
      <c r="G652" s="14">
        <v>307540</v>
      </c>
      <c r="H652" s="14">
        <v>285930</v>
      </c>
      <c r="I652" s="14">
        <v>25</v>
      </c>
      <c r="J652" s="14" t="s">
        <v>26</v>
      </c>
      <c r="K652" s="14" t="s">
        <v>3249</v>
      </c>
      <c r="L652" s="14" t="s">
        <v>3250</v>
      </c>
      <c r="M652" s="14" t="s">
        <v>9158</v>
      </c>
      <c r="N652" s="14" t="s">
        <v>9158</v>
      </c>
      <c r="O652" s="19" t="s">
        <v>10101</v>
      </c>
      <c r="P652" s="14" t="s">
        <v>3251</v>
      </c>
      <c r="Q652" s="14">
        <v>2</v>
      </c>
    </row>
    <row r="653" spans="1:18">
      <c r="A653" s="14">
        <v>63853</v>
      </c>
      <c r="B653" s="14" t="s">
        <v>334</v>
      </c>
      <c r="C653" s="14" t="s">
        <v>200</v>
      </c>
      <c r="D653" s="20" t="s">
        <v>10284</v>
      </c>
      <c r="E653" s="15" t="str">
        <f>HYPERLINK("https://stat100.ameba.jp/tnk47/ratio20/illustrations/card/ill_63853_daikokaijidainansosatomihakkenden03.jpg?202104-5-RELEASE-marathon-526x", "■")</f>
        <v>■</v>
      </c>
      <c r="F653" s="14" t="s">
        <v>941</v>
      </c>
      <c r="G653" s="14">
        <v>114362</v>
      </c>
      <c r="H653" s="14">
        <v>123220</v>
      </c>
      <c r="I653" s="14">
        <v>27</v>
      </c>
      <c r="J653" s="14" t="s">
        <v>155</v>
      </c>
      <c r="K653" s="14" t="s">
        <v>942</v>
      </c>
      <c r="L653" s="14" t="s">
        <v>13149</v>
      </c>
      <c r="M653" s="14" t="s">
        <v>9158</v>
      </c>
      <c r="N653" s="14" t="s">
        <v>9158</v>
      </c>
      <c r="O653" s="19" t="s">
        <v>10121</v>
      </c>
      <c r="P653" s="14" t="s">
        <v>3330</v>
      </c>
      <c r="Q653" s="14">
        <v>1</v>
      </c>
    </row>
    <row r="654" spans="1:18">
      <c r="A654" s="9">
        <v>81143</v>
      </c>
      <c r="B654" s="14" t="s">
        <v>334</v>
      </c>
      <c r="C654" s="14" t="s">
        <v>205</v>
      </c>
      <c r="D654" s="14" t="s">
        <v>4516</v>
      </c>
      <c r="E654" s="15" t="str">
        <f>HYPERLINK("https://stat100.ameba.jp/tnk47/ratio20/illustrations/card/ill_81143_shinryokunokisetsumerompan03.jpg?202104-5-RELEASE-marathon-526x", "■")</f>
        <v>■</v>
      </c>
      <c r="F654" s="14" t="s">
        <v>4517</v>
      </c>
      <c r="G654" s="14">
        <v>127507</v>
      </c>
      <c r="H654" s="14">
        <v>118568</v>
      </c>
      <c r="I654" s="14">
        <v>27</v>
      </c>
      <c r="J654" s="14" t="s">
        <v>104</v>
      </c>
      <c r="K654" s="14" t="s">
        <v>4518</v>
      </c>
      <c r="L654" s="14" t="s">
        <v>3489</v>
      </c>
      <c r="M654" s="14" t="s">
        <v>9158</v>
      </c>
      <c r="N654" s="14" t="s">
        <v>9158</v>
      </c>
      <c r="O654" s="9" t="s">
        <v>3609</v>
      </c>
      <c r="P654" s="14" t="s">
        <v>3610</v>
      </c>
      <c r="Q654" s="14">
        <v>1</v>
      </c>
    </row>
    <row r="655" spans="1:18">
      <c r="A655" s="14">
        <v>72193</v>
      </c>
      <c r="B655" s="14" t="s">
        <v>334</v>
      </c>
      <c r="C655" s="14" t="s">
        <v>165</v>
      </c>
      <c r="D655" s="19" t="s">
        <v>3112</v>
      </c>
      <c r="E655" s="15" t="str">
        <f>HYPERLINK("https://stat100.ameba.jp/tnk47/ratio20/illustrations/card/ill_72193_koinoborikomyokogo03.jpg?202104-5-RELEASE-marathon-526x", "■")</f>
        <v>■</v>
      </c>
      <c r="F655" s="14" t="s">
        <v>2539</v>
      </c>
      <c r="G655" s="14">
        <v>105465</v>
      </c>
      <c r="H655" s="14">
        <v>98019</v>
      </c>
      <c r="I655" s="14">
        <v>27</v>
      </c>
      <c r="J655" s="14" t="s">
        <v>10</v>
      </c>
      <c r="K655" s="14" t="s">
        <v>2540</v>
      </c>
      <c r="L655" s="14" t="s">
        <v>60</v>
      </c>
      <c r="M655" s="14" t="s">
        <v>9158</v>
      </c>
      <c r="N655" s="14" t="s">
        <v>9158</v>
      </c>
      <c r="O655" s="19" t="s">
        <v>10090</v>
      </c>
      <c r="P655" s="14" t="s">
        <v>3460</v>
      </c>
      <c r="Q655" s="14">
        <v>1</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7F3E-18A8-40A6-93F4-3EFFAB43B543}">
  <dimension ref="A1:T655"/>
  <sheetViews>
    <sheetView zoomScale="55" zoomScaleNormal="55" workbookViewId="0">
      <pane ySplit="1" topLeftCell="A456" activePane="bottomLeft" state="frozen"/>
      <selection activeCell="A409" sqref="A409:Q409"/>
      <selection pane="bottomLeft" activeCell="D469" sqref="D469"/>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16984</v>
      </c>
    </row>
    <row r="4" spans="1:19">
      <c r="A4" s="14">
        <v>311811</v>
      </c>
      <c r="B4" s="14" t="s">
        <v>12010</v>
      </c>
    </row>
    <row r="5" spans="1:19">
      <c r="A5" s="14">
        <v>311860</v>
      </c>
      <c r="B5" s="14" t="s">
        <v>12011</v>
      </c>
    </row>
    <row r="6" spans="1:19">
      <c r="A6" s="14" t="s">
        <v>16989</v>
      </c>
      <c r="B6" s="7" t="s">
        <v>52</v>
      </c>
      <c r="C6" s="14" t="s">
        <v>202</v>
      </c>
      <c r="D6" s="18" t="s">
        <v>16988</v>
      </c>
      <c r="E6" s="15" t="str">
        <f>HYPERLINK("https://stat100.ameba.jp/tnk47/ratio20/illustrations/card/ill_97013_0_kanokaishiranui03.jpg?202104-5-RELEASE-marathon-526xx", "■")</f>
        <v>■</v>
      </c>
      <c r="F6" s="14" t="s">
        <v>16987</v>
      </c>
      <c r="G6" s="14">
        <v>348458</v>
      </c>
      <c r="H6" s="14">
        <v>314908</v>
      </c>
      <c r="I6" s="7">
        <v>33</v>
      </c>
      <c r="J6" s="14" t="s">
        <v>73</v>
      </c>
      <c r="K6" s="14" t="s">
        <v>16986</v>
      </c>
      <c r="L6" s="14" t="s">
        <v>16985</v>
      </c>
      <c r="M6" s="14" t="s">
        <v>9158</v>
      </c>
      <c r="N6" s="14" t="s">
        <v>9158</v>
      </c>
      <c r="O6" s="7" t="s">
        <v>16990</v>
      </c>
      <c r="P6" s="7" t="s">
        <v>16991</v>
      </c>
      <c r="Q6" s="7">
        <v>1</v>
      </c>
    </row>
    <row r="7" spans="1:19">
      <c r="A7" s="14">
        <v>96973</v>
      </c>
      <c r="B7" s="14" t="s">
        <v>0</v>
      </c>
      <c r="C7" s="14" t="s">
        <v>1</v>
      </c>
      <c r="D7" s="18" t="s">
        <v>16995</v>
      </c>
      <c r="E7" s="15" t="str">
        <f>HYPERLINK("https://stat100.ameba.jp/tnk47/ratio20/illustrations/card/ill_96973_kanokaiinugamitsukai03.jpg?202104-5-RELEASE-marathon-526xx", "■")</f>
        <v>■</v>
      </c>
      <c r="F7" s="14" t="s">
        <v>16994</v>
      </c>
      <c r="G7" s="14">
        <v>172397</v>
      </c>
      <c r="H7" s="14">
        <v>160296</v>
      </c>
      <c r="I7" s="14">
        <v>29</v>
      </c>
      <c r="J7" s="14" t="s">
        <v>44</v>
      </c>
      <c r="K7" s="14" t="s">
        <v>16993</v>
      </c>
      <c r="L7" s="14" t="s">
        <v>16992</v>
      </c>
      <c r="M7" s="14" t="s">
        <v>9158</v>
      </c>
      <c r="N7" s="14" t="s">
        <v>9158</v>
      </c>
      <c r="O7" s="7" t="s">
        <v>10118</v>
      </c>
      <c r="P7" s="7" t="s">
        <v>3810</v>
      </c>
      <c r="Q7" s="7">
        <v>1</v>
      </c>
    </row>
    <row r="8" spans="1:19">
      <c r="A8" s="14">
        <v>96953</v>
      </c>
      <c r="B8" s="14" t="s">
        <v>0</v>
      </c>
      <c r="C8" s="14" t="s">
        <v>23</v>
      </c>
      <c r="D8" s="18" t="s">
        <v>16999</v>
      </c>
      <c r="E8" s="15" t="str">
        <f>HYPERLINK("https://stat100.ameba.jp/tnk47/ratio20/illustrations/card/ill_96953_kanokaiizaberabado03.jpg?202104-5-RELEASE-marathon-526xx", "■")</f>
        <v>■</v>
      </c>
      <c r="F8" s="14" t="s">
        <v>16998</v>
      </c>
      <c r="G8" s="14">
        <v>105281</v>
      </c>
      <c r="H8" s="14">
        <v>113277</v>
      </c>
      <c r="I8" s="14">
        <v>29</v>
      </c>
      <c r="J8" s="14" t="s">
        <v>16</v>
      </c>
      <c r="K8" s="14" t="s">
        <v>16997</v>
      </c>
      <c r="L8" s="14" t="s">
        <v>16996</v>
      </c>
      <c r="M8" s="14" t="s">
        <v>2138</v>
      </c>
      <c r="N8" s="14" t="s">
        <v>2139</v>
      </c>
      <c r="O8" s="14" t="s">
        <v>9158</v>
      </c>
      <c r="P8" s="14" t="s">
        <v>9158</v>
      </c>
      <c r="Q8" s="14" t="s">
        <v>9158</v>
      </c>
      <c r="R8" s="14" t="s">
        <v>13120</v>
      </c>
    </row>
    <row r="9" spans="1:19">
      <c r="A9" s="14">
        <v>96963</v>
      </c>
      <c r="B9" s="14" t="s">
        <v>0</v>
      </c>
      <c r="C9" s="14" t="s">
        <v>96</v>
      </c>
      <c r="D9" s="18" t="s">
        <v>17002</v>
      </c>
      <c r="E9" s="15" t="str">
        <f>HYPERLINK("https://stat100.ameba.jp/tnk47/ratio20/illustrations/card/ill_96963_kanokaiyoshinoyamanosakura03.jpg?202104-5-RELEASE-marathon-526xx", "■")</f>
        <v>■</v>
      </c>
      <c r="F9" s="14" t="s">
        <v>17001</v>
      </c>
      <c r="G9" s="14">
        <v>122834</v>
      </c>
      <c r="H9" s="14">
        <v>132112</v>
      </c>
      <c r="I9" s="14">
        <v>29</v>
      </c>
      <c r="J9" s="14" t="s">
        <v>26</v>
      </c>
      <c r="K9" s="14" t="s">
        <v>17000</v>
      </c>
      <c r="L9" s="14" t="s">
        <v>9333</v>
      </c>
      <c r="M9" s="14" t="s">
        <v>2138</v>
      </c>
      <c r="N9" s="14" t="s">
        <v>2139</v>
      </c>
      <c r="O9" s="14" t="s">
        <v>9158</v>
      </c>
      <c r="P9" s="14" t="s">
        <v>9158</v>
      </c>
      <c r="Q9" s="14" t="s">
        <v>9158</v>
      </c>
      <c r="R9" s="14" t="s">
        <v>13120</v>
      </c>
    </row>
    <row r="10" spans="1:19">
      <c r="A10" s="14">
        <v>96983</v>
      </c>
      <c r="B10" s="14" t="s">
        <v>15</v>
      </c>
      <c r="C10" s="14" t="s">
        <v>14</v>
      </c>
      <c r="D10" s="18" t="s">
        <v>17005</v>
      </c>
      <c r="E10" s="15" t="str">
        <f>HYPERLINK("https://stat100.ameba.jp/tnk47/ratio20/illustrations/card/ill_96983_sokuroinari03.jpg?202104-5-RELEASE-marathon-526xx", "■")</f>
        <v>■</v>
      </c>
      <c r="F10" s="14" t="s">
        <v>17004</v>
      </c>
      <c r="G10" s="7">
        <v>82992</v>
      </c>
      <c r="H10" s="7">
        <v>75274</v>
      </c>
      <c r="I10" s="7">
        <v>28</v>
      </c>
      <c r="J10" s="14" t="s">
        <v>44</v>
      </c>
      <c r="K10" s="7" t="s">
        <v>17003</v>
      </c>
      <c r="L10" s="7" t="s">
        <v>3726</v>
      </c>
      <c r="M10" s="14" t="s">
        <v>9158</v>
      </c>
      <c r="N10" s="14" t="s">
        <v>9158</v>
      </c>
      <c r="O10" s="14" t="s">
        <v>9158</v>
      </c>
      <c r="P10" s="14" t="s">
        <v>9158</v>
      </c>
      <c r="Q10" s="14" t="s">
        <v>9158</v>
      </c>
    </row>
    <row r="11" spans="1:19">
      <c r="A11" s="14">
        <v>96993</v>
      </c>
      <c r="B11" s="14" t="s">
        <v>15</v>
      </c>
      <c r="C11" s="14" t="s">
        <v>101</v>
      </c>
      <c r="D11" s="18" t="s">
        <v>17008</v>
      </c>
      <c r="E11" s="15" t="str">
        <f>HYPERLINK("https://stat100.ameba.jp/tnk47/ratio20/illustrations/card/ill_96993_hanaminene03.jpg?202104-5-RELEASE-marathon-526xx", "■")</f>
        <v>■</v>
      </c>
      <c r="F11" s="14" t="s">
        <v>17007</v>
      </c>
      <c r="G11" s="7">
        <v>75274</v>
      </c>
      <c r="H11" s="7">
        <v>82992</v>
      </c>
      <c r="I11" s="7">
        <v>28</v>
      </c>
      <c r="J11" s="14" t="s">
        <v>77</v>
      </c>
      <c r="K11" s="7" t="s">
        <v>17006</v>
      </c>
      <c r="L11" s="7" t="s">
        <v>3730</v>
      </c>
      <c r="M11" s="14" t="s">
        <v>9158</v>
      </c>
      <c r="N11" s="14" t="s">
        <v>9158</v>
      </c>
      <c r="O11" s="14" t="s">
        <v>9158</v>
      </c>
      <c r="P11" s="14" t="s">
        <v>9158</v>
      </c>
      <c r="Q11" s="14" t="s">
        <v>9158</v>
      </c>
    </row>
    <row r="12" spans="1:19">
      <c r="A12" s="14">
        <v>97003</v>
      </c>
      <c r="B12" s="14" t="s">
        <v>15</v>
      </c>
      <c r="C12" s="14" t="s">
        <v>107</v>
      </c>
      <c r="D12" s="18" t="s">
        <v>17011</v>
      </c>
      <c r="E12" s="15" t="str">
        <f>HYPERLINK("https://stat100.ameba.jp/tnk47/ratio20/illustrations/card/ill_97003_sakuramegurikannagi03.jpg?202104-5-RELEASE-marathon-526xx", "■")</f>
        <v>■</v>
      </c>
      <c r="F12" s="14" t="s">
        <v>17010</v>
      </c>
      <c r="G12" s="7">
        <v>82992</v>
      </c>
      <c r="H12" s="7">
        <v>75274</v>
      </c>
      <c r="I12" s="7">
        <v>28</v>
      </c>
      <c r="J12" s="14" t="s">
        <v>44</v>
      </c>
      <c r="K12" s="7" t="s">
        <v>17009</v>
      </c>
      <c r="L12" s="7" t="s">
        <v>3726</v>
      </c>
      <c r="M12" s="14" t="s">
        <v>9158</v>
      </c>
      <c r="N12" s="14" t="s">
        <v>9158</v>
      </c>
      <c r="O12" s="14" t="s">
        <v>9158</v>
      </c>
      <c r="P12" s="14" t="s">
        <v>9158</v>
      </c>
      <c r="Q12" s="14" t="s">
        <v>9158</v>
      </c>
    </row>
    <row r="13" spans="1:19">
      <c r="A13" s="14">
        <v>97023</v>
      </c>
      <c r="B13" s="14" t="s">
        <v>22</v>
      </c>
      <c r="C13" s="14" t="s">
        <v>96</v>
      </c>
      <c r="D13" s="18" t="s">
        <v>17014</v>
      </c>
      <c r="E13" s="15" t="str">
        <f>HYPERLINK("https://stat100.ameba.jp/tnk47/ratio20/illustrations/card/ill_97023_yoseishirasagijo03.jpg?202104-5-RELEASE-marathon-526xx", "■")</f>
        <v>■</v>
      </c>
      <c r="F13" s="14" t="s">
        <v>17013</v>
      </c>
      <c r="G13" s="7">
        <v>44948</v>
      </c>
      <c r="H13" s="7">
        <v>54058</v>
      </c>
      <c r="I13" s="7">
        <v>26</v>
      </c>
      <c r="J13" s="14" t="s">
        <v>26</v>
      </c>
      <c r="K13" s="7" t="s">
        <v>17012</v>
      </c>
      <c r="L13" s="7" t="s">
        <v>5415</v>
      </c>
      <c r="M13" s="14" t="s">
        <v>9158</v>
      </c>
      <c r="N13" s="14" t="s">
        <v>9158</v>
      </c>
      <c r="O13" s="14" t="s">
        <v>9158</v>
      </c>
      <c r="P13" s="14" t="s">
        <v>9158</v>
      </c>
      <c r="Q13" s="14" t="s">
        <v>9158</v>
      </c>
    </row>
    <row r="14" spans="1:19">
      <c r="A14" s="14">
        <v>97033</v>
      </c>
      <c r="B14" s="14" t="s">
        <v>22</v>
      </c>
      <c r="C14" s="14" t="s">
        <v>23</v>
      </c>
      <c r="D14" s="18" t="s">
        <v>17017</v>
      </c>
      <c r="E14" s="15" t="str">
        <f>HYPERLINK("https://stat100.ameba.jp/tnk47/ratio20/illustrations/card/ill_97033_sakurameguriorurinokata03.jpg?202104-5-RELEASE-marathon-526xx", "■")</f>
        <v>■</v>
      </c>
      <c r="F14" s="14" t="s">
        <v>17016</v>
      </c>
      <c r="G14" s="7">
        <v>54058</v>
      </c>
      <c r="H14" s="7">
        <v>44948</v>
      </c>
      <c r="I14" s="7">
        <v>26</v>
      </c>
      <c r="J14" s="14" t="s">
        <v>77</v>
      </c>
      <c r="K14" s="7" t="s">
        <v>17015</v>
      </c>
      <c r="L14" s="7" t="s">
        <v>7808</v>
      </c>
      <c r="M14" s="14" t="s">
        <v>9158</v>
      </c>
      <c r="N14" s="14" t="s">
        <v>9158</v>
      </c>
      <c r="O14" s="14" t="s">
        <v>9158</v>
      </c>
      <c r="P14" s="14" t="s">
        <v>9158</v>
      </c>
      <c r="Q14" s="14" t="s">
        <v>9158</v>
      </c>
    </row>
    <row r="15" spans="1:19">
      <c r="A15" s="14">
        <v>97043</v>
      </c>
      <c r="B15" s="14" t="s">
        <v>30</v>
      </c>
      <c r="C15" s="14" t="s">
        <v>3782</v>
      </c>
      <c r="D15" s="18" t="s">
        <v>17018</v>
      </c>
      <c r="E15" s="15" t="str">
        <f>HYPERLINK("https://stat100.ameba.jp/tnk47/ratio20/illustrations/card/ill_97043_nambukomaodori03.jpg?202104-5-RELEASE-marathon-526xx", "■")</f>
        <v>■</v>
      </c>
      <c r="F15" s="14" t="s">
        <v>17020</v>
      </c>
      <c r="G15" s="7" t="s">
        <v>12934</v>
      </c>
      <c r="H15" s="7" t="s">
        <v>12934</v>
      </c>
      <c r="I15" s="7">
        <v>19</v>
      </c>
      <c r="J15" s="14" t="s">
        <v>26</v>
      </c>
      <c r="K15" s="7" t="s">
        <v>12934</v>
      </c>
      <c r="L15" s="7" t="s">
        <v>12934</v>
      </c>
      <c r="M15" s="14" t="s">
        <v>9158</v>
      </c>
      <c r="N15" s="14" t="s">
        <v>9158</v>
      </c>
      <c r="O15" s="14" t="s">
        <v>9158</v>
      </c>
      <c r="P15" s="14" t="s">
        <v>9158</v>
      </c>
      <c r="Q15" s="14" t="s">
        <v>9158</v>
      </c>
    </row>
    <row r="16" spans="1:19">
      <c r="A16" s="14">
        <v>97053</v>
      </c>
      <c r="B16" s="14" t="s">
        <v>30</v>
      </c>
      <c r="C16" s="14" t="s">
        <v>4881</v>
      </c>
      <c r="D16" s="18" t="s">
        <v>17019</v>
      </c>
      <c r="E16" s="15" t="str">
        <f>HYPERLINK("https://stat100.ameba.jp/tnk47/ratio20/illustrations/card/ill_97053_sunaoroshi03.jpg?202104-5-RELEASE-marathon-526xx", "■")</f>
        <v>■</v>
      </c>
      <c r="F16" s="14" t="s">
        <v>17021</v>
      </c>
      <c r="G16" s="7" t="s">
        <v>12934</v>
      </c>
      <c r="H16" s="7" t="s">
        <v>12934</v>
      </c>
      <c r="I16" s="7">
        <v>19</v>
      </c>
      <c r="J16" s="14" t="s">
        <v>104</v>
      </c>
      <c r="K16" s="7" t="s">
        <v>12934</v>
      </c>
      <c r="L16" s="7" t="s">
        <v>12934</v>
      </c>
      <c r="M16" s="14" t="s">
        <v>9158</v>
      </c>
      <c r="N16" s="14" t="s">
        <v>9158</v>
      </c>
      <c r="O16" s="14" t="s">
        <v>9158</v>
      </c>
      <c r="P16" s="14" t="s">
        <v>9158</v>
      </c>
      <c r="Q16" s="14" t="s">
        <v>9158</v>
      </c>
    </row>
    <row r="17" spans="1:18">
      <c r="D17" s="7"/>
    </row>
    <row r="18" spans="1:18">
      <c r="A18" s="14" t="s">
        <v>17024</v>
      </c>
      <c r="D18" s="7"/>
    </row>
    <row r="19" spans="1:18">
      <c r="A19" s="14">
        <v>237583</v>
      </c>
      <c r="B19" s="14" t="s">
        <v>4203</v>
      </c>
      <c r="D19" s="7"/>
    </row>
    <row r="20" spans="1:18">
      <c r="A20" s="14">
        <v>97065</v>
      </c>
      <c r="B20" s="14" t="s">
        <v>0</v>
      </c>
      <c r="C20" s="14" t="s">
        <v>202</v>
      </c>
      <c r="D20" s="18" t="s">
        <v>17027</v>
      </c>
      <c r="E20" s="15" t="str">
        <f>HYPERLINK("https://stat100.ameba.jp/tnk47/ratio20/illustrations/card/ill_97065_kanokaimitarashidangochan05.jpg?202104-5-RELEASE-marathon-526xx", "■")</f>
        <v>■</v>
      </c>
      <c r="F20" s="14" t="s">
        <v>17026</v>
      </c>
      <c r="G20" s="14">
        <v>173127</v>
      </c>
      <c r="H20" s="14">
        <v>125359</v>
      </c>
      <c r="I20" s="14">
        <v>29</v>
      </c>
      <c r="J20" s="14" t="s">
        <v>104</v>
      </c>
      <c r="K20" s="14" t="s">
        <v>17025</v>
      </c>
      <c r="L20" s="14" t="s">
        <v>13093</v>
      </c>
      <c r="M20" s="14" t="s">
        <v>9158</v>
      </c>
      <c r="N20" s="14" t="s">
        <v>9158</v>
      </c>
      <c r="O20" s="14" t="s">
        <v>9158</v>
      </c>
      <c r="P20" s="14" t="s">
        <v>9158</v>
      </c>
      <c r="Q20" s="14" t="s">
        <v>9158</v>
      </c>
      <c r="R20" s="14" t="s">
        <v>174</v>
      </c>
    </row>
    <row r="21" spans="1:18">
      <c r="A21" s="14">
        <v>97063</v>
      </c>
      <c r="B21" s="14" t="s">
        <v>15</v>
      </c>
      <c r="C21" s="14" t="s">
        <v>158</v>
      </c>
      <c r="D21" s="18" t="s">
        <v>17027</v>
      </c>
      <c r="E21" s="15" t="str">
        <f>HYPERLINK("https://stat100.ameba.jp/tnk47/ratio20/illustrations/card/ill_97063_kanokaimitarashidangochan03.jpg?202104-5-RELEASE-marathon-526xx", "■")</f>
        <v>■</v>
      </c>
      <c r="F21" s="14" t="s">
        <v>17026</v>
      </c>
      <c r="G21" s="14">
        <v>127556</v>
      </c>
      <c r="H21" s="14">
        <v>92359</v>
      </c>
      <c r="I21" s="14">
        <v>29</v>
      </c>
      <c r="J21" s="14" t="s">
        <v>104</v>
      </c>
      <c r="K21" s="14" t="s">
        <v>17025</v>
      </c>
      <c r="L21" s="14" t="s">
        <v>17028</v>
      </c>
      <c r="M21" s="14" t="s">
        <v>9158</v>
      </c>
      <c r="N21" s="14" t="s">
        <v>9158</v>
      </c>
      <c r="O21" s="14" t="s">
        <v>9158</v>
      </c>
      <c r="P21" s="14" t="s">
        <v>9158</v>
      </c>
      <c r="Q21" s="14" t="s">
        <v>9158</v>
      </c>
      <c r="R21" s="14" t="s">
        <v>175</v>
      </c>
    </row>
    <row r="22" spans="1:18">
      <c r="A22" s="14">
        <v>97061</v>
      </c>
      <c r="B22" s="14" t="s">
        <v>15</v>
      </c>
      <c r="C22" s="14" t="s">
        <v>158</v>
      </c>
      <c r="D22" s="18" t="s">
        <v>17027</v>
      </c>
      <c r="E22" s="15" t="str">
        <f>HYPERLINK("https://stat100.ameba.jp/tnk47/ratio20/illustrations/card/ill_97061_kanokaimitarashidangochan01.jpg?202104-5-RELEASE-marathon-526xx", "■")</f>
        <v>■</v>
      </c>
      <c r="F22" s="14" t="s">
        <v>17026</v>
      </c>
      <c r="G22" s="14">
        <v>81142</v>
      </c>
      <c r="H22" s="14">
        <v>58754</v>
      </c>
      <c r="I22" s="14">
        <v>29</v>
      </c>
      <c r="J22" s="14" t="s">
        <v>104</v>
      </c>
      <c r="K22" s="14" t="s">
        <v>17025</v>
      </c>
      <c r="L22" s="14" t="s">
        <v>17029</v>
      </c>
      <c r="M22" s="14" t="s">
        <v>9158</v>
      </c>
      <c r="N22" s="14" t="s">
        <v>9158</v>
      </c>
      <c r="O22" s="14" t="s">
        <v>9158</v>
      </c>
      <c r="P22" s="14" t="s">
        <v>9158</v>
      </c>
      <c r="Q22" s="14" t="s">
        <v>9158</v>
      </c>
      <c r="R22" s="14" t="s">
        <v>176</v>
      </c>
    </row>
    <row r="23" spans="1:18">
      <c r="D23" s="7"/>
    </row>
    <row r="24" spans="1:18">
      <c r="A24" s="14" t="s">
        <v>204</v>
      </c>
      <c r="D24" s="7"/>
    </row>
    <row r="25" spans="1:18">
      <c r="A25" s="14">
        <v>237611</v>
      </c>
      <c r="B25" s="14" t="s">
        <v>17022</v>
      </c>
      <c r="D25" s="7"/>
    </row>
    <row r="26" spans="1:18">
      <c r="A26" s="9" t="s">
        <v>5609</v>
      </c>
      <c r="B26" s="14" t="s">
        <v>52</v>
      </c>
      <c r="C26" s="14" t="s">
        <v>200</v>
      </c>
      <c r="D26" s="14" t="s">
        <v>1713</v>
      </c>
      <c r="E26" s="15" t="str">
        <f>HYPERLINK("https://stat100.ameba.jp/tnk47/ratio20/illustrations/card/ill_53753_0_natsumatsuritokugawaieyasu03.jpg?202104-5-RELEASE-marathon-526xx", "■")</f>
        <v>■</v>
      </c>
      <c r="F26" s="14" t="s">
        <v>902</v>
      </c>
      <c r="G26" s="14">
        <v>138212</v>
      </c>
      <c r="H26" s="14">
        <v>122776</v>
      </c>
      <c r="I26" s="14">
        <v>22</v>
      </c>
      <c r="J26" s="14" t="s">
        <v>194</v>
      </c>
      <c r="K26" s="14" t="s">
        <v>1714</v>
      </c>
      <c r="L26" s="14" t="s">
        <v>904</v>
      </c>
      <c r="M26" s="14" t="s">
        <v>9158</v>
      </c>
      <c r="N26" s="14" t="s">
        <v>9158</v>
      </c>
      <c r="O26" s="17" t="s">
        <v>10052</v>
      </c>
      <c r="P26" s="14" t="s">
        <v>13121</v>
      </c>
      <c r="Q26" s="14">
        <v>1</v>
      </c>
    </row>
    <row r="27" spans="1:18">
      <c r="A27" s="9" t="s">
        <v>5623</v>
      </c>
      <c r="B27" s="14" t="s">
        <v>330</v>
      </c>
      <c r="C27" s="14" t="s">
        <v>165</v>
      </c>
      <c r="D27" s="14" t="s">
        <v>181</v>
      </c>
      <c r="E27" s="15" t="str">
        <f>HYPERLINK("https://stat100.ameba.jp/tnk47/ratio20/illustrations/card/ill_65713_0_undokaionikirimaru03.jpg?202104-5-RELEASE-marathon-526xx", "■")</f>
        <v>■</v>
      </c>
      <c r="F27" s="14" t="s">
        <v>535</v>
      </c>
      <c r="G27" s="14">
        <v>166504</v>
      </c>
      <c r="H27" s="14">
        <v>154800</v>
      </c>
      <c r="I27" s="14">
        <v>22</v>
      </c>
      <c r="J27" s="14" t="s">
        <v>182</v>
      </c>
      <c r="K27" s="14" t="s">
        <v>183</v>
      </c>
      <c r="L27" s="14" t="s">
        <v>184</v>
      </c>
      <c r="M27" s="14" t="s">
        <v>9158</v>
      </c>
      <c r="N27" s="14" t="s">
        <v>9158</v>
      </c>
      <c r="O27" s="9" t="s">
        <v>2869</v>
      </c>
      <c r="P27" s="14" t="s">
        <v>2870</v>
      </c>
      <c r="Q27" s="14">
        <v>1</v>
      </c>
    </row>
    <row r="28" spans="1:18">
      <c r="A28" s="14" t="s">
        <v>5604</v>
      </c>
      <c r="B28" s="14" t="s">
        <v>330</v>
      </c>
      <c r="C28" s="14" t="s">
        <v>206</v>
      </c>
      <c r="D28" s="19" t="s">
        <v>614</v>
      </c>
      <c r="E28" s="15" t="str">
        <f>HYPERLINK("https://stat100.ameba.jp/tnk47/ratio20/illustrations/card/ill_47263_0_oukyuuatsuhime03.jpg?202104-5-RELEASE-marathon-526xx", "■")</f>
        <v>■</v>
      </c>
      <c r="F28" s="14" t="s">
        <v>615</v>
      </c>
      <c r="G28" s="14">
        <v>138212</v>
      </c>
      <c r="H28" s="14">
        <v>122776</v>
      </c>
      <c r="I28" s="14">
        <v>22</v>
      </c>
      <c r="J28" s="14" t="s">
        <v>315</v>
      </c>
      <c r="K28" s="14" t="s">
        <v>616</v>
      </c>
      <c r="L28" s="14" t="s">
        <v>617</v>
      </c>
      <c r="M28" s="14" t="s">
        <v>9158</v>
      </c>
      <c r="N28" s="14" t="s">
        <v>9158</v>
      </c>
      <c r="O28" s="14" t="s">
        <v>9158</v>
      </c>
      <c r="P28" s="14" t="s">
        <v>9158</v>
      </c>
      <c r="Q28" s="14" t="s">
        <v>9158</v>
      </c>
    </row>
    <row r="29" spans="1:18">
      <c r="A29" s="14">
        <v>83283</v>
      </c>
      <c r="B29" s="14" t="s">
        <v>334</v>
      </c>
      <c r="C29" s="14" t="s">
        <v>271</v>
      </c>
      <c r="D29" s="20" t="s">
        <v>10521</v>
      </c>
      <c r="E29" s="15" t="str">
        <f>HYPERLINK("https://stat100.ameba.jp/tnk47/ratio20/illustrations/card/ill_83283_suikawarihondatadakatsu03.jpg?202104-5-RELEASE-marathon-526xx", "■")</f>
        <v>■</v>
      </c>
      <c r="F29" s="14" t="s">
        <v>6431</v>
      </c>
      <c r="G29" s="14">
        <v>212908</v>
      </c>
      <c r="H29" s="14">
        <v>119785</v>
      </c>
      <c r="I29" s="14">
        <v>29</v>
      </c>
      <c r="J29" s="14" t="s">
        <v>310</v>
      </c>
      <c r="K29" s="14" t="s">
        <v>6430</v>
      </c>
      <c r="L29" s="14" t="s">
        <v>145</v>
      </c>
      <c r="M29" s="14" t="s">
        <v>9158</v>
      </c>
      <c r="N29" s="14" t="s">
        <v>9158</v>
      </c>
      <c r="O29" s="14" t="s">
        <v>9158</v>
      </c>
      <c r="P29" s="14" t="s">
        <v>9158</v>
      </c>
      <c r="Q29" s="14" t="s">
        <v>9158</v>
      </c>
    </row>
    <row r="30" spans="1:18">
      <c r="A30" s="9">
        <v>81563</v>
      </c>
      <c r="B30" s="14" t="s">
        <v>334</v>
      </c>
      <c r="C30" s="14" t="s">
        <v>14</v>
      </c>
      <c r="D30" s="14" t="s">
        <v>4748</v>
      </c>
      <c r="E30" s="15" t="str">
        <f>HYPERLINK("https://stat100.ameba.jp/tnk47/ratio20/illustrations/card/ill_81563_kyamerajoshisankichioni03.jpg?202104-5-RELEASE-marathon-526xx", "■")</f>
        <v>■</v>
      </c>
      <c r="F30" s="14" t="s">
        <v>4749</v>
      </c>
      <c r="G30" s="14">
        <v>149217</v>
      </c>
      <c r="H30" s="14">
        <v>83982</v>
      </c>
      <c r="I30" s="14">
        <v>29</v>
      </c>
      <c r="J30" s="14" t="s">
        <v>73</v>
      </c>
      <c r="K30" s="14" t="s">
        <v>4750</v>
      </c>
      <c r="L30" s="14" t="s">
        <v>3518</v>
      </c>
      <c r="M30" s="14" t="s">
        <v>9158</v>
      </c>
      <c r="N30" s="14" t="s">
        <v>9158</v>
      </c>
      <c r="O30" s="14" t="s">
        <v>9158</v>
      </c>
      <c r="P30" s="14" t="s">
        <v>9158</v>
      </c>
      <c r="Q30" s="14" t="s">
        <v>9158</v>
      </c>
    </row>
    <row r="31" spans="1:18">
      <c r="A31" s="9">
        <v>81233</v>
      </c>
      <c r="B31" s="14" t="s">
        <v>334</v>
      </c>
      <c r="C31" s="14" t="s">
        <v>165</v>
      </c>
      <c r="D31" s="14" t="s">
        <v>4546</v>
      </c>
      <c r="E31" s="15" t="str">
        <f>HYPERLINK("https://stat100.ameba.jp/tnk47/ratio20/illustrations/card/ill_81233_sakasutengaihata03.jpg?202104-5-RELEASE-marathon-526xx", "■")</f>
        <v>■</v>
      </c>
      <c r="F31" s="14" t="s">
        <v>4547</v>
      </c>
      <c r="G31" s="14">
        <v>118287</v>
      </c>
      <c r="H31" s="14">
        <v>109970</v>
      </c>
      <c r="I31" s="14">
        <v>29</v>
      </c>
      <c r="J31" s="14" t="s">
        <v>44</v>
      </c>
      <c r="K31" s="14" t="s">
        <v>4548</v>
      </c>
      <c r="L31" s="14" t="s">
        <v>4549</v>
      </c>
      <c r="M31" s="14" t="s">
        <v>9158</v>
      </c>
      <c r="N31" s="14" t="s">
        <v>9158</v>
      </c>
      <c r="O31" s="14" t="s">
        <v>9158</v>
      </c>
      <c r="P31" s="14" t="s">
        <v>9158</v>
      </c>
      <c r="Q31" s="14" t="s">
        <v>9158</v>
      </c>
    </row>
    <row r="33" spans="1:17">
      <c r="A33" s="14" t="s">
        <v>13431</v>
      </c>
    </row>
    <row r="34" spans="1:17">
      <c r="A34" s="14">
        <v>107808</v>
      </c>
      <c r="B34" s="14" t="s">
        <v>17023</v>
      </c>
    </row>
    <row r="35" spans="1:17">
      <c r="A35" s="14" t="s">
        <v>15807</v>
      </c>
      <c r="B35" s="14" t="s">
        <v>52</v>
      </c>
      <c r="C35" s="14" t="s">
        <v>35</v>
      </c>
      <c r="D35" s="14" t="s">
        <v>15808</v>
      </c>
      <c r="E35" s="15" t="str">
        <f>HYPERLINK("https://stat100.ameba.jp/tnk47/ratio20/illustrations/card/ill_95013_0_shinshunnisennijuichiayakashi03.jpg?202104-5-RELEASE-marathon-526xx", "■")</f>
        <v>■</v>
      </c>
      <c r="F35" s="14" t="s">
        <v>15806</v>
      </c>
      <c r="G35" s="14">
        <v>278470</v>
      </c>
      <c r="H35" s="14">
        <v>308104</v>
      </c>
      <c r="I35" s="14">
        <v>28</v>
      </c>
      <c r="J35" s="14" t="s">
        <v>73</v>
      </c>
      <c r="K35" s="14" t="s">
        <v>15805</v>
      </c>
      <c r="L35" s="14" t="s">
        <v>15804</v>
      </c>
      <c r="M35" s="14" t="s">
        <v>9158</v>
      </c>
      <c r="N35" s="14" t="s">
        <v>9158</v>
      </c>
      <c r="O35" s="14" t="s">
        <v>15802</v>
      </c>
      <c r="P35" s="14" t="s">
        <v>15803</v>
      </c>
      <c r="Q35" s="14">
        <v>0</v>
      </c>
    </row>
    <row r="36" spans="1:17">
      <c r="A36" s="14" t="s">
        <v>14533</v>
      </c>
      <c r="B36" s="7" t="s">
        <v>52</v>
      </c>
      <c r="C36" s="14" t="s">
        <v>202</v>
      </c>
      <c r="D36" s="18" t="s">
        <v>14532</v>
      </c>
      <c r="E36" s="15" t="str">
        <f>HYPERLINK("https://stat100.ameba.jp/tnk47/ratio20/illustrations/card/ill_91703_0_ninjashugyohanakosan03.jpg?202104-5-RELEASE-marathon-526xx", "■")</f>
        <v>■</v>
      </c>
      <c r="F36" s="14" t="s">
        <v>14534</v>
      </c>
      <c r="G36" s="14">
        <v>292832</v>
      </c>
      <c r="H36" s="14">
        <v>324004</v>
      </c>
      <c r="I36" s="7">
        <v>28</v>
      </c>
      <c r="J36" s="14" t="s">
        <v>77</v>
      </c>
      <c r="K36" s="14" t="s">
        <v>14536</v>
      </c>
      <c r="L36" s="14" t="s">
        <v>14535</v>
      </c>
      <c r="M36" s="14" t="s">
        <v>9158</v>
      </c>
      <c r="N36" s="14" t="s">
        <v>9158</v>
      </c>
      <c r="O36" s="6" t="s">
        <v>14539</v>
      </c>
      <c r="P36" s="7" t="s">
        <v>14538</v>
      </c>
      <c r="Q36" s="7">
        <v>1</v>
      </c>
    </row>
    <row r="37" spans="1:17">
      <c r="A37" s="14" t="s">
        <v>13442</v>
      </c>
      <c r="B37" s="7" t="s">
        <v>52</v>
      </c>
      <c r="C37" s="14" t="s">
        <v>202</v>
      </c>
      <c r="D37" s="18" t="s">
        <v>13441</v>
      </c>
      <c r="E37" s="15" t="str">
        <f>HYPERLINK("https://stat100.ameba.jp/tnk47/ratio20/illustrations/card/ill_90393_0_nangokubakansusanukiudonchan03.jpg?202104-5-RELEASE-marathon-526xx", "■")</f>
        <v>■</v>
      </c>
      <c r="F37" s="14" t="s">
        <v>13443</v>
      </c>
      <c r="G37" s="14">
        <v>291942</v>
      </c>
      <c r="H37" s="14">
        <v>356840</v>
      </c>
      <c r="I37" s="7">
        <v>28</v>
      </c>
      <c r="J37" s="14" t="s">
        <v>104</v>
      </c>
      <c r="K37" s="14" t="s">
        <v>13444</v>
      </c>
      <c r="L37" s="14" t="s">
        <v>13445</v>
      </c>
      <c r="M37" s="14" t="s">
        <v>9158</v>
      </c>
      <c r="N37" s="14" t="s">
        <v>9158</v>
      </c>
      <c r="O37" s="6" t="s">
        <v>13446</v>
      </c>
      <c r="P37" s="7" t="s">
        <v>13447</v>
      </c>
      <c r="Q37" s="7">
        <v>1</v>
      </c>
    </row>
    <row r="38" spans="1:17">
      <c r="A38" s="14" t="s">
        <v>15440</v>
      </c>
      <c r="B38" s="7" t="s">
        <v>52</v>
      </c>
      <c r="C38" s="14" t="s">
        <v>202</v>
      </c>
      <c r="D38" s="18" t="s">
        <v>15441</v>
      </c>
      <c r="E38" s="15" t="str">
        <f>HYPERLINK("https://stat100.ameba.jp/tnk47/ratio20/illustrations/card/ill_93683_0_yukemurionsenshirowainchan03.jpg?202104-5-RELEASE-marathon-526xx", "■")</f>
        <v>■</v>
      </c>
      <c r="F38" s="14" t="s">
        <v>15444</v>
      </c>
      <c r="G38" s="14">
        <v>277564</v>
      </c>
      <c r="H38" s="14">
        <v>339272</v>
      </c>
      <c r="I38" s="7">
        <v>28</v>
      </c>
      <c r="J38" s="14" t="s">
        <v>104</v>
      </c>
      <c r="K38" s="14" t="s">
        <v>15443</v>
      </c>
      <c r="L38" s="14" t="s">
        <v>15442</v>
      </c>
      <c r="M38" s="14" t="s">
        <v>9158</v>
      </c>
      <c r="N38" s="14" t="s">
        <v>9158</v>
      </c>
      <c r="O38" s="6" t="s">
        <v>15445</v>
      </c>
      <c r="P38" s="7" t="s">
        <v>15446</v>
      </c>
      <c r="Q38" s="7">
        <v>1</v>
      </c>
    </row>
    <row r="39" spans="1:17">
      <c r="A39" s="14" t="s">
        <v>13086</v>
      </c>
      <c r="B39" s="7" t="s">
        <v>52</v>
      </c>
      <c r="C39" s="14" t="s">
        <v>202</v>
      </c>
      <c r="D39" s="18" t="s">
        <v>13084</v>
      </c>
      <c r="E39" s="15" t="str">
        <f>HYPERLINK("https://stat100.ameba.jp/tnk47/ratio20/illustrations/card/ill_89703_0_jumburaidohimiko03.jpg?202104-5-RELEASE-marathon-526xx", "■")</f>
        <v>■</v>
      </c>
      <c r="F39" s="14" t="s">
        <v>13085</v>
      </c>
      <c r="G39" s="14">
        <v>356840</v>
      </c>
      <c r="H39" s="14">
        <v>291942</v>
      </c>
      <c r="I39" s="7">
        <v>28</v>
      </c>
      <c r="J39" s="14" t="s">
        <v>10</v>
      </c>
      <c r="K39" s="14" t="s">
        <v>13087</v>
      </c>
      <c r="L39" s="14" t="s">
        <v>12016</v>
      </c>
      <c r="M39" s="14" t="s">
        <v>9158</v>
      </c>
      <c r="N39" s="14" t="s">
        <v>9158</v>
      </c>
      <c r="O39" s="6" t="s">
        <v>13088</v>
      </c>
      <c r="P39" s="7" t="s">
        <v>13089</v>
      </c>
      <c r="Q39" s="7">
        <v>1</v>
      </c>
    </row>
    <row r="40" spans="1:17">
      <c r="A40" s="14">
        <v>84713</v>
      </c>
      <c r="B40" s="14" t="s">
        <v>334</v>
      </c>
      <c r="C40" s="14" t="s">
        <v>185</v>
      </c>
      <c r="D40" s="20" t="s">
        <v>10696</v>
      </c>
      <c r="E40" s="15" t="str">
        <f>HYPERLINK("https://stat100.ameba.jp/tnk47/ratio20/illustrations/card/ill_84713_shogiyodabenzo03.jpg?202104-5-RELEASE-marathon-526xx", "■")</f>
        <v>■</v>
      </c>
      <c r="F40" s="14" t="s">
        <v>7432</v>
      </c>
      <c r="G40" s="14">
        <v>113277</v>
      </c>
      <c r="H40" s="14">
        <v>105281</v>
      </c>
      <c r="I40" s="14">
        <v>29</v>
      </c>
      <c r="J40" s="14" t="s">
        <v>10</v>
      </c>
      <c r="K40" s="14" t="s">
        <v>4765</v>
      </c>
      <c r="L40" s="14" t="s">
        <v>4347</v>
      </c>
      <c r="M40" s="14" t="s">
        <v>9158</v>
      </c>
      <c r="N40" s="14" t="s">
        <v>9158</v>
      </c>
      <c r="O40" s="14" t="s">
        <v>9158</v>
      </c>
      <c r="P40" s="14" t="s">
        <v>9158</v>
      </c>
      <c r="Q40" s="14" t="s">
        <v>9158</v>
      </c>
    </row>
    <row r="41" spans="1:17">
      <c r="A41" s="9">
        <v>86473</v>
      </c>
      <c r="B41" s="9" t="s">
        <v>0</v>
      </c>
      <c r="C41" s="9" t="s">
        <v>200</v>
      </c>
      <c r="D41" s="20" t="s">
        <v>10904</v>
      </c>
      <c r="E41" s="15" t="str">
        <f>HYPERLINK("https://stat100.ameba.jp/tnk47/ratio20/illustrations/card/ill_86473_shogatsunisenjunanatokugawahidetada03.jpg?202104-5-RELEASE-marathon-526xx", "■")</f>
        <v>■</v>
      </c>
      <c r="F41" s="9" t="s">
        <v>8967</v>
      </c>
      <c r="G41" s="14">
        <v>136953</v>
      </c>
      <c r="H41" s="14">
        <v>127350</v>
      </c>
      <c r="I41" s="14">
        <v>29</v>
      </c>
      <c r="J41" s="9" t="s">
        <v>194</v>
      </c>
      <c r="K41" s="9" t="s">
        <v>8963</v>
      </c>
      <c r="L41" s="9" t="s">
        <v>901</v>
      </c>
      <c r="M41" s="14" t="s">
        <v>9158</v>
      </c>
      <c r="N41" s="14" t="s">
        <v>9158</v>
      </c>
      <c r="O41" s="14" t="s">
        <v>9158</v>
      </c>
      <c r="P41" s="14" t="s">
        <v>9158</v>
      </c>
      <c r="Q41" s="14" t="s">
        <v>9158</v>
      </c>
    </row>
    <row r="42" spans="1:17">
      <c r="A42" s="14">
        <v>81983</v>
      </c>
      <c r="B42" s="14" t="s">
        <v>0</v>
      </c>
      <c r="C42" s="14" t="s">
        <v>101</v>
      </c>
      <c r="D42" s="19" t="s">
        <v>10206</v>
      </c>
      <c r="E42" s="15" t="str">
        <f>HYPERLINK("https://stat100.ameba.jp/tnk47/ratio20/illustrations/card/ill_81983_otenkinonesammatsushitaotome03.jpg?202104-5-RELEASE-marathon-526xx", "■")</f>
        <v>■</v>
      </c>
      <c r="F42" s="14" t="s">
        <v>5022</v>
      </c>
      <c r="G42" s="14">
        <v>113277</v>
      </c>
      <c r="H42" s="14">
        <v>105281</v>
      </c>
      <c r="I42" s="14">
        <v>29</v>
      </c>
      <c r="J42" s="14" t="s">
        <v>77</v>
      </c>
      <c r="K42" s="14" t="s">
        <v>5024</v>
      </c>
      <c r="L42" s="14" t="s">
        <v>4678</v>
      </c>
      <c r="M42" s="14" t="s">
        <v>9158</v>
      </c>
      <c r="N42" s="14" t="s">
        <v>9158</v>
      </c>
      <c r="O42" s="9" t="s">
        <v>9158</v>
      </c>
      <c r="P42" s="14" t="s">
        <v>9158</v>
      </c>
      <c r="Q42" s="14" t="s">
        <v>9158</v>
      </c>
    </row>
    <row r="43" spans="1:17">
      <c r="A43" s="9">
        <v>87103</v>
      </c>
      <c r="B43" s="9" t="s">
        <v>0</v>
      </c>
      <c r="C43" s="9" t="s">
        <v>165</v>
      </c>
      <c r="D43" s="19" t="s">
        <v>10968</v>
      </c>
      <c r="E43" s="15" t="str">
        <f>HYPERLINK("https://stat100.ameba.jp/tnk47/ratio20/illustrations/card/ill_87103_monsutanakisawame03.jpg?202104-5-RELEASE-marathon-526xx", "■")</f>
        <v>■</v>
      </c>
      <c r="F43" s="9" t="s">
        <v>9411</v>
      </c>
      <c r="G43" s="14">
        <v>118287</v>
      </c>
      <c r="H43" s="14">
        <v>109970</v>
      </c>
      <c r="I43" s="14">
        <v>29</v>
      </c>
      <c r="J43" s="9" t="s">
        <v>169</v>
      </c>
      <c r="K43" s="9" t="s">
        <v>9410</v>
      </c>
      <c r="L43" s="9" t="s">
        <v>7243</v>
      </c>
      <c r="M43" s="14" t="s">
        <v>9158</v>
      </c>
      <c r="N43" s="14" t="s">
        <v>9158</v>
      </c>
      <c r="O43" s="14" t="s">
        <v>9158</v>
      </c>
      <c r="P43" s="14" t="s">
        <v>9158</v>
      </c>
      <c r="Q43" s="14" t="s">
        <v>9158</v>
      </c>
    </row>
    <row r="44" spans="1:17">
      <c r="A44" s="7">
        <v>85783</v>
      </c>
      <c r="B44" s="7" t="s">
        <v>0</v>
      </c>
      <c r="C44" s="7" t="s">
        <v>205</v>
      </c>
      <c r="D44" s="20" t="s">
        <v>10850</v>
      </c>
      <c r="E44" s="15" t="str">
        <f>HYPERLINK("https://stat100.ameba.jp/tnk47/ratio20/illustrations/card/ill_85783_fuyukominarutokintoki03.jpg?202104-5-RELEASE-marathon-526xx", "■")</f>
        <v>■</v>
      </c>
      <c r="F44" s="7" t="s">
        <v>8635</v>
      </c>
      <c r="G44" s="14">
        <v>136953</v>
      </c>
      <c r="H44" s="14">
        <v>127350</v>
      </c>
      <c r="I44" s="14">
        <v>29</v>
      </c>
      <c r="J44" s="14" t="s">
        <v>104</v>
      </c>
      <c r="K44" s="7" t="s">
        <v>8634</v>
      </c>
      <c r="L44" s="7" t="s">
        <v>3489</v>
      </c>
      <c r="M44" s="14" t="s">
        <v>9158</v>
      </c>
      <c r="N44" s="14" t="s">
        <v>9158</v>
      </c>
      <c r="O44" s="14" t="s">
        <v>9158</v>
      </c>
      <c r="P44" s="14" t="s">
        <v>9158</v>
      </c>
      <c r="Q44" s="14" t="s">
        <v>9158</v>
      </c>
    </row>
    <row r="45" spans="1:17">
      <c r="A45" s="9">
        <v>86943</v>
      </c>
      <c r="B45" s="9" t="s">
        <v>0</v>
      </c>
      <c r="C45" s="9" t="s">
        <v>206</v>
      </c>
      <c r="D45" s="19" t="s">
        <v>10958</v>
      </c>
      <c r="E45" s="15" t="str">
        <f>HYPERLINK("https://stat100.ameba.jp/tnk47/ratio20/illustrations/card/ill_86943_setsubunhaniyasu03.jpg?202104-5-RELEASE-marathon-526xx", "■")</f>
        <v>■</v>
      </c>
      <c r="F45" s="9" t="s">
        <v>9355</v>
      </c>
      <c r="G45" s="14">
        <v>118287</v>
      </c>
      <c r="H45" s="14">
        <v>109970</v>
      </c>
      <c r="I45" s="14">
        <v>29</v>
      </c>
      <c r="J45" s="9" t="s">
        <v>169</v>
      </c>
      <c r="K45" s="9" t="s">
        <v>9354</v>
      </c>
      <c r="L45" s="9" t="s">
        <v>7243</v>
      </c>
      <c r="M45" s="14" t="s">
        <v>9158</v>
      </c>
      <c r="N45" s="14" t="s">
        <v>9158</v>
      </c>
      <c r="O45" s="14" t="s">
        <v>9158</v>
      </c>
      <c r="P45" s="14" t="s">
        <v>9158</v>
      </c>
      <c r="Q45" s="14" t="s">
        <v>9158</v>
      </c>
    </row>
    <row r="47" spans="1:17">
      <c r="A47" s="14" t="s">
        <v>4065</v>
      </c>
    </row>
    <row r="48" spans="1:17">
      <c r="A48" s="14">
        <v>107819</v>
      </c>
      <c r="B48" s="14" t="s">
        <v>4216</v>
      </c>
    </row>
    <row r="49" spans="1:18">
      <c r="A49" s="9" t="s">
        <v>6905</v>
      </c>
      <c r="B49" s="14" t="s">
        <v>330</v>
      </c>
      <c r="C49" s="14" t="s">
        <v>35</v>
      </c>
      <c r="D49" s="14" t="s">
        <v>4161</v>
      </c>
      <c r="E49" s="15" t="str">
        <f>HYPERLINK("https://stat100.ameba.jp/tnk47/ratio20/illustrations/card/ill_80623_0_ohanamigurampingutominushihime03.jpg?202104-5-RELEASE-marathon-526xx", "■")</f>
        <v>■</v>
      </c>
      <c r="F49" s="14" t="s">
        <v>4162</v>
      </c>
      <c r="G49" s="14">
        <v>337486</v>
      </c>
      <c r="H49" s="14">
        <v>305050</v>
      </c>
      <c r="I49" s="14">
        <v>28</v>
      </c>
      <c r="J49" s="14" t="s">
        <v>44</v>
      </c>
      <c r="K49" s="14" t="s">
        <v>4163</v>
      </c>
      <c r="L49" s="14" t="s">
        <v>4164</v>
      </c>
      <c r="M49" s="14" t="s">
        <v>9158</v>
      </c>
      <c r="N49" s="14" t="s">
        <v>9158</v>
      </c>
      <c r="O49" s="9" t="s">
        <v>4165</v>
      </c>
      <c r="P49" s="14" t="s">
        <v>4166</v>
      </c>
      <c r="Q49" s="14">
        <v>1</v>
      </c>
    </row>
    <row r="50" spans="1:18">
      <c r="A50" s="14">
        <v>84663</v>
      </c>
      <c r="B50" s="14" t="s">
        <v>334</v>
      </c>
      <c r="C50" s="14" t="s">
        <v>158</v>
      </c>
      <c r="D50" s="20" t="s">
        <v>10648</v>
      </c>
      <c r="E50" s="15" t="str">
        <f>HYPERLINK("https://stat100.ameba.jp/tnk47/ratio20/illustrations/card/ill_84663_juwannonefuerufuito03.jpg?202104-5-RELEASE-marathon-526xx", "■")</f>
        <v>■</v>
      </c>
      <c r="F50" s="14" t="s">
        <v>7095</v>
      </c>
      <c r="G50" s="14">
        <v>91212</v>
      </c>
      <c r="H50" s="14">
        <v>125903</v>
      </c>
      <c r="I50" s="14">
        <v>27</v>
      </c>
      <c r="J50" s="14" t="s">
        <v>182</v>
      </c>
      <c r="K50" s="14" t="s">
        <v>7094</v>
      </c>
      <c r="L50" s="14" t="s">
        <v>7093</v>
      </c>
      <c r="M50" s="14" t="s">
        <v>9158</v>
      </c>
      <c r="N50" s="14" t="s">
        <v>9158</v>
      </c>
      <c r="O50" s="19" t="s">
        <v>10091</v>
      </c>
      <c r="P50" s="14" t="s">
        <v>3670</v>
      </c>
      <c r="Q50" s="14">
        <v>1</v>
      </c>
    </row>
    <row r="51" spans="1:18">
      <c r="A51" s="14">
        <v>84653</v>
      </c>
      <c r="B51" s="14" t="s">
        <v>334</v>
      </c>
      <c r="C51" s="14" t="s">
        <v>209</v>
      </c>
      <c r="D51" s="20" t="s">
        <v>10626</v>
      </c>
      <c r="E51" s="15" t="str">
        <f>HYPERLINK("https://stat100.ameba.jp/tnk47/ratio20/illustrations/card/ill_84653_soru03.jpg?202104-5-RELEASE-marathon-526xx", "■")</f>
        <v>■</v>
      </c>
      <c r="F51" s="14" t="s">
        <v>6954</v>
      </c>
      <c r="G51" s="14">
        <v>85483</v>
      </c>
      <c r="H51" s="14">
        <v>118001</v>
      </c>
      <c r="I51" s="14">
        <v>27</v>
      </c>
      <c r="J51" s="14" t="s">
        <v>44</v>
      </c>
      <c r="K51" s="14" t="s">
        <v>6956</v>
      </c>
      <c r="L51" s="14" t="s">
        <v>3652</v>
      </c>
      <c r="M51" s="14" t="s">
        <v>9158</v>
      </c>
      <c r="N51" s="14" t="s">
        <v>9158</v>
      </c>
      <c r="O51" s="19" t="s">
        <v>10103</v>
      </c>
      <c r="P51" s="14" t="s">
        <v>3897</v>
      </c>
      <c r="Q51" s="14">
        <v>1</v>
      </c>
    </row>
    <row r="52" spans="1:18">
      <c r="A52" s="14">
        <v>84643</v>
      </c>
      <c r="B52" s="14" t="s">
        <v>0</v>
      </c>
      <c r="C52" s="14" t="s">
        <v>203</v>
      </c>
      <c r="D52" s="20" t="s">
        <v>10605</v>
      </c>
      <c r="E52" s="15" t="str">
        <f>HYPERLINK("https://stat100.ameba.jp/tnk47/ratio20/illustrations/card/ill_84643_rikayaojo03.jpg?202104-5-RELEASE-marathon-526xx", "■")</f>
        <v>■</v>
      </c>
      <c r="F52" s="14" t="s">
        <v>6853</v>
      </c>
      <c r="G52" s="14">
        <v>179634</v>
      </c>
      <c r="H52" s="14">
        <v>130113</v>
      </c>
      <c r="I52" s="14">
        <v>27</v>
      </c>
      <c r="J52" s="14" t="s">
        <v>315</v>
      </c>
      <c r="K52" s="14" t="s">
        <v>6852</v>
      </c>
      <c r="L52" s="14" t="s">
        <v>6851</v>
      </c>
      <c r="M52" s="14" t="s">
        <v>9158</v>
      </c>
      <c r="N52" s="14" t="s">
        <v>9158</v>
      </c>
      <c r="O52" s="19" t="s">
        <v>10082</v>
      </c>
      <c r="P52" s="14" t="s">
        <v>13124</v>
      </c>
      <c r="Q52" s="14">
        <v>1</v>
      </c>
    </row>
    <row r="54" spans="1:18">
      <c r="A54" s="14" t="s">
        <v>13327</v>
      </c>
    </row>
    <row r="55" spans="1:18">
      <c r="A55" s="14">
        <v>107824</v>
      </c>
      <c r="B55" s="14" t="s">
        <v>4215</v>
      </c>
    </row>
    <row r="56" spans="1:18">
      <c r="A56" s="14">
        <v>94773</v>
      </c>
      <c r="B56" s="14" t="s">
        <v>0</v>
      </c>
      <c r="C56" s="14" t="s">
        <v>335</v>
      </c>
      <c r="D56" s="14" t="s">
        <v>15781</v>
      </c>
      <c r="E56" s="15" t="str">
        <f>HYPERLINK("https://stat100.ameba.jp/tnk47/ratio20/illustrations/card/ill_94773_baiorinisutosuru03.jpg?202104-5-RELEASE-marathon-526xx", "■")</f>
        <v>■</v>
      </c>
      <c r="F56" s="14" t="s">
        <v>15780</v>
      </c>
      <c r="G56" s="14">
        <v>132737</v>
      </c>
      <c r="H56" s="14">
        <v>142768</v>
      </c>
      <c r="I56" s="14">
        <v>29</v>
      </c>
      <c r="J56" s="14" t="s">
        <v>16</v>
      </c>
      <c r="K56" s="14" t="s">
        <v>15779</v>
      </c>
      <c r="L56" s="14" t="s">
        <v>15778</v>
      </c>
      <c r="M56" s="14" t="s">
        <v>2138</v>
      </c>
      <c r="N56" s="14" t="s">
        <v>2139</v>
      </c>
      <c r="O56" s="14" t="s">
        <v>9158</v>
      </c>
      <c r="P56" s="14" t="s">
        <v>9158</v>
      </c>
      <c r="Q56" s="14" t="s">
        <v>9158</v>
      </c>
      <c r="R56" s="14" t="s">
        <v>14748</v>
      </c>
    </row>
    <row r="57" spans="1:18">
      <c r="A57" s="14">
        <v>94772</v>
      </c>
      <c r="B57" s="14" t="s">
        <v>0</v>
      </c>
      <c r="C57" s="14" t="s">
        <v>335</v>
      </c>
      <c r="D57" s="14" t="s">
        <v>15781</v>
      </c>
      <c r="E57" s="15" t="str">
        <f>HYPERLINK("https://stat100.ameba.jp/tnk47/ratio20/illustrations/card/ill_94772_baiorinisutosuru02.jpg?202104-5-RELEASE-marathon-526xx", "■")</f>
        <v>■</v>
      </c>
      <c r="F57" s="14" t="s">
        <v>15780</v>
      </c>
      <c r="G57" s="14">
        <v>109938</v>
      </c>
      <c r="H57" s="14">
        <v>119345</v>
      </c>
      <c r="I57" s="14">
        <v>29</v>
      </c>
      <c r="J57" s="14" t="s">
        <v>16</v>
      </c>
      <c r="K57" s="14" t="s">
        <v>15779</v>
      </c>
      <c r="L57" s="14" t="s">
        <v>15778</v>
      </c>
      <c r="M57" s="14" t="s">
        <v>13270</v>
      </c>
      <c r="N57" s="14" t="s">
        <v>13271</v>
      </c>
      <c r="O57" s="14" t="s">
        <v>9158</v>
      </c>
      <c r="P57" s="14" t="s">
        <v>9158</v>
      </c>
      <c r="Q57" s="14" t="s">
        <v>9158</v>
      </c>
      <c r="R57" s="14" t="s">
        <v>14748</v>
      </c>
    </row>
    <row r="58" spans="1:18">
      <c r="A58" s="14">
        <v>94771</v>
      </c>
      <c r="B58" s="14" t="s">
        <v>0</v>
      </c>
      <c r="C58" s="14" t="s">
        <v>335</v>
      </c>
      <c r="D58" s="14" t="s">
        <v>15781</v>
      </c>
      <c r="E58" s="15" t="str">
        <f>HYPERLINK("https://stat100.ameba.jp/tnk47/ratio20/illustrations/card/ill_94771_baiorinisutosuru01.jpg?202104-5-RELEASE-marathon-526xx", "■")</f>
        <v>■</v>
      </c>
      <c r="F58" s="14" t="s">
        <v>15780</v>
      </c>
      <c r="G58" s="14">
        <v>84825</v>
      </c>
      <c r="H58" s="14">
        <v>91118</v>
      </c>
      <c r="I58" s="14">
        <v>29</v>
      </c>
      <c r="J58" s="14" t="s">
        <v>16</v>
      </c>
      <c r="K58" s="14" t="s">
        <v>15779</v>
      </c>
      <c r="L58" s="14" t="s">
        <v>15778</v>
      </c>
      <c r="M58" s="14" t="s">
        <v>13270</v>
      </c>
      <c r="N58" s="14" t="s">
        <v>13271</v>
      </c>
      <c r="O58" s="14" t="s">
        <v>9158</v>
      </c>
      <c r="P58" s="14" t="s">
        <v>9158</v>
      </c>
      <c r="Q58" s="14" t="s">
        <v>9158</v>
      </c>
      <c r="R58" s="14" t="s">
        <v>14748</v>
      </c>
    </row>
    <row r="59" spans="1:18">
      <c r="A59" s="14">
        <v>94783</v>
      </c>
      <c r="B59" s="14" t="s">
        <v>0</v>
      </c>
      <c r="C59" s="14" t="s">
        <v>200</v>
      </c>
      <c r="D59" s="14" t="s">
        <v>15784</v>
      </c>
      <c r="E59" s="15" t="str">
        <f>HYPERLINK("https://stat100.ameba.jp/tnk47/ratio20/illustrations/card/ill_94783_deusuekusumashina03.jpg?202104-5-RELEASE-marathon-526xx", "■")</f>
        <v>■</v>
      </c>
      <c r="F59" s="14" t="s">
        <v>15785</v>
      </c>
      <c r="G59" s="14">
        <v>132737</v>
      </c>
      <c r="H59" s="14">
        <v>142768</v>
      </c>
      <c r="I59" s="14">
        <v>29</v>
      </c>
      <c r="J59" s="14" t="s">
        <v>10</v>
      </c>
      <c r="K59" s="14" t="s">
        <v>15783</v>
      </c>
      <c r="L59" s="14" t="s">
        <v>15782</v>
      </c>
      <c r="M59" s="14" t="s">
        <v>2138</v>
      </c>
      <c r="N59" s="14" t="s">
        <v>2139</v>
      </c>
      <c r="O59" s="14" t="s">
        <v>9158</v>
      </c>
      <c r="P59" s="14" t="s">
        <v>9158</v>
      </c>
      <c r="Q59" s="14" t="s">
        <v>9158</v>
      </c>
      <c r="R59" s="14" t="s">
        <v>14748</v>
      </c>
    </row>
    <row r="60" spans="1:18">
      <c r="A60" s="14">
        <v>94793</v>
      </c>
      <c r="B60" s="14" t="s">
        <v>0</v>
      </c>
      <c r="C60" s="14" t="s">
        <v>307</v>
      </c>
      <c r="D60" s="14" t="s">
        <v>15789</v>
      </c>
      <c r="E60" s="15" t="str">
        <f>HYPERLINK("https://stat100.ameba.jp/tnk47/ratio20/illustrations/card/ill_94793_eiyukohoseiashuramu03.jpg?202104-5-RELEASE-marathon-526xx", "■")</f>
        <v>■</v>
      </c>
      <c r="F60" s="14" t="s">
        <v>15788</v>
      </c>
      <c r="G60" s="14">
        <v>142768</v>
      </c>
      <c r="H60" s="14">
        <v>132737</v>
      </c>
      <c r="I60" s="14">
        <v>29</v>
      </c>
      <c r="J60" s="14" t="s">
        <v>143</v>
      </c>
      <c r="K60" s="14" t="s">
        <v>15787</v>
      </c>
      <c r="L60" s="14" t="s">
        <v>15786</v>
      </c>
      <c r="M60" s="14" t="s">
        <v>2138</v>
      </c>
      <c r="N60" s="14" t="s">
        <v>2139</v>
      </c>
      <c r="O60" s="14" t="s">
        <v>9158</v>
      </c>
      <c r="P60" s="14" t="s">
        <v>9158</v>
      </c>
      <c r="Q60" s="14" t="s">
        <v>9158</v>
      </c>
      <c r="R60" s="14" t="s">
        <v>14748</v>
      </c>
    </row>
    <row r="61" spans="1:18">
      <c r="A61" s="14">
        <v>94803</v>
      </c>
      <c r="B61" s="14" t="s">
        <v>0</v>
      </c>
      <c r="C61" s="14" t="s">
        <v>165</v>
      </c>
      <c r="D61" s="14" t="s">
        <v>15793</v>
      </c>
      <c r="E61" s="15" t="str">
        <f>HYPERLINK("https://stat100.ameba.jp/tnk47/ratio20/illustrations/card/ill_94803_pideiria03.jpg?202104-5-RELEASE-marathon-526xx", "■")</f>
        <v>■</v>
      </c>
      <c r="F61" s="14" t="s">
        <v>15792</v>
      </c>
      <c r="G61" s="14">
        <v>142768</v>
      </c>
      <c r="H61" s="14">
        <v>132737</v>
      </c>
      <c r="I61" s="14">
        <v>29</v>
      </c>
      <c r="J61" s="14" t="s">
        <v>77</v>
      </c>
      <c r="K61" s="14" t="s">
        <v>15791</v>
      </c>
      <c r="L61" s="14" t="s">
        <v>15790</v>
      </c>
      <c r="M61" s="14" t="s">
        <v>2138</v>
      </c>
      <c r="N61" s="14" t="s">
        <v>2139</v>
      </c>
      <c r="O61" s="14" t="s">
        <v>9158</v>
      </c>
      <c r="P61" s="14" t="s">
        <v>9158</v>
      </c>
      <c r="Q61" s="14" t="s">
        <v>9158</v>
      </c>
      <c r="R61" s="14" t="s">
        <v>14748</v>
      </c>
    </row>
    <row r="62" spans="1:18">
      <c r="A62" s="14">
        <v>94813</v>
      </c>
      <c r="B62" s="14" t="s">
        <v>0</v>
      </c>
      <c r="C62" s="9" t="s">
        <v>205</v>
      </c>
      <c r="D62" s="14" t="s">
        <v>15796</v>
      </c>
      <c r="E62" s="15" t="str">
        <f>HYPERLINK("https://stat100.ameba.jp/tnk47/ratio20/illustrations/card/ill_94813_satogashinomajoshukuru03.jpg?202104-5-RELEASE-marathon-526xx", "■")</f>
        <v>■</v>
      </c>
      <c r="F62" s="14" t="s">
        <v>15795</v>
      </c>
      <c r="G62" s="14">
        <v>142768</v>
      </c>
      <c r="H62" s="14">
        <v>132737</v>
      </c>
      <c r="I62" s="14">
        <v>29</v>
      </c>
      <c r="J62" s="14" t="s">
        <v>104</v>
      </c>
      <c r="K62" s="14" t="s">
        <v>15794</v>
      </c>
      <c r="L62" s="14" t="s">
        <v>13292</v>
      </c>
      <c r="M62" s="14" t="s">
        <v>2138</v>
      </c>
      <c r="N62" s="14" t="s">
        <v>2139</v>
      </c>
      <c r="O62" s="14" t="s">
        <v>9158</v>
      </c>
      <c r="P62" s="14" t="s">
        <v>9158</v>
      </c>
      <c r="Q62" s="14" t="s">
        <v>9158</v>
      </c>
      <c r="R62" s="14" t="s">
        <v>14748</v>
      </c>
    </row>
    <row r="63" spans="1:18">
      <c r="A63" s="14">
        <v>94823</v>
      </c>
      <c r="B63" s="14" t="s">
        <v>0</v>
      </c>
      <c r="C63" s="14" t="s">
        <v>206</v>
      </c>
      <c r="D63" s="14" t="s">
        <v>15800</v>
      </c>
      <c r="E63" s="15" t="str">
        <f>HYPERLINK("https://stat100.ameba.jp/tnk47/ratio20/illustrations/card/ill_94823_sandorizado03.jpg?202104-5-RELEASE-marathon-526xx", "■")</f>
        <v>■</v>
      </c>
      <c r="F63" s="14" t="s">
        <v>15799</v>
      </c>
      <c r="G63" s="14">
        <v>132737</v>
      </c>
      <c r="H63" s="14">
        <v>142768</v>
      </c>
      <c r="I63" s="14">
        <v>29</v>
      </c>
      <c r="J63" s="14" t="s">
        <v>73</v>
      </c>
      <c r="K63" s="14" t="s">
        <v>15798</v>
      </c>
      <c r="L63" s="14" t="s">
        <v>15797</v>
      </c>
      <c r="M63" s="14" t="s">
        <v>2138</v>
      </c>
      <c r="N63" s="14" t="s">
        <v>2139</v>
      </c>
      <c r="O63" s="14" t="s">
        <v>9158</v>
      </c>
      <c r="P63" s="14" t="s">
        <v>9158</v>
      </c>
      <c r="Q63" s="14" t="s">
        <v>9158</v>
      </c>
      <c r="R63" s="14" t="s">
        <v>14748</v>
      </c>
    </row>
    <row r="65" spans="1:17">
      <c r="A65" s="14" t="s">
        <v>17032</v>
      </c>
    </row>
    <row r="66" spans="1:17">
      <c r="A66" s="14">
        <v>237635</v>
      </c>
      <c r="B66" s="14" t="s">
        <v>4218</v>
      </c>
    </row>
    <row r="67" spans="1:17">
      <c r="A67" s="14">
        <v>237641</v>
      </c>
      <c r="B67" s="14" t="s">
        <v>11484</v>
      </c>
    </row>
    <row r="68" spans="1:17">
      <c r="A68" s="14" t="s">
        <v>16989</v>
      </c>
      <c r="B68" s="7" t="s">
        <v>52</v>
      </c>
      <c r="C68" s="14" t="s">
        <v>202</v>
      </c>
      <c r="D68" s="18" t="s">
        <v>16988</v>
      </c>
      <c r="E68" s="15" t="str">
        <f>HYPERLINK("https://stat100.ameba.jp/tnk47/ratio20/illustrations/card/ill_97013_0_kanokaishiranui03.jpg?202104-5-RELEASE-marathon-526xx", "■")</f>
        <v>■</v>
      </c>
      <c r="F68" s="14" t="s">
        <v>16987</v>
      </c>
      <c r="G68" s="14">
        <v>306220</v>
      </c>
      <c r="H68" s="14">
        <v>276738</v>
      </c>
      <c r="I68" s="7">
        <v>29</v>
      </c>
      <c r="J68" s="14" t="s">
        <v>73</v>
      </c>
      <c r="K68" s="14" t="s">
        <v>16986</v>
      </c>
      <c r="L68" s="14" t="s">
        <v>16985</v>
      </c>
      <c r="M68" s="14" t="s">
        <v>9158</v>
      </c>
      <c r="N68" s="14" t="s">
        <v>9158</v>
      </c>
      <c r="O68" s="7" t="s">
        <v>16990</v>
      </c>
      <c r="P68" s="7" t="s">
        <v>16991</v>
      </c>
      <c r="Q68" s="7">
        <v>1</v>
      </c>
    </row>
    <row r="69" spans="1:17">
      <c r="A69" s="14">
        <v>97073</v>
      </c>
      <c r="B69" s="14" t="s">
        <v>0</v>
      </c>
      <c r="C69" s="14" t="s">
        <v>101</v>
      </c>
      <c r="D69" s="14" t="s">
        <v>17036</v>
      </c>
      <c r="E69" s="15" t="str">
        <f>HYPERLINK("https://stat100.ameba.jp/tnk47/ratio20/illustrations/card/ill_97073_sakurakotenoichinokata03.jpg?202104-5-RELEASE-marathon-526xx", "■")</f>
        <v>■</v>
      </c>
      <c r="F69" s="14" t="s">
        <v>17035</v>
      </c>
      <c r="G69" s="14">
        <v>109970</v>
      </c>
      <c r="H69" s="14">
        <v>118287</v>
      </c>
      <c r="I69" s="7">
        <v>29</v>
      </c>
      <c r="J69" s="14" t="s">
        <v>77</v>
      </c>
      <c r="K69" s="14" t="s">
        <v>17034</v>
      </c>
      <c r="L69" s="14" t="s">
        <v>17033</v>
      </c>
      <c r="M69" s="14" t="s">
        <v>9158</v>
      </c>
      <c r="N69" s="14" t="s">
        <v>9158</v>
      </c>
      <c r="O69" s="14" t="s">
        <v>9158</v>
      </c>
      <c r="P69" s="14" t="s">
        <v>9158</v>
      </c>
      <c r="Q69" s="14" t="s">
        <v>9158</v>
      </c>
    </row>
    <row r="70" spans="1:17">
      <c r="A70" s="14">
        <v>97083</v>
      </c>
      <c r="B70" s="14" t="s">
        <v>15</v>
      </c>
      <c r="C70" s="14" t="s">
        <v>96</v>
      </c>
      <c r="D70" s="14" t="s">
        <v>17039</v>
      </c>
      <c r="E70" s="15" t="str">
        <f>HYPERLINK("https://stat100.ameba.jp/tnk47/ratio20/illustrations/card/ill_97083_ryorantesso03.jpg?202104-5-RELEASE-marathon-526xx", "■")</f>
        <v>■</v>
      </c>
      <c r="F70" s="14" t="s">
        <v>17038</v>
      </c>
      <c r="G70" s="14">
        <v>85956</v>
      </c>
      <c r="H70" s="14">
        <v>77962</v>
      </c>
      <c r="I70" s="7">
        <v>29</v>
      </c>
      <c r="J70" s="14" t="s">
        <v>73</v>
      </c>
      <c r="K70" s="14" t="s">
        <v>17037</v>
      </c>
      <c r="L70" s="14" t="s">
        <v>3835</v>
      </c>
      <c r="M70" s="14" t="s">
        <v>9158</v>
      </c>
      <c r="N70" s="14" t="s">
        <v>9158</v>
      </c>
      <c r="O70" s="14" t="s">
        <v>9158</v>
      </c>
      <c r="P70" s="14" t="s">
        <v>9158</v>
      </c>
      <c r="Q70" s="14" t="s">
        <v>9158</v>
      </c>
    </row>
    <row r="71" spans="1:17">
      <c r="A71" s="14">
        <v>97093</v>
      </c>
      <c r="B71" s="14" t="s">
        <v>22</v>
      </c>
      <c r="C71" s="14" t="s">
        <v>107</v>
      </c>
      <c r="D71" s="14" t="s">
        <v>17042</v>
      </c>
      <c r="E71" s="15" t="str">
        <f>HYPERLINK("https://stat100.ameba.jp/tnk47/ratio20/illustrations/card/ill_97093_sakurairo03.jpg?202104-5-RELEASE-marathon-526xx", "■")</f>
        <v>■</v>
      </c>
      <c r="F71" s="14" t="s">
        <v>17041</v>
      </c>
      <c r="G71" s="14">
        <v>50134</v>
      </c>
      <c r="H71" s="14">
        <v>60296</v>
      </c>
      <c r="I71" s="7">
        <v>29</v>
      </c>
      <c r="J71" s="14" t="s">
        <v>38</v>
      </c>
      <c r="K71" s="14" t="s">
        <v>17040</v>
      </c>
      <c r="L71" s="14" t="s">
        <v>2015</v>
      </c>
      <c r="M71" s="14" t="s">
        <v>9158</v>
      </c>
      <c r="N71" s="14" t="s">
        <v>9158</v>
      </c>
      <c r="O71" s="14" t="s">
        <v>9158</v>
      </c>
      <c r="P71" s="14" t="s">
        <v>9158</v>
      </c>
      <c r="Q71" s="14" t="s">
        <v>9158</v>
      </c>
    </row>
    <row r="72" spans="1:17">
      <c r="A72" s="14">
        <v>97103</v>
      </c>
      <c r="B72" s="14" t="s">
        <v>22</v>
      </c>
      <c r="C72" s="14" t="s">
        <v>14</v>
      </c>
      <c r="D72" s="14" t="s">
        <v>17045</v>
      </c>
      <c r="E72" s="15" t="str">
        <f>HYPERLINK("https://stat100.ameba.jp/tnk47/ratio20/illustrations/card/ill_97103_goryokakusan03.jpg?202104-5-RELEASE-marathon-526xx", "■")</f>
        <v>■</v>
      </c>
      <c r="F72" s="14" t="s">
        <v>17044</v>
      </c>
      <c r="G72" s="14">
        <v>60296</v>
      </c>
      <c r="H72" s="14">
        <v>50134</v>
      </c>
      <c r="I72" s="7">
        <v>29</v>
      </c>
      <c r="J72" s="14" t="s">
        <v>26</v>
      </c>
      <c r="K72" s="14" t="s">
        <v>17043</v>
      </c>
      <c r="L72" s="14" t="s">
        <v>2635</v>
      </c>
      <c r="M72" s="14" t="s">
        <v>9158</v>
      </c>
      <c r="N72" s="14" t="s">
        <v>9158</v>
      </c>
      <c r="O72" s="14" t="s">
        <v>9158</v>
      </c>
      <c r="P72" s="14" t="s">
        <v>9158</v>
      </c>
      <c r="Q72" s="14" t="s">
        <v>9158</v>
      </c>
    </row>
    <row r="74" spans="1:17">
      <c r="A74" s="14" t="s">
        <v>3844</v>
      </c>
    </row>
    <row r="75" spans="1:17">
      <c r="A75" s="14">
        <v>107843</v>
      </c>
      <c r="B75" s="14" t="s">
        <v>12094</v>
      </c>
    </row>
    <row r="76" spans="1:17">
      <c r="A76" s="14" t="s">
        <v>5605</v>
      </c>
      <c r="B76" s="14" t="s">
        <v>52</v>
      </c>
      <c r="C76" s="14" t="s">
        <v>202</v>
      </c>
      <c r="D76" s="19" t="s">
        <v>10332</v>
      </c>
      <c r="E76" s="15" t="str">
        <f>HYPERLINK("https://stat100.ameba.jp/tnk47/ratio20/illustrations/card/ill_79373_0_hommeichokotennyohime03.jpg?202104-5-RELEASE-marathon-526xx", "■")</f>
        <v>■</v>
      </c>
      <c r="F76" s="14" t="s">
        <v>3495</v>
      </c>
      <c r="G76" s="14">
        <v>333862</v>
      </c>
      <c r="H76" s="14">
        <v>301759</v>
      </c>
      <c r="I76" s="14">
        <v>27</v>
      </c>
      <c r="J76" s="14" t="s">
        <v>104</v>
      </c>
      <c r="K76" s="14" t="s">
        <v>3496</v>
      </c>
      <c r="L76" s="14" t="s">
        <v>3497</v>
      </c>
      <c r="M76" s="14" t="s">
        <v>9158</v>
      </c>
      <c r="N76" s="14" t="s">
        <v>9158</v>
      </c>
      <c r="O76" s="19" t="s">
        <v>10072</v>
      </c>
      <c r="P76" s="14" t="s">
        <v>3498</v>
      </c>
      <c r="Q76" s="14">
        <v>1</v>
      </c>
    </row>
    <row r="77" spans="1:17">
      <c r="A77" s="14">
        <v>90353</v>
      </c>
      <c r="B77" s="14" t="s">
        <v>0</v>
      </c>
      <c r="C77" s="14" t="s">
        <v>107</v>
      </c>
      <c r="D77" s="18" t="s">
        <v>13656</v>
      </c>
      <c r="E77" s="15" t="str">
        <f>HYPERLINK("https://stat100.ameba.jp/tnk47/ratio20/illustrations/card/ill_90353_nangokubakansumyorinni03.jpg?202104-5-RELEASE-marathon-526xx", "■")</f>
        <v>■</v>
      </c>
      <c r="F77" s="14" t="s">
        <v>13658</v>
      </c>
      <c r="G77" s="14">
        <v>160507</v>
      </c>
      <c r="H77" s="14">
        <v>149240</v>
      </c>
      <c r="I77" s="14">
        <v>27</v>
      </c>
      <c r="J77" s="14" t="s">
        <v>143</v>
      </c>
      <c r="K77" s="14" t="s">
        <v>13660</v>
      </c>
      <c r="L77" s="14" t="s">
        <v>13661</v>
      </c>
      <c r="M77" s="14" t="s">
        <v>9158</v>
      </c>
      <c r="N77" s="14" t="s">
        <v>9158</v>
      </c>
      <c r="O77" s="6" t="s">
        <v>3578</v>
      </c>
      <c r="P77" s="7" t="s">
        <v>3579</v>
      </c>
      <c r="Q77" s="7">
        <v>1</v>
      </c>
    </row>
    <row r="78" spans="1:17">
      <c r="A78" s="14">
        <v>89653</v>
      </c>
      <c r="B78" s="14" t="s">
        <v>0</v>
      </c>
      <c r="C78" s="14" t="s">
        <v>101</v>
      </c>
      <c r="D78" s="18" t="s">
        <v>13090</v>
      </c>
      <c r="E78" s="15" t="str">
        <f>HYPERLINK("https://stat100.ameba.jp/tnk47/ratio20/illustrations/card/ill_89653_jumburaidochakkariozonichan03.jpg?202104-5-RELEASE-marathon-526xx", "■")</f>
        <v>■</v>
      </c>
      <c r="F78" s="14" t="s">
        <v>13091</v>
      </c>
      <c r="G78" s="14">
        <v>127507</v>
      </c>
      <c r="H78" s="14">
        <v>118568</v>
      </c>
      <c r="I78" s="14">
        <v>27</v>
      </c>
      <c r="J78" s="14" t="s">
        <v>104</v>
      </c>
      <c r="K78" s="14" t="s">
        <v>13092</v>
      </c>
      <c r="L78" s="14" t="s">
        <v>13093</v>
      </c>
      <c r="M78" s="14" t="s">
        <v>9158</v>
      </c>
      <c r="N78" s="14" t="s">
        <v>9158</v>
      </c>
      <c r="O78" s="6" t="s">
        <v>4583</v>
      </c>
      <c r="P78" s="7" t="s">
        <v>4584</v>
      </c>
      <c r="Q78" s="7">
        <v>1</v>
      </c>
    </row>
    <row r="79" spans="1:17">
      <c r="A79" s="14">
        <v>75333</v>
      </c>
      <c r="B79" s="14" t="s">
        <v>334</v>
      </c>
      <c r="C79" s="14" t="s">
        <v>200</v>
      </c>
      <c r="D79" s="19" t="s">
        <v>3206</v>
      </c>
      <c r="E79" s="15" t="str">
        <f>HYPERLINK("https://stat100.ameba.jp/tnk47/ratio20/illustrations/card/ill_75333_resukuintamamonomae03.jpg?202104-5-RELEASE-marathon-526xx", "■")</f>
        <v>■</v>
      </c>
      <c r="F79" s="14" t="s">
        <v>3207</v>
      </c>
      <c r="G79" s="14">
        <v>104619</v>
      </c>
      <c r="H79" s="14">
        <v>112496</v>
      </c>
      <c r="I79" s="14">
        <v>27</v>
      </c>
      <c r="J79" s="14" t="s">
        <v>320</v>
      </c>
      <c r="K79" s="14" t="s">
        <v>3208</v>
      </c>
      <c r="L79" s="14" t="s">
        <v>3209</v>
      </c>
      <c r="M79" s="14" t="s">
        <v>9158</v>
      </c>
      <c r="N79" s="14" t="s">
        <v>9158</v>
      </c>
      <c r="O79" s="19" t="s">
        <v>10074</v>
      </c>
      <c r="P79" s="14" t="s">
        <v>2822</v>
      </c>
      <c r="Q79" s="14">
        <v>1</v>
      </c>
    </row>
    <row r="81" spans="1:17">
      <c r="A81" s="14" t="s">
        <v>180</v>
      </c>
    </row>
    <row r="82" spans="1:17">
      <c r="A82" s="14">
        <v>107846</v>
      </c>
      <c r="B82" s="14" t="s">
        <v>4241</v>
      </c>
    </row>
    <row r="83" spans="1:17">
      <c r="A83" s="14" t="s">
        <v>5734</v>
      </c>
      <c r="B83" s="14" t="s">
        <v>330</v>
      </c>
      <c r="C83" s="14" t="s">
        <v>202</v>
      </c>
      <c r="D83" s="20" t="s">
        <v>1497</v>
      </c>
      <c r="E83" s="15" t="str">
        <f>HYPERLINK("https://stat100.ameba.jp/tnk47/ratio20/illustrations/card/ill_74593_0_natsuyuenchikoshihikari03.jpg?202104-5-RELEASE-marathon-526xx", "■")</f>
        <v>■</v>
      </c>
      <c r="F83" s="14" t="s">
        <v>1498</v>
      </c>
      <c r="G83" s="14">
        <v>259994</v>
      </c>
      <c r="H83" s="14">
        <v>241708</v>
      </c>
      <c r="I83" s="14">
        <v>24</v>
      </c>
      <c r="J83" s="14" t="s">
        <v>283</v>
      </c>
      <c r="K83" s="14" t="s">
        <v>1499</v>
      </c>
      <c r="L83" s="14" t="s">
        <v>1500</v>
      </c>
      <c r="M83" s="14" t="s">
        <v>9158</v>
      </c>
      <c r="N83" s="14" t="s">
        <v>9158</v>
      </c>
      <c r="O83" s="19" t="s">
        <v>2731</v>
      </c>
      <c r="P83" s="14" t="s">
        <v>2732</v>
      </c>
      <c r="Q83" s="14">
        <v>1</v>
      </c>
    </row>
    <row r="84" spans="1:17">
      <c r="A84" s="14" t="s">
        <v>5603</v>
      </c>
      <c r="B84" s="14" t="s">
        <v>330</v>
      </c>
      <c r="C84" s="14" t="s">
        <v>205</v>
      </c>
      <c r="D84" s="20" t="s">
        <v>611</v>
      </c>
      <c r="E84" s="15" t="str">
        <f>HYPERLINK("https://stat100.ameba.jp/tnk47/ratio20/illustrations/card/ill_61893_0_onikirishumiyamotomusashi03.jpg?202104-5-RELEASE-marathon-526xx", "■")</f>
        <v>■</v>
      </c>
      <c r="F84" s="14" t="s">
        <v>612</v>
      </c>
      <c r="G84" s="14">
        <v>224026</v>
      </c>
      <c r="H84" s="14">
        <v>208310</v>
      </c>
      <c r="I84" s="14">
        <v>24</v>
      </c>
      <c r="J84" s="14" t="s">
        <v>310</v>
      </c>
      <c r="K84" s="14" t="s">
        <v>613</v>
      </c>
      <c r="L84" s="14" t="s">
        <v>312</v>
      </c>
      <c r="M84" s="14" t="s">
        <v>9158</v>
      </c>
      <c r="N84" s="14" t="s">
        <v>9158</v>
      </c>
      <c r="O84" s="19" t="s">
        <v>10071</v>
      </c>
      <c r="P84" s="14" t="s">
        <v>3253</v>
      </c>
      <c r="Q84" s="14">
        <v>1</v>
      </c>
    </row>
    <row r="85" spans="1:17">
      <c r="A85" s="14" t="s">
        <v>5897</v>
      </c>
      <c r="B85" s="14" t="s">
        <v>52</v>
      </c>
      <c r="C85" s="14" t="s">
        <v>23</v>
      </c>
      <c r="D85" s="19" t="s">
        <v>277</v>
      </c>
      <c r="E85" s="15" t="str">
        <f>HYPERLINK("https://stat100.ameba.jp/tnk47/ratio20/illustrations/card/ill_40913_0_reigyokudensetsufusehime03.jpg?202104-5-RELEASE-marathon-526xx", "■")</f>
        <v>■</v>
      </c>
      <c r="F85" s="14" t="s">
        <v>955</v>
      </c>
      <c r="G85" s="14">
        <v>131538</v>
      </c>
      <c r="H85" s="14">
        <v>140448</v>
      </c>
      <c r="I85" s="14">
        <v>24</v>
      </c>
      <c r="J85" s="14" t="s">
        <v>38</v>
      </c>
      <c r="K85" s="14" t="s">
        <v>956</v>
      </c>
      <c r="L85" s="14" t="s">
        <v>957</v>
      </c>
      <c r="M85" s="14" t="s">
        <v>9158</v>
      </c>
      <c r="N85" s="14" t="s">
        <v>9158</v>
      </c>
      <c r="O85" s="14" t="s">
        <v>9158</v>
      </c>
      <c r="P85" s="14" t="s">
        <v>9158</v>
      </c>
      <c r="Q85" s="14" t="s">
        <v>9158</v>
      </c>
    </row>
    <row r="86" spans="1:17">
      <c r="A86" s="14">
        <v>97073</v>
      </c>
      <c r="B86" s="14" t="s">
        <v>0</v>
      </c>
      <c r="C86" s="14" t="s">
        <v>101</v>
      </c>
      <c r="D86" s="14" t="s">
        <v>17036</v>
      </c>
      <c r="E86" s="15" t="str">
        <f>HYPERLINK("https://stat100.ameba.jp/tnk47/ratio20/illustrations/card/ill_97073_sakurakotenoichinokata03.jpg?202104-5-RELEASE-marathon-526xx", "■")</f>
        <v>■</v>
      </c>
      <c r="F86" s="14" t="s">
        <v>17035</v>
      </c>
      <c r="G86" s="14">
        <v>102386</v>
      </c>
      <c r="H86" s="14">
        <v>110129</v>
      </c>
      <c r="I86" s="14">
        <v>27</v>
      </c>
      <c r="J86" s="14" t="s">
        <v>77</v>
      </c>
      <c r="K86" s="14" t="s">
        <v>17034</v>
      </c>
      <c r="L86" s="14" t="s">
        <v>17033</v>
      </c>
      <c r="M86" s="14" t="s">
        <v>9158</v>
      </c>
      <c r="N86" s="14" t="s">
        <v>9158</v>
      </c>
      <c r="O86" s="14" t="s">
        <v>9158</v>
      </c>
      <c r="P86" s="14" t="s">
        <v>9158</v>
      </c>
      <c r="Q86" s="14" t="s">
        <v>9158</v>
      </c>
    </row>
    <row r="87" spans="1:17">
      <c r="A87" s="14">
        <v>97083</v>
      </c>
      <c r="B87" s="14" t="s">
        <v>15</v>
      </c>
      <c r="C87" s="14" t="s">
        <v>96</v>
      </c>
      <c r="D87" s="14" t="s">
        <v>17039</v>
      </c>
      <c r="E87" s="15" t="str">
        <f>HYPERLINK("https://stat100.ameba.jp/tnk47/ratio20/illustrations/card/ill_97083_ryorantesso03.jpg?202104-5-RELEASE-marathon-526xx", "■")</f>
        <v>■</v>
      </c>
      <c r="F87" s="14" t="s">
        <v>17038</v>
      </c>
      <c r="G87" s="14">
        <v>80028</v>
      </c>
      <c r="H87" s="14">
        <v>72586</v>
      </c>
      <c r="I87" s="14">
        <v>27</v>
      </c>
      <c r="J87" s="14" t="s">
        <v>73</v>
      </c>
      <c r="K87" s="14" t="s">
        <v>17037</v>
      </c>
      <c r="L87" s="14" t="s">
        <v>3835</v>
      </c>
      <c r="M87" s="14" t="s">
        <v>9158</v>
      </c>
      <c r="N87" s="14" t="s">
        <v>9158</v>
      </c>
      <c r="O87" s="14" t="s">
        <v>9158</v>
      </c>
      <c r="P87" s="14" t="s">
        <v>9158</v>
      </c>
      <c r="Q87" s="14" t="s">
        <v>9158</v>
      </c>
    </row>
    <row r="88" spans="1:17">
      <c r="A88" s="14">
        <v>97093</v>
      </c>
      <c r="B88" s="14" t="s">
        <v>22</v>
      </c>
      <c r="C88" s="14" t="s">
        <v>107</v>
      </c>
      <c r="D88" s="14" t="s">
        <v>17042</v>
      </c>
      <c r="E88" s="15" t="str">
        <f>HYPERLINK("https://stat100.ameba.jp/tnk47/ratio20/illustrations/card/ill_97093_sakurairo03.jpg?202104-5-RELEASE-marathon-526xx", "■")</f>
        <v>■</v>
      </c>
      <c r="F88" s="14" t="s">
        <v>17041</v>
      </c>
      <c r="G88" s="14">
        <v>46676</v>
      </c>
      <c r="H88" s="14">
        <v>56138</v>
      </c>
      <c r="I88" s="14">
        <v>27</v>
      </c>
      <c r="J88" s="14" t="s">
        <v>38</v>
      </c>
      <c r="K88" s="14" t="s">
        <v>17040</v>
      </c>
      <c r="L88" s="14" t="s">
        <v>2015</v>
      </c>
      <c r="M88" s="14" t="s">
        <v>9158</v>
      </c>
      <c r="N88" s="14" t="s">
        <v>9158</v>
      </c>
      <c r="O88" s="14" t="s">
        <v>9158</v>
      </c>
      <c r="P88" s="14" t="s">
        <v>9158</v>
      </c>
      <c r="Q88" s="14" t="s">
        <v>9158</v>
      </c>
    </row>
    <row r="89" spans="1:17">
      <c r="A89" s="14">
        <v>97103</v>
      </c>
      <c r="B89" s="14" t="s">
        <v>22</v>
      </c>
      <c r="C89" s="14" t="s">
        <v>14</v>
      </c>
      <c r="D89" s="14" t="s">
        <v>17045</v>
      </c>
      <c r="E89" s="15" t="str">
        <f>HYPERLINK("https://stat100.ameba.jp/tnk47/ratio20/illustrations/card/ill_97103_goryokakusan03.jpg?202104-5-RELEASE-marathon-526xx", "■")</f>
        <v>■</v>
      </c>
      <c r="F89" s="14" t="s">
        <v>17044</v>
      </c>
      <c r="G89" s="14">
        <v>56138</v>
      </c>
      <c r="H89" s="14">
        <v>46676</v>
      </c>
      <c r="I89" s="14">
        <v>27</v>
      </c>
      <c r="J89" s="14" t="s">
        <v>26</v>
      </c>
      <c r="K89" s="14" t="s">
        <v>17043</v>
      </c>
      <c r="L89" s="14" t="s">
        <v>2635</v>
      </c>
      <c r="M89" s="14" t="s">
        <v>9158</v>
      </c>
      <c r="N89" s="14" t="s">
        <v>9158</v>
      </c>
      <c r="O89" s="14" t="s">
        <v>9158</v>
      </c>
      <c r="P89" s="14" t="s">
        <v>9158</v>
      </c>
      <c r="Q89" s="14" t="s">
        <v>9158</v>
      </c>
    </row>
    <row r="91" spans="1:17">
      <c r="A91" s="14" t="s">
        <v>3905</v>
      </c>
      <c r="I91" s="7"/>
    </row>
    <row r="92" spans="1:17">
      <c r="A92" s="14">
        <v>237665</v>
      </c>
      <c r="B92" s="14" t="s">
        <v>17061</v>
      </c>
      <c r="I92" s="7"/>
    </row>
    <row r="93" spans="1:17">
      <c r="A93" s="9" t="s">
        <v>5611</v>
      </c>
      <c r="B93" s="14" t="s">
        <v>330</v>
      </c>
      <c r="C93" s="14" t="s">
        <v>185</v>
      </c>
      <c r="D93" s="14" t="s">
        <v>539</v>
      </c>
      <c r="E93" s="15" t="str">
        <f>HYPERLINK("https://stat100.ameba.jp/tnk47/ratio20/illustrations/card/ill_60633_0_harumaisentoin03.jpg?202104-5-RELEASE-marathon-526xx", "■")</f>
        <v>■</v>
      </c>
      <c r="F93" s="14" t="s">
        <v>540</v>
      </c>
      <c r="G93" s="14">
        <v>139878</v>
      </c>
      <c r="H93" s="14">
        <v>150466</v>
      </c>
      <c r="I93" s="14">
        <v>22</v>
      </c>
      <c r="J93" s="14" t="s">
        <v>274</v>
      </c>
      <c r="K93" s="14" t="s">
        <v>541</v>
      </c>
      <c r="L93" s="14" t="s">
        <v>542</v>
      </c>
      <c r="M93" s="14" t="s">
        <v>9158</v>
      </c>
      <c r="N93" s="14" t="s">
        <v>9158</v>
      </c>
      <c r="O93" s="9" t="s">
        <v>2888</v>
      </c>
      <c r="P93" s="14" t="s">
        <v>3144</v>
      </c>
      <c r="Q93" s="14">
        <v>1</v>
      </c>
    </row>
    <row r="94" spans="1:17">
      <c r="A94" s="9" t="s">
        <v>5725</v>
      </c>
      <c r="B94" s="14" t="s">
        <v>52</v>
      </c>
      <c r="C94" s="14" t="s">
        <v>107</v>
      </c>
      <c r="D94" s="14" t="s">
        <v>55</v>
      </c>
      <c r="E94" s="15" t="str">
        <f>HYPERLINK("https://stat100.ameba.jp/tnk47/ratio20/illustrations/card/ill_52693_0_sengokumibirakiyanagiharabyakuren03.jpg?202104-5-RELEASE-marathon-526xx", "■")</f>
        <v>■</v>
      </c>
      <c r="F94" s="14" t="s">
        <v>1246</v>
      </c>
      <c r="G94" s="14">
        <v>122776</v>
      </c>
      <c r="H94" s="14">
        <v>138212</v>
      </c>
      <c r="I94" s="14">
        <v>22</v>
      </c>
      <c r="J94" s="14" t="s">
        <v>16</v>
      </c>
      <c r="K94" s="14" t="s">
        <v>1247</v>
      </c>
      <c r="L94" s="14" t="s">
        <v>1248</v>
      </c>
      <c r="M94" s="14" t="s">
        <v>9158</v>
      </c>
      <c r="N94" s="14" t="s">
        <v>9158</v>
      </c>
      <c r="O94" s="9" t="s">
        <v>3303</v>
      </c>
      <c r="P94" s="14" t="s">
        <v>3304</v>
      </c>
      <c r="Q94" s="14">
        <v>1</v>
      </c>
    </row>
    <row r="95" spans="1:17">
      <c r="A95" s="14" t="s">
        <v>9473</v>
      </c>
      <c r="B95" s="14" t="s">
        <v>330</v>
      </c>
      <c r="C95" s="14" t="s">
        <v>191</v>
      </c>
      <c r="D95" s="19" t="s">
        <v>393</v>
      </c>
      <c r="E95" s="15" t="str">
        <f>HYPERLINK("https://stat100.ameba.jp/tnk47/ratio20/illustrations/card/ill_46283_0_odanobunaga03.jpg?202104-5-RELEASE-marathon-526xx", "■")</f>
        <v>■</v>
      </c>
      <c r="F95" s="14" t="s">
        <v>1073</v>
      </c>
      <c r="G95" s="14">
        <v>120576</v>
      </c>
      <c r="H95" s="14">
        <v>128744</v>
      </c>
      <c r="I95" s="14">
        <v>22</v>
      </c>
      <c r="J95" s="14" t="s">
        <v>143</v>
      </c>
      <c r="K95" s="14" t="s">
        <v>1074</v>
      </c>
      <c r="L95" s="14" t="s">
        <v>1075</v>
      </c>
      <c r="M95" s="14" t="s">
        <v>9158</v>
      </c>
      <c r="N95" s="14" t="s">
        <v>9158</v>
      </c>
      <c r="O95" s="9" t="s">
        <v>9158</v>
      </c>
      <c r="P95" s="14" t="s">
        <v>9158</v>
      </c>
      <c r="Q95" s="14" t="s">
        <v>9158</v>
      </c>
    </row>
    <row r="96" spans="1:17">
      <c r="A96" s="14">
        <v>85263</v>
      </c>
      <c r="B96" s="14" t="s">
        <v>0</v>
      </c>
      <c r="C96" s="14" t="s">
        <v>206</v>
      </c>
      <c r="D96" s="19" t="s">
        <v>10792</v>
      </c>
      <c r="E96" s="15" t="str">
        <f>HYPERLINK("https://stat100.ameba.jp/tnk47/ratio20/illustrations/card/ill_85263_daikokaijidaiheshikirihasebe03.jpg?202104-5-RELEASE-marathon-526xx", "■")</f>
        <v>■</v>
      </c>
      <c r="F96" s="14" t="s">
        <v>8195</v>
      </c>
      <c r="G96" s="14">
        <v>95155</v>
      </c>
      <c r="H96" s="14">
        <v>169148</v>
      </c>
      <c r="I96" s="14">
        <v>29</v>
      </c>
      <c r="J96" s="14" t="s">
        <v>26</v>
      </c>
      <c r="K96" s="14" t="s">
        <v>8194</v>
      </c>
      <c r="L96" s="14" t="s">
        <v>7955</v>
      </c>
      <c r="M96" s="14" t="s">
        <v>9158</v>
      </c>
      <c r="N96" s="14" t="s">
        <v>9158</v>
      </c>
      <c r="O96" s="14" t="s">
        <v>9158</v>
      </c>
      <c r="P96" s="14" t="s">
        <v>9158</v>
      </c>
      <c r="Q96" s="14" t="s">
        <v>9158</v>
      </c>
    </row>
    <row r="97" spans="1:17">
      <c r="A97" s="14">
        <v>88713</v>
      </c>
      <c r="B97" s="14" t="s">
        <v>334</v>
      </c>
      <c r="C97" s="14" t="s">
        <v>1</v>
      </c>
      <c r="D97" s="14" t="s">
        <v>12352</v>
      </c>
      <c r="E97" s="15" t="str">
        <f>HYPERLINK("https://stat100.ameba.jp/tnk47/ratio20/illustrations/card/ill_88713_pammatsurifuigunattsu03.jpg?202104-5-RELEASE-marathon-526xx", "■")</f>
        <v>■</v>
      </c>
      <c r="F97" s="14" t="s">
        <v>12354</v>
      </c>
      <c r="G97" s="14">
        <v>119785</v>
      </c>
      <c r="H97" s="14">
        <v>212908</v>
      </c>
      <c r="I97" s="14">
        <v>29</v>
      </c>
      <c r="J97" s="14" t="s">
        <v>104</v>
      </c>
      <c r="K97" s="14" t="s">
        <v>12355</v>
      </c>
      <c r="L97" s="14" t="s">
        <v>12356</v>
      </c>
      <c r="M97" s="14" t="s">
        <v>9158</v>
      </c>
      <c r="N97" s="14" t="s">
        <v>9158</v>
      </c>
      <c r="O97" s="14" t="s">
        <v>9158</v>
      </c>
      <c r="P97" s="14" t="s">
        <v>9158</v>
      </c>
      <c r="Q97" s="14" t="s">
        <v>9158</v>
      </c>
    </row>
    <row r="98" spans="1:17">
      <c r="A98" s="9">
        <v>84593</v>
      </c>
      <c r="B98" s="9" t="s">
        <v>0</v>
      </c>
      <c r="C98" s="9" t="s">
        <v>191</v>
      </c>
      <c r="D98" s="19" t="s">
        <v>10727</v>
      </c>
      <c r="E98" s="15" t="str">
        <f>HYPERLINK("https://stat100.ameba.jp/tnk47/ratio20/illustrations/card/ill_84593_sarugundanhashibahideyoshi03.jpg?202104-5-RELEASE-marathon-526xx", "■")</f>
        <v>■</v>
      </c>
      <c r="F98" s="9" t="s">
        <v>7681</v>
      </c>
      <c r="G98" s="14">
        <v>160296</v>
      </c>
      <c r="H98" s="14">
        <v>172397</v>
      </c>
      <c r="I98" s="14">
        <v>29</v>
      </c>
      <c r="J98" s="9" t="s">
        <v>194</v>
      </c>
      <c r="K98" s="9" t="s">
        <v>7680</v>
      </c>
      <c r="L98" s="9" t="s">
        <v>1148</v>
      </c>
      <c r="M98" s="14" t="s">
        <v>9158</v>
      </c>
      <c r="N98" s="14" t="s">
        <v>9158</v>
      </c>
      <c r="O98" s="14" t="s">
        <v>9158</v>
      </c>
      <c r="P98" s="14" t="s">
        <v>9158</v>
      </c>
      <c r="Q98" s="14" t="s">
        <v>9158</v>
      </c>
    </row>
    <row r="100" spans="1:17">
      <c r="A100" s="14" t="s">
        <v>3911</v>
      </c>
    </row>
    <row r="101" spans="1:17">
      <c r="A101" s="14">
        <v>107869</v>
      </c>
      <c r="B101" s="14" t="s">
        <v>17062</v>
      </c>
    </row>
    <row r="102" spans="1:17">
      <c r="A102" s="14">
        <v>107879</v>
      </c>
      <c r="B102" s="14" t="s">
        <v>15721</v>
      </c>
    </row>
    <row r="103" spans="1:17">
      <c r="A103" s="14" t="s">
        <v>16315</v>
      </c>
      <c r="B103" s="14" t="s">
        <v>117</v>
      </c>
      <c r="C103" s="14" t="s">
        <v>35</v>
      </c>
      <c r="D103" s="14" t="s">
        <v>16314</v>
      </c>
      <c r="E103" s="15" t="str">
        <f>HYPERLINK("https://stat100.ameba.jp/tnk47/ratio20/illustrations/card/ill_95293_0_kajinobatoru03.jpg?202104-5-RELEASE-marathon-526xx", "■")</f>
        <v>■</v>
      </c>
      <c r="F103" s="14" t="s">
        <v>16313</v>
      </c>
      <c r="G103" s="14">
        <v>363642</v>
      </c>
      <c r="H103" s="14">
        <v>338058</v>
      </c>
      <c r="I103" s="14">
        <v>30</v>
      </c>
      <c r="J103" s="14" t="s">
        <v>194</v>
      </c>
      <c r="K103" s="14" t="s">
        <v>16312</v>
      </c>
      <c r="L103" s="14" t="s">
        <v>16311</v>
      </c>
      <c r="M103" s="14" t="s">
        <v>9158</v>
      </c>
      <c r="N103" s="14" t="s">
        <v>9158</v>
      </c>
      <c r="O103" s="14" t="s">
        <v>16310</v>
      </c>
      <c r="P103" s="14" t="s">
        <v>8441</v>
      </c>
      <c r="Q103" s="14">
        <v>1</v>
      </c>
    </row>
    <row r="104" spans="1:17">
      <c r="A104" s="14" t="s">
        <v>12809</v>
      </c>
      <c r="B104" s="14" t="s">
        <v>117</v>
      </c>
      <c r="C104" s="14" t="s">
        <v>35</v>
      </c>
      <c r="D104" s="14" t="s">
        <v>12807</v>
      </c>
      <c r="E104" s="15" t="str">
        <f>HYPERLINK("https://stat100.ameba.jp/tnk47/ratio20/illustrations/card/ill_90173_0_yurakunekomusume03.jpg?202104-5-RELEASE-marathon-526xx", "■")</f>
        <v>■</v>
      </c>
      <c r="F104" s="14" t="s">
        <v>12810</v>
      </c>
      <c r="G104" s="14">
        <v>358280</v>
      </c>
      <c r="H104" s="14">
        <v>323852</v>
      </c>
      <c r="I104" s="14">
        <v>30</v>
      </c>
      <c r="J104" s="14" t="s">
        <v>38</v>
      </c>
      <c r="K104" s="14" t="s">
        <v>12812</v>
      </c>
      <c r="L104" s="14" t="s">
        <v>12813</v>
      </c>
      <c r="M104" s="14" t="s">
        <v>9158</v>
      </c>
      <c r="N104" s="14" t="s">
        <v>9158</v>
      </c>
      <c r="O104" s="14" t="s">
        <v>12805</v>
      </c>
      <c r="P104" s="14" t="s">
        <v>3491</v>
      </c>
      <c r="Q104" s="14">
        <v>1</v>
      </c>
    </row>
    <row r="105" spans="1:17">
      <c r="A105" s="9" t="s">
        <v>9568</v>
      </c>
      <c r="B105" s="9" t="s">
        <v>117</v>
      </c>
      <c r="C105" s="9" t="s">
        <v>202</v>
      </c>
      <c r="D105" s="19" t="s">
        <v>10978</v>
      </c>
      <c r="E105" s="15" t="str">
        <f>HYPERLINK("https://stat100.ameba.jp/tnk47/ratio20/illustrations/card/ill_88083_0_seirennosammegami03.jpg?202104-5-RELEASE-marathon-526xx", "■")</f>
        <v>■</v>
      </c>
      <c r="F105" s="9" t="s">
        <v>9573</v>
      </c>
      <c r="G105" s="9">
        <v>328348</v>
      </c>
      <c r="H105" s="9">
        <v>363286</v>
      </c>
      <c r="I105" s="9">
        <v>30</v>
      </c>
      <c r="J105" s="9" t="s">
        <v>216</v>
      </c>
      <c r="K105" s="9" t="s">
        <v>9572</v>
      </c>
      <c r="L105" s="9" t="s">
        <v>9571</v>
      </c>
      <c r="M105" s="14" t="s">
        <v>9158</v>
      </c>
      <c r="N105" s="14" t="s">
        <v>9158</v>
      </c>
      <c r="O105" s="19" t="s">
        <v>10137</v>
      </c>
      <c r="P105" s="9" t="s">
        <v>9564</v>
      </c>
      <c r="Q105" s="9">
        <v>0</v>
      </c>
    </row>
    <row r="106" spans="1:17">
      <c r="A106" s="14">
        <v>82543</v>
      </c>
      <c r="B106" s="14" t="s">
        <v>334</v>
      </c>
      <c r="C106" s="14" t="s">
        <v>41</v>
      </c>
      <c r="D106" s="20" t="s">
        <v>10342</v>
      </c>
      <c r="E106" s="15" t="str">
        <f>HYPERLINK("https://stat100.ameba.jp/tnk47/ratio20/illustrations/card/ill_82543_nabeshimanagako03.jpg?202104-5-RELEASE-marathon-526xx", "■")</f>
        <v>■</v>
      </c>
      <c r="F106" s="14" t="s">
        <v>5491</v>
      </c>
      <c r="G106" s="14">
        <v>126741</v>
      </c>
      <c r="H106" s="14">
        <v>91815</v>
      </c>
      <c r="I106" s="14">
        <v>29</v>
      </c>
      <c r="J106" s="14" t="s">
        <v>10</v>
      </c>
      <c r="K106" s="14" t="s">
        <v>5493</v>
      </c>
      <c r="L106" s="14" t="s">
        <v>5494</v>
      </c>
      <c r="M106" s="14" t="s">
        <v>9158</v>
      </c>
      <c r="N106" s="14" t="s">
        <v>9158</v>
      </c>
      <c r="O106" s="19" t="s">
        <v>10080</v>
      </c>
      <c r="P106" s="14" t="s">
        <v>3705</v>
      </c>
      <c r="Q106" s="14">
        <v>1</v>
      </c>
    </row>
    <row r="107" spans="1:17">
      <c r="A107" s="14">
        <v>69513</v>
      </c>
      <c r="B107" s="14" t="s">
        <v>0</v>
      </c>
      <c r="C107" s="14" t="s">
        <v>158</v>
      </c>
      <c r="D107" s="19" t="s">
        <v>10265</v>
      </c>
      <c r="E107" s="15" t="str">
        <f>HYPERLINK("https://stat100.ameba.jp/tnk47/ratio20/illustrations/card/ill_69513_somedononokisaki03.jpg?202104-5-RELEASE-marathon-526xx", "■")</f>
        <v>■</v>
      </c>
      <c r="F107" s="14" t="s">
        <v>3674</v>
      </c>
      <c r="G107" s="14">
        <v>95880</v>
      </c>
      <c r="H107" s="14">
        <v>132379</v>
      </c>
      <c r="I107" s="14">
        <v>29</v>
      </c>
      <c r="J107" s="14" t="s">
        <v>187</v>
      </c>
      <c r="K107" s="14" t="s">
        <v>3675</v>
      </c>
      <c r="L107" s="14" t="s">
        <v>13187</v>
      </c>
      <c r="M107" s="14" t="s">
        <v>9158</v>
      </c>
      <c r="N107" s="14" t="s">
        <v>9158</v>
      </c>
      <c r="O107" s="19" t="s">
        <v>2752</v>
      </c>
      <c r="P107" s="14" t="s">
        <v>13173</v>
      </c>
      <c r="Q107" s="14">
        <v>1</v>
      </c>
    </row>
    <row r="108" spans="1:17">
      <c r="A108" s="14">
        <v>62043</v>
      </c>
      <c r="B108" s="14" t="s">
        <v>0</v>
      </c>
      <c r="C108" s="14" t="s">
        <v>158</v>
      </c>
      <c r="D108" s="20" t="s">
        <v>10233</v>
      </c>
      <c r="E108" s="15" t="str">
        <f>HYPERLINK("https://stat100.ameba.jp/tnk47/ratio20/illustrations/card/ill_62043_niutsuhimenookami03.jpg?202104-5-RELEASE-marathon-526xx", "■")</f>
        <v>■</v>
      </c>
      <c r="F108" s="14" t="s">
        <v>2022</v>
      </c>
      <c r="G108" s="14">
        <v>95880</v>
      </c>
      <c r="H108" s="14">
        <v>132379</v>
      </c>
      <c r="I108" s="14">
        <v>29</v>
      </c>
      <c r="J108" s="14" t="s">
        <v>169</v>
      </c>
      <c r="K108" s="14" t="s">
        <v>2023</v>
      </c>
      <c r="L108" s="14" t="s">
        <v>13144</v>
      </c>
      <c r="M108" s="14" t="s">
        <v>9158</v>
      </c>
      <c r="N108" s="14" t="s">
        <v>9158</v>
      </c>
      <c r="O108" s="19" t="s">
        <v>10093</v>
      </c>
      <c r="P108" s="14" t="s">
        <v>13145</v>
      </c>
      <c r="Q108" s="14">
        <v>1</v>
      </c>
    </row>
    <row r="109" spans="1:17">
      <c r="A109" s="14">
        <v>65643</v>
      </c>
      <c r="B109" s="14" t="s">
        <v>0</v>
      </c>
      <c r="C109" s="14" t="s">
        <v>209</v>
      </c>
      <c r="D109" s="20" t="s">
        <v>1681</v>
      </c>
      <c r="E109" s="15" t="str">
        <f>HYPERLINK("https://stat100.ameba.jp/tnk47/ratio20/illustrations/card/ill_65643_shitompekamui03.jpg?202104-5-RELEASE-marathon-526xx", "■")</f>
        <v>■</v>
      </c>
      <c r="F109" s="14" t="s">
        <v>1250</v>
      </c>
      <c r="G109" s="14">
        <v>95880</v>
      </c>
      <c r="H109" s="14">
        <v>132379</v>
      </c>
      <c r="I109" s="14">
        <v>29</v>
      </c>
      <c r="J109" s="14" t="s">
        <v>44</v>
      </c>
      <c r="K109" s="14" t="s">
        <v>1251</v>
      </c>
      <c r="L109" s="14" t="s">
        <v>1252</v>
      </c>
      <c r="M109" s="14" t="s">
        <v>9158</v>
      </c>
      <c r="N109" s="14" t="s">
        <v>9158</v>
      </c>
      <c r="O109" s="19" t="s">
        <v>10096</v>
      </c>
      <c r="P109" s="14" t="s">
        <v>3245</v>
      </c>
      <c r="Q109" s="14">
        <v>1</v>
      </c>
    </row>
    <row r="110" spans="1:17">
      <c r="A110" s="14">
        <v>63283</v>
      </c>
      <c r="B110" s="14" t="s">
        <v>334</v>
      </c>
      <c r="C110" s="14" t="s">
        <v>209</v>
      </c>
      <c r="D110" s="19" t="s">
        <v>327</v>
      </c>
      <c r="E110" s="15" t="str">
        <f>HYPERLINK("https://stat100.ameba.jp/tnk47/ratio20/illustrations/card/ill_63283_mizuyokanchan03.jpg?202104-5-RELEASE-marathon-526xx", "■")</f>
        <v>■</v>
      </c>
      <c r="F110" s="14" t="s">
        <v>327</v>
      </c>
      <c r="G110" s="14">
        <v>136953</v>
      </c>
      <c r="H110" s="14">
        <v>127350</v>
      </c>
      <c r="I110" s="14">
        <v>29</v>
      </c>
      <c r="J110" s="14" t="s">
        <v>283</v>
      </c>
      <c r="K110" s="14" t="s">
        <v>328</v>
      </c>
      <c r="L110" s="14" t="s">
        <v>329</v>
      </c>
      <c r="M110" s="14" t="s">
        <v>9158</v>
      </c>
      <c r="N110" s="14" t="s">
        <v>9158</v>
      </c>
      <c r="O110" s="19" t="s">
        <v>10084</v>
      </c>
      <c r="P110" s="14" t="s">
        <v>3563</v>
      </c>
      <c r="Q110" s="14">
        <v>1</v>
      </c>
    </row>
    <row r="111" spans="1:17">
      <c r="A111" s="9">
        <v>58343</v>
      </c>
      <c r="B111" s="14" t="s">
        <v>334</v>
      </c>
      <c r="C111" s="14" t="s">
        <v>268</v>
      </c>
      <c r="D111" s="14" t="s">
        <v>1792</v>
      </c>
      <c r="E111" s="15" t="str">
        <f>HYPERLINK("https://stat100.ameba.jp/tnk47/ratio20/illustrations/card/ill_58343_agemakidayu03.jpg?202104-5-RELEASE-marathon-526xx", "■")</f>
        <v>■</v>
      </c>
      <c r="F111" s="14" t="s">
        <v>586</v>
      </c>
      <c r="G111" s="14">
        <v>119686</v>
      </c>
      <c r="H111" s="14">
        <v>87757</v>
      </c>
      <c r="I111" s="14">
        <v>29</v>
      </c>
      <c r="J111" s="14" t="s">
        <v>274</v>
      </c>
      <c r="K111" s="14" t="s">
        <v>587</v>
      </c>
      <c r="L111" s="14" t="s">
        <v>588</v>
      </c>
      <c r="M111" s="14" t="s">
        <v>9158</v>
      </c>
      <c r="N111" s="14" t="s">
        <v>9158</v>
      </c>
      <c r="O111" s="9" t="s">
        <v>2912</v>
      </c>
      <c r="P111" s="14" t="s">
        <v>13122</v>
      </c>
      <c r="Q111" s="14">
        <v>1</v>
      </c>
    </row>
    <row r="113" spans="1:17">
      <c r="A113" s="14" t="s">
        <v>4065</v>
      </c>
    </row>
    <row r="114" spans="1:17">
      <c r="A114" s="14">
        <v>107892</v>
      </c>
      <c r="B114" s="14" t="s">
        <v>12101</v>
      </c>
    </row>
    <row r="115" spans="1:17">
      <c r="A115" s="14" t="s">
        <v>12532</v>
      </c>
      <c r="B115" s="7" t="s">
        <v>52</v>
      </c>
      <c r="C115" s="14" t="s">
        <v>202</v>
      </c>
      <c r="D115" s="18" t="s">
        <v>12528</v>
      </c>
      <c r="E115" s="15" t="str">
        <f>HYPERLINK("https://stat100.ameba.jp/tnk47/ratio20/illustrations/card/ill_89073_0_efuwanresuyokohamaserachan03.jpg?202104-5-RELEASE-marathon-526xx", "■")</f>
        <v>■</v>
      </c>
      <c r="F115" s="14" t="s">
        <v>12529</v>
      </c>
      <c r="G115" s="14">
        <v>307998</v>
      </c>
      <c r="H115" s="14">
        <v>340784</v>
      </c>
      <c r="I115" s="7">
        <v>28</v>
      </c>
      <c r="J115" s="14" t="s">
        <v>229</v>
      </c>
      <c r="K115" s="14" t="s">
        <v>12530</v>
      </c>
      <c r="L115" s="14" t="s">
        <v>12531</v>
      </c>
      <c r="M115" s="14" t="s">
        <v>9158</v>
      </c>
      <c r="N115" s="14" t="s">
        <v>9158</v>
      </c>
      <c r="O115" s="6" t="s">
        <v>12533</v>
      </c>
      <c r="P115" s="7" t="s">
        <v>12534</v>
      </c>
      <c r="Q115" s="7">
        <v>1</v>
      </c>
    </row>
    <row r="116" spans="1:17">
      <c r="A116" s="14">
        <v>67993</v>
      </c>
      <c r="B116" s="14" t="s">
        <v>334</v>
      </c>
      <c r="C116" s="14" t="s">
        <v>205</v>
      </c>
      <c r="D116" s="6" t="s">
        <v>2546</v>
      </c>
      <c r="E116" s="15" t="str">
        <f>HYPERLINK("https://stat100.ameba.jp/tnk47/ratio20/illustrations/card/ill_67993_kurisumasupateikanekomisuzu03.jpg?202104-5-RELEASE-marathon-526xx", "■")</f>
        <v>■</v>
      </c>
      <c r="F116" s="14" t="s">
        <v>1286</v>
      </c>
      <c r="G116" s="14">
        <v>105465</v>
      </c>
      <c r="H116" s="14">
        <v>98019</v>
      </c>
      <c r="I116" s="14">
        <v>27</v>
      </c>
      <c r="J116" s="14" t="s">
        <v>10</v>
      </c>
      <c r="K116" s="14" t="s">
        <v>2547</v>
      </c>
      <c r="L116" s="14" t="s">
        <v>2548</v>
      </c>
      <c r="M116" s="14" t="s">
        <v>9158</v>
      </c>
      <c r="N116" s="14" t="s">
        <v>9158</v>
      </c>
      <c r="O116" s="6" t="s">
        <v>10025</v>
      </c>
      <c r="P116" s="14" t="s">
        <v>3701</v>
      </c>
      <c r="Q116" s="14">
        <v>1</v>
      </c>
    </row>
    <row r="117" spans="1:17">
      <c r="A117" s="14">
        <v>69533</v>
      </c>
      <c r="B117" s="14" t="s">
        <v>0</v>
      </c>
      <c r="C117" s="14" t="s">
        <v>101</v>
      </c>
      <c r="D117" s="20" t="s">
        <v>10418</v>
      </c>
      <c r="E117" s="15" t="str">
        <f>HYPERLINK("https://stat100.ameba.jp/tnk47/ratio20/illustrations/card/ill_69533_setsubunodainokata03.jpg?202104-5-RELEASE-marathon-526xx", "■")</f>
        <v>■</v>
      </c>
      <c r="F117" s="14" t="s">
        <v>138</v>
      </c>
      <c r="G117" s="14">
        <v>105465</v>
      </c>
      <c r="H117" s="14">
        <v>98019</v>
      </c>
      <c r="I117" s="14">
        <v>27</v>
      </c>
      <c r="J117" s="14" t="s">
        <v>10</v>
      </c>
      <c r="K117" s="14" t="s">
        <v>139</v>
      </c>
      <c r="L117" s="14" t="s">
        <v>140</v>
      </c>
      <c r="M117" s="14" t="s">
        <v>9158</v>
      </c>
      <c r="N117" s="14" t="s">
        <v>9158</v>
      </c>
      <c r="O117" s="19" t="s">
        <v>10082</v>
      </c>
      <c r="P117" s="14" t="s">
        <v>13124</v>
      </c>
      <c r="Q117" s="14">
        <v>1</v>
      </c>
    </row>
    <row r="118" spans="1:17">
      <c r="A118" s="9">
        <v>71343</v>
      </c>
      <c r="B118" s="14" t="s">
        <v>334</v>
      </c>
      <c r="C118" s="14" t="s">
        <v>185</v>
      </c>
      <c r="D118" s="14" t="s">
        <v>186</v>
      </c>
      <c r="E118" s="15" t="str">
        <f>HYPERLINK("https://stat100.ameba.jp/tnk47/ratio20/illustrations/card/ill_71343_ohanamimatehime03.jpg?202104-5-RELEASE-marathon-526xx", "■")</f>
        <v>■</v>
      </c>
      <c r="F118" s="14" t="s">
        <v>536</v>
      </c>
      <c r="G118" s="14">
        <v>98019</v>
      </c>
      <c r="H118" s="14">
        <v>105465</v>
      </c>
      <c r="I118" s="14">
        <v>27</v>
      </c>
      <c r="J118" s="14" t="s">
        <v>187</v>
      </c>
      <c r="K118" s="14" t="s">
        <v>188</v>
      </c>
      <c r="L118" s="14" t="s">
        <v>13132</v>
      </c>
      <c r="M118" s="14" t="s">
        <v>9158</v>
      </c>
      <c r="N118" s="14" t="s">
        <v>9158</v>
      </c>
      <c r="O118" s="9" t="s">
        <v>2717</v>
      </c>
      <c r="P118" s="14" t="s">
        <v>13123</v>
      </c>
      <c r="Q118" s="14">
        <v>1</v>
      </c>
    </row>
    <row r="120" spans="1:17">
      <c r="A120" s="14" t="s">
        <v>3916</v>
      </c>
    </row>
    <row r="121" spans="1:17">
      <c r="A121" s="14">
        <v>107897</v>
      </c>
      <c r="B121" s="14" t="s">
        <v>4246</v>
      </c>
    </row>
    <row r="122" spans="1:17">
      <c r="A122" s="14">
        <v>76103</v>
      </c>
      <c r="B122" s="14" t="s">
        <v>334</v>
      </c>
      <c r="C122" s="14" t="s">
        <v>154</v>
      </c>
      <c r="D122" s="19" t="s">
        <v>570</v>
      </c>
      <c r="E122" s="15" t="str">
        <f>HYPERLINK("https://stat100.ameba.jp/tnk47/ratio20/illustrations/card/ill_76103_shibuaji03.jpg?202104-5-RELEASE-marathon-526xx", "■")</f>
        <v>■</v>
      </c>
      <c r="F122" s="14" t="s">
        <v>1122</v>
      </c>
      <c r="G122" s="14">
        <v>125078</v>
      </c>
      <c r="H122" s="14">
        <v>116296</v>
      </c>
      <c r="I122" s="14">
        <v>29</v>
      </c>
      <c r="J122" s="14" t="s">
        <v>143</v>
      </c>
      <c r="K122" s="14" t="s">
        <v>1123</v>
      </c>
      <c r="L122" s="14" t="s">
        <v>1124</v>
      </c>
      <c r="M122" s="14" t="s">
        <v>9864</v>
      </c>
      <c r="N122" s="14" t="s">
        <v>9158</v>
      </c>
      <c r="O122" s="14" t="s">
        <v>9158</v>
      </c>
      <c r="P122" s="14" t="s">
        <v>9158</v>
      </c>
      <c r="Q122" s="14" t="s">
        <v>9158</v>
      </c>
    </row>
    <row r="123" spans="1:17">
      <c r="A123" s="14">
        <v>76113</v>
      </c>
      <c r="B123" s="14" t="s">
        <v>334</v>
      </c>
      <c r="C123" s="14" t="s">
        <v>158</v>
      </c>
      <c r="D123" s="19" t="s">
        <v>10268</v>
      </c>
      <c r="E123" s="15" t="str">
        <f>HYPERLINK("https://stat100.ameba.jp/tnk47/ratio20/illustrations/card/ill_76113_jannudaruku03.jpg?202104-5-RELEASE-marathon-526xx", "■")</f>
        <v>■</v>
      </c>
      <c r="F123" s="14" t="s">
        <v>1126</v>
      </c>
      <c r="G123" s="14">
        <v>125078</v>
      </c>
      <c r="H123" s="14">
        <v>116296</v>
      </c>
      <c r="I123" s="14">
        <v>29</v>
      </c>
      <c r="J123" s="14" t="s">
        <v>10</v>
      </c>
      <c r="K123" s="14" t="s">
        <v>1127</v>
      </c>
      <c r="L123" s="14" t="s">
        <v>1128</v>
      </c>
      <c r="M123" s="14" t="s">
        <v>9158</v>
      </c>
      <c r="N123" s="14" t="s">
        <v>9158</v>
      </c>
      <c r="O123" s="14" t="s">
        <v>9158</v>
      </c>
      <c r="P123" s="14" t="s">
        <v>9158</v>
      </c>
      <c r="Q123" s="14" t="s">
        <v>9158</v>
      </c>
    </row>
    <row r="124" spans="1:17">
      <c r="A124" s="14">
        <v>63323</v>
      </c>
      <c r="B124" s="14" t="s">
        <v>0</v>
      </c>
      <c r="C124" s="14" t="s">
        <v>200</v>
      </c>
      <c r="D124" s="19" t="s">
        <v>10269</v>
      </c>
      <c r="E124" s="15" t="str">
        <f>HYPERLINK("https://stat100.ameba.jp/tnk47/ratio20/illustrations/card/ill_63323_ajisaikushinadahime03.jpg?202104-5-RELEASE-marathon-526xx", "■")</f>
        <v>■</v>
      </c>
      <c r="F124" s="14" t="s">
        <v>3583</v>
      </c>
      <c r="G124" s="14">
        <v>109970</v>
      </c>
      <c r="H124" s="14">
        <v>118287</v>
      </c>
      <c r="I124" s="14">
        <v>29</v>
      </c>
      <c r="J124" s="14" t="s">
        <v>44</v>
      </c>
      <c r="K124" s="14" t="s">
        <v>3584</v>
      </c>
      <c r="L124" s="14" t="s">
        <v>2400</v>
      </c>
      <c r="M124" s="14" t="s">
        <v>9158</v>
      </c>
      <c r="N124" s="14" t="s">
        <v>9158</v>
      </c>
      <c r="O124" s="14" t="s">
        <v>9158</v>
      </c>
      <c r="P124" s="14" t="s">
        <v>9158</v>
      </c>
      <c r="Q124" s="14" t="s">
        <v>9158</v>
      </c>
    </row>
    <row r="125" spans="1:17">
      <c r="A125" s="14">
        <v>59863</v>
      </c>
      <c r="B125" s="14" t="s">
        <v>334</v>
      </c>
      <c r="C125" s="14" t="s">
        <v>165</v>
      </c>
      <c r="D125" s="19" t="s">
        <v>318</v>
      </c>
      <c r="E125" s="15" t="str">
        <f>HYPERLINK("https://stat100.ameba.jp/tnk47/ratio20/illustrations/card/ill_59863_yoseiichimokuren03.jpg?202104-5-RELEASE-marathon-526xx", "■")</f>
        <v>■</v>
      </c>
      <c r="F125" s="14" t="s">
        <v>319</v>
      </c>
      <c r="G125" s="14">
        <v>120830</v>
      </c>
      <c r="H125" s="14">
        <v>112369</v>
      </c>
      <c r="I125" s="14">
        <v>29</v>
      </c>
      <c r="J125" s="14" t="s">
        <v>320</v>
      </c>
      <c r="K125" s="14" t="s">
        <v>321</v>
      </c>
      <c r="L125" s="14" t="s">
        <v>322</v>
      </c>
      <c r="M125" s="14" t="s">
        <v>9158</v>
      </c>
      <c r="N125" s="14" t="s">
        <v>9158</v>
      </c>
      <c r="O125" s="14" t="s">
        <v>9158</v>
      </c>
      <c r="P125" s="14" t="s">
        <v>9158</v>
      </c>
      <c r="Q125" s="14" t="s">
        <v>9158</v>
      </c>
    </row>
    <row r="126" spans="1:17">
      <c r="A126" s="14">
        <v>51823</v>
      </c>
      <c r="B126" s="14" t="s">
        <v>15</v>
      </c>
      <c r="C126" s="14" t="s">
        <v>101</v>
      </c>
      <c r="D126" s="19" t="s">
        <v>10587</v>
      </c>
      <c r="E126" s="15" t="str">
        <f>HYPERLINK("https://stat100.ameba.jp/tnk47/ratio20/illustrations/card/ill_51823_jukimatsu03.jpg?202104-5-RELEASE-marathon-526xx", "■")</f>
        <v>■</v>
      </c>
      <c r="F126" s="14" t="s">
        <v>6742</v>
      </c>
      <c r="G126" s="14">
        <v>64520</v>
      </c>
      <c r="H126" s="14">
        <v>71136</v>
      </c>
      <c r="I126" s="14">
        <v>24</v>
      </c>
      <c r="J126" s="14" t="s">
        <v>77</v>
      </c>
      <c r="K126" s="14" t="s">
        <v>6743</v>
      </c>
      <c r="L126" s="14" t="s">
        <v>6744</v>
      </c>
      <c r="M126" s="14" t="s">
        <v>9158</v>
      </c>
      <c r="N126" s="14" t="s">
        <v>9158</v>
      </c>
      <c r="O126" s="14" t="s">
        <v>9158</v>
      </c>
      <c r="P126" s="14" t="s">
        <v>9158</v>
      </c>
      <c r="Q126" s="14" t="s">
        <v>9158</v>
      </c>
    </row>
    <row r="127" spans="1:17">
      <c r="A127" s="14">
        <v>51773</v>
      </c>
      <c r="B127" s="14" t="s">
        <v>15</v>
      </c>
      <c r="C127" s="14" t="s">
        <v>205</v>
      </c>
      <c r="D127" s="19" t="s">
        <v>10588</v>
      </c>
      <c r="E127" s="15" t="str">
        <f>HYPERLINK("https://stat100.ameba.jp/tnk47/ratio20/illustrations/card/ill_51773_kawaasobikanekomisuzu03.jpg?202104-5-RELEASE-marathon-526xx", "■")</f>
        <v>■</v>
      </c>
      <c r="F127" s="14" t="s">
        <v>6747</v>
      </c>
      <c r="G127" s="14">
        <v>71136</v>
      </c>
      <c r="H127" s="14">
        <v>64520</v>
      </c>
      <c r="I127" s="14">
        <v>24</v>
      </c>
      <c r="J127" s="14" t="s">
        <v>10</v>
      </c>
      <c r="K127" s="14" t="s">
        <v>6746</v>
      </c>
      <c r="L127" s="14" t="s">
        <v>6745</v>
      </c>
      <c r="M127" s="14" t="s">
        <v>9158</v>
      </c>
      <c r="N127" s="14" t="s">
        <v>9158</v>
      </c>
      <c r="O127" s="14" t="s">
        <v>9158</v>
      </c>
      <c r="P127" s="14" t="s">
        <v>9158</v>
      </c>
      <c r="Q127" s="14" t="s">
        <v>9158</v>
      </c>
    </row>
    <row r="128" spans="1:17">
      <c r="A128" s="14">
        <v>51733</v>
      </c>
      <c r="B128" s="14" t="s">
        <v>15</v>
      </c>
      <c r="C128" s="14" t="s">
        <v>185</v>
      </c>
      <c r="D128" s="19" t="s">
        <v>10589</v>
      </c>
      <c r="E128" s="15" t="str">
        <f>HYPERLINK("https://stat100.ameba.jp/tnk47/ratio20/illustrations/card/ill_51733_ekusoshisutopoiyampe03.jpg?202104-5-RELEASE-marathon-526xx", "■")</f>
        <v>■</v>
      </c>
      <c r="F128" s="14" t="s">
        <v>6750</v>
      </c>
      <c r="G128" s="14">
        <v>64520</v>
      </c>
      <c r="H128" s="14">
        <v>71136</v>
      </c>
      <c r="I128" s="14">
        <v>24</v>
      </c>
      <c r="J128" s="14" t="s">
        <v>274</v>
      </c>
      <c r="K128" s="14" t="s">
        <v>6749</v>
      </c>
      <c r="L128" s="14" t="s">
        <v>6748</v>
      </c>
      <c r="M128" s="14" t="s">
        <v>9158</v>
      </c>
      <c r="N128" s="14" t="s">
        <v>9158</v>
      </c>
      <c r="O128" s="14" t="s">
        <v>9158</v>
      </c>
      <c r="P128" s="14" t="s">
        <v>9158</v>
      </c>
      <c r="Q128" s="14" t="s">
        <v>9158</v>
      </c>
    </row>
    <row r="129" spans="1:17">
      <c r="A129" s="14">
        <v>55743</v>
      </c>
      <c r="B129" s="14" t="s">
        <v>15</v>
      </c>
      <c r="C129" s="14" t="s">
        <v>96</v>
      </c>
      <c r="D129" s="19" t="s">
        <v>10590</v>
      </c>
      <c r="E129" s="15" t="str">
        <f>HYPERLINK("https://stat100.ameba.jp/tnk47/ratio20/illustrations/card/ill_55743_nankoume03.jpg?202104-5-RELEASE-marathon-526xx", "■")</f>
        <v>■</v>
      </c>
      <c r="F129" s="14" t="s">
        <v>4308</v>
      </c>
      <c r="G129" s="14">
        <v>64520</v>
      </c>
      <c r="H129" s="14">
        <v>71136</v>
      </c>
      <c r="I129" s="14">
        <v>24</v>
      </c>
      <c r="J129" s="14" t="s">
        <v>216</v>
      </c>
      <c r="K129" s="14" t="s">
        <v>4310</v>
      </c>
      <c r="L129" s="14" t="s">
        <v>4311</v>
      </c>
      <c r="M129" s="14" t="s">
        <v>9158</v>
      </c>
      <c r="N129" s="14" t="s">
        <v>9158</v>
      </c>
      <c r="O129" s="14" t="s">
        <v>9158</v>
      </c>
      <c r="P129" s="14" t="s">
        <v>9158</v>
      </c>
      <c r="Q129" s="14" t="s">
        <v>9158</v>
      </c>
    </row>
    <row r="131" spans="1:17">
      <c r="A131" s="14" t="s">
        <v>12630</v>
      </c>
    </row>
    <row r="132" spans="1:17">
      <c r="A132" s="14">
        <v>237689</v>
      </c>
      <c r="B132" s="14" t="s">
        <v>17063</v>
      </c>
    </row>
    <row r="133" spans="1:17">
      <c r="A133" s="14">
        <v>237699</v>
      </c>
      <c r="B133" s="14" t="s">
        <v>15725</v>
      </c>
    </row>
    <row r="134" spans="1:17">
      <c r="A134" s="14" t="s">
        <v>11909</v>
      </c>
    </row>
    <row r="135" spans="1:17">
      <c r="A135" s="14" t="s">
        <v>14997</v>
      </c>
      <c r="B135" s="7" t="s">
        <v>52</v>
      </c>
      <c r="C135" s="14" t="s">
        <v>202</v>
      </c>
      <c r="D135" s="18" t="s">
        <v>14996</v>
      </c>
      <c r="E135" s="15" t="str">
        <f>HYPERLINK("https://stat100.ameba.jp/tnk47/ratio20/illustrations/card/ill_92403_0_haroimmochizukichiyome03.jpg?202104-5-RELEASE-marathon-526xx", "■")</f>
        <v>■</v>
      </c>
      <c r="F135" s="14" t="s">
        <v>15003</v>
      </c>
      <c r="G135" s="14">
        <v>339272</v>
      </c>
      <c r="H135" s="14">
        <v>277564</v>
      </c>
      <c r="I135" s="7">
        <v>28</v>
      </c>
      <c r="J135" s="14" t="s">
        <v>16</v>
      </c>
      <c r="K135" s="14" t="s">
        <v>15001</v>
      </c>
      <c r="L135" s="14" t="s">
        <v>15000</v>
      </c>
      <c r="M135" s="14" t="s">
        <v>9158</v>
      </c>
      <c r="N135" s="14" t="s">
        <v>9158</v>
      </c>
      <c r="O135" s="6" t="s">
        <v>14998</v>
      </c>
      <c r="P135" s="7" t="s">
        <v>14999</v>
      </c>
      <c r="Q135" s="7">
        <v>1</v>
      </c>
    </row>
    <row r="136" spans="1:17">
      <c r="A136" s="7" t="s">
        <v>8839</v>
      </c>
      <c r="B136" s="7" t="s">
        <v>52</v>
      </c>
      <c r="C136" s="7" t="s">
        <v>202</v>
      </c>
      <c r="D136" s="20" t="s">
        <v>10880</v>
      </c>
      <c r="E136" s="15" t="str">
        <f>HYPERLINK("https://stat100.ameba.jp/tnk47/ratio20/illustrations/card/ill_86273_0_oshogatsuniijimayae03.jpg?202104-5-RELEASE-marathon-526xx", "■")</f>
        <v>■</v>
      </c>
      <c r="F136" s="7" t="s">
        <v>8838</v>
      </c>
      <c r="G136" s="7">
        <v>307296</v>
      </c>
      <c r="H136" s="7">
        <v>340008</v>
      </c>
      <c r="I136" s="7">
        <v>28</v>
      </c>
      <c r="J136" s="14" t="s">
        <v>173</v>
      </c>
      <c r="K136" s="7" t="s">
        <v>8837</v>
      </c>
      <c r="L136" s="7" t="s">
        <v>13211</v>
      </c>
      <c r="M136" s="14" t="s">
        <v>9158</v>
      </c>
      <c r="N136" s="14" t="s">
        <v>9158</v>
      </c>
      <c r="O136" s="19" t="s">
        <v>10134</v>
      </c>
      <c r="P136" s="7" t="s">
        <v>8870</v>
      </c>
      <c r="Q136" s="7">
        <v>1</v>
      </c>
    </row>
    <row r="137" spans="1:17">
      <c r="A137" s="9" t="s">
        <v>9891</v>
      </c>
      <c r="B137" s="7" t="s">
        <v>52</v>
      </c>
      <c r="C137" s="9" t="s">
        <v>202</v>
      </c>
      <c r="D137" s="6" t="s">
        <v>9978</v>
      </c>
      <c r="E137" s="15" t="str">
        <f>HYPERLINK("https://stat100.ameba.jp/tnk47/ratio20/illustrations/card/ill_87643_0_oendanotohime03.jpg?202104-5-RELEASE-marathon-526xx", "■")</f>
        <v>■</v>
      </c>
      <c r="F137" s="14" t="s">
        <v>9928</v>
      </c>
      <c r="G137" s="9">
        <v>291568</v>
      </c>
      <c r="H137" s="9">
        <v>356334</v>
      </c>
      <c r="I137" s="7">
        <v>28</v>
      </c>
      <c r="J137" s="9" t="s">
        <v>155</v>
      </c>
      <c r="K137" s="14" t="s">
        <v>9932</v>
      </c>
      <c r="L137" s="14" t="s">
        <v>9933</v>
      </c>
      <c r="M137" s="14" t="s">
        <v>9158</v>
      </c>
      <c r="N137" s="14" t="s">
        <v>9158</v>
      </c>
      <c r="O137" s="6" t="s">
        <v>9989</v>
      </c>
      <c r="P137" s="7" t="s">
        <v>9944</v>
      </c>
      <c r="Q137" s="7">
        <v>1</v>
      </c>
    </row>
    <row r="138" spans="1:17">
      <c r="A138" s="7">
        <v>78943</v>
      </c>
      <c r="B138" s="14" t="s">
        <v>334</v>
      </c>
      <c r="C138" s="14" t="s">
        <v>185</v>
      </c>
      <c r="D138" s="19" t="s">
        <v>2953</v>
      </c>
      <c r="E138" s="15" t="str">
        <f>HYPERLINK("https://stat100.ameba.jp/tnk47/ratio20/illustrations/card/ill_78943_idoshiiwaisepo03.jpg?202104-5-RELEASE-marathon-526xx", "■")</f>
        <v>■</v>
      </c>
      <c r="F138" s="14" t="s">
        <v>2954</v>
      </c>
      <c r="G138" s="14">
        <v>120830</v>
      </c>
      <c r="H138" s="14">
        <v>112369</v>
      </c>
      <c r="I138" s="14">
        <v>29</v>
      </c>
      <c r="J138" s="14" t="s">
        <v>320</v>
      </c>
      <c r="K138" s="14" t="s">
        <v>2955</v>
      </c>
      <c r="L138" s="14" t="s">
        <v>2956</v>
      </c>
      <c r="M138" s="14" t="s">
        <v>9158</v>
      </c>
      <c r="N138" s="14" t="s">
        <v>9158</v>
      </c>
      <c r="O138" s="14" t="s">
        <v>9158</v>
      </c>
      <c r="P138" s="14" t="s">
        <v>9158</v>
      </c>
      <c r="Q138" s="14" t="s">
        <v>9158</v>
      </c>
    </row>
    <row r="139" spans="1:17">
      <c r="A139" s="9">
        <v>80283</v>
      </c>
      <c r="B139" s="14" t="s">
        <v>0</v>
      </c>
      <c r="C139" s="14" t="s">
        <v>200</v>
      </c>
      <c r="D139" s="14" t="s">
        <v>3934</v>
      </c>
      <c r="E139" s="15" t="str">
        <f>HYPERLINK("https://stat100.ameba.jp/tnk47/ratio20/illustrations/card/ill_80283_howaitodehanakosan03.jpg?202104-5-RELEASE-marathon-526xx", "■")</f>
        <v>■</v>
      </c>
      <c r="F139" s="14" t="s">
        <v>3935</v>
      </c>
      <c r="G139" s="14">
        <v>120830</v>
      </c>
      <c r="H139" s="14">
        <v>112369</v>
      </c>
      <c r="I139" s="14">
        <v>29</v>
      </c>
      <c r="J139" s="14" t="s">
        <v>73</v>
      </c>
      <c r="K139" s="14" t="s">
        <v>3936</v>
      </c>
      <c r="L139" s="14" t="s">
        <v>3937</v>
      </c>
      <c r="M139" s="14" t="s">
        <v>9158</v>
      </c>
      <c r="N139" s="14" t="s">
        <v>9158</v>
      </c>
      <c r="O139" s="14" t="s">
        <v>9158</v>
      </c>
      <c r="P139" s="14" t="s">
        <v>9158</v>
      </c>
      <c r="Q139" s="14" t="s">
        <v>9158</v>
      </c>
    </row>
    <row r="140" spans="1:17">
      <c r="A140" s="9">
        <v>87153</v>
      </c>
      <c r="B140" s="9" t="s">
        <v>0</v>
      </c>
      <c r="C140" s="9" t="s">
        <v>191</v>
      </c>
      <c r="D140" s="19" t="s">
        <v>10973</v>
      </c>
      <c r="E140" s="15" t="str">
        <f>HYPERLINK("https://stat100.ameba.jp/tnk47/ratio20/illustrations/card/ill_87153_doragonteimaryanda03.jpg?202104-5-RELEASE-marathon-526xx", "■")</f>
        <v>■</v>
      </c>
      <c r="F140" s="9" t="s">
        <v>9549</v>
      </c>
      <c r="G140" s="14">
        <v>172397</v>
      </c>
      <c r="H140" s="14">
        <v>160296</v>
      </c>
      <c r="I140" s="14">
        <v>29</v>
      </c>
      <c r="J140" s="9" t="s">
        <v>194</v>
      </c>
      <c r="K140" s="9" t="s">
        <v>9548</v>
      </c>
      <c r="L140" s="9" t="s">
        <v>3459</v>
      </c>
      <c r="M140" s="14" t="s">
        <v>9158</v>
      </c>
      <c r="N140" s="14" t="s">
        <v>9158</v>
      </c>
      <c r="O140" s="14" t="s">
        <v>9158</v>
      </c>
      <c r="P140" s="14" t="s">
        <v>9158</v>
      </c>
      <c r="Q140" s="14" t="s">
        <v>9158</v>
      </c>
    </row>
    <row r="141" spans="1:17">
      <c r="A141" s="14">
        <v>75463</v>
      </c>
      <c r="B141" s="14" t="s">
        <v>334</v>
      </c>
      <c r="C141" s="14" t="s">
        <v>308</v>
      </c>
      <c r="D141" s="19" t="s">
        <v>10249</v>
      </c>
      <c r="E141" s="15" t="str">
        <f>HYPERLINK("https://stat100.ameba.jp/tnk47/ratio20/illustrations/card/ill_75463_kiiui03.jpg?202104-5-RELEASE-marathon-526xx", "■")</f>
        <v>■</v>
      </c>
      <c r="F141" s="14" t="s">
        <v>4420</v>
      </c>
      <c r="G141" s="14">
        <v>132112</v>
      </c>
      <c r="H141" s="14">
        <v>122834</v>
      </c>
      <c r="I141" s="14">
        <v>29</v>
      </c>
      <c r="J141" s="14" t="s">
        <v>26</v>
      </c>
      <c r="K141" s="14" t="s">
        <v>4421</v>
      </c>
      <c r="L141" s="14" t="s">
        <v>1086</v>
      </c>
      <c r="M141" s="14" t="s">
        <v>9158</v>
      </c>
      <c r="N141" s="14" t="s">
        <v>9158</v>
      </c>
      <c r="O141" s="14" t="s">
        <v>9158</v>
      </c>
      <c r="P141" s="14" t="s">
        <v>9158</v>
      </c>
      <c r="Q141" s="14" t="s">
        <v>9158</v>
      </c>
    </row>
    <row r="142" spans="1:17">
      <c r="A142" s="14">
        <v>84403</v>
      </c>
      <c r="B142" s="14" t="s">
        <v>0</v>
      </c>
      <c r="C142" s="14" t="s">
        <v>205</v>
      </c>
      <c r="D142" s="19" t="s">
        <v>10682</v>
      </c>
      <c r="E142" s="15" t="str">
        <f>HYPERLINK("https://stat100.ameba.jp/tnk47/ratio20/illustrations/card/ill_84403_dokushonokisetsuheikegani03.jpg?202104-5-RELEASE-marathon-526xx", "■")</f>
        <v>■</v>
      </c>
      <c r="F142" s="14" t="s">
        <v>7329</v>
      </c>
      <c r="G142" s="14">
        <v>120830</v>
      </c>
      <c r="H142" s="14">
        <v>112369</v>
      </c>
      <c r="I142" s="14">
        <v>29</v>
      </c>
      <c r="J142" s="14" t="s">
        <v>73</v>
      </c>
      <c r="K142" s="14" t="s">
        <v>7328</v>
      </c>
      <c r="L142" s="14" t="s">
        <v>7327</v>
      </c>
      <c r="M142" s="14" t="s">
        <v>9158</v>
      </c>
      <c r="N142" s="14" t="s">
        <v>9158</v>
      </c>
      <c r="O142" s="14" t="s">
        <v>9158</v>
      </c>
      <c r="P142" s="14" t="s">
        <v>9158</v>
      </c>
      <c r="Q142" s="14" t="s">
        <v>9158</v>
      </c>
    </row>
    <row r="143" spans="1:17">
      <c r="A143" s="9">
        <v>77433</v>
      </c>
      <c r="B143" s="14" t="s">
        <v>334</v>
      </c>
      <c r="C143" s="14" t="s">
        <v>344</v>
      </c>
      <c r="D143" s="14" t="s">
        <v>1723</v>
      </c>
      <c r="E143" s="15" t="str">
        <f>HYPERLINK("https://stat100.ameba.jp/tnk47/ratio20/illustrations/card/ill_77433_yamagaruakinomurabotoni03.jpg?202104-5-RELEASE-marathon-526xx", "■")</f>
        <v>■</v>
      </c>
      <c r="F143" s="14" t="s">
        <v>1724</v>
      </c>
      <c r="G143" s="14">
        <v>117591</v>
      </c>
      <c r="H143" s="14">
        <v>109381</v>
      </c>
      <c r="I143" s="14">
        <v>29</v>
      </c>
      <c r="J143" s="14" t="s">
        <v>414</v>
      </c>
      <c r="K143" s="14" t="s">
        <v>1665</v>
      </c>
      <c r="L143" s="14" t="s">
        <v>855</v>
      </c>
      <c r="M143" s="14" t="s">
        <v>9158</v>
      </c>
      <c r="N143" s="14" t="s">
        <v>9158</v>
      </c>
      <c r="O143" s="14" t="s">
        <v>9158</v>
      </c>
      <c r="P143" s="14" t="s">
        <v>9158</v>
      </c>
      <c r="Q143" s="14" t="s">
        <v>9158</v>
      </c>
    </row>
    <row r="144" spans="1:17">
      <c r="D144" s="19"/>
      <c r="E144" s="15"/>
    </row>
    <row r="145" spans="1:18">
      <c r="A145" s="14" t="s">
        <v>13327</v>
      </c>
    </row>
    <row r="146" spans="1:18">
      <c r="A146" s="14">
        <v>107908</v>
      </c>
      <c r="B146" s="14" t="s">
        <v>12104</v>
      </c>
    </row>
    <row r="147" spans="1:18">
      <c r="A147" s="14">
        <v>92173</v>
      </c>
      <c r="B147" s="14" t="s">
        <v>0</v>
      </c>
      <c r="C147" s="14" t="s">
        <v>335</v>
      </c>
      <c r="D147" s="14" t="s">
        <v>14616</v>
      </c>
      <c r="E147" s="15" t="str">
        <f>HYPERLINK("https://stat100.ameba.jp/tnk47/ratio20/illustrations/card/ill_92173_atorasu03.jpg?202104-5-RELEASE-marathon-526xx", "■")</f>
        <v>■</v>
      </c>
      <c r="F147" s="14" t="s">
        <v>14617</v>
      </c>
      <c r="G147" s="14">
        <v>142768</v>
      </c>
      <c r="H147" s="14">
        <v>132737</v>
      </c>
      <c r="I147" s="14">
        <v>29</v>
      </c>
      <c r="J147" s="14" t="s">
        <v>77</v>
      </c>
      <c r="K147" s="14" t="s">
        <v>14619</v>
      </c>
      <c r="L147" s="14" t="s">
        <v>14618</v>
      </c>
      <c r="M147" s="14" t="s">
        <v>2138</v>
      </c>
      <c r="N147" s="14" t="s">
        <v>2139</v>
      </c>
      <c r="O147" s="14" t="s">
        <v>9158</v>
      </c>
      <c r="P147" s="14" t="s">
        <v>9158</v>
      </c>
      <c r="Q147" s="14" t="s">
        <v>9158</v>
      </c>
      <c r="R147" s="14" t="s">
        <v>14748</v>
      </c>
    </row>
    <row r="148" spans="1:18">
      <c r="A148" s="14">
        <v>92172</v>
      </c>
      <c r="B148" s="14" t="s">
        <v>0</v>
      </c>
      <c r="C148" s="14" t="s">
        <v>335</v>
      </c>
      <c r="D148" s="14" t="s">
        <v>14616</v>
      </c>
      <c r="E148" s="15" t="str">
        <f>HYPERLINK("https://stat100.ameba.jp/tnk47/ratio20/illustrations/card/ill_92172_atorasu02.jpg?202104-5-RELEASE-marathon-526xx", "■")</f>
        <v>■</v>
      </c>
      <c r="F148" s="14" t="s">
        <v>14617</v>
      </c>
      <c r="G148" s="14">
        <v>119345</v>
      </c>
      <c r="H148" s="14">
        <v>109938</v>
      </c>
      <c r="I148" s="14">
        <v>29</v>
      </c>
      <c r="J148" s="14" t="s">
        <v>77</v>
      </c>
      <c r="K148" s="14" t="s">
        <v>14619</v>
      </c>
      <c r="L148" s="14" t="s">
        <v>14618</v>
      </c>
      <c r="M148" s="14" t="s">
        <v>13270</v>
      </c>
      <c r="N148" s="14" t="s">
        <v>13271</v>
      </c>
      <c r="O148" s="14" t="s">
        <v>9158</v>
      </c>
      <c r="P148" s="14" t="s">
        <v>9158</v>
      </c>
      <c r="Q148" s="14" t="s">
        <v>9158</v>
      </c>
      <c r="R148" s="14" t="s">
        <v>14748</v>
      </c>
    </row>
    <row r="149" spans="1:18">
      <c r="A149" s="14">
        <v>92171</v>
      </c>
      <c r="B149" s="14" t="s">
        <v>0</v>
      </c>
      <c r="C149" s="14" t="s">
        <v>335</v>
      </c>
      <c r="D149" s="14" t="s">
        <v>14616</v>
      </c>
      <c r="E149" s="15" t="str">
        <f>HYPERLINK("https://stat100.ameba.jp/tnk47/ratio20/illustrations/card/ill_92171_atorasu01.jpg?202104-5-RELEASE-marathon-526xx", "■")</f>
        <v>■</v>
      </c>
      <c r="F149" s="14" t="s">
        <v>14617</v>
      </c>
      <c r="G149" s="14">
        <v>91118</v>
      </c>
      <c r="H149" s="14">
        <v>84825</v>
      </c>
      <c r="I149" s="14">
        <v>29</v>
      </c>
      <c r="J149" s="14" t="s">
        <v>77</v>
      </c>
      <c r="K149" s="14" t="s">
        <v>14619</v>
      </c>
      <c r="L149" s="14" t="s">
        <v>14618</v>
      </c>
      <c r="M149" s="14" t="s">
        <v>13270</v>
      </c>
      <c r="N149" s="14" t="s">
        <v>13271</v>
      </c>
      <c r="O149" s="14" t="s">
        <v>9158</v>
      </c>
      <c r="P149" s="14" t="s">
        <v>9158</v>
      </c>
      <c r="Q149" s="14" t="s">
        <v>9158</v>
      </c>
      <c r="R149" s="14" t="s">
        <v>14748</v>
      </c>
    </row>
    <row r="150" spans="1:18">
      <c r="A150" s="14">
        <v>92183</v>
      </c>
      <c r="B150" s="14" t="s">
        <v>0</v>
      </c>
      <c r="C150" s="14" t="s">
        <v>200</v>
      </c>
      <c r="D150" s="14" t="s">
        <v>14624</v>
      </c>
      <c r="E150" s="15" t="str">
        <f>HYPERLINK("https://stat100.ameba.jp/tnk47/ratio20/illustrations/card/ill_92183_shokorafue03.jpg?202104-5-RELEASE-marathon-526xx", "■")</f>
        <v>■</v>
      </c>
      <c r="F150" s="14" t="s">
        <v>14623</v>
      </c>
      <c r="G150" s="14">
        <v>142768</v>
      </c>
      <c r="H150" s="14">
        <v>132737</v>
      </c>
      <c r="I150" s="14">
        <v>29</v>
      </c>
      <c r="J150" s="14" t="s">
        <v>104</v>
      </c>
      <c r="K150" s="14" t="s">
        <v>14621</v>
      </c>
      <c r="L150" s="14" t="s">
        <v>14620</v>
      </c>
      <c r="M150" s="14" t="s">
        <v>2138</v>
      </c>
      <c r="N150" s="14" t="s">
        <v>2139</v>
      </c>
      <c r="O150" s="14" t="s">
        <v>9158</v>
      </c>
      <c r="P150" s="14" t="s">
        <v>9158</v>
      </c>
      <c r="Q150" s="14" t="s">
        <v>9158</v>
      </c>
      <c r="R150" s="14" t="s">
        <v>14748</v>
      </c>
    </row>
    <row r="151" spans="1:18">
      <c r="A151" s="14">
        <v>92193</v>
      </c>
      <c r="B151" s="14" t="s">
        <v>0</v>
      </c>
      <c r="C151" s="14" t="s">
        <v>307</v>
      </c>
      <c r="D151" s="14" t="s">
        <v>14629</v>
      </c>
      <c r="E151" s="15" t="str">
        <f>HYPERLINK("https://stat100.ameba.jp/tnk47/ratio20/illustrations/card/ill_92193_kerubu03.jpg?202104-5-RELEASE-marathon-526xx", "■")</f>
        <v>■</v>
      </c>
      <c r="F151" s="14" t="s">
        <v>14628</v>
      </c>
      <c r="G151" s="14">
        <v>142768</v>
      </c>
      <c r="H151" s="14">
        <v>132737</v>
      </c>
      <c r="I151" s="14">
        <v>29</v>
      </c>
      <c r="J151" s="14" t="s">
        <v>44</v>
      </c>
      <c r="K151" s="14" t="s">
        <v>14626</v>
      </c>
      <c r="L151" s="14" t="s">
        <v>14625</v>
      </c>
      <c r="M151" s="14" t="s">
        <v>2138</v>
      </c>
      <c r="N151" s="14" t="s">
        <v>2139</v>
      </c>
      <c r="O151" s="14" t="s">
        <v>9158</v>
      </c>
      <c r="P151" s="14" t="s">
        <v>9158</v>
      </c>
      <c r="Q151" s="14" t="s">
        <v>9158</v>
      </c>
      <c r="R151" s="14" t="s">
        <v>14748</v>
      </c>
    </row>
    <row r="152" spans="1:18">
      <c r="A152" s="14">
        <v>92203</v>
      </c>
      <c r="B152" s="14" t="s">
        <v>0</v>
      </c>
      <c r="C152" s="14" t="s">
        <v>165</v>
      </c>
      <c r="D152" s="14" t="s">
        <v>14634</v>
      </c>
      <c r="E152" s="15" t="str">
        <f>HYPERLINK("https://stat100.ameba.jp/tnk47/ratio20/illustrations/card/ill_92203_tarazetotoreda03.jpg?202104-5-RELEASE-marathon-526xx", "■")</f>
        <v>■</v>
      </c>
      <c r="F152" s="14" t="s">
        <v>14633</v>
      </c>
      <c r="G152" s="14">
        <v>132737</v>
      </c>
      <c r="H152" s="14">
        <v>142768</v>
      </c>
      <c r="I152" s="14">
        <v>29</v>
      </c>
      <c r="J152" s="14" t="s">
        <v>73</v>
      </c>
      <c r="K152" s="14" t="s">
        <v>14631</v>
      </c>
      <c r="L152" s="14" t="s">
        <v>14630</v>
      </c>
      <c r="M152" s="14" t="s">
        <v>2138</v>
      </c>
      <c r="N152" s="14" t="s">
        <v>2139</v>
      </c>
      <c r="O152" s="14" t="s">
        <v>9158</v>
      </c>
      <c r="P152" s="14" t="s">
        <v>9158</v>
      </c>
      <c r="Q152" s="14" t="s">
        <v>9158</v>
      </c>
      <c r="R152" s="14" t="s">
        <v>14748</v>
      </c>
    </row>
    <row r="153" spans="1:18">
      <c r="A153" s="14">
        <v>92213</v>
      </c>
      <c r="B153" s="14" t="s">
        <v>0</v>
      </c>
      <c r="C153" s="9" t="s">
        <v>205</v>
      </c>
      <c r="D153" s="14" t="s">
        <v>14639</v>
      </c>
      <c r="E153" s="15" t="str">
        <f>HYPERLINK("https://stat100.ameba.jp/tnk47/ratio20/illustrations/card/ill_92213_pushikopompoi03.jpg?202104-5-RELEASE-marathon-526xx", "■")</f>
        <v>■</v>
      </c>
      <c r="F153" s="14" t="s">
        <v>14638</v>
      </c>
      <c r="G153" s="14">
        <v>132737</v>
      </c>
      <c r="H153" s="14">
        <v>142768</v>
      </c>
      <c r="I153" s="14">
        <v>29</v>
      </c>
      <c r="J153" s="14" t="s">
        <v>38</v>
      </c>
      <c r="K153" s="14" t="s">
        <v>14636</v>
      </c>
      <c r="L153" s="14" t="s">
        <v>14635</v>
      </c>
      <c r="M153" s="14" t="s">
        <v>2138</v>
      </c>
      <c r="N153" s="14" t="s">
        <v>2139</v>
      </c>
      <c r="O153" s="14" t="s">
        <v>9158</v>
      </c>
      <c r="P153" s="14" t="s">
        <v>9158</v>
      </c>
      <c r="Q153" s="14" t="s">
        <v>9158</v>
      </c>
      <c r="R153" s="14" t="s">
        <v>14748</v>
      </c>
    </row>
    <row r="154" spans="1:18">
      <c r="A154" s="14">
        <v>92223</v>
      </c>
      <c r="B154" s="14" t="s">
        <v>0</v>
      </c>
      <c r="C154" s="14" t="s">
        <v>206</v>
      </c>
      <c r="D154" s="14" t="s">
        <v>14644</v>
      </c>
      <c r="E154" s="15" t="str">
        <f>HYPERLINK("https://stat100.ameba.jp/tnk47/ratio20/illustrations/card/ill_92223_sanfuraua03.jpg?202104-5-RELEASE-marathon-526xx", "■")</f>
        <v>■</v>
      </c>
      <c r="F154" s="14" t="s">
        <v>14643</v>
      </c>
      <c r="G154" s="14">
        <v>132737</v>
      </c>
      <c r="H154" s="14">
        <v>142768</v>
      </c>
      <c r="I154" s="14">
        <v>29</v>
      </c>
      <c r="J154" s="14" t="s">
        <v>26</v>
      </c>
      <c r="K154" s="14" t="s">
        <v>14641</v>
      </c>
      <c r="L154" s="14" t="s">
        <v>14640</v>
      </c>
      <c r="M154" s="14" t="s">
        <v>2138</v>
      </c>
      <c r="N154" s="14" t="s">
        <v>2139</v>
      </c>
      <c r="O154" s="14" t="s">
        <v>9158</v>
      </c>
      <c r="P154" s="14" t="s">
        <v>9158</v>
      </c>
      <c r="Q154" s="14" t="s">
        <v>9158</v>
      </c>
      <c r="R154" s="14" t="s">
        <v>14748</v>
      </c>
    </row>
    <row r="156" spans="1:18">
      <c r="A156" s="14" t="s">
        <v>17483</v>
      </c>
    </row>
    <row r="157" spans="1:18">
      <c r="A157" s="14">
        <v>237706</v>
      </c>
      <c r="B157" s="14" t="s">
        <v>4266</v>
      </c>
    </row>
    <row r="158" spans="1:18">
      <c r="A158" s="14">
        <v>237712</v>
      </c>
      <c r="B158" s="14" t="s">
        <v>11485</v>
      </c>
    </row>
    <row r="159" spans="1:18">
      <c r="A159" s="14" t="s">
        <v>16989</v>
      </c>
      <c r="B159" s="7" t="s">
        <v>52</v>
      </c>
      <c r="C159" s="14" t="s">
        <v>202</v>
      </c>
      <c r="D159" s="18" t="s">
        <v>16988</v>
      </c>
      <c r="E159" s="15" t="str">
        <f>HYPERLINK("https://stat100.ameba.jp/tnk47/ratio20/illustrations/card/ill_97013_0_kanokaishiranui03.jpg?202104-5-RELEASE-marathon-526xx", "■")</f>
        <v>■</v>
      </c>
      <c r="F159" s="14" t="s">
        <v>16987</v>
      </c>
      <c r="G159" s="14">
        <v>306220</v>
      </c>
      <c r="H159" s="14">
        <v>276738</v>
      </c>
      <c r="I159" s="7">
        <v>29</v>
      </c>
      <c r="J159" s="14" t="s">
        <v>73</v>
      </c>
      <c r="K159" s="14" t="s">
        <v>16986</v>
      </c>
      <c r="L159" s="14" t="s">
        <v>16985</v>
      </c>
      <c r="M159" s="14" t="s">
        <v>9158</v>
      </c>
      <c r="N159" s="14" t="s">
        <v>9158</v>
      </c>
      <c r="O159" s="7" t="s">
        <v>16990</v>
      </c>
      <c r="P159" s="7" t="s">
        <v>16991</v>
      </c>
      <c r="Q159" s="7">
        <v>1</v>
      </c>
    </row>
    <row r="160" spans="1:18">
      <c r="A160" s="14">
        <v>97173</v>
      </c>
      <c r="B160" s="14" t="s">
        <v>0</v>
      </c>
      <c r="C160" s="14" t="s">
        <v>107</v>
      </c>
      <c r="D160" s="14" t="s">
        <v>17487</v>
      </c>
      <c r="E160" s="15" t="str">
        <f>HYPERLINK("https://stat100.ameba.jp/tnk47/ratio20/illustrations/card/ill_97173_girishiashinwafuobosu03.jpg?202104-5-RELEASE-marathon-526xx", "■")</f>
        <v>■</v>
      </c>
      <c r="F160" s="14" t="s">
        <v>17486</v>
      </c>
      <c r="G160" s="14">
        <v>122834</v>
      </c>
      <c r="H160" s="14">
        <v>132112</v>
      </c>
      <c r="I160" s="7">
        <v>29</v>
      </c>
      <c r="J160" s="14" t="s">
        <v>38</v>
      </c>
      <c r="K160" s="14" t="s">
        <v>17485</v>
      </c>
      <c r="L160" s="14" t="s">
        <v>4320</v>
      </c>
      <c r="M160" s="14" t="s">
        <v>9158</v>
      </c>
      <c r="N160" s="14" t="s">
        <v>9158</v>
      </c>
      <c r="O160" s="14" t="s">
        <v>9158</v>
      </c>
      <c r="P160" s="14" t="s">
        <v>9158</v>
      </c>
      <c r="Q160" s="14" t="s">
        <v>9158</v>
      </c>
    </row>
    <row r="161" spans="1:19">
      <c r="A161" s="14">
        <v>97183</v>
      </c>
      <c r="B161" s="14" t="s">
        <v>0</v>
      </c>
      <c r="C161" s="14" t="s">
        <v>1</v>
      </c>
      <c r="D161" s="14" t="s">
        <v>17489</v>
      </c>
      <c r="E161" s="15" t="str">
        <f>HYPERLINK("https://stat100.ameba.jp/tnk47/ratio20/illustrations/card/ill_97183_kaitokiuifurutsuchan03.jpg?202104-5-RELEASE-marathon-526xx", "■")</f>
        <v>■</v>
      </c>
      <c r="F161" s="14" t="s">
        <v>17488</v>
      </c>
      <c r="G161" s="14">
        <v>172397</v>
      </c>
      <c r="H161" s="14">
        <v>160296</v>
      </c>
      <c r="I161" s="7">
        <v>29</v>
      </c>
      <c r="J161" s="14" t="s">
        <v>104</v>
      </c>
      <c r="K161" s="14" t="s">
        <v>5700</v>
      </c>
      <c r="L161" s="14" t="s">
        <v>4443</v>
      </c>
      <c r="M161" s="14" t="s">
        <v>9158</v>
      </c>
      <c r="N161" s="14" t="s">
        <v>9158</v>
      </c>
      <c r="O161" s="14" t="s">
        <v>9158</v>
      </c>
      <c r="P161" s="14" t="s">
        <v>9158</v>
      </c>
      <c r="Q161" s="14" t="s">
        <v>9158</v>
      </c>
    </row>
    <row r="162" spans="1:19">
      <c r="A162" s="14">
        <v>97193</v>
      </c>
      <c r="B162" s="14" t="s">
        <v>15</v>
      </c>
      <c r="C162" s="14" t="s">
        <v>23</v>
      </c>
      <c r="D162" s="14" t="s">
        <v>17492</v>
      </c>
      <c r="E162" s="15" t="str">
        <f>HYPERLINK("https://stat100.ameba.jp/tnk47/ratio20/illustrations/card/ill_97193_kyupiddotagorihime03.jpg?202104-5-RELEASE-marathon-526xx", "■")</f>
        <v>■</v>
      </c>
      <c r="F162" s="14" t="s">
        <v>17491</v>
      </c>
      <c r="G162" s="14">
        <v>77962</v>
      </c>
      <c r="H162" s="14">
        <v>85956</v>
      </c>
      <c r="I162" s="7">
        <v>29</v>
      </c>
      <c r="J162" s="14" t="s">
        <v>44</v>
      </c>
      <c r="K162" s="14" t="s">
        <v>17490</v>
      </c>
      <c r="L162" s="14" t="s">
        <v>3319</v>
      </c>
      <c r="M162" s="14" t="s">
        <v>9158</v>
      </c>
      <c r="N162" s="14" t="s">
        <v>9158</v>
      </c>
      <c r="O162" s="14" t="s">
        <v>9158</v>
      </c>
      <c r="P162" s="14" t="s">
        <v>9158</v>
      </c>
      <c r="Q162" s="14" t="s">
        <v>9158</v>
      </c>
    </row>
    <row r="163" spans="1:19">
      <c r="A163" s="14">
        <v>97203</v>
      </c>
      <c r="B163" s="14" t="s">
        <v>22</v>
      </c>
      <c r="C163" s="14" t="s">
        <v>14</v>
      </c>
      <c r="D163" s="14" t="s">
        <v>17495</v>
      </c>
      <c r="E163" s="15" t="str">
        <f>HYPERLINK("https://stat100.ameba.jp/tnk47/ratio20/illustrations/card/ill_97203_amejisutochan03.jpg?202104-5-RELEASE-marathon-526xx", "■")</f>
        <v>■</v>
      </c>
      <c r="F163" s="14" t="s">
        <v>17494</v>
      </c>
      <c r="G163" s="14">
        <v>60296</v>
      </c>
      <c r="H163" s="14">
        <v>50134</v>
      </c>
      <c r="I163" s="7">
        <v>29</v>
      </c>
      <c r="J163" s="14" t="s">
        <v>26</v>
      </c>
      <c r="K163" s="14" t="s">
        <v>17493</v>
      </c>
      <c r="L163" s="14" t="s">
        <v>2635</v>
      </c>
      <c r="M163" s="14" t="s">
        <v>9158</v>
      </c>
      <c r="N163" s="14" t="s">
        <v>9158</v>
      </c>
      <c r="O163" s="14" t="s">
        <v>9158</v>
      </c>
      <c r="P163" s="14" t="s">
        <v>9158</v>
      </c>
      <c r="Q163" s="14" t="s">
        <v>9158</v>
      </c>
    </row>
    <row r="164" spans="1:19">
      <c r="A164" s="14">
        <v>97213</v>
      </c>
      <c r="B164" s="14" t="s">
        <v>22</v>
      </c>
      <c r="C164" s="14" t="s">
        <v>101</v>
      </c>
      <c r="D164" s="14" t="s">
        <v>17498</v>
      </c>
      <c r="E164" s="15" t="str">
        <f>HYPERLINK("https://stat100.ameba.jp/tnk47/ratio20/illustrations/card/ill_97213_tenshikuramitsuha03.jpg?202104-5-RELEASE-marathon-526xx", "■")</f>
        <v>■</v>
      </c>
      <c r="F164" s="14" t="s">
        <v>17497</v>
      </c>
      <c r="G164" s="14">
        <v>50134</v>
      </c>
      <c r="H164" s="14">
        <v>60296</v>
      </c>
      <c r="I164" s="7">
        <v>29</v>
      </c>
      <c r="J164" s="14" t="s">
        <v>44</v>
      </c>
      <c r="K164" s="14" t="s">
        <v>17496</v>
      </c>
      <c r="L164" s="14" t="s">
        <v>3780</v>
      </c>
      <c r="M164" s="14" t="s">
        <v>9158</v>
      </c>
      <c r="N164" s="14" t="s">
        <v>9158</v>
      </c>
      <c r="O164" s="14" t="s">
        <v>9158</v>
      </c>
      <c r="P164" s="14" t="s">
        <v>9158</v>
      </c>
      <c r="Q164" s="14" t="s">
        <v>9158</v>
      </c>
    </row>
    <row r="166" spans="1:19">
      <c r="A166" s="14" t="s">
        <v>4012</v>
      </c>
    </row>
    <row r="167" spans="1:19">
      <c r="A167" s="14">
        <v>237769</v>
      </c>
      <c r="B167" s="14" t="s">
        <v>17484</v>
      </c>
    </row>
    <row r="168" spans="1:19">
      <c r="A168" s="14" t="s">
        <v>5734</v>
      </c>
      <c r="B168" s="14" t="s">
        <v>330</v>
      </c>
      <c r="C168" s="14" t="s">
        <v>202</v>
      </c>
      <c r="D168" s="20" t="s">
        <v>1497</v>
      </c>
      <c r="E168" s="15" t="str">
        <f>HYPERLINK("https://stat100.ameba.jp/tnk47/ratio20/illustrations/card/ill_74593_0_natsuyuenchikoshihikari03.jpg?202104-5-RELEASE-marathon-526xx", "■")</f>
        <v>■</v>
      </c>
      <c r="F168" s="14" t="s">
        <v>1498</v>
      </c>
      <c r="G168" s="14">
        <v>281662</v>
      </c>
      <c r="H168" s="14">
        <v>261852</v>
      </c>
      <c r="I168" s="14">
        <v>26</v>
      </c>
      <c r="J168" s="14" t="s">
        <v>283</v>
      </c>
      <c r="K168" s="14" t="s">
        <v>1499</v>
      </c>
      <c r="L168" s="14" t="s">
        <v>1500</v>
      </c>
      <c r="M168" s="14" t="s">
        <v>9158</v>
      </c>
      <c r="N168" s="14" t="s">
        <v>9158</v>
      </c>
      <c r="O168" s="19" t="s">
        <v>2731</v>
      </c>
      <c r="P168" s="14" t="s">
        <v>2732</v>
      </c>
      <c r="Q168" s="14">
        <v>1</v>
      </c>
    </row>
    <row r="169" spans="1:19">
      <c r="A169" s="14" t="s">
        <v>5804</v>
      </c>
      <c r="B169" s="14" t="s">
        <v>52</v>
      </c>
      <c r="C169" s="14" t="s">
        <v>14</v>
      </c>
      <c r="D169" s="19" t="s">
        <v>3195</v>
      </c>
      <c r="E169" s="15" t="str">
        <f>HYPERLINK("https://stat100.ameba.jp/tnk47/ratio20/illustrations/card/ill_75393_0_resukuinotsukisamaniittausagi03.jpg?202104-5-RELEASE-marathon-526xx", "■")</f>
        <v>■</v>
      </c>
      <c r="F169" s="14" t="s">
        <v>3248</v>
      </c>
      <c r="G169" s="14">
        <v>296150</v>
      </c>
      <c r="H169" s="14">
        <v>275342</v>
      </c>
      <c r="I169" s="14">
        <v>26</v>
      </c>
      <c r="J169" s="14" t="s">
        <v>26</v>
      </c>
      <c r="K169" s="14" t="s">
        <v>3249</v>
      </c>
      <c r="L169" s="14" t="s">
        <v>3250</v>
      </c>
      <c r="M169" s="14" t="s">
        <v>9158</v>
      </c>
      <c r="N169" s="14" t="s">
        <v>9158</v>
      </c>
      <c r="O169" s="19" t="s">
        <v>10101</v>
      </c>
      <c r="P169" s="14" t="s">
        <v>3251</v>
      </c>
      <c r="Q169" s="14">
        <v>2</v>
      </c>
    </row>
    <row r="170" spans="1:19">
      <c r="A170" s="14" t="s">
        <v>5830</v>
      </c>
      <c r="B170" s="14" t="s">
        <v>330</v>
      </c>
      <c r="C170" s="14" t="s">
        <v>191</v>
      </c>
      <c r="D170" s="19" t="s">
        <v>793</v>
      </c>
      <c r="E170" s="15" t="str">
        <f>HYPERLINK("https://stat100.ameba.jp/tnk47/ratio20/illustrations/card/ill_39933_0_reihiiinaotora03.jpg?202104-5-RELEASE-marathon-526xx", "■")</f>
        <v>■</v>
      </c>
      <c r="F170" s="14" t="s">
        <v>794</v>
      </c>
      <c r="G170" s="14">
        <v>142500</v>
      </c>
      <c r="H170" s="14">
        <v>152152</v>
      </c>
      <c r="I170" s="14">
        <v>26</v>
      </c>
      <c r="J170" s="14" t="s">
        <v>315</v>
      </c>
      <c r="K170" s="14" t="s">
        <v>795</v>
      </c>
      <c r="L170" s="14" t="s">
        <v>796</v>
      </c>
      <c r="M170" s="14" t="s">
        <v>9158</v>
      </c>
      <c r="N170" s="14" t="s">
        <v>9158</v>
      </c>
      <c r="O170" s="14" t="s">
        <v>9158</v>
      </c>
      <c r="P170" s="14" t="s">
        <v>9158</v>
      </c>
      <c r="Q170" s="14" t="s">
        <v>9158</v>
      </c>
    </row>
    <row r="171" spans="1:19">
      <c r="A171" s="14">
        <v>92253</v>
      </c>
      <c r="B171" s="9" t="s">
        <v>0</v>
      </c>
      <c r="C171" s="14" t="s">
        <v>35</v>
      </c>
      <c r="D171" s="14" t="s">
        <v>17502</v>
      </c>
      <c r="E171" s="15" t="str">
        <f>HYPERLINK("https://stat100.ameba.jp/tnk47/ratio20/illustrations/card/ill_92253_kaitokaranochosenjoiganinja03.jpg?202104-5-RELEASE-marathon-526xx", "■")</f>
        <v>■</v>
      </c>
      <c r="F171" s="14" t="s">
        <v>17501</v>
      </c>
      <c r="G171" s="14">
        <v>114488</v>
      </c>
      <c r="H171" s="14">
        <v>123062</v>
      </c>
      <c r="I171" s="14">
        <v>29</v>
      </c>
      <c r="J171" s="14" t="s">
        <v>16</v>
      </c>
      <c r="K171" s="14" t="s">
        <v>17500</v>
      </c>
      <c r="L171" s="14" t="s">
        <v>17499</v>
      </c>
      <c r="M171" s="14" t="s">
        <v>9158</v>
      </c>
      <c r="N171" s="14" t="s">
        <v>9158</v>
      </c>
      <c r="O171" s="14" t="s">
        <v>9158</v>
      </c>
      <c r="P171" s="14" t="s">
        <v>9158</v>
      </c>
      <c r="Q171" s="14" t="s">
        <v>9158</v>
      </c>
      <c r="S171" s="14" t="s">
        <v>17510</v>
      </c>
    </row>
    <row r="172" spans="1:19">
      <c r="A172" s="14">
        <v>91193</v>
      </c>
      <c r="B172" s="9" t="s">
        <v>0</v>
      </c>
      <c r="C172" s="14" t="s">
        <v>47</v>
      </c>
      <c r="D172" s="14" t="s">
        <v>17505</v>
      </c>
      <c r="E172" s="15" t="str">
        <f>HYPERLINK("https://stat100.ameba.jp/tnk47/ratio20/illustrations/card/ill_91193_danzainomaria03.jpg?202104-5-RELEASE-marathon-526xx", "■")</f>
        <v>■</v>
      </c>
      <c r="F172" s="14" t="s">
        <v>17504</v>
      </c>
      <c r="G172" s="14">
        <v>109381</v>
      </c>
      <c r="H172" s="14">
        <v>117591</v>
      </c>
      <c r="I172" s="14">
        <v>29</v>
      </c>
      <c r="J172" s="14" t="s">
        <v>16</v>
      </c>
      <c r="K172" s="14" t="s">
        <v>17503</v>
      </c>
      <c r="L172" s="14" t="s">
        <v>16893</v>
      </c>
      <c r="M172" s="14" t="s">
        <v>9158</v>
      </c>
      <c r="N172" s="14" t="s">
        <v>9158</v>
      </c>
      <c r="O172" s="14" t="s">
        <v>9158</v>
      </c>
      <c r="P172" s="14" t="s">
        <v>9158</v>
      </c>
      <c r="Q172" s="14" t="s">
        <v>9158</v>
      </c>
      <c r="S172" s="14" t="s">
        <v>17511</v>
      </c>
    </row>
    <row r="173" spans="1:19">
      <c r="A173" s="14">
        <v>91823</v>
      </c>
      <c r="B173" s="9" t="s">
        <v>0</v>
      </c>
      <c r="C173" s="14" t="s">
        <v>41</v>
      </c>
      <c r="D173" s="14" t="s">
        <v>17509</v>
      </c>
      <c r="E173" s="15" t="str">
        <f>HYPERLINK("https://stat100.ameba.jp/tnk47/ratio20/illustrations/card/ill_91823_mahogakkooromin03.jpg?202104-5-RELEASE-marathon-526xx", "■")</f>
        <v>■</v>
      </c>
      <c r="F173" s="14" t="s">
        <v>17508</v>
      </c>
      <c r="G173" s="14">
        <v>122834</v>
      </c>
      <c r="H173" s="14">
        <v>132112</v>
      </c>
      <c r="I173" s="14">
        <v>29</v>
      </c>
      <c r="J173" s="14" t="s">
        <v>26</v>
      </c>
      <c r="K173" s="14" t="s">
        <v>17507</v>
      </c>
      <c r="L173" s="14" t="s">
        <v>17506</v>
      </c>
      <c r="M173" s="14" t="s">
        <v>9158</v>
      </c>
      <c r="N173" s="14" t="s">
        <v>9158</v>
      </c>
      <c r="O173" s="14" t="s">
        <v>9158</v>
      </c>
      <c r="P173" s="14" t="s">
        <v>9158</v>
      </c>
      <c r="Q173" s="14" t="s">
        <v>9158</v>
      </c>
      <c r="S173" s="14" t="s">
        <v>17512</v>
      </c>
    </row>
    <row r="174" spans="1:19">
      <c r="A174" s="14">
        <v>80883</v>
      </c>
      <c r="B174" s="9" t="s">
        <v>15</v>
      </c>
      <c r="C174" s="14" t="s">
        <v>14</v>
      </c>
      <c r="D174" s="14" t="s">
        <v>4330</v>
      </c>
      <c r="E174" s="15" t="str">
        <f>HYPERLINK("https://stat100.ameba.jp/tnk47/ratio20/illustrations/card/ill_80883_isutabaniyamamurokieko03.jpg?202104-5-RELEASE-marathon-526xx", "■")</f>
        <v>■</v>
      </c>
      <c r="F174" s="14" t="s">
        <v>4331</v>
      </c>
      <c r="G174" s="14">
        <v>69898</v>
      </c>
      <c r="H174" s="14">
        <v>77064</v>
      </c>
      <c r="I174" s="14">
        <v>26</v>
      </c>
      <c r="J174" s="14" t="s">
        <v>10</v>
      </c>
      <c r="K174" s="14" t="s">
        <v>3585</v>
      </c>
      <c r="L174" s="14" t="s">
        <v>3337</v>
      </c>
      <c r="M174" s="14" t="s">
        <v>9158</v>
      </c>
      <c r="N174" s="14" t="s">
        <v>9158</v>
      </c>
      <c r="O174" s="14" t="s">
        <v>9158</v>
      </c>
      <c r="P174" s="14" t="s">
        <v>9158</v>
      </c>
      <c r="Q174" s="14" t="s">
        <v>9158</v>
      </c>
      <c r="S174" s="14" t="s">
        <v>17255</v>
      </c>
    </row>
    <row r="175" spans="1:19">
      <c r="A175" s="14">
        <v>80953</v>
      </c>
      <c r="B175" s="9" t="s">
        <v>15</v>
      </c>
      <c r="C175" s="14" t="s">
        <v>101</v>
      </c>
      <c r="D175" s="14" t="s">
        <v>4456</v>
      </c>
      <c r="E175" s="15" t="str">
        <f>HYPERLINK("https://stat100.ameba.jp/tnk47/ratio20/illustrations/card/ill_80953_akazomemon03.jpg?202104-5-RELEASE-marathon-526xx", "■")</f>
        <v>■</v>
      </c>
      <c r="F175" s="14" t="s">
        <v>4457</v>
      </c>
      <c r="G175" s="14">
        <v>69898</v>
      </c>
      <c r="H175" s="14">
        <v>77064</v>
      </c>
      <c r="I175" s="14">
        <v>26</v>
      </c>
      <c r="J175" s="14" t="s">
        <v>10</v>
      </c>
      <c r="K175" s="14" t="s">
        <v>4458</v>
      </c>
      <c r="L175" s="14" t="s">
        <v>3337</v>
      </c>
      <c r="M175" s="14" t="s">
        <v>9158</v>
      </c>
      <c r="N175" s="14" t="s">
        <v>9158</v>
      </c>
      <c r="O175" s="14" t="s">
        <v>9158</v>
      </c>
      <c r="P175" s="14" t="s">
        <v>9158</v>
      </c>
      <c r="Q175" s="14" t="s">
        <v>9158</v>
      </c>
      <c r="S175" s="14" t="s">
        <v>17254</v>
      </c>
    </row>
    <row r="176" spans="1:19">
      <c r="A176" s="14">
        <v>78683</v>
      </c>
      <c r="B176" s="9" t="s">
        <v>15</v>
      </c>
      <c r="C176" s="14" t="s">
        <v>96</v>
      </c>
      <c r="D176" s="14" t="s">
        <v>17253</v>
      </c>
      <c r="E176" s="15" t="str">
        <f>HYPERLINK("https://stat100.ameba.jp/tnk47/ratio20/illustrations/card/ill_78683_furisodetakoyakichan03.jpg?202104-5-RELEASE-marathon-526xx", "■")</f>
        <v>■</v>
      </c>
      <c r="F176" s="14" t="s">
        <v>17252</v>
      </c>
      <c r="G176" s="14">
        <v>77064</v>
      </c>
      <c r="H176" s="14">
        <v>69898</v>
      </c>
      <c r="I176" s="14">
        <v>26</v>
      </c>
      <c r="J176" s="14" t="s">
        <v>104</v>
      </c>
      <c r="K176" s="14" t="s">
        <v>17251</v>
      </c>
      <c r="L176" s="14" t="s">
        <v>3502</v>
      </c>
      <c r="M176" s="14" t="s">
        <v>9158</v>
      </c>
      <c r="N176" s="14" t="s">
        <v>9158</v>
      </c>
      <c r="O176" s="14" t="s">
        <v>9158</v>
      </c>
      <c r="P176" s="14" t="s">
        <v>9158</v>
      </c>
      <c r="Q176" s="14" t="s">
        <v>9158</v>
      </c>
      <c r="S176" s="14" t="s">
        <v>17256</v>
      </c>
    </row>
    <row r="178" spans="1:18">
      <c r="A178" s="14" t="s">
        <v>17632</v>
      </c>
    </row>
    <row r="179" spans="1:18">
      <c r="A179" s="14">
        <v>237738</v>
      </c>
      <c r="B179" s="14" t="s">
        <v>4286</v>
      </c>
    </row>
    <row r="180" spans="1:18">
      <c r="A180" s="14">
        <v>97225</v>
      </c>
      <c r="B180" s="14" t="s">
        <v>0</v>
      </c>
      <c r="C180" s="14" t="s">
        <v>202</v>
      </c>
      <c r="D180" s="18" t="s">
        <v>17636</v>
      </c>
      <c r="E180" s="15" t="str">
        <f>HYPERLINK("https://stat100.ameba.jp/tnk47/ratio20/illustrations/card/ill_97225_kokuinotenshijuteisu05.jpg?202104-5-RELEASE-marathon-526xx", "■")</f>
        <v>■</v>
      </c>
      <c r="F180" s="14" t="s">
        <v>17635</v>
      </c>
      <c r="G180" s="14">
        <v>136338</v>
      </c>
      <c r="H180" s="14">
        <v>98713</v>
      </c>
      <c r="I180" s="14">
        <v>29</v>
      </c>
      <c r="J180" s="14" t="s">
        <v>77</v>
      </c>
      <c r="K180" s="14" t="s">
        <v>17634</v>
      </c>
      <c r="L180" s="14" t="s">
        <v>12081</v>
      </c>
      <c r="M180" s="14" t="s">
        <v>9158</v>
      </c>
      <c r="N180" s="14" t="s">
        <v>9158</v>
      </c>
      <c r="O180" s="14" t="s">
        <v>9158</v>
      </c>
      <c r="P180" s="14" t="s">
        <v>9158</v>
      </c>
      <c r="Q180" s="14" t="s">
        <v>9158</v>
      </c>
      <c r="R180" s="14" t="s">
        <v>174</v>
      </c>
    </row>
    <row r="181" spans="1:18">
      <c r="A181" s="14">
        <v>97223</v>
      </c>
      <c r="B181" s="14" t="s">
        <v>15</v>
      </c>
      <c r="C181" s="14" t="s">
        <v>47</v>
      </c>
      <c r="D181" s="18" t="s">
        <v>17636</v>
      </c>
      <c r="E181" s="15" t="str">
        <f>HYPERLINK("https://stat100.ameba.jp/tnk47/ratio20/illustrations/card/ill_97223_kokuinotenshijuteisu03.jpg?202104-5-RELEASE-marathon-526xx", "■")</f>
        <v>■</v>
      </c>
      <c r="F181" s="14" t="s">
        <v>17635</v>
      </c>
      <c r="G181" s="14">
        <v>100441</v>
      </c>
      <c r="H181" s="14">
        <v>72725</v>
      </c>
      <c r="I181" s="14">
        <v>29</v>
      </c>
      <c r="J181" s="14" t="s">
        <v>77</v>
      </c>
      <c r="K181" s="14" t="s">
        <v>17634</v>
      </c>
      <c r="L181" s="14" t="s">
        <v>12347</v>
      </c>
      <c r="M181" s="14" t="s">
        <v>9158</v>
      </c>
      <c r="N181" s="14" t="s">
        <v>9158</v>
      </c>
      <c r="O181" s="14" t="s">
        <v>9158</v>
      </c>
      <c r="P181" s="14" t="s">
        <v>9158</v>
      </c>
      <c r="Q181" s="14" t="s">
        <v>9158</v>
      </c>
      <c r="R181" s="14" t="s">
        <v>175</v>
      </c>
    </row>
    <row r="182" spans="1:18">
      <c r="A182" s="14">
        <v>97221</v>
      </c>
      <c r="B182" s="14" t="s">
        <v>15</v>
      </c>
      <c r="C182" s="14" t="s">
        <v>47</v>
      </c>
      <c r="D182" s="18" t="s">
        <v>17636</v>
      </c>
      <c r="E182" s="15" t="str">
        <f>HYPERLINK("https://stat100.ameba.jp/tnk47/ratio20/illustrations/card/ill_97221_kokuinotenshijuteisu01.jpg?202104-5-RELEASE-marathon-526xx", "■")</f>
        <v>■</v>
      </c>
      <c r="F182" s="14" t="s">
        <v>17635</v>
      </c>
      <c r="G182" s="14">
        <v>63887</v>
      </c>
      <c r="H182" s="14">
        <v>46255</v>
      </c>
      <c r="I182" s="14">
        <v>29</v>
      </c>
      <c r="J182" s="14" t="s">
        <v>77</v>
      </c>
      <c r="K182" s="14" t="s">
        <v>17634</v>
      </c>
      <c r="L182" s="14" t="s">
        <v>15339</v>
      </c>
      <c r="M182" s="14" t="s">
        <v>9158</v>
      </c>
      <c r="N182" s="14" t="s">
        <v>9158</v>
      </c>
      <c r="O182" s="14" t="s">
        <v>9158</v>
      </c>
      <c r="P182" s="14" t="s">
        <v>9158</v>
      </c>
      <c r="Q182" s="14" t="s">
        <v>9158</v>
      </c>
      <c r="R182" s="14" t="s">
        <v>176</v>
      </c>
    </row>
    <row r="184" spans="1:18">
      <c r="A184" s="14" t="s">
        <v>3844</v>
      </c>
    </row>
    <row r="185" spans="1:18">
      <c r="A185" s="14">
        <v>107927</v>
      </c>
      <c r="B185" s="14" t="s">
        <v>17633</v>
      </c>
    </row>
    <row r="186" spans="1:18">
      <c r="A186" s="14" t="s">
        <v>5619</v>
      </c>
      <c r="B186" s="14" t="s">
        <v>330</v>
      </c>
      <c r="C186" s="14" t="s">
        <v>202</v>
      </c>
      <c r="D186" s="19" t="s">
        <v>10348</v>
      </c>
      <c r="E186" s="15" t="str">
        <f>HYPERLINK("https://stat100.ameba.jp/tnk47/ratio20/illustrations/card/ill_81183_0_shinryokunokisetsuamaterasu03.jpg?202104-5-RELEASE-marathon-526xx", "■")</f>
        <v>■</v>
      </c>
      <c r="F186" s="14" t="s">
        <v>4505</v>
      </c>
      <c r="G186" s="14">
        <v>283637</v>
      </c>
      <c r="H186" s="14">
        <v>313857</v>
      </c>
      <c r="I186" s="14">
        <v>27</v>
      </c>
      <c r="J186" s="14" t="s">
        <v>44</v>
      </c>
      <c r="K186" s="14" t="s">
        <v>4506</v>
      </c>
      <c r="L186" s="14" t="s">
        <v>4507</v>
      </c>
      <c r="M186" s="14" t="s">
        <v>9158</v>
      </c>
      <c r="N186" s="14" t="s">
        <v>9158</v>
      </c>
      <c r="O186" s="19" t="s">
        <v>10083</v>
      </c>
      <c r="P186" s="14" t="s">
        <v>4509</v>
      </c>
      <c r="Q186" s="14">
        <v>0</v>
      </c>
    </row>
    <row r="187" spans="1:18">
      <c r="A187" s="14">
        <v>80573</v>
      </c>
      <c r="B187" s="14" t="s">
        <v>334</v>
      </c>
      <c r="C187" s="14" t="s">
        <v>165</v>
      </c>
      <c r="D187" s="20" t="s">
        <v>10301</v>
      </c>
      <c r="E187" s="15" t="str">
        <f>HYPERLINK("https://stat100.ameba.jp/tnk47/ratio20/illustrations/card/ill_80573_ohanamigurampingusotorihime03.jpg?202104-5-RELEASE-marathon-526xx", "■")</f>
        <v>■</v>
      </c>
      <c r="F187" s="14" t="s">
        <v>4176</v>
      </c>
      <c r="G187" s="14">
        <v>123220</v>
      </c>
      <c r="H187" s="14">
        <v>114362</v>
      </c>
      <c r="I187" s="14">
        <v>27</v>
      </c>
      <c r="J187" s="14" t="s">
        <v>38</v>
      </c>
      <c r="K187" s="14" t="s">
        <v>4177</v>
      </c>
      <c r="L187" s="14" t="s">
        <v>4178</v>
      </c>
      <c r="M187" s="14" t="s">
        <v>9158</v>
      </c>
      <c r="N187" s="14" t="s">
        <v>9158</v>
      </c>
      <c r="O187" s="19" t="s">
        <v>10119</v>
      </c>
      <c r="P187" s="14" t="s">
        <v>3662</v>
      </c>
      <c r="Q187" s="14">
        <v>1</v>
      </c>
    </row>
    <row r="188" spans="1:18">
      <c r="A188" s="14">
        <v>77903</v>
      </c>
      <c r="B188" s="14" t="s">
        <v>0</v>
      </c>
      <c r="C188" s="14" t="s">
        <v>185</v>
      </c>
      <c r="D188" s="20" t="s">
        <v>10405</v>
      </c>
      <c r="E188" s="15" t="str">
        <f>HYPERLINK("https://stat100.ameba.jp/tnk47/ratio20/illustrations/card/ill_77903_kurisumasudaisakusendongurikorokoro03.jpg?202104-5-RELEASE-marathon-526xx", "■")</f>
        <v>■</v>
      </c>
      <c r="F188" s="14" t="s">
        <v>2131</v>
      </c>
      <c r="G188" s="14">
        <v>123220</v>
      </c>
      <c r="H188" s="14">
        <v>114362</v>
      </c>
      <c r="I188" s="14">
        <v>27</v>
      </c>
      <c r="J188" s="14" t="s">
        <v>38</v>
      </c>
      <c r="K188" s="14" t="s">
        <v>2132</v>
      </c>
      <c r="L188" s="14" t="s">
        <v>2133</v>
      </c>
      <c r="M188" s="14" t="s">
        <v>9158</v>
      </c>
      <c r="N188" s="14" t="s">
        <v>9158</v>
      </c>
      <c r="O188" s="19" t="s">
        <v>10090</v>
      </c>
      <c r="P188" s="14" t="s">
        <v>3460</v>
      </c>
      <c r="Q188" s="14">
        <v>1</v>
      </c>
    </row>
    <row r="189" spans="1:18">
      <c r="A189" s="9">
        <v>72923</v>
      </c>
      <c r="B189" s="14" t="s">
        <v>0</v>
      </c>
      <c r="C189" s="14" t="s">
        <v>206</v>
      </c>
      <c r="D189" s="14" t="s">
        <v>1836</v>
      </c>
      <c r="E189" s="15" t="str">
        <f>HYPERLINK("https://stat100.ameba.jp/tnk47/ratio20/illustrations/card/ill_72923_amenohanayomemyorinni03.jpg?202104-5-RELEASE-marathon-526xx", "■")</f>
        <v>■</v>
      </c>
      <c r="F189" s="14" t="s">
        <v>1837</v>
      </c>
      <c r="G189" s="14">
        <v>149240</v>
      </c>
      <c r="H189" s="14">
        <v>160507</v>
      </c>
      <c r="I189" s="14">
        <v>27</v>
      </c>
      <c r="J189" s="14" t="s">
        <v>194</v>
      </c>
      <c r="K189" s="14" t="s">
        <v>1838</v>
      </c>
      <c r="L189" s="14" t="s">
        <v>13160</v>
      </c>
      <c r="M189" s="14" t="s">
        <v>9158</v>
      </c>
      <c r="N189" s="14" t="s">
        <v>9158</v>
      </c>
      <c r="O189" s="9" t="s">
        <v>2752</v>
      </c>
      <c r="P189" s="14" t="s">
        <v>13123</v>
      </c>
      <c r="Q189" s="14">
        <v>1</v>
      </c>
    </row>
    <row r="191" spans="1:18">
      <c r="A191" s="14" t="s">
        <v>6191</v>
      </c>
    </row>
    <row r="192" spans="1:18">
      <c r="A192" s="14">
        <v>107930</v>
      </c>
      <c r="B192" s="14" t="s">
        <v>4294</v>
      </c>
    </row>
    <row r="193" spans="1:20">
      <c r="A193" s="14" t="s">
        <v>7150</v>
      </c>
      <c r="B193" s="14" t="s">
        <v>52</v>
      </c>
      <c r="C193" s="14" t="s">
        <v>202</v>
      </c>
      <c r="D193" s="20" t="s">
        <v>10656</v>
      </c>
      <c r="E193" s="15" t="str">
        <f>HYPERLINK("https://stat100.ameba.jp/tnk47/ratio20/illustrations/card/ill_84203_0_tarottofujiwaranoshoshi03.jpg?202104-5-RELEASE-marathon-526xx", "■")</f>
        <v>■</v>
      </c>
      <c r="F193" s="14" t="s">
        <v>7153</v>
      </c>
      <c r="G193" s="14">
        <v>353250</v>
      </c>
      <c r="H193" s="14">
        <v>319286</v>
      </c>
      <c r="I193" s="14">
        <v>24</v>
      </c>
      <c r="J193" s="14" t="s">
        <v>10</v>
      </c>
      <c r="K193" s="14" t="s">
        <v>7152</v>
      </c>
      <c r="L193" s="14" t="s">
        <v>7151</v>
      </c>
      <c r="M193" s="14" t="s">
        <v>9158</v>
      </c>
      <c r="N193" s="14" t="s">
        <v>9158</v>
      </c>
      <c r="O193" s="19" t="s">
        <v>10128</v>
      </c>
      <c r="P193" s="14" t="s">
        <v>7154</v>
      </c>
      <c r="Q193" s="14">
        <v>1</v>
      </c>
    </row>
    <row r="194" spans="1:20">
      <c r="A194" s="14" t="s">
        <v>5901</v>
      </c>
      <c r="B194" s="14" t="s">
        <v>52</v>
      </c>
      <c r="C194" s="14" t="s">
        <v>101</v>
      </c>
      <c r="D194" s="19" t="s">
        <v>1426</v>
      </c>
      <c r="E194" s="15" t="str">
        <f>HYPERLINK("https://stat100.ameba.jp/tnk47/ratio20/illustrations/card/ill_64953_0_yukatatokugawayoshinobu03.jpg?202104-5-RELEASE-marathon-526xx", "■")</f>
        <v>■</v>
      </c>
      <c r="F194" s="14" t="s">
        <v>2090</v>
      </c>
      <c r="G194" s="14">
        <v>149520</v>
      </c>
      <c r="H194" s="14">
        <v>160804</v>
      </c>
      <c r="I194" s="14">
        <v>24</v>
      </c>
      <c r="J194" s="14" t="s">
        <v>10</v>
      </c>
      <c r="K194" s="14" t="s">
        <v>2091</v>
      </c>
      <c r="L194" s="14" t="s">
        <v>2092</v>
      </c>
      <c r="M194" s="14" t="s">
        <v>9158</v>
      </c>
      <c r="N194" s="14" t="s">
        <v>9158</v>
      </c>
      <c r="O194" s="19" t="s">
        <v>2889</v>
      </c>
      <c r="P194" s="14" t="s">
        <v>2890</v>
      </c>
      <c r="Q194" s="14">
        <v>1</v>
      </c>
    </row>
    <row r="195" spans="1:20">
      <c r="A195" s="14" t="s">
        <v>6132</v>
      </c>
      <c r="B195" s="14" t="s">
        <v>52</v>
      </c>
      <c r="C195" s="14" t="s">
        <v>205</v>
      </c>
      <c r="D195" s="19" t="s">
        <v>702</v>
      </c>
      <c r="E195" s="15" t="str">
        <f>HYPERLINK("https://stat100.ameba.jp/tnk47/ratio20/illustrations/card/ill_50693_0_hanamizugimimuratsuru03.jpg?202104-5-RELEASE-marathon-526xx", "■")</f>
        <v>■</v>
      </c>
      <c r="F195" s="14" t="s">
        <v>2282</v>
      </c>
      <c r="G195" s="14">
        <v>133938</v>
      </c>
      <c r="H195" s="14">
        <v>150776</v>
      </c>
      <c r="I195" s="14">
        <v>24</v>
      </c>
      <c r="J195" s="14" t="s">
        <v>143</v>
      </c>
      <c r="K195" s="14" t="s">
        <v>2283</v>
      </c>
      <c r="L195" s="14" t="s">
        <v>2284</v>
      </c>
      <c r="M195" s="14" t="s">
        <v>9158</v>
      </c>
      <c r="N195" s="14" t="s">
        <v>9158</v>
      </c>
      <c r="O195" s="14" t="s">
        <v>9158</v>
      </c>
      <c r="P195" s="14" t="s">
        <v>9158</v>
      </c>
      <c r="Q195" s="14" t="s">
        <v>9158</v>
      </c>
    </row>
    <row r="196" spans="1:20">
      <c r="A196" s="14">
        <v>97173</v>
      </c>
      <c r="B196" s="14" t="s">
        <v>0</v>
      </c>
      <c r="C196" s="14" t="s">
        <v>107</v>
      </c>
      <c r="D196" s="14" t="s">
        <v>17487</v>
      </c>
      <c r="E196" s="15" t="str">
        <f>HYPERLINK("https://stat100.ameba.jp/tnk47/ratio20/illustrations/card/ill_97173_girishiashinwafuobosu03.jpg?202104-5-RELEASE-marathon-526xx", "■")</f>
        <v>■</v>
      </c>
      <c r="F196" s="14" t="s">
        <v>17486</v>
      </c>
      <c r="G196" s="14">
        <v>114362</v>
      </c>
      <c r="H196" s="14">
        <v>123002</v>
      </c>
      <c r="I196" s="14">
        <v>27</v>
      </c>
      <c r="J196" s="14" t="s">
        <v>38</v>
      </c>
      <c r="K196" s="14" t="s">
        <v>17485</v>
      </c>
      <c r="L196" s="14" t="s">
        <v>4320</v>
      </c>
      <c r="M196" s="14" t="s">
        <v>9158</v>
      </c>
      <c r="N196" s="14" t="s">
        <v>9158</v>
      </c>
      <c r="O196" s="14" t="s">
        <v>9158</v>
      </c>
      <c r="P196" s="14" t="s">
        <v>9158</v>
      </c>
      <c r="Q196" s="14" t="s">
        <v>9158</v>
      </c>
      <c r="T196" s="7"/>
    </row>
    <row r="197" spans="1:20">
      <c r="A197" s="14">
        <v>97193</v>
      </c>
      <c r="B197" s="14" t="s">
        <v>15</v>
      </c>
      <c r="C197" s="14" t="s">
        <v>23</v>
      </c>
      <c r="D197" s="14" t="s">
        <v>17492</v>
      </c>
      <c r="E197" s="15" t="str">
        <f>HYPERLINK("https://stat100.ameba.jp/tnk47/ratio20/illustrations/card/ill_97193_kyupiddotagorihime03.jpg?202104-5-RELEASE-marathon-526xx", "■")</f>
        <v>■</v>
      </c>
      <c r="F197" s="14" t="s">
        <v>17491</v>
      </c>
      <c r="G197" s="14">
        <v>72586</v>
      </c>
      <c r="H197" s="14">
        <v>80028</v>
      </c>
      <c r="I197" s="14">
        <v>27</v>
      </c>
      <c r="J197" s="14" t="s">
        <v>44</v>
      </c>
      <c r="K197" s="14" t="s">
        <v>17490</v>
      </c>
      <c r="L197" s="14" t="s">
        <v>3319</v>
      </c>
      <c r="M197" s="14" t="s">
        <v>9158</v>
      </c>
      <c r="N197" s="14" t="s">
        <v>9158</v>
      </c>
      <c r="O197" s="14" t="s">
        <v>9158</v>
      </c>
      <c r="P197" s="14" t="s">
        <v>9158</v>
      </c>
      <c r="Q197" s="14" t="s">
        <v>9158</v>
      </c>
      <c r="T197" s="7"/>
    </row>
    <row r="198" spans="1:20">
      <c r="A198" s="14">
        <v>97203</v>
      </c>
      <c r="B198" s="14" t="s">
        <v>22</v>
      </c>
      <c r="C198" s="14" t="s">
        <v>14</v>
      </c>
      <c r="D198" s="14" t="s">
        <v>17495</v>
      </c>
      <c r="E198" s="15" t="str">
        <f>HYPERLINK("https://stat100.ameba.jp/tnk47/ratio20/illustrations/card/ill_97203_amejisutochan03.jpg?202104-5-RELEASE-marathon-526xx", "■")</f>
        <v>■</v>
      </c>
      <c r="F198" s="14" t="s">
        <v>17494</v>
      </c>
      <c r="G198" s="14">
        <v>56138</v>
      </c>
      <c r="H198" s="14">
        <v>46676</v>
      </c>
      <c r="I198" s="14">
        <v>27</v>
      </c>
      <c r="J198" s="14" t="s">
        <v>26</v>
      </c>
      <c r="K198" s="14" t="s">
        <v>17493</v>
      </c>
      <c r="L198" s="14" t="s">
        <v>2635</v>
      </c>
      <c r="M198" s="14" t="s">
        <v>9158</v>
      </c>
      <c r="N198" s="14" t="s">
        <v>9158</v>
      </c>
      <c r="O198" s="14" t="s">
        <v>9158</v>
      </c>
      <c r="P198" s="14" t="s">
        <v>9158</v>
      </c>
      <c r="Q198" s="14" t="s">
        <v>9158</v>
      </c>
      <c r="T198" s="7"/>
    </row>
    <row r="199" spans="1:20">
      <c r="A199" s="14">
        <v>97213</v>
      </c>
      <c r="B199" s="14" t="s">
        <v>22</v>
      </c>
      <c r="C199" s="14" t="s">
        <v>101</v>
      </c>
      <c r="D199" s="14" t="s">
        <v>17498</v>
      </c>
      <c r="E199" s="15" t="str">
        <f>HYPERLINK("https://stat100.ameba.jp/tnk47/ratio20/illustrations/card/ill_97213_tenshikuramitsuha03.jpg?202104-5-RELEASE-marathon-526xx", "■")</f>
        <v>■</v>
      </c>
      <c r="F199" s="14" t="s">
        <v>17497</v>
      </c>
      <c r="G199" s="14">
        <v>46676</v>
      </c>
      <c r="H199" s="14">
        <v>56138</v>
      </c>
      <c r="I199" s="14">
        <v>27</v>
      </c>
      <c r="J199" s="14" t="s">
        <v>44</v>
      </c>
      <c r="K199" s="14" t="s">
        <v>17496</v>
      </c>
      <c r="L199" s="14" t="s">
        <v>3780</v>
      </c>
      <c r="M199" s="14" t="s">
        <v>9158</v>
      </c>
      <c r="N199" s="14" t="s">
        <v>9158</v>
      </c>
      <c r="O199" s="14" t="s">
        <v>9158</v>
      </c>
      <c r="P199" s="14" t="s">
        <v>9158</v>
      </c>
      <c r="Q199" s="14" t="s">
        <v>9158</v>
      </c>
      <c r="T199" s="7"/>
    </row>
    <row r="201" spans="1:20">
      <c r="A201" s="14" t="s">
        <v>4065</v>
      </c>
    </row>
    <row r="202" spans="1:20">
      <c r="A202" s="14">
        <v>107984</v>
      </c>
      <c r="B202" s="14" t="s">
        <v>17637</v>
      </c>
    </row>
    <row r="203" spans="1:20">
      <c r="A203" s="14" t="s">
        <v>5650</v>
      </c>
      <c r="B203" s="14" t="s">
        <v>52</v>
      </c>
      <c r="C203" s="14" t="s">
        <v>23</v>
      </c>
      <c r="D203" s="20" t="s">
        <v>809</v>
      </c>
      <c r="E203" s="15" t="str">
        <f>HYPERLINK("https://stat100.ameba.jp/tnk47/ratio20/illustrations/card/ill_68033_0_kurisumasupateikandamyojin03.jpg?202104-5-RELEASE-marathon-526xx", "■")</f>
        <v>■</v>
      </c>
      <c r="F203" s="14" t="s">
        <v>1871</v>
      </c>
      <c r="G203" s="14">
        <v>178026</v>
      </c>
      <c r="H203" s="14">
        <v>191502</v>
      </c>
      <c r="I203" s="14">
        <v>28</v>
      </c>
      <c r="J203" s="14" t="s">
        <v>44</v>
      </c>
      <c r="K203" s="14" t="s">
        <v>1872</v>
      </c>
      <c r="L203" s="14" t="s">
        <v>1873</v>
      </c>
      <c r="M203" s="14" t="s">
        <v>9158</v>
      </c>
      <c r="N203" s="14" t="s">
        <v>9158</v>
      </c>
      <c r="O203" s="19" t="s">
        <v>2997</v>
      </c>
      <c r="P203" s="14" t="s">
        <v>3483</v>
      </c>
      <c r="Q203" s="14">
        <v>2</v>
      </c>
    </row>
    <row r="204" spans="1:20">
      <c r="A204" s="14">
        <v>81743</v>
      </c>
      <c r="B204" s="14" t="s">
        <v>334</v>
      </c>
      <c r="C204" s="14" t="s">
        <v>107</v>
      </c>
      <c r="D204" s="19" t="s">
        <v>10171</v>
      </c>
      <c r="E204" s="15" t="str">
        <f>HYPERLINK("https://stat100.ameba.jp/tnk47/ratio20/illustrations/card/ill_81743_denshagarusakyogabashinohebi03.jpg?202104-5-RELEASE-marathon-526xx", "■")</f>
        <v>■</v>
      </c>
      <c r="F204" s="14" t="s">
        <v>4853</v>
      </c>
      <c r="G204" s="14">
        <v>123220</v>
      </c>
      <c r="H204" s="14">
        <v>114362</v>
      </c>
      <c r="I204" s="14">
        <v>27</v>
      </c>
      <c r="J204" s="14" t="s">
        <v>38</v>
      </c>
      <c r="K204" s="14" t="s">
        <v>4855</v>
      </c>
      <c r="L204" s="14" t="s">
        <v>4856</v>
      </c>
      <c r="M204" s="14" t="s">
        <v>9158</v>
      </c>
      <c r="N204" s="14" t="s">
        <v>9158</v>
      </c>
      <c r="O204" s="19" t="s">
        <v>10091</v>
      </c>
      <c r="P204" s="14" t="s">
        <v>3670</v>
      </c>
      <c r="Q204" s="14">
        <v>1</v>
      </c>
    </row>
    <row r="205" spans="1:20">
      <c r="A205" s="14">
        <v>78633</v>
      </c>
      <c r="B205" s="14" t="s">
        <v>334</v>
      </c>
      <c r="C205" s="14" t="s">
        <v>200</v>
      </c>
      <c r="D205" s="19" t="s">
        <v>2749</v>
      </c>
      <c r="E205" s="15" t="str">
        <f>HYPERLINK("https://stat100.ameba.jp/tnk47/ratio20/illustrations/card/ill_78633_geishunyuramyoinni03.jpg?202104-5-RELEASE-marathon-526xx", "■")</f>
        <v>■</v>
      </c>
      <c r="F205" s="14" t="s">
        <v>2750</v>
      </c>
      <c r="G205" s="14">
        <v>98019</v>
      </c>
      <c r="H205" s="14">
        <v>105465</v>
      </c>
      <c r="I205" s="14">
        <v>27</v>
      </c>
      <c r="J205" s="14" t="s">
        <v>315</v>
      </c>
      <c r="K205" s="14" t="s">
        <v>2751</v>
      </c>
      <c r="L205" s="14" t="s">
        <v>608</v>
      </c>
      <c r="M205" s="14" t="s">
        <v>9158</v>
      </c>
      <c r="N205" s="14" t="s">
        <v>9158</v>
      </c>
      <c r="O205" s="19" t="s">
        <v>2752</v>
      </c>
      <c r="P205" s="14" t="s">
        <v>13123</v>
      </c>
      <c r="Q205" s="14">
        <v>1</v>
      </c>
    </row>
    <row r="206" spans="1:20">
      <c r="A206" s="14">
        <v>84153</v>
      </c>
      <c r="B206" s="14" t="s">
        <v>0</v>
      </c>
      <c r="C206" s="14" t="s">
        <v>165</v>
      </c>
      <c r="D206" s="20" t="s">
        <v>14065</v>
      </c>
      <c r="E206" s="15" t="str">
        <f>HYPERLINK("https://stat100.ameba.jp/tnk47/ratio20/illustrations/card/ill_84153_tarottotoyotomihideyori03.jpg?202104-5-RELEASE-marathon-526xx", "■")</f>
        <v>■</v>
      </c>
      <c r="F206" s="14" t="s">
        <v>7155</v>
      </c>
      <c r="G206" s="14">
        <v>160507</v>
      </c>
      <c r="H206" s="14">
        <v>149240</v>
      </c>
      <c r="I206" s="14">
        <v>27</v>
      </c>
      <c r="J206" s="14" t="s">
        <v>143</v>
      </c>
      <c r="K206" s="14" t="s">
        <v>7156</v>
      </c>
      <c r="L206" s="14" t="s">
        <v>145</v>
      </c>
      <c r="M206" s="14" t="s">
        <v>9158</v>
      </c>
      <c r="N206" s="14" t="s">
        <v>9158</v>
      </c>
      <c r="O206" s="19" t="s">
        <v>10090</v>
      </c>
      <c r="P206" s="14" t="s">
        <v>3460</v>
      </c>
      <c r="Q206" s="14">
        <v>1</v>
      </c>
    </row>
    <row r="208" spans="1:20">
      <c r="A208" s="14" t="s">
        <v>3785</v>
      </c>
    </row>
    <row r="209" spans="1:17">
      <c r="A209" s="14">
        <v>237789</v>
      </c>
      <c r="B209" s="14" t="s">
        <v>17660</v>
      </c>
    </row>
    <row r="210" spans="1:17">
      <c r="A210" s="9" t="s">
        <v>5609</v>
      </c>
      <c r="B210" s="14" t="s">
        <v>52</v>
      </c>
      <c r="C210" s="14" t="s">
        <v>200</v>
      </c>
      <c r="D210" s="14" t="s">
        <v>1713</v>
      </c>
      <c r="E210" s="15" t="str">
        <f>HYPERLINK("https://stat100.ameba.jp/tnk47/ratio20/illustrations/card/ill_53753_0_natsumatsuritokugawaieyasu03.jpg?202104-5-RELEASE-marathon-526xx", "■")</f>
        <v>■</v>
      </c>
      <c r="F210" s="14" t="s">
        <v>902</v>
      </c>
      <c r="G210" s="14">
        <v>138212</v>
      </c>
      <c r="H210" s="14">
        <v>122776</v>
      </c>
      <c r="I210" s="14">
        <v>22</v>
      </c>
      <c r="J210" s="14" t="s">
        <v>194</v>
      </c>
      <c r="K210" s="14" t="s">
        <v>1714</v>
      </c>
      <c r="L210" s="14" t="s">
        <v>904</v>
      </c>
      <c r="M210" s="14" t="s">
        <v>9158</v>
      </c>
      <c r="N210" s="14" t="s">
        <v>9158</v>
      </c>
      <c r="O210" s="17" t="s">
        <v>10052</v>
      </c>
      <c r="P210" s="14" t="s">
        <v>13121</v>
      </c>
      <c r="Q210" s="14">
        <v>1</v>
      </c>
    </row>
    <row r="211" spans="1:17">
      <c r="A211" s="9" t="s">
        <v>5623</v>
      </c>
      <c r="B211" s="14" t="s">
        <v>330</v>
      </c>
      <c r="C211" s="14" t="s">
        <v>165</v>
      </c>
      <c r="D211" s="14" t="s">
        <v>181</v>
      </c>
      <c r="E211" s="15" t="str">
        <f>HYPERLINK("https://stat100.ameba.jp/tnk47/ratio20/illustrations/card/ill_65713_0_undokaionikirimaru03.jpg?202104-5-RELEASE-marathon-526xx", "■")</f>
        <v>■</v>
      </c>
      <c r="F211" s="14" t="s">
        <v>535</v>
      </c>
      <c r="G211" s="14">
        <v>166504</v>
      </c>
      <c r="H211" s="14">
        <v>154800</v>
      </c>
      <c r="I211" s="14">
        <v>22</v>
      </c>
      <c r="J211" s="14" t="s">
        <v>182</v>
      </c>
      <c r="K211" s="14" t="s">
        <v>183</v>
      </c>
      <c r="L211" s="14" t="s">
        <v>184</v>
      </c>
      <c r="M211" s="14" t="s">
        <v>9158</v>
      </c>
      <c r="N211" s="14" t="s">
        <v>9158</v>
      </c>
      <c r="O211" s="9" t="s">
        <v>2869</v>
      </c>
      <c r="P211" s="14" t="s">
        <v>2870</v>
      </c>
      <c r="Q211" s="14">
        <v>1</v>
      </c>
    </row>
    <row r="212" spans="1:17">
      <c r="A212" s="14" t="s">
        <v>5604</v>
      </c>
      <c r="B212" s="14" t="s">
        <v>330</v>
      </c>
      <c r="C212" s="14" t="s">
        <v>206</v>
      </c>
      <c r="D212" s="19" t="s">
        <v>614</v>
      </c>
      <c r="E212" s="15" t="str">
        <f>HYPERLINK("https://stat100.ameba.jp/tnk47/ratio20/illustrations/card/ill_47263_0_oukyuuatsuhime03.jpg?202104-5-RELEASE-marathon-526xx", "■")</f>
        <v>■</v>
      </c>
      <c r="F212" s="14" t="s">
        <v>615</v>
      </c>
      <c r="G212" s="14">
        <v>138212</v>
      </c>
      <c r="H212" s="14">
        <v>122776</v>
      </c>
      <c r="I212" s="14">
        <v>22</v>
      </c>
      <c r="J212" s="14" t="s">
        <v>315</v>
      </c>
      <c r="K212" s="14" t="s">
        <v>616</v>
      </c>
      <c r="L212" s="14" t="s">
        <v>617</v>
      </c>
      <c r="M212" s="14" t="s">
        <v>9158</v>
      </c>
      <c r="N212" s="14" t="s">
        <v>9158</v>
      </c>
      <c r="O212" s="14" t="s">
        <v>9158</v>
      </c>
      <c r="P212" s="14" t="s">
        <v>9158</v>
      </c>
      <c r="Q212" s="14" t="s">
        <v>9158</v>
      </c>
    </row>
    <row r="213" spans="1:17">
      <c r="A213" s="14">
        <v>90023</v>
      </c>
      <c r="B213" s="14" t="s">
        <v>0</v>
      </c>
      <c r="C213" s="14" t="s">
        <v>1</v>
      </c>
      <c r="D213" s="14" t="s">
        <v>13990</v>
      </c>
      <c r="E213" s="15" t="str">
        <f>HYPERLINK("https://stat100.ameba.jp/tnk47/ratio20/illustrations/card/ill_90023_buiranzuamadeia03.jpg?202104-5-RELEASE-marathon-526xx", "■")</f>
        <v>■</v>
      </c>
      <c r="F213" s="14" t="s">
        <v>13989</v>
      </c>
      <c r="G213" s="14">
        <v>212908</v>
      </c>
      <c r="H213" s="14">
        <v>119785</v>
      </c>
      <c r="I213" s="14">
        <v>29</v>
      </c>
      <c r="J213" s="14" t="s">
        <v>143</v>
      </c>
      <c r="K213" s="14" t="s">
        <v>13988</v>
      </c>
      <c r="L213" s="14" t="s">
        <v>12153</v>
      </c>
      <c r="M213" s="14" t="s">
        <v>9158</v>
      </c>
      <c r="N213" s="14" t="s">
        <v>9158</v>
      </c>
      <c r="O213" s="14" t="s">
        <v>9158</v>
      </c>
      <c r="P213" s="14" t="s">
        <v>9158</v>
      </c>
      <c r="Q213" s="14" t="s">
        <v>9158</v>
      </c>
    </row>
    <row r="214" spans="1:17">
      <c r="A214" s="14">
        <v>88703</v>
      </c>
      <c r="B214" s="14" t="s">
        <v>334</v>
      </c>
      <c r="C214" s="14" t="s">
        <v>101</v>
      </c>
      <c r="D214" s="14" t="s">
        <v>12342</v>
      </c>
      <c r="E214" s="15" t="str">
        <f>HYPERLINK("https://stat100.ameba.jp/tnk47/ratio20/illustrations/card/ill_88703_pammatsurirezumburedo03.jpg?202104-5-RELEASE-marathon-526xx", "■")</f>
        <v>■</v>
      </c>
      <c r="F214" s="14" t="s">
        <v>12343</v>
      </c>
      <c r="G214" s="14">
        <v>139860</v>
      </c>
      <c r="H214" s="14">
        <v>78696</v>
      </c>
      <c r="I214" s="14">
        <v>29</v>
      </c>
      <c r="J214" s="14" t="s">
        <v>77</v>
      </c>
      <c r="K214" s="14" t="s">
        <v>12346</v>
      </c>
      <c r="L214" s="14" t="s">
        <v>12081</v>
      </c>
      <c r="M214" s="14" t="s">
        <v>9158</v>
      </c>
      <c r="N214" s="14" t="s">
        <v>9158</v>
      </c>
      <c r="O214" s="14" t="s">
        <v>9158</v>
      </c>
      <c r="P214" s="14" t="s">
        <v>9158</v>
      </c>
      <c r="Q214" s="14" t="s">
        <v>9158</v>
      </c>
    </row>
    <row r="215" spans="1:17">
      <c r="A215" s="7">
        <v>85313</v>
      </c>
      <c r="B215" s="7" t="s">
        <v>0</v>
      </c>
      <c r="C215" s="7" t="s">
        <v>206</v>
      </c>
      <c r="D215" s="19" t="s">
        <v>10797</v>
      </c>
      <c r="E215" s="15" t="str">
        <f>HYPERLINK("https://stat100.ameba.jp/tnk47/ratio20/illustrations/card/ill_85313_chukahantentachibanaginchiyo03.jpg?202104-5-RELEASE-marathon-526xx", "■")</f>
        <v>■</v>
      </c>
      <c r="F215" s="7" t="s">
        <v>8270</v>
      </c>
      <c r="G215" s="14">
        <v>113277</v>
      </c>
      <c r="H215" s="14">
        <v>105281</v>
      </c>
      <c r="I215" s="14">
        <v>29</v>
      </c>
      <c r="J215" s="7" t="s">
        <v>187</v>
      </c>
      <c r="K215" s="7" t="s">
        <v>14015</v>
      </c>
      <c r="L215" s="7" t="s">
        <v>8269</v>
      </c>
      <c r="M215" s="14" t="s">
        <v>9158</v>
      </c>
      <c r="N215" s="14" t="s">
        <v>9158</v>
      </c>
      <c r="O215" s="14" t="s">
        <v>9158</v>
      </c>
      <c r="P215" s="14" t="s">
        <v>9158</v>
      </c>
      <c r="Q215" s="14" t="s">
        <v>9158</v>
      </c>
    </row>
    <row r="217" spans="1:17">
      <c r="A217" s="14" t="s">
        <v>114</v>
      </c>
    </row>
    <row r="218" spans="1:17">
      <c r="A218" s="14">
        <v>107989</v>
      </c>
      <c r="B218" s="14" t="s">
        <v>17661</v>
      </c>
    </row>
    <row r="219" spans="1:17">
      <c r="A219" s="14">
        <v>107999</v>
      </c>
      <c r="B219" s="14" t="s">
        <v>15721</v>
      </c>
    </row>
    <row r="220" spans="1:17">
      <c r="A220" s="14" t="s">
        <v>14533</v>
      </c>
      <c r="B220" s="7" t="s">
        <v>52</v>
      </c>
      <c r="C220" s="14" t="s">
        <v>202</v>
      </c>
      <c r="D220" s="18" t="s">
        <v>14532</v>
      </c>
      <c r="E220" s="15" t="str">
        <f>HYPERLINK("https://stat100.ameba.jp/tnk47/ratio20/illustrations/card/ill_91703_0_ninjashugyohanakosan03.jpg?202104-5-RELEASE-marathon-526xx", "■")</f>
        <v>■</v>
      </c>
      <c r="F220" s="14" t="s">
        <v>14534</v>
      </c>
      <c r="G220" s="14">
        <v>303290</v>
      </c>
      <c r="H220" s="14">
        <v>335575</v>
      </c>
      <c r="I220" s="14">
        <v>29</v>
      </c>
      <c r="J220" s="14" t="s">
        <v>77</v>
      </c>
      <c r="K220" s="14" t="s">
        <v>14536</v>
      </c>
      <c r="L220" s="14" t="s">
        <v>14535</v>
      </c>
      <c r="M220" s="14" t="s">
        <v>9158</v>
      </c>
      <c r="N220" s="14" t="s">
        <v>9158</v>
      </c>
      <c r="O220" s="6" t="s">
        <v>14539</v>
      </c>
      <c r="P220" s="7" t="s">
        <v>14538</v>
      </c>
      <c r="Q220" s="7">
        <v>1</v>
      </c>
    </row>
    <row r="221" spans="1:17">
      <c r="A221" s="14" t="s">
        <v>12012</v>
      </c>
      <c r="B221" s="7" t="s">
        <v>52</v>
      </c>
      <c r="C221" s="14" t="s">
        <v>202</v>
      </c>
      <c r="D221" s="18" t="s">
        <v>12013</v>
      </c>
      <c r="E221" s="15" t="str">
        <f>HYPERLINK("https://stat100.ameba.jp/tnk47/ratio20/illustrations/card/ill_88363_0_hanamijingukogo03.jpg?202104-5-RELEASE-marathon-526xx", "■")</f>
        <v>■</v>
      </c>
      <c r="F221" s="14" t="s">
        <v>12014</v>
      </c>
      <c r="G221" s="14">
        <v>352956</v>
      </c>
      <c r="H221" s="14">
        <v>318998</v>
      </c>
      <c r="I221" s="7">
        <v>29</v>
      </c>
      <c r="J221" s="14" t="s">
        <v>10</v>
      </c>
      <c r="K221" s="14" t="s">
        <v>12015</v>
      </c>
      <c r="L221" s="14" t="s">
        <v>12016</v>
      </c>
      <c r="M221" s="14" t="s">
        <v>9158</v>
      </c>
      <c r="N221" s="14" t="s">
        <v>9158</v>
      </c>
      <c r="O221" s="6" t="s">
        <v>12017</v>
      </c>
      <c r="P221" s="7" t="s">
        <v>12018</v>
      </c>
      <c r="Q221" s="7">
        <v>1</v>
      </c>
    </row>
    <row r="222" spans="1:17">
      <c r="A222" s="14" t="s">
        <v>5604</v>
      </c>
      <c r="B222" s="14" t="s">
        <v>330</v>
      </c>
      <c r="C222" s="14" t="s">
        <v>206</v>
      </c>
      <c r="D222" s="19" t="s">
        <v>614</v>
      </c>
      <c r="E222" s="15" t="str">
        <f>HYPERLINK("https://stat100.ameba.jp/tnk47/ratio20/illustrations/card/ill_47263_0_oukyuuatsuhime03.jpg?202104-5-RELEASE-marathon-526xx", "■")</f>
        <v>■</v>
      </c>
      <c r="F222" s="14" t="s">
        <v>615</v>
      </c>
      <c r="G222" s="14">
        <v>182188</v>
      </c>
      <c r="H222" s="14">
        <v>161842</v>
      </c>
      <c r="I222" s="14">
        <v>29</v>
      </c>
      <c r="J222" s="14" t="s">
        <v>315</v>
      </c>
      <c r="K222" s="14" t="s">
        <v>616</v>
      </c>
      <c r="L222" s="14" t="s">
        <v>617</v>
      </c>
      <c r="M222" s="14" t="s">
        <v>9158</v>
      </c>
      <c r="N222" s="14" t="s">
        <v>9158</v>
      </c>
      <c r="O222" s="14" t="s">
        <v>9158</v>
      </c>
      <c r="P222" s="14" t="s">
        <v>9158</v>
      </c>
      <c r="Q222" s="14" t="s">
        <v>9158</v>
      </c>
    </row>
    <row r="223" spans="1:17">
      <c r="A223" s="9">
        <v>71323</v>
      </c>
      <c r="B223" s="14" t="s">
        <v>0</v>
      </c>
      <c r="C223" s="14" t="s">
        <v>154</v>
      </c>
      <c r="D223" s="14" t="s">
        <v>1878</v>
      </c>
      <c r="E223" s="15" t="str">
        <f>HYPERLINK("https://stat100.ameba.jp/tnk47/ratio20/illustrations/card/ill_71323_kodanobu03.jpg?202104-5-RELEASE-marathon-526xx", "■")</f>
        <v>■</v>
      </c>
      <c r="F223" s="14" t="s">
        <v>1879</v>
      </c>
      <c r="G223" s="14">
        <v>145000</v>
      </c>
      <c r="H223" s="14">
        <v>134821</v>
      </c>
      <c r="I223" s="14">
        <v>29</v>
      </c>
      <c r="J223" s="14" t="s">
        <v>16</v>
      </c>
      <c r="K223" s="14" t="s">
        <v>1880</v>
      </c>
      <c r="L223" s="14" t="s">
        <v>1881</v>
      </c>
      <c r="M223" s="14" t="s">
        <v>9158</v>
      </c>
      <c r="N223" s="14" t="s">
        <v>9158</v>
      </c>
      <c r="O223" s="17" t="s">
        <v>10055</v>
      </c>
      <c r="P223" s="14" t="s">
        <v>13124</v>
      </c>
      <c r="Q223" s="14">
        <v>1</v>
      </c>
    </row>
    <row r="224" spans="1:17">
      <c r="A224" s="14">
        <v>69503</v>
      </c>
      <c r="B224" s="14" t="s">
        <v>0</v>
      </c>
      <c r="C224" s="14" t="s">
        <v>47</v>
      </c>
      <c r="D224" s="14" t="s">
        <v>65</v>
      </c>
      <c r="E224" s="15" t="str">
        <f>HYPERLINK("https://stat100.ameba.jp/tnk47/ratio20/illustrations/card/ill_69503_azusayumi03.jpg?202104-5-RELEASE-marathon-526xx", "■")</f>
        <v>■</v>
      </c>
      <c r="F224" s="14" t="s">
        <v>66</v>
      </c>
      <c r="G224" s="14">
        <v>131617</v>
      </c>
      <c r="H224" s="14">
        <v>95357</v>
      </c>
      <c r="I224" s="7">
        <v>29</v>
      </c>
      <c r="J224" s="14" t="s">
        <v>38</v>
      </c>
      <c r="K224" s="14" t="s">
        <v>67</v>
      </c>
      <c r="L224" s="14" t="s">
        <v>68</v>
      </c>
      <c r="M224" s="14" t="s">
        <v>9158</v>
      </c>
      <c r="N224" s="14" t="s">
        <v>9158</v>
      </c>
      <c r="O224" s="7" t="s">
        <v>2951</v>
      </c>
      <c r="P224" s="14" t="s">
        <v>13122</v>
      </c>
      <c r="Q224" s="14">
        <v>1</v>
      </c>
    </row>
    <row r="225" spans="1:20">
      <c r="A225" s="14">
        <v>70843</v>
      </c>
      <c r="B225" s="14" t="s">
        <v>334</v>
      </c>
      <c r="C225" s="14" t="s">
        <v>268</v>
      </c>
      <c r="D225" s="20" t="s">
        <v>10651</v>
      </c>
      <c r="E225" s="15" t="str">
        <f>HYPERLINK("https://stat100.ameba.jp/tnk47/ratio20/illustrations/card/ill_70843_indoshinwakurionechan03.jpg?202104-5-RELEASE-marathon-526xx", "■")</f>
        <v>■</v>
      </c>
      <c r="F225" s="14" t="s">
        <v>856</v>
      </c>
      <c r="G225" s="14">
        <v>122834</v>
      </c>
      <c r="H225" s="14">
        <v>132112</v>
      </c>
      <c r="I225" s="7">
        <v>29</v>
      </c>
      <c r="J225" s="14" t="s">
        <v>369</v>
      </c>
      <c r="K225" s="14" t="s">
        <v>857</v>
      </c>
      <c r="L225" s="14" t="s">
        <v>496</v>
      </c>
      <c r="M225" s="14" t="s">
        <v>9158</v>
      </c>
      <c r="N225" s="14" t="s">
        <v>9158</v>
      </c>
      <c r="O225" s="19" t="s">
        <v>10074</v>
      </c>
      <c r="P225" s="14" t="s">
        <v>3592</v>
      </c>
      <c r="Q225" s="14">
        <v>1</v>
      </c>
    </row>
    <row r="226" spans="1:20">
      <c r="A226" s="14">
        <v>83093</v>
      </c>
      <c r="B226" s="14" t="s">
        <v>0</v>
      </c>
      <c r="C226" s="14" t="s">
        <v>158</v>
      </c>
      <c r="D226" s="20" t="s">
        <v>10490</v>
      </c>
      <c r="E226" s="15" t="str">
        <f>HYPERLINK("https://stat100.ameba.jp/tnk47/ratio20/illustrations/card/ill_83093_yusuraume03.jpg?202104-5-RELEASE-marathon-526xx", "■")</f>
        <v>■</v>
      </c>
      <c r="F226" s="14" t="s">
        <v>6267</v>
      </c>
      <c r="G226" s="14">
        <v>153288</v>
      </c>
      <c r="H226" s="14">
        <v>111017</v>
      </c>
      <c r="I226" s="14">
        <v>29</v>
      </c>
      <c r="J226" s="14" t="s">
        <v>104</v>
      </c>
      <c r="K226" s="14" t="s">
        <v>6266</v>
      </c>
      <c r="L226" s="14" t="s">
        <v>2409</v>
      </c>
      <c r="M226" s="14" t="s">
        <v>9158</v>
      </c>
      <c r="N226" s="14" t="s">
        <v>9158</v>
      </c>
      <c r="O226" s="19" t="s">
        <v>10090</v>
      </c>
      <c r="P226" s="14" t="s">
        <v>3460</v>
      </c>
      <c r="Q226" s="14">
        <v>1</v>
      </c>
    </row>
    <row r="227" spans="1:20">
      <c r="A227" s="9">
        <v>73103</v>
      </c>
      <c r="B227" s="14" t="s">
        <v>334</v>
      </c>
      <c r="C227" s="14" t="s">
        <v>41</v>
      </c>
      <c r="D227" s="14" t="s">
        <v>2105</v>
      </c>
      <c r="E227" s="15" t="str">
        <f>HYPERLINK("https://stat100.ameba.jp/tnk47/ratio20/illustrations/card/ill_73103_nominookata03.jpg?202104-5-RELEASE-marathon-526xx", "■")</f>
        <v>■</v>
      </c>
      <c r="F227" s="14" t="s">
        <v>2106</v>
      </c>
      <c r="G227" s="14">
        <v>91815</v>
      </c>
      <c r="H227" s="14">
        <v>126741</v>
      </c>
      <c r="I227" s="14">
        <v>29</v>
      </c>
      <c r="J227" s="14" t="s">
        <v>77</v>
      </c>
      <c r="K227" s="14" t="s">
        <v>2107</v>
      </c>
      <c r="L227" s="14" t="s">
        <v>969</v>
      </c>
      <c r="M227" s="14" t="s">
        <v>9158</v>
      </c>
      <c r="N227" s="14" t="s">
        <v>9158</v>
      </c>
      <c r="O227" s="9" t="s">
        <v>2717</v>
      </c>
      <c r="P227" s="14" t="s">
        <v>13173</v>
      </c>
      <c r="Q227" s="14">
        <v>1</v>
      </c>
    </row>
    <row r="228" spans="1:20">
      <c r="A228" s="9">
        <v>85363</v>
      </c>
      <c r="B228" s="9" t="s">
        <v>0</v>
      </c>
      <c r="C228" s="9" t="s">
        <v>158</v>
      </c>
      <c r="D228" s="19" t="s">
        <v>10708</v>
      </c>
      <c r="E228" s="15" t="str">
        <f>HYPERLINK("https://stat100.ameba.jp/tnk47/ratio20/illustrations/card/ill_85363_sukarunetaisa03.jpg?202104-5-RELEASE-marathon-526xx", "■")</f>
        <v>■</v>
      </c>
      <c r="F228" s="9" t="s">
        <v>7506</v>
      </c>
      <c r="G228" s="9">
        <v>139753</v>
      </c>
      <c r="H228" s="9">
        <v>192940</v>
      </c>
      <c r="I228" s="7">
        <v>29</v>
      </c>
      <c r="J228" s="9" t="s">
        <v>194</v>
      </c>
      <c r="K228" s="9" t="s">
        <v>7504</v>
      </c>
      <c r="L228" s="9" t="s">
        <v>1148</v>
      </c>
      <c r="M228" s="14" t="s">
        <v>9864</v>
      </c>
      <c r="N228" s="14" t="s">
        <v>9158</v>
      </c>
      <c r="O228" s="19" t="s">
        <v>10106</v>
      </c>
      <c r="P228" s="14" t="s">
        <v>3330</v>
      </c>
      <c r="Q228" s="14">
        <v>2</v>
      </c>
    </row>
    <row r="230" spans="1:20">
      <c r="A230" s="14" t="s">
        <v>6191</v>
      </c>
    </row>
    <row r="231" spans="1:20">
      <c r="A231" s="14">
        <v>107953</v>
      </c>
      <c r="B231" s="14" t="s">
        <v>4322</v>
      </c>
    </row>
    <row r="232" spans="1:20">
      <c r="A232" s="14" t="s">
        <v>6598</v>
      </c>
      <c r="B232" s="14" t="s">
        <v>330</v>
      </c>
      <c r="C232" s="14" t="s">
        <v>35</v>
      </c>
      <c r="D232" s="19" t="s">
        <v>11497</v>
      </c>
      <c r="E232" s="15" t="str">
        <f>HYPERLINK("https://stat100.ameba.jp/tnk47/ratio20/illustrations/card/ill_83553_0_kajuenamoronagu03.jpg?202104-5-RELEASE-marathon-526xx", "■")</f>
        <v>■</v>
      </c>
      <c r="F232" s="14" t="s">
        <v>6597</v>
      </c>
      <c r="G232" s="14">
        <v>252640</v>
      </c>
      <c r="H232" s="14">
        <v>279536</v>
      </c>
      <c r="I232" s="14">
        <v>24</v>
      </c>
      <c r="J232" s="14" t="s">
        <v>44</v>
      </c>
      <c r="K232" s="14" t="s">
        <v>6595</v>
      </c>
      <c r="L232" s="14" t="s">
        <v>6594</v>
      </c>
      <c r="M232" s="14" t="s">
        <v>9158</v>
      </c>
      <c r="N232" s="14" t="s">
        <v>9158</v>
      </c>
      <c r="O232" s="19" t="s">
        <v>10125</v>
      </c>
      <c r="P232" s="14" t="s">
        <v>6599</v>
      </c>
      <c r="Q232" s="14">
        <v>1</v>
      </c>
    </row>
    <row r="233" spans="1:20">
      <c r="A233" s="14" t="s">
        <v>6508</v>
      </c>
      <c r="B233" s="14" t="s">
        <v>330</v>
      </c>
      <c r="C233" s="14" t="s">
        <v>35</v>
      </c>
      <c r="D233" s="19" t="s">
        <v>10168</v>
      </c>
      <c r="E233" s="15" t="str">
        <f>HYPERLINK("https://stat100.ameba.jp/tnk47/ratio20/illustrations/card/ill_81783_0_denshagarukoteipenginchan03.jpg?202104-5-RELEASE-marathon-526xx", "■")</f>
        <v>■</v>
      </c>
      <c r="F233" s="14" t="s">
        <v>4834</v>
      </c>
      <c r="G233" s="14">
        <v>279102</v>
      </c>
      <c r="H233" s="14">
        <v>252236</v>
      </c>
      <c r="I233" s="14">
        <v>24</v>
      </c>
      <c r="J233" s="14" t="s">
        <v>26</v>
      </c>
      <c r="K233" s="14" t="s">
        <v>4836</v>
      </c>
      <c r="L233" s="14" t="s">
        <v>1783</v>
      </c>
      <c r="M233" s="14" t="s">
        <v>9158</v>
      </c>
      <c r="N233" s="14" t="s">
        <v>9158</v>
      </c>
      <c r="O233" s="19" t="s">
        <v>9993</v>
      </c>
      <c r="P233" s="14" t="s">
        <v>4838</v>
      </c>
      <c r="Q233" s="14">
        <v>1</v>
      </c>
    </row>
    <row r="234" spans="1:20">
      <c r="A234" s="14" t="s">
        <v>5608</v>
      </c>
      <c r="B234" s="14" t="s">
        <v>52</v>
      </c>
      <c r="C234" s="14" t="s">
        <v>96</v>
      </c>
      <c r="D234" s="19" t="s">
        <v>634</v>
      </c>
      <c r="E234" s="15" t="str">
        <f>HYPERLINK("https://stat100.ameba.jp/tnk47/ratio20/illustrations/card/ill_40963_0_makami03.jpg?202104-5-RELEASE-marathon-526xx", "■")</f>
        <v>■</v>
      </c>
      <c r="F234" s="14" t="s">
        <v>2038</v>
      </c>
      <c r="G234" s="14">
        <v>140448</v>
      </c>
      <c r="H234" s="14">
        <v>131538</v>
      </c>
      <c r="I234" s="14">
        <v>24</v>
      </c>
      <c r="J234" s="14" t="s">
        <v>44</v>
      </c>
      <c r="K234" s="14" t="s">
        <v>2039</v>
      </c>
      <c r="L234" s="14" t="s">
        <v>2040</v>
      </c>
      <c r="M234" s="14" t="s">
        <v>9158</v>
      </c>
      <c r="N234" s="14" t="s">
        <v>9158</v>
      </c>
      <c r="O234" s="14" t="s">
        <v>9158</v>
      </c>
      <c r="P234" s="14" t="s">
        <v>9158</v>
      </c>
      <c r="Q234" s="14" t="s">
        <v>9158</v>
      </c>
    </row>
    <row r="235" spans="1:20">
      <c r="A235" s="14">
        <v>97183</v>
      </c>
      <c r="B235" s="14" t="s">
        <v>0</v>
      </c>
      <c r="C235" s="14" t="s">
        <v>1</v>
      </c>
      <c r="D235" s="14" t="s">
        <v>17489</v>
      </c>
      <c r="E235" s="15" t="str">
        <f>HYPERLINK("https://stat100.ameba.jp/tnk47/ratio20/illustrations/card/ill_97183_kaitokiuifurutsuchan03.jpg?202104-5-RELEASE-marathon-526xx", "■")</f>
        <v>■</v>
      </c>
      <c r="F235" s="14" t="s">
        <v>17488</v>
      </c>
      <c r="G235" s="14">
        <v>160507</v>
      </c>
      <c r="H235" s="14">
        <v>149240</v>
      </c>
      <c r="I235" s="14">
        <v>27</v>
      </c>
      <c r="J235" s="14" t="s">
        <v>104</v>
      </c>
      <c r="K235" s="14" t="s">
        <v>5700</v>
      </c>
      <c r="L235" s="14" t="s">
        <v>4443</v>
      </c>
      <c r="M235" s="14" t="s">
        <v>9158</v>
      </c>
      <c r="N235" s="14" t="s">
        <v>9158</v>
      </c>
      <c r="O235" s="14" t="s">
        <v>9158</v>
      </c>
      <c r="P235" s="14" t="s">
        <v>9158</v>
      </c>
      <c r="Q235" s="14" t="s">
        <v>9158</v>
      </c>
      <c r="T235" s="7"/>
    </row>
    <row r="236" spans="1:20">
      <c r="A236" s="14">
        <v>97193</v>
      </c>
      <c r="B236" s="14" t="s">
        <v>15</v>
      </c>
      <c r="C236" s="14" t="s">
        <v>23</v>
      </c>
      <c r="D236" s="14" t="s">
        <v>17492</v>
      </c>
      <c r="E236" s="15" t="str">
        <f>HYPERLINK("https://stat100.ameba.jp/tnk47/ratio20/illustrations/card/ill_97193_kyupiddotagorihime03.jpg?202104-5-RELEASE-marathon-526xx", "■")</f>
        <v>■</v>
      </c>
      <c r="F236" s="14" t="s">
        <v>17491</v>
      </c>
      <c r="G236" s="14">
        <v>72586</v>
      </c>
      <c r="H236" s="14">
        <v>80028</v>
      </c>
      <c r="I236" s="14">
        <v>27</v>
      </c>
      <c r="J236" s="14" t="s">
        <v>44</v>
      </c>
      <c r="K236" s="14" t="s">
        <v>17490</v>
      </c>
      <c r="L236" s="14" t="s">
        <v>3319</v>
      </c>
      <c r="M236" s="14" t="s">
        <v>9158</v>
      </c>
      <c r="N236" s="14" t="s">
        <v>9158</v>
      </c>
      <c r="O236" s="14" t="s">
        <v>9158</v>
      </c>
      <c r="P236" s="14" t="s">
        <v>9158</v>
      </c>
      <c r="Q236" s="14" t="s">
        <v>9158</v>
      </c>
      <c r="T236" s="7"/>
    </row>
    <row r="237" spans="1:20">
      <c r="A237" s="14">
        <v>97203</v>
      </c>
      <c r="B237" s="14" t="s">
        <v>22</v>
      </c>
      <c r="C237" s="14" t="s">
        <v>14</v>
      </c>
      <c r="D237" s="14" t="s">
        <v>17495</v>
      </c>
      <c r="E237" s="15" t="str">
        <f>HYPERLINK("https://stat100.ameba.jp/tnk47/ratio20/illustrations/card/ill_97203_amejisutochan03.jpg?202104-5-RELEASE-marathon-526xx", "■")</f>
        <v>■</v>
      </c>
      <c r="F237" s="14" t="s">
        <v>17494</v>
      </c>
      <c r="G237" s="14">
        <v>56138</v>
      </c>
      <c r="H237" s="14">
        <v>46676</v>
      </c>
      <c r="I237" s="14">
        <v>27</v>
      </c>
      <c r="J237" s="14" t="s">
        <v>26</v>
      </c>
      <c r="K237" s="14" t="s">
        <v>17493</v>
      </c>
      <c r="L237" s="14" t="s">
        <v>2635</v>
      </c>
      <c r="M237" s="14" t="s">
        <v>9158</v>
      </c>
      <c r="N237" s="14" t="s">
        <v>9158</v>
      </c>
      <c r="O237" s="14" t="s">
        <v>9158</v>
      </c>
      <c r="P237" s="14" t="s">
        <v>9158</v>
      </c>
      <c r="Q237" s="14" t="s">
        <v>9158</v>
      </c>
      <c r="T237" s="7"/>
    </row>
    <row r="238" spans="1:20">
      <c r="A238" s="14">
        <v>97213</v>
      </c>
      <c r="B238" s="14" t="s">
        <v>22</v>
      </c>
      <c r="C238" s="14" t="s">
        <v>101</v>
      </c>
      <c r="D238" s="14" t="s">
        <v>17498</v>
      </c>
      <c r="E238" s="15" t="str">
        <f>HYPERLINK("https://stat100.ameba.jp/tnk47/ratio20/illustrations/card/ill_97213_tenshikuramitsuha03.jpg?202104-5-RELEASE-marathon-526xx", "■")</f>
        <v>■</v>
      </c>
      <c r="F238" s="14" t="s">
        <v>17497</v>
      </c>
      <c r="G238" s="14">
        <v>46676</v>
      </c>
      <c r="H238" s="14">
        <v>56138</v>
      </c>
      <c r="I238" s="14">
        <v>27</v>
      </c>
      <c r="J238" s="14" t="s">
        <v>44</v>
      </c>
      <c r="K238" s="14" t="s">
        <v>17496</v>
      </c>
      <c r="L238" s="14" t="s">
        <v>3780</v>
      </c>
      <c r="M238" s="14" t="s">
        <v>9158</v>
      </c>
      <c r="N238" s="14" t="s">
        <v>9158</v>
      </c>
      <c r="O238" s="14" t="s">
        <v>9158</v>
      </c>
      <c r="P238" s="14" t="s">
        <v>9158</v>
      </c>
      <c r="Q238" s="14" t="s">
        <v>9158</v>
      </c>
      <c r="T238" s="7"/>
    </row>
    <row r="240" spans="1:20">
      <c r="A240" s="14" t="s">
        <v>3916</v>
      </c>
    </row>
    <row r="241" spans="1:17">
      <c r="A241" s="14">
        <v>108013</v>
      </c>
      <c r="B241" s="14" t="s">
        <v>17428</v>
      </c>
    </row>
    <row r="242" spans="1:17">
      <c r="A242" s="14">
        <v>71013</v>
      </c>
      <c r="B242" s="14" t="s">
        <v>334</v>
      </c>
      <c r="C242" s="14" t="s">
        <v>154</v>
      </c>
      <c r="D242" s="19" t="s">
        <v>837</v>
      </c>
      <c r="E242" s="15" t="str">
        <f>HYPERLINK("https://stat100.ameba.jp/tnk47/ratio20/illustrations/card/ill_71013_fujutsushisarashina03.jpg?202104-5-RELEASE-marathon-526xx", "■")</f>
        <v>■</v>
      </c>
      <c r="F242" s="14" t="s">
        <v>838</v>
      </c>
      <c r="G242" s="14">
        <v>116296</v>
      </c>
      <c r="H242" s="14">
        <v>125078</v>
      </c>
      <c r="I242" s="14">
        <v>29</v>
      </c>
      <c r="J242" s="14" t="s">
        <v>155</v>
      </c>
      <c r="K242" s="14" t="s">
        <v>1231</v>
      </c>
      <c r="L242" s="14" t="s">
        <v>13152</v>
      </c>
      <c r="M242" s="14" t="s">
        <v>9864</v>
      </c>
      <c r="N242" s="14" t="s">
        <v>9158</v>
      </c>
      <c r="O242" s="14" t="s">
        <v>9158</v>
      </c>
      <c r="P242" s="14" t="s">
        <v>9158</v>
      </c>
      <c r="Q242" s="14" t="s">
        <v>9158</v>
      </c>
    </row>
    <row r="243" spans="1:17">
      <c r="A243" s="14">
        <v>71023</v>
      </c>
      <c r="B243" s="14" t="s">
        <v>334</v>
      </c>
      <c r="C243" s="14" t="s">
        <v>158</v>
      </c>
      <c r="D243" s="19" t="s">
        <v>841</v>
      </c>
      <c r="E243" s="15" t="str">
        <f>HYPERLINK("https://stat100.ameba.jp/tnk47/ratio20/illustrations/card/ill_71023_ommyojiiroha03.jpg?202104-5-RELEASE-marathon-526xx", "■")</f>
        <v>■</v>
      </c>
      <c r="F243" s="14" t="s">
        <v>842</v>
      </c>
      <c r="G243" s="14">
        <v>116296</v>
      </c>
      <c r="H243" s="14">
        <v>125078</v>
      </c>
      <c r="I243" s="14">
        <v>29</v>
      </c>
      <c r="J243" s="14" t="s">
        <v>159</v>
      </c>
      <c r="K243" s="14" t="s">
        <v>1232</v>
      </c>
      <c r="L243" s="14" t="s">
        <v>1233</v>
      </c>
      <c r="M243" s="14" t="s">
        <v>9158</v>
      </c>
      <c r="N243" s="14" t="s">
        <v>9158</v>
      </c>
      <c r="O243" s="14" t="s">
        <v>9158</v>
      </c>
      <c r="P243" s="14" t="s">
        <v>9158</v>
      </c>
      <c r="Q243" s="14" t="s">
        <v>9158</v>
      </c>
    </row>
    <row r="244" spans="1:17">
      <c r="A244" s="14">
        <v>66053</v>
      </c>
      <c r="B244" s="14" t="s">
        <v>334</v>
      </c>
      <c r="C244" s="14" t="s">
        <v>205</v>
      </c>
      <c r="D244" s="19" t="s">
        <v>3046</v>
      </c>
      <c r="E244" s="15" t="str">
        <f>HYPERLINK("https://stat100.ameba.jp/tnk47/ratio20/illustrations/card/ill_66053_serebukushiyatamanokami03.jpg?202104-5-RELEASE-marathon-526xx", "■")</f>
        <v>■</v>
      </c>
      <c r="F244" s="14" t="s">
        <v>2265</v>
      </c>
      <c r="G244" s="14">
        <v>118287</v>
      </c>
      <c r="H244" s="14">
        <v>109970</v>
      </c>
      <c r="I244" s="14">
        <v>29</v>
      </c>
      <c r="J244" s="14" t="s">
        <v>44</v>
      </c>
      <c r="K244" s="14" t="s">
        <v>2266</v>
      </c>
      <c r="L244" s="14" t="s">
        <v>1860</v>
      </c>
      <c r="M244" s="14" t="s">
        <v>9158</v>
      </c>
      <c r="N244" s="14" t="s">
        <v>9158</v>
      </c>
      <c r="O244" s="14" t="s">
        <v>9158</v>
      </c>
      <c r="P244" s="14" t="s">
        <v>9158</v>
      </c>
      <c r="Q244" s="14" t="s">
        <v>9158</v>
      </c>
    </row>
    <row r="245" spans="1:17">
      <c r="A245" s="14">
        <v>65923</v>
      </c>
      <c r="B245" s="14" t="s">
        <v>334</v>
      </c>
      <c r="C245" s="14" t="s">
        <v>185</v>
      </c>
      <c r="D245" s="19" t="s">
        <v>10204</v>
      </c>
      <c r="E245" s="15" t="str">
        <f>HYPERLINK("https://stat100.ameba.jp/tnk47/ratio20/illustrations/card/ill_65923_arabianginko03.jpg?202104-5-RELEASE-marathon-526xx", "■")</f>
        <v>■</v>
      </c>
      <c r="F245" s="14" t="s">
        <v>4978</v>
      </c>
      <c r="G245" s="14">
        <v>120830</v>
      </c>
      <c r="H245" s="14">
        <v>112369</v>
      </c>
      <c r="I245" s="14">
        <v>29</v>
      </c>
      <c r="J245" s="14" t="s">
        <v>182</v>
      </c>
      <c r="K245" s="14" t="s">
        <v>3679</v>
      </c>
      <c r="L245" s="14" t="s">
        <v>13188</v>
      </c>
      <c r="M245" s="14" t="s">
        <v>9158</v>
      </c>
      <c r="N245" s="14" t="s">
        <v>9158</v>
      </c>
      <c r="O245" s="14" t="s">
        <v>9158</v>
      </c>
      <c r="P245" s="14" t="s">
        <v>9158</v>
      </c>
      <c r="Q245" s="14" t="s">
        <v>9158</v>
      </c>
    </row>
    <row r="246" spans="1:17">
      <c r="A246" s="14">
        <v>52863</v>
      </c>
      <c r="B246" s="14" t="s">
        <v>15</v>
      </c>
      <c r="C246" s="14" t="s">
        <v>191</v>
      </c>
      <c r="D246" s="19" t="s">
        <v>10516</v>
      </c>
      <c r="E246" s="15" t="str">
        <f>HYPERLINK("https://stat100.ameba.jp/tnk47/ratio20/illustrations/card/ill_52863_andoroidokingyonota03.jpg?202104-5-RELEASE-marathon-526xx", "■")</f>
        <v>■</v>
      </c>
      <c r="F246" s="14" t="s">
        <v>6409</v>
      </c>
      <c r="G246" s="14">
        <v>64520</v>
      </c>
      <c r="H246" s="14">
        <v>71136</v>
      </c>
      <c r="I246" s="14">
        <v>24</v>
      </c>
      <c r="J246" s="14" t="s">
        <v>38</v>
      </c>
      <c r="K246" s="14" t="s">
        <v>6407</v>
      </c>
      <c r="L246" s="14" t="s">
        <v>6406</v>
      </c>
      <c r="M246" s="14" t="s">
        <v>9158</v>
      </c>
      <c r="N246" s="14" t="s">
        <v>9158</v>
      </c>
      <c r="O246" s="14" t="s">
        <v>9158</v>
      </c>
      <c r="P246" s="14" t="s">
        <v>9158</v>
      </c>
      <c r="Q246" s="14" t="s">
        <v>9158</v>
      </c>
    </row>
    <row r="247" spans="1:17">
      <c r="A247" s="14">
        <v>51593</v>
      </c>
      <c r="B247" s="14" t="s">
        <v>15</v>
      </c>
      <c r="C247" s="14" t="s">
        <v>200</v>
      </c>
      <c r="D247" s="19" t="s">
        <v>10517</v>
      </c>
      <c r="E247" s="15" t="str">
        <f>HYPERLINK("https://stat100.ameba.jp/tnk47/ratio20/illustrations/card/ill_51593_kishuhondatadakatsu03.jpg?202104-5-RELEASE-marathon-526xx", "■")</f>
        <v>■</v>
      </c>
      <c r="F247" s="14" t="s">
        <v>6413</v>
      </c>
      <c r="G247" s="14">
        <v>64520</v>
      </c>
      <c r="H247" s="14">
        <v>71136</v>
      </c>
      <c r="I247" s="14">
        <v>24</v>
      </c>
      <c r="J247" s="14" t="s">
        <v>143</v>
      </c>
      <c r="K247" s="14" t="s">
        <v>6411</v>
      </c>
      <c r="L247" s="14" t="s">
        <v>6410</v>
      </c>
      <c r="M247" s="14" t="s">
        <v>9158</v>
      </c>
      <c r="N247" s="14" t="s">
        <v>9158</v>
      </c>
      <c r="O247" s="14" t="s">
        <v>9158</v>
      </c>
      <c r="P247" s="14" t="s">
        <v>9158</v>
      </c>
      <c r="Q247" s="14" t="s">
        <v>9158</v>
      </c>
    </row>
    <row r="248" spans="1:17">
      <c r="A248" s="14">
        <v>55403</v>
      </c>
      <c r="B248" s="14" t="s">
        <v>15</v>
      </c>
      <c r="C248" s="14" t="s">
        <v>165</v>
      </c>
      <c r="D248" s="19" t="s">
        <v>10518</v>
      </c>
      <c r="E248" s="15" t="str">
        <f>HYPERLINK("https://stat100.ameba.jp/tnk47/ratio20/illustrations/card/ill_55403_undokaikyogokumaria03.jpg?202104-5-RELEASE-marathon-526xx", "■")</f>
        <v>■</v>
      </c>
      <c r="F248" s="14" t="s">
        <v>6417</v>
      </c>
      <c r="G248" s="14">
        <v>71136</v>
      </c>
      <c r="H248" s="14">
        <v>64520</v>
      </c>
      <c r="I248" s="14">
        <v>24</v>
      </c>
      <c r="J248" s="14" t="s">
        <v>77</v>
      </c>
      <c r="K248" s="14" t="s">
        <v>6415</v>
      </c>
      <c r="L248" s="14" t="s">
        <v>6414</v>
      </c>
      <c r="M248" s="14" t="s">
        <v>9158</v>
      </c>
      <c r="N248" s="14" t="s">
        <v>9158</v>
      </c>
      <c r="O248" s="14" t="s">
        <v>9158</v>
      </c>
      <c r="P248" s="14" t="s">
        <v>9158</v>
      </c>
      <c r="Q248" s="14" t="s">
        <v>9158</v>
      </c>
    </row>
    <row r="249" spans="1:17">
      <c r="A249" s="14">
        <v>52973</v>
      </c>
      <c r="B249" s="14" t="s">
        <v>15</v>
      </c>
      <c r="C249" s="14" t="s">
        <v>206</v>
      </c>
      <c r="D249" s="19" t="s">
        <v>10519</v>
      </c>
      <c r="E249" s="15" t="str">
        <f>HYPERLINK("https://stat100.ameba.jp/tnk47/ratio20/illustrations/card/ill_55403_undokaikyogokumaria03.jpg?202104-5-RELEASE-marathon-526xx", "■")</f>
        <v>■</v>
      </c>
      <c r="F249" s="14" t="s">
        <v>6421</v>
      </c>
      <c r="G249" s="14">
        <v>71136</v>
      </c>
      <c r="H249" s="14">
        <v>64520</v>
      </c>
      <c r="I249" s="14">
        <v>24</v>
      </c>
      <c r="J249" s="14" t="s">
        <v>44</v>
      </c>
      <c r="K249" s="14" t="s">
        <v>6419</v>
      </c>
      <c r="L249" s="14" t="s">
        <v>6418</v>
      </c>
      <c r="M249" s="14" t="s">
        <v>9158</v>
      </c>
      <c r="N249" s="14" t="s">
        <v>9158</v>
      </c>
      <c r="O249" s="14" t="s">
        <v>9158</v>
      </c>
      <c r="P249" s="14" t="s">
        <v>9158</v>
      </c>
      <c r="Q249" s="14" t="s">
        <v>9158</v>
      </c>
    </row>
    <row r="251" spans="1:17">
      <c r="A251" s="14" t="s">
        <v>4065</v>
      </c>
    </row>
    <row r="252" spans="1:17">
      <c r="A252" s="14">
        <v>108024</v>
      </c>
      <c r="B252" s="14" t="s">
        <v>4323</v>
      </c>
    </row>
    <row r="253" spans="1:17">
      <c r="A253" s="9" t="s">
        <v>5733</v>
      </c>
      <c r="B253" s="14" t="s">
        <v>330</v>
      </c>
      <c r="C253" s="14" t="s">
        <v>202</v>
      </c>
      <c r="D253" s="14" t="s">
        <v>2744</v>
      </c>
      <c r="E253" s="15" t="str">
        <f>HYPERLINK("https://stat100.ameba.jp/tnk47/ratio20/illustrations/card/ill_78693_0_kyupittokoinomikoto03.jpg?202104-5-RELEASE-marathon-526xx", "■")</f>
        <v>■</v>
      </c>
      <c r="F253" s="14" t="s">
        <v>2745</v>
      </c>
      <c r="G253" s="14">
        <v>293436</v>
      </c>
      <c r="H253" s="14">
        <v>324676</v>
      </c>
      <c r="I253" s="14">
        <v>28</v>
      </c>
      <c r="J253" s="14" t="s">
        <v>274</v>
      </c>
      <c r="K253" s="14" t="s">
        <v>2746</v>
      </c>
      <c r="L253" s="14" t="s">
        <v>2747</v>
      </c>
      <c r="M253" s="14" t="s">
        <v>9158</v>
      </c>
      <c r="N253" s="14" t="s">
        <v>9158</v>
      </c>
      <c r="O253" s="18" t="s">
        <v>10067</v>
      </c>
      <c r="P253" s="14" t="s">
        <v>2748</v>
      </c>
      <c r="Q253" s="14">
        <v>1</v>
      </c>
    </row>
    <row r="254" spans="1:17">
      <c r="A254" s="14">
        <v>82373</v>
      </c>
      <c r="B254" s="14" t="s">
        <v>334</v>
      </c>
      <c r="C254" s="14" t="s">
        <v>191</v>
      </c>
      <c r="D254" s="6" t="s">
        <v>10020</v>
      </c>
      <c r="E254" s="15" t="str">
        <f>HYPERLINK("https://stat100.ameba.jp/tnk47/ratio20/illustrations/card/ill_82373_bikinigaruyasharyujin03.jpg?202104-5-RELEASE-marathon-526xx", "■")</f>
        <v>■</v>
      </c>
      <c r="F254" s="14" t="s">
        <v>5397</v>
      </c>
      <c r="G254" s="14">
        <v>110129</v>
      </c>
      <c r="H254" s="14">
        <v>102386</v>
      </c>
      <c r="I254" s="14">
        <v>27</v>
      </c>
      <c r="J254" s="14" t="s">
        <v>44</v>
      </c>
      <c r="K254" s="14" t="s">
        <v>5398</v>
      </c>
      <c r="L254" s="14" t="s">
        <v>3356</v>
      </c>
      <c r="M254" s="14" t="s">
        <v>9158</v>
      </c>
      <c r="N254" s="14" t="s">
        <v>9158</v>
      </c>
      <c r="O254" s="6" t="s">
        <v>3578</v>
      </c>
      <c r="P254" s="14" t="s">
        <v>3579</v>
      </c>
      <c r="Q254" s="14">
        <v>1</v>
      </c>
    </row>
    <row r="255" spans="1:17">
      <c r="A255" s="14">
        <v>91013</v>
      </c>
      <c r="B255" s="14" t="s">
        <v>0</v>
      </c>
      <c r="C255" s="14" t="s">
        <v>14</v>
      </c>
      <c r="D255" s="18" t="s">
        <v>13451</v>
      </c>
      <c r="E255" s="15" t="str">
        <f>HYPERLINK("https://stat100.ameba.jp/tnk47/ratio20/illustrations/card/ill_91013_mizugiaidorusakurambochan03.jpg?202104-5-RELEASE-marathon-526xx", "■")</f>
        <v>■</v>
      </c>
      <c r="F255" s="14" t="s">
        <v>13452</v>
      </c>
      <c r="G255" s="14">
        <v>127507</v>
      </c>
      <c r="H255" s="14">
        <v>118568</v>
      </c>
      <c r="I255" s="14">
        <v>27</v>
      </c>
      <c r="J255" s="14" t="s">
        <v>104</v>
      </c>
      <c r="K255" s="14" t="s">
        <v>13454</v>
      </c>
      <c r="L255" s="14" t="s">
        <v>12340</v>
      </c>
      <c r="M255" s="14" t="s">
        <v>9158</v>
      </c>
      <c r="N255" s="14" t="s">
        <v>9158</v>
      </c>
      <c r="O255" s="6" t="s">
        <v>3768</v>
      </c>
      <c r="P255" s="7" t="s">
        <v>13453</v>
      </c>
      <c r="Q255" s="7">
        <v>1</v>
      </c>
    </row>
    <row r="256" spans="1:17">
      <c r="A256" s="14">
        <v>92363</v>
      </c>
      <c r="B256" s="14" t="s">
        <v>0</v>
      </c>
      <c r="C256" s="14" t="s">
        <v>1</v>
      </c>
      <c r="D256" s="18" t="s">
        <v>15010</v>
      </c>
      <c r="E256" s="15" t="str">
        <f>HYPERLINK("https://stat100.ameba.jp/tnk47/ratio20/illustrations/card/ill_92363_haroinorochinomusha03.jpg?202104-5-RELEASE-marathon-526xx", "■")</f>
        <v>■</v>
      </c>
      <c r="F256" s="14" t="s">
        <v>15009</v>
      </c>
      <c r="G256" s="14">
        <v>149240</v>
      </c>
      <c r="H256" s="14">
        <v>160507</v>
      </c>
      <c r="I256" s="14">
        <v>27</v>
      </c>
      <c r="J256" s="14" t="s">
        <v>143</v>
      </c>
      <c r="K256" s="14" t="s">
        <v>15007</v>
      </c>
      <c r="L256" s="14" t="s">
        <v>12361</v>
      </c>
      <c r="M256" s="14" t="s">
        <v>9158</v>
      </c>
      <c r="N256" s="14" t="s">
        <v>9158</v>
      </c>
      <c r="O256" s="6" t="s">
        <v>2717</v>
      </c>
      <c r="P256" s="7" t="s">
        <v>15004</v>
      </c>
      <c r="Q256" s="7">
        <v>1</v>
      </c>
    </row>
    <row r="258" spans="1:18">
      <c r="A258" s="14" t="s">
        <v>13327</v>
      </c>
    </row>
    <row r="259" spans="1:18">
      <c r="A259" s="14">
        <v>108029</v>
      </c>
      <c r="B259" s="14" t="s">
        <v>17429</v>
      </c>
    </row>
    <row r="260" spans="1:18">
      <c r="A260" s="14">
        <v>86063</v>
      </c>
      <c r="B260" s="14" t="s">
        <v>334</v>
      </c>
      <c r="C260" s="14" t="s">
        <v>14</v>
      </c>
      <c r="D260" s="19" t="s">
        <v>10818</v>
      </c>
      <c r="E260" s="15" t="str">
        <f>HYPERLINK("https://stat100.ameba.jp/tnk47/ratio20/illustrations/card/ill_86063_uotchimeika03.jpg?202104-5-RELEASE-marathon-526xx", "■")</f>
        <v>■</v>
      </c>
      <c r="F260" s="14" t="s">
        <v>8368</v>
      </c>
      <c r="G260" s="14">
        <v>132737</v>
      </c>
      <c r="H260" s="14">
        <v>142768</v>
      </c>
      <c r="I260" s="14">
        <v>29</v>
      </c>
      <c r="J260" s="14" t="s">
        <v>173</v>
      </c>
      <c r="K260" s="14" t="s">
        <v>8367</v>
      </c>
      <c r="L260" s="14" t="s">
        <v>8366</v>
      </c>
      <c r="M260" s="14" t="s">
        <v>13130</v>
      </c>
      <c r="N260" s="14" t="s">
        <v>343</v>
      </c>
      <c r="O260" s="14" t="s">
        <v>9158</v>
      </c>
      <c r="P260" s="14" t="s">
        <v>9158</v>
      </c>
      <c r="Q260" s="14" t="s">
        <v>9158</v>
      </c>
      <c r="R260" s="14" t="s">
        <v>14748</v>
      </c>
    </row>
    <row r="261" spans="1:18">
      <c r="A261" s="14">
        <v>86062</v>
      </c>
      <c r="B261" s="14" t="s">
        <v>334</v>
      </c>
      <c r="C261" s="14" t="s">
        <v>14</v>
      </c>
      <c r="D261" s="19" t="s">
        <v>10818</v>
      </c>
      <c r="E261" s="15" t="str">
        <f>HYPERLINK("https://stat100.ameba.jp/tnk47/ratio20/illustrations/card/ill_86062_uotchimeika02.jpg?202104-5-RELEASE-marathon-526xx", "■")</f>
        <v>■</v>
      </c>
      <c r="F261" s="14" t="s">
        <v>8368</v>
      </c>
      <c r="G261" s="14">
        <v>109938</v>
      </c>
      <c r="H261" s="14">
        <v>119345</v>
      </c>
      <c r="I261" s="14">
        <v>29</v>
      </c>
      <c r="J261" s="14" t="s">
        <v>173</v>
      </c>
      <c r="K261" s="14" t="s">
        <v>8367</v>
      </c>
      <c r="L261" s="14" t="s">
        <v>8366</v>
      </c>
      <c r="M261" s="14" t="s">
        <v>13131</v>
      </c>
      <c r="N261" s="14" t="s">
        <v>251</v>
      </c>
      <c r="O261" s="14" t="s">
        <v>9158</v>
      </c>
      <c r="P261" s="14" t="s">
        <v>9158</v>
      </c>
      <c r="Q261" s="14" t="s">
        <v>9158</v>
      </c>
      <c r="R261" s="14" t="s">
        <v>14748</v>
      </c>
    </row>
    <row r="262" spans="1:18">
      <c r="A262" s="14">
        <v>86061</v>
      </c>
      <c r="B262" s="14" t="s">
        <v>0</v>
      </c>
      <c r="C262" s="14" t="s">
        <v>14</v>
      </c>
      <c r="D262" s="19" t="s">
        <v>10818</v>
      </c>
      <c r="E262" s="15" t="str">
        <f>HYPERLINK("https://stat100.ameba.jp/tnk47/ratio20/illustrations/card/ill_86061_uotchimeika01.jpg?202104-5-RELEASE-marathon-526xx", "■")</f>
        <v>■</v>
      </c>
      <c r="F262" s="14" t="s">
        <v>8368</v>
      </c>
      <c r="G262" s="14">
        <v>84825</v>
      </c>
      <c r="H262" s="14">
        <v>91118</v>
      </c>
      <c r="I262" s="14">
        <v>29</v>
      </c>
      <c r="J262" s="14" t="s">
        <v>173</v>
      </c>
      <c r="K262" s="14" t="s">
        <v>8367</v>
      </c>
      <c r="L262" s="14" t="s">
        <v>8366</v>
      </c>
      <c r="M262" s="14" t="s">
        <v>13131</v>
      </c>
      <c r="N262" s="14" t="s">
        <v>251</v>
      </c>
      <c r="O262" s="14" t="s">
        <v>9158</v>
      </c>
      <c r="P262" s="14" t="s">
        <v>9158</v>
      </c>
      <c r="Q262" s="14" t="s">
        <v>9158</v>
      </c>
      <c r="R262" s="14" t="s">
        <v>14748</v>
      </c>
    </row>
    <row r="263" spans="1:18">
      <c r="A263" s="14">
        <v>86073</v>
      </c>
      <c r="B263" s="14" t="s">
        <v>334</v>
      </c>
      <c r="C263" s="14" t="s">
        <v>23</v>
      </c>
      <c r="D263" s="19" t="s">
        <v>10819</v>
      </c>
      <c r="E263" s="15" t="str">
        <f>HYPERLINK("https://stat100.ameba.jp/tnk47/ratio20/illustrations/card/ill_86073_maddohatta03.jpg?202104-5-RELEASE-marathon-526xx", "■")</f>
        <v>■</v>
      </c>
      <c r="F263" s="14" t="s">
        <v>8371</v>
      </c>
      <c r="G263" s="14">
        <v>132737</v>
      </c>
      <c r="H263" s="14">
        <v>142768</v>
      </c>
      <c r="I263" s="14">
        <v>29</v>
      </c>
      <c r="J263" s="14" t="s">
        <v>155</v>
      </c>
      <c r="K263" s="14" t="s">
        <v>8370</v>
      </c>
      <c r="L263" s="14" t="s">
        <v>8369</v>
      </c>
      <c r="M263" s="14" t="s">
        <v>13130</v>
      </c>
      <c r="N263" s="14" t="s">
        <v>343</v>
      </c>
      <c r="O263" s="14" t="s">
        <v>9158</v>
      </c>
      <c r="P263" s="14" t="s">
        <v>9158</v>
      </c>
      <c r="Q263" s="14" t="s">
        <v>9158</v>
      </c>
      <c r="R263" s="14" t="s">
        <v>14748</v>
      </c>
    </row>
    <row r="264" spans="1:18">
      <c r="A264" s="14">
        <v>86083</v>
      </c>
      <c r="B264" s="14" t="s">
        <v>334</v>
      </c>
      <c r="C264" s="14" t="s">
        <v>101</v>
      </c>
      <c r="D264" s="19" t="s">
        <v>10820</v>
      </c>
      <c r="E264" s="15" t="str">
        <f>HYPERLINK("https://stat100.ameba.jp/tnk47/ratio20/illustrations/card/ill_86083_keieinochojomeruro03.jpg?202104-5-RELEASE-marathon-526xx", "■")</f>
        <v>■</v>
      </c>
      <c r="F264" s="14" t="s">
        <v>8375</v>
      </c>
      <c r="G264" s="14">
        <v>142768</v>
      </c>
      <c r="H264" s="14">
        <v>132737</v>
      </c>
      <c r="I264" s="14">
        <v>29</v>
      </c>
      <c r="J264" s="14" t="s">
        <v>229</v>
      </c>
      <c r="K264" s="14" t="s">
        <v>8374</v>
      </c>
      <c r="L264" s="14" t="s">
        <v>8373</v>
      </c>
      <c r="M264" s="14" t="s">
        <v>13130</v>
      </c>
      <c r="N264" s="14" t="s">
        <v>343</v>
      </c>
      <c r="O264" s="14" t="s">
        <v>9158</v>
      </c>
      <c r="P264" s="14" t="s">
        <v>9158</v>
      </c>
      <c r="Q264" s="14" t="s">
        <v>9158</v>
      </c>
      <c r="R264" s="14" t="s">
        <v>14748</v>
      </c>
    </row>
    <row r="265" spans="1:18">
      <c r="A265" s="14">
        <v>86093</v>
      </c>
      <c r="B265" s="14" t="s">
        <v>0</v>
      </c>
      <c r="C265" s="14" t="s">
        <v>96</v>
      </c>
      <c r="D265" s="19" t="s">
        <v>10821</v>
      </c>
      <c r="E265" s="15" t="str">
        <f>HYPERLINK("https://stat100.ameba.jp/tnk47/ratio20/illustrations/card/ill_86093_minamotonoyoshimitsu03.jpg?202104-5-RELEASE-marathon-526xx", "■")</f>
        <v>■</v>
      </c>
      <c r="F265" s="14" t="s">
        <v>8379</v>
      </c>
      <c r="G265" s="14">
        <v>142768</v>
      </c>
      <c r="H265" s="14">
        <v>132737</v>
      </c>
      <c r="I265" s="14">
        <v>29</v>
      </c>
      <c r="J265" s="14" t="s">
        <v>194</v>
      </c>
      <c r="K265" s="14" t="s">
        <v>8377</v>
      </c>
      <c r="L265" s="14" t="s">
        <v>8376</v>
      </c>
      <c r="M265" s="14" t="s">
        <v>13130</v>
      </c>
      <c r="N265" s="14" t="s">
        <v>343</v>
      </c>
      <c r="O265" s="14" t="s">
        <v>9158</v>
      </c>
      <c r="P265" s="14" t="s">
        <v>9158</v>
      </c>
      <c r="Q265" s="14" t="s">
        <v>9158</v>
      </c>
      <c r="R265" s="14" t="s">
        <v>14748</v>
      </c>
    </row>
    <row r="266" spans="1:18">
      <c r="A266" s="14">
        <v>86103</v>
      </c>
      <c r="B266" s="14" t="s">
        <v>334</v>
      </c>
      <c r="C266" s="14" t="s">
        <v>205</v>
      </c>
      <c r="D266" s="19" t="s">
        <v>10822</v>
      </c>
      <c r="E266" s="15" t="str">
        <f>HYPERLINK("https://stat100.ameba.jp/tnk47/ratio20/illustrations/card/ill_86103_omatsudaimyojin03.jpg?202104-5-RELEASE-marathon-526xx", "■")</f>
        <v>■</v>
      </c>
      <c r="F266" s="14" t="s">
        <v>8383</v>
      </c>
      <c r="G266" s="14">
        <v>142768</v>
      </c>
      <c r="H266" s="14">
        <v>132737</v>
      </c>
      <c r="I266" s="14">
        <v>29</v>
      </c>
      <c r="J266" s="14" t="s">
        <v>169</v>
      </c>
      <c r="K266" s="14" t="s">
        <v>8381</v>
      </c>
      <c r="L266" s="14" t="s">
        <v>8380</v>
      </c>
      <c r="M266" s="14" t="s">
        <v>13130</v>
      </c>
      <c r="N266" s="14" t="s">
        <v>343</v>
      </c>
      <c r="O266" s="14" t="s">
        <v>9158</v>
      </c>
      <c r="P266" s="14" t="s">
        <v>9158</v>
      </c>
      <c r="Q266" s="14" t="s">
        <v>9158</v>
      </c>
      <c r="R266" s="14" t="s">
        <v>14748</v>
      </c>
    </row>
    <row r="267" spans="1:18">
      <c r="A267" s="14">
        <v>86113</v>
      </c>
      <c r="B267" s="14" t="s">
        <v>334</v>
      </c>
      <c r="C267" s="14" t="s">
        <v>107</v>
      </c>
      <c r="D267" s="19" t="s">
        <v>10823</v>
      </c>
      <c r="E267" s="15" t="str">
        <f>HYPERLINK("https://stat100.ameba.jp/tnk47/ratio20/illustrations/card/ill_86113_yuno03.jpg?202104-5-RELEASE-marathon-526xx", "■")</f>
        <v>■</v>
      </c>
      <c r="F267" s="14" t="s">
        <v>8387</v>
      </c>
      <c r="G267" s="14">
        <v>132737</v>
      </c>
      <c r="H267" s="14">
        <v>142768</v>
      </c>
      <c r="I267" s="14">
        <v>29</v>
      </c>
      <c r="J267" s="14" t="s">
        <v>159</v>
      </c>
      <c r="K267" s="14" t="s">
        <v>8385</v>
      </c>
      <c r="L267" s="14" t="s">
        <v>8384</v>
      </c>
      <c r="M267" s="14" t="s">
        <v>13130</v>
      </c>
      <c r="N267" s="14" t="s">
        <v>343</v>
      </c>
      <c r="O267" s="14" t="s">
        <v>9158</v>
      </c>
      <c r="P267" s="14" t="s">
        <v>9158</v>
      </c>
      <c r="Q267" s="14" t="s">
        <v>9158</v>
      </c>
      <c r="R267" s="14" t="s">
        <v>14748</v>
      </c>
    </row>
    <row r="269" spans="1:18">
      <c r="A269" s="14" t="s">
        <v>17663</v>
      </c>
    </row>
    <row r="270" spans="1:18">
      <c r="A270" s="14">
        <v>237813</v>
      </c>
      <c r="B270" s="14" t="s">
        <v>4326</v>
      </c>
    </row>
    <row r="271" spans="1:18">
      <c r="A271" s="14">
        <v>237819</v>
      </c>
      <c r="B271" s="14" t="s">
        <v>11486</v>
      </c>
    </row>
    <row r="272" spans="1:18">
      <c r="A272" s="14" t="s">
        <v>16989</v>
      </c>
      <c r="B272" s="7" t="s">
        <v>52</v>
      </c>
      <c r="C272" s="14" t="s">
        <v>202</v>
      </c>
      <c r="D272" s="18" t="s">
        <v>16988</v>
      </c>
      <c r="E272" s="15" t="str">
        <f>HYPERLINK("https://stat100.ameba.jp/tnk47/ratio20/illustrations/card/ill_97013_0_kanokaishiranui03.jpg?202104-5-RELEASE-marathon-526xx", "■")</f>
        <v>■</v>
      </c>
      <c r="F272" s="14" t="s">
        <v>16987</v>
      </c>
      <c r="G272" s="14">
        <v>306220</v>
      </c>
      <c r="H272" s="14">
        <v>276738</v>
      </c>
      <c r="I272" s="14">
        <v>29</v>
      </c>
      <c r="J272" s="14" t="s">
        <v>73</v>
      </c>
      <c r="K272" s="14" t="s">
        <v>16986</v>
      </c>
      <c r="L272" s="14" t="s">
        <v>16985</v>
      </c>
      <c r="M272" s="14" t="s">
        <v>9158</v>
      </c>
      <c r="N272" s="14" t="s">
        <v>9158</v>
      </c>
      <c r="O272" s="7" t="s">
        <v>16990</v>
      </c>
      <c r="P272" s="7" t="s">
        <v>16991</v>
      </c>
      <c r="Q272" s="7">
        <v>1</v>
      </c>
    </row>
    <row r="273" spans="1:17">
      <c r="A273" s="14">
        <v>97243</v>
      </c>
      <c r="B273" s="14" t="s">
        <v>0</v>
      </c>
      <c r="C273" s="14" t="s">
        <v>14</v>
      </c>
      <c r="D273" s="14" t="s">
        <v>17346</v>
      </c>
      <c r="E273" s="15" t="str">
        <f>HYPERLINK("https://stat100.ameba.jp/tnk47/ratio20/illustrations/card/ill_97243_fuesuteibaruiwaisepo03.jpg?202104-5-RELEASE-marathon-526xx", "■")</f>
        <v>■</v>
      </c>
      <c r="F273" s="14" t="s">
        <v>17348</v>
      </c>
      <c r="G273" s="14">
        <v>172397</v>
      </c>
      <c r="H273" s="14">
        <v>160296</v>
      </c>
      <c r="I273" s="14">
        <v>29</v>
      </c>
      <c r="J273" s="14" t="s">
        <v>73</v>
      </c>
      <c r="K273" s="14" t="s">
        <v>17347</v>
      </c>
      <c r="L273" s="14" t="s">
        <v>16278</v>
      </c>
      <c r="M273" s="14" t="s">
        <v>9158</v>
      </c>
      <c r="N273" s="14" t="s">
        <v>9158</v>
      </c>
      <c r="O273" s="14" t="s">
        <v>9158</v>
      </c>
      <c r="P273" s="14" t="s">
        <v>9158</v>
      </c>
      <c r="Q273" s="14" t="s">
        <v>9158</v>
      </c>
    </row>
    <row r="274" spans="1:17">
      <c r="A274" s="14">
        <v>97253</v>
      </c>
      <c r="B274" s="14" t="s">
        <v>0</v>
      </c>
      <c r="C274" s="14" t="s">
        <v>96</v>
      </c>
      <c r="D274" s="14" t="s">
        <v>17669</v>
      </c>
      <c r="E274" s="15" t="str">
        <f>HYPERLINK("https://stat100.ameba.jp/tnk47/ratio20/illustrations/card/ill_97253_harumaigio03.jpg?202104-5-RELEASE-marathon-526xx", "■")</f>
        <v>■</v>
      </c>
      <c r="F274" s="14" t="s">
        <v>17668</v>
      </c>
      <c r="G274" s="14">
        <v>109970</v>
      </c>
      <c r="H274" s="14">
        <v>118287</v>
      </c>
      <c r="I274" s="14">
        <v>29</v>
      </c>
      <c r="J274" s="14" t="s">
        <v>10</v>
      </c>
      <c r="K274" s="14" t="s">
        <v>11017</v>
      </c>
      <c r="L274" s="14" t="s">
        <v>17667</v>
      </c>
      <c r="M274" s="14" t="s">
        <v>9158</v>
      </c>
      <c r="N274" s="14" t="s">
        <v>9158</v>
      </c>
      <c r="O274" s="14" t="s">
        <v>9158</v>
      </c>
      <c r="P274" s="14" t="s">
        <v>9158</v>
      </c>
      <c r="Q274" s="14" t="s">
        <v>9158</v>
      </c>
    </row>
    <row r="275" spans="1:17">
      <c r="A275" s="14">
        <v>97263</v>
      </c>
      <c r="B275" s="14" t="s">
        <v>15</v>
      </c>
      <c r="C275" s="14" t="s">
        <v>107</v>
      </c>
      <c r="D275" s="14" t="s">
        <v>17671</v>
      </c>
      <c r="E275" s="15" t="str">
        <f>HYPERLINK("https://stat100.ameba.jp/tnk47/ratio20/illustrations/card/ill_97263_yukataamaminokurosagichan03.jpg?202104-5-RELEASE-marathon-526xx", "■")</f>
        <v>■</v>
      </c>
      <c r="F275" s="14" t="s">
        <v>17670</v>
      </c>
      <c r="G275" s="14">
        <v>85956</v>
      </c>
      <c r="H275" s="14">
        <v>77962</v>
      </c>
      <c r="I275" s="14">
        <v>29</v>
      </c>
      <c r="J275" s="14" t="s">
        <v>26</v>
      </c>
      <c r="K275" s="14" t="s">
        <v>7031</v>
      </c>
      <c r="L275" s="14" t="s">
        <v>2011</v>
      </c>
      <c r="M275" s="14" t="s">
        <v>9158</v>
      </c>
      <c r="N275" s="14" t="s">
        <v>9158</v>
      </c>
      <c r="O275" s="14" t="s">
        <v>9158</v>
      </c>
      <c r="P275" s="14" t="s">
        <v>9158</v>
      </c>
      <c r="Q275" s="14" t="s">
        <v>9158</v>
      </c>
    </row>
    <row r="276" spans="1:17">
      <c r="A276" s="14">
        <v>97273</v>
      </c>
      <c r="B276" s="14" t="s">
        <v>22</v>
      </c>
      <c r="C276" s="14" t="s">
        <v>101</v>
      </c>
      <c r="D276" s="14" t="s">
        <v>17674</v>
      </c>
      <c r="E276" s="15" t="str">
        <f>HYPERLINK("https://stat100.ameba.jp/tnk47/ratio20/illustrations/card/ill_97273_otogibanashinoshirosagi03.jpg?202104-5-RELEASE-marathon-526xx", "■")</f>
        <v>■</v>
      </c>
      <c r="F276" s="14" t="s">
        <v>17673</v>
      </c>
      <c r="G276" s="14">
        <v>50134</v>
      </c>
      <c r="H276" s="14">
        <v>60296</v>
      </c>
      <c r="I276" s="14">
        <v>29</v>
      </c>
      <c r="J276" s="14" t="s">
        <v>38</v>
      </c>
      <c r="K276" s="14" t="s">
        <v>17672</v>
      </c>
      <c r="L276" s="14" t="s">
        <v>2015</v>
      </c>
      <c r="M276" s="14" t="s">
        <v>9158</v>
      </c>
      <c r="N276" s="14" t="s">
        <v>9158</v>
      </c>
      <c r="O276" s="14" t="s">
        <v>9158</v>
      </c>
      <c r="P276" s="14" t="s">
        <v>9158</v>
      </c>
      <c r="Q276" s="14" t="s">
        <v>9158</v>
      </c>
    </row>
    <row r="277" spans="1:17">
      <c r="A277" s="14">
        <v>97283</v>
      </c>
      <c r="B277" s="14" t="s">
        <v>22</v>
      </c>
      <c r="C277" s="14" t="s">
        <v>23</v>
      </c>
      <c r="D277" s="14" t="s">
        <v>17677</v>
      </c>
      <c r="E277" s="15" t="str">
        <f>HYPERLINK("https://stat100.ameba.jp/tnk47/ratio20/illustrations/card/ill_97283_amezaiku03.jpg?202104-5-RELEASE-marathon-526xx", "■")</f>
        <v>■</v>
      </c>
      <c r="F277" s="14" t="s">
        <v>17676</v>
      </c>
      <c r="G277" s="14">
        <v>60296</v>
      </c>
      <c r="H277" s="14">
        <v>50134</v>
      </c>
      <c r="I277" s="14">
        <v>29</v>
      </c>
      <c r="J277" s="14" t="s">
        <v>104</v>
      </c>
      <c r="K277" s="14" t="s">
        <v>17675</v>
      </c>
      <c r="L277" s="14" t="s">
        <v>2674</v>
      </c>
      <c r="M277" s="14" t="s">
        <v>9158</v>
      </c>
      <c r="N277" s="14" t="s">
        <v>9158</v>
      </c>
      <c r="O277" s="14" t="s">
        <v>9158</v>
      </c>
      <c r="P277" s="14" t="s">
        <v>9158</v>
      </c>
      <c r="Q277" s="14" t="s">
        <v>9158</v>
      </c>
    </row>
    <row r="279" spans="1:17">
      <c r="A279" s="14" t="s">
        <v>3905</v>
      </c>
    </row>
    <row r="280" spans="1:17">
      <c r="A280" s="14">
        <v>237878</v>
      </c>
      <c r="B280" s="14" t="s">
        <v>17664</v>
      </c>
    </row>
    <row r="281" spans="1:17">
      <c r="A281" s="9" t="s">
        <v>5611</v>
      </c>
      <c r="B281" s="14" t="s">
        <v>330</v>
      </c>
      <c r="C281" s="14" t="s">
        <v>185</v>
      </c>
      <c r="D281" s="14" t="s">
        <v>539</v>
      </c>
      <c r="E281" s="15" t="str">
        <f>HYPERLINK("https://stat100.ameba.jp/tnk47/ratio20/illustrations/card/ill_60633_0_harumaisentoin03.jpg?202104-5-RELEASE-marathon-526xx", "■")</f>
        <v>■</v>
      </c>
      <c r="F281" s="14" t="s">
        <v>540</v>
      </c>
      <c r="G281" s="14">
        <v>139878</v>
      </c>
      <c r="H281" s="14">
        <v>150466</v>
      </c>
      <c r="I281" s="14">
        <v>22</v>
      </c>
      <c r="J281" s="14" t="s">
        <v>274</v>
      </c>
      <c r="K281" s="14" t="s">
        <v>541</v>
      </c>
      <c r="L281" s="14" t="s">
        <v>542</v>
      </c>
      <c r="M281" s="14" t="s">
        <v>9158</v>
      </c>
      <c r="N281" s="14" t="s">
        <v>9158</v>
      </c>
      <c r="O281" s="9" t="s">
        <v>2888</v>
      </c>
      <c r="P281" s="14" t="s">
        <v>3144</v>
      </c>
      <c r="Q281" s="14">
        <v>1</v>
      </c>
    </row>
    <row r="282" spans="1:17">
      <c r="A282" s="9" t="s">
        <v>5725</v>
      </c>
      <c r="B282" s="14" t="s">
        <v>52</v>
      </c>
      <c r="C282" s="14" t="s">
        <v>107</v>
      </c>
      <c r="D282" s="14" t="s">
        <v>55</v>
      </c>
      <c r="E282" s="15" t="str">
        <f>HYPERLINK("https://stat100.ameba.jp/tnk47/ratio20/illustrations/card/ill_52693_0_sengokumibirakiyanagiharabyakuren03.jpg?202104-5-RELEASE-marathon-526xx", "■")</f>
        <v>■</v>
      </c>
      <c r="F282" s="14" t="s">
        <v>1246</v>
      </c>
      <c r="G282" s="14">
        <v>122776</v>
      </c>
      <c r="H282" s="14">
        <v>138212</v>
      </c>
      <c r="I282" s="14">
        <v>22</v>
      </c>
      <c r="J282" s="14" t="s">
        <v>16</v>
      </c>
      <c r="K282" s="14" t="s">
        <v>1247</v>
      </c>
      <c r="L282" s="14" t="s">
        <v>1248</v>
      </c>
      <c r="M282" s="14" t="s">
        <v>9158</v>
      </c>
      <c r="N282" s="14" t="s">
        <v>9158</v>
      </c>
      <c r="O282" s="9" t="s">
        <v>3303</v>
      </c>
      <c r="P282" s="14" t="s">
        <v>3304</v>
      </c>
      <c r="Q282" s="14">
        <v>1</v>
      </c>
    </row>
    <row r="283" spans="1:17">
      <c r="A283" s="14" t="s">
        <v>9473</v>
      </c>
      <c r="B283" s="14" t="s">
        <v>330</v>
      </c>
      <c r="C283" s="14" t="s">
        <v>191</v>
      </c>
      <c r="D283" s="19" t="s">
        <v>393</v>
      </c>
      <c r="E283" s="15" t="str">
        <f>HYPERLINK("https://stat100.ameba.jp/tnk47/ratio20/illustrations/card/ill_46283_0_odanobunaga03.jpg?202104-5-RELEASE-marathon-526xx", "■")</f>
        <v>■</v>
      </c>
      <c r="F283" s="14" t="s">
        <v>1073</v>
      </c>
      <c r="G283" s="14">
        <v>120576</v>
      </c>
      <c r="H283" s="14">
        <v>128744</v>
      </c>
      <c r="I283" s="14">
        <v>22</v>
      </c>
      <c r="J283" s="14" t="s">
        <v>143</v>
      </c>
      <c r="K283" s="14" t="s">
        <v>1074</v>
      </c>
      <c r="L283" s="14" t="s">
        <v>1075</v>
      </c>
      <c r="M283" s="14" t="s">
        <v>9158</v>
      </c>
      <c r="N283" s="14" t="s">
        <v>9158</v>
      </c>
      <c r="O283" s="9" t="s">
        <v>9158</v>
      </c>
      <c r="P283" s="14" t="s">
        <v>9158</v>
      </c>
      <c r="Q283" s="14" t="s">
        <v>9158</v>
      </c>
    </row>
    <row r="284" spans="1:17">
      <c r="A284" s="14">
        <v>86613</v>
      </c>
      <c r="B284" s="14" t="s">
        <v>0</v>
      </c>
      <c r="C284" s="14" t="s">
        <v>200</v>
      </c>
      <c r="D284" s="19" t="s">
        <v>10991</v>
      </c>
      <c r="E284" s="15" t="str">
        <f>HYPERLINK("https://stat100.ameba.jp/tnk47/ratio20/illustrations/card/ill_86613_uintasupotsukasutaniichiyo03.jpg?202104-5-RELEASE-marathon-526xx", "■")</f>
        <v>■</v>
      </c>
      <c r="F284" s="14" t="s">
        <v>9766</v>
      </c>
      <c r="G284" s="14">
        <v>78696</v>
      </c>
      <c r="H284" s="14">
        <v>139860</v>
      </c>
      <c r="I284" s="14">
        <v>29</v>
      </c>
      <c r="J284" s="14" t="s">
        <v>173</v>
      </c>
      <c r="K284" s="14" t="s">
        <v>9765</v>
      </c>
      <c r="L284" s="14" t="s">
        <v>5436</v>
      </c>
      <c r="M284" s="14" t="s">
        <v>9158</v>
      </c>
      <c r="N284" s="14" t="s">
        <v>9158</v>
      </c>
      <c r="O284" s="14" t="s">
        <v>9158</v>
      </c>
      <c r="P284" s="14" t="s">
        <v>9158</v>
      </c>
      <c r="Q284" s="14" t="s">
        <v>9158</v>
      </c>
    </row>
    <row r="285" spans="1:17">
      <c r="A285" s="14">
        <v>85273</v>
      </c>
      <c r="B285" s="14" t="s">
        <v>0</v>
      </c>
      <c r="C285" s="14" t="s">
        <v>191</v>
      </c>
      <c r="D285" s="19" t="s">
        <v>10793</v>
      </c>
      <c r="E285" s="15" t="str">
        <f>HYPERLINK("https://stat100.ameba.jp/tnk47/ratio20/illustrations/card/ill_85273_rikuriru03.jpg?202104-5-RELEASE-marathon-526xx", "■")</f>
        <v>■</v>
      </c>
      <c r="F285" s="14" t="s">
        <v>8192</v>
      </c>
      <c r="G285" s="14">
        <v>78696</v>
      </c>
      <c r="H285" s="14">
        <v>139860</v>
      </c>
      <c r="I285" s="14">
        <v>29</v>
      </c>
      <c r="J285" s="14" t="s">
        <v>315</v>
      </c>
      <c r="K285" s="14" t="s">
        <v>8191</v>
      </c>
      <c r="L285" s="14" t="s">
        <v>7158</v>
      </c>
      <c r="M285" s="14" t="s">
        <v>9158</v>
      </c>
      <c r="N285" s="14" t="s">
        <v>9158</v>
      </c>
      <c r="O285" s="14" t="s">
        <v>9158</v>
      </c>
      <c r="P285" s="14" t="s">
        <v>9158</v>
      </c>
      <c r="Q285" s="14" t="s">
        <v>9158</v>
      </c>
    </row>
    <row r="286" spans="1:17">
      <c r="A286" s="14">
        <v>81373</v>
      </c>
      <c r="B286" s="14" t="s">
        <v>0</v>
      </c>
      <c r="C286" s="14" t="s">
        <v>165</v>
      </c>
      <c r="D286" s="19" t="s">
        <v>10710</v>
      </c>
      <c r="E286" s="15" t="str">
        <f>HYPERLINK("https://stat100.ameba.jp/tnk47/ratio20/illustrations/card/ill_81373_hakatadontakuhayamisosei03.jpg?202104-5-RELEASE-marathon-526xx", "■")</f>
        <v>■</v>
      </c>
      <c r="F286" s="14" t="s">
        <v>4610</v>
      </c>
      <c r="G286" s="14">
        <v>105281</v>
      </c>
      <c r="H286" s="14">
        <v>113277</v>
      </c>
      <c r="I286" s="14">
        <v>29</v>
      </c>
      <c r="J286" s="14" t="s">
        <v>10</v>
      </c>
      <c r="K286" s="14" t="s">
        <v>4611</v>
      </c>
      <c r="L286" s="14" t="s">
        <v>4612</v>
      </c>
      <c r="M286" s="14" t="s">
        <v>9158</v>
      </c>
      <c r="N286" s="14" t="s">
        <v>9158</v>
      </c>
      <c r="O286" s="14" t="s">
        <v>9158</v>
      </c>
      <c r="P286" s="14" t="s">
        <v>9158</v>
      </c>
      <c r="Q286" s="14" t="s">
        <v>9158</v>
      </c>
    </row>
    <row r="288" spans="1:17">
      <c r="A288" s="14" t="s">
        <v>16607</v>
      </c>
    </row>
    <row r="289" spans="1:18">
      <c r="A289" s="14">
        <v>108092</v>
      </c>
      <c r="B289" s="14" t="s">
        <v>17665</v>
      </c>
    </row>
    <row r="290" spans="1:18">
      <c r="A290" s="14">
        <v>108102</v>
      </c>
      <c r="B290" s="14" t="s">
        <v>17666</v>
      </c>
    </row>
    <row r="291" spans="1:18">
      <c r="A291" s="14">
        <v>94763</v>
      </c>
      <c r="B291" s="14" t="s">
        <v>117</v>
      </c>
      <c r="C291" s="14" t="s">
        <v>35</v>
      </c>
      <c r="D291" s="14" t="s">
        <v>16616</v>
      </c>
      <c r="E291" s="15" t="str">
        <f>HYPERLINK("https://stat100.ameba.jp/tnk47/ratio20/illustrations/card/ill_94763_sosenkyotenshoinatsuhime03.jpg?202104-5-RELEASE-marathon-526xx", "■")</f>
        <v>■</v>
      </c>
      <c r="F291" s="14" t="s">
        <v>16615</v>
      </c>
      <c r="G291" s="14">
        <v>397612</v>
      </c>
      <c r="H291" s="14">
        <v>359360</v>
      </c>
      <c r="I291" s="14">
        <v>31</v>
      </c>
      <c r="J291" s="14" t="s">
        <v>10</v>
      </c>
      <c r="K291" s="14" t="s">
        <v>16614</v>
      </c>
      <c r="L291" s="14" t="s">
        <v>16611</v>
      </c>
      <c r="M291" s="14" t="s">
        <v>9158</v>
      </c>
      <c r="N291" s="14" t="s">
        <v>9158</v>
      </c>
      <c r="O291" s="14" t="s">
        <v>16612</v>
      </c>
      <c r="P291" s="14" t="s">
        <v>16613</v>
      </c>
      <c r="Q291" s="14">
        <v>1</v>
      </c>
    </row>
    <row r="292" spans="1:18">
      <c r="A292" s="14">
        <v>84143</v>
      </c>
      <c r="B292" s="14" t="s">
        <v>0</v>
      </c>
      <c r="C292" s="14" t="s">
        <v>185</v>
      </c>
      <c r="D292" s="19" t="s">
        <v>10657</v>
      </c>
      <c r="E292" s="15" t="str">
        <f>HYPERLINK("https://stat100.ameba.jp/tnk47/ratio20/illustrations/card/ill_84143_tarottoyoshihime03.jpg?202104-5-RELEASE-marathon-526xx", "■")</f>
        <v>■</v>
      </c>
      <c r="F292" s="14" t="s">
        <v>7157</v>
      </c>
      <c r="G292" s="14">
        <v>105281</v>
      </c>
      <c r="H292" s="14">
        <v>113277</v>
      </c>
      <c r="I292" s="14">
        <v>29</v>
      </c>
      <c r="J292" s="14" t="s">
        <v>77</v>
      </c>
      <c r="K292" s="14" t="s">
        <v>7159</v>
      </c>
      <c r="L292" s="14" t="s">
        <v>7158</v>
      </c>
      <c r="M292" s="14" t="s">
        <v>2138</v>
      </c>
      <c r="N292" s="14" t="s">
        <v>2139</v>
      </c>
      <c r="O292" s="14" t="s">
        <v>9158</v>
      </c>
      <c r="P292" s="14" t="s">
        <v>9158</v>
      </c>
      <c r="Q292" s="14" t="s">
        <v>9158</v>
      </c>
      <c r="R292" s="14" t="s">
        <v>13120</v>
      </c>
    </row>
    <row r="293" spans="1:18">
      <c r="A293" s="14">
        <v>83493</v>
      </c>
      <c r="B293" s="14" t="s">
        <v>334</v>
      </c>
      <c r="C293" s="14" t="s">
        <v>23</v>
      </c>
      <c r="D293" s="19" t="s">
        <v>10557</v>
      </c>
      <c r="E293" s="15" t="str">
        <f>HYPERLINK("https://stat100.ameba.jp/tnk47/ratio20/illustrations/card/ill_83493_kajuenfurutsubakinorei03.jpg?202104-5-RELEASE-marathon-526xx", "■")</f>
        <v>■</v>
      </c>
      <c r="F293" s="14" t="s">
        <v>6606</v>
      </c>
      <c r="G293" s="14">
        <v>112369</v>
      </c>
      <c r="H293" s="14">
        <v>120830</v>
      </c>
      <c r="I293" s="14">
        <v>29</v>
      </c>
      <c r="J293" s="14" t="s">
        <v>73</v>
      </c>
      <c r="K293" s="14" t="s">
        <v>6605</v>
      </c>
      <c r="L293" s="14" t="s">
        <v>2007</v>
      </c>
      <c r="M293" s="14" t="s">
        <v>2138</v>
      </c>
      <c r="N293" s="14" t="s">
        <v>2139</v>
      </c>
      <c r="O293" s="14" t="s">
        <v>9158</v>
      </c>
      <c r="P293" s="14" t="s">
        <v>9158</v>
      </c>
      <c r="Q293" s="14" t="s">
        <v>9158</v>
      </c>
      <c r="R293" s="14" t="s">
        <v>13120</v>
      </c>
    </row>
    <row r="294" spans="1:18">
      <c r="A294" s="9">
        <v>81133</v>
      </c>
      <c r="B294" s="14" t="s">
        <v>334</v>
      </c>
      <c r="C294" s="14" t="s">
        <v>191</v>
      </c>
      <c r="D294" s="14" t="s">
        <v>4513</v>
      </c>
      <c r="E294" s="15" t="str">
        <f>HYPERLINK("https://stat100.ameba.jp/tnk47/ratio20/illustrations/card/ill_81133_shinryokunokisetsuhisui03.jpg?202104-5-RELEASE-marathon-526xx", "■")</f>
        <v>■</v>
      </c>
      <c r="F294" s="14" t="s">
        <v>4514</v>
      </c>
      <c r="G294" s="14">
        <v>132112</v>
      </c>
      <c r="H294" s="14">
        <v>122834</v>
      </c>
      <c r="I294" s="14">
        <v>29</v>
      </c>
      <c r="J294" s="14" t="s">
        <v>26</v>
      </c>
      <c r="K294" s="14" t="s">
        <v>4515</v>
      </c>
      <c r="L294" s="14" t="s">
        <v>1086</v>
      </c>
      <c r="M294" s="14" t="s">
        <v>2138</v>
      </c>
      <c r="N294" s="14" t="s">
        <v>2139</v>
      </c>
      <c r="O294" s="14" t="s">
        <v>9158</v>
      </c>
      <c r="P294" s="14" t="s">
        <v>9158</v>
      </c>
      <c r="Q294" s="14" t="s">
        <v>9158</v>
      </c>
      <c r="R294" s="14" t="s">
        <v>13120</v>
      </c>
    </row>
    <row r="295" spans="1:18">
      <c r="A295" s="14">
        <v>85473</v>
      </c>
      <c r="B295" s="14" t="s">
        <v>0</v>
      </c>
      <c r="C295" s="14" t="s">
        <v>165</v>
      </c>
      <c r="D295" s="20" t="s">
        <v>10808</v>
      </c>
      <c r="E295" s="15" t="str">
        <f>HYPERLINK("https://stat100.ameba.jp/tnk47/ratio20/illustrations/card/ill_85473_seitankuronikurunaitojuria03.jpg?202104-5-RELEASE-marathon-526xx", "■")</f>
        <v>■</v>
      </c>
      <c r="F295" s="14" t="s">
        <v>8460</v>
      </c>
      <c r="G295" s="14">
        <v>113277</v>
      </c>
      <c r="H295" s="14">
        <v>105281</v>
      </c>
      <c r="I295" s="14">
        <v>29</v>
      </c>
      <c r="J295" s="14" t="s">
        <v>77</v>
      </c>
      <c r="K295" s="14" t="s">
        <v>8459</v>
      </c>
      <c r="L295" s="14" t="s">
        <v>4678</v>
      </c>
      <c r="M295" s="14" t="s">
        <v>2138</v>
      </c>
      <c r="N295" s="14" t="s">
        <v>2139</v>
      </c>
      <c r="O295" s="14" t="s">
        <v>9158</v>
      </c>
      <c r="P295" s="14" t="s">
        <v>9158</v>
      </c>
      <c r="Q295" s="14" t="s">
        <v>9158</v>
      </c>
      <c r="R295" s="14" t="s">
        <v>13120</v>
      </c>
    </row>
    <row r="296" spans="1:18">
      <c r="A296" s="14">
        <v>82383</v>
      </c>
      <c r="B296" s="14" t="s">
        <v>334</v>
      </c>
      <c r="C296" s="14" t="s">
        <v>1</v>
      </c>
      <c r="D296" s="19" t="s">
        <v>10321</v>
      </c>
      <c r="E296" s="15" t="str">
        <f>HYPERLINK("https://stat100.ameba.jp/tnk47/ratio20/illustrations/card/ill_82383_bikinigaruyagamihime03.jpg?202104-5-RELEASE-marathon-526xx", "■")</f>
        <v>■</v>
      </c>
      <c r="F296" s="14" t="s">
        <v>5402</v>
      </c>
      <c r="G296" s="14">
        <v>132346</v>
      </c>
      <c r="H296" s="14">
        <v>122834</v>
      </c>
      <c r="I296" s="14">
        <v>29</v>
      </c>
      <c r="J296" s="14" t="s">
        <v>38</v>
      </c>
      <c r="K296" s="14" t="s">
        <v>5399</v>
      </c>
      <c r="L296" s="14" t="s">
        <v>5400</v>
      </c>
      <c r="M296" s="14" t="s">
        <v>2138</v>
      </c>
      <c r="N296" s="14" t="s">
        <v>2139</v>
      </c>
      <c r="O296" s="14" t="s">
        <v>9158</v>
      </c>
      <c r="P296" s="14" t="s">
        <v>9158</v>
      </c>
      <c r="Q296" s="14" t="s">
        <v>9158</v>
      </c>
      <c r="R296" s="14" t="s">
        <v>13120</v>
      </c>
    </row>
    <row r="297" spans="1:18">
      <c r="A297" s="9">
        <v>79333</v>
      </c>
      <c r="B297" s="9" t="s">
        <v>334</v>
      </c>
      <c r="C297" s="9" t="s">
        <v>206</v>
      </c>
      <c r="D297" s="9" t="s">
        <v>11054</v>
      </c>
      <c r="E297" s="15" t="str">
        <f>HYPERLINK("https://stat100.ameba.jp/tnk47/ratio20/illustrations/card/ill_79333_hommeichokochokoretokeki03.jpg?202104-5-RELEASE-marathon-526xx", "■")</f>
        <v>■</v>
      </c>
      <c r="F297" s="9" t="s">
        <v>11055</v>
      </c>
      <c r="G297" s="9">
        <v>127350</v>
      </c>
      <c r="H297" s="9">
        <v>136953</v>
      </c>
      <c r="I297" s="14">
        <v>29</v>
      </c>
      <c r="J297" s="9" t="s">
        <v>283</v>
      </c>
      <c r="K297" s="9" t="s">
        <v>11056</v>
      </c>
      <c r="L297" s="9" t="s">
        <v>11057</v>
      </c>
      <c r="M297" s="9" t="s">
        <v>342</v>
      </c>
      <c r="N297" s="9" t="s">
        <v>343</v>
      </c>
      <c r="O297" s="14" t="s">
        <v>9158</v>
      </c>
      <c r="P297" s="14" t="s">
        <v>9158</v>
      </c>
      <c r="Q297" s="14" t="s">
        <v>9158</v>
      </c>
      <c r="R297" s="9" t="s">
        <v>13120</v>
      </c>
    </row>
    <row r="299" spans="1:18">
      <c r="A299" s="14" t="s">
        <v>17748</v>
      </c>
    </row>
    <row r="300" spans="1:18">
      <c r="A300" s="14">
        <v>237846</v>
      </c>
      <c r="B300" s="14" t="s">
        <v>4343</v>
      </c>
    </row>
    <row r="301" spans="1:18">
      <c r="A301" s="14">
        <v>97295</v>
      </c>
      <c r="B301" s="14" t="s">
        <v>0</v>
      </c>
      <c r="C301" s="14" t="s">
        <v>202</v>
      </c>
      <c r="D301" s="18" t="s">
        <v>17753</v>
      </c>
      <c r="E301" s="15" t="str">
        <f>HYPERLINK("https://stat100.ameba.jp/tnk47/ratio20/illustrations/card/ill_97295_bishamontenchan05.jpg?202104-5-RELEASE-marathon-526xxx", "■")</f>
        <v>■</v>
      </c>
      <c r="F301" s="14" t="s">
        <v>17752</v>
      </c>
      <c r="G301" s="14">
        <v>98713</v>
      </c>
      <c r="H301" s="14">
        <v>136338</v>
      </c>
      <c r="I301" s="14">
        <v>29</v>
      </c>
      <c r="J301" s="14" t="s">
        <v>44</v>
      </c>
      <c r="K301" s="14" t="s">
        <v>17751</v>
      </c>
      <c r="L301" s="14" t="s">
        <v>16823</v>
      </c>
      <c r="M301" s="14" t="s">
        <v>9158</v>
      </c>
      <c r="N301" s="14" t="s">
        <v>9158</v>
      </c>
      <c r="O301" s="14" t="s">
        <v>9158</v>
      </c>
      <c r="P301" s="14" t="s">
        <v>9158</v>
      </c>
      <c r="Q301" s="14" t="s">
        <v>9158</v>
      </c>
      <c r="R301" s="14" t="s">
        <v>174</v>
      </c>
    </row>
    <row r="302" spans="1:18">
      <c r="A302" s="14">
        <v>97293</v>
      </c>
      <c r="B302" s="14" t="s">
        <v>15</v>
      </c>
      <c r="C302" s="14" t="s">
        <v>41</v>
      </c>
      <c r="D302" s="18" t="s">
        <v>17753</v>
      </c>
      <c r="E302" s="15" t="str">
        <f>HYPERLINK("https://stat100.ameba.jp/tnk47/ratio20/illustrations/card/ill_97293_bishamontenchan03.jpg?202104-5-RELEASE-marathon-526xxx", "■")</f>
        <v>■</v>
      </c>
      <c r="F302" s="14" t="s">
        <v>17752</v>
      </c>
      <c r="G302" s="14">
        <v>72725</v>
      </c>
      <c r="H302" s="14">
        <v>100441</v>
      </c>
      <c r="I302" s="14">
        <v>29</v>
      </c>
      <c r="J302" s="14" t="s">
        <v>44</v>
      </c>
      <c r="K302" s="14" t="s">
        <v>17751</v>
      </c>
      <c r="L302" s="14" t="s">
        <v>17754</v>
      </c>
      <c r="M302" s="14" t="s">
        <v>9158</v>
      </c>
      <c r="N302" s="14" t="s">
        <v>9158</v>
      </c>
      <c r="O302" s="14" t="s">
        <v>9158</v>
      </c>
      <c r="P302" s="14" t="s">
        <v>9158</v>
      </c>
      <c r="Q302" s="14" t="s">
        <v>9158</v>
      </c>
      <c r="R302" s="14" t="s">
        <v>175</v>
      </c>
    </row>
    <row r="303" spans="1:18">
      <c r="A303" s="14">
        <v>97291</v>
      </c>
      <c r="B303" s="14" t="s">
        <v>15</v>
      </c>
      <c r="C303" s="14" t="s">
        <v>41</v>
      </c>
      <c r="D303" s="18" t="s">
        <v>17753</v>
      </c>
      <c r="E303" s="15" t="str">
        <f>HYPERLINK("https://stat100.ameba.jp/tnk47/ratio20/illustrations/card/ill_97291_bishamontenchan01.jpg?202104-5-RELEASE-marathon-526xxx", "■")</f>
        <v>■</v>
      </c>
      <c r="F303" s="14" t="s">
        <v>17752</v>
      </c>
      <c r="G303" s="14">
        <v>46255</v>
      </c>
      <c r="H303" s="14">
        <v>63887</v>
      </c>
      <c r="I303" s="14">
        <v>29</v>
      </c>
      <c r="J303" s="14" t="s">
        <v>44</v>
      </c>
      <c r="K303" s="14" t="s">
        <v>17751</v>
      </c>
      <c r="L303" s="14" t="s">
        <v>17755</v>
      </c>
      <c r="M303" s="14" t="s">
        <v>9158</v>
      </c>
      <c r="N303" s="14" t="s">
        <v>9158</v>
      </c>
      <c r="O303" s="14" t="s">
        <v>9158</v>
      </c>
      <c r="P303" s="14" t="s">
        <v>9158</v>
      </c>
      <c r="Q303" s="14" t="s">
        <v>9158</v>
      </c>
      <c r="R303" s="14" t="s">
        <v>176</v>
      </c>
    </row>
    <row r="305" spans="1:19">
      <c r="A305" s="14" t="s">
        <v>17749</v>
      </c>
    </row>
    <row r="306" spans="1:19">
      <c r="A306" s="14">
        <v>108048</v>
      </c>
      <c r="B306" s="14" t="s">
        <v>12229</v>
      </c>
    </row>
    <row r="307" spans="1:19">
      <c r="A307" s="14">
        <v>72343</v>
      </c>
      <c r="B307" s="14" t="s">
        <v>0</v>
      </c>
      <c r="C307" s="14" t="s">
        <v>47</v>
      </c>
      <c r="D307" s="14" t="s">
        <v>17758</v>
      </c>
      <c r="E307" s="15" t="str">
        <f>HYPERLINK("https://stat100.ameba.jp/tnk47/ratio20/illustrations/card/ill_72343_hinaijidori03.jpg?202104-5-RELEASE-marathon-526xxx", "■")</f>
        <v>■</v>
      </c>
      <c r="F307" s="14" t="s">
        <v>17757</v>
      </c>
      <c r="G307" s="14">
        <v>127350</v>
      </c>
      <c r="H307" s="14">
        <v>136953</v>
      </c>
      <c r="I307" s="14">
        <v>29</v>
      </c>
      <c r="J307" s="14" t="s">
        <v>104</v>
      </c>
      <c r="K307" s="14" t="s">
        <v>17756</v>
      </c>
      <c r="L307" s="14" t="s">
        <v>2522</v>
      </c>
      <c r="M307" s="14" t="s">
        <v>9158</v>
      </c>
      <c r="N307" s="14" t="s">
        <v>9158</v>
      </c>
      <c r="O307" s="14" t="s">
        <v>9158</v>
      </c>
      <c r="P307" s="14" t="s">
        <v>9158</v>
      </c>
      <c r="Q307" s="14" t="s">
        <v>9158</v>
      </c>
      <c r="S307" s="14" t="s">
        <v>11843</v>
      </c>
    </row>
    <row r="308" spans="1:19">
      <c r="A308" s="14">
        <v>70743</v>
      </c>
      <c r="B308" s="14" t="s">
        <v>0</v>
      </c>
      <c r="C308" s="14" t="s">
        <v>96</v>
      </c>
      <c r="D308" s="14" t="s">
        <v>17759</v>
      </c>
      <c r="E308" s="15" t="str">
        <f>HYPERLINK("https://stat100.ameba.jp/tnk47/ratio20/illustrations/card/ill_70743_howaitodekitanokata03.jpg?202104-5-RELEASE-marathon-526xxx", "■")</f>
        <v>■</v>
      </c>
      <c r="F308" s="14" t="s">
        <v>3611</v>
      </c>
      <c r="G308" s="14">
        <v>172397</v>
      </c>
      <c r="H308" s="14">
        <v>160296</v>
      </c>
      <c r="I308" s="14">
        <v>29</v>
      </c>
      <c r="J308" s="14" t="s">
        <v>143</v>
      </c>
      <c r="K308" s="14" t="s">
        <v>3612</v>
      </c>
      <c r="L308" s="14" t="s">
        <v>3459</v>
      </c>
      <c r="M308" s="14" t="s">
        <v>9158</v>
      </c>
      <c r="N308" s="14" t="s">
        <v>9158</v>
      </c>
      <c r="O308" s="14" t="s">
        <v>9158</v>
      </c>
      <c r="P308" s="14" t="s">
        <v>9158</v>
      </c>
      <c r="Q308" s="14" t="s">
        <v>9158</v>
      </c>
    </row>
    <row r="309" spans="1:19">
      <c r="A309" s="14">
        <v>65093</v>
      </c>
      <c r="B309" s="14" t="s">
        <v>0</v>
      </c>
      <c r="C309" s="14" t="s">
        <v>107</v>
      </c>
      <c r="D309" s="14" t="s">
        <v>4051</v>
      </c>
      <c r="E309" s="15" t="str">
        <f>HYPERLINK("https://stat100.ameba.jp/tnk47/ratio20/illustrations/card/ill_65093_kyusukumizutachibanaginchiyo03.jpg?202104-5-RELEASE-marathon-526xxx", "■")</f>
        <v>■</v>
      </c>
      <c r="F309" s="14" t="s">
        <v>4052</v>
      </c>
      <c r="G309" s="14">
        <v>113277</v>
      </c>
      <c r="H309" s="14">
        <v>105281</v>
      </c>
      <c r="I309" s="14">
        <v>29</v>
      </c>
      <c r="J309" s="14" t="s">
        <v>77</v>
      </c>
      <c r="K309" s="14" t="s">
        <v>4053</v>
      </c>
      <c r="L309" s="14" t="s">
        <v>76</v>
      </c>
      <c r="M309" s="14" t="s">
        <v>9158</v>
      </c>
      <c r="N309" s="14" t="s">
        <v>9158</v>
      </c>
      <c r="O309" s="14" t="s">
        <v>9158</v>
      </c>
      <c r="P309" s="14" t="s">
        <v>9158</v>
      </c>
      <c r="Q309" s="14" t="s">
        <v>9158</v>
      </c>
    </row>
    <row r="310" spans="1:19">
      <c r="A310" s="14">
        <v>70893</v>
      </c>
      <c r="B310" s="14" t="s">
        <v>15</v>
      </c>
      <c r="C310" s="14" t="s">
        <v>1</v>
      </c>
      <c r="D310" s="14" t="s">
        <v>17762</v>
      </c>
      <c r="E310" s="15" t="str">
        <f>HYPERLINK("https://stat100.ameba.jp/tnk47/ratio20/illustrations/card/ill_70893_sotsugyoshikiakiyamamasayuki03.jpg?202104-5-RELEASE-marathon-526xxx", "■")</f>
        <v>■</v>
      </c>
      <c r="F310" s="14" t="s">
        <v>17761</v>
      </c>
      <c r="G310" s="14">
        <v>53768</v>
      </c>
      <c r="H310" s="14">
        <v>59280</v>
      </c>
      <c r="I310" s="14">
        <v>20</v>
      </c>
      <c r="J310" s="14" t="s">
        <v>143</v>
      </c>
      <c r="K310" s="14" t="s">
        <v>17760</v>
      </c>
      <c r="L310" s="14" t="s">
        <v>3326</v>
      </c>
      <c r="M310" s="14" t="s">
        <v>9158</v>
      </c>
      <c r="N310" s="14" t="s">
        <v>9158</v>
      </c>
      <c r="O310" s="14" t="s">
        <v>9158</v>
      </c>
      <c r="P310" s="14" t="s">
        <v>9158</v>
      </c>
      <c r="Q310" s="14" t="s">
        <v>9158</v>
      </c>
    </row>
    <row r="311" spans="1:19">
      <c r="A311" s="14">
        <v>73343</v>
      </c>
      <c r="B311" s="14" t="s">
        <v>15</v>
      </c>
      <c r="C311" s="14" t="s">
        <v>23</v>
      </c>
      <c r="D311" s="14" t="s">
        <v>4565</v>
      </c>
      <c r="E311" s="15" t="str">
        <f>HYPERLINK("https://stat100.ameba.jp/tnk47/ratio20/illustrations/card/ill_73343_takenokozokuchan03.jpg?202104-5-RELEASE-marathon-526xxx", "■")</f>
        <v>■</v>
      </c>
      <c r="F311" s="14" t="s">
        <v>4566</v>
      </c>
      <c r="G311" s="14">
        <v>53768</v>
      </c>
      <c r="H311" s="14">
        <v>59280</v>
      </c>
      <c r="I311" s="14">
        <v>20</v>
      </c>
      <c r="J311" s="14" t="s">
        <v>26</v>
      </c>
      <c r="K311" s="14" t="s">
        <v>4567</v>
      </c>
      <c r="L311" s="14" t="s">
        <v>977</v>
      </c>
      <c r="M311" s="14" t="s">
        <v>9158</v>
      </c>
      <c r="N311" s="14" t="s">
        <v>9158</v>
      </c>
      <c r="O311" s="14" t="s">
        <v>9158</v>
      </c>
      <c r="P311" s="14" t="s">
        <v>9158</v>
      </c>
      <c r="Q311" s="14" t="s">
        <v>9158</v>
      </c>
    </row>
    <row r="312" spans="1:19">
      <c r="A312" s="14">
        <v>74073</v>
      </c>
      <c r="B312" s="14" t="s">
        <v>15</v>
      </c>
      <c r="C312" s="14" t="s">
        <v>101</v>
      </c>
      <c r="D312" s="14" t="s">
        <v>4384</v>
      </c>
      <c r="E312" s="15" t="str">
        <f>HYPERLINK("https://stat100.ameba.jp/tnk47/ratio20/illustrations/card/ill_74073_toyotakerosho03.jpg?202104-5-RELEASE-marathon-526xxx", "■")</f>
        <v>■</v>
      </c>
      <c r="F312" s="14" t="s">
        <v>4385</v>
      </c>
      <c r="G312" s="14">
        <v>59280</v>
      </c>
      <c r="H312" s="14">
        <v>53768</v>
      </c>
      <c r="I312" s="14">
        <v>20</v>
      </c>
      <c r="J312" s="14" t="s">
        <v>10</v>
      </c>
      <c r="K312" s="14" t="s">
        <v>4386</v>
      </c>
      <c r="L312" s="14" t="s">
        <v>3275</v>
      </c>
      <c r="M312" s="14" t="s">
        <v>9158</v>
      </c>
      <c r="N312" s="14" t="s">
        <v>9158</v>
      </c>
      <c r="O312" s="14" t="s">
        <v>9158</v>
      </c>
      <c r="P312" s="14" t="s">
        <v>9158</v>
      </c>
      <c r="Q312" s="14" t="s">
        <v>9158</v>
      </c>
    </row>
    <row r="314" spans="1:19">
      <c r="A314" s="14" t="s">
        <v>4012</v>
      </c>
    </row>
    <row r="315" spans="1:19">
      <c r="A315" s="14">
        <v>237902</v>
      </c>
      <c r="B315" s="14" t="s">
        <v>17750</v>
      </c>
    </row>
    <row r="316" spans="1:19">
      <c r="A316" s="14" t="s">
        <v>5734</v>
      </c>
      <c r="B316" s="14" t="s">
        <v>330</v>
      </c>
      <c r="C316" s="14" t="s">
        <v>202</v>
      </c>
      <c r="D316" s="20" t="s">
        <v>1497</v>
      </c>
      <c r="E316" s="15" t="str">
        <f>HYPERLINK("https://stat100.ameba.jp/tnk47/ratio20/illustrations/card/ill_74593_0_natsuyuenchikoshihikari03.jpg?202104-5-RELEASE-marathon-526xxx", "■")</f>
        <v>■</v>
      </c>
      <c r="F316" s="14" t="s">
        <v>1498</v>
      </c>
      <c r="G316" s="14">
        <v>281662</v>
      </c>
      <c r="H316" s="14">
        <v>261852</v>
      </c>
      <c r="I316" s="14">
        <v>26</v>
      </c>
      <c r="J316" s="14" t="s">
        <v>283</v>
      </c>
      <c r="K316" s="14" t="s">
        <v>1499</v>
      </c>
      <c r="L316" s="14" t="s">
        <v>1500</v>
      </c>
      <c r="M316" s="14" t="s">
        <v>9158</v>
      </c>
      <c r="N316" s="14" t="s">
        <v>9158</v>
      </c>
      <c r="O316" s="19" t="s">
        <v>2731</v>
      </c>
      <c r="P316" s="14" t="s">
        <v>2732</v>
      </c>
      <c r="Q316" s="14">
        <v>1</v>
      </c>
    </row>
    <row r="317" spans="1:19">
      <c r="A317" s="14" t="s">
        <v>5804</v>
      </c>
      <c r="B317" s="14" t="s">
        <v>52</v>
      </c>
      <c r="C317" s="14" t="s">
        <v>14</v>
      </c>
      <c r="D317" s="19" t="s">
        <v>3195</v>
      </c>
      <c r="E317" s="15" t="str">
        <f>HYPERLINK("https://stat100.ameba.jp/tnk47/ratio20/illustrations/card/ill_75393_0_resukuinotsukisamaniittausagi03.jpg?202104-5-RELEASE-marathon-526xxx", "■")</f>
        <v>■</v>
      </c>
      <c r="F317" s="14" t="s">
        <v>3248</v>
      </c>
      <c r="G317" s="14">
        <v>296150</v>
      </c>
      <c r="H317" s="14">
        <v>275342</v>
      </c>
      <c r="I317" s="14">
        <v>26</v>
      </c>
      <c r="J317" s="14" t="s">
        <v>26</v>
      </c>
      <c r="K317" s="14" t="s">
        <v>3249</v>
      </c>
      <c r="L317" s="14" t="s">
        <v>3250</v>
      </c>
      <c r="M317" s="14" t="s">
        <v>9158</v>
      </c>
      <c r="N317" s="14" t="s">
        <v>9158</v>
      </c>
      <c r="O317" s="19" t="s">
        <v>10101</v>
      </c>
      <c r="P317" s="14" t="s">
        <v>3251</v>
      </c>
      <c r="Q317" s="14">
        <v>2</v>
      </c>
    </row>
    <row r="318" spans="1:19">
      <c r="A318" s="14" t="s">
        <v>5830</v>
      </c>
      <c r="B318" s="14" t="s">
        <v>330</v>
      </c>
      <c r="C318" s="14" t="s">
        <v>191</v>
      </c>
      <c r="D318" s="19" t="s">
        <v>793</v>
      </c>
      <c r="E318" s="15" t="str">
        <f>HYPERLINK("https://stat100.ameba.jp/tnk47/ratio20/illustrations/card/ill_39933_0_reihiiinaotora03.jpg?202104-5-RELEASE-marathon-526xxx", "■")</f>
        <v>■</v>
      </c>
      <c r="F318" s="14" t="s">
        <v>794</v>
      </c>
      <c r="G318" s="14">
        <v>142500</v>
      </c>
      <c r="H318" s="14">
        <v>152152</v>
      </c>
      <c r="I318" s="14">
        <v>26</v>
      </c>
      <c r="J318" s="14" t="s">
        <v>315</v>
      </c>
      <c r="K318" s="14" t="s">
        <v>795</v>
      </c>
      <c r="L318" s="14" t="s">
        <v>796</v>
      </c>
      <c r="M318" s="14" t="s">
        <v>9158</v>
      </c>
      <c r="N318" s="14" t="s">
        <v>9158</v>
      </c>
      <c r="O318" s="14" t="s">
        <v>9158</v>
      </c>
      <c r="P318" s="14" t="s">
        <v>9158</v>
      </c>
      <c r="Q318" s="14" t="s">
        <v>9158</v>
      </c>
    </row>
    <row r="319" spans="1:19">
      <c r="A319" s="14">
        <v>93533</v>
      </c>
      <c r="B319" s="9" t="s">
        <v>0</v>
      </c>
      <c r="C319" s="14" t="s">
        <v>35</v>
      </c>
      <c r="D319" s="14" t="s">
        <v>17766</v>
      </c>
      <c r="E319" s="15" t="str">
        <f>HYPERLINK("https://stat100.ameba.jp/tnk47/ratio20/illustrations/card/ill_93533_kyuketsukiumijigokuchan03.jpg?202104-5-RELEASE-marathon-526xxx", "■")</f>
        <v>■</v>
      </c>
      <c r="F319" s="14" t="s">
        <v>17765</v>
      </c>
      <c r="G319" s="14">
        <v>110186</v>
      </c>
      <c r="H319" s="14">
        <v>118540</v>
      </c>
      <c r="I319" s="14">
        <v>29</v>
      </c>
      <c r="J319" s="14" t="s">
        <v>26</v>
      </c>
      <c r="K319" s="14" t="s">
        <v>17764</v>
      </c>
      <c r="L319" s="14" t="s">
        <v>17763</v>
      </c>
      <c r="M319" s="14" t="s">
        <v>9158</v>
      </c>
      <c r="N319" s="14" t="s">
        <v>9158</v>
      </c>
      <c r="O319" s="14" t="s">
        <v>9158</v>
      </c>
      <c r="P319" s="14" t="s">
        <v>9158</v>
      </c>
      <c r="Q319" s="14" t="s">
        <v>9158</v>
      </c>
      <c r="S319" s="14" t="s">
        <v>17773</v>
      </c>
    </row>
    <row r="320" spans="1:19">
      <c r="A320" s="14">
        <v>91303</v>
      </c>
      <c r="B320" s="9" t="s">
        <v>0</v>
      </c>
      <c r="C320" s="14" t="s">
        <v>41</v>
      </c>
      <c r="D320" s="14" t="s">
        <v>17769</v>
      </c>
      <c r="E320" s="15" t="str">
        <f>HYPERLINK("https://stat100.ameba.jp/tnk47/ratio20/illustrations/card/ill_91303_jirukonia03.jpg?202104-5-RELEASE-marathon-526xxx", "■")</f>
        <v>■</v>
      </c>
      <c r="F320" s="14" t="s">
        <v>17768</v>
      </c>
      <c r="G320" s="14">
        <v>105281</v>
      </c>
      <c r="H320" s="14">
        <v>113277</v>
      </c>
      <c r="I320" s="14">
        <v>29</v>
      </c>
      <c r="J320" s="14" t="s">
        <v>77</v>
      </c>
      <c r="K320" s="14" t="s">
        <v>17767</v>
      </c>
      <c r="L320" s="14" t="s">
        <v>16334</v>
      </c>
      <c r="M320" s="14" t="s">
        <v>9158</v>
      </c>
      <c r="N320" s="14" t="s">
        <v>9158</v>
      </c>
      <c r="O320" s="14" t="s">
        <v>9158</v>
      </c>
      <c r="P320" s="14" t="s">
        <v>9158</v>
      </c>
      <c r="Q320" s="14" t="s">
        <v>9158</v>
      </c>
      <c r="S320" s="14" t="s">
        <v>17774</v>
      </c>
    </row>
    <row r="321" spans="1:19">
      <c r="A321" s="14">
        <v>91923</v>
      </c>
      <c r="B321" s="9" t="s">
        <v>0</v>
      </c>
      <c r="C321" s="14" t="s">
        <v>47</v>
      </c>
      <c r="D321" s="14" t="s">
        <v>17772</v>
      </c>
      <c r="E321" s="15" t="str">
        <f>HYPERLINK("https://stat100.ameba.jp/tnk47/ratio20/illustrations/card/ill_91923_gekkotsukimiusagichan03.jpg?202104-5-RELEASE-marathon-526xxx", "■")</f>
        <v>■</v>
      </c>
      <c r="F321" s="14" t="s">
        <v>17771</v>
      </c>
      <c r="G321" s="14">
        <v>127350</v>
      </c>
      <c r="H321" s="14">
        <v>136953</v>
      </c>
      <c r="I321" s="14">
        <v>29</v>
      </c>
      <c r="J321" s="14" t="s">
        <v>104</v>
      </c>
      <c r="K321" s="14" t="s">
        <v>17770</v>
      </c>
      <c r="L321" s="14" t="s">
        <v>14546</v>
      </c>
      <c r="M321" s="14" t="s">
        <v>9158</v>
      </c>
      <c r="N321" s="14" t="s">
        <v>9158</v>
      </c>
      <c r="O321" s="14" t="s">
        <v>9158</v>
      </c>
      <c r="P321" s="14" t="s">
        <v>9158</v>
      </c>
      <c r="Q321" s="14" t="s">
        <v>9158</v>
      </c>
      <c r="S321" s="14" t="s">
        <v>17775</v>
      </c>
    </row>
    <row r="322" spans="1:19">
      <c r="A322" s="14">
        <v>80883</v>
      </c>
      <c r="B322" s="9" t="s">
        <v>15</v>
      </c>
      <c r="C322" s="14" t="s">
        <v>14</v>
      </c>
      <c r="D322" s="14" t="s">
        <v>4330</v>
      </c>
      <c r="E322" s="15" t="str">
        <f>HYPERLINK("https://stat100.ameba.jp/tnk47/ratio20/illustrations/card/ill_80883_isutabaniyamamurokieko03.jpg?202104-5-RELEASE-marathon-526xxx", "■")</f>
        <v>■</v>
      </c>
      <c r="F322" s="14" t="s">
        <v>4331</v>
      </c>
      <c r="G322" s="14">
        <v>69898</v>
      </c>
      <c r="H322" s="14">
        <v>77064</v>
      </c>
      <c r="I322" s="14">
        <v>26</v>
      </c>
      <c r="J322" s="14" t="s">
        <v>10</v>
      </c>
      <c r="K322" s="14" t="s">
        <v>3585</v>
      </c>
      <c r="L322" s="14" t="s">
        <v>3337</v>
      </c>
      <c r="M322" s="14" t="s">
        <v>9158</v>
      </c>
      <c r="N322" s="14" t="s">
        <v>9158</v>
      </c>
      <c r="O322" s="14" t="s">
        <v>9158</v>
      </c>
      <c r="P322" s="14" t="s">
        <v>9158</v>
      </c>
      <c r="Q322" s="14" t="s">
        <v>9158</v>
      </c>
      <c r="S322" s="14" t="s">
        <v>17255</v>
      </c>
    </row>
    <row r="323" spans="1:19">
      <c r="A323" s="14">
        <v>80953</v>
      </c>
      <c r="B323" s="9" t="s">
        <v>15</v>
      </c>
      <c r="C323" s="14" t="s">
        <v>101</v>
      </c>
      <c r="D323" s="14" t="s">
        <v>4456</v>
      </c>
      <c r="E323" s="15" t="str">
        <f>HYPERLINK("https://stat100.ameba.jp/tnk47/ratio20/illustrations/card/ill_80953_akazomemon03.jpg?202104-5-RELEASE-marathon-526xxx", "■")</f>
        <v>■</v>
      </c>
      <c r="F323" s="14" t="s">
        <v>4457</v>
      </c>
      <c r="G323" s="14">
        <v>69898</v>
      </c>
      <c r="H323" s="14">
        <v>77064</v>
      </c>
      <c r="I323" s="14">
        <v>26</v>
      </c>
      <c r="J323" s="14" t="s">
        <v>10</v>
      </c>
      <c r="K323" s="14" t="s">
        <v>4458</v>
      </c>
      <c r="L323" s="14" t="s">
        <v>3337</v>
      </c>
      <c r="M323" s="14" t="s">
        <v>9158</v>
      </c>
      <c r="N323" s="14" t="s">
        <v>9158</v>
      </c>
      <c r="O323" s="14" t="s">
        <v>9158</v>
      </c>
      <c r="P323" s="14" t="s">
        <v>9158</v>
      </c>
      <c r="Q323" s="14" t="s">
        <v>9158</v>
      </c>
      <c r="S323" s="14" t="s">
        <v>17254</v>
      </c>
    </row>
    <row r="324" spans="1:19">
      <c r="A324" s="14">
        <v>78683</v>
      </c>
      <c r="B324" s="9" t="s">
        <v>15</v>
      </c>
      <c r="C324" s="14" t="s">
        <v>96</v>
      </c>
      <c r="D324" s="14" t="s">
        <v>17253</v>
      </c>
      <c r="E324" s="15" t="str">
        <f>HYPERLINK("https://stat100.ameba.jp/tnk47/ratio20/illustrations/card/ill_78683_furisodetakoyakichan03.jpg?202104-5-RELEASE-marathon-526xxx", "■")</f>
        <v>■</v>
      </c>
      <c r="F324" s="14" t="s">
        <v>17252</v>
      </c>
      <c r="G324" s="14">
        <v>77064</v>
      </c>
      <c r="H324" s="14">
        <v>69898</v>
      </c>
      <c r="I324" s="14">
        <v>26</v>
      </c>
      <c r="J324" s="14" t="s">
        <v>104</v>
      </c>
      <c r="K324" s="14" t="s">
        <v>17251</v>
      </c>
      <c r="L324" s="14" t="s">
        <v>3502</v>
      </c>
      <c r="M324" s="14" t="s">
        <v>9158</v>
      </c>
      <c r="N324" s="14" t="s">
        <v>9158</v>
      </c>
      <c r="O324" s="14" t="s">
        <v>9158</v>
      </c>
      <c r="P324" s="14" t="s">
        <v>9158</v>
      </c>
      <c r="Q324" s="14" t="s">
        <v>9158</v>
      </c>
      <c r="S324" s="14" t="s">
        <v>17256</v>
      </c>
    </row>
    <row r="326" spans="1:19">
      <c r="A326" s="14" t="s">
        <v>1711</v>
      </c>
    </row>
    <row r="327" spans="1:19">
      <c r="A327" s="14">
        <v>108064</v>
      </c>
      <c r="B327" s="14" t="s">
        <v>4364</v>
      </c>
    </row>
    <row r="328" spans="1:19">
      <c r="A328" s="14" t="s">
        <v>6030</v>
      </c>
      <c r="B328" s="14" t="s">
        <v>52</v>
      </c>
      <c r="C328" s="14" t="s">
        <v>202</v>
      </c>
      <c r="D328" s="19" t="s">
        <v>10453</v>
      </c>
      <c r="E328" s="15" t="str">
        <f>HYPERLINK("https://stat100.ameba.jp/tnk47/ratio20/illustrations/card/ill_80023_0_hinamatsurikyogokumaria03.jpg?202104-5-RELEASE-marathon-526xxx", "■")</f>
        <v>■</v>
      </c>
      <c r="F328" s="14" t="s">
        <v>3709</v>
      </c>
      <c r="G328" s="14">
        <v>323430</v>
      </c>
      <c r="H328" s="14">
        <v>357888</v>
      </c>
      <c r="I328" s="14">
        <v>24</v>
      </c>
      <c r="J328" s="14" t="s">
        <v>26</v>
      </c>
      <c r="K328" s="14" t="s">
        <v>3710</v>
      </c>
      <c r="L328" s="14" t="s">
        <v>3711</v>
      </c>
      <c r="M328" s="14" t="s">
        <v>9158</v>
      </c>
      <c r="N328" s="14" t="s">
        <v>9158</v>
      </c>
      <c r="O328" s="19" t="s">
        <v>10116</v>
      </c>
      <c r="P328" s="14" t="s">
        <v>3713</v>
      </c>
      <c r="Q328" s="14">
        <v>1</v>
      </c>
    </row>
    <row r="329" spans="1:19">
      <c r="A329" s="9" t="s">
        <v>5607</v>
      </c>
      <c r="B329" s="14" t="s">
        <v>330</v>
      </c>
      <c r="C329" s="14" t="s">
        <v>271</v>
      </c>
      <c r="D329" s="14" t="s">
        <v>1039</v>
      </c>
      <c r="E329" s="15" t="str">
        <f>HYPERLINK("https://stat100.ameba.jp/tnk47/ratio20/illustrations/card/ill_58853_0_setsubumpanikkuhiratsukaraicho03.jpg?202104-5-RELEASE-marathon-526xxx", "■")</f>
        <v>■</v>
      </c>
      <c r="F329" s="14" t="s">
        <v>422</v>
      </c>
      <c r="G329" s="14">
        <v>150776</v>
      </c>
      <c r="H329" s="14">
        <v>133938</v>
      </c>
      <c r="I329" s="14">
        <v>24</v>
      </c>
      <c r="J329" s="14" t="s">
        <v>414</v>
      </c>
      <c r="K329" s="14" t="s">
        <v>423</v>
      </c>
      <c r="L329" s="14" t="s">
        <v>424</v>
      </c>
      <c r="M329" s="14" t="s">
        <v>9158</v>
      </c>
      <c r="N329" s="14" t="s">
        <v>9158</v>
      </c>
      <c r="O329" s="17" t="s">
        <v>10059</v>
      </c>
      <c r="P329" s="14" t="s">
        <v>2870</v>
      </c>
      <c r="Q329" s="14">
        <v>1</v>
      </c>
    </row>
    <row r="330" spans="1:19">
      <c r="A330" s="14" t="s">
        <v>5604</v>
      </c>
      <c r="B330" s="14" t="s">
        <v>330</v>
      </c>
      <c r="C330" s="14" t="s">
        <v>206</v>
      </c>
      <c r="D330" s="19" t="s">
        <v>614</v>
      </c>
      <c r="E330" s="15" t="str">
        <f>HYPERLINK("https://stat100.ameba.jp/tnk47/ratio20/illustrations/card/ill_47263_0_oukyuuatsuhime03.jpg?202104-5-RELEASE-marathon-526xxx", "■")</f>
        <v>■</v>
      </c>
      <c r="F330" s="14" t="s">
        <v>615</v>
      </c>
      <c r="G330" s="14">
        <v>150776</v>
      </c>
      <c r="H330" s="14">
        <v>133938</v>
      </c>
      <c r="I330" s="14">
        <v>24</v>
      </c>
      <c r="J330" s="14" t="s">
        <v>315</v>
      </c>
      <c r="K330" s="14" t="s">
        <v>616</v>
      </c>
      <c r="L330" s="14" t="s">
        <v>617</v>
      </c>
      <c r="M330" s="14" t="s">
        <v>9158</v>
      </c>
      <c r="N330" s="14" t="s">
        <v>9158</v>
      </c>
      <c r="O330" s="14" t="s">
        <v>9158</v>
      </c>
      <c r="P330" s="14" t="s">
        <v>9158</v>
      </c>
      <c r="Q330" s="14" t="s">
        <v>9158</v>
      </c>
    </row>
    <row r="331" spans="1:19">
      <c r="A331" s="14">
        <v>97243</v>
      </c>
      <c r="B331" s="14" t="s">
        <v>0</v>
      </c>
      <c r="C331" s="14" t="s">
        <v>14</v>
      </c>
      <c r="D331" s="14" t="s">
        <v>17346</v>
      </c>
      <c r="E331" s="15" t="str">
        <f>HYPERLINK("https://stat100.ameba.jp/tnk47/ratio20/illustrations/card/ill_97243_fuesuteibaruiwaisepo03.jpg?202104-5-RELEASE-marathon-526xxx", "■")</f>
        <v>■</v>
      </c>
      <c r="F331" s="14" t="s">
        <v>17348</v>
      </c>
      <c r="G331" s="14">
        <v>160507</v>
      </c>
      <c r="H331" s="14">
        <v>149240</v>
      </c>
      <c r="I331" s="14">
        <v>27</v>
      </c>
      <c r="J331" s="14" t="s">
        <v>73</v>
      </c>
      <c r="K331" s="14" t="s">
        <v>17347</v>
      </c>
      <c r="L331" s="14" t="s">
        <v>16278</v>
      </c>
      <c r="M331" s="14" t="s">
        <v>9158</v>
      </c>
      <c r="N331" s="14" t="s">
        <v>9158</v>
      </c>
      <c r="O331" s="14" t="s">
        <v>9158</v>
      </c>
      <c r="P331" s="14" t="s">
        <v>9158</v>
      </c>
      <c r="Q331" s="14" t="s">
        <v>9158</v>
      </c>
    </row>
    <row r="332" spans="1:19">
      <c r="A332" s="14">
        <v>97263</v>
      </c>
      <c r="B332" s="14" t="s">
        <v>15</v>
      </c>
      <c r="C332" s="14" t="s">
        <v>107</v>
      </c>
      <c r="D332" s="14" t="s">
        <v>17671</v>
      </c>
      <c r="E332" s="15" t="str">
        <f>HYPERLINK("https://stat100.ameba.jp/tnk47/ratio20/illustrations/card/ill_97263_yukataamaminokurosagichan03.jpg?202104-5-RELEASE-marathon-526xxx", "■")</f>
        <v>■</v>
      </c>
      <c r="F332" s="14" t="s">
        <v>17670</v>
      </c>
      <c r="G332" s="14">
        <v>80028</v>
      </c>
      <c r="H332" s="14">
        <v>72586</v>
      </c>
      <c r="I332" s="14">
        <v>27</v>
      </c>
      <c r="J332" s="14" t="s">
        <v>26</v>
      </c>
      <c r="K332" s="14" t="s">
        <v>7031</v>
      </c>
      <c r="L332" s="14" t="s">
        <v>2011</v>
      </c>
      <c r="M332" s="14" t="s">
        <v>9158</v>
      </c>
      <c r="N332" s="14" t="s">
        <v>9158</v>
      </c>
      <c r="O332" s="14" t="s">
        <v>9158</v>
      </c>
      <c r="P332" s="14" t="s">
        <v>9158</v>
      </c>
      <c r="Q332" s="14" t="s">
        <v>9158</v>
      </c>
    </row>
    <row r="333" spans="1:19">
      <c r="A333" s="14">
        <v>97273</v>
      </c>
      <c r="B333" s="14" t="s">
        <v>22</v>
      </c>
      <c r="C333" s="14" t="s">
        <v>101</v>
      </c>
      <c r="D333" s="14" t="s">
        <v>17674</v>
      </c>
      <c r="E333" s="15" t="str">
        <f>HYPERLINK("https://stat100.ameba.jp/tnk47/ratio20/illustrations/card/ill_97273_otogibanashinoshirosagi03.jpg?202104-5-RELEASE-marathon-526xxx", "■")</f>
        <v>■</v>
      </c>
      <c r="F333" s="14" t="s">
        <v>17673</v>
      </c>
      <c r="G333" s="14">
        <v>46676</v>
      </c>
      <c r="H333" s="14">
        <v>56138</v>
      </c>
      <c r="I333" s="14">
        <v>27</v>
      </c>
      <c r="J333" s="14" t="s">
        <v>38</v>
      </c>
      <c r="K333" s="14" t="s">
        <v>17672</v>
      </c>
      <c r="L333" s="14" t="s">
        <v>2015</v>
      </c>
      <c r="M333" s="14" t="s">
        <v>9158</v>
      </c>
      <c r="N333" s="14" t="s">
        <v>9158</v>
      </c>
      <c r="O333" s="14" t="s">
        <v>9158</v>
      </c>
      <c r="P333" s="14" t="s">
        <v>9158</v>
      </c>
      <c r="Q333" s="14" t="s">
        <v>9158</v>
      </c>
    </row>
    <row r="334" spans="1:19">
      <c r="A334" s="14">
        <v>97283</v>
      </c>
      <c r="B334" s="14" t="s">
        <v>22</v>
      </c>
      <c r="C334" s="14" t="s">
        <v>23</v>
      </c>
      <c r="D334" s="14" t="s">
        <v>17677</v>
      </c>
      <c r="E334" s="15" t="str">
        <f>HYPERLINK("https://stat100.ameba.jp/tnk47/ratio20/illustrations/card/ill_97283_amezaiku03.jpg?202104-5-RELEASE-marathon-526xxx", "■")</f>
        <v>■</v>
      </c>
      <c r="F334" s="14" t="s">
        <v>17676</v>
      </c>
      <c r="G334" s="14">
        <v>56138</v>
      </c>
      <c r="H334" s="14">
        <v>46676</v>
      </c>
      <c r="I334" s="14">
        <v>27</v>
      </c>
      <c r="J334" s="14" t="s">
        <v>104</v>
      </c>
      <c r="K334" s="14" t="s">
        <v>17675</v>
      </c>
      <c r="L334" s="14" t="s">
        <v>2674</v>
      </c>
      <c r="M334" s="14" t="s">
        <v>9158</v>
      </c>
      <c r="N334" s="14" t="s">
        <v>9158</v>
      </c>
      <c r="O334" s="14" t="s">
        <v>9158</v>
      </c>
      <c r="P334" s="14" t="s">
        <v>9158</v>
      </c>
      <c r="Q334" s="14" t="s">
        <v>9158</v>
      </c>
    </row>
    <row r="336" spans="1:19">
      <c r="A336" s="14" t="s">
        <v>3844</v>
      </c>
    </row>
    <row r="337" spans="1:17">
      <c r="A337" s="14">
        <v>108087</v>
      </c>
      <c r="B337" s="14" t="s">
        <v>17776</v>
      </c>
    </row>
    <row r="338" spans="1:17">
      <c r="A338" s="14" t="s">
        <v>5891</v>
      </c>
      <c r="B338" s="14" t="s">
        <v>330</v>
      </c>
      <c r="C338" s="14" t="s">
        <v>202</v>
      </c>
      <c r="D338" s="20" t="s">
        <v>1371</v>
      </c>
      <c r="E338" s="15" t="str">
        <f>HYPERLINK("https://stat100.ameba.jp/tnk47/ratio20/illustrations/card/ill_77173_0_yukemuritomoegozen03.jpg?202104-5-RELEASE-marathon-526xxx", "■")</f>
        <v>■</v>
      </c>
      <c r="F338" s="14" t="s">
        <v>1372</v>
      </c>
      <c r="G338" s="14">
        <v>270658</v>
      </c>
      <c r="H338" s="14">
        <v>299465</v>
      </c>
      <c r="I338" s="14">
        <v>27</v>
      </c>
      <c r="J338" s="14" t="s">
        <v>310</v>
      </c>
      <c r="K338" s="14" t="s">
        <v>1373</v>
      </c>
      <c r="L338" s="14" t="s">
        <v>1374</v>
      </c>
      <c r="M338" s="14" t="s">
        <v>9158</v>
      </c>
      <c r="N338" s="14" t="s">
        <v>9158</v>
      </c>
      <c r="O338" s="19" t="s">
        <v>4067</v>
      </c>
      <c r="P338" s="14" t="s">
        <v>3879</v>
      </c>
      <c r="Q338" s="14">
        <v>2</v>
      </c>
    </row>
    <row r="339" spans="1:17">
      <c r="A339" s="14">
        <v>86223</v>
      </c>
      <c r="B339" s="14" t="s">
        <v>0</v>
      </c>
      <c r="C339" s="14" t="s">
        <v>191</v>
      </c>
      <c r="D339" s="20" t="s">
        <v>10881</v>
      </c>
      <c r="E339" s="15" t="str">
        <f>HYPERLINK("https://stat100.ameba.jp/tnk47/ratio20/illustrations/card/ill_86223_oshogatsumiyoshino03.jpg?202104-5-RELEASE-marathon-526xxx", "■")</f>
        <v>■</v>
      </c>
      <c r="F339" s="14" t="s">
        <v>8871</v>
      </c>
      <c r="G339" s="14">
        <v>98019</v>
      </c>
      <c r="H339" s="14">
        <v>105465</v>
      </c>
      <c r="I339" s="14">
        <v>27</v>
      </c>
      <c r="J339" s="14" t="s">
        <v>187</v>
      </c>
      <c r="K339" s="14" t="s">
        <v>8845</v>
      </c>
      <c r="L339" s="14" t="s">
        <v>13212</v>
      </c>
      <c r="M339" s="14" t="s">
        <v>9158</v>
      </c>
      <c r="N339" s="14" t="s">
        <v>9158</v>
      </c>
      <c r="O339" s="19" t="s">
        <v>10119</v>
      </c>
      <c r="P339" s="14" t="s">
        <v>3662</v>
      </c>
      <c r="Q339" s="14">
        <v>1</v>
      </c>
    </row>
    <row r="340" spans="1:17">
      <c r="A340" s="14">
        <v>79963</v>
      </c>
      <c r="B340" s="14" t="s">
        <v>0</v>
      </c>
      <c r="C340" s="14" t="s">
        <v>200</v>
      </c>
      <c r="D340" s="20" t="s">
        <v>10477</v>
      </c>
      <c r="E340" s="15" t="str">
        <f>HYPERLINK("https://stat100.ameba.jp/tnk47/ratio20/illustrations/card/ill_79963_hinamatsurirakko03.jpg?202104-5-RELEASE-marathon-526xxx", "■")</f>
        <v>■</v>
      </c>
      <c r="F340" s="14" t="s">
        <v>3715</v>
      </c>
      <c r="G340" s="14">
        <v>123002</v>
      </c>
      <c r="H340" s="14">
        <v>114362</v>
      </c>
      <c r="I340" s="14">
        <v>27</v>
      </c>
      <c r="J340" s="14" t="s">
        <v>26</v>
      </c>
      <c r="K340" s="14" t="s">
        <v>3716</v>
      </c>
      <c r="L340" s="14" t="s">
        <v>1086</v>
      </c>
      <c r="M340" s="14" t="s">
        <v>9158</v>
      </c>
      <c r="N340" s="14" t="s">
        <v>9158</v>
      </c>
      <c r="O340" s="19" t="s">
        <v>10090</v>
      </c>
      <c r="P340" s="14" t="s">
        <v>3460</v>
      </c>
      <c r="Q340" s="14">
        <v>1</v>
      </c>
    </row>
    <row r="341" spans="1:17">
      <c r="A341" s="14">
        <v>83513</v>
      </c>
      <c r="B341" s="14" t="s">
        <v>334</v>
      </c>
      <c r="C341" s="14" t="s">
        <v>1</v>
      </c>
      <c r="D341" s="20" t="s">
        <v>10556</v>
      </c>
      <c r="E341" s="15" t="str">
        <f>HYPERLINK("https://stat100.ameba.jp/tnk47/ratio20/illustrations/card/ill_83513_kajuemmimuratsuru03.jpg?202104-5-RELEASE-marathon-526xxx", "■")</f>
        <v>■</v>
      </c>
      <c r="F341" s="14" t="s">
        <v>6603</v>
      </c>
      <c r="G341" s="14">
        <v>160507</v>
      </c>
      <c r="H341" s="14">
        <v>149240</v>
      </c>
      <c r="I341" s="14">
        <v>27</v>
      </c>
      <c r="J341" s="14" t="s">
        <v>143</v>
      </c>
      <c r="K341" s="14" t="s">
        <v>6601</v>
      </c>
      <c r="L341" s="14" t="s">
        <v>6600</v>
      </c>
      <c r="M341" s="14" t="s">
        <v>9158</v>
      </c>
      <c r="N341" s="14" t="s">
        <v>9158</v>
      </c>
      <c r="O341" s="19" t="s">
        <v>2951</v>
      </c>
      <c r="P341" s="14" t="s">
        <v>13122</v>
      </c>
      <c r="Q341" s="14">
        <v>1</v>
      </c>
    </row>
    <row r="343" spans="1:17">
      <c r="A343" s="14" t="s">
        <v>17777</v>
      </c>
    </row>
    <row r="344" spans="1:17">
      <c r="A344" s="14">
        <v>108117</v>
      </c>
      <c r="B344" s="14" t="s">
        <v>17778</v>
      </c>
    </row>
    <row r="345" spans="1:17">
      <c r="A345" s="14">
        <v>108145</v>
      </c>
      <c r="B345" s="14" t="s">
        <v>17779</v>
      </c>
    </row>
    <row r="346" spans="1:17">
      <c r="A346" s="14" t="s">
        <v>17785</v>
      </c>
      <c r="B346" s="14" t="s">
        <v>117</v>
      </c>
      <c r="C346" s="14" t="s">
        <v>35</v>
      </c>
      <c r="D346" s="14" t="s">
        <v>17786</v>
      </c>
      <c r="E346" s="15" t="str">
        <f>HYPERLINK("https://stat100.ameba.jp/tnk47/ratio20/illustrations/card/ill_97303_0_kyokosanshin03.jpg?202104-5-RELEASE-marathon-526xxx", "■")</f>
        <v>■</v>
      </c>
      <c r="F346" s="14" t="s">
        <v>17784</v>
      </c>
      <c r="G346" s="14">
        <v>388004</v>
      </c>
      <c r="H346" s="14">
        <v>360746</v>
      </c>
      <c r="I346" s="14">
        <v>32</v>
      </c>
      <c r="J346" s="14" t="s">
        <v>73</v>
      </c>
      <c r="K346" s="14" t="s">
        <v>17783</v>
      </c>
      <c r="L346" s="14" t="s">
        <v>17782</v>
      </c>
      <c r="M346" s="14" t="s">
        <v>9158</v>
      </c>
      <c r="N346" s="14" t="s">
        <v>9158</v>
      </c>
      <c r="O346" s="14" t="s">
        <v>17781</v>
      </c>
      <c r="P346" s="14" t="s">
        <v>17780</v>
      </c>
      <c r="Q346" s="14">
        <v>1</v>
      </c>
    </row>
    <row r="347" spans="1:17">
      <c r="A347" s="14">
        <v>91493</v>
      </c>
      <c r="B347" s="14" t="s">
        <v>334</v>
      </c>
      <c r="C347" s="14" t="s">
        <v>185</v>
      </c>
      <c r="D347" s="14" t="s">
        <v>14460</v>
      </c>
      <c r="E347" s="15" t="str">
        <f>HYPERLINK("https://stat100.ameba.jp/tnk47/ratio20/illustrations/card/ill_91493_kakizakisuehiro03.jpg?202104-5-RELEASE-marathon-526xxx", "■")</f>
        <v>■</v>
      </c>
      <c r="F347" s="14" t="s">
        <v>14478</v>
      </c>
      <c r="G347" s="14">
        <v>160296</v>
      </c>
      <c r="H347" s="14">
        <v>172397</v>
      </c>
      <c r="I347" s="14">
        <v>29</v>
      </c>
      <c r="J347" s="14" t="s">
        <v>143</v>
      </c>
      <c r="K347" s="14" t="s">
        <v>14476</v>
      </c>
      <c r="L347" s="14" t="s">
        <v>14475</v>
      </c>
      <c r="M347" s="14" t="s">
        <v>9158</v>
      </c>
      <c r="N347" s="14" t="s">
        <v>9158</v>
      </c>
      <c r="O347" s="14" t="s">
        <v>9158</v>
      </c>
      <c r="P347" s="14" t="s">
        <v>9158</v>
      </c>
      <c r="Q347" s="14" t="s">
        <v>9158</v>
      </c>
    </row>
    <row r="348" spans="1:17">
      <c r="A348" s="14">
        <v>89313</v>
      </c>
      <c r="B348" s="14" t="s">
        <v>0</v>
      </c>
      <c r="C348" s="14" t="s">
        <v>23</v>
      </c>
      <c r="D348" s="14" t="s">
        <v>12716</v>
      </c>
      <c r="E348" s="15" t="str">
        <f>HYPERLINK("https://stat100.ameba.jp/tnk47/ratio20/illustrations/card/ill_89313_hantahiimisama03.jpg?202104-5-RELEASE-marathon-526xxx", "■")</f>
        <v>■</v>
      </c>
      <c r="F348" s="14" t="s">
        <v>12718</v>
      </c>
      <c r="G348" s="14">
        <v>160296</v>
      </c>
      <c r="H348" s="14">
        <v>172397</v>
      </c>
      <c r="I348" s="14">
        <v>29</v>
      </c>
      <c r="J348" s="14" t="s">
        <v>73</v>
      </c>
      <c r="K348" s="14" t="s">
        <v>12720</v>
      </c>
      <c r="L348" s="14" t="s">
        <v>12721</v>
      </c>
      <c r="M348" s="14" t="s">
        <v>9158</v>
      </c>
      <c r="N348" s="14" t="s">
        <v>9158</v>
      </c>
      <c r="O348" s="14" t="s">
        <v>9158</v>
      </c>
      <c r="P348" s="14" t="s">
        <v>9158</v>
      </c>
      <c r="Q348" s="14" t="s">
        <v>9158</v>
      </c>
    </row>
    <row r="349" spans="1:17">
      <c r="A349" s="14">
        <v>90563</v>
      </c>
      <c r="B349" s="14" t="s">
        <v>0</v>
      </c>
      <c r="C349" s="14" t="s">
        <v>101</v>
      </c>
      <c r="D349" s="14" t="s">
        <v>14195</v>
      </c>
      <c r="E349" s="15" t="str">
        <f>HYPERLINK("https://stat100.ameba.jp/tnk47/ratio20/illustrations/card/ill_90563_jinro03.jpg?202104-5-RELEASE-marathon-526xxx", "■")</f>
        <v>■</v>
      </c>
      <c r="F349" s="14" t="s">
        <v>14194</v>
      </c>
      <c r="G349" s="14">
        <v>172397</v>
      </c>
      <c r="H349" s="14">
        <v>160296</v>
      </c>
      <c r="I349" s="14">
        <v>29</v>
      </c>
      <c r="J349" s="14" t="s">
        <v>73</v>
      </c>
      <c r="K349" s="14" t="s">
        <v>14193</v>
      </c>
      <c r="L349" s="14" t="s">
        <v>13766</v>
      </c>
      <c r="M349" s="14" t="s">
        <v>9158</v>
      </c>
      <c r="N349" s="14" t="s">
        <v>9158</v>
      </c>
      <c r="O349" s="14" t="s">
        <v>9158</v>
      </c>
      <c r="P349" s="14" t="s">
        <v>9158</v>
      </c>
      <c r="Q349" s="14" t="s">
        <v>9158</v>
      </c>
    </row>
    <row r="350" spans="1:17">
      <c r="A350" s="14">
        <v>91253</v>
      </c>
      <c r="B350" s="14" t="s">
        <v>0</v>
      </c>
      <c r="C350" s="14" t="s">
        <v>96</v>
      </c>
      <c r="D350" s="14" t="s">
        <v>13607</v>
      </c>
      <c r="E350" s="15" t="str">
        <f>HYPERLINK("https://stat100.ameba.jp/tnk47/ratio20/illustrations/card/ill_91253_rumisu03.jpg?202104-5-RELEASE-marathon-526xxx", "■")</f>
        <v>■</v>
      </c>
      <c r="F350" s="14" t="s">
        <v>13609</v>
      </c>
      <c r="G350" s="14">
        <v>105281</v>
      </c>
      <c r="H350" s="14">
        <v>113277</v>
      </c>
      <c r="I350" s="14">
        <v>29</v>
      </c>
      <c r="J350" s="14" t="s">
        <v>77</v>
      </c>
      <c r="K350" s="14" t="s">
        <v>13611</v>
      </c>
      <c r="L350" s="14" t="s">
        <v>13612</v>
      </c>
      <c r="M350" s="14" t="s">
        <v>9158</v>
      </c>
      <c r="N350" s="14" t="s">
        <v>9158</v>
      </c>
      <c r="O350" s="14" t="s">
        <v>9158</v>
      </c>
      <c r="P350" s="14" t="s">
        <v>9158</v>
      </c>
      <c r="Q350" s="14" t="s">
        <v>9158</v>
      </c>
    </row>
    <row r="351" spans="1:17">
      <c r="A351" s="14">
        <v>90573</v>
      </c>
      <c r="B351" s="14" t="s">
        <v>0</v>
      </c>
      <c r="C351" s="14" t="s">
        <v>1</v>
      </c>
      <c r="D351" s="14" t="s">
        <v>14201</v>
      </c>
      <c r="E351" s="15" t="str">
        <f>HYPERLINK("https://stat100.ameba.jp/tnk47/ratio20/illustrations/card/ill_90573_yoigokochiizumonokuni03.jpg?202104-5-RELEASE-marathon-526xxx", "■")</f>
        <v>■</v>
      </c>
      <c r="F351" s="14" t="s">
        <v>14200</v>
      </c>
      <c r="G351" s="14">
        <v>113277</v>
      </c>
      <c r="H351" s="14">
        <v>105281</v>
      </c>
      <c r="I351" s="14">
        <v>29</v>
      </c>
      <c r="J351" s="14" t="s">
        <v>16</v>
      </c>
      <c r="K351" s="14" t="s">
        <v>2537</v>
      </c>
      <c r="L351" s="14" t="s">
        <v>14197</v>
      </c>
      <c r="M351" s="14" t="s">
        <v>9158</v>
      </c>
      <c r="N351" s="14" t="s">
        <v>9158</v>
      </c>
      <c r="O351" s="14" t="s">
        <v>9158</v>
      </c>
      <c r="P351" s="14" t="s">
        <v>9158</v>
      </c>
      <c r="Q351" s="14" t="s">
        <v>9158</v>
      </c>
    </row>
    <row r="352" spans="1:17">
      <c r="A352" s="14">
        <v>89893</v>
      </c>
      <c r="B352" s="14" t="s">
        <v>0</v>
      </c>
      <c r="C352" s="14" t="s">
        <v>107</v>
      </c>
      <c r="D352" s="14" t="s">
        <v>13848</v>
      </c>
      <c r="E352" s="15" t="str">
        <f>HYPERLINK("https://stat100.ameba.jp/tnk47/ratio20/illustrations/card/ill_89893_shijuhachitenguhikozambuzembo03.jpg?202104-5-RELEASE-marathon-526xxx", "■")</f>
        <v>■</v>
      </c>
      <c r="F352" s="14" t="s">
        <v>13851</v>
      </c>
      <c r="G352" s="14">
        <v>172397</v>
      </c>
      <c r="H352" s="14">
        <v>160296</v>
      </c>
      <c r="I352" s="14">
        <v>29</v>
      </c>
      <c r="J352" s="14" t="s">
        <v>73</v>
      </c>
      <c r="K352" s="14" t="s">
        <v>3667</v>
      </c>
      <c r="L352" s="14" t="s">
        <v>13766</v>
      </c>
      <c r="M352" s="14" t="s">
        <v>9158</v>
      </c>
      <c r="N352" s="14" t="s">
        <v>9158</v>
      </c>
      <c r="O352" s="14" t="s">
        <v>9158</v>
      </c>
      <c r="P352" s="14" t="s">
        <v>9158</v>
      </c>
      <c r="Q352" s="14" t="s">
        <v>9158</v>
      </c>
    </row>
    <row r="354" spans="1:17">
      <c r="A354" s="14" t="s">
        <v>4065</v>
      </c>
    </row>
    <row r="355" spans="1:17">
      <c r="A355" s="14">
        <v>108155</v>
      </c>
      <c r="B355" s="14" t="s">
        <v>17787</v>
      </c>
    </row>
    <row r="356" spans="1:17">
      <c r="A356" s="14" t="s">
        <v>5601</v>
      </c>
      <c r="B356" s="14" t="s">
        <v>330</v>
      </c>
      <c r="C356" s="14" t="s">
        <v>35</v>
      </c>
      <c r="D356" s="19" t="s">
        <v>10318</v>
      </c>
      <c r="E356" s="15" t="str">
        <f>HYPERLINK("https://stat100.ameba.jp/tnk47/ratio20/illustrations/card/ill_82423_0_bikinigarukishi03.jpg?202104-5-RELEASE-marathon-526xxx", "■")</f>
        <v>■</v>
      </c>
      <c r="F356" s="14" t="s">
        <v>5391</v>
      </c>
      <c r="G356" s="14">
        <v>339032</v>
      </c>
      <c r="H356" s="14">
        <v>306424</v>
      </c>
      <c r="I356" s="14">
        <v>28</v>
      </c>
      <c r="J356" s="14" t="s">
        <v>77</v>
      </c>
      <c r="K356" s="14" t="s">
        <v>5392</v>
      </c>
      <c r="L356" s="14" t="s">
        <v>5393</v>
      </c>
      <c r="M356" s="14" t="s">
        <v>9158</v>
      </c>
      <c r="N356" s="14" t="s">
        <v>9158</v>
      </c>
      <c r="O356" s="19" t="s">
        <v>10069</v>
      </c>
      <c r="P356" s="14" t="s">
        <v>5394</v>
      </c>
      <c r="Q356" s="14">
        <v>1</v>
      </c>
    </row>
    <row r="357" spans="1:17">
      <c r="A357" s="14">
        <v>85483</v>
      </c>
      <c r="B357" s="14" t="s">
        <v>0</v>
      </c>
      <c r="C357" s="14" t="s">
        <v>206</v>
      </c>
      <c r="D357" s="20" t="s">
        <v>10807</v>
      </c>
      <c r="E357" s="15" t="str">
        <f>HYPERLINK("https://stat100.ameba.jp/tnk47/ratio20/illustrations/card/ill_85483_seitankuronikururirimu03.jpg?202104-5-RELEASE-marathon-526xxx", "■")</f>
        <v>■</v>
      </c>
      <c r="F357" s="14" t="s">
        <v>8445</v>
      </c>
      <c r="G357" s="14">
        <v>112496</v>
      </c>
      <c r="H357" s="14">
        <v>104619</v>
      </c>
      <c r="I357" s="14">
        <v>27</v>
      </c>
      <c r="J357" s="14" t="s">
        <v>182</v>
      </c>
      <c r="K357" s="14" t="s">
        <v>8444</v>
      </c>
      <c r="L357" s="14" t="s">
        <v>2308</v>
      </c>
      <c r="M357" s="14" t="s">
        <v>9158</v>
      </c>
      <c r="N357" s="14" t="s">
        <v>9158</v>
      </c>
      <c r="O357" s="19" t="s">
        <v>10086</v>
      </c>
      <c r="P357" s="14" t="s">
        <v>3701</v>
      </c>
      <c r="Q357" s="14">
        <v>1</v>
      </c>
    </row>
    <row r="358" spans="1:17">
      <c r="A358" s="14">
        <v>82903</v>
      </c>
      <c r="B358" s="14" t="s">
        <v>334</v>
      </c>
      <c r="C358" s="14" t="s">
        <v>185</v>
      </c>
      <c r="D358" s="19" t="s">
        <v>10439</v>
      </c>
      <c r="E358" s="15" t="str">
        <f>HYPERLINK("https://stat100.ameba.jp/tnk47/ratio20/illustrations/card/ill_82903_yukatamatsurisonobehideo03.jpg?202104-5-RELEASE-marathon-526xxx", "■")</f>
        <v>■</v>
      </c>
      <c r="F358" s="14" t="s">
        <v>5970</v>
      </c>
      <c r="G358" s="14">
        <v>105465</v>
      </c>
      <c r="H358" s="14">
        <v>98019</v>
      </c>
      <c r="I358" s="14">
        <v>27</v>
      </c>
      <c r="J358" s="14" t="s">
        <v>10</v>
      </c>
      <c r="K358" s="14" t="s">
        <v>5972</v>
      </c>
      <c r="L358" s="14" t="s">
        <v>5973</v>
      </c>
      <c r="M358" s="14" t="s">
        <v>9158</v>
      </c>
      <c r="N358" s="14" t="s">
        <v>9158</v>
      </c>
      <c r="O358" s="19" t="s">
        <v>10102</v>
      </c>
      <c r="P358" s="14" t="s">
        <v>3672</v>
      </c>
      <c r="Q358" s="14">
        <v>1</v>
      </c>
    </row>
    <row r="359" spans="1:17">
      <c r="A359" s="14">
        <v>77123</v>
      </c>
      <c r="B359" s="14" t="s">
        <v>334</v>
      </c>
      <c r="C359" s="14" t="s">
        <v>191</v>
      </c>
      <c r="D359" s="20" t="s">
        <v>10424</v>
      </c>
      <c r="E359" s="15" t="str">
        <f>HYPERLINK("https://stat100.ameba.jp/tnk47/ratio20/illustrations/card/ill_77123_yukemuriizuna03.jpg?202104-5-RELEASE-marathon-526xxx", "■")</f>
        <v>■</v>
      </c>
      <c r="F359" s="14" t="s">
        <v>1377</v>
      </c>
      <c r="G359" s="14">
        <v>112496</v>
      </c>
      <c r="H359" s="14">
        <v>104619</v>
      </c>
      <c r="I359" s="14">
        <v>27</v>
      </c>
      <c r="J359" s="14" t="s">
        <v>320</v>
      </c>
      <c r="K359" s="14" t="s">
        <v>1378</v>
      </c>
      <c r="L359" s="14" t="s">
        <v>1379</v>
      </c>
      <c r="M359" s="14" t="s">
        <v>9158</v>
      </c>
      <c r="N359" s="14" t="s">
        <v>9158</v>
      </c>
      <c r="O359" s="19" t="s">
        <v>2838</v>
      </c>
      <c r="P359" s="14" t="s">
        <v>3579</v>
      </c>
      <c r="Q359" s="14">
        <v>1</v>
      </c>
    </row>
    <row r="361" spans="1:17">
      <c r="A361" s="14" t="s">
        <v>3916</v>
      </c>
      <c r="I361" s="9"/>
    </row>
    <row r="362" spans="1:17">
      <c r="A362" s="14">
        <v>108160</v>
      </c>
      <c r="B362" s="14" t="s">
        <v>17430</v>
      </c>
      <c r="I362" s="9"/>
    </row>
    <row r="363" spans="1:17">
      <c r="A363" s="9">
        <v>60363</v>
      </c>
      <c r="B363" s="14" t="s">
        <v>0</v>
      </c>
      <c r="C363" s="14" t="s">
        <v>209</v>
      </c>
      <c r="D363" s="14" t="s">
        <v>3918</v>
      </c>
      <c r="E363" s="15" t="str">
        <f>HYPERLINK("https://stat100.ameba.jp/tnk47/ratio20/illustrations/card/ill_60363_shirakaba03.jpg?202104-5-RELEASE-marathon-526xxx", "■")</f>
        <v>■</v>
      </c>
      <c r="F363" s="14" t="s">
        <v>3919</v>
      </c>
      <c r="G363" s="14">
        <v>116296</v>
      </c>
      <c r="H363" s="14">
        <v>125078</v>
      </c>
      <c r="I363" s="9">
        <v>29</v>
      </c>
      <c r="J363" s="14" t="s">
        <v>26</v>
      </c>
      <c r="K363" s="14" t="s">
        <v>3920</v>
      </c>
      <c r="L363" s="14" t="s">
        <v>3921</v>
      </c>
      <c r="M363" s="14" t="s">
        <v>9158</v>
      </c>
      <c r="N363" s="14" t="s">
        <v>9158</v>
      </c>
      <c r="O363" s="14" t="s">
        <v>9158</v>
      </c>
      <c r="P363" s="14" t="s">
        <v>9158</v>
      </c>
      <c r="Q363" s="14" t="s">
        <v>9158</v>
      </c>
    </row>
    <row r="364" spans="1:17">
      <c r="A364" s="9">
        <v>59413</v>
      </c>
      <c r="B364" s="14" t="s">
        <v>334</v>
      </c>
      <c r="C364" s="14" t="s">
        <v>158</v>
      </c>
      <c r="D364" s="14" t="s">
        <v>3922</v>
      </c>
      <c r="E364" s="15" t="str">
        <f>HYPERLINK("https://stat100.ameba.jp/tnk47/ratio20/illustrations/card/ill_59413_otogosahime03.jpg?202104-5-RELEASE-marathon-526xxx", "■")</f>
        <v>■</v>
      </c>
      <c r="F364" s="14" t="s">
        <v>3923</v>
      </c>
      <c r="G364" s="14">
        <v>116296</v>
      </c>
      <c r="H364" s="14">
        <v>125078</v>
      </c>
      <c r="I364" s="14">
        <v>29</v>
      </c>
      <c r="J364" s="14" t="s">
        <v>38</v>
      </c>
      <c r="K364" s="14" t="s">
        <v>3924</v>
      </c>
      <c r="L364" s="14" t="s">
        <v>3925</v>
      </c>
      <c r="M364" s="14" t="s">
        <v>9158</v>
      </c>
      <c r="N364" s="14" t="s">
        <v>9158</v>
      </c>
      <c r="O364" s="14" t="s">
        <v>9158</v>
      </c>
      <c r="P364" s="14" t="s">
        <v>9158</v>
      </c>
      <c r="Q364" s="14" t="s">
        <v>9158</v>
      </c>
    </row>
    <row r="365" spans="1:17">
      <c r="A365" s="14">
        <v>76483</v>
      </c>
      <c r="B365" s="14" t="s">
        <v>334</v>
      </c>
      <c r="C365" s="14" t="s">
        <v>307</v>
      </c>
      <c r="D365" s="20" t="s">
        <v>589</v>
      </c>
      <c r="E365" s="15" t="str">
        <f>HYPERLINK("https://stat100.ameba.jp/tnk47/ratio20/illustrations/card/ill_76483_yukemurimizuhanome03.jpg?202104-5-RELEASE-marathon-526xxx", "■")</f>
        <v>■</v>
      </c>
      <c r="F365" s="14" t="s">
        <v>590</v>
      </c>
      <c r="G365" s="14">
        <v>118287</v>
      </c>
      <c r="H365" s="14">
        <v>109970</v>
      </c>
      <c r="I365" s="9">
        <v>29</v>
      </c>
      <c r="J365" s="14" t="s">
        <v>401</v>
      </c>
      <c r="K365" s="14" t="s">
        <v>591</v>
      </c>
      <c r="L365" s="14" t="s">
        <v>592</v>
      </c>
      <c r="M365" s="14" t="s">
        <v>9158</v>
      </c>
      <c r="N365" s="14" t="s">
        <v>9158</v>
      </c>
      <c r="O365" s="14" t="s">
        <v>9158</v>
      </c>
      <c r="P365" s="14" t="s">
        <v>9158</v>
      </c>
      <c r="Q365" s="14" t="s">
        <v>9158</v>
      </c>
    </row>
    <row r="366" spans="1:17">
      <c r="A366" s="14">
        <v>70023</v>
      </c>
      <c r="B366" s="14" t="s">
        <v>334</v>
      </c>
      <c r="C366" s="14" t="s">
        <v>344</v>
      </c>
      <c r="D366" s="20" t="s">
        <v>10230</v>
      </c>
      <c r="E366" s="15" t="str">
        <f>HYPERLINK("https://stat100.ameba.jp/tnk47/ratio20/illustrations/card/ill_70023_yukinoukokunabeshimanobakeneko03.jpg?202104-5-RELEASE-marathon-526xxx", "■")</f>
        <v>■</v>
      </c>
      <c r="F366" s="14" t="s">
        <v>769</v>
      </c>
      <c r="G366" s="14">
        <v>112369</v>
      </c>
      <c r="H366" s="14">
        <v>120830</v>
      </c>
      <c r="I366" s="14">
        <v>29</v>
      </c>
      <c r="J366" s="14" t="s">
        <v>320</v>
      </c>
      <c r="K366" s="14" t="s">
        <v>770</v>
      </c>
      <c r="L366" s="14" t="s">
        <v>771</v>
      </c>
      <c r="M366" s="14" t="s">
        <v>9158</v>
      </c>
      <c r="N366" s="14" t="s">
        <v>9158</v>
      </c>
      <c r="O366" s="14" t="s">
        <v>9158</v>
      </c>
      <c r="P366" s="14" t="s">
        <v>9158</v>
      </c>
      <c r="Q366" s="14" t="s">
        <v>9158</v>
      </c>
    </row>
    <row r="367" spans="1:17">
      <c r="A367" s="14">
        <v>52733</v>
      </c>
      <c r="B367" s="14" t="s">
        <v>15</v>
      </c>
      <c r="C367" s="14" t="s">
        <v>185</v>
      </c>
      <c r="D367" s="20" t="s">
        <v>10491</v>
      </c>
      <c r="E367" s="15" t="str">
        <f>HYPERLINK("https://stat100.ameba.jp/tnk47/ratio20/illustrations/card/ill_52733_sekkinambutsuruhime03.jpg?202104-5-RELEASE-marathon-526xxx", "■")</f>
        <v>■</v>
      </c>
      <c r="F367" s="14" t="s">
        <v>6246</v>
      </c>
      <c r="G367" s="14">
        <v>64520</v>
      </c>
      <c r="H367" s="14">
        <v>71136</v>
      </c>
      <c r="I367" s="14">
        <v>24</v>
      </c>
      <c r="J367" s="14" t="s">
        <v>77</v>
      </c>
      <c r="K367" s="14" t="s">
        <v>6248</v>
      </c>
      <c r="L367" s="14" t="s">
        <v>6249</v>
      </c>
      <c r="M367" s="14" t="s">
        <v>9158</v>
      </c>
      <c r="N367" s="14" t="s">
        <v>9158</v>
      </c>
      <c r="O367" s="14" t="s">
        <v>9158</v>
      </c>
      <c r="P367" s="14" t="s">
        <v>9158</v>
      </c>
      <c r="Q367" s="14" t="s">
        <v>9158</v>
      </c>
    </row>
    <row r="368" spans="1:17">
      <c r="A368" s="14">
        <v>54003</v>
      </c>
      <c r="B368" s="14" t="s">
        <v>15</v>
      </c>
      <c r="C368" s="14" t="s">
        <v>200</v>
      </c>
      <c r="D368" s="20" t="s">
        <v>10492</v>
      </c>
      <c r="E368" s="15" t="str">
        <f>HYPERLINK("https://stat100.ameba.jp/tnk47/ratio20/illustrations/card/ill_54003_seiryumegurihiguchiichiyo03.jpg?202104-5-RELEASE-marathon-526xxx", "■")</f>
        <v>■</v>
      </c>
      <c r="F368" s="14" t="s">
        <v>6250</v>
      </c>
      <c r="G368" s="14">
        <v>71136</v>
      </c>
      <c r="H368" s="14">
        <v>64520</v>
      </c>
      <c r="I368" s="14">
        <v>24</v>
      </c>
      <c r="J368" s="14" t="s">
        <v>10</v>
      </c>
      <c r="K368" s="14" t="s">
        <v>6252</v>
      </c>
      <c r="L368" s="14" t="s">
        <v>6253</v>
      </c>
      <c r="M368" s="14" t="s">
        <v>9158</v>
      </c>
      <c r="N368" s="14" t="s">
        <v>9158</v>
      </c>
      <c r="O368" s="14" t="s">
        <v>9158</v>
      </c>
      <c r="P368" s="14" t="s">
        <v>9158</v>
      </c>
      <c r="Q368" s="14" t="s">
        <v>9158</v>
      </c>
    </row>
    <row r="369" spans="1:17">
      <c r="A369" s="14">
        <v>51833</v>
      </c>
      <c r="B369" s="14" t="s">
        <v>15</v>
      </c>
      <c r="C369" s="14" t="s">
        <v>205</v>
      </c>
      <c r="D369" s="20" t="s">
        <v>10493</v>
      </c>
      <c r="E369" s="15" t="str">
        <f>HYPERLINK("https://stat100.ameba.jp/tnk47/ratio20/illustrations/card/ill_51833_jukimakitsuhikonomikoto03.jpg?202104-5-RELEASE-marathon-526xxx", "■")</f>
        <v>■</v>
      </c>
      <c r="F369" s="14" t="s">
        <v>6254</v>
      </c>
      <c r="G369" s="14">
        <v>71136</v>
      </c>
      <c r="H369" s="14">
        <v>64520</v>
      </c>
      <c r="I369" s="14">
        <v>24</v>
      </c>
      <c r="J369" s="14" t="s">
        <v>44</v>
      </c>
      <c r="K369" s="14" t="s">
        <v>6257</v>
      </c>
      <c r="L369" s="14" t="s">
        <v>6256</v>
      </c>
      <c r="M369" s="14" t="s">
        <v>9158</v>
      </c>
      <c r="N369" s="14" t="s">
        <v>9158</v>
      </c>
      <c r="O369" s="14" t="s">
        <v>9158</v>
      </c>
      <c r="P369" s="14" t="s">
        <v>9158</v>
      </c>
      <c r="Q369" s="14" t="s">
        <v>9158</v>
      </c>
    </row>
    <row r="370" spans="1:17">
      <c r="A370" s="14">
        <v>53203</v>
      </c>
      <c r="B370" s="14" t="s">
        <v>15</v>
      </c>
      <c r="C370" s="14" t="s">
        <v>165</v>
      </c>
      <c r="D370" s="20" t="s">
        <v>10494</v>
      </c>
      <c r="E370" s="15" t="str">
        <f>HYPERLINK("https://stat100.ameba.jp/tnk47/ratio20/illustrations/card/ill_53203_buruhawaichan03.jpg?202104-5-RELEASE-marathon-526xxx", "■")</f>
        <v>■</v>
      </c>
      <c r="F370" s="14" t="s">
        <v>6258</v>
      </c>
      <c r="G370" s="14">
        <v>64520</v>
      </c>
      <c r="H370" s="14">
        <v>71136</v>
      </c>
      <c r="I370" s="14">
        <v>24</v>
      </c>
      <c r="J370" s="14" t="s">
        <v>104</v>
      </c>
      <c r="K370" s="14" t="s">
        <v>6261</v>
      </c>
      <c r="L370" s="14" t="s">
        <v>6260</v>
      </c>
      <c r="M370" s="14" t="s">
        <v>9158</v>
      </c>
      <c r="N370" s="14" t="s">
        <v>9158</v>
      </c>
      <c r="O370" s="14" t="s">
        <v>9158</v>
      </c>
      <c r="P370" s="14" t="s">
        <v>9158</v>
      </c>
      <c r="Q370" s="14" t="s">
        <v>9158</v>
      </c>
    </row>
    <row r="372" spans="1:17">
      <c r="A372" s="14" t="s">
        <v>3911</v>
      </c>
    </row>
    <row r="373" spans="1:17">
      <c r="A373" s="14">
        <v>108182</v>
      </c>
      <c r="B373" s="14" t="s">
        <v>17788</v>
      </c>
    </row>
    <row r="374" spans="1:17">
      <c r="A374" s="14">
        <v>108192</v>
      </c>
      <c r="B374" s="14" t="s">
        <v>15721</v>
      </c>
    </row>
    <row r="375" spans="1:17">
      <c r="A375" s="14" t="s">
        <v>15807</v>
      </c>
      <c r="B375" s="14" t="s">
        <v>52</v>
      </c>
      <c r="C375" s="14" t="s">
        <v>35</v>
      </c>
      <c r="D375" s="14" t="s">
        <v>15808</v>
      </c>
      <c r="E375" s="15" t="str">
        <f>HYPERLINK("https://stat100.ameba.jp/tnk47/ratio20/illustrations/card/ill_95013_0_shinshunnisennijuichiayakashi03.jpg?202104-5-RELEASE-marathon-526xxx", "■")</f>
        <v>■</v>
      </c>
      <c r="F375" s="14" t="s">
        <v>15806</v>
      </c>
      <c r="G375" s="14">
        <v>288416</v>
      </c>
      <c r="H375" s="14">
        <v>319106</v>
      </c>
      <c r="I375" s="14">
        <v>29</v>
      </c>
      <c r="J375" s="14" t="s">
        <v>73</v>
      </c>
      <c r="K375" s="14" t="s">
        <v>15805</v>
      </c>
      <c r="L375" s="14" t="s">
        <v>15804</v>
      </c>
      <c r="M375" s="14" t="s">
        <v>9158</v>
      </c>
      <c r="N375" s="14" t="s">
        <v>9158</v>
      </c>
      <c r="O375" s="14" t="s">
        <v>15802</v>
      </c>
      <c r="P375" s="14" t="s">
        <v>15803</v>
      </c>
      <c r="Q375" s="14">
        <v>0</v>
      </c>
    </row>
    <row r="376" spans="1:17">
      <c r="A376" s="14" t="s">
        <v>13086</v>
      </c>
      <c r="B376" s="7" t="s">
        <v>52</v>
      </c>
      <c r="C376" s="14" t="s">
        <v>202</v>
      </c>
      <c r="D376" s="18" t="s">
        <v>13084</v>
      </c>
      <c r="E376" s="15" t="str">
        <f>HYPERLINK("https://stat100.ameba.jp/tnk47/ratio20/illustrations/card/ill_89703_0_jumburaidohimiko03.jpg?202104-5-RELEASE-marathon-526xxx", "■")</f>
        <v>■</v>
      </c>
      <c r="F376" s="14" t="s">
        <v>13085</v>
      </c>
      <c r="G376" s="14">
        <v>369585</v>
      </c>
      <c r="H376" s="14">
        <v>302369</v>
      </c>
      <c r="I376" s="14">
        <v>29</v>
      </c>
      <c r="J376" s="14" t="s">
        <v>10</v>
      </c>
      <c r="K376" s="14" t="s">
        <v>13087</v>
      </c>
      <c r="L376" s="14" t="s">
        <v>12016</v>
      </c>
      <c r="M376" s="14" t="s">
        <v>9158</v>
      </c>
      <c r="N376" s="14" t="s">
        <v>9158</v>
      </c>
      <c r="O376" s="6" t="s">
        <v>13088</v>
      </c>
      <c r="P376" s="7" t="s">
        <v>13089</v>
      </c>
      <c r="Q376" s="7">
        <v>1</v>
      </c>
    </row>
    <row r="377" spans="1:17">
      <c r="A377" s="14" t="s">
        <v>5612</v>
      </c>
      <c r="B377" s="14" t="s">
        <v>52</v>
      </c>
      <c r="C377" s="14" t="s">
        <v>165</v>
      </c>
      <c r="D377" s="19" t="s">
        <v>789</v>
      </c>
      <c r="E377" s="15" t="str">
        <f>HYPERLINK("https://stat100.ameba.jp/tnk47/ratio20/illustrations/card/ill_49193_0_onmyoudouabenoseimei03.jpg?202104-5-RELEASE-marathon-526xxx", "■")</f>
        <v>■</v>
      </c>
      <c r="F377" s="14" t="s">
        <v>1896</v>
      </c>
      <c r="G377" s="14">
        <v>161842</v>
      </c>
      <c r="H377" s="14">
        <v>182188</v>
      </c>
      <c r="I377" s="14">
        <v>29</v>
      </c>
      <c r="J377" s="14" t="s">
        <v>10</v>
      </c>
      <c r="K377" s="14" t="s">
        <v>1897</v>
      </c>
      <c r="L377" s="14" t="s">
        <v>1898</v>
      </c>
      <c r="M377" s="14" t="s">
        <v>9158</v>
      </c>
      <c r="N377" s="14" t="s">
        <v>9158</v>
      </c>
      <c r="O377" s="14" t="s">
        <v>9158</v>
      </c>
      <c r="P377" s="14" t="s">
        <v>9158</v>
      </c>
      <c r="Q377" s="14" t="s">
        <v>9158</v>
      </c>
    </row>
    <row r="378" spans="1:17">
      <c r="A378" s="7">
        <v>59423</v>
      </c>
      <c r="B378" s="14" t="s">
        <v>334</v>
      </c>
      <c r="C378" s="14" t="s">
        <v>209</v>
      </c>
      <c r="D378" s="19" t="s">
        <v>10286</v>
      </c>
      <c r="E378" s="15" t="str">
        <f>HYPERLINK("https://stat100.ameba.jp/tnk47/ratio20/illustrations/card/ill_59423_yuishosetsu03.jpg?202104-5-RELEASE-marathon-526xxx", "■")</f>
        <v>■</v>
      </c>
      <c r="F378" s="14" t="s">
        <v>1143</v>
      </c>
      <c r="G378" s="14">
        <v>131617</v>
      </c>
      <c r="H378" s="14">
        <v>95357</v>
      </c>
      <c r="I378" s="14">
        <v>29</v>
      </c>
      <c r="J378" s="14" t="s">
        <v>16</v>
      </c>
      <c r="K378" s="14" t="s">
        <v>1144</v>
      </c>
      <c r="L378" s="14" t="s">
        <v>1149</v>
      </c>
      <c r="M378" s="14" t="s">
        <v>9158</v>
      </c>
      <c r="N378" s="14" t="s">
        <v>9158</v>
      </c>
      <c r="O378" s="19" t="s">
        <v>2951</v>
      </c>
      <c r="P378" s="14" t="s">
        <v>13122</v>
      </c>
      <c r="Q378" s="14">
        <v>1</v>
      </c>
    </row>
    <row r="379" spans="1:17">
      <c r="A379" s="14">
        <v>76793</v>
      </c>
      <c r="B379" s="14" t="s">
        <v>334</v>
      </c>
      <c r="C379" s="14" t="s">
        <v>268</v>
      </c>
      <c r="D379" s="20" t="s">
        <v>425</v>
      </c>
      <c r="E379" s="15" t="str">
        <f>HYPERLINK("https://stat100.ameba.jp/tnk47/ratio20/illustrations/card/ill_76793_monsutatamatebako03.jpg?202104-5-RELEASE-marathon-526xxx", "■")</f>
        <v>■</v>
      </c>
      <c r="F379" s="14" t="s">
        <v>426</v>
      </c>
      <c r="G379" s="14">
        <v>131617</v>
      </c>
      <c r="H379" s="14">
        <v>95357</v>
      </c>
      <c r="I379" s="14">
        <v>29</v>
      </c>
      <c r="J379" s="14" t="s">
        <v>274</v>
      </c>
      <c r="K379" s="14" t="s">
        <v>427</v>
      </c>
      <c r="L379" s="14" t="s">
        <v>428</v>
      </c>
      <c r="M379" s="14" t="s">
        <v>9158</v>
      </c>
      <c r="N379" s="14" t="s">
        <v>9158</v>
      </c>
      <c r="O379" s="19" t="s">
        <v>3037</v>
      </c>
      <c r="P379" s="14" t="s">
        <v>13128</v>
      </c>
      <c r="Q379" s="14">
        <v>1</v>
      </c>
    </row>
    <row r="380" spans="1:17">
      <c r="A380" s="14">
        <v>58743</v>
      </c>
      <c r="B380" s="14" t="s">
        <v>334</v>
      </c>
      <c r="C380" s="14" t="s">
        <v>209</v>
      </c>
      <c r="D380" s="20" t="s">
        <v>10273</v>
      </c>
      <c r="E380" s="15" t="str">
        <f>HYPERLINK("https://stat100.ameba.jp/tnk47/ratio20/illustrations/card/ill_58743_enkirienoki03.jpg?202104-5-RELEASE-marathon-526xxx", "■")</f>
        <v>■</v>
      </c>
      <c r="F380" s="14" t="s">
        <v>2550</v>
      </c>
      <c r="G380" s="14">
        <v>87757</v>
      </c>
      <c r="H380" s="14">
        <v>119686</v>
      </c>
      <c r="I380" s="14">
        <v>29</v>
      </c>
      <c r="J380" s="14" t="s">
        <v>44</v>
      </c>
      <c r="K380" s="14" t="s">
        <v>2551</v>
      </c>
      <c r="L380" s="14" t="s">
        <v>95</v>
      </c>
      <c r="M380" s="14" t="s">
        <v>9158</v>
      </c>
      <c r="N380" s="14" t="s">
        <v>9158</v>
      </c>
      <c r="O380" s="19" t="s">
        <v>10091</v>
      </c>
      <c r="P380" s="14" t="s">
        <v>3670</v>
      </c>
      <c r="Q380" s="14">
        <v>1</v>
      </c>
    </row>
    <row r="381" spans="1:17">
      <c r="A381" s="14">
        <v>77683</v>
      </c>
      <c r="B381" s="14" t="s">
        <v>0</v>
      </c>
      <c r="C381" s="14" t="s">
        <v>203</v>
      </c>
      <c r="D381" s="20" t="s">
        <v>10220</v>
      </c>
      <c r="E381" s="15" t="str">
        <f>HYPERLINK("https://stat100.ameba.jp/tnk47/ratio20/illustrations/card/ill_77683_shukusainoujohoride03.jpg?202104-5-RELEASE-marathon-526xxx", "■")</f>
        <v>■</v>
      </c>
      <c r="F381" s="14" t="s">
        <v>1430</v>
      </c>
      <c r="G381" s="14">
        <v>126741</v>
      </c>
      <c r="H381" s="14">
        <v>91815</v>
      </c>
      <c r="I381" s="14">
        <v>29</v>
      </c>
      <c r="J381" s="14" t="s">
        <v>315</v>
      </c>
      <c r="K381" s="14" t="s">
        <v>1431</v>
      </c>
      <c r="L381" s="14" t="s">
        <v>1432</v>
      </c>
      <c r="M381" s="14" t="s">
        <v>9158</v>
      </c>
      <c r="N381" s="14" t="s">
        <v>9158</v>
      </c>
      <c r="O381" s="19" t="s">
        <v>10090</v>
      </c>
      <c r="P381" s="14" t="s">
        <v>3460</v>
      </c>
      <c r="Q381" s="14">
        <v>1</v>
      </c>
    </row>
    <row r="382" spans="1:17">
      <c r="A382" s="14">
        <v>76783</v>
      </c>
      <c r="B382" s="14" t="s">
        <v>334</v>
      </c>
      <c r="C382" s="14" t="s">
        <v>203</v>
      </c>
      <c r="D382" s="19" t="s">
        <v>10367</v>
      </c>
      <c r="E382" s="15" t="str">
        <f>HYPERLINK("https://stat100.ameba.jp/tnk47/ratio20/illustrations/card/ill_76783_monsutaakashirejina03.jpg?202104-5-RELEASE-marathon-526xxx", "■")</f>
        <v>■</v>
      </c>
      <c r="F382" s="14" t="s">
        <v>1192</v>
      </c>
      <c r="G382" s="14">
        <v>91815</v>
      </c>
      <c r="H382" s="14">
        <v>126741</v>
      </c>
      <c r="I382" s="7">
        <v>29</v>
      </c>
      <c r="J382" s="14" t="s">
        <v>10</v>
      </c>
      <c r="K382" s="14" t="s">
        <v>1193</v>
      </c>
      <c r="L382" s="14" t="s">
        <v>1194</v>
      </c>
      <c r="M382" s="14" t="s">
        <v>9158</v>
      </c>
      <c r="N382" s="14" t="s">
        <v>9158</v>
      </c>
      <c r="O382" s="19" t="s">
        <v>2752</v>
      </c>
      <c r="P382" s="14" t="s">
        <v>13123</v>
      </c>
      <c r="Q382" s="14">
        <v>1</v>
      </c>
    </row>
    <row r="383" spans="1:17">
      <c r="A383" s="14">
        <v>78143</v>
      </c>
      <c r="B383" s="14" t="s">
        <v>334</v>
      </c>
      <c r="C383" s="14" t="s">
        <v>203</v>
      </c>
      <c r="D383" s="19" t="s">
        <v>10285</v>
      </c>
      <c r="E383" s="15" t="str">
        <f>HYPERLINK("https://stat100.ameba.jp/tnk47/ratio20/illustrations/card/ill_78143_kanibarukuin03.jpg?202104-5-RELEASE-marathon-526xxx", "■")</f>
        <v>■</v>
      </c>
      <c r="F383" s="14" t="s">
        <v>2687</v>
      </c>
      <c r="G383" s="14">
        <v>107088</v>
      </c>
      <c r="H383" s="14">
        <v>147858</v>
      </c>
      <c r="I383" s="7">
        <v>29</v>
      </c>
      <c r="J383" s="14" t="s">
        <v>26</v>
      </c>
      <c r="K383" s="14" t="s">
        <v>2688</v>
      </c>
      <c r="L383" s="14" t="s">
        <v>2137</v>
      </c>
      <c r="M383" s="14" t="s">
        <v>9158</v>
      </c>
      <c r="N383" s="14" t="s">
        <v>9158</v>
      </c>
      <c r="O383" s="19" t="s">
        <v>10103</v>
      </c>
      <c r="P383" s="14" t="s">
        <v>3897</v>
      </c>
      <c r="Q383" s="14">
        <v>1</v>
      </c>
    </row>
    <row r="385" spans="1:18">
      <c r="A385" s="14" t="s">
        <v>13327</v>
      </c>
    </row>
    <row r="386" spans="1:18">
      <c r="A386" s="14">
        <v>108206</v>
      </c>
      <c r="B386" s="14" t="s">
        <v>17431</v>
      </c>
    </row>
    <row r="387" spans="1:18">
      <c r="A387" s="14">
        <v>82213</v>
      </c>
      <c r="B387" s="14" t="s">
        <v>0</v>
      </c>
      <c r="C387" s="14" t="s">
        <v>185</v>
      </c>
      <c r="D387" s="19" t="s">
        <v>10185</v>
      </c>
      <c r="E387" s="15" t="str">
        <f>HYPERLINK("https://stat100.ameba.jp/tnk47/ratio20/illustrations/card/ill_82213_tatarimokke03.jpg?202104-5-RELEASE-marathon-526xxx", "■")</f>
        <v>■</v>
      </c>
      <c r="F387" s="14" t="s">
        <v>4935</v>
      </c>
      <c r="G387" s="14">
        <v>132737</v>
      </c>
      <c r="H387" s="14">
        <v>142768</v>
      </c>
      <c r="I387" s="14">
        <v>29</v>
      </c>
      <c r="J387" s="14" t="s">
        <v>182</v>
      </c>
      <c r="K387" s="14" t="s">
        <v>4937</v>
      </c>
      <c r="L387" s="14" t="s">
        <v>13191</v>
      </c>
      <c r="M387" s="14" t="s">
        <v>13130</v>
      </c>
      <c r="N387" s="14" t="s">
        <v>343</v>
      </c>
      <c r="O387" s="14" t="s">
        <v>9158</v>
      </c>
      <c r="P387" s="14" t="s">
        <v>9158</v>
      </c>
      <c r="Q387" s="14" t="s">
        <v>9158</v>
      </c>
      <c r="R387" s="14" t="s">
        <v>14748</v>
      </c>
    </row>
    <row r="388" spans="1:18">
      <c r="A388" s="14">
        <v>82212</v>
      </c>
      <c r="B388" s="14" t="s">
        <v>334</v>
      </c>
      <c r="C388" s="14" t="s">
        <v>185</v>
      </c>
      <c r="D388" s="19" t="s">
        <v>10185</v>
      </c>
      <c r="E388" s="15" t="str">
        <f>HYPERLINK("https://stat100.ameba.jp/tnk47/ratio20/illustrations/card/ill_82212_tatarimokke02.jpg?202104-5-RELEASE-marathon-526xxx", "■")</f>
        <v>■</v>
      </c>
      <c r="F388" s="14" t="s">
        <v>4935</v>
      </c>
      <c r="G388" s="14">
        <v>109938</v>
      </c>
      <c r="H388" s="14">
        <v>119345</v>
      </c>
      <c r="I388" s="14">
        <v>29</v>
      </c>
      <c r="J388" s="14" t="s">
        <v>182</v>
      </c>
      <c r="K388" s="14" t="s">
        <v>4937</v>
      </c>
      <c r="L388" s="14" t="s">
        <v>13191</v>
      </c>
      <c r="M388" s="14" t="s">
        <v>13131</v>
      </c>
      <c r="N388" s="14" t="s">
        <v>251</v>
      </c>
      <c r="O388" s="14" t="s">
        <v>9158</v>
      </c>
      <c r="P388" s="14" t="s">
        <v>9158</v>
      </c>
      <c r="Q388" s="14" t="s">
        <v>9158</v>
      </c>
      <c r="R388" s="14" t="s">
        <v>14748</v>
      </c>
    </row>
    <row r="389" spans="1:18">
      <c r="A389" s="14">
        <v>82211</v>
      </c>
      <c r="B389" s="14" t="s">
        <v>0</v>
      </c>
      <c r="C389" s="14" t="s">
        <v>185</v>
      </c>
      <c r="D389" s="19" t="s">
        <v>10185</v>
      </c>
      <c r="E389" s="15" t="str">
        <f>HYPERLINK("https://stat100.ameba.jp/tnk47/ratio20/illustrations/card/ill_82211_tatarimokke01.jpg?202104-5-RELEASE-marathon-526xxx", "■")</f>
        <v>■</v>
      </c>
      <c r="F389" s="14" t="s">
        <v>4935</v>
      </c>
      <c r="G389" s="14">
        <v>84825</v>
      </c>
      <c r="H389" s="14">
        <v>91118</v>
      </c>
      <c r="I389" s="14">
        <v>29</v>
      </c>
      <c r="J389" s="14" t="s">
        <v>182</v>
      </c>
      <c r="K389" s="14" t="s">
        <v>4937</v>
      </c>
      <c r="L389" s="14" t="s">
        <v>13191</v>
      </c>
      <c r="M389" s="14" t="s">
        <v>13131</v>
      </c>
      <c r="N389" s="14" t="s">
        <v>251</v>
      </c>
      <c r="O389" s="14" t="s">
        <v>9158</v>
      </c>
      <c r="P389" s="14" t="s">
        <v>9158</v>
      </c>
      <c r="Q389" s="14" t="s">
        <v>9158</v>
      </c>
      <c r="R389" s="14" t="s">
        <v>14748</v>
      </c>
    </row>
    <row r="390" spans="1:18">
      <c r="A390" s="14">
        <v>82223</v>
      </c>
      <c r="B390" s="14" t="s">
        <v>334</v>
      </c>
      <c r="C390" s="14" t="s">
        <v>200</v>
      </c>
      <c r="D390" s="19" t="s">
        <v>10186</v>
      </c>
      <c r="E390" s="15" t="str">
        <f>HYPERLINK("https://stat100.ameba.jp/tnk47/ratio20/illustrations/card/ill_82223_oyayubihime03.jpg?202104-5-RELEASE-marathon-526xxx", "■")</f>
        <v>■</v>
      </c>
      <c r="F390" s="14" t="s">
        <v>4931</v>
      </c>
      <c r="G390" s="14">
        <v>142768</v>
      </c>
      <c r="H390" s="14">
        <v>132737</v>
      </c>
      <c r="I390" s="14">
        <v>29</v>
      </c>
      <c r="J390" s="14" t="s">
        <v>155</v>
      </c>
      <c r="K390" s="14" t="s">
        <v>4933</v>
      </c>
      <c r="L390" s="14" t="s">
        <v>4934</v>
      </c>
      <c r="M390" s="14" t="s">
        <v>13130</v>
      </c>
      <c r="N390" s="14" t="s">
        <v>343</v>
      </c>
      <c r="O390" s="14" t="s">
        <v>9158</v>
      </c>
      <c r="P390" s="14" t="s">
        <v>9158</v>
      </c>
      <c r="Q390" s="14" t="s">
        <v>9158</v>
      </c>
      <c r="R390" s="14" t="s">
        <v>14748</v>
      </c>
    </row>
    <row r="391" spans="1:18">
      <c r="A391" s="14">
        <v>82233</v>
      </c>
      <c r="B391" s="14" t="s">
        <v>334</v>
      </c>
      <c r="C391" s="14" t="s">
        <v>191</v>
      </c>
      <c r="D391" s="19" t="s">
        <v>10187</v>
      </c>
      <c r="E391" s="15" t="str">
        <f>HYPERLINK("https://stat100.ameba.jp/tnk47/ratio20/illustrations/card/ill_82233_iseokiku03.jpg?202104-5-RELEASE-marathon-526xxx", "■")</f>
        <v>■</v>
      </c>
      <c r="F391" s="14" t="s">
        <v>4924</v>
      </c>
      <c r="G391" s="14">
        <v>142768</v>
      </c>
      <c r="H391" s="14">
        <v>132737</v>
      </c>
      <c r="I391" s="14">
        <v>29</v>
      </c>
      <c r="J391" s="14" t="s">
        <v>187</v>
      </c>
      <c r="K391" s="14" t="s">
        <v>4926</v>
      </c>
      <c r="L391" s="14" t="s">
        <v>4930</v>
      </c>
      <c r="M391" s="14" t="s">
        <v>13130</v>
      </c>
      <c r="N391" s="14" t="s">
        <v>343</v>
      </c>
      <c r="O391" s="14" t="s">
        <v>9158</v>
      </c>
      <c r="P391" s="14" t="s">
        <v>9158</v>
      </c>
      <c r="Q391" s="14" t="s">
        <v>9158</v>
      </c>
      <c r="R391" s="14" t="s">
        <v>14748</v>
      </c>
    </row>
    <row r="392" spans="1:18">
      <c r="A392" s="14">
        <v>82243</v>
      </c>
      <c r="B392" s="14" t="s">
        <v>0</v>
      </c>
      <c r="C392" s="14" t="s">
        <v>165</v>
      </c>
      <c r="D392" s="19" t="s">
        <v>10188</v>
      </c>
      <c r="E392" s="15" t="str">
        <f>HYPERLINK("https://stat100.ameba.jp/tnk47/ratio20/illustrations/card/ill_82243_nanohana03.jpg?202104-5-RELEASE-marathon-526xxx", "■")</f>
        <v>■</v>
      </c>
      <c r="F392" s="14" t="s">
        <v>4921</v>
      </c>
      <c r="G392" s="14">
        <v>142768</v>
      </c>
      <c r="H392" s="14">
        <v>132737</v>
      </c>
      <c r="I392" s="14">
        <v>29</v>
      </c>
      <c r="J392" s="14" t="s">
        <v>229</v>
      </c>
      <c r="K392" s="14" t="s">
        <v>4923</v>
      </c>
      <c r="L392" s="14" t="s">
        <v>4929</v>
      </c>
      <c r="M392" s="14" t="s">
        <v>13130</v>
      </c>
      <c r="N392" s="14" t="s">
        <v>343</v>
      </c>
      <c r="O392" s="14" t="s">
        <v>9158</v>
      </c>
      <c r="P392" s="14" t="s">
        <v>9158</v>
      </c>
      <c r="Q392" s="14" t="s">
        <v>9158</v>
      </c>
      <c r="R392" s="14" t="s">
        <v>14748</v>
      </c>
    </row>
    <row r="393" spans="1:18">
      <c r="A393" s="14">
        <v>82253</v>
      </c>
      <c r="B393" s="14" t="s">
        <v>334</v>
      </c>
      <c r="C393" s="14" t="s">
        <v>205</v>
      </c>
      <c r="D393" s="19" t="s">
        <v>10189</v>
      </c>
      <c r="E393" s="15" t="str">
        <f>HYPERLINK("https://stat100.ameba.jp/tnk47/ratio20/illustrations/card/ill_82253_ajisaikyogokuichiko03.jpg?202104-5-RELEASE-marathon-526xxx", "■")</f>
        <v>■</v>
      </c>
      <c r="F393" s="14" t="s">
        <v>4920</v>
      </c>
      <c r="G393" s="14">
        <v>132737</v>
      </c>
      <c r="H393" s="14">
        <v>142768</v>
      </c>
      <c r="I393" s="14">
        <v>29</v>
      </c>
      <c r="J393" s="14" t="s">
        <v>159</v>
      </c>
      <c r="K393" s="14" t="s">
        <v>4919</v>
      </c>
      <c r="L393" s="14" t="s">
        <v>4927</v>
      </c>
      <c r="M393" s="14" t="s">
        <v>13130</v>
      </c>
      <c r="N393" s="14" t="s">
        <v>343</v>
      </c>
      <c r="O393" s="14" t="s">
        <v>9158</v>
      </c>
      <c r="P393" s="14" t="s">
        <v>9158</v>
      </c>
      <c r="Q393" s="14" t="s">
        <v>9158</v>
      </c>
      <c r="R393" s="14" t="s">
        <v>14748</v>
      </c>
    </row>
    <row r="394" spans="1:18">
      <c r="A394" s="14">
        <v>82263</v>
      </c>
      <c r="B394" s="14" t="s">
        <v>334</v>
      </c>
      <c r="C394" s="14" t="s">
        <v>206</v>
      </c>
      <c r="D394" s="19" t="s">
        <v>10190</v>
      </c>
      <c r="E394" s="15" t="str">
        <f>HYPERLINK("https://stat100.ameba.jp/tnk47/ratio20/illustrations/card/ill_82263_euterupe03.jpg?202104-5-RELEASE-marathon-526xxx", "■")</f>
        <v>■</v>
      </c>
      <c r="F394" s="14" t="s">
        <v>4915</v>
      </c>
      <c r="G394" s="14">
        <v>132737</v>
      </c>
      <c r="H394" s="14">
        <v>142768</v>
      </c>
      <c r="I394" s="14">
        <v>29</v>
      </c>
      <c r="J394" s="14" t="s">
        <v>169</v>
      </c>
      <c r="K394" s="14" t="s">
        <v>4917</v>
      </c>
      <c r="L394" s="14" t="s">
        <v>4928</v>
      </c>
      <c r="M394" s="14" t="s">
        <v>13130</v>
      </c>
      <c r="N394" s="14" t="s">
        <v>343</v>
      </c>
      <c r="O394" s="14" t="s">
        <v>9158</v>
      </c>
      <c r="P394" s="14" t="s">
        <v>9158</v>
      </c>
      <c r="Q394" s="14" t="s">
        <v>9158</v>
      </c>
      <c r="R394" s="14" t="s">
        <v>14748</v>
      </c>
    </row>
    <row r="396" spans="1:18">
      <c r="A396" s="14" t="s">
        <v>1711</v>
      </c>
    </row>
    <row r="397" spans="1:18">
      <c r="A397" s="14">
        <v>108225</v>
      </c>
      <c r="B397" s="14" t="s">
        <v>4387</v>
      </c>
    </row>
    <row r="398" spans="1:18">
      <c r="A398" s="9" t="s">
        <v>9891</v>
      </c>
      <c r="B398" s="7" t="s">
        <v>52</v>
      </c>
      <c r="C398" s="9" t="s">
        <v>202</v>
      </c>
      <c r="D398" s="6" t="s">
        <v>9978</v>
      </c>
      <c r="E398" s="15" t="str">
        <f>HYPERLINK("https://stat100.ameba.jp/tnk47/ratio20/illustrations/card/ill_87643_0_oendanotohime03.jpg?202104-5-RELEASE-marathon-526xxx", "■")</f>
        <v>■</v>
      </c>
      <c r="F398" s="14" t="s">
        <v>9928</v>
      </c>
      <c r="G398" s="9">
        <v>249916</v>
      </c>
      <c r="H398" s="9">
        <v>305430</v>
      </c>
      <c r="I398" s="14">
        <v>24</v>
      </c>
      <c r="J398" s="9" t="s">
        <v>155</v>
      </c>
      <c r="K398" s="14" t="s">
        <v>9932</v>
      </c>
      <c r="L398" s="14" t="s">
        <v>9933</v>
      </c>
      <c r="M398" s="14" t="s">
        <v>9158</v>
      </c>
      <c r="N398" s="14" t="s">
        <v>9158</v>
      </c>
      <c r="O398" s="6" t="s">
        <v>9989</v>
      </c>
      <c r="P398" s="7" t="s">
        <v>9944</v>
      </c>
      <c r="Q398" s="7">
        <v>1</v>
      </c>
    </row>
    <row r="399" spans="1:18">
      <c r="A399" s="14" t="s">
        <v>5623</v>
      </c>
      <c r="B399" s="14" t="s">
        <v>330</v>
      </c>
      <c r="C399" s="14" t="s">
        <v>165</v>
      </c>
      <c r="D399" s="19" t="s">
        <v>3146</v>
      </c>
      <c r="E399" s="15" t="str">
        <f>HYPERLINK("https://stat100.ameba.jp/tnk47/ratio20/illustrations/card/ill_65713_0_undokaionikirimaru03.jpg?202104-5-RELEASE-marathon-526xxx", "■")</f>
        <v>■</v>
      </c>
      <c r="F399" s="14" t="s">
        <v>535</v>
      </c>
      <c r="G399" s="14">
        <v>181640</v>
      </c>
      <c r="H399" s="14">
        <v>168874</v>
      </c>
      <c r="I399" s="14">
        <v>24</v>
      </c>
      <c r="J399" s="14" t="s">
        <v>320</v>
      </c>
      <c r="K399" s="14" t="s">
        <v>3147</v>
      </c>
      <c r="L399" s="14" t="s">
        <v>3148</v>
      </c>
      <c r="M399" s="14" t="s">
        <v>9158</v>
      </c>
      <c r="N399" s="14" t="s">
        <v>9158</v>
      </c>
      <c r="O399" s="19" t="s">
        <v>2869</v>
      </c>
      <c r="P399" s="14" t="s">
        <v>2870</v>
      </c>
      <c r="Q399" s="14">
        <v>1</v>
      </c>
    </row>
    <row r="400" spans="1:18">
      <c r="A400" s="14" t="s">
        <v>5622</v>
      </c>
      <c r="B400" s="14" t="s">
        <v>330</v>
      </c>
      <c r="C400" s="14" t="s">
        <v>335</v>
      </c>
      <c r="D400" s="19" t="s">
        <v>1043</v>
      </c>
      <c r="E400" s="15" t="str">
        <f>HYPERLINK("https://stat100.ameba.jp/tnk47/ratio20/illustrations/card/ill_49953_0_yushamarihime03.jpg?202104-5-RELEASE-marathon-526xxx", "■")</f>
        <v>■</v>
      </c>
      <c r="F400" s="14" t="s">
        <v>510</v>
      </c>
      <c r="G400" s="14">
        <v>150776</v>
      </c>
      <c r="H400" s="14">
        <v>133938</v>
      </c>
      <c r="I400" s="14">
        <v>24</v>
      </c>
      <c r="J400" s="14" t="s">
        <v>315</v>
      </c>
      <c r="K400" s="14" t="s">
        <v>511</v>
      </c>
      <c r="L400" s="14" t="s">
        <v>512</v>
      </c>
      <c r="M400" s="14" t="s">
        <v>9158</v>
      </c>
      <c r="N400" s="14" t="s">
        <v>9158</v>
      </c>
      <c r="O400" s="14" t="s">
        <v>9158</v>
      </c>
      <c r="P400" s="14" t="s">
        <v>9158</v>
      </c>
      <c r="Q400" s="14" t="s">
        <v>9158</v>
      </c>
    </row>
    <row r="401" spans="1:17">
      <c r="A401" s="14">
        <v>97253</v>
      </c>
      <c r="B401" s="14" t="s">
        <v>0</v>
      </c>
      <c r="C401" s="14" t="s">
        <v>96</v>
      </c>
      <c r="D401" s="14" t="s">
        <v>17669</v>
      </c>
      <c r="E401" s="15" t="str">
        <f>HYPERLINK("https://stat100.ameba.jp/tnk47/ratio20/illustrations/card/ill_97253_harumaigio03.jpg?202104-5-RELEASE-marathon-526xxx", "■")</f>
        <v>■</v>
      </c>
      <c r="F401" s="14" t="s">
        <v>17668</v>
      </c>
      <c r="G401" s="14">
        <v>102386</v>
      </c>
      <c r="H401" s="14">
        <v>110129</v>
      </c>
      <c r="I401" s="14">
        <v>27</v>
      </c>
      <c r="J401" s="14" t="s">
        <v>10</v>
      </c>
      <c r="K401" s="14" t="s">
        <v>11017</v>
      </c>
      <c r="L401" s="14" t="s">
        <v>17667</v>
      </c>
      <c r="M401" s="14" t="s">
        <v>9158</v>
      </c>
      <c r="N401" s="14" t="s">
        <v>9158</v>
      </c>
      <c r="O401" s="14" t="s">
        <v>9158</v>
      </c>
      <c r="P401" s="14" t="s">
        <v>9158</v>
      </c>
      <c r="Q401" s="14" t="s">
        <v>9158</v>
      </c>
    </row>
    <row r="402" spans="1:17">
      <c r="A402" s="14">
        <v>97263</v>
      </c>
      <c r="B402" s="14" t="s">
        <v>15</v>
      </c>
      <c r="C402" s="14" t="s">
        <v>107</v>
      </c>
      <c r="D402" s="14" t="s">
        <v>17671</v>
      </c>
      <c r="E402" s="15" t="str">
        <f>HYPERLINK("https://stat100.ameba.jp/tnk47/ratio20/illustrations/card/ill_97263_yukataamaminokurosagichan03.jpg?202104-5-RELEASE-marathon-526xxx", "■")</f>
        <v>■</v>
      </c>
      <c r="F402" s="14" t="s">
        <v>17670</v>
      </c>
      <c r="G402" s="14">
        <v>80028</v>
      </c>
      <c r="H402" s="14">
        <v>72586</v>
      </c>
      <c r="I402" s="14">
        <v>27</v>
      </c>
      <c r="J402" s="14" t="s">
        <v>26</v>
      </c>
      <c r="K402" s="14" t="s">
        <v>7031</v>
      </c>
      <c r="L402" s="14" t="s">
        <v>2011</v>
      </c>
      <c r="M402" s="14" t="s">
        <v>9158</v>
      </c>
      <c r="N402" s="14" t="s">
        <v>9158</v>
      </c>
      <c r="O402" s="14" t="s">
        <v>9158</v>
      </c>
      <c r="P402" s="14" t="s">
        <v>9158</v>
      </c>
      <c r="Q402" s="14" t="s">
        <v>9158</v>
      </c>
    </row>
    <row r="403" spans="1:17">
      <c r="A403" s="14">
        <v>97273</v>
      </c>
      <c r="B403" s="14" t="s">
        <v>22</v>
      </c>
      <c r="C403" s="14" t="s">
        <v>101</v>
      </c>
      <c r="D403" s="14" t="s">
        <v>17674</v>
      </c>
      <c r="E403" s="15" t="str">
        <f>HYPERLINK("https://stat100.ameba.jp/tnk47/ratio20/illustrations/card/ill_97273_otogibanashinoshirosagi03.jpg?202104-5-RELEASE-marathon-526xxx", "■")</f>
        <v>■</v>
      </c>
      <c r="F403" s="14" t="s">
        <v>17673</v>
      </c>
      <c r="G403" s="14">
        <v>46676</v>
      </c>
      <c r="H403" s="14">
        <v>56138</v>
      </c>
      <c r="I403" s="14">
        <v>27</v>
      </c>
      <c r="J403" s="14" t="s">
        <v>38</v>
      </c>
      <c r="K403" s="14" t="s">
        <v>17672</v>
      </c>
      <c r="L403" s="14" t="s">
        <v>2015</v>
      </c>
      <c r="M403" s="14" t="s">
        <v>9158</v>
      </c>
      <c r="N403" s="14" t="s">
        <v>9158</v>
      </c>
      <c r="O403" s="14" t="s">
        <v>9158</v>
      </c>
      <c r="P403" s="14" t="s">
        <v>9158</v>
      </c>
      <c r="Q403" s="14" t="s">
        <v>9158</v>
      </c>
    </row>
    <row r="404" spans="1:17">
      <c r="A404" s="14">
        <v>97283</v>
      </c>
      <c r="B404" s="14" t="s">
        <v>22</v>
      </c>
      <c r="C404" s="14" t="s">
        <v>23</v>
      </c>
      <c r="D404" s="14" t="s">
        <v>17677</v>
      </c>
      <c r="E404" s="15" t="str">
        <f>HYPERLINK("https://stat100.ameba.jp/tnk47/ratio20/illustrations/card/ill_97283_amezaiku03.jpg?202104-5-RELEASE-marathon-526xxx", "■")</f>
        <v>■</v>
      </c>
      <c r="F404" s="14" t="s">
        <v>17676</v>
      </c>
      <c r="G404" s="14">
        <v>56138</v>
      </c>
      <c r="H404" s="14">
        <v>46676</v>
      </c>
      <c r="I404" s="14">
        <v>27</v>
      </c>
      <c r="J404" s="14" t="s">
        <v>104</v>
      </c>
      <c r="K404" s="14" t="s">
        <v>17675</v>
      </c>
      <c r="L404" s="14" t="s">
        <v>2674</v>
      </c>
      <c r="M404" s="14" t="s">
        <v>9158</v>
      </c>
      <c r="N404" s="14" t="s">
        <v>9158</v>
      </c>
      <c r="O404" s="14" t="s">
        <v>9158</v>
      </c>
      <c r="P404" s="14" t="s">
        <v>9158</v>
      </c>
      <c r="Q404" s="14" t="s">
        <v>9158</v>
      </c>
    </row>
    <row r="406" spans="1:17">
      <c r="A406" s="14" t="s">
        <v>12630</v>
      </c>
    </row>
    <row r="407" spans="1:17">
      <c r="A407" s="14">
        <v>237922</v>
      </c>
      <c r="B407" s="14" t="s">
        <v>17789</v>
      </c>
    </row>
    <row r="408" spans="1:17">
      <c r="A408" s="14">
        <v>237932</v>
      </c>
      <c r="B408" s="14" t="s">
        <v>15725</v>
      </c>
    </row>
    <row r="409" spans="1:17">
      <c r="A409" s="9" t="s">
        <v>12742</v>
      </c>
    </row>
    <row r="410" spans="1:17">
      <c r="A410" s="14" t="s">
        <v>13435</v>
      </c>
      <c r="B410" s="7" t="s">
        <v>52</v>
      </c>
      <c r="C410" s="14" t="s">
        <v>202</v>
      </c>
      <c r="D410" s="18" t="s">
        <v>13434</v>
      </c>
      <c r="E410" s="15" t="str">
        <f>HYPERLINK("https://stat100.ameba.jp/tnk47/ratio20/illustrations/card/ill_91073_0_mizugiaidorusarukanigassen03.jpg?202104-5-RELEASE-marathon-526xxx", "■")</f>
        <v>■</v>
      </c>
      <c r="F410" s="14" t="s">
        <v>13436</v>
      </c>
      <c r="G410" s="14">
        <v>324004</v>
      </c>
      <c r="H410" s="14">
        <v>292832</v>
      </c>
      <c r="I410" s="7">
        <v>28</v>
      </c>
      <c r="J410" s="14" t="s">
        <v>38</v>
      </c>
      <c r="K410" s="14" t="s">
        <v>13437</v>
      </c>
      <c r="L410" s="14" t="s">
        <v>13438</v>
      </c>
      <c r="M410" s="14" t="s">
        <v>9158</v>
      </c>
      <c r="N410" s="14" t="s">
        <v>9158</v>
      </c>
      <c r="O410" s="6" t="s">
        <v>13439</v>
      </c>
      <c r="P410" s="7" t="s">
        <v>13440</v>
      </c>
      <c r="Q410" s="7">
        <v>1</v>
      </c>
    </row>
    <row r="411" spans="1:17">
      <c r="A411" s="7" t="s">
        <v>8437</v>
      </c>
      <c r="B411" s="7" t="s">
        <v>52</v>
      </c>
      <c r="C411" s="7" t="s">
        <v>202</v>
      </c>
      <c r="D411" s="20" t="s">
        <v>10806</v>
      </c>
      <c r="E411" s="15" t="str">
        <f>HYPERLINK("https://stat100.ameba.jp/tnk47/ratio20/illustrations/card/ill_85523_0_seitankuronikurukusumotoine03.jpg?202104-5-RELEASE-marathon-526xxx", "■")</f>
        <v>■</v>
      </c>
      <c r="F411" s="7" t="s">
        <v>8440</v>
      </c>
      <c r="G411" s="7">
        <v>339204</v>
      </c>
      <c r="H411" s="7">
        <v>306590</v>
      </c>
      <c r="I411" s="7">
        <v>28</v>
      </c>
      <c r="J411" s="14" t="s">
        <v>77</v>
      </c>
      <c r="K411" s="7" t="s">
        <v>8446</v>
      </c>
      <c r="L411" s="7" t="s">
        <v>8439</v>
      </c>
      <c r="M411" s="14" t="s">
        <v>9158</v>
      </c>
      <c r="N411" s="14" t="s">
        <v>9158</v>
      </c>
      <c r="O411" s="19" t="s">
        <v>10133</v>
      </c>
      <c r="P411" s="7" t="s">
        <v>8441</v>
      </c>
      <c r="Q411" s="7">
        <v>1</v>
      </c>
    </row>
    <row r="412" spans="1:17">
      <c r="A412" s="14" t="s">
        <v>7789</v>
      </c>
      <c r="B412" s="14" t="s">
        <v>52</v>
      </c>
      <c r="C412" s="14" t="s">
        <v>202</v>
      </c>
      <c r="D412" s="19" t="s">
        <v>10741</v>
      </c>
      <c r="E412" s="15" t="str">
        <f>HYPERLINK("https://stat100.ameba.jp/tnk47/ratio20/illustrations/card/ill_84923_0_onsengainansosatomihakkenden03.jpg?202104-5-RELEASE-marathon-526xxx", "■")</f>
        <v>■</v>
      </c>
      <c r="F412" s="14" t="s">
        <v>7792</v>
      </c>
      <c r="G412" s="14">
        <v>323468</v>
      </c>
      <c r="H412" s="14">
        <v>357892</v>
      </c>
      <c r="I412" s="7">
        <v>28</v>
      </c>
      <c r="J412" s="14" t="s">
        <v>155</v>
      </c>
      <c r="K412" s="14" t="s">
        <v>7791</v>
      </c>
      <c r="L412" s="14" t="s">
        <v>7790</v>
      </c>
      <c r="M412" s="14" t="s">
        <v>9158</v>
      </c>
      <c r="N412" s="14" t="s">
        <v>9158</v>
      </c>
      <c r="O412" s="19" t="s">
        <v>10131</v>
      </c>
      <c r="P412" s="14" t="s">
        <v>7793</v>
      </c>
      <c r="Q412" s="14">
        <v>0</v>
      </c>
    </row>
    <row r="413" spans="1:17">
      <c r="A413" s="14">
        <v>90443</v>
      </c>
      <c r="B413" s="14" t="s">
        <v>0</v>
      </c>
      <c r="C413" s="14" t="s">
        <v>14</v>
      </c>
      <c r="D413" s="14" t="s">
        <v>14153</v>
      </c>
      <c r="E413" s="15" t="str">
        <f>HYPERLINK("https://stat100.ameba.jp/tnk47/ratio20/illustrations/card/ill_90443_daikaizokunoboreitsugarushamisen03.jpg?202104-5-RELEASE-marathon-526xxx", "■")</f>
        <v>■</v>
      </c>
      <c r="F413" s="14" t="s">
        <v>14152</v>
      </c>
      <c r="G413" s="14">
        <v>122834</v>
      </c>
      <c r="H413" s="14">
        <v>132112</v>
      </c>
      <c r="I413" s="14">
        <v>29</v>
      </c>
      <c r="J413" s="14" t="s">
        <v>26</v>
      </c>
      <c r="K413" s="14" t="s">
        <v>14151</v>
      </c>
      <c r="L413" s="14" t="s">
        <v>14150</v>
      </c>
      <c r="M413" s="14" t="s">
        <v>9158</v>
      </c>
      <c r="N413" s="14" t="s">
        <v>9158</v>
      </c>
      <c r="O413" s="14" t="s">
        <v>9158</v>
      </c>
      <c r="P413" s="14" t="s">
        <v>9158</v>
      </c>
      <c r="Q413" s="14" t="s">
        <v>9158</v>
      </c>
    </row>
    <row r="414" spans="1:17">
      <c r="A414" s="14">
        <v>90113</v>
      </c>
      <c r="B414" s="14" t="s">
        <v>0</v>
      </c>
      <c r="C414" s="14" t="s">
        <v>23</v>
      </c>
      <c r="D414" s="14" t="s">
        <v>14052</v>
      </c>
      <c r="E414" s="15" t="str">
        <f>HYPERLINK("https://stat100.ameba.jp/tnk47/ratio20/illustrations/card/ill_90113_hotarumatsuribenzaiten03.jpg?202104-5-RELEASE-marathon-526xxx", "■")</f>
        <v>■</v>
      </c>
      <c r="F414" s="14" t="s">
        <v>14051</v>
      </c>
      <c r="G414" s="14">
        <v>109970</v>
      </c>
      <c r="H414" s="14">
        <v>118287</v>
      </c>
      <c r="I414" s="14">
        <v>29</v>
      </c>
      <c r="J414" s="14" t="s">
        <v>44</v>
      </c>
      <c r="K414" s="14" t="s">
        <v>14050</v>
      </c>
      <c r="L414" s="14" t="s">
        <v>14049</v>
      </c>
      <c r="M414" s="14" t="s">
        <v>9158</v>
      </c>
      <c r="N414" s="14" t="s">
        <v>9158</v>
      </c>
      <c r="O414" s="14" t="s">
        <v>9158</v>
      </c>
      <c r="P414" s="14" t="s">
        <v>9158</v>
      </c>
      <c r="Q414" s="14" t="s">
        <v>9158</v>
      </c>
    </row>
    <row r="415" spans="1:17">
      <c r="A415" s="14">
        <v>91753</v>
      </c>
      <c r="B415" s="14" t="s">
        <v>0</v>
      </c>
      <c r="C415" s="14" t="s">
        <v>101</v>
      </c>
      <c r="D415" s="14" t="s">
        <v>14655</v>
      </c>
      <c r="E415" s="15" t="str">
        <f>HYPERLINK("https://stat100.ameba.jp/tnk47/ratio20/illustrations/card/ill_91753_porisuyureiika03.jpg?202104-5-RELEASE-marathon-526xxx", "■")</f>
        <v>■</v>
      </c>
      <c r="F415" s="14" t="s">
        <v>14654</v>
      </c>
      <c r="G415" s="14">
        <v>113277</v>
      </c>
      <c r="H415" s="14">
        <v>105281</v>
      </c>
      <c r="I415" s="14">
        <v>29</v>
      </c>
      <c r="J415" s="14" t="s">
        <v>44</v>
      </c>
      <c r="K415" s="14" t="s">
        <v>14652</v>
      </c>
      <c r="L415" s="14" t="s">
        <v>14651</v>
      </c>
      <c r="M415" s="14" t="s">
        <v>9158</v>
      </c>
      <c r="N415" s="14" t="s">
        <v>9158</v>
      </c>
      <c r="O415" s="14" t="s">
        <v>9158</v>
      </c>
      <c r="P415" s="14" t="s">
        <v>9158</v>
      </c>
      <c r="Q415" s="14" t="s">
        <v>9158</v>
      </c>
    </row>
    <row r="416" spans="1:17">
      <c r="A416" s="14">
        <v>90623</v>
      </c>
      <c r="B416" s="14" t="s">
        <v>0</v>
      </c>
      <c r="C416" s="14" t="s">
        <v>96</v>
      </c>
      <c r="D416" s="14" t="s">
        <v>14237</v>
      </c>
      <c r="E416" s="15" t="str">
        <f>HYPERLINK("https://stat100.ameba.jp/tnk47/ratio20/illustrations/card/ill_90623_arabiankunopeshu03.jpg?202104-5-RELEASE-marathon-526xxx", "■")</f>
        <v>■</v>
      </c>
      <c r="F416" s="14" t="s">
        <v>14236</v>
      </c>
      <c r="G416" s="14">
        <v>172397</v>
      </c>
      <c r="H416" s="14">
        <v>160296</v>
      </c>
      <c r="I416" s="14">
        <v>29</v>
      </c>
      <c r="J416" s="14" t="s">
        <v>143</v>
      </c>
      <c r="K416" s="14" t="s">
        <v>14234</v>
      </c>
      <c r="L416" s="14" t="s">
        <v>12153</v>
      </c>
      <c r="M416" s="14" t="s">
        <v>9158</v>
      </c>
      <c r="N416" s="14" t="s">
        <v>9158</v>
      </c>
      <c r="O416" s="14" t="s">
        <v>9158</v>
      </c>
      <c r="P416" s="14" t="s">
        <v>9158</v>
      </c>
      <c r="Q416" s="14" t="s">
        <v>9158</v>
      </c>
    </row>
    <row r="417" spans="1:17">
      <c r="A417" s="14">
        <v>90793</v>
      </c>
      <c r="B417" s="14" t="s">
        <v>0</v>
      </c>
      <c r="C417" s="14" t="s">
        <v>1</v>
      </c>
      <c r="D417" s="14" t="s">
        <v>14411</v>
      </c>
      <c r="E417" s="15" t="str">
        <f>HYPERLINK("https://stat100.ameba.jp/tnk47/ratio20/illustrations/card/ill_90793_suitsuzammaininko03.jpg?202104-5-RELEASE-marathon-526xxx", "■")</f>
        <v>■</v>
      </c>
      <c r="F417" s="14" t="s">
        <v>14410</v>
      </c>
      <c r="G417" s="14">
        <v>127350</v>
      </c>
      <c r="H417" s="14">
        <v>136953</v>
      </c>
      <c r="I417" s="14">
        <v>29</v>
      </c>
      <c r="J417" s="14" t="s">
        <v>73</v>
      </c>
      <c r="K417" s="14" t="s">
        <v>14408</v>
      </c>
      <c r="L417" s="14" t="s">
        <v>13096</v>
      </c>
      <c r="M417" s="14" t="s">
        <v>9158</v>
      </c>
      <c r="N417" s="14" t="s">
        <v>9158</v>
      </c>
      <c r="O417" s="14" t="s">
        <v>9158</v>
      </c>
      <c r="P417" s="14" t="s">
        <v>9158</v>
      </c>
      <c r="Q417" s="14" t="s">
        <v>9158</v>
      </c>
    </row>
    <row r="418" spans="1:17">
      <c r="A418" s="14">
        <v>92583</v>
      </c>
      <c r="B418" s="14" t="s">
        <v>0</v>
      </c>
      <c r="C418" s="14" t="s">
        <v>107</v>
      </c>
      <c r="D418" s="14" t="s">
        <v>15122</v>
      </c>
      <c r="E418" s="15" t="str">
        <f>HYPERLINK("https://stat100.ameba.jp/tnk47/ratio20/illustrations/card/ill_92583_daichinomegumisuoro03.jpg?202104-5-RELEASE-marathon-526xxx", "■")</f>
        <v>■</v>
      </c>
      <c r="F418" s="14" t="s">
        <v>15121</v>
      </c>
      <c r="G418" s="14">
        <v>113277</v>
      </c>
      <c r="H418" s="14">
        <v>105281</v>
      </c>
      <c r="I418" s="14">
        <v>29</v>
      </c>
      <c r="J418" s="14" t="s">
        <v>44</v>
      </c>
      <c r="K418" s="14" t="s">
        <v>15119</v>
      </c>
      <c r="L418" s="14" t="s">
        <v>14651</v>
      </c>
      <c r="M418" s="14" t="s">
        <v>9158</v>
      </c>
      <c r="N418" s="14" t="s">
        <v>9158</v>
      </c>
      <c r="O418" s="14" t="s">
        <v>9158</v>
      </c>
      <c r="P418" s="14" t="s">
        <v>9158</v>
      </c>
      <c r="Q418" s="14" t="s">
        <v>9158</v>
      </c>
    </row>
    <row r="420" spans="1:17">
      <c r="A420" s="14" t="s">
        <v>4065</v>
      </c>
    </row>
    <row r="421" spans="1:17">
      <c r="A421" s="14">
        <v>108248</v>
      </c>
      <c r="B421" s="14" t="s">
        <v>4404</v>
      </c>
    </row>
    <row r="422" spans="1:17">
      <c r="A422" s="14" t="s">
        <v>7150</v>
      </c>
      <c r="B422" s="14" t="s">
        <v>52</v>
      </c>
      <c r="C422" s="14" t="s">
        <v>202</v>
      </c>
      <c r="D422" s="19" t="s">
        <v>10656</v>
      </c>
      <c r="E422" s="15" t="str">
        <f>HYPERLINK("https://stat100.ameba.jp/tnk47/ratio20/illustrations/card/ill_84203_0_tarottofujiwaranoshoshi03.jpg?202104-5-RELEASE-marathon-526xxx", "■")</f>
        <v>■</v>
      </c>
      <c r="F422" s="14" t="s">
        <v>7153</v>
      </c>
      <c r="G422" s="14">
        <v>412124</v>
      </c>
      <c r="H422" s="14">
        <v>372500</v>
      </c>
      <c r="I422" s="14">
        <v>28</v>
      </c>
      <c r="J422" s="14" t="s">
        <v>10</v>
      </c>
      <c r="K422" s="14" t="s">
        <v>7152</v>
      </c>
      <c r="L422" s="14" t="s">
        <v>7151</v>
      </c>
      <c r="M422" s="14" t="s">
        <v>9158</v>
      </c>
      <c r="N422" s="14" t="s">
        <v>9158</v>
      </c>
      <c r="O422" s="19" t="s">
        <v>10128</v>
      </c>
      <c r="P422" s="14" t="s">
        <v>7154</v>
      </c>
      <c r="Q422" s="14">
        <v>1</v>
      </c>
    </row>
    <row r="423" spans="1:17">
      <c r="A423" s="14">
        <v>91653</v>
      </c>
      <c r="B423" s="14" t="s">
        <v>0</v>
      </c>
      <c r="C423" s="14" t="s">
        <v>96</v>
      </c>
      <c r="D423" s="18" t="s">
        <v>14544</v>
      </c>
      <c r="E423" s="15" t="str">
        <f>HYPERLINK("https://stat100.ameba.jp/tnk47/ratio20/illustrations/card/ill_91653_ninjashugyosunakakemusume03.jpg?202104-5-RELEASE-marathon-526xxx", "■")</f>
        <v>■</v>
      </c>
      <c r="F423" s="14" t="s">
        <v>14543</v>
      </c>
      <c r="G423" s="14">
        <v>105465</v>
      </c>
      <c r="H423" s="14">
        <v>98019</v>
      </c>
      <c r="I423" s="14">
        <v>27</v>
      </c>
      <c r="J423" s="14" t="s">
        <v>73</v>
      </c>
      <c r="K423" s="14" t="s">
        <v>14541</v>
      </c>
      <c r="L423" s="14" t="s">
        <v>12211</v>
      </c>
      <c r="M423" s="14" t="s">
        <v>9158</v>
      </c>
      <c r="N423" s="14" t="s">
        <v>9158</v>
      </c>
      <c r="O423" s="6" t="s">
        <v>10054</v>
      </c>
      <c r="P423" s="7" t="s">
        <v>3672</v>
      </c>
      <c r="Q423" s="7">
        <v>1</v>
      </c>
    </row>
    <row r="424" spans="1:17">
      <c r="A424" s="14">
        <v>89013</v>
      </c>
      <c r="B424" s="14" t="s">
        <v>0</v>
      </c>
      <c r="C424" s="14" t="s">
        <v>23</v>
      </c>
      <c r="D424" s="18" t="s">
        <v>12538</v>
      </c>
      <c r="E424" s="15" t="str">
        <f>HYPERLINK("https://stat100.ameba.jp/tnk47/ratio20/illustrations/card/ill_89013_efuwanresutokugawaieyasu03.jpg?202104-5-RELEASE-marathon-526xxx", "■")</f>
        <v>■</v>
      </c>
      <c r="F424" s="14" t="s">
        <v>12539</v>
      </c>
      <c r="G424" s="14">
        <v>149240</v>
      </c>
      <c r="H424" s="14">
        <v>160507</v>
      </c>
      <c r="I424" s="14">
        <v>27</v>
      </c>
      <c r="J424" s="14" t="s">
        <v>143</v>
      </c>
      <c r="K424" s="14" t="s">
        <v>12540</v>
      </c>
      <c r="L424" s="14" t="s">
        <v>12026</v>
      </c>
      <c r="M424" s="14" t="s">
        <v>9158</v>
      </c>
      <c r="N424" s="14" t="s">
        <v>9158</v>
      </c>
      <c r="O424" s="6" t="s">
        <v>3624</v>
      </c>
      <c r="P424" s="7" t="s">
        <v>3625</v>
      </c>
      <c r="Q424" s="7">
        <v>1</v>
      </c>
    </row>
    <row r="425" spans="1:17">
      <c r="A425" s="9">
        <v>81143</v>
      </c>
      <c r="B425" s="14" t="s">
        <v>334</v>
      </c>
      <c r="C425" s="14" t="s">
        <v>205</v>
      </c>
      <c r="D425" s="14" t="s">
        <v>4516</v>
      </c>
      <c r="E425" s="15" t="str">
        <f>HYPERLINK("https://stat100.ameba.jp/tnk47/ratio20/illustrations/card/ill_81143_shinryokunokisetsumerompan03.jpg?202104-5-RELEASE-marathon-526xxx", "■")</f>
        <v>■</v>
      </c>
      <c r="F425" s="14" t="s">
        <v>4517</v>
      </c>
      <c r="G425" s="14">
        <v>127507</v>
      </c>
      <c r="H425" s="14">
        <v>118568</v>
      </c>
      <c r="I425" s="14">
        <v>27</v>
      </c>
      <c r="J425" s="14" t="s">
        <v>104</v>
      </c>
      <c r="K425" s="14" t="s">
        <v>4518</v>
      </c>
      <c r="L425" s="14" t="s">
        <v>3489</v>
      </c>
      <c r="M425" s="14" t="s">
        <v>9158</v>
      </c>
      <c r="N425" s="14" t="s">
        <v>9158</v>
      </c>
      <c r="O425" s="9" t="s">
        <v>3609</v>
      </c>
      <c r="P425" s="14" t="s">
        <v>3610</v>
      </c>
      <c r="Q425" s="14">
        <v>1</v>
      </c>
    </row>
    <row r="427" spans="1:17">
      <c r="A427" s="14" t="s">
        <v>3844</v>
      </c>
    </row>
    <row r="428" spans="1:17">
      <c r="A428" s="14">
        <v>108253</v>
      </c>
      <c r="B428" s="14" t="s">
        <v>12329</v>
      </c>
    </row>
    <row r="429" spans="1:17">
      <c r="A429" s="14" t="s">
        <v>5963</v>
      </c>
      <c r="B429" s="14" t="s">
        <v>330</v>
      </c>
      <c r="C429" s="14" t="s">
        <v>35</v>
      </c>
      <c r="D429" s="19" t="s">
        <v>10438</v>
      </c>
      <c r="E429" s="15" t="str">
        <f>HYPERLINK("https://stat100.ameba.jp/tnk47/ratio20/illustrations/card/ill_82963_0_yukatamatsuritomokazuki03.jpg?202104-5-RELEASE-marathon-526xxx", "■")</f>
        <v>■</v>
      </c>
      <c r="F429" s="14" t="s">
        <v>5964</v>
      </c>
      <c r="G429" s="14">
        <v>321625</v>
      </c>
      <c r="H429" s="14">
        <v>355871</v>
      </c>
      <c r="I429" s="14">
        <v>27</v>
      </c>
      <c r="J429" s="14" t="s">
        <v>73</v>
      </c>
      <c r="K429" s="14" t="s">
        <v>5966</v>
      </c>
      <c r="L429" s="14" t="s">
        <v>5967</v>
      </c>
      <c r="M429" s="14" t="s">
        <v>9158</v>
      </c>
      <c r="N429" s="14" t="s">
        <v>9158</v>
      </c>
      <c r="O429" s="19" t="s">
        <v>10115</v>
      </c>
      <c r="P429" s="14" t="s">
        <v>5968</v>
      </c>
      <c r="Q429" s="14">
        <v>1</v>
      </c>
    </row>
    <row r="430" spans="1:17">
      <c r="A430" s="14">
        <v>94233</v>
      </c>
      <c r="B430" s="14" t="s">
        <v>0</v>
      </c>
      <c r="C430" s="14" t="s">
        <v>14</v>
      </c>
      <c r="D430" s="18" t="s">
        <v>15838</v>
      </c>
      <c r="E430" s="15" t="str">
        <f>HYPERLINK("https://stat100.ameba.jp/tnk47/ratio20/illustrations/card/ill_94233_kurisumasupurezentoyukiusagichan03.jpg?202104-5-RELEASE-marathon-526xxx", "■")</f>
        <v>■</v>
      </c>
      <c r="F430" s="14" t="s">
        <v>15837</v>
      </c>
      <c r="G430" s="14">
        <v>123002</v>
      </c>
      <c r="H430" s="14">
        <v>114362</v>
      </c>
      <c r="I430" s="14">
        <v>27</v>
      </c>
      <c r="J430" s="14" t="s">
        <v>26</v>
      </c>
      <c r="K430" s="14" t="s">
        <v>15836</v>
      </c>
      <c r="L430" s="14" t="s">
        <v>15835</v>
      </c>
      <c r="M430" s="14" t="s">
        <v>9158</v>
      </c>
      <c r="N430" s="14" t="s">
        <v>9158</v>
      </c>
      <c r="O430" s="6" t="s">
        <v>10025</v>
      </c>
      <c r="P430" s="7" t="s">
        <v>3701</v>
      </c>
      <c r="Q430" s="7">
        <v>1</v>
      </c>
    </row>
    <row r="431" spans="1:17">
      <c r="A431" s="14">
        <v>74553</v>
      </c>
      <c r="B431" s="14" t="s">
        <v>0</v>
      </c>
      <c r="C431" s="14" t="s">
        <v>107</v>
      </c>
      <c r="D431" s="19" t="s">
        <v>10389</v>
      </c>
      <c r="E431" s="15" t="str">
        <f>HYPERLINK("https://stat100.ameba.jp/tnk47/ratio20/illustrations/card/ill_74553_natsuyuenchikusumotoine03.jpg?202104-5-RELEASE-marathon-526xxx", "■")</f>
        <v>■</v>
      </c>
      <c r="F431" s="14" t="s">
        <v>4109</v>
      </c>
      <c r="G431" s="14">
        <v>109481</v>
      </c>
      <c r="H431" s="14">
        <v>101837</v>
      </c>
      <c r="I431" s="14">
        <v>27</v>
      </c>
      <c r="J431" s="14" t="s">
        <v>16</v>
      </c>
      <c r="K431" s="14" t="s">
        <v>4110</v>
      </c>
      <c r="L431" s="14" t="s">
        <v>1149</v>
      </c>
      <c r="M431" s="14" t="s">
        <v>9158</v>
      </c>
      <c r="N431" s="14" t="s">
        <v>9158</v>
      </c>
      <c r="O431" s="19" t="s">
        <v>10090</v>
      </c>
      <c r="P431" s="14" t="s">
        <v>3460</v>
      </c>
      <c r="Q431" s="14">
        <v>1</v>
      </c>
    </row>
    <row r="432" spans="1:17">
      <c r="A432" s="14">
        <v>69533</v>
      </c>
      <c r="B432" s="14" t="s">
        <v>0</v>
      </c>
      <c r="C432" s="14" t="s">
        <v>101</v>
      </c>
      <c r="D432" s="20" t="s">
        <v>10418</v>
      </c>
      <c r="E432" s="15" t="str">
        <f>HYPERLINK("https://stat100.ameba.jp/tnk47/ratio20/illustrations/card/ill_69533_setsubunodainokata03.jpg?202104-5-RELEASE-marathon-526xxx", "■")</f>
        <v>■</v>
      </c>
      <c r="F432" s="14" t="s">
        <v>138</v>
      </c>
      <c r="G432" s="14">
        <v>105465</v>
      </c>
      <c r="H432" s="14">
        <v>98019</v>
      </c>
      <c r="I432" s="14">
        <v>27</v>
      </c>
      <c r="J432" s="14" t="s">
        <v>10</v>
      </c>
      <c r="K432" s="14" t="s">
        <v>139</v>
      </c>
      <c r="L432" s="14" t="s">
        <v>140</v>
      </c>
      <c r="M432" s="14" t="s">
        <v>9158</v>
      </c>
      <c r="N432" s="14" t="s">
        <v>9158</v>
      </c>
      <c r="O432" s="19" t="s">
        <v>10082</v>
      </c>
      <c r="P432" s="14" t="s">
        <v>13124</v>
      </c>
      <c r="Q432" s="14">
        <v>1</v>
      </c>
    </row>
    <row r="434" spans="1:17">
      <c r="A434" s="14" t="s">
        <v>4422</v>
      </c>
    </row>
    <row r="435" spans="1:17">
      <c r="A435" s="14">
        <v>237956</v>
      </c>
      <c r="B435" s="14" t="s">
        <v>4423</v>
      </c>
    </row>
    <row r="436" spans="1:17">
      <c r="A436" s="9" t="s">
        <v>5822</v>
      </c>
      <c r="B436" s="14" t="s">
        <v>330</v>
      </c>
      <c r="C436" s="14" t="s">
        <v>191</v>
      </c>
      <c r="D436" s="14" t="s">
        <v>898</v>
      </c>
      <c r="E436" s="15" t="str">
        <f>HYPERLINK("https://stat100.ameba.jp/tnk47/ratio20/illustrations/card/ill_71403_0_ohanamisanadayukimura03.jpg?202104-5-RELEASE-marathon-526xxx", "■")</f>
        <v>■</v>
      </c>
      <c r="F436" s="14" t="s">
        <v>309</v>
      </c>
      <c r="G436" s="14">
        <v>186688</v>
      </c>
      <c r="H436" s="14">
        <v>173592</v>
      </c>
      <c r="I436" s="14">
        <v>20</v>
      </c>
      <c r="J436" s="14" t="s">
        <v>310</v>
      </c>
      <c r="K436" s="14" t="s">
        <v>311</v>
      </c>
      <c r="L436" s="14" t="s">
        <v>312</v>
      </c>
      <c r="M436" s="14" t="s">
        <v>9158</v>
      </c>
      <c r="N436" s="14" t="s">
        <v>9158</v>
      </c>
      <c r="O436" s="17" t="s">
        <v>10060</v>
      </c>
      <c r="P436" s="14" t="s">
        <v>3418</v>
      </c>
      <c r="Q436" s="14">
        <v>2</v>
      </c>
    </row>
    <row r="437" spans="1:17">
      <c r="A437" s="14">
        <v>97333</v>
      </c>
      <c r="B437" s="9" t="s">
        <v>0</v>
      </c>
      <c r="C437" s="14" t="s">
        <v>23</v>
      </c>
      <c r="D437" s="14" t="s">
        <v>17238</v>
      </c>
      <c r="E437" s="15" t="str">
        <f>HYPERLINK("https://stat100.ameba.jp/tnk47/ratio20/illustrations/card/ill_97333_utsuroinoanjierika03.jpg?202104-5-RELEASE-marathon-526xxx", "■")</f>
        <v>■</v>
      </c>
      <c r="F437" s="14" t="s">
        <v>17237</v>
      </c>
      <c r="G437" s="14">
        <v>139860</v>
      </c>
      <c r="H437" s="14">
        <v>78696</v>
      </c>
      <c r="I437" s="14">
        <v>29</v>
      </c>
      <c r="J437" s="14" t="s">
        <v>73</v>
      </c>
      <c r="K437" s="14" t="s">
        <v>17236</v>
      </c>
      <c r="L437" s="14" t="s">
        <v>16191</v>
      </c>
      <c r="M437" s="14" t="s">
        <v>9158</v>
      </c>
      <c r="N437" s="14" t="s">
        <v>9158</v>
      </c>
      <c r="O437" s="14" t="s">
        <v>9158</v>
      </c>
      <c r="P437" s="14" t="s">
        <v>9158</v>
      </c>
      <c r="Q437" s="14" t="s">
        <v>9158</v>
      </c>
    </row>
    <row r="438" spans="1:17">
      <c r="A438" s="14">
        <v>97332</v>
      </c>
      <c r="B438" s="9" t="s">
        <v>0</v>
      </c>
      <c r="C438" s="14" t="s">
        <v>23</v>
      </c>
      <c r="D438" s="14" t="s">
        <v>17238</v>
      </c>
      <c r="E438" s="15" t="str">
        <f>HYPERLINK("https://stat100.ameba.jp/tnk47/ratio20/illustrations/card/ill_97332_utsuroinoanjierika02.jpg?202104-5-RELEASE-marathon-526xxx", "■")</f>
        <v>■</v>
      </c>
      <c r="F438" s="14" t="s">
        <v>17237</v>
      </c>
      <c r="G438" s="14">
        <v>116406</v>
      </c>
      <c r="H438" s="14">
        <v>65498</v>
      </c>
      <c r="I438" s="14">
        <v>29</v>
      </c>
      <c r="J438" s="14" t="s">
        <v>73</v>
      </c>
      <c r="K438" s="14" t="s">
        <v>17236</v>
      </c>
      <c r="L438" s="14" t="s">
        <v>16908</v>
      </c>
      <c r="M438" s="14" t="s">
        <v>9158</v>
      </c>
      <c r="N438" s="14" t="s">
        <v>9158</v>
      </c>
      <c r="O438" s="14" t="s">
        <v>9158</v>
      </c>
      <c r="P438" s="14" t="s">
        <v>9158</v>
      </c>
      <c r="Q438" s="14" t="s">
        <v>9158</v>
      </c>
    </row>
    <row r="439" spans="1:17">
      <c r="A439" s="14">
        <v>97331</v>
      </c>
      <c r="B439" s="9" t="s">
        <v>0</v>
      </c>
      <c r="C439" s="14" t="s">
        <v>23</v>
      </c>
      <c r="D439" s="14" t="s">
        <v>17238</v>
      </c>
      <c r="E439" s="15" t="str">
        <f>HYPERLINK("https://stat100.ameba.jp/tnk47/ratio20/illustrations/card/ill_97331_utsuroinoanjierika01.jpg?202104-5-RELEASE-marathon-526xxx", "■")</f>
        <v>■</v>
      </c>
      <c r="F439" s="14" t="s">
        <v>17237</v>
      </c>
      <c r="G439" s="14">
        <v>89320</v>
      </c>
      <c r="H439" s="14">
        <v>50257</v>
      </c>
      <c r="I439" s="14">
        <v>29</v>
      </c>
      <c r="J439" s="14" t="s">
        <v>73</v>
      </c>
      <c r="K439" s="14" t="s">
        <v>17236</v>
      </c>
      <c r="L439" s="14" t="s">
        <v>16909</v>
      </c>
      <c r="M439" s="14" t="s">
        <v>9158</v>
      </c>
      <c r="N439" s="14" t="s">
        <v>9158</v>
      </c>
      <c r="O439" s="14" t="s">
        <v>9158</v>
      </c>
      <c r="P439" s="14" t="s">
        <v>9158</v>
      </c>
      <c r="Q439" s="14" t="s">
        <v>9158</v>
      </c>
    </row>
    <row r="440" spans="1:17">
      <c r="A440" s="14">
        <v>97343</v>
      </c>
      <c r="B440" s="9" t="s">
        <v>0</v>
      </c>
      <c r="C440" s="14" t="s">
        <v>96</v>
      </c>
      <c r="D440" s="14" t="s">
        <v>17241</v>
      </c>
      <c r="E440" s="15" t="str">
        <f>HYPERLINK("https://stat100.ameba.jp/tnk47/ratio20/illustrations/card/ill_97343_fuerimiru03.jpg?202104-5-RELEASE-marathon-526xxx", "■")</f>
        <v>■</v>
      </c>
      <c r="F440" s="14" t="s">
        <v>17240</v>
      </c>
      <c r="G440" s="14">
        <v>139860</v>
      </c>
      <c r="H440" s="14">
        <v>78696</v>
      </c>
      <c r="I440" s="14">
        <v>29</v>
      </c>
      <c r="J440" s="14" t="s">
        <v>77</v>
      </c>
      <c r="K440" s="14" t="s">
        <v>17239</v>
      </c>
      <c r="L440" s="14" t="s">
        <v>12081</v>
      </c>
      <c r="M440" s="14" t="s">
        <v>9158</v>
      </c>
      <c r="N440" s="14" t="s">
        <v>9158</v>
      </c>
      <c r="O440" s="14" t="s">
        <v>9158</v>
      </c>
      <c r="P440" s="14" t="s">
        <v>9158</v>
      </c>
      <c r="Q440" s="14" t="s">
        <v>9158</v>
      </c>
    </row>
    <row r="441" spans="1:17">
      <c r="A441" s="14">
        <v>97342</v>
      </c>
      <c r="B441" s="9" t="s">
        <v>0</v>
      </c>
      <c r="C441" s="14" t="s">
        <v>96</v>
      </c>
      <c r="D441" s="14" t="s">
        <v>17241</v>
      </c>
      <c r="E441" s="15" t="str">
        <f>HYPERLINK("https://stat100.ameba.jp/tnk47/ratio20/illustrations/card/ill_97342_fuerimiru02.jpg?202104-5-RELEASE-marathon-526xxx", "■")</f>
        <v>■</v>
      </c>
      <c r="F441" s="14" t="s">
        <v>17240</v>
      </c>
      <c r="G441" s="14">
        <v>116406</v>
      </c>
      <c r="H441" s="14">
        <v>65498</v>
      </c>
      <c r="I441" s="14">
        <v>29</v>
      </c>
      <c r="J441" s="14" t="s">
        <v>77</v>
      </c>
      <c r="K441" s="14" t="s">
        <v>17239</v>
      </c>
      <c r="L441" s="14" t="s">
        <v>12347</v>
      </c>
      <c r="M441" s="14" t="s">
        <v>9158</v>
      </c>
      <c r="N441" s="14" t="s">
        <v>9158</v>
      </c>
      <c r="O441" s="14" t="s">
        <v>9158</v>
      </c>
      <c r="P441" s="14" t="s">
        <v>9158</v>
      </c>
      <c r="Q441" s="14" t="s">
        <v>9158</v>
      </c>
    </row>
    <row r="442" spans="1:17">
      <c r="A442" s="14">
        <v>97341</v>
      </c>
      <c r="B442" s="9" t="s">
        <v>0</v>
      </c>
      <c r="C442" s="14" t="s">
        <v>96</v>
      </c>
      <c r="D442" s="14" t="s">
        <v>17241</v>
      </c>
      <c r="E442" s="15" t="str">
        <f>HYPERLINK("https://stat100.ameba.jp/tnk47/ratio20/illustrations/card/ill_97341_fuerimiru01.jpg?202104-5-RELEASE-marathon-526xxx", "■")</f>
        <v>■</v>
      </c>
      <c r="F442" s="14" t="s">
        <v>17240</v>
      </c>
      <c r="G442" s="14">
        <v>89320</v>
      </c>
      <c r="H442" s="14">
        <v>50257</v>
      </c>
      <c r="I442" s="14">
        <v>29</v>
      </c>
      <c r="J442" s="14" t="s">
        <v>77</v>
      </c>
      <c r="K442" s="14" t="s">
        <v>17239</v>
      </c>
      <c r="L442" s="14" t="s">
        <v>2246</v>
      </c>
      <c r="M442" s="14" t="s">
        <v>9158</v>
      </c>
      <c r="N442" s="14" t="s">
        <v>9158</v>
      </c>
      <c r="O442" s="14" t="s">
        <v>9158</v>
      </c>
      <c r="P442" s="14" t="s">
        <v>9158</v>
      </c>
      <c r="Q442" s="14" t="s">
        <v>9158</v>
      </c>
    </row>
    <row r="444" spans="1:17">
      <c r="A444" s="14" t="s">
        <v>4012</v>
      </c>
    </row>
    <row r="445" spans="1:17">
      <c r="A445" s="14">
        <v>238017</v>
      </c>
      <c r="B445" s="14" t="s">
        <v>17235</v>
      </c>
    </row>
    <row r="446" spans="1:17">
      <c r="A446" s="14" t="s">
        <v>5734</v>
      </c>
      <c r="B446" s="14" t="s">
        <v>330</v>
      </c>
      <c r="C446" s="14" t="s">
        <v>202</v>
      </c>
      <c r="D446" s="20" t="s">
        <v>1497</v>
      </c>
      <c r="E446" s="15" t="str">
        <f>HYPERLINK("https://stat100.ameba.jp/tnk47/ratio20/illustrations/card/ill_74593_0_natsuyuenchikoshihikari03.jpg?202104-5-RELEASE-marathon-526xxx", "■")</f>
        <v>■</v>
      </c>
      <c r="F446" s="14" t="s">
        <v>1498</v>
      </c>
      <c r="G446" s="14">
        <v>281662</v>
      </c>
      <c r="H446" s="14">
        <v>261852</v>
      </c>
      <c r="I446" s="14">
        <v>26</v>
      </c>
      <c r="J446" s="14" t="s">
        <v>283</v>
      </c>
      <c r="K446" s="14" t="s">
        <v>1499</v>
      </c>
      <c r="L446" s="14" t="s">
        <v>1500</v>
      </c>
      <c r="M446" s="14" t="s">
        <v>9158</v>
      </c>
      <c r="N446" s="14" t="s">
        <v>9158</v>
      </c>
      <c r="O446" s="19" t="s">
        <v>2731</v>
      </c>
      <c r="P446" s="14" t="s">
        <v>2732</v>
      </c>
      <c r="Q446" s="14">
        <v>1</v>
      </c>
    </row>
    <row r="447" spans="1:17">
      <c r="A447" s="14" t="s">
        <v>5804</v>
      </c>
      <c r="B447" s="14" t="s">
        <v>52</v>
      </c>
      <c r="C447" s="14" t="s">
        <v>14</v>
      </c>
      <c r="D447" s="19" t="s">
        <v>3195</v>
      </c>
      <c r="E447" s="15" t="str">
        <f>HYPERLINK("https://stat100.ameba.jp/tnk47/ratio20/illustrations/card/ill_75393_0_resukuinotsukisamaniittausagi03.jpg?202104-5-RELEASE-marathon-526xxx", "■")</f>
        <v>■</v>
      </c>
      <c r="F447" s="14" t="s">
        <v>3248</v>
      </c>
      <c r="G447" s="14">
        <v>296150</v>
      </c>
      <c r="H447" s="14">
        <v>275342</v>
      </c>
      <c r="I447" s="14">
        <v>26</v>
      </c>
      <c r="J447" s="14" t="s">
        <v>26</v>
      </c>
      <c r="K447" s="14" t="s">
        <v>3249</v>
      </c>
      <c r="L447" s="14" t="s">
        <v>3250</v>
      </c>
      <c r="M447" s="14" t="s">
        <v>9158</v>
      </c>
      <c r="N447" s="14" t="s">
        <v>9158</v>
      </c>
      <c r="O447" s="19" t="s">
        <v>10101</v>
      </c>
      <c r="P447" s="14" t="s">
        <v>3251</v>
      </c>
      <c r="Q447" s="14">
        <v>2</v>
      </c>
    </row>
    <row r="448" spans="1:17">
      <c r="A448" s="14" t="s">
        <v>5830</v>
      </c>
      <c r="B448" s="14" t="s">
        <v>330</v>
      </c>
      <c r="C448" s="14" t="s">
        <v>191</v>
      </c>
      <c r="D448" s="19" t="s">
        <v>793</v>
      </c>
      <c r="E448" s="15" t="str">
        <f>HYPERLINK("https://stat100.ameba.jp/tnk47/ratio20/illustrations/card/ill_39933_0_reihiiinaotora03.jpg?202104-5-RELEASE-marathon-526xxx", "■")</f>
        <v>■</v>
      </c>
      <c r="F448" s="14" t="s">
        <v>794</v>
      </c>
      <c r="G448" s="14">
        <v>142500</v>
      </c>
      <c r="H448" s="14">
        <v>152152</v>
      </c>
      <c r="I448" s="14">
        <v>26</v>
      </c>
      <c r="J448" s="14" t="s">
        <v>315</v>
      </c>
      <c r="K448" s="14" t="s">
        <v>795</v>
      </c>
      <c r="L448" s="14" t="s">
        <v>796</v>
      </c>
      <c r="M448" s="14" t="s">
        <v>9158</v>
      </c>
      <c r="N448" s="14" t="s">
        <v>9158</v>
      </c>
      <c r="O448" s="14" t="s">
        <v>9158</v>
      </c>
      <c r="P448" s="14" t="s">
        <v>9158</v>
      </c>
      <c r="Q448" s="14" t="s">
        <v>9158</v>
      </c>
    </row>
    <row r="449" spans="1:19">
      <c r="A449" s="14">
        <v>94143</v>
      </c>
      <c r="B449" s="9" t="s">
        <v>0</v>
      </c>
      <c r="C449" s="14" t="s">
        <v>35</v>
      </c>
      <c r="D449" s="14" t="s">
        <v>17244</v>
      </c>
      <c r="E449" s="15" t="str">
        <f>HYPERLINK("https://stat100.ameba.jp/tnk47/ratio20/illustrations/card/ill_94143_shadokurisumasukikuhime03.jpg?202104-5-RELEASE-marathon-526xxx", "■")</f>
        <v>■</v>
      </c>
      <c r="F449" s="14" t="s">
        <v>17243</v>
      </c>
      <c r="G449" s="14">
        <v>110186</v>
      </c>
      <c r="H449" s="14">
        <v>118540</v>
      </c>
      <c r="I449" s="14">
        <v>29</v>
      </c>
      <c r="J449" s="14" t="s">
        <v>77</v>
      </c>
      <c r="K449" s="14" t="s">
        <v>17242</v>
      </c>
      <c r="L449" s="14" t="s">
        <v>12139</v>
      </c>
      <c r="M449" s="14" t="s">
        <v>9158</v>
      </c>
      <c r="N449" s="14" t="s">
        <v>9158</v>
      </c>
      <c r="O449" s="14" t="s">
        <v>9158</v>
      </c>
      <c r="P449" s="14" t="s">
        <v>9158</v>
      </c>
      <c r="Q449" s="14" t="s">
        <v>9158</v>
      </c>
      <c r="S449" s="14" t="s">
        <v>17258</v>
      </c>
    </row>
    <row r="450" spans="1:19">
      <c r="A450" s="14">
        <v>92043</v>
      </c>
      <c r="B450" s="9" t="s">
        <v>0</v>
      </c>
      <c r="C450" s="14" t="s">
        <v>47</v>
      </c>
      <c r="D450" s="14" t="s">
        <v>17247</v>
      </c>
      <c r="E450" s="15" t="str">
        <f>HYPERLINK("https://stat100.ameba.jp/tnk47/ratio20/illustrations/card/ill_92043_kyampujoshiyamamurokieko03.jpg?202104-5-RELEASE-marathon-526xxx", "■")</f>
        <v>■</v>
      </c>
      <c r="F450" s="14" t="s">
        <v>17246</v>
      </c>
      <c r="G450" s="14">
        <v>113277</v>
      </c>
      <c r="H450" s="14">
        <v>105281</v>
      </c>
      <c r="I450" s="14">
        <v>29</v>
      </c>
      <c r="J450" s="14" t="s">
        <v>10</v>
      </c>
      <c r="K450" s="14" t="s">
        <v>17245</v>
      </c>
      <c r="L450" s="14" t="s">
        <v>2645</v>
      </c>
      <c r="M450" s="14" t="s">
        <v>9158</v>
      </c>
      <c r="N450" s="14" t="s">
        <v>9158</v>
      </c>
      <c r="O450" s="14" t="s">
        <v>9158</v>
      </c>
      <c r="P450" s="14" t="s">
        <v>9158</v>
      </c>
      <c r="Q450" s="14" t="s">
        <v>9158</v>
      </c>
      <c r="S450" s="14" t="s">
        <v>17259</v>
      </c>
    </row>
    <row r="451" spans="1:19">
      <c r="A451" s="14">
        <v>92633</v>
      </c>
      <c r="B451" s="9" t="s">
        <v>0</v>
      </c>
      <c r="C451" s="14" t="s">
        <v>41</v>
      </c>
      <c r="D451" s="14" t="s">
        <v>17250</v>
      </c>
      <c r="E451" s="15" t="str">
        <f>HYPERLINK("https://stat100.ameba.jp/tnk47/ratio20/illustrations/card/ill_92633_kokuotsuranukutenko03.jpg?202104-5-RELEASE-marathon-526xxx", "■")</f>
        <v>■</v>
      </c>
      <c r="F451" s="14" t="s">
        <v>17249</v>
      </c>
      <c r="G451" s="14">
        <v>113277</v>
      </c>
      <c r="H451" s="14">
        <v>105281</v>
      </c>
      <c r="I451" s="14">
        <v>29</v>
      </c>
      <c r="J451" s="14" t="s">
        <v>73</v>
      </c>
      <c r="K451" s="14" t="s">
        <v>17248</v>
      </c>
      <c r="L451" s="14" t="s">
        <v>12211</v>
      </c>
      <c r="M451" s="14" t="s">
        <v>9158</v>
      </c>
      <c r="N451" s="14" t="s">
        <v>9158</v>
      </c>
      <c r="O451" s="14" t="s">
        <v>9158</v>
      </c>
      <c r="P451" s="14" t="s">
        <v>9158</v>
      </c>
      <c r="Q451" s="14" t="s">
        <v>9158</v>
      </c>
      <c r="S451" s="14" t="s">
        <v>17257</v>
      </c>
    </row>
    <row r="452" spans="1:19">
      <c r="A452" s="14">
        <v>80883</v>
      </c>
      <c r="B452" s="9" t="s">
        <v>15</v>
      </c>
      <c r="C452" s="14" t="s">
        <v>14</v>
      </c>
      <c r="D452" s="14" t="s">
        <v>4330</v>
      </c>
      <c r="E452" s="15" t="str">
        <f>HYPERLINK("https://stat100.ameba.jp/tnk47/ratio20/illustrations/card/ill_80883_isutabaniyamamurokieko03.jpg?202104-5-RELEASE-marathon-526xxx", "■")</f>
        <v>■</v>
      </c>
      <c r="F452" s="14" t="s">
        <v>4331</v>
      </c>
      <c r="G452" s="14">
        <v>69898</v>
      </c>
      <c r="H452" s="14">
        <v>77064</v>
      </c>
      <c r="I452" s="14">
        <v>26</v>
      </c>
      <c r="J452" s="14" t="s">
        <v>10</v>
      </c>
      <c r="K452" s="14" t="s">
        <v>3585</v>
      </c>
      <c r="L452" s="14" t="s">
        <v>3337</v>
      </c>
      <c r="M452" s="14" t="s">
        <v>9158</v>
      </c>
      <c r="N452" s="14" t="s">
        <v>9158</v>
      </c>
      <c r="O452" s="14" t="s">
        <v>9158</v>
      </c>
      <c r="P452" s="14" t="s">
        <v>9158</v>
      </c>
      <c r="Q452" s="14" t="s">
        <v>9158</v>
      </c>
      <c r="S452" s="14" t="s">
        <v>17255</v>
      </c>
    </row>
    <row r="453" spans="1:19">
      <c r="A453" s="14">
        <v>80953</v>
      </c>
      <c r="B453" s="9" t="s">
        <v>15</v>
      </c>
      <c r="C453" s="14" t="s">
        <v>101</v>
      </c>
      <c r="D453" s="14" t="s">
        <v>4456</v>
      </c>
      <c r="E453" s="15" t="str">
        <f>HYPERLINK("https://stat100.ameba.jp/tnk47/ratio20/illustrations/card/ill_80953_akazomemon03.jpg?202104-5-RELEASE-marathon-526xxx", "■")</f>
        <v>■</v>
      </c>
      <c r="F453" s="14" t="s">
        <v>4457</v>
      </c>
      <c r="G453" s="14">
        <v>69898</v>
      </c>
      <c r="H453" s="14">
        <v>77064</v>
      </c>
      <c r="I453" s="14">
        <v>26</v>
      </c>
      <c r="J453" s="14" t="s">
        <v>10</v>
      </c>
      <c r="K453" s="14" t="s">
        <v>4458</v>
      </c>
      <c r="L453" s="14" t="s">
        <v>3337</v>
      </c>
      <c r="M453" s="14" t="s">
        <v>9158</v>
      </c>
      <c r="N453" s="14" t="s">
        <v>9158</v>
      </c>
      <c r="O453" s="14" t="s">
        <v>9158</v>
      </c>
      <c r="P453" s="14" t="s">
        <v>9158</v>
      </c>
      <c r="Q453" s="14" t="s">
        <v>9158</v>
      </c>
      <c r="S453" s="14" t="s">
        <v>17254</v>
      </c>
    </row>
    <row r="454" spans="1:19">
      <c r="A454" s="14">
        <v>78683</v>
      </c>
      <c r="B454" s="9" t="s">
        <v>15</v>
      </c>
      <c r="C454" s="14" t="s">
        <v>96</v>
      </c>
      <c r="D454" s="14" t="s">
        <v>17253</v>
      </c>
      <c r="E454" s="15" t="str">
        <f>HYPERLINK("https://stat100.ameba.jp/tnk47/ratio20/illustrations/card/ill_78683_furisodetakoyakichan03.jpg?202104-5-RELEASE-marathon-526xxx", "■")</f>
        <v>■</v>
      </c>
      <c r="F454" s="14" t="s">
        <v>17252</v>
      </c>
      <c r="G454" s="14">
        <v>77064</v>
      </c>
      <c r="H454" s="14">
        <v>69898</v>
      </c>
      <c r="I454" s="14">
        <v>26</v>
      </c>
      <c r="J454" s="14" t="s">
        <v>104</v>
      </c>
      <c r="K454" s="14" t="s">
        <v>17251</v>
      </c>
      <c r="L454" s="14" t="s">
        <v>3502</v>
      </c>
      <c r="M454" s="14" t="s">
        <v>9158</v>
      </c>
      <c r="N454" s="14" t="s">
        <v>9158</v>
      </c>
      <c r="O454" s="14" t="s">
        <v>9158</v>
      </c>
      <c r="P454" s="14" t="s">
        <v>9158</v>
      </c>
      <c r="Q454" s="14" t="s">
        <v>9158</v>
      </c>
      <c r="S454" s="14" t="s">
        <v>17256</v>
      </c>
    </row>
    <row r="456" spans="1:19">
      <c r="A456" s="14" t="s">
        <v>4076</v>
      </c>
    </row>
    <row r="457" spans="1:19">
      <c r="A457" s="14">
        <v>237987</v>
      </c>
      <c r="B457" s="14" t="s">
        <v>4425</v>
      </c>
    </row>
    <row r="458" spans="1:19">
      <c r="A458" s="14" t="s">
        <v>5617</v>
      </c>
      <c r="B458" s="14" t="s">
        <v>330</v>
      </c>
      <c r="C458" s="14" t="s">
        <v>308</v>
      </c>
      <c r="D458" s="19" t="s">
        <v>385</v>
      </c>
      <c r="E458" s="15" t="str">
        <f>HYPERLINK("https://stat100.ameba.jp/tnk47/ratio20/illustrations/card/ill_59673_0_oheyashutendoji03.jpg?202104-5-RELEASE-marathon-526xxx", "■")</f>
        <v>■</v>
      </c>
      <c r="F458" s="14" t="s">
        <v>386</v>
      </c>
      <c r="G458" s="14">
        <v>140728</v>
      </c>
      <c r="H458" s="14">
        <v>151368</v>
      </c>
      <c r="I458" s="14">
        <v>20</v>
      </c>
      <c r="J458" s="14" t="s">
        <v>320</v>
      </c>
      <c r="K458" s="14" t="s">
        <v>387</v>
      </c>
      <c r="L458" s="14" t="s">
        <v>388</v>
      </c>
      <c r="M458" s="14" t="s">
        <v>9158</v>
      </c>
      <c r="N458" s="14" t="s">
        <v>9158</v>
      </c>
      <c r="O458" s="19" t="s">
        <v>10078</v>
      </c>
      <c r="P458" s="14" t="s">
        <v>3022</v>
      </c>
      <c r="Q458" s="14">
        <v>1</v>
      </c>
    </row>
    <row r="459" spans="1:19">
      <c r="A459" s="14">
        <v>97353</v>
      </c>
      <c r="B459" s="9" t="s">
        <v>0</v>
      </c>
      <c r="C459" s="14" t="s">
        <v>101</v>
      </c>
      <c r="D459" s="14" t="s">
        <v>17226</v>
      </c>
      <c r="E459" s="15" t="str">
        <f>HYPERLINK("https://stat100.ameba.jp/tnk47/ratio20/illustrations/card/ill_97353_sorukorekuta03.jpg?202104-5-RELEASE-marathon-526xxx", "■")</f>
        <v>■</v>
      </c>
      <c r="F459" s="14" t="s">
        <v>17225</v>
      </c>
      <c r="G459" s="14">
        <v>119785</v>
      </c>
      <c r="H459" s="14">
        <v>212908</v>
      </c>
      <c r="I459" s="14">
        <v>29</v>
      </c>
      <c r="J459" s="14" t="s">
        <v>16</v>
      </c>
      <c r="K459" s="14" t="s">
        <v>17224</v>
      </c>
      <c r="L459" s="14" t="s">
        <v>17223</v>
      </c>
      <c r="M459" s="14" t="s">
        <v>9158</v>
      </c>
      <c r="N459" s="14" t="s">
        <v>9158</v>
      </c>
      <c r="O459" s="14" t="s">
        <v>9158</v>
      </c>
      <c r="P459" s="14" t="s">
        <v>9158</v>
      </c>
      <c r="Q459" s="14" t="s">
        <v>9158</v>
      </c>
    </row>
    <row r="460" spans="1:19">
      <c r="A460" s="14">
        <v>97352</v>
      </c>
      <c r="B460" s="9" t="s">
        <v>0</v>
      </c>
      <c r="C460" s="14" t="s">
        <v>101</v>
      </c>
      <c r="D460" s="14" t="s">
        <v>17226</v>
      </c>
      <c r="E460" s="15" t="str">
        <f>HYPERLINK("https://stat100.ameba.jp/tnk47/ratio20/illustrations/card/ill_97352_sorukorekuta02.jpg?202104-5-RELEASE-marathon-526xxx", "■")</f>
        <v>■</v>
      </c>
      <c r="F460" s="14" t="s">
        <v>17225</v>
      </c>
      <c r="G460" s="14">
        <v>99690</v>
      </c>
      <c r="H460" s="14">
        <v>177149</v>
      </c>
      <c r="I460" s="14">
        <v>29</v>
      </c>
      <c r="J460" s="14" t="s">
        <v>16</v>
      </c>
      <c r="K460" s="14" t="s">
        <v>17224</v>
      </c>
      <c r="L460" s="14" t="s">
        <v>17227</v>
      </c>
      <c r="M460" s="14" t="s">
        <v>9158</v>
      </c>
      <c r="N460" s="14" t="s">
        <v>9158</v>
      </c>
      <c r="O460" s="14" t="s">
        <v>9158</v>
      </c>
      <c r="P460" s="14" t="s">
        <v>9158</v>
      </c>
      <c r="Q460" s="14" t="s">
        <v>9158</v>
      </c>
    </row>
    <row r="461" spans="1:19">
      <c r="A461" s="14">
        <v>97351</v>
      </c>
      <c r="B461" s="9" t="s">
        <v>0</v>
      </c>
      <c r="C461" s="14" t="s">
        <v>101</v>
      </c>
      <c r="D461" s="14" t="s">
        <v>17226</v>
      </c>
      <c r="E461" s="15" t="str">
        <f>HYPERLINK("https://stat100.ameba.jp/tnk47/ratio20/illustrations/card/ill_97351_sorukorekuta01.jpg?202104-5-RELEASE-marathon-526xxx", "■")</f>
        <v>■</v>
      </c>
      <c r="F461" s="14" t="s">
        <v>17225</v>
      </c>
      <c r="G461" s="14">
        <v>76502</v>
      </c>
      <c r="H461" s="14">
        <v>135952</v>
      </c>
      <c r="I461" s="14">
        <v>29</v>
      </c>
      <c r="J461" s="14" t="s">
        <v>16</v>
      </c>
      <c r="K461" s="14" t="s">
        <v>17224</v>
      </c>
      <c r="L461" s="14" t="s">
        <v>17228</v>
      </c>
      <c r="M461" s="14" t="s">
        <v>9158</v>
      </c>
      <c r="N461" s="14" t="s">
        <v>9158</v>
      </c>
      <c r="O461" s="14" t="s">
        <v>9158</v>
      </c>
      <c r="P461" s="14" t="s">
        <v>9158</v>
      </c>
      <c r="Q461" s="14" t="s">
        <v>9158</v>
      </c>
    </row>
    <row r="462" spans="1:19">
      <c r="A462" s="14">
        <v>97363</v>
      </c>
      <c r="B462" s="9" t="s">
        <v>0</v>
      </c>
      <c r="C462" s="14" t="s">
        <v>107</v>
      </c>
      <c r="D462" s="14" t="s">
        <v>17231</v>
      </c>
      <c r="E462" s="15" t="str">
        <f>HYPERLINK("https://stat100.ameba.jp/tnk47/ratio20/illustrations/card/ill_97363_furinurinobiechiru03.jpg?202104-5-RELEASE-marathon-526xxx", "■")</f>
        <v>■</v>
      </c>
      <c r="F462" s="14" t="s">
        <v>17232</v>
      </c>
      <c r="G462" s="14">
        <v>82180</v>
      </c>
      <c r="H462" s="14">
        <v>146079</v>
      </c>
      <c r="I462" s="14">
        <v>29</v>
      </c>
      <c r="J462" s="14" t="s">
        <v>10</v>
      </c>
      <c r="K462" s="14" t="s">
        <v>17230</v>
      </c>
      <c r="L462" s="14" t="s">
        <v>17229</v>
      </c>
      <c r="M462" s="14" t="s">
        <v>9158</v>
      </c>
      <c r="N462" s="14" t="s">
        <v>9158</v>
      </c>
      <c r="O462" s="14" t="s">
        <v>9158</v>
      </c>
      <c r="P462" s="14" t="s">
        <v>9158</v>
      </c>
      <c r="Q462" s="14" t="s">
        <v>9158</v>
      </c>
    </row>
    <row r="463" spans="1:19">
      <c r="A463" s="14">
        <v>97362</v>
      </c>
      <c r="B463" s="9" t="s">
        <v>0</v>
      </c>
      <c r="C463" s="14" t="s">
        <v>107</v>
      </c>
      <c r="D463" s="14" t="s">
        <v>17231</v>
      </c>
      <c r="E463" s="15" t="str">
        <f>HYPERLINK("https://stat100.ameba.jp/tnk47/ratio20/illustrations/card/ill_97362_furinurinobiechiru02.jpg?202104-5-RELEASE-marathon-526xxx", "■")</f>
        <v>■</v>
      </c>
      <c r="F463" s="14" t="s">
        <v>17232</v>
      </c>
      <c r="G463" s="14">
        <v>68411</v>
      </c>
      <c r="H463" s="14">
        <v>121544</v>
      </c>
      <c r="I463" s="14">
        <v>29</v>
      </c>
      <c r="J463" s="14" t="s">
        <v>10</v>
      </c>
      <c r="K463" s="14" t="s">
        <v>17230</v>
      </c>
      <c r="L463" s="14" t="s">
        <v>17233</v>
      </c>
      <c r="M463" s="14" t="s">
        <v>9158</v>
      </c>
      <c r="N463" s="14" t="s">
        <v>9158</v>
      </c>
      <c r="O463" s="14" t="s">
        <v>9158</v>
      </c>
      <c r="P463" s="14" t="s">
        <v>9158</v>
      </c>
      <c r="Q463" s="14" t="s">
        <v>9158</v>
      </c>
    </row>
    <row r="464" spans="1:19">
      <c r="A464" s="14">
        <v>97361</v>
      </c>
      <c r="B464" s="9" t="s">
        <v>0</v>
      </c>
      <c r="C464" s="14" t="s">
        <v>107</v>
      </c>
      <c r="D464" s="14" t="s">
        <v>17231</v>
      </c>
      <c r="E464" s="15" t="str">
        <f>HYPERLINK("https://stat100.ameba.jp/tnk47/ratio20/illustrations/card/ill_97361_furinurinobiechiru01.jpg?202104-5-RELEASE-marathon-526xxx", "■")</f>
        <v>■</v>
      </c>
      <c r="F464" s="14" t="s">
        <v>17232</v>
      </c>
      <c r="G464" s="14">
        <v>52490</v>
      </c>
      <c r="H464" s="14">
        <v>93264</v>
      </c>
      <c r="I464" s="14">
        <v>29</v>
      </c>
      <c r="J464" s="14" t="s">
        <v>10</v>
      </c>
      <c r="K464" s="14" t="s">
        <v>17230</v>
      </c>
      <c r="L464" s="14" t="s">
        <v>17234</v>
      </c>
      <c r="M464" s="14" t="s">
        <v>9158</v>
      </c>
      <c r="N464" s="14" t="s">
        <v>9158</v>
      </c>
      <c r="O464" s="14" t="s">
        <v>9158</v>
      </c>
      <c r="P464" s="14" t="s">
        <v>9158</v>
      </c>
      <c r="Q464" s="14" t="s">
        <v>9158</v>
      </c>
    </row>
    <row r="466" spans="1:17">
      <c r="A466" s="14" t="s">
        <v>8239</v>
      </c>
    </row>
    <row r="467" spans="1:17">
      <c r="A467" s="14">
        <v>238037</v>
      </c>
      <c r="B467" s="14" t="s">
        <v>17219</v>
      </c>
    </row>
    <row r="468" spans="1:17">
      <c r="A468" s="14">
        <v>238073</v>
      </c>
      <c r="B468" s="14" t="s">
        <v>18544</v>
      </c>
    </row>
    <row r="469" spans="1:17">
      <c r="A469" s="14" t="s">
        <v>17212</v>
      </c>
      <c r="B469" s="14" t="s">
        <v>117</v>
      </c>
      <c r="C469" s="14" t="s">
        <v>35</v>
      </c>
      <c r="D469" s="14" t="s">
        <v>17209</v>
      </c>
      <c r="E469" s="15" t="str">
        <f>HYPERLINK("https://stat100.ameba.jp/tnk47/ratio20/illustrations/card/ill_97483_0_tenkuronessanojunin03.jpg?202104-5-RELEASE-marathon-526xxx", "■")</f>
        <v>■</v>
      </c>
      <c r="F469" s="14" t="s">
        <v>17222</v>
      </c>
      <c r="G469" s="14">
        <v>467373</v>
      </c>
      <c r="H469" s="14">
        <v>422461</v>
      </c>
      <c r="I469" s="14">
        <v>35</v>
      </c>
      <c r="J469" s="14" t="s">
        <v>44</v>
      </c>
      <c r="K469" s="14" t="s">
        <v>17221</v>
      </c>
      <c r="L469" s="14" t="s">
        <v>17220</v>
      </c>
      <c r="M469" s="14" t="s">
        <v>9158</v>
      </c>
      <c r="N469" s="14" t="s">
        <v>9158</v>
      </c>
      <c r="O469" s="14" t="s">
        <v>9158</v>
      </c>
      <c r="P469" s="14" t="s">
        <v>9158</v>
      </c>
      <c r="Q469" s="14" t="s">
        <v>9158</v>
      </c>
    </row>
    <row r="470" spans="1:17">
      <c r="A470" s="14" t="s">
        <v>16453</v>
      </c>
      <c r="B470" s="14" t="s">
        <v>117</v>
      </c>
      <c r="C470" s="14" t="s">
        <v>35</v>
      </c>
      <c r="D470" s="14" t="s">
        <v>16452</v>
      </c>
      <c r="E470" s="15" t="str">
        <f>HYPERLINK("https://stat100.ameba.jp/tnk47/ratio20/illustrations/card/ill_95473_0_tenkurofurutsuparadaisu03.jpg?202104-5-RELEASE-marathon-526xxx", "■")</f>
        <v>■</v>
      </c>
      <c r="F470" s="14" t="s">
        <v>16451</v>
      </c>
      <c r="G470" s="14">
        <v>421914</v>
      </c>
      <c r="H470" s="14">
        <v>466826</v>
      </c>
      <c r="I470" s="14">
        <v>35</v>
      </c>
      <c r="J470" s="14" t="s">
        <v>104</v>
      </c>
      <c r="K470" s="14" t="s">
        <v>16450</v>
      </c>
      <c r="L470" s="14" t="s">
        <v>16449</v>
      </c>
      <c r="M470" s="14" t="s">
        <v>9158</v>
      </c>
      <c r="N470" s="14" t="s">
        <v>9158</v>
      </c>
      <c r="O470" s="14" t="s">
        <v>9158</v>
      </c>
      <c r="P470" s="14" t="s">
        <v>9158</v>
      </c>
      <c r="Q470" s="14" t="s">
        <v>9158</v>
      </c>
    </row>
    <row r="471" spans="1:17">
      <c r="A471" s="14" t="s">
        <v>16549</v>
      </c>
      <c r="B471" s="14" t="s">
        <v>117</v>
      </c>
      <c r="C471" s="14" t="s">
        <v>35</v>
      </c>
      <c r="D471" s="14" t="s">
        <v>16550</v>
      </c>
      <c r="E471" s="15" t="str">
        <f>HYPERLINK("https://stat100.ameba.jp/tnk47/ratio20/illustrations/card/ill_96123_0_tenkuroyukimatsuri03.jpg?202104-5-RELEASE-marathon-526xxx", "■")</f>
        <v>■</v>
      </c>
      <c r="F471" s="14" t="s">
        <v>16548</v>
      </c>
      <c r="G471" s="14">
        <v>466826</v>
      </c>
      <c r="H471" s="14">
        <v>421914</v>
      </c>
      <c r="I471" s="14">
        <v>35</v>
      </c>
      <c r="J471" s="14" t="s">
        <v>77</v>
      </c>
      <c r="K471" s="14" t="s">
        <v>16547</v>
      </c>
      <c r="L471" s="14" t="s">
        <v>16546</v>
      </c>
      <c r="M471" s="14" t="s">
        <v>9158</v>
      </c>
      <c r="N471" s="14" t="s">
        <v>9158</v>
      </c>
      <c r="O471" s="14" t="s">
        <v>9158</v>
      </c>
      <c r="P471" s="14" t="s">
        <v>9158</v>
      </c>
      <c r="Q471" s="14" t="s">
        <v>9158</v>
      </c>
    </row>
    <row r="472" spans="1:17">
      <c r="A472" s="14" t="s">
        <v>17060</v>
      </c>
      <c r="B472" s="14" t="s">
        <v>117</v>
      </c>
      <c r="C472" s="14" t="s">
        <v>35</v>
      </c>
      <c r="D472" s="14" t="s">
        <v>17059</v>
      </c>
      <c r="E472" s="15" t="str">
        <f>HYPERLINK("https://stat100.ameba.jp/tnk47/ratio20/illustrations/card/ill_96843_0_tenkuroairando03.jpg?202104-5-RELEASE-marathon-526xxx", "■")</f>
        <v>■</v>
      </c>
      <c r="F472" s="14" t="s">
        <v>17058</v>
      </c>
      <c r="G472" s="14">
        <v>422461</v>
      </c>
      <c r="H472" s="14">
        <v>467373</v>
      </c>
      <c r="I472" s="14">
        <v>35</v>
      </c>
      <c r="J472" s="14" t="s">
        <v>26</v>
      </c>
      <c r="K472" s="14" t="s">
        <v>17057</v>
      </c>
      <c r="L472" s="14" t="s">
        <v>17056</v>
      </c>
      <c r="M472" s="14" t="s">
        <v>9158</v>
      </c>
      <c r="N472" s="14" t="s">
        <v>9158</v>
      </c>
      <c r="O472" s="14" t="s">
        <v>9158</v>
      </c>
      <c r="P472" s="14" t="s">
        <v>9158</v>
      </c>
      <c r="Q472" s="14" t="s">
        <v>9158</v>
      </c>
    </row>
    <row r="473" spans="1:17">
      <c r="A473" s="14" t="s">
        <v>5605</v>
      </c>
      <c r="B473" s="14" t="s">
        <v>52</v>
      </c>
      <c r="C473" s="14" t="s">
        <v>202</v>
      </c>
      <c r="D473" s="20" t="s">
        <v>10332</v>
      </c>
      <c r="E473" s="15" t="str">
        <f>HYPERLINK("https://stat100.ameba.jp/tnk47/ratio20/illustrations/card/ill_79373_0_hommeichokotennyohime03.jpg?202104-5-RELEASE-marathon-526xxx", "■")</f>
        <v>■</v>
      </c>
      <c r="F473" s="14" t="s">
        <v>3495</v>
      </c>
      <c r="G473" s="14">
        <v>272036</v>
      </c>
      <c r="H473" s="14">
        <v>245878</v>
      </c>
      <c r="I473" s="14">
        <v>22</v>
      </c>
      <c r="J473" s="14" t="s">
        <v>104</v>
      </c>
      <c r="K473" s="14" t="s">
        <v>3496</v>
      </c>
      <c r="L473" s="14" t="s">
        <v>3497</v>
      </c>
      <c r="M473" s="14" t="s">
        <v>9158</v>
      </c>
      <c r="N473" s="14" t="s">
        <v>9158</v>
      </c>
      <c r="O473" s="19" t="s">
        <v>10072</v>
      </c>
      <c r="P473" s="14" t="s">
        <v>3498</v>
      </c>
      <c r="Q473" s="14">
        <v>1</v>
      </c>
    </row>
    <row r="474" spans="1:17">
      <c r="A474" s="9">
        <v>80093</v>
      </c>
      <c r="B474" s="9" t="s">
        <v>0</v>
      </c>
      <c r="C474" s="9" t="s">
        <v>185</v>
      </c>
      <c r="D474" s="19" t="s">
        <v>3771</v>
      </c>
      <c r="E474" s="15" t="str">
        <f>HYPERLINK("https://stat100.ameba.jp/tnk47/ratio20/illustrations/card/ill_80093_kafunshuraijakotsumusume03.jpg?202104-5-RELEASE-marathon-526xxx", "■")</f>
        <v>■</v>
      </c>
      <c r="F474" s="9" t="s">
        <v>3772</v>
      </c>
      <c r="G474" s="14">
        <v>112369</v>
      </c>
      <c r="H474" s="14">
        <v>120830</v>
      </c>
      <c r="I474" s="14">
        <v>29</v>
      </c>
      <c r="J474" s="9" t="s">
        <v>182</v>
      </c>
      <c r="K474" s="9" t="s">
        <v>3773</v>
      </c>
      <c r="L474" s="9" t="s">
        <v>2007</v>
      </c>
      <c r="M474" s="14" t="s">
        <v>9158</v>
      </c>
      <c r="N474" s="14" t="s">
        <v>9158</v>
      </c>
      <c r="O474" s="14" t="s">
        <v>9158</v>
      </c>
      <c r="P474" s="14" t="s">
        <v>9158</v>
      </c>
      <c r="Q474" s="14" t="s">
        <v>9158</v>
      </c>
    </row>
    <row r="475" spans="1:17">
      <c r="A475" s="14">
        <v>82773</v>
      </c>
      <c r="B475" s="14" t="s">
        <v>0</v>
      </c>
      <c r="C475" s="14" t="s">
        <v>200</v>
      </c>
      <c r="D475" s="14" t="s">
        <v>14838</v>
      </c>
      <c r="E475" s="15" t="str">
        <f>HYPERLINK("https://stat100.ameba.jp/tnk47/ratio20/illustrations/card/ill_82773_furesshumirukuraguzatama03.jpg?202104-5-RELEASE-marathon-526xxx", "■")</f>
        <v>■</v>
      </c>
      <c r="F475" s="14" t="s">
        <v>5871</v>
      </c>
      <c r="G475" s="14">
        <v>109381</v>
      </c>
      <c r="H475" s="14">
        <v>117591</v>
      </c>
      <c r="I475" s="14">
        <v>29</v>
      </c>
      <c r="J475" s="14" t="s">
        <v>16</v>
      </c>
      <c r="K475" s="14" t="s">
        <v>5873</v>
      </c>
      <c r="L475" s="14" t="s">
        <v>124</v>
      </c>
      <c r="M475" s="14" t="s">
        <v>9158</v>
      </c>
      <c r="N475" s="14" t="s">
        <v>9158</v>
      </c>
      <c r="O475" s="14" t="s">
        <v>9158</v>
      </c>
      <c r="P475" s="14" t="s">
        <v>9158</v>
      </c>
      <c r="Q475" s="14" t="s">
        <v>9158</v>
      </c>
    </row>
    <row r="476" spans="1:17">
      <c r="A476" s="14">
        <v>79443</v>
      </c>
      <c r="B476" s="14" t="s">
        <v>334</v>
      </c>
      <c r="C476" s="14" t="s">
        <v>191</v>
      </c>
      <c r="D476" s="19" t="s">
        <v>14601</v>
      </c>
      <c r="E476" s="15" t="str">
        <f>HYPERLINK("https://stat100.ameba.jp/tnk47/ratio20/illustrations/card/ill_79443_shogitanukinongaeshi03.jpg?202104-5-RELEASE-marathon-526xxx", "■")</f>
        <v>■</v>
      </c>
      <c r="F476" s="14" t="s">
        <v>3537</v>
      </c>
      <c r="G476" s="14">
        <v>122834</v>
      </c>
      <c r="H476" s="14">
        <v>132346</v>
      </c>
      <c r="I476" s="14">
        <v>29</v>
      </c>
      <c r="J476" s="14" t="s">
        <v>38</v>
      </c>
      <c r="K476" s="14" t="s">
        <v>3538</v>
      </c>
      <c r="L476" s="14" t="s">
        <v>3539</v>
      </c>
      <c r="M476" s="14" t="s">
        <v>9158</v>
      </c>
      <c r="N476" s="14" t="s">
        <v>9158</v>
      </c>
      <c r="O476" s="14" t="s">
        <v>9158</v>
      </c>
      <c r="P476" s="14" t="s">
        <v>9158</v>
      </c>
      <c r="Q476" s="14" t="s">
        <v>9158</v>
      </c>
    </row>
    <row r="477" spans="1:17">
      <c r="A477" s="9">
        <v>80823</v>
      </c>
      <c r="B477" s="14" t="s">
        <v>334</v>
      </c>
      <c r="C477" s="14" t="s">
        <v>96</v>
      </c>
      <c r="D477" s="14" t="s">
        <v>4267</v>
      </c>
      <c r="E477" s="15" t="str">
        <f>HYPERLINK("https://stat100.ameba.jp/tnk47/ratio20/illustrations/card/ill_80823_utatanekitanokata03.jpg?202104-5-RELEASE-marathon-526xxx", "■")</f>
        <v>■</v>
      </c>
      <c r="F477" s="14" t="s">
        <v>4268</v>
      </c>
      <c r="G477" s="14">
        <v>160296</v>
      </c>
      <c r="H477" s="14">
        <v>172397</v>
      </c>
      <c r="I477" s="14">
        <v>29</v>
      </c>
      <c r="J477" s="14" t="s">
        <v>143</v>
      </c>
      <c r="K477" s="14" t="s">
        <v>4269</v>
      </c>
      <c r="L477" s="14" t="s">
        <v>1148</v>
      </c>
      <c r="M477" s="14" t="s">
        <v>9158</v>
      </c>
      <c r="N477" s="14" t="s">
        <v>9158</v>
      </c>
      <c r="O477" s="14" t="s">
        <v>9158</v>
      </c>
      <c r="P477" s="14" t="s">
        <v>9158</v>
      </c>
      <c r="Q477" s="14" t="s">
        <v>9158</v>
      </c>
    </row>
    <row r="478" spans="1:17">
      <c r="A478" s="9">
        <v>87693</v>
      </c>
      <c r="B478" s="9" t="s">
        <v>0</v>
      </c>
      <c r="C478" s="9" t="s">
        <v>205</v>
      </c>
      <c r="D478" s="9" t="s">
        <v>10039</v>
      </c>
      <c r="E478" s="15" t="str">
        <f>HYPERLINK("https://stat100.ameba.jp/tnk47/ratio20/illustrations/card/ill_87693_seikasodatsusenizumotaisha03.jpg?202104-5-RELEASE-marathon-526xxx", "■")</f>
        <v>■</v>
      </c>
      <c r="F478" s="9" t="s">
        <v>10040</v>
      </c>
      <c r="G478" s="9">
        <v>122834</v>
      </c>
      <c r="H478" s="9">
        <v>132112</v>
      </c>
      <c r="I478" s="14">
        <v>29</v>
      </c>
      <c r="J478" s="9" t="s">
        <v>229</v>
      </c>
      <c r="K478" s="9" t="s">
        <v>10041</v>
      </c>
      <c r="L478" s="9" t="s">
        <v>13215</v>
      </c>
      <c r="M478" s="14" t="s">
        <v>9158</v>
      </c>
      <c r="N478" s="14" t="s">
        <v>9158</v>
      </c>
      <c r="O478" s="7" t="s">
        <v>9158</v>
      </c>
      <c r="P478" s="14" t="s">
        <v>9158</v>
      </c>
      <c r="Q478" s="14" t="s">
        <v>9158</v>
      </c>
    </row>
    <row r="479" spans="1:17">
      <c r="A479" s="14">
        <v>81493</v>
      </c>
      <c r="B479" s="14" t="s">
        <v>334</v>
      </c>
      <c r="C479" s="14" t="s">
        <v>206</v>
      </c>
      <c r="D479" s="19" t="s">
        <v>11001</v>
      </c>
      <c r="E479" s="15" t="str">
        <f>HYPERLINK("https://stat100.ameba.jp/tnk47/ratio20/illustrations/card/ill_81493_puchidebiruraikirimaru03.jpg?202104-5-RELEASE-marathon-526xxx", "■")</f>
        <v>■</v>
      </c>
      <c r="F479" s="14" t="s">
        <v>4774</v>
      </c>
      <c r="G479" s="14">
        <v>160296</v>
      </c>
      <c r="H479" s="14">
        <v>172397</v>
      </c>
      <c r="I479" s="14">
        <v>29</v>
      </c>
      <c r="J479" s="14" t="s">
        <v>169</v>
      </c>
      <c r="K479" s="14" t="s">
        <v>4775</v>
      </c>
      <c r="L479" s="14" t="s">
        <v>4800</v>
      </c>
      <c r="M479" s="14" t="s">
        <v>9158</v>
      </c>
      <c r="N479" s="14" t="s">
        <v>9158</v>
      </c>
      <c r="O479" s="14" t="s">
        <v>9158</v>
      </c>
      <c r="P479" s="14" t="s">
        <v>9158</v>
      </c>
      <c r="Q479" s="14" t="s">
        <v>9158</v>
      </c>
    </row>
    <row r="481" spans="1:17">
      <c r="A481" s="9" t="s">
        <v>4065</v>
      </c>
      <c r="G481" s="7"/>
      <c r="H481" s="7"/>
      <c r="I481" s="7"/>
    </row>
    <row r="482" spans="1:17">
      <c r="A482" s="14">
        <v>108256</v>
      </c>
      <c r="B482" s="14" t="s">
        <v>17217</v>
      </c>
      <c r="I482" s="7"/>
    </row>
    <row r="483" spans="1:17">
      <c r="A483" s="14" t="s">
        <v>6508</v>
      </c>
      <c r="B483" s="14" t="s">
        <v>330</v>
      </c>
      <c r="C483" s="14" t="s">
        <v>35</v>
      </c>
      <c r="D483" s="19" t="s">
        <v>10168</v>
      </c>
      <c r="E483" s="15" t="str">
        <f>HYPERLINK("https://stat100.ameba.jp/tnk47/ratio20/illustrations/card/ill_81783_0_denshagarukoteipenginchan03.jpg?202105-i_prefecture_active_user", "■")</f>
        <v>■</v>
      </c>
      <c r="F483" s="14" t="s">
        <v>4834</v>
      </c>
      <c r="G483" s="14">
        <v>325618</v>
      </c>
      <c r="H483" s="14">
        <v>294274</v>
      </c>
      <c r="I483" s="14">
        <v>28</v>
      </c>
      <c r="J483" s="14" t="s">
        <v>26</v>
      </c>
      <c r="K483" s="14" t="s">
        <v>4836</v>
      </c>
      <c r="L483" s="14" t="s">
        <v>1783</v>
      </c>
      <c r="M483" s="14" t="s">
        <v>9158</v>
      </c>
      <c r="N483" s="14" t="s">
        <v>9158</v>
      </c>
      <c r="O483" s="6" t="s">
        <v>9993</v>
      </c>
      <c r="P483" s="14" t="s">
        <v>4838</v>
      </c>
      <c r="Q483" s="14">
        <v>1</v>
      </c>
    </row>
    <row r="484" spans="1:17">
      <c r="A484" s="14">
        <v>76243</v>
      </c>
      <c r="B484" s="14" t="s">
        <v>334</v>
      </c>
      <c r="C484" s="14" t="s">
        <v>335</v>
      </c>
      <c r="D484" s="20" t="s">
        <v>10263</v>
      </c>
      <c r="E484" s="15" t="str">
        <f>HYPERLINK("https://stat100.ameba.jp/tnk47/ratio20/illustrations/card/ill_76243_haroinkaraguchinihonshuchan03.jpg?202105-i_prefecture_active_user", "■")</f>
        <v>■</v>
      </c>
      <c r="F484" s="14" t="s">
        <v>336</v>
      </c>
      <c r="G484" s="14">
        <v>127507</v>
      </c>
      <c r="H484" s="14">
        <v>118568</v>
      </c>
      <c r="I484" s="14">
        <v>27</v>
      </c>
      <c r="J484" s="14" t="s">
        <v>283</v>
      </c>
      <c r="K484" s="14" t="s">
        <v>337</v>
      </c>
      <c r="L484" s="14" t="s">
        <v>338</v>
      </c>
      <c r="M484" s="14" t="s">
        <v>9158</v>
      </c>
      <c r="N484" s="14" t="s">
        <v>9158</v>
      </c>
      <c r="O484" s="19" t="s">
        <v>10090</v>
      </c>
      <c r="P484" s="14" t="s">
        <v>3561</v>
      </c>
      <c r="Q484" s="14">
        <v>1</v>
      </c>
    </row>
    <row r="485" spans="1:17">
      <c r="A485" s="14">
        <v>89653</v>
      </c>
      <c r="B485" s="14" t="s">
        <v>0</v>
      </c>
      <c r="C485" s="14" t="s">
        <v>101</v>
      </c>
      <c r="D485" s="18" t="s">
        <v>13090</v>
      </c>
      <c r="E485" s="15" t="str">
        <f>HYPERLINK("https://stat100.ameba.jp/tnk47/ratio20/illustrations/card/ill_89653_jumburaidochakkariozonichan03.jpg?202105-i_prefecture_active_user", "■")</f>
        <v>■</v>
      </c>
      <c r="F485" s="14" t="s">
        <v>13091</v>
      </c>
      <c r="G485" s="14">
        <v>127507</v>
      </c>
      <c r="H485" s="14">
        <v>118568</v>
      </c>
      <c r="I485" s="14">
        <v>27</v>
      </c>
      <c r="J485" s="14" t="s">
        <v>104</v>
      </c>
      <c r="K485" s="14" t="s">
        <v>13092</v>
      </c>
      <c r="L485" s="14" t="s">
        <v>13093</v>
      </c>
      <c r="M485" s="14" t="s">
        <v>9158</v>
      </c>
      <c r="N485" s="14" t="s">
        <v>9158</v>
      </c>
      <c r="O485" s="6" t="s">
        <v>4583</v>
      </c>
      <c r="P485" s="7" t="s">
        <v>4584</v>
      </c>
      <c r="Q485" s="7">
        <v>1</v>
      </c>
    </row>
    <row r="486" spans="1:17">
      <c r="A486" s="14">
        <v>88323</v>
      </c>
      <c r="B486" s="14" t="s">
        <v>0</v>
      </c>
      <c r="C486" s="14" t="s">
        <v>205</v>
      </c>
      <c r="D486" s="18" t="s">
        <v>12019</v>
      </c>
      <c r="E486" s="15" t="str">
        <f>HYPERLINK("https://stat100.ameba.jp/tnk47/ratio20/illustrations/card/ill_88323_hanamibakedanuki03.jpg?202105-i_prefecture_active_user", "■")</f>
        <v>■</v>
      </c>
      <c r="F486" s="14" t="s">
        <v>12020</v>
      </c>
      <c r="G486" s="14">
        <v>104619</v>
      </c>
      <c r="H486" s="14">
        <v>112496</v>
      </c>
      <c r="I486" s="14">
        <v>27</v>
      </c>
      <c r="J486" s="14" t="s">
        <v>73</v>
      </c>
      <c r="K486" s="14" t="s">
        <v>12021</v>
      </c>
      <c r="L486" s="14" t="s">
        <v>12022</v>
      </c>
      <c r="M486" s="14" t="s">
        <v>9158</v>
      </c>
      <c r="N486" s="14" t="s">
        <v>9158</v>
      </c>
      <c r="O486" s="6" t="s">
        <v>10064</v>
      </c>
      <c r="P486" s="7" t="s">
        <v>13150</v>
      </c>
      <c r="Q486" s="7">
        <v>1</v>
      </c>
    </row>
    <row r="488" spans="1:17">
      <c r="A488" s="9" t="s">
        <v>3916</v>
      </c>
    </row>
    <row r="489" spans="1:17">
      <c r="A489" s="14">
        <v>108171</v>
      </c>
      <c r="B489" s="14" t="s">
        <v>17218</v>
      </c>
    </row>
    <row r="490" spans="1:17">
      <c r="A490" s="14">
        <v>84733</v>
      </c>
      <c r="B490" s="14" t="s">
        <v>0</v>
      </c>
      <c r="C490" s="14" t="s">
        <v>154</v>
      </c>
      <c r="D490" s="19" t="s">
        <v>10677</v>
      </c>
      <c r="E490" s="15" t="str">
        <f>HYPERLINK("https://stat100.ameba.jp/tnk47/ratio20/illustrations/card/ill_84733_madadoru03.jpg?202105-i_prefecture_active_user", "■")</f>
        <v>■</v>
      </c>
      <c r="F490" s="14" t="s">
        <v>7293</v>
      </c>
      <c r="G490" s="14">
        <v>125078</v>
      </c>
      <c r="H490" s="14">
        <v>116296</v>
      </c>
      <c r="I490" s="14">
        <v>29</v>
      </c>
      <c r="J490" s="14" t="s">
        <v>182</v>
      </c>
      <c r="K490" s="14" t="s">
        <v>7296</v>
      </c>
      <c r="L490" s="14" t="s">
        <v>7295</v>
      </c>
      <c r="M490" s="14" t="s">
        <v>9158</v>
      </c>
      <c r="N490" s="14" t="s">
        <v>9158</v>
      </c>
      <c r="O490" s="14" t="s">
        <v>9158</v>
      </c>
      <c r="P490" s="14" t="s">
        <v>9158</v>
      </c>
      <c r="Q490" s="14" t="s">
        <v>9158</v>
      </c>
    </row>
    <row r="491" spans="1:17">
      <c r="A491" s="14">
        <v>84743</v>
      </c>
      <c r="B491" s="14" t="s">
        <v>0</v>
      </c>
      <c r="C491" s="14" t="s">
        <v>158</v>
      </c>
      <c r="D491" s="19" t="s">
        <v>10678</v>
      </c>
      <c r="E491" s="15" t="str">
        <f>HYPERLINK("https://stat100.ameba.jp/tnk47/ratio20/illustrations/card/ill_84743_rinnenonyumpe03.jpg?202105-i_prefecture_active_user", "■")</f>
        <v>■</v>
      </c>
      <c r="F491" s="14" t="s">
        <v>7294</v>
      </c>
      <c r="G491" s="14">
        <v>125078</v>
      </c>
      <c r="H491" s="14">
        <v>116296</v>
      </c>
      <c r="I491" s="14">
        <v>29</v>
      </c>
      <c r="J491" s="14" t="s">
        <v>169</v>
      </c>
      <c r="K491" s="14" t="s">
        <v>7297</v>
      </c>
      <c r="L491" s="14" t="s">
        <v>7298</v>
      </c>
      <c r="M491" s="14" t="s">
        <v>9158</v>
      </c>
      <c r="N491" s="14" t="s">
        <v>9158</v>
      </c>
      <c r="O491" s="14" t="s">
        <v>9158</v>
      </c>
      <c r="P491" s="14" t="s">
        <v>9158</v>
      </c>
      <c r="Q491" s="14" t="s">
        <v>9158</v>
      </c>
    </row>
    <row r="492" spans="1:17">
      <c r="A492" s="14">
        <v>69883</v>
      </c>
      <c r="B492" s="14" t="s">
        <v>334</v>
      </c>
      <c r="C492" s="14" t="s">
        <v>185</v>
      </c>
      <c r="D492" s="19" t="s">
        <v>10293</v>
      </c>
      <c r="E492" s="15" t="str">
        <f>HYPERLINK("https://stat100.ameba.jp/tnk47/ratio20/illustrations/card/ill_69883_kyupiddotominushihime03.jpg?202105-i_prefecture_active_user", "■")</f>
        <v>■</v>
      </c>
      <c r="F492" s="14" t="s">
        <v>4142</v>
      </c>
      <c r="G492" s="14">
        <v>109970</v>
      </c>
      <c r="H492" s="14">
        <v>118287</v>
      </c>
      <c r="I492" s="14">
        <v>29</v>
      </c>
      <c r="J492" s="14" t="s">
        <v>169</v>
      </c>
      <c r="K492" s="14" t="s">
        <v>4143</v>
      </c>
      <c r="L492" s="14" t="s">
        <v>13190</v>
      </c>
      <c r="M492" s="14" t="s">
        <v>9158</v>
      </c>
      <c r="N492" s="14" t="s">
        <v>9158</v>
      </c>
      <c r="O492" s="14" t="s">
        <v>9158</v>
      </c>
      <c r="P492" s="14" t="s">
        <v>9158</v>
      </c>
      <c r="Q492" s="14" t="s">
        <v>9158</v>
      </c>
    </row>
    <row r="493" spans="1:17">
      <c r="A493" s="14">
        <v>67243</v>
      </c>
      <c r="B493" s="14" t="s">
        <v>334</v>
      </c>
      <c r="C493" s="14" t="s">
        <v>205</v>
      </c>
      <c r="D493" s="20" t="s">
        <v>10199</v>
      </c>
      <c r="E493" s="15" t="str">
        <f>HYPERLINK("https://stat100.ameba.jp/tnk47/ratio20/illustrations/card/ill_67243_onsenyadomoryo03.jpg?202105-i_prefecture_active_user", "■")</f>
        <v>■</v>
      </c>
      <c r="F493" s="14" t="s">
        <v>3638</v>
      </c>
      <c r="G493" s="14">
        <v>112369</v>
      </c>
      <c r="H493" s="14">
        <v>120830</v>
      </c>
      <c r="I493" s="14">
        <v>29</v>
      </c>
      <c r="J493" s="14" t="s">
        <v>182</v>
      </c>
      <c r="K493" s="14" t="s">
        <v>3639</v>
      </c>
      <c r="L493" s="14" t="s">
        <v>3640</v>
      </c>
      <c r="M493" s="14" t="s">
        <v>9158</v>
      </c>
      <c r="N493" s="14" t="s">
        <v>9158</v>
      </c>
      <c r="O493" s="14" t="s">
        <v>9158</v>
      </c>
      <c r="P493" s="14" t="s">
        <v>9158</v>
      </c>
      <c r="Q493" s="14" t="s">
        <v>9158</v>
      </c>
    </row>
    <row r="494" spans="1:17">
      <c r="A494" s="14">
        <v>52973</v>
      </c>
      <c r="B494" s="14" t="s">
        <v>15</v>
      </c>
      <c r="C494" s="14" t="s">
        <v>206</v>
      </c>
      <c r="D494" s="19" t="s">
        <v>10519</v>
      </c>
      <c r="E494" s="15" t="str">
        <f>HYPERLINK("https://stat100.ameba.jp/tnk47/ratio20/illustrations/card/ill_52973_torampuamoronagu03.jpg?202105-i_prefecture_active_user", "■")</f>
        <v>■</v>
      </c>
      <c r="F494" s="14" t="s">
        <v>6421</v>
      </c>
      <c r="G494" s="14">
        <v>71136</v>
      </c>
      <c r="H494" s="14">
        <v>64520</v>
      </c>
      <c r="I494" s="14">
        <v>24</v>
      </c>
      <c r="J494" s="14" t="s">
        <v>44</v>
      </c>
      <c r="K494" s="14" t="s">
        <v>6419</v>
      </c>
      <c r="L494" s="14" t="s">
        <v>6418</v>
      </c>
      <c r="M494" s="14" t="s">
        <v>9158</v>
      </c>
      <c r="N494" s="14" t="s">
        <v>9158</v>
      </c>
      <c r="O494" s="14" t="s">
        <v>9158</v>
      </c>
      <c r="P494" s="14" t="s">
        <v>9158</v>
      </c>
      <c r="Q494" s="14" t="s">
        <v>9158</v>
      </c>
    </row>
    <row r="495" spans="1:17">
      <c r="A495" s="14">
        <v>52333</v>
      </c>
      <c r="B495" s="14" t="s">
        <v>15</v>
      </c>
      <c r="C495" s="14" t="s">
        <v>200</v>
      </c>
      <c r="D495" s="19" t="s">
        <v>10537</v>
      </c>
      <c r="E495" s="15" t="str">
        <f>HYPERLINK("https://stat100.ameba.jp/tnk47/ratio20/illustrations/card/ill_52333_chichibuyomatsuri03.jpg?202105-i_prefecture_active_user", "■")</f>
        <v>■</v>
      </c>
      <c r="F495" s="14" t="s">
        <v>3614</v>
      </c>
      <c r="G495" s="14">
        <v>71136</v>
      </c>
      <c r="H495" s="14">
        <v>64520</v>
      </c>
      <c r="I495" s="14">
        <v>24</v>
      </c>
      <c r="J495" s="14" t="s">
        <v>38</v>
      </c>
      <c r="K495" s="14" t="s">
        <v>3615</v>
      </c>
      <c r="L495" s="14" t="s">
        <v>3616</v>
      </c>
      <c r="M495" s="14" t="s">
        <v>9158</v>
      </c>
      <c r="N495" s="14" t="s">
        <v>9158</v>
      </c>
      <c r="O495" s="14" t="s">
        <v>9158</v>
      </c>
      <c r="P495" s="14" t="s">
        <v>9158</v>
      </c>
      <c r="Q495" s="14" t="s">
        <v>9158</v>
      </c>
    </row>
    <row r="496" spans="1:17">
      <c r="A496" s="14">
        <v>51913</v>
      </c>
      <c r="B496" s="14" t="s">
        <v>15</v>
      </c>
      <c r="C496" s="14" t="s">
        <v>191</v>
      </c>
      <c r="D496" s="19" t="s">
        <v>10538</v>
      </c>
      <c r="E496" s="15" t="str">
        <f>HYPERLINK("https://stat100.ameba.jp/tnk47/ratio20/illustrations/card/ill_51913_kemonomizugihamahime03.jpg?202105-i_prefecture_active_user", "■")</f>
        <v>■</v>
      </c>
      <c r="F496" s="14" t="s">
        <v>6501</v>
      </c>
      <c r="G496" s="14">
        <v>64520</v>
      </c>
      <c r="H496" s="14">
        <v>71136</v>
      </c>
      <c r="I496" s="14">
        <v>24</v>
      </c>
      <c r="J496" s="14" t="s">
        <v>182</v>
      </c>
      <c r="K496" s="14" t="s">
        <v>6500</v>
      </c>
      <c r="L496" s="14" t="s">
        <v>6499</v>
      </c>
      <c r="M496" s="14" t="s">
        <v>9158</v>
      </c>
      <c r="N496" s="14" t="s">
        <v>9158</v>
      </c>
      <c r="O496" s="14" t="s">
        <v>9158</v>
      </c>
      <c r="P496" s="14" t="s">
        <v>9158</v>
      </c>
      <c r="Q496" s="14" t="s">
        <v>9158</v>
      </c>
    </row>
    <row r="497" spans="1:17">
      <c r="A497" s="14">
        <v>53203</v>
      </c>
      <c r="B497" s="14" t="s">
        <v>15</v>
      </c>
      <c r="C497" s="14" t="s">
        <v>165</v>
      </c>
      <c r="D497" s="20" t="s">
        <v>10494</v>
      </c>
      <c r="E497" s="15" t="str">
        <f>HYPERLINK("https://stat100.ameba.jp/tnk47/ratio20/illustrations/card/ill_53203_buruhawaichan03.jpg?202105-i_prefecture_active_user", "■")</f>
        <v>■</v>
      </c>
      <c r="F497" s="14" t="s">
        <v>6258</v>
      </c>
      <c r="G497" s="14">
        <v>64520</v>
      </c>
      <c r="H497" s="14">
        <v>71136</v>
      </c>
      <c r="I497" s="14">
        <v>24</v>
      </c>
      <c r="J497" s="14" t="s">
        <v>104</v>
      </c>
      <c r="K497" s="14" t="s">
        <v>6261</v>
      </c>
      <c r="L497" s="14" t="s">
        <v>6260</v>
      </c>
      <c r="M497" s="14" t="s">
        <v>9158</v>
      </c>
      <c r="N497" s="14" t="s">
        <v>9158</v>
      </c>
      <c r="O497" s="14" t="s">
        <v>9158</v>
      </c>
      <c r="P497" s="14" t="s">
        <v>9158</v>
      </c>
      <c r="Q497" s="14" t="s">
        <v>9158</v>
      </c>
    </row>
    <row r="499" spans="1:17">
      <c r="A499" s="14" t="s">
        <v>17191</v>
      </c>
    </row>
    <row r="500" spans="1:17">
      <c r="A500" s="14">
        <v>108321</v>
      </c>
      <c r="B500" s="14" t="s">
        <v>17192</v>
      </c>
    </row>
    <row r="501" spans="1:17">
      <c r="A501" s="14">
        <v>108311</v>
      </c>
      <c r="B501" s="14" t="s">
        <v>17194</v>
      </c>
    </row>
    <row r="502" spans="1:17">
      <c r="A502" s="14">
        <v>108322</v>
      </c>
      <c r="B502" s="14" t="s">
        <v>17193</v>
      </c>
    </row>
    <row r="503" spans="1:17">
      <c r="A503" s="14" t="s">
        <v>13442</v>
      </c>
      <c r="B503" s="7" t="s">
        <v>52</v>
      </c>
      <c r="C503" s="14" t="s">
        <v>202</v>
      </c>
      <c r="D503" s="18" t="s">
        <v>13441</v>
      </c>
      <c r="E503" s="15" t="str">
        <f>HYPERLINK("https://stat100.ameba.jp/tnk47/ratio20/illustrations/card/ill_90393_0_nangokubakansusanukiudonchan03.jpg?202105-i_prefecture_active_user", "■")</f>
        <v>■</v>
      </c>
      <c r="F503" s="14" t="s">
        <v>13443</v>
      </c>
      <c r="G503" s="14">
        <v>312796</v>
      </c>
      <c r="H503" s="14">
        <v>344095</v>
      </c>
      <c r="I503" s="14">
        <v>30</v>
      </c>
      <c r="J503" s="14" t="s">
        <v>104</v>
      </c>
      <c r="K503" s="14" t="s">
        <v>13444</v>
      </c>
      <c r="L503" s="14" t="s">
        <v>13445</v>
      </c>
      <c r="M503" s="14" t="s">
        <v>9158</v>
      </c>
      <c r="N503" s="14" t="s">
        <v>9158</v>
      </c>
      <c r="O503" s="6" t="s">
        <v>13446</v>
      </c>
      <c r="P503" s="7" t="s">
        <v>13447</v>
      </c>
      <c r="Q503" s="7">
        <v>1</v>
      </c>
    </row>
    <row r="504" spans="1:17">
      <c r="A504" s="14" t="s">
        <v>15831</v>
      </c>
      <c r="B504" s="7" t="s">
        <v>52</v>
      </c>
      <c r="C504" s="14" t="s">
        <v>202</v>
      </c>
      <c r="D504" s="18" t="s">
        <v>15825</v>
      </c>
      <c r="E504" s="15" t="str">
        <f>HYPERLINK("https://stat100.ameba.jp/tnk47/ratio20/illustrations/card/ill_94293_0_kurisumasupurezentofukudahideko03.jpg?202105-i_prefecture_active_user", "■")</f>
        <v>■</v>
      </c>
      <c r="F504" s="14" t="s">
        <v>15830</v>
      </c>
      <c r="G504" s="14">
        <v>330110</v>
      </c>
      <c r="H504" s="14">
        <v>298362</v>
      </c>
      <c r="I504" s="14">
        <v>30</v>
      </c>
      <c r="J504" s="14" t="s">
        <v>16</v>
      </c>
      <c r="K504" s="14" t="s">
        <v>15829</v>
      </c>
      <c r="L504" s="14" t="s">
        <v>15828</v>
      </c>
      <c r="M504" s="14" t="s">
        <v>9158</v>
      </c>
      <c r="N504" s="14" t="s">
        <v>9158</v>
      </c>
      <c r="O504" s="6" t="s">
        <v>15827</v>
      </c>
      <c r="P504" s="7" t="s">
        <v>15826</v>
      </c>
      <c r="Q504" s="7">
        <v>1</v>
      </c>
    </row>
    <row r="505" spans="1:17">
      <c r="A505" s="14" t="s">
        <v>14533</v>
      </c>
      <c r="B505" s="7" t="s">
        <v>52</v>
      </c>
      <c r="C505" s="14" t="s">
        <v>202</v>
      </c>
      <c r="D505" s="18" t="s">
        <v>14532</v>
      </c>
      <c r="E505" s="15" t="str">
        <f>HYPERLINK("https://stat100.ameba.jp/tnk47/ratio20/illustrations/card/ill_91703_0_ninjashugyohanakosan03.jpg?202105-i_prefecture_active_user", "■")</f>
        <v>■</v>
      </c>
      <c r="F505" s="14" t="s">
        <v>14534</v>
      </c>
      <c r="G505" s="14">
        <v>313748</v>
      </c>
      <c r="H505" s="14">
        <v>347148</v>
      </c>
      <c r="I505" s="14">
        <v>30</v>
      </c>
      <c r="J505" s="14" t="s">
        <v>77</v>
      </c>
      <c r="K505" s="14" t="s">
        <v>14536</v>
      </c>
      <c r="L505" s="14" t="s">
        <v>14535</v>
      </c>
      <c r="M505" s="14" t="s">
        <v>9158</v>
      </c>
      <c r="N505" s="14" t="s">
        <v>9158</v>
      </c>
      <c r="O505" s="6" t="s">
        <v>14539</v>
      </c>
      <c r="P505" s="7" t="s">
        <v>14538</v>
      </c>
      <c r="Q505" s="7">
        <v>1</v>
      </c>
    </row>
    <row r="506" spans="1:17">
      <c r="A506" s="14" t="s">
        <v>14268</v>
      </c>
      <c r="B506" s="14" t="s">
        <v>117</v>
      </c>
      <c r="C506" s="14" t="s">
        <v>35</v>
      </c>
      <c r="D506" s="14" t="s">
        <v>14262</v>
      </c>
      <c r="E506" s="15" t="str">
        <f>HYPERLINK("https://stat100.ameba.jp/tnk47/ratio20/illustrations/card/ill_91543_0_reihosammeizan03.jpg?202105-i_prefecture_active_user", "■")</f>
        <v>■</v>
      </c>
      <c r="F506" s="14" t="s">
        <v>14267</v>
      </c>
      <c r="G506" s="14">
        <v>358458</v>
      </c>
      <c r="H506" s="14">
        <v>323964</v>
      </c>
      <c r="I506" s="14">
        <v>30</v>
      </c>
      <c r="J506" s="14" t="s">
        <v>44</v>
      </c>
      <c r="K506" s="14" t="s">
        <v>14266</v>
      </c>
      <c r="L506" s="14" t="s">
        <v>14265</v>
      </c>
      <c r="M506" s="14" t="s">
        <v>9158</v>
      </c>
      <c r="N506" s="14" t="s">
        <v>9158</v>
      </c>
      <c r="O506" s="14" t="s">
        <v>14269</v>
      </c>
      <c r="P506" s="14" t="s">
        <v>7154</v>
      </c>
      <c r="Q506" s="14">
        <v>1</v>
      </c>
    </row>
    <row r="507" spans="1:17">
      <c r="A507" s="14" t="s">
        <v>16315</v>
      </c>
      <c r="B507" s="14" t="s">
        <v>117</v>
      </c>
      <c r="C507" s="14" t="s">
        <v>35</v>
      </c>
      <c r="D507" s="14" t="s">
        <v>16314</v>
      </c>
      <c r="E507" s="15" t="str">
        <f>HYPERLINK("https://stat100.ameba.jp/tnk47/ratio20/illustrations/card/ill_95293_0_kajinobatoru03.jpg?202105-i_prefecture_active_user", "■")</f>
        <v>■</v>
      </c>
      <c r="F507" s="14" t="s">
        <v>16313</v>
      </c>
      <c r="G507" s="14">
        <v>363642</v>
      </c>
      <c r="H507" s="14">
        <v>338058</v>
      </c>
      <c r="I507" s="14">
        <v>30</v>
      </c>
      <c r="J507" s="14" t="s">
        <v>194</v>
      </c>
      <c r="K507" s="14" t="s">
        <v>16312</v>
      </c>
      <c r="L507" s="14" t="s">
        <v>16311</v>
      </c>
      <c r="M507" s="14" t="s">
        <v>9158</v>
      </c>
      <c r="N507" s="14" t="s">
        <v>9158</v>
      </c>
      <c r="O507" s="14" t="s">
        <v>16310</v>
      </c>
      <c r="P507" s="14" t="s">
        <v>8441</v>
      </c>
      <c r="Q507" s="14">
        <v>1</v>
      </c>
    </row>
    <row r="508" spans="1:17">
      <c r="A508" s="14" t="s">
        <v>15240</v>
      </c>
      <c r="B508" s="14" t="s">
        <v>117</v>
      </c>
      <c r="C508" s="14" t="s">
        <v>35</v>
      </c>
      <c r="D508" s="14" t="s">
        <v>15242</v>
      </c>
      <c r="E508" s="15" t="str">
        <f>HYPERLINK("https://stat100.ameba.jp/tnk47/ratio20/illustrations/card/ill_93503_0_reimeisammaki03.jpg?202105-i_prefecture_active_user", "■")</f>
        <v>■</v>
      </c>
      <c r="F508" s="14" t="s">
        <v>15239</v>
      </c>
      <c r="G508" s="14">
        <v>337732</v>
      </c>
      <c r="H508" s="14">
        <v>363248</v>
      </c>
      <c r="I508" s="14">
        <v>30</v>
      </c>
      <c r="J508" s="14" t="s">
        <v>44</v>
      </c>
      <c r="K508" s="14" t="s">
        <v>15238</v>
      </c>
      <c r="L508" s="14" t="s">
        <v>15237</v>
      </c>
      <c r="M508" s="14" t="s">
        <v>9158</v>
      </c>
      <c r="N508" s="14" t="s">
        <v>9158</v>
      </c>
      <c r="O508" s="14" t="s">
        <v>15577</v>
      </c>
      <c r="P508" s="14" t="s">
        <v>5968</v>
      </c>
      <c r="Q508" s="14">
        <v>1</v>
      </c>
    </row>
    <row r="509" spans="1:17">
      <c r="A509" s="14">
        <v>72723</v>
      </c>
      <c r="B509" s="14" t="s">
        <v>0</v>
      </c>
      <c r="C509" s="14" t="s">
        <v>35</v>
      </c>
      <c r="D509" s="14" t="s">
        <v>12578</v>
      </c>
      <c r="E509" s="15" t="str">
        <f>HYPERLINK("https://stat100.ameba.jp/tnk47/ratio20/illustrations/card/ill_72723_ogonshukangorudenuikunodaiboken03.jpg?202105-i_prefecture_active_user", "■")</f>
        <v>■</v>
      </c>
      <c r="F509" s="14" t="s">
        <v>12580</v>
      </c>
      <c r="G509" s="14">
        <v>118351</v>
      </c>
      <c r="H509" s="14">
        <v>127278</v>
      </c>
      <c r="I509" s="14">
        <v>29</v>
      </c>
      <c r="J509" s="14" t="s">
        <v>26</v>
      </c>
      <c r="K509" s="14" t="s">
        <v>12582</v>
      </c>
      <c r="L509" s="14" t="s">
        <v>12583</v>
      </c>
      <c r="M509" s="14" t="s">
        <v>9158</v>
      </c>
      <c r="N509" s="14" t="s">
        <v>9158</v>
      </c>
      <c r="O509" s="14" t="s">
        <v>10053</v>
      </c>
      <c r="P509" s="14" t="s">
        <v>3592</v>
      </c>
      <c r="Q509" s="14">
        <v>1</v>
      </c>
    </row>
    <row r="510" spans="1:17">
      <c r="A510" s="14">
        <v>72722</v>
      </c>
      <c r="B510" s="14" t="s">
        <v>0</v>
      </c>
      <c r="C510" s="14" t="s">
        <v>202</v>
      </c>
      <c r="D510" s="14" t="s">
        <v>12578</v>
      </c>
      <c r="E510" s="15" t="str">
        <f>HYPERLINK("https://stat100.ameba.jp/tnk47/ratio20/illustrations/card/ill_72722_ogonshukangorudenuikunodaiboken02.jpg?202105-i_prefecture_active_user", "■")</f>
        <v>■</v>
      </c>
      <c r="F510" s="14" t="s">
        <v>12580</v>
      </c>
      <c r="G510" s="14">
        <v>98037</v>
      </c>
      <c r="H510" s="14">
        <v>105989</v>
      </c>
      <c r="I510" s="14">
        <v>29</v>
      </c>
      <c r="J510" s="14" t="s">
        <v>26</v>
      </c>
      <c r="K510" s="14" t="s">
        <v>12582</v>
      </c>
      <c r="L510" s="14" t="s">
        <v>17215</v>
      </c>
      <c r="M510" s="14" t="s">
        <v>9158</v>
      </c>
      <c r="N510" s="14" t="s">
        <v>9158</v>
      </c>
      <c r="O510" s="14" t="s">
        <v>10053</v>
      </c>
      <c r="P510" s="14" t="s">
        <v>3592</v>
      </c>
      <c r="Q510" s="14">
        <v>1</v>
      </c>
    </row>
    <row r="511" spans="1:17">
      <c r="A511" s="14">
        <v>72721</v>
      </c>
      <c r="B511" s="14" t="s">
        <v>0</v>
      </c>
      <c r="C511" s="14" t="s">
        <v>202</v>
      </c>
      <c r="D511" s="14" t="s">
        <v>12578</v>
      </c>
      <c r="E511" s="15" t="str">
        <f>HYPERLINK("https://stat100.ameba.jp/tnk47/ratio20/illustrations/card/ill_72721_ogonshukangorudenuikunodaiboken01.jpg?202105-i_prefecture_active_user", "■")</f>
        <v>■</v>
      </c>
      <c r="F511" s="14" t="s">
        <v>12580</v>
      </c>
      <c r="G511" s="14">
        <v>75632</v>
      </c>
      <c r="H511" s="14">
        <v>81171</v>
      </c>
      <c r="I511" s="14">
        <v>29</v>
      </c>
      <c r="J511" s="14" t="s">
        <v>26</v>
      </c>
      <c r="K511" s="14" t="s">
        <v>12582</v>
      </c>
      <c r="L511" s="14" t="s">
        <v>17216</v>
      </c>
      <c r="M511" s="14" t="s">
        <v>9158</v>
      </c>
      <c r="N511" s="14" t="s">
        <v>9158</v>
      </c>
      <c r="O511" s="14" t="s">
        <v>10053</v>
      </c>
      <c r="P511" s="14" t="s">
        <v>3592</v>
      </c>
      <c r="Q511" s="14">
        <v>1</v>
      </c>
    </row>
    <row r="512" spans="1:17">
      <c r="A512" s="14">
        <v>95253</v>
      </c>
      <c r="B512" s="14" t="s">
        <v>0</v>
      </c>
      <c r="C512" s="14" t="s">
        <v>14</v>
      </c>
      <c r="D512" s="14" t="s">
        <v>16248</v>
      </c>
      <c r="E512" s="15" t="str">
        <f>HYPERLINK("https://stat100.ameba.jp/tnk47/ratio20/illustrations/card/ill_95253_amekomifukuhime03.jpg?202105-i_prefecture_active_user", "■")</f>
        <v>■</v>
      </c>
      <c r="F512" s="14" t="s">
        <v>16247</v>
      </c>
      <c r="G512" s="14">
        <v>105281</v>
      </c>
      <c r="H512" s="14">
        <v>113277</v>
      </c>
      <c r="I512" s="14">
        <v>29</v>
      </c>
      <c r="J512" s="14" t="s">
        <v>77</v>
      </c>
      <c r="K512" s="14" t="s">
        <v>16246</v>
      </c>
      <c r="L512" s="14" t="s">
        <v>13612</v>
      </c>
      <c r="M512" s="14" t="s">
        <v>9158</v>
      </c>
      <c r="N512" s="14" t="s">
        <v>9158</v>
      </c>
      <c r="O512" s="14" t="s">
        <v>9158</v>
      </c>
      <c r="P512" s="14" t="s">
        <v>9158</v>
      </c>
      <c r="Q512" s="14" t="s">
        <v>9158</v>
      </c>
    </row>
    <row r="513" spans="1:20">
      <c r="A513" s="14">
        <v>88803</v>
      </c>
      <c r="B513" s="9" t="s">
        <v>0</v>
      </c>
      <c r="C513" s="14" t="s">
        <v>23</v>
      </c>
      <c r="D513" s="14" t="s">
        <v>12413</v>
      </c>
      <c r="E513" s="15" t="str">
        <f>HYPERLINK("https://stat100.ameba.jp/tnk47/ratio20/illustrations/card/ill_88803_buruberitei03.jpg?202105-i_prefecture_active_user", "■")</f>
        <v>■</v>
      </c>
      <c r="F513" s="14" t="s">
        <v>12418</v>
      </c>
      <c r="G513" s="14">
        <v>117591</v>
      </c>
      <c r="H513" s="14">
        <v>109381</v>
      </c>
      <c r="I513" s="14">
        <v>29</v>
      </c>
      <c r="J513" s="14" t="s">
        <v>104</v>
      </c>
      <c r="K513" s="14" t="s">
        <v>12416</v>
      </c>
      <c r="L513" s="14" t="s">
        <v>12415</v>
      </c>
      <c r="M513" s="14" t="s">
        <v>9158</v>
      </c>
      <c r="N513" s="14" t="s">
        <v>9158</v>
      </c>
      <c r="O513" s="14" t="s">
        <v>9158</v>
      </c>
      <c r="P513" s="14" t="s">
        <v>9158</v>
      </c>
      <c r="Q513" s="14" t="s">
        <v>9158</v>
      </c>
      <c r="T513" s="7"/>
    </row>
    <row r="514" spans="1:20">
      <c r="A514" s="14">
        <v>91323</v>
      </c>
      <c r="B514" s="14" t="s">
        <v>334</v>
      </c>
      <c r="C514" s="14" t="s">
        <v>101</v>
      </c>
      <c r="D514" s="14" t="s">
        <v>13494</v>
      </c>
      <c r="E514" s="15" t="str">
        <f>HYPERLINK("https://stat100.ameba.jp/tnk47/ratio20/illustrations/card/ill_91323_nagahime03.jpg?202105-i_prefecture_active_user", "■")</f>
        <v>■</v>
      </c>
      <c r="F514" s="14" t="s">
        <v>13496</v>
      </c>
      <c r="G514" s="14">
        <v>105281</v>
      </c>
      <c r="H514" s="14">
        <v>113277</v>
      </c>
      <c r="I514" s="14">
        <v>29</v>
      </c>
      <c r="J514" s="14" t="s">
        <v>77</v>
      </c>
      <c r="K514" s="14" t="s">
        <v>13497</v>
      </c>
      <c r="L514" s="14" t="s">
        <v>12139</v>
      </c>
      <c r="M514" s="14" t="s">
        <v>9158</v>
      </c>
      <c r="N514" s="14" t="s">
        <v>9158</v>
      </c>
      <c r="O514" s="14" t="s">
        <v>9158</v>
      </c>
      <c r="P514" s="14" t="s">
        <v>9158</v>
      </c>
      <c r="Q514" s="14" t="s">
        <v>9158</v>
      </c>
      <c r="T514" s="7"/>
    </row>
    <row r="515" spans="1:20">
      <c r="A515" s="14">
        <v>88563</v>
      </c>
      <c r="B515" s="7" t="s">
        <v>0</v>
      </c>
      <c r="C515" s="14" t="s">
        <v>165</v>
      </c>
      <c r="D515" s="18" t="s">
        <v>12108</v>
      </c>
      <c r="E515" s="15" t="str">
        <f>HYPERLINK("https://stat100.ameba.jp/tnk47/ratio20/illustrations/card/ill_88563_furawagadenrishieru03.jpg?202105-i_prefecture_active_user", "■")</f>
        <v>■</v>
      </c>
      <c r="F515" s="14" t="s">
        <v>12141</v>
      </c>
      <c r="G515" s="14">
        <v>105281</v>
      </c>
      <c r="H515" s="14">
        <v>113277</v>
      </c>
      <c r="I515" s="14">
        <v>29</v>
      </c>
      <c r="J515" s="14" t="s">
        <v>187</v>
      </c>
      <c r="K515" s="14" t="s">
        <v>12140</v>
      </c>
      <c r="L515" s="14" t="s">
        <v>12139</v>
      </c>
      <c r="M515" s="14" t="s">
        <v>9158</v>
      </c>
      <c r="N515" s="14" t="s">
        <v>9158</v>
      </c>
      <c r="O515" s="14" t="s">
        <v>9158</v>
      </c>
      <c r="P515" s="14" t="s">
        <v>9158</v>
      </c>
      <c r="Q515" s="14" t="s">
        <v>9158</v>
      </c>
      <c r="T515" s="7"/>
    </row>
    <row r="516" spans="1:20">
      <c r="A516" s="14">
        <v>92593</v>
      </c>
      <c r="B516" s="14" t="s">
        <v>0</v>
      </c>
      <c r="C516" s="14" t="s">
        <v>1</v>
      </c>
      <c r="D516" s="14" t="s">
        <v>15130</v>
      </c>
      <c r="E516" s="15" t="str">
        <f>HYPERLINK("https://stat100.ameba.jp/tnk47/ratio20/illustrations/card/ill_92593_inugamigyobu03.jpg?202105-i_prefecture_active_user", "■")</f>
        <v>■</v>
      </c>
      <c r="F516" s="14" t="s">
        <v>15129</v>
      </c>
      <c r="G516" s="14">
        <v>136953</v>
      </c>
      <c r="H516" s="14">
        <v>127350</v>
      </c>
      <c r="I516" s="14">
        <v>29</v>
      </c>
      <c r="J516" s="14" t="s">
        <v>73</v>
      </c>
      <c r="K516" s="14" t="s">
        <v>15127</v>
      </c>
      <c r="L516" s="14" t="s">
        <v>15126</v>
      </c>
      <c r="M516" s="14" t="s">
        <v>9158</v>
      </c>
      <c r="N516" s="14" t="s">
        <v>9158</v>
      </c>
      <c r="O516" s="14" t="s">
        <v>9158</v>
      </c>
      <c r="P516" s="14" t="s">
        <v>9158</v>
      </c>
      <c r="Q516" s="14" t="s">
        <v>9158</v>
      </c>
      <c r="T516" s="7"/>
    </row>
    <row r="517" spans="1:20">
      <c r="A517" s="14">
        <v>94713</v>
      </c>
      <c r="B517" s="14" t="s">
        <v>0</v>
      </c>
      <c r="C517" s="14" t="s">
        <v>107</v>
      </c>
      <c r="D517" s="14" t="s">
        <v>16659</v>
      </c>
      <c r="E517" s="15" t="str">
        <f>HYPERLINK("https://stat100.ameba.jp/tnk47/ratio20/illustrations/card/ill_94713_shirokitsunenooshibai03.jpg?202105-i_prefecture_active_user", "■")</f>
        <v>■</v>
      </c>
      <c r="F517" s="14" t="s">
        <v>16658</v>
      </c>
      <c r="G517" s="14">
        <v>132112</v>
      </c>
      <c r="H517" s="14">
        <v>122834</v>
      </c>
      <c r="I517" s="14">
        <v>29</v>
      </c>
      <c r="J517" s="14" t="s">
        <v>38</v>
      </c>
      <c r="K517" s="14" t="s">
        <v>8524</v>
      </c>
      <c r="L517" s="14" t="s">
        <v>12715</v>
      </c>
      <c r="M517" s="14" t="s">
        <v>9158</v>
      </c>
      <c r="N517" s="14" t="s">
        <v>9158</v>
      </c>
      <c r="O517" s="9" t="s">
        <v>9158</v>
      </c>
      <c r="P517" s="14" t="s">
        <v>9158</v>
      </c>
      <c r="Q517" s="14" t="s">
        <v>9158</v>
      </c>
    </row>
    <row r="519" spans="1:20">
      <c r="A519" s="14" t="s">
        <v>13327</v>
      </c>
    </row>
    <row r="520" spans="1:20">
      <c r="A520" s="14">
        <v>108261</v>
      </c>
      <c r="B520" s="14" t="s">
        <v>17190</v>
      </c>
    </row>
    <row r="521" spans="1:20">
      <c r="A521" s="14">
        <v>97493</v>
      </c>
      <c r="B521" s="14" t="s">
        <v>0</v>
      </c>
      <c r="C521" s="14" t="s">
        <v>335</v>
      </c>
      <c r="D521" s="14" t="s">
        <v>16764</v>
      </c>
      <c r="E521" s="15" t="str">
        <f>HYPERLINK("https://stat100.ameba.jp/tnk47/ratio20/illustrations/card/ill_97493_saiseinoshinkansopudeto03.jpg?202105-i_prefecture_active_user", "■")</f>
        <v>■</v>
      </c>
      <c r="F521" s="14" t="s">
        <v>16763</v>
      </c>
      <c r="G521" s="14">
        <v>132737</v>
      </c>
      <c r="H521" s="14">
        <v>142768</v>
      </c>
      <c r="I521" s="14">
        <v>29</v>
      </c>
      <c r="J521" s="14" t="s">
        <v>38</v>
      </c>
      <c r="K521" s="14" t="s">
        <v>16762</v>
      </c>
      <c r="L521" s="14" t="s">
        <v>16761</v>
      </c>
      <c r="M521" s="14" t="s">
        <v>2138</v>
      </c>
      <c r="N521" s="14" t="s">
        <v>2139</v>
      </c>
      <c r="O521" s="14" t="s">
        <v>9158</v>
      </c>
      <c r="P521" s="14" t="s">
        <v>9158</v>
      </c>
      <c r="Q521" s="14" t="s">
        <v>9158</v>
      </c>
      <c r="R521" s="14" t="s">
        <v>14748</v>
      </c>
    </row>
    <row r="522" spans="1:20">
      <c r="A522" s="14">
        <v>97492</v>
      </c>
      <c r="B522" s="14" t="s">
        <v>0</v>
      </c>
      <c r="C522" s="14" t="s">
        <v>335</v>
      </c>
      <c r="D522" s="14" t="s">
        <v>16764</v>
      </c>
      <c r="E522" s="15" t="str">
        <f>HYPERLINK("https://stat100.ameba.jp/tnk47/ratio20/illustrations/card/ill_97492_saiseinoshinkansopudeto02.jpg?202105-i_prefecture_active_user", "■")</f>
        <v>■</v>
      </c>
      <c r="F522" s="14" t="s">
        <v>16763</v>
      </c>
      <c r="G522" s="14">
        <v>109938</v>
      </c>
      <c r="H522" s="14">
        <v>119345</v>
      </c>
      <c r="I522" s="14">
        <v>29</v>
      </c>
      <c r="J522" s="14" t="s">
        <v>38</v>
      </c>
      <c r="K522" s="14" t="s">
        <v>16762</v>
      </c>
      <c r="L522" s="14" t="s">
        <v>16765</v>
      </c>
      <c r="M522" s="14" t="s">
        <v>13270</v>
      </c>
      <c r="N522" s="14" t="s">
        <v>13271</v>
      </c>
      <c r="O522" s="14" t="s">
        <v>9158</v>
      </c>
      <c r="P522" s="14" t="s">
        <v>9158</v>
      </c>
      <c r="Q522" s="14" t="s">
        <v>9158</v>
      </c>
      <c r="R522" s="14" t="s">
        <v>14748</v>
      </c>
    </row>
    <row r="523" spans="1:20">
      <c r="A523" s="14">
        <v>97491</v>
      </c>
      <c r="B523" s="14" t="s">
        <v>0</v>
      </c>
      <c r="C523" s="14" t="s">
        <v>335</v>
      </c>
      <c r="D523" s="14" t="s">
        <v>16764</v>
      </c>
      <c r="E523" s="15" t="str">
        <f>HYPERLINK("https://stat100.ameba.jp/tnk47/ratio20/illustrations/card/ill_97491_saiseinoshinkansopudeto01.jpg?202105-i_prefecture_active_user", "■")</f>
        <v>■</v>
      </c>
      <c r="F523" s="14" t="s">
        <v>16763</v>
      </c>
      <c r="G523" s="14">
        <v>84825</v>
      </c>
      <c r="H523" s="14">
        <v>91118</v>
      </c>
      <c r="I523" s="14">
        <v>29</v>
      </c>
      <c r="J523" s="14" t="s">
        <v>38</v>
      </c>
      <c r="K523" s="14" t="s">
        <v>16762</v>
      </c>
      <c r="L523" s="14" t="s">
        <v>16766</v>
      </c>
      <c r="M523" s="14" t="s">
        <v>13270</v>
      </c>
      <c r="N523" s="14" t="s">
        <v>13271</v>
      </c>
      <c r="O523" s="14" t="s">
        <v>9158</v>
      </c>
      <c r="P523" s="14" t="s">
        <v>9158</v>
      </c>
      <c r="Q523" s="14" t="s">
        <v>9158</v>
      </c>
      <c r="R523" s="14" t="s">
        <v>14748</v>
      </c>
    </row>
    <row r="524" spans="1:20">
      <c r="A524" s="14">
        <v>97503</v>
      </c>
      <c r="B524" s="14" t="s">
        <v>0</v>
      </c>
      <c r="C524" s="14" t="s">
        <v>200</v>
      </c>
      <c r="D524" s="14" t="s">
        <v>16770</v>
      </c>
      <c r="E524" s="15" t="str">
        <f>HYPERLINK("https://stat100.ameba.jp/tnk47/ratio20/illustrations/card/ill_97503_kokeinodein03.jpg?202105-i_prefecture_active_user", "■")</f>
        <v>■</v>
      </c>
      <c r="F524" s="14" t="s">
        <v>16769</v>
      </c>
      <c r="G524" s="14">
        <v>142768</v>
      </c>
      <c r="H524" s="14">
        <v>132737</v>
      </c>
      <c r="I524" s="14">
        <v>29</v>
      </c>
      <c r="J524" s="14" t="s">
        <v>143</v>
      </c>
      <c r="K524" s="14" t="s">
        <v>16768</v>
      </c>
      <c r="L524" s="14" t="s">
        <v>16767</v>
      </c>
      <c r="M524" s="14" t="s">
        <v>2138</v>
      </c>
      <c r="N524" s="14" t="s">
        <v>2139</v>
      </c>
      <c r="O524" s="14" t="s">
        <v>9158</v>
      </c>
      <c r="P524" s="14" t="s">
        <v>9158</v>
      </c>
      <c r="Q524" s="14" t="s">
        <v>9158</v>
      </c>
      <c r="R524" s="14" t="s">
        <v>14748</v>
      </c>
    </row>
    <row r="525" spans="1:20">
      <c r="A525" s="14">
        <v>97513</v>
      </c>
      <c r="B525" s="14" t="s">
        <v>0</v>
      </c>
      <c r="C525" s="14" t="s">
        <v>307</v>
      </c>
      <c r="D525" s="14" t="s">
        <v>16774</v>
      </c>
      <c r="E525" s="15" t="str">
        <f>HYPERLINK("https://stat100.ameba.jp/tnk47/ratio20/illustrations/card/ill_97513_yusuteiteia03.jpg?202105-i_prefecture_active_user", "■")</f>
        <v>■</v>
      </c>
      <c r="F525" s="14" t="s">
        <v>16773</v>
      </c>
      <c r="G525" s="14">
        <v>132737</v>
      </c>
      <c r="H525" s="14">
        <v>142768</v>
      </c>
      <c r="I525" s="14">
        <v>29</v>
      </c>
      <c r="J525" s="14" t="s">
        <v>44</v>
      </c>
      <c r="K525" s="14" t="s">
        <v>16772</v>
      </c>
      <c r="L525" s="14" t="s">
        <v>16771</v>
      </c>
      <c r="M525" s="14" t="s">
        <v>2138</v>
      </c>
      <c r="N525" s="14" t="s">
        <v>2139</v>
      </c>
      <c r="O525" s="14" t="s">
        <v>9158</v>
      </c>
      <c r="P525" s="14" t="s">
        <v>9158</v>
      </c>
      <c r="Q525" s="14" t="s">
        <v>9158</v>
      </c>
      <c r="R525" s="14" t="s">
        <v>14748</v>
      </c>
    </row>
    <row r="526" spans="1:20">
      <c r="A526" s="14">
        <v>97523</v>
      </c>
      <c r="B526" s="14" t="s">
        <v>0</v>
      </c>
      <c r="C526" s="14" t="s">
        <v>165</v>
      </c>
      <c r="D526" s="14" t="s">
        <v>16778</v>
      </c>
      <c r="E526" s="15" t="str">
        <f>HYPERLINK("https://stat100.ameba.jp/tnk47/ratio20/illustrations/card/ill_97523_karyua03.jpg?202105-i_prefecture_active_user", "■")</f>
        <v>■</v>
      </c>
      <c r="F526" s="14" t="s">
        <v>16777</v>
      </c>
      <c r="G526" s="14">
        <v>132737</v>
      </c>
      <c r="H526" s="14">
        <v>142768</v>
      </c>
      <c r="I526" s="14">
        <v>29</v>
      </c>
      <c r="J526" s="14" t="s">
        <v>26</v>
      </c>
      <c r="K526" s="14" t="s">
        <v>16776</v>
      </c>
      <c r="L526" s="14" t="s">
        <v>16775</v>
      </c>
      <c r="M526" s="14" t="s">
        <v>2138</v>
      </c>
      <c r="N526" s="14" t="s">
        <v>2139</v>
      </c>
      <c r="O526" s="14" t="s">
        <v>9158</v>
      </c>
      <c r="P526" s="14" t="s">
        <v>9158</v>
      </c>
      <c r="Q526" s="14" t="s">
        <v>9158</v>
      </c>
      <c r="R526" s="14" t="s">
        <v>14748</v>
      </c>
    </row>
    <row r="527" spans="1:20">
      <c r="A527" s="14">
        <v>97533</v>
      </c>
      <c r="B527" s="14" t="s">
        <v>0</v>
      </c>
      <c r="C527" s="9" t="s">
        <v>205</v>
      </c>
      <c r="D527" s="14" t="s">
        <v>16782</v>
      </c>
      <c r="E527" s="15" t="str">
        <f>HYPERLINK("https://stat100.ameba.jp/tnk47/ratio20/illustrations/card/ill_97533_pariakaka03.jpg?202105-i_prefecture_active_user", "■")</f>
        <v>■</v>
      </c>
      <c r="F527" s="14" t="s">
        <v>16781</v>
      </c>
      <c r="G527" s="14">
        <v>132737</v>
      </c>
      <c r="H527" s="14">
        <v>142768</v>
      </c>
      <c r="I527" s="14">
        <v>29</v>
      </c>
      <c r="J527" s="14" t="s">
        <v>10</v>
      </c>
      <c r="K527" s="14" t="s">
        <v>16780</v>
      </c>
      <c r="L527" s="14" t="s">
        <v>16779</v>
      </c>
      <c r="M527" s="14" t="s">
        <v>2138</v>
      </c>
      <c r="N527" s="14" t="s">
        <v>2139</v>
      </c>
      <c r="O527" s="14" t="s">
        <v>9158</v>
      </c>
      <c r="P527" s="14" t="s">
        <v>9158</v>
      </c>
      <c r="Q527" s="14" t="s">
        <v>9158</v>
      </c>
      <c r="R527" s="14" t="s">
        <v>14748</v>
      </c>
    </row>
    <row r="528" spans="1:20">
      <c r="A528" s="14">
        <v>97543</v>
      </c>
      <c r="B528" s="14" t="s">
        <v>0</v>
      </c>
      <c r="C528" s="14" t="s">
        <v>206</v>
      </c>
      <c r="D528" s="14" t="s">
        <v>16786</v>
      </c>
      <c r="E528" s="15" t="str">
        <f>HYPERLINK("https://stat100.ameba.jp/tnk47/ratio20/illustrations/card/ill_97543_kuroimorinohekuse03.jpg?202105-i_prefecture_active_user", "■")</f>
        <v>■</v>
      </c>
      <c r="F528" s="14" t="s">
        <v>16785</v>
      </c>
      <c r="G528" s="14">
        <v>142768</v>
      </c>
      <c r="H528" s="14">
        <v>132737</v>
      </c>
      <c r="I528" s="14">
        <v>29</v>
      </c>
      <c r="J528" s="14" t="s">
        <v>16</v>
      </c>
      <c r="K528" s="14" t="s">
        <v>16784</v>
      </c>
      <c r="L528" s="14" t="s">
        <v>16783</v>
      </c>
      <c r="M528" s="14" t="s">
        <v>2138</v>
      </c>
      <c r="N528" s="14" t="s">
        <v>2139</v>
      </c>
      <c r="O528" s="14" t="s">
        <v>9158</v>
      </c>
      <c r="P528" s="14" t="s">
        <v>9158</v>
      </c>
      <c r="Q528" s="14" t="s">
        <v>9158</v>
      </c>
      <c r="R528" s="14" t="s">
        <v>14748</v>
      </c>
    </row>
    <row r="530" spans="1:17">
      <c r="A530" s="14" t="s">
        <v>17064</v>
      </c>
    </row>
    <row r="531" spans="1:17">
      <c r="A531" s="14">
        <v>238085</v>
      </c>
      <c r="B531" s="14" t="s">
        <v>4451</v>
      </c>
    </row>
    <row r="532" spans="1:17">
      <c r="A532" s="14">
        <v>238091</v>
      </c>
      <c r="B532" s="14" t="s">
        <v>11487</v>
      </c>
    </row>
    <row r="533" spans="1:17">
      <c r="A533" s="14" t="s">
        <v>16989</v>
      </c>
      <c r="B533" s="7" t="s">
        <v>52</v>
      </c>
      <c r="C533" s="14" t="s">
        <v>202</v>
      </c>
      <c r="D533" s="18" t="s">
        <v>16988</v>
      </c>
      <c r="E533" s="15" t="str">
        <f>HYPERLINK("https://stat100.ameba.jp/tnk47/ratio20/illustrations/card/ill_97013_0_kanokaishiranui03.jpg?202105-i_prefecture_active_user", "■")</f>
        <v>■</v>
      </c>
      <c r="F533" s="14" t="s">
        <v>16987</v>
      </c>
      <c r="G533" s="14">
        <v>306220</v>
      </c>
      <c r="H533" s="14">
        <v>276738</v>
      </c>
      <c r="I533" s="7">
        <v>29</v>
      </c>
      <c r="J533" s="14" t="s">
        <v>73</v>
      </c>
      <c r="K533" s="14" t="s">
        <v>16986</v>
      </c>
      <c r="L533" s="14" t="s">
        <v>16985</v>
      </c>
      <c r="M533" s="14" t="s">
        <v>9158</v>
      </c>
      <c r="N533" s="14" t="s">
        <v>9158</v>
      </c>
      <c r="O533" s="7" t="s">
        <v>16990</v>
      </c>
      <c r="P533" s="7" t="s">
        <v>16991</v>
      </c>
      <c r="Q533" s="7">
        <v>1</v>
      </c>
    </row>
    <row r="534" spans="1:17">
      <c r="A534" s="14">
        <v>97433</v>
      </c>
      <c r="B534" s="14" t="s">
        <v>0</v>
      </c>
      <c r="C534" s="14" t="s">
        <v>14</v>
      </c>
      <c r="D534" s="14" t="s">
        <v>17069</v>
      </c>
      <c r="E534" s="15" t="str">
        <f>HYPERLINK("https://stat100.ameba.jp/tnk47/ratio20/illustrations/card/ill_97433_adobenchaakabeko03.jpg?202105-i_prefecture_active_userx", "■")</f>
        <v>■</v>
      </c>
      <c r="F534" s="14" t="s">
        <v>17072</v>
      </c>
      <c r="G534" s="14">
        <v>127350</v>
      </c>
      <c r="H534" s="14">
        <v>136953</v>
      </c>
      <c r="I534" s="14">
        <v>29</v>
      </c>
      <c r="J534" s="14" t="s">
        <v>26</v>
      </c>
      <c r="K534" s="14" t="s">
        <v>17071</v>
      </c>
      <c r="L534" s="14" t="s">
        <v>12269</v>
      </c>
      <c r="M534" s="14" t="s">
        <v>9158</v>
      </c>
      <c r="N534" s="14" t="s">
        <v>9158</v>
      </c>
      <c r="O534" s="14" t="s">
        <v>9158</v>
      </c>
      <c r="P534" s="14" t="s">
        <v>9158</v>
      </c>
      <c r="Q534" s="14" t="s">
        <v>9158</v>
      </c>
    </row>
    <row r="535" spans="1:17">
      <c r="A535" s="14">
        <v>97443</v>
      </c>
      <c r="B535" s="14" t="s">
        <v>0</v>
      </c>
      <c r="C535" s="14" t="s">
        <v>101</v>
      </c>
      <c r="D535" s="14" t="s">
        <v>17068</v>
      </c>
      <c r="E535" s="15" t="str">
        <f>HYPERLINK("https://stat100.ameba.jp/tnk47/ratio20/illustrations/card/ill_97443_koshihikarichan03.jpg?202105-i_prefecture_active_userx", "■")</f>
        <v>■</v>
      </c>
      <c r="F535" s="14" t="s">
        <v>17082</v>
      </c>
      <c r="G535" s="14">
        <v>136953</v>
      </c>
      <c r="H535" s="14">
        <v>127350</v>
      </c>
      <c r="I535" s="14">
        <v>29</v>
      </c>
      <c r="J535" s="14" t="s">
        <v>104</v>
      </c>
      <c r="K535" s="14" t="s">
        <v>17081</v>
      </c>
      <c r="L535" s="14" t="s">
        <v>17080</v>
      </c>
      <c r="M535" s="14" t="s">
        <v>9158</v>
      </c>
      <c r="N535" s="14" t="s">
        <v>9158</v>
      </c>
      <c r="O535" s="14" t="s">
        <v>9158</v>
      </c>
      <c r="P535" s="14" t="s">
        <v>9158</v>
      </c>
      <c r="Q535" s="14" t="s">
        <v>9158</v>
      </c>
    </row>
    <row r="536" spans="1:17">
      <c r="A536" s="14">
        <v>97453</v>
      </c>
      <c r="B536" s="14" t="s">
        <v>15</v>
      </c>
      <c r="C536" s="14" t="s">
        <v>96</v>
      </c>
      <c r="D536" s="14" t="s">
        <v>17067</v>
      </c>
      <c r="E536" s="15" t="str">
        <f>HYPERLINK("https://stat100.ameba.jp/tnk47/ratio20/illustrations/card/ill_97453_niihime03.jpg?202105-i_prefecture_active_userx", "■")</f>
        <v>■</v>
      </c>
      <c r="F536" s="14" t="s">
        <v>17074</v>
      </c>
      <c r="G536" s="14">
        <v>85956</v>
      </c>
      <c r="H536" s="14">
        <v>77962</v>
      </c>
      <c r="I536" s="7">
        <v>29</v>
      </c>
      <c r="J536" s="14" t="s">
        <v>104</v>
      </c>
      <c r="K536" s="14" t="s">
        <v>17073</v>
      </c>
      <c r="L536" s="14" t="s">
        <v>3607</v>
      </c>
      <c r="M536" s="14" t="s">
        <v>9158</v>
      </c>
      <c r="N536" s="14" t="s">
        <v>9158</v>
      </c>
      <c r="O536" s="14" t="s">
        <v>9158</v>
      </c>
      <c r="P536" s="14" t="s">
        <v>9158</v>
      </c>
      <c r="Q536" s="14" t="s">
        <v>9158</v>
      </c>
    </row>
    <row r="537" spans="1:17">
      <c r="A537" s="14">
        <v>97463</v>
      </c>
      <c r="B537" s="14" t="s">
        <v>22</v>
      </c>
      <c r="C537" s="14" t="s">
        <v>107</v>
      </c>
      <c r="D537" s="14" t="s">
        <v>17066</v>
      </c>
      <c r="E537" s="15" t="str">
        <f>HYPERLINK("https://stat100.ameba.jp/tnk47/ratio20/illustrations/card/ill_97463_ginnanjoamahime03.jpg?202105-i_prefecture_active_userx", "■")</f>
        <v>■</v>
      </c>
      <c r="F537" s="14" t="s">
        <v>17076</v>
      </c>
      <c r="G537" s="14">
        <v>50134</v>
      </c>
      <c r="H537" s="14">
        <v>60296</v>
      </c>
      <c r="I537" s="7">
        <v>29</v>
      </c>
      <c r="J537" s="14" t="s">
        <v>77</v>
      </c>
      <c r="K537" s="14" t="s">
        <v>17075</v>
      </c>
      <c r="L537" s="14" t="s">
        <v>2424</v>
      </c>
      <c r="M537" s="14" t="s">
        <v>9158</v>
      </c>
      <c r="N537" s="14" t="s">
        <v>9158</v>
      </c>
      <c r="O537" s="14" t="s">
        <v>9158</v>
      </c>
      <c r="P537" s="14" t="s">
        <v>9158</v>
      </c>
      <c r="Q537" s="14" t="s">
        <v>9158</v>
      </c>
    </row>
    <row r="538" spans="1:17">
      <c r="A538" s="14">
        <v>97473</v>
      </c>
      <c r="B538" s="14" t="s">
        <v>22</v>
      </c>
      <c r="C538" s="14" t="s">
        <v>1</v>
      </c>
      <c r="D538" s="14" t="s">
        <v>17065</v>
      </c>
      <c r="E538" s="15" t="str">
        <f>HYPERLINK("https://stat100.ameba.jp/tnk47/ratio20/illustrations/card/ill_97473_mutsunokamiyoshiyuki03.jpg?202105-i_prefecture_active_userx", "■")</f>
        <v>■</v>
      </c>
      <c r="F538" s="14" t="s">
        <v>17078</v>
      </c>
      <c r="G538" s="14">
        <v>60296</v>
      </c>
      <c r="H538" s="14">
        <v>50134</v>
      </c>
      <c r="I538" s="7">
        <v>29</v>
      </c>
      <c r="J538" s="14" t="s">
        <v>44</v>
      </c>
      <c r="K538" s="14" t="s">
        <v>17077</v>
      </c>
      <c r="L538" s="14" t="s">
        <v>4956</v>
      </c>
      <c r="M538" s="14" t="s">
        <v>9158</v>
      </c>
      <c r="N538" s="14" t="s">
        <v>9158</v>
      </c>
      <c r="O538" s="14" t="s">
        <v>9158</v>
      </c>
      <c r="P538" s="14" t="s">
        <v>9158</v>
      </c>
      <c r="Q538" s="14" t="s">
        <v>9158</v>
      </c>
    </row>
    <row r="540" spans="1:17">
      <c r="A540" s="14" t="s">
        <v>3911</v>
      </c>
    </row>
    <row r="541" spans="1:17">
      <c r="A541" s="14">
        <v>108280</v>
      </c>
      <c r="B541" s="14" t="s">
        <v>17079</v>
      </c>
    </row>
    <row r="542" spans="1:17">
      <c r="A542" s="14">
        <v>108290</v>
      </c>
      <c r="B542" s="14" t="s">
        <v>15721</v>
      </c>
    </row>
    <row r="543" spans="1:17">
      <c r="A543" s="14" t="s">
        <v>12809</v>
      </c>
      <c r="B543" s="14" t="s">
        <v>117</v>
      </c>
      <c r="C543" s="14" t="s">
        <v>35</v>
      </c>
      <c r="D543" s="14" t="s">
        <v>12807</v>
      </c>
      <c r="E543" s="15" t="str">
        <f>HYPERLINK("https://stat100.ameba.jp/tnk47/ratio20/illustrations/card/ill_90173_0_yurakunekomusume03.jpg?202105-i_prefecture_active_userx", "■")</f>
        <v>■</v>
      </c>
      <c r="F543" s="14" t="s">
        <v>12810</v>
      </c>
      <c r="G543" s="14">
        <v>358280</v>
      </c>
      <c r="H543" s="14">
        <v>323852</v>
      </c>
      <c r="I543" s="14">
        <v>30</v>
      </c>
      <c r="J543" s="14" t="s">
        <v>38</v>
      </c>
      <c r="K543" s="14" t="s">
        <v>12812</v>
      </c>
      <c r="L543" s="14" t="s">
        <v>12813</v>
      </c>
      <c r="M543" s="14" t="s">
        <v>9158</v>
      </c>
      <c r="N543" s="14" t="s">
        <v>9158</v>
      </c>
      <c r="O543" s="14" t="s">
        <v>12805</v>
      </c>
      <c r="P543" s="14" t="s">
        <v>3491</v>
      </c>
      <c r="Q543" s="14">
        <v>1</v>
      </c>
    </row>
    <row r="544" spans="1:17">
      <c r="A544" s="14" t="s">
        <v>12178</v>
      </c>
      <c r="B544" s="14" t="s">
        <v>117</v>
      </c>
      <c r="C544" s="14" t="s">
        <v>202</v>
      </c>
      <c r="D544" s="14" t="s">
        <v>12177</v>
      </c>
      <c r="E544" s="15" t="str">
        <f>HYPERLINK("https://stat100.ameba.jp/tnk47/ratio20/illustrations/card/ill_89533_0_harukazesangakudan03.jpg?202105-i_prefecture_active_userx", "■")</f>
        <v>■</v>
      </c>
      <c r="F544" s="14" t="s">
        <v>12183</v>
      </c>
      <c r="G544" s="14">
        <v>358132</v>
      </c>
      <c r="H544" s="14">
        <v>323638</v>
      </c>
      <c r="I544" s="14">
        <v>30</v>
      </c>
      <c r="J544" s="14" t="s">
        <v>169</v>
      </c>
      <c r="K544" s="14" t="s">
        <v>12182</v>
      </c>
      <c r="L544" s="14" t="s">
        <v>12181</v>
      </c>
      <c r="M544" s="14" t="s">
        <v>9158</v>
      </c>
      <c r="N544" s="14" t="s">
        <v>9158</v>
      </c>
      <c r="O544" s="14" t="s">
        <v>12186</v>
      </c>
      <c r="P544" s="14" t="s">
        <v>12187</v>
      </c>
      <c r="Q544" s="14">
        <v>1</v>
      </c>
    </row>
    <row r="545" spans="1:20">
      <c r="A545" s="7" t="s">
        <v>8100</v>
      </c>
      <c r="B545" s="7" t="s">
        <v>117</v>
      </c>
      <c r="C545" s="7" t="s">
        <v>202</v>
      </c>
      <c r="D545" s="19" t="s">
        <v>10784</v>
      </c>
      <c r="E545" s="15" t="str">
        <f>HYPERLINK("https://stat100.ameba.jp/tnk47/ratio20/illustrations/card/ill_86013_0_somemonosansaishiki03.jpg?202105-i_prefecture_active_userx", "■")</f>
        <v>■</v>
      </c>
      <c r="F545" s="7" t="s">
        <v>8103</v>
      </c>
      <c r="G545" s="7">
        <v>349420</v>
      </c>
      <c r="H545" s="7">
        <v>315800</v>
      </c>
      <c r="I545" s="7">
        <v>30</v>
      </c>
      <c r="J545" s="7" t="s">
        <v>187</v>
      </c>
      <c r="K545" s="7" t="s">
        <v>8102</v>
      </c>
      <c r="L545" s="7" t="s">
        <v>8101</v>
      </c>
      <c r="M545" s="14" t="s">
        <v>9158</v>
      </c>
      <c r="N545" s="14" t="s">
        <v>9158</v>
      </c>
      <c r="O545" s="19" t="s">
        <v>10132</v>
      </c>
      <c r="P545" s="14" t="s">
        <v>3277</v>
      </c>
      <c r="Q545" s="14">
        <v>1</v>
      </c>
    </row>
    <row r="546" spans="1:20">
      <c r="A546" s="7">
        <v>85043</v>
      </c>
      <c r="B546" s="7" t="s">
        <v>0</v>
      </c>
      <c r="C546" s="14" t="s">
        <v>209</v>
      </c>
      <c r="D546" s="19" t="s">
        <v>10752</v>
      </c>
      <c r="E546" s="15" t="str">
        <f>HYPERLINK("https://stat100.ameba.jp/tnk47/ratio20/illustrations/card/ill_85043_sutoroberireddo03.jpg?202105-i_prefecture_active_userx", "■")</f>
        <v>■</v>
      </c>
      <c r="F546" s="7" t="s">
        <v>7843</v>
      </c>
      <c r="G546" s="14">
        <v>153288</v>
      </c>
      <c r="H546" s="14">
        <v>111017</v>
      </c>
      <c r="I546" s="14">
        <v>29</v>
      </c>
      <c r="J546" s="7" t="s">
        <v>104</v>
      </c>
      <c r="K546" s="7" t="s">
        <v>7841</v>
      </c>
      <c r="L546" s="7" t="s">
        <v>2409</v>
      </c>
      <c r="M546" s="14" t="s">
        <v>9158</v>
      </c>
      <c r="N546" s="14" t="s">
        <v>9158</v>
      </c>
      <c r="O546" s="19" t="s">
        <v>10102</v>
      </c>
      <c r="P546" s="14" t="s">
        <v>3672</v>
      </c>
      <c r="Q546" s="14">
        <v>1</v>
      </c>
      <c r="T546" s="7"/>
    </row>
    <row r="547" spans="1:20">
      <c r="A547" s="14">
        <v>75873</v>
      </c>
      <c r="B547" s="14" t="s">
        <v>334</v>
      </c>
      <c r="C547" s="14" t="s">
        <v>209</v>
      </c>
      <c r="D547" s="19" t="s">
        <v>10221</v>
      </c>
      <c r="E547" s="15" t="str">
        <f>HYPERLINK("https://stat100.ameba.jp/tnk47/ratio20/illustrations/card/ill_75873_harajukuroriitachan03.jpg?202105-i_prefecture_active_userx", "■")</f>
        <v>■</v>
      </c>
      <c r="F547" s="14" t="s">
        <v>1945</v>
      </c>
      <c r="G547" s="14">
        <v>127350</v>
      </c>
      <c r="H547" s="14">
        <v>136953</v>
      </c>
      <c r="I547" s="14">
        <v>29</v>
      </c>
      <c r="J547" s="14" t="s">
        <v>26</v>
      </c>
      <c r="K547" s="14" t="s">
        <v>1946</v>
      </c>
      <c r="L547" s="14" t="s">
        <v>1947</v>
      </c>
      <c r="M547" s="14" t="s">
        <v>9158</v>
      </c>
      <c r="N547" s="14" t="s">
        <v>9158</v>
      </c>
      <c r="O547" s="19" t="s">
        <v>2752</v>
      </c>
      <c r="P547" s="14" t="s">
        <v>13123</v>
      </c>
      <c r="Q547" s="14">
        <v>1</v>
      </c>
      <c r="T547" s="7"/>
    </row>
    <row r="548" spans="1:20">
      <c r="A548" s="14">
        <v>78133</v>
      </c>
      <c r="B548" s="14" t="s">
        <v>0</v>
      </c>
      <c r="C548" s="14" t="s">
        <v>154</v>
      </c>
      <c r="D548" s="20" t="s">
        <v>10313</v>
      </c>
      <c r="E548" s="15" t="str">
        <f>HYPERLINK("https://stat100.ameba.jp/tnk47/ratio20/illustrations/card/ill_78133_akazukin03.jpg?202105-i_prefecture_active_userx", "■")</f>
        <v>■</v>
      </c>
      <c r="F548" s="14" t="s">
        <v>2202</v>
      </c>
      <c r="G548" s="14">
        <v>107188</v>
      </c>
      <c r="H548" s="14">
        <v>147992</v>
      </c>
      <c r="I548" s="14">
        <v>29</v>
      </c>
      <c r="J548" s="14" t="s">
        <v>38</v>
      </c>
      <c r="K548" s="14" t="s">
        <v>2203</v>
      </c>
      <c r="L548" s="14" t="s">
        <v>2204</v>
      </c>
      <c r="M548" s="14" t="s">
        <v>9158</v>
      </c>
      <c r="N548" s="14" t="s">
        <v>9158</v>
      </c>
      <c r="O548" s="19" t="s">
        <v>2917</v>
      </c>
      <c r="P548" s="14" t="s">
        <v>3531</v>
      </c>
      <c r="Q548" s="14">
        <v>1</v>
      </c>
    </row>
    <row r="549" spans="1:20">
      <c r="A549" s="14">
        <v>71333</v>
      </c>
      <c r="B549" s="14" t="s">
        <v>0</v>
      </c>
      <c r="C549" s="14" t="s">
        <v>41</v>
      </c>
      <c r="D549" s="19" t="s">
        <v>10256</v>
      </c>
      <c r="E549" s="15" t="str">
        <f>HYPERLINK("https://stat100.ameba.jp/tnk47/ratio20/illustrations/card/ill_71333_fujiwaranokamatari03.jpg?202105-i_prefecture_active_userx", "■")</f>
        <v>■</v>
      </c>
      <c r="F549" s="14" t="s">
        <v>58</v>
      </c>
      <c r="G549" s="14">
        <v>126741</v>
      </c>
      <c r="H549" s="14">
        <v>91815</v>
      </c>
      <c r="I549" s="14">
        <v>29</v>
      </c>
      <c r="J549" s="14" t="s">
        <v>10</v>
      </c>
      <c r="K549" s="14" t="s">
        <v>59</v>
      </c>
      <c r="L549" s="14" t="s">
        <v>60</v>
      </c>
      <c r="M549" s="14" t="s">
        <v>9158</v>
      </c>
      <c r="N549" s="14" t="s">
        <v>9158</v>
      </c>
      <c r="O549" s="19" t="s">
        <v>10098</v>
      </c>
      <c r="P549" s="14" t="s">
        <v>3491</v>
      </c>
      <c r="Q549" s="14">
        <v>1</v>
      </c>
    </row>
    <row r="550" spans="1:20">
      <c r="A550" s="14">
        <v>66363</v>
      </c>
      <c r="B550" s="14" t="s">
        <v>334</v>
      </c>
      <c r="C550" s="14" t="s">
        <v>158</v>
      </c>
      <c r="D550" s="19" t="s">
        <v>2910</v>
      </c>
      <c r="E550" s="15" t="str">
        <f>HYPERLINK("https://stat100.ameba.jp/tnk47/ratio20/illustrations/card/ill_66363_iharasaikaku03.jpg?202105-i_prefecture_active_userx", "■")</f>
        <v>■</v>
      </c>
      <c r="F550" s="14" t="s">
        <v>122</v>
      </c>
      <c r="G550" s="14">
        <v>95357</v>
      </c>
      <c r="H550" s="14">
        <v>131617</v>
      </c>
      <c r="I550" s="7">
        <v>29</v>
      </c>
      <c r="J550" s="14" t="s">
        <v>414</v>
      </c>
      <c r="K550" s="14" t="s">
        <v>2911</v>
      </c>
      <c r="L550" s="14" t="s">
        <v>1575</v>
      </c>
      <c r="M550" s="14" t="s">
        <v>9158</v>
      </c>
      <c r="N550" s="14" t="s">
        <v>9158</v>
      </c>
      <c r="O550" s="19" t="s">
        <v>10074</v>
      </c>
      <c r="P550" s="14" t="s">
        <v>2822</v>
      </c>
      <c r="Q550" s="14">
        <v>1</v>
      </c>
      <c r="R550" s="9"/>
      <c r="S550" s="9"/>
      <c r="T550" s="7"/>
    </row>
    <row r="551" spans="1:20">
      <c r="A551" s="7">
        <v>85653</v>
      </c>
      <c r="B551" s="7" t="s">
        <v>0</v>
      </c>
      <c r="C551" s="14" t="s">
        <v>158</v>
      </c>
      <c r="D551" s="20" t="s">
        <v>10846</v>
      </c>
      <c r="E551" s="15" t="str">
        <f>HYPERLINK("https://stat100.ameba.jp/tnk47/ratio20/illustrations/card/ill_85653_onashiefumizuno03.jpg?202105-i_prefecture_active_userx", "■")</f>
        <v>■</v>
      </c>
      <c r="F551" s="7" t="s">
        <v>8587</v>
      </c>
      <c r="G551" s="14">
        <v>111017</v>
      </c>
      <c r="H551" s="14">
        <v>153288</v>
      </c>
      <c r="I551" s="14">
        <v>29</v>
      </c>
      <c r="J551" s="7" t="s">
        <v>216</v>
      </c>
      <c r="K551" s="7" t="s">
        <v>8586</v>
      </c>
      <c r="L551" s="7" t="s">
        <v>131</v>
      </c>
      <c r="M551" s="14" t="s">
        <v>9158</v>
      </c>
      <c r="N551" s="14" t="s">
        <v>9158</v>
      </c>
      <c r="O551" s="19" t="s">
        <v>4074</v>
      </c>
      <c r="P551" s="14" t="s">
        <v>3462</v>
      </c>
      <c r="Q551" s="14">
        <v>1</v>
      </c>
      <c r="R551" s="7"/>
      <c r="S551" s="7"/>
      <c r="T551" s="7"/>
    </row>
    <row r="553" spans="1:20">
      <c r="A553" s="14" t="s">
        <v>4065</v>
      </c>
    </row>
    <row r="554" spans="1:20">
      <c r="A554" s="14">
        <v>108303</v>
      </c>
      <c r="B554" s="14" t="s">
        <v>4469</v>
      </c>
    </row>
    <row r="555" spans="1:20">
      <c r="A555" s="14" t="s">
        <v>5734</v>
      </c>
      <c r="B555" s="14" t="s">
        <v>330</v>
      </c>
      <c r="C555" s="14" t="s">
        <v>202</v>
      </c>
      <c r="D555" s="19" t="s">
        <v>2297</v>
      </c>
      <c r="E555" s="15" t="str">
        <f>HYPERLINK("https://stat100.ameba.jp/tnk47/ratio20/illustrations/card/ill_74593_0_natsuyuenchikoshihikari03.jpg?202105-5-RELEASE-marathon-531", "■")</f>
        <v>■</v>
      </c>
      <c r="F555" s="14" t="s">
        <v>1498</v>
      </c>
      <c r="G555" s="14">
        <v>303328</v>
      </c>
      <c r="H555" s="14">
        <v>281994</v>
      </c>
      <c r="I555" s="14">
        <v>28</v>
      </c>
      <c r="J555" s="14" t="s">
        <v>283</v>
      </c>
      <c r="K555" s="14" t="s">
        <v>1499</v>
      </c>
      <c r="L555" s="14" t="s">
        <v>1500</v>
      </c>
      <c r="M555" s="14" t="s">
        <v>9158</v>
      </c>
      <c r="N555" s="14" t="s">
        <v>9158</v>
      </c>
      <c r="O555" s="19" t="s">
        <v>2731</v>
      </c>
      <c r="P555" s="14" t="s">
        <v>2732</v>
      </c>
      <c r="Q555" s="14">
        <v>1</v>
      </c>
    </row>
    <row r="556" spans="1:20">
      <c r="A556" s="9">
        <v>64893</v>
      </c>
      <c r="B556" s="14" t="s">
        <v>334</v>
      </c>
      <c r="C556" s="14" t="s">
        <v>185</v>
      </c>
      <c r="D556" s="14" t="s">
        <v>1288</v>
      </c>
      <c r="E556" s="15" t="str">
        <f>HYPERLINK("https://stat100.ameba.jp/tnk47/ratio20/illustrations/card/ill_64893_yukataonamihime03.jpg?202105-5-RELEASE-marathon-531", "■")</f>
        <v>■</v>
      </c>
      <c r="F556" s="14" t="s">
        <v>1289</v>
      </c>
      <c r="G556" s="14">
        <v>160507</v>
      </c>
      <c r="H556" s="14">
        <v>149240</v>
      </c>
      <c r="I556" s="14">
        <v>27</v>
      </c>
      <c r="J556" s="14" t="s">
        <v>194</v>
      </c>
      <c r="K556" s="14" t="s">
        <v>1290</v>
      </c>
      <c r="L556" s="14" t="s">
        <v>13155</v>
      </c>
      <c r="M556" s="14" t="s">
        <v>9158</v>
      </c>
      <c r="N556" s="14" t="s">
        <v>9158</v>
      </c>
      <c r="O556" s="9" t="s">
        <v>3854</v>
      </c>
      <c r="P556" s="14" t="s">
        <v>13124</v>
      </c>
      <c r="Q556" s="14">
        <v>1</v>
      </c>
    </row>
    <row r="557" spans="1:20">
      <c r="A557" s="14">
        <v>63853</v>
      </c>
      <c r="B557" s="14" t="s">
        <v>334</v>
      </c>
      <c r="C557" s="14" t="s">
        <v>200</v>
      </c>
      <c r="D557" s="20" t="s">
        <v>10284</v>
      </c>
      <c r="E557" s="15" t="str">
        <f>HYPERLINK("https://stat100.ameba.jp/tnk47/ratio20/illustrations/card/ill_63853_daikokaijidainansosatomihakkenden03.jpg?202105-5-RELEASE-marathon-531", "■")</f>
        <v>■</v>
      </c>
      <c r="F557" s="14" t="s">
        <v>941</v>
      </c>
      <c r="G557" s="14">
        <v>114362</v>
      </c>
      <c r="H557" s="14">
        <v>123220</v>
      </c>
      <c r="I557" s="14">
        <v>27</v>
      </c>
      <c r="J557" s="14" t="s">
        <v>155</v>
      </c>
      <c r="K557" s="14" t="s">
        <v>942</v>
      </c>
      <c r="L557" s="14" t="s">
        <v>13149</v>
      </c>
      <c r="M557" s="14" t="s">
        <v>9158</v>
      </c>
      <c r="N557" s="14" t="s">
        <v>9158</v>
      </c>
      <c r="O557" s="19" t="s">
        <v>10121</v>
      </c>
      <c r="P557" s="14" t="s">
        <v>3330</v>
      </c>
      <c r="Q557" s="14">
        <v>1</v>
      </c>
    </row>
    <row r="558" spans="1:20">
      <c r="A558" s="14">
        <v>58803</v>
      </c>
      <c r="B558" s="14" t="s">
        <v>0</v>
      </c>
      <c r="C558" s="14" t="s">
        <v>205</v>
      </c>
      <c r="D558" s="19" t="s">
        <v>10210</v>
      </c>
      <c r="E558" s="15" t="str">
        <f>HYPERLINK("https://stat100.ameba.jp/tnk47/ratio20/illustrations/card/ill_58803_setsubumpanikkumimuratsuru03.jpg?202105-5-RELEASE-marathon-531", "■")</f>
        <v>■</v>
      </c>
      <c r="F558" s="14" t="s">
        <v>2028</v>
      </c>
      <c r="G558" s="14">
        <v>160055</v>
      </c>
      <c r="H558" s="14">
        <v>96756</v>
      </c>
      <c r="I558" s="14">
        <v>27</v>
      </c>
      <c r="J558" s="14" t="s">
        <v>194</v>
      </c>
      <c r="K558" s="14" t="s">
        <v>2029</v>
      </c>
      <c r="L558" s="14" t="s">
        <v>13171</v>
      </c>
      <c r="M558" s="14" t="s">
        <v>9158</v>
      </c>
      <c r="N558" s="14" t="s">
        <v>9158</v>
      </c>
      <c r="O558" s="19" t="s">
        <v>10092</v>
      </c>
      <c r="P558" s="14" t="s">
        <v>3704</v>
      </c>
      <c r="Q558" s="14">
        <v>1</v>
      </c>
    </row>
    <row r="560" spans="1:20">
      <c r="A560" s="14" t="s">
        <v>3844</v>
      </c>
    </row>
    <row r="561" spans="1:17">
      <c r="A561" s="14">
        <v>108308</v>
      </c>
      <c r="B561" s="14" t="s">
        <v>12491</v>
      </c>
    </row>
    <row r="562" spans="1:17">
      <c r="A562" s="9" t="s">
        <v>5606</v>
      </c>
      <c r="B562" s="14" t="s">
        <v>52</v>
      </c>
      <c r="C562" s="14" t="s">
        <v>206</v>
      </c>
      <c r="D562" s="14" t="s">
        <v>1011</v>
      </c>
      <c r="E562" s="15" t="str">
        <f>HYPERLINK("https://stat100.ameba.jp/tnk47/ratio20/illustrations/card/ill_72233_0_koinoboriryugujin03.jpg?202105-5-RELEASE-marathon-531", "■")</f>
        <v>■</v>
      </c>
      <c r="F562" s="14" t="s">
        <v>1012</v>
      </c>
      <c r="G562" s="14">
        <v>177111</v>
      </c>
      <c r="H562" s="14">
        <v>190501</v>
      </c>
      <c r="I562" s="14">
        <v>27</v>
      </c>
      <c r="J562" s="14" t="s">
        <v>44</v>
      </c>
      <c r="K562" s="14" t="s">
        <v>1013</v>
      </c>
      <c r="L562" s="14" t="s">
        <v>1014</v>
      </c>
      <c r="M562" s="14" t="s">
        <v>9158</v>
      </c>
      <c r="N562" s="14" t="s">
        <v>9158</v>
      </c>
      <c r="O562" s="9" t="s">
        <v>3419</v>
      </c>
      <c r="P562" s="14" t="s">
        <v>3420</v>
      </c>
      <c r="Q562" s="14">
        <v>2</v>
      </c>
    </row>
    <row r="563" spans="1:17">
      <c r="A563" s="14">
        <v>72193</v>
      </c>
      <c r="B563" s="14" t="s">
        <v>334</v>
      </c>
      <c r="C563" s="14" t="s">
        <v>165</v>
      </c>
      <c r="D563" s="19" t="s">
        <v>3112</v>
      </c>
      <c r="E563" s="15" t="str">
        <f>HYPERLINK("https://stat100.ameba.jp/tnk47/ratio20/illustrations/card/ill_72193_koinoborikomyokogo03.jpg?202105-5-RELEASE-marathon-531", "■")</f>
        <v>■</v>
      </c>
      <c r="F563" s="14" t="s">
        <v>2539</v>
      </c>
      <c r="G563" s="14">
        <v>105465</v>
      </c>
      <c r="H563" s="14">
        <v>98019</v>
      </c>
      <c r="I563" s="14">
        <v>27</v>
      </c>
      <c r="J563" s="14" t="s">
        <v>10</v>
      </c>
      <c r="K563" s="14" t="s">
        <v>2540</v>
      </c>
      <c r="L563" s="14" t="s">
        <v>60</v>
      </c>
      <c r="M563" s="14" t="s">
        <v>9158</v>
      </c>
      <c r="N563" s="14" t="s">
        <v>9158</v>
      </c>
      <c r="O563" s="19" t="s">
        <v>10090</v>
      </c>
      <c r="P563" s="14" t="s">
        <v>3460</v>
      </c>
      <c r="Q563" s="14">
        <v>1</v>
      </c>
    </row>
    <row r="564" spans="1:17">
      <c r="A564" s="14">
        <v>84863</v>
      </c>
      <c r="B564" s="14" t="s">
        <v>0</v>
      </c>
      <c r="C564" s="14" t="s">
        <v>200</v>
      </c>
      <c r="D564" s="19" t="s">
        <v>10742</v>
      </c>
      <c r="E564" s="15" t="str">
        <f>HYPERLINK("https://stat100.ameba.jp/tnk47/ratio20/illustrations/card/ill_84863_onsengaiarisubekon03.jpg?202105-5-RELEASE-marathon-531", "■")</f>
        <v>■</v>
      </c>
      <c r="F564" s="14" t="s">
        <v>7796</v>
      </c>
      <c r="G564" s="14">
        <v>109481</v>
      </c>
      <c r="H564" s="14">
        <v>101837</v>
      </c>
      <c r="I564" s="14">
        <v>27</v>
      </c>
      <c r="J564" s="14" t="s">
        <v>159</v>
      </c>
      <c r="K564" s="14" t="s">
        <v>7795</v>
      </c>
      <c r="L564" s="14" t="s">
        <v>7794</v>
      </c>
      <c r="M564" s="14" t="s">
        <v>9158</v>
      </c>
      <c r="N564" s="14" t="s">
        <v>9158</v>
      </c>
      <c r="O564" s="19" t="s">
        <v>2951</v>
      </c>
      <c r="P564" s="14" t="s">
        <v>13122</v>
      </c>
      <c r="Q564" s="14">
        <v>1</v>
      </c>
    </row>
    <row r="565" spans="1:17">
      <c r="A565" s="14">
        <v>92363</v>
      </c>
      <c r="B565" s="14" t="s">
        <v>0</v>
      </c>
      <c r="C565" s="14" t="s">
        <v>1</v>
      </c>
      <c r="D565" s="18" t="s">
        <v>15010</v>
      </c>
      <c r="E565" s="15" t="str">
        <f>HYPERLINK("https://stat100.ameba.jp/tnk47/ratio20/illustrations/card/ill_92363_haroinorochinomusha03.jpg?202105-5-RELEASE-marathon-531", "■")</f>
        <v>■</v>
      </c>
      <c r="F565" s="14" t="s">
        <v>15009</v>
      </c>
      <c r="G565" s="14">
        <v>149240</v>
      </c>
      <c r="H565" s="14">
        <v>160507</v>
      </c>
      <c r="I565" s="14">
        <v>27</v>
      </c>
      <c r="J565" s="14" t="s">
        <v>143</v>
      </c>
      <c r="K565" s="14" t="s">
        <v>15007</v>
      </c>
      <c r="L565" s="14" t="s">
        <v>12361</v>
      </c>
      <c r="M565" s="14" t="s">
        <v>9158</v>
      </c>
      <c r="N565" s="14" t="s">
        <v>9158</v>
      </c>
      <c r="O565" s="6" t="s">
        <v>2717</v>
      </c>
      <c r="P565" s="7" t="s">
        <v>15004</v>
      </c>
      <c r="Q565" s="7">
        <v>1</v>
      </c>
    </row>
    <row r="567" spans="1:17">
      <c r="A567" s="14" t="s">
        <v>1176</v>
      </c>
    </row>
    <row r="568" spans="1:17">
      <c r="A568" s="14">
        <v>108349</v>
      </c>
      <c r="B568" s="14" t="s">
        <v>4470</v>
      </c>
    </row>
    <row r="569" spans="1:17">
      <c r="A569" s="14" t="s">
        <v>5619</v>
      </c>
      <c r="B569" s="14" t="s">
        <v>330</v>
      </c>
      <c r="C569" s="14" t="s">
        <v>202</v>
      </c>
      <c r="D569" s="19" t="s">
        <v>10348</v>
      </c>
      <c r="E569" s="15" t="str">
        <f>HYPERLINK("https://stat100.ameba.jp/tnk47/ratio20/illustrations/card/ill_81183_0_shinryokunokisetsuamaterasu03.jpg?202105-5-RELEASE-marathon-531x", "■")</f>
        <v>■</v>
      </c>
      <c r="F569" s="14" t="s">
        <v>4505</v>
      </c>
      <c r="G569" s="14">
        <v>252122</v>
      </c>
      <c r="H569" s="14">
        <v>278984</v>
      </c>
      <c r="I569" s="14">
        <v>24</v>
      </c>
      <c r="J569" s="14" t="s">
        <v>44</v>
      </c>
      <c r="K569" s="14" t="s">
        <v>4506</v>
      </c>
      <c r="L569" s="14" t="s">
        <v>4507</v>
      </c>
      <c r="M569" s="14" t="s">
        <v>9158</v>
      </c>
      <c r="N569" s="14" t="s">
        <v>9158</v>
      </c>
      <c r="O569" s="19" t="s">
        <v>10083</v>
      </c>
      <c r="P569" s="14" t="s">
        <v>4509</v>
      </c>
      <c r="Q569" s="14">
        <v>0</v>
      </c>
    </row>
    <row r="570" spans="1:17">
      <c r="A570" s="14" t="s">
        <v>5848</v>
      </c>
      <c r="B570" s="14" t="s">
        <v>52</v>
      </c>
      <c r="C570" s="14" t="s">
        <v>200</v>
      </c>
      <c r="D570" s="20" t="s">
        <v>3160</v>
      </c>
      <c r="E570" s="15" t="str">
        <f>HYPERLINK("https://stat100.ameba.jp/tnk47/ratio20/illustrations/card/ill_72963_0_amenohanayomehiguchiichiyo03.jpg?202105-5-RELEASE-marathon-531x", "■")</f>
        <v>■</v>
      </c>
      <c r="F570" s="14" t="s">
        <v>1139</v>
      </c>
      <c r="G570" s="14">
        <v>160804</v>
      </c>
      <c r="H570" s="14">
        <v>149520</v>
      </c>
      <c r="I570" s="14">
        <v>24</v>
      </c>
      <c r="J570" s="14" t="s">
        <v>10</v>
      </c>
      <c r="K570" s="14" t="s">
        <v>1140</v>
      </c>
      <c r="L570" s="14" t="s">
        <v>1141</v>
      </c>
      <c r="M570" s="14" t="s">
        <v>9158</v>
      </c>
      <c r="N570" s="14" t="s">
        <v>9158</v>
      </c>
      <c r="O570" s="19" t="s">
        <v>3162</v>
      </c>
      <c r="P570" s="14" t="s">
        <v>3410</v>
      </c>
      <c r="Q570" s="14">
        <v>1</v>
      </c>
    </row>
    <row r="571" spans="1:17">
      <c r="A571" s="14" t="s">
        <v>5830</v>
      </c>
      <c r="B571" s="14" t="s">
        <v>330</v>
      </c>
      <c r="C571" s="14" t="s">
        <v>191</v>
      </c>
      <c r="D571" s="19" t="s">
        <v>793</v>
      </c>
      <c r="E571" s="15" t="str">
        <f>HYPERLINK("https://stat100.ameba.jp/tnk47/ratio20/illustrations/card/ill_39933_0_reihiiinaotora03.jpg?202105-5-RELEASE-marathon-531x", "■")</f>
        <v>■</v>
      </c>
      <c r="F571" s="14" t="s">
        <v>794</v>
      </c>
      <c r="G571" s="14">
        <v>131538</v>
      </c>
      <c r="H571" s="14">
        <v>140448</v>
      </c>
      <c r="I571" s="14">
        <v>24</v>
      </c>
      <c r="J571" s="14" t="s">
        <v>315</v>
      </c>
      <c r="K571" s="14" t="s">
        <v>795</v>
      </c>
      <c r="L571" s="14" t="s">
        <v>796</v>
      </c>
      <c r="M571" s="14" t="s">
        <v>9158</v>
      </c>
      <c r="N571" s="14" t="s">
        <v>9158</v>
      </c>
      <c r="O571" s="14" t="s">
        <v>9158</v>
      </c>
      <c r="P571" s="14" t="s">
        <v>9158</v>
      </c>
      <c r="Q571" s="14" t="s">
        <v>9158</v>
      </c>
    </row>
    <row r="572" spans="1:17">
      <c r="A572" s="14">
        <v>97433</v>
      </c>
      <c r="B572" s="14" t="s">
        <v>0</v>
      </c>
      <c r="C572" s="14" t="s">
        <v>14</v>
      </c>
      <c r="D572" s="14" t="s">
        <v>17069</v>
      </c>
      <c r="E572" s="15" t="str">
        <f>HYPERLINK("https://stat100.ameba.jp/tnk47/ratio20/illustrations/card/ill_97433_adobenchaakabeko03.jpg?202105-5-RELEASE-marathon-531x", "■")</f>
        <v>■</v>
      </c>
      <c r="F572" s="14" t="s">
        <v>17072</v>
      </c>
      <c r="G572" s="14">
        <v>118568</v>
      </c>
      <c r="H572" s="14">
        <v>127507</v>
      </c>
      <c r="I572" s="14">
        <v>27</v>
      </c>
      <c r="J572" s="14" t="s">
        <v>26</v>
      </c>
      <c r="K572" s="14" t="s">
        <v>17071</v>
      </c>
      <c r="L572" s="14" t="s">
        <v>12269</v>
      </c>
      <c r="M572" s="14" t="s">
        <v>9158</v>
      </c>
      <c r="N572" s="14" t="s">
        <v>9158</v>
      </c>
      <c r="O572" s="14" t="s">
        <v>9158</v>
      </c>
      <c r="P572" s="14" t="s">
        <v>9158</v>
      </c>
      <c r="Q572" s="14" t="s">
        <v>9158</v>
      </c>
    </row>
    <row r="573" spans="1:17">
      <c r="A573" s="14">
        <v>97453</v>
      </c>
      <c r="B573" s="14" t="s">
        <v>15</v>
      </c>
      <c r="C573" s="14" t="s">
        <v>96</v>
      </c>
      <c r="D573" s="14" t="s">
        <v>17067</v>
      </c>
      <c r="E573" s="15" t="str">
        <f>HYPERLINK("https://stat100.ameba.jp/tnk47/ratio20/illustrations/card/ill_97453_niihime03.jpg?202105-5-RELEASE-marathon-531x", "■")</f>
        <v>■</v>
      </c>
      <c r="F573" s="14" t="s">
        <v>17074</v>
      </c>
      <c r="G573" s="14">
        <v>80028</v>
      </c>
      <c r="H573" s="14">
        <v>72586</v>
      </c>
      <c r="I573" s="14">
        <v>27</v>
      </c>
      <c r="J573" s="14" t="s">
        <v>104</v>
      </c>
      <c r="K573" s="14" t="s">
        <v>17073</v>
      </c>
      <c r="L573" s="14" t="s">
        <v>3607</v>
      </c>
      <c r="M573" s="14" t="s">
        <v>9158</v>
      </c>
      <c r="N573" s="14" t="s">
        <v>9158</v>
      </c>
      <c r="O573" s="14" t="s">
        <v>9158</v>
      </c>
      <c r="P573" s="14" t="s">
        <v>9158</v>
      </c>
      <c r="Q573" s="14" t="s">
        <v>9158</v>
      </c>
    </row>
    <row r="574" spans="1:17">
      <c r="A574" s="14">
        <v>97463</v>
      </c>
      <c r="B574" s="14" t="s">
        <v>22</v>
      </c>
      <c r="C574" s="14" t="s">
        <v>107</v>
      </c>
      <c r="D574" s="14" t="s">
        <v>17066</v>
      </c>
      <c r="E574" s="15" t="str">
        <f>HYPERLINK("https://stat100.ameba.jp/tnk47/ratio20/illustrations/card/ill_97463_ginnanjoamahime03.jpg?202105-5-RELEASE-marathon-531x", "■")</f>
        <v>■</v>
      </c>
      <c r="F574" s="14" t="s">
        <v>17076</v>
      </c>
      <c r="G574" s="14">
        <v>46676</v>
      </c>
      <c r="H574" s="14">
        <v>56138</v>
      </c>
      <c r="I574" s="14">
        <v>27</v>
      </c>
      <c r="J574" s="14" t="s">
        <v>77</v>
      </c>
      <c r="K574" s="14" t="s">
        <v>17075</v>
      </c>
      <c r="L574" s="14" t="s">
        <v>2424</v>
      </c>
      <c r="M574" s="14" t="s">
        <v>9158</v>
      </c>
      <c r="N574" s="14" t="s">
        <v>9158</v>
      </c>
      <c r="O574" s="14" t="s">
        <v>9158</v>
      </c>
      <c r="P574" s="14" t="s">
        <v>9158</v>
      </c>
      <c r="Q574" s="14" t="s">
        <v>9158</v>
      </c>
    </row>
    <row r="575" spans="1:17">
      <c r="A575" s="14">
        <v>97473</v>
      </c>
      <c r="B575" s="14" t="s">
        <v>22</v>
      </c>
      <c r="C575" s="14" t="s">
        <v>1</v>
      </c>
      <c r="D575" s="14" t="s">
        <v>17065</v>
      </c>
      <c r="E575" s="15" t="str">
        <f>HYPERLINK("https://stat100.ameba.jp/tnk47/ratio20/illustrations/card/ill_97473_mutsunokamiyoshiyuki03.jpg?202105-5-RELEASE-marathon-531x", "■")</f>
        <v>■</v>
      </c>
      <c r="F575" s="14" t="s">
        <v>17078</v>
      </c>
      <c r="G575" s="14">
        <v>56138</v>
      </c>
      <c r="H575" s="14">
        <v>46676</v>
      </c>
      <c r="I575" s="14">
        <v>27</v>
      </c>
      <c r="J575" s="14" t="s">
        <v>44</v>
      </c>
      <c r="K575" s="14" t="s">
        <v>17077</v>
      </c>
      <c r="L575" s="14" t="s">
        <v>4956</v>
      </c>
      <c r="M575" s="14" t="s">
        <v>9158</v>
      </c>
      <c r="N575" s="14" t="s">
        <v>9158</v>
      </c>
      <c r="O575" s="14" t="s">
        <v>9158</v>
      </c>
      <c r="P575" s="14" t="s">
        <v>9158</v>
      </c>
      <c r="Q575" s="14" t="s">
        <v>9158</v>
      </c>
    </row>
    <row r="577" spans="1:17">
      <c r="A577" s="14" t="s">
        <v>3905</v>
      </c>
    </row>
    <row r="578" spans="1:17">
      <c r="A578" s="14">
        <v>238117</v>
      </c>
      <c r="B578" s="14" t="s">
        <v>17070</v>
      </c>
    </row>
    <row r="579" spans="1:17">
      <c r="A579" s="9" t="s">
        <v>5611</v>
      </c>
      <c r="B579" s="14" t="s">
        <v>330</v>
      </c>
      <c r="C579" s="14" t="s">
        <v>185</v>
      </c>
      <c r="D579" s="14" t="s">
        <v>539</v>
      </c>
      <c r="E579" s="15" t="str">
        <f>HYPERLINK("https://stat100.ameba.jp/tnk47/ratio20/illustrations/card/ill_60633_0_harumaisentoin03.jpg?202105-5-RELEASE-marathon-531x", "■")</f>
        <v>■</v>
      </c>
      <c r="F579" s="14" t="s">
        <v>540</v>
      </c>
      <c r="G579" s="14">
        <v>139878</v>
      </c>
      <c r="H579" s="14">
        <v>150466</v>
      </c>
      <c r="I579" s="14">
        <v>22</v>
      </c>
      <c r="J579" s="14" t="s">
        <v>274</v>
      </c>
      <c r="K579" s="14" t="s">
        <v>541</v>
      </c>
      <c r="L579" s="14" t="s">
        <v>542</v>
      </c>
      <c r="M579" s="14" t="s">
        <v>9158</v>
      </c>
      <c r="N579" s="14" t="s">
        <v>9158</v>
      </c>
      <c r="O579" s="9" t="s">
        <v>2888</v>
      </c>
      <c r="P579" s="14" t="s">
        <v>3144</v>
      </c>
      <c r="Q579" s="14">
        <v>1</v>
      </c>
    </row>
    <row r="580" spans="1:17">
      <c r="A580" s="9" t="s">
        <v>5725</v>
      </c>
      <c r="B580" s="14" t="s">
        <v>52</v>
      </c>
      <c r="C580" s="14" t="s">
        <v>107</v>
      </c>
      <c r="D580" s="14" t="s">
        <v>55</v>
      </c>
      <c r="E580" s="15" t="str">
        <f>HYPERLINK("https://stat100.ameba.jp/tnk47/ratio20/illustrations/card/ill_52693_0_sengokumibirakiyanagiharabyakuren03.jpg?202105-5-RELEASE-marathon-531x", "■")</f>
        <v>■</v>
      </c>
      <c r="F580" s="14" t="s">
        <v>1246</v>
      </c>
      <c r="G580" s="14">
        <v>122776</v>
      </c>
      <c r="H580" s="14">
        <v>138212</v>
      </c>
      <c r="I580" s="14">
        <v>22</v>
      </c>
      <c r="J580" s="14" t="s">
        <v>16</v>
      </c>
      <c r="K580" s="14" t="s">
        <v>1247</v>
      </c>
      <c r="L580" s="14" t="s">
        <v>1248</v>
      </c>
      <c r="M580" s="14" t="s">
        <v>9158</v>
      </c>
      <c r="N580" s="14" t="s">
        <v>9158</v>
      </c>
      <c r="O580" s="9" t="s">
        <v>3303</v>
      </c>
      <c r="P580" s="14" t="s">
        <v>3304</v>
      </c>
      <c r="Q580" s="14">
        <v>1</v>
      </c>
    </row>
    <row r="581" spans="1:17">
      <c r="A581" s="14" t="s">
        <v>9473</v>
      </c>
      <c r="B581" s="14" t="s">
        <v>330</v>
      </c>
      <c r="C581" s="14" t="s">
        <v>191</v>
      </c>
      <c r="D581" s="19" t="s">
        <v>393</v>
      </c>
      <c r="E581" s="15" t="str">
        <f>HYPERLINK("https://stat100.ameba.jp/tnk47/ratio20/illustrations/card/ill_46283_0_odanobunaga03.jpg?202105-5-RELEASE-marathon-531x", "■")</f>
        <v>■</v>
      </c>
      <c r="F581" s="14" t="s">
        <v>1073</v>
      </c>
      <c r="G581" s="14">
        <v>120576</v>
      </c>
      <c r="H581" s="14">
        <v>128744</v>
      </c>
      <c r="I581" s="14">
        <v>22</v>
      </c>
      <c r="J581" s="14" t="s">
        <v>143</v>
      </c>
      <c r="K581" s="14" t="s">
        <v>1074</v>
      </c>
      <c r="L581" s="14" t="s">
        <v>1075</v>
      </c>
      <c r="M581" s="14" t="s">
        <v>9158</v>
      </c>
      <c r="N581" s="14" t="s">
        <v>9158</v>
      </c>
      <c r="O581" s="9" t="s">
        <v>9158</v>
      </c>
      <c r="P581" s="14" t="s">
        <v>9158</v>
      </c>
      <c r="Q581" s="14" t="s">
        <v>9158</v>
      </c>
    </row>
    <row r="582" spans="1:17">
      <c r="A582" s="14">
        <v>87253</v>
      </c>
      <c r="B582" s="14" t="s">
        <v>0</v>
      </c>
      <c r="C582" s="14" t="s">
        <v>165</v>
      </c>
      <c r="D582" s="19" t="s">
        <v>10992</v>
      </c>
      <c r="E582" s="15" t="str">
        <f>HYPERLINK("https://stat100.ameba.jp/tnk47/ratio20/illustrations/card/ill_87253_rari03.jpg?202105-5-RELEASE-marathon-531x", "■")</f>
        <v>■</v>
      </c>
      <c r="F582" s="14" t="s">
        <v>9763</v>
      </c>
      <c r="G582" s="14">
        <v>81727</v>
      </c>
      <c r="H582" s="14">
        <v>145247</v>
      </c>
      <c r="I582" s="14">
        <v>29</v>
      </c>
      <c r="J582" s="14" t="s">
        <v>159</v>
      </c>
      <c r="K582" s="14" t="s">
        <v>9762</v>
      </c>
      <c r="L582" s="14" t="s">
        <v>124</v>
      </c>
      <c r="M582" s="14" t="s">
        <v>9158</v>
      </c>
      <c r="N582" s="14" t="s">
        <v>9158</v>
      </c>
      <c r="O582" s="14" t="s">
        <v>9158</v>
      </c>
      <c r="P582" s="14" t="s">
        <v>9158</v>
      </c>
      <c r="Q582" s="14" t="s">
        <v>9158</v>
      </c>
    </row>
    <row r="583" spans="1:17">
      <c r="A583" s="14">
        <v>90723</v>
      </c>
      <c r="B583" s="14" t="s">
        <v>0</v>
      </c>
      <c r="C583" s="14" t="s">
        <v>107</v>
      </c>
      <c r="D583" s="14" t="s">
        <v>14356</v>
      </c>
      <c r="E583" s="15" t="str">
        <f>HYPERLINK("https://stat100.ameba.jp/tnk47/ratio20/illustrations/card/ill_90723_hamabeyadokari03.jpg?202105-5-RELEASE-marathon-531x", "■")</f>
        <v>■</v>
      </c>
      <c r="F583" s="14" t="s">
        <v>14355</v>
      </c>
      <c r="G583" s="14">
        <v>119785</v>
      </c>
      <c r="H583" s="14">
        <v>212908</v>
      </c>
      <c r="I583" s="14">
        <v>29</v>
      </c>
      <c r="J583" s="14" t="s">
        <v>104</v>
      </c>
      <c r="K583" s="14" t="s">
        <v>14353</v>
      </c>
      <c r="L583" s="14" t="s">
        <v>12356</v>
      </c>
      <c r="M583" s="14" t="s">
        <v>9158</v>
      </c>
      <c r="N583" s="14" t="s">
        <v>9158</v>
      </c>
      <c r="O583" s="14" t="s">
        <v>9158</v>
      </c>
      <c r="P583" s="14" t="s">
        <v>9158</v>
      </c>
      <c r="Q583" s="14" t="s">
        <v>9158</v>
      </c>
    </row>
    <row r="584" spans="1:17">
      <c r="A584" s="14">
        <v>83793</v>
      </c>
      <c r="B584" s="14" t="s">
        <v>0</v>
      </c>
      <c r="C584" s="14" t="s">
        <v>185</v>
      </c>
      <c r="D584" s="19" t="s">
        <v>10606</v>
      </c>
      <c r="E584" s="15" t="str">
        <f>HYPERLINK("https://stat100.ameba.jp/tnk47/ratio20/illustrations/card/ill_83793_danjirisakurambochan03.jpg?202105-5-RELEASE-marathon-531x", "■")</f>
        <v>■</v>
      </c>
      <c r="F584" s="14" t="s">
        <v>6872</v>
      </c>
      <c r="G584" s="14">
        <v>127350</v>
      </c>
      <c r="H584" s="14">
        <v>136953</v>
      </c>
      <c r="I584" s="14">
        <v>29</v>
      </c>
      <c r="J584" s="14" t="s">
        <v>104</v>
      </c>
      <c r="K584" s="14" t="s">
        <v>6870</v>
      </c>
      <c r="L584" s="14" t="s">
        <v>131</v>
      </c>
      <c r="M584" s="14" t="s">
        <v>9158</v>
      </c>
      <c r="N584" s="14" t="s">
        <v>9158</v>
      </c>
      <c r="O584" s="14" t="s">
        <v>9158</v>
      </c>
      <c r="P584" s="14" t="s">
        <v>9158</v>
      </c>
      <c r="Q584" s="14" t="s">
        <v>9158</v>
      </c>
    </row>
    <row r="586" spans="1:17">
      <c r="A586" s="14" t="s">
        <v>1176</v>
      </c>
    </row>
    <row r="587" spans="1:17">
      <c r="A587" s="14">
        <v>108372</v>
      </c>
      <c r="B587" s="14" t="s">
        <v>12496</v>
      </c>
    </row>
    <row r="588" spans="1:17">
      <c r="A588" s="14" t="s">
        <v>12532</v>
      </c>
      <c r="B588" s="7" t="s">
        <v>52</v>
      </c>
      <c r="C588" s="14" t="s">
        <v>202</v>
      </c>
      <c r="D588" s="18" t="s">
        <v>12528</v>
      </c>
      <c r="E588" s="15" t="str">
        <f>HYPERLINK("https://stat100.ameba.jp/tnk47/ratio20/illustrations/card/ill_89073_0_efuwanresuyokohamaserachan03.jpg?202105-5-RELEASE-marathon-531x", "■")</f>
        <v>■</v>
      </c>
      <c r="F588" s="14" t="s">
        <v>12529</v>
      </c>
      <c r="G588" s="14">
        <v>263998</v>
      </c>
      <c r="H588" s="14">
        <v>292102</v>
      </c>
      <c r="I588" s="7">
        <v>24</v>
      </c>
      <c r="J588" s="14" t="s">
        <v>229</v>
      </c>
      <c r="K588" s="14" t="s">
        <v>12530</v>
      </c>
      <c r="L588" s="14" t="s">
        <v>12531</v>
      </c>
      <c r="M588" s="14" t="s">
        <v>9158</v>
      </c>
      <c r="N588" s="14" t="s">
        <v>9158</v>
      </c>
      <c r="O588" s="6" t="s">
        <v>12533</v>
      </c>
      <c r="P588" s="7" t="s">
        <v>12534</v>
      </c>
      <c r="Q588" s="7">
        <v>1</v>
      </c>
    </row>
    <row r="589" spans="1:17">
      <c r="A589" s="14" t="s">
        <v>5642</v>
      </c>
      <c r="B589" s="14" t="s">
        <v>330</v>
      </c>
      <c r="C589" s="14" t="s">
        <v>185</v>
      </c>
      <c r="D589" s="20" t="s">
        <v>3086</v>
      </c>
      <c r="E589" s="15" t="str">
        <f>HYPERLINK("https://stat100.ameba.jp/tnk47/ratio20/illustrations/card/ill_69593_0_setsubunyukionna03.jpg?202105-5-RELEASE-marathon-531x", "■")</f>
        <v>■</v>
      </c>
      <c r="F589" s="14" t="s">
        <v>3087</v>
      </c>
      <c r="G589" s="14">
        <v>171436</v>
      </c>
      <c r="H589" s="14">
        <v>184400</v>
      </c>
      <c r="I589" s="14">
        <v>24</v>
      </c>
      <c r="J589" s="14" t="s">
        <v>320</v>
      </c>
      <c r="K589" s="14" t="s">
        <v>3088</v>
      </c>
      <c r="L589" s="14" t="s">
        <v>3089</v>
      </c>
      <c r="M589" s="14" t="s">
        <v>9158</v>
      </c>
      <c r="N589" s="14" t="s">
        <v>9158</v>
      </c>
      <c r="O589" s="19" t="s">
        <v>3090</v>
      </c>
      <c r="P589" s="14" t="s">
        <v>3091</v>
      </c>
      <c r="Q589" s="14">
        <v>2</v>
      </c>
    </row>
    <row r="590" spans="1:17">
      <c r="A590" s="14" t="s">
        <v>5902</v>
      </c>
      <c r="B590" s="14" t="s">
        <v>330</v>
      </c>
      <c r="C590" s="14" t="s">
        <v>206</v>
      </c>
      <c r="D590" s="19" t="s">
        <v>483</v>
      </c>
      <c r="E590" s="15" t="str">
        <f>HYPERLINK("https://stat100.ameba.jp/tnk47/ratio20/illustrations/card/ill_40343_0_heshikirihasebekurodakambe03.jpg?202105-5-RELEASE-marathon-531x", "■")</f>
        <v>■</v>
      </c>
      <c r="F590" s="14" t="s">
        <v>906</v>
      </c>
      <c r="G590" s="14">
        <v>140448</v>
      </c>
      <c r="H590" s="14">
        <v>131538</v>
      </c>
      <c r="I590" s="14">
        <v>24</v>
      </c>
      <c r="J590" s="14" t="s">
        <v>16</v>
      </c>
      <c r="K590" s="14" t="s">
        <v>907</v>
      </c>
      <c r="L590" s="14" t="s">
        <v>908</v>
      </c>
      <c r="M590" s="14" t="s">
        <v>9158</v>
      </c>
      <c r="N590" s="14" t="s">
        <v>9158</v>
      </c>
      <c r="O590" s="14" t="s">
        <v>9158</v>
      </c>
      <c r="P590" s="14" t="s">
        <v>9158</v>
      </c>
      <c r="Q590" s="14" t="s">
        <v>9158</v>
      </c>
    </row>
    <row r="591" spans="1:17">
      <c r="A591" s="14">
        <v>97443</v>
      </c>
      <c r="B591" s="14" t="s">
        <v>0</v>
      </c>
      <c r="C591" s="14" t="s">
        <v>101</v>
      </c>
      <c r="D591" s="14" t="s">
        <v>17068</v>
      </c>
      <c r="E591" s="15" t="str">
        <f>HYPERLINK("https://stat100.ameba.jp/tnk47/ratio20/illustrations/card/ill_97443_koshihikarichan03.jpg?202105-5-RELEASE-marathon-531x", "■")</f>
        <v>■</v>
      </c>
      <c r="F591" s="14" t="s">
        <v>17082</v>
      </c>
      <c r="G591" s="14">
        <v>127507</v>
      </c>
      <c r="H591" s="14">
        <v>118568</v>
      </c>
      <c r="I591" s="14">
        <v>27</v>
      </c>
      <c r="J591" s="14" t="s">
        <v>104</v>
      </c>
      <c r="K591" s="14" t="s">
        <v>17081</v>
      </c>
      <c r="L591" s="14" t="s">
        <v>17080</v>
      </c>
      <c r="M591" s="14" t="s">
        <v>9158</v>
      </c>
      <c r="N591" s="14" t="s">
        <v>9158</v>
      </c>
      <c r="O591" s="14" t="s">
        <v>9158</v>
      </c>
      <c r="P591" s="14" t="s">
        <v>9158</v>
      </c>
      <c r="Q591" s="14" t="s">
        <v>9158</v>
      </c>
    </row>
    <row r="592" spans="1:17">
      <c r="A592" s="14">
        <v>97453</v>
      </c>
      <c r="B592" s="14" t="s">
        <v>15</v>
      </c>
      <c r="C592" s="14" t="s">
        <v>96</v>
      </c>
      <c r="D592" s="14" t="s">
        <v>17067</v>
      </c>
      <c r="E592" s="15" t="str">
        <f>HYPERLINK("https://stat100.ameba.jp/tnk47/ratio20/illustrations/card/ill_97453_niihime03.jpg?202105-5-RELEASE-marathon-531x", "■")</f>
        <v>■</v>
      </c>
      <c r="F592" s="14" t="s">
        <v>17074</v>
      </c>
      <c r="G592" s="14">
        <v>80028</v>
      </c>
      <c r="H592" s="14">
        <v>72586</v>
      </c>
      <c r="I592" s="14">
        <v>27</v>
      </c>
      <c r="J592" s="14" t="s">
        <v>104</v>
      </c>
      <c r="K592" s="14" t="s">
        <v>17073</v>
      </c>
      <c r="L592" s="14" t="s">
        <v>3607</v>
      </c>
      <c r="M592" s="14" t="s">
        <v>9158</v>
      </c>
      <c r="N592" s="14" t="s">
        <v>9158</v>
      </c>
      <c r="O592" s="14" t="s">
        <v>9158</v>
      </c>
      <c r="P592" s="14" t="s">
        <v>9158</v>
      </c>
      <c r="Q592" s="14" t="s">
        <v>9158</v>
      </c>
    </row>
    <row r="593" spans="1:17">
      <c r="A593" s="14">
        <v>97463</v>
      </c>
      <c r="B593" s="14" t="s">
        <v>22</v>
      </c>
      <c r="C593" s="14" t="s">
        <v>107</v>
      </c>
      <c r="D593" s="14" t="s">
        <v>17066</v>
      </c>
      <c r="E593" s="15" t="str">
        <f>HYPERLINK("https://stat100.ameba.jp/tnk47/ratio20/illustrations/card/ill_97463_ginnanjoamahime03.jpg?202105-5-RELEASE-marathon-531x", "■")</f>
        <v>■</v>
      </c>
      <c r="F593" s="14" t="s">
        <v>17076</v>
      </c>
      <c r="G593" s="14">
        <v>46676</v>
      </c>
      <c r="H593" s="14">
        <v>56138</v>
      </c>
      <c r="I593" s="14">
        <v>27</v>
      </c>
      <c r="J593" s="14" t="s">
        <v>77</v>
      </c>
      <c r="K593" s="14" t="s">
        <v>17075</v>
      </c>
      <c r="L593" s="14" t="s">
        <v>2424</v>
      </c>
      <c r="M593" s="14" t="s">
        <v>9158</v>
      </c>
      <c r="N593" s="14" t="s">
        <v>9158</v>
      </c>
      <c r="O593" s="14" t="s">
        <v>9158</v>
      </c>
      <c r="P593" s="14" t="s">
        <v>9158</v>
      </c>
      <c r="Q593" s="14" t="s">
        <v>9158</v>
      </c>
    </row>
    <row r="594" spans="1:17">
      <c r="A594" s="14">
        <v>97473</v>
      </c>
      <c r="B594" s="14" t="s">
        <v>22</v>
      </c>
      <c r="C594" s="14" t="s">
        <v>1</v>
      </c>
      <c r="D594" s="14" t="s">
        <v>17065</v>
      </c>
      <c r="E594" s="15" t="str">
        <f>HYPERLINK("https://stat100.ameba.jp/tnk47/ratio20/illustrations/card/ill_97473_mutsunokamiyoshiyuki03.jpg?202105-5-RELEASE-marathon-531x", "■")</f>
        <v>■</v>
      </c>
      <c r="F594" s="14" t="s">
        <v>17078</v>
      </c>
      <c r="G594" s="14">
        <v>56138</v>
      </c>
      <c r="H594" s="14">
        <v>46676</v>
      </c>
      <c r="I594" s="14">
        <v>27</v>
      </c>
      <c r="J594" s="14" t="s">
        <v>44</v>
      </c>
      <c r="K594" s="14" t="s">
        <v>17077</v>
      </c>
      <c r="L594" s="14" t="s">
        <v>4956</v>
      </c>
      <c r="M594" s="14" t="s">
        <v>9158</v>
      </c>
      <c r="N594" s="14" t="s">
        <v>9158</v>
      </c>
      <c r="O594" s="14" t="s">
        <v>9158</v>
      </c>
      <c r="P594" s="14" t="s">
        <v>9158</v>
      </c>
      <c r="Q594" s="14" t="s">
        <v>9158</v>
      </c>
    </row>
    <row r="596" spans="1:17">
      <c r="A596" s="14" t="s">
        <v>3911</v>
      </c>
    </row>
    <row r="597" spans="1:17">
      <c r="A597" s="14">
        <v>108396</v>
      </c>
      <c r="B597" s="14" t="s">
        <v>17083</v>
      </c>
    </row>
    <row r="598" spans="1:17">
      <c r="A598" s="14">
        <v>108406</v>
      </c>
      <c r="B598" s="14" t="s">
        <v>15721</v>
      </c>
    </row>
    <row r="599" spans="1:17">
      <c r="A599" s="14" t="s">
        <v>13435</v>
      </c>
      <c r="B599" s="7" t="s">
        <v>52</v>
      </c>
      <c r="C599" s="14" t="s">
        <v>202</v>
      </c>
      <c r="D599" s="18" t="s">
        <v>13434</v>
      </c>
      <c r="E599" s="15" t="str">
        <f>HYPERLINK("https://stat100.ameba.jp/tnk47/ratio20/illustrations/card/ill_91073_0_mizugiaidorusarukanigassen03.jpg?202105-5-RELEASE-marathon-531x", "■")</f>
        <v>■</v>
      </c>
      <c r="F599" s="14" t="s">
        <v>13436</v>
      </c>
      <c r="G599" s="14">
        <v>335575</v>
      </c>
      <c r="H599" s="14">
        <v>303290</v>
      </c>
      <c r="I599" s="7">
        <v>29</v>
      </c>
      <c r="J599" s="14" t="s">
        <v>38</v>
      </c>
      <c r="K599" s="14" t="s">
        <v>13437</v>
      </c>
      <c r="L599" s="14" t="s">
        <v>13438</v>
      </c>
      <c r="M599" s="14" t="s">
        <v>9158</v>
      </c>
      <c r="N599" s="14" t="s">
        <v>9158</v>
      </c>
      <c r="O599" s="6" t="s">
        <v>13439</v>
      </c>
      <c r="P599" s="7" t="s">
        <v>13440</v>
      </c>
      <c r="Q599" s="7">
        <v>1</v>
      </c>
    </row>
    <row r="600" spans="1:17">
      <c r="A600" s="14" t="s">
        <v>6598</v>
      </c>
      <c r="B600" s="14" t="s">
        <v>330</v>
      </c>
      <c r="C600" s="14" t="s">
        <v>35</v>
      </c>
      <c r="D600" s="19" t="s">
        <v>10555</v>
      </c>
      <c r="E600" s="15" t="str">
        <f>HYPERLINK("https://stat100.ameba.jp/tnk47/ratio20/illustrations/card/ill_83553_0_kajuenamoronagu03.jpg?202105-5-RELEASE-marathon-531x", "■")</f>
        <v>■</v>
      </c>
      <c r="F600" s="14" t="s">
        <v>6597</v>
      </c>
      <c r="G600" s="14">
        <v>305273</v>
      </c>
      <c r="H600" s="14">
        <v>337772</v>
      </c>
      <c r="I600" s="7">
        <v>29</v>
      </c>
      <c r="J600" s="14" t="s">
        <v>44</v>
      </c>
      <c r="K600" s="14" t="s">
        <v>6595</v>
      </c>
      <c r="L600" s="14" t="s">
        <v>6594</v>
      </c>
      <c r="M600" s="14" t="s">
        <v>9158</v>
      </c>
      <c r="N600" s="14" t="s">
        <v>9158</v>
      </c>
      <c r="O600" s="19" t="s">
        <v>10125</v>
      </c>
      <c r="P600" s="14" t="s">
        <v>6599</v>
      </c>
      <c r="Q600" s="14">
        <v>1</v>
      </c>
    </row>
    <row r="601" spans="1:17">
      <c r="A601" s="14" t="s">
        <v>5625</v>
      </c>
      <c r="B601" s="14" t="s">
        <v>330</v>
      </c>
      <c r="C601" s="14" t="s">
        <v>200</v>
      </c>
      <c r="D601" s="19" t="s">
        <v>630</v>
      </c>
      <c r="E601" s="15" t="str">
        <f>HYPERLINK("https://stat100.ameba.jp/tnk47/ratio20/illustrations/card/ill_48283_0_kyuubitamamonomae03.jpg?202105-5-RELEASE-marathon-531x", "■")</f>
        <v>■</v>
      </c>
      <c r="F601" s="14" t="s">
        <v>631</v>
      </c>
      <c r="G601" s="14">
        <v>182188</v>
      </c>
      <c r="H601" s="14">
        <v>161842</v>
      </c>
      <c r="I601" s="7">
        <v>29</v>
      </c>
      <c r="J601" s="14" t="s">
        <v>320</v>
      </c>
      <c r="K601" s="14" t="s">
        <v>632</v>
      </c>
      <c r="L601" s="14" t="s">
        <v>633</v>
      </c>
      <c r="M601" s="14" t="s">
        <v>9158</v>
      </c>
      <c r="N601" s="14" t="s">
        <v>9158</v>
      </c>
      <c r="O601" s="14" t="s">
        <v>9158</v>
      </c>
      <c r="P601" s="14" t="s">
        <v>9158</v>
      </c>
      <c r="Q601" s="14" t="s">
        <v>9158</v>
      </c>
    </row>
    <row r="602" spans="1:17">
      <c r="A602" s="14">
        <v>75883</v>
      </c>
      <c r="B602" s="14" t="s">
        <v>334</v>
      </c>
      <c r="C602" s="14" t="s">
        <v>154</v>
      </c>
      <c r="D602" s="19" t="s">
        <v>10402</v>
      </c>
      <c r="E602" s="15" t="str">
        <f>HYPERLINK("https://stat100.ameba.jp/tnk47/ratio20/illustrations/card/ill_75883_kitajokagehiro03.jpg?202105-5-RELEASE-marathon-531x", "■")</f>
        <v>■</v>
      </c>
      <c r="F602" s="14" t="s">
        <v>2411</v>
      </c>
      <c r="G602" s="14">
        <v>139753</v>
      </c>
      <c r="H602" s="14">
        <v>192940</v>
      </c>
      <c r="I602" s="7">
        <v>29</v>
      </c>
      <c r="J602" s="14" t="s">
        <v>143</v>
      </c>
      <c r="K602" s="14" t="s">
        <v>2412</v>
      </c>
      <c r="L602" s="14" t="s">
        <v>1148</v>
      </c>
      <c r="M602" s="14" t="s">
        <v>9158</v>
      </c>
      <c r="N602" s="14" t="s">
        <v>9158</v>
      </c>
      <c r="O602" s="19" t="s">
        <v>10106</v>
      </c>
      <c r="P602" s="14" t="s">
        <v>3330</v>
      </c>
      <c r="Q602" s="14">
        <v>2</v>
      </c>
    </row>
    <row r="603" spans="1:17">
      <c r="A603" s="14">
        <v>75083</v>
      </c>
      <c r="B603" s="14" t="s">
        <v>334</v>
      </c>
      <c r="C603" s="14" t="s">
        <v>209</v>
      </c>
      <c r="D603" s="19" t="s">
        <v>10401</v>
      </c>
      <c r="E603" s="15" t="str">
        <f>HYPERLINK("https://stat100.ameba.jp/tnk47/ratio20/illustrations/card/ill_75083_sukumizuhanakosan03.jpg?202105-5-RELEASE-marathon-531x", "■")</f>
        <v>■</v>
      </c>
      <c r="F603" s="14" t="s">
        <v>1020</v>
      </c>
      <c r="G603" s="14">
        <v>135229</v>
      </c>
      <c r="H603" s="14">
        <v>97970</v>
      </c>
      <c r="I603" s="7">
        <v>29</v>
      </c>
      <c r="J603" s="14" t="s">
        <v>73</v>
      </c>
      <c r="K603" s="14" t="s">
        <v>1021</v>
      </c>
      <c r="L603" s="14" t="s">
        <v>1022</v>
      </c>
      <c r="M603" s="14" t="s">
        <v>9158</v>
      </c>
      <c r="N603" s="14" t="s">
        <v>9158</v>
      </c>
      <c r="O603" s="19" t="s">
        <v>10105</v>
      </c>
      <c r="P603" s="14" t="s">
        <v>3416</v>
      </c>
      <c r="Q603" s="14">
        <v>1</v>
      </c>
    </row>
    <row r="604" spans="1:17">
      <c r="A604" s="14">
        <v>83083</v>
      </c>
      <c r="B604" s="14" t="s">
        <v>0</v>
      </c>
      <c r="C604" s="14" t="s">
        <v>209</v>
      </c>
      <c r="D604" s="20" t="s">
        <v>10469</v>
      </c>
      <c r="E604" s="15" t="str">
        <f>HYPERLINK("https://stat100.ameba.jp/tnk47/ratio20/illustrations/card/ill_83083_burakkukingu03.jpg?202105-5-RELEASE-marathon-531x", "■")</f>
        <v>■</v>
      </c>
      <c r="F604" s="14" t="s">
        <v>6093</v>
      </c>
      <c r="G604" s="14">
        <v>139753</v>
      </c>
      <c r="H604" s="14">
        <v>192940</v>
      </c>
      <c r="I604" s="7">
        <v>29</v>
      </c>
      <c r="J604" s="14" t="s">
        <v>194</v>
      </c>
      <c r="K604" s="14" t="s">
        <v>6095</v>
      </c>
      <c r="L604" s="14" t="s">
        <v>1148</v>
      </c>
      <c r="M604" s="14" t="s">
        <v>9158</v>
      </c>
      <c r="N604" s="14" t="s">
        <v>9158</v>
      </c>
      <c r="O604" s="19" t="s">
        <v>10117</v>
      </c>
      <c r="P604" s="14" t="s">
        <v>3625</v>
      </c>
      <c r="Q604" s="14">
        <v>1</v>
      </c>
    </row>
    <row r="605" spans="1:17">
      <c r="A605" s="14">
        <v>80163</v>
      </c>
      <c r="B605" s="14" t="s">
        <v>334</v>
      </c>
      <c r="C605" s="14" t="s">
        <v>158</v>
      </c>
      <c r="D605" s="19" t="s">
        <v>10391</v>
      </c>
      <c r="E605" s="15" t="str">
        <f>HYPERLINK("https://stat100.ameba.jp/tnk47/ratio20/illustrations/card/ill_80163_kuronosu03.jpg?202105-5-RELEASE-marathon-531x", "■")</f>
        <v>■</v>
      </c>
      <c r="F605" s="14" t="s">
        <v>3766</v>
      </c>
      <c r="G605" s="14">
        <v>95880</v>
      </c>
      <c r="H605" s="14">
        <v>132379</v>
      </c>
      <c r="I605" s="7">
        <v>29</v>
      </c>
      <c r="J605" s="14" t="s">
        <v>44</v>
      </c>
      <c r="K605" s="14" t="s">
        <v>3767</v>
      </c>
      <c r="L605" s="14" t="s">
        <v>1209</v>
      </c>
      <c r="M605" s="14" t="s">
        <v>9158</v>
      </c>
      <c r="N605" s="14" t="s">
        <v>9158</v>
      </c>
      <c r="O605" s="19" t="s">
        <v>2752</v>
      </c>
      <c r="P605" s="14" t="s">
        <v>13123</v>
      </c>
      <c r="Q605" s="14">
        <v>1</v>
      </c>
    </row>
    <row r="606" spans="1:17">
      <c r="A606" s="14">
        <v>79523</v>
      </c>
      <c r="B606" s="14" t="s">
        <v>0</v>
      </c>
      <c r="C606" s="14" t="s">
        <v>203</v>
      </c>
      <c r="D606" s="20" t="s">
        <v>10309</v>
      </c>
      <c r="E606" s="15" t="str">
        <f>HYPERLINK("https://stat100.ameba.jp/tnk47/ratio20/illustrations/card/ill_79523_shikyokunoashurato03.jpg?202105-5-RELEASE-marathon-531x", "■")</f>
        <v>■</v>
      </c>
      <c r="F606" s="14" t="s">
        <v>3590</v>
      </c>
      <c r="G606" s="14">
        <v>91815</v>
      </c>
      <c r="H606" s="14">
        <v>126741</v>
      </c>
      <c r="I606" s="7">
        <v>29</v>
      </c>
      <c r="J606" s="14" t="s">
        <v>77</v>
      </c>
      <c r="K606" s="14" t="s">
        <v>3591</v>
      </c>
      <c r="L606" s="14" t="s">
        <v>1955</v>
      </c>
      <c r="M606" s="14" t="s">
        <v>9158</v>
      </c>
      <c r="N606" s="14" t="s">
        <v>9158</v>
      </c>
      <c r="O606" s="19" t="s">
        <v>10074</v>
      </c>
      <c r="P606" s="14" t="s">
        <v>3592</v>
      </c>
      <c r="Q606" s="14">
        <v>1</v>
      </c>
    </row>
    <row r="607" spans="1:17">
      <c r="A607" s="14">
        <v>73893</v>
      </c>
      <c r="B607" s="14" t="s">
        <v>334</v>
      </c>
      <c r="C607" s="14" t="s">
        <v>203</v>
      </c>
      <c r="D607" s="19" t="s">
        <v>10388</v>
      </c>
      <c r="E607" s="15" t="str">
        <f>HYPERLINK("https://stat100.ameba.jp/tnk47/ratio20/illustrations/card/ill_73893_kurohachidaimyojintookami03.jpg?202105-5-RELEASE-marathon-531x", "■")</f>
        <v>■</v>
      </c>
      <c r="F607" s="14" t="s">
        <v>685</v>
      </c>
      <c r="G607" s="14">
        <v>147992</v>
      </c>
      <c r="H607" s="14">
        <v>107188</v>
      </c>
      <c r="I607" s="7">
        <v>29</v>
      </c>
      <c r="J607" s="14" t="s">
        <v>274</v>
      </c>
      <c r="K607" s="14" t="s">
        <v>686</v>
      </c>
      <c r="L607" s="14" t="s">
        <v>428</v>
      </c>
      <c r="M607" s="14" t="s">
        <v>9158</v>
      </c>
      <c r="N607" s="14" t="s">
        <v>9158</v>
      </c>
      <c r="O607" s="19" t="s">
        <v>10100</v>
      </c>
      <c r="P607" s="14" t="s">
        <v>3810</v>
      </c>
      <c r="Q607" s="14">
        <v>1</v>
      </c>
    </row>
    <row r="609" spans="1:17">
      <c r="A609" s="14" t="s">
        <v>3916</v>
      </c>
    </row>
    <row r="610" spans="1:17">
      <c r="A610" s="14">
        <v>108420</v>
      </c>
      <c r="B610" s="14" t="s">
        <v>17084</v>
      </c>
    </row>
    <row r="611" spans="1:17">
      <c r="A611" s="14">
        <v>62203</v>
      </c>
      <c r="B611" s="14" t="s">
        <v>334</v>
      </c>
      <c r="C611" s="14" t="s">
        <v>154</v>
      </c>
      <c r="D611" s="20" t="s">
        <v>2260</v>
      </c>
      <c r="E611" s="15" t="str">
        <f>HYPERLINK("https://stat100.ameba.jp/tnk47/ratio20/illustrations/card/ill_62203_keishoimmasahime03.jpg?202105-5-RELEASE-marathon-531x", "■")</f>
        <v>■</v>
      </c>
      <c r="F611" s="14" t="s">
        <v>2261</v>
      </c>
      <c r="G611" s="14">
        <v>116296</v>
      </c>
      <c r="H611" s="14">
        <v>125078</v>
      </c>
      <c r="I611" s="7">
        <v>29</v>
      </c>
      <c r="J611" s="14" t="s">
        <v>77</v>
      </c>
      <c r="K611" s="14" t="s">
        <v>2262</v>
      </c>
      <c r="L611" s="14" t="s">
        <v>2263</v>
      </c>
      <c r="M611" s="14" t="s">
        <v>9158</v>
      </c>
      <c r="N611" s="14" t="s">
        <v>9158</v>
      </c>
      <c r="O611" s="14" t="s">
        <v>9158</v>
      </c>
      <c r="P611" s="14" t="s">
        <v>9158</v>
      </c>
      <c r="Q611" s="14" t="s">
        <v>9158</v>
      </c>
    </row>
    <row r="612" spans="1:17">
      <c r="A612" s="14">
        <v>69723</v>
      </c>
      <c r="B612" s="14" t="s">
        <v>334</v>
      </c>
      <c r="C612" s="14" t="s">
        <v>158</v>
      </c>
      <c r="D612" s="20" t="s">
        <v>3042</v>
      </c>
      <c r="E612" s="15" t="str">
        <f>HYPERLINK("https://stat100.ameba.jp/tnk47/ratio20/illustrations/card/ill_69723_nakaurajurian03.jpg?202105-5-RELEASE-marathon-531x", "■")</f>
        <v>■</v>
      </c>
      <c r="F612" s="14" t="s">
        <v>2257</v>
      </c>
      <c r="G612" s="14">
        <v>116296</v>
      </c>
      <c r="H612" s="14">
        <v>125078</v>
      </c>
      <c r="I612" s="7">
        <v>29</v>
      </c>
      <c r="J612" s="14" t="s">
        <v>173</v>
      </c>
      <c r="K612" s="14" t="s">
        <v>2258</v>
      </c>
      <c r="L612" s="14" t="s">
        <v>2259</v>
      </c>
      <c r="M612" s="14" t="s">
        <v>9158</v>
      </c>
      <c r="N612" s="14" t="s">
        <v>9158</v>
      </c>
      <c r="O612" s="14" t="s">
        <v>9158</v>
      </c>
      <c r="P612" s="14" t="s">
        <v>9158</v>
      </c>
      <c r="Q612" s="14" t="s">
        <v>9158</v>
      </c>
    </row>
    <row r="613" spans="1:17">
      <c r="A613" s="14">
        <v>62153</v>
      </c>
      <c r="B613" s="14" t="s">
        <v>334</v>
      </c>
      <c r="C613" s="14" t="s">
        <v>1</v>
      </c>
      <c r="D613" s="20" t="s">
        <v>16317</v>
      </c>
      <c r="E613" s="15" t="str">
        <f>HYPERLINK("https://stat100.ameba.jp/tnk47/ratio20/illustrations/card/ill_62153_obentonekodanuki03.jpg?202105-5-RELEASE-marathon-531x", "■")</f>
        <v>■</v>
      </c>
      <c r="F613" s="14" t="s">
        <v>16318</v>
      </c>
      <c r="G613" s="14">
        <v>120830</v>
      </c>
      <c r="H613" s="14">
        <v>112369</v>
      </c>
      <c r="I613" s="7">
        <v>29</v>
      </c>
      <c r="J613" s="14" t="s">
        <v>73</v>
      </c>
      <c r="K613" s="14" t="s">
        <v>12212</v>
      </c>
      <c r="L613" s="14" t="s">
        <v>16319</v>
      </c>
      <c r="M613" s="14" t="s">
        <v>9158</v>
      </c>
      <c r="N613" s="14" t="s">
        <v>9158</v>
      </c>
      <c r="O613" s="14" t="s">
        <v>9158</v>
      </c>
      <c r="P613" s="14" t="s">
        <v>9158</v>
      </c>
      <c r="Q613" s="14" t="s">
        <v>9158</v>
      </c>
    </row>
    <row r="614" spans="1:17">
      <c r="A614" s="14">
        <v>65173</v>
      </c>
      <c r="B614" s="14" t="s">
        <v>334</v>
      </c>
      <c r="C614" s="14" t="s">
        <v>101</v>
      </c>
      <c r="D614" s="20" t="s">
        <v>16320</v>
      </c>
      <c r="E614" s="15" t="str">
        <f>HYPERLINK("https://stat100.ameba.jp/tnk47/ratio20/illustrations/card/ill_65173_kimodameshihorahamahime03.jpg?202105-5-RELEASE-marathon-531x", "■")</f>
        <v>■</v>
      </c>
      <c r="F614" s="14" t="s">
        <v>3565</v>
      </c>
      <c r="G614" s="14">
        <v>112369</v>
      </c>
      <c r="H614" s="14">
        <v>120830</v>
      </c>
      <c r="I614" s="7">
        <v>29</v>
      </c>
      <c r="J614" s="14" t="s">
        <v>73</v>
      </c>
      <c r="K614" s="14" t="s">
        <v>16321</v>
      </c>
      <c r="L614" s="14" t="s">
        <v>16322</v>
      </c>
      <c r="M614" s="14" t="s">
        <v>9158</v>
      </c>
      <c r="N614" s="14" t="s">
        <v>9158</v>
      </c>
      <c r="O614" s="14" t="s">
        <v>9158</v>
      </c>
      <c r="P614" s="14" t="s">
        <v>9158</v>
      </c>
      <c r="Q614" s="14" t="s">
        <v>9158</v>
      </c>
    </row>
    <row r="615" spans="1:17">
      <c r="A615" s="14">
        <v>51923</v>
      </c>
      <c r="B615" s="14" t="s">
        <v>15</v>
      </c>
      <c r="C615" s="14" t="s">
        <v>165</v>
      </c>
      <c r="D615" s="20" t="s">
        <v>15362</v>
      </c>
      <c r="E615" s="15" t="str">
        <f>HYPERLINK("https://stat100.ameba.jp/tnk47/ratio20/illustrations/card/ill_51923_kemonomizugikokyu03.jpg?202105-5-RELEASE-marathon-531x", "■")</f>
        <v>■</v>
      </c>
      <c r="F615" s="14" t="s">
        <v>15367</v>
      </c>
      <c r="G615" s="14">
        <v>71136</v>
      </c>
      <c r="H615" s="14">
        <v>64520</v>
      </c>
      <c r="I615" s="14">
        <v>24</v>
      </c>
      <c r="J615" s="14" t="s">
        <v>38</v>
      </c>
      <c r="K615" s="14" t="s">
        <v>15365</v>
      </c>
      <c r="L615" s="14" t="s">
        <v>15364</v>
      </c>
      <c r="M615" s="14" t="s">
        <v>9158</v>
      </c>
      <c r="N615" s="14" t="s">
        <v>9158</v>
      </c>
      <c r="O615" s="14" t="s">
        <v>9158</v>
      </c>
      <c r="P615" s="14" t="s">
        <v>9158</v>
      </c>
      <c r="Q615" s="14" t="s">
        <v>9158</v>
      </c>
    </row>
    <row r="616" spans="1:17">
      <c r="A616" s="14">
        <v>52963</v>
      </c>
      <c r="B616" s="14" t="s">
        <v>15</v>
      </c>
      <c r="C616" s="14" t="s">
        <v>101</v>
      </c>
      <c r="D616" s="20" t="s">
        <v>102</v>
      </c>
      <c r="E616" s="15" t="str">
        <f>HYPERLINK("https://stat100.ameba.jp/tnk47/ratio20/illustrations/card/ill_52963_torampumomochan03.jpg?202105-5-RELEASE-marathon-531x", "■")</f>
        <v>■</v>
      </c>
      <c r="F616" s="14" t="s">
        <v>103</v>
      </c>
      <c r="G616" s="14">
        <v>64520</v>
      </c>
      <c r="H616" s="14">
        <v>71136</v>
      </c>
      <c r="I616" s="14">
        <v>24</v>
      </c>
      <c r="J616" s="14" t="s">
        <v>104</v>
      </c>
      <c r="K616" s="14" t="s">
        <v>105</v>
      </c>
      <c r="L616" s="14" t="s">
        <v>106</v>
      </c>
      <c r="M616" s="14" t="s">
        <v>9158</v>
      </c>
      <c r="N616" s="14" t="s">
        <v>9158</v>
      </c>
      <c r="O616" s="14" t="s">
        <v>9158</v>
      </c>
      <c r="P616" s="14" t="s">
        <v>9158</v>
      </c>
      <c r="Q616" s="14" t="s">
        <v>9158</v>
      </c>
    </row>
    <row r="617" spans="1:17">
      <c r="A617" s="14">
        <v>51383</v>
      </c>
      <c r="B617" s="14" t="s">
        <v>15</v>
      </c>
      <c r="C617" s="14" t="s">
        <v>1</v>
      </c>
      <c r="D617" s="20" t="s">
        <v>15363</v>
      </c>
      <c r="E617" s="15" t="str">
        <f>HYPERLINK("https://stat100.ameba.jp/tnk47/ratio20/illustrations/card/ill_51383_ozashikikyogokuichiko03.jpg?202105-5-RELEASE-marathon-531x", "■")</f>
        <v>■</v>
      </c>
      <c r="F617" s="14" t="s">
        <v>15371</v>
      </c>
      <c r="G617" s="14">
        <v>71136</v>
      </c>
      <c r="H617" s="14">
        <v>64520</v>
      </c>
      <c r="I617" s="14">
        <v>24</v>
      </c>
      <c r="J617" s="14" t="s">
        <v>16</v>
      </c>
      <c r="K617" s="14" t="s">
        <v>15369</v>
      </c>
      <c r="L617" s="14" t="s">
        <v>15368</v>
      </c>
      <c r="M617" s="14" t="s">
        <v>9158</v>
      </c>
      <c r="N617" s="14" t="s">
        <v>9158</v>
      </c>
      <c r="O617" s="14" t="s">
        <v>9158</v>
      </c>
      <c r="P617" s="14" t="s">
        <v>9158</v>
      </c>
      <c r="Q617" s="14" t="s">
        <v>9158</v>
      </c>
    </row>
    <row r="618" spans="1:17">
      <c r="A618" s="14">
        <v>51903</v>
      </c>
      <c r="B618" s="14" t="s">
        <v>15</v>
      </c>
      <c r="C618" s="14" t="s">
        <v>14</v>
      </c>
      <c r="D618" s="20" t="s">
        <v>16323</v>
      </c>
      <c r="E618" s="15" t="str">
        <f>HYPERLINK("https://stat100.ameba.jp/tnk47/ratio20/illustrations/card/ill_51903_kemonomizugiringochan03.jpg?202105-5-RELEASE-marathon-531x", "■")</f>
        <v>■</v>
      </c>
      <c r="F618" s="14" t="s">
        <v>16324</v>
      </c>
      <c r="G618" s="14">
        <v>71136</v>
      </c>
      <c r="H618" s="14">
        <v>64520</v>
      </c>
      <c r="I618" s="14">
        <v>24</v>
      </c>
      <c r="J618" s="14" t="s">
        <v>104</v>
      </c>
      <c r="K618" s="14" t="s">
        <v>16325</v>
      </c>
      <c r="L618" s="14" t="s">
        <v>16326</v>
      </c>
      <c r="M618" s="14" t="s">
        <v>9158</v>
      </c>
      <c r="N618" s="14" t="s">
        <v>9158</v>
      </c>
      <c r="O618" s="14" t="s">
        <v>9158</v>
      </c>
      <c r="P618" s="14" t="s">
        <v>9158</v>
      </c>
      <c r="Q618" s="14" t="s">
        <v>9158</v>
      </c>
    </row>
    <row r="620" spans="1:17">
      <c r="A620" s="14" t="s">
        <v>4065</v>
      </c>
    </row>
    <row r="621" spans="1:17">
      <c r="A621" s="14">
        <v>108431</v>
      </c>
      <c r="B621" s="14" t="s">
        <v>12500</v>
      </c>
    </row>
    <row r="622" spans="1:17">
      <c r="A622" s="7" t="s">
        <v>8839</v>
      </c>
      <c r="B622" s="7" t="s">
        <v>52</v>
      </c>
      <c r="C622" s="7" t="s">
        <v>202</v>
      </c>
      <c r="D622" s="20" t="s">
        <v>10880</v>
      </c>
      <c r="E622" s="15" t="str">
        <f>HYPERLINK("https://stat100.ameba.jp/tnk47/ratio20/illustrations/card/ill_86273_0_oshogatsuniijimayae03.jpg?202105-5-RELEASE-marathon-531x", "■")</f>
        <v>■</v>
      </c>
      <c r="F622" s="7" t="s">
        <v>8838</v>
      </c>
      <c r="G622" s="7">
        <v>307296</v>
      </c>
      <c r="H622" s="7">
        <v>340008</v>
      </c>
      <c r="I622" s="7">
        <v>28</v>
      </c>
      <c r="J622" s="14" t="s">
        <v>173</v>
      </c>
      <c r="K622" s="7" t="s">
        <v>8837</v>
      </c>
      <c r="L622" s="7" t="s">
        <v>13211</v>
      </c>
      <c r="M622" s="14" t="s">
        <v>9158</v>
      </c>
      <c r="N622" s="14" t="s">
        <v>9158</v>
      </c>
      <c r="O622" s="19" t="s">
        <v>10134</v>
      </c>
      <c r="P622" s="7" t="s">
        <v>8870</v>
      </c>
      <c r="Q622" s="7">
        <v>1</v>
      </c>
    </row>
    <row r="623" spans="1:17">
      <c r="A623" s="9">
        <v>73723</v>
      </c>
      <c r="B623" s="14" t="s">
        <v>334</v>
      </c>
      <c r="C623" s="14" t="s">
        <v>191</v>
      </c>
      <c r="D623" s="14" t="s">
        <v>3456</v>
      </c>
      <c r="E623" s="15" t="str">
        <f>HYPERLINK("https://stat100.ameba.jp/tnk47/ratio20/illustrations/card/ill_73723_umibirakitomoegozen03.jpg?202105-5-RELEASE-marathon-531x", "■")</f>
        <v>■</v>
      </c>
      <c r="F623" s="14" t="s">
        <v>3457</v>
      </c>
      <c r="G623" s="14">
        <v>160507</v>
      </c>
      <c r="H623" s="14">
        <v>149240</v>
      </c>
      <c r="I623" s="14">
        <v>27</v>
      </c>
      <c r="J623" s="14" t="s">
        <v>143</v>
      </c>
      <c r="K623" s="14" t="s">
        <v>3458</v>
      </c>
      <c r="L623" s="14" t="s">
        <v>3459</v>
      </c>
      <c r="M623" s="14" t="s">
        <v>9158</v>
      </c>
      <c r="N623" s="14" t="s">
        <v>9158</v>
      </c>
      <c r="O623" s="18" t="s">
        <v>10057</v>
      </c>
      <c r="P623" s="14" t="s">
        <v>3460</v>
      </c>
      <c r="Q623" s="14">
        <v>1</v>
      </c>
    </row>
    <row r="624" spans="1:17">
      <c r="A624" s="9">
        <v>65653</v>
      </c>
      <c r="B624" s="14" t="s">
        <v>334</v>
      </c>
      <c r="C624" s="14" t="s">
        <v>335</v>
      </c>
      <c r="D624" s="14" t="s">
        <v>3411</v>
      </c>
      <c r="E624" s="15" t="str">
        <f>HYPERLINK("https://stat100.ameba.jp/tnk47/ratio20/illustrations/card/ill_65653_undokaitakamurachieko03.jpg?202105-5-RELEASE-marathon-531x", "■")</f>
        <v>■</v>
      </c>
      <c r="F624" s="14" t="s">
        <v>853</v>
      </c>
      <c r="G624" s="14">
        <v>109481</v>
      </c>
      <c r="H624" s="14">
        <v>101837</v>
      </c>
      <c r="I624" s="14">
        <v>27</v>
      </c>
      <c r="J624" s="14" t="s">
        <v>414</v>
      </c>
      <c r="K624" s="14" t="s">
        <v>854</v>
      </c>
      <c r="L624" s="14" t="s">
        <v>855</v>
      </c>
      <c r="M624" s="14" t="s">
        <v>9158</v>
      </c>
      <c r="N624" s="14" t="s">
        <v>9158</v>
      </c>
      <c r="O624" s="9" t="s">
        <v>3414</v>
      </c>
      <c r="P624" s="14" t="s">
        <v>13122</v>
      </c>
      <c r="Q624" s="14">
        <v>1</v>
      </c>
    </row>
    <row r="625" spans="1:18">
      <c r="A625" s="14">
        <v>90353</v>
      </c>
      <c r="B625" s="14" t="s">
        <v>0</v>
      </c>
      <c r="C625" s="14" t="s">
        <v>107</v>
      </c>
      <c r="D625" s="18" t="s">
        <v>13656</v>
      </c>
      <c r="E625" s="15" t="str">
        <f>HYPERLINK("https://stat100.ameba.jp/tnk47/ratio20/illustrations/card/ill_90353_nangokubakansumyorinni03.jpg?202105-5-RELEASE-marathon-531x", "■")</f>
        <v>■</v>
      </c>
      <c r="F625" s="14" t="s">
        <v>13658</v>
      </c>
      <c r="G625" s="14">
        <v>160507</v>
      </c>
      <c r="H625" s="14">
        <v>149240</v>
      </c>
      <c r="I625" s="14">
        <v>27</v>
      </c>
      <c r="J625" s="14" t="s">
        <v>143</v>
      </c>
      <c r="K625" s="14" t="s">
        <v>13660</v>
      </c>
      <c r="L625" s="14" t="s">
        <v>13661</v>
      </c>
      <c r="M625" s="14" t="s">
        <v>9158</v>
      </c>
      <c r="N625" s="14" t="s">
        <v>9158</v>
      </c>
      <c r="O625" s="6" t="s">
        <v>3578</v>
      </c>
      <c r="P625" s="7" t="s">
        <v>3579</v>
      </c>
      <c r="Q625" s="7">
        <v>1</v>
      </c>
    </row>
    <row r="627" spans="1:18">
      <c r="A627" s="14" t="s">
        <v>13327</v>
      </c>
    </row>
    <row r="628" spans="1:18">
      <c r="A628" s="14">
        <v>108449</v>
      </c>
      <c r="B628" s="14" t="s">
        <v>17189</v>
      </c>
    </row>
    <row r="629" spans="1:18">
      <c r="A629" s="14">
        <v>83973</v>
      </c>
      <c r="B629" s="14" t="s">
        <v>334</v>
      </c>
      <c r="C629" s="14" t="s">
        <v>14</v>
      </c>
      <c r="D629" s="19" t="s">
        <v>10570</v>
      </c>
      <c r="E629" s="15" t="str">
        <f>HYPERLINK("https://stat100.ameba.jp/tnk47/ratio20/illustrations/card/ill_83973_nekokishiirurosu03.jpg?202105-5-RELEASE-marathon-531x", "■")</f>
        <v>■</v>
      </c>
      <c r="F629" s="14" t="s">
        <v>6706</v>
      </c>
      <c r="G629" s="14">
        <v>142768</v>
      </c>
      <c r="H629" s="14">
        <v>132737</v>
      </c>
      <c r="I629" s="14">
        <v>29</v>
      </c>
      <c r="J629" s="14" t="s">
        <v>229</v>
      </c>
      <c r="K629" s="14" t="s">
        <v>6707</v>
      </c>
      <c r="L629" s="14" t="s">
        <v>13202</v>
      </c>
      <c r="M629" s="14" t="s">
        <v>13130</v>
      </c>
      <c r="N629" s="14" t="s">
        <v>343</v>
      </c>
      <c r="O629" s="14" t="s">
        <v>9158</v>
      </c>
      <c r="P629" s="14" t="s">
        <v>9158</v>
      </c>
      <c r="Q629" s="14" t="s">
        <v>9158</v>
      </c>
      <c r="R629" s="14" t="s">
        <v>14748</v>
      </c>
    </row>
    <row r="630" spans="1:18">
      <c r="A630" s="14">
        <v>83972</v>
      </c>
      <c r="B630" s="14" t="s">
        <v>334</v>
      </c>
      <c r="C630" s="14" t="s">
        <v>14</v>
      </c>
      <c r="D630" s="19" t="s">
        <v>10570</v>
      </c>
      <c r="E630" s="15" t="str">
        <f>HYPERLINK("https://stat100.ameba.jp/tnk47/ratio20/illustrations/card/ill_83972_nekokishiirurosu02.jpg?202105-5-RELEASE-marathon-531x", "■")</f>
        <v>■</v>
      </c>
      <c r="F630" s="14" t="s">
        <v>6706</v>
      </c>
      <c r="G630" s="14">
        <v>119345</v>
      </c>
      <c r="H630" s="14">
        <v>109938</v>
      </c>
      <c r="I630" s="14">
        <v>29</v>
      </c>
      <c r="J630" s="14" t="s">
        <v>229</v>
      </c>
      <c r="K630" s="14" t="s">
        <v>6707</v>
      </c>
      <c r="L630" s="14" t="s">
        <v>13201</v>
      </c>
      <c r="M630" s="14" t="s">
        <v>13131</v>
      </c>
      <c r="N630" s="14" t="s">
        <v>251</v>
      </c>
      <c r="O630" s="14" t="s">
        <v>9158</v>
      </c>
      <c r="P630" s="14" t="s">
        <v>9158</v>
      </c>
      <c r="Q630" s="14" t="s">
        <v>9158</v>
      </c>
      <c r="R630" s="14" t="s">
        <v>14748</v>
      </c>
    </row>
    <row r="631" spans="1:18">
      <c r="A631" s="14">
        <v>83971</v>
      </c>
      <c r="B631" s="14" t="s">
        <v>0</v>
      </c>
      <c r="C631" s="14" t="s">
        <v>14</v>
      </c>
      <c r="D631" s="19" t="s">
        <v>10570</v>
      </c>
      <c r="E631" s="15" t="str">
        <f>HYPERLINK("https://stat100.ameba.jp/tnk47/ratio20/illustrations/card/ill_83971_nekokishiirurosu01.jpg?202105-5-RELEASE-marathon-531x", "■")</f>
        <v>■</v>
      </c>
      <c r="F631" s="14" t="s">
        <v>6706</v>
      </c>
      <c r="G631" s="14">
        <v>91118</v>
      </c>
      <c r="H631" s="14">
        <v>84825</v>
      </c>
      <c r="I631" s="14">
        <v>29</v>
      </c>
      <c r="J631" s="14" t="s">
        <v>229</v>
      </c>
      <c r="K631" s="14" t="s">
        <v>6707</v>
      </c>
      <c r="L631" s="14" t="s">
        <v>13201</v>
      </c>
      <c r="M631" s="14" t="s">
        <v>13131</v>
      </c>
      <c r="N631" s="14" t="s">
        <v>251</v>
      </c>
      <c r="O631" s="14" t="s">
        <v>9158</v>
      </c>
      <c r="P631" s="14" t="s">
        <v>9158</v>
      </c>
      <c r="Q631" s="14" t="s">
        <v>9158</v>
      </c>
      <c r="R631" s="14" t="s">
        <v>14748</v>
      </c>
    </row>
    <row r="632" spans="1:18">
      <c r="A632" s="14">
        <v>83983</v>
      </c>
      <c r="B632" s="14" t="s">
        <v>334</v>
      </c>
      <c r="C632" s="14" t="s">
        <v>23</v>
      </c>
      <c r="D632" s="19" t="s">
        <v>10571</v>
      </c>
      <c r="E632" s="15" t="str">
        <f>HYPERLINK("https://stat100.ameba.jp/tnk47/ratio20/illustrations/card/ill_83983_ryujinsui03.jpg?202105-5-RELEASE-marathon-531x", "■")</f>
        <v>■</v>
      </c>
      <c r="F632" s="14" t="s">
        <v>6708</v>
      </c>
      <c r="G632" s="14">
        <v>132737</v>
      </c>
      <c r="H632" s="14">
        <v>142768</v>
      </c>
      <c r="I632" s="14">
        <v>29</v>
      </c>
      <c r="J632" s="14" t="s">
        <v>169</v>
      </c>
      <c r="K632" s="14" t="s">
        <v>6710</v>
      </c>
      <c r="L632" s="14" t="s">
        <v>6721</v>
      </c>
      <c r="M632" s="14" t="s">
        <v>13130</v>
      </c>
      <c r="N632" s="14" t="s">
        <v>343</v>
      </c>
      <c r="O632" s="14" t="s">
        <v>9158</v>
      </c>
      <c r="P632" s="14" t="s">
        <v>9158</v>
      </c>
      <c r="Q632" s="14" t="s">
        <v>9158</v>
      </c>
      <c r="R632" s="14" t="s">
        <v>14748</v>
      </c>
    </row>
    <row r="633" spans="1:18">
      <c r="A633" s="14">
        <v>83993</v>
      </c>
      <c r="B633" s="14" t="s">
        <v>334</v>
      </c>
      <c r="C633" s="14" t="s">
        <v>101</v>
      </c>
      <c r="D633" s="19" t="s">
        <v>10572</v>
      </c>
      <c r="E633" s="15" t="str">
        <f>HYPERLINK("https://stat100.ameba.jp/tnk47/ratio20/illustrations/card/ill_83993_enjieruzuranotamagochan03.jpg?202105-5-RELEASE-marathon-531x", "■")</f>
        <v>■</v>
      </c>
      <c r="F633" s="14" t="s">
        <v>6722</v>
      </c>
      <c r="G633" s="14">
        <v>132737</v>
      </c>
      <c r="H633" s="14">
        <v>142768</v>
      </c>
      <c r="I633" s="14">
        <v>29</v>
      </c>
      <c r="J633" s="14" t="s">
        <v>216</v>
      </c>
      <c r="K633" s="14" t="s">
        <v>6723</v>
      </c>
      <c r="L633" s="14" t="s">
        <v>6724</v>
      </c>
      <c r="M633" s="14" t="s">
        <v>13130</v>
      </c>
      <c r="N633" s="14" t="s">
        <v>343</v>
      </c>
      <c r="O633" s="14" t="s">
        <v>9158</v>
      </c>
      <c r="P633" s="14" t="s">
        <v>9158</v>
      </c>
      <c r="Q633" s="14" t="s">
        <v>9158</v>
      </c>
      <c r="R633" s="14" t="s">
        <v>14748</v>
      </c>
    </row>
    <row r="634" spans="1:18">
      <c r="A634" s="14">
        <v>84003</v>
      </c>
      <c r="B634" s="14" t="s">
        <v>0</v>
      </c>
      <c r="C634" s="14" t="s">
        <v>96</v>
      </c>
      <c r="D634" s="19" t="s">
        <v>10573</v>
      </c>
      <c r="E634" s="15" t="str">
        <f>HYPERLINK("https://stat100.ameba.jp/tnk47/ratio20/illustrations/card/ill_84003_sukoropendora03.jpg?202105-5-RELEASE-marathon-531x", "■")</f>
        <v>■</v>
      </c>
      <c r="F634" s="14" t="s">
        <v>6725</v>
      </c>
      <c r="G634" s="14">
        <v>142768</v>
      </c>
      <c r="H634" s="14">
        <v>132737</v>
      </c>
      <c r="I634" s="14">
        <v>29</v>
      </c>
      <c r="J634" s="14" t="s">
        <v>182</v>
      </c>
      <c r="K634" s="14" t="s">
        <v>6727</v>
      </c>
      <c r="L634" s="14" t="s">
        <v>6728</v>
      </c>
      <c r="M634" s="14" t="s">
        <v>13130</v>
      </c>
      <c r="N634" s="14" t="s">
        <v>343</v>
      </c>
      <c r="O634" s="14" t="s">
        <v>9158</v>
      </c>
      <c r="P634" s="14" t="s">
        <v>9158</v>
      </c>
      <c r="Q634" s="14" t="s">
        <v>9158</v>
      </c>
      <c r="R634" s="14" t="s">
        <v>14748</v>
      </c>
    </row>
    <row r="635" spans="1:18">
      <c r="A635" s="14">
        <v>84013</v>
      </c>
      <c r="B635" s="14" t="s">
        <v>334</v>
      </c>
      <c r="C635" s="14" t="s">
        <v>205</v>
      </c>
      <c r="D635" s="19" t="s">
        <v>10574</v>
      </c>
      <c r="E635" s="15" t="str">
        <f>HYPERLINK("https://stat100.ameba.jp/tnk47/ratio20/illustrations/card/ill_84013_neikiddo03.jpg?202105-5-RELEASE-marathon-531x", "■")</f>
        <v>■</v>
      </c>
      <c r="F635" s="14" t="s">
        <v>6729</v>
      </c>
      <c r="G635" s="14">
        <v>132737</v>
      </c>
      <c r="H635" s="14">
        <v>142768</v>
      </c>
      <c r="I635" s="14">
        <v>29</v>
      </c>
      <c r="J635" s="14" t="s">
        <v>194</v>
      </c>
      <c r="K635" s="14" t="s">
        <v>6731</v>
      </c>
      <c r="L635" s="14" t="s">
        <v>6732</v>
      </c>
      <c r="M635" s="14" t="s">
        <v>13130</v>
      </c>
      <c r="N635" s="14" t="s">
        <v>343</v>
      </c>
      <c r="O635" s="14" t="s">
        <v>9158</v>
      </c>
      <c r="P635" s="14" t="s">
        <v>9158</v>
      </c>
      <c r="Q635" s="14" t="s">
        <v>9158</v>
      </c>
      <c r="R635" s="14" t="s">
        <v>14748</v>
      </c>
    </row>
    <row r="636" spans="1:18">
      <c r="A636" s="14">
        <v>76763</v>
      </c>
      <c r="B636" s="14" t="s">
        <v>334</v>
      </c>
      <c r="C636" s="14" t="s">
        <v>107</v>
      </c>
      <c r="D636" s="19" t="s">
        <v>10575</v>
      </c>
      <c r="E636" s="15" t="str">
        <f>HYPERLINK("https://stat100.ameba.jp/tnk47/ratio20/illustrations/card/ill_76763_monsutanabeshimakeiginni03.jpg?202105-5-RELEASE-marathon-531x", "■")</f>
        <v>■</v>
      </c>
      <c r="F636" s="14" t="s">
        <v>6733</v>
      </c>
      <c r="G636" s="14">
        <v>142768</v>
      </c>
      <c r="H636" s="14">
        <v>132737</v>
      </c>
      <c r="I636" s="14">
        <v>29</v>
      </c>
      <c r="J636" s="14" t="s">
        <v>187</v>
      </c>
      <c r="K636" s="14" t="s">
        <v>6735</v>
      </c>
      <c r="L636" s="14" t="s">
        <v>6736</v>
      </c>
      <c r="M636" s="14" t="s">
        <v>13130</v>
      </c>
      <c r="N636" s="14" t="s">
        <v>343</v>
      </c>
      <c r="O636" s="14" t="s">
        <v>9158</v>
      </c>
      <c r="P636" s="14" t="s">
        <v>9158</v>
      </c>
      <c r="Q636" s="14" t="s">
        <v>9158</v>
      </c>
      <c r="R636" s="14" t="s">
        <v>14748</v>
      </c>
    </row>
    <row r="638" spans="1:18">
      <c r="A638" s="14" t="s">
        <v>3643</v>
      </c>
    </row>
    <row r="639" spans="1:18">
      <c r="A639" s="14">
        <v>108468</v>
      </c>
      <c r="B639" s="14" t="s">
        <v>12503</v>
      </c>
    </row>
    <row r="640" spans="1:18">
      <c r="A640" s="14">
        <v>94385</v>
      </c>
      <c r="B640" s="14" t="s">
        <v>0</v>
      </c>
      <c r="C640" s="14" t="s">
        <v>35</v>
      </c>
      <c r="D640" s="18" t="s">
        <v>16579</v>
      </c>
      <c r="E640" s="15" t="str">
        <f>HYPERLINK("https://stat100.ameba.jp/tnk47/ratio20/illustrations/card/ill_94385_santabutaimurakamisuigun05.jpg?202105-5-RELEASE-marathon-531xx", "■")</f>
        <v>■</v>
      </c>
      <c r="F640" s="14" t="s">
        <v>16578</v>
      </c>
      <c r="G640" s="14">
        <v>167158</v>
      </c>
      <c r="H640" s="14">
        <v>121038</v>
      </c>
      <c r="I640" s="14">
        <v>28</v>
      </c>
      <c r="J640" s="14" t="s">
        <v>143</v>
      </c>
      <c r="K640" s="14" t="s">
        <v>16577</v>
      </c>
      <c r="L640" s="14" t="s">
        <v>16576</v>
      </c>
      <c r="M640" s="14" t="s">
        <v>9158</v>
      </c>
      <c r="N640" s="14" t="s">
        <v>9158</v>
      </c>
      <c r="O640" s="14" t="s">
        <v>9158</v>
      </c>
      <c r="P640" s="14" t="s">
        <v>9158</v>
      </c>
      <c r="Q640" s="14" t="s">
        <v>9158</v>
      </c>
      <c r="R640" s="14" t="s">
        <v>174</v>
      </c>
    </row>
    <row r="641" spans="1:18">
      <c r="A641" s="14">
        <v>94383</v>
      </c>
      <c r="B641" s="14" t="s">
        <v>15</v>
      </c>
      <c r="C641" s="14" t="s">
        <v>41</v>
      </c>
      <c r="D641" s="18" t="s">
        <v>16579</v>
      </c>
      <c r="E641" s="15" t="str">
        <f>HYPERLINK("https://stat100.ameba.jp/tnk47/ratio20/illustrations/card/ill_94383_santabutaimurakamisuigun03.jpg?202105-5-RELEASE-marathon-531xx", "■")</f>
        <v>■</v>
      </c>
      <c r="F641" s="14" t="s">
        <v>16578</v>
      </c>
      <c r="G641" s="14">
        <v>123158</v>
      </c>
      <c r="H641" s="14">
        <v>89174</v>
      </c>
      <c r="I641" s="14">
        <v>28</v>
      </c>
      <c r="J641" s="14" t="s">
        <v>143</v>
      </c>
      <c r="K641" s="14" t="s">
        <v>16577</v>
      </c>
      <c r="L641" s="14" t="s">
        <v>1219</v>
      </c>
      <c r="M641" s="14" t="s">
        <v>9158</v>
      </c>
      <c r="N641" s="14" t="s">
        <v>9158</v>
      </c>
      <c r="O641" s="14" t="s">
        <v>9158</v>
      </c>
      <c r="P641" s="14" t="s">
        <v>9158</v>
      </c>
      <c r="Q641" s="14" t="s">
        <v>9158</v>
      </c>
      <c r="R641" s="14" t="s">
        <v>175</v>
      </c>
    </row>
    <row r="642" spans="1:18">
      <c r="A642" s="14">
        <v>94381</v>
      </c>
      <c r="B642" s="14" t="s">
        <v>15</v>
      </c>
      <c r="C642" s="14" t="s">
        <v>41</v>
      </c>
      <c r="D642" s="18" t="s">
        <v>16579</v>
      </c>
      <c r="E642" s="15" t="str">
        <f>HYPERLINK("https://stat100.ameba.jp/tnk47/ratio20/illustrations/card/ill_94381_santabutaimurakamisuigun01.jpg?202105-5-RELEASE-marathon-531xx", "■")</f>
        <v>■</v>
      </c>
      <c r="F642" s="14" t="s">
        <v>16578</v>
      </c>
      <c r="G642" s="14">
        <v>78344</v>
      </c>
      <c r="H642" s="14">
        <v>56728</v>
      </c>
      <c r="I642" s="14">
        <v>28</v>
      </c>
      <c r="J642" s="14" t="s">
        <v>143</v>
      </c>
      <c r="K642" s="14" t="s">
        <v>16577</v>
      </c>
      <c r="L642" s="14" t="s">
        <v>16580</v>
      </c>
      <c r="M642" s="14" t="s">
        <v>9158</v>
      </c>
      <c r="N642" s="14" t="s">
        <v>9158</v>
      </c>
      <c r="O642" s="14" t="s">
        <v>9158</v>
      </c>
      <c r="P642" s="14" t="s">
        <v>9158</v>
      </c>
      <c r="Q642" s="14" t="s">
        <v>9158</v>
      </c>
      <c r="R642" s="14" t="s">
        <v>176</v>
      </c>
    </row>
    <row r="643" spans="1:18">
      <c r="A643" s="14">
        <v>94395</v>
      </c>
      <c r="B643" s="14" t="s">
        <v>0</v>
      </c>
      <c r="C643" s="14" t="s">
        <v>202</v>
      </c>
      <c r="D643" s="19" t="s">
        <v>16594</v>
      </c>
      <c r="E643" s="15" t="str">
        <f>HYPERLINK("https://stat100.ameba.jp/tnk47/ratio20/illustrations/card/ill_94395_kikaimegamiengotto05.jpg?202105-5-RELEASE-marathon-531xx", "■")</f>
        <v>■</v>
      </c>
      <c r="F643" s="14" t="s">
        <v>16593</v>
      </c>
      <c r="G643" s="14">
        <v>95308</v>
      </c>
      <c r="H643" s="14">
        <v>131636</v>
      </c>
      <c r="I643" s="9">
        <v>28</v>
      </c>
      <c r="J643" s="14" t="s">
        <v>16</v>
      </c>
      <c r="K643" s="14" t="s">
        <v>16592</v>
      </c>
      <c r="L643" s="14" t="s">
        <v>12599</v>
      </c>
      <c r="M643" s="14" t="s">
        <v>9158</v>
      </c>
      <c r="N643" s="14" t="s">
        <v>9158</v>
      </c>
      <c r="O643" s="14" t="s">
        <v>9158</v>
      </c>
      <c r="P643" s="14" t="s">
        <v>9158</v>
      </c>
      <c r="Q643" s="14" t="s">
        <v>9158</v>
      </c>
      <c r="R643" s="14" t="s">
        <v>174</v>
      </c>
    </row>
    <row r="644" spans="1:18">
      <c r="A644" s="14">
        <v>94393</v>
      </c>
      <c r="B644" s="14" t="s">
        <v>15</v>
      </c>
      <c r="C644" s="14" t="s">
        <v>154</v>
      </c>
      <c r="D644" s="19" t="s">
        <v>16594</v>
      </c>
      <c r="E644" s="15" t="str">
        <f>HYPERLINK("https://stat100.ameba.jp/tnk47/ratio20/illustrations/card/ill_94393_kikaimegamiengotto03.jpg?202105-5-RELEASE-marathon-531xx", "■")</f>
        <v>■</v>
      </c>
      <c r="F644" s="14" t="s">
        <v>16593</v>
      </c>
      <c r="G644" s="14">
        <v>70218</v>
      </c>
      <c r="H644" s="14">
        <v>96978</v>
      </c>
      <c r="I644" s="9">
        <v>28</v>
      </c>
      <c r="J644" s="14" t="s">
        <v>16</v>
      </c>
      <c r="K644" s="14" t="s">
        <v>16592</v>
      </c>
      <c r="L644" s="14" t="s">
        <v>13999</v>
      </c>
      <c r="M644" s="14" t="s">
        <v>9158</v>
      </c>
      <c r="N644" s="14" t="s">
        <v>9158</v>
      </c>
      <c r="O644" s="14" t="s">
        <v>9158</v>
      </c>
      <c r="P644" s="14" t="s">
        <v>9158</v>
      </c>
      <c r="Q644" s="14" t="s">
        <v>9158</v>
      </c>
      <c r="R644" s="14" t="s">
        <v>175</v>
      </c>
    </row>
    <row r="645" spans="1:18">
      <c r="A645" s="14">
        <v>94391</v>
      </c>
      <c r="B645" s="14" t="s">
        <v>15</v>
      </c>
      <c r="C645" s="14" t="s">
        <v>154</v>
      </c>
      <c r="D645" s="19" t="s">
        <v>16594</v>
      </c>
      <c r="E645" s="15" t="str">
        <f>HYPERLINK("https://stat100.ameba.jp/tnk47/ratio20/illustrations/card/ill_94391_kikaimegamiengotto01.jpg?202105-5-RELEASE-marathon-531xx", "■")</f>
        <v>■</v>
      </c>
      <c r="F645" s="14" t="s">
        <v>16593</v>
      </c>
      <c r="G645" s="14">
        <v>44660</v>
      </c>
      <c r="H645" s="14">
        <v>61684</v>
      </c>
      <c r="I645" s="9">
        <v>28</v>
      </c>
      <c r="J645" s="14" t="s">
        <v>16</v>
      </c>
      <c r="K645" s="14" t="s">
        <v>16592</v>
      </c>
      <c r="L645" s="14" t="s">
        <v>16595</v>
      </c>
      <c r="M645" s="14" t="s">
        <v>9158</v>
      </c>
      <c r="N645" s="14" t="s">
        <v>9158</v>
      </c>
      <c r="O645" s="14" t="s">
        <v>9158</v>
      </c>
      <c r="P645" s="14" t="s">
        <v>9158</v>
      </c>
      <c r="Q645" s="14" t="s">
        <v>9158</v>
      </c>
      <c r="R645" s="14" t="s">
        <v>176</v>
      </c>
    </row>
    <row r="646" spans="1:18">
      <c r="A646" s="14">
        <v>88455</v>
      </c>
      <c r="B646" s="14" t="s">
        <v>0</v>
      </c>
      <c r="C646" s="14" t="s">
        <v>202</v>
      </c>
      <c r="D646" s="18" t="s">
        <v>12056</v>
      </c>
      <c r="E646" s="15" t="str">
        <f>HYPERLINK("https://stat100.ameba.jp/tnk47/ratio20/illustrations/card/ill_88455_puroresufudomyoo05.jpg?202105-5-RELEASE-marathon-531xx", "■")</f>
        <v>■</v>
      </c>
      <c r="F646" s="14" t="s">
        <v>12057</v>
      </c>
      <c r="G646" s="14">
        <v>144364</v>
      </c>
      <c r="H646" s="14">
        <v>104518</v>
      </c>
      <c r="I646" s="9">
        <v>28</v>
      </c>
      <c r="J646" s="14" t="s">
        <v>44</v>
      </c>
      <c r="K646" s="14" t="s">
        <v>12058</v>
      </c>
      <c r="L646" s="14" t="s">
        <v>12060</v>
      </c>
      <c r="M646" s="14" t="s">
        <v>9158</v>
      </c>
      <c r="N646" s="14" t="s">
        <v>9158</v>
      </c>
      <c r="O646" s="14" t="s">
        <v>9158</v>
      </c>
      <c r="P646" s="14" t="s">
        <v>9158</v>
      </c>
      <c r="Q646" s="14" t="s">
        <v>9158</v>
      </c>
      <c r="R646" s="14" t="s">
        <v>174</v>
      </c>
    </row>
    <row r="647" spans="1:18">
      <c r="A647" s="14">
        <v>88453</v>
      </c>
      <c r="B647" s="14" t="s">
        <v>15</v>
      </c>
      <c r="C647" s="14" t="s">
        <v>154</v>
      </c>
      <c r="D647" s="18" t="s">
        <v>12056</v>
      </c>
      <c r="E647" s="15" t="str">
        <f>HYPERLINK("https://stat100.ameba.jp/tnk47/ratio20/illustrations/card/ill_88453_puroresufudomyoo03.jpg?202105-5-RELEASE-marathon-531xx", "■")</f>
        <v>■</v>
      </c>
      <c r="F647" s="14" t="s">
        <v>12057</v>
      </c>
      <c r="G647" s="14">
        <v>106328</v>
      </c>
      <c r="H647" s="14">
        <v>77004</v>
      </c>
      <c r="I647" s="9">
        <v>28</v>
      </c>
      <c r="J647" s="14" t="s">
        <v>44</v>
      </c>
      <c r="K647" s="14" t="s">
        <v>12058</v>
      </c>
      <c r="L647" s="14" t="s">
        <v>12061</v>
      </c>
      <c r="M647" s="14" t="s">
        <v>9158</v>
      </c>
      <c r="N647" s="14" t="s">
        <v>9158</v>
      </c>
      <c r="O647" s="14" t="s">
        <v>9158</v>
      </c>
      <c r="P647" s="14" t="s">
        <v>9158</v>
      </c>
      <c r="Q647" s="14" t="s">
        <v>9158</v>
      </c>
      <c r="R647" s="14" t="s">
        <v>175</v>
      </c>
    </row>
    <row r="648" spans="1:18">
      <c r="A648" s="14">
        <v>88451</v>
      </c>
      <c r="B648" s="14" t="s">
        <v>15</v>
      </c>
      <c r="C648" s="14" t="s">
        <v>154</v>
      </c>
      <c r="D648" s="18" t="s">
        <v>12056</v>
      </c>
      <c r="E648" s="15" t="str">
        <f>HYPERLINK("https://stat100.ameba.jp/tnk47/ratio20/illustrations/card/ill_88451_puroresufudomyoo01.jpg?202105-5-RELEASE-marathon-531xx", "■")</f>
        <v>■</v>
      </c>
      <c r="F648" s="14" t="s">
        <v>12057</v>
      </c>
      <c r="G648" s="14">
        <v>67648</v>
      </c>
      <c r="H648" s="14">
        <v>48972</v>
      </c>
      <c r="I648" s="9">
        <v>28</v>
      </c>
      <c r="J648" s="14" t="s">
        <v>44</v>
      </c>
      <c r="K648" s="14" t="s">
        <v>12058</v>
      </c>
      <c r="L648" s="14" t="s">
        <v>12062</v>
      </c>
      <c r="M648" s="14" t="s">
        <v>9158</v>
      </c>
      <c r="N648" s="14" t="s">
        <v>9158</v>
      </c>
      <c r="O648" s="14" t="s">
        <v>9158</v>
      </c>
      <c r="P648" s="14" t="s">
        <v>9158</v>
      </c>
      <c r="Q648" s="14" t="s">
        <v>9158</v>
      </c>
      <c r="R648" s="14" t="s">
        <v>176</v>
      </c>
    </row>
    <row r="650" spans="1:18">
      <c r="A650" s="14" t="s">
        <v>3844</v>
      </c>
    </row>
    <row r="651" spans="1:18">
      <c r="A651" s="14">
        <v>108485</v>
      </c>
      <c r="B651" s="14" t="s">
        <v>12527</v>
      </c>
    </row>
    <row r="652" spans="1:18">
      <c r="A652" s="14" t="s">
        <v>5623</v>
      </c>
      <c r="B652" s="14" t="s">
        <v>330</v>
      </c>
      <c r="C652" s="14" t="s">
        <v>165</v>
      </c>
      <c r="D652" s="20" t="s">
        <v>3146</v>
      </c>
      <c r="E652" s="15" t="str">
        <f>HYPERLINK("https://stat100.ameba.jp/tnk47/ratio20/illustrations/card/ill_65713_0_undokaionikirimaru03.jpg?202105-5-RELEASE-marathon-531xx", "■")</f>
        <v>■</v>
      </c>
      <c r="F652" s="14" t="s">
        <v>535</v>
      </c>
      <c r="G652" s="14">
        <v>204345</v>
      </c>
      <c r="H652" s="14">
        <v>189983</v>
      </c>
      <c r="I652" s="14">
        <v>27</v>
      </c>
      <c r="J652" s="14" t="s">
        <v>320</v>
      </c>
      <c r="K652" s="14" t="s">
        <v>3147</v>
      </c>
      <c r="L652" s="14" t="s">
        <v>3148</v>
      </c>
      <c r="M652" s="14" t="s">
        <v>9158</v>
      </c>
      <c r="N652" s="14" t="s">
        <v>9158</v>
      </c>
      <c r="O652" s="19" t="s">
        <v>2869</v>
      </c>
      <c r="P652" s="14" t="s">
        <v>2870</v>
      </c>
      <c r="Q652" s="14">
        <v>1</v>
      </c>
    </row>
    <row r="653" spans="1:18">
      <c r="A653" s="9">
        <v>86833</v>
      </c>
      <c r="B653" s="14" t="s">
        <v>0</v>
      </c>
      <c r="C653" s="9" t="s">
        <v>185</v>
      </c>
      <c r="D653" s="19" t="s">
        <v>12619</v>
      </c>
      <c r="E653" s="15" t="str">
        <f>HYPERLINK("https://stat100.ameba.jp/tnk47/ratio20/illustrations/card/ill_86833_chokonohidosankochan03.jpg?202105-5-RELEASE-marathon-531xx", "■")</f>
        <v>■</v>
      </c>
      <c r="F653" s="9" t="s">
        <v>9335</v>
      </c>
      <c r="G653" s="9">
        <v>101837</v>
      </c>
      <c r="H653" s="9">
        <v>109481</v>
      </c>
      <c r="I653" s="14">
        <v>27</v>
      </c>
      <c r="J653" s="9" t="s">
        <v>229</v>
      </c>
      <c r="K653" s="9" t="s">
        <v>9334</v>
      </c>
      <c r="L653" s="9" t="s">
        <v>9333</v>
      </c>
      <c r="M653" s="14" t="s">
        <v>9158</v>
      </c>
      <c r="N653" s="14" t="s">
        <v>9158</v>
      </c>
      <c r="O653" s="19" t="s">
        <v>2752</v>
      </c>
      <c r="P653" s="14" t="s">
        <v>13123</v>
      </c>
      <c r="Q653" s="14">
        <v>1</v>
      </c>
    </row>
    <row r="654" spans="1:18">
      <c r="A654" s="14">
        <v>89653</v>
      </c>
      <c r="B654" s="14" t="s">
        <v>0</v>
      </c>
      <c r="C654" s="14" t="s">
        <v>101</v>
      </c>
      <c r="D654" s="18" t="s">
        <v>13090</v>
      </c>
      <c r="E654" s="15" t="str">
        <f>HYPERLINK("https://stat100.ameba.jp/tnk47/ratio20/illustrations/card/ill_89653_jumburaidochakkariozonichan03.jpg?202105-5-RELEASE-marathon-531xx", "■")</f>
        <v>■</v>
      </c>
      <c r="F654" s="14" t="s">
        <v>13091</v>
      </c>
      <c r="G654" s="14">
        <v>127507</v>
      </c>
      <c r="H654" s="14">
        <v>118568</v>
      </c>
      <c r="I654" s="14">
        <v>27</v>
      </c>
      <c r="J654" s="14" t="s">
        <v>104</v>
      </c>
      <c r="K654" s="14" t="s">
        <v>13092</v>
      </c>
      <c r="L654" s="14" t="s">
        <v>13093</v>
      </c>
      <c r="M654" s="14" t="s">
        <v>9158</v>
      </c>
      <c r="N654" s="14" t="s">
        <v>9158</v>
      </c>
      <c r="O654" s="6" t="s">
        <v>4583</v>
      </c>
      <c r="P654" s="7" t="s">
        <v>4584</v>
      </c>
      <c r="Q654" s="7">
        <v>1</v>
      </c>
    </row>
    <row r="655" spans="1:18">
      <c r="A655" s="14">
        <v>85483</v>
      </c>
      <c r="B655" s="14" t="s">
        <v>0</v>
      </c>
      <c r="C655" s="14" t="s">
        <v>206</v>
      </c>
      <c r="D655" s="20" t="s">
        <v>10807</v>
      </c>
      <c r="E655" s="15" t="str">
        <f>HYPERLINK("https://stat100.ameba.jp/tnk47/ratio20/illustrations/card/ill_85483_seitankuronikururirimu03.jpg?202105-5-RELEASE-marathon-531xx", "■")</f>
        <v>■</v>
      </c>
      <c r="F655" s="14" t="s">
        <v>8445</v>
      </c>
      <c r="G655" s="14">
        <v>112496</v>
      </c>
      <c r="H655" s="14">
        <v>104619</v>
      </c>
      <c r="I655" s="14">
        <v>27</v>
      </c>
      <c r="J655" s="14" t="s">
        <v>182</v>
      </c>
      <c r="K655" s="14" t="s">
        <v>8444</v>
      </c>
      <c r="L655" s="14" t="s">
        <v>2308</v>
      </c>
      <c r="M655" s="14" t="s">
        <v>9158</v>
      </c>
      <c r="N655" s="14" t="s">
        <v>9158</v>
      </c>
      <c r="O655" s="19" t="s">
        <v>10086</v>
      </c>
      <c r="P655" s="14" t="s">
        <v>3701</v>
      </c>
      <c r="Q655" s="14">
        <v>1</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8AE65-2BA6-41D2-A80C-D4A6F0AD9C2A}">
  <dimension ref="A1:S589"/>
  <sheetViews>
    <sheetView zoomScale="55" zoomScaleNormal="55" workbookViewId="0">
      <pane ySplit="1" topLeftCell="A2" activePane="bottomLeft" state="frozen"/>
      <selection activeCell="D449" sqref="D449"/>
      <selection pane="bottomLeft" activeCell="H6" sqref="H6"/>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17473</v>
      </c>
    </row>
    <row r="4" spans="1:19">
      <c r="A4" s="14">
        <v>311912</v>
      </c>
      <c r="B4" s="14" t="s">
        <v>12537</v>
      </c>
    </row>
    <row r="5" spans="1:19">
      <c r="A5" s="14">
        <v>311961</v>
      </c>
      <c r="B5" s="14" t="s">
        <v>12536</v>
      </c>
    </row>
    <row r="6" spans="1:19">
      <c r="A6" s="14" t="s">
        <v>17383</v>
      </c>
      <c r="B6" s="7" t="s">
        <v>52</v>
      </c>
      <c r="C6" s="14" t="s">
        <v>202</v>
      </c>
      <c r="D6" s="18" t="s">
        <v>17382</v>
      </c>
      <c r="E6" s="15" t="str">
        <f>HYPERLINK("https://stat100.ameba.jp/tnk47/ratio20/illustrations/card/ill_97703_0_shisutatachibanaginchiyo03.jpg?202105-5-RELEASE-marathon-531xx", "■")</f>
        <v>■</v>
      </c>
      <c r="F6" s="14" t="s">
        <v>17381</v>
      </c>
      <c r="G6" s="14">
        <v>324452</v>
      </c>
      <c r="H6" s="14">
        <v>359018</v>
      </c>
      <c r="I6" s="7">
        <v>34</v>
      </c>
      <c r="J6" s="14" t="s">
        <v>77</v>
      </c>
      <c r="K6" s="14" t="s">
        <v>17380</v>
      </c>
      <c r="L6" s="14" t="s">
        <v>17268</v>
      </c>
      <c r="M6" s="14" t="s">
        <v>9158</v>
      </c>
      <c r="N6" s="14" t="s">
        <v>9158</v>
      </c>
      <c r="O6" s="7" t="s">
        <v>17379</v>
      </c>
      <c r="P6" s="7" t="s">
        <v>17378</v>
      </c>
      <c r="Q6" s="7">
        <v>1</v>
      </c>
    </row>
    <row r="7" spans="1:19">
      <c r="A7" s="14">
        <v>97643</v>
      </c>
      <c r="B7" s="14" t="s">
        <v>0</v>
      </c>
      <c r="C7" s="14" t="s">
        <v>14</v>
      </c>
      <c r="D7" s="18" t="s">
        <v>17425</v>
      </c>
      <c r="E7" s="15" t="str">
        <f>HYPERLINK("https://stat100.ameba.jp/tnk47/ratio20/illustrations/card/ill_97643_shisutamatsudairateru03.jpg?202105-5-RELEASE-marathon-531xx", "■")</f>
        <v>■</v>
      </c>
      <c r="F7" s="14" t="s">
        <v>17424</v>
      </c>
      <c r="G7" s="14">
        <v>132112</v>
      </c>
      <c r="H7" s="14">
        <v>122834</v>
      </c>
      <c r="I7" s="14">
        <v>29</v>
      </c>
      <c r="J7" s="14" t="s">
        <v>77</v>
      </c>
      <c r="K7" s="14" t="s">
        <v>17423</v>
      </c>
      <c r="L7" s="14" t="s">
        <v>17422</v>
      </c>
      <c r="M7" s="14" t="s">
        <v>9158</v>
      </c>
      <c r="N7" s="14" t="s">
        <v>9158</v>
      </c>
      <c r="O7" s="7" t="s">
        <v>3609</v>
      </c>
      <c r="P7" s="7" t="s">
        <v>3610</v>
      </c>
      <c r="Q7" s="7">
        <v>1</v>
      </c>
    </row>
    <row r="8" spans="1:19">
      <c r="A8" s="14">
        <v>97653</v>
      </c>
      <c r="B8" s="14" t="s">
        <v>0</v>
      </c>
      <c r="C8" s="14" t="s">
        <v>101</v>
      </c>
      <c r="D8" s="18" t="s">
        <v>17451</v>
      </c>
      <c r="E8" s="15" t="str">
        <f>HYPERLINK("https://stat100.ameba.jp/tnk47/ratio20/illustrations/card/ill_97653_shisutashimodautako03.jpg?202105-5-RELEASE-marathon-531xx", "■")</f>
        <v>■</v>
      </c>
      <c r="F8" s="14" t="s">
        <v>17450</v>
      </c>
      <c r="G8" s="14">
        <v>160296</v>
      </c>
      <c r="H8" s="14">
        <v>172397</v>
      </c>
      <c r="I8" s="14">
        <v>29</v>
      </c>
      <c r="J8" s="14" t="s">
        <v>16</v>
      </c>
      <c r="K8" s="14" t="s">
        <v>17427</v>
      </c>
      <c r="L8" s="14" t="s">
        <v>17426</v>
      </c>
      <c r="M8" s="14" t="s">
        <v>2138</v>
      </c>
      <c r="N8" s="14" t="s">
        <v>2139</v>
      </c>
      <c r="O8" s="14" t="s">
        <v>9158</v>
      </c>
      <c r="P8" s="14" t="s">
        <v>9158</v>
      </c>
      <c r="Q8" s="14" t="s">
        <v>9158</v>
      </c>
      <c r="R8" s="14" t="s">
        <v>13120</v>
      </c>
    </row>
    <row r="9" spans="1:19">
      <c r="A9" s="14">
        <v>97663</v>
      </c>
      <c r="B9" s="14" t="s">
        <v>0</v>
      </c>
      <c r="C9" s="14" t="s">
        <v>107</v>
      </c>
      <c r="D9" s="18" t="s">
        <v>17454</v>
      </c>
      <c r="E9" s="15" t="str">
        <f>HYPERLINK("https://stat100.ameba.jp/tnk47/ratio20/illustrations/card/ill_97663_munakatasanjojin03.jpg?202105-5-RELEASE-marathon-531xx", "■")</f>
        <v>■</v>
      </c>
      <c r="F9" s="14" t="s">
        <v>17453</v>
      </c>
      <c r="G9" s="14">
        <v>118287</v>
      </c>
      <c r="H9" s="14">
        <v>109970</v>
      </c>
      <c r="I9" s="14">
        <v>29</v>
      </c>
      <c r="J9" s="14" t="s">
        <v>44</v>
      </c>
      <c r="K9" s="14" t="s">
        <v>17452</v>
      </c>
      <c r="L9" s="14" t="s">
        <v>12060</v>
      </c>
      <c r="M9" s="14" t="s">
        <v>2138</v>
      </c>
      <c r="N9" s="14" t="s">
        <v>2139</v>
      </c>
      <c r="O9" s="14" t="s">
        <v>9158</v>
      </c>
      <c r="P9" s="14" t="s">
        <v>9158</v>
      </c>
      <c r="Q9" s="14" t="s">
        <v>9158</v>
      </c>
      <c r="R9" s="14" t="s">
        <v>13120</v>
      </c>
    </row>
    <row r="10" spans="1:19">
      <c r="A10" s="14">
        <v>97673</v>
      </c>
      <c r="B10" s="14" t="s">
        <v>15</v>
      </c>
      <c r="C10" s="14" t="s">
        <v>23</v>
      </c>
      <c r="D10" s="18" t="s">
        <v>17456</v>
      </c>
      <c r="E10" s="15" t="str">
        <f>HYPERLINK("https://stat100.ameba.jp/tnk47/ratio20/illustrations/card/ill_97673_irumineshonkitaharasatoko03.jpg?202105-5-RELEASE-marathon-531xx", "■")</f>
        <v>■</v>
      </c>
      <c r="F10" s="14" t="s">
        <v>17455</v>
      </c>
      <c r="G10" s="7">
        <v>85956</v>
      </c>
      <c r="H10" s="7">
        <v>77962</v>
      </c>
      <c r="I10" s="14">
        <v>29</v>
      </c>
      <c r="J10" s="14" t="s">
        <v>10</v>
      </c>
      <c r="K10" s="7" t="s">
        <v>9364</v>
      </c>
      <c r="L10" s="7" t="s">
        <v>4524</v>
      </c>
      <c r="M10" s="14" t="s">
        <v>9158</v>
      </c>
      <c r="N10" s="14" t="s">
        <v>9158</v>
      </c>
      <c r="O10" s="14" t="s">
        <v>9158</v>
      </c>
      <c r="P10" s="14" t="s">
        <v>9158</v>
      </c>
      <c r="Q10" s="14" t="s">
        <v>9158</v>
      </c>
    </row>
    <row r="11" spans="1:19">
      <c r="A11" s="14">
        <v>97683</v>
      </c>
      <c r="B11" s="14" t="s">
        <v>15</v>
      </c>
      <c r="C11" s="14" t="s">
        <v>96</v>
      </c>
      <c r="D11" s="18" t="s">
        <v>17458</v>
      </c>
      <c r="E11" s="15" t="str">
        <f>HYPERLINK("https://stat100.ameba.jp/tnk47/ratio20/illustrations/card/ill_97683_aressandorobuarinyano03.jpg?202105-5-RELEASE-marathon-531xx", "■")</f>
        <v>■</v>
      </c>
      <c r="F11" s="14" t="s">
        <v>17457</v>
      </c>
      <c r="G11" s="7">
        <v>77962</v>
      </c>
      <c r="H11" s="7">
        <v>85956</v>
      </c>
      <c r="I11" s="14">
        <v>29</v>
      </c>
      <c r="J11" s="14" t="s">
        <v>10</v>
      </c>
      <c r="K11" s="7" t="s">
        <v>1061</v>
      </c>
      <c r="L11" s="7" t="s">
        <v>2146</v>
      </c>
      <c r="M11" s="14" t="s">
        <v>9158</v>
      </c>
      <c r="N11" s="14" t="s">
        <v>9158</v>
      </c>
      <c r="O11" s="14" t="s">
        <v>9158</v>
      </c>
      <c r="P11" s="14" t="s">
        <v>9158</v>
      </c>
      <c r="Q11" s="14" t="s">
        <v>9158</v>
      </c>
    </row>
    <row r="12" spans="1:19">
      <c r="A12" s="14">
        <v>97693</v>
      </c>
      <c r="B12" s="14" t="s">
        <v>15</v>
      </c>
      <c r="C12" s="14" t="s">
        <v>1</v>
      </c>
      <c r="D12" s="18" t="s">
        <v>17461</v>
      </c>
      <c r="E12" s="15" t="str">
        <f>HYPERLINK("https://stat100.ameba.jp/tnk47/ratio20/illustrations/card/ill_97693_ukitamonika03.jpg?202105-5-RELEASE-marathon-531xx", "■")</f>
        <v>■</v>
      </c>
      <c r="F12" s="14" t="s">
        <v>17460</v>
      </c>
      <c r="G12" s="7">
        <v>85956</v>
      </c>
      <c r="H12" s="7">
        <v>77962</v>
      </c>
      <c r="I12" s="14">
        <v>29</v>
      </c>
      <c r="J12" s="14" t="s">
        <v>77</v>
      </c>
      <c r="K12" s="7" t="s">
        <v>17459</v>
      </c>
      <c r="L12" s="7" t="s">
        <v>3501</v>
      </c>
      <c r="M12" s="14" t="s">
        <v>9158</v>
      </c>
      <c r="N12" s="14" t="s">
        <v>9158</v>
      </c>
      <c r="O12" s="14" t="s">
        <v>9158</v>
      </c>
      <c r="P12" s="14" t="s">
        <v>9158</v>
      </c>
      <c r="Q12" s="14" t="s">
        <v>9158</v>
      </c>
    </row>
    <row r="13" spans="1:19">
      <c r="A13" s="14">
        <v>97713</v>
      </c>
      <c r="B13" s="14" t="s">
        <v>22</v>
      </c>
      <c r="C13" s="14" t="s">
        <v>96</v>
      </c>
      <c r="D13" s="18" t="s">
        <v>17462</v>
      </c>
      <c r="E13" s="15" t="str">
        <f>HYPERLINK("https://stat100.ameba.jp/tnk47/ratio20/illustrations/card/ill_97713_uedeingukusabiragami03.jpg?202105-5-RELEASE-marathon-531xx", "■")</f>
        <v>■</v>
      </c>
      <c r="F13" s="14" t="s">
        <v>17467</v>
      </c>
      <c r="G13" s="7">
        <v>56138</v>
      </c>
      <c r="H13" s="7">
        <v>46676</v>
      </c>
      <c r="I13" s="7">
        <v>27</v>
      </c>
      <c r="J13" s="14" t="s">
        <v>44</v>
      </c>
      <c r="K13" s="7" t="s">
        <v>17466</v>
      </c>
      <c r="L13" s="7" t="s">
        <v>4531</v>
      </c>
      <c r="M13" s="14" t="s">
        <v>9158</v>
      </c>
      <c r="N13" s="14" t="s">
        <v>9158</v>
      </c>
      <c r="O13" s="14" t="s">
        <v>9158</v>
      </c>
      <c r="P13" s="14" t="s">
        <v>9158</v>
      </c>
      <c r="Q13" s="14" t="s">
        <v>9158</v>
      </c>
    </row>
    <row r="14" spans="1:19">
      <c r="A14" s="14">
        <v>97723</v>
      </c>
      <c r="B14" s="14" t="s">
        <v>22</v>
      </c>
      <c r="C14" s="14" t="s">
        <v>1</v>
      </c>
      <c r="D14" s="18" t="s">
        <v>17463</v>
      </c>
      <c r="E14" s="15" t="str">
        <f>HYPERLINK("https://stat100.ameba.jp/tnk47/ratio20/illustrations/card/ill_97723_setonaikainodarumataiyo03.jpg?202105-5-RELEASE-marathon-531xx", "■")</f>
        <v>■</v>
      </c>
      <c r="F14" s="14" t="s">
        <v>17469</v>
      </c>
      <c r="G14" s="7">
        <v>46676</v>
      </c>
      <c r="H14" s="7">
        <v>56138</v>
      </c>
      <c r="I14" s="7">
        <v>27</v>
      </c>
      <c r="J14" s="14" t="s">
        <v>44</v>
      </c>
      <c r="K14" s="7" t="s">
        <v>17468</v>
      </c>
      <c r="L14" s="7" t="s">
        <v>2158</v>
      </c>
      <c r="M14" s="14" t="s">
        <v>9158</v>
      </c>
      <c r="N14" s="14" t="s">
        <v>9158</v>
      </c>
      <c r="O14" s="14" t="s">
        <v>9158</v>
      </c>
      <c r="P14" s="14" t="s">
        <v>9158</v>
      </c>
      <c r="Q14" s="14" t="s">
        <v>9158</v>
      </c>
    </row>
    <row r="15" spans="1:19">
      <c r="A15" s="14">
        <v>97743</v>
      </c>
      <c r="B15" s="14" t="s">
        <v>30</v>
      </c>
      <c r="C15" s="14" t="s">
        <v>12956</v>
      </c>
      <c r="D15" s="18" t="s">
        <v>17464</v>
      </c>
      <c r="E15" s="15" t="str">
        <f>HYPERLINK("https://stat100.ameba.jp/tnk47/ratio20/illustrations/card/ill_97743_naganonarimasa03.jpg?202105-5-RELEASE-marathon-531xx", "■")</f>
        <v>■</v>
      </c>
      <c r="F15" s="14" t="s">
        <v>17470</v>
      </c>
      <c r="G15" s="7" t="s">
        <v>12934</v>
      </c>
      <c r="H15" s="7" t="s">
        <v>12934</v>
      </c>
      <c r="I15" s="7">
        <v>19</v>
      </c>
      <c r="J15" s="14" t="s">
        <v>143</v>
      </c>
      <c r="K15" s="7" t="s">
        <v>12934</v>
      </c>
      <c r="L15" s="7" t="s">
        <v>12934</v>
      </c>
      <c r="M15" s="14" t="s">
        <v>9158</v>
      </c>
      <c r="N15" s="14" t="s">
        <v>9158</v>
      </c>
      <c r="O15" s="14" t="s">
        <v>9158</v>
      </c>
      <c r="P15" s="14" t="s">
        <v>9158</v>
      </c>
      <c r="Q15" s="14" t="s">
        <v>9158</v>
      </c>
    </row>
    <row r="16" spans="1:19">
      <c r="A16" s="14">
        <v>97733</v>
      </c>
      <c r="B16" s="14" t="s">
        <v>30</v>
      </c>
      <c r="C16" s="14" t="s">
        <v>4952</v>
      </c>
      <c r="D16" s="18" t="s">
        <v>17465</v>
      </c>
      <c r="E16" s="15" t="str">
        <f>HYPERLINK("https://stat100.ameba.jp/tnk47/ratio20/illustrations/card/ill_97733_okuriinu03.jpg?202105-5-RELEASE-marathon-531xx", "■")</f>
        <v>■</v>
      </c>
      <c r="F16" s="14" t="s">
        <v>17471</v>
      </c>
      <c r="G16" s="7" t="s">
        <v>12934</v>
      </c>
      <c r="H16" s="7" t="s">
        <v>12934</v>
      </c>
      <c r="I16" s="7">
        <v>19</v>
      </c>
      <c r="J16" s="14" t="s">
        <v>73</v>
      </c>
      <c r="K16" s="7" t="s">
        <v>12934</v>
      </c>
      <c r="L16" s="7" t="s">
        <v>12934</v>
      </c>
      <c r="M16" s="14" t="s">
        <v>9158</v>
      </c>
      <c r="N16" s="14" t="s">
        <v>9158</v>
      </c>
      <c r="O16" s="14" t="s">
        <v>9158</v>
      </c>
      <c r="P16" s="14" t="s">
        <v>9158</v>
      </c>
      <c r="Q16" s="14" t="s">
        <v>9158</v>
      </c>
    </row>
    <row r="17" spans="1:18">
      <c r="D17" s="7"/>
    </row>
    <row r="18" spans="1:18">
      <c r="A18" s="14" t="s">
        <v>17513</v>
      </c>
      <c r="D18" s="7"/>
    </row>
    <row r="19" spans="1:18">
      <c r="A19" s="14">
        <v>238141</v>
      </c>
      <c r="B19" s="14" t="s">
        <v>4536</v>
      </c>
      <c r="D19" s="7"/>
    </row>
    <row r="20" spans="1:18">
      <c r="A20" s="14">
        <v>97755</v>
      </c>
      <c r="B20" s="14" t="s">
        <v>0</v>
      </c>
      <c r="C20" s="14" t="s">
        <v>202</v>
      </c>
      <c r="D20" s="18" t="s">
        <v>17516</v>
      </c>
      <c r="E20" s="15" t="str">
        <f>HYPERLINK("https://stat100.ameba.jp/tnk47/ratio20/illustrations/card/ill_97755_purisutohachinotaro05.jpg?202105-5-RELEASE-marathon-531xx", "■")</f>
        <v>■</v>
      </c>
      <c r="F20" s="14" t="s">
        <v>17515</v>
      </c>
      <c r="G20" s="14">
        <v>125359</v>
      </c>
      <c r="H20" s="14">
        <v>173127</v>
      </c>
      <c r="I20" s="14">
        <v>29</v>
      </c>
      <c r="J20" s="14" t="s">
        <v>73</v>
      </c>
      <c r="K20" s="14" t="s">
        <v>17514</v>
      </c>
      <c r="L20" s="14" t="s">
        <v>17306</v>
      </c>
      <c r="M20" s="14" t="s">
        <v>9158</v>
      </c>
      <c r="N20" s="14" t="s">
        <v>9158</v>
      </c>
      <c r="O20" s="14" t="s">
        <v>9158</v>
      </c>
      <c r="P20" s="14" t="s">
        <v>9158</v>
      </c>
      <c r="Q20" s="14" t="s">
        <v>9158</v>
      </c>
      <c r="R20" s="14" t="s">
        <v>174</v>
      </c>
    </row>
    <row r="21" spans="1:18">
      <c r="A21" s="14">
        <v>97753</v>
      </c>
      <c r="B21" s="14" t="s">
        <v>15</v>
      </c>
      <c r="C21" s="14" t="s">
        <v>47</v>
      </c>
      <c r="D21" s="18" t="s">
        <v>17516</v>
      </c>
      <c r="E21" s="15" t="str">
        <f>HYPERLINK("https://stat100.ameba.jp/tnk47/ratio20/illustrations/card/ill_97753_purisutohachinotaro03.jpg?202105-5-RELEASE-marathon-531xx", "■")</f>
        <v>■</v>
      </c>
      <c r="F21" s="14" t="s">
        <v>17515</v>
      </c>
      <c r="G21" s="14">
        <v>92359</v>
      </c>
      <c r="H21" s="14">
        <v>127556</v>
      </c>
      <c r="I21" s="14">
        <v>29</v>
      </c>
      <c r="J21" s="14" t="s">
        <v>73</v>
      </c>
      <c r="K21" s="14" t="s">
        <v>17514</v>
      </c>
      <c r="L21" s="14" t="s">
        <v>17310</v>
      </c>
      <c r="M21" s="14" t="s">
        <v>9158</v>
      </c>
      <c r="N21" s="14" t="s">
        <v>9158</v>
      </c>
      <c r="O21" s="14" t="s">
        <v>9158</v>
      </c>
      <c r="P21" s="14" t="s">
        <v>9158</v>
      </c>
      <c r="Q21" s="14" t="s">
        <v>9158</v>
      </c>
      <c r="R21" s="14" t="s">
        <v>175</v>
      </c>
    </row>
    <row r="22" spans="1:18">
      <c r="A22" s="14">
        <v>97751</v>
      </c>
      <c r="B22" s="14" t="s">
        <v>15</v>
      </c>
      <c r="C22" s="14" t="s">
        <v>47</v>
      </c>
      <c r="D22" s="18" t="s">
        <v>17516</v>
      </c>
      <c r="E22" s="15" t="str">
        <f>HYPERLINK("https://stat100.ameba.jp/tnk47/ratio20/illustrations/card/ill_97751_purisutohachinotaro01.jpg?202105-5-RELEASE-marathon-531xx", "■")</f>
        <v>■</v>
      </c>
      <c r="F22" s="14" t="s">
        <v>17515</v>
      </c>
      <c r="G22" s="14">
        <v>58754</v>
      </c>
      <c r="H22" s="14">
        <v>81142</v>
      </c>
      <c r="I22" s="14">
        <v>29</v>
      </c>
      <c r="J22" s="14" t="s">
        <v>73</v>
      </c>
      <c r="K22" s="14" t="s">
        <v>17514</v>
      </c>
      <c r="L22" s="14" t="s">
        <v>17311</v>
      </c>
      <c r="M22" s="14" t="s">
        <v>9158</v>
      </c>
      <c r="N22" s="14" t="s">
        <v>9158</v>
      </c>
      <c r="O22" s="14" t="s">
        <v>9158</v>
      </c>
      <c r="P22" s="14" t="s">
        <v>9158</v>
      </c>
      <c r="Q22" s="14" t="s">
        <v>9158</v>
      </c>
      <c r="R22" s="14" t="s">
        <v>176</v>
      </c>
    </row>
    <row r="23" spans="1:18">
      <c r="D23" s="7"/>
    </row>
    <row r="24" spans="1:18">
      <c r="A24" s="14" t="s">
        <v>204</v>
      </c>
      <c r="D24" s="7"/>
    </row>
    <row r="25" spans="1:18">
      <c r="A25" s="14">
        <v>238167</v>
      </c>
      <c r="B25" s="14" t="s">
        <v>17518</v>
      </c>
      <c r="D25" s="7"/>
    </row>
    <row r="26" spans="1:18">
      <c r="A26" s="14" t="s">
        <v>5804</v>
      </c>
      <c r="B26" s="14" t="s">
        <v>52</v>
      </c>
      <c r="C26" s="14" t="s">
        <v>14</v>
      </c>
      <c r="D26" s="19" t="s">
        <v>3195</v>
      </c>
      <c r="E26" s="15" t="str">
        <f>HYPERLINK("https://stat100.ameba.jp/tnk47/ratio20/illustrations/card/ill_75393_0_resukuinotsukisamaniittausagi03.jpg?202105-5-RELEASE-marathon-531xx", "■")</f>
        <v>■</v>
      </c>
      <c r="F26" s="14" t="s">
        <v>3248</v>
      </c>
      <c r="G26" s="14">
        <v>250588</v>
      </c>
      <c r="H26" s="14">
        <v>232980</v>
      </c>
      <c r="I26" s="14">
        <v>22</v>
      </c>
      <c r="J26" s="14" t="s">
        <v>26</v>
      </c>
      <c r="K26" s="14" t="s">
        <v>3249</v>
      </c>
      <c r="L26" s="14" t="s">
        <v>3250</v>
      </c>
      <c r="M26" s="14" t="s">
        <v>9158</v>
      </c>
      <c r="N26" s="14" t="s">
        <v>9158</v>
      </c>
      <c r="O26" s="6" t="s">
        <v>10051</v>
      </c>
      <c r="P26" s="14" t="s">
        <v>3251</v>
      </c>
      <c r="Q26" s="14">
        <v>2</v>
      </c>
    </row>
    <row r="27" spans="1:18">
      <c r="A27" s="14" t="s">
        <v>5822</v>
      </c>
      <c r="B27" s="14" t="s">
        <v>330</v>
      </c>
      <c r="C27" s="14" t="s">
        <v>307</v>
      </c>
      <c r="D27" s="19" t="s">
        <v>306</v>
      </c>
      <c r="E27" s="15" t="str">
        <f>HYPERLINK("https://stat100.ameba.jp/tnk47/ratio20/illustrations/card/ill_71403_0_ohanamisanadayukimura03.jpg?202105-5-RELEASE-marathon-531xx", "■")</f>
        <v>■</v>
      </c>
      <c r="F27" s="14" t="s">
        <v>309</v>
      </c>
      <c r="G27" s="14">
        <v>205358</v>
      </c>
      <c r="H27" s="14">
        <v>190952</v>
      </c>
      <c r="I27" s="14">
        <v>22</v>
      </c>
      <c r="J27" s="14" t="s">
        <v>310</v>
      </c>
      <c r="K27" s="14" t="s">
        <v>311</v>
      </c>
      <c r="L27" s="14" t="s">
        <v>312</v>
      </c>
      <c r="M27" s="14" t="s">
        <v>9158</v>
      </c>
      <c r="N27" s="14" t="s">
        <v>9158</v>
      </c>
      <c r="O27" s="6" t="s">
        <v>10060</v>
      </c>
      <c r="P27" s="14" t="s">
        <v>3418</v>
      </c>
      <c r="Q27" s="14">
        <v>2</v>
      </c>
    </row>
    <row r="28" spans="1:18">
      <c r="A28" s="9" t="s">
        <v>5721</v>
      </c>
      <c r="B28" s="14" t="s">
        <v>52</v>
      </c>
      <c r="C28" s="14" t="s">
        <v>1</v>
      </c>
      <c r="D28" s="14" t="s">
        <v>2253</v>
      </c>
      <c r="E28" s="15" t="str">
        <f>HYPERLINK("https://stat100.ameba.jp/tnk47/ratio20/illustrations/card/ill_44283_0_izumonokuni03.jpg?202105-5-RELEASE-marathon-531xx", "■")</f>
        <v>■</v>
      </c>
      <c r="F28" s="14" t="s">
        <v>1716</v>
      </c>
      <c r="G28" s="14">
        <v>128744</v>
      </c>
      <c r="H28" s="14">
        <v>120576</v>
      </c>
      <c r="I28" s="14">
        <v>22</v>
      </c>
      <c r="J28" s="14" t="s">
        <v>16</v>
      </c>
      <c r="K28" s="14" t="s">
        <v>2254</v>
      </c>
      <c r="L28" s="14" t="s">
        <v>1718</v>
      </c>
      <c r="M28" s="14" t="s">
        <v>9158</v>
      </c>
      <c r="N28" s="14" t="s">
        <v>9158</v>
      </c>
      <c r="O28" s="14" t="s">
        <v>9158</v>
      </c>
      <c r="P28" s="14" t="s">
        <v>9158</v>
      </c>
      <c r="Q28" s="14" t="s">
        <v>9158</v>
      </c>
    </row>
    <row r="29" spans="1:18">
      <c r="A29" s="14">
        <v>85873</v>
      </c>
      <c r="B29" s="14" t="s">
        <v>0</v>
      </c>
      <c r="C29" s="14" t="s">
        <v>101</v>
      </c>
      <c r="D29" s="18" t="s">
        <v>13029</v>
      </c>
      <c r="E29" s="15" t="str">
        <f>HYPERLINK("https://stat100.ameba.jp/tnk47/ratio20/illustrations/card/ill_85873_omochamochizukichiyome03.jpg?202105-5-RELEASE-marathon-531xx", "■")</f>
        <v>■</v>
      </c>
      <c r="F29" s="14" t="s">
        <v>8715</v>
      </c>
      <c r="G29" s="14">
        <v>212908</v>
      </c>
      <c r="H29" s="14">
        <v>119785</v>
      </c>
      <c r="I29" s="14">
        <v>29</v>
      </c>
      <c r="J29" s="14" t="s">
        <v>16</v>
      </c>
      <c r="K29" s="14" t="s">
        <v>8714</v>
      </c>
      <c r="L29" s="14" t="s">
        <v>1912</v>
      </c>
      <c r="M29" s="14" t="s">
        <v>9158</v>
      </c>
      <c r="N29" s="14" t="s">
        <v>9158</v>
      </c>
      <c r="O29" s="14" t="s">
        <v>9158</v>
      </c>
      <c r="P29" s="14" t="s">
        <v>9158</v>
      </c>
      <c r="Q29" s="14" t="s">
        <v>9158</v>
      </c>
    </row>
    <row r="30" spans="1:18">
      <c r="A30" s="7">
        <v>93983</v>
      </c>
      <c r="B30" s="7" t="s">
        <v>0</v>
      </c>
      <c r="C30" s="7" t="s">
        <v>107</v>
      </c>
      <c r="D30" s="18" t="s">
        <v>16507</v>
      </c>
      <c r="E30" s="15" t="str">
        <f>HYPERLINK("https://stat100.ameba.jp/tnk47/ratio20/illustrations/card/ill_93983_kambiramia03.jpg?202105-5-RELEASE-marathon-531xx", "■")</f>
        <v>■</v>
      </c>
      <c r="F30" s="7" t="s">
        <v>16506</v>
      </c>
      <c r="G30" s="7">
        <v>169148</v>
      </c>
      <c r="H30" s="7">
        <v>95155</v>
      </c>
      <c r="I30" s="14">
        <v>29</v>
      </c>
      <c r="J30" s="14" t="s">
        <v>104</v>
      </c>
      <c r="K30" s="7" t="s">
        <v>16505</v>
      </c>
      <c r="L30" s="7" t="s">
        <v>13093</v>
      </c>
      <c r="M30" s="14" t="s">
        <v>9158</v>
      </c>
      <c r="N30" s="14" t="s">
        <v>9158</v>
      </c>
      <c r="O30" s="14" t="s">
        <v>9158</v>
      </c>
      <c r="P30" s="14" t="s">
        <v>9158</v>
      </c>
      <c r="Q30" s="14" t="s">
        <v>9158</v>
      </c>
    </row>
    <row r="31" spans="1:18">
      <c r="A31" s="7">
        <v>94603</v>
      </c>
      <c r="B31" s="14" t="s">
        <v>334</v>
      </c>
      <c r="C31" s="14" t="s">
        <v>23</v>
      </c>
      <c r="D31" s="18" t="s">
        <v>16472</v>
      </c>
      <c r="E31" s="15" t="str">
        <f>HYPERLINK("https://stat100.ameba.jp/tnk47/ratio20/illustrations/card/ill_94603_tenshitoakumamikkureina03.jpg?202105-5-RELEASE-marathon-531xx", "■")</f>
        <v>■</v>
      </c>
      <c r="F31" s="14" t="s">
        <v>16471</v>
      </c>
      <c r="G31" s="14">
        <v>169148</v>
      </c>
      <c r="H31" s="14">
        <v>95155</v>
      </c>
      <c r="I31" s="14">
        <v>29</v>
      </c>
      <c r="J31" s="14" t="s">
        <v>104</v>
      </c>
      <c r="K31" s="14" t="s">
        <v>16470</v>
      </c>
      <c r="L31" s="14" t="s">
        <v>13093</v>
      </c>
      <c r="M31" s="14" t="s">
        <v>9158</v>
      </c>
      <c r="N31" s="14" t="s">
        <v>9158</v>
      </c>
      <c r="O31" s="14" t="s">
        <v>9158</v>
      </c>
      <c r="P31" s="14" t="s">
        <v>9158</v>
      </c>
      <c r="Q31" s="14" t="s">
        <v>9158</v>
      </c>
    </row>
    <row r="33" spans="1:17">
      <c r="A33" s="14" t="s">
        <v>13431</v>
      </c>
    </row>
    <row r="34" spans="1:17">
      <c r="A34" s="14">
        <v>108488</v>
      </c>
      <c r="B34" s="14" t="s">
        <v>17517</v>
      </c>
    </row>
    <row r="35" spans="1:17">
      <c r="A35" s="14" t="s">
        <v>16084</v>
      </c>
      <c r="B35" s="7" t="s">
        <v>52</v>
      </c>
      <c r="C35" s="14" t="s">
        <v>202</v>
      </c>
      <c r="D35" s="18" t="s">
        <v>16083</v>
      </c>
      <c r="E35" s="15" t="str">
        <f>HYPERLINK("https://stat100.ameba.jp/tnk47/ratio20/illustrations/card/ill_95653_0_barentaindefukuhime03.jpg?202105-5-RELEASE-marathon-531xx", "■")</f>
        <v>■</v>
      </c>
      <c r="F35" s="14" t="s">
        <v>16082</v>
      </c>
      <c r="G35" s="14">
        <v>322612</v>
      </c>
      <c r="H35" s="14">
        <v>263960</v>
      </c>
      <c r="I35" s="7">
        <v>28</v>
      </c>
      <c r="J35" s="14" t="s">
        <v>77</v>
      </c>
      <c r="K35" s="14" t="s">
        <v>16081</v>
      </c>
      <c r="L35" s="14" t="s">
        <v>16080</v>
      </c>
      <c r="M35" s="14" t="s">
        <v>9158</v>
      </c>
      <c r="N35" s="14" t="s">
        <v>9158</v>
      </c>
      <c r="O35" s="7" t="s">
        <v>16086</v>
      </c>
      <c r="P35" s="7" t="s">
        <v>16085</v>
      </c>
      <c r="Q35" s="7">
        <v>1</v>
      </c>
    </row>
    <row r="36" spans="1:17">
      <c r="A36" s="14" t="s">
        <v>12012</v>
      </c>
      <c r="B36" s="7" t="s">
        <v>52</v>
      </c>
      <c r="C36" s="14" t="s">
        <v>202</v>
      </c>
      <c r="D36" s="18" t="s">
        <v>12013</v>
      </c>
      <c r="E36" s="15" t="str">
        <f>HYPERLINK("https://stat100.ameba.jp/tnk47/ratio20/illustrations/card/ill_88363_0_hanamijingukogo03.jpg?202105-5-RELEASE-marathon-531xx", "■")</f>
        <v>■</v>
      </c>
      <c r="F36" s="14" t="s">
        <v>12014</v>
      </c>
      <c r="G36" s="14">
        <v>340784</v>
      </c>
      <c r="H36" s="14">
        <v>307998</v>
      </c>
      <c r="I36" s="7">
        <v>28</v>
      </c>
      <c r="J36" s="14" t="s">
        <v>10</v>
      </c>
      <c r="K36" s="14" t="s">
        <v>12015</v>
      </c>
      <c r="L36" s="14" t="s">
        <v>12016</v>
      </c>
      <c r="M36" s="14" t="s">
        <v>9158</v>
      </c>
      <c r="N36" s="14" t="s">
        <v>9158</v>
      </c>
      <c r="O36" s="6" t="s">
        <v>12017</v>
      </c>
      <c r="P36" s="7" t="s">
        <v>12018</v>
      </c>
      <c r="Q36" s="7">
        <v>1</v>
      </c>
    </row>
    <row r="37" spans="1:17">
      <c r="A37" s="14" t="s">
        <v>14997</v>
      </c>
      <c r="B37" s="7" t="s">
        <v>52</v>
      </c>
      <c r="C37" s="14" t="s">
        <v>202</v>
      </c>
      <c r="D37" s="18" t="s">
        <v>14996</v>
      </c>
      <c r="E37" s="15" t="str">
        <f>HYPERLINK("https://stat100.ameba.jp/tnk47/ratio20/illustrations/card/ill_92403_0_haroimmochizukichiyome03.jpg?202105-5-RELEASE-marathon-531xx", "■")</f>
        <v>■</v>
      </c>
      <c r="F37" s="14" t="s">
        <v>15003</v>
      </c>
      <c r="G37" s="14">
        <v>339272</v>
      </c>
      <c r="H37" s="14">
        <v>277564</v>
      </c>
      <c r="I37" s="7">
        <v>28</v>
      </c>
      <c r="J37" s="14" t="s">
        <v>16</v>
      </c>
      <c r="K37" s="14" t="s">
        <v>15001</v>
      </c>
      <c r="L37" s="14" t="s">
        <v>15000</v>
      </c>
      <c r="M37" s="14" t="s">
        <v>9158</v>
      </c>
      <c r="N37" s="14" t="s">
        <v>9158</v>
      </c>
      <c r="O37" s="6" t="s">
        <v>14998</v>
      </c>
      <c r="P37" s="7" t="s">
        <v>14999</v>
      </c>
      <c r="Q37" s="7">
        <v>1</v>
      </c>
    </row>
    <row r="38" spans="1:17">
      <c r="A38" s="7" t="s">
        <v>8437</v>
      </c>
      <c r="B38" s="7" t="s">
        <v>52</v>
      </c>
      <c r="C38" s="7" t="s">
        <v>202</v>
      </c>
      <c r="D38" s="20" t="s">
        <v>10806</v>
      </c>
      <c r="E38" s="15" t="str">
        <f>HYPERLINK("https://stat100.ameba.jp/tnk47/ratio20/illustrations/card/ill_85523_0_seitankuronikurukusumotoine03.jpg?202105-5-RELEASE-marathon-531xx", "■")</f>
        <v>■</v>
      </c>
      <c r="F38" s="7" t="s">
        <v>8440</v>
      </c>
      <c r="G38" s="7">
        <v>339204</v>
      </c>
      <c r="H38" s="7">
        <v>306590</v>
      </c>
      <c r="I38" s="7">
        <v>28</v>
      </c>
      <c r="J38" s="14" t="s">
        <v>77</v>
      </c>
      <c r="K38" s="7" t="s">
        <v>8446</v>
      </c>
      <c r="L38" s="7" t="s">
        <v>8439</v>
      </c>
      <c r="M38" s="14" t="s">
        <v>9158</v>
      </c>
      <c r="N38" s="14" t="s">
        <v>9158</v>
      </c>
      <c r="O38" s="19" t="s">
        <v>10133</v>
      </c>
      <c r="P38" s="7" t="s">
        <v>8441</v>
      </c>
      <c r="Q38" s="7">
        <v>1</v>
      </c>
    </row>
    <row r="39" spans="1:17">
      <c r="A39" s="14" t="s">
        <v>13086</v>
      </c>
      <c r="B39" s="7" t="s">
        <v>52</v>
      </c>
      <c r="C39" s="14" t="s">
        <v>202</v>
      </c>
      <c r="D39" s="18" t="s">
        <v>13084</v>
      </c>
      <c r="E39" s="15" t="str">
        <f>HYPERLINK("https://stat100.ameba.jp/tnk47/ratio20/illustrations/card/ill_89703_0_jumburaidohimiko03.jpg?202105-5-RELEASE-marathon-531xx", "■")</f>
        <v>■</v>
      </c>
      <c r="F39" s="14" t="s">
        <v>13085</v>
      </c>
      <c r="G39" s="14">
        <v>356840</v>
      </c>
      <c r="H39" s="14">
        <v>291942</v>
      </c>
      <c r="I39" s="7">
        <v>28</v>
      </c>
      <c r="J39" s="14" t="s">
        <v>10</v>
      </c>
      <c r="K39" s="14" t="s">
        <v>13087</v>
      </c>
      <c r="L39" s="14" t="s">
        <v>12016</v>
      </c>
      <c r="M39" s="14" t="s">
        <v>9158</v>
      </c>
      <c r="N39" s="14" t="s">
        <v>9158</v>
      </c>
      <c r="O39" s="6" t="s">
        <v>13088</v>
      </c>
      <c r="P39" s="7" t="s">
        <v>13089</v>
      </c>
      <c r="Q39" s="7">
        <v>1</v>
      </c>
    </row>
    <row r="40" spans="1:17">
      <c r="A40" s="14">
        <v>79643</v>
      </c>
      <c r="B40" s="14" t="s">
        <v>334</v>
      </c>
      <c r="C40" s="14" t="s">
        <v>185</v>
      </c>
      <c r="D40" s="19" t="s">
        <v>10622</v>
      </c>
      <c r="E40" s="15" t="str">
        <f>HYPERLINK("https://stat100.ameba.jp/tnk47/ratio20/illustrations/card/ill_79643_hibikiwataruneirosonobehideo03.jpg?202105-5-RELEASE-marathon-531xx", "■")</f>
        <v>■</v>
      </c>
      <c r="F40" s="14" t="s">
        <v>3603</v>
      </c>
      <c r="G40" s="14">
        <v>105281</v>
      </c>
      <c r="H40" s="14">
        <v>113277</v>
      </c>
      <c r="I40" s="14">
        <v>29</v>
      </c>
      <c r="J40" s="14" t="s">
        <v>173</v>
      </c>
      <c r="K40" s="14" t="s">
        <v>3604</v>
      </c>
      <c r="L40" s="14" t="s">
        <v>2057</v>
      </c>
      <c r="M40" s="14" t="s">
        <v>9158</v>
      </c>
      <c r="N40" s="14" t="s">
        <v>9158</v>
      </c>
      <c r="O40" s="14" t="s">
        <v>9158</v>
      </c>
      <c r="P40" s="14" t="s">
        <v>9158</v>
      </c>
      <c r="Q40" s="14" t="s">
        <v>9158</v>
      </c>
    </row>
    <row r="41" spans="1:17">
      <c r="A41" s="7">
        <v>85953</v>
      </c>
      <c r="B41" s="7" t="s">
        <v>0</v>
      </c>
      <c r="C41" s="7" t="s">
        <v>200</v>
      </c>
      <c r="D41" s="20" t="s">
        <v>10872</v>
      </c>
      <c r="E41" s="15" t="str">
        <f>HYPERLINK("https://stat100.ameba.jp/tnk47/ratio20/illustrations/card/ill_85953_toshikoshitakiyashahime03.jpg?202105-5-RELEASE-marathon-531xx", "■")</f>
        <v>■</v>
      </c>
      <c r="F41" s="7" t="s">
        <v>8787</v>
      </c>
      <c r="G41" s="14">
        <v>105281</v>
      </c>
      <c r="H41" s="14">
        <v>113277</v>
      </c>
      <c r="I41" s="14">
        <v>29</v>
      </c>
      <c r="J41" s="14" t="s">
        <v>77</v>
      </c>
      <c r="K41" s="7" t="s">
        <v>8786</v>
      </c>
      <c r="L41" s="7" t="s">
        <v>7158</v>
      </c>
      <c r="M41" s="14" t="s">
        <v>9158</v>
      </c>
      <c r="N41" s="14" t="s">
        <v>9158</v>
      </c>
      <c r="O41" s="14" t="s">
        <v>9158</v>
      </c>
      <c r="P41" s="14" t="s">
        <v>9158</v>
      </c>
      <c r="Q41" s="14" t="s">
        <v>9158</v>
      </c>
    </row>
    <row r="42" spans="1:17">
      <c r="A42" s="9">
        <v>86463</v>
      </c>
      <c r="B42" s="9" t="s">
        <v>0</v>
      </c>
      <c r="C42" s="9" t="s">
        <v>191</v>
      </c>
      <c r="D42" s="20" t="s">
        <v>10903</v>
      </c>
      <c r="E42" s="15" t="str">
        <f>HYPERLINK("https://stat100.ameba.jp/tnk47/ratio20/illustrations/card/ill_86463_mochimakimiyazuhime03.jpg?202105-5-RELEASE-marathon-531xx", "■")</f>
        <v>■</v>
      </c>
      <c r="F42" s="9" t="s">
        <v>8961</v>
      </c>
      <c r="G42" s="14">
        <v>109970</v>
      </c>
      <c r="H42" s="14">
        <v>118287</v>
      </c>
      <c r="I42" s="14">
        <v>29</v>
      </c>
      <c r="J42" s="14" t="s">
        <v>44</v>
      </c>
      <c r="K42" s="9" t="s">
        <v>8960</v>
      </c>
      <c r="L42" s="9" t="s">
        <v>4263</v>
      </c>
      <c r="M42" s="14" t="s">
        <v>9158</v>
      </c>
      <c r="N42" s="14" t="s">
        <v>9158</v>
      </c>
      <c r="O42" s="14" t="s">
        <v>9158</v>
      </c>
      <c r="P42" s="14" t="s">
        <v>9158</v>
      </c>
      <c r="Q42" s="14" t="s">
        <v>9158</v>
      </c>
    </row>
    <row r="43" spans="1:17">
      <c r="A43" s="9">
        <v>86663</v>
      </c>
      <c r="B43" s="9" t="s">
        <v>0</v>
      </c>
      <c r="C43" s="9" t="s">
        <v>165</v>
      </c>
      <c r="D43" s="20" t="s">
        <v>10939</v>
      </c>
      <c r="E43" s="15" t="str">
        <f>HYPERLINK("https://stat100.ameba.jp/tnk47/ratio20/illustrations/card/ill_86663_darumaichitsukimizakechan03.jpg?202105-5-RELEASE-marathon-531xx", "■")</f>
        <v>■</v>
      </c>
      <c r="F43" s="9" t="s">
        <v>9258</v>
      </c>
      <c r="G43" s="14">
        <v>127350</v>
      </c>
      <c r="H43" s="14">
        <v>136953</v>
      </c>
      <c r="I43" s="14">
        <v>29</v>
      </c>
      <c r="J43" s="9" t="s">
        <v>216</v>
      </c>
      <c r="K43" s="9" t="s">
        <v>9257</v>
      </c>
      <c r="L43" s="9" t="s">
        <v>1079</v>
      </c>
      <c r="M43" s="14" t="s">
        <v>9158</v>
      </c>
      <c r="N43" s="14" t="s">
        <v>9158</v>
      </c>
      <c r="O43" s="14" t="s">
        <v>9158</v>
      </c>
      <c r="P43" s="14" t="s">
        <v>9158</v>
      </c>
      <c r="Q43" s="14" t="s">
        <v>9158</v>
      </c>
    </row>
    <row r="44" spans="1:17">
      <c r="A44" s="7">
        <v>75793</v>
      </c>
      <c r="B44" s="14" t="s">
        <v>0</v>
      </c>
      <c r="C44" s="14" t="s">
        <v>1</v>
      </c>
      <c r="D44" s="19" t="s">
        <v>2738</v>
      </c>
      <c r="E44" s="15" t="str">
        <f>HYPERLINK("https://stat100.ameba.jp/tnk47/ratio20/illustrations/card/ill_75793_izumonokuni03.jpg?202105-5-RELEASE-marathon-531xx", "■")</f>
        <v>■</v>
      </c>
      <c r="F44" s="14" t="s">
        <v>2074</v>
      </c>
      <c r="G44" s="14">
        <v>105281</v>
      </c>
      <c r="H44" s="14">
        <v>113277</v>
      </c>
      <c r="I44" s="14">
        <v>29</v>
      </c>
      <c r="J44" s="14" t="s">
        <v>10</v>
      </c>
      <c r="K44" s="14" t="s">
        <v>11</v>
      </c>
      <c r="L44" s="14" t="s">
        <v>12</v>
      </c>
      <c r="M44" s="14" t="s">
        <v>9158</v>
      </c>
      <c r="N44" s="14" t="s">
        <v>9158</v>
      </c>
      <c r="O44" s="14" t="s">
        <v>9158</v>
      </c>
      <c r="P44" s="14" t="s">
        <v>9158</v>
      </c>
      <c r="Q44" s="14" t="s">
        <v>9158</v>
      </c>
    </row>
    <row r="45" spans="1:17">
      <c r="A45" s="9">
        <v>79093</v>
      </c>
      <c r="B45" s="14" t="s">
        <v>334</v>
      </c>
      <c r="C45" s="14" t="s">
        <v>206</v>
      </c>
      <c r="D45" s="14" t="s">
        <v>3394</v>
      </c>
      <c r="E45" s="15" t="str">
        <f>HYPERLINK("https://stat100.ameba.jp/tnk47/ratio20/illustrations/card/ill_79093_shinnenongakukaihakatabijin03.jpg?202105-5-RELEASE-marathon-531xx", "■")</f>
        <v>■</v>
      </c>
      <c r="F45" s="14" t="s">
        <v>3395</v>
      </c>
      <c r="G45" s="14">
        <v>122834</v>
      </c>
      <c r="H45" s="14">
        <v>132112</v>
      </c>
      <c r="I45" s="14">
        <v>29</v>
      </c>
      <c r="J45" s="14" t="s">
        <v>26</v>
      </c>
      <c r="K45" s="14" t="s">
        <v>3396</v>
      </c>
      <c r="L45" s="14" t="s">
        <v>2137</v>
      </c>
      <c r="M45" s="14" t="s">
        <v>9158</v>
      </c>
      <c r="N45" s="14" t="s">
        <v>9158</v>
      </c>
      <c r="O45" s="14" t="s">
        <v>9158</v>
      </c>
      <c r="P45" s="14" t="s">
        <v>9158</v>
      </c>
      <c r="Q45" s="14" t="s">
        <v>9158</v>
      </c>
    </row>
    <row r="47" spans="1:17">
      <c r="A47" s="14" t="s">
        <v>4065</v>
      </c>
    </row>
    <row r="48" spans="1:17">
      <c r="A48" s="14">
        <v>108499</v>
      </c>
      <c r="B48" s="14" t="s">
        <v>4542</v>
      </c>
    </row>
    <row r="49" spans="1:18">
      <c r="A49" s="14" t="s">
        <v>15831</v>
      </c>
      <c r="B49" s="7" t="s">
        <v>52</v>
      </c>
      <c r="C49" s="14" t="s">
        <v>202</v>
      </c>
      <c r="D49" s="18" t="s">
        <v>15825</v>
      </c>
      <c r="E49" s="15" t="str">
        <f>HYPERLINK("https://stat100.ameba.jp/tnk47/ratio20/illustrations/card/ill_94293_0_kurisumasupurezentofukudahideko03.jpg?202105-5-RELEASE-marathon-531xx", "■")</f>
        <v>■</v>
      </c>
      <c r="F49" s="14" t="s">
        <v>15830</v>
      </c>
      <c r="G49" s="14">
        <v>308104</v>
      </c>
      <c r="H49" s="14">
        <v>278470</v>
      </c>
      <c r="I49" s="7">
        <v>28</v>
      </c>
      <c r="J49" s="14" t="s">
        <v>16</v>
      </c>
      <c r="K49" s="14" t="s">
        <v>15829</v>
      </c>
      <c r="L49" s="14" t="s">
        <v>15828</v>
      </c>
      <c r="M49" s="14" t="s">
        <v>9158</v>
      </c>
      <c r="N49" s="14" t="s">
        <v>9158</v>
      </c>
      <c r="O49" s="6" t="s">
        <v>15827</v>
      </c>
      <c r="P49" s="7" t="s">
        <v>15826</v>
      </c>
      <c r="Q49" s="7">
        <v>1</v>
      </c>
    </row>
    <row r="50" spans="1:18">
      <c r="A50" s="14">
        <v>79963</v>
      </c>
      <c r="B50" s="14" t="s">
        <v>0</v>
      </c>
      <c r="C50" s="14" t="s">
        <v>200</v>
      </c>
      <c r="D50" s="20" t="s">
        <v>10477</v>
      </c>
      <c r="E50" s="15" t="str">
        <f>HYPERLINK("https://stat100.ameba.jp/tnk47/ratio20/illustrations/card/ill_79963_hinamatsurirakko03.jpg?202105-5-RELEASE-marathon-531xx", "■")</f>
        <v>■</v>
      </c>
      <c r="F50" s="14" t="s">
        <v>3715</v>
      </c>
      <c r="G50" s="14">
        <v>123002</v>
      </c>
      <c r="H50" s="14">
        <v>114362</v>
      </c>
      <c r="I50" s="14">
        <v>27</v>
      </c>
      <c r="J50" s="14" t="s">
        <v>26</v>
      </c>
      <c r="K50" s="14" t="s">
        <v>3716</v>
      </c>
      <c r="L50" s="14" t="s">
        <v>1086</v>
      </c>
      <c r="M50" s="14" t="s">
        <v>9158</v>
      </c>
      <c r="N50" s="14" t="s">
        <v>9158</v>
      </c>
      <c r="O50" s="19" t="s">
        <v>10090</v>
      </c>
      <c r="P50" s="14" t="s">
        <v>3460</v>
      </c>
      <c r="Q50" s="14">
        <v>1</v>
      </c>
    </row>
    <row r="51" spans="1:18">
      <c r="A51" s="14">
        <v>80573</v>
      </c>
      <c r="B51" s="14" t="s">
        <v>334</v>
      </c>
      <c r="C51" s="14" t="s">
        <v>165</v>
      </c>
      <c r="D51" s="20" t="s">
        <v>10301</v>
      </c>
      <c r="E51" s="15" t="str">
        <f>HYPERLINK("https://stat100.ameba.jp/tnk47/ratio20/illustrations/card/ill_80573_ohanamigurampingusotorihime03.jpg?202105-5-RELEASE-marathon-531xx", "■")</f>
        <v>■</v>
      </c>
      <c r="F51" s="14" t="s">
        <v>4176</v>
      </c>
      <c r="G51" s="14">
        <v>123220</v>
      </c>
      <c r="H51" s="14">
        <v>114362</v>
      </c>
      <c r="I51" s="14">
        <v>27</v>
      </c>
      <c r="J51" s="14" t="s">
        <v>38</v>
      </c>
      <c r="K51" s="14" t="s">
        <v>4177</v>
      </c>
      <c r="L51" s="14" t="s">
        <v>4178</v>
      </c>
      <c r="M51" s="14" t="s">
        <v>9158</v>
      </c>
      <c r="N51" s="14" t="s">
        <v>9158</v>
      </c>
      <c r="O51" s="19" t="s">
        <v>10119</v>
      </c>
      <c r="P51" s="14" t="s">
        <v>3662</v>
      </c>
      <c r="Q51" s="14">
        <v>1</v>
      </c>
    </row>
    <row r="52" spans="1:18">
      <c r="A52" s="14">
        <v>92363</v>
      </c>
      <c r="B52" s="14" t="s">
        <v>0</v>
      </c>
      <c r="C52" s="14" t="s">
        <v>1</v>
      </c>
      <c r="D52" s="18" t="s">
        <v>15010</v>
      </c>
      <c r="E52" s="15" t="str">
        <f>HYPERLINK("https://stat100.ameba.jp/tnk47/ratio20/illustrations/card/ill_92363_haroinorochinomusha03.jpg?202105-5-RELEASE-marathon-531xx", "■")</f>
        <v>■</v>
      </c>
      <c r="F52" s="14" t="s">
        <v>15009</v>
      </c>
      <c r="G52" s="14">
        <v>149240</v>
      </c>
      <c r="H52" s="14">
        <v>160507</v>
      </c>
      <c r="I52" s="14">
        <v>27</v>
      </c>
      <c r="J52" s="14" t="s">
        <v>143</v>
      </c>
      <c r="K52" s="14" t="s">
        <v>15007</v>
      </c>
      <c r="L52" s="14" t="s">
        <v>12361</v>
      </c>
      <c r="M52" s="14" t="s">
        <v>9158</v>
      </c>
      <c r="N52" s="14" t="s">
        <v>9158</v>
      </c>
      <c r="O52" s="6" t="s">
        <v>2717</v>
      </c>
      <c r="P52" s="7" t="s">
        <v>15004</v>
      </c>
      <c r="Q52" s="7">
        <v>1</v>
      </c>
    </row>
    <row r="54" spans="1:18">
      <c r="A54" s="14" t="s">
        <v>13327</v>
      </c>
    </row>
    <row r="55" spans="1:18">
      <c r="A55" s="14">
        <v>108504</v>
      </c>
      <c r="B55" s="14" t="s">
        <v>4543</v>
      </c>
    </row>
    <row r="56" spans="1:18">
      <c r="A56" s="14">
        <v>94773</v>
      </c>
      <c r="B56" s="14" t="s">
        <v>0</v>
      </c>
      <c r="C56" s="14" t="s">
        <v>335</v>
      </c>
      <c r="D56" s="14" t="s">
        <v>15781</v>
      </c>
      <c r="E56" s="15" t="str">
        <f>HYPERLINK("https://stat100.ameba.jp/tnk47/ratio20/illustrations/card/ill_94773_baiorinisutosuru03.jpg?202105-5-RELEASE-marathon-531xx", "■")</f>
        <v>■</v>
      </c>
      <c r="F56" s="14" t="s">
        <v>15780</v>
      </c>
      <c r="G56" s="14">
        <v>132737</v>
      </c>
      <c r="H56" s="14">
        <v>142768</v>
      </c>
      <c r="I56" s="14">
        <v>29</v>
      </c>
      <c r="J56" s="14" t="s">
        <v>16</v>
      </c>
      <c r="K56" s="14" t="s">
        <v>15779</v>
      </c>
      <c r="L56" s="14" t="s">
        <v>15778</v>
      </c>
      <c r="M56" s="14" t="s">
        <v>2138</v>
      </c>
      <c r="N56" s="14" t="s">
        <v>2139</v>
      </c>
      <c r="O56" s="14" t="s">
        <v>9158</v>
      </c>
      <c r="P56" s="14" t="s">
        <v>9158</v>
      </c>
      <c r="Q56" s="14" t="s">
        <v>9158</v>
      </c>
      <c r="R56" s="14" t="s">
        <v>14748</v>
      </c>
    </row>
    <row r="57" spans="1:18">
      <c r="A57" s="14">
        <v>94772</v>
      </c>
      <c r="B57" s="14" t="s">
        <v>0</v>
      </c>
      <c r="C57" s="14" t="s">
        <v>335</v>
      </c>
      <c r="D57" s="14" t="s">
        <v>15781</v>
      </c>
      <c r="E57" s="15" t="str">
        <f>HYPERLINK("https://stat100.ameba.jp/tnk47/ratio20/illustrations/card/ill_94772_baiorinisutosuru02.jpg?202105-5-RELEASE-marathon-531xx", "■")</f>
        <v>■</v>
      </c>
      <c r="F57" s="14" t="s">
        <v>15780</v>
      </c>
      <c r="G57" s="14">
        <v>109938</v>
      </c>
      <c r="H57" s="14">
        <v>119345</v>
      </c>
      <c r="I57" s="14">
        <v>29</v>
      </c>
      <c r="J57" s="14" t="s">
        <v>16</v>
      </c>
      <c r="K57" s="14" t="s">
        <v>15779</v>
      </c>
      <c r="L57" s="14" t="s">
        <v>15778</v>
      </c>
      <c r="M57" s="14" t="s">
        <v>13270</v>
      </c>
      <c r="N57" s="14" t="s">
        <v>13271</v>
      </c>
      <c r="O57" s="14" t="s">
        <v>9158</v>
      </c>
      <c r="P57" s="14" t="s">
        <v>9158</v>
      </c>
      <c r="Q57" s="14" t="s">
        <v>9158</v>
      </c>
      <c r="R57" s="14" t="s">
        <v>14748</v>
      </c>
    </row>
    <row r="58" spans="1:18">
      <c r="A58" s="14">
        <v>94771</v>
      </c>
      <c r="B58" s="14" t="s">
        <v>0</v>
      </c>
      <c r="C58" s="14" t="s">
        <v>335</v>
      </c>
      <c r="D58" s="14" t="s">
        <v>15781</v>
      </c>
      <c r="E58" s="15" t="str">
        <f>HYPERLINK("https://stat100.ameba.jp/tnk47/ratio20/illustrations/card/ill_94771_baiorinisutosuru01.jpg?202105-5-RELEASE-marathon-531xx", "■")</f>
        <v>■</v>
      </c>
      <c r="F58" s="14" t="s">
        <v>15780</v>
      </c>
      <c r="G58" s="14">
        <v>84825</v>
      </c>
      <c r="H58" s="14">
        <v>91118</v>
      </c>
      <c r="I58" s="14">
        <v>29</v>
      </c>
      <c r="J58" s="14" t="s">
        <v>16</v>
      </c>
      <c r="K58" s="14" t="s">
        <v>15779</v>
      </c>
      <c r="L58" s="14" t="s">
        <v>15778</v>
      </c>
      <c r="M58" s="14" t="s">
        <v>13270</v>
      </c>
      <c r="N58" s="14" t="s">
        <v>13271</v>
      </c>
      <c r="O58" s="14" t="s">
        <v>9158</v>
      </c>
      <c r="P58" s="14" t="s">
        <v>9158</v>
      </c>
      <c r="Q58" s="14" t="s">
        <v>9158</v>
      </c>
      <c r="R58" s="14" t="s">
        <v>14748</v>
      </c>
    </row>
    <row r="59" spans="1:18">
      <c r="A59" s="14">
        <v>94783</v>
      </c>
      <c r="B59" s="14" t="s">
        <v>0</v>
      </c>
      <c r="C59" s="14" t="s">
        <v>200</v>
      </c>
      <c r="D59" s="14" t="s">
        <v>15784</v>
      </c>
      <c r="E59" s="15" t="str">
        <f>HYPERLINK("https://stat100.ameba.jp/tnk47/ratio20/illustrations/card/ill_94783_deusuekusumashina03.jpg?202105-5-RELEASE-marathon-531xx", "■")</f>
        <v>■</v>
      </c>
      <c r="F59" s="14" t="s">
        <v>15785</v>
      </c>
      <c r="G59" s="14">
        <v>132737</v>
      </c>
      <c r="H59" s="14">
        <v>142768</v>
      </c>
      <c r="I59" s="14">
        <v>29</v>
      </c>
      <c r="J59" s="14" t="s">
        <v>10</v>
      </c>
      <c r="K59" s="14" t="s">
        <v>15783</v>
      </c>
      <c r="L59" s="14" t="s">
        <v>15782</v>
      </c>
      <c r="M59" s="14" t="s">
        <v>2138</v>
      </c>
      <c r="N59" s="14" t="s">
        <v>2139</v>
      </c>
      <c r="O59" s="14" t="s">
        <v>9158</v>
      </c>
      <c r="P59" s="14" t="s">
        <v>9158</v>
      </c>
      <c r="Q59" s="14" t="s">
        <v>9158</v>
      </c>
      <c r="R59" s="14" t="s">
        <v>14748</v>
      </c>
    </row>
    <row r="60" spans="1:18">
      <c r="A60" s="14">
        <v>94793</v>
      </c>
      <c r="B60" s="14" t="s">
        <v>0</v>
      </c>
      <c r="C60" s="14" t="s">
        <v>307</v>
      </c>
      <c r="D60" s="14" t="s">
        <v>15789</v>
      </c>
      <c r="E60" s="15" t="str">
        <f>HYPERLINK("https://stat100.ameba.jp/tnk47/ratio20/illustrations/card/ill_94793_eiyukohoseiashuramu03.jpg?202105-5-RELEASE-marathon-531xx", "■")</f>
        <v>■</v>
      </c>
      <c r="F60" s="14" t="s">
        <v>15788</v>
      </c>
      <c r="G60" s="14">
        <v>142768</v>
      </c>
      <c r="H60" s="14">
        <v>132737</v>
      </c>
      <c r="I60" s="14">
        <v>29</v>
      </c>
      <c r="J60" s="14" t="s">
        <v>143</v>
      </c>
      <c r="K60" s="14" t="s">
        <v>15787</v>
      </c>
      <c r="L60" s="14" t="s">
        <v>15786</v>
      </c>
      <c r="M60" s="14" t="s">
        <v>2138</v>
      </c>
      <c r="N60" s="14" t="s">
        <v>2139</v>
      </c>
      <c r="O60" s="14" t="s">
        <v>9158</v>
      </c>
      <c r="P60" s="14" t="s">
        <v>9158</v>
      </c>
      <c r="Q60" s="14" t="s">
        <v>9158</v>
      </c>
      <c r="R60" s="14" t="s">
        <v>14748</v>
      </c>
    </row>
    <row r="61" spans="1:18">
      <c r="A61" s="14">
        <v>94803</v>
      </c>
      <c r="B61" s="14" t="s">
        <v>0</v>
      </c>
      <c r="C61" s="14" t="s">
        <v>165</v>
      </c>
      <c r="D61" s="14" t="s">
        <v>15793</v>
      </c>
      <c r="E61" s="15" t="str">
        <f>HYPERLINK("https://stat100.ameba.jp/tnk47/ratio20/illustrations/card/ill_94803_pideiria03.jpg?202105-5-RELEASE-marathon-531xx", "■")</f>
        <v>■</v>
      </c>
      <c r="F61" s="14" t="s">
        <v>15792</v>
      </c>
      <c r="G61" s="14">
        <v>142768</v>
      </c>
      <c r="H61" s="14">
        <v>132737</v>
      </c>
      <c r="I61" s="14">
        <v>29</v>
      </c>
      <c r="J61" s="14" t="s">
        <v>77</v>
      </c>
      <c r="K61" s="14" t="s">
        <v>15791</v>
      </c>
      <c r="L61" s="14" t="s">
        <v>15790</v>
      </c>
      <c r="M61" s="14" t="s">
        <v>2138</v>
      </c>
      <c r="N61" s="14" t="s">
        <v>2139</v>
      </c>
      <c r="O61" s="14" t="s">
        <v>9158</v>
      </c>
      <c r="P61" s="14" t="s">
        <v>9158</v>
      </c>
      <c r="Q61" s="14" t="s">
        <v>9158</v>
      </c>
      <c r="R61" s="14" t="s">
        <v>14748</v>
      </c>
    </row>
    <row r="62" spans="1:18">
      <c r="A62" s="14">
        <v>94813</v>
      </c>
      <c r="B62" s="14" t="s">
        <v>0</v>
      </c>
      <c r="C62" s="9" t="s">
        <v>205</v>
      </c>
      <c r="D62" s="14" t="s">
        <v>15796</v>
      </c>
      <c r="E62" s="15" t="str">
        <f>HYPERLINK("https://stat100.ameba.jp/tnk47/ratio20/illustrations/card/ill_94813_satogashinomajoshukuru03.jpg?202105-5-RELEASE-marathon-531xx", "■")</f>
        <v>■</v>
      </c>
      <c r="F62" s="14" t="s">
        <v>15795</v>
      </c>
      <c r="G62" s="14">
        <v>142768</v>
      </c>
      <c r="H62" s="14">
        <v>132737</v>
      </c>
      <c r="I62" s="14">
        <v>29</v>
      </c>
      <c r="J62" s="14" t="s">
        <v>104</v>
      </c>
      <c r="K62" s="14" t="s">
        <v>15794</v>
      </c>
      <c r="L62" s="14" t="s">
        <v>13292</v>
      </c>
      <c r="M62" s="14" t="s">
        <v>2138</v>
      </c>
      <c r="N62" s="14" t="s">
        <v>2139</v>
      </c>
      <c r="O62" s="14" t="s">
        <v>9158</v>
      </c>
      <c r="P62" s="14" t="s">
        <v>9158</v>
      </c>
      <c r="Q62" s="14" t="s">
        <v>9158</v>
      </c>
      <c r="R62" s="14" t="s">
        <v>14748</v>
      </c>
    </row>
    <row r="63" spans="1:18">
      <c r="A63" s="14">
        <v>94823</v>
      </c>
      <c r="B63" s="14" t="s">
        <v>0</v>
      </c>
      <c r="C63" s="14" t="s">
        <v>206</v>
      </c>
      <c r="D63" s="14" t="s">
        <v>15800</v>
      </c>
      <c r="E63" s="15" t="str">
        <f>HYPERLINK("https://stat100.ameba.jp/tnk47/ratio20/illustrations/card/ill_94823_sandorizado03.jpg?202105-5-RELEASE-marathon-531xx", "■")</f>
        <v>■</v>
      </c>
      <c r="F63" s="14" t="s">
        <v>15799</v>
      </c>
      <c r="G63" s="14">
        <v>132737</v>
      </c>
      <c r="H63" s="14">
        <v>142768</v>
      </c>
      <c r="I63" s="14">
        <v>29</v>
      </c>
      <c r="J63" s="14" t="s">
        <v>73</v>
      </c>
      <c r="K63" s="14" t="s">
        <v>15798</v>
      </c>
      <c r="L63" s="14" t="s">
        <v>15797</v>
      </c>
      <c r="M63" s="14" t="s">
        <v>2138</v>
      </c>
      <c r="N63" s="14" t="s">
        <v>2139</v>
      </c>
      <c r="O63" s="14" t="s">
        <v>9158</v>
      </c>
      <c r="P63" s="14" t="s">
        <v>9158</v>
      </c>
      <c r="Q63" s="14" t="s">
        <v>9158</v>
      </c>
      <c r="R63" s="14" t="s">
        <v>14748</v>
      </c>
    </row>
    <row r="65" spans="1:17">
      <c r="A65" s="14" t="s">
        <v>18308</v>
      </c>
    </row>
    <row r="66" spans="1:17">
      <c r="A66" s="14">
        <v>238191</v>
      </c>
      <c r="B66" s="14" t="s">
        <v>4545</v>
      </c>
    </row>
    <row r="67" spans="1:17">
      <c r="A67" s="14">
        <v>238197</v>
      </c>
      <c r="B67" s="14" t="s">
        <v>11489</v>
      </c>
    </row>
    <row r="68" spans="1:17">
      <c r="A68" s="14" t="s">
        <v>17383</v>
      </c>
      <c r="B68" s="7" t="s">
        <v>52</v>
      </c>
      <c r="C68" s="14" t="s">
        <v>202</v>
      </c>
      <c r="D68" s="18" t="s">
        <v>17382</v>
      </c>
      <c r="E68" s="15" t="str">
        <f>HYPERLINK("https://stat100.ameba.jp/tnk47/ratio20/illustrations/card/ill_97703_0_shisutatachibanaginchiyo03.jpg?202105-5-RELEASE-marathon-531xx", "■")</f>
        <v>■</v>
      </c>
      <c r="F68" s="14" t="s">
        <v>17381</v>
      </c>
      <c r="G68" s="14">
        <v>276738</v>
      </c>
      <c r="H68" s="14">
        <v>306220</v>
      </c>
      <c r="I68" s="14">
        <v>29</v>
      </c>
      <c r="J68" s="14" t="s">
        <v>77</v>
      </c>
      <c r="K68" s="14" t="s">
        <v>17380</v>
      </c>
      <c r="L68" s="14" t="s">
        <v>17268</v>
      </c>
      <c r="M68" s="14" t="s">
        <v>9158</v>
      </c>
      <c r="N68" s="14" t="s">
        <v>9158</v>
      </c>
      <c r="O68" s="7" t="s">
        <v>17379</v>
      </c>
      <c r="P68" s="7" t="s">
        <v>17378</v>
      </c>
      <c r="Q68" s="7">
        <v>1</v>
      </c>
    </row>
    <row r="69" spans="1:17">
      <c r="A69" s="14">
        <v>97763</v>
      </c>
      <c r="B69" s="14" t="s">
        <v>0</v>
      </c>
      <c r="C69" s="14" t="s">
        <v>96</v>
      </c>
      <c r="D69" s="14" t="s">
        <v>18311</v>
      </c>
      <c r="E69" s="15" t="str">
        <f>HYPERLINK("https://stat100.ameba.jp/tnk47/ratio20/illustrations/card/ill_97763_shisutakujotakeko03.jpg?202105-5-RELEASE-marathon-531xx", "■")</f>
        <v>■</v>
      </c>
      <c r="F69" s="14" t="s">
        <v>18310</v>
      </c>
      <c r="G69" s="14">
        <v>109381</v>
      </c>
      <c r="H69" s="14">
        <v>117591</v>
      </c>
      <c r="I69" s="14">
        <v>29</v>
      </c>
      <c r="J69" s="14" t="s">
        <v>16</v>
      </c>
      <c r="K69" s="14" t="s">
        <v>18309</v>
      </c>
      <c r="L69" s="14" t="s">
        <v>15839</v>
      </c>
      <c r="M69" s="14" t="s">
        <v>9158</v>
      </c>
      <c r="N69" s="14" t="s">
        <v>9158</v>
      </c>
      <c r="O69" s="14" t="s">
        <v>9158</v>
      </c>
      <c r="P69" s="14" t="s">
        <v>9158</v>
      </c>
      <c r="Q69" s="14" t="s">
        <v>9158</v>
      </c>
    </row>
    <row r="70" spans="1:17">
      <c r="A70" s="14">
        <v>97773</v>
      </c>
      <c r="B70" s="14" t="s">
        <v>15</v>
      </c>
      <c r="C70" s="14" t="s">
        <v>14</v>
      </c>
      <c r="D70" s="14" t="s">
        <v>18314</v>
      </c>
      <c r="E70" s="15" t="str">
        <f>HYPERLINK("https://stat100.ameba.jp/tnk47/ratio20/illustrations/card/ill_97773_tenshiororachan03.jpg?202105-5-RELEASE-marathon-531xx", "■")</f>
        <v>■</v>
      </c>
      <c r="F70" s="14" t="s">
        <v>18313</v>
      </c>
      <c r="G70" s="14">
        <v>85956</v>
      </c>
      <c r="H70" s="14">
        <v>77962</v>
      </c>
      <c r="I70" s="14">
        <v>29</v>
      </c>
      <c r="J70" s="14" t="s">
        <v>44</v>
      </c>
      <c r="K70" s="14" t="s">
        <v>18312</v>
      </c>
      <c r="L70" s="14" t="s">
        <v>3271</v>
      </c>
      <c r="M70" s="14" t="s">
        <v>9158</v>
      </c>
      <c r="N70" s="14" t="s">
        <v>9158</v>
      </c>
      <c r="O70" s="14" t="s">
        <v>9158</v>
      </c>
      <c r="P70" s="14" t="s">
        <v>9158</v>
      </c>
      <c r="Q70" s="14" t="s">
        <v>9158</v>
      </c>
    </row>
    <row r="71" spans="1:17">
      <c r="A71" s="14">
        <v>97783</v>
      </c>
      <c r="B71" s="14" t="s">
        <v>22</v>
      </c>
      <c r="C71" s="14" t="s">
        <v>23</v>
      </c>
      <c r="D71" s="14" t="s">
        <v>18317</v>
      </c>
      <c r="E71" s="15" t="str">
        <f>HYPERLINK("https://stat100.ameba.jp/tnk47/ratio20/illustrations/card/ill_97783_nogimaresuke03.jpg?202105-5-RELEASE-marathon-531xx", "■")</f>
        <v>■</v>
      </c>
      <c r="F71" s="14" t="s">
        <v>18316</v>
      </c>
      <c r="G71" s="14">
        <v>50134</v>
      </c>
      <c r="H71" s="14">
        <v>60296</v>
      </c>
      <c r="I71" s="14">
        <v>29</v>
      </c>
      <c r="J71" s="14" t="s">
        <v>143</v>
      </c>
      <c r="K71" s="14" t="s">
        <v>18315</v>
      </c>
      <c r="L71" s="14" t="s">
        <v>3403</v>
      </c>
      <c r="M71" s="14" t="s">
        <v>9158</v>
      </c>
      <c r="N71" s="14" t="s">
        <v>9158</v>
      </c>
      <c r="O71" s="14" t="s">
        <v>9158</v>
      </c>
      <c r="P71" s="14" t="s">
        <v>9158</v>
      </c>
      <c r="Q71" s="14" t="s">
        <v>9158</v>
      </c>
    </row>
    <row r="72" spans="1:17">
      <c r="A72" s="14">
        <v>97793</v>
      </c>
      <c r="B72" s="14" t="s">
        <v>22</v>
      </c>
      <c r="C72" s="14" t="s">
        <v>107</v>
      </c>
      <c r="D72" s="14" t="s">
        <v>18320</v>
      </c>
      <c r="E72" s="15" t="str">
        <f>HYPERLINK("https://stat100.ameba.jp/tnk47/ratio20/illustrations/card/ill_97793_burabanruisufuroisu03.jpg?202105-5-RELEASE-marathon-531xx", "■")</f>
        <v>■</v>
      </c>
      <c r="F72" s="14" t="s">
        <v>18319</v>
      </c>
      <c r="G72" s="14">
        <v>60296</v>
      </c>
      <c r="H72" s="14">
        <v>50134</v>
      </c>
      <c r="I72" s="14">
        <v>29</v>
      </c>
      <c r="J72" s="14" t="s">
        <v>10</v>
      </c>
      <c r="K72" s="14" t="s">
        <v>18318</v>
      </c>
      <c r="L72" s="14" t="s">
        <v>2321</v>
      </c>
      <c r="M72" s="14" t="s">
        <v>9158</v>
      </c>
      <c r="N72" s="14" t="s">
        <v>9158</v>
      </c>
      <c r="O72" s="14" t="s">
        <v>9158</v>
      </c>
      <c r="P72" s="14" t="s">
        <v>9158</v>
      </c>
      <c r="Q72" s="14" t="s">
        <v>9158</v>
      </c>
    </row>
    <row r="74" spans="1:17">
      <c r="A74" s="14" t="s">
        <v>3844</v>
      </c>
    </row>
    <row r="75" spans="1:17">
      <c r="A75" s="14">
        <v>108524</v>
      </c>
      <c r="B75" s="14" t="s">
        <v>12618</v>
      </c>
    </row>
    <row r="76" spans="1:17">
      <c r="A76" s="9" t="s">
        <v>5733</v>
      </c>
      <c r="B76" s="14" t="s">
        <v>330</v>
      </c>
      <c r="C76" s="14" t="s">
        <v>202</v>
      </c>
      <c r="D76" s="14" t="s">
        <v>2744</v>
      </c>
      <c r="E76" s="15" t="str">
        <f>HYPERLINK("https://stat100.ameba.jp/tnk47/ratio20/illustrations/card/ill_78693_0_kyupittokoinomikoto03.jpg?202105-5-RELEASE-marathon-531xx", "■")</f>
        <v>■</v>
      </c>
      <c r="F76" s="14" t="s">
        <v>2745</v>
      </c>
      <c r="G76" s="14">
        <v>282956</v>
      </c>
      <c r="H76" s="14">
        <v>313081</v>
      </c>
      <c r="I76" s="14">
        <v>27</v>
      </c>
      <c r="J76" s="14" t="s">
        <v>274</v>
      </c>
      <c r="K76" s="14" t="s">
        <v>2746</v>
      </c>
      <c r="L76" s="14" t="s">
        <v>2747</v>
      </c>
      <c r="M76" s="14" t="s">
        <v>9158</v>
      </c>
      <c r="N76" s="14" t="s">
        <v>9158</v>
      </c>
      <c r="O76" s="18" t="s">
        <v>10067</v>
      </c>
      <c r="P76" s="14" t="s">
        <v>2748</v>
      </c>
      <c r="Q76" s="14">
        <v>1</v>
      </c>
    </row>
    <row r="77" spans="1:17">
      <c r="A77" s="14">
        <v>75333</v>
      </c>
      <c r="B77" s="14" t="s">
        <v>334</v>
      </c>
      <c r="C77" s="14" t="s">
        <v>200</v>
      </c>
      <c r="D77" s="19" t="s">
        <v>3206</v>
      </c>
      <c r="E77" s="15" t="str">
        <f>HYPERLINK("https://stat100.ameba.jp/tnk47/ratio20/illustrations/card/ill_75333_resukuintamamonomae03.jpg?202105-5-RELEASE-marathon-531xx", "■")</f>
        <v>■</v>
      </c>
      <c r="F77" s="14" t="s">
        <v>3207</v>
      </c>
      <c r="G77" s="14">
        <v>112369</v>
      </c>
      <c r="H77" s="14">
        <v>120830</v>
      </c>
      <c r="I77" s="14">
        <v>29</v>
      </c>
      <c r="J77" s="14" t="s">
        <v>320</v>
      </c>
      <c r="K77" s="14" t="s">
        <v>3208</v>
      </c>
      <c r="L77" s="14" t="s">
        <v>3209</v>
      </c>
      <c r="M77" s="14" t="s">
        <v>9158</v>
      </c>
      <c r="N77" s="14" t="s">
        <v>9158</v>
      </c>
      <c r="O77" s="19" t="s">
        <v>10074</v>
      </c>
      <c r="P77" s="14" t="s">
        <v>2822</v>
      </c>
      <c r="Q77" s="14">
        <v>1</v>
      </c>
    </row>
    <row r="78" spans="1:17">
      <c r="A78" s="14">
        <v>77123</v>
      </c>
      <c r="B78" s="14" t="s">
        <v>334</v>
      </c>
      <c r="C78" s="14" t="s">
        <v>191</v>
      </c>
      <c r="D78" s="20" t="s">
        <v>10424</v>
      </c>
      <c r="E78" s="15" t="str">
        <f>HYPERLINK("https://stat100.ameba.jp/tnk47/ratio20/illustrations/card/ill_77123_yukemuriizuna03.jpg?202105-5-RELEASE-marathon-531xx", "■")</f>
        <v>■</v>
      </c>
      <c r="F78" s="14" t="s">
        <v>1377</v>
      </c>
      <c r="G78" s="14">
        <v>120830</v>
      </c>
      <c r="H78" s="14">
        <v>112369</v>
      </c>
      <c r="I78" s="14">
        <v>29</v>
      </c>
      <c r="J78" s="14" t="s">
        <v>320</v>
      </c>
      <c r="K78" s="14" t="s">
        <v>1378</v>
      </c>
      <c r="L78" s="14" t="s">
        <v>1379</v>
      </c>
      <c r="M78" s="14" t="s">
        <v>9158</v>
      </c>
      <c r="N78" s="14" t="s">
        <v>9158</v>
      </c>
      <c r="O78" s="19" t="s">
        <v>2838</v>
      </c>
      <c r="P78" s="14" t="s">
        <v>3579</v>
      </c>
      <c r="Q78" s="14">
        <v>1</v>
      </c>
    </row>
    <row r="79" spans="1:17">
      <c r="A79" s="14">
        <v>84153</v>
      </c>
      <c r="B79" s="14" t="s">
        <v>0</v>
      </c>
      <c r="C79" s="14" t="s">
        <v>165</v>
      </c>
      <c r="D79" s="20" t="s">
        <v>14065</v>
      </c>
      <c r="E79" s="15" t="str">
        <f>HYPERLINK("https://stat100.ameba.jp/tnk47/ratio20/illustrations/card/ill_84153_tarottotoyotomihideyori03.jpg?202105-5-RELEASE-marathon-531xx", "■")</f>
        <v>■</v>
      </c>
      <c r="F79" s="14" t="s">
        <v>7155</v>
      </c>
      <c r="G79" s="14">
        <v>172397</v>
      </c>
      <c r="H79" s="14">
        <v>160296</v>
      </c>
      <c r="I79" s="14">
        <v>29</v>
      </c>
      <c r="J79" s="14" t="s">
        <v>143</v>
      </c>
      <c r="K79" s="14" t="s">
        <v>7156</v>
      </c>
      <c r="L79" s="14" t="s">
        <v>145</v>
      </c>
      <c r="M79" s="14" t="s">
        <v>9158</v>
      </c>
      <c r="N79" s="14" t="s">
        <v>9158</v>
      </c>
      <c r="O79" s="19" t="s">
        <v>10090</v>
      </c>
      <c r="P79" s="14" t="s">
        <v>3460</v>
      </c>
      <c r="Q79" s="14">
        <v>1</v>
      </c>
    </row>
    <row r="81" spans="1:17">
      <c r="A81" s="14" t="s">
        <v>180</v>
      </c>
    </row>
    <row r="82" spans="1:17">
      <c r="A82" s="14">
        <v>108527</v>
      </c>
      <c r="B82" s="14" t="s">
        <v>4571</v>
      </c>
    </row>
    <row r="83" spans="1:17">
      <c r="A83" s="14" t="s">
        <v>5734</v>
      </c>
      <c r="B83" s="14" t="s">
        <v>330</v>
      </c>
      <c r="C83" s="14" t="s">
        <v>202</v>
      </c>
      <c r="D83" s="20" t="s">
        <v>1497</v>
      </c>
      <c r="E83" s="15" t="str">
        <f>HYPERLINK("https://stat100.ameba.jp/tnk47/ratio20/illustrations/card/ill_74593_0_natsuyuenchikoshihikari03.jpg?202105-5-RELEASE-marathon-531xx", "■")</f>
        <v>■</v>
      </c>
      <c r="F83" s="14" t="s">
        <v>1498</v>
      </c>
      <c r="G83" s="14">
        <v>259994</v>
      </c>
      <c r="H83" s="14">
        <v>241708</v>
      </c>
      <c r="I83" s="14">
        <v>24</v>
      </c>
      <c r="J83" s="14" t="s">
        <v>283</v>
      </c>
      <c r="K83" s="14" t="s">
        <v>1499</v>
      </c>
      <c r="L83" s="14" t="s">
        <v>1500</v>
      </c>
      <c r="M83" s="14" t="s">
        <v>9158</v>
      </c>
      <c r="N83" s="14" t="s">
        <v>9158</v>
      </c>
      <c r="O83" s="19" t="s">
        <v>2731</v>
      </c>
      <c r="P83" s="14" t="s">
        <v>2732</v>
      </c>
      <c r="Q83" s="14">
        <v>1</v>
      </c>
    </row>
    <row r="84" spans="1:17">
      <c r="A84" s="14" t="s">
        <v>5603</v>
      </c>
      <c r="B84" s="14" t="s">
        <v>330</v>
      </c>
      <c r="C84" s="14" t="s">
        <v>205</v>
      </c>
      <c r="D84" s="20" t="s">
        <v>611</v>
      </c>
      <c r="E84" s="15" t="str">
        <f>HYPERLINK("https://stat100.ameba.jp/tnk47/ratio20/illustrations/card/ill_61893_0_onikirishumiyamotomusashi03.jpg?202105-5-RELEASE-marathon-531xx", "■")</f>
        <v>■</v>
      </c>
      <c r="F84" s="14" t="s">
        <v>612</v>
      </c>
      <c r="G84" s="14">
        <v>224026</v>
      </c>
      <c r="H84" s="14">
        <v>208310</v>
      </c>
      <c r="I84" s="14">
        <v>24</v>
      </c>
      <c r="J84" s="14" t="s">
        <v>310</v>
      </c>
      <c r="K84" s="14" t="s">
        <v>613</v>
      </c>
      <c r="L84" s="14" t="s">
        <v>312</v>
      </c>
      <c r="M84" s="14" t="s">
        <v>9158</v>
      </c>
      <c r="N84" s="14" t="s">
        <v>9158</v>
      </c>
      <c r="O84" s="19" t="s">
        <v>10071</v>
      </c>
      <c r="P84" s="14" t="s">
        <v>3253</v>
      </c>
      <c r="Q84" s="14">
        <v>1</v>
      </c>
    </row>
    <row r="85" spans="1:17">
      <c r="A85" s="14" t="s">
        <v>5897</v>
      </c>
      <c r="B85" s="14" t="s">
        <v>52</v>
      </c>
      <c r="C85" s="14" t="s">
        <v>23</v>
      </c>
      <c r="D85" s="19" t="s">
        <v>277</v>
      </c>
      <c r="E85" s="15" t="str">
        <f>HYPERLINK("https://stat100.ameba.jp/tnk47/ratio20/illustrations/card/ill_40913_0_reigyokudensetsufusehime03.jpg?202105-5-RELEASE-marathon-531xx", "■")</f>
        <v>■</v>
      </c>
      <c r="F85" s="14" t="s">
        <v>955</v>
      </c>
      <c r="G85" s="14">
        <v>131538</v>
      </c>
      <c r="H85" s="14">
        <v>140448</v>
      </c>
      <c r="I85" s="14">
        <v>24</v>
      </c>
      <c r="J85" s="14" t="s">
        <v>38</v>
      </c>
      <c r="K85" s="14" t="s">
        <v>956</v>
      </c>
      <c r="L85" s="14" t="s">
        <v>957</v>
      </c>
      <c r="M85" s="14" t="s">
        <v>9158</v>
      </c>
      <c r="N85" s="14" t="s">
        <v>9158</v>
      </c>
      <c r="O85" s="14" t="s">
        <v>9158</v>
      </c>
      <c r="P85" s="14" t="s">
        <v>9158</v>
      </c>
      <c r="Q85" s="14" t="s">
        <v>9158</v>
      </c>
    </row>
    <row r="86" spans="1:17">
      <c r="A86" s="14">
        <v>97763</v>
      </c>
      <c r="B86" s="14" t="s">
        <v>0</v>
      </c>
      <c r="C86" s="14" t="s">
        <v>96</v>
      </c>
      <c r="D86" s="14" t="s">
        <v>18311</v>
      </c>
      <c r="E86" s="15" t="str">
        <f>HYPERLINK("https://stat100.ameba.jp/tnk47/ratio20/illustrations/card/ill_97763_shisutakujotakeko03.jpg?202105-5-RELEASE-marathon-531xx", "■")</f>
        <v>■</v>
      </c>
      <c r="F86" s="14" t="s">
        <v>18310</v>
      </c>
      <c r="G86" s="14">
        <v>101837</v>
      </c>
      <c r="H86" s="14">
        <v>109481</v>
      </c>
      <c r="I86" s="14">
        <v>27</v>
      </c>
      <c r="J86" s="14" t="s">
        <v>16</v>
      </c>
      <c r="K86" s="14" t="s">
        <v>18309</v>
      </c>
      <c r="L86" s="14" t="s">
        <v>15839</v>
      </c>
      <c r="M86" s="14" t="s">
        <v>9158</v>
      </c>
      <c r="N86" s="14" t="s">
        <v>9158</v>
      </c>
      <c r="O86" s="14" t="s">
        <v>9158</v>
      </c>
      <c r="P86" s="14" t="s">
        <v>9158</v>
      </c>
      <c r="Q86" s="14" t="s">
        <v>9158</v>
      </c>
    </row>
    <row r="87" spans="1:17">
      <c r="A87" s="14">
        <v>97773</v>
      </c>
      <c r="B87" s="14" t="s">
        <v>15</v>
      </c>
      <c r="C87" s="14" t="s">
        <v>14</v>
      </c>
      <c r="D87" s="14" t="s">
        <v>18314</v>
      </c>
      <c r="E87" s="15" t="str">
        <f>HYPERLINK("https://stat100.ameba.jp/tnk47/ratio20/illustrations/card/ill_97773_tenshiororachan03.jpg?202105-5-RELEASE-marathon-531xx", "■")</f>
        <v>■</v>
      </c>
      <c r="F87" s="14" t="s">
        <v>18313</v>
      </c>
      <c r="G87" s="14">
        <v>80028</v>
      </c>
      <c r="H87" s="14">
        <v>72586</v>
      </c>
      <c r="I87" s="14">
        <v>27</v>
      </c>
      <c r="J87" s="14" t="s">
        <v>44</v>
      </c>
      <c r="K87" s="14" t="s">
        <v>18312</v>
      </c>
      <c r="L87" s="14" t="s">
        <v>3271</v>
      </c>
      <c r="M87" s="14" t="s">
        <v>9158</v>
      </c>
      <c r="N87" s="14" t="s">
        <v>9158</v>
      </c>
      <c r="O87" s="14" t="s">
        <v>9158</v>
      </c>
      <c r="P87" s="14" t="s">
        <v>9158</v>
      </c>
      <c r="Q87" s="14" t="s">
        <v>9158</v>
      </c>
    </row>
    <row r="88" spans="1:17">
      <c r="A88" s="14">
        <v>97783</v>
      </c>
      <c r="B88" s="14" t="s">
        <v>22</v>
      </c>
      <c r="C88" s="14" t="s">
        <v>23</v>
      </c>
      <c r="D88" s="14" t="s">
        <v>18317</v>
      </c>
      <c r="E88" s="15" t="str">
        <f>HYPERLINK("https://stat100.ameba.jp/tnk47/ratio20/illustrations/card/ill_97783_nogimaresuke03.jpg?202105-5-RELEASE-marathon-531xx", "■")</f>
        <v>■</v>
      </c>
      <c r="F88" s="14" t="s">
        <v>18316</v>
      </c>
      <c r="G88" s="14">
        <v>46676</v>
      </c>
      <c r="H88" s="14">
        <v>56138</v>
      </c>
      <c r="I88" s="14">
        <v>27</v>
      </c>
      <c r="J88" s="14" t="s">
        <v>143</v>
      </c>
      <c r="K88" s="14" t="s">
        <v>18315</v>
      </c>
      <c r="L88" s="14" t="s">
        <v>3403</v>
      </c>
      <c r="M88" s="14" t="s">
        <v>9158</v>
      </c>
      <c r="N88" s="14" t="s">
        <v>9158</v>
      </c>
      <c r="O88" s="14" t="s">
        <v>9158</v>
      </c>
      <c r="P88" s="14" t="s">
        <v>9158</v>
      </c>
      <c r="Q88" s="14" t="s">
        <v>9158</v>
      </c>
    </row>
    <row r="89" spans="1:17">
      <c r="A89" s="14">
        <v>97793</v>
      </c>
      <c r="B89" s="14" t="s">
        <v>22</v>
      </c>
      <c r="C89" s="14" t="s">
        <v>107</v>
      </c>
      <c r="D89" s="14" t="s">
        <v>18320</v>
      </c>
      <c r="E89" s="15" t="str">
        <f>HYPERLINK("https://stat100.ameba.jp/tnk47/ratio20/illustrations/card/ill_97793_burabanruisufuroisu03.jpg?202105-5-RELEASE-marathon-531xx", "■")</f>
        <v>■</v>
      </c>
      <c r="F89" s="14" t="s">
        <v>18319</v>
      </c>
      <c r="G89" s="14">
        <v>56138</v>
      </c>
      <c r="H89" s="14">
        <v>46676</v>
      </c>
      <c r="I89" s="14">
        <v>27</v>
      </c>
      <c r="J89" s="14" t="s">
        <v>10</v>
      </c>
      <c r="K89" s="14" t="s">
        <v>18318</v>
      </c>
      <c r="L89" s="14" t="s">
        <v>2321</v>
      </c>
      <c r="M89" s="14" t="s">
        <v>9158</v>
      </c>
      <c r="N89" s="14" t="s">
        <v>9158</v>
      </c>
      <c r="O89" s="14" t="s">
        <v>9158</v>
      </c>
      <c r="P89" s="14" t="s">
        <v>9158</v>
      </c>
      <c r="Q89" s="14" t="s">
        <v>9158</v>
      </c>
    </row>
    <row r="91" spans="1:17">
      <c r="A91" s="14" t="s">
        <v>3911</v>
      </c>
    </row>
    <row r="92" spans="1:17">
      <c r="A92" s="14">
        <v>108550</v>
      </c>
      <c r="B92" s="14" t="s">
        <v>18321</v>
      </c>
    </row>
    <row r="93" spans="1:17">
      <c r="A93" s="14">
        <v>108560</v>
      </c>
      <c r="B93" s="14" t="s">
        <v>15721</v>
      </c>
    </row>
    <row r="94" spans="1:17">
      <c r="A94" s="14" t="s">
        <v>16288</v>
      </c>
      <c r="B94" s="14" t="s">
        <v>117</v>
      </c>
      <c r="C94" s="14" t="s">
        <v>35</v>
      </c>
      <c r="D94" s="14" t="s">
        <v>16287</v>
      </c>
      <c r="E94" s="15" t="str">
        <f>HYPERLINK("https://stat100.ameba.jp/tnk47/ratio20/illustrations/card/ill_95943_0_onigashima03.jpg?202105-5-RELEASE-marathon-531xx", "■")</f>
        <v>■</v>
      </c>
      <c r="F94" s="14" t="s">
        <v>16286</v>
      </c>
      <c r="G94" s="14">
        <v>338058</v>
      </c>
      <c r="H94" s="14">
        <v>363642</v>
      </c>
      <c r="I94" s="14">
        <v>30</v>
      </c>
      <c r="J94" s="14" t="s">
        <v>73</v>
      </c>
      <c r="K94" s="14" t="s">
        <v>16285</v>
      </c>
      <c r="L94" s="14" t="s">
        <v>16283</v>
      </c>
      <c r="M94" s="14" t="s">
        <v>9158</v>
      </c>
      <c r="N94" s="14" t="s">
        <v>9158</v>
      </c>
      <c r="O94" s="14" t="s">
        <v>16284</v>
      </c>
      <c r="P94" s="14" t="s">
        <v>3483</v>
      </c>
      <c r="Q94" s="14">
        <v>1</v>
      </c>
    </row>
    <row r="95" spans="1:17">
      <c r="A95" s="14" t="s">
        <v>15589</v>
      </c>
      <c r="B95" s="14" t="s">
        <v>117</v>
      </c>
      <c r="C95" s="14" t="s">
        <v>35</v>
      </c>
      <c r="D95" s="14" t="s">
        <v>15579</v>
      </c>
      <c r="E95" s="15" t="str">
        <f>HYPERLINK("https://stat100.ameba.jp/tnk47/ratio20/illustrations/card/ill_93523_0_kyodokusanreijo03.jpg?202105-5-RELEASE-marathon-531xx", "■")</f>
        <v>■</v>
      </c>
      <c r="F95" s="14" t="s">
        <v>15588</v>
      </c>
      <c r="G95" s="14">
        <v>363434</v>
      </c>
      <c r="H95" s="14">
        <v>337916</v>
      </c>
      <c r="I95" s="14">
        <v>30</v>
      </c>
      <c r="J95" s="14" t="s">
        <v>26</v>
      </c>
      <c r="K95" s="14" t="s">
        <v>15586</v>
      </c>
      <c r="L95" s="14" t="s">
        <v>15585</v>
      </c>
      <c r="M95" s="14" t="s">
        <v>9158</v>
      </c>
      <c r="N95" s="14" t="s">
        <v>9158</v>
      </c>
      <c r="O95" s="14" t="s">
        <v>15590</v>
      </c>
      <c r="P95" s="14" t="s">
        <v>15591</v>
      </c>
      <c r="Q95" s="14">
        <v>1</v>
      </c>
    </row>
    <row r="96" spans="1:17">
      <c r="A96" s="14" t="s">
        <v>13793</v>
      </c>
      <c r="B96" s="14" t="s">
        <v>117</v>
      </c>
      <c r="C96" s="14" t="s">
        <v>35</v>
      </c>
      <c r="D96" s="14" t="s">
        <v>13790</v>
      </c>
      <c r="E96" s="15" t="str">
        <f>HYPERLINK("https://stat100.ameba.jp/tnk47/ratio20/illustrations/card/ill_90853_0_meijosanki03.jpg?202105-5-RELEASE-marathon-531xx", "■")</f>
        <v>■</v>
      </c>
      <c r="F96" s="14" t="s">
        <v>13794</v>
      </c>
      <c r="G96" s="14">
        <v>323852</v>
      </c>
      <c r="H96" s="14">
        <v>358280</v>
      </c>
      <c r="I96" s="14">
        <v>30</v>
      </c>
      <c r="J96" s="14" t="s">
        <v>26</v>
      </c>
      <c r="K96" s="14" t="s">
        <v>13796</v>
      </c>
      <c r="L96" s="14" t="s">
        <v>13797</v>
      </c>
      <c r="M96" s="14" t="s">
        <v>9158</v>
      </c>
      <c r="N96" s="14" t="s">
        <v>9158</v>
      </c>
      <c r="O96" s="14" t="s">
        <v>13798</v>
      </c>
      <c r="P96" s="14" t="s">
        <v>11958</v>
      </c>
      <c r="Q96" s="14">
        <v>1</v>
      </c>
    </row>
    <row r="97" spans="1:17">
      <c r="A97" s="14">
        <v>81903</v>
      </c>
      <c r="B97" s="14" t="s">
        <v>334</v>
      </c>
      <c r="C97" s="14" t="s">
        <v>47</v>
      </c>
      <c r="D97" s="20" t="s">
        <v>10200</v>
      </c>
      <c r="E97" s="15" t="str">
        <f>HYPERLINK("https://stat100.ameba.jp/tnk47/ratio20/illustrations/card/ill_81903_kiryuhimeiren03.jpg?202105-5-RELEASE-marathon-531xx", "■")</f>
        <v>■</v>
      </c>
      <c r="F97" s="14" t="s">
        <v>4983</v>
      </c>
      <c r="G97" s="14">
        <v>95880</v>
      </c>
      <c r="H97" s="14">
        <v>132379</v>
      </c>
      <c r="I97" s="14">
        <v>29</v>
      </c>
      <c r="J97" s="14" t="s">
        <v>77</v>
      </c>
      <c r="K97" s="14" t="s">
        <v>4985</v>
      </c>
      <c r="L97" s="14" t="s">
        <v>4986</v>
      </c>
      <c r="M97" s="14" t="s">
        <v>9158</v>
      </c>
      <c r="N97" s="14" t="s">
        <v>9158</v>
      </c>
      <c r="O97" s="19" t="s">
        <v>10112</v>
      </c>
      <c r="P97" s="14" t="s">
        <v>13150</v>
      </c>
      <c r="Q97" s="14">
        <v>1</v>
      </c>
    </row>
    <row r="98" spans="1:17">
      <c r="A98" s="14">
        <v>75053</v>
      </c>
      <c r="B98" s="14" t="s">
        <v>334</v>
      </c>
      <c r="C98" s="14" t="s">
        <v>47</v>
      </c>
      <c r="D98" s="19" t="s">
        <v>10366</v>
      </c>
      <c r="E98" s="15" t="str">
        <f>HYPERLINK("https://stat100.ameba.jp/tnk47/ratio20/illustrations/card/ill_75053_goshikinuma03.jpg?202105-5-RELEASE-marathon-531xx", "■")</f>
        <v>■</v>
      </c>
      <c r="F98" s="14" t="s">
        <v>5644</v>
      </c>
      <c r="G98" s="14">
        <v>107088</v>
      </c>
      <c r="H98" s="14">
        <v>147858</v>
      </c>
      <c r="I98" s="14">
        <v>29</v>
      </c>
      <c r="J98" s="14" t="s">
        <v>26</v>
      </c>
      <c r="K98" s="14" t="s">
        <v>5646</v>
      </c>
      <c r="L98" s="14" t="s">
        <v>2137</v>
      </c>
      <c r="M98" s="14" t="s">
        <v>9158</v>
      </c>
      <c r="N98" s="14" t="s">
        <v>9158</v>
      </c>
      <c r="O98" s="19" t="s">
        <v>10093</v>
      </c>
      <c r="P98" s="14" t="s">
        <v>13145</v>
      </c>
      <c r="Q98" s="14">
        <v>1</v>
      </c>
    </row>
    <row r="99" spans="1:17">
      <c r="A99" s="14">
        <v>84333</v>
      </c>
      <c r="B99" s="14" t="s">
        <v>0</v>
      </c>
      <c r="C99" s="14" t="s">
        <v>209</v>
      </c>
      <c r="D99" s="19" t="s">
        <v>10692</v>
      </c>
      <c r="E99" s="15" t="str">
        <f>HYPERLINK("https://stat100.ameba.jp/tnk47/ratio20/illustrations/card/ill_84333_otometeia03.jpg?202105-5-RELEASE-marathon-531xx", "■")</f>
        <v>■</v>
      </c>
      <c r="F99" s="14" t="s">
        <v>7401</v>
      </c>
      <c r="G99" s="14">
        <v>126741</v>
      </c>
      <c r="H99" s="14">
        <v>91815</v>
      </c>
      <c r="I99" s="14">
        <v>29</v>
      </c>
      <c r="J99" s="14" t="s">
        <v>16</v>
      </c>
      <c r="K99" s="14" t="s">
        <v>7399</v>
      </c>
      <c r="L99" s="14" t="s">
        <v>4046</v>
      </c>
      <c r="M99" s="14" t="s">
        <v>9158</v>
      </c>
      <c r="N99" s="14" t="s">
        <v>9158</v>
      </c>
      <c r="O99" s="19" t="s">
        <v>10129</v>
      </c>
      <c r="P99" s="14" t="s">
        <v>3581</v>
      </c>
      <c r="Q99" s="14">
        <v>1</v>
      </c>
    </row>
    <row r="100" spans="1:17">
      <c r="A100" s="14">
        <v>81023</v>
      </c>
      <c r="B100" s="14" t="s">
        <v>334</v>
      </c>
      <c r="C100" s="14" t="s">
        <v>41</v>
      </c>
      <c r="D100" s="19" t="s">
        <v>10274</v>
      </c>
      <c r="E100" s="15" t="str">
        <f>HYPERLINK("https://stat100.ameba.jp/tnk47/ratio20/illustrations/card/ill_81023_momonokenki03.jpg?202105-5-RELEASE-marathon-531xx", "■")</f>
        <v>■</v>
      </c>
      <c r="F100" s="14" t="s">
        <v>4088</v>
      </c>
      <c r="G100" s="14">
        <v>153288</v>
      </c>
      <c r="H100" s="14">
        <v>111017</v>
      </c>
      <c r="I100" s="14">
        <v>29</v>
      </c>
      <c r="J100" s="14" t="s">
        <v>143</v>
      </c>
      <c r="K100" s="14" t="s">
        <v>4089</v>
      </c>
      <c r="L100" s="14" t="s">
        <v>2049</v>
      </c>
      <c r="M100" s="14" t="s">
        <v>9158</v>
      </c>
      <c r="N100" s="14" t="s">
        <v>9158</v>
      </c>
      <c r="O100" s="19" t="s">
        <v>10096</v>
      </c>
      <c r="P100" s="14" t="s">
        <v>3245</v>
      </c>
      <c r="Q100" s="14">
        <v>1</v>
      </c>
    </row>
    <row r="101" spans="1:17">
      <c r="A101" s="14">
        <v>84323</v>
      </c>
      <c r="B101" s="14" t="s">
        <v>0</v>
      </c>
      <c r="C101" s="14" t="s">
        <v>158</v>
      </c>
      <c r="D101" s="19" t="s">
        <v>10669</v>
      </c>
      <c r="E101" s="15" t="str">
        <f>HYPERLINK("https://stat100.ameba.jp/tnk47/ratio20/illustrations/card/ill_84323_kagizumebyakko03.jpg?202105-5-RELEASE-marathon-531xx", "■")</f>
        <v>■</v>
      </c>
      <c r="F101" s="14" t="s">
        <v>7284</v>
      </c>
      <c r="G101" s="14">
        <v>147858</v>
      </c>
      <c r="H101" s="14">
        <v>107088</v>
      </c>
      <c r="I101" s="14">
        <v>29</v>
      </c>
      <c r="J101" s="14" t="s">
        <v>155</v>
      </c>
      <c r="K101" s="14" t="s">
        <v>7283</v>
      </c>
      <c r="L101" s="14" t="s">
        <v>7282</v>
      </c>
      <c r="M101" s="14" t="s">
        <v>9158</v>
      </c>
      <c r="N101" s="14" t="s">
        <v>9158</v>
      </c>
      <c r="O101" s="19" t="s">
        <v>10109</v>
      </c>
      <c r="P101" s="14" t="s">
        <v>3625</v>
      </c>
      <c r="Q101" s="14">
        <v>1</v>
      </c>
    </row>
    <row r="102" spans="1:17">
      <c r="A102" s="7">
        <v>85053</v>
      </c>
      <c r="B102" s="7" t="s">
        <v>0</v>
      </c>
      <c r="C102" s="7" t="s">
        <v>158</v>
      </c>
      <c r="D102" s="19" t="s">
        <v>10768</v>
      </c>
      <c r="E102" s="15" t="str">
        <f>HYPERLINK("https://stat100.ameba.jp/tnk47/ratio20/illustrations/card/ill_85053_heideirumu03.jpg?202105-5-RELEASE-marathon-531xx", "■")</f>
        <v>■</v>
      </c>
      <c r="F102" s="7" t="s">
        <v>7969</v>
      </c>
      <c r="G102" s="14">
        <v>132379</v>
      </c>
      <c r="H102" s="14">
        <v>95880</v>
      </c>
      <c r="I102" s="14">
        <v>29</v>
      </c>
      <c r="J102" s="7" t="s">
        <v>169</v>
      </c>
      <c r="K102" s="7" t="s">
        <v>7968</v>
      </c>
      <c r="L102" s="7" t="s">
        <v>7967</v>
      </c>
      <c r="M102" s="14" t="s">
        <v>9158</v>
      </c>
      <c r="N102" s="14" t="s">
        <v>9158</v>
      </c>
      <c r="O102" s="19" t="s">
        <v>10085</v>
      </c>
      <c r="P102" s="7" t="s">
        <v>4374</v>
      </c>
      <c r="Q102" s="7">
        <v>1</v>
      </c>
    </row>
    <row r="104" spans="1:17">
      <c r="A104" s="14" t="s">
        <v>4065</v>
      </c>
    </row>
    <row r="105" spans="1:17">
      <c r="A105" s="14">
        <v>108574</v>
      </c>
      <c r="B105" s="14" t="s">
        <v>12627</v>
      </c>
    </row>
    <row r="106" spans="1:17">
      <c r="A106" s="14" t="s">
        <v>5963</v>
      </c>
      <c r="B106" s="14" t="s">
        <v>330</v>
      </c>
      <c r="C106" s="14" t="s">
        <v>35</v>
      </c>
      <c r="D106" s="19" t="s">
        <v>10438</v>
      </c>
      <c r="E106" s="15" t="str">
        <f>HYPERLINK("https://stat100.ameba.jp/tnk47/ratio20/illustrations/card/ill_82963_0_yukatamatsuritomokazuki03.jpg?202105-5-RELEASE-marathon-531xx", "■")</f>
        <v>■</v>
      </c>
      <c r="F106" s="14" t="s">
        <v>5964</v>
      </c>
      <c r="G106" s="14">
        <v>333538</v>
      </c>
      <c r="H106" s="14">
        <v>369052</v>
      </c>
      <c r="I106" s="14">
        <v>28</v>
      </c>
      <c r="J106" s="14" t="s">
        <v>73</v>
      </c>
      <c r="K106" s="14" t="s">
        <v>5966</v>
      </c>
      <c r="L106" s="14" t="s">
        <v>5967</v>
      </c>
      <c r="M106" s="14" t="s">
        <v>9158</v>
      </c>
      <c r="N106" s="14" t="s">
        <v>9158</v>
      </c>
      <c r="O106" s="19" t="s">
        <v>10115</v>
      </c>
      <c r="P106" s="14" t="s">
        <v>5968</v>
      </c>
      <c r="Q106" s="14">
        <v>1</v>
      </c>
    </row>
    <row r="107" spans="1:17">
      <c r="A107" s="14">
        <v>82373</v>
      </c>
      <c r="B107" s="14" t="s">
        <v>334</v>
      </c>
      <c r="C107" s="14" t="s">
        <v>191</v>
      </c>
      <c r="D107" s="6" t="s">
        <v>10020</v>
      </c>
      <c r="E107" s="15" t="str">
        <f>HYPERLINK("https://stat100.ameba.jp/tnk47/ratio20/illustrations/card/ill_82373_bikinigaruyasharyujin03.jpg?202105-5-RELEASE-marathon-531xx", "■")</f>
        <v>■</v>
      </c>
      <c r="F107" s="14" t="s">
        <v>5397</v>
      </c>
      <c r="G107" s="14">
        <v>110129</v>
      </c>
      <c r="H107" s="14">
        <v>102386</v>
      </c>
      <c r="I107" s="14">
        <v>27</v>
      </c>
      <c r="J107" s="14" t="s">
        <v>44</v>
      </c>
      <c r="K107" s="14" t="s">
        <v>5398</v>
      </c>
      <c r="L107" s="14" t="s">
        <v>3356</v>
      </c>
      <c r="M107" s="14" t="s">
        <v>9158</v>
      </c>
      <c r="N107" s="14" t="s">
        <v>9158</v>
      </c>
      <c r="O107" s="6" t="s">
        <v>3578</v>
      </c>
      <c r="P107" s="14" t="s">
        <v>3579</v>
      </c>
      <c r="Q107" s="14">
        <v>1</v>
      </c>
    </row>
    <row r="108" spans="1:17">
      <c r="A108" s="14">
        <v>76243</v>
      </c>
      <c r="B108" s="14" t="s">
        <v>334</v>
      </c>
      <c r="C108" s="14" t="s">
        <v>335</v>
      </c>
      <c r="D108" s="20" t="s">
        <v>10263</v>
      </c>
      <c r="E108" s="15" t="str">
        <f>HYPERLINK("https://stat100.ameba.jp/tnk47/ratio20/illustrations/card/ill_76243_haroinkaraguchinihonshuchan03.jpg?202105-5-RELEASE-marathon-531xx", "■")</f>
        <v>■</v>
      </c>
      <c r="F108" s="14" t="s">
        <v>336</v>
      </c>
      <c r="G108" s="14">
        <v>127507</v>
      </c>
      <c r="H108" s="14">
        <v>118568</v>
      </c>
      <c r="I108" s="14">
        <v>27</v>
      </c>
      <c r="J108" s="14" t="s">
        <v>283</v>
      </c>
      <c r="K108" s="14" t="s">
        <v>337</v>
      </c>
      <c r="L108" s="14" t="s">
        <v>338</v>
      </c>
      <c r="M108" s="14" t="s">
        <v>9158</v>
      </c>
      <c r="N108" s="14" t="s">
        <v>9158</v>
      </c>
      <c r="O108" s="19" t="s">
        <v>10090</v>
      </c>
      <c r="P108" s="14" t="s">
        <v>3561</v>
      </c>
      <c r="Q108" s="14">
        <v>1</v>
      </c>
    </row>
    <row r="109" spans="1:17">
      <c r="A109" s="14">
        <v>94973</v>
      </c>
      <c r="B109" s="14" t="s">
        <v>0</v>
      </c>
      <c r="C109" s="14" t="s">
        <v>107</v>
      </c>
      <c r="D109" s="18" t="s">
        <v>15868</v>
      </c>
      <c r="E109" s="15" t="str">
        <f>HYPERLINK("https://stat100.ameba.jp/tnk47/ratio20/illustrations/card/ill_94973_shinshunnisennijuichimiyamotomusashi03.jpg?202105-5-RELEASE-marathon-531xx", "■")</f>
        <v>■</v>
      </c>
      <c r="F109" s="14" t="s">
        <v>15867</v>
      </c>
      <c r="G109" s="14">
        <v>127507</v>
      </c>
      <c r="H109" s="14">
        <v>118568</v>
      </c>
      <c r="I109" s="14">
        <v>27</v>
      </c>
      <c r="J109" s="14" t="s">
        <v>143</v>
      </c>
      <c r="K109" s="14" t="s">
        <v>15866</v>
      </c>
      <c r="L109" s="14" t="s">
        <v>13460</v>
      </c>
      <c r="M109" s="14" t="s">
        <v>9158</v>
      </c>
      <c r="N109" s="14" t="s">
        <v>9158</v>
      </c>
      <c r="O109" s="6" t="s">
        <v>3244</v>
      </c>
      <c r="P109" s="7" t="s">
        <v>3245</v>
      </c>
      <c r="Q109" s="7">
        <v>1</v>
      </c>
    </row>
    <row r="110" spans="1:17">
      <c r="I110" s="7"/>
    </row>
    <row r="111" spans="1:17">
      <c r="A111" s="14" t="s">
        <v>4012</v>
      </c>
    </row>
    <row r="112" spans="1:17">
      <c r="A112" s="14">
        <v>238221</v>
      </c>
      <c r="B112" s="14" t="s">
        <v>18322</v>
      </c>
      <c r="G112" s="7"/>
      <c r="H112" s="7"/>
    </row>
    <row r="113" spans="1:19">
      <c r="A113" s="14" t="s">
        <v>5605</v>
      </c>
      <c r="B113" s="14" t="s">
        <v>52</v>
      </c>
      <c r="C113" s="14" t="s">
        <v>202</v>
      </c>
      <c r="D113" s="19" t="s">
        <v>10332</v>
      </c>
      <c r="E113" s="15" t="str">
        <f>HYPERLINK("https://stat100.ameba.jp/tnk47/ratio20/illustrations/card/ill_79373_0_hommeichokotennyohime03.jpg?202105-5-RELEASE-marathon-531xx", "■")</f>
        <v>■</v>
      </c>
      <c r="F113" s="14" t="s">
        <v>3495</v>
      </c>
      <c r="G113" s="14">
        <v>321496</v>
      </c>
      <c r="H113" s="14">
        <v>290582</v>
      </c>
      <c r="I113" s="14">
        <v>26</v>
      </c>
      <c r="J113" s="14" t="s">
        <v>104</v>
      </c>
      <c r="K113" s="14" t="s">
        <v>3496</v>
      </c>
      <c r="L113" s="14" t="s">
        <v>3497</v>
      </c>
      <c r="M113" s="14" t="s">
        <v>9158</v>
      </c>
      <c r="N113" s="14" t="s">
        <v>9158</v>
      </c>
      <c r="O113" s="19" t="s">
        <v>10072</v>
      </c>
      <c r="P113" s="14" t="s">
        <v>3498</v>
      </c>
      <c r="Q113" s="14">
        <v>1</v>
      </c>
    </row>
    <row r="114" spans="1:19">
      <c r="A114" s="14" t="s">
        <v>5617</v>
      </c>
      <c r="B114" s="14" t="s">
        <v>330</v>
      </c>
      <c r="C114" s="14" t="s">
        <v>308</v>
      </c>
      <c r="D114" s="19" t="s">
        <v>385</v>
      </c>
      <c r="E114" s="15" t="str">
        <f>HYPERLINK("https://stat100.ameba.jp/tnk47/ratio20/illustrations/card/ill_59673_0_oheyashutendoji03.jpg?202105-5-RELEASE-marathon-531xx", "■")</f>
        <v>■</v>
      </c>
      <c r="F114" s="14" t="s">
        <v>386</v>
      </c>
      <c r="G114" s="14">
        <v>182946</v>
      </c>
      <c r="H114" s="14">
        <v>196778</v>
      </c>
      <c r="I114" s="14">
        <v>26</v>
      </c>
      <c r="J114" s="14" t="s">
        <v>320</v>
      </c>
      <c r="K114" s="14" t="s">
        <v>387</v>
      </c>
      <c r="L114" s="14" t="s">
        <v>388</v>
      </c>
      <c r="M114" s="14" t="s">
        <v>9158</v>
      </c>
      <c r="N114" s="14" t="s">
        <v>9158</v>
      </c>
      <c r="O114" s="19" t="s">
        <v>10078</v>
      </c>
      <c r="P114" s="14" t="s">
        <v>3022</v>
      </c>
      <c r="Q114" s="14">
        <v>1</v>
      </c>
    </row>
    <row r="115" spans="1:19">
      <c r="A115" s="14" t="s">
        <v>5897</v>
      </c>
      <c r="B115" s="14" t="s">
        <v>52</v>
      </c>
      <c r="C115" s="14" t="s">
        <v>23</v>
      </c>
      <c r="D115" s="19" t="s">
        <v>277</v>
      </c>
      <c r="E115" s="15" t="str">
        <f>HYPERLINK("https://stat100.ameba.jp/tnk47/ratio20/illustrations/card/ill_40913_0_reigyokudensetsufusehime03.jpg?202105-5-RELEASE-marathon-531xx", "■")</f>
        <v>■</v>
      </c>
      <c r="F115" s="14" t="s">
        <v>955</v>
      </c>
      <c r="G115" s="14">
        <v>142500</v>
      </c>
      <c r="H115" s="14">
        <v>152152</v>
      </c>
      <c r="I115" s="14">
        <v>26</v>
      </c>
      <c r="J115" s="14" t="s">
        <v>38</v>
      </c>
      <c r="K115" s="14" t="s">
        <v>956</v>
      </c>
      <c r="L115" s="14" t="s">
        <v>957</v>
      </c>
      <c r="M115" s="14" t="s">
        <v>9158</v>
      </c>
      <c r="N115" s="14" t="s">
        <v>9158</v>
      </c>
      <c r="O115" s="14" t="s">
        <v>9158</v>
      </c>
      <c r="P115" s="14" t="s">
        <v>9158</v>
      </c>
      <c r="Q115" s="14" t="s">
        <v>9158</v>
      </c>
    </row>
    <row r="116" spans="1:19">
      <c r="A116" s="14">
        <v>94833</v>
      </c>
      <c r="B116" s="14" t="s">
        <v>0</v>
      </c>
      <c r="C116" s="14" t="s">
        <v>35</v>
      </c>
      <c r="D116" s="14" t="s">
        <v>18325</v>
      </c>
      <c r="E116" s="15" t="str">
        <f>HYPERLINK("https://stat100.ameba.jp/tnk47/ratio20/illustrations/card/ill_94833_daikyoimojochuchan03.jpg?202105-5-RELEASE-marathon-531xx", "■")</f>
        <v>■</v>
      </c>
      <c r="F116" s="14" t="s">
        <v>18324</v>
      </c>
      <c r="G116" s="14">
        <v>143328</v>
      </c>
      <c r="H116" s="14">
        <v>133262</v>
      </c>
      <c r="I116" s="7">
        <v>29</v>
      </c>
      <c r="J116" s="14" t="s">
        <v>104</v>
      </c>
      <c r="K116" s="14" t="s">
        <v>18323</v>
      </c>
      <c r="L116" s="14" t="s">
        <v>12340</v>
      </c>
      <c r="M116" s="14" t="s">
        <v>9158</v>
      </c>
      <c r="N116" s="14" t="s">
        <v>9158</v>
      </c>
      <c r="O116" s="14" t="s">
        <v>9158</v>
      </c>
      <c r="P116" s="14" t="s">
        <v>9158</v>
      </c>
      <c r="Q116" s="14" t="s">
        <v>9158</v>
      </c>
      <c r="S116" s="14" t="s">
        <v>18332</v>
      </c>
    </row>
    <row r="117" spans="1:19">
      <c r="A117" s="14">
        <v>92523</v>
      </c>
      <c r="B117" s="14" t="s">
        <v>0</v>
      </c>
      <c r="C117" s="14" t="s">
        <v>47</v>
      </c>
      <c r="D117" s="14" t="s">
        <v>18328</v>
      </c>
      <c r="E117" s="15" t="str">
        <f>HYPERLINK("https://stat100.ameba.jp/tnk47/ratio20/illustrations/card/ill_92523_shukakunoakirisu03.jpg?202105-5-RELEASE-marathon-531xx", "■")</f>
        <v>■</v>
      </c>
      <c r="F117" s="14" t="s">
        <v>18327</v>
      </c>
      <c r="G117" s="14">
        <v>136953</v>
      </c>
      <c r="H117" s="14">
        <v>127350</v>
      </c>
      <c r="I117" s="7">
        <v>29</v>
      </c>
      <c r="J117" s="14" t="s">
        <v>77</v>
      </c>
      <c r="K117" s="14" t="s">
        <v>18326</v>
      </c>
      <c r="L117" s="14" t="s">
        <v>13460</v>
      </c>
      <c r="M117" s="14" t="s">
        <v>9158</v>
      </c>
      <c r="N117" s="14" t="s">
        <v>9158</v>
      </c>
      <c r="O117" s="14" t="s">
        <v>9158</v>
      </c>
      <c r="P117" s="14" t="s">
        <v>9158</v>
      </c>
      <c r="Q117" s="14" t="s">
        <v>9158</v>
      </c>
      <c r="S117" s="14" t="s">
        <v>17630</v>
      </c>
    </row>
    <row r="118" spans="1:19">
      <c r="A118" s="14">
        <v>92753</v>
      </c>
      <c r="B118" s="14" t="s">
        <v>0</v>
      </c>
      <c r="C118" s="14" t="s">
        <v>41</v>
      </c>
      <c r="D118" s="14" t="s">
        <v>18331</v>
      </c>
      <c r="E118" s="15" t="str">
        <f>HYPERLINK("https://stat100.ameba.jp/tnk47/ratio20/illustrations/card/ill_92753_udonnotabitsuruhime03.jpg?202105-5-RELEASE-marathon-531xx", "■")</f>
        <v>■</v>
      </c>
      <c r="F118" s="14" t="s">
        <v>18330</v>
      </c>
      <c r="G118" s="14">
        <v>136953</v>
      </c>
      <c r="H118" s="14">
        <v>127350</v>
      </c>
      <c r="I118" s="7">
        <v>29</v>
      </c>
      <c r="J118" s="14" t="s">
        <v>38</v>
      </c>
      <c r="K118" s="14" t="s">
        <v>18329</v>
      </c>
      <c r="L118" s="14" t="s">
        <v>13460</v>
      </c>
      <c r="M118" s="14" t="s">
        <v>9158</v>
      </c>
      <c r="N118" s="14" t="s">
        <v>9158</v>
      </c>
      <c r="O118" s="14" t="s">
        <v>9158</v>
      </c>
      <c r="P118" s="14" t="s">
        <v>9158</v>
      </c>
      <c r="Q118" s="14" t="s">
        <v>9158</v>
      </c>
      <c r="S118" s="14" t="s">
        <v>18066</v>
      </c>
    </row>
    <row r="119" spans="1:19">
      <c r="A119" s="14">
        <v>81593</v>
      </c>
      <c r="B119" s="14" t="s">
        <v>15</v>
      </c>
      <c r="C119" s="14" t="s">
        <v>23</v>
      </c>
      <c r="D119" s="14" t="s">
        <v>18288</v>
      </c>
      <c r="E119" s="15" t="str">
        <f>HYPERLINK("https://stat100.ameba.jp/tnk47/ratio20/illustrations/card/ill_81593_tanteiurashimataro03.jpg?202105-5-RELEASE-marathon-531xx", "■")</f>
        <v>■</v>
      </c>
      <c r="F119" s="14" t="s">
        <v>18287</v>
      </c>
      <c r="G119" s="14">
        <v>64220</v>
      </c>
      <c r="H119" s="14">
        <v>58240</v>
      </c>
      <c r="I119" s="14">
        <v>26</v>
      </c>
      <c r="J119" s="14" t="s">
        <v>38</v>
      </c>
      <c r="K119" s="14" t="s">
        <v>18285</v>
      </c>
      <c r="L119" s="14" t="s">
        <v>18286</v>
      </c>
      <c r="M119" s="14" t="s">
        <v>9158</v>
      </c>
      <c r="N119" s="14" t="s">
        <v>9158</v>
      </c>
      <c r="O119" s="14" t="s">
        <v>9158</v>
      </c>
      <c r="P119" s="14" t="s">
        <v>9158</v>
      </c>
      <c r="Q119" s="14" t="s">
        <v>9158</v>
      </c>
      <c r="S119" s="14" t="s">
        <v>18295</v>
      </c>
    </row>
    <row r="120" spans="1:19">
      <c r="A120" s="14">
        <v>83133</v>
      </c>
      <c r="B120" s="14" t="s">
        <v>15</v>
      </c>
      <c r="C120" s="14" t="s">
        <v>1</v>
      </c>
      <c r="D120" s="14" t="s">
        <v>18292</v>
      </c>
      <c r="E120" s="15" t="str">
        <f>HYPERLINK("https://stat100.ameba.jp/tnk47/ratio20/illustrations/card/ill_83133_goshikisomenchan03.jpg?202105-5-RELEASE-marathon-531xx", "■")</f>
        <v>■</v>
      </c>
      <c r="F120" s="14" t="s">
        <v>18291</v>
      </c>
      <c r="G120" s="14">
        <v>58240</v>
      </c>
      <c r="H120" s="14">
        <v>64220</v>
      </c>
      <c r="I120" s="14">
        <v>26</v>
      </c>
      <c r="J120" s="14" t="s">
        <v>104</v>
      </c>
      <c r="K120" s="14" t="s">
        <v>18290</v>
      </c>
      <c r="L120" s="14" t="s">
        <v>18289</v>
      </c>
      <c r="M120" s="14" t="s">
        <v>9158</v>
      </c>
      <c r="N120" s="14" t="s">
        <v>9158</v>
      </c>
      <c r="O120" s="14" t="s">
        <v>9158</v>
      </c>
      <c r="P120" s="14" t="s">
        <v>9158</v>
      </c>
      <c r="Q120" s="14" t="s">
        <v>9158</v>
      </c>
      <c r="S120" s="14" t="s">
        <v>18296</v>
      </c>
    </row>
    <row r="121" spans="1:19">
      <c r="A121" s="14">
        <v>81473</v>
      </c>
      <c r="B121" s="14" t="s">
        <v>15</v>
      </c>
      <c r="C121" s="14" t="s">
        <v>107</v>
      </c>
      <c r="D121" s="14" t="s">
        <v>18294</v>
      </c>
      <c r="E121" s="15" t="str">
        <f>HYPERLINK("https://stat100.ameba.jp/tnk47/ratio20/illustrations/card/ill_81473_shirayukihimechokoretokeki03.jpg?202105-5-RELEASE-marathon-531xx", "■")</f>
        <v>■</v>
      </c>
      <c r="F121" s="14" t="s">
        <v>18293</v>
      </c>
      <c r="G121" s="14">
        <v>58240</v>
      </c>
      <c r="H121" s="14">
        <v>64220</v>
      </c>
      <c r="I121" s="14">
        <v>26</v>
      </c>
      <c r="J121" s="14" t="s">
        <v>104</v>
      </c>
      <c r="K121" s="14" t="s">
        <v>9678</v>
      </c>
      <c r="L121" s="14" t="s">
        <v>5225</v>
      </c>
      <c r="M121" s="14" t="s">
        <v>9158</v>
      </c>
      <c r="N121" s="14" t="s">
        <v>9158</v>
      </c>
      <c r="O121" s="14" t="s">
        <v>9158</v>
      </c>
      <c r="P121" s="14" t="s">
        <v>9158</v>
      </c>
      <c r="Q121" s="14" t="s">
        <v>9158</v>
      </c>
      <c r="S121" s="14" t="s">
        <v>11894</v>
      </c>
    </row>
    <row r="123" spans="1:19">
      <c r="A123" s="14" t="s">
        <v>12630</v>
      </c>
    </row>
    <row r="124" spans="1:19">
      <c r="A124" s="14">
        <v>238241</v>
      </c>
      <c r="B124" s="14" t="s">
        <v>18333</v>
      </c>
    </row>
    <row r="125" spans="1:19">
      <c r="A125" s="14">
        <v>238251</v>
      </c>
      <c r="B125" s="14" t="s">
        <v>15725</v>
      </c>
    </row>
    <row r="126" spans="1:19">
      <c r="A126" s="9" t="s">
        <v>12742</v>
      </c>
    </row>
    <row r="127" spans="1:19">
      <c r="A127" s="14" t="s">
        <v>14533</v>
      </c>
      <c r="B127" s="7" t="s">
        <v>52</v>
      </c>
      <c r="C127" s="14" t="s">
        <v>202</v>
      </c>
      <c r="D127" s="18" t="s">
        <v>14532</v>
      </c>
      <c r="E127" s="15" t="str">
        <f>HYPERLINK("https://stat100.ameba.jp/tnk47/ratio20/illustrations/card/ill_91703_0_ninjashugyohanakosan03.jpg?202105-5-RELEASE-marathon-531xxx", "■")</f>
        <v>■</v>
      </c>
      <c r="F127" s="14" t="s">
        <v>14534</v>
      </c>
      <c r="G127" s="14">
        <v>303290</v>
      </c>
      <c r="H127" s="14">
        <v>335575</v>
      </c>
      <c r="I127" s="14">
        <v>29</v>
      </c>
      <c r="J127" s="14" t="s">
        <v>77</v>
      </c>
      <c r="K127" s="14" t="s">
        <v>14536</v>
      </c>
      <c r="L127" s="14" t="s">
        <v>14535</v>
      </c>
      <c r="M127" s="14" t="s">
        <v>9158</v>
      </c>
      <c r="N127" s="14" t="s">
        <v>9158</v>
      </c>
      <c r="O127" s="6" t="s">
        <v>14539</v>
      </c>
      <c r="P127" s="7" t="s">
        <v>14538</v>
      </c>
      <c r="Q127" s="7">
        <v>1</v>
      </c>
    </row>
    <row r="128" spans="1:19">
      <c r="A128" s="14" t="s">
        <v>7150</v>
      </c>
      <c r="B128" s="14" t="s">
        <v>52</v>
      </c>
      <c r="C128" s="14" t="s">
        <v>202</v>
      </c>
      <c r="D128" s="19" t="s">
        <v>10656</v>
      </c>
      <c r="E128" s="15" t="str">
        <f>HYPERLINK("https://stat100.ameba.jp/tnk47/ratio20/illustrations/card/ill_84203_0_tarottofujiwaranoshoshi03.jpg?202105-5-RELEASE-marathon-531xxx", "■")</f>
        <v>■</v>
      </c>
      <c r="F128" s="14" t="s">
        <v>7153</v>
      </c>
      <c r="G128" s="14">
        <v>426842</v>
      </c>
      <c r="H128" s="14">
        <v>385804</v>
      </c>
      <c r="I128" s="14">
        <v>29</v>
      </c>
      <c r="J128" s="14" t="s">
        <v>10</v>
      </c>
      <c r="K128" s="14" t="s">
        <v>7152</v>
      </c>
      <c r="L128" s="14" t="s">
        <v>7151</v>
      </c>
      <c r="M128" s="14" t="s">
        <v>9158</v>
      </c>
      <c r="N128" s="14" t="s">
        <v>9158</v>
      </c>
      <c r="O128" s="19" t="s">
        <v>10128</v>
      </c>
      <c r="P128" s="14" t="s">
        <v>7154</v>
      </c>
      <c r="Q128" s="14">
        <v>1</v>
      </c>
    </row>
    <row r="129" spans="1:17">
      <c r="A129" s="14" t="s">
        <v>6598</v>
      </c>
      <c r="B129" s="14" t="s">
        <v>330</v>
      </c>
      <c r="C129" s="14" t="s">
        <v>35</v>
      </c>
      <c r="D129" s="19" t="s">
        <v>10555</v>
      </c>
      <c r="E129" s="15" t="str">
        <f>HYPERLINK("https://stat100.ameba.jp/tnk47/ratio20/illustrations/card/ill_83553_0_kajuenamoronagu03.jpg?202105-5-RELEASE-marathon-531xxx", "■")</f>
        <v>■</v>
      </c>
      <c r="F129" s="14" t="s">
        <v>6597</v>
      </c>
      <c r="G129" s="14">
        <v>305273</v>
      </c>
      <c r="H129" s="14">
        <v>337772</v>
      </c>
      <c r="I129" s="7">
        <v>29</v>
      </c>
      <c r="J129" s="14" t="s">
        <v>44</v>
      </c>
      <c r="K129" s="14" t="s">
        <v>6595</v>
      </c>
      <c r="L129" s="14" t="s">
        <v>6594</v>
      </c>
      <c r="M129" s="14" t="s">
        <v>9158</v>
      </c>
      <c r="N129" s="14" t="s">
        <v>9158</v>
      </c>
      <c r="O129" s="19" t="s">
        <v>10125</v>
      </c>
      <c r="P129" s="14" t="s">
        <v>6599</v>
      </c>
      <c r="Q129" s="14">
        <v>1</v>
      </c>
    </row>
    <row r="130" spans="1:17">
      <c r="A130" s="14">
        <v>93843</v>
      </c>
      <c r="B130" s="14" t="s">
        <v>0</v>
      </c>
      <c r="C130" s="14" t="s">
        <v>14</v>
      </c>
      <c r="D130" s="14" t="s">
        <v>15491</v>
      </c>
      <c r="E130" s="15" t="str">
        <f>HYPERLINK("https://stat100.ameba.jp/tnk47/ratio20/illustrations/card/ill_93843_sarukanigassen03.jpg?202105-5-RELEASE-marathon-531xxx", "■")</f>
        <v>■</v>
      </c>
      <c r="F130" s="14" t="s">
        <v>15489</v>
      </c>
      <c r="G130" s="14">
        <v>109970</v>
      </c>
      <c r="H130" s="14">
        <v>118287</v>
      </c>
      <c r="I130" s="7">
        <v>29</v>
      </c>
      <c r="J130" s="14" t="s">
        <v>38</v>
      </c>
      <c r="K130" s="14" t="s">
        <v>15488</v>
      </c>
      <c r="L130" s="14" t="s">
        <v>15487</v>
      </c>
      <c r="M130" s="14" t="s">
        <v>9158</v>
      </c>
      <c r="N130" s="14" t="s">
        <v>9158</v>
      </c>
      <c r="O130" s="14" t="s">
        <v>9158</v>
      </c>
      <c r="P130" s="14" t="s">
        <v>9158</v>
      </c>
      <c r="Q130" s="14" t="s">
        <v>9158</v>
      </c>
    </row>
    <row r="131" spans="1:17">
      <c r="A131" s="14">
        <v>94543</v>
      </c>
      <c r="B131" s="14" t="s">
        <v>0</v>
      </c>
      <c r="C131" s="14" t="s">
        <v>23</v>
      </c>
      <c r="D131" s="14" t="s">
        <v>16402</v>
      </c>
      <c r="E131" s="15" t="str">
        <f>HYPERLINK("https://stat100.ameba.jp/tnk47/ratio20/illustrations/card/ill_94543_yuenchiraguzatama03.jpg?202105-5-RELEASE-marathon-531xxx", "■")</f>
        <v>■</v>
      </c>
      <c r="F131" s="14" t="s">
        <v>16401</v>
      </c>
      <c r="G131" s="14">
        <v>117591</v>
      </c>
      <c r="H131" s="14">
        <v>109381</v>
      </c>
      <c r="I131" s="7">
        <v>29</v>
      </c>
      <c r="J131" s="14" t="s">
        <v>16</v>
      </c>
      <c r="K131" s="14" t="s">
        <v>8601</v>
      </c>
      <c r="L131" s="14" t="s">
        <v>16400</v>
      </c>
      <c r="M131" s="14" t="s">
        <v>9158</v>
      </c>
      <c r="N131" s="14" t="s">
        <v>9158</v>
      </c>
      <c r="O131" s="14" t="s">
        <v>9158</v>
      </c>
      <c r="P131" s="14" t="s">
        <v>9158</v>
      </c>
      <c r="Q131" s="14" t="s">
        <v>9158</v>
      </c>
    </row>
    <row r="132" spans="1:17">
      <c r="A132" s="14">
        <v>94483</v>
      </c>
      <c r="B132" s="14" t="s">
        <v>0</v>
      </c>
      <c r="C132" s="14" t="s">
        <v>101</v>
      </c>
      <c r="D132" s="14" t="s">
        <v>16368</v>
      </c>
      <c r="E132" s="15" t="str">
        <f>HYPERLINK("https://stat100.ameba.jp/tnk47/ratio20/illustrations/card/ill_94483_yamabiko03.jpg?202105-5-RELEASE-marathon-531xxx", "■")</f>
        <v>■</v>
      </c>
      <c r="F132" s="14" t="s">
        <v>16367</v>
      </c>
      <c r="G132" s="14">
        <v>160296</v>
      </c>
      <c r="H132" s="14">
        <v>172397</v>
      </c>
      <c r="I132" s="7">
        <v>29</v>
      </c>
      <c r="J132" s="14" t="s">
        <v>73</v>
      </c>
      <c r="K132" s="14" t="s">
        <v>16366</v>
      </c>
      <c r="L132" s="14" t="s">
        <v>12721</v>
      </c>
      <c r="M132" s="14" t="s">
        <v>9158</v>
      </c>
      <c r="N132" s="14" t="s">
        <v>9158</v>
      </c>
      <c r="O132" s="14" t="s">
        <v>9158</v>
      </c>
      <c r="P132" s="14" t="s">
        <v>9158</v>
      </c>
      <c r="Q132" s="14" t="s">
        <v>9158</v>
      </c>
    </row>
    <row r="133" spans="1:17">
      <c r="A133" s="14">
        <v>94093</v>
      </c>
      <c r="B133" s="14" t="s">
        <v>0</v>
      </c>
      <c r="C133" s="14" t="s">
        <v>96</v>
      </c>
      <c r="D133" s="14" t="s">
        <v>15749</v>
      </c>
      <c r="E133" s="15" t="str">
        <f>HYPERLINK("https://stat100.ameba.jp/tnk47/ratio20/illustrations/card/ill_94093_baresukuizumishikibu03.jpg?202105-5-RELEASE-marathon-531xxx", "■")</f>
        <v>■</v>
      </c>
      <c r="F133" s="14" t="s">
        <v>15748</v>
      </c>
      <c r="G133" s="14">
        <v>117591</v>
      </c>
      <c r="H133" s="14">
        <v>109381</v>
      </c>
      <c r="I133" s="7">
        <v>29</v>
      </c>
      <c r="J133" s="14" t="s">
        <v>16</v>
      </c>
      <c r="K133" s="14" t="s">
        <v>12238</v>
      </c>
      <c r="L133" s="14" t="s">
        <v>12415</v>
      </c>
      <c r="M133" s="14" t="s">
        <v>9158</v>
      </c>
      <c r="N133" s="14" t="s">
        <v>9158</v>
      </c>
      <c r="O133" s="14" t="s">
        <v>9158</v>
      </c>
      <c r="P133" s="14" t="s">
        <v>9158</v>
      </c>
      <c r="Q133" s="14" t="s">
        <v>9158</v>
      </c>
    </row>
    <row r="134" spans="1:17">
      <c r="A134" s="14">
        <v>92823</v>
      </c>
      <c r="B134" s="14" t="s">
        <v>0</v>
      </c>
      <c r="C134" s="14" t="s">
        <v>1</v>
      </c>
      <c r="D134" s="14" t="s">
        <v>15326</v>
      </c>
      <c r="E134" s="15" t="str">
        <f>HYPERLINK("https://stat100.ameba.jp/tnk47/ratio20/illustrations/card/ill_92823_shokorakupido03.jpg?202105-5-RELEASE-marathon-531xxx", "■")</f>
        <v>■</v>
      </c>
      <c r="F134" s="14" t="s">
        <v>15357</v>
      </c>
      <c r="G134" s="14">
        <v>118287</v>
      </c>
      <c r="H134" s="14">
        <v>109970</v>
      </c>
      <c r="I134" s="7">
        <v>29</v>
      </c>
      <c r="J134" s="14" t="s">
        <v>44</v>
      </c>
      <c r="K134" s="14" t="s">
        <v>15359</v>
      </c>
      <c r="L134" s="14" t="s">
        <v>12060</v>
      </c>
      <c r="M134" s="14" t="s">
        <v>9158</v>
      </c>
      <c r="N134" s="14" t="s">
        <v>9158</v>
      </c>
      <c r="O134" s="14" t="s">
        <v>9158</v>
      </c>
      <c r="P134" s="14" t="s">
        <v>9158</v>
      </c>
      <c r="Q134" s="14" t="s">
        <v>9158</v>
      </c>
    </row>
    <row r="135" spans="1:17">
      <c r="A135" s="14">
        <v>95193</v>
      </c>
      <c r="B135" s="14" t="s">
        <v>0</v>
      </c>
      <c r="C135" s="14" t="s">
        <v>107</v>
      </c>
      <c r="D135" s="14" t="s">
        <v>15942</v>
      </c>
      <c r="E135" s="15" t="str">
        <f>HYPERLINK("https://stat100.ameba.jp/tnk47/ratio20/illustrations/card/ill_95193_shiramikiyo03.jpg?202105-5-RELEASE-marathon-531xxx", "■")</f>
        <v>■</v>
      </c>
      <c r="F135" s="14" t="s">
        <v>15941</v>
      </c>
      <c r="G135" s="14">
        <v>105281</v>
      </c>
      <c r="H135" s="14">
        <v>113277</v>
      </c>
      <c r="I135" s="7">
        <v>29</v>
      </c>
      <c r="J135" s="14" t="s">
        <v>44</v>
      </c>
      <c r="K135" s="14" t="s">
        <v>7264</v>
      </c>
      <c r="L135" s="14" t="s">
        <v>15938</v>
      </c>
      <c r="M135" s="14" t="s">
        <v>9158</v>
      </c>
      <c r="N135" s="14" t="s">
        <v>9158</v>
      </c>
      <c r="O135" s="14" t="s">
        <v>9158</v>
      </c>
      <c r="P135" s="14" t="s">
        <v>9158</v>
      </c>
      <c r="Q135" s="14" t="s">
        <v>9158</v>
      </c>
    </row>
    <row r="137" spans="1:17">
      <c r="A137" s="14" t="s">
        <v>3916</v>
      </c>
    </row>
    <row r="138" spans="1:17">
      <c r="A138" s="14">
        <v>108579</v>
      </c>
      <c r="B138" s="14" t="s">
        <v>17432</v>
      </c>
    </row>
    <row r="139" spans="1:17">
      <c r="A139" s="14">
        <v>76103</v>
      </c>
      <c r="B139" s="14" t="s">
        <v>334</v>
      </c>
      <c r="C139" s="14" t="s">
        <v>154</v>
      </c>
      <c r="D139" s="19" t="s">
        <v>570</v>
      </c>
      <c r="E139" s="15" t="str">
        <f>HYPERLINK("https://stat100.ameba.jp/tnk47/ratio20/illustrations/card/ill_76103_shibuaji03.jpg?202105-5-RELEASE-marathon-531xxx", "■")</f>
        <v>■</v>
      </c>
      <c r="F139" s="14" t="s">
        <v>1122</v>
      </c>
      <c r="G139" s="14">
        <v>125078</v>
      </c>
      <c r="H139" s="14">
        <v>116296</v>
      </c>
      <c r="I139" s="14">
        <v>29</v>
      </c>
      <c r="J139" s="14" t="s">
        <v>143</v>
      </c>
      <c r="K139" s="14" t="s">
        <v>1123</v>
      </c>
      <c r="L139" s="14" t="s">
        <v>1124</v>
      </c>
      <c r="M139" s="14" t="s">
        <v>9864</v>
      </c>
      <c r="N139" s="14" t="s">
        <v>9158</v>
      </c>
      <c r="O139" s="14" t="s">
        <v>9158</v>
      </c>
      <c r="P139" s="14" t="s">
        <v>9158</v>
      </c>
      <c r="Q139" s="14" t="s">
        <v>9158</v>
      </c>
    </row>
    <row r="140" spans="1:17">
      <c r="A140" s="14">
        <v>76113</v>
      </c>
      <c r="B140" s="14" t="s">
        <v>334</v>
      </c>
      <c r="C140" s="14" t="s">
        <v>158</v>
      </c>
      <c r="D140" s="19" t="s">
        <v>10268</v>
      </c>
      <c r="E140" s="15" t="str">
        <f>HYPERLINK("https://stat100.ameba.jp/tnk47/ratio20/illustrations/card/ill_76113_jannudaruku03.jpg?202105-5-RELEASE-marathon-531xxx", "■")</f>
        <v>■</v>
      </c>
      <c r="F140" s="14" t="s">
        <v>1126</v>
      </c>
      <c r="G140" s="14">
        <v>125078</v>
      </c>
      <c r="H140" s="14">
        <v>116296</v>
      </c>
      <c r="I140" s="14">
        <v>29</v>
      </c>
      <c r="J140" s="14" t="s">
        <v>10</v>
      </c>
      <c r="K140" s="14" t="s">
        <v>1127</v>
      </c>
      <c r="L140" s="14" t="s">
        <v>1128</v>
      </c>
      <c r="M140" s="14" t="s">
        <v>9158</v>
      </c>
      <c r="N140" s="14" t="s">
        <v>9158</v>
      </c>
      <c r="O140" s="14" t="s">
        <v>9158</v>
      </c>
      <c r="P140" s="14" t="s">
        <v>9158</v>
      </c>
      <c r="Q140" s="14" t="s">
        <v>9158</v>
      </c>
    </row>
    <row r="141" spans="1:17">
      <c r="A141" s="14">
        <v>63323</v>
      </c>
      <c r="B141" s="14" t="s">
        <v>0</v>
      </c>
      <c r="C141" s="14" t="s">
        <v>200</v>
      </c>
      <c r="D141" s="19" t="s">
        <v>10269</v>
      </c>
      <c r="E141" s="15" t="str">
        <f>HYPERLINK("https://stat100.ameba.jp/tnk47/ratio20/illustrations/card/ill_63323_ajisaikushinadahime03.jpg?202105-5-RELEASE-marathon-531xxx", "■")</f>
        <v>■</v>
      </c>
      <c r="F141" s="14" t="s">
        <v>3583</v>
      </c>
      <c r="G141" s="14">
        <v>109970</v>
      </c>
      <c r="H141" s="14">
        <v>118287</v>
      </c>
      <c r="I141" s="14">
        <v>29</v>
      </c>
      <c r="J141" s="14" t="s">
        <v>44</v>
      </c>
      <c r="K141" s="14" t="s">
        <v>3584</v>
      </c>
      <c r="L141" s="14" t="s">
        <v>2400</v>
      </c>
      <c r="M141" s="14" t="s">
        <v>9158</v>
      </c>
      <c r="N141" s="14" t="s">
        <v>9158</v>
      </c>
      <c r="O141" s="14" t="s">
        <v>9158</v>
      </c>
      <c r="P141" s="14" t="s">
        <v>9158</v>
      </c>
      <c r="Q141" s="14" t="s">
        <v>9158</v>
      </c>
    </row>
    <row r="142" spans="1:17">
      <c r="A142" s="14">
        <v>59863</v>
      </c>
      <c r="B142" s="14" t="s">
        <v>334</v>
      </c>
      <c r="C142" s="14" t="s">
        <v>165</v>
      </c>
      <c r="D142" s="19" t="s">
        <v>318</v>
      </c>
      <c r="E142" s="15" t="str">
        <f>HYPERLINK("https://stat100.ameba.jp/tnk47/ratio20/illustrations/card/ill_59863_yoseiichimokuren03.jpg?202105-5-RELEASE-marathon-531xxx", "■")</f>
        <v>■</v>
      </c>
      <c r="F142" s="14" t="s">
        <v>319</v>
      </c>
      <c r="G142" s="14">
        <v>120830</v>
      </c>
      <c r="H142" s="14">
        <v>112369</v>
      </c>
      <c r="I142" s="14">
        <v>29</v>
      </c>
      <c r="J142" s="14" t="s">
        <v>320</v>
      </c>
      <c r="K142" s="14" t="s">
        <v>321</v>
      </c>
      <c r="L142" s="14" t="s">
        <v>322</v>
      </c>
      <c r="M142" s="14" t="s">
        <v>9158</v>
      </c>
      <c r="N142" s="14" t="s">
        <v>9158</v>
      </c>
      <c r="O142" s="14" t="s">
        <v>9158</v>
      </c>
      <c r="P142" s="14" t="s">
        <v>9158</v>
      </c>
      <c r="Q142" s="14" t="s">
        <v>9158</v>
      </c>
    </row>
    <row r="143" spans="1:17">
      <c r="A143" s="14">
        <v>51823</v>
      </c>
      <c r="B143" s="14" t="s">
        <v>15</v>
      </c>
      <c r="C143" s="14" t="s">
        <v>101</v>
      </c>
      <c r="D143" s="19" t="s">
        <v>10587</v>
      </c>
      <c r="E143" s="15" t="str">
        <f>HYPERLINK("https://stat100.ameba.jp/tnk47/ratio20/illustrations/card/ill_51823_jukimatsu03.jpg?202105-5-RELEASE-marathon-531xxx", "■")</f>
        <v>■</v>
      </c>
      <c r="F143" s="14" t="s">
        <v>6742</v>
      </c>
      <c r="G143" s="14">
        <v>64520</v>
      </c>
      <c r="H143" s="14">
        <v>71136</v>
      </c>
      <c r="I143" s="14">
        <v>24</v>
      </c>
      <c r="J143" s="14" t="s">
        <v>77</v>
      </c>
      <c r="K143" s="14" t="s">
        <v>6743</v>
      </c>
      <c r="L143" s="14" t="s">
        <v>6744</v>
      </c>
      <c r="M143" s="14" t="s">
        <v>9158</v>
      </c>
      <c r="N143" s="14" t="s">
        <v>9158</v>
      </c>
      <c r="O143" s="14" t="s">
        <v>9158</v>
      </c>
      <c r="P143" s="14" t="s">
        <v>9158</v>
      </c>
      <c r="Q143" s="14" t="s">
        <v>9158</v>
      </c>
    </row>
    <row r="144" spans="1:17">
      <c r="A144" s="14">
        <v>51773</v>
      </c>
      <c r="B144" s="14" t="s">
        <v>15</v>
      </c>
      <c r="C144" s="14" t="s">
        <v>205</v>
      </c>
      <c r="D144" s="19" t="s">
        <v>10588</v>
      </c>
      <c r="E144" s="15" t="str">
        <f>HYPERLINK("https://stat100.ameba.jp/tnk47/ratio20/illustrations/card/ill_51773_kawaasobikanekomisuzu03.jpg?202105-5-RELEASE-marathon-531xxx", "■")</f>
        <v>■</v>
      </c>
      <c r="F144" s="14" t="s">
        <v>6747</v>
      </c>
      <c r="G144" s="14">
        <v>71136</v>
      </c>
      <c r="H144" s="14">
        <v>64520</v>
      </c>
      <c r="I144" s="14">
        <v>24</v>
      </c>
      <c r="J144" s="14" t="s">
        <v>10</v>
      </c>
      <c r="K144" s="14" t="s">
        <v>6746</v>
      </c>
      <c r="L144" s="14" t="s">
        <v>6745</v>
      </c>
      <c r="M144" s="14" t="s">
        <v>9158</v>
      </c>
      <c r="N144" s="14" t="s">
        <v>9158</v>
      </c>
      <c r="O144" s="14" t="s">
        <v>9158</v>
      </c>
      <c r="P144" s="14" t="s">
        <v>9158</v>
      </c>
      <c r="Q144" s="14" t="s">
        <v>9158</v>
      </c>
    </row>
    <row r="145" spans="1:18">
      <c r="A145" s="14">
        <v>51733</v>
      </c>
      <c r="B145" s="14" t="s">
        <v>15</v>
      </c>
      <c r="C145" s="14" t="s">
        <v>185</v>
      </c>
      <c r="D145" s="19" t="s">
        <v>10589</v>
      </c>
      <c r="E145" s="15" t="str">
        <f>HYPERLINK("https://stat100.ameba.jp/tnk47/ratio20/illustrations/card/ill_51733_ekusoshisutopoiyampe03.jpg?202105-5-RELEASE-marathon-531xxx", "■")</f>
        <v>■</v>
      </c>
      <c r="F145" s="14" t="s">
        <v>6750</v>
      </c>
      <c r="G145" s="14">
        <v>64520</v>
      </c>
      <c r="H145" s="14">
        <v>71136</v>
      </c>
      <c r="I145" s="14">
        <v>24</v>
      </c>
      <c r="J145" s="14" t="s">
        <v>274</v>
      </c>
      <c r="K145" s="14" t="s">
        <v>6749</v>
      </c>
      <c r="L145" s="14" t="s">
        <v>6748</v>
      </c>
      <c r="M145" s="14" t="s">
        <v>9158</v>
      </c>
      <c r="N145" s="14" t="s">
        <v>9158</v>
      </c>
      <c r="O145" s="14" t="s">
        <v>9158</v>
      </c>
      <c r="P145" s="14" t="s">
        <v>9158</v>
      </c>
      <c r="Q145" s="14" t="s">
        <v>9158</v>
      </c>
    </row>
    <row r="146" spans="1:18">
      <c r="A146" s="14">
        <v>55743</v>
      </c>
      <c r="B146" s="14" t="s">
        <v>15</v>
      </c>
      <c r="C146" s="14" t="s">
        <v>96</v>
      </c>
      <c r="D146" s="19" t="s">
        <v>10590</v>
      </c>
      <c r="E146" s="15" t="str">
        <f>HYPERLINK("https://stat100.ameba.jp/tnk47/ratio20/illustrations/card/ill_55743_nankoume03.jpg?202105-5-RELEASE-marathon-531xxx", "■")</f>
        <v>■</v>
      </c>
      <c r="F146" s="14" t="s">
        <v>4308</v>
      </c>
      <c r="G146" s="14">
        <v>64520</v>
      </c>
      <c r="H146" s="14">
        <v>71136</v>
      </c>
      <c r="I146" s="14">
        <v>24</v>
      </c>
      <c r="J146" s="14" t="s">
        <v>216</v>
      </c>
      <c r="K146" s="14" t="s">
        <v>4310</v>
      </c>
      <c r="L146" s="14" t="s">
        <v>4311</v>
      </c>
      <c r="M146" s="14" t="s">
        <v>9158</v>
      </c>
      <c r="N146" s="14" t="s">
        <v>9158</v>
      </c>
      <c r="O146" s="14" t="s">
        <v>9158</v>
      </c>
      <c r="P146" s="14" t="s">
        <v>9158</v>
      </c>
      <c r="Q146" s="14" t="s">
        <v>9158</v>
      </c>
    </row>
    <row r="148" spans="1:18">
      <c r="A148" s="14" t="s">
        <v>18334</v>
      </c>
    </row>
    <row r="149" spans="1:18">
      <c r="A149" s="14">
        <v>238258</v>
      </c>
      <c r="B149" s="14" t="s">
        <v>11491</v>
      </c>
    </row>
    <row r="150" spans="1:18">
      <c r="A150" s="14">
        <v>238264</v>
      </c>
      <c r="B150" s="14" t="s">
        <v>11490</v>
      </c>
    </row>
    <row r="151" spans="1:18">
      <c r="A151" s="14" t="s">
        <v>17383</v>
      </c>
      <c r="B151" s="7" t="s">
        <v>52</v>
      </c>
      <c r="C151" s="14" t="s">
        <v>202</v>
      </c>
      <c r="D151" s="18" t="s">
        <v>17382</v>
      </c>
      <c r="E151" s="15" t="str">
        <f>HYPERLINK("https://stat100.ameba.jp/tnk47/ratio20/illustrations/card/ill_97703_0_shisutatachibanaginchiyo03.jpg?202105-5-RELEASE-marathon-531xxx", "■")</f>
        <v>■</v>
      </c>
      <c r="F151" s="14" t="s">
        <v>17381</v>
      </c>
      <c r="G151" s="14">
        <v>276738</v>
      </c>
      <c r="H151" s="14">
        <v>306220</v>
      </c>
      <c r="I151" s="14">
        <v>29</v>
      </c>
      <c r="J151" s="14" t="s">
        <v>77</v>
      </c>
      <c r="K151" s="14" t="s">
        <v>17380</v>
      </c>
      <c r="L151" s="14" t="s">
        <v>17268</v>
      </c>
      <c r="M151" s="14" t="s">
        <v>9158</v>
      </c>
      <c r="N151" s="14" t="s">
        <v>9158</v>
      </c>
      <c r="O151" s="7" t="s">
        <v>17379</v>
      </c>
      <c r="P151" s="7" t="s">
        <v>17378</v>
      </c>
      <c r="Q151" s="7">
        <v>1</v>
      </c>
    </row>
    <row r="152" spans="1:18">
      <c r="A152" s="14">
        <v>97863</v>
      </c>
      <c r="B152" s="14" t="s">
        <v>0</v>
      </c>
      <c r="C152" s="14" t="s">
        <v>14</v>
      </c>
      <c r="D152" s="14" t="s">
        <v>18337</v>
      </c>
      <c r="E152" s="15" t="str">
        <f>HYPERLINK("https://stat100.ameba.jp/tnk47/ratio20/illustrations/card/ill_97863_seireikenkyushafu03.jpg?202105-5-RELEASE-marathon-531xxx", "■")</f>
        <v>■</v>
      </c>
      <c r="F152" s="14" t="s">
        <v>18336</v>
      </c>
      <c r="G152" s="14">
        <v>113277</v>
      </c>
      <c r="H152" s="14">
        <v>105281</v>
      </c>
      <c r="I152" s="14">
        <v>29</v>
      </c>
      <c r="J152" s="14" t="s">
        <v>16</v>
      </c>
      <c r="K152" s="14" t="s">
        <v>18335</v>
      </c>
      <c r="L152" s="14" t="s">
        <v>14197</v>
      </c>
      <c r="M152" s="14" t="s">
        <v>9158</v>
      </c>
      <c r="N152" s="14" t="s">
        <v>9158</v>
      </c>
      <c r="O152" s="14" t="s">
        <v>9158</v>
      </c>
      <c r="P152" s="14" t="s">
        <v>9158</v>
      </c>
      <c r="Q152" s="14" t="s">
        <v>9158</v>
      </c>
    </row>
    <row r="153" spans="1:18">
      <c r="A153" s="14">
        <v>97873</v>
      </c>
      <c r="B153" s="14" t="s">
        <v>334</v>
      </c>
      <c r="C153" s="14" t="s">
        <v>23</v>
      </c>
      <c r="D153" s="14" t="s">
        <v>18340</v>
      </c>
      <c r="E153" s="15" t="str">
        <f>HYPERLINK("https://stat100.ameba.jp/tnk47/ratio20/illustrations/card/ill_97873_kemonomizugigo03.jpg?202105-5-RELEASE-marathon-531xxx", "■")</f>
        <v>■</v>
      </c>
      <c r="F153" s="14" t="s">
        <v>18339</v>
      </c>
      <c r="G153" s="14">
        <v>136953</v>
      </c>
      <c r="H153" s="14">
        <v>127350</v>
      </c>
      <c r="I153" s="14">
        <v>29</v>
      </c>
      <c r="J153" s="14" t="s">
        <v>77</v>
      </c>
      <c r="K153" s="14" t="s">
        <v>5705</v>
      </c>
      <c r="L153" s="14" t="s">
        <v>18338</v>
      </c>
      <c r="M153" s="14" t="s">
        <v>9158</v>
      </c>
      <c r="N153" s="14" t="s">
        <v>9158</v>
      </c>
      <c r="O153" s="14" t="s">
        <v>9158</v>
      </c>
      <c r="P153" s="14" t="s">
        <v>9158</v>
      </c>
      <c r="Q153" s="14" t="s">
        <v>9158</v>
      </c>
    </row>
    <row r="154" spans="1:18">
      <c r="A154" s="14">
        <v>97883</v>
      </c>
      <c r="B154" s="14" t="s">
        <v>15</v>
      </c>
      <c r="C154" s="14" t="s">
        <v>1</v>
      </c>
      <c r="D154" s="14" t="s">
        <v>18343</v>
      </c>
      <c r="E154" s="15" t="str">
        <f>HYPERLINK("https://stat100.ameba.jp/tnk47/ratio20/illustrations/card/ill_97883_dobutsumimuratsuru03.jpg?202105-5-RELEASE-marathon-531xxx", "■")</f>
        <v>■</v>
      </c>
      <c r="F154" s="14" t="s">
        <v>18342</v>
      </c>
      <c r="G154" s="14">
        <v>77962</v>
      </c>
      <c r="H154" s="14">
        <v>85956</v>
      </c>
      <c r="I154" s="14">
        <v>29</v>
      </c>
      <c r="J154" s="14" t="s">
        <v>77</v>
      </c>
      <c r="K154" s="14" t="s">
        <v>18341</v>
      </c>
      <c r="L154" s="14" t="s">
        <v>973</v>
      </c>
      <c r="M154" s="14" t="s">
        <v>9158</v>
      </c>
      <c r="N154" s="14" t="s">
        <v>9158</v>
      </c>
      <c r="O154" s="14" t="s">
        <v>9158</v>
      </c>
      <c r="P154" s="14" t="s">
        <v>9158</v>
      </c>
      <c r="Q154" s="14" t="s">
        <v>9158</v>
      </c>
    </row>
    <row r="155" spans="1:18">
      <c r="A155" s="14">
        <v>97893</v>
      </c>
      <c r="B155" s="14" t="s">
        <v>22</v>
      </c>
      <c r="C155" s="14" t="s">
        <v>4952</v>
      </c>
      <c r="D155" s="14" t="s">
        <v>18346</v>
      </c>
      <c r="E155" s="15" t="str">
        <f>HYPERLINK("https://stat100.ameba.jp/tnk47/ratio20/illustrations/card/ill_97893_shirufu03.jpg?202105-5-RELEASE-marathon-531xxx", "■")</f>
        <v>■</v>
      </c>
      <c r="F155" s="14" t="s">
        <v>18345</v>
      </c>
      <c r="G155" s="14">
        <v>60296</v>
      </c>
      <c r="H155" s="14">
        <v>50134</v>
      </c>
      <c r="I155" s="14">
        <v>29</v>
      </c>
      <c r="J155" s="14" t="s">
        <v>44</v>
      </c>
      <c r="K155" s="14" t="s">
        <v>18344</v>
      </c>
      <c r="L155" s="14" t="s">
        <v>4956</v>
      </c>
      <c r="M155" s="14" t="s">
        <v>9158</v>
      </c>
      <c r="N155" s="14" t="s">
        <v>9158</v>
      </c>
      <c r="O155" s="14" t="s">
        <v>9158</v>
      </c>
      <c r="P155" s="14" t="s">
        <v>9158</v>
      </c>
      <c r="Q155" s="14" t="s">
        <v>9158</v>
      </c>
    </row>
    <row r="156" spans="1:18">
      <c r="A156" s="14">
        <v>97903</v>
      </c>
      <c r="B156" s="14" t="s">
        <v>22</v>
      </c>
      <c r="C156" s="14" t="s">
        <v>107</v>
      </c>
      <c r="D156" s="14" t="s">
        <v>18349</v>
      </c>
      <c r="E156" s="15" t="str">
        <f>HYPERLINK("https://stat100.ameba.jp/tnk47/ratio20/illustrations/card/ill_97903_akana03.jpg?202105-5-RELEASE-marathon-531xxx", "■")</f>
        <v>■</v>
      </c>
      <c r="F156" s="14" t="s">
        <v>18348</v>
      </c>
      <c r="G156" s="14">
        <v>50134</v>
      </c>
      <c r="H156" s="14">
        <v>60296</v>
      </c>
      <c r="I156" s="14">
        <v>29</v>
      </c>
      <c r="J156" s="14" t="s">
        <v>73</v>
      </c>
      <c r="K156" s="14" t="s">
        <v>18347</v>
      </c>
      <c r="L156" s="14" t="s">
        <v>5881</v>
      </c>
      <c r="M156" s="14" t="s">
        <v>9158</v>
      </c>
      <c r="N156" s="14" t="s">
        <v>9158</v>
      </c>
      <c r="O156" s="14" t="s">
        <v>9158</v>
      </c>
      <c r="P156" s="14" t="s">
        <v>9158</v>
      </c>
      <c r="Q156" s="14" t="s">
        <v>9158</v>
      </c>
    </row>
    <row r="158" spans="1:18">
      <c r="A158" s="14" t="s">
        <v>13327</v>
      </c>
    </row>
    <row r="159" spans="1:18">
      <c r="A159" s="14">
        <v>108600</v>
      </c>
      <c r="B159" s="14" t="s">
        <v>17433</v>
      </c>
    </row>
    <row r="160" spans="1:18">
      <c r="A160" s="14">
        <v>92173</v>
      </c>
      <c r="B160" s="14" t="s">
        <v>0</v>
      </c>
      <c r="C160" s="14" t="s">
        <v>335</v>
      </c>
      <c r="D160" s="14" t="s">
        <v>14616</v>
      </c>
      <c r="E160" s="15" t="str">
        <f>HYPERLINK("https://stat100.ameba.jp/tnk47/ratio20/illustrations/card/ill_92173_atorasu03.jpg?202105-5-RELEASE-marathon-531xxx", "■")</f>
        <v>■</v>
      </c>
      <c r="F160" s="14" t="s">
        <v>14617</v>
      </c>
      <c r="G160" s="14">
        <v>142768</v>
      </c>
      <c r="H160" s="14">
        <v>132737</v>
      </c>
      <c r="I160" s="14">
        <v>29</v>
      </c>
      <c r="J160" s="14" t="s">
        <v>77</v>
      </c>
      <c r="K160" s="14" t="s">
        <v>14619</v>
      </c>
      <c r="L160" s="14" t="s">
        <v>14618</v>
      </c>
      <c r="M160" s="14" t="s">
        <v>2138</v>
      </c>
      <c r="N160" s="14" t="s">
        <v>2139</v>
      </c>
      <c r="O160" s="14" t="s">
        <v>9158</v>
      </c>
      <c r="P160" s="14" t="s">
        <v>9158</v>
      </c>
      <c r="Q160" s="14" t="s">
        <v>9158</v>
      </c>
      <c r="R160" s="14" t="s">
        <v>14748</v>
      </c>
    </row>
    <row r="161" spans="1:18">
      <c r="A161" s="14">
        <v>92172</v>
      </c>
      <c r="B161" s="14" t="s">
        <v>0</v>
      </c>
      <c r="C161" s="14" t="s">
        <v>335</v>
      </c>
      <c r="D161" s="14" t="s">
        <v>14616</v>
      </c>
      <c r="E161" s="15" t="str">
        <f>HYPERLINK("https://stat100.ameba.jp/tnk47/ratio20/illustrations/card/ill_92172_atorasu02.jpg?202105-5-RELEASE-marathon-531xxx", "■")</f>
        <v>■</v>
      </c>
      <c r="F161" s="14" t="s">
        <v>14617</v>
      </c>
      <c r="G161" s="14">
        <v>119345</v>
      </c>
      <c r="H161" s="14">
        <v>109938</v>
      </c>
      <c r="I161" s="14">
        <v>29</v>
      </c>
      <c r="J161" s="14" t="s">
        <v>77</v>
      </c>
      <c r="K161" s="14" t="s">
        <v>14619</v>
      </c>
      <c r="L161" s="14" t="s">
        <v>14618</v>
      </c>
      <c r="M161" s="14" t="s">
        <v>13270</v>
      </c>
      <c r="N161" s="14" t="s">
        <v>13271</v>
      </c>
      <c r="O161" s="14" t="s">
        <v>9158</v>
      </c>
      <c r="P161" s="14" t="s">
        <v>9158</v>
      </c>
      <c r="Q161" s="14" t="s">
        <v>9158</v>
      </c>
      <c r="R161" s="14" t="s">
        <v>14748</v>
      </c>
    </row>
    <row r="162" spans="1:18">
      <c r="A162" s="14">
        <v>92171</v>
      </c>
      <c r="B162" s="14" t="s">
        <v>0</v>
      </c>
      <c r="C162" s="14" t="s">
        <v>335</v>
      </c>
      <c r="D162" s="14" t="s">
        <v>14616</v>
      </c>
      <c r="E162" s="15" t="str">
        <f>HYPERLINK("https://stat100.ameba.jp/tnk47/ratio20/illustrations/card/ill_92171_atorasu01.jpg?202105-5-RELEASE-marathon-531xxx", "■")</f>
        <v>■</v>
      </c>
      <c r="F162" s="14" t="s">
        <v>14617</v>
      </c>
      <c r="G162" s="14">
        <v>91118</v>
      </c>
      <c r="H162" s="14">
        <v>84825</v>
      </c>
      <c r="I162" s="14">
        <v>29</v>
      </c>
      <c r="J162" s="14" t="s">
        <v>77</v>
      </c>
      <c r="K162" s="14" t="s">
        <v>14619</v>
      </c>
      <c r="L162" s="14" t="s">
        <v>14618</v>
      </c>
      <c r="M162" s="14" t="s">
        <v>13270</v>
      </c>
      <c r="N162" s="14" t="s">
        <v>13271</v>
      </c>
      <c r="O162" s="14" t="s">
        <v>9158</v>
      </c>
      <c r="P162" s="14" t="s">
        <v>9158</v>
      </c>
      <c r="Q162" s="14" t="s">
        <v>9158</v>
      </c>
      <c r="R162" s="14" t="s">
        <v>14748</v>
      </c>
    </row>
    <row r="163" spans="1:18">
      <c r="A163" s="14">
        <v>92183</v>
      </c>
      <c r="B163" s="14" t="s">
        <v>0</v>
      </c>
      <c r="C163" s="14" t="s">
        <v>200</v>
      </c>
      <c r="D163" s="14" t="s">
        <v>14624</v>
      </c>
      <c r="E163" s="15" t="str">
        <f>HYPERLINK("https://stat100.ameba.jp/tnk47/ratio20/illustrations/card/ill_92183_shokorafue03.jpg?202105-5-RELEASE-marathon-531xxx", "■")</f>
        <v>■</v>
      </c>
      <c r="F163" s="14" t="s">
        <v>14623</v>
      </c>
      <c r="G163" s="14">
        <v>142768</v>
      </c>
      <c r="H163" s="14">
        <v>132737</v>
      </c>
      <c r="I163" s="14">
        <v>29</v>
      </c>
      <c r="J163" s="14" t="s">
        <v>104</v>
      </c>
      <c r="K163" s="14" t="s">
        <v>14621</v>
      </c>
      <c r="L163" s="14" t="s">
        <v>14620</v>
      </c>
      <c r="M163" s="14" t="s">
        <v>2138</v>
      </c>
      <c r="N163" s="14" t="s">
        <v>2139</v>
      </c>
      <c r="O163" s="14" t="s">
        <v>9158</v>
      </c>
      <c r="P163" s="14" t="s">
        <v>9158</v>
      </c>
      <c r="Q163" s="14" t="s">
        <v>9158</v>
      </c>
      <c r="R163" s="14" t="s">
        <v>14748</v>
      </c>
    </row>
    <row r="164" spans="1:18">
      <c r="A164" s="14">
        <v>92193</v>
      </c>
      <c r="B164" s="14" t="s">
        <v>0</v>
      </c>
      <c r="C164" s="14" t="s">
        <v>307</v>
      </c>
      <c r="D164" s="14" t="s">
        <v>14629</v>
      </c>
      <c r="E164" s="15" t="str">
        <f>HYPERLINK("https://stat100.ameba.jp/tnk47/ratio20/illustrations/card/ill_92193_kerubu03.jpg?202105-5-RELEASE-marathon-531xxx", "■")</f>
        <v>■</v>
      </c>
      <c r="F164" s="14" t="s">
        <v>14628</v>
      </c>
      <c r="G164" s="14">
        <v>142768</v>
      </c>
      <c r="H164" s="14">
        <v>132737</v>
      </c>
      <c r="I164" s="14">
        <v>29</v>
      </c>
      <c r="J164" s="14" t="s">
        <v>44</v>
      </c>
      <c r="K164" s="14" t="s">
        <v>14626</v>
      </c>
      <c r="L164" s="14" t="s">
        <v>14625</v>
      </c>
      <c r="M164" s="14" t="s">
        <v>2138</v>
      </c>
      <c r="N164" s="14" t="s">
        <v>2139</v>
      </c>
      <c r="O164" s="14" t="s">
        <v>9158</v>
      </c>
      <c r="P164" s="14" t="s">
        <v>9158</v>
      </c>
      <c r="Q164" s="14" t="s">
        <v>9158</v>
      </c>
      <c r="R164" s="14" t="s">
        <v>14748</v>
      </c>
    </row>
    <row r="165" spans="1:18">
      <c r="A165" s="14">
        <v>92203</v>
      </c>
      <c r="B165" s="14" t="s">
        <v>0</v>
      </c>
      <c r="C165" s="14" t="s">
        <v>165</v>
      </c>
      <c r="D165" s="14" t="s">
        <v>14634</v>
      </c>
      <c r="E165" s="15" t="str">
        <f>HYPERLINK("https://stat100.ameba.jp/tnk47/ratio20/illustrations/card/ill_92203_tarazetotoreda03.jpg?202105-5-RELEASE-marathon-531xxx", "■")</f>
        <v>■</v>
      </c>
      <c r="F165" s="14" t="s">
        <v>14633</v>
      </c>
      <c r="G165" s="14">
        <v>132737</v>
      </c>
      <c r="H165" s="14">
        <v>142768</v>
      </c>
      <c r="I165" s="14">
        <v>29</v>
      </c>
      <c r="J165" s="14" t="s">
        <v>73</v>
      </c>
      <c r="K165" s="14" t="s">
        <v>14631</v>
      </c>
      <c r="L165" s="14" t="s">
        <v>14630</v>
      </c>
      <c r="M165" s="14" t="s">
        <v>2138</v>
      </c>
      <c r="N165" s="14" t="s">
        <v>2139</v>
      </c>
      <c r="O165" s="14" t="s">
        <v>9158</v>
      </c>
      <c r="P165" s="14" t="s">
        <v>9158</v>
      </c>
      <c r="Q165" s="14" t="s">
        <v>9158</v>
      </c>
      <c r="R165" s="14" t="s">
        <v>14748</v>
      </c>
    </row>
    <row r="166" spans="1:18">
      <c r="A166" s="14">
        <v>92213</v>
      </c>
      <c r="B166" s="14" t="s">
        <v>0</v>
      </c>
      <c r="C166" s="9" t="s">
        <v>205</v>
      </c>
      <c r="D166" s="14" t="s">
        <v>14639</v>
      </c>
      <c r="E166" s="15" t="str">
        <f>HYPERLINK("https://stat100.ameba.jp/tnk47/ratio20/illustrations/card/ill_92213_pushikopompoi03.jpg?202105-5-RELEASE-marathon-531xxx", "■")</f>
        <v>■</v>
      </c>
      <c r="F166" s="14" t="s">
        <v>14638</v>
      </c>
      <c r="G166" s="14">
        <v>132737</v>
      </c>
      <c r="H166" s="14">
        <v>142768</v>
      </c>
      <c r="I166" s="14">
        <v>29</v>
      </c>
      <c r="J166" s="14" t="s">
        <v>38</v>
      </c>
      <c r="K166" s="14" t="s">
        <v>14636</v>
      </c>
      <c r="L166" s="14" t="s">
        <v>14635</v>
      </c>
      <c r="M166" s="14" t="s">
        <v>2138</v>
      </c>
      <c r="N166" s="14" t="s">
        <v>2139</v>
      </c>
      <c r="O166" s="14" t="s">
        <v>9158</v>
      </c>
      <c r="P166" s="14" t="s">
        <v>9158</v>
      </c>
      <c r="Q166" s="14" t="s">
        <v>9158</v>
      </c>
      <c r="R166" s="14" t="s">
        <v>14748</v>
      </c>
    </row>
    <row r="167" spans="1:18">
      <c r="A167" s="14">
        <v>92223</v>
      </c>
      <c r="B167" s="14" t="s">
        <v>0</v>
      </c>
      <c r="C167" s="14" t="s">
        <v>206</v>
      </c>
      <c r="D167" s="14" t="s">
        <v>14644</v>
      </c>
      <c r="E167" s="15" t="str">
        <f>HYPERLINK("https://stat100.ameba.jp/tnk47/ratio20/illustrations/card/ill_92223_sanfuraua03.jpg?202105-5-RELEASE-marathon-531xxx", "■")</f>
        <v>■</v>
      </c>
      <c r="F167" s="14" t="s">
        <v>14643</v>
      </c>
      <c r="G167" s="14">
        <v>132737</v>
      </c>
      <c r="H167" s="14">
        <v>142768</v>
      </c>
      <c r="I167" s="14">
        <v>29</v>
      </c>
      <c r="J167" s="14" t="s">
        <v>26</v>
      </c>
      <c r="K167" s="14" t="s">
        <v>14641</v>
      </c>
      <c r="L167" s="14" t="s">
        <v>14640</v>
      </c>
      <c r="M167" s="14" t="s">
        <v>2138</v>
      </c>
      <c r="N167" s="14" t="s">
        <v>2139</v>
      </c>
      <c r="O167" s="14" t="s">
        <v>9158</v>
      </c>
      <c r="P167" s="14" t="s">
        <v>9158</v>
      </c>
      <c r="Q167" s="14" t="s">
        <v>9158</v>
      </c>
      <c r="R167" s="14" t="s">
        <v>14748</v>
      </c>
    </row>
    <row r="169" spans="1:18">
      <c r="A169" s="14" t="s">
        <v>18391</v>
      </c>
    </row>
    <row r="170" spans="1:18">
      <c r="A170" s="14">
        <v>238290</v>
      </c>
      <c r="B170" s="14" t="s">
        <v>4623</v>
      </c>
    </row>
    <row r="171" spans="1:18">
      <c r="A171" s="14">
        <v>97915</v>
      </c>
      <c r="B171" s="14" t="s">
        <v>0</v>
      </c>
      <c r="C171" s="14" t="s">
        <v>202</v>
      </c>
      <c r="D171" s="18" t="s">
        <v>18394</v>
      </c>
      <c r="E171" s="15" t="str">
        <f>HYPERLINK("https://stat100.ameba.jp/tnk47/ratio20/illustrations/card/ill_97915_torappuboma05.jpg?202105-5-RELEASE-marathon-531xxx", "■")</f>
        <v>■</v>
      </c>
      <c r="F171" s="14" t="s">
        <v>18393</v>
      </c>
      <c r="G171" s="14">
        <v>159690</v>
      </c>
      <c r="H171" s="14">
        <v>115617</v>
      </c>
      <c r="I171" s="14">
        <v>29</v>
      </c>
      <c r="J171" s="14" t="s">
        <v>38</v>
      </c>
      <c r="K171" s="14" t="s">
        <v>18392</v>
      </c>
      <c r="L171" s="14" t="s">
        <v>68</v>
      </c>
      <c r="M171" s="14" t="s">
        <v>9158</v>
      </c>
      <c r="N171" s="14" t="s">
        <v>9158</v>
      </c>
      <c r="O171" s="14" t="s">
        <v>9158</v>
      </c>
      <c r="P171" s="14" t="s">
        <v>9158</v>
      </c>
      <c r="Q171" s="14" t="s">
        <v>9158</v>
      </c>
      <c r="R171" s="14" t="s">
        <v>174</v>
      </c>
    </row>
    <row r="172" spans="1:18">
      <c r="A172" s="14">
        <v>97913</v>
      </c>
      <c r="B172" s="14" t="s">
        <v>15</v>
      </c>
      <c r="C172" s="14" t="s">
        <v>158</v>
      </c>
      <c r="D172" s="18" t="s">
        <v>18394</v>
      </c>
      <c r="E172" s="15" t="str">
        <f>HYPERLINK("https://stat100.ameba.jp/tnk47/ratio20/illustrations/card/ill_97913_torappuboma03.jpg?202105-5-RELEASE-marathon-531xxx", "■")</f>
        <v>■</v>
      </c>
      <c r="F172" s="14" t="s">
        <v>18393</v>
      </c>
      <c r="G172" s="14">
        <v>115393</v>
      </c>
      <c r="H172" s="14">
        <v>83544</v>
      </c>
      <c r="I172" s="14">
        <v>29</v>
      </c>
      <c r="J172" s="14" t="s">
        <v>38</v>
      </c>
      <c r="K172" s="14" t="s">
        <v>18392</v>
      </c>
      <c r="L172" s="14" t="s">
        <v>15379</v>
      </c>
      <c r="M172" s="14" t="s">
        <v>9158</v>
      </c>
      <c r="N172" s="14" t="s">
        <v>9158</v>
      </c>
      <c r="O172" s="14" t="s">
        <v>9158</v>
      </c>
      <c r="P172" s="14" t="s">
        <v>9158</v>
      </c>
      <c r="Q172" s="14" t="s">
        <v>9158</v>
      </c>
      <c r="R172" s="14" t="s">
        <v>175</v>
      </c>
    </row>
    <row r="173" spans="1:18">
      <c r="A173" s="14">
        <v>97911</v>
      </c>
      <c r="B173" s="14" t="s">
        <v>15</v>
      </c>
      <c r="C173" s="14" t="s">
        <v>158</v>
      </c>
      <c r="D173" s="18" t="s">
        <v>18394</v>
      </c>
      <c r="E173" s="15" t="str">
        <f>HYPERLINK("https://stat100.ameba.jp/tnk47/ratio20/illustrations/card/ill_97911_torappuboma01.jpg?202105-5-RELEASE-marathon-531xxx", "■")</f>
        <v>■</v>
      </c>
      <c r="F173" s="14" t="s">
        <v>18393</v>
      </c>
      <c r="G173" s="14">
        <v>66932</v>
      </c>
      <c r="H173" s="14">
        <v>48459</v>
      </c>
      <c r="I173" s="14">
        <v>29</v>
      </c>
      <c r="J173" s="14" t="s">
        <v>38</v>
      </c>
      <c r="K173" s="14" t="s">
        <v>18392</v>
      </c>
      <c r="L173" s="14" t="s">
        <v>18395</v>
      </c>
      <c r="M173" s="14" t="s">
        <v>9158</v>
      </c>
      <c r="N173" s="14" t="s">
        <v>9158</v>
      </c>
      <c r="O173" s="14" t="s">
        <v>9158</v>
      </c>
      <c r="P173" s="14" t="s">
        <v>9158</v>
      </c>
      <c r="Q173" s="14" t="s">
        <v>9158</v>
      </c>
      <c r="R173" s="14" t="s">
        <v>176</v>
      </c>
    </row>
    <row r="175" spans="1:18">
      <c r="A175" s="14" t="s">
        <v>3844</v>
      </c>
    </row>
    <row r="176" spans="1:18">
      <c r="A176" s="14">
        <v>108620</v>
      </c>
      <c r="B176" s="14" t="s">
        <v>12690</v>
      </c>
    </row>
    <row r="177" spans="1:17">
      <c r="A177" s="14" t="s">
        <v>7789</v>
      </c>
      <c r="B177" s="14" t="s">
        <v>52</v>
      </c>
      <c r="C177" s="14" t="s">
        <v>202</v>
      </c>
      <c r="D177" s="19" t="s">
        <v>10741</v>
      </c>
      <c r="E177" s="15" t="str">
        <f>HYPERLINK("https://stat100.ameba.jp/tnk47/ratio20/illustrations/card/ill_84923_0_onsengainansosatomihakkenden03.jpg?202105-5-RELEASE-marathon-531xxx", "■")</f>
        <v>■</v>
      </c>
      <c r="F177" s="14" t="s">
        <v>7792</v>
      </c>
      <c r="G177" s="14">
        <v>311915</v>
      </c>
      <c r="H177" s="14">
        <v>345111</v>
      </c>
      <c r="I177" s="14">
        <v>27</v>
      </c>
      <c r="J177" s="14" t="s">
        <v>155</v>
      </c>
      <c r="K177" s="14" t="s">
        <v>7791</v>
      </c>
      <c r="L177" s="14" t="s">
        <v>7790</v>
      </c>
      <c r="M177" s="14" t="s">
        <v>9158</v>
      </c>
      <c r="N177" s="14" t="s">
        <v>9158</v>
      </c>
      <c r="O177" s="19" t="s">
        <v>10131</v>
      </c>
      <c r="P177" s="14" t="s">
        <v>7793</v>
      </c>
      <c r="Q177" s="14">
        <v>0</v>
      </c>
    </row>
    <row r="178" spans="1:17">
      <c r="A178" s="9">
        <v>71343</v>
      </c>
      <c r="B178" s="14" t="s">
        <v>334</v>
      </c>
      <c r="C178" s="14" t="s">
        <v>185</v>
      </c>
      <c r="D178" s="14" t="s">
        <v>186</v>
      </c>
      <c r="E178" s="15" t="str">
        <f>HYPERLINK("https://stat100.ameba.jp/tnk47/ratio20/illustrations/card/ill_71343_ohanamimatehime03.jpg?202105-5-RELEASE-marathon-531xxx", "■")</f>
        <v>■</v>
      </c>
      <c r="F178" s="14" t="s">
        <v>536</v>
      </c>
      <c r="G178" s="14">
        <v>105281</v>
      </c>
      <c r="H178" s="14">
        <v>113277</v>
      </c>
      <c r="I178" s="14">
        <v>29</v>
      </c>
      <c r="J178" s="14" t="s">
        <v>187</v>
      </c>
      <c r="K178" s="14" t="s">
        <v>188</v>
      </c>
      <c r="L178" s="14" t="s">
        <v>13132</v>
      </c>
      <c r="M178" s="14" t="s">
        <v>9158</v>
      </c>
      <c r="N178" s="14" t="s">
        <v>9158</v>
      </c>
      <c r="O178" s="9" t="s">
        <v>2717</v>
      </c>
      <c r="P178" s="14" t="s">
        <v>13123</v>
      </c>
      <c r="Q178" s="14">
        <v>1</v>
      </c>
    </row>
    <row r="179" spans="1:17">
      <c r="A179" s="9">
        <v>72923</v>
      </c>
      <c r="B179" s="14" t="s">
        <v>0</v>
      </c>
      <c r="C179" s="14" t="s">
        <v>206</v>
      </c>
      <c r="D179" s="14" t="s">
        <v>1836</v>
      </c>
      <c r="E179" s="15" t="str">
        <f>HYPERLINK("https://stat100.ameba.jp/tnk47/ratio20/illustrations/card/ill_72923_amenohanayomemyorinni03.jpg?202105-5-RELEASE-marathon-531xxx", "■")</f>
        <v>■</v>
      </c>
      <c r="F179" s="14" t="s">
        <v>1837</v>
      </c>
      <c r="G179" s="14">
        <v>160296</v>
      </c>
      <c r="H179" s="14">
        <v>172397</v>
      </c>
      <c r="I179" s="14">
        <v>29</v>
      </c>
      <c r="J179" s="14" t="s">
        <v>194</v>
      </c>
      <c r="K179" s="14" t="s">
        <v>1838</v>
      </c>
      <c r="L179" s="14" t="s">
        <v>13160</v>
      </c>
      <c r="M179" s="14" t="s">
        <v>9158</v>
      </c>
      <c r="N179" s="14" t="s">
        <v>9158</v>
      </c>
      <c r="O179" s="9" t="s">
        <v>2752</v>
      </c>
      <c r="P179" s="14" t="s">
        <v>13123</v>
      </c>
      <c r="Q179" s="14">
        <v>1</v>
      </c>
    </row>
    <row r="180" spans="1:17">
      <c r="A180" s="14">
        <v>88323</v>
      </c>
      <c r="B180" s="14" t="s">
        <v>0</v>
      </c>
      <c r="C180" s="14" t="s">
        <v>205</v>
      </c>
      <c r="D180" s="18" t="s">
        <v>12019</v>
      </c>
      <c r="E180" s="15" t="str">
        <f>HYPERLINK("https://stat100.ameba.jp/tnk47/ratio20/illustrations/card/ill_88323_hanamibakedanuki03.jpg?202105-5-RELEASE-marathon-531xxx", "■")</f>
        <v>■</v>
      </c>
      <c r="F180" s="14" t="s">
        <v>12020</v>
      </c>
      <c r="G180" s="14">
        <v>112369</v>
      </c>
      <c r="H180" s="14">
        <v>120830</v>
      </c>
      <c r="I180" s="9">
        <v>29</v>
      </c>
      <c r="J180" s="14" t="s">
        <v>73</v>
      </c>
      <c r="K180" s="14" t="s">
        <v>12021</v>
      </c>
      <c r="L180" s="14" t="s">
        <v>12022</v>
      </c>
      <c r="M180" s="14" t="s">
        <v>9158</v>
      </c>
      <c r="N180" s="14" t="s">
        <v>9158</v>
      </c>
      <c r="O180" s="6" t="s">
        <v>10064</v>
      </c>
      <c r="P180" s="7" t="s">
        <v>13150</v>
      </c>
      <c r="Q180" s="7">
        <v>1</v>
      </c>
    </row>
    <row r="182" spans="1:17">
      <c r="A182" s="14" t="s">
        <v>6191</v>
      </c>
    </row>
    <row r="183" spans="1:17">
      <c r="A183" s="14">
        <v>108623</v>
      </c>
      <c r="B183" s="14" t="s">
        <v>4631</v>
      </c>
    </row>
    <row r="184" spans="1:17">
      <c r="A184" s="14" t="s">
        <v>5605</v>
      </c>
      <c r="B184" s="14" t="s">
        <v>52</v>
      </c>
      <c r="C184" s="14" t="s">
        <v>202</v>
      </c>
      <c r="D184" s="19" t="s">
        <v>10332</v>
      </c>
      <c r="E184" s="15" t="str">
        <f>HYPERLINK("https://stat100.ameba.jp/tnk47/ratio20/illustrations/card/ill_79373_0_hommeichokotennyohime03.jpg?202105-5-RELEASE-marathon-531xxx", "■")</f>
        <v>■</v>
      </c>
      <c r="F184" s="14" t="s">
        <v>3495</v>
      </c>
      <c r="G184" s="14">
        <v>296766</v>
      </c>
      <c r="H184" s="14">
        <v>268230</v>
      </c>
      <c r="I184" s="14">
        <v>24</v>
      </c>
      <c r="J184" s="14" t="s">
        <v>104</v>
      </c>
      <c r="K184" s="14" t="s">
        <v>3496</v>
      </c>
      <c r="L184" s="14" t="s">
        <v>3497</v>
      </c>
      <c r="M184" s="14" t="s">
        <v>9158</v>
      </c>
      <c r="N184" s="14" t="s">
        <v>9158</v>
      </c>
      <c r="O184" s="19" t="s">
        <v>10072</v>
      </c>
      <c r="P184" s="14" t="s">
        <v>3498</v>
      </c>
      <c r="Q184" s="14">
        <v>1</v>
      </c>
    </row>
    <row r="185" spans="1:17">
      <c r="A185" s="14" t="s">
        <v>5843</v>
      </c>
      <c r="B185" s="14" t="s">
        <v>52</v>
      </c>
      <c r="C185" s="14" t="s">
        <v>202</v>
      </c>
      <c r="D185" s="19" t="s">
        <v>10291</v>
      </c>
      <c r="E185" s="15" t="str">
        <f>HYPERLINK("https://stat100.ameba.jp/tnk47/ratio20/illustrations/card/ill_77963_0_kurisumasudaisakusentakiyashahime03.jpg?202105-5-RELEASE-marathon-531xxx", "■")</f>
        <v>■</v>
      </c>
      <c r="F185" s="14" t="s">
        <v>2127</v>
      </c>
      <c r="G185" s="14">
        <v>294746</v>
      </c>
      <c r="H185" s="14">
        <v>266388</v>
      </c>
      <c r="I185" s="14">
        <v>24</v>
      </c>
      <c r="J185" s="14" t="s">
        <v>77</v>
      </c>
      <c r="K185" s="14" t="s">
        <v>2128</v>
      </c>
      <c r="L185" s="14" t="s">
        <v>2129</v>
      </c>
      <c r="M185" s="14" t="s">
        <v>9158</v>
      </c>
      <c r="N185" s="14" t="s">
        <v>9158</v>
      </c>
      <c r="O185" s="19" t="s">
        <v>10107</v>
      </c>
      <c r="P185" s="14" t="s">
        <v>3589</v>
      </c>
      <c r="Q185" s="14">
        <v>2</v>
      </c>
    </row>
    <row r="186" spans="1:17">
      <c r="A186" s="14" t="s">
        <v>5612</v>
      </c>
      <c r="B186" s="14" t="s">
        <v>52</v>
      </c>
      <c r="C186" s="14" t="s">
        <v>165</v>
      </c>
      <c r="D186" s="19" t="s">
        <v>789</v>
      </c>
      <c r="E186" s="15" t="str">
        <f>HYPERLINK("https://stat100.ameba.jp/tnk47/ratio20/illustrations/card/ill_49193_0_onmyoudouabenoseimei03.jpg?202105-5-RELEASE-marathon-531xxx", "■")</f>
        <v>■</v>
      </c>
      <c r="F186" s="14" t="s">
        <v>1896</v>
      </c>
      <c r="G186" s="14">
        <v>133938</v>
      </c>
      <c r="H186" s="14">
        <v>150776</v>
      </c>
      <c r="I186" s="14">
        <v>24</v>
      </c>
      <c r="J186" s="14" t="s">
        <v>10</v>
      </c>
      <c r="K186" s="14" t="s">
        <v>1897</v>
      </c>
      <c r="L186" s="14" t="s">
        <v>1898</v>
      </c>
      <c r="M186" s="14" t="s">
        <v>9158</v>
      </c>
      <c r="N186" s="14" t="s">
        <v>9158</v>
      </c>
      <c r="O186" s="14" t="s">
        <v>9158</v>
      </c>
      <c r="P186" s="14" t="s">
        <v>9158</v>
      </c>
      <c r="Q186" s="14" t="s">
        <v>9158</v>
      </c>
    </row>
    <row r="187" spans="1:17">
      <c r="A187" s="14">
        <v>97863</v>
      </c>
      <c r="B187" s="14" t="s">
        <v>0</v>
      </c>
      <c r="C187" s="14" t="s">
        <v>14</v>
      </c>
      <c r="D187" s="14" t="s">
        <v>18337</v>
      </c>
      <c r="E187" s="15" t="str">
        <f>HYPERLINK("https://stat100.ameba.jp/tnk47/ratio20/illustrations/card/ill_97863_seireikenkyushafu03.jpg?202105-5-RELEASE-marathon-531xxx", "■")</f>
        <v>■</v>
      </c>
      <c r="F187" s="14" t="s">
        <v>18336</v>
      </c>
      <c r="G187" s="14">
        <v>105465</v>
      </c>
      <c r="H187" s="14">
        <v>98019</v>
      </c>
      <c r="I187" s="14">
        <v>27</v>
      </c>
      <c r="J187" s="14" t="s">
        <v>16</v>
      </c>
      <c r="K187" s="14" t="s">
        <v>18335</v>
      </c>
      <c r="L187" s="14" t="s">
        <v>14197</v>
      </c>
      <c r="M187" s="14" t="s">
        <v>9158</v>
      </c>
      <c r="N187" s="14" t="s">
        <v>9158</v>
      </c>
      <c r="O187" s="14" t="s">
        <v>9158</v>
      </c>
      <c r="P187" s="14" t="s">
        <v>9158</v>
      </c>
      <c r="Q187" s="14" t="s">
        <v>9158</v>
      </c>
    </row>
    <row r="188" spans="1:17">
      <c r="A188" s="14">
        <v>97883</v>
      </c>
      <c r="B188" s="14" t="s">
        <v>15</v>
      </c>
      <c r="C188" s="14" t="s">
        <v>1</v>
      </c>
      <c r="D188" s="14" t="s">
        <v>18343</v>
      </c>
      <c r="E188" s="15" t="str">
        <f>HYPERLINK("https://stat100.ameba.jp/tnk47/ratio20/illustrations/card/ill_97883_dobutsumimuratsuru03.jpg?202105-5-RELEASE-marathon-531xxx", "■")</f>
        <v>■</v>
      </c>
      <c r="F188" s="14" t="s">
        <v>18342</v>
      </c>
      <c r="G188" s="14">
        <v>72586</v>
      </c>
      <c r="H188" s="14">
        <v>80028</v>
      </c>
      <c r="I188" s="14">
        <v>27</v>
      </c>
      <c r="J188" s="14" t="s">
        <v>77</v>
      </c>
      <c r="K188" s="14" t="s">
        <v>18341</v>
      </c>
      <c r="L188" s="14" t="s">
        <v>973</v>
      </c>
      <c r="M188" s="14" t="s">
        <v>9158</v>
      </c>
      <c r="N188" s="14" t="s">
        <v>9158</v>
      </c>
      <c r="O188" s="14" t="s">
        <v>9158</v>
      </c>
      <c r="P188" s="14" t="s">
        <v>9158</v>
      </c>
      <c r="Q188" s="14" t="s">
        <v>9158</v>
      </c>
    </row>
    <row r="189" spans="1:17">
      <c r="A189" s="14">
        <v>97893</v>
      </c>
      <c r="B189" s="14" t="s">
        <v>22</v>
      </c>
      <c r="C189" s="14" t="s">
        <v>4952</v>
      </c>
      <c r="D189" s="14" t="s">
        <v>18346</v>
      </c>
      <c r="E189" s="15" t="str">
        <f>HYPERLINK("https://stat100.ameba.jp/tnk47/ratio20/illustrations/card/ill_97893_shirufu03.jpg?202105-5-RELEASE-marathon-531xxx", "■")</f>
        <v>■</v>
      </c>
      <c r="F189" s="14" t="s">
        <v>18345</v>
      </c>
      <c r="G189" s="14">
        <v>56138</v>
      </c>
      <c r="H189" s="14">
        <v>46676</v>
      </c>
      <c r="I189" s="14">
        <v>27</v>
      </c>
      <c r="J189" s="14" t="s">
        <v>44</v>
      </c>
      <c r="K189" s="14" t="s">
        <v>18344</v>
      </c>
      <c r="L189" s="14" t="s">
        <v>4956</v>
      </c>
      <c r="M189" s="14" t="s">
        <v>9158</v>
      </c>
      <c r="N189" s="14" t="s">
        <v>9158</v>
      </c>
      <c r="O189" s="14" t="s">
        <v>9158</v>
      </c>
      <c r="P189" s="14" t="s">
        <v>9158</v>
      </c>
      <c r="Q189" s="14" t="s">
        <v>9158</v>
      </c>
    </row>
    <row r="190" spans="1:17">
      <c r="A190" s="14">
        <v>97903</v>
      </c>
      <c r="B190" s="14" t="s">
        <v>22</v>
      </c>
      <c r="C190" s="14" t="s">
        <v>107</v>
      </c>
      <c r="D190" s="14" t="s">
        <v>18349</v>
      </c>
      <c r="E190" s="15" t="str">
        <f>HYPERLINK("https://stat100.ameba.jp/tnk47/ratio20/illustrations/card/ill_97903_akana03.jpg?202105-5-RELEASE-marathon-531xxx", "■")</f>
        <v>■</v>
      </c>
      <c r="F190" s="14" t="s">
        <v>18348</v>
      </c>
      <c r="G190" s="14">
        <v>46676</v>
      </c>
      <c r="H190" s="14">
        <v>56138</v>
      </c>
      <c r="I190" s="14">
        <v>27</v>
      </c>
      <c r="J190" s="14" t="s">
        <v>73</v>
      </c>
      <c r="K190" s="14" t="s">
        <v>18347</v>
      </c>
      <c r="L190" s="14" t="s">
        <v>5881</v>
      </c>
      <c r="M190" s="14" t="s">
        <v>9158</v>
      </c>
      <c r="N190" s="14" t="s">
        <v>9158</v>
      </c>
      <c r="O190" s="14" t="s">
        <v>9158</v>
      </c>
      <c r="P190" s="14" t="s">
        <v>9158</v>
      </c>
      <c r="Q190" s="14" t="s">
        <v>9158</v>
      </c>
    </row>
    <row r="192" spans="1:17">
      <c r="A192" s="14" t="s">
        <v>4065</v>
      </c>
    </row>
    <row r="193" spans="1:17">
      <c r="A193" s="14">
        <v>108646</v>
      </c>
      <c r="B193" s="14" t="s">
        <v>18417</v>
      </c>
    </row>
    <row r="194" spans="1:17">
      <c r="A194" s="14" t="s">
        <v>13086</v>
      </c>
      <c r="B194" s="7" t="s">
        <v>52</v>
      </c>
      <c r="C194" s="14" t="s">
        <v>202</v>
      </c>
      <c r="D194" s="18" t="s">
        <v>13084</v>
      </c>
      <c r="E194" s="15" t="str">
        <f>HYPERLINK("https://stat100.ameba.jp/tnk47/ratio20/illustrations/card/ill_89703_0_jumburaidohimiko03.jpg?202105-5-RELEASE-marathon-531xxx", "■")</f>
        <v>■</v>
      </c>
      <c r="F194" s="14" t="s">
        <v>13085</v>
      </c>
      <c r="G194" s="14">
        <v>356840</v>
      </c>
      <c r="H194" s="14">
        <v>291942</v>
      </c>
      <c r="I194" s="7">
        <v>28</v>
      </c>
      <c r="J194" s="14" t="s">
        <v>10</v>
      </c>
      <c r="K194" s="14" t="s">
        <v>13087</v>
      </c>
      <c r="L194" s="14" t="s">
        <v>12016</v>
      </c>
      <c r="M194" s="14" t="s">
        <v>9158</v>
      </c>
      <c r="N194" s="14" t="s">
        <v>9158</v>
      </c>
      <c r="O194" s="6" t="s">
        <v>13088</v>
      </c>
      <c r="P194" s="7" t="s">
        <v>13089</v>
      </c>
      <c r="Q194" s="7">
        <v>1</v>
      </c>
    </row>
    <row r="195" spans="1:17">
      <c r="A195" s="14">
        <v>93623</v>
      </c>
      <c r="B195" s="14" t="s">
        <v>0</v>
      </c>
      <c r="C195" s="14" t="s">
        <v>23</v>
      </c>
      <c r="D195" s="18" t="s">
        <v>15449</v>
      </c>
      <c r="E195" s="15" t="str">
        <f>HYPERLINK("https://stat100.ameba.jp/tnk47/ratio20/illustrations/card/ill_93623_yukemurionsennakajimautako03.jpg?202105-5-RELEASE-marathon-531xxx", "■")</f>
        <v>■</v>
      </c>
      <c r="F195" s="14" t="s">
        <v>15448</v>
      </c>
      <c r="G195" s="14">
        <v>105465</v>
      </c>
      <c r="H195" s="14">
        <v>98019</v>
      </c>
      <c r="I195" s="14">
        <v>27</v>
      </c>
      <c r="J195" s="14" t="s">
        <v>10</v>
      </c>
      <c r="K195" s="14" t="s">
        <v>15447</v>
      </c>
      <c r="L195" s="14" t="s">
        <v>2645</v>
      </c>
      <c r="M195" s="14" t="s">
        <v>9158</v>
      </c>
      <c r="N195" s="14" t="s">
        <v>9158</v>
      </c>
      <c r="O195" s="6" t="s">
        <v>3578</v>
      </c>
      <c r="P195" s="7" t="s">
        <v>3579</v>
      </c>
      <c r="Q195" s="7">
        <v>1</v>
      </c>
    </row>
    <row r="196" spans="1:17">
      <c r="A196" s="14">
        <v>72193</v>
      </c>
      <c r="B196" s="14" t="s">
        <v>334</v>
      </c>
      <c r="C196" s="14" t="s">
        <v>165</v>
      </c>
      <c r="D196" s="19" t="s">
        <v>3112</v>
      </c>
      <c r="E196" s="15" t="str">
        <f>HYPERLINK("https://stat100.ameba.jp/tnk47/ratio20/illustrations/card/ill_72193_koinoborikomyokogo03.jpg?202105-5-RELEASE-marathon-531xxx", "■")</f>
        <v>■</v>
      </c>
      <c r="F196" s="14" t="s">
        <v>2539</v>
      </c>
      <c r="G196" s="14">
        <v>105465</v>
      </c>
      <c r="H196" s="14">
        <v>98019</v>
      </c>
      <c r="I196" s="14">
        <v>27</v>
      </c>
      <c r="J196" s="14" t="s">
        <v>10</v>
      </c>
      <c r="K196" s="14" t="s">
        <v>2540</v>
      </c>
      <c r="L196" s="14" t="s">
        <v>60</v>
      </c>
      <c r="M196" s="14" t="s">
        <v>9158</v>
      </c>
      <c r="N196" s="14" t="s">
        <v>9158</v>
      </c>
      <c r="O196" s="19" t="s">
        <v>10090</v>
      </c>
      <c r="P196" s="14" t="s">
        <v>3460</v>
      </c>
      <c r="Q196" s="14">
        <v>1</v>
      </c>
    </row>
    <row r="197" spans="1:17">
      <c r="A197" s="14">
        <v>81743</v>
      </c>
      <c r="B197" s="14" t="s">
        <v>334</v>
      </c>
      <c r="C197" s="14" t="s">
        <v>107</v>
      </c>
      <c r="D197" s="19" t="s">
        <v>10171</v>
      </c>
      <c r="E197" s="15" t="str">
        <f>HYPERLINK("https://stat100.ameba.jp/tnk47/ratio20/illustrations/card/ill_81743_denshagarusakyogabashinohebi03.jpg?202105-5-RELEASE-marathon-531xxx", "■")</f>
        <v>■</v>
      </c>
      <c r="F197" s="14" t="s">
        <v>4853</v>
      </c>
      <c r="G197" s="14">
        <v>123220</v>
      </c>
      <c r="H197" s="14">
        <v>114362</v>
      </c>
      <c r="I197" s="14">
        <v>27</v>
      </c>
      <c r="J197" s="14" t="s">
        <v>38</v>
      </c>
      <c r="K197" s="14" t="s">
        <v>4855</v>
      </c>
      <c r="L197" s="14" t="s">
        <v>4856</v>
      </c>
      <c r="M197" s="14" t="s">
        <v>9158</v>
      </c>
      <c r="N197" s="14" t="s">
        <v>9158</v>
      </c>
      <c r="O197" s="19" t="s">
        <v>10091</v>
      </c>
      <c r="P197" s="14" t="s">
        <v>3670</v>
      </c>
      <c r="Q197" s="14">
        <v>1</v>
      </c>
    </row>
    <row r="210" spans="1:17">
      <c r="A210" s="14" t="s">
        <v>6191</v>
      </c>
    </row>
    <row r="211" spans="1:17">
      <c r="A211" s="14">
        <v>108675</v>
      </c>
      <c r="B211" s="14" t="s">
        <v>12699</v>
      </c>
    </row>
    <row r="212" spans="1:17">
      <c r="A212" s="14" t="s">
        <v>7150</v>
      </c>
      <c r="B212" s="14" t="s">
        <v>52</v>
      </c>
      <c r="C212" s="14" t="s">
        <v>202</v>
      </c>
      <c r="D212" s="20" t="s">
        <v>10656</v>
      </c>
      <c r="E212" s="15" t="str">
        <f>HYPERLINK("https://stat100.ameba.jp/tnk47/ratio20/illustrations/card/ill_84203_0_tarottofujiwaranoshoshi03.jpg?202105-5-RELEASE-marathon-531xxx", "■")</f>
        <v>■</v>
      </c>
      <c r="F212" s="14" t="s">
        <v>7153</v>
      </c>
      <c r="G212" s="14">
        <v>353250</v>
      </c>
      <c r="H212" s="14">
        <v>319286</v>
      </c>
      <c r="I212" s="14">
        <v>24</v>
      </c>
      <c r="J212" s="14" t="s">
        <v>10</v>
      </c>
      <c r="K212" s="14" t="s">
        <v>7152</v>
      </c>
      <c r="L212" s="14" t="s">
        <v>7151</v>
      </c>
      <c r="M212" s="14" t="s">
        <v>9158</v>
      </c>
      <c r="N212" s="14" t="s">
        <v>9158</v>
      </c>
      <c r="O212" s="19" t="s">
        <v>10128</v>
      </c>
      <c r="P212" s="14" t="s">
        <v>7154</v>
      </c>
      <c r="Q212" s="14">
        <v>1</v>
      </c>
    </row>
    <row r="213" spans="1:17">
      <c r="A213" s="14" t="s">
        <v>5602</v>
      </c>
      <c r="B213" s="14" t="s">
        <v>52</v>
      </c>
      <c r="C213" s="14" t="s">
        <v>14</v>
      </c>
      <c r="D213" s="19" t="s">
        <v>813</v>
      </c>
      <c r="E213" s="15" t="str">
        <f>HYPERLINK("https://stat100.ameba.jp/tnk47/ratio20/illustrations/card/ill_55313_0_haroinononokomachi03.jpg?202105-5-RELEASE-marathon-531xxx", "■")</f>
        <v>■</v>
      </c>
      <c r="F213" s="14" t="s">
        <v>2094</v>
      </c>
      <c r="G213" s="14">
        <v>150776</v>
      </c>
      <c r="H213" s="14">
        <v>133938</v>
      </c>
      <c r="I213" s="14">
        <v>24</v>
      </c>
      <c r="J213" s="14" t="s">
        <v>10</v>
      </c>
      <c r="K213" s="14" t="s">
        <v>2095</v>
      </c>
      <c r="L213" s="14" t="s">
        <v>2096</v>
      </c>
      <c r="M213" s="14" t="s">
        <v>9158</v>
      </c>
      <c r="N213" s="14" t="s">
        <v>9158</v>
      </c>
      <c r="O213" s="19" t="s">
        <v>2733</v>
      </c>
      <c r="P213" s="14" t="s">
        <v>2734</v>
      </c>
      <c r="Q213" s="14">
        <v>1</v>
      </c>
    </row>
    <row r="214" spans="1:17">
      <c r="A214" s="14" t="s">
        <v>6132</v>
      </c>
      <c r="B214" s="14" t="s">
        <v>52</v>
      </c>
      <c r="C214" s="14" t="s">
        <v>205</v>
      </c>
      <c r="D214" s="19" t="s">
        <v>702</v>
      </c>
      <c r="E214" s="15" t="str">
        <f>HYPERLINK("https://stat100.ameba.jp/tnk47/ratio20/illustrations/card/ill_50693_0_hanamizugimimuratsuru03.jpg?202105-5-RELEASE-marathon-531xxx", "■")</f>
        <v>■</v>
      </c>
      <c r="F214" s="14" t="s">
        <v>2282</v>
      </c>
      <c r="G214" s="14">
        <v>133938</v>
      </c>
      <c r="H214" s="14">
        <v>150776</v>
      </c>
      <c r="I214" s="14">
        <v>24</v>
      </c>
      <c r="J214" s="14" t="s">
        <v>143</v>
      </c>
      <c r="K214" s="14" t="s">
        <v>2283</v>
      </c>
      <c r="L214" s="14" t="s">
        <v>2284</v>
      </c>
      <c r="M214" s="14" t="s">
        <v>9158</v>
      </c>
      <c r="N214" s="14" t="s">
        <v>9158</v>
      </c>
      <c r="O214" s="14" t="s">
        <v>9158</v>
      </c>
      <c r="P214" s="14" t="s">
        <v>9158</v>
      </c>
      <c r="Q214" s="14" t="s">
        <v>9158</v>
      </c>
    </row>
    <row r="215" spans="1:17">
      <c r="A215" s="14">
        <v>97873</v>
      </c>
      <c r="B215" s="14" t="s">
        <v>334</v>
      </c>
      <c r="C215" s="14" t="s">
        <v>23</v>
      </c>
      <c r="D215" s="14" t="s">
        <v>18340</v>
      </c>
      <c r="E215" s="15" t="str">
        <f>HYPERLINK("https://stat100.ameba.jp/tnk47/ratio20/illustrations/card/ill_97873_kemonomizugigo03.jpg?202105-5-RELEASE-marathon-531xxx", "■")</f>
        <v>■</v>
      </c>
      <c r="F215" s="14" t="s">
        <v>18339</v>
      </c>
      <c r="G215" s="14">
        <v>127507</v>
      </c>
      <c r="H215" s="14">
        <v>118568</v>
      </c>
      <c r="I215" s="14">
        <v>27</v>
      </c>
      <c r="J215" s="14" t="s">
        <v>77</v>
      </c>
      <c r="K215" s="14" t="s">
        <v>5705</v>
      </c>
      <c r="L215" s="14" t="s">
        <v>18338</v>
      </c>
      <c r="M215" s="14" t="s">
        <v>9158</v>
      </c>
      <c r="N215" s="14" t="s">
        <v>9158</v>
      </c>
      <c r="O215" s="14" t="s">
        <v>9158</v>
      </c>
      <c r="P215" s="14" t="s">
        <v>9158</v>
      </c>
      <c r="Q215" s="14" t="s">
        <v>9158</v>
      </c>
    </row>
    <row r="216" spans="1:17">
      <c r="A216" s="14">
        <v>97883</v>
      </c>
      <c r="B216" s="14" t="s">
        <v>15</v>
      </c>
      <c r="C216" s="14" t="s">
        <v>1</v>
      </c>
      <c r="D216" s="14" t="s">
        <v>18343</v>
      </c>
      <c r="E216" s="15" t="str">
        <f>HYPERLINK("https://stat100.ameba.jp/tnk47/ratio20/illustrations/card/ill_97883_dobutsumimuratsuru03.jpg?202105-5-RELEASE-marathon-531xxx", "■")</f>
        <v>■</v>
      </c>
      <c r="F216" s="14" t="s">
        <v>18342</v>
      </c>
      <c r="G216" s="14">
        <v>72586</v>
      </c>
      <c r="H216" s="14">
        <v>80028</v>
      </c>
      <c r="I216" s="14">
        <v>27</v>
      </c>
      <c r="J216" s="14" t="s">
        <v>77</v>
      </c>
      <c r="K216" s="14" t="s">
        <v>18341</v>
      </c>
      <c r="L216" s="14" t="s">
        <v>973</v>
      </c>
      <c r="M216" s="14" t="s">
        <v>9158</v>
      </c>
      <c r="N216" s="14" t="s">
        <v>9158</v>
      </c>
      <c r="O216" s="14" t="s">
        <v>9158</v>
      </c>
      <c r="P216" s="14" t="s">
        <v>9158</v>
      </c>
      <c r="Q216" s="14" t="s">
        <v>9158</v>
      </c>
    </row>
    <row r="217" spans="1:17">
      <c r="A217" s="14">
        <v>97893</v>
      </c>
      <c r="B217" s="14" t="s">
        <v>22</v>
      </c>
      <c r="C217" s="14" t="s">
        <v>4952</v>
      </c>
      <c r="D217" s="14" t="s">
        <v>18346</v>
      </c>
      <c r="E217" s="15" t="str">
        <f>HYPERLINK("https://stat100.ameba.jp/tnk47/ratio20/illustrations/card/ill_97893_shirufu03.jpg?202105-5-RELEASE-marathon-531xxx", "■")</f>
        <v>■</v>
      </c>
      <c r="F217" s="14" t="s">
        <v>18345</v>
      </c>
      <c r="G217" s="14">
        <v>56138</v>
      </c>
      <c r="H217" s="14">
        <v>46676</v>
      </c>
      <c r="I217" s="14">
        <v>27</v>
      </c>
      <c r="J217" s="14" t="s">
        <v>44</v>
      </c>
      <c r="K217" s="14" t="s">
        <v>18344</v>
      </c>
      <c r="L217" s="14" t="s">
        <v>4956</v>
      </c>
      <c r="M217" s="14" t="s">
        <v>9158</v>
      </c>
      <c r="N217" s="14" t="s">
        <v>9158</v>
      </c>
      <c r="O217" s="14" t="s">
        <v>9158</v>
      </c>
      <c r="P217" s="14" t="s">
        <v>9158</v>
      </c>
      <c r="Q217" s="14" t="s">
        <v>9158</v>
      </c>
    </row>
    <row r="218" spans="1:17">
      <c r="A218" s="14">
        <v>97903</v>
      </c>
      <c r="B218" s="14" t="s">
        <v>22</v>
      </c>
      <c r="C218" s="14" t="s">
        <v>107</v>
      </c>
      <c r="D218" s="14" t="s">
        <v>18349</v>
      </c>
      <c r="E218" s="15" t="str">
        <f>HYPERLINK("https://stat100.ameba.jp/tnk47/ratio20/illustrations/card/ill_97903_akana03.jpg?202105-5-RELEASE-marathon-531xxx", "■")</f>
        <v>■</v>
      </c>
      <c r="F218" s="14" t="s">
        <v>18348</v>
      </c>
      <c r="G218" s="14">
        <v>46676</v>
      </c>
      <c r="H218" s="14">
        <v>56138</v>
      </c>
      <c r="I218" s="14">
        <v>27</v>
      </c>
      <c r="J218" s="14" t="s">
        <v>73</v>
      </c>
      <c r="K218" s="14" t="s">
        <v>18347</v>
      </c>
      <c r="L218" s="14" t="s">
        <v>5881</v>
      </c>
      <c r="M218" s="14" t="s">
        <v>9158</v>
      </c>
      <c r="N218" s="14" t="s">
        <v>9158</v>
      </c>
      <c r="O218" s="14" t="s">
        <v>9158</v>
      </c>
      <c r="P218" s="14" t="s">
        <v>9158</v>
      </c>
      <c r="Q218" s="14" t="s">
        <v>9158</v>
      </c>
    </row>
    <row r="220" spans="1:17">
      <c r="A220" s="14" t="s">
        <v>3916</v>
      </c>
    </row>
    <row r="221" spans="1:17">
      <c r="A221" s="14">
        <v>108698</v>
      </c>
      <c r="B221" s="14" t="s">
        <v>4664</v>
      </c>
    </row>
    <row r="222" spans="1:17">
      <c r="A222" s="14">
        <v>71013</v>
      </c>
      <c r="B222" s="14" t="s">
        <v>334</v>
      </c>
      <c r="C222" s="14" t="s">
        <v>154</v>
      </c>
      <c r="D222" s="19" t="s">
        <v>837</v>
      </c>
      <c r="E222" s="15" t="str">
        <f>HYPERLINK("https://stat100.ameba.jp/tnk47/ratio20/illustrations/card/ill_71013_fujutsushisarashina03.jpg?202105-5-RELEASE-marathon-531xxx", "■")</f>
        <v>■</v>
      </c>
      <c r="F222" s="14" t="s">
        <v>838</v>
      </c>
      <c r="G222" s="14">
        <v>116296</v>
      </c>
      <c r="H222" s="14">
        <v>125078</v>
      </c>
      <c r="I222" s="14">
        <v>29</v>
      </c>
      <c r="J222" s="14" t="s">
        <v>155</v>
      </c>
      <c r="K222" s="14" t="s">
        <v>1231</v>
      </c>
      <c r="L222" s="14" t="s">
        <v>13152</v>
      </c>
      <c r="M222" s="14" t="s">
        <v>9864</v>
      </c>
      <c r="N222" s="14" t="s">
        <v>9158</v>
      </c>
      <c r="O222" s="14" t="s">
        <v>9158</v>
      </c>
      <c r="P222" s="14" t="s">
        <v>9158</v>
      </c>
      <c r="Q222" s="14" t="s">
        <v>9158</v>
      </c>
    </row>
    <row r="223" spans="1:17">
      <c r="A223" s="14">
        <v>71023</v>
      </c>
      <c r="B223" s="14" t="s">
        <v>334</v>
      </c>
      <c r="C223" s="14" t="s">
        <v>158</v>
      </c>
      <c r="D223" s="19" t="s">
        <v>841</v>
      </c>
      <c r="E223" s="15" t="str">
        <f>HYPERLINK("https://stat100.ameba.jp/tnk47/ratio20/illustrations/card/ill_71023_ommyojiiroha03.jpg?202105-5-RELEASE-marathon-531xxx", "■")</f>
        <v>■</v>
      </c>
      <c r="F223" s="14" t="s">
        <v>842</v>
      </c>
      <c r="G223" s="14">
        <v>116296</v>
      </c>
      <c r="H223" s="14">
        <v>125078</v>
      </c>
      <c r="I223" s="14">
        <v>29</v>
      </c>
      <c r="J223" s="14" t="s">
        <v>159</v>
      </c>
      <c r="K223" s="14" t="s">
        <v>1232</v>
      </c>
      <c r="L223" s="14" t="s">
        <v>1233</v>
      </c>
      <c r="M223" s="14" t="s">
        <v>9158</v>
      </c>
      <c r="N223" s="14" t="s">
        <v>9158</v>
      </c>
      <c r="O223" s="14" t="s">
        <v>9158</v>
      </c>
      <c r="P223" s="14" t="s">
        <v>9158</v>
      </c>
      <c r="Q223" s="14" t="s">
        <v>9158</v>
      </c>
    </row>
    <row r="224" spans="1:17">
      <c r="A224" s="14">
        <v>66053</v>
      </c>
      <c r="B224" s="14" t="s">
        <v>334</v>
      </c>
      <c r="C224" s="14" t="s">
        <v>205</v>
      </c>
      <c r="D224" s="19" t="s">
        <v>3046</v>
      </c>
      <c r="E224" s="15" t="str">
        <f>HYPERLINK("https://stat100.ameba.jp/tnk47/ratio20/illustrations/card/ill_66053_serebukushiyatamanokami03.jpg?202105-5-RELEASE-marathon-531xxx", "■")</f>
        <v>■</v>
      </c>
      <c r="F224" s="14" t="s">
        <v>2265</v>
      </c>
      <c r="G224" s="14">
        <v>118287</v>
      </c>
      <c r="H224" s="14">
        <v>109970</v>
      </c>
      <c r="I224" s="14">
        <v>29</v>
      </c>
      <c r="J224" s="14" t="s">
        <v>44</v>
      </c>
      <c r="K224" s="14" t="s">
        <v>2266</v>
      </c>
      <c r="L224" s="14" t="s">
        <v>1860</v>
      </c>
      <c r="M224" s="14" t="s">
        <v>9158</v>
      </c>
      <c r="N224" s="14" t="s">
        <v>9158</v>
      </c>
      <c r="O224" s="14" t="s">
        <v>9158</v>
      </c>
      <c r="P224" s="14" t="s">
        <v>9158</v>
      </c>
      <c r="Q224" s="14" t="s">
        <v>9158</v>
      </c>
    </row>
    <row r="225" spans="1:18">
      <c r="A225" s="14">
        <v>65923</v>
      </c>
      <c r="B225" s="14" t="s">
        <v>334</v>
      </c>
      <c r="C225" s="14" t="s">
        <v>185</v>
      </c>
      <c r="D225" s="19" t="s">
        <v>10204</v>
      </c>
      <c r="E225" s="15" t="str">
        <f>HYPERLINK("https://stat100.ameba.jp/tnk47/ratio20/illustrations/card/ill_65923_arabianginko03.jpg?202105-5-RELEASE-marathon-531xxx", "■")</f>
        <v>■</v>
      </c>
      <c r="F225" s="14" t="s">
        <v>4978</v>
      </c>
      <c r="G225" s="14">
        <v>120830</v>
      </c>
      <c r="H225" s="14">
        <v>112369</v>
      </c>
      <c r="I225" s="14">
        <v>29</v>
      </c>
      <c r="J225" s="14" t="s">
        <v>182</v>
      </c>
      <c r="K225" s="14" t="s">
        <v>3679</v>
      </c>
      <c r="L225" s="14" t="s">
        <v>13188</v>
      </c>
      <c r="M225" s="14" t="s">
        <v>9158</v>
      </c>
      <c r="N225" s="14" t="s">
        <v>9158</v>
      </c>
      <c r="O225" s="14" t="s">
        <v>9158</v>
      </c>
      <c r="P225" s="14" t="s">
        <v>9158</v>
      </c>
      <c r="Q225" s="14" t="s">
        <v>9158</v>
      </c>
    </row>
    <row r="226" spans="1:18">
      <c r="A226" s="14">
        <v>52863</v>
      </c>
      <c r="B226" s="14" t="s">
        <v>15</v>
      </c>
      <c r="C226" s="14" t="s">
        <v>191</v>
      </c>
      <c r="D226" s="19" t="s">
        <v>10516</v>
      </c>
      <c r="E226" s="15" t="str">
        <f>HYPERLINK("https://stat100.ameba.jp/tnk47/ratio20/illustrations/card/ill_52863_andoroidokingyonota03.jpg?202105-5-RELEASE-marathon-531xxx", "■")</f>
        <v>■</v>
      </c>
      <c r="F226" s="14" t="s">
        <v>6409</v>
      </c>
      <c r="G226" s="14">
        <v>64520</v>
      </c>
      <c r="H226" s="14">
        <v>71136</v>
      </c>
      <c r="I226" s="14">
        <v>24</v>
      </c>
      <c r="J226" s="14" t="s">
        <v>38</v>
      </c>
      <c r="K226" s="14" t="s">
        <v>6407</v>
      </c>
      <c r="L226" s="14" t="s">
        <v>6406</v>
      </c>
      <c r="M226" s="14" t="s">
        <v>9158</v>
      </c>
      <c r="N226" s="14" t="s">
        <v>9158</v>
      </c>
      <c r="O226" s="14" t="s">
        <v>9158</v>
      </c>
      <c r="P226" s="14" t="s">
        <v>9158</v>
      </c>
      <c r="Q226" s="14" t="s">
        <v>9158</v>
      </c>
    </row>
    <row r="227" spans="1:18">
      <c r="A227" s="14">
        <v>51593</v>
      </c>
      <c r="B227" s="14" t="s">
        <v>15</v>
      </c>
      <c r="C227" s="14" t="s">
        <v>200</v>
      </c>
      <c r="D227" s="19" t="s">
        <v>10517</v>
      </c>
      <c r="E227" s="15" t="str">
        <f>HYPERLINK("https://stat100.ameba.jp/tnk47/ratio20/illustrations/card/ill_51593_kishuhondatadakatsu03.jpg?202105-5-RELEASE-marathon-531xxx", "■")</f>
        <v>■</v>
      </c>
      <c r="F227" s="14" t="s">
        <v>6413</v>
      </c>
      <c r="G227" s="14">
        <v>64520</v>
      </c>
      <c r="H227" s="14">
        <v>71136</v>
      </c>
      <c r="I227" s="14">
        <v>24</v>
      </c>
      <c r="J227" s="14" t="s">
        <v>143</v>
      </c>
      <c r="K227" s="14" t="s">
        <v>6411</v>
      </c>
      <c r="L227" s="14" t="s">
        <v>6410</v>
      </c>
      <c r="M227" s="14" t="s">
        <v>9158</v>
      </c>
      <c r="N227" s="14" t="s">
        <v>9158</v>
      </c>
      <c r="O227" s="14" t="s">
        <v>9158</v>
      </c>
      <c r="P227" s="14" t="s">
        <v>9158</v>
      </c>
      <c r="Q227" s="14" t="s">
        <v>9158</v>
      </c>
    </row>
    <row r="228" spans="1:18">
      <c r="A228" s="14">
        <v>55403</v>
      </c>
      <c r="B228" s="14" t="s">
        <v>15</v>
      </c>
      <c r="C228" s="14" t="s">
        <v>165</v>
      </c>
      <c r="D228" s="19" t="s">
        <v>10518</v>
      </c>
      <c r="E228" s="15" t="str">
        <f>HYPERLINK("https://stat100.ameba.jp/tnk47/ratio20/illustrations/card/ill_55403_undokaikyogokumaria03.jpg?202105-5-RELEASE-marathon-531xxx", "■")</f>
        <v>■</v>
      </c>
      <c r="F228" s="14" t="s">
        <v>6417</v>
      </c>
      <c r="G228" s="14">
        <v>71136</v>
      </c>
      <c r="H228" s="14">
        <v>64520</v>
      </c>
      <c r="I228" s="14">
        <v>24</v>
      </c>
      <c r="J228" s="14" t="s">
        <v>77</v>
      </c>
      <c r="K228" s="14" t="s">
        <v>6415</v>
      </c>
      <c r="L228" s="14" t="s">
        <v>6414</v>
      </c>
      <c r="M228" s="14" t="s">
        <v>9158</v>
      </c>
      <c r="N228" s="14" t="s">
        <v>9158</v>
      </c>
      <c r="O228" s="14" t="s">
        <v>9158</v>
      </c>
      <c r="P228" s="14" t="s">
        <v>9158</v>
      </c>
      <c r="Q228" s="14" t="s">
        <v>9158</v>
      </c>
    </row>
    <row r="229" spans="1:18">
      <c r="A229" s="14">
        <v>52973</v>
      </c>
      <c r="B229" s="14" t="s">
        <v>15</v>
      </c>
      <c r="C229" s="14" t="s">
        <v>206</v>
      </c>
      <c r="D229" s="19" t="s">
        <v>10519</v>
      </c>
      <c r="E229" s="15" t="str">
        <f>HYPERLINK("https://stat100.ameba.jp/tnk47/ratio20/illustrations/card/ill_55403_undokaikyogokumaria03.jpg?202105-5-RELEASE-marathon-531xxx", "■")</f>
        <v>■</v>
      </c>
      <c r="F229" s="14" t="s">
        <v>6421</v>
      </c>
      <c r="G229" s="14">
        <v>71136</v>
      </c>
      <c r="H229" s="14">
        <v>64520</v>
      </c>
      <c r="I229" s="14">
        <v>24</v>
      </c>
      <c r="J229" s="14" t="s">
        <v>44</v>
      </c>
      <c r="K229" s="14" t="s">
        <v>6419</v>
      </c>
      <c r="L229" s="14" t="s">
        <v>6418</v>
      </c>
      <c r="M229" s="14" t="s">
        <v>9158</v>
      </c>
      <c r="N229" s="14" t="s">
        <v>9158</v>
      </c>
      <c r="O229" s="14" t="s">
        <v>9158</v>
      </c>
      <c r="P229" s="14" t="s">
        <v>9158</v>
      </c>
      <c r="Q229" s="14" t="s">
        <v>9158</v>
      </c>
    </row>
    <row r="231" spans="1:18">
      <c r="A231" s="14" t="s">
        <v>4065</v>
      </c>
    </row>
    <row r="232" spans="1:18">
      <c r="A232" s="14">
        <v>108711</v>
      </c>
      <c r="B232" s="14" t="s">
        <v>18380</v>
      </c>
    </row>
    <row r="233" spans="1:18">
      <c r="A233" s="14" t="s">
        <v>12012</v>
      </c>
      <c r="B233" s="7" t="s">
        <v>52</v>
      </c>
      <c r="C233" s="14" t="s">
        <v>202</v>
      </c>
      <c r="D233" s="18" t="s">
        <v>12013</v>
      </c>
      <c r="E233" s="15" t="str">
        <f>HYPERLINK("https://stat100.ameba.jp/tnk47/ratio20/illustrations/card/ill_88363_0_hanamijingukogo03.jpg?202105-5-RELEASE-marathon-531xxx", "■")</f>
        <v>■</v>
      </c>
      <c r="F233" s="14" t="s">
        <v>12014</v>
      </c>
      <c r="G233" s="14">
        <v>340784</v>
      </c>
      <c r="H233" s="14">
        <v>307998</v>
      </c>
      <c r="I233" s="7">
        <v>28</v>
      </c>
      <c r="J233" s="14" t="s">
        <v>10</v>
      </c>
      <c r="K233" s="14" t="s">
        <v>12015</v>
      </c>
      <c r="L233" s="14" t="s">
        <v>12016</v>
      </c>
      <c r="M233" s="14" t="s">
        <v>9158</v>
      </c>
      <c r="N233" s="14" t="s">
        <v>9158</v>
      </c>
      <c r="O233" s="6" t="s">
        <v>12017</v>
      </c>
      <c r="P233" s="7" t="s">
        <v>12018</v>
      </c>
      <c r="Q233" s="7">
        <v>1</v>
      </c>
    </row>
    <row r="234" spans="1:18">
      <c r="A234" s="14">
        <v>91013</v>
      </c>
      <c r="B234" s="14" t="s">
        <v>0</v>
      </c>
      <c r="C234" s="14" t="s">
        <v>14</v>
      </c>
      <c r="D234" s="18" t="s">
        <v>13451</v>
      </c>
      <c r="E234" s="15" t="str">
        <f>HYPERLINK("https://stat100.ameba.jp/tnk47/ratio20/illustrations/card/ill_91013_mizugiaidorusakurambochan03.jpg?202105-5-RELEASE-marathon-531xxx", "■")</f>
        <v>■</v>
      </c>
      <c r="F234" s="14" t="s">
        <v>13452</v>
      </c>
      <c r="G234" s="14">
        <v>127507</v>
      </c>
      <c r="H234" s="14">
        <v>118568</v>
      </c>
      <c r="I234" s="14">
        <v>27</v>
      </c>
      <c r="J234" s="14" t="s">
        <v>104</v>
      </c>
      <c r="K234" s="14" t="s">
        <v>13454</v>
      </c>
      <c r="L234" s="14" t="s">
        <v>12340</v>
      </c>
      <c r="M234" s="14" t="s">
        <v>9158</v>
      </c>
      <c r="N234" s="14" t="s">
        <v>9158</v>
      </c>
      <c r="O234" s="6" t="s">
        <v>3768</v>
      </c>
      <c r="P234" s="7" t="s">
        <v>13453</v>
      </c>
      <c r="Q234" s="7">
        <v>1</v>
      </c>
    </row>
    <row r="235" spans="1:18">
      <c r="A235" s="14">
        <v>89653</v>
      </c>
      <c r="B235" s="14" t="s">
        <v>0</v>
      </c>
      <c r="C235" s="14" t="s">
        <v>101</v>
      </c>
      <c r="D235" s="18" t="s">
        <v>13090</v>
      </c>
      <c r="E235" s="15" t="str">
        <f>HYPERLINK("https://stat100.ameba.jp/tnk47/ratio20/illustrations/card/ill_89653_jumburaidochakkariozonichan03.jpg?202105-5-RELEASE-marathon-531xxx", "■")</f>
        <v>■</v>
      </c>
      <c r="F235" s="14" t="s">
        <v>13091</v>
      </c>
      <c r="G235" s="14">
        <v>127507</v>
      </c>
      <c r="H235" s="14">
        <v>118568</v>
      </c>
      <c r="I235" s="14">
        <v>27</v>
      </c>
      <c r="J235" s="14" t="s">
        <v>104</v>
      </c>
      <c r="K235" s="14" t="s">
        <v>13092</v>
      </c>
      <c r="L235" s="14" t="s">
        <v>13093</v>
      </c>
      <c r="M235" s="14" t="s">
        <v>9158</v>
      </c>
      <c r="N235" s="14" t="s">
        <v>9158</v>
      </c>
      <c r="O235" s="6" t="s">
        <v>4583</v>
      </c>
      <c r="P235" s="7" t="s">
        <v>4584</v>
      </c>
      <c r="Q235" s="7">
        <v>1</v>
      </c>
    </row>
    <row r="236" spans="1:18">
      <c r="A236" s="14">
        <v>83513</v>
      </c>
      <c r="B236" s="14" t="s">
        <v>334</v>
      </c>
      <c r="C236" s="14" t="s">
        <v>1</v>
      </c>
      <c r="D236" s="20" t="s">
        <v>10556</v>
      </c>
      <c r="E236" s="15" t="str">
        <f>HYPERLINK("https://stat100.ameba.jp/tnk47/ratio20/illustrations/card/ill_83513_kajuemmimuratsuru03.jpg?202105-5-RELEASE-marathon-531xxx", "■")</f>
        <v>■</v>
      </c>
      <c r="F236" s="14" t="s">
        <v>6603</v>
      </c>
      <c r="G236" s="14">
        <v>160507</v>
      </c>
      <c r="H236" s="14">
        <v>149240</v>
      </c>
      <c r="I236" s="14">
        <v>27</v>
      </c>
      <c r="J236" s="14" t="s">
        <v>143</v>
      </c>
      <c r="K236" s="14" t="s">
        <v>6601</v>
      </c>
      <c r="L236" s="14" t="s">
        <v>6600</v>
      </c>
      <c r="M236" s="14" t="s">
        <v>9158</v>
      </c>
      <c r="N236" s="14" t="s">
        <v>9158</v>
      </c>
      <c r="O236" s="19" t="s">
        <v>2951</v>
      </c>
      <c r="P236" s="14" t="s">
        <v>13122</v>
      </c>
      <c r="Q236" s="14">
        <v>1</v>
      </c>
    </row>
    <row r="238" spans="1:18">
      <c r="A238" s="14" t="s">
        <v>13327</v>
      </c>
    </row>
    <row r="239" spans="1:18">
      <c r="A239" s="14">
        <v>108716</v>
      </c>
      <c r="B239" s="14" t="s">
        <v>17434</v>
      </c>
    </row>
    <row r="240" spans="1:18">
      <c r="A240" s="14">
        <v>86063</v>
      </c>
      <c r="B240" s="14" t="s">
        <v>334</v>
      </c>
      <c r="C240" s="14" t="s">
        <v>14</v>
      </c>
      <c r="D240" s="19" t="s">
        <v>10818</v>
      </c>
      <c r="E240" s="15" t="str">
        <f>HYPERLINK("https://stat100.ameba.jp/tnk47/ratio20/illustrations/card/ill_86063_uotchimeika03.jpg?202105-5-RELEASE-marathon-531xxx", "■")</f>
        <v>■</v>
      </c>
      <c r="F240" s="14" t="s">
        <v>8368</v>
      </c>
      <c r="G240" s="14">
        <v>132737</v>
      </c>
      <c r="H240" s="14">
        <v>142768</v>
      </c>
      <c r="I240" s="14">
        <v>29</v>
      </c>
      <c r="J240" s="14" t="s">
        <v>173</v>
      </c>
      <c r="K240" s="14" t="s">
        <v>8367</v>
      </c>
      <c r="L240" s="14" t="s">
        <v>8366</v>
      </c>
      <c r="M240" s="14" t="s">
        <v>13130</v>
      </c>
      <c r="N240" s="14" t="s">
        <v>343</v>
      </c>
      <c r="O240" s="14" t="s">
        <v>9158</v>
      </c>
      <c r="P240" s="14" t="s">
        <v>9158</v>
      </c>
      <c r="Q240" s="14" t="s">
        <v>9158</v>
      </c>
      <c r="R240" s="14" t="s">
        <v>14748</v>
      </c>
    </row>
    <row r="241" spans="1:18">
      <c r="A241" s="14">
        <v>86062</v>
      </c>
      <c r="B241" s="14" t="s">
        <v>334</v>
      </c>
      <c r="C241" s="14" t="s">
        <v>14</v>
      </c>
      <c r="D241" s="19" t="s">
        <v>10818</v>
      </c>
      <c r="E241" s="15" t="str">
        <f>HYPERLINK("https://stat100.ameba.jp/tnk47/ratio20/illustrations/card/ill_86062_uotchimeika02.jpg?202105-5-RELEASE-marathon-531xxx", "■")</f>
        <v>■</v>
      </c>
      <c r="F241" s="14" t="s">
        <v>8368</v>
      </c>
      <c r="G241" s="14">
        <v>109938</v>
      </c>
      <c r="H241" s="14">
        <v>119345</v>
      </c>
      <c r="I241" s="14">
        <v>29</v>
      </c>
      <c r="J241" s="14" t="s">
        <v>173</v>
      </c>
      <c r="K241" s="14" t="s">
        <v>8367</v>
      </c>
      <c r="L241" s="14" t="s">
        <v>8366</v>
      </c>
      <c r="M241" s="14" t="s">
        <v>13131</v>
      </c>
      <c r="N241" s="14" t="s">
        <v>251</v>
      </c>
      <c r="O241" s="14" t="s">
        <v>9158</v>
      </c>
      <c r="P241" s="14" t="s">
        <v>9158</v>
      </c>
      <c r="Q241" s="14" t="s">
        <v>9158</v>
      </c>
      <c r="R241" s="14" t="s">
        <v>14748</v>
      </c>
    </row>
    <row r="242" spans="1:18">
      <c r="A242" s="14">
        <v>86061</v>
      </c>
      <c r="B242" s="14" t="s">
        <v>0</v>
      </c>
      <c r="C242" s="14" t="s">
        <v>14</v>
      </c>
      <c r="D242" s="19" t="s">
        <v>10818</v>
      </c>
      <c r="E242" s="15" t="str">
        <f>HYPERLINK("https://stat100.ameba.jp/tnk47/ratio20/illustrations/card/ill_86061_uotchimeika01.jpg?202105-5-RELEASE-marathon-531xxx", "■")</f>
        <v>■</v>
      </c>
      <c r="F242" s="14" t="s">
        <v>8368</v>
      </c>
      <c r="G242" s="14">
        <v>84825</v>
      </c>
      <c r="H242" s="14">
        <v>91118</v>
      </c>
      <c r="I242" s="14">
        <v>29</v>
      </c>
      <c r="J242" s="14" t="s">
        <v>173</v>
      </c>
      <c r="K242" s="14" t="s">
        <v>8367</v>
      </c>
      <c r="L242" s="14" t="s">
        <v>8366</v>
      </c>
      <c r="M242" s="14" t="s">
        <v>13131</v>
      </c>
      <c r="N242" s="14" t="s">
        <v>251</v>
      </c>
      <c r="O242" s="14" t="s">
        <v>9158</v>
      </c>
      <c r="P242" s="14" t="s">
        <v>9158</v>
      </c>
      <c r="Q242" s="14" t="s">
        <v>9158</v>
      </c>
      <c r="R242" s="14" t="s">
        <v>14748</v>
      </c>
    </row>
    <row r="243" spans="1:18">
      <c r="A243" s="14">
        <v>86073</v>
      </c>
      <c r="B243" s="14" t="s">
        <v>334</v>
      </c>
      <c r="C243" s="14" t="s">
        <v>23</v>
      </c>
      <c r="D243" s="19" t="s">
        <v>10819</v>
      </c>
      <c r="E243" s="15" t="str">
        <f>HYPERLINK("https://stat100.ameba.jp/tnk47/ratio20/illustrations/card/ill_86073_maddohatta03.jpg?202105-5-RELEASE-marathon-531xxx", "■")</f>
        <v>■</v>
      </c>
      <c r="F243" s="14" t="s">
        <v>8371</v>
      </c>
      <c r="G243" s="14">
        <v>132737</v>
      </c>
      <c r="H243" s="14">
        <v>142768</v>
      </c>
      <c r="I243" s="14">
        <v>29</v>
      </c>
      <c r="J243" s="14" t="s">
        <v>155</v>
      </c>
      <c r="K243" s="14" t="s">
        <v>8370</v>
      </c>
      <c r="L243" s="14" t="s">
        <v>8369</v>
      </c>
      <c r="M243" s="14" t="s">
        <v>13130</v>
      </c>
      <c r="N243" s="14" t="s">
        <v>343</v>
      </c>
      <c r="O243" s="14" t="s">
        <v>9158</v>
      </c>
      <c r="P243" s="14" t="s">
        <v>9158</v>
      </c>
      <c r="Q243" s="14" t="s">
        <v>9158</v>
      </c>
      <c r="R243" s="14" t="s">
        <v>14748</v>
      </c>
    </row>
    <row r="244" spans="1:18">
      <c r="A244" s="14">
        <v>86083</v>
      </c>
      <c r="B244" s="14" t="s">
        <v>334</v>
      </c>
      <c r="C244" s="14" t="s">
        <v>101</v>
      </c>
      <c r="D244" s="19" t="s">
        <v>10820</v>
      </c>
      <c r="E244" s="15" t="str">
        <f>HYPERLINK("https://stat100.ameba.jp/tnk47/ratio20/illustrations/card/ill_86083_keieinochojomeruro03.jpg?202105-5-RELEASE-marathon-531xxx", "■")</f>
        <v>■</v>
      </c>
      <c r="F244" s="14" t="s">
        <v>8375</v>
      </c>
      <c r="G244" s="14">
        <v>142768</v>
      </c>
      <c r="H244" s="14">
        <v>132737</v>
      </c>
      <c r="I244" s="14">
        <v>29</v>
      </c>
      <c r="J244" s="14" t="s">
        <v>229</v>
      </c>
      <c r="K244" s="14" t="s">
        <v>8374</v>
      </c>
      <c r="L244" s="14" t="s">
        <v>8373</v>
      </c>
      <c r="M244" s="14" t="s">
        <v>13130</v>
      </c>
      <c r="N244" s="14" t="s">
        <v>343</v>
      </c>
      <c r="O244" s="14" t="s">
        <v>9158</v>
      </c>
      <c r="P244" s="14" t="s">
        <v>9158</v>
      </c>
      <c r="Q244" s="14" t="s">
        <v>9158</v>
      </c>
      <c r="R244" s="14" t="s">
        <v>14748</v>
      </c>
    </row>
    <row r="245" spans="1:18">
      <c r="A245" s="14">
        <v>86093</v>
      </c>
      <c r="B245" s="14" t="s">
        <v>0</v>
      </c>
      <c r="C245" s="14" t="s">
        <v>96</v>
      </c>
      <c r="D245" s="19" t="s">
        <v>10821</v>
      </c>
      <c r="E245" s="15" t="str">
        <f>HYPERLINK("https://stat100.ameba.jp/tnk47/ratio20/illustrations/card/ill_86093_minamotonoyoshimitsu03.jpg?202105-5-RELEASE-marathon-531xxx", "■")</f>
        <v>■</v>
      </c>
      <c r="F245" s="14" t="s">
        <v>8379</v>
      </c>
      <c r="G245" s="14">
        <v>142768</v>
      </c>
      <c r="H245" s="14">
        <v>132737</v>
      </c>
      <c r="I245" s="14">
        <v>29</v>
      </c>
      <c r="J245" s="14" t="s">
        <v>194</v>
      </c>
      <c r="K245" s="14" t="s">
        <v>8377</v>
      </c>
      <c r="L245" s="14" t="s">
        <v>8376</v>
      </c>
      <c r="M245" s="14" t="s">
        <v>13130</v>
      </c>
      <c r="N245" s="14" t="s">
        <v>343</v>
      </c>
      <c r="O245" s="14" t="s">
        <v>9158</v>
      </c>
      <c r="P245" s="14" t="s">
        <v>9158</v>
      </c>
      <c r="Q245" s="14" t="s">
        <v>9158</v>
      </c>
      <c r="R245" s="14" t="s">
        <v>14748</v>
      </c>
    </row>
    <row r="246" spans="1:18">
      <c r="A246" s="14">
        <v>86103</v>
      </c>
      <c r="B246" s="14" t="s">
        <v>334</v>
      </c>
      <c r="C246" s="14" t="s">
        <v>205</v>
      </c>
      <c r="D246" s="19" t="s">
        <v>10822</v>
      </c>
      <c r="E246" s="15" t="str">
        <f>HYPERLINK("https://stat100.ameba.jp/tnk47/ratio20/illustrations/card/ill_86103_omatsudaimyojin03.jpg?202105-5-RELEASE-marathon-531xxx", "■")</f>
        <v>■</v>
      </c>
      <c r="F246" s="14" t="s">
        <v>8383</v>
      </c>
      <c r="G246" s="14">
        <v>142768</v>
      </c>
      <c r="H246" s="14">
        <v>132737</v>
      </c>
      <c r="I246" s="14">
        <v>29</v>
      </c>
      <c r="J246" s="14" t="s">
        <v>169</v>
      </c>
      <c r="K246" s="14" t="s">
        <v>8381</v>
      </c>
      <c r="L246" s="14" t="s">
        <v>8380</v>
      </c>
      <c r="M246" s="14" t="s">
        <v>13130</v>
      </c>
      <c r="N246" s="14" t="s">
        <v>343</v>
      </c>
      <c r="O246" s="14" t="s">
        <v>9158</v>
      </c>
      <c r="P246" s="14" t="s">
        <v>9158</v>
      </c>
      <c r="Q246" s="14" t="s">
        <v>9158</v>
      </c>
      <c r="R246" s="14" t="s">
        <v>14748</v>
      </c>
    </row>
    <row r="247" spans="1:18">
      <c r="A247" s="14">
        <v>86113</v>
      </c>
      <c r="B247" s="14" t="s">
        <v>334</v>
      </c>
      <c r="C247" s="14" t="s">
        <v>107</v>
      </c>
      <c r="D247" s="19" t="s">
        <v>10823</v>
      </c>
      <c r="E247" s="15" t="str">
        <f>HYPERLINK("https://stat100.ameba.jp/tnk47/ratio20/illustrations/card/ill_86113_yuno03.jpg?202105-5-RELEASE-marathon-531xxx", "■")</f>
        <v>■</v>
      </c>
      <c r="F247" s="14" t="s">
        <v>8387</v>
      </c>
      <c r="G247" s="14">
        <v>132737</v>
      </c>
      <c r="H247" s="14">
        <v>142768</v>
      </c>
      <c r="I247" s="14">
        <v>29</v>
      </c>
      <c r="J247" s="14" t="s">
        <v>159</v>
      </c>
      <c r="K247" s="14" t="s">
        <v>8385</v>
      </c>
      <c r="L247" s="14" t="s">
        <v>8384</v>
      </c>
      <c r="M247" s="14" t="s">
        <v>13130</v>
      </c>
      <c r="N247" s="14" t="s">
        <v>343</v>
      </c>
      <c r="O247" s="14" t="s">
        <v>9158</v>
      </c>
      <c r="P247" s="14" t="s">
        <v>9158</v>
      </c>
      <c r="Q247" s="14" t="s">
        <v>9158</v>
      </c>
      <c r="R247" s="14" t="s">
        <v>14748</v>
      </c>
    </row>
    <row r="262" spans="1:19">
      <c r="D262" s="7"/>
    </row>
    <row r="263" spans="1:19">
      <c r="A263" s="14" t="s">
        <v>18456</v>
      </c>
      <c r="D263" s="7"/>
    </row>
    <row r="264" spans="1:19">
      <c r="A264" s="14">
        <v>238400</v>
      </c>
      <c r="B264" s="14" t="s">
        <v>4694</v>
      </c>
      <c r="D264" s="7"/>
    </row>
    <row r="265" spans="1:19">
      <c r="A265" s="14">
        <v>97985</v>
      </c>
      <c r="B265" s="14" t="s">
        <v>0</v>
      </c>
      <c r="C265" s="14" t="s">
        <v>202</v>
      </c>
      <c r="D265" s="18" t="s">
        <v>18460</v>
      </c>
      <c r="E265" s="15" t="str">
        <f>HYPERLINK("https://stat100.ameba.jp/tnk47/ratio20/illustrations/card/ill_97985_beruzebubu05.jpg?202105-5-RELEASE-marathon-531xxxx", "■")</f>
        <v>■</v>
      </c>
      <c r="F265" s="14" t="s">
        <v>18459</v>
      </c>
      <c r="G265" s="14">
        <v>150263</v>
      </c>
      <c r="H265" s="14">
        <v>207526</v>
      </c>
      <c r="I265" s="14">
        <v>29</v>
      </c>
      <c r="J265" s="14" t="s">
        <v>44</v>
      </c>
      <c r="K265" s="14" t="s">
        <v>18458</v>
      </c>
      <c r="L265" s="14" t="s">
        <v>18457</v>
      </c>
      <c r="M265" s="14" t="s">
        <v>9158</v>
      </c>
      <c r="N265" s="14" t="s">
        <v>9158</v>
      </c>
      <c r="O265" s="14" t="s">
        <v>9158</v>
      </c>
      <c r="P265" s="14" t="s">
        <v>9158</v>
      </c>
      <c r="Q265" s="14" t="s">
        <v>9158</v>
      </c>
      <c r="R265" s="14" t="s">
        <v>174</v>
      </c>
    </row>
    <row r="266" spans="1:19">
      <c r="A266" s="14">
        <v>97983</v>
      </c>
      <c r="B266" s="14" t="s">
        <v>15</v>
      </c>
      <c r="C266" s="14" t="s">
        <v>47</v>
      </c>
      <c r="D266" s="18" t="s">
        <v>18460</v>
      </c>
      <c r="E266" s="15" t="str">
        <f>HYPERLINK("https://stat100.ameba.jp/tnk47/ratio20/illustrations/card/ill_97983_beruzebubu03.jpg?202105-5-RELEASE-marathon-531xxxx", "■")</f>
        <v>■</v>
      </c>
      <c r="F266" s="14" t="s">
        <v>18459</v>
      </c>
      <c r="G266" s="14">
        <v>110708</v>
      </c>
      <c r="H266" s="14">
        <v>152904</v>
      </c>
      <c r="I266" s="14">
        <v>29</v>
      </c>
      <c r="J266" s="14" t="s">
        <v>44</v>
      </c>
      <c r="K266" s="14" t="s">
        <v>18458</v>
      </c>
      <c r="L266" s="14" t="s">
        <v>18461</v>
      </c>
      <c r="M266" s="14" t="s">
        <v>9158</v>
      </c>
      <c r="N266" s="14" t="s">
        <v>9158</v>
      </c>
      <c r="O266" s="14" t="s">
        <v>9158</v>
      </c>
      <c r="P266" s="14" t="s">
        <v>9158</v>
      </c>
      <c r="Q266" s="14" t="s">
        <v>9158</v>
      </c>
      <c r="R266" s="14" t="s">
        <v>175</v>
      </c>
    </row>
    <row r="267" spans="1:19">
      <c r="A267" s="14">
        <v>97981</v>
      </c>
      <c r="B267" s="14" t="s">
        <v>15</v>
      </c>
      <c r="C267" s="14" t="s">
        <v>47</v>
      </c>
      <c r="D267" s="18" t="s">
        <v>18460</v>
      </c>
      <c r="E267" s="15" t="str">
        <f>HYPERLINK("https://stat100.ameba.jp/tnk47/ratio20/illustrations/card/ill_97981_beruzebubu01.jpg?202105-5-RELEASE-marathon-531xxxx", "■")</f>
        <v>■</v>
      </c>
      <c r="F267" s="14" t="s">
        <v>18459</v>
      </c>
      <c r="G267" s="14">
        <v>70441</v>
      </c>
      <c r="H267" s="14">
        <v>97266</v>
      </c>
      <c r="I267" s="14">
        <v>29</v>
      </c>
      <c r="J267" s="14" t="s">
        <v>44</v>
      </c>
      <c r="K267" s="14" t="s">
        <v>18458</v>
      </c>
      <c r="L267" s="14" t="s">
        <v>18462</v>
      </c>
      <c r="M267" s="14" t="s">
        <v>9158</v>
      </c>
      <c r="N267" s="14" t="s">
        <v>9158</v>
      </c>
      <c r="O267" s="14" t="s">
        <v>9158</v>
      </c>
      <c r="P267" s="14" t="s">
        <v>9158</v>
      </c>
      <c r="Q267" s="14" t="s">
        <v>9158</v>
      </c>
      <c r="R267" s="14" t="s">
        <v>176</v>
      </c>
    </row>
    <row r="269" spans="1:19">
      <c r="A269" s="14" t="s">
        <v>18463</v>
      </c>
    </row>
    <row r="270" spans="1:19">
      <c r="A270" s="14">
        <v>108736</v>
      </c>
      <c r="B270" s="14" t="s">
        <v>12763</v>
      </c>
    </row>
    <row r="271" spans="1:19">
      <c r="A271" s="14">
        <v>73153</v>
      </c>
      <c r="B271" s="14" t="s">
        <v>0</v>
      </c>
      <c r="C271" s="14" t="s">
        <v>41</v>
      </c>
      <c r="D271" s="14" t="s">
        <v>11833</v>
      </c>
      <c r="E271" s="15" t="str">
        <f>HYPERLINK("https://stat100.ameba.jp/tnk47/ratio20/illustrations/card/ill_73153_sengokuhidehisa03.jpg?202105-5-RELEASE-marathon-531xxxx", "■")</f>
        <v>■</v>
      </c>
      <c r="F271" s="14" t="s">
        <v>6395</v>
      </c>
      <c r="G271" s="14">
        <v>160296</v>
      </c>
      <c r="H271" s="14">
        <v>172397</v>
      </c>
      <c r="I271" s="14">
        <v>29</v>
      </c>
      <c r="J271" s="14" t="s">
        <v>143</v>
      </c>
      <c r="K271" s="14" t="s">
        <v>6393</v>
      </c>
      <c r="L271" s="14" t="s">
        <v>5946</v>
      </c>
      <c r="M271" s="14" t="s">
        <v>9158</v>
      </c>
      <c r="N271" s="14" t="s">
        <v>9158</v>
      </c>
      <c r="O271" s="14" t="s">
        <v>9158</v>
      </c>
      <c r="P271" s="14" t="s">
        <v>9158</v>
      </c>
      <c r="Q271" s="14" t="s">
        <v>9158</v>
      </c>
      <c r="S271" s="14" t="s">
        <v>18464</v>
      </c>
    </row>
    <row r="272" spans="1:19">
      <c r="A272" s="7">
        <v>85113</v>
      </c>
      <c r="B272" s="7" t="s">
        <v>0</v>
      </c>
      <c r="C272" s="7" t="s">
        <v>185</v>
      </c>
      <c r="D272" s="19" t="s">
        <v>10760</v>
      </c>
      <c r="E272" s="15" t="str">
        <f>HYPERLINK("https://stat100.ameba.jp/tnk47/ratio20/illustrations/card/ill_85113_gakuensainaoekanetsugu03.jpg?202105-5-RELEASE-marathon-531xxxx", "■")</f>
        <v>■</v>
      </c>
      <c r="F272" s="7" t="s">
        <v>7901</v>
      </c>
      <c r="G272" s="7">
        <v>172397</v>
      </c>
      <c r="H272" s="7">
        <v>160296</v>
      </c>
      <c r="I272" s="7">
        <v>29</v>
      </c>
      <c r="J272" s="7" t="s">
        <v>194</v>
      </c>
      <c r="K272" s="7" t="s">
        <v>7900</v>
      </c>
      <c r="L272" s="7" t="s">
        <v>3459</v>
      </c>
      <c r="M272" s="14" t="s">
        <v>9158</v>
      </c>
      <c r="N272" s="14" t="s">
        <v>9158</v>
      </c>
      <c r="O272" s="14" t="s">
        <v>9158</v>
      </c>
      <c r="P272" s="14" t="s">
        <v>9158</v>
      </c>
      <c r="Q272" s="14" t="s">
        <v>9158</v>
      </c>
    </row>
    <row r="273" spans="1:17">
      <c r="A273" s="14">
        <v>83213</v>
      </c>
      <c r="B273" s="14" t="s">
        <v>0</v>
      </c>
      <c r="C273" s="14" t="s">
        <v>191</v>
      </c>
      <c r="D273" s="19" t="s">
        <v>10495</v>
      </c>
      <c r="E273" s="15" t="str">
        <f>HYPERLINK("https://stat100.ameba.jp/tnk47/ratio20/illustrations/card/ill_83213_hanabishiechizenganinabechan03.jpg?202105-5-RELEASE-marathon-531xxxx", "■")</f>
        <v>■</v>
      </c>
      <c r="F273" s="14" t="s">
        <v>6282</v>
      </c>
      <c r="G273" s="14">
        <v>127350</v>
      </c>
      <c r="H273" s="14">
        <v>136953</v>
      </c>
      <c r="I273" s="7">
        <v>29</v>
      </c>
      <c r="J273" s="14" t="s">
        <v>104</v>
      </c>
      <c r="K273" s="14" t="s">
        <v>6285</v>
      </c>
      <c r="L273" s="14" t="s">
        <v>131</v>
      </c>
      <c r="M273" s="14" t="s">
        <v>9158</v>
      </c>
      <c r="N273" s="14" t="s">
        <v>9158</v>
      </c>
      <c r="O273" s="14" t="s">
        <v>9158</v>
      </c>
      <c r="P273" s="14" t="s">
        <v>9158</v>
      </c>
      <c r="Q273" s="14" t="s">
        <v>9158</v>
      </c>
    </row>
    <row r="274" spans="1:17">
      <c r="A274" s="9">
        <v>72313</v>
      </c>
      <c r="B274" s="14" t="s">
        <v>15</v>
      </c>
      <c r="C274" s="14" t="s">
        <v>165</v>
      </c>
      <c r="D274" s="14" t="s">
        <v>4725</v>
      </c>
      <c r="E274" s="15" t="str">
        <f>HYPERLINK("https://stat100.ameba.jp/tnk47/ratio20/illustrations/card/ill_72313_inei03.jpg?202105-5-RELEASE-marathon-531xxxx", "■")</f>
        <v>■</v>
      </c>
      <c r="F274" s="14" t="s">
        <v>4726</v>
      </c>
      <c r="G274" s="14">
        <v>53768</v>
      </c>
      <c r="H274" s="14">
        <v>59280</v>
      </c>
      <c r="I274" s="14">
        <v>20</v>
      </c>
      <c r="J274" s="14" t="s">
        <v>194</v>
      </c>
      <c r="K274" s="14" t="s">
        <v>4727</v>
      </c>
      <c r="L274" s="14" t="s">
        <v>3326</v>
      </c>
      <c r="M274" s="14" t="s">
        <v>9158</v>
      </c>
      <c r="N274" s="14" t="s">
        <v>9158</v>
      </c>
      <c r="O274" s="14" t="s">
        <v>9158</v>
      </c>
      <c r="P274" s="14" t="s">
        <v>9158</v>
      </c>
      <c r="Q274" s="14" t="s">
        <v>9158</v>
      </c>
    </row>
    <row r="275" spans="1:17">
      <c r="A275" s="9">
        <v>81153</v>
      </c>
      <c r="B275" s="14" t="s">
        <v>348</v>
      </c>
      <c r="C275" s="14" t="s">
        <v>206</v>
      </c>
      <c r="D275" s="14" t="s">
        <v>4519</v>
      </c>
      <c r="E275" s="15" t="str">
        <f>HYPERLINK("https://stat100.ameba.jp/tnk47/ratio20/illustrations/card/ill_81153_yoseienshininden03.jpg?202105-5-RELEASE-marathon-531xxxx", "■")</f>
        <v>■</v>
      </c>
      <c r="F275" s="14" t="s">
        <v>4520</v>
      </c>
      <c r="G275" s="14">
        <v>53768</v>
      </c>
      <c r="H275" s="14">
        <v>59280</v>
      </c>
      <c r="I275" s="14">
        <v>20</v>
      </c>
      <c r="J275" s="14" t="s">
        <v>77</v>
      </c>
      <c r="K275" s="14" t="s">
        <v>4434</v>
      </c>
      <c r="L275" s="14" t="s">
        <v>3730</v>
      </c>
      <c r="M275" s="14" t="s">
        <v>9158</v>
      </c>
      <c r="N275" s="14" t="s">
        <v>9158</v>
      </c>
      <c r="O275" s="14" t="s">
        <v>9158</v>
      </c>
      <c r="P275" s="14" t="s">
        <v>9158</v>
      </c>
      <c r="Q275" s="14" t="s">
        <v>9158</v>
      </c>
    </row>
    <row r="276" spans="1:17">
      <c r="A276" s="9">
        <v>81163</v>
      </c>
      <c r="B276" s="14" t="s">
        <v>348</v>
      </c>
      <c r="C276" s="14" t="s">
        <v>185</v>
      </c>
      <c r="D276" s="14" t="s">
        <v>4521</v>
      </c>
      <c r="E276" s="15" t="str">
        <f>HYPERLINK("https://stat100.ameba.jp/tnk47/ratio20/illustrations/card/ill_81163_mogamitokunai03.jpg?202105-5-RELEASE-marathon-531xxxx", "■")</f>
        <v>■</v>
      </c>
      <c r="F276" s="14" t="s">
        <v>4522</v>
      </c>
      <c r="G276" s="14">
        <v>59280</v>
      </c>
      <c r="H276" s="14">
        <v>53768</v>
      </c>
      <c r="I276" s="14">
        <v>20</v>
      </c>
      <c r="J276" s="14" t="s">
        <v>10</v>
      </c>
      <c r="K276" s="14" t="s">
        <v>4523</v>
      </c>
      <c r="L276" s="14" t="s">
        <v>4524</v>
      </c>
      <c r="M276" s="14" t="s">
        <v>9158</v>
      </c>
      <c r="N276" s="14" t="s">
        <v>9158</v>
      </c>
      <c r="O276" s="14" t="s">
        <v>9158</v>
      </c>
      <c r="P276" s="14" t="s">
        <v>9158</v>
      </c>
      <c r="Q276" s="14" t="s">
        <v>9158</v>
      </c>
    </row>
    <row r="278" spans="1:17">
      <c r="A278" s="14" t="s">
        <v>18465</v>
      </c>
    </row>
    <row r="279" spans="1:17">
      <c r="A279" s="14">
        <v>108752</v>
      </c>
      <c r="B279" s="14" t="s">
        <v>18466</v>
      </c>
    </row>
    <row r="280" spans="1:17">
      <c r="A280" s="14">
        <v>108780</v>
      </c>
      <c r="B280" s="14" t="s">
        <v>18467</v>
      </c>
    </row>
    <row r="281" spans="1:17">
      <c r="A281" s="14">
        <v>97993</v>
      </c>
      <c r="B281" s="14" t="s">
        <v>117</v>
      </c>
      <c r="C281" s="14" t="s">
        <v>202</v>
      </c>
      <c r="D281" s="14" t="s">
        <v>18473</v>
      </c>
      <c r="E281" s="15" t="str">
        <f>HYPERLINK("https://stat100.ameba.jp/tnk47/ratio20/illustrations/card/ill_97993_0_puranetariumu03.jpg?202105-5-RELEASE-marathon-531xxxx", "■")</f>
        <v>■</v>
      </c>
      <c r="F281" s="14" t="s">
        <v>18472</v>
      </c>
      <c r="G281" s="14">
        <v>367458</v>
      </c>
      <c r="H281" s="14">
        <v>395188</v>
      </c>
      <c r="I281" s="14">
        <v>32</v>
      </c>
      <c r="J281" s="14" t="s">
        <v>44</v>
      </c>
      <c r="K281" s="14" t="s">
        <v>18471</v>
      </c>
      <c r="L281" s="14" t="s">
        <v>18470</v>
      </c>
      <c r="M281" s="14" t="s">
        <v>9158</v>
      </c>
      <c r="N281" s="14" t="s">
        <v>9158</v>
      </c>
      <c r="O281" s="14" t="s">
        <v>18469</v>
      </c>
      <c r="P281" s="14" t="s">
        <v>18468</v>
      </c>
      <c r="Q281" s="14">
        <v>0</v>
      </c>
    </row>
    <row r="282" spans="1:17">
      <c r="A282" s="14">
        <v>92643</v>
      </c>
      <c r="B282" s="14" t="s">
        <v>0</v>
      </c>
      <c r="C282" s="14" t="s">
        <v>14</v>
      </c>
      <c r="D282" s="14" t="s">
        <v>15188</v>
      </c>
      <c r="E282" s="15" t="str">
        <f>HYPERLINK("https://stat100.ameba.jp/tnk47/ratio20/illustrations/card/ill_92643_seireinotomopurobe03.jpg?202105-5-RELEASE-marathon-531xxxx", "■")</f>
        <v>■</v>
      </c>
      <c r="F282" s="14" t="s">
        <v>15187</v>
      </c>
      <c r="G282" s="14">
        <v>117591</v>
      </c>
      <c r="H282" s="14">
        <v>109381</v>
      </c>
      <c r="I282" s="14">
        <v>29</v>
      </c>
      <c r="J282" s="14" t="s">
        <v>16</v>
      </c>
      <c r="K282" s="14" t="s">
        <v>15185</v>
      </c>
      <c r="L282" s="14" t="s">
        <v>15184</v>
      </c>
      <c r="M282" s="14" t="s">
        <v>9158</v>
      </c>
      <c r="N282" s="14" t="s">
        <v>9158</v>
      </c>
      <c r="O282" s="14" t="s">
        <v>9158</v>
      </c>
      <c r="P282" s="14" t="s">
        <v>9158</v>
      </c>
      <c r="Q282" s="14" t="s">
        <v>9158</v>
      </c>
    </row>
    <row r="283" spans="1:17">
      <c r="A283" s="14">
        <v>95813</v>
      </c>
      <c r="B283" s="14" t="s">
        <v>0</v>
      </c>
      <c r="C283" s="14" t="s">
        <v>23</v>
      </c>
      <c r="D283" s="14" t="s">
        <v>16139</v>
      </c>
      <c r="E283" s="15" t="str">
        <f>HYPERLINK("https://stat100.ameba.jp/tnk47/ratio20/illustrations/card/ill_95813_kirin03.jpg?202105-5-RELEASE-marathon-531xxxx", "■")</f>
        <v>■</v>
      </c>
      <c r="F283" s="14" t="s">
        <v>16138</v>
      </c>
      <c r="G283" s="14">
        <v>113277</v>
      </c>
      <c r="H283" s="14">
        <v>105281</v>
      </c>
      <c r="I283" s="14">
        <v>29</v>
      </c>
      <c r="J283" s="14" t="s">
        <v>38</v>
      </c>
      <c r="K283" s="14" t="s">
        <v>16137</v>
      </c>
      <c r="L283" s="14" t="s">
        <v>16136</v>
      </c>
      <c r="M283" s="14" t="s">
        <v>9158</v>
      </c>
      <c r="N283" s="14" t="s">
        <v>9158</v>
      </c>
      <c r="O283" s="14" t="s">
        <v>9158</v>
      </c>
      <c r="P283" s="14" t="s">
        <v>9158</v>
      </c>
      <c r="Q283" s="14" t="s">
        <v>9158</v>
      </c>
    </row>
    <row r="284" spans="1:17">
      <c r="A284" s="14">
        <v>92813</v>
      </c>
      <c r="B284" s="14" t="s">
        <v>0</v>
      </c>
      <c r="C284" s="14" t="s">
        <v>101</v>
      </c>
      <c r="D284" s="14" t="s">
        <v>15302</v>
      </c>
      <c r="E284" s="15" t="str">
        <f>HYPERLINK("https://stat100.ameba.jp/tnk47/ratio20/illustrations/card/ill_92813_udonnotabiobakeyashiki03.jpg?202105-5-RELEASE-marathon-531xxxx", "■")</f>
        <v>■</v>
      </c>
      <c r="F284" s="14" t="s">
        <v>15308</v>
      </c>
      <c r="G284" s="14">
        <v>132112</v>
      </c>
      <c r="H284" s="14">
        <v>122834</v>
      </c>
      <c r="I284" s="14">
        <v>29</v>
      </c>
      <c r="J284" s="14" t="s">
        <v>26</v>
      </c>
      <c r="K284" s="14" t="s">
        <v>15306</v>
      </c>
      <c r="L284" s="14" t="s">
        <v>15305</v>
      </c>
      <c r="M284" s="14" t="s">
        <v>9158</v>
      </c>
      <c r="N284" s="14" t="s">
        <v>9158</v>
      </c>
      <c r="O284" s="14" t="s">
        <v>9158</v>
      </c>
      <c r="P284" s="14" t="s">
        <v>9158</v>
      </c>
      <c r="Q284" s="14" t="s">
        <v>9158</v>
      </c>
    </row>
    <row r="285" spans="1:17">
      <c r="A285" s="14">
        <v>95883</v>
      </c>
      <c r="B285" s="14" t="s">
        <v>0</v>
      </c>
      <c r="C285" s="14" t="s">
        <v>96</v>
      </c>
      <c r="D285" s="14" t="s">
        <v>16261</v>
      </c>
      <c r="E285" s="15" t="str">
        <f>HYPERLINK("https://stat100.ameba.jp/tnk47/ratio20/illustrations/card/ill_95883_suitorami03.jpg?202105-5-RELEASE-marathon-531xxxx", "■")</f>
        <v>■</v>
      </c>
      <c r="F285" s="14" t="s">
        <v>16260</v>
      </c>
      <c r="G285" s="14">
        <v>113277</v>
      </c>
      <c r="H285" s="14">
        <v>105281</v>
      </c>
      <c r="I285" s="14">
        <v>29</v>
      </c>
      <c r="J285" s="14" t="s">
        <v>77</v>
      </c>
      <c r="K285" s="14" t="s">
        <v>16259</v>
      </c>
      <c r="L285" s="14" t="s">
        <v>13491</v>
      </c>
      <c r="M285" s="14" t="s">
        <v>9158</v>
      </c>
      <c r="N285" s="14" t="s">
        <v>9158</v>
      </c>
      <c r="O285" s="14" t="s">
        <v>9158</v>
      </c>
      <c r="P285" s="14" t="s">
        <v>9158</v>
      </c>
      <c r="Q285" s="14" t="s">
        <v>9158</v>
      </c>
    </row>
    <row r="286" spans="1:17">
      <c r="A286" s="14">
        <v>95243</v>
      </c>
      <c r="B286" s="14" t="s">
        <v>0</v>
      </c>
      <c r="C286" s="14" t="s">
        <v>1</v>
      </c>
      <c r="D286" s="14" t="s">
        <v>16245</v>
      </c>
      <c r="E286" s="15" t="str">
        <f>HYPERLINK("https://stat100.ameba.jp/tnk47/ratio20/illustrations/card/ill_95243_kaizokushunne03.jpg?202105-5-RELEASE-marathon-531xxxx", "■")</f>
        <v>■</v>
      </c>
      <c r="F286" s="14" t="s">
        <v>16244</v>
      </c>
      <c r="G286" s="14">
        <v>118287</v>
      </c>
      <c r="H286" s="14">
        <v>109970</v>
      </c>
      <c r="I286" s="14">
        <v>29</v>
      </c>
      <c r="J286" s="14" t="s">
        <v>10</v>
      </c>
      <c r="K286" s="14" t="s">
        <v>16243</v>
      </c>
      <c r="L286" s="14" t="s">
        <v>16242</v>
      </c>
      <c r="M286" s="14" t="s">
        <v>9158</v>
      </c>
      <c r="N286" s="14" t="s">
        <v>9158</v>
      </c>
      <c r="O286" s="14" t="s">
        <v>9158</v>
      </c>
      <c r="P286" s="14" t="s">
        <v>9158</v>
      </c>
      <c r="Q286" s="14" t="s">
        <v>9158</v>
      </c>
    </row>
    <row r="287" spans="1:17">
      <c r="A287" s="14">
        <v>94533</v>
      </c>
      <c r="B287" s="14" t="s">
        <v>334</v>
      </c>
      <c r="C287" s="14" t="s">
        <v>107</v>
      </c>
      <c r="D287" s="14" t="s">
        <v>16619</v>
      </c>
      <c r="E287" s="15" t="str">
        <f>HYPERLINK("https://stat100.ameba.jp/tnk47/ratio20/illustrations/card/ill_94533_fuyunotozurekeitotsukaiyumu03.jpg?202105-5-RELEASE-marathon-531xxxx", "■")</f>
        <v>■</v>
      </c>
      <c r="F287" s="14" t="s">
        <v>16618</v>
      </c>
      <c r="G287" s="14">
        <v>172397</v>
      </c>
      <c r="H287" s="14">
        <v>160296</v>
      </c>
      <c r="I287" s="14">
        <v>29</v>
      </c>
      <c r="J287" s="14" t="s">
        <v>26</v>
      </c>
      <c r="K287" s="14" t="s">
        <v>16617</v>
      </c>
      <c r="L287" s="14" t="s">
        <v>5053</v>
      </c>
      <c r="M287" s="14" t="s">
        <v>9158</v>
      </c>
      <c r="N287" s="14" t="s">
        <v>9158</v>
      </c>
      <c r="O287" s="14" t="s">
        <v>9158</v>
      </c>
      <c r="P287" s="14" t="s">
        <v>9158</v>
      </c>
      <c r="Q287" s="14" t="s">
        <v>9158</v>
      </c>
    </row>
    <row r="297" spans="1:17">
      <c r="A297" s="14" t="s">
        <v>4065</v>
      </c>
    </row>
    <row r="298" spans="1:17">
      <c r="A298" s="14">
        <v>108816</v>
      </c>
      <c r="B298" s="14" t="s">
        <v>18381</v>
      </c>
    </row>
    <row r="299" spans="1:17">
      <c r="A299" s="14" t="s">
        <v>12178</v>
      </c>
      <c r="B299" s="14" t="s">
        <v>117</v>
      </c>
      <c r="C299" s="14" t="s">
        <v>202</v>
      </c>
      <c r="D299" s="14" t="s">
        <v>12177</v>
      </c>
      <c r="E299" s="15" t="str">
        <f>HYPERLINK("https://stat100.ameba.jp/tnk47/ratio20/illustrations/card/ill_89533_0_harukazesangakudan03.jpg?202105-5-RELEASE-marathon-531xxxx", "■")</f>
        <v>■</v>
      </c>
      <c r="F299" s="14" t="s">
        <v>12183</v>
      </c>
      <c r="G299" s="14">
        <v>334256</v>
      </c>
      <c r="H299" s="14">
        <v>302062</v>
      </c>
      <c r="I299" s="14">
        <v>28</v>
      </c>
      <c r="J299" s="14" t="s">
        <v>169</v>
      </c>
      <c r="K299" s="14" t="s">
        <v>12182</v>
      </c>
      <c r="L299" s="14" t="s">
        <v>12181</v>
      </c>
      <c r="M299" s="14" t="s">
        <v>9158</v>
      </c>
      <c r="N299" s="14" t="s">
        <v>9158</v>
      </c>
      <c r="O299" s="14" t="s">
        <v>12186</v>
      </c>
      <c r="P299" s="14" t="s">
        <v>12187</v>
      </c>
      <c r="Q299" s="14">
        <v>1</v>
      </c>
    </row>
    <row r="300" spans="1:17">
      <c r="A300" s="14">
        <v>78633</v>
      </c>
      <c r="B300" s="14" t="s">
        <v>334</v>
      </c>
      <c r="C300" s="14" t="s">
        <v>200</v>
      </c>
      <c r="D300" s="19" t="s">
        <v>2749</v>
      </c>
      <c r="E300" s="15" t="str">
        <f>HYPERLINK("https://stat100.ameba.jp/tnk47/ratio20/illustrations/card/ill_78633_geishunyuramyoinni03.jpg?202105-5-RELEASE-marathon-531xxxx", "■")</f>
        <v>■</v>
      </c>
      <c r="F300" s="14" t="s">
        <v>2750</v>
      </c>
      <c r="G300" s="14">
        <v>98019</v>
      </c>
      <c r="H300" s="14">
        <v>105465</v>
      </c>
      <c r="I300" s="14">
        <v>27</v>
      </c>
      <c r="J300" s="14" t="s">
        <v>315</v>
      </c>
      <c r="K300" s="14" t="s">
        <v>2751</v>
      </c>
      <c r="L300" s="14" t="s">
        <v>608</v>
      </c>
      <c r="M300" s="14" t="s">
        <v>9158</v>
      </c>
      <c r="N300" s="14" t="s">
        <v>9158</v>
      </c>
      <c r="O300" s="19" t="s">
        <v>2752</v>
      </c>
      <c r="P300" s="14" t="s">
        <v>13123</v>
      </c>
      <c r="Q300" s="14">
        <v>1</v>
      </c>
    </row>
    <row r="301" spans="1:17">
      <c r="A301" s="14">
        <v>91653</v>
      </c>
      <c r="B301" s="14" t="s">
        <v>0</v>
      </c>
      <c r="C301" s="14" t="s">
        <v>96</v>
      </c>
      <c r="D301" s="18" t="s">
        <v>14544</v>
      </c>
      <c r="E301" s="15" t="str">
        <f>HYPERLINK("https://stat100.ameba.jp/tnk47/ratio20/illustrations/card/ill_91653_ninjashugyosunakakemusume03.jpg?202105-5-RELEASE-marathon-531xxxx", "■")</f>
        <v>■</v>
      </c>
      <c r="F301" s="14" t="s">
        <v>14543</v>
      </c>
      <c r="G301" s="14">
        <v>105465</v>
      </c>
      <c r="H301" s="14">
        <v>98019</v>
      </c>
      <c r="I301" s="14">
        <v>27</v>
      </c>
      <c r="J301" s="14" t="s">
        <v>73</v>
      </c>
      <c r="K301" s="14" t="s">
        <v>14541</v>
      </c>
      <c r="L301" s="14" t="s">
        <v>12211</v>
      </c>
      <c r="M301" s="14" t="s">
        <v>9158</v>
      </c>
      <c r="N301" s="14" t="s">
        <v>9158</v>
      </c>
      <c r="O301" s="6" t="s">
        <v>10054</v>
      </c>
      <c r="P301" s="7" t="s">
        <v>3672</v>
      </c>
      <c r="Q301" s="7">
        <v>1</v>
      </c>
    </row>
    <row r="302" spans="1:17">
      <c r="A302" s="14">
        <v>74553</v>
      </c>
      <c r="B302" s="14" t="s">
        <v>0</v>
      </c>
      <c r="C302" s="14" t="s">
        <v>107</v>
      </c>
      <c r="D302" s="19" t="s">
        <v>10389</v>
      </c>
      <c r="E302" s="15" t="str">
        <f>HYPERLINK("https://stat100.ameba.jp/tnk47/ratio20/illustrations/card/ill_74553_natsuyuenchikusumotoine03.jpg?202105-5-RELEASE-marathon-531xxxx", "■")</f>
        <v>■</v>
      </c>
      <c r="F302" s="14" t="s">
        <v>4109</v>
      </c>
      <c r="G302" s="14">
        <v>109481</v>
      </c>
      <c r="H302" s="14">
        <v>101837</v>
      </c>
      <c r="I302" s="14">
        <v>27</v>
      </c>
      <c r="J302" s="14" t="s">
        <v>16</v>
      </c>
      <c r="K302" s="14" t="s">
        <v>4110</v>
      </c>
      <c r="L302" s="14" t="s">
        <v>1149</v>
      </c>
      <c r="M302" s="14" t="s">
        <v>9158</v>
      </c>
      <c r="N302" s="14" t="s">
        <v>9158</v>
      </c>
      <c r="O302" s="19" t="s">
        <v>10090</v>
      </c>
      <c r="P302" s="14" t="s">
        <v>3460</v>
      </c>
      <c r="Q302" s="14">
        <v>1</v>
      </c>
    </row>
    <row r="304" spans="1:17">
      <c r="A304" s="14" t="s">
        <v>3916</v>
      </c>
      <c r="I304" s="9"/>
    </row>
    <row r="305" spans="1:17">
      <c r="A305" s="14">
        <v>108821</v>
      </c>
      <c r="B305" s="14" t="s">
        <v>17435</v>
      </c>
      <c r="I305" s="9"/>
    </row>
    <row r="306" spans="1:17">
      <c r="A306" s="9">
        <v>60363</v>
      </c>
      <c r="B306" s="14" t="s">
        <v>0</v>
      </c>
      <c r="C306" s="14" t="s">
        <v>209</v>
      </c>
      <c r="D306" s="14" t="s">
        <v>3918</v>
      </c>
      <c r="E306" s="15" t="str">
        <f>HYPERLINK("https://stat100.ameba.jp/tnk47/ratio20/illustrations/card/ill_60363_shirakaba03.jpg?202105-5-RELEASE-marathon-531xxxx", "■")</f>
        <v>■</v>
      </c>
      <c r="F306" s="14" t="s">
        <v>3919</v>
      </c>
      <c r="G306" s="14">
        <v>116296</v>
      </c>
      <c r="H306" s="14">
        <v>125078</v>
      </c>
      <c r="I306" s="9">
        <v>29</v>
      </c>
      <c r="J306" s="14" t="s">
        <v>26</v>
      </c>
      <c r="K306" s="14" t="s">
        <v>3920</v>
      </c>
      <c r="L306" s="14" t="s">
        <v>3921</v>
      </c>
      <c r="M306" s="14" t="s">
        <v>9158</v>
      </c>
      <c r="N306" s="14" t="s">
        <v>9158</v>
      </c>
      <c r="O306" s="14" t="s">
        <v>9158</v>
      </c>
      <c r="P306" s="14" t="s">
        <v>9158</v>
      </c>
      <c r="Q306" s="14" t="s">
        <v>9158</v>
      </c>
    </row>
    <row r="307" spans="1:17">
      <c r="A307" s="9">
        <v>59413</v>
      </c>
      <c r="B307" s="14" t="s">
        <v>334</v>
      </c>
      <c r="C307" s="14" t="s">
        <v>158</v>
      </c>
      <c r="D307" s="14" t="s">
        <v>3922</v>
      </c>
      <c r="E307" s="15" t="str">
        <f>HYPERLINK("https://stat100.ameba.jp/tnk47/ratio20/illustrations/card/ill_59413_otogosahime03.jpg?202105-5-RELEASE-marathon-531xxxx", "■")</f>
        <v>■</v>
      </c>
      <c r="F307" s="14" t="s">
        <v>3923</v>
      </c>
      <c r="G307" s="14">
        <v>116296</v>
      </c>
      <c r="H307" s="14">
        <v>125078</v>
      </c>
      <c r="I307" s="14">
        <v>29</v>
      </c>
      <c r="J307" s="14" t="s">
        <v>38</v>
      </c>
      <c r="K307" s="14" t="s">
        <v>3924</v>
      </c>
      <c r="L307" s="14" t="s">
        <v>3925</v>
      </c>
      <c r="M307" s="14" t="s">
        <v>9158</v>
      </c>
      <c r="N307" s="14" t="s">
        <v>9158</v>
      </c>
      <c r="O307" s="14" t="s">
        <v>9158</v>
      </c>
      <c r="P307" s="14" t="s">
        <v>9158</v>
      </c>
      <c r="Q307" s="14" t="s">
        <v>9158</v>
      </c>
    </row>
    <row r="308" spans="1:17">
      <c r="A308" s="14">
        <v>76483</v>
      </c>
      <c r="B308" s="14" t="s">
        <v>334</v>
      </c>
      <c r="C308" s="14" t="s">
        <v>307</v>
      </c>
      <c r="D308" s="20" t="s">
        <v>589</v>
      </c>
      <c r="E308" s="15" t="str">
        <f>HYPERLINK("https://stat100.ameba.jp/tnk47/ratio20/illustrations/card/ill_76483_yukemurimizuhanome03.jpg?202105-5-RELEASE-marathon-531xxxx", "■")</f>
        <v>■</v>
      </c>
      <c r="F308" s="14" t="s">
        <v>590</v>
      </c>
      <c r="G308" s="14">
        <v>118287</v>
      </c>
      <c r="H308" s="14">
        <v>109970</v>
      </c>
      <c r="I308" s="9">
        <v>29</v>
      </c>
      <c r="J308" s="14" t="s">
        <v>401</v>
      </c>
      <c r="K308" s="14" t="s">
        <v>591</v>
      </c>
      <c r="L308" s="14" t="s">
        <v>592</v>
      </c>
      <c r="M308" s="14" t="s">
        <v>9158</v>
      </c>
      <c r="N308" s="14" t="s">
        <v>9158</v>
      </c>
      <c r="O308" s="14" t="s">
        <v>9158</v>
      </c>
      <c r="P308" s="14" t="s">
        <v>9158</v>
      </c>
      <c r="Q308" s="14" t="s">
        <v>9158</v>
      </c>
    </row>
    <row r="309" spans="1:17">
      <c r="A309" s="14">
        <v>70023</v>
      </c>
      <c r="B309" s="14" t="s">
        <v>334</v>
      </c>
      <c r="C309" s="14" t="s">
        <v>344</v>
      </c>
      <c r="D309" s="20" t="s">
        <v>10230</v>
      </c>
      <c r="E309" s="15" t="str">
        <f>HYPERLINK("https://stat100.ameba.jp/tnk47/ratio20/illustrations/card/ill_70023_yukinoukokunabeshimanobakeneko03.jpg?202105-5-RELEASE-marathon-531xxxx", "■")</f>
        <v>■</v>
      </c>
      <c r="F309" s="14" t="s">
        <v>769</v>
      </c>
      <c r="G309" s="14">
        <v>112369</v>
      </c>
      <c r="H309" s="14">
        <v>120830</v>
      </c>
      <c r="I309" s="14">
        <v>29</v>
      </c>
      <c r="J309" s="14" t="s">
        <v>320</v>
      </c>
      <c r="K309" s="14" t="s">
        <v>770</v>
      </c>
      <c r="L309" s="14" t="s">
        <v>771</v>
      </c>
      <c r="M309" s="14" t="s">
        <v>9158</v>
      </c>
      <c r="N309" s="14" t="s">
        <v>9158</v>
      </c>
      <c r="O309" s="14" t="s">
        <v>9158</v>
      </c>
      <c r="P309" s="14" t="s">
        <v>9158</v>
      </c>
      <c r="Q309" s="14" t="s">
        <v>9158</v>
      </c>
    </row>
    <row r="310" spans="1:17">
      <c r="A310" s="14">
        <v>52733</v>
      </c>
      <c r="B310" s="14" t="s">
        <v>15</v>
      </c>
      <c r="C310" s="14" t="s">
        <v>185</v>
      </c>
      <c r="D310" s="20" t="s">
        <v>10491</v>
      </c>
      <c r="E310" s="15" t="str">
        <f>HYPERLINK("https://stat100.ameba.jp/tnk47/ratio20/illustrations/card/ill_52733_sekkinambutsuruhime03.jpg?202105-5-RELEASE-marathon-531xxxx", "■")</f>
        <v>■</v>
      </c>
      <c r="F310" s="14" t="s">
        <v>6246</v>
      </c>
      <c r="G310" s="14">
        <v>64520</v>
      </c>
      <c r="H310" s="14">
        <v>71136</v>
      </c>
      <c r="I310" s="14">
        <v>24</v>
      </c>
      <c r="J310" s="14" t="s">
        <v>77</v>
      </c>
      <c r="K310" s="14" t="s">
        <v>6248</v>
      </c>
      <c r="L310" s="14" t="s">
        <v>6249</v>
      </c>
      <c r="M310" s="14" t="s">
        <v>9158</v>
      </c>
      <c r="N310" s="14" t="s">
        <v>9158</v>
      </c>
      <c r="O310" s="14" t="s">
        <v>9158</v>
      </c>
      <c r="P310" s="14" t="s">
        <v>9158</v>
      </c>
      <c r="Q310" s="14" t="s">
        <v>9158</v>
      </c>
    </row>
    <row r="311" spans="1:17">
      <c r="A311" s="14">
        <v>54003</v>
      </c>
      <c r="B311" s="14" t="s">
        <v>15</v>
      </c>
      <c r="C311" s="14" t="s">
        <v>200</v>
      </c>
      <c r="D311" s="20" t="s">
        <v>10492</v>
      </c>
      <c r="E311" s="15" t="str">
        <f>HYPERLINK("https://stat100.ameba.jp/tnk47/ratio20/illustrations/card/ill_54003_seiryumegurihiguchiichiyo03.jpg?202105-5-RELEASE-marathon-531xxxx", "■")</f>
        <v>■</v>
      </c>
      <c r="F311" s="14" t="s">
        <v>6250</v>
      </c>
      <c r="G311" s="14">
        <v>71136</v>
      </c>
      <c r="H311" s="14">
        <v>64520</v>
      </c>
      <c r="I311" s="14">
        <v>24</v>
      </c>
      <c r="J311" s="14" t="s">
        <v>10</v>
      </c>
      <c r="K311" s="14" t="s">
        <v>6252</v>
      </c>
      <c r="L311" s="14" t="s">
        <v>6253</v>
      </c>
      <c r="M311" s="14" t="s">
        <v>9158</v>
      </c>
      <c r="N311" s="14" t="s">
        <v>9158</v>
      </c>
      <c r="O311" s="14" t="s">
        <v>9158</v>
      </c>
      <c r="P311" s="14" t="s">
        <v>9158</v>
      </c>
      <c r="Q311" s="14" t="s">
        <v>9158</v>
      </c>
    </row>
    <row r="312" spans="1:17">
      <c r="A312" s="14">
        <v>51833</v>
      </c>
      <c r="B312" s="14" t="s">
        <v>15</v>
      </c>
      <c r="C312" s="14" t="s">
        <v>205</v>
      </c>
      <c r="D312" s="20" t="s">
        <v>10493</v>
      </c>
      <c r="E312" s="15" t="str">
        <f>HYPERLINK("https://stat100.ameba.jp/tnk47/ratio20/illustrations/card/ill_51833_jukimakitsuhikonomikoto03.jpg?202105-5-RELEASE-marathon-531xxxx", "■")</f>
        <v>■</v>
      </c>
      <c r="F312" s="14" t="s">
        <v>6254</v>
      </c>
      <c r="G312" s="14">
        <v>71136</v>
      </c>
      <c r="H312" s="14">
        <v>64520</v>
      </c>
      <c r="I312" s="14">
        <v>24</v>
      </c>
      <c r="J312" s="14" t="s">
        <v>44</v>
      </c>
      <c r="K312" s="14" t="s">
        <v>6257</v>
      </c>
      <c r="L312" s="14" t="s">
        <v>6256</v>
      </c>
      <c r="M312" s="14" t="s">
        <v>9158</v>
      </c>
      <c r="N312" s="14" t="s">
        <v>9158</v>
      </c>
      <c r="O312" s="14" t="s">
        <v>9158</v>
      </c>
      <c r="P312" s="14" t="s">
        <v>9158</v>
      </c>
      <c r="Q312" s="14" t="s">
        <v>9158</v>
      </c>
    </row>
    <row r="313" spans="1:17">
      <c r="A313" s="14">
        <v>53203</v>
      </c>
      <c r="B313" s="14" t="s">
        <v>15</v>
      </c>
      <c r="C313" s="14" t="s">
        <v>165</v>
      </c>
      <c r="D313" s="20" t="s">
        <v>10494</v>
      </c>
      <c r="E313" s="15" t="str">
        <f>HYPERLINK("https://stat100.ameba.jp/tnk47/ratio20/illustrations/card/ill_53203_buruhawaichan03.jpg?202105-5-RELEASE-marathon-531xxxx", "■")</f>
        <v>■</v>
      </c>
      <c r="F313" s="14" t="s">
        <v>6258</v>
      </c>
      <c r="G313" s="14">
        <v>64520</v>
      </c>
      <c r="H313" s="14">
        <v>71136</v>
      </c>
      <c r="I313" s="14">
        <v>24</v>
      </c>
      <c r="J313" s="14" t="s">
        <v>104</v>
      </c>
      <c r="K313" s="14" t="s">
        <v>6261</v>
      </c>
      <c r="L313" s="14" t="s">
        <v>6260</v>
      </c>
      <c r="M313" s="14" t="s">
        <v>9158</v>
      </c>
      <c r="N313" s="14" t="s">
        <v>9158</v>
      </c>
      <c r="O313" s="14" t="s">
        <v>9158</v>
      </c>
      <c r="P313" s="14" t="s">
        <v>9158</v>
      </c>
      <c r="Q313" s="14" t="s">
        <v>9158</v>
      </c>
    </row>
    <row r="315" spans="1:17">
      <c r="A315" s="14" t="s">
        <v>3911</v>
      </c>
    </row>
    <row r="316" spans="1:17">
      <c r="A316" s="14">
        <v>108834</v>
      </c>
      <c r="B316" s="14" t="s">
        <v>18382</v>
      </c>
    </row>
    <row r="317" spans="1:17">
      <c r="A317" s="14">
        <v>108844</v>
      </c>
      <c r="B317" s="14" t="s">
        <v>15721</v>
      </c>
    </row>
    <row r="318" spans="1:17">
      <c r="A318" s="14" t="s">
        <v>16084</v>
      </c>
      <c r="B318" s="7" t="s">
        <v>52</v>
      </c>
      <c r="C318" s="14" t="s">
        <v>202</v>
      </c>
      <c r="D318" s="18" t="s">
        <v>16083</v>
      </c>
      <c r="E318" s="15" t="str">
        <f>HYPERLINK("https://stat100.ameba.jp/tnk47/ratio20/illustrations/card/ill_95653_0_barentaindefukuhime03.jpg?202105-5-RELEASE-marathon-531xxxx", "■")</f>
        <v>■</v>
      </c>
      <c r="F318" s="14" t="s">
        <v>16082</v>
      </c>
      <c r="G318" s="14">
        <v>334134</v>
      </c>
      <c r="H318" s="14">
        <v>273388</v>
      </c>
      <c r="I318" s="7">
        <v>29</v>
      </c>
      <c r="J318" s="14" t="s">
        <v>77</v>
      </c>
      <c r="K318" s="14" t="s">
        <v>16081</v>
      </c>
      <c r="L318" s="14" t="s">
        <v>16080</v>
      </c>
      <c r="M318" s="14" t="s">
        <v>9158</v>
      </c>
      <c r="N318" s="14" t="s">
        <v>9158</v>
      </c>
      <c r="O318" s="7" t="s">
        <v>16086</v>
      </c>
      <c r="P318" s="7" t="s">
        <v>16085</v>
      </c>
      <c r="Q318" s="7">
        <v>1</v>
      </c>
    </row>
    <row r="319" spans="1:17">
      <c r="A319" s="9" t="s">
        <v>5787</v>
      </c>
      <c r="B319" s="14" t="s">
        <v>330</v>
      </c>
      <c r="C319" s="14" t="s">
        <v>270</v>
      </c>
      <c r="D319" s="14" t="s">
        <v>1101</v>
      </c>
      <c r="E319" s="15" t="str">
        <f>HYPERLINK("https://stat100.ameba.jp/tnk47/ratio20/illustrations/card/ill_76303_0_haroinkaguya03.jpg?202105-5-RELEASE-marathon-531xxxx", "■")</f>
        <v>■</v>
      </c>
      <c r="F319" s="14" t="s">
        <v>332</v>
      </c>
      <c r="G319" s="14">
        <v>345117</v>
      </c>
      <c r="H319" s="14">
        <v>320843</v>
      </c>
      <c r="I319" s="7">
        <v>29</v>
      </c>
      <c r="J319" s="14" t="s">
        <v>274</v>
      </c>
      <c r="K319" s="14" t="s">
        <v>333</v>
      </c>
      <c r="L319" s="14" t="s">
        <v>276</v>
      </c>
      <c r="M319" s="14" t="s">
        <v>9158</v>
      </c>
      <c r="N319" s="14" t="s">
        <v>9158</v>
      </c>
      <c r="O319" s="9" t="s">
        <v>2723</v>
      </c>
      <c r="P319" s="14" t="s">
        <v>2724</v>
      </c>
      <c r="Q319" s="14">
        <v>1</v>
      </c>
    </row>
    <row r="320" spans="1:17">
      <c r="A320" s="14" t="s">
        <v>5622</v>
      </c>
      <c r="B320" s="14" t="s">
        <v>330</v>
      </c>
      <c r="C320" s="14" t="s">
        <v>335</v>
      </c>
      <c r="D320" s="19" t="s">
        <v>509</v>
      </c>
      <c r="E320" s="15" t="str">
        <f>HYPERLINK("https://stat100.ameba.jp/tnk47/ratio20/illustrations/card/ill_49953_0_yushamarihime03.jpg?202105-5-RELEASE-marathon-531xxxx", "■")</f>
        <v>■</v>
      </c>
      <c r="F320" s="14" t="s">
        <v>510</v>
      </c>
      <c r="G320" s="14">
        <v>182188</v>
      </c>
      <c r="H320" s="14">
        <v>161842</v>
      </c>
      <c r="I320" s="7">
        <v>29</v>
      </c>
      <c r="J320" s="14" t="s">
        <v>315</v>
      </c>
      <c r="K320" s="14" t="s">
        <v>511</v>
      </c>
      <c r="L320" s="14" t="s">
        <v>512</v>
      </c>
      <c r="M320" s="14" t="s">
        <v>9158</v>
      </c>
      <c r="N320" s="14" t="s">
        <v>9158</v>
      </c>
      <c r="O320" s="14" t="s">
        <v>9158</v>
      </c>
      <c r="P320" s="14" t="s">
        <v>9158</v>
      </c>
      <c r="Q320" s="14" t="s">
        <v>9158</v>
      </c>
    </row>
    <row r="321" spans="1:18">
      <c r="A321" s="14">
        <v>84653</v>
      </c>
      <c r="B321" s="14" t="s">
        <v>334</v>
      </c>
      <c r="C321" s="14" t="s">
        <v>209</v>
      </c>
      <c r="D321" s="20" t="s">
        <v>10626</v>
      </c>
      <c r="E321" s="15" t="str">
        <f>HYPERLINK("https://stat100.ameba.jp/tnk47/ratio20/illustrations/card/ill_84653_soru03.jpg?202105-5-RELEASE-marathon-531xxxx", "■")</f>
        <v>■</v>
      </c>
      <c r="F321" s="14" t="s">
        <v>6954</v>
      </c>
      <c r="G321" s="14">
        <v>91815</v>
      </c>
      <c r="H321" s="14">
        <v>126741</v>
      </c>
      <c r="I321" s="7">
        <v>29</v>
      </c>
      <c r="J321" s="14" t="s">
        <v>44</v>
      </c>
      <c r="K321" s="14" t="s">
        <v>6956</v>
      </c>
      <c r="L321" s="14" t="s">
        <v>3652</v>
      </c>
      <c r="M321" s="14" t="s">
        <v>9158</v>
      </c>
      <c r="N321" s="14" t="s">
        <v>9158</v>
      </c>
      <c r="O321" s="19" t="s">
        <v>10103</v>
      </c>
      <c r="P321" s="14" t="s">
        <v>3897</v>
      </c>
      <c r="Q321" s="14">
        <v>1</v>
      </c>
    </row>
    <row r="322" spans="1:18">
      <c r="A322" s="14">
        <v>80173</v>
      </c>
      <c r="B322" s="14" t="s">
        <v>334</v>
      </c>
      <c r="C322" s="14" t="s">
        <v>47</v>
      </c>
      <c r="D322" s="20" t="s">
        <v>10390</v>
      </c>
      <c r="E322" s="15" t="str">
        <f>HYPERLINK("https://stat100.ameba.jp/tnk47/ratio20/illustrations/card/ill_80173_jusomedeia03.jpg?202105-5-RELEASE-marathon-531xxxx", "■")</f>
        <v>■</v>
      </c>
      <c r="F322" s="14" t="s">
        <v>3914</v>
      </c>
      <c r="G322" s="14">
        <v>111017</v>
      </c>
      <c r="H322" s="14">
        <v>153288</v>
      </c>
      <c r="I322" s="14">
        <v>29</v>
      </c>
      <c r="J322" s="14" t="s">
        <v>73</v>
      </c>
      <c r="K322" s="14" t="s">
        <v>3915</v>
      </c>
      <c r="L322" s="14" t="s">
        <v>1033</v>
      </c>
      <c r="M322" s="14" t="s">
        <v>9158</v>
      </c>
      <c r="N322" s="14" t="s">
        <v>9158</v>
      </c>
      <c r="O322" s="19" t="s">
        <v>10074</v>
      </c>
      <c r="P322" s="14" t="s">
        <v>3592</v>
      </c>
      <c r="Q322" s="14">
        <v>1</v>
      </c>
    </row>
    <row r="323" spans="1:18">
      <c r="A323" s="14">
        <v>80743</v>
      </c>
      <c r="B323" s="14" t="s">
        <v>0</v>
      </c>
      <c r="C323" s="14" t="s">
        <v>209</v>
      </c>
      <c r="D323" s="20" t="s">
        <v>10414</v>
      </c>
      <c r="E323" s="15" t="str">
        <f>HYPERLINK("https://stat100.ameba.jp/tnk47/ratio20/illustrations/card/ill_80743_senseijutsushi03.jpg?202105-5-RELEASE-marathon-531xxxx", "■")</f>
        <v>■</v>
      </c>
      <c r="F323" s="14" t="s">
        <v>4249</v>
      </c>
      <c r="G323" s="14">
        <v>91815</v>
      </c>
      <c r="H323" s="14">
        <v>126741</v>
      </c>
      <c r="I323" s="14">
        <v>29</v>
      </c>
      <c r="J323" s="14" t="s">
        <v>16</v>
      </c>
      <c r="K323" s="14" t="s">
        <v>4250</v>
      </c>
      <c r="L323" s="14" t="s">
        <v>4251</v>
      </c>
      <c r="M323" s="14" t="s">
        <v>9158</v>
      </c>
      <c r="N323" s="14" t="s">
        <v>9158</v>
      </c>
      <c r="O323" s="19" t="s">
        <v>10109</v>
      </c>
      <c r="P323" s="14" t="s">
        <v>3625</v>
      </c>
      <c r="Q323" s="14">
        <v>1</v>
      </c>
    </row>
    <row r="324" spans="1:18">
      <c r="A324" s="14">
        <v>84643</v>
      </c>
      <c r="B324" s="14" t="s">
        <v>0</v>
      </c>
      <c r="C324" s="14" t="s">
        <v>203</v>
      </c>
      <c r="D324" s="20" t="s">
        <v>10605</v>
      </c>
      <c r="E324" s="15" t="str">
        <f>HYPERLINK("https://stat100.ameba.jp/tnk47/ratio20/illustrations/card/ill_84643_rikayaojo03.jpg?202105-5-RELEASE-marathon-531xxxx", "■")</f>
        <v>■</v>
      </c>
      <c r="F324" s="14" t="s">
        <v>6853</v>
      </c>
      <c r="G324" s="14">
        <v>192940</v>
      </c>
      <c r="H324" s="14">
        <v>139753</v>
      </c>
      <c r="I324" s="7">
        <v>29</v>
      </c>
      <c r="J324" s="14" t="s">
        <v>315</v>
      </c>
      <c r="K324" s="14" t="s">
        <v>6852</v>
      </c>
      <c r="L324" s="14" t="s">
        <v>6851</v>
      </c>
      <c r="M324" s="14" t="s">
        <v>9158</v>
      </c>
      <c r="N324" s="14" t="s">
        <v>9158</v>
      </c>
      <c r="O324" s="19" t="s">
        <v>10082</v>
      </c>
      <c r="P324" s="14" t="s">
        <v>13124</v>
      </c>
      <c r="Q324" s="14">
        <v>1</v>
      </c>
    </row>
    <row r="325" spans="1:18">
      <c r="A325" s="14">
        <v>52083</v>
      </c>
      <c r="B325" s="14" t="s">
        <v>0</v>
      </c>
      <c r="C325" s="14" t="s">
        <v>158</v>
      </c>
      <c r="D325" s="19" t="s">
        <v>2913</v>
      </c>
      <c r="E325" s="15" t="str">
        <f>HYPERLINK("https://stat100.ameba.jp/tnk47/ratio20/illustrations/card/ill_52083_berubetto03.jpg?202105-5-RELEASE-marathon-531xxxx", "■")</f>
        <v>■</v>
      </c>
      <c r="F325" s="14" t="s">
        <v>944</v>
      </c>
      <c r="G325" s="14">
        <v>99922</v>
      </c>
      <c r="H325" s="14">
        <v>137943</v>
      </c>
      <c r="I325" s="7">
        <v>29</v>
      </c>
      <c r="J325" s="14" t="s">
        <v>26</v>
      </c>
      <c r="K325" s="14" t="s">
        <v>1864</v>
      </c>
      <c r="L325" s="14" t="s">
        <v>1865</v>
      </c>
      <c r="M325" s="14" t="s">
        <v>9158</v>
      </c>
      <c r="N325" s="14" t="s">
        <v>9158</v>
      </c>
      <c r="O325" s="19" t="s">
        <v>2917</v>
      </c>
      <c r="P325" s="14" t="s">
        <v>2918</v>
      </c>
      <c r="Q325" s="14">
        <v>1</v>
      </c>
    </row>
    <row r="326" spans="1:18">
      <c r="A326" s="16">
        <v>75853</v>
      </c>
      <c r="B326" s="14" t="s">
        <v>334</v>
      </c>
      <c r="C326" s="14" t="s">
        <v>41</v>
      </c>
      <c r="D326" s="19" t="s">
        <v>10224</v>
      </c>
      <c r="E326" s="15" t="str">
        <f>HYPERLINK("https://stat100.ameba.jp/tnk47/ratio20/illustrations/card/ill_75853_moruganoyuki03.jpg?202105-5-RELEASE-marathon-531xxxx", "■")</f>
        <v>■</v>
      </c>
      <c r="F326" s="14" t="s">
        <v>5106</v>
      </c>
      <c r="G326" s="14">
        <v>145000</v>
      </c>
      <c r="H326" s="14">
        <v>134821</v>
      </c>
      <c r="I326" s="7">
        <v>29</v>
      </c>
      <c r="J326" s="14" t="s">
        <v>16</v>
      </c>
      <c r="K326" s="14" t="s">
        <v>5108</v>
      </c>
      <c r="L326" s="14" t="s">
        <v>1881</v>
      </c>
      <c r="M326" s="14" t="s">
        <v>9158</v>
      </c>
      <c r="N326" s="14" t="s">
        <v>9158</v>
      </c>
      <c r="O326" s="7" t="s">
        <v>3578</v>
      </c>
      <c r="P326" s="14" t="s">
        <v>3579</v>
      </c>
      <c r="Q326" s="14">
        <v>1</v>
      </c>
    </row>
    <row r="328" spans="1:18">
      <c r="A328" s="14" t="s">
        <v>13327</v>
      </c>
    </row>
    <row r="329" spans="1:18">
      <c r="A329" s="14">
        <v>108858</v>
      </c>
      <c r="B329" s="14" t="s">
        <v>17436</v>
      </c>
    </row>
    <row r="330" spans="1:18">
      <c r="A330" s="14">
        <v>82213</v>
      </c>
      <c r="B330" s="14" t="s">
        <v>0</v>
      </c>
      <c r="C330" s="14" t="s">
        <v>185</v>
      </c>
      <c r="D330" s="19" t="s">
        <v>10185</v>
      </c>
      <c r="E330" s="15" t="str">
        <f>HYPERLINK("https://stat100.ameba.jp/tnk47/ratio20/illustrations/card/ill_82213_tatarimokke03.jpg?202105-5-RELEASE-marathon-531xxxx", "■")</f>
        <v>■</v>
      </c>
      <c r="F330" s="14" t="s">
        <v>4935</v>
      </c>
      <c r="G330" s="14">
        <v>132737</v>
      </c>
      <c r="H330" s="14">
        <v>142768</v>
      </c>
      <c r="I330" s="14">
        <v>29</v>
      </c>
      <c r="J330" s="14" t="s">
        <v>182</v>
      </c>
      <c r="K330" s="14" t="s">
        <v>4937</v>
      </c>
      <c r="L330" s="14" t="s">
        <v>13191</v>
      </c>
      <c r="M330" s="14" t="s">
        <v>13130</v>
      </c>
      <c r="N330" s="14" t="s">
        <v>343</v>
      </c>
      <c r="O330" s="14" t="s">
        <v>9158</v>
      </c>
      <c r="P330" s="14" t="s">
        <v>9158</v>
      </c>
      <c r="Q330" s="14" t="s">
        <v>9158</v>
      </c>
      <c r="R330" s="14" t="s">
        <v>14748</v>
      </c>
    </row>
    <row r="331" spans="1:18">
      <c r="A331" s="14">
        <v>82212</v>
      </c>
      <c r="B331" s="14" t="s">
        <v>334</v>
      </c>
      <c r="C331" s="14" t="s">
        <v>185</v>
      </c>
      <c r="D331" s="19" t="s">
        <v>10185</v>
      </c>
      <c r="E331" s="15" t="str">
        <f>HYPERLINK("https://stat100.ameba.jp/tnk47/ratio20/illustrations/card/ill_82212_tatarimokke02.jpg?202105-5-RELEASE-marathon-531xxxx", "■")</f>
        <v>■</v>
      </c>
      <c r="F331" s="14" t="s">
        <v>4935</v>
      </c>
      <c r="G331" s="14">
        <v>109938</v>
      </c>
      <c r="H331" s="14">
        <v>119345</v>
      </c>
      <c r="I331" s="14">
        <v>29</v>
      </c>
      <c r="J331" s="14" t="s">
        <v>182</v>
      </c>
      <c r="K331" s="14" t="s">
        <v>4937</v>
      </c>
      <c r="L331" s="14" t="s">
        <v>13191</v>
      </c>
      <c r="M331" s="14" t="s">
        <v>13131</v>
      </c>
      <c r="N331" s="14" t="s">
        <v>251</v>
      </c>
      <c r="O331" s="14" t="s">
        <v>9158</v>
      </c>
      <c r="P331" s="14" t="s">
        <v>9158</v>
      </c>
      <c r="Q331" s="14" t="s">
        <v>9158</v>
      </c>
      <c r="R331" s="14" t="s">
        <v>14748</v>
      </c>
    </row>
    <row r="332" spans="1:18">
      <c r="A332" s="14">
        <v>82211</v>
      </c>
      <c r="B332" s="14" t="s">
        <v>0</v>
      </c>
      <c r="C332" s="14" t="s">
        <v>185</v>
      </c>
      <c r="D332" s="19" t="s">
        <v>10185</v>
      </c>
      <c r="E332" s="15" t="str">
        <f>HYPERLINK("https://stat100.ameba.jp/tnk47/ratio20/illustrations/card/ill_82211_tatarimokke01.jpg?202105-5-RELEASE-marathon-531xxxx", "■")</f>
        <v>■</v>
      </c>
      <c r="F332" s="14" t="s">
        <v>4935</v>
      </c>
      <c r="G332" s="14">
        <v>84825</v>
      </c>
      <c r="H332" s="14">
        <v>91118</v>
      </c>
      <c r="I332" s="14">
        <v>29</v>
      </c>
      <c r="J332" s="14" t="s">
        <v>182</v>
      </c>
      <c r="K332" s="14" t="s">
        <v>4937</v>
      </c>
      <c r="L332" s="14" t="s">
        <v>13191</v>
      </c>
      <c r="M332" s="14" t="s">
        <v>13131</v>
      </c>
      <c r="N332" s="14" t="s">
        <v>251</v>
      </c>
      <c r="O332" s="14" t="s">
        <v>9158</v>
      </c>
      <c r="P332" s="14" t="s">
        <v>9158</v>
      </c>
      <c r="Q332" s="14" t="s">
        <v>9158</v>
      </c>
      <c r="R332" s="14" t="s">
        <v>14748</v>
      </c>
    </row>
    <row r="333" spans="1:18">
      <c r="A333" s="14">
        <v>82223</v>
      </c>
      <c r="B333" s="14" t="s">
        <v>334</v>
      </c>
      <c r="C333" s="14" t="s">
        <v>200</v>
      </c>
      <c r="D333" s="19" t="s">
        <v>10186</v>
      </c>
      <c r="E333" s="15" t="str">
        <f>HYPERLINK("https://stat100.ameba.jp/tnk47/ratio20/illustrations/card/ill_82223_oyayubihime03.jpg?202105-5-RELEASE-marathon-531xxxx", "■")</f>
        <v>■</v>
      </c>
      <c r="F333" s="14" t="s">
        <v>4931</v>
      </c>
      <c r="G333" s="14">
        <v>142768</v>
      </c>
      <c r="H333" s="14">
        <v>132737</v>
      </c>
      <c r="I333" s="14">
        <v>29</v>
      </c>
      <c r="J333" s="14" t="s">
        <v>155</v>
      </c>
      <c r="K333" s="14" t="s">
        <v>4933</v>
      </c>
      <c r="L333" s="14" t="s">
        <v>4934</v>
      </c>
      <c r="M333" s="14" t="s">
        <v>13130</v>
      </c>
      <c r="N333" s="14" t="s">
        <v>343</v>
      </c>
      <c r="O333" s="14" t="s">
        <v>9158</v>
      </c>
      <c r="P333" s="14" t="s">
        <v>9158</v>
      </c>
      <c r="Q333" s="14" t="s">
        <v>9158</v>
      </c>
      <c r="R333" s="14" t="s">
        <v>14748</v>
      </c>
    </row>
    <row r="334" spans="1:18">
      <c r="A334" s="14">
        <v>82233</v>
      </c>
      <c r="B334" s="14" t="s">
        <v>334</v>
      </c>
      <c r="C334" s="14" t="s">
        <v>191</v>
      </c>
      <c r="D334" s="19" t="s">
        <v>10187</v>
      </c>
      <c r="E334" s="15" t="str">
        <f>HYPERLINK("https://stat100.ameba.jp/tnk47/ratio20/illustrations/card/ill_82233_iseokiku03.jpg?202105-5-RELEASE-marathon-531xxxx", "■")</f>
        <v>■</v>
      </c>
      <c r="F334" s="14" t="s">
        <v>4924</v>
      </c>
      <c r="G334" s="14">
        <v>142768</v>
      </c>
      <c r="H334" s="14">
        <v>132737</v>
      </c>
      <c r="I334" s="14">
        <v>29</v>
      </c>
      <c r="J334" s="14" t="s">
        <v>187</v>
      </c>
      <c r="K334" s="14" t="s">
        <v>4926</v>
      </c>
      <c r="L334" s="14" t="s">
        <v>4930</v>
      </c>
      <c r="M334" s="14" t="s">
        <v>13130</v>
      </c>
      <c r="N334" s="14" t="s">
        <v>343</v>
      </c>
      <c r="O334" s="14" t="s">
        <v>9158</v>
      </c>
      <c r="P334" s="14" t="s">
        <v>9158</v>
      </c>
      <c r="Q334" s="14" t="s">
        <v>9158</v>
      </c>
      <c r="R334" s="14" t="s">
        <v>14748</v>
      </c>
    </row>
    <row r="335" spans="1:18">
      <c r="A335" s="14">
        <v>82243</v>
      </c>
      <c r="B335" s="14" t="s">
        <v>0</v>
      </c>
      <c r="C335" s="14" t="s">
        <v>165</v>
      </c>
      <c r="D335" s="19" t="s">
        <v>10188</v>
      </c>
      <c r="E335" s="15" t="str">
        <f>HYPERLINK("https://stat100.ameba.jp/tnk47/ratio20/illustrations/card/ill_82243_nanohana03.jpg?202105-5-RELEASE-marathon-531xxxx", "■")</f>
        <v>■</v>
      </c>
      <c r="F335" s="14" t="s">
        <v>4921</v>
      </c>
      <c r="G335" s="14">
        <v>142768</v>
      </c>
      <c r="H335" s="14">
        <v>132737</v>
      </c>
      <c r="I335" s="14">
        <v>29</v>
      </c>
      <c r="J335" s="14" t="s">
        <v>229</v>
      </c>
      <c r="K335" s="14" t="s">
        <v>4923</v>
      </c>
      <c r="L335" s="14" t="s">
        <v>4929</v>
      </c>
      <c r="M335" s="14" t="s">
        <v>13130</v>
      </c>
      <c r="N335" s="14" t="s">
        <v>343</v>
      </c>
      <c r="O335" s="14" t="s">
        <v>9158</v>
      </c>
      <c r="P335" s="14" t="s">
        <v>9158</v>
      </c>
      <c r="Q335" s="14" t="s">
        <v>9158</v>
      </c>
      <c r="R335" s="14" t="s">
        <v>14748</v>
      </c>
    </row>
    <row r="336" spans="1:18">
      <c r="A336" s="14">
        <v>82253</v>
      </c>
      <c r="B336" s="14" t="s">
        <v>334</v>
      </c>
      <c r="C336" s="14" t="s">
        <v>205</v>
      </c>
      <c r="D336" s="19" t="s">
        <v>10189</v>
      </c>
      <c r="E336" s="15" t="str">
        <f>HYPERLINK("https://stat100.ameba.jp/tnk47/ratio20/illustrations/card/ill_82253_ajisaikyogokuichiko03.jpg?202105-5-RELEASE-marathon-531xxxx", "■")</f>
        <v>■</v>
      </c>
      <c r="F336" s="14" t="s">
        <v>4920</v>
      </c>
      <c r="G336" s="14">
        <v>132737</v>
      </c>
      <c r="H336" s="14">
        <v>142768</v>
      </c>
      <c r="I336" s="14">
        <v>29</v>
      </c>
      <c r="J336" s="14" t="s">
        <v>159</v>
      </c>
      <c r="K336" s="14" t="s">
        <v>4919</v>
      </c>
      <c r="L336" s="14" t="s">
        <v>4927</v>
      </c>
      <c r="M336" s="14" t="s">
        <v>13130</v>
      </c>
      <c r="N336" s="14" t="s">
        <v>343</v>
      </c>
      <c r="O336" s="14" t="s">
        <v>9158</v>
      </c>
      <c r="P336" s="14" t="s">
        <v>9158</v>
      </c>
      <c r="Q336" s="14" t="s">
        <v>9158</v>
      </c>
      <c r="R336" s="14" t="s">
        <v>14748</v>
      </c>
    </row>
    <row r="337" spans="1:18">
      <c r="A337" s="14">
        <v>82263</v>
      </c>
      <c r="B337" s="14" t="s">
        <v>334</v>
      </c>
      <c r="C337" s="14" t="s">
        <v>206</v>
      </c>
      <c r="D337" s="19" t="s">
        <v>10190</v>
      </c>
      <c r="E337" s="15" t="str">
        <f>HYPERLINK("https://stat100.ameba.jp/tnk47/ratio20/illustrations/card/ill_82263_euterupe03.jpg?202105-5-RELEASE-marathon-531xxxx", "■")</f>
        <v>■</v>
      </c>
      <c r="F337" s="14" t="s">
        <v>4915</v>
      </c>
      <c r="G337" s="14">
        <v>132737</v>
      </c>
      <c r="H337" s="14">
        <v>142768</v>
      </c>
      <c r="I337" s="14">
        <v>29</v>
      </c>
      <c r="J337" s="14" t="s">
        <v>169</v>
      </c>
      <c r="K337" s="14" t="s">
        <v>4917</v>
      </c>
      <c r="L337" s="14" t="s">
        <v>4928</v>
      </c>
      <c r="M337" s="14" t="s">
        <v>13130</v>
      </c>
      <c r="N337" s="14" t="s">
        <v>343</v>
      </c>
      <c r="O337" s="14" t="s">
        <v>9158</v>
      </c>
      <c r="P337" s="14" t="s">
        <v>9158</v>
      </c>
      <c r="Q337" s="14" t="s">
        <v>9158</v>
      </c>
      <c r="R337" s="14" t="s">
        <v>14748</v>
      </c>
    </row>
    <row r="395" spans="1:17">
      <c r="A395" s="14" t="s">
        <v>4076</v>
      </c>
    </row>
    <row r="396" spans="1:17">
      <c r="A396" s="14">
        <v>238480</v>
      </c>
      <c r="B396" s="14" t="s">
        <v>4759</v>
      </c>
    </row>
    <row r="397" spans="1:17">
      <c r="A397" s="14" t="s">
        <v>5610</v>
      </c>
      <c r="B397" s="14" t="s">
        <v>330</v>
      </c>
      <c r="C397" s="14" t="s">
        <v>185</v>
      </c>
      <c r="D397" s="19" t="s">
        <v>539</v>
      </c>
      <c r="E397" s="15" t="str">
        <f>HYPERLINK("https://stat100.ameba.jp/tnk47/ratio20/illustrations/card/ill_60633_0_harumaisentoin03.jpg?202106-i_prefecture_active_user", "■")</f>
        <v>■</v>
      </c>
      <c r="F397" s="14" t="s">
        <v>540</v>
      </c>
      <c r="G397" s="14">
        <v>127162</v>
      </c>
      <c r="H397" s="14">
        <v>136788</v>
      </c>
      <c r="I397" s="14">
        <v>20</v>
      </c>
      <c r="J397" s="14" t="s">
        <v>274</v>
      </c>
      <c r="K397" s="14" t="s">
        <v>541</v>
      </c>
      <c r="L397" s="14" t="s">
        <v>542</v>
      </c>
      <c r="M397" s="14" t="s">
        <v>9158</v>
      </c>
      <c r="N397" s="14" t="s">
        <v>9158</v>
      </c>
      <c r="O397" s="19" t="s">
        <v>2888</v>
      </c>
      <c r="P397" s="14" t="s">
        <v>3144</v>
      </c>
      <c r="Q397" s="14">
        <v>1</v>
      </c>
    </row>
    <row r="398" spans="1:17">
      <c r="A398" s="14">
        <v>98043</v>
      </c>
      <c r="B398" s="14" t="s">
        <v>0</v>
      </c>
      <c r="C398" s="14" t="s">
        <v>23</v>
      </c>
      <c r="D398" s="14" t="s">
        <v>17352</v>
      </c>
      <c r="E398" s="15" t="str">
        <f>HYPERLINK("https://stat100.ameba.jp/tnk47/ratio20/illustrations/card/ill_98043_rufuto03.jpg?202106-i_prefecture_active_user", "■")</f>
        <v>■</v>
      </c>
      <c r="F398" s="14" t="s">
        <v>17351</v>
      </c>
      <c r="G398" s="14">
        <v>119785</v>
      </c>
      <c r="H398" s="14">
        <v>212908</v>
      </c>
      <c r="I398" s="14">
        <v>29</v>
      </c>
      <c r="J398" s="14" t="s">
        <v>44</v>
      </c>
      <c r="K398" s="14" t="s">
        <v>17350</v>
      </c>
      <c r="L398" s="14" t="s">
        <v>17349</v>
      </c>
      <c r="M398" s="14" t="s">
        <v>9158</v>
      </c>
      <c r="N398" s="14" t="s">
        <v>9158</v>
      </c>
      <c r="O398" s="14" t="s">
        <v>9158</v>
      </c>
      <c r="P398" s="14" t="s">
        <v>9158</v>
      </c>
      <c r="Q398" s="14" t="s">
        <v>9158</v>
      </c>
    </row>
    <row r="399" spans="1:17">
      <c r="A399" s="14">
        <v>98042</v>
      </c>
      <c r="B399" s="14" t="s">
        <v>0</v>
      </c>
      <c r="C399" s="14" t="s">
        <v>23</v>
      </c>
      <c r="D399" s="14" t="s">
        <v>17352</v>
      </c>
      <c r="E399" s="15" t="str">
        <f>HYPERLINK("https://stat100.ameba.jp/tnk47/ratio20/illustrations/card/ill_98042_rufuto02.jpg?202106-i_prefecture_active_user", "■")</f>
        <v>■</v>
      </c>
      <c r="F399" s="14" t="s">
        <v>17351</v>
      </c>
      <c r="G399" s="14">
        <v>99690</v>
      </c>
      <c r="H399" s="14">
        <v>177149</v>
      </c>
      <c r="I399" s="14">
        <v>29</v>
      </c>
      <c r="J399" s="14" t="s">
        <v>44</v>
      </c>
      <c r="K399" s="14" t="s">
        <v>17350</v>
      </c>
      <c r="L399" s="14" t="s">
        <v>17353</v>
      </c>
      <c r="M399" s="14" t="s">
        <v>9158</v>
      </c>
      <c r="N399" s="14" t="s">
        <v>9158</v>
      </c>
      <c r="O399" s="14" t="s">
        <v>9158</v>
      </c>
      <c r="P399" s="14" t="s">
        <v>9158</v>
      </c>
      <c r="Q399" s="14" t="s">
        <v>9158</v>
      </c>
    </row>
    <row r="400" spans="1:17">
      <c r="A400" s="14">
        <v>98041</v>
      </c>
      <c r="B400" s="14" t="s">
        <v>0</v>
      </c>
      <c r="C400" s="14" t="s">
        <v>23</v>
      </c>
      <c r="D400" s="14" t="s">
        <v>17352</v>
      </c>
      <c r="E400" s="15" t="str">
        <f>HYPERLINK("https://stat100.ameba.jp/tnk47/ratio20/illustrations/card/ill_98041_rufuto01.jpg?202106-i_prefecture_active_user", "■")</f>
        <v>■</v>
      </c>
      <c r="F400" s="14" t="s">
        <v>17351</v>
      </c>
      <c r="G400" s="14">
        <v>76502</v>
      </c>
      <c r="H400" s="14">
        <v>135952</v>
      </c>
      <c r="I400" s="14">
        <v>29</v>
      </c>
      <c r="J400" s="14" t="s">
        <v>44</v>
      </c>
      <c r="K400" s="14" t="s">
        <v>17350</v>
      </c>
      <c r="L400" s="14" t="s">
        <v>17354</v>
      </c>
      <c r="M400" s="14" t="s">
        <v>9158</v>
      </c>
      <c r="N400" s="14" t="s">
        <v>9158</v>
      </c>
      <c r="O400" s="14" t="s">
        <v>9158</v>
      </c>
      <c r="P400" s="14" t="s">
        <v>9158</v>
      </c>
      <c r="Q400" s="14" t="s">
        <v>9158</v>
      </c>
    </row>
    <row r="401" spans="1:17">
      <c r="A401" s="14">
        <v>98053</v>
      </c>
      <c r="B401" s="14" t="s">
        <v>0</v>
      </c>
      <c r="C401" s="14" t="s">
        <v>1</v>
      </c>
      <c r="D401" s="14" t="s">
        <v>17358</v>
      </c>
      <c r="E401" s="15" t="str">
        <f>HYPERLINK("https://stat100.ameba.jp/tnk47/ratio20/illustrations/card/ill_98053_topazuhime03.jpg?202106-i_prefecture_active_user", "■")</f>
        <v>■</v>
      </c>
      <c r="F401" s="14" t="s">
        <v>17357</v>
      </c>
      <c r="G401" s="14">
        <v>91809</v>
      </c>
      <c r="H401" s="14">
        <v>163137</v>
      </c>
      <c r="I401" s="14">
        <v>29</v>
      </c>
      <c r="J401" s="14" t="s">
        <v>77</v>
      </c>
      <c r="K401" s="14" t="s">
        <v>17356</v>
      </c>
      <c r="L401" s="14" t="s">
        <v>17355</v>
      </c>
      <c r="M401" s="14" t="s">
        <v>9158</v>
      </c>
      <c r="N401" s="14" t="s">
        <v>9158</v>
      </c>
      <c r="O401" s="14" t="s">
        <v>9158</v>
      </c>
      <c r="P401" s="14" t="s">
        <v>9158</v>
      </c>
      <c r="Q401" s="14" t="s">
        <v>9158</v>
      </c>
    </row>
    <row r="402" spans="1:17">
      <c r="A402" s="14">
        <v>98052</v>
      </c>
      <c r="B402" s="14" t="s">
        <v>0</v>
      </c>
      <c r="C402" s="14" t="s">
        <v>1</v>
      </c>
      <c r="D402" s="14" t="s">
        <v>17358</v>
      </c>
      <c r="E402" s="15" t="str">
        <f>HYPERLINK("https://stat100.ameba.jp/tnk47/ratio20/illustrations/card/ill_98052_topazuhime02.jpg?202106-i_prefecture_active_user", "■")</f>
        <v>■</v>
      </c>
      <c r="F402" s="14" t="s">
        <v>17357</v>
      </c>
      <c r="G402" s="14">
        <v>76390</v>
      </c>
      <c r="H402" s="14">
        <v>135788</v>
      </c>
      <c r="I402" s="14">
        <v>29</v>
      </c>
      <c r="J402" s="14" t="s">
        <v>77</v>
      </c>
      <c r="K402" s="14" t="s">
        <v>17356</v>
      </c>
      <c r="L402" s="14" t="s">
        <v>17359</v>
      </c>
      <c r="M402" s="14" t="s">
        <v>9158</v>
      </c>
      <c r="N402" s="14" t="s">
        <v>9158</v>
      </c>
      <c r="O402" s="14" t="s">
        <v>9158</v>
      </c>
      <c r="P402" s="14" t="s">
        <v>9158</v>
      </c>
      <c r="Q402" s="14" t="s">
        <v>9158</v>
      </c>
    </row>
    <row r="403" spans="1:17">
      <c r="A403" s="14">
        <v>98051</v>
      </c>
      <c r="B403" s="14" t="s">
        <v>0</v>
      </c>
      <c r="C403" s="14" t="s">
        <v>1</v>
      </c>
      <c r="D403" s="14" t="s">
        <v>17358</v>
      </c>
      <c r="E403" s="15" t="str">
        <f>HYPERLINK("https://stat100.ameba.jp/tnk47/ratio20/illustrations/card/ill_98051_topazuhime01.jpg?202106-i_prefecture_active_user", "■")</f>
        <v>■</v>
      </c>
      <c r="F403" s="14" t="s">
        <v>17357</v>
      </c>
      <c r="G403" s="14">
        <v>58609</v>
      </c>
      <c r="H403" s="14">
        <v>104168</v>
      </c>
      <c r="I403" s="14">
        <v>29</v>
      </c>
      <c r="J403" s="14" t="s">
        <v>77</v>
      </c>
      <c r="K403" s="14" t="s">
        <v>17356</v>
      </c>
      <c r="L403" s="14" t="s">
        <v>17360</v>
      </c>
      <c r="M403" s="14" t="s">
        <v>9158</v>
      </c>
      <c r="N403" s="14" t="s">
        <v>9158</v>
      </c>
      <c r="O403" s="14" t="s">
        <v>9158</v>
      </c>
      <c r="P403" s="14" t="s">
        <v>9158</v>
      </c>
      <c r="Q403" s="14" t="s">
        <v>9158</v>
      </c>
    </row>
    <row r="405" spans="1:17">
      <c r="A405" s="14" t="s">
        <v>8239</v>
      </c>
    </row>
    <row r="406" spans="1:17">
      <c r="A406" s="14">
        <v>238526</v>
      </c>
      <c r="B406" s="14" t="s">
        <v>12936</v>
      </c>
    </row>
    <row r="407" spans="1:17">
      <c r="A407" s="14">
        <v>238562</v>
      </c>
      <c r="B407" s="14" t="s">
        <v>18543</v>
      </c>
    </row>
    <row r="408" spans="1:17">
      <c r="A408" s="14" t="s">
        <v>17213</v>
      </c>
      <c r="B408" s="14" t="s">
        <v>117</v>
      </c>
      <c r="C408" s="14" t="s">
        <v>35</v>
      </c>
      <c r="D408" s="14" t="s">
        <v>17210</v>
      </c>
      <c r="E408" s="15" t="str">
        <f>HYPERLINK("https://stat100.ameba.jp/tnk47/ratio20/illustrations/card/ill_98173_0_tenkurobekari03.jpg?202106-i_prefecture_active_user", "■")</f>
        <v>■</v>
      </c>
      <c r="F408" s="14" t="s">
        <v>17363</v>
      </c>
      <c r="G408" s="14">
        <v>423344</v>
      </c>
      <c r="H408" s="14">
        <v>468377</v>
      </c>
      <c r="I408" s="14">
        <v>35</v>
      </c>
      <c r="J408" s="14" t="s">
        <v>104</v>
      </c>
      <c r="K408" s="14" t="s">
        <v>17362</v>
      </c>
      <c r="L408" s="14" t="s">
        <v>17361</v>
      </c>
      <c r="M408" s="14" t="s">
        <v>9158</v>
      </c>
      <c r="N408" s="14" t="s">
        <v>9158</v>
      </c>
      <c r="O408" s="14" t="s">
        <v>9158</v>
      </c>
      <c r="P408" s="14" t="s">
        <v>9158</v>
      </c>
      <c r="Q408" s="14" t="s">
        <v>9158</v>
      </c>
    </row>
    <row r="409" spans="1:17">
      <c r="A409" s="14" t="s">
        <v>16549</v>
      </c>
      <c r="B409" s="14" t="s">
        <v>117</v>
      </c>
      <c r="C409" s="14" t="s">
        <v>35</v>
      </c>
      <c r="D409" s="14" t="s">
        <v>16550</v>
      </c>
      <c r="E409" s="15" t="str">
        <f>HYPERLINK("https://stat100.ameba.jp/tnk47/ratio20/illustrations/card/ill_96123_0_tenkuroyukimatsuri03.jpg?202106-i_prefecture_active_user", "■")</f>
        <v>■</v>
      </c>
      <c r="F409" s="14" t="s">
        <v>16548</v>
      </c>
      <c r="G409" s="14">
        <v>466826</v>
      </c>
      <c r="H409" s="14">
        <v>421914</v>
      </c>
      <c r="I409" s="14">
        <v>35</v>
      </c>
      <c r="J409" s="14" t="s">
        <v>77</v>
      </c>
      <c r="K409" s="14" t="s">
        <v>16547</v>
      </c>
      <c r="L409" s="14" t="s">
        <v>16546</v>
      </c>
      <c r="M409" s="14" t="s">
        <v>9158</v>
      </c>
      <c r="N409" s="14" t="s">
        <v>9158</v>
      </c>
      <c r="O409" s="14" t="s">
        <v>9158</v>
      </c>
      <c r="P409" s="14" t="s">
        <v>9158</v>
      </c>
      <c r="Q409" s="14" t="s">
        <v>9158</v>
      </c>
    </row>
    <row r="410" spans="1:17">
      <c r="A410" s="14" t="s">
        <v>17060</v>
      </c>
      <c r="B410" s="14" t="s">
        <v>117</v>
      </c>
      <c r="C410" s="14" t="s">
        <v>35</v>
      </c>
      <c r="D410" s="14" t="s">
        <v>17059</v>
      </c>
      <c r="E410" s="15" t="str">
        <f>HYPERLINK("https://stat100.ameba.jp/tnk47/ratio20/illustrations/card/ill_96843_0_tenkuroairando03.jpg?202106-i_prefecture_active_user", "■")</f>
        <v>■</v>
      </c>
      <c r="F410" s="14" t="s">
        <v>17058</v>
      </c>
      <c r="G410" s="14">
        <v>422461</v>
      </c>
      <c r="H410" s="14">
        <v>467373</v>
      </c>
      <c r="I410" s="14">
        <v>35</v>
      </c>
      <c r="J410" s="14" t="s">
        <v>26</v>
      </c>
      <c r="K410" s="14" t="s">
        <v>17057</v>
      </c>
      <c r="L410" s="14" t="s">
        <v>17056</v>
      </c>
      <c r="M410" s="14" t="s">
        <v>9158</v>
      </c>
      <c r="N410" s="14" t="s">
        <v>9158</v>
      </c>
      <c r="O410" s="14" t="s">
        <v>9158</v>
      </c>
      <c r="P410" s="14" t="s">
        <v>9158</v>
      </c>
      <c r="Q410" s="14" t="s">
        <v>9158</v>
      </c>
    </row>
    <row r="411" spans="1:17">
      <c r="A411" s="14" t="s">
        <v>17212</v>
      </c>
      <c r="B411" s="14" t="s">
        <v>117</v>
      </c>
      <c r="C411" s="14" t="s">
        <v>35</v>
      </c>
      <c r="D411" s="14" t="s">
        <v>17209</v>
      </c>
      <c r="E411" s="15" t="str">
        <f>HYPERLINK("https://stat100.ameba.jp/tnk47/ratio20/illustrations/card/ill_97483_0_tenkuronessanojunin03.jpg?202106-i_prefecture_active_user", "■")</f>
        <v>■</v>
      </c>
      <c r="F411" s="14" t="s">
        <v>17222</v>
      </c>
      <c r="G411" s="14">
        <v>467373</v>
      </c>
      <c r="H411" s="14">
        <v>422461</v>
      </c>
      <c r="I411" s="14">
        <v>35</v>
      </c>
      <c r="J411" s="14" t="s">
        <v>44</v>
      </c>
      <c r="K411" s="14" t="s">
        <v>17221</v>
      </c>
      <c r="L411" s="14" t="s">
        <v>17220</v>
      </c>
      <c r="M411" s="14" t="s">
        <v>9158</v>
      </c>
      <c r="N411" s="14" t="s">
        <v>9158</v>
      </c>
      <c r="O411" s="14" t="s">
        <v>9158</v>
      </c>
      <c r="P411" s="14" t="s">
        <v>9158</v>
      </c>
      <c r="Q411" s="14" t="s">
        <v>9158</v>
      </c>
    </row>
    <row r="412" spans="1:17">
      <c r="A412" s="14" t="s">
        <v>6598</v>
      </c>
      <c r="B412" s="14" t="s">
        <v>330</v>
      </c>
      <c r="C412" s="14" t="s">
        <v>35</v>
      </c>
      <c r="D412" s="19" t="s">
        <v>10555</v>
      </c>
      <c r="E412" s="15" t="str">
        <f>HYPERLINK("https://stat100.ameba.jp/tnk47/ratio20/illustrations/card/ill_83553_0_kajuenamoronagu03.jpg?202106-i_prefecture_active_user", "■")</f>
        <v>■</v>
      </c>
      <c r="F412" s="14" t="s">
        <v>6597</v>
      </c>
      <c r="G412" s="14">
        <v>231586</v>
      </c>
      <c r="H412" s="14">
        <v>256240</v>
      </c>
      <c r="I412" s="14">
        <v>22</v>
      </c>
      <c r="J412" s="14" t="s">
        <v>44</v>
      </c>
      <c r="K412" s="14" t="s">
        <v>6595</v>
      </c>
      <c r="L412" s="14" t="s">
        <v>6594</v>
      </c>
      <c r="M412" s="14" t="s">
        <v>9158</v>
      </c>
      <c r="N412" s="14" t="s">
        <v>9158</v>
      </c>
      <c r="O412" s="19" t="s">
        <v>10125</v>
      </c>
      <c r="P412" s="14" t="s">
        <v>6599</v>
      </c>
      <c r="Q412" s="14">
        <v>1</v>
      </c>
    </row>
    <row r="413" spans="1:17">
      <c r="A413" s="14">
        <v>88573</v>
      </c>
      <c r="B413" s="14" t="s">
        <v>0</v>
      </c>
      <c r="C413" s="14" t="s">
        <v>185</v>
      </c>
      <c r="D413" s="14" t="s">
        <v>12124</v>
      </c>
      <c r="E413" s="15" t="str">
        <f>HYPERLINK("https://stat100.ameba.jp/tnk47/ratio20/illustrations/card/ill_88573_mukadehime03.jpg?202106-i_prefecture_active_user", "■")</f>
        <v>■</v>
      </c>
      <c r="F413" s="14" t="s">
        <v>12138</v>
      </c>
      <c r="G413" s="14">
        <v>109381</v>
      </c>
      <c r="H413" s="14">
        <v>117591</v>
      </c>
      <c r="I413" s="14">
        <v>29</v>
      </c>
      <c r="J413" s="14" t="s">
        <v>155</v>
      </c>
      <c r="K413" s="14" t="s">
        <v>12137</v>
      </c>
      <c r="L413" s="14" t="s">
        <v>12136</v>
      </c>
      <c r="M413" s="14" t="s">
        <v>9158</v>
      </c>
      <c r="N413" s="14" t="s">
        <v>9158</v>
      </c>
      <c r="O413" s="14" t="s">
        <v>9158</v>
      </c>
      <c r="P413" s="14" t="s">
        <v>9158</v>
      </c>
      <c r="Q413" s="14" t="s">
        <v>9158</v>
      </c>
    </row>
    <row r="414" spans="1:17">
      <c r="A414" s="14">
        <v>91263</v>
      </c>
      <c r="B414" s="14" t="s">
        <v>0</v>
      </c>
      <c r="C414" s="14" t="s">
        <v>23</v>
      </c>
      <c r="D414" s="14" t="s">
        <v>13613</v>
      </c>
      <c r="E414" s="15" t="str">
        <f>HYPERLINK("https://stat100.ameba.jp/tnk47/ratio20/illustrations/card/ill_91263_toriimototada03.jpg?202106-i_prefecture_active_user", "■")</f>
        <v>■</v>
      </c>
      <c r="F414" s="14" t="s">
        <v>13614</v>
      </c>
      <c r="G414" s="14">
        <v>160296</v>
      </c>
      <c r="H414" s="14">
        <v>172397</v>
      </c>
      <c r="I414" s="14">
        <v>29</v>
      </c>
      <c r="J414" s="14" t="s">
        <v>143</v>
      </c>
      <c r="K414" s="14" t="s">
        <v>1205</v>
      </c>
      <c r="L414" s="14" t="s">
        <v>12361</v>
      </c>
      <c r="M414" s="14" t="s">
        <v>9158</v>
      </c>
      <c r="N414" s="14" t="s">
        <v>9158</v>
      </c>
      <c r="O414" s="14" t="s">
        <v>9158</v>
      </c>
      <c r="P414" s="14" t="s">
        <v>9158</v>
      </c>
      <c r="Q414" s="14" t="s">
        <v>9158</v>
      </c>
    </row>
    <row r="415" spans="1:17">
      <c r="A415" s="14">
        <v>91883</v>
      </c>
      <c r="B415" s="14" t="s">
        <v>0</v>
      </c>
      <c r="C415" s="14" t="s">
        <v>101</v>
      </c>
      <c r="D415" s="14" t="s">
        <v>14703</v>
      </c>
      <c r="E415" s="15" t="str">
        <f>HYPERLINK("https://stat100.ameba.jp/tnk47/ratio20/illustrations/card/ill_91883_sangokushikobayashiissa03.jpg?202106-i_prefecture_active_user", "■")</f>
        <v>■</v>
      </c>
      <c r="F415" s="14" t="s">
        <v>14702</v>
      </c>
      <c r="G415" s="14">
        <v>105281</v>
      </c>
      <c r="H415" s="14">
        <v>113277</v>
      </c>
      <c r="I415" s="14">
        <v>29</v>
      </c>
      <c r="J415" s="14" t="s">
        <v>10</v>
      </c>
      <c r="K415" s="14" t="s">
        <v>14700</v>
      </c>
      <c r="L415" s="14" t="s">
        <v>12916</v>
      </c>
      <c r="M415" s="14" t="s">
        <v>9158</v>
      </c>
      <c r="N415" s="14" t="s">
        <v>9158</v>
      </c>
      <c r="O415" s="14" t="s">
        <v>9158</v>
      </c>
      <c r="P415" s="14" t="s">
        <v>9158</v>
      </c>
      <c r="Q415" s="14" t="s">
        <v>9158</v>
      </c>
    </row>
    <row r="416" spans="1:17">
      <c r="A416" s="14">
        <v>89953</v>
      </c>
      <c r="B416" s="14" t="s">
        <v>0</v>
      </c>
      <c r="C416" s="14" t="s">
        <v>96</v>
      </c>
      <c r="D416" s="14" t="s">
        <v>13819</v>
      </c>
      <c r="E416" s="15" t="str">
        <f>HYPERLINK("https://stat100.ameba.jp/tnk47/ratio20/illustrations/card/ill_89953_koinoborihinotomiko03.jpg?202106-i_prefecture_active_user", "■")</f>
        <v>■</v>
      </c>
      <c r="F416" s="14" t="s">
        <v>13818</v>
      </c>
      <c r="G416" s="14">
        <v>113277</v>
      </c>
      <c r="H416" s="14">
        <v>105281</v>
      </c>
      <c r="I416" s="14">
        <v>29</v>
      </c>
      <c r="J416" s="14" t="s">
        <v>77</v>
      </c>
      <c r="K416" s="14" t="s">
        <v>2451</v>
      </c>
      <c r="L416" s="14" t="s">
        <v>12081</v>
      </c>
      <c r="M416" s="14" t="s">
        <v>9158</v>
      </c>
      <c r="N416" s="14" t="s">
        <v>9158</v>
      </c>
      <c r="O416" s="14" t="s">
        <v>9158</v>
      </c>
      <c r="P416" s="14" t="s">
        <v>9158</v>
      </c>
      <c r="Q416" s="14" t="s">
        <v>9158</v>
      </c>
    </row>
    <row r="417" spans="1:17">
      <c r="A417" s="14">
        <v>92113</v>
      </c>
      <c r="B417" s="14" t="s">
        <v>0</v>
      </c>
      <c r="C417" s="14" t="s">
        <v>1</v>
      </c>
      <c r="D417" s="14" t="s">
        <v>14942</v>
      </c>
      <c r="E417" s="15" t="str">
        <f>HYPERLINK("https://stat100.ameba.jp/tnk47/ratio20/illustrations/card/ill_92113_tankentaihoshigamisama03.jpg?202106-i_prefecture_active_user", "■")</f>
        <v>■</v>
      </c>
      <c r="F417" s="14" t="s">
        <v>14941</v>
      </c>
      <c r="G417" s="14">
        <v>109970</v>
      </c>
      <c r="H417" s="14">
        <v>118287</v>
      </c>
      <c r="I417" s="14">
        <v>29</v>
      </c>
      <c r="J417" s="14" t="s">
        <v>38</v>
      </c>
      <c r="K417" s="14" t="s">
        <v>14939</v>
      </c>
      <c r="L417" s="14" t="s">
        <v>14938</v>
      </c>
      <c r="M417" s="14" t="s">
        <v>9158</v>
      </c>
      <c r="N417" s="14" t="s">
        <v>9158</v>
      </c>
      <c r="O417" s="14" t="s">
        <v>9158</v>
      </c>
      <c r="P417" s="14" t="s">
        <v>9158</v>
      </c>
      <c r="Q417" s="14" t="s">
        <v>9158</v>
      </c>
    </row>
    <row r="418" spans="1:17">
      <c r="A418" s="14">
        <v>90803</v>
      </c>
      <c r="B418" s="14" t="s">
        <v>0</v>
      </c>
      <c r="C418" s="14" t="s">
        <v>107</v>
      </c>
      <c r="D418" s="14" t="s">
        <v>14415</v>
      </c>
      <c r="E418" s="15" t="str">
        <f>HYPERLINK("https://stat100.ameba.jp/tnk47/ratio20/illustrations/card/ill_90803_natsumatsurijingukogo03.jpg?202106-i_prefecture_active_user", "■")</f>
        <v>■</v>
      </c>
      <c r="F418" s="14" t="s">
        <v>14414</v>
      </c>
      <c r="G418" s="14">
        <v>113277</v>
      </c>
      <c r="H418" s="14">
        <v>105281</v>
      </c>
      <c r="I418" s="14">
        <v>29</v>
      </c>
      <c r="J418" s="14" t="s">
        <v>10</v>
      </c>
      <c r="K418" s="14" t="s">
        <v>14413</v>
      </c>
      <c r="L418" s="14" t="s">
        <v>12648</v>
      </c>
      <c r="M418" s="14" t="s">
        <v>9158</v>
      </c>
      <c r="N418" s="14" t="s">
        <v>9158</v>
      </c>
      <c r="O418" s="14" t="s">
        <v>9158</v>
      </c>
      <c r="P418" s="14" t="s">
        <v>9158</v>
      </c>
      <c r="Q418" s="14" t="s">
        <v>9158</v>
      </c>
    </row>
    <row r="420" spans="1:17">
      <c r="A420" s="14" t="s">
        <v>4065</v>
      </c>
    </row>
    <row r="421" spans="1:17">
      <c r="A421" s="14">
        <v>108927</v>
      </c>
      <c r="B421" s="14" t="s">
        <v>4766</v>
      </c>
    </row>
    <row r="422" spans="1:17">
      <c r="A422" s="14" t="s">
        <v>5623</v>
      </c>
      <c r="B422" s="14" t="s">
        <v>330</v>
      </c>
      <c r="C422" s="14" t="s">
        <v>165</v>
      </c>
      <c r="D422" s="20" t="s">
        <v>3146</v>
      </c>
      <c r="E422" s="15" t="str">
        <f>HYPERLINK("https://stat100.ameba.jp/tnk47/ratio20/illustrations/card/ill_65713_0_undokaionikirimaru03.jpg?202106-i_prefecture_active_user", "■")</f>
        <v>■</v>
      </c>
      <c r="F422" s="14" t="s">
        <v>535</v>
      </c>
      <c r="G422" s="14">
        <v>211914</v>
      </c>
      <c r="H422" s="14">
        <v>197020</v>
      </c>
      <c r="I422" s="14">
        <v>28</v>
      </c>
      <c r="J422" s="14" t="s">
        <v>320</v>
      </c>
      <c r="K422" s="14" t="s">
        <v>3147</v>
      </c>
      <c r="L422" s="14" t="s">
        <v>3148</v>
      </c>
      <c r="M422" s="14" t="s">
        <v>9158</v>
      </c>
      <c r="N422" s="14" t="s">
        <v>9158</v>
      </c>
      <c r="O422" s="19" t="s">
        <v>2869</v>
      </c>
      <c r="P422" s="14" t="s">
        <v>2870</v>
      </c>
      <c r="Q422" s="14">
        <v>1</v>
      </c>
    </row>
    <row r="423" spans="1:17">
      <c r="A423" s="14">
        <v>84863</v>
      </c>
      <c r="B423" s="14" t="s">
        <v>0</v>
      </c>
      <c r="C423" s="14" t="s">
        <v>200</v>
      </c>
      <c r="D423" s="19" t="s">
        <v>10742</v>
      </c>
      <c r="E423" s="15" t="str">
        <f>HYPERLINK("https://stat100.ameba.jp/tnk47/ratio20/illustrations/card/ill_84863_onsengaiarisubekon03.jpg?202106-i_prefecture_active_user", "■")</f>
        <v>■</v>
      </c>
      <c r="F423" s="14" t="s">
        <v>7796</v>
      </c>
      <c r="G423" s="14">
        <v>109481</v>
      </c>
      <c r="H423" s="14">
        <v>101837</v>
      </c>
      <c r="I423" s="14">
        <v>27</v>
      </c>
      <c r="J423" s="14" t="s">
        <v>159</v>
      </c>
      <c r="K423" s="14" t="s">
        <v>7795</v>
      </c>
      <c r="L423" s="14" t="s">
        <v>7794</v>
      </c>
      <c r="M423" s="14" t="s">
        <v>9158</v>
      </c>
      <c r="N423" s="14" t="s">
        <v>9158</v>
      </c>
      <c r="O423" s="19" t="s">
        <v>2951</v>
      </c>
      <c r="P423" s="14" t="s">
        <v>13122</v>
      </c>
      <c r="Q423" s="14">
        <v>1</v>
      </c>
    </row>
    <row r="424" spans="1:17">
      <c r="A424" s="14">
        <v>84153</v>
      </c>
      <c r="B424" s="14" t="s">
        <v>0</v>
      </c>
      <c r="C424" s="14" t="s">
        <v>165</v>
      </c>
      <c r="D424" s="20" t="s">
        <v>14065</v>
      </c>
      <c r="E424" s="15" t="str">
        <f>HYPERLINK("https://stat100.ameba.jp/tnk47/ratio20/illustrations/card/ill_84153_tarottotoyotomihideyori03.jpg?202106-i_prefecture_active_user", "■")</f>
        <v>■</v>
      </c>
      <c r="F424" s="14" t="s">
        <v>7155</v>
      </c>
      <c r="G424" s="14">
        <v>160507</v>
      </c>
      <c r="H424" s="14">
        <v>149240</v>
      </c>
      <c r="I424" s="14">
        <v>27</v>
      </c>
      <c r="J424" s="14" t="s">
        <v>143</v>
      </c>
      <c r="K424" s="14" t="s">
        <v>7156</v>
      </c>
      <c r="L424" s="14" t="s">
        <v>145</v>
      </c>
      <c r="M424" s="14" t="s">
        <v>9158</v>
      </c>
      <c r="N424" s="14" t="s">
        <v>9158</v>
      </c>
      <c r="O424" s="19" t="s">
        <v>10090</v>
      </c>
      <c r="P424" s="14" t="s">
        <v>3460</v>
      </c>
      <c r="Q424" s="14">
        <v>1</v>
      </c>
    </row>
    <row r="425" spans="1:17">
      <c r="A425" s="14">
        <v>90353</v>
      </c>
      <c r="B425" s="14" t="s">
        <v>0</v>
      </c>
      <c r="C425" s="14" t="s">
        <v>107</v>
      </c>
      <c r="D425" s="18" t="s">
        <v>13656</v>
      </c>
      <c r="E425" s="15" t="str">
        <f>HYPERLINK("https://stat100.ameba.jp/tnk47/ratio20/illustrations/card/ill_90353_nangokubakansumyorinni03.jpg?202106-i_prefecture_active_user", "■")</f>
        <v>■</v>
      </c>
      <c r="F425" s="14" t="s">
        <v>13658</v>
      </c>
      <c r="G425" s="14">
        <v>160507</v>
      </c>
      <c r="H425" s="14">
        <v>149240</v>
      </c>
      <c r="I425" s="14">
        <v>27</v>
      </c>
      <c r="J425" s="14" t="s">
        <v>143</v>
      </c>
      <c r="K425" s="14" t="s">
        <v>13660</v>
      </c>
      <c r="L425" s="14" t="s">
        <v>13661</v>
      </c>
      <c r="M425" s="14" t="s">
        <v>9158</v>
      </c>
      <c r="N425" s="14" t="s">
        <v>9158</v>
      </c>
      <c r="O425" s="6" t="s">
        <v>3578</v>
      </c>
      <c r="P425" s="7" t="s">
        <v>3579</v>
      </c>
      <c r="Q425" s="7">
        <v>1</v>
      </c>
    </row>
    <row r="427" spans="1:17">
      <c r="A427" s="9" t="s">
        <v>3916</v>
      </c>
    </row>
    <row r="428" spans="1:17">
      <c r="A428" s="14">
        <v>108932</v>
      </c>
      <c r="B428" s="14" t="s">
        <v>17437</v>
      </c>
    </row>
    <row r="429" spans="1:17">
      <c r="A429" s="14">
        <v>84733</v>
      </c>
      <c r="B429" s="14" t="s">
        <v>0</v>
      </c>
      <c r="C429" s="14" t="s">
        <v>154</v>
      </c>
      <c r="D429" s="19" t="s">
        <v>10677</v>
      </c>
      <c r="E429" s="15" t="str">
        <f>HYPERLINK("https://stat100.ameba.jp/tnk47/ratio20/illustrations/card/ill_84733_madadoru03.jpg?202106-i_prefecture_active_user", "■")</f>
        <v>■</v>
      </c>
      <c r="F429" s="14" t="s">
        <v>7293</v>
      </c>
      <c r="G429" s="14">
        <v>125078</v>
      </c>
      <c r="H429" s="14">
        <v>116296</v>
      </c>
      <c r="I429" s="14">
        <v>29</v>
      </c>
      <c r="J429" s="14" t="s">
        <v>182</v>
      </c>
      <c r="K429" s="14" t="s">
        <v>7296</v>
      </c>
      <c r="L429" s="14" t="s">
        <v>7295</v>
      </c>
      <c r="M429" s="14" t="s">
        <v>9158</v>
      </c>
      <c r="N429" s="14" t="s">
        <v>9158</v>
      </c>
      <c r="O429" s="14" t="s">
        <v>9158</v>
      </c>
      <c r="P429" s="14" t="s">
        <v>9158</v>
      </c>
      <c r="Q429" s="14" t="s">
        <v>9158</v>
      </c>
    </row>
    <row r="430" spans="1:17">
      <c r="A430" s="14">
        <v>84743</v>
      </c>
      <c r="B430" s="14" t="s">
        <v>0</v>
      </c>
      <c r="C430" s="14" t="s">
        <v>158</v>
      </c>
      <c r="D430" s="19" t="s">
        <v>10678</v>
      </c>
      <c r="E430" s="15" t="str">
        <f>HYPERLINK("https://stat100.ameba.jp/tnk47/ratio20/illustrations/card/ill_84743_rinnenonyumpe03.jpg?202106-i_prefecture_active_user", "■")</f>
        <v>■</v>
      </c>
      <c r="F430" s="14" t="s">
        <v>7294</v>
      </c>
      <c r="G430" s="14">
        <v>125078</v>
      </c>
      <c r="H430" s="14">
        <v>116296</v>
      </c>
      <c r="I430" s="14">
        <v>29</v>
      </c>
      <c r="J430" s="14" t="s">
        <v>169</v>
      </c>
      <c r="K430" s="14" t="s">
        <v>7297</v>
      </c>
      <c r="L430" s="14" t="s">
        <v>7298</v>
      </c>
      <c r="M430" s="14" t="s">
        <v>9158</v>
      </c>
      <c r="N430" s="14" t="s">
        <v>9158</v>
      </c>
      <c r="O430" s="14" t="s">
        <v>9158</v>
      </c>
      <c r="P430" s="14" t="s">
        <v>9158</v>
      </c>
      <c r="Q430" s="14" t="s">
        <v>9158</v>
      </c>
    </row>
    <row r="431" spans="1:17">
      <c r="A431" s="14">
        <v>69883</v>
      </c>
      <c r="B431" s="14" t="s">
        <v>334</v>
      </c>
      <c r="C431" s="14" t="s">
        <v>185</v>
      </c>
      <c r="D431" s="19" t="s">
        <v>10293</v>
      </c>
      <c r="E431" s="15" t="str">
        <f>HYPERLINK("https://stat100.ameba.jp/tnk47/ratio20/illustrations/card/ill_69883_kyupiddotominushihime03.jpg?202106-i_prefecture_active_user", "■")</f>
        <v>■</v>
      </c>
      <c r="F431" s="14" t="s">
        <v>4142</v>
      </c>
      <c r="G431" s="14">
        <v>109970</v>
      </c>
      <c r="H431" s="14">
        <v>118287</v>
      </c>
      <c r="I431" s="14">
        <v>29</v>
      </c>
      <c r="J431" s="14" t="s">
        <v>169</v>
      </c>
      <c r="K431" s="14" t="s">
        <v>4143</v>
      </c>
      <c r="L431" s="14" t="s">
        <v>13190</v>
      </c>
      <c r="M431" s="14" t="s">
        <v>9158</v>
      </c>
      <c r="N431" s="14" t="s">
        <v>9158</v>
      </c>
      <c r="O431" s="14" t="s">
        <v>9158</v>
      </c>
      <c r="P431" s="14" t="s">
        <v>9158</v>
      </c>
      <c r="Q431" s="14" t="s">
        <v>9158</v>
      </c>
    </row>
    <row r="432" spans="1:17">
      <c r="A432" s="14">
        <v>67243</v>
      </c>
      <c r="B432" s="14" t="s">
        <v>334</v>
      </c>
      <c r="C432" s="14" t="s">
        <v>205</v>
      </c>
      <c r="D432" s="20" t="s">
        <v>10199</v>
      </c>
      <c r="E432" s="15" t="str">
        <f>HYPERLINK("https://stat100.ameba.jp/tnk47/ratio20/illustrations/card/ill_67243_onsenyadomoryo03.jpg?202106-i_prefecture_active_user", "■")</f>
        <v>■</v>
      </c>
      <c r="F432" s="14" t="s">
        <v>3638</v>
      </c>
      <c r="G432" s="14">
        <v>112369</v>
      </c>
      <c r="H432" s="14">
        <v>120830</v>
      </c>
      <c r="I432" s="14">
        <v>29</v>
      </c>
      <c r="J432" s="14" t="s">
        <v>182</v>
      </c>
      <c r="K432" s="14" t="s">
        <v>3639</v>
      </c>
      <c r="L432" s="14" t="s">
        <v>3640</v>
      </c>
      <c r="M432" s="14" t="s">
        <v>9158</v>
      </c>
      <c r="N432" s="14" t="s">
        <v>9158</v>
      </c>
      <c r="O432" s="14" t="s">
        <v>9158</v>
      </c>
      <c r="P432" s="14" t="s">
        <v>9158</v>
      </c>
      <c r="Q432" s="14" t="s">
        <v>9158</v>
      </c>
    </row>
    <row r="433" spans="1:17">
      <c r="A433" s="14">
        <v>52973</v>
      </c>
      <c r="B433" s="14" t="s">
        <v>15</v>
      </c>
      <c r="C433" s="14" t="s">
        <v>206</v>
      </c>
      <c r="D433" s="19" t="s">
        <v>10519</v>
      </c>
      <c r="E433" s="15" t="str">
        <f>HYPERLINK("https://stat100.ameba.jp/tnk47/ratio20/illustrations/card/ill_52973_torampuamoronagu03.jpg?202106-i_prefecture_active_user", "■")</f>
        <v>■</v>
      </c>
      <c r="F433" s="14" t="s">
        <v>6421</v>
      </c>
      <c r="G433" s="14">
        <v>71136</v>
      </c>
      <c r="H433" s="14">
        <v>64520</v>
      </c>
      <c r="I433" s="14">
        <v>24</v>
      </c>
      <c r="J433" s="14" t="s">
        <v>44</v>
      </c>
      <c r="K433" s="14" t="s">
        <v>6419</v>
      </c>
      <c r="L433" s="14" t="s">
        <v>6418</v>
      </c>
      <c r="M433" s="14" t="s">
        <v>9158</v>
      </c>
      <c r="N433" s="14" t="s">
        <v>9158</v>
      </c>
      <c r="O433" s="14" t="s">
        <v>9158</v>
      </c>
      <c r="P433" s="14" t="s">
        <v>9158</v>
      </c>
      <c r="Q433" s="14" t="s">
        <v>9158</v>
      </c>
    </row>
    <row r="434" spans="1:17">
      <c r="A434" s="14">
        <v>52333</v>
      </c>
      <c r="B434" s="14" t="s">
        <v>15</v>
      </c>
      <c r="C434" s="14" t="s">
        <v>200</v>
      </c>
      <c r="D434" s="19" t="s">
        <v>10537</v>
      </c>
      <c r="E434" s="15" t="str">
        <f>HYPERLINK("https://stat100.ameba.jp/tnk47/ratio20/illustrations/card/ill_52333_chichibuyomatsuri03.jpg?202106-i_prefecture_active_user", "■")</f>
        <v>■</v>
      </c>
      <c r="F434" s="14" t="s">
        <v>3614</v>
      </c>
      <c r="G434" s="14">
        <v>71136</v>
      </c>
      <c r="H434" s="14">
        <v>64520</v>
      </c>
      <c r="I434" s="14">
        <v>24</v>
      </c>
      <c r="J434" s="14" t="s">
        <v>38</v>
      </c>
      <c r="K434" s="14" t="s">
        <v>3615</v>
      </c>
      <c r="L434" s="14" t="s">
        <v>3616</v>
      </c>
      <c r="M434" s="14" t="s">
        <v>9158</v>
      </c>
      <c r="N434" s="14" t="s">
        <v>9158</v>
      </c>
      <c r="O434" s="14" t="s">
        <v>9158</v>
      </c>
      <c r="P434" s="14" t="s">
        <v>9158</v>
      </c>
      <c r="Q434" s="14" t="s">
        <v>9158</v>
      </c>
    </row>
    <row r="435" spans="1:17">
      <c r="A435" s="14">
        <v>51913</v>
      </c>
      <c r="B435" s="14" t="s">
        <v>15</v>
      </c>
      <c r="C435" s="14" t="s">
        <v>191</v>
      </c>
      <c r="D435" s="19" t="s">
        <v>10538</v>
      </c>
      <c r="E435" s="15" t="str">
        <f>HYPERLINK("https://stat100.ameba.jp/tnk47/ratio20/illustrations/card/ill_51913_kemonomizugihamahime03.jpg?202106-i_prefecture_active_user", "■")</f>
        <v>■</v>
      </c>
      <c r="F435" s="14" t="s">
        <v>6501</v>
      </c>
      <c r="G435" s="14">
        <v>64520</v>
      </c>
      <c r="H435" s="14">
        <v>71136</v>
      </c>
      <c r="I435" s="14">
        <v>24</v>
      </c>
      <c r="J435" s="14" t="s">
        <v>182</v>
      </c>
      <c r="K435" s="14" t="s">
        <v>6500</v>
      </c>
      <c r="L435" s="14" t="s">
        <v>6499</v>
      </c>
      <c r="M435" s="14" t="s">
        <v>9158</v>
      </c>
      <c r="N435" s="14" t="s">
        <v>9158</v>
      </c>
      <c r="O435" s="14" t="s">
        <v>9158</v>
      </c>
      <c r="P435" s="14" t="s">
        <v>9158</v>
      </c>
      <c r="Q435" s="14" t="s">
        <v>9158</v>
      </c>
    </row>
    <row r="436" spans="1:17">
      <c r="A436" s="14">
        <v>53203</v>
      </c>
      <c r="B436" s="14" t="s">
        <v>15</v>
      </c>
      <c r="C436" s="14" t="s">
        <v>165</v>
      </c>
      <c r="D436" s="20" t="s">
        <v>10494</v>
      </c>
      <c r="E436" s="15" t="str">
        <f>HYPERLINK("https://stat100.ameba.jp/tnk47/ratio20/illustrations/card/ill_53203_buruhawaichan03.jpg?202106-i_prefecture_active_user", "■")</f>
        <v>■</v>
      </c>
      <c r="F436" s="14" t="s">
        <v>6258</v>
      </c>
      <c r="G436" s="14">
        <v>64520</v>
      </c>
      <c r="H436" s="14">
        <v>71136</v>
      </c>
      <c r="I436" s="14">
        <v>24</v>
      </c>
      <c r="J436" s="14" t="s">
        <v>104</v>
      </c>
      <c r="K436" s="14" t="s">
        <v>6261</v>
      </c>
      <c r="L436" s="14" t="s">
        <v>6260</v>
      </c>
      <c r="M436" s="14" t="s">
        <v>9158</v>
      </c>
      <c r="N436" s="14" t="s">
        <v>9158</v>
      </c>
      <c r="O436" s="14" t="s">
        <v>9158</v>
      </c>
      <c r="P436" s="14" t="s">
        <v>9158</v>
      </c>
      <c r="Q436" s="14" t="s">
        <v>9158</v>
      </c>
    </row>
    <row r="438" spans="1:17">
      <c r="A438" s="14" t="s">
        <v>12630</v>
      </c>
    </row>
    <row r="439" spans="1:17">
      <c r="A439" s="14">
        <v>238574</v>
      </c>
      <c r="B439" s="14" t="s">
        <v>18279</v>
      </c>
    </row>
    <row r="440" spans="1:17">
      <c r="A440" s="14">
        <v>238584</v>
      </c>
      <c r="B440" s="14" t="s">
        <v>15725</v>
      </c>
    </row>
    <row r="441" spans="1:17">
      <c r="A441" s="9" t="s">
        <v>12742</v>
      </c>
    </row>
    <row r="442" spans="1:17">
      <c r="A442" s="14" t="s">
        <v>15831</v>
      </c>
      <c r="B442" s="7" t="s">
        <v>52</v>
      </c>
      <c r="C442" s="14" t="s">
        <v>202</v>
      </c>
      <c r="D442" s="18" t="s">
        <v>15825</v>
      </c>
      <c r="E442" s="15" t="str">
        <f>HYPERLINK("https://stat100.ameba.jp/tnk47/ratio20/illustrations/card/ill_94293_0_kurisumasupurezentofukudahideko03.jpg?202106-i_prefecture_active_user", "■")</f>
        <v>■</v>
      </c>
      <c r="F442" s="14" t="s">
        <v>15830</v>
      </c>
      <c r="G442" s="14">
        <v>319106</v>
      </c>
      <c r="H442" s="14">
        <v>288416</v>
      </c>
      <c r="I442" s="7">
        <v>29</v>
      </c>
      <c r="J442" s="14" t="s">
        <v>16</v>
      </c>
      <c r="K442" s="14" t="s">
        <v>15829</v>
      </c>
      <c r="L442" s="14" t="s">
        <v>15828</v>
      </c>
      <c r="M442" s="14" t="s">
        <v>9158</v>
      </c>
      <c r="N442" s="14" t="s">
        <v>9158</v>
      </c>
      <c r="O442" s="6" t="s">
        <v>15827</v>
      </c>
      <c r="P442" s="7" t="s">
        <v>15826</v>
      </c>
      <c r="Q442" s="7">
        <v>1</v>
      </c>
    </row>
    <row r="443" spans="1:17">
      <c r="A443" s="14" t="s">
        <v>5963</v>
      </c>
      <c r="B443" s="14" t="s">
        <v>330</v>
      </c>
      <c r="C443" s="14" t="s">
        <v>35</v>
      </c>
      <c r="D443" s="19" t="s">
        <v>10438</v>
      </c>
      <c r="E443" s="15" t="str">
        <f>HYPERLINK("https://stat100.ameba.jp/tnk47/ratio20/illustrations/card/ill_82963_0_yukatamatsuritomokazuki03.jpg?202106-i_prefecture_active_user", "■")</f>
        <v>■</v>
      </c>
      <c r="F443" s="14" t="s">
        <v>5964</v>
      </c>
      <c r="G443" s="14">
        <v>345449</v>
      </c>
      <c r="H443" s="14">
        <v>382233</v>
      </c>
      <c r="I443" s="7">
        <v>29</v>
      </c>
      <c r="J443" s="14" t="s">
        <v>73</v>
      </c>
      <c r="K443" s="14" t="s">
        <v>5966</v>
      </c>
      <c r="L443" s="14" t="s">
        <v>5967</v>
      </c>
      <c r="M443" s="14" t="s">
        <v>9158</v>
      </c>
      <c r="N443" s="14" t="s">
        <v>9158</v>
      </c>
      <c r="O443" s="19" t="s">
        <v>10115</v>
      </c>
      <c r="P443" s="14" t="s">
        <v>5968</v>
      </c>
      <c r="Q443" s="14">
        <v>1</v>
      </c>
    </row>
    <row r="444" spans="1:17">
      <c r="A444" s="9" t="s">
        <v>5642</v>
      </c>
      <c r="B444" s="14" t="s">
        <v>330</v>
      </c>
      <c r="C444" s="14" t="s">
        <v>185</v>
      </c>
      <c r="D444" s="14" t="s">
        <v>3086</v>
      </c>
      <c r="E444" s="15" t="str">
        <f>HYPERLINK("https://stat100.ameba.jp/tnk47/ratio20/illustrations/card/ill_69593_0_setsubunyukionna03.jpg?202106-i_prefecture_active_user", "■")</f>
        <v>■</v>
      </c>
      <c r="F444" s="14" t="s">
        <v>3087</v>
      </c>
      <c r="G444" s="14">
        <v>207152</v>
      </c>
      <c r="H444" s="14">
        <v>222817</v>
      </c>
      <c r="I444" s="7">
        <v>29</v>
      </c>
      <c r="J444" s="14" t="s">
        <v>320</v>
      </c>
      <c r="K444" s="14" t="s">
        <v>3088</v>
      </c>
      <c r="L444" s="14" t="s">
        <v>3089</v>
      </c>
      <c r="M444" s="14" t="s">
        <v>9158</v>
      </c>
      <c r="N444" s="14" t="s">
        <v>9158</v>
      </c>
      <c r="O444" s="7" t="s">
        <v>3090</v>
      </c>
      <c r="P444" s="14" t="s">
        <v>3091</v>
      </c>
      <c r="Q444" s="14">
        <v>2</v>
      </c>
    </row>
    <row r="445" spans="1:17">
      <c r="A445" s="14">
        <v>95063</v>
      </c>
      <c r="B445" s="14" t="s">
        <v>0</v>
      </c>
      <c r="C445" s="14" t="s">
        <v>14</v>
      </c>
      <c r="D445" s="14" t="s">
        <v>15812</v>
      </c>
      <c r="E445" s="15" t="str">
        <f>HYPERLINK("https://stat100.ameba.jp/tnk47/ratio20/illustrations/card/ill_95063_daikichitokachinoraijin03.jpg?202106-i_prefecture_active_user", "■")</f>
        <v>■</v>
      </c>
      <c r="F445" s="14" t="s">
        <v>15811</v>
      </c>
      <c r="G445" s="14">
        <v>132112</v>
      </c>
      <c r="H445" s="14">
        <v>122834</v>
      </c>
      <c r="I445" s="7">
        <v>29</v>
      </c>
      <c r="J445" s="14" t="s">
        <v>38</v>
      </c>
      <c r="K445" s="14" t="s">
        <v>15810</v>
      </c>
      <c r="L445" s="14" t="s">
        <v>15809</v>
      </c>
      <c r="M445" s="14" t="s">
        <v>9158</v>
      </c>
      <c r="N445" s="14" t="s">
        <v>9158</v>
      </c>
      <c r="O445" s="14" t="s">
        <v>9158</v>
      </c>
      <c r="P445" s="14" t="s">
        <v>9158</v>
      </c>
      <c r="Q445" s="14" t="s">
        <v>9158</v>
      </c>
    </row>
    <row r="446" spans="1:17">
      <c r="A446" s="14">
        <v>93833</v>
      </c>
      <c r="B446" s="14" t="s">
        <v>0</v>
      </c>
      <c r="C446" s="14" t="s">
        <v>23</v>
      </c>
      <c r="D446" s="14" t="s">
        <v>15485</v>
      </c>
      <c r="E446" s="15" t="str">
        <f>HYPERLINK("https://stat100.ameba.jp/tnk47/ratio20/illustrations/card/ill_93833_romioandojurietto03.jpg?202106-i_prefecture_active_user", "■")</f>
        <v>■</v>
      </c>
      <c r="F446" s="14" t="s">
        <v>15483</v>
      </c>
      <c r="G446" s="14">
        <v>132112</v>
      </c>
      <c r="H446" s="14">
        <v>122834</v>
      </c>
      <c r="I446" s="7">
        <v>29</v>
      </c>
      <c r="J446" s="14" t="s">
        <v>38</v>
      </c>
      <c r="K446" s="14" t="s">
        <v>15481</v>
      </c>
      <c r="L446" s="14" t="s">
        <v>68</v>
      </c>
      <c r="M446" s="14" t="s">
        <v>9158</v>
      </c>
      <c r="N446" s="14" t="s">
        <v>9158</v>
      </c>
      <c r="O446" s="14" t="s">
        <v>9158</v>
      </c>
      <c r="P446" s="14" t="s">
        <v>9158</v>
      </c>
      <c r="Q446" s="14" t="s">
        <v>9158</v>
      </c>
    </row>
    <row r="447" spans="1:17">
      <c r="A447" s="14">
        <v>93903</v>
      </c>
      <c r="B447" s="14" t="s">
        <v>0</v>
      </c>
      <c r="C447" s="14" t="s">
        <v>101</v>
      </c>
      <c r="D447" s="14" t="s">
        <v>15635</v>
      </c>
      <c r="E447" s="15" t="str">
        <f>HYPERLINK("https://stat100.ameba.jp/tnk47/ratio20/illustrations/card/ill_93903_kobonoarujiiperu03.jpg?202106-i_prefecture_active_user", "■")</f>
        <v>■</v>
      </c>
      <c r="F447" s="14" t="s">
        <v>15634</v>
      </c>
      <c r="G447" s="14">
        <v>172397</v>
      </c>
      <c r="H447" s="14">
        <v>160296</v>
      </c>
      <c r="I447" s="7">
        <v>29</v>
      </c>
      <c r="J447" s="14" t="s">
        <v>10</v>
      </c>
      <c r="K447" s="14" t="s">
        <v>15632</v>
      </c>
      <c r="L447" s="14" t="s">
        <v>13407</v>
      </c>
      <c r="M447" s="14" t="s">
        <v>9158</v>
      </c>
      <c r="N447" s="14" t="s">
        <v>9158</v>
      </c>
      <c r="O447" s="14" t="s">
        <v>9158</v>
      </c>
      <c r="P447" s="14" t="s">
        <v>9158</v>
      </c>
      <c r="Q447" s="14" t="s">
        <v>9158</v>
      </c>
    </row>
    <row r="448" spans="1:17">
      <c r="A448" s="14">
        <v>94343</v>
      </c>
      <c r="B448" s="14" t="s">
        <v>0</v>
      </c>
      <c r="C448" s="14" t="s">
        <v>96</v>
      </c>
      <c r="D448" s="14" t="s">
        <v>16634</v>
      </c>
      <c r="E448" s="15" t="str">
        <f>HYPERLINK("https://stat100.ameba.jp/tnk47/ratio20/illustrations/card/ill_94343_santabutaikasuganokami03.jpg?202106-i_prefecture_active_user", "■")</f>
        <v>■</v>
      </c>
      <c r="F448" s="14" t="s">
        <v>16633</v>
      </c>
      <c r="G448" s="14">
        <v>109970</v>
      </c>
      <c r="H448" s="14">
        <v>118287</v>
      </c>
      <c r="I448" s="7">
        <v>29</v>
      </c>
      <c r="J448" s="14" t="s">
        <v>44</v>
      </c>
      <c r="K448" s="14" t="s">
        <v>16632</v>
      </c>
      <c r="L448" s="14" t="s">
        <v>16631</v>
      </c>
      <c r="M448" s="14" t="s">
        <v>9158</v>
      </c>
      <c r="N448" s="14" t="s">
        <v>9158</v>
      </c>
      <c r="O448" s="14" t="s">
        <v>9158</v>
      </c>
      <c r="P448" s="14" t="s">
        <v>9158</v>
      </c>
      <c r="Q448" s="14" t="s">
        <v>9158</v>
      </c>
    </row>
    <row r="449" spans="1:18">
      <c r="A449" s="14">
        <v>94473</v>
      </c>
      <c r="B449" s="14" t="s">
        <v>0</v>
      </c>
      <c r="C449" s="14" t="s">
        <v>1</v>
      </c>
      <c r="D449" s="14" t="s">
        <v>16365</v>
      </c>
      <c r="E449" s="15" t="str">
        <f>HYPERLINK("https://stat100.ameba.jp/tnk47/ratio20/illustrations/card/ill_94473_majonodeshierito03.jpg?202106-i_prefecture_active_user", "■")</f>
        <v>■</v>
      </c>
      <c r="F449" s="14" t="s">
        <v>16364</v>
      </c>
      <c r="G449" s="14">
        <v>109381</v>
      </c>
      <c r="H449" s="14">
        <v>117591</v>
      </c>
      <c r="I449" s="7">
        <v>29</v>
      </c>
      <c r="J449" s="14" t="s">
        <v>16</v>
      </c>
      <c r="K449" s="14" t="s">
        <v>16363</v>
      </c>
      <c r="L449" s="14" t="s">
        <v>16362</v>
      </c>
      <c r="M449" s="14" t="s">
        <v>9158</v>
      </c>
      <c r="N449" s="14" t="s">
        <v>9158</v>
      </c>
      <c r="O449" s="14" t="s">
        <v>9158</v>
      </c>
      <c r="P449" s="14" t="s">
        <v>9158</v>
      </c>
      <c r="Q449" s="14" t="s">
        <v>9158</v>
      </c>
    </row>
    <row r="450" spans="1:18">
      <c r="A450" s="14">
        <v>92103</v>
      </c>
      <c r="B450" s="14" t="s">
        <v>0</v>
      </c>
      <c r="C450" s="14" t="s">
        <v>107</v>
      </c>
      <c r="D450" s="14" t="s">
        <v>14936</v>
      </c>
      <c r="E450" s="15" t="str">
        <f>HYPERLINK("https://stat100.ameba.jp/tnk47/ratio20/illustrations/card/ill_92103_kyampujoshimomotofumiagari03.jpg?202106-i_prefecture_active_user", "■")</f>
        <v>■</v>
      </c>
      <c r="F450" s="14" t="s">
        <v>14935</v>
      </c>
      <c r="G450" s="14">
        <v>105281</v>
      </c>
      <c r="H450" s="14">
        <v>113277</v>
      </c>
      <c r="I450" s="7">
        <v>29</v>
      </c>
      <c r="J450" s="14" t="s">
        <v>77</v>
      </c>
      <c r="K450" s="14" t="s">
        <v>14933</v>
      </c>
      <c r="L450" s="14" t="s">
        <v>12139</v>
      </c>
      <c r="M450" s="14" t="s">
        <v>9158</v>
      </c>
      <c r="N450" s="14" t="s">
        <v>9158</v>
      </c>
      <c r="O450" s="14" t="s">
        <v>9158</v>
      </c>
      <c r="P450" s="14" t="s">
        <v>9158</v>
      </c>
      <c r="Q450" s="14" t="s">
        <v>9158</v>
      </c>
    </row>
    <row r="452" spans="1:18">
      <c r="A452" s="14" t="s">
        <v>13327</v>
      </c>
    </row>
    <row r="453" spans="1:18">
      <c r="A453" s="14">
        <v>108950</v>
      </c>
      <c r="B453" s="14" t="s">
        <v>17438</v>
      </c>
    </row>
    <row r="454" spans="1:18">
      <c r="A454" s="14">
        <v>97493</v>
      </c>
      <c r="B454" s="14" t="s">
        <v>0</v>
      </c>
      <c r="C454" s="14" t="s">
        <v>335</v>
      </c>
      <c r="D454" s="14" t="s">
        <v>16764</v>
      </c>
      <c r="E454" s="15" t="str">
        <f>HYPERLINK("https://stat100.ameba.jp/tnk47/ratio20/illustrations/card/ill_97493_saiseinoshinkansopudeto03.jpg?202106-i_prefecture_active_user", "■")</f>
        <v>■</v>
      </c>
      <c r="F454" s="14" t="s">
        <v>16763</v>
      </c>
      <c r="G454" s="14">
        <v>132737</v>
      </c>
      <c r="H454" s="14">
        <v>142768</v>
      </c>
      <c r="I454" s="14">
        <v>29</v>
      </c>
      <c r="J454" s="14" t="s">
        <v>38</v>
      </c>
      <c r="K454" s="14" t="s">
        <v>16762</v>
      </c>
      <c r="L454" s="14" t="s">
        <v>16761</v>
      </c>
      <c r="M454" s="14" t="s">
        <v>2138</v>
      </c>
      <c r="N454" s="14" t="s">
        <v>2139</v>
      </c>
      <c r="O454" s="14" t="s">
        <v>9158</v>
      </c>
      <c r="P454" s="14" t="s">
        <v>9158</v>
      </c>
      <c r="Q454" s="14" t="s">
        <v>9158</v>
      </c>
      <c r="R454" s="14" t="s">
        <v>14748</v>
      </c>
    </row>
    <row r="455" spans="1:18">
      <c r="A455" s="14">
        <v>97492</v>
      </c>
      <c r="B455" s="14" t="s">
        <v>0</v>
      </c>
      <c r="C455" s="14" t="s">
        <v>335</v>
      </c>
      <c r="D455" s="14" t="s">
        <v>16764</v>
      </c>
      <c r="E455" s="15" t="str">
        <f>HYPERLINK("https://stat100.ameba.jp/tnk47/ratio20/illustrations/card/ill_97492_saiseinoshinkansopudeto02.jpg?202106-i_prefecture_active_user", "■")</f>
        <v>■</v>
      </c>
      <c r="F455" s="14" t="s">
        <v>16763</v>
      </c>
      <c r="G455" s="14">
        <v>109938</v>
      </c>
      <c r="H455" s="14">
        <v>119345</v>
      </c>
      <c r="I455" s="14">
        <v>29</v>
      </c>
      <c r="J455" s="14" t="s">
        <v>38</v>
      </c>
      <c r="K455" s="14" t="s">
        <v>16762</v>
      </c>
      <c r="L455" s="14" t="s">
        <v>16765</v>
      </c>
      <c r="M455" s="14" t="s">
        <v>13270</v>
      </c>
      <c r="N455" s="14" t="s">
        <v>13271</v>
      </c>
      <c r="O455" s="14" t="s">
        <v>9158</v>
      </c>
      <c r="P455" s="14" t="s">
        <v>9158</v>
      </c>
      <c r="Q455" s="14" t="s">
        <v>9158</v>
      </c>
      <c r="R455" s="14" t="s">
        <v>14748</v>
      </c>
    </row>
    <row r="456" spans="1:18">
      <c r="A456" s="14">
        <v>97491</v>
      </c>
      <c r="B456" s="14" t="s">
        <v>0</v>
      </c>
      <c r="C456" s="14" t="s">
        <v>335</v>
      </c>
      <c r="D456" s="14" t="s">
        <v>16764</v>
      </c>
      <c r="E456" s="15" t="str">
        <f>HYPERLINK("https://stat100.ameba.jp/tnk47/ratio20/illustrations/card/ill_97491_saiseinoshinkansopudeto01.jpg?202106-i_prefecture_active_user", "■")</f>
        <v>■</v>
      </c>
      <c r="F456" s="14" t="s">
        <v>16763</v>
      </c>
      <c r="G456" s="14">
        <v>84825</v>
      </c>
      <c r="H456" s="14">
        <v>91118</v>
      </c>
      <c r="I456" s="14">
        <v>29</v>
      </c>
      <c r="J456" s="14" t="s">
        <v>38</v>
      </c>
      <c r="K456" s="14" t="s">
        <v>16762</v>
      </c>
      <c r="L456" s="14" t="s">
        <v>16766</v>
      </c>
      <c r="M456" s="14" t="s">
        <v>13270</v>
      </c>
      <c r="N456" s="14" t="s">
        <v>13271</v>
      </c>
      <c r="O456" s="14" t="s">
        <v>9158</v>
      </c>
      <c r="P456" s="14" t="s">
        <v>9158</v>
      </c>
      <c r="Q456" s="14" t="s">
        <v>9158</v>
      </c>
      <c r="R456" s="14" t="s">
        <v>14748</v>
      </c>
    </row>
    <row r="457" spans="1:18">
      <c r="A457" s="14">
        <v>97503</v>
      </c>
      <c r="B457" s="14" t="s">
        <v>0</v>
      </c>
      <c r="C457" s="14" t="s">
        <v>200</v>
      </c>
      <c r="D457" s="14" t="s">
        <v>16770</v>
      </c>
      <c r="E457" s="15" t="str">
        <f>HYPERLINK("https://stat100.ameba.jp/tnk47/ratio20/illustrations/card/ill_97503_kokeinodein03.jpg?202106-i_prefecture_active_user", "■")</f>
        <v>■</v>
      </c>
      <c r="F457" s="14" t="s">
        <v>16769</v>
      </c>
      <c r="G457" s="14">
        <v>142768</v>
      </c>
      <c r="H457" s="14">
        <v>132737</v>
      </c>
      <c r="I457" s="14">
        <v>29</v>
      </c>
      <c r="J457" s="14" t="s">
        <v>143</v>
      </c>
      <c r="K457" s="14" t="s">
        <v>16768</v>
      </c>
      <c r="L457" s="14" t="s">
        <v>16767</v>
      </c>
      <c r="M457" s="14" t="s">
        <v>2138</v>
      </c>
      <c r="N457" s="14" t="s">
        <v>2139</v>
      </c>
      <c r="O457" s="14" t="s">
        <v>9158</v>
      </c>
      <c r="P457" s="14" t="s">
        <v>9158</v>
      </c>
      <c r="Q457" s="14" t="s">
        <v>9158</v>
      </c>
      <c r="R457" s="14" t="s">
        <v>14748</v>
      </c>
    </row>
    <row r="458" spans="1:18">
      <c r="A458" s="14">
        <v>97513</v>
      </c>
      <c r="B458" s="14" t="s">
        <v>0</v>
      </c>
      <c r="C458" s="14" t="s">
        <v>307</v>
      </c>
      <c r="D458" s="14" t="s">
        <v>16774</v>
      </c>
      <c r="E458" s="15" t="str">
        <f>HYPERLINK("https://stat100.ameba.jp/tnk47/ratio20/illustrations/card/ill_97513_yusuteiteia03.jpg?202106-i_prefecture_active_user", "■")</f>
        <v>■</v>
      </c>
      <c r="F458" s="14" t="s">
        <v>16773</v>
      </c>
      <c r="G458" s="14">
        <v>132737</v>
      </c>
      <c r="H458" s="14">
        <v>142768</v>
      </c>
      <c r="I458" s="14">
        <v>29</v>
      </c>
      <c r="J458" s="14" t="s">
        <v>44</v>
      </c>
      <c r="K458" s="14" t="s">
        <v>16772</v>
      </c>
      <c r="L458" s="14" t="s">
        <v>16771</v>
      </c>
      <c r="M458" s="14" t="s">
        <v>2138</v>
      </c>
      <c r="N458" s="14" t="s">
        <v>2139</v>
      </c>
      <c r="O458" s="14" t="s">
        <v>9158</v>
      </c>
      <c r="P458" s="14" t="s">
        <v>9158</v>
      </c>
      <c r="Q458" s="14" t="s">
        <v>9158</v>
      </c>
      <c r="R458" s="14" t="s">
        <v>14748</v>
      </c>
    </row>
    <row r="459" spans="1:18">
      <c r="A459" s="14">
        <v>97523</v>
      </c>
      <c r="B459" s="14" t="s">
        <v>0</v>
      </c>
      <c r="C459" s="14" t="s">
        <v>165</v>
      </c>
      <c r="D459" s="14" t="s">
        <v>16778</v>
      </c>
      <c r="E459" s="15" t="str">
        <f>HYPERLINK("https://stat100.ameba.jp/tnk47/ratio20/illustrations/card/ill_97523_karyua03.jpg?202106-i_prefecture_active_user", "■")</f>
        <v>■</v>
      </c>
      <c r="F459" s="14" t="s">
        <v>16777</v>
      </c>
      <c r="G459" s="14">
        <v>132737</v>
      </c>
      <c r="H459" s="14">
        <v>142768</v>
      </c>
      <c r="I459" s="14">
        <v>29</v>
      </c>
      <c r="J459" s="14" t="s">
        <v>26</v>
      </c>
      <c r="K459" s="14" t="s">
        <v>16776</v>
      </c>
      <c r="L459" s="14" t="s">
        <v>16775</v>
      </c>
      <c r="M459" s="14" t="s">
        <v>2138</v>
      </c>
      <c r="N459" s="14" t="s">
        <v>2139</v>
      </c>
      <c r="O459" s="14" t="s">
        <v>9158</v>
      </c>
      <c r="P459" s="14" t="s">
        <v>9158</v>
      </c>
      <c r="Q459" s="14" t="s">
        <v>9158</v>
      </c>
      <c r="R459" s="14" t="s">
        <v>14748</v>
      </c>
    </row>
    <row r="460" spans="1:18">
      <c r="A460" s="14">
        <v>97533</v>
      </c>
      <c r="B460" s="14" t="s">
        <v>0</v>
      </c>
      <c r="C460" s="9" t="s">
        <v>205</v>
      </c>
      <c r="D460" s="14" t="s">
        <v>16782</v>
      </c>
      <c r="E460" s="15" t="str">
        <f>HYPERLINK("https://stat100.ameba.jp/tnk47/ratio20/illustrations/card/ill_97533_pariakaka03.jpg?202106-i_prefecture_active_user", "■")</f>
        <v>■</v>
      </c>
      <c r="F460" s="14" t="s">
        <v>16781</v>
      </c>
      <c r="G460" s="14">
        <v>132737</v>
      </c>
      <c r="H460" s="14">
        <v>142768</v>
      </c>
      <c r="I460" s="14">
        <v>29</v>
      </c>
      <c r="J460" s="14" t="s">
        <v>10</v>
      </c>
      <c r="K460" s="14" t="s">
        <v>16780</v>
      </c>
      <c r="L460" s="14" t="s">
        <v>16779</v>
      </c>
      <c r="M460" s="14" t="s">
        <v>2138</v>
      </c>
      <c r="N460" s="14" t="s">
        <v>2139</v>
      </c>
      <c r="O460" s="14" t="s">
        <v>9158</v>
      </c>
      <c r="P460" s="14" t="s">
        <v>9158</v>
      </c>
      <c r="Q460" s="14" t="s">
        <v>9158</v>
      </c>
      <c r="R460" s="14" t="s">
        <v>14748</v>
      </c>
    </row>
    <row r="461" spans="1:18">
      <c r="A461" s="14">
        <v>97543</v>
      </c>
      <c r="B461" s="14" t="s">
        <v>0</v>
      </c>
      <c r="C461" s="14" t="s">
        <v>206</v>
      </c>
      <c r="D461" s="14" t="s">
        <v>16786</v>
      </c>
      <c r="E461" s="15" t="str">
        <f>HYPERLINK("https://stat100.ameba.jp/tnk47/ratio20/illustrations/card/ill_97543_kuroimorinohekuse03.jpg?202106-i_prefecture_active_user", "■")</f>
        <v>■</v>
      </c>
      <c r="F461" s="14" t="s">
        <v>16785</v>
      </c>
      <c r="G461" s="14">
        <v>142768</v>
      </c>
      <c r="H461" s="14">
        <v>132737</v>
      </c>
      <c r="I461" s="14">
        <v>29</v>
      </c>
      <c r="J461" s="14" t="s">
        <v>16</v>
      </c>
      <c r="K461" s="14" t="s">
        <v>16784</v>
      </c>
      <c r="L461" s="14" t="s">
        <v>16783</v>
      </c>
      <c r="M461" s="14" t="s">
        <v>2138</v>
      </c>
      <c r="N461" s="14" t="s">
        <v>2139</v>
      </c>
      <c r="O461" s="14" t="s">
        <v>9158</v>
      </c>
      <c r="P461" s="14" t="s">
        <v>9158</v>
      </c>
      <c r="Q461" s="14" t="s">
        <v>9158</v>
      </c>
      <c r="R461" s="14" t="s">
        <v>14748</v>
      </c>
    </row>
    <row r="463" spans="1:18">
      <c r="A463" s="14" t="s">
        <v>18280</v>
      </c>
    </row>
    <row r="464" spans="1:18">
      <c r="A464" s="14">
        <v>238591</v>
      </c>
      <c r="B464" s="14" t="s">
        <v>4771</v>
      </c>
    </row>
    <row r="465" spans="1:19">
      <c r="A465" s="14">
        <v>238597</v>
      </c>
      <c r="B465" s="14" t="s">
        <v>11493</v>
      </c>
    </row>
    <row r="466" spans="1:19">
      <c r="A466" s="14" t="s">
        <v>17383</v>
      </c>
      <c r="B466" s="7" t="s">
        <v>52</v>
      </c>
      <c r="C466" s="14" t="s">
        <v>202</v>
      </c>
      <c r="D466" s="18" t="s">
        <v>17382</v>
      </c>
      <c r="E466" s="15" t="str">
        <f>HYPERLINK("https://stat100.ameba.jp/tnk47/ratio20/illustrations/card/ill_97703_0_shisutatachibanaginchiyo03.jpg?202106-i_prefecture_active_user", "■")</f>
        <v>■</v>
      </c>
      <c r="F466" s="14" t="s">
        <v>17381</v>
      </c>
      <c r="G466" s="14">
        <v>276738</v>
      </c>
      <c r="H466" s="14">
        <v>306220</v>
      </c>
      <c r="I466" s="7">
        <v>29</v>
      </c>
      <c r="J466" s="14" t="s">
        <v>77</v>
      </c>
      <c r="K466" s="14" t="s">
        <v>17380</v>
      </c>
      <c r="L466" s="14" t="s">
        <v>17268</v>
      </c>
      <c r="M466" s="14" t="s">
        <v>9158</v>
      </c>
      <c r="N466" s="14" t="s">
        <v>9158</v>
      </c>
      <c r="O466" s="7" t="s">
        <v>17379</v>
      </c>
      <c r="P466" s="7" t="s">
        <v>17378</v>
      </c>
      <c r="Q466" s="7">
        <v>1</v>
      </c>
    </row>
    <row r="467" spans="1:19">
      <c r="A467" s="14">
        <v>98123</v>
      </c>
      <c r="B467" s="14" t="s">
        <v>0</v>
      </c>
      <c r="C467" s="14" t="s">
        <v>107</v>
      </c>
      <c r="D467" s="14" t="s">
        <v>18283</v>
      </c>
      <c r="E467" s="15" t="str">
        <f>HYPERLINK("https://stat100.ameba.jp/tnk47/ratio20/illustrations/card/ill_98123_mazabokujomyorinni03.jpg?202106-i_prefecture_active_user", "■")</f>
        <v>■</v>
      </c>
      <c r="F467" s="14" t="s">
        <v>18284</v>
      </c>
      <c r="G467" s="14">
        <v>113277</v>
      </c>
      <c r="H467" s="14">
        <v>105281</v>
      </c>
      <c r="I467" s="7">
        <v>29</v>
      </c>
      <c r="J467" s="14" t="s">
        <v>143</v>
      </c>
      <c r="K467" s="14" t="s">
        <v>18282</v>
      </c>
      <c r="L467" s="14" t="s">
        <v>16972</v>
      </c>
      <c r="M467" s="14" t="s">
        <v>9158</v>
      </c>
      <c r="N467" s="14" t="s">
        <v>9158</v>
      </c>
      <c r="O467" s="14" t="s">
        <v>9158</v>
      </c>
      <c r="P467" s="14" t="s">
        <v>9158</v>
      </c>
      <c r="Q467" s="14" t="s">
        <v>9158</v>
      </c>
    </row>
    <row r="468" spans="1:19">
      <c r="A468" s="14">
        <v>98133</v>
      </c>
      <c r="B468" s="14" t="s">
        <v>0</v>
      </c>
      <c r="C468" s="14" t="s">
        <v>96</v>
      </c>
      <c r="D468" s="14" t="s">
        <v>17934</v>
      </c>
      <c r="E468" s="15" t="str">
        <f>HYPERLINK("https://stat100.ameba.jp/tnk47/ratio20/illustrations/card/ill_98133_nadanosake03.jpg?202106-i_prefecture_active_user", "■")</f>
        <v>■</v>
      </c>
      <c r="F468" s="14" t="s">
        <v>18268</v>
      </c>
      <c r="G468" s="14">
        <v>105281</v>
      </c>
      <c r="H468" s="14">
        <v>113277</v>
      </c>
      <c r="I468" s="7">
        <v>29</v>
      </c>
      <c r="J468" s="14" t="s">
        <v>104</v>
      </c>
      <c r="K468" s="14" t="s">
        <v>5094</v>
      </c>
      <c r="L468" s="14" t="s">
        <v>18262</v>
      </c>
      <c r="M468" s="14" t="s">
        <v>9158</v>
      </c>
      <c r="N468" s="14" t="s">
        <v>9158</v>
      </c>
      <c r="O468" s="14" t="s">
        <v>9158</v>
      </c>
      <c r="P468" s="14" t="s">
        <v>9158</v>
      </c>
      <c r="Q468" s="14" t="s">
        <v>9158</v>
      </c>
    </row>
    <row r="469" spans="1:19">
      <c r="A469" s="14">
        <v>98143</v>
      </c>
      <c r="B469" s="14" t="s">
        <v>15</v>
      </c>
      <c r="C469" s="14" t="s">
        <v>101</v>
      </c>
      <c r="D469" s="14" t="s">
        <v>18271</v>
      </c>
      <c r="E469" s="15" t="str">
        <f>HYPERLINK("https://stat100.ameba.jp/tnk47/ratio20/illustrations/card/ill_98143_rengehanichan03.jpg?202106-i_prefecture_active_user", "■")</f>
        <v>■</v>
      </c>
      <c r="F469" s="14" t="s">
        <v>18270</v>
      </c>
      <c r="G469" s="14">
        <v>85956</v>
      </c>
      <c r="H469" s="14">
        <v>77962</v>
      </c>
      <c r="I469" s="7">
        <v>29</v>
      </c>
      <c r="J469" s="14" t="s">
        <v>104</v>
      </c>
      <c r="K469" s="14" t="s">
        <v>18269</v>
      </c>
      <c r="L469" s="14" t="s">
        <v>3607</v>
      </c>
      <c r="M469" s="14" t="s">
        <v>9158</v>
      </c>
      <c r="N469" s="14" t="s">
        <v>9158</v>
      </c>
      <c r="O469" s="14" t="s">
        <v>9158</v>
      </c>
      <c r="P469" s="14" t="s">
        <v>9158</v>
      </c>
      <c r="Q469" s="14" t="s">
        <v>9158</v>
      </c>
    </row>
    <row r="470" spans="1:19">
      <c r="A470" s="14">
        <v>98153</v>
      </c>
      <c r="B470" s="14" t="s">
        <v>22</v>
      </c>
      <c r="C470" s="14" t="s">
        <v>23</v>
      </c>
      <c r="D470" s="14" t="s">
        <v>18274</v>
      </c>
      <c r="E470" s="15" t="str">
        <f>HYPERLINK("https://stat100.ameba.jp/tnk47/ratio20/illustrations/card/ill_98153_izaberabado03.jpg?202106-i_prefecture_active_user", "■")</f>
        <v>■</v>
      </c>
      <c r="F470" s="14" t="s">
        <v>18273</v>
      </c>
      <c r="G470" s="14">
        <v>50134</v>
      </c>
      <c r="H470" s="14">
        <v>60296</v>
      </c>
      <c r="I470" s="7">
        <v>29</v>
      </c>
      <c r="J470" s="14" t="s">
        <v>16</v>
      </c>
      <c r="K470" s="14" t="s">
        <v>18272</v>
      </c>
      <c r="L470" s="14" t="s">
        <v>6675</v>
      </c>
      <c r="M470" s="14" t="s">
        <v>9158</v>
      </c>
      <c r="N470" s="14" t="s">
        <v>9158</v>
      </c>
      <c r="O470" s="14" t="s">
        <v>9158</v>
      </c>
      <c r="P470" s="14" t="s">
        <v>9158</v>
      </c>
      <c r="Q470" s="14" t="s">
        <v>9158</v>
      </c>
    </row>
    <row r="471" spans="1:19">
      <c r="A471" s="14">
        <v>98163</v>
      </c>
      <c r="B471" s="14" t="s">
        <v>22</v>
      </c>
      <c r="C471" s="14" t="s">
        <v>1</v>
      </c>
      <c r="D471" s="14" t="s">
        <v>18277</v>
      </c>
      <c r="E471" s="15" t="str">
        <f>HYPERLINK("https://stat100.ameba.jp/tnk47/ratio20/illustrations/card/ill_98163_hakotaningyo03.jpg?202106-5-RELEASE-marathon-536", "■")</f>
        <v>■</v>
      </c>
      <c r="F471" s="14" t="s">
        <v>18276</v>
      </c>
      <c r="G471" s="14">
        <v>60296</v>
      </c>
      <c r="H471" s="14">
        <v>50134</v>
      </c>
      <c r="I471" s="7">
        <v>29</v>
      </c>
      <c r="J471" s="14" t="s">
        <v>26</v>
      </c>
      <c r="K471" s="14" t="s">
        <v>18275</v>
      </c>
      <c r="L471" s="14" t="s">
        <v>2635</v>
      </c>
      <c r="M471" s="14" t="s">
        <v>9158</v>
      </c>
      <c r="N471" s="14" t="s">
        <v>9158</v>
      </c>
      <c r="O471" s="14" t="s">
        <v>9158</v>
      </c>
      <c r="P471" s="14" t="s">
        <v>9158</v>
      </c>
      <c r="Q471" s="14" t="s">
        <v>9158</v>
      </c>
    </row>
    <row r="473" spans="1:19">
      <c r="A473" s="14" t="s">
        <v>4012</v>
      </c>
    </row>
    <row r="474" spans="1:19">
      <c r="A474" s="14">
        <v>238624</v>
      </c>
      <c r="B474" s="14" t="s">
        <v>18281</v>
      </c>
    </row>
    <row r="475" spans="1:19">
      <c r="A475" s="14" t="s">
        <v>5605</v>
      </c>
      <c r="B475" s="14" t="s">
        <v>52</v>
      </c>
      <c r="C475" s="14" t="s">
        <v>202</v>
      </c>
      <c r="D475" s="19" t="s">
        <v>10332</v>
      </c>
      <c r="E475" s="15" t="str">
        <f>HYPERLINK("https://stat100.ameba.jp/tnk47/ratio20/illustrations/card/ill_79373_0_hommeichokotennyohime03.jpg?202106-i_prefecture_active_user", "■")</f>
        <v>■</v>
      </c>
      <c r="F475" s="14" t="s">
        <v>3495</v>
      </c>
      <c r="G475" s="14">
        <v>321496</v>
      </c>
      <c r="H475" s="14">
        <v>290582</v>
      </c>
      <c r="I475" s="14">
        <v>26</v>
      </c>
      <c r="J475" s="14" t="s">
        <v>104</v>
      </c>
      <c r="K475" s="14" t="s">
        <v>3496</v>
      </c>
      <c r="L475" s="14" t="s">
        <v>3497</v>
      </c>
      <c r="M475" s="14" t="s">
        <v>9158</v>
      </c>
      <c r="N475" s="14" t="s">
        <v>9158</v>
      </c>
      <c r="O475" s="19" t="s">
        <v>10072</v>
      </c>
      <c r="P475" s="14" t="s">
        <v>3498</v>
      </c>
      <c r="Q475" s="14">
        <v>1</v>
      </c>
    </row>
    <row r="476" spans="1:19">
      <c r="A476" s="14" t="s">
        <v>5617</v>
      </c>
      <c r="B476" s="14" t="s">
        <v>330</v>
      </c>
      <c r="C476" s="14" t="s">
        <v>308</v>
      </c>
      <c r="D476" s="19" t="s">
        <v>385</v>
      </c>
      <c r="E476" s="15" t="str">
        <f>HYPERLINK("https://stat100.ameba.jp/tnk47/ratio20/illustrations/card/ill_59673_0_oheyashutendoji03.jpg?202106-i_prefecture_active_user", "■")</f>
        <v>■</v>
      </c>
      <c r="F476" s="14" t="s">
        <v>386</v>
      </c>
      <c r="G476" s="14">
        <v>182946</v>
      </c>
      <c r="H476" s="14">
        <v>196778</v>
      </c>
      <c r="I476" s="14">
        <v>26</v>
      </c>
      <c r="J476" s="14" t="s">
        <v>320</v>
      </c>
      <c r="K476" s="14" t="s">
        <v>387</v>
      </c>
      <c r="L476" s="14" t="s">
        <v>388</v>
      </c>
      <c r="M476" s="14" t="s">
        <v>9158</v>
      </c>
      <c r="N476" s="14" t="s">
        <v>9158</v>
      </c>
      <c r="O476" s="19" t="s">
        <v>10078</v>
      </c>
      <c r="P476" s="14" t="s">
        <v>3022</v>
      </c>
      <c r="Q476" s="14">
        <v>1</v>
      </c>
    </row>
    <row r="477" spans="1:19">
      <c r="A477" s="14" t="s">
        <v>5897</v>
      </c>
      <c r="B477" s="14" t="s">
        <v>52</v>
      </c>
      <c r="C477" s="14" t="s">
        <v>23</v>
      </c>
      <c r="D477" s="19" t="s">
        <v>277</v>
      </c>
      <c r="E477" s="15" t="str">
        <f>HYPERLINK("https://stat100.ameba.jp/tnk47/ratio20/illustrations/card/ill_40913_0_reigyokudensetsufusehime03.jpg?202106-i_prefecture_active_user", "■")</f>
        <v>■</v>
      </c>
      <c r="F477" s="14" t="s">
        <v>955</v>
      </c>
      <c r="G477" s="14">
        <v>142500</v>
      </c>
      <c r="H477" s="14">
        <v>152152</v>
      </c>
      <c r="I477" s="14">
        <v>26</v>
      </c>
      <c r="J477" s="14" t="s">
        <v>38</v>
      </c>
      <c r="K477" s="14" t="s">
        <v>956</v>
      </c>
      <c r="L477" s="14" t="s">
        <v>957</v>
      </c>
      <c r="M477" s="14" t="s">
        <v>9158</v>
      </c>
      <c r="N477" s="14" t="s">
        <v>9158</v>
      </c>
      <c r="O477" s="14" t="s">
        <v>9158</v>
      </c>
      <c r="P477" s="14" t="s">
        <v>9158</v>
      </c>
      <c r="Q477" s="14" t="s">
        <v>9158</v>
      </c>
    </row>
    <row r="478" spans="1:19">
      <c r="A478" s="14">
        <v>94023</v>
      </c>
      <c r="B478" s="14" t="s">
        <v>0</v>
      </c>
      <c r="C478" s="14" t="s">
        <v>47</v>
      </c>
      <c r="D478" s="14" t="s">
        <v>18299</v>
      </c>
      <c r="E478" s="15" t="str">
        <f>HYPERLINK("https://stat100.ameba.jp/tnk47/ratio20/illustrations/card/ill_94023_bojorenubosafuaia03.jpg?202106-i_prefecture_active_user", "■")</f>
        <v>■</v>
      </c>
      <c r="F478" s="14" t="s">
        <v>18298</v>
      </c>
      <c r="G478" s="14">
        <v>160296</v>
      </c>
      <c r="H478" s="14">
        <v>172397</v>
      </c>
      <c r="I478" s="7">
        <v>29</v>
      </c>
      <c r="J478" s="14" t="s">
        <v>16</v>
      </c>
      <c r="K478" s="14" t="s">
        <v>18297</v>
      </c>
      <c r="L478" s="14" t="s">
        <v>17223</v>
      </c>
      <c r="M478" s="14" t="s">
        <v>9158</v>
      </c>
      <c r="N478" s="14" t="s">
        <v>9158</v>
      </c>
      <c r="O478" s="14" t="s">
        <v>9158</v>
      </c>
      <c r="P478" s="14" t="s">
        <v>9158</v>
      </c>
      <c r="Q478" s="14" t="s">
        <v>9158</v>
      </c>
      <c r="S478" s="14" t="s">
        <v>18303</v>
      </c>
    </row>
    <row r="479" spans="1:19">
      <c r="A479" s="14">
        <v>88923</v>
      </c>
      <c r="B479" s="14" t="s">
        <v>0</v>
      </c>
      <c r="C479" s="14" t="s">
        <v>35</v>
      </c>
      <c r="D479" s="14" t="s">
        <v>16350</v>
      </c>
      <c r="E479" s="15" t="str">
        <f>HYPERLINK("https://stat100.ameba.jp/tnk47/ratio20/illustrations/card/ill_88923_uchusensoinugami03.jpg?202106-i_prefecture_active_user", "■")</f>
        <v>■</v>
      </c>
      <c r="F479" s="14" t="s">
        <v>16349</v>
      </c>
      <c r="G479" s="14">
        <v>143328</v>
      </c>
      <c r="H479" s="14">
        <v>133262</v>
      </c>
      <c r="I479" s="7">
        <v>29</v>
      </c>
      <c r="J479" s="14" t="s">
        <v>73</v>
      </c>
      <c r="K479" s="14" t="s">
        <v>16348</v>
      </c>
      <c r="L479" s="14" t="s">
        <v>16347</v>
      </c>
      <c r="M479" s="14" t="s">
        <v>9158</v>
      </c>
      <c r="N479" s="14" t="s">
        <v>9158</v>
      </c>
      <c r="O479" s="14" t="s">
        <v>9158</v>
      </c>
      <c r="P479" s="14" t="s">
        <v>9158</v>
      </c>
      <c r="Q479" s="14" t="s">
        <v>9158</v>
      </c>
      <c r="S479" s="14" t="s">
        <v>18304</v>
      </c>
    </row>
    <row r="480" spans="1:19">
      <c r="A480" s="14">
        <v>95133</v>
      </c>
      <c r="B480" s="14" t="s">
        <v>0</v>
      </c>
      <c r="C480" s="14" t="s">
        <v>41</v>
      </c>
      <c r="D480" s="14" t="s">
        <v>18302</v>
      </c>
      <c r="E480" s="15" t="str">
        <f>HYPERLINK("https://stat100.ameba.jp/tnk47/ratio20/illustrations/card/ill_95133_aishikuruhanta03.jpg?202106-i_prefecture_active_user", "■")</f>
        <v>■</v>
      </c>
      <c r="F480" s="14" t="s">
        <v>18301</v>
      </c>
      <c r="G480" s="14">
        <v>172397</v>
      </c>
      <c r="H480" s="14">
        <v>160296</v>
      </c>
      <c r="I480" s="7">
        <v>29</v>
      </c>
      <c r="J480" s="14" t="s">
        <v>143</v>
      </c>
      <c r="K480" s="14" t="s">
        <v>18300</v>
      </c>
      <c r="L480" s="14" t="s">
        <v>13661</v>
      </c>
      <c r="M480" s="14" t="s">
        <v>9158</v>
      </c>
      <c r="N480" s="14" t="s">
        <v>9158</v>
      </c>
      <c r="O480" s="14" t="s">
        <v>9158</v>
      </c>
      <c r="P480" s="14" t="s">
        <v>9158</v>
      </c>
      <c r="Q480" s="14" t="s">
        <v>9158</v>
      </c>
      <c r="S480" s="14" t="s">
        <v>18305</v>
      </c>
    </row>
    <row r="481" spans="1:19">
      <c r="A481" s="14">
        <v>81593</v>
      </c>
      <c r="B481" s="14" t="s">
        <v>15</v>
      </c>
      <c r="C481" s="14" t="s">
        <v>23</v>
      </c>
      <c r="D481" s="14" t="s">
        <v>18288</v>
      </c>
      <c r="E481" s="15" t="str">
        <f>HYPERLINK("https://stat100.ameba.jp/tnk47/ratio20/illustrations/card/ill_81593_tanteiurashimataro03.jpg?202106-i_prefecture_active_user", "■")</f>
        <v>■</v>
      </c>
      <c r="F481" s="14" t="s">
        <v>18287</v>
      </c>
      <c r="G481" s="14">
        <v>64220</v>
      </c>
      <c r="H481" s="14">
        <v>58240</v>
      </c>
      <c r="I481" s="14">
        <v>26</v>
      </c>
      <c r="J481" s="14" t="s">
        <v>38</v>
      </c>
      <c r="K481" s="14" t="s">
        <v>18285</v>
      </c>
      <c r="L481" s="14" t="s">
        <v>18286</v>
      </c>
      <c r="M481" s="14" t="s">
        <v>9158</v>
      </c>
      <c r="N481" s="14" t="s">
        <v>9158</v>
      </c>
      <c r="O481" s="14" t="s">
        <v>9158</v>
      </c>
      <c r="P481" s="14" t="s">
        <v>9158</v>
      </c>
      <c r="Q481" s="14" t="s">
        <v>9158</v>
      </c>
      <c r="S481" s="14" t="s">
        <v>18295</v>
      </c>
    </row>
    <row r="482" spans="1:19">
      <c r="A482" s="14">
        <v>83133</v>
      </c>
      <c r="B482" s="14" t="s">
        <v>15</v>
      </c>
      <c r="C482" s="14" t="s">
        <v>1</v>
      </c>
      <c r="D482" s="14" t="s">
        <v>18292</v>
      </c>
      <c r="E482" s="15" t="str">
        <f>HYPERLINK("https://stat100.ameba.jp/tnk47/ratio20/illustrations/card/ill_83133_goshikisomenchan03.jpg?202106-i_prefecture_active_user", "■")</f>
        <v>■</v>
      </c>
      <c r="F482" s="14" t="s">
        <v>18291</v>
      </c>
      <c r="G482" s="14">
        <v>58240</v>
      </c>
      <c r="H482" s="14">
        <v>64220</v>
      </c>
      <c r="I482" s="14">
        <v>26</v>
      </c>
      <c r="J482" s="14" t="s">
        <v>104</v>
      </c>
      <c r="K482" s="14" t="s">
        <v>18290</v>
      </c>
      <c r="L482" s="14" t="s">
        <v>18289</v>
      </c>
      <c r="M482" s="14" t="s">
        <v>9158</v>
      </c>
      <c r="N482" s="14" t="s">
        <v>9158</v>
      </c>
      <c r="O482" s="14" t="s">
        <v>9158</v>
      </c>
      <c r="P482" s="14" t="s">
        <v>9158</v>
      </c>
      <c r="Q482" s="14" t="s">
        <v>9158</v>
      </c>
      <c r="S482" s="14" t="s">
        <v>18296</v>
      </c>
    </row>
    <row r="483" spans="1:19">
      <c r="A483" s="14">
        <v>81473</v>
      </c>
      <c r="B483" s="14" t="s">
        <v>15</v>
      </c>
      <c r="C483" s="14" t="s">
        <v>107</v>
      </c>
      <c r="D483" s="14" t="s">
        <v>18294</v>
      </c>
      <c r="E483" s="15" t="str">
        <f>HYPERLINK("https://stat100.ameba.jp/tnk47/ratio20/illustrations/card/ill_81473_shirayukihimechokoretokeki03.jpg?202106-i_prefecture_active_user", "■")</f>
        <v>■</v>
      </c>
      <c r="F483" s="14" t="s">
        <v>18293</v>
      </c>
      <c r="G483" s="14">
        <v>58240</v>
      </c>
      <c r="H483" s="14">
        <v>64220</v>
      </c>
      <c r="I483" s="14">
        <v>26</v>
      </c>
      <c r="J483" s="14" t="s">
        <v>104</v>
      </c>
      <c r="K483" s="14" t="s">
        <v>9678</v>
      </c>
      <c r="L483" s="14" t="s">
        <v>5225</v>
      </c>
      <c r="M483" s="14" t="s">
        <v>9158</v>
      </c>
      <c r="N483" s="14" t="s">
        <v>9158</v>
      </c>
      <c r="O483" s="14" t="s">
        <v>9158</v>
      </c>
      <c r="P483" s="14" t="s">
        <v>9158</v>
      </c>
      <c r="Q483" s="14" t="s">
        <v>9158</v>
      </c>
      <c r="S483" s="14" t="s">
        <v>11894</v>
      </c>
    </row>
    <row r="485" spans="1:19">
      <c r="A485" s="14" t="s">
        <v>4065</v>
      </c>
    </row>
    <row r="486" spans="1:19">
      <c r="A486" s="14">
        <v>108945</v>
      </c>
      <c r="B486" s="14" t="s">
        <v>4786</v>
      </c>
    </row>
    <row r="487" spans="1:19">
      <c r="A487" s="14" t="s">
        <v>12532</v>
      </c>
      <c r="B487" s="7" t="s">
        <v>52</v>
      </c>
      <c r="C487" s="14" t="s">
        <v>202</v>
      </c>
      <c r="D487" s="18" t="s">
        <v>12528</v>
      </c>
      <c r="E487" s="15" t="str">
        <f>HYPERLINK("https://stat100.ameba.jp/tnk47/ratio20/illustrations/card/ill_89073_0_efuwanresuyokohamaserachan03.jpg?202106-5-RELEASE-marathon-536", "■")</f>
        <v>■</v>
      </c>
      <c r="F487" s="14" t="s">
        <v>12529</v>
      </c>
      <c r="G487" s="14">
        <v>307998</v>
      </c>
      <c r="H487" s="14">
        <v>340784</v>
      </c>
      <c r="I487" s="7">
        <v>28</v>
      </c>
      <c r="J487" s="14" t="s">
        <v>229</v>
      </c>
      <c r="K487" s="14" t="s">
        <v>12530</v>
      </c>
      <c r="L487" s="14" t="s">
        <v>12531</v>
      </c>
      <c r="M487" s="14" t="s">
        <v>9158</v>
      </c>
      <c r="N487" s="14" t="s">
        <v>9158</v>
      </c>
      <c r="O487" s="6" t="s">
        <v>12533</v>
      </c>
      <c r="P487" s="7" t="s">
        <v>12534</v>
      </c>
      <c r="Q487" s="7">
        <v>1</v>
      </c>
    </row>
    <row r="488" spans="1:19">
      <c r="A488" s="14">
        <v>59613</v>
      </c>
      <c r="B488" s="14" t="s">
        <v>0</v>
      </c>
      <c r="C488" s="14" t="s">
        <v>185</v>
      </c>
      <c r="D488" s="20" t="s">
        <v>10267</v>
      </c>
      <c r="E488" s="15" t="str">
        <f>HYPERLINK("https://stat100.ameba.jp/tnk47/ratio20/illustrations/card/ill_59613_oheyadaria03.jpg?202106-5-RELEASE-marathon-536", "■")</f>
        <v>■</v>
      </c>
      <c r="F488" s="14" t="s">
        <v>2293</v>
      </c>
      <c r="G488" s="14">
        <v>114768</v>
      </c>
      <c r="H488" s="14">
        <v>106693</v>
      </c>
      <c r="I488" s="14">
        <v>27</v>
      </c>
      <c r="J488" s="14" t="s">
        <v>26</v>
      </c>
      <c r="K488" s="14" t="s">
        <v>2294</v>
      </c>
      <c r="L488" s="14" t="s">
        <v>2295</v>
      </c>
      <c r="M488" s="14" t="s">
        <v>9158</v>
      </c>
      <c r="N488" s="14" t="s">
        <v>9158</v>
      </c>
      <c r="O488" s="19" t="s">
        <v>10111</v>
      </c>
      <c r="P488" s="14" t="s">
        <v>3610</v>
      </c>
      <c r="Q488" s="14">
        <v>1</v>
      </c>
    </row>
    <row r="489" spans="1:19">
      <c r="A489" s="14">
        <v>56443</v>
      </c>
      <c r="B489" s="14" t="s">
        <v>0</v>
      </c>
      <c r="C489" s="14" t="s">
        <v>205</v>
      </c>
      <c r="D489" s="20" t="s">
        <v>10314</v>
      </c>
      <c r="E489" s="15" t="str">
        <f>HYPERLINK("https://stat100.ameba.jp/tnk47/ratio20/illustrations/card/ill_56443_poppukurisumasuizumonokuni03.jpg?202106-5-RELEASE-marathon-536", "■")</f>
        <v>■</v>
      </c>
      <c r="F489" s="14" t="s">
        <v>1151</v>
      </c>
      <c r="G489" s="14">
        <v>96756</v>
      </c>
      <c r="H489" s="14">
        <v>104068</v>
      </c>
      <c r="I489" s="14">
        <v>27</v>
      </c>
      <c r="J489" s="14" t="s">
        <v>10</v>
      </c>
      <c r="K489" s="14" t="s">
        <v>1152</v>
      </c>
      <c r="L489" s="14" t="s">
        <v>1153</v>
      </c>
      <c r="M489" s="14" t="s">
        <v>9864</v>
      </c>
      <c r="N489" s="14" t="s">
        <v>9158</v>
      </c>
      <c r="O489" s="19" t="s">
        <v>10119</v>
      </c>
      <c r="P489" s="14" t="s">
        <v>3662</v>
      </c>
      <c r="Q489" s="14">
        <v>1</v>
      </c>
    </row>
    <row r="490" spans="1:19">
      <c r="A490" s="14">
        <v>75333</v>
      </c>
      <c r="B490" s="14" t="s">
        <v>334</v>
      </c>
      <c r="C490" s="14" t="s">
        <v>200</v>
      </c>
      <c r="D490" s="19" t="s">
        <v>3206</v>
      </c>
      <c r="E490" s="15" t="str">
        <f>HYPERLINK("https://stat100.ameba.jp/tnk47/ratio20/illustrations/card/ill_75333_resukuintamamonomae03.jpg?202106-5-RELEASE-marathon-536", "■")</f>
        <v>■</v>
      </c>
      <c r="F490" s="14" t="s">
        <v>3207</v>
      </c>
      <c r="G490" s="14">
        <v>104619</v>
      </c>
      <c r="H490" s="14">
        <v>112496</v>
      </c>
      <c r="I490" s="14">
        <v>27</v>
      </c>
      <c r="J490" s="14" t="s">
        <v>320</v>
      </c>
      <c r="K490" s="14" t="s">
        <v>3208</v>
      </c>
      <c r="L490" s="14" t="s">
        <v>3209</v>
      </c>
      <c r="M490" s="14" t="s">
        <v>9158</v>
      </c>
      <c r="N490" s="14" t="s">
        <v>9158</v>
      </c>
      <c r="O490" s="19" t="s">
        <v>10074</v>
      </c>
      <c r="P490" s="14" t="s">
        <v>2822</v>
      </c>
      <c r="Q490" s="14">
        <v>1</v>
      </c>
    </row>
    <row r="492" spans="1:19">
      <c r="A492" s="14" t="s">
        <v>3844</v>
      </c>
    </row>
    <row r="493" spans="1:19">
      <c r="A493" s="14">
        <v>108970</v>
      </c>
      <c r="B493" s="14" t="s">
        <v>13033</v>
      </c>
    </row>
    <row r="494" spans="1:19">
      <c r="A494" s="9" t="s">
        <v>9891</v>
      </c>
      <c r="B494" s="7" t="s">
        <v>52</v>
      </c>
      <c r="C494" s="9" t="s">
        <v>202</v>
      </c>
      <c r="D494" s="6" t="s">
        <v>9978</v>
      </c>
      <c r="E494" s="15" t="str">
        <f>HYPERLINK("https://stat100.ameba.jp/tnk47/ratio20/illustrations/card/ill_87643_0_oendanotohime03.jpg?202106-5-RELEASE-marathon-536", "■")</f>
        <v>■</v>
      </c>
      <c r="F494" s="14" t="s">
        <v>9928</v>
      </c>
      <c r="G494" s="9">
        <v>281156</v>
      </c>
      <c r="H494" s="9">
        <v>343608</v>
      </c>
      <c r="I494" s="7">
        <v>27</v>
      </c>
      <c r="J494" s="9" t="s">
        <v>155</v>
      </c>
      <c r="K494" s="14" t="s">
        <v>9932</v>
      </c>
      <c r="L494" s="14" t="s">
        <v>9933</v>
      </c>
      <c r="M494" s="14" t="s">
        <v>9158</v>
      </c>
      <c r="N494" s="14" t="s">
        <v>9158</v>
      </c>
      <c r="O494" s="6" t="s">
        <v>9989</v>
      </c>
      <c r="P494" s="7" t="s">
        <v>9944</v>
      </c>
      <c r="Q494" s="7">
        <v>1</v>
      </c>
    </row>
    <row r="495" spans="1:19">
      <c r="A495" s="9">
        <v>73723</v>
      </c>
      <c r="B495" s="14" t="s">
        <v>334</v>
      </c>
      <c r="C495" s="14" t="s">
        <v>191</v>
      </c>
      <c r="D495" s="14" t="s">
        <v>3456</v>
      </c>
      <c r="E495" s="15" t="str">
        <f>HYPERLINK("https://stat100.ameba.jp/tnk47/ratio20/illustrations/card/ill_73723_umibirakitomoegozen03.jpg?202106-5-RELEASE-marathon-536", "■")</f>
        <v>■</v>
      </c>
      <c r="F495" s="14" t="s">
        <v>3457</v>
      </c>
      <c r="G495" s="14">
        <v>172397</v>
      </c>
      <c r="H495" s="14">
        <v>160296</v>
      </c>
      <c r="I495" s="14">
        <v>29</v>
      </c>
      <c r="J495" s="14" t="s">
        <v>143</v>
      </c>
      <c r="K495" s="14" t="s">
        <v>3458</v>
      </c>
      <c r="L495" s="14" t="s">
        <v>3459</v>
      </c>
      <c r="M495" s="14" t="s">
        <v>9158</v>
      </c>
      <c r="N495" s="14" t="s">
        <v>9158</v>
      </c>
      <c r="O495" s="18" t="s">
        <v>10057</v>
      </c>
      <c r="P495" s="14" t="s">
        <v>3460</v>
      </c>
      <c r="Q495" s="14">
        <v>1</v>
      </c>
    </row>
    <row r="496" spans="1:19">
      <c r="A496" s="14">
        <v>81743</v>
      </c>
      <c r="B496" s="14" t="s">
        <v>334</v>
      </c>
      <c r="C496" s="14" t="s">
        <v>107</v>
      </c>
      <c r="D496" s="19" t="s">
        <v>10171</v>
      </c>
      <c r="E496" s="15" t="str">
        <f>HYPERLINK("https://stat100.ameba.jp/tnk47/ratio20/illustrations/card/ill_81743_denshagarusakyogabashinohebi03.jpg?202106-5-RELEASE-marathon-536", "■")</f>
        <v>■</v>
      </c>
      <c r="F496" s="14" t="s">
        <v>4853</v>
      </c>
      <c r="G496" s="14">
        <v>132346</v>
      </c>
      <c r="H496" s="14">
        <v>122834</v>
      </c>
      <c r="I496" s="14">
        <v>29</v>
      </c>
      <c r="J496" s="14" t="s">
        <v>38</v>
      </c>
      <c r="K496" s="14" t="s">
        <v>4855</v>
      </c>
      <c r="L496" s="14" t="s">
        <v>4856</v>
      </c>
      <c r="M496" s="14" t="s">
        <v>9158</v>
      </c>
      <c r="N496" s="14" t="s">
        <v>9158</v>
      </c>
      <c r="O496" s="19" t="s">
        <v>10091</v>
      </c>
      <c r="P496" s="14" t="s">
        <v>3670</v>
      </c>
      <c r="Q496" s="14">
        <v>1</v>
      </c>
    </row>
    <row r="497" spans="1:17">
      <c r="A497" s="14">
        <v>89013</v>
      </c>
      <c r="B497" s="14" t="s">
        <v>0</v>
      </c>
      <c r="C497" s="14" t="s">
        <v>23</v>
      </c>
      <c r="D497" s="18" t="s">
        <v>12538</v>
      </c>
      <c r="E497" s="15" t="str">
        <f>HYPERLINK("https://stat100.ameba.jp/tnk47/ratio20/illustrations/card/ill_89013_efuwanresutokugawaieyasu03.jpg?202106-5-RELEASE-marathon-536", "■")</f>
        <v>■</v>
      </c>
      <c r="F497" s="14" t="s">
        <v>12539</v>
      </c>
      <c r="G497" s="14">
        <v>160296</v>
      </c>
      <c r="H497" s="14">
        <v>172397</v>
      </c>
      <c r="I497" s="14">
        <v>29</v>
      </c>
      <c r="J497" s="14" t="s">
        <v>143</v>
      </c>
      <c r="K497" s="14" t="s">
        <v>12540</v>
      </c>
      <c r="L497" s="14" t="s">
        <v>12026</v>
      </c>
      <c r="M497" s="14" t="s">
        <v>9158</v>
      </c>
      <c r="N497" s="14" t="s">
        <v>9158</v>
      </c>
      <c r="O497" s="6" t="s">
        <v>3624</v>
      </c>
      <c r="P497" s="7" t="s">
        <v>3625</v>
      </c>
      <c r="Q497" s="7">
        <v>1</v>
      </c>
    </row>
    <row r="499" spans="1:17">
      <c r="A499" s="14" t="s">
        <v>9283</v>
      </c>
    </row>
    <row r="500" spans="1:17">
      <c r="A500" s="14">
        <v>108973</v>
      </c>
      <c r="B500" s="14" t="s">
        <v>4798</v>
      </c>
    </row>
    <row r="501" spans="1:17">
      <c r="A501" s="14" t="s">
        <v>7789</v>
      </c>
      <c r="B501" s="14" t="s">
        <v>52</v>
      </c>
      <c r="C501" s="14" t="s">
        <v>202</v>
      </c>
      <c r="D501" s="19" t="s">
        <v>10741</v>
      </c>
      <c r="E501" s="15" t="str">
        <f>HYPERLINK("https://stat100.ameba.jp/tnk47/ratio20/illustrations/card/ill_84923_0_onsengainansosatomihakkenden03.jpg?202106-5-RELEASE-marathon-536", "■")</f>
        <v>■</v>
      </c>
      <c r="F501" s="14" t="s">
        <v>7792</v>
      </c>
      <c r="G501" s="14">
        <v>277258</v>
      </c>
      <c r="H501" s="14">
        <v>306766</v>
      </c>
      <c r="I501" s="14">
        <v>24</v>
      </c>
      <c r="J501" s="14" t="s">
        <v>155</v>
      </c>
      <c r="K501" s="14" t="s">
        <v>7791</v>
      </c>
      <c r="L501" s="14" t="s">
        <v>7790</v>
      </c>
      <c r="M501" s="14" t="s">
        <v>9158</v>
      </c>
      <c r="N501" s="14" t="s">
        <v>9158</v>
      </c>
      <c r="O501" s="19" t="s">
        <v>10131</v>
      </c>
      <c r="P501" s="14" t="s">
        <v>7793</v>
      </c>
      <c r="Q501" s="14">
        <v>0</v>
      </c>
    </row>
    <row r="502" spans="1:17">
      <c r="A502" s="14" t="s">
        <v>5899</v>
      </c>
      <c r="B502" s="14" t="s">
        <v>330</v>
      </c>
      <c r="C502" s="14" t="s">
        <v>205</v>
      </c>
      <c r="D502" s="20" t="s">
        <v>1559</v>
      </c>
      <c r="E502" s="15" t="str">
        <f>HYPERLINK("https://stat100.ameba.jp/tnk47/ratio20/illustrations/card/ill_73773_0_umibirakiinugamigyobu03.jpg?202106-5-RELEASE-marathon-536", "■")</f>
        <v>■</v>
      </c>
      <c r="F502" s="14" t="s">
        <v>935</v>
      </c>
      <c r="G502" s="14">
        <v>208256</v>
      </c>
      <c r="H502" s="14">
        <v>224000</v>
      </c>
      <c r="I502" s="14">
        <v>24</v>
      </c>
      <c r="J502" s="14" t="s">
        <v>182</v>
      </c>
      <c r="K502" s="14" t="s">
        <v>936</v>
      </c>
      <c r="L502" s="14" t="s">
        <v>13147</v>
      </c>
      <c r="M502" s="14" t="s">
        <v>9158</v>
      </c>
      <c r="N502" s="14" t="s">
        <v>9158</v>
      </c>
      <c r="O502" s="19" t="s">
        <v>2978</v>
      </c>
      <c r="P502" s="14" t="s">
        <v>2979</v>
      </c>
      <c r="Q502" s="14">
        <v>2</v>
      </c>
    </row>
    <row r="503" spans="1:17">
      <c r="A503" s="14" t="s">
        <v>5604</v>
      </c>
      <c r="B503" s="14" t="s">
        <v>330</v>
      </c>
      <c r="C503" s="14" t="s">
        <v>206</v>
      </c>
      <c r="D503" s="19" t="s">
        <v>614</v>
      </c>
      <c r="E503" s="15" t="str">
        <f>HYPERLINK("https://stat100.ameba.jp/tnk47/ratio20/illustrations/card/ill_47263_0_oukyuuatsuhime03.jpg?202106-5-RELEASE-marathon-536", "■")</f>
        <v>■</v>
      </c>
      <c r="F503" s="14" t="s">
        <v>615</v>
      </c>
      <c r="G503" s="14">
        <v>150776</v>
      </c>
      <c r="H503" s="14">
        <v>133938</v>
      </c>
      <c r="I503" s="14">
        <v>24</v>
      </c>
      <c r="J503" s="14" t="s">
        <v>315</v>
      </c>
      <c r="K503" s="14" t="s">
        <v>616</v>
      </c>
      <c r="L503" s="14" t="s">
        <v>617</v>
      </c>
      <c r="M503" s="14" t="s">
        <v>9158</v>
      </c>
      <c r="N503" s="14" t="s">
        <v>9158</v>
      </c>
      <c r="O503" s="14" t="s">
        <v>9158</v>
      </c>
      <c r="P503" s="14" t="s">
        <v>9158</v>
      </c>
      <c r="Q503" s="14" t="s">
        <v>9158</v>
      </c>
    </row>
    <row r="504" spans="1:17">
      <c r="A504" s="14">
        <v>98123</v>
      </c>
      <c r="B504" s="14" t="s">
        <v>0</v>
      </c>
      <c r="C504" s="14" t="s">
        <v>107</v>
      </c>
      <c r="D504" s="14" t="s">
        <v>18283</v>
      </c>
      <c r="E504" s="15" t="str">
        <f>HYPERLINK("https://stat100.ameba.jp/tnk47/ratio20/illustrations/card/ill_98123_mazabokujomyorinni03.jpg?202106-5-RELEASE-marathon-536", "■")</f>
        <v>■</v>
      </c>
      <c r="F504" s="14" t="s">
        <v>18284</v>
      </c>
      <c r="G504" s="14">
        <v>105465</v>
      </c>
      <c r="H504" s="14">
        <v>98019</v>
      </c>
      <c r="I504" s="14">
        <v>27</v>
      </c>
      <c r="J504" s="14" t="s">
        <v>143</v>
      </c>
      <c r="K504" s="14" t="s">
        <v>18282</v>
      </c>
      <c r="L504" s="14" t="s">
        <v>16972</v>
      </c>
      <c r="M504" s="14" t="s">
        <v>9158</v>
      </c>
      <c r="N504" s="14" t="s">
        <v>9158</v>
      </c>
      <c r="O504" s="14" t="s">
        <v>9158</v>
      </c>
      <c r="P504" s="14" t="s">
        <v>9158</v>
      </c>
      <c r="Q504" s="14" t="s">
        <v>9158</v>
      </c>
    </row>
    <row r="505" spans="1:17">
      <c r="A505" s="14">
        <v>98143</v>
      </c>
      <c r="B505" s="14" t="s">
        <v>15</v>
      </c>
      <c r="C505" s="14" t="s">
        <v>101</v>
      </c>
      <c r="D505" s="14" t="s">
        <v>18271</v>
      </c>
      <c r="E505" s="15" t="str">
        <f>HYPERLINK("https://stat100.ameba.jp/tnk47/ratio20/illustrations/card/ill_98143_rengehanichan03.jpg?202106-5-RELEASE-marathon-536", "■")</f>
        <v>■</v>
      </c>
      <c r="F505" s="14" t="s">
        <v>18270</v>
      </c>
      <c r="G505" s="14">
        <v>80028</v>
      </c>
      <c r="H505" s="14">
        <v>72586</v>
      </c>
      <c r="I505" s="14">
        <v>27</v>
      </c>
      <c r="J505" s="14" t="s">
        <v>104</v>
      </c>
      <c r="K505" s="14" t="s">
        <v>18269</v>
      </c>
      <c r="L505" s="14" t="s">
        <v>3607</v>
      </c>
      <c r="M505" s="14" t="s">
        <v>9158</v>
      </c>
      <c r="N505" s="14" t="s">
        <v>9158</v>
      </c>
      <c r="O505" s="14" t="s">
        <v>9158</v>
      </c>
      <c r="P505" s="14" t="s">
        <v>9158</v>
      </c>
      <c r="Q505" s="14" t="s">
        <v>9158</v>
      </c>
    </row>
    <row r="506" spans="1:17">
      <c r="A506" s="14">
        <v>98153</v>
      </c>
      <c r="B506" s="14" t="s">
        <v>22</v>
      </c>
      <c r="C506" s="14" t="s">
        <v>23</v>
      </c>
      <c r="D506" s="14" t="s">
        <v>18274</v>
      </c>
      <c r="E506" s="15" t="str">
        <f>HYPERLINK("https://stat100.ameba.jp/tnk47/ratio20/illustrations/card/ill_98153_izaberabado03.jpg?202106-5-RELEASE-marathon-536", "■")</f>
        <v>■</v>
      </c>
      <c r="F506" s="14" t="s">
        <v>18273</v>
      </c>
      <c r="G506" s="14">
        <v>46676</v>
      </c>
      <c r="H506" s="14">
        <v>56138</v>
      </c>
      <c r="I506" s="14">
        <v>27</v>
      </c>
      <c r="J506" s="14" t="s">
        <v>16</v>
      </c>
      <c r="K506" s="14" t="s">
        <v>18272</v>
      </c>
      <c r="L506" s="14" t="s">
        <v>6675</v>
      </c>
      <c r="M506" s="14" t="s">
        <v>9158</v>
      </c>
      <c r="N506" s="14" t="s">
        <v>9158</v>
      </c>
      <c r="O506" s="14" t="s">
        <v>9158</v>
      </c>
      <c r="P506" s="14" t="s">
        <v>9158</v>
      </c>
      <c r="Q506" s="14" t="s">
        <v>9158</v>
      </c>
    </row>
    <row r="507" spans="1:17">
      <c r="A507" s="14">
        <v>98163</v>
      </c>
      <c r="B507" s="14" t="s">
        <v>22</v>
      </c>
      <c r="C507" s="14" t="s">
        <v>1</v>
      </c>
      <c r="D507" s="14" t="s">
        <v>18277</v>
      </c>
      <c r="E507" s="15" t="str">
        <f>HYPERLINK("https://stat100.ameba.jp/tnk47/ratio20/illustrations/card/ill_98163_hakotaningyo03.jpg?202106-5-RELEASE-marathon-536", "■")</f>
        <v>■</v>
      </c>
      <c r="F507" s="14" t="s">
        <v>18276</v>
      </c>
      <c r="G507" s="14">
        <v>56138</v>
      </c>
      <c r="H507" s="14">
        <v>46676</v>
      </c>
      <c r="I507" s="14">
        <v>27</v>
      </c>
      <c r="J507" s="14" t="s">
        <v>26</v>
      </c>
      <c r="K507" s="14" t="s">
        <v>18275</v>
      </c>
      <c r="L507" s="14" t="s">
        <v>2635</v>
      </c>
      <c r="M507" s="14" t="s">
        <v>9158</v>
      </c>
      <c r="N507" s="14" t="s">
        <v>9158</v>
      </c>
      <c r="O507" s="14" t="s">
        <v>9158</v>
      </c>
      <c r="P507" s="14" t="s">
        <v>9158</v>
      </c>
      <c r="Q507" s="14" t="s">
        <v>9158</v>
      </c>
    </row>
    <row r="509" spans="1:17">
      <c r="A509" s="14" t="s">
        <v>3905</v>
      </c>
      <c r="I509" s="7"/>
    </row>
    <row r="510" spans="1:17">
      <c r="A510" s="14">
        <v>238644</v>
      </c>
      <c r="B510" s="14" t="s">
        <v>18306</v>
      </c>
    </row>
    <row r="511" spans="1:17">
      <c r="A511" s="14" t="s">
        <v>5719</v>
      </c>
      <c r="B511" s="14" t="s">
        <v>52</v>
      </c>
      <c r="C511" s="14" t="s">
        <v>165</v>
      </c>
      <c r="D511" s="19" t="s">
        <v>10379</v>
      </c>
      <c r="E511" s="15" t="str">
        <f>HYPERLINK("https://stat100.ameba.jp/tnk47/ratio20/illustrations/card/ill_54523_0_yonshunennionohime03.jpg?202106-5-RELEASE-marathon-536", "■")</f>
        <v>■</v>
      </c>
      <c r="F511" s="14" t="s">
        <v>1773</v>
      </c>
      <c r="G511" s="14">
        <v>122776</v>
      </c>
      <c r="H511" s="14">
        <v>138212</v>
      </c>
      <c r="I511" s="14">
        <v>22</v>
      </c>
      <c r="J511" s="14" t="s">
        <v>38</v>
      </c>
      <c r="K511" s="14" t="s">
        <v>1774</v>
      </c>
      <c r="L511" s="14" t="s">
        <v>1775</v>
      </c>
      <c r="M511" s="14" t="s">
        <v>9158</v>
      </c>
      <c r="N511" s="14" t="s">
        <v>9158</v>
      </c>
      <c r="O511" s="19" t="s">
        <v>10094</v>
      </c>
      <c r="P511" s="14" t="s">
        <v>13168</v>
      </c>
      <c r="Q511" s="14">
        <v>1</v>
      </c>
    </row>
    <row r="512" spans="1:17">
      <c r="A512" s="9" t="s">
        <v>5606</v>
      </c>
      <c r="B512" s="14" t="s">
        <v>52</v>
      </c>
      <c r="C512" s="14" t="s">
        <v>206</v>
      </c>
      <c r="D512" s="14" t="s">
        <v>1011</v>
      </c>
      <c r="E512" s="15" t="str">
        <f>HYPERLINK("https://stat100.ameba.jp/tnk47/ratio20/illustrations/card/ill_72233_0_koinoboriryugujin03.jpg?202106-5-RELEASE-marathon-536", "■")</f>
        <v>■</v>
      </c>
      <c r="F512" s="14" t="s">
        <v>1012</v>
      </c>
      <c r="G512" s="14">
        <v>144312</v>
      </c>
      <c r="H512" s="14">
        <v>155224</v>
      </c>
      <c r="I512" s="14">
        <v>22</v>
      </c>
      <c r="J512" s="14" t="s">
        <v>44</v>
      </c>
      <c r="K512" s="14" t="s">
        <v>1013</v>
      </c>
      <c r="L512" s="14" t="s">
        <v>1014</v>
      </c>
      <c r="M512" s="14" t="s">
        <v>9158</v>
      </c>
      <c r="N512" s="14" t="s">
        <v>9158</v>
      </c>
      <c r="O512" s="9" t="s">
        <v>3419</v>
      </c>
      <c r="P512" s="14" t="s">
        <v>3420</v>
      </c>
      <c r="Q512" s="14">
        <v>2</v>
      </c>
    </row>
    <row r="513" spans="1:17">
      <c r="A513" s="14" t="s">
        <v>5897</v>
      </c>
      <c r="B513" s="14" t="s">
        <v>52</v>
      </c>
      <c r="C513" s="14" t="s">
        <v>23</v>
      </c>
      <c r="D513" s="19" t="s">
        <v>277</v>
      </c>
      <c r="E513" s="15" t="str">
        <f>HYPERLINK("https://stat100.ameba.jp/tnk47/ratio20/illustrations/card/ill_40913_0_reigyokudensetsufusehime03.jpg?202106-5-RELEASE-marathon-536", "■")</f>
        <v>■</v>
      </c>
      <c r="F513" s="14" t="s">
        <v>955</v>
      </c>
      <c r="G513" s="14">
        <v>120576</v>
      </c>
      <c r="H513" s="14">
        <v>128744</v>
      </c>
      <c r="I513" s="14">
        <v>22</v>
      </c>
      <c r="J513" s="14" t="s">
        <v>38</v>
      </c>
      <c r="K513" s="14" t="s">
        <v>956</v>
      </c>
      <c r="L513" s="14" t="s">
        <v>957</v>
      </c>
      <c r="M513" s="14" t="s">
        <v>9158</v>
      </c>
      <c r="N513" s="14" t="s">
        <v>9158</v>
      </c>
      <c r="O513" s="14" t="s">
        <v>9158</v>
      </c>
      <c r="P513" s="14" t="s">
        <v>9158</v>
      </c>
      <c r="Q513" s="14" t="s">
        <v>9158</v>
      </c>
    </row>
    <row r="514" spans="1:17">
      <c r="A514" s="14">
        <v>94623</v>
      </c>
      <c r="B514" s="14" t="s">
        <v>0</v>
      </c>
      <c r="C514" s="14" t="s">
        <v>14</v>
      </c>
      <c r="D514" s="14" t="s">
        <v>16463</v>
      </c>
      <c r="E514" s="15" t="str">
        <f>HYPERLINK("https://stat100.ameba.jp/tnk47/ratio20/illustrations/card/ill_94623_tenshitoakumadaitenshiarumatei03.jpg?202106-5-RELEASE-marathon-536", "■")</f>
        <v>■</v>
      </c>
      <c r="F514" s="14" t="s">
        <v>16462</v>
      </c>
      <c r="G514" s="14">
        <v>119785</v>
      </c>
      <c r="H514" s="14">
        <v>212908</v>
      </c>
      <c r="I514" s="14">
        <v>29</v>
      </c>
      <c r="J514" s="14" t="s">
        <v>143</v>
      </c>
      <c r="K514" s="14" t="s">
        <v>16461</v>
      </c>
      <c r="L514" s="14" t="s">
        <v>12361</v>
      </c>
      <c r="M514" s="14" t="s">
        <v>9158</v>
      </c>
      <c r="N514" s="14" t="s">
        <v>9158</v>
      </c>
      <c r="O514" s="14" t="s">
        <v>9158</v>
      </c>
      <c r="P514" s="14" t="s">
        <v>9158</v>
      </c>
      <c r="Q514" s="14" t="s">
        <v>9158</v>
      </c>
    </row>
    <row r="515" spans="1:17">
      <c r="A515" s="14">
        <v>94013</v>
      </c>
      <c r="B515" s="14" t="s">
        <v>0</v>
      </c>
      <c r="C515" s="14" t="s">
        <v>96</v>
      </c>
      <c r="D515" s="14" t="s">
        <v>16501</v>
      </c>
      <c r="E515" s="15" t="str">
        <f>HYPERLINK("https://stat100.ameba.jp/tnk47/ratio20/illustrations/card/ill_94013_fuantazumu03.jpg?202106-5-RELEASE-marathon-536", "■")</f>
        <v>■</v>
      </c>
      <c r="F515" s="14" t="s">
        <v>16500</v>
      </c>
      <c r="G515" s="14">
        <v>78696</v>
      </c>
      <c r="H515" s="14">
        <v>139860</v>
      </c>
      <c r="I515" s="14">
        <v>29</v>
      </c>
      <c r="J515" s="14" t="s">
        <v>77</v>
      </c>
      <c r="K515" s="14" t="s">
        <v>16499</v>
      </c>
      <c r="L515" s="14" t="s">
        <v>12139</v>
      </c>
      <c r="M515" s="14" t="s">
        <v>9158</v>
      </c>
      <c r="N515" s="14" t="s">
        <v>9158</v>
      </c>
      <c r="O515" s="14" t="s">
        <v>9158</v>
      </c>
      <c r="P515" s="14" t="s">
        <v>9158</v>
      </c>
      <c r="Q515" s="14" t="s">
        <v>9158</v>
      </c>
    </row>
    <row r="516" spans="1:17">
      <c r="A516" s="14">
        <v>92743</v>
      </c>
      <c r="B516" s="7" t="s">
        <v>0</v>
      </c>
      <c r="C516" s="14" t="s">
        <v>107</v>
      </c>
      <c r="D516" s="14" t="s">
        <v>15403</v>
      </c>
      <c r="E516" s="15" t="str">
        <f>HYPERLINK("https://stat100.ameba.jp/tnk47/ratio20/illustrations/card/ill_92743_hozukinokagachi03.jpg?202106-5-RELEASE-marathon-536", "■")</f>
        <v>■</v>
      </c>
      <c r="F516" s="14" t="s">
        <v>15402</v>
      </c>
      <c r="G516" s="14">
        <v>82180</v>
      </c>
      <c r="H516" s="14">
        <v>146079</v>
      </c>
      <c r="I516" s="14">
        <v>29</v>
      </c>
      <c r="J516" s="14" t="s">
        <v>73</v>
      </c>
      <c r="K516" s="14" t="s">
        <v>15400</v>
      </c>
      <c r="L516" s="14" t="s">
        <v>15405</v>
      </c>
      <c r="M516" s="14" t="s">
        <v>9158</v>
      </c>
      <c r="N516" s="14" t="s">
        <v>9158</v>
      </c>
      <c r="O516" s="14" t="s">
        <v>9158</v>
      </c>
      <c r="P516" s="14" t="s">
        <v>9158</v>
      </c>
      <c r="Q516" s="14" t="s">
        <v>9158</v>
      </c>
    </row>
    <row r="518" spans="1:17">
      <c r="A518" s="14" t="s">
        <v>3911</v>
      </c>
    </row>
    <row r="519" spans="1:17">
      <c r="A519" s="14">
        <v>108996</v>
      </c>
      <c r="B519" s="14" t="s">
        <v>18278</v>
      </c>
    </row>
    <row r="520" spans="1:17">
      <c r="A520" s="14">
        <v>109006</v>
      </c>
      <c r="B520" s="14" t="s">
        <v>15721</v>
      </c>
    </row>
    <row r="521" spans="1:17">
      <c r="A521" s="9" t="s">
        <v>9325</v>
      </c>
      <c r="B521" s="7" t="s">
        <v>52</v>
      </c>
      <c r="C521" s="9" t="s">
        <v>202</v>
      </c>
      <c r="D521" s="19" t="s">
        <v>10947</v>
      </c>
      <c r="E521" s="15" t="str">
        <f>HYPERLINK("https://stat100.ameba.jp/tnk47/ratio20/illustrations/card/ill_86893_0_chokonohisukeban03.jpg?202106-5-RELEASE-marathon-536", "■")</f>
        <v>■</v>
      </c>
      <c r="F521" s="14" t="s">
        <v>9332</v>
      </c>
      <c r="G521" s="9">
        <v>377781</v>
      </c>
      <c r="H521" s="9">
        <v>341419</v>
      </c>
      <c r="I521" s="7">
        <v>29</v>
      </c>
      <c r="J521" s="9" t="s">
        <v>187</v>
      </c>
      <c r="K521" s="14" t="s">
        <v>9330</v>
      </c>
      <c r="L521" s="14" t="s">
        <v>9331</v>
      </c>
      <c r="M521" s="14" t="s">
        <v>9158</v>
      </c>
      <c r="N521" s="14" t="s">
        <v>9158</v>
      </c>
      <c r="O521" s="19" t="s">
        <v>10136</v>
      </c>
      <c r="P521" s="7" t="s">
        <v>9324</v>
      </c>
      <c r="Q521" s="7">
        <v>1</v>
      </c>
    </row>
    <row r="522" spans="1:17">
      <c r="A522" s="14" t="s">
        <v>5891</v>
      </c>
      <c r="B522" s="14" t="s">
        <v>330</v>
      </c>
      <c r="C522" s="14" t="s">
        <v>202</v>
      </c>
      <c r="D522" s="20" t="s">
        <v>1371</v>
      </c>
      <c r="E522" s="15" t="str">
        <f>HYPERLINK("https://stat100.ameba.jp/tnk47/ratio20/illustrations/card/ill_77173_0_yukemuritomoegozen03.jpg?202106-5-RELEASE-marathon-536", "■")</f>
        <v>■</v>
      </c>
      <c r="F522" s="14" t="s">
        <v>1372</v>
      </c>
      <c r="G522" s="14">
        <v>290708</v>
      </c>
      <c r="H522" s="14">
        <v>321649</v>
      </c>
      <c r="I522" s="7">
        <v>29</v>
      </c>
      <c r="J522" s="14" t="s">
        <v>310</v>
      </c>
      <c r="K522" s="14" t="s">
        <v>1373</v>
      </c>
      <c r="L522" s="14" t="s">
        <v>1374</v>
      </c>
      <c r="M522" s="14" t="s">
        <v>9158</v>
      </c>
      <c r="N522" s="14" t="s">
        <v>9158</v>
      </c>
      <c r="O522" s="19" t="s">
        <v>4067</v>
      </c>
      <c r="P522" s="14" t="s">
        <v>3879</v>
      </c>
      <c r="Q522" s="14">
        <v>2</v>
      </c>
    </row>
    <row r="523" spans="1:17">
      <c r="A523" s="14" t="s">
        <v>5627</v>
      </c>
      <c r="B523" s="14" t="s">
        <v>330</v>
      </c>
      <c r="C523" s="14" t="s">
        <v>191</v>
      </c>
      <c r="D523" s="19" t="s">
        <v>393</v>
      </c>
      <c r="E523" s="15" t="str">
        <f>HYPERLINK("https://stat100.ameba.jp/tnk47/ratio20/illustrations/card/ill_46283_0_odanobunaga03.jpg?202106-5-RELEASE-marathon-536", "■")</f>
        <v>■</v>
      </c>
      <c r="F523" s="14" t="s">
        <v>1073</v>
      </c>
      <c r="G523" s="14">
        <v>158942</v>
      </c>
      <c r="H523" s="14">
        <v>169708</v>
      </c>
      <c r="I523" s="7">
        <v>29</v>
      </c>
      <c r="J523" s="14" t="s">
        <v>143</v>
      </c>
      <c r="K523" s="14" t="s">
        <v>1074</v>
      </c>
      <c r="L523" s="14" t="s">
        <v>1075</v>
      </c>
      <c r="M523" s="14" t="s">
        <v>9158</v>
      </c>
      <c r="N523" s="14" t="s">
        <v>9158</v>
      </c>
      <c r="O523" s="14" t="s">
        <v>9158</v>
      </c>
      <c r="P523" s="14" t="s">
        <v>9158</v>
      </c>
      <c r="Q523" s="14" t="s">
        <v>9158</v>
      </c>
    </row>
    <row r="524" spans="1:17">
      <c r="A524" s="14">
        <v>78133</v>
      </c>
      <c r="B524" s="14" t="s">
        <v>0</v>
      </c>
      <c r="C524" s="14" t="s">
        <v>154</v>
      </c>
      <c r="D524" s="20" t="s">
        <v>10313</v>
      </c>
      <c r="E524" s="15" t="str">
        <f>HYPERLINK("https://stat100.ameba.jp/tnk47/ratio20/illustrations/card/ill_78133_akazukin03.jpg?202106-5-RELEASE-marathon-536", "■")</f>
        <v>■</v>
      </c>
      <c r="F524" s="14" t="s">
        <v>2202</v>
      </c>
      <c r="G524" s="14">
        <v>107188</v>
      </c>
      <c r="H524" s="14">
        <v>147992</v>
      </c>
      <c r="I524" s="14">
        <v>29</v>
      </c>
      <c r="J524" s="14" t="s">
        <v>38</v>
      </c>
      <c r="K524" s="14" t="s">
        <v>2203</v>
      </c>
      <c r="L524" s="14" t="s">
        <v>2204</v>
      </c>
      <c r="M524" s="14" t="s">
        <v>9158</v>
      </c>
      <c r="N524" s="14" t="s">
        <v>9158</v>
      </c>
      <c r="O524" s="19" t="s">
        <v>2917</v>
      </c>
      <c r="P524" s="14" t="s">
        <v>3531</v>
      </c>
      <c r="Q524" s="14">
        <v>1</v>
      </c>
    </row>
    <row r="525" spans="1:17">
      <c r="A525" s="14">
        <v>83093</v>
      </c>
      <c r="B525" s="14" t="s">
        <v>0</v>
      </c>
      <c r="C525" s="14" t="s">
        <v>158</v>
      </c>
      <c r="D525" s="20" t="s">
        <v>10490</v>
      </c>
      <c r="E525" s="15" t="str">
        <f>HYPERLINK("https://stat100.ameba.jp/tnk47/ratio20/illustrations/card/ill_83093_yusuraume03.jpg?202106-5-RELEASE-marathon-536", "■")</f>
        <v>■</v>
      </c>
      <c r="F525" s="14" t="s">
        <v>6267</v>
      </c>
      <c r="G525" s="14">
        <v>153288</v>
      </c>
      <c r="H525" s="14">
        <v>111017</v>
      </c>
      <c r="I525" s="14">
        <v>29</v>
      </c>
      <c r="J525" s="14" t="s">
        <v>104</v>
      </c>
      <c r="K525" s="14" t="s">
        <v>6266</v>
      </c>
      <c r="L525" s="14" t="s">
        <v>2409</v>
      </c>
      <c r="M525" s="14" t="s">
        <v>9158</v>
      </c>
      <c r="N525" s="14" t="s">
        <v>9158</v>
      </c>
      <c r="O525" s="19" t="s">
        <v>10090</v>
      </c>
      <c r="P525" s="14" t="s">
        <v>3460</v>
      </c>
      <c r="Q525" s="14">
        <v>1</v>
      </c>
    </row>
    <row r="526" spans="1:17">
      <c r="A526" s="14">
        <v>76803</v>
      </c>
      <c r="B526" s="14" t="s">
        <v>334</v>
      </c>
      <c r="C526" s="14" t="s">
        <v>202</v>
      </c>
      <c r="D526" s="19" t="s">
        <v>673</v>
      </c>
      <c r="E526" s="15" t="str">
        <f>HYPERLINK("https://stat100.ameba.jp/tnk47/ratio20/illustrations/card/ill_76803_monsutakujirachan03.jpg?202106-5-RELEASE-marathon-536", "■")</f>
        <v>■</v>
      </c>
      <c r="F526" s="14" t="s">
        <v>674</v>
      </c>
      <c r="G526" s="14">
        <v>192940</v>
      </c>
      <c r="H526" s="14">
        <v>139753</v>
      </c>
      <c r="I526" s="14">
        <v>29</v>
      </c>
      <c r="J526" s="14" t="s">
        <v>283</v>
      </c>
      <c r="K526" s="14" t="s">
        <v>675</v>
      </c>
      <c r="L526" s="14" t="s">
        <v>435</v>
      </c>
      <c r="M526" s="14" t="s">
        <v>9158</v>
      </c>
      <c r="N526" s="14" t="s">
        <v>9158</v>
      </c>
      <c r="O526" s="19" t="s">
        <v>3165</v>
      </c>
      <c r="P526" s="14" t="s">
        <v>13139</v>
      </c>
      <c r="Q526" s="14">
        <v>1</v>
      </c>
    </row>
    <row r="527" spans="1:17">
      <c r="A527" s="14">
        <v>77663</v>
      </c>
      <c r="B527" s="14" t="s">
        <v>334</v>
      </c>
      <c r="C527" s="14" t="s">
        <v>202</v>
      </c>
      <c r="D527" s="20" t="s">
        <v>10614</v>
      </c>
      <c r="E527" s="15" t="str">
        <f>HYPERLINK("https://stat100.ameba.jp/tnk47/ratio20/illustrations/card/ill_77663_deipuburu03.jpg?202106-5-RELEASE-marathon-536", "■")</f>
        <v>■</v>
      </c>
      <c r="F527" s="14" t="s">
        <v>1573</v>
      </c>
      <c r="G527" s="14">
        <v>95357</v>
      </c>
      <c r="H527" s="14">
        <v>131617</v>
      </c>
      <c r="I527" s="7">
        <v>29</v>
      </c>
      <c r="J527" s="14" t="s">
        <v>414</v>
      </c>
      <c r="K527" s="14" t="s">
        <v>1574</v>
      </c>
      <c r="L527" s="14" t="s">
        <v>1575</v>
      </c>
      <c r="M527" s="14" t="s">
        <v>9158</v>
      </c>
      <c r="N527" s="14" t="s">
        <v>9158</v>
      </c>
      <c r="O527" s="19" t="s">
        <v>10117</v>
      </c>
      <c r="P527" s="14" t="s">
        <v>3625</v>
      </c>
      <c r="Q527" s="14">
        <v>1</v>
      </c>
    </row>
    <row r="528" spans="1:17">
      <c r="A528" s="14">
        <v>60173</v>
      </c>
      <c r="B528" s="14" t="s">
        <v>0</v>
      </c>
      <c r="C528" s="14" t="s">
        <v>41</v>
      </c>
      <c r="D528" s="19" t="s">
        <v>10231</v>
      </c>
      <c r="E528" s="15" t="str">
        <f>HYPERLINK("https://stat100.ameba.jp/tnk47/ratio20/illustrations/card/ill_60173_kugutsushi03.jpg?202106-5-RELEASE-marathon-536", "■")</f>
        <v>■</v>
      </c>
      <c r="F528" s="14" t="s">
        <v>4282</v>
      </c>
      <c r="G528" s="14">
        <v>107188</v>
      </c>
      <c r="H528" s="14">
        <v>147992</v>
      </c>
      <c r="I528" s="14">
        <v>29</v>
      </c>
      <c r="J528" s="14" t="s">
        <v>38</v>
      </c>
      <c r="K528" s="14" t="s">
        <v>4283</v>
      </c>
      <c r="L528" s="14" t="s">
        <v>2714</v>
      </c>
      <c r="M528" s="14" t="s">
        <v>9158</v>
      </c>
      <c r="N528" s="14" t="s">
        <v>9158</v>
      </c>
      <c r="O528" s="19" t="s">
        <v>10113</v>
      </c>
      <c r="P528" s="14" t="s">
        <v>4285</v>
      </c>
      <c r="Q528" s="14">
        <v>1</v>
      </c>
    </row>
    <row r="529" spans="1:17">
      <c r="A529" s="14">
        <v>64043</v>
      </c>
      <c r="B529" s="14" t="s">
        <v>334</v>
      </c>
      <c r="C529" s="14" t="s">
        <v>209</v>
      </c>
      <c r="D529" s="20" t="s">
        <v>10262</v>
      </c>
      <c r="E529" s="15" t="str">
        <f>HYPERLINK("https://stat100.ameba.jp/tnk47/ratio20/illustrations/card/ill_64043_kegonnotaki03.jpg?202106-5-RELEASE-marathon-536", "■")</f>
        <v>■</v>
      </c>
      <c r="F529" s="14" t="s">
        <v>759</v>
      </c>
      <c r="G529" s="14">
        <v>137943</v>
      </c>
      <c r="H529" s="14">
        <v>99922</v>
      </c>
      <c r="I529" s="14">
        <v>29</v>
      </c>
      <c r="J529" s="14" t="s">
        <v>229</v>
      </c>
      <c r="K529" s="14" t="s">
        <v>230</v>
      </c>
      <c r="L529" s="14" t="s">
        <v>13143</v>
      </c>
      <c r="M529" s="14" t="s">
        <v>9158</v>
      </c>
      <c r="N529" s="14" t="s">
        <v>9158</v>
      </c>
      <c r="O529" s="19" t="s">
        <v>10070</v>
      </c>
      <c r="P529" s="14" t="s">
        <v>3579</v>
      </c>
      <c r="Q529" s="14">
        <v>1</v>
      </c>
    </row>
    <row r="531" spans="1:17">
      <c r="A531" s="14" t="s">
        <v>3916</v>
      </c>
    </row>
    <row r="532" spans="1:17">
      <c r="A532" s="14">
        <v>109020</v>
      </c>
      <c r="B532" s="14" t="s">
        <v>17439</v>
      </c>
    </row>
    <row r="533" spans="1:17">
      <c r="A533" s="14">
        <v>62203</v>
      </c>
      <c r="B533" s="14" t="s">
        <v>334</v>
      </c>
      <c r="C533" s="14" t="s">
        <v>154</v>
      </c>
      <c r="D533" s="20" t="s">
        <v>2260</v>
      </c>
      <c r="E533" s="15" t="str">
        <f>HYPERLINK("https://stat100.ameba.jp/tnk47/ratio20/illustrations/card/ill_62203_keishoimmasahime03.jpg?202106-5-RELEASE-marathon-536", "■")</f>
        <v>■</v>
      </c>
      <c r="F533" s="14" t="s">
        <v>2261</v>
      </c>
      <c r="G533" s="14">
        <v>116296</v>
      </c>
      <c r="H533" s="14">
        <v>125078</v>
      </c>
      <c r="I533" s="7">
        <v>29</v>
      </c>
      <c r="J533" s="14" t="s">
        <v>77</v>
      </c>
      <c r="K533" s="14" t="s">
        <v>2262</v>
      </c>
      <c r="L533" s="14" t="s">
        <v>2263</v>
      </c>
      <c r="M533" s="14" t="s">
        <v>9158</v>
      </c>
      <c r="N533" s="14" t="s">
        <v>9158</v>
      </c>
      <c r="O533" s="14" t="s">
        <v>9158</v>
      </c>
      <c r="P533" s="14" t="s">
        <v>9158</v>
      </c>
      <c r="Q533" s="14" t="s">
        <v>9158</v>
      </c>
    </row>
    <row r="534" spans="1:17">
      <c r="A534" s="14">
        <v>69723</v>
      </c>
      <c r="B534" s="14" t="s">
        <v>334</v>
      </c>
      <c r="C534" s="14" t="s">
        <v>158</v>
      </c>
      <c r="D534" s="20" t="s">
        <v>3042</v>
      </c>
      <c r="E534" s="15" t="str">
        <f>HYPERLINK("https://stat100.ameba.jp/tnk47/ratio20/illustrations/card/ill_69723_nakaurajurian03.jpg?202106-5-RELEASE-marathon-536", "■")</f>
        <v>■</v>
      </c>
      <c r="F534" s="14" t="s">
        <v>2257</v>
      </c>
      <c r="G534" s="14">
        <v>116296</v>
      </c>
      <c r="H534" s="14">
        <v>125078</v>
      </c>
      <c r="I534" s="7">
        <v>29</v>
      </c>
      <c r="J534" s="14" t="s">
        <v>173</v>
      </c>
      <c r="K534" s="14" t="s">
        <v>2258</v>
      </c>
      <c r="L534" s="14" t="s">
        <v>2259</v>
      </c>
      <c r="M534" s="14" t="s">
        <v>9158</v>
      </c>
      <c r="N534" s="14" t="s">
        <v>9158</v>
      </c>
      <c r="O534" s="14" t="s">
        <v>9158</v>
      </c>
      <c r="P534" s="14" t="s">
        <v>9158</v>
      </c>
      <c r="Q534" s="14" t="s">
        <v>9158</v>
      </c>
    </row>
    <row r="535" spans="1:17">
      <c r="A535" s="14">
        <v>62153</v>
      </c>
      <c r="B535" s="14" t="s">
        <v>334</v>
      </c>
      <c r="C535" s="14" t="s">
        <v>1</v>
      </c>
      <c r="D535" s="20" t="s">
        <v>16317</v>
      </c>
      <c r="E535" s="15" t="str">
        <f>HYPERLINK("https://stat100.ameba.jp/tnk47/ratio20/illustrations/card/ill_62153_obentonekodanuki03.jpg?202106-5-RELEASE-marathon-536", "■")</f>
        <v>■</v>
      </c>
      <c r="F535" s="14" t="s">
        <v>16318</v>
      </c>
      <c r="G535" s="14">
        <v>120830</v>
      </c>
      <c r="H535" s="14">
        <v>112369</v>
      </c>
      <c r="I535" s="7">
        <v>29</v>
      </c>
      <c r="J535" s="14" t="s">
        <v>73</v>
      </c>
      <c r="K535" s="14" t="s">
        <v>12212</v>
      </c>
      <c r="L535" s="14" t="s">
        <v>16319</v>
      </c>
      <c r="M535" s="14" t="s">
        <v>9158</v>
      </c>
      <c r="N535" s="14" t="s">
        <v>9158</v>
      </c>
      <c r="O535" s="14" t="s">
        <v>9158</v>
      </c>
      <c r="P535" s="14" t="s">
        <v>9158</v>
      </c>
      <c r="Q535" s="14" t="s">
        <v>9158</v>
      </c>
    </row>
    <row r="536" spans="1:17">
      <c r="A536" s="14">
        <v>65173</v>
      </c>
      <c r="B536" s="14" t="s">
        <v>334</v>
      </c>
      <c r="C536" s="14" t="s">
        <v>101</v>
      </c>
      <c r="D536" s="20" t="s">
        <v>16320</v>
      </c>
      <c r="E536" s="15" t="str">
        <f>HYPERLINK("https://stat100.ameba.jp/tnk47/ratio20/illustrations/card/ill_65173_kimodameshihorahamahime03.jpg?202106-5-RELEASE-marathon-536", "■")</f>
        <v>■</v>
      </c>
      <c r="F536" s="14" t="s">
        <v>3565</v>
      </c>
      <c r="G536" s="14">
        <v>112369</v>
      </c>
      <c r="H536" s="14">
        <v>120830</v>
      </c>
      <c r="I536" s="7">
        <v>29</v>
      </c>
      <c r="J536" s="14" t="s">
        <v>73</v>
      </c>
      <c r="K536" s="14" t="s">
        <v>16321</v>
      </c>
      <c r="L536" s="14" t="s">
        <v>16322</v>
      </c>
      <c r="M536" s="14" t="s">
        <v>9158</v>
      </c>
      <c r="N536" s="14" t="s">
        <v>9158</v>
      </c>
      <c r="O536" s="14" t="s">
        <v>9158</v>
      </c>
      <c r="P536" s="14" t="s">
        <v>9158</v>
      </c>
      <c r="Q536" s="14" t="s">
        <v>9158</v>
      </c>
    </row>
    <row r="537" spans="1:17">
      <c r="A537" s="14">
        <v>51923</v>
      </c>
      <c r="B537" s="14" t="s">
        <v>15</v>
      </c>
      <c r="C537" s="14" t="s">
        <v>165</v>
      </c>
      <c r="D537" s="20" t="s">
        <v>15362</v>
      </c>
      <c r="E537" s="15" t="str">
        <f>HYPERLINK("https://stat100.ameba.jp/tnk47/ratio20/illustrations/card/ill_51923_kemonomizugikokyu03.jpg?202106-5-RELEASE-marathon-536", "■")</f>
        <v>■</v>
      </c>
      <c r="F537" s="14" t="s">
        <v>15367</v>
      </c>
      <c r="G537" s="14">
        <v>71136</v>
      </c>
      <c r="H537" s="14">
        <v>64520</v>
      </c>
      <c r="I537" s="14">
        <v>24</v>
      </c>
      <c r="J537" s="14" t="s">
        <v>38</v>
      </c>
      <c r="K537" s="14" t="s">
        <v>15365</v>
      </c>
      <c r="L537" s="14" t="s">
        <v>15364</v>
      </c>
      <c r="M537" s="14" t="s">
        <v>9158</v>
      </c>
      <c r="N537" s="14" t="s">
        <v>9158</v>
      </c>
      <c r="O537" s="14" t="s">
        <v>9158</v>
      </c>
      <c r="P537" s="14" t="s">
        <v>9158</v>
      </c>
      <c r="Q537" s="14" t="s">
        <v>9158</v>
      </c>
    </row>
    <row r="538" spans="1:17">
      <c r="A538" s="14">
        <v>52963</v>
      </c>
      <c r="B538" s="14" t="s">
        <v>15</v>
      </c>
      <c r="C538" s="14" t="s">
        <v>101</v>
      </c>
      <c r="D538" s="20" t="s">
        <v>102</v>
      </c>
      <c r="E538" s="15" t="str">
        <f>HYPERLINK("https://stat100.ameba.jp/tnk47/ratio20/illustrations/card/ill_52963_torampumomochan03.jpg?202106-5-RELEASE-marathon-536", "■")</f>
        <v>■</v>
      </c>
      <c r="F538" s="14" t="s">
        <v>103</v>
      </c>
      <c r="G538" s="14">
        <v>64520</v>
      </c>
      <c r="H538" s="14">
        <v>71136</v>
      </c>
      <c r="I538" s="14">
        <v>24</v>
      </c>
      <c r="J538" s="14" t="s">
        <v>104</v>
      </c>
      <c r="K538" s="14" t="s">
        <v>105</v>
      </c>
      <c r="L538" s="14" t="s">
        <v>106</v>
      </c>
      <c r="M538" s="14" t="s">
        <v>9158</v>
      </c>
      <c r="N538" s="14" t="s">
        <v>9158</v>
      </c>
      <c r="O538" s="14" t="s">
        <v>9158</v>
      </c>
      <c r="P538" s="14" t="s">
        <v>9158</v>
      </c>
      <c r="Q538" s="14" t="s">
        <v>9158</v>
      </c>
    </row>
    <row r="539" spans="1:17">
      <c r="A539" s="14">
        <v>51383</v>
      </c>
      <c r="B539" s="14" t="s">
        <v>15</v>
      </c>
      <c r="C539" s="14" t="s">
        <v>1</v>
      </c>
      <c r="D539" s="20" t="s">
        <v>15363</v>
      </c>
      <c r="E539" s="15" t="str">
        <f>HYPERLINK("https://stat100.ameba.jp/tnk47/ratio20/illustrations/card/ill_51383_ozashikikyogokuichiko03.jpg?202106-5-RELEASE-marathon-536", "■")</f>
        <v>■</v>
      </c>
      <c r="F539" s="14" t="s">
        <v>15371</v>
      </c>
      <c r="G539" s="14">
        <v>71136</v>
      </c>
      <c r="H539" s="14">
        <v>64520</v>
      </c>
      <c r="I539" s="14">
        <v>24</v>
      </c>
      <c r="J539" s="14" t="s">
        <v>16</v>
      </c>
      <c r="K539" s="14" t="s">
        <v>15369</v>
      </c>
      <c r="L539" s="14" t="s">
        <v>15368</v>
      </c>
      <c r="M539" s="14" t="s">
        <v>9158</v>
      </c>
      <c r="N539" s="14" t="s">
        <v>9158</v>
      </c>
      <c r="O539" s="14" t="s">
        <v>9158</v>
      </c>
      <c r="P539" s="14" t="s">
        <v>9158</v>
      </c>
      <c r="Q539" s="14" t="s">
        <v>9158</v>
      </c>
    </row>
    <row r="540" spans="1:17">
      <c r="A540" s="14">
        <v>51903</v>
      </c>
      <c r="B540" s="14" t="s">
        <v>15</v>
      </c>
      <c r="C540" s="14" t="s">
        <v>14</v>
      </c>
      <c r="D540" s="20" t="s">
        <v>16323</v>
      </c>
      <c r="E540" s="15" t="str">
        <f>HYPERLINK("https://stat100.ameba.jp/tnk47/ratio20/illustrations/card/ill_51903_kemonomizugiringochan03.jpg?202106-5-RELEASE-marathon-536", "■")</f>
        <v>■</v>
      </c>
      <c r="F540" s="14" t="s">
        <v>16324</v>
      </c>
      <c r="G540" s="14">
        <v>71136</v>
      </c>
      <c r="H540" s="14">
        <v>64520</v>
      </c>
      <c r="I540" s="14">
        <v>24</v>
      </c>
      <c r="J540" s="14" t="s">
        <v>104</v>
      </c>
      <c r="K540" s="14" t="s">
        <v>16325</v>
      </c>
      <c r="L540" s="14" t="s">
        <v>16326</v>
      </c>
      <c r="M540" s="14" t="s">
        <v>9158</v>
      </c>
      <c r="N540" s="14" t="s">
        <v>9158</v>
      </c>
      <c r="O540" s="14" t="s">
        <v>9158</v>
      </c>
      <c r="P540" s="14" t="s">
        <v>9158</v>
      </c>
      <c r="Q540" s="14" t="s">
        <v>9158</v>
      </c>
    </row>
    <row r="542" spans="1:17">
      <c r="A542" s="14" t="s">
        <v>9283</v>
      </c>
    </row>
    <row r="543" spans="1:17">
      <c r="A543" s="14">
        <v>109032</v>
      </c>
      <c r="B543" s="14" t="s">
        <v>13041</v>
      </c>
    </row>
    <row r="544" spans="1:17">
      <c r="A544" s="14" t="s">
        <v>5733</v>
      </c>
      <c r="B544" s="14" t="s">
        <v>330</v>
      </c>
      <c r="C544" s="14" t="s">
        <v>202</v>
      </c>
      <c r="D544" s="19" t="s">
        <v>2744</v>
      </c>
      <c r="E544" s="15" t="str">
        <f>HYPERLINK("https://stat100.ameba.jp/tnk47/ratio20/illustrations/card/ill_78693_0_kyupittokoinomikoto03.jpg?202106-5-RELEASE-marathon-536", "■")</f>
        <v>■</v>
      </c>
      <c r="F544" s="14" t="s">
        <v>2745</v>
      </c>
      <c r="G544" s="14">
        <v>251516</v>
      </c>
      <c r="H544" s="14">
        <v>278294</v>
      </c>
      <c r="I544" s="14">
        <v>24</v>
      </c>
      <c r="J544" s="14" t="s">
        <v>274</v>
      </c>
      <c r="K544" s="14" t="s">
        <v>2746</v>
      </c>
      <c r="L544" s="14" t="s">
        <v>2747</v>
      </c>
      <c r="M544" s="14" t="s">
        <v>9158</v>
      </c>
      <c r="N544" s="14" t="s">
        <v>9158</v>
      </c>
      <c r="O544" s="19" t="s">
        <v>10097</v>
      </c>
      <c r="P544" s="14" t="s">
        <v>2748</v>
      </c>
      <c r="Q544" s="14">
        <v>1</v>
      </c>
    </row>
    <row r="545" spans="1:17">
      <c r="A545" s="14" t="s">
        <v>5804</v>
      </c>
      <c r="B545" s="14" t="s">
        <v>52</v>
      </c>
      <c r="C545" s="14" t="s">
        <v>14</v>
      </c>
      <c r="D545" s="19" t="s">
        <v>3195</v>
      </c>
      <c r="E545" s="15" t="str">
        <f>HYPERLINK("https://stat100.ameba.jp/tnk47/ratio20/illustrations/card/ill_75393_0_resukuinotsukisamaniittausagi03.jpg?202106-5-RELEASE-marathon-536", "■")</f>
        <v>■</v>
      </c>
      <c r="F545" s="14" t="s">
        <v>3248</v>
      </c>
      <c r="G545" s="14">
        <v>273368</v>
      </c>
      <c r="H545" s="14">
        <v>254160</v>
      </c>
      <c r="I545" s="14">
        <v>24</v>
      </c>
      <c r="J545" s="14" t="s">
        <v>26</v>
      </c>
      <c r="K545" s="14" t="s">
        <v>3249</v>
      </c>
      <c r="L545" s="14" t="s">
        <v>3250</v>
      </c>
      <c r="M545" s="14" t="s">
        <v>9158</v>
      </c>
      <c r="N545" s="14" t="s">
        <v>9158</v>
      </c>
      <c r="O545" s="19" t="s">
        <v>10101</v>
      </c>
      <c r="P545" s="14" t="s">
        <v>3251</v>
      </c>
      <c r="Q545" s="14">
        <v>2</v>
      </c>
    </row>
    <row r="546" spans="1:17">
      <c r="A546" s="14" t="s">
        <v>5625</v>
      </c>
      <c r="B546" s="14" t="s">
        <v>330</v>
      </c>
      <c r="C546" s="14" t="s">
        <v>200</v>
      </c>
      <c r="D546" s="19" t="s">
        <v>630</v>
      </c>
      <c r="E546" s="15" t="str">
        <f>HYPERLINK("https://stat100.ameba.jp/tnk47/ratio20/illustrations/card/ill_48283_0_kyuubitamamonomae03.jpg?202106-5-RELEASE-marathon-536", "■")</f>
        <v>■</v>
      </c>
      <c r="F546" s="14" t="s">
        <v>631</v>
      </c>
      <c r="G546" s="14">
        <v>150776</v>
      </c>
      <c r="H546" s="14">
        <v>133938</v>
      </c>
      <c r="I546" s="14">
        <v>24</v>
      </c>
      <c r="J546" s="14" t="s">
        <v>320</v>
      </c>
      <c r="K546" s="14" t="s">
        <v>632</v>
      </c>
      <c r="L546" s="14" t="s">
        <v>633</v>
      </c>
      <c r="M546" s="14" t="s">
        <v>9158</v>
      </c>
      <c r="N546" s="14" t="s">
        <v>9158</v>
      </c>
      <c r="O546" s="14" t="s">
        <v>9158</v>
      </c>
      <c r="P546" s="14" t="s">
        <v>9158</v>
      </c>
      <c r="Q546" s="14" t="s">
        <v>9158</v>
      </c>
    </row>
    <row r="547" spans="1:17">
      <c r="A547" s="14">
        <v>98133</v>
      </c>
      <c r="B547" s="14" t="s">
        <v>0</v>
      </c>
      <c r="C547" s="14" t="s">
        <v>96</v>
      </c>
      <c r="D547" s="14" t="s">
        <v>17934</v>
      </c>
      <c r="E547" s="15" t="str">
        <f>HYPERLINK("https://stat100.ameba.jp/tnk47/ratio20/illustrations/card/ill_98133_nadanosake03.jpg?202106-5-RELEASE-marathon-536", "■")</f>
        <v>■</v>
      </c>
      <c r="F547" s="14" t="s">
        <v>18268</v>
      </c>
      <c r="G547" s="14">
        <v>98019</v>
      </c>
      <c r="H547" s="14">
        <v>105465</v>
      </c>
      <c r="I547" s="14">
        <v>27</v>
      </c>
      <c r="J547" s="14" t="s">
        <v>104</v>
      </c>
      <c r="K547" s="14" t="s">
        <v>5094</v>
      </c>
      <c r="L547" s="14" t="s">
        <v>18262</v>
      </c>
      <c r="M547" s="14" t="s">
        <v>9158</v>
      </c>
      <c r="N547" s="14" t="s">
        <v>9158</v>
      </c>
      <c r="O547" s="14" t="s">
        <v>9158</v>
      </c>
      <c r="P547" s="14" t="s">
        <v>9158</v>
      </c>
      <c r="Q547" s="14" t="s">
        <v>9158</v>
      </c>
    </row>
    <row r="548" spans="1:17">
      <c r="A548" s="14">
        <v>98143</v>
      </c>
      <c r="B548" s="14" t="s">
        <v>15</v>
      </c>
      <c r="C548" s="14" t="s">
        <v>101</v>
      </c>
      <c r="D548" s="14" t="s">
        <v>18271</v>
      </c>
      <c r="E548" s="15" t="str">
        <f>HYPERLINK("https://stat100.ameba.jp/tnk47/ratio20/illustrations/card/ill_98143_rengehanichan03.jpg?202106-5-RELEASE-marathon-536", "■")</f>
        <v>■</v>
      </c>
      <c r="F548" s="14" t="s">
        <v>18270</v>
      </c>
      <c r="G548" s="14">
        <v>80028</v>
      </c>
      <c r="H548" s="14">
        <v>72586</v>
      </c>
      <c r="I548" s="14">
        <v>27</v>
      </c>
      <c r="J548" s="14" t="s">
        <v>104</v>
      </c>
      <c r="K548" s="14" t="s">
        <v>18269</v>
      </c>
      <c r="L548" s="14" t="s">
        <v>3607</v>
      </c>
      <c r="M548" s="14" t="s">
        <v>9158</v>
      </c>
      <c r="N548" s="14" t="s">
        <v>9158</v>
      </c>
      <c r="O548" s="14" t="s">
        <v>9158</v>
      </c>
      <c r="P548" s="14" t="s">
        <v>9158</v>
      </c>
      <c r="Q548" s="14" t="s">
        <v>9158</v>
      </c>
    </row>
    <row r="549" spans="1:17">
      <c r="A549" s="14">
        <v>98153</v>
      </c>
      <c r="B549" s="14" t="s">
        <v>22</v>
      </c>
      <c r="C549" s="14" t="s">
        <v>23</v>
      </c>
      <c r="D549" s="14" t="s">
        <v>18274</v>
      </c>
      <c r="E549" s="15" t="str">
        <f>HYPERLINK("https://stat100.ameba.jp/tnk47/ratio20/illustrations/card/ill_98153_izaberabado03.jpg?202106-5-RELEASE-marathon-536", "■")</f>
        <v>■</v>
      </c>
      <c r="F549" s="14" t="s">
        <v>18273</v>
      </c>
      <c r="G549" s="14">
        <v>46676</v>
      </c>
      <c r="H549" s="14">
        <v>56138</v>
      </c>
      <c r="I549" s="14">
        <v>27</v>
      </c>
      <c r="J549" s="14" t="s">
        <v>16</v>
      </c>
      <c r="K549" s="14" t="s">
        <v>18272</v>
      </c>
      <c r="L549" s="14" t="s">
        <v>6675</v>
      </c>
      <c r="M549" s="14" t="s">
        <v>9158</v>
      </c>
      <c r="N549" s="14" t="s">
        <v>9158</v>
      </c>
      <c r="O549" s="14" t="s">
        <v>9158</v>
      </c>
      <c r="P549" s="14" t="s">
        <v>9158</v>
      </c>
      <c r="Q549" s="14" t="s">
        <v>9158</v>
      </c>
    </row>
    <row r="550" spans="1:17">
      <c r="A550" s="14">
        <v>98163</v>
      </c>
      <c r="B550" s="14" t="s">
        <v>22</v>
      </c>
      <c r="C550" s="14" t="s">
        <v>1</v>
      </c>
      <c r="D550" s="14" t="s">
        <v>18277</v>
      </c>
      <c r="E550" s="15" t="str">
        <f>HYPERLINK("https://stat100.ameba.jp/tnk47/ratio20/illustrations/card/ill_98163_hakotaningyo03.jpg?202106-5-RELEASE-marathon-536", "■")</f>
        <v>■</v>
      </c>
      <c r="F550" s="14" t="s">
        <v>18276</v>
      </c>
      <c r="G550" s="14">
        <v>56138</v>
      </c>
      <c r="H550" s="14">
        <v>46676</v>
      </c>
      <c r="I550" s="14">
        <v>27</v>
      </c>
      <c r="J550" s="14" t="s">
        <v>26</v>
      </c>
      <c r="K550" s="14" t="s">
        <v>18275</v>
      </c>
      <c r="L550" s="14" t="s">
        <v>2635</v>
      </c>
      <c r="M550" s="14" t="s">
        <v>9158</v>
      </c>
      <c r="N550" s="14" t="s">
        <v>9158</v>
      </c>
      <c r="O550" s="14" t="s">
        <v>9158</v>
      </c>
      <c r="P550" s="14" t="s">
        <v>9158</v>
      </c>
      <c r="Q550" s="14" t="s">
        <v>9158</v>
      </c>
    </row>
    <row r="552" spans="1:17">
      <c r="A552" s="14" t="s">
        <v>3785</v>
      </c>
    </row>
    <row r="553" spans="1:17">
      <c r="A553" s="14">
        <v>238668</v>
      </c>
      <c r="B553" s="14" t="s">
        <v>13044</v>
      </c>
    </row>
    <row r="554" spans="1:17">
      <c r="A554" s="14" t="s">
        <v>5804</v>
      </c>
      <c r="B554" s="14" t="s">
        <v>52</v>
      </c>
      <c r="C554" s="14" t="s">
        <v>14</v>
      </c>
      <c r="D554" s="19" t="s">
        <v>3195</v>
      </c>
      <c r="E554" s="15" t="str">
        <f>HYPERLINK("https://stat100.ameba.jp/tnk47/ratio20/illustrations/card/ill_75393_0_resukuinotsukisamaniittausagi03.jpg?202106-5-RELEASE-marathon-536", "■")</f>
        <v>■</v>
      </c>
      <c r="F554" s="14" t="s">
        <v>3248</v>
      </c>
      <c r="G554" s="14">
        <v>250588</v>
      </c>
      <c r="H554" s="14">
        <v>232980</v>
      </c>
      <c r="I554" s="14">
        <v>22</v>
      </c>
      <c r="J554" s="14" t="s">
        <v>26</v>
      </c>
      <c r="K554" s="14" t="s">
        <v>3249</v>
      </c>
      <c r="L554" s="14" t="s">
        <v>3250</v>
      </c>
      <c r="M554" s="14" t="s">
        <v>9158</v>
      </c>
      <c r="N554" s="14" t="s">
        <v>9158</v>
      </c>
      <c r="O554" s="6" t="s">
        <v>10051</v>
      </c>
      <c r="P554" s="14" t="s">
        <v>3251</v>
      </c>
      <c r="Q554" s="14">
        <v>2</v>
      </c>
    </row>
    <row r="555" spans="1:17">
      <c r="A555" s="14" t="s">
        <v>5822</v>
      </c>
      <c r="B555" s="14" t="s">
        <v>330</v>
      </c>
      <c r="C555" s="14" t="s">
        <v>307</v>
      </c>
      <c r="D555" s="19" t="s">
        <v>306</v>
      </c>
      <c r="E555" s="15" t="str">
        <f>HYPERLINK("https://stat100.ameba.jp/tnk47/ratio20/illustrations/card/ill_71403_0_ohanamisanadayukimura03.jpg?202106-5-RELEASE-marathon-536", "■")</f>
        <v>■</v>
      </c>
      <c r="F555" s="14" t="s">
        <v>309</v>
      </c>
      <c r="G555" s="14">
        <v>205358</v>
      </c>
      <c r="H555" s="14">
        <v>190952</v>
      </c>
      <c r="I555" s="14">
        <v>22</v>
      </c>
      <c r="J555" s="14" t="s">
        <v>310</v>
      </c>
      <c r="K555" s="14" t="s">
        <v>311</v>
      </c>
      <c r="L555" s="14" t="s">
        <v>312</v>
      </c>
      <c r="M555" s="14" t="s">
        <v>9158</v>
      </c>
      <c r="N555" s="14" t="s">
        <v>9158</v>
      </c>
      <c r="O555" s="6" t="s">
        <v>10060</v>
      </c>
      <c r="P555" s="14" t="s">
        <v>3418</v>
      </c>
      <c r="Q555" s="14">
        <v>2</v>
      </c>
    </row>
    <row r="556" spans="1:17">
      <c r="A556" s="9" t="s">
        <v>5721</v>
      </c>
      <c r="B556" s="14" t="s">
        <v>52</v>
      </c>
      <c r="C556" s="14" t="s">
        <v>1</v>
      </c>
      <c r="D556" s="14" t="s">
        <v>2253</v>
      </c>
      <c r="E556" s="15" t="str">
        <f>HYPERLINK("https://stat100.ameba.jp/tnk47/ratio20/illustrations/card/ill_44283_0_izumonokuni03.jpg?202106-5-RELEASE-marathon-536", "■")</f>
        <v>■</v>
      </c>
      <c r="F556" s="14" t="s">
        <v>1716</v>
      </c>
      <c r="G556" s="14">
        <v>128744</v>
      </c>
      <c r="H556" s="14">
        <v>120576</v>
      </c>
      <c r="I556" s="14">
        <v>22</v>
      </c>
      <c r="J556" s="14" t="s">
        <v>16</v>
      </c>
      <c r="K556" s="14" t="s">
        <v>2254</v>
      </c>
      <c r="L556" s="14" t="s">
        <v>1718</v>
      </c>
      <c r="M556" s="14" t="s">
        <v>9158</v>
      </c>
      <c r="N556" s="14" t="s">
        <v>9158</v>
      </c>
      <c r="O556" s="14" t="s">
        <v>9158</v>
      </c>
      <c r="P556" s="14" t="s">
        <v>9158</v>
      </c>
      <c r="Q556" s="14" t="s">
        <v>9158</v>
      </c>
    </row>
    <row r="557" spans="1:17">
      <c r="A557" s="14">
        <v>90013</v>
      </c>
      <c r="B557" s="14" t="s">
        <v>0</v>
      </c>
      <c r="C557" s="14" t="s">
        <v>23</v>
      </c>
      <c r="D557" s="14" t="s">
        <v>13981</v>
      </c>
      <c r="E557" s="15" t="str">
        <f>HYPERLINK("https://stat100.ameba.jp/tnk47/ratio20/illustrations/card/ill_90013_buiranzumarisondemonia03.jpg?202106-5-RELEASE-marathon-536", "■")</f>
        <v>■</v>
      </c>
      <c r="F557" s="14" t="s">
        <v>13982</v>
      </c>
      <c r="G557" s="14">
        <v>169148</v>
      </c>
      <c r="H557" s="14">
        <v>95155</v>
      </c>
      <c r="I557" s="14">
        <v>29</v>
      </c>
      <c r="J557" s="14" t="s">
        <v>26</v>
      </c>
      <c r="K557" s="14" t="s">
        <v>13983</v>
      </c>
      <c r="L557" s="14" t="s">
        <v>2388</v>
      </c>
      <c r="M557" s="14" t="s">
        <v>9158</v>
      </c>
      <c r="N557" s="14" t="s">
        <v>9158</v>
      </c>
      <c r="O557" s="14" t="s">
        <v>9158</v>
      </c>
      <c r="P557" s="14" t="s">
        <v>9158</v>
      </c>
      <c r="Q557" s="14" t="s">
        <v>9158</v>
      </c>
    </row>
    <row r="558" spans="1:17">
      <c r="A558" s="14">
        <v>95983</v>
      </c>
      <c r="B558" s="14" t="s">
        <v>0</v>
      </c>
      <c r="C558" s="14" t="s">
        <v>107</v>
      </c>
      <c r="D558" s="14" t="s">
        <v>16542</v>
      </c>
      <c r="E558" s="15" t="str">
        <f>HYPERLINK("https://stat100.ameba.jp/tnk47/ratio20/illustrations/card/ill_95983_ummeizahamitto03.jpg?202106-5-RELEASE-marathon-536", "■")</f>
        <v>■</v>
      </c>
      <c r="F558" s="14" t="s">
        <v>16541</v>
      </c>
      <c r="G558" s="14">
        <v>139860</v>
      </c>
      <c r="H558" s="14">
        <v>78696</v>
      </c>
      <c r="I558" s="14">
        <v>29</v>
      </c>
      <c r="J558" s="14" t="s">
        <v>16</v>
      </c>
      <c r="K558" s="14" t="s">
        <v>16540</v>
      </c>
      <c r="L558" s="14" t="s">
        <v>14197</v>
      </c>
      <c r="M558" s="14" t="s">
        <v>9158</v>
      </c>
      <c r="N558" s="14" t="s">
        <v>9158</v>
      </c>
      <c r="O558" s="14" t="s">
        <v>9158</v>
      </c>
      <c r="P558" s="14" t="s">
        <v>9158</v>
      </c>
      <c r="Q558" s="14" t="s">
        <v>9158</v>
      </c>
    </row>
    <row r="559" spans="1:17">
      <c r="A559" s="14">
        <v>92713</v>
      </c>
      <c r="B559" s="14" t="s">
        <v>0</v>
      </c>
      <c r="C559" s="14" t="s">
        <v>101</v>
      </c>
      <c r="D559" s="14" t="s">
        <v>15378</v>
      </c>
      <c r="E559" s="15" t="str">
        <f>HYPERLINK("https://stat100.ameba.jp/tnk47/ratio20/illustrations/card/ill_92713_doragonraidazona03.jpg?202106-5-RELEASE-marathon-536", "■")</f>
        <v>■</v>
      </c>
      <c r="F559" s="14" t="s">
        <v>15377</v>
      </c>
      <c r="G559" s="14">
        <v>163137</v>
      </c>
      <c r="H559" s="14">
        <v>91809</v>
      </c>
      <c r="I559" s="14">
        <v>29</v>
      </c>
      <c r="J559" s="14" t="s">
        <v>38</v>
      </c>
      <c r="K559" s="14" t="s">
        <v>15376</v>
      </c>
      <c r="L559" s="14" t="s">
        <v>68</v>
      </c>
      <c r="M559" s="14" t="s">
        <v>9158</v>
      </c>
      <c r="N559" s="14" t="s">
        <v>9158</v>
      </c>
      <c r="O559" s="14" t="s">
        <v>9158</v>
      </c>
      <c r="P559" s="14" t="s">
        <v>9158</v>
      </c>
      <c r="Q559" s="14" t="s">
        <v>9158</v>
      </c>
    </row>
    <row r="561" spans="1:18">
      <c r="A561" s="14" t="s">
        <v>13327</v>
      </c>
    </row>
    <row r="562" spans="1:18">
      <c r="A562" s="14">
        <v>109055</v>
      </c>
      <c r="B562" s="14" t="s">
        <v>17440</v>
      </c>
    </row>
    <row r="563" spans="1:18">
      <c r="A563" s="14">
        <v>83973</v>
      </c>
      <c r="B563" s="14" t="s">
        <v>334</v>
      </c>
      <c r="C563" s="14" t="s">
        <v>14</v>
      </c>
      <c r="D563" s="19" t="s">
        <v>10570</v>
      </c>
      <c r="E563" s="15" t="str">
        <f>HYPERLINK("https://stat100.ameba.jp/tnk47/ratio20/illustrations/card/ill_83973_nekokishiirurosu03.jpg?202106-5-RELEASE-marathon-536", "■")</f>
        <v>■</v>
      </c>
      <c r="F563" s="14" t="s">
        <v>6706</v>
      </c>
      <c r="G563" s="14">
        <v>142768</v>
      </c>
      <c r="H563" s="14">
        <v>132737</v>
      </c>
      <c r="I563" s="14">
        <v>29</v>
      </c>
      <c r="J563" s="14" t="s">
        <v>229</v>
      </c>
      <c r="K563" s="14" t="s">
        <v>6707</v>
      </c>
      <c r="L563" s="14" t="s">
        <v>13202</v>
      </c>
      <c r="M563" s="14" t="s">
        <v>13130</v>
      </c>
      <c r="N563" s="14" t="s">
        <v>343</v>
      </c>
      <c r="O563" s="14" t="s">
        <v>9158</v>
      </c>
      <c r="P563" s="14" t="s">
        <v>9158</v>
      </c>
      <c r="Q563" s="14" t="s">
        <v>9158</v>
      </c>
      <c r="R563" s="14" t="s">
        <v>14748</v>
      </c>
    </row>
    <row r="564" spans="1:18">
      <c r="A564" s="14">
        <v>83972</v>
      </c>
      <c r="B564" s="14" t="s">
        <v>334</v>
      </c>
      <c r="C564" s="14" t="s">
        <v>14</v>
      </c>
      <c r="D564" s="19" t="s">
        <v>10570</v>
      </c>
      <c r="E564" s="15" t="str">
        <f>HYPERLINK("https://stat100.ameba.jp/tnk47/ratio20/illustrations/card/ill_83972_nekokishiirurosu02.jpg?202106-5-RELEASE-marathon-536", "■")</f>
        <v>■</v>
      </c>
      <c r="F564" s="14" t="s">
        <v>6706</v>
      </c>
      <c r="G564" s="14">
        <v>119345</v>
      </c>
      <c r="H564" s="14">
        <v>109938</v>
      </c>
      <c r="I564" s="14">
        <v>29</v>
      </c>
      <c r="J564" s="14" t="s">
        <v>229</v>
      </c>
      <c r="K564" s="14" t="s">
        <v>6707</v>
      </c>
      <c r="L564" s="14" t="s">
        <v>13201</v>
      </c>
      <c r="M564" s="14" t="s">
        <v>13131</v>
      </c>
      <c r="N564" s="14" t="s">
        <v>251</v>
      </c>
      <c r="O564" s="14" t="s">
        <v>9158</v>
      </c>
      <c r="P564" s="14" t="s">
        <v>9158</v>
      </c>
      <c r="Q564" s="14" t="s">
        <v>9158</v>
      </c>
      <c r="R564" s="14" t="s">
        <v>14748</v>
      </c>
    </row>
    <row r="565" spans="1:18">
      <c r="A565" s="14">
        <v>83971</v>
      </c>
      <c r="B565" s="14" t="s">
        <v>0</v>
      </c>
      <c r="C565" s="14" t="s">
        <v>14</v>
      </c>
      <c r="D565" s="19" t="s">
        <v>10570</v>
      </c>
      <c r="E565" s="15" t="str">
        <f>HYPERLINK("https://stat100.ameba.jp/tnk47/ratio20/illustrations/card/ill_83971_nekokishiirurosu01.jpg?202106-5-RELEASE-marathon-536", "■")</f>
        <v>■</v>
      </c>
      <c r="F565" s="14" t="s">
        <v>6706</v>
      </c>
      <c r="G565" s="14">
        <v>91118</v>
      </c>
      <c r="H565" s="14">
        <v>84825</v>
      </c>
      <c r="I565" s="14">
        <v>29</v>
      </c>
      <c r="J565" s="14" t="s">
        <v>229</v>
      </c>
      <c r="K565" s="14" t="s">
        <v>6707</v>
      </c>
      <c r="L565" s="14" t="s">
        <v>13201</v>
      </c>
      <c r="M565" s="14" t="s">
        <v>13131</v>
      </c>
      <c r="N565" s="14" t="s">
        <v>251</v>
      </c>
      <c r="O565" s="14" t="s">
        <v>9158</v>
      </c>
      <c r="P565" s="14" t="s">
        <v>9158</v>
      </c>
      <c r="Q565" s="14" t="s">
        <v>9158</v>
      </c>
      <c r="R565" s="14" t="s">
        <v>14748</v>
      </c>
    </row>
    <row r="566" spans="1:18">
      <c r="A566" s="14">
        <v>83983</v>
      </c>
      <c r="B566" s="14" t="s">
        <v>334</v>
      </c>
      <c r="C566" s="14" t="s">
        <v>23</v>
      </c>
      <c r="D566" s="19" t="s">
        <v>10571</v>
      </c>
      <c r="E566" s="15" t="str">
        <f>HYPERLINK("https://stat100.ameba.jp/tnk47/ratio20/illustrations/card/ill_83983_ryujinsui03.jpg?202106-5-RELEASE-marathon-536", "■")</f>
        <v>■</v>
      </c>
      <c r="F566" s="14" t="s">
        <v>6708</v>
      </c>
      <c r="G566" s="14">
        <v>132737</v>
      </c>
      <c r="H566" s="14">
        <v>142768</v>
      </c>
      <c r="I566" s="14">
        <v>29</v>
      </c>
      <c r="J566" s="14" t="s">
        <v>169</v>
      </c>
      <c r="K566" s="14" t="s">
        <v>6710</v>
      </c>
      <c r="L566" s="14" t="s">
        <v>6721</v>
      </c>
      <c r="M566" s="14" t="s">
        <v>13130</v>
      </c>
      <c r="N566" s="14" t="s">
        <v>343</v>
      </c>
      <c r="O566" s="14" t="s">
        <v>9158</v>
      </c>
      <c r="P566" s="14" t="s">
        <v>9158</v>
      </c>
      <c r="Q566" s="14" t="s">
        <v>9158</v>
      </c>
      <c r="R566" s="14" t="s">
        <v>14748</v>
      </c>
    </row>
    <row r="567" spans="1:18">
      <c r="A567" s="14">
        <v>83993</v>
      </c>
      <c r="B567" s="14" t="s">
        <v>334</v>
      </c>
      <c r="C567" s="14" t="s">
        <v>101</v>
      </c>
      <c r="D567" s="19" t="s">
        <v>10572</v>
      </c>
      <c r="E567" s="15" t="str">
        <f>HYPERLINK("https://stat100.ameba.jp/tnk47/ratio20/illustrations/card/ill_83993_enjieruzuranotamagochan03.jpg?202106-5-RELEASE-marathon-536", "■")</f>
        <v>■</v>
      </c>
      <c r="F567" s="14" t="s">
        <v>6722</v>
      </c>
      <c r="G567" s="14">
        <v>132737</v>
      </c>
      <c r="H567" s="14">
        <v>142768</v>
      </c>
      <c r="I567" s="14">
        <v>29</v>
      </c>
      <c r="J567" s="14" t="s">
        <v>216</v>
      </c>
      <c r="K567" s="14" t="s">
        <v>6723</v>
      </c>
      <c r="L567" s="14" t="s">
        <v>6724</v>
      </c>
      <c r="M567" s="14" t="s">
        <v>13130</v>
      </c>
      <c r="N567" s="14" t="s">
        <v>343</v>
      </c>
      <c r="O567" s="14" t="s">
        <v>9158</v>
      </c>
      <c r="P567" s="14" t="s">
        <v>9158</v>
      </c>
      <c r="Q567" s="14" t="s">
        <v>9158</v>
      </c>
      <c r="R567" s="14" t="s">
        <v>14748</v>
      </c>
    </row>
    <row r="568" spans="1:18">
      <c r="A568" s="14">
        <v>84003</v>
      </c>
      <c r="B568" s="14" t="s">
        <v>0</v>
      </c>
      <c r="C568" s="14" t="s">
        <v>96</v>
      </c>
      <c r="D568" s="19" t="s">
        <v>10573</v>
      </c>
      <c r="E568" s="15" t="str">
        <f>HYPERLINK("https://stat100.ameba.jp/tnk47/ratio20/illustrations/card/ill_84003_sukoropendora03.jpg?202106-5-RELEASE-marathon-536", "■")</f>
        <v>■</v>
      </c>
      <c r="F568" s="14" t="s">
        <v>6725</v>
      </c>
      <c r="G568" s="14">
        <v>142768</v>
      </c>
      <c r="H568" s="14">
        <v>132737</v>
      </c>
      <c r="I568" s="14">
        <v>29</v>
      </c>
      <c r="J568" s="14" t="s">
        <v>182</v>
      </c>
      <c r="K568" s="14" t="s">
        <v>6727</v>
      </c>
      <c r="L568" s="14" t="s">
        <v>6728</v>
      </c>
      <c r="M568" s="14" t="s">
        <v>13130</v>
      </c>
      <c r="N568" s="14" t="s">
        <v>343</v>
      </c>
      <c r="O568" s="14" t="s">
        <v>9158</v>
      </c>
      <c r="P568" s="14" t="s">
        <v>9158</v>
      </c>
      <c r="Q568" s="14" t="s">
        <v>9158</v>
      </c>
      <c r="R568" s="14" t="s">
        <v>14748</v>
      </c>
    </row>
    <row r="569" spans="1:18">
      <c r="A569" s="14">
        <v>84013</v>
      </c>
      <c r="B569" s="14" t="s">
        <v>334</v>
      </c>
      <c r="C569" s="14" t="s">
        <v>205</v>
      </c>
      <c r="D569" s="19" t="s">
        <v>10574</v>
      </c>
      <c r="E569" s="15" t="str">
        <f>HYPERLINK("https://stat100.ameba.jp/tnk47/ratio20/illustrations/card/ill_84013_neikiddo03.jpg?202106-5-RELEASE-marathon-536", "■")</f>
        <v>■</v>
      </c>
      <c r="F569" s="14" t="s">
        <v>6729</v>
      </c>
      <c r="G569" s="14">
        <v>132737</v>
      </c>
      <c r="H569" s="14">
        <v>142768</v>
      </c>
      <c r="I569" s="14">
        <v>29</v>
      </c>
      <c r="J569" s="14" t="s">
        <v>194</v>
      </c>
      <c r="K569" s="14" t="s">
        <v>6731</v>
      </c>
      <c r="L569" s="14" t="s">
        <v>6732</v>
      </c>
      <c r="M569" s="14" t="s">
        <v>13130</v>
      </c>
      <c r="N569" s="14" t="s">
        <v>343</v>
      </c>
      <c r="O569" s="14" t="s">
        <v>9158</v>
      </c>
      <c r="P569" s="14" t="s">
        <v>9158</v>
      </c>
      <c r="Q569" s="14" t="s">
        <v>9158</v>
      </c>
      <c r="R569" s="14" t="s">
        <v>14748</v>
      </c>
    </row>
    <row r="570" spans="1:18">
      <c r="A570" s="14">
        <v>76763</v>
      </c>
      <c r="B570" s="14" t="s">
        <v>334</v>
      </c>
      <c r="C570" s="14" t="s">
        <v>107</v>
      </c>
      <c r="D570" s="19" t="s">
        <v>10575</v>
      </c>
      <c r="E570" s="15" t="str">
        <f>HYPERLINK("https://stat100.ameba.jp/tnk47/ratio20/illustrations/card/ill_76763_monsutanabeshimakeiginni03.jpg?202106-5-RELEASE-marathon-536", "■")</f>
        <v>■</v>
      </c>
      <c r="F570" s="14" t="s">
        <v>6733</v>
      </c>
      <c r="G570" s="14">
        <v>142768</v>
      </c>
      <c r="H570" s="14">
        <v>132737</v>
      </c>
      <c r="I570" s="14">
        <v>29</v>
      </c>
      <c r="J570" s="14" t="s">
        <v>187</v>
      </c>
      <c r="K570" s="14" t="s">
        <v>6735</v>
      </c>
      <c r="L570" s="14" t="s">
        <v>6736</v>
      </c>
      <c r="M570" s="14" t="s">
        <v>13130</v>
      </c>
      <c r="N570" s="14" t="s">
        <v>343</v>
      </c>
      <c r="O570" s="14" t="s">
        <v>9158</v>
      </c>
      <c r="P570" s="14" t="s">
        <v>9158</v>
      </c>
      <c r="Q570" s="14" t="s">
        <v>9158</v>
      </c>
      <c r="R570" s="14" t="s">
        <v>14748</v>
      </c>
    </row>
    <row r="572" spans="1:18">
      <c r="A572" s="14" t="s">
        <v>4065</v>
      </c>
    </row>
    <row r="573" spans="1:18">
      <c r="A573" s="14">
        <v>109075</v>
      </c>
      <c r="B573" s="14" t="s">
        <v>13046</v>
      </c>
    </row>
    <row r="574" spans="1:18">
      <c r="A574" s="7" t="s">
        <v>8437</v>
      </c>
      <c r="B574" s="7" t="s">
        <v>52</v>
      </c>
      <c r="C574" s="7" t="s">
        <v>202</v>
      </c>
      <c r="D574" s="20" t="s">
        <v>10806</v>
      </c>
      <c r="E574" s="15" t="str">
        <f>HYPERLINK("https://stat100.ameba.jp/tnk47/ratio20/illustrations/card/ill_85523_0_seitankuronikurukusumotoine03.jpg?202106-5-RELEASE-marathon-536", "■")</f>
        <v>■</v>
      </c>
      <c r="F574" s="7" t="s">
        <v>8440</v>
      </c>
      <c r="G574" s="7">
        <v>339204</v>
      </c>
      <c r="H574" s="7">
        <v>306590</v>
      </c>
      <c r="I574" s="7">
        <v>28</v>
      </c>
      <c r="J574" s="14" t="s">
        <v>77</v>
      </c>
      <c r="K574" s="7" t="s">
        <v>8446</v>
      </c>
      <c r="L574" s="7" t="s">
        <v>8439</v>
      </c>
      <c r="M574" s="14" t="s">
        <v>9158</v>
      </c>
      <c r="N574" s="14" t="s">
        <v>9158</v>
      </c>
      <c r="O574" s="19" t="s">
        <v>10133</v>
      </c>
      <c r="P574" s="7" t="s">
        <v>8441</v>
      </c>
      <c r="Q574" s="7">
        <v>1</v>
      </c>
    </row>
    <row r="575" spans="1:18">
      <c r="A575" s="14">
        <v>77123</v>
      </c>
      <c r="B575" s="14" t="s">
        <v>334</v>
      </c>
      <c r="C575" s="14" t="s">
        <v>191</v>
      </c>
      <c r="D575" s="20" t="s">
        <v>10424</v>
      </c>
      <c r="E575" s="15" t="str">
        <f>HYPERLINK("https://stat100.ameba.jp/tnk47/ratio20/illustrations/card/ill_77123_yukemuriizuna03.jpg?202106-5-RELEASE-marathon-536", "■")</f>
        <v>■</v>
      </c>
      <c r="F575" s="14" t="s">
        <v>1377</v>
      </c>
      <c r="G575" s="14">
        <v>112496</v>
      </c>
      <c r="H575" s="14">
        <v>104619</v>
      </c>
      <c r="I575" s="14">
        <v>27</v>
      </c>
      <c r="J575" s="14" t="s">
        <v>320</v>
      </c>
      <c r="K575" s="14" t="s">
        <v>1378</v>
      </c>
      <c r="L575" s="14" t="s">
        <v>1379</v>
      </c>
      <c r="M575" s="14" t="s">
        <v>9158</v>
      </c>
      <c r="N575" s="14" t="s">
        <v>9158</v>
      </c>
      <c r="O575" s="19" t="s">
        <v>2838</v>
      </c>
      <c r="P575" s="14" t="s">
        <v>3579</v>
      </c>
      <c r="Q575" s="14">
        <v>1</v>
      </c>
    </row>
    <row r="576" spans="1:18">
      <c r="A576" s="9">
        <v>87583</v>
      </c>
      <c r="B576" s="14" t="s">
        <v>0</v>
      </c>
      <c r="C576" s="9" t="s">
        <v>165</v>
      </c>
      <c r="D576" s="6" t="s">
        <v>9981</v>
      </c>
      <c r="E576" s="15" t="str">
        <f>HYPERLINK("https://stat100.ameba.jp/tnk47/ratio20/illustrations/card/ill_87583_oendanise03.jpg?202106-5-RELEASE-marathon-536", "■")</f>
        <v>■</v>
      </c>
      <c r="F576" s="9" t="s">
        <v>9929</v>
      </c>
      <c r="G576" s="14">
        <v>109481</v>
      </c>
      <c r="H576" s="14">
        <v>101837</v>
      </c>
      <c r="I576" s="14">
        <v>27</v>
      </c>
      <c r="J576" s="9" t="s">
        <v>159</v>
      </c>
      <c r="K576" s="9" t="s">
        <v>9934</v>
      </c>
      <c r="L576" s="9" t="s">
        <v>9927</v>
      </c>
      <c r="M576" s="14" t="s">
        <v>9158</v>
      </c>
      <c r="N576" s="14" t="s">
        <v>9158</v>
      </c>
      <c r="O576" s="6" t="s">
        <v>4373</v>
      </c>
      <c r="P576" s="14" t="s">
        <v>4374</v>
      </c>
      <c r="Q576" s="14">
        <v>1</v>
      </c>
    </row>
    <row r="577" spans="1:18">
      <c r="A577" s="14">
        <v>85483</v>
      </c>
      <c r="B577" s="14" t="s">
        <v>0</v>
      </c>
      <c r="C577" s="14" t="s">
        <v>206</v>
      </c>
      <c r="D577" s="20" t="s">
        <v>10807</v>
      </c>
      <c r="E577" s="15" t="str">
        <f>HYPERLINK("https://stat100.ameba.jp/tnk47/ratio20/illustrations/card/ill_85483_seitankuronikururirimu03.jpg?202106-5-RELEASE-marathon-536", "■")</f>
        <v>■</v>
      </c>
      <c r="F577" s="14" t="s">
        <v>8445</v>
      </c>
      <c r="G577" s="14">
        <v>112496</v>
      </c>
      <c r="H577" s="14">
        <v>104619</v>
      </c>
      <c r="I577" s="14">
        <v>27</v>
      </c>
      <c r="J577" s="14" t="s">
        <v>182</v>
      </c>
      <c r="K577" s="14" t="s">
        <v>8444</v>
      </c>
      <c r="L577" s="14" t="s">
        <v>2308</v>
      </c>
      <c r="M577" s="14" t="s">
        <v>9158</v>
      </c>
      <c r="N577" s="14" t="s">
        <v>9158</v>
      </c>
      <c r="O577" s="19" t="s">
        <v>10086</v>
      </c>
      <c r="P577" s="14" t="s">
        <v>3701</v>
      </c>
      <c r="Q577" s="14">
        <v>1</v>
      </c>
    </row>
    <row r="579" spans="1:18">
      <c r="A579" s="14" t="s">
        <v>3643</v>
      </c>
    </row>
    <row r="580" spans="1:18">
      <c r="A580" s="14">
        <v>109092</v>
      </c>
      <c r="B580" s="14" t="s">
        <v>4821</v>
      </c>
    </row>
    <row r="581" spans="1:18">
      <c r="A581" s="14">
        <v>95705</v>
      </c>
      <c r="B581" s="14" t="s">
        <v>0</v>
      </c>
      <c r="C581" s="14" t="s">
        <v>202</v>
      </c>
      <c r="D581" s="18" t="s">
        <v>16124</v>
      </c>
      <c r="E581" s="15" t="str">
        <f>HYPERLINK("https://stat100.ameba.jp/tnk47/ratio20/illustrations/card/ill_95705_barentaindesakamototome05.jpg?202106-5-RELEASE-marathon-536xx", "■")</f>
        <v>■</v>
      </c>
      <c r="F581" s="14" t="s">
        <v>16123</v>
      </c>
      <c r="G581" s="14">
        <v>157763</v>
      </c>
      <c r="H581" s="14">
        <v>217871</v>
      </c>
      <c r="I581" s="14">
        <v>29</v>
      </c>
      <c r="J581" s="14" t="s">
        <v>10</v>
      </c>
      <c r="K581" s="14" t="s">
        <v>16121</v>
      </c>
      <c r="L581" s="14" t="s">
        <v>14369</v>
      </c>
      <c r="M581" s="14" t="s">
        <v>9158</v>
      </c>
      <c r="N581" s="14" t="s">
        <v>9158</v>
      </c>
      <c r="O581" s="14" t="s">
        <v>9158</v>
      </c>
      <c r="P581" s="14" t="s">
        <v>9158</v>
      </c>
      <c r="Q581" s="14" t="s">
        <v>9158</v>
      </c>
      <c r="R581" s="14" t="s">
        <v>174</v>
      </c>
    </row>
    <row r="582" spans="1:18">
      <c r="A582" s="14">
        <v>95703</v>
      </c>
      <c r="B582" s="14" t="s">
        <v>15</v>
      </c>
      <c r="C582" s="14" t="s">
        <v>203</v>
      </c>
      <c r="D582" s="18" t="s">
        <v>16124</v>
      </c>
      <c r="E582" s="15" t="str">
        <f>HYPERLINK("https://stat100.ameba.jp/tnk47/ratio20/illustrations/card/ill_95703_barentaindesakamototome03.jpg?202106-5-RELEASE-marathon-536xx", "■")</f>
        <v>■</v>
      </c>
      <c r="F582" s="14" t="s">
        <v>16123</v>
      </c>
      <c r="G582" s="14">
        <v>116243</v>
      </c>
      <c r="H582" s="14">
        <v>160527</v>
      </c>
      <c r="I582" s="14">
        <v>29</v>
      </c>
      <c r="J582" s="14" t="s">
        <v>10</v>
      </c>
      <c r="K582" s="14" t="s">
        <v>16121</v>
      </c>
      <c r="L582" s="14" t="s">
        <v>14373</v>
      </c>
      <c r="M582" s="14" t="s">
        <v>9158</v>
      </c>
      <c r="N582" s="14" t="s">
        <v>9158</v>
      </c>
      <c r="O582" s="14" t="s">
        <v>9158</v>
      </c>
      <c r="P582" s="14" t="s">
        <v>9158</v>
      </c>
      <c r="Q582" s="14" t="s">
        <v>9158</v>
      </c>
      <c r="R582" s="14" t="s">
        <v>175</v>
      </c>
    </row>
    <row r="583" spans="1:18">
      <c r="A583" s="14">
        <v>95701</v>
      </c>
      <c r="B583" s="14" t="s">
        <v>15</v>
      </c>
      <c r="C583" s="14" t="s">
        <v>203</v>
      </c>
      <c r="D583" s="18" t="s">
        <v>16124</v>
      </c>
      <c r="E583" s="15" t="str">
        <f>HYPERLINK("https://stat100.ameba.jp/tnk47/ratio20/illustrations/card/ill_95701_barentaindesakamototome01.jpg?202106-5-RELEASE-marathon-536xx", "■")</f>
        <v>■</v>
      </c>
      <c r="F583" s="14" t="s">
        <v>16123</v>
      </c>
      <c r="G583" s="14">
        <v>73950</v>
      </c>
      <c r="H583" s="14">
        <v>102109</v>
      </c>
      <c r="I583" s="14">
        <v>29</v>
      </c>
      <c r="J583" s="14" t="s">
        <v>10</v>
      </c>
      <c r="K583" s="14" t="s">
        <v>16121</v>
      </c>
      <c r="L583" s="14" t="s">
        <v>3685</v>
      </c>
      <c r="M583" s="14" t="s">
        <v>9158</v>
      </c>
      <c r="N583" s="14" t="s">
        <v>9158</v>
      </c>
      <c r="O583" s="14" t="s">
        <v>9158</v>
      </c>
      <c r="P583" s="14" t="s">
        <v>9158</v>
      </c>
      <c r="Q583" s="14" t="s">
        <v>9158</v>
      </c>
      <c r="R583" s="14" t="s">
        <v>176</v>
      </c>
    </row>
    <row r="584" spans="1:18">
      <c r="A584" s="14">
        <v>95125</v>
      </c>
      <c r="B584" s="14" t="s">
        <v>0</v>
      </c>
      <c r="C584" s="14" t="s">
        <v>35</v>
      </c>
      <c r="D584" s="14" t="s">
        <v>16292</v>
      </c>
      <c r="E584" s="15" t="str">
        <f>HYPERLINK("https://stat100.ameba.jp/tnk47/ratio20/illustrations/card/ill_95125_kanzashikurikintonchan05.jpg?202106-5-RELEASE-marathon-536xx", "■")</f>
        <v>■</v>
      </c>
      <c r="F584" s="14" t="s">
        <v>16291</v>
      </c>
      <c r="G584" s="14">
        <v>119401</v>
      </c>
      <c r="H584" s="14">
        <v>164886</v>
      </c>
      <c r="I584" s="14">
        <v>29</v>
      </c>
      <c r="J584" s="14" t="s">
        <v>104</v>
      </c>
      <c r="K584" s="14" t="s">
        <v>16290</v>
      </c>
      <c r="L584" s="14" t="s">
        <v>16289</v>
      </c>
      <c r="M584" s="14" t="s">
        <v>9158</v>
      </c>
      <c r="N584" s="14" t="s">
        <v>9158</v>
      </c>
      <c r="O584" s="14" t="s">
        <v>9158</v>
      </c>
      <c r="P584" s="14" t="s">
        <v>9158</v>
      </c>
      <c r="Q584" s="14" t="s">
        <v>9158</v>
      </c>
      <c r="R584" s="14" t="s">
        <v>174</v>
      </c>
    </row>
    <row r="585" spans="1:18">
      <c r="A585" s="14">
        <v>95123</v>
      </c>
      <c r="B585" s="14" t="s">
        <v>15</v>
      </c>
      <c r="C585" s="14" t="s">
        <v>154</v>
      </c>
      <c r="D585" s="14" t="s">
        <v>16292</v>
      </c>
      <c r="E585" s="15" t="str">
        <f>HYPERLINK("https://stat100.ameba.jp/tnk47/ratio20/illustrations/card/ill_95123_kanzashikurikintonchan03.jpg?202106-5-RELEASE-marathon-536xx", "■")</f>
        <v>■</v>
      </c>
      <c r="F585" s="14" t="s">
        <v>16291</v>
      </c>
      <c r="G585" s="14">
        <v>87973</v>
      </c>
      <c r="H585" s="14">
        <v>121498</v>
      </c>
      <c r="I585" s="14">
        <v>29</v>
      </c>
      <c r="J585" s="14" t="s">
        <v>104</v>
      </c>
      <c r="K585" s="14" t="s">
        <v>16290</v>
      </c>
      <c r="L585" s="14" t="s">
        <v>16293</v>
      </c>
      <c r="M585" s="14" t="s">
        <v>9158</v>
      </c>
      <c r="N585" s="14" t="s">
        <v>9158</v>
      </c>
      <c r="O585" s="14" t="s">
        <v>9158</v>
      </c>
      <c r="P585" s="14" t="s">
        <v>9158</v>
      </c>
      <c r="Q585" s="14" t="s">
        <v>9158</v>
      </c>
      <c r="R585" s="14" t="s">
        <v>175</v>
      </c>
    </row>
    <row r="586" spans="1:18">
      <c r="A586" s="14">
        <v>95121</v>
      </c>
      <c r="B586" s="14" t="s">
        <v>15</v>
      </c>
      <c r="C586" s="14" t="s">
        <v>154</v>
      </c>
      <c r="D586" s="14" t="s">
        <v>16292</v>
      </c>
      <c r="E586" s="15" t="str">
        <f>HYPERLINK("https://stat100.ameba.jp/tnk47/ratio20/illustrations/card/ill_95121_kanzashikurikintonchan01.jpg?202106-5-RELEASE-marathon-536xx", "■")</f>
        <v>■</v>
      </c>
      <c r="F586" s="14" t="s">
        <v>16291</v>
      </c>
      <c r="G586" s="14">
        <v>55970</v>
      </c>
      <c r="H586" s="14">
        <v>77285</v>
      </c>
      <c r="I586" s="14">
        <v>29</v>
      </c>
      <c r="J586" s="14" t="s">
        <v>104</v>
      </c>
      <c r="K586" s="14" t="s">
        <v>16290</v>
      </c>
      <c r="L586" s="14" t="s">
        <v>14358</v>
      </c>
      <c r="M586" s="14" t="s">
        <v>9158</v>
      </c>
      <c r="N586" s="14" t="s">
        <v>9158</v>
      </c>
      <c r="O586" s="14" t="s">
        <v>9158</v>
      </c>
      <c r="P586" s="14" t="s">
        <v>9158</v>
      </c>
      <c r="Q586" s="14" t="s">
        <v>9158</v>
      </c>
      <c r="R586" s="14" t="s">
        <v>176</v>
      </c>
    </row>
    <row r="587" spans="1:18">
      <c r="A587" s="14">
        <v>94405</v>
      </c>
      <c r="B587" s="14" t="s">
        <v>0</v>
      </c>
      <c r="C587" s="14" t="s">
        <v>35</v>
      </c>
      <c r="D587" s="14" t="s">
        <v>16603</v>
      </c>
      <c r="E587" s="15" t="str">
        <f>HYPERLINK("https://stat100.ameba.jp/tnk47/ratio20/illustrations/card/ill_94405_fuyunotozurefuanukka05.jpg?202106-5-RELEASE-marathon-536xx", "■")</f>
        <v>■</v>
      </c>
      <c r="F587" s="14" t="s">
        <v>16602</v>
      </c>
      <c r="G587" s="14">
        <v>159690</v>
      </c>
      <c r="H587" s="14">
        <v>115617</v>
      </c>
      <c r="I587" s="14">
        <v>29</v>
      </c>
      <c r="J587" s="14" t="s">
        <v>26</v>
      </c>
      <c r="K587" s="14" t="s">
        <v>16601</v>
      </c>
      <c r="L587" s="14" t="s">
        <v>16600</v>
      </c>
      <c r="M587" s="14" t="s">
        <v>9158</v>
      </c>
      <c r="N587" s="14" t="s">
        <v>9158</v>
      </c>
      <c r="O587" s="14" t="s">
        <v>9158</v>
      </c>
      <c r="P587" s="14" t="s">
        <v>9158</v>
      </c>
      <c r="Q587" s="14" t="s">
        <v>9158</v>
      </c>
      <c r="R587" s="14" t="s">
        <v>174</v>
      </c>
    </row>
    <row r="588" spans="1:18">
      <c r="A588" s="14">
        <v>94403</v>
      </c>
      <c r="B588" s="14" t="s">
        <v>15</v>
      </c>
      <c r="C588" s="14" t="s">
        <v>158</v>
      </c>
      <c r="D588" s="14" t="s">
        <v>16603</v>
      </c>
      <c r="E588" s="15" t="str">
        <f>HYPERLINK("https://stat100.ameba.jp/tnk47/ratio20/illustrations/card/ill_94403_fuyunotozurefuanukka03.jpg?202106-5-RELEASE-marathon-536xx", "■")</f>
        <v>■</v>
      </c>
      <c r="F588" s="14" t="s">
        <v>16602</v>
      </c>
      <c r="G588" s="14">
        <v>115393</v>
      </c>
      <c r="H588" s="14">
        <v>83544</v>
      </c>
      <c r="I588" s="14">
        <v>29</v>
      </c>
      <c r="J588" s="14" t="s">
        <v>26</v>
      </c>
      <c r="K588" s="14" t="s">
        <v>16601</v>
      </c>
      <c r="L588" s="14" t="s">
        <v>16604</v>
      </c>
      <c r="M588" s="14" t="s">
        <v>9158</v>
      </c>
      <c r="N588" s="14" t="s">
        <v>9158</v>
      </c>
      <c r="O588" s="14" t="s">
        <v>9158</v>
      </c>
      <c r="P588" s="14" t="s">
        <v>9158</v>
      </c>
      <c r="Q588" s="14" t="s">
        <v>9158</v>
      </c>
      <c r="R588" s="14" t="s">
        <v>175</v>
      </c>
    </row>
    <row r="589" spans="1:18">
      <c r="A589" s="14">
        <v>94401</v>
      </c>
      <c r="B589" s="14" t="s">
        <v>15</v>
      </c>
      <c r="C589" s="14" t="s">
        <v>158</v>
      </c>
      <c r="D589" s="14" t="s">
        <v>16603</v>
      </c>
      <c r="E589" s="15" t="str">
        <f>HYPERLINK("https://stat100.ameba.jp/tnk47/ratio20/illustrations/card/ill_94401_fuyunotozurefuanukka01.jpg?202106-5-RELEASE-marathon-536xx", "■")</f>
        <v>■</v>
      </c>
      <c r="F589" s="14" t="s">
        <v>16602</v>
      </c>
      <c r="G589" s="14">
        <v>66932</v>
      </c>
      <c r="H589" s="14">
        <v>48459</v>
      </c>
      <c r="I589" s="14">
        <v>29</v>
      </c>
      <c r="J589" s="14" t="s">
        <v>26</v>
      </c>
      <c r="K589" s="14" t="s">
        <v>16601</v>
      </c>
      <c r="L589" s="14" t="s">
        <v>16605</v>
      </c>
      <c r="M589" s="14" t="s">
        <v>9158</v>
      </c>
      <c r="N589" s="14" t="s">
        <v>9158</v>
      </c>
      <c r="O589" s="14" t="s">
        <v>9158</v>
      </c>
      <c r="P589" s="14" t="s">
        <v>9158</v>
      </c>
      <c r="Q589" s="14" t="s">
        <v>9158</v>
      </c>
      <c r="R589" s="14" t="s">
        <v>176</v>
      </c>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13935-376B-427D-A179-93F1CB1EB7F5}">
  <dimension ref="A1:S529"/>
  <sheetViews>
    <sheetView zoomScale="55" zoomScaleNormal="55" workbookViewId="0">
      <pane ySplit="1" topLeftCell="A351" activePane="bottomLeft" state="frozen"/>
      <selection activeCell="A41" sqref="A41:Q41"/>
      <selection pane="bottomLeft" activeCell="D364" sqref="D364"/>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17478</v>
      </c>
    </row>
    <row r="4" spans="1:19">
      <c r="A4" s="14">
        <v>312010</v>
      </c>
      <c r="B4" s="14" t="s">
        <v>13118</v>
      </c>
    </row>
    <row r="5" spans="1:19">
      <c r="A5" s="14">
        <v>312059</v>
      </c>
      <c r="B5" s="14" t="s">
        <v>13119</v>
      </c>
    </row>
    <row r="6" spans="1:19">
      <c r="A6" s="14" t="s">
        <v>17390</v>
      </c>
      <c r="B6" s="7" t="s">
        <v>52</v>
      </c>
      <c r="C6" s="14" t="s">
        <v>202</v>
      </c>
      <c r="D6" s="18" t="s">
        <v>17389</v>
      </c>
      <c r="E6" s="15" t="str">
        <f>HYPERLINK("https://stat100.ameba.jp/tnk47/ratio20/illustrations/card/ill_98393_0_yuembiyorikingyonota03.jpg?202106-5-RELEASE-marathon-536xx", "■")</f>
        <v>■</v>
      </c>
      <c r="F6" s="14" t="s">
        <v>17388</v>
      </c>
      <c r="G6" s="14">
        <v>364692</v>
      </c>
      <c r="H6" s="14">
        <v>329622</v>
      </c>
      <c r="I6" s="7">
        <v>34</v>
      </c>
      <c r="J6" s="14" t="s">
        <v>38</v>
      </c>
      <c r="K6" s="14" t="s">
        <v>17387</v>
      </c>
      <c r="L6" s="14" t="s">
        <v>17386</v>
      </c>
      <c r="M6" s="14" t="s">
        <v>9158</v>
      </c>
      <c r="N6" s="14" t="s">
        <v>9158</v>
      </c>
      <c r="O6" s="7" t="s">
        <v>17385</v>
      </c>
      <c r="P6" s="7" t="s">
        <v>17384</v>
      </c>
      <c r="Q6" s="7">
        <v>1</v>
      </c>
    </row>
    <row r="7" spans="1:19">
      <c r="A7" s="14">
        <v>98333</v>
      </c>
      <c r="B7" s="14" t="s">
        <v>0</v>
      </c>
      <c r="C7" s="14" t="s">
        <v>23</v>
      </c>
      <c r="D7" s="18" t="s">
        <v>17395</v>
      </c>
      <c r="E7" s="15" t="str">
        <f>HYPERLINK("https://stat100.ameba.jp/tnk47/ratio20/illustrations/card/ill_98333_yuembiyoriakaiteruko03.jpg?202106-5-RELEASE-marathon-536xx", "■")</f>
        <v>■</v>
      </c>
      <c r="F7" s="14" t="s">
        <v>17394</v>
      </c>
      <c r="G7" s="14">
        <v>109381</v>
      </c>
      <c r="H7" s="14">
        <v>117591</v>
      </c>
      <c r="I7" s="14">
        <v>29</v>
      </c>
      <c r="J7" s="14" t="s">
        <v>143</v>
      </c>
      <c r="K7" s="14" t="s">
        <v>17393</v>
      </c>
      <c r="L7" s="14" t="s">
        <v>17392</v>
      </c>
      <c r="M7" s="14" t="s">
        <v>9158</v>
      </c>
      <c r="N7" s="14" t="s">
        <v>9158</v>
      </c>
      <c r="O7" s="7" t="s">
        <v>3452</v>
      </c>
      <c r="P7" s="7" t="s">
        <v>17391</v>
      </c>
      <c r="Q7" s="7">
        <v>1</v>
      </c>
    </row>
    <row r="8" spans="1:19">
      <c r="A8" s="14">
        <v>98343</v>
      </c>
      <c r="B8" s="14" t="s">
        <v>0</v>
      </c>
      <c r="C8" s="14" t="s">
        <v>96</v>
      </c>
      <c r="D8" s="18" t="s">
        <v>17398</v>
      </c>
      <c r="E8" s="15" t="str">
        <f>HYPERLINK("https://stat100.ameba.jp/tnk47/ratio20/illustrations/card/ill_98343_yuembiyorionikirimaru03.jpg?202106-5-RELEASE-marathon-536xx", "■")</f>
        <v>■</v>
      </c>
      <c r="F8" s="14" t="s">
        <v>17397</v>
      </c>
      <c r="G8" s="14">
        <v>172397</v>
      </c>
      <c r="H8" s="14">
        <v>160296</v>
      </c>
      <c r="I8" s="14">
        <v>29</v>
      </c>
      <c r="J8" s="14" t="s">
        <v>73</v>
      </c>
      <c r="K8" s="14" t="s">
        <v>17396</v>
      </c>
      <c r="L8" s="14" t="s">
        <v>13766</v>
      </c>
      <c r="M8" s="14" t="s">
        <v>2138</v>
      </c>
      <c r="N8" s="14" t="s">
        <v>2139</v>
      </c>
      <c r="O8" s="14" t="s">
        <v>9158</v>
      </c>
      <c r="P8" s="14" t="s">
        <v>9158</v>
      </c>
      <c r="Q8" s="14" t="s">
        <v>9158</v>
      </c>
      <c r="R8" s="14" t="s">
        <v>13120</v>
      </c>
    </row>
    <row r="9" spans="1:19">
      <c r="A9" s="14">
        <v>98353</v>
      </c>
      <c r="B9" s="14" t="s">
        <v>0</v>
      </c>
      <c r="C9" s="14" t="s">
        <v>1</v>
      </c>
      <c r="D9" s="18" t="s">
        <v>17402</v>
      </c>
      <c r="E9" s="15" t="str">
        <f>HYPERLINK("https://stat100.ameba.jp/tnk47/ratio20/illustrations/card/ill_98353_yuembiyorinoguchishohin03.jpg?202106-5-RELEASE-marathon-536xx", "■")</f>
        <v>■</v>
      </c>
      <c r="F9" s="14" t="s">
        <v>17401</v>
      </c>
      <c r="G9" s="14">
        <v>113277</v>
      </c>
      <c r="H9" s="14">
        <v>105281</v>
      </c>
      <c r="I9" s="14">
        <v>29</v>
      </c>
      <c r="J9" s="14" t="s">
        <v>16</v>
      </c>
      <c r="K9" s="14" t="s">
        <v>17400</v>
      </c>
      <c r="L9" s="14" t="s">
        <v>17399</v>
      </c>
      <c r="M9" s="14" t="s">
        <v>2138</v>
      </c>
      <c r="N9" s="14" t="s">
        <v>2139</v>
      </c>
      <c r="O9" s="14" t="s">
        <v>9158</v>
      </c>
      <c r="P9" s="14" t="s">
        <v>9158</v>
      </c>
      <c r="Q9" s="14" t="s">
        <v>9158</v>
      </c>
      <c r="R9" s="14" t="s">
        <v>13120</v>
      </c>
    </row>
    <row r="10" spans="1:19">
      <c r="A10" s="14">
        <v>98363</v>
      </c>
      <c r="B10" s="14" t="s">
        <v>15</v>
      </c>
      <c r="C10" s="14" t="s">
        <v>14</v>
      </c>
      <c r="D10" s="18" t="s">
        <v>17404</v>
      </c>
      <c r="E10" s="15" t="str">
        <f>HYPERLINK("https://stat100.ameba.jp/tnk47/ratio20/illustrations/card/ill_98363_esukaroppu03.jpg?202106-5-RELEASE-marathon-536xx", "■")</f>
        <v>■</v>
      </c>
      <c r="F10" s="14" t="s">
        <v>17403</v>
      </c>
      <c r="G10" s="7">
        <v>77962</v>
      </c>
      <c r="H10" s="7">
        <v>85956</v>
      </c>
      <c r="I10" s="14">
        <v>29</v>
      </c>
      <c r="J10" s="14" t="s">
        <v>104</v>
      </c>
      <c r="K10" s="7" t="s">
        <v>12248</v>
      </c>
      <c r="L10" s="7" t="s">
        <v>2154</v>
      </c>
      <c r="M10" s="14" t="s">
        <v>9158</v>
      </c>
      <c r="N10" s="14" t="s">
        <v>9158</v>
      </c>
      <c r="O10" s="14" t="s">
        <v>9158</v>
      </c>
      <c r="P10" s="14" t="s">
        <v>9158</v>
      </c>
      <c r="Q10" s="14" t="s">
        <v>9158</v>
      </c>
    </row>
    <row r="11" spans="1:19">
      <c r="A11" s="14">
        <v>98373</v>
      </c>
      <c r="B11" s="14" t="s">
        <v>15</v>
      </c>
      <c r="C11" s="14" t="s">
        <v>101</v>
      </c>
      <c r="D11" s="18" t="s">
        <v>17406</v>
      </c>
      <c r="E11" s="15" t="str">
        <f>HYPERLINK("https://stat100.ameba.jp/tnk47/ratio20/illustrations/card/ill_98373_natsuyuenchitamayanotsubaki03.jpg?202106-5-RELEASE-marathon-536xx", "■")</f>
        <v>■</v>
      </c>
      <c r="F11" s="14" t="s">
        <v>17405</v>
      </c>
      <c r="G11" s="7">
        <v>85956</v>
      </c>
      <c r="H11" s="7">
        <v>77962</v>
      </c>
      <c r="I11" s="14">
        <v>29</v>
      </c>
      <c r="J11" s="14" t="s">
        <v>38</v>
      </c>
      <c r="K11" s="7" t="s">
        <v>6933</v>
      </c>
      <c r="L11" s="7" t="s">
        <v>5407</v>
      </c>
      <c r="M11" s="14" t="s">
        <v>9158</v>
      </c>
      <c r="N11" s="14" t="s">
        <v>9158</v>
      </c>
      <c r="O11" s="14" t="s">
        <v>9158</v>
      </c>
      <c r="P11" s="14" t="s">
        <v>9158</v>
      </c>
      <c r="Q11" s="14" t="s">
        <v>9158</v>
      </c>
    </row>
    <row r="12" spans="1:19">
      <c r="A12" s="14">
        <v>98383</v>
      </c>
      <c r="B12" s="14" t="s">
        <v>15</v>
      </c>
      <c r="C12" s="14" t="s">
        <v>107</v>
      </c>
      <c r="D12" s="18" t="s">
        <v>17409</v>
      </c>
      <c r="E12" s="15" t="str">
        <f>HYPERLINK("https://stat100.ameba.jp/tnk47/ratio20/illustrations/card/ill_98383_satsumakiriko03.jpg?202106-5-RELEASE-marathon-536xx", "■")</f>
        <v>■</v>
      </c>
      <c r="F12" s="14" t="s">
        <v>17408</v>
      </c>
      <c r="G12" s="7">
        <v>77962</v>
      </c>
      <c r="H12" s="7">
        <v>85956</v>
      </c>
      <c r="I12" s="14">
        <v>29</v>
      </c>
      <c r="J12" s="14" t="s">
        <v>26</v>
      </c>
      <c r="K12" s="7" t="s">
        <v>17407</v>
      </c>
      <c r="L12" s="7" t="s">
        <v>3383</v>
      </c>
      <c r="M12" s="14" t="s">
        <v>9158</v>
      </c>
      <c r="N12" s="14" t="s">
        <v>9158</v>
      </c>
      <c r="O12" s="14" t="s">
        <v>9158</v>
      </c>
      <c r="P12" s="14" t="s">
        <v>9158</v>
      </c>
      <c r="Q12" s="14" t="s">
        <v>9158</v>
      </c>
    </row>
    <row r="13" spans="1:19">
      <c r="A13" s="14">
        <v>98403</v>
      </c>
      <c r="B13" s="14" t="s">
        <v>22</v>
      </c>
      <c r="C13" s="14" t="s">
        <v>14</v>
      </c>
      <c r="D13" s="18" t="s">
        <v>17410</v>
      </c>
      <c r="E13" s="15" t="str">
        <f>HYPERLINK("https://stat100.ameba.jp/tnk47/ratio20/illustrations/card/ill_98403_sengikuhime03.jpg?202106-5-RELEASE-marathon-536xx", "■")</f>
        <v>■</v>
      </c>
      <c r="F13" s="14" t="s">
        <v>17414</v>
      </c>
      <c r="G13" s="14">
        <v>46676</v>
      </c>
      <c r="H13" s="14">
        <v>56138</v>
      </c>
      <c r="I13" s="7">
        <v>27</v>
      </c>
      <c r="J13" s="14" t="s">
        <v>77</v>
      </c>
      <c r="K13" s="7" t="s">
        <v>17415</v>
      </c>
      <c r="L13" s="7" t="s">
        <v>3506</v>
      </c>
      <c r="M13" s="14" t="s">
        <v>9158</v>
      </c>
      <c r="N13" s="14" t="s">
        <v>9158</v>
      </c>
      <c r="O13" s="14" t="s">
        <v>9158</v>
      </c>
      <c r="P13" s="14" t="s">
        <v>9158</v>
      </c>
      <c r="Q13" s="14" t="s">
        <v>9158</v>
      </c>
    </row>
    <row r="14" spans="1:19">
      <c r="A14" s="14">
        <v>98423</v>
      </c>
      <c r="B14" s="14" t="s">
        <v>22</v>
      </c>
      <c r="C14" s="14" t="s">
        <v>23</v>
      </c>
      <c r="D14" s="18" t="s">
        <v>17411</v>
      </c>
      <c r="E14" s="15" t="str">
        <f>HYPERLINK("https://stat100.ameba.jp/tnk47/ratio20/illustrations/card/ill_98423_saiyukininomiyakinjiro03.jpg?202106-5-RELEASE-marathon-536xx", "■")</f>
        <v>■</v>
      </c>
      <c r="F14" s="14" t="s">
        <v>17416</v>
      </c>
      <c r="G14" s="14">
        <v>46676</v>
      </c>
      <c r="H14" s="14">
        <v>56138</v>
      </c>
      <c r="I14" s="7">
        <v>27</v>
      </c>
      <c r="J14" s="14" t="s">
        <v>10</v>
      </c>
      <c r="K14" s="7" t="s">
        <v>17417</v>
      </c>
      <c r="L14" s="7" t="s">
        <v>9347</v>
      </c>
      <c r="M14" s="14" t="s">
        <v>9158</v>
      </c>
      <c r="N14" s="14" t="s">
        <v>9158</v>
      </c>
      <c r="O14" s="14" t="s">
        <v>9158</v>
      </c>
      <c r="P14" s="14" t="s">
        <v>9158</v>
      </c>
      <c r="Q14" s="14" t="s">
        <v>9158</v>
      </c>
    </row>
    <row r="15" spans="1:19">
      <c r="A15" s="14">
        <v>98413</v>
      </c>
      <c r="B15" s="14" t="s">
        <v>22</v>
      </c>
      <c r="C15" s="14" t="s">
        <v>96</v>
      </c>
      <c r="D15" s="18" t="s">
        <v>17412</v>
      </c>
      <c r="E15" s="15" t="str">
        <f>HYPERLINK("https://stat100.ameba.jp/tnk47/ratio20/illustrations/card/ill_98413_baresukutakoyakichan03.jpg?202106-5-RELEASE-marathon-536xx", "■")</f>
        <v>■</v>
      </c>
      <c r="F15" s="14" t="s">
        <v>17418</v>
      </c>
      <c r="G15" s="14">
        <v>56138</v>
      </c>
      <c r="H15" s="14">
        <v>46676</v>
      </c>
      <c r="I15" s="7">
        <v>27</v>
      </c>
      <c r="J15" s="14" t="s">
        <v>104</v>
      </c>
      <c r="K15" s="7" t="s">
        <v>17419</v>
      </c>
      <c r="L15" s="7" t="s">
        <v>3741</v>
      </c>
      <c r="M15" s="14" t="s">
        <v>9158</v>
      </c>
      <c r="N15" s="14" t="s">
        <v>9158</v>
      </c>
      <c r="O15" s="14" t="s">
        <v>9158</v>
      </c>
      <c r="P15" s="14" t="s">
        <v>9158</v>
      </c>
      <c r="Q15" s="14" t="s">
        <v>9158</v>
      </c>
    </row>
    <row r="16" spans="1:19">
      <c r="A16" s="14">
        <v>98433</v>
      </c>
      <c r="B16" s="14" t="s">
        <v>22</v>
      </c>
      <c r="C16" s="14" t="s">
        <v>107</v>
      </c>
      <c r="D16" s="18" t="s">
        <v>17413</v>
      </c>
      <c r="E16" s="15" t="str">
        <f>HYPERLINK("https://stat100.ameba.jp/tnk47/ratio20/illustrations/card/ill_98433_ritorukupido03.jpg?202106-5-RELEASE-marathon-536xx", "■")</f>
        <v>■</v>
      </c>
      <c r="F16" s="14" t="s">
        <v>17421</v>
      </c>
      <c r="G16" s="14">
        <v>56138</v>
      </c>
      <c r="H16" s="14">
        <v>46676</v>
      </c>
      <c r="I16" s="7">
        <v>27</v>
      </c>
      <c r="J16" s="14" t="s">
        <v>44</v>
      </c>
      <c r="K16" s="7" t="s">
        <v>17420</v>
      </c>
      <c r="L16" s="7" t="s">
        <v>4531</v>
      </c>
      <c r="M16" s="14" t="s">
        <v>9158</v>
      </c>
      <c r="N16" s="14" t="s">
        <v>9158</v>
      </c>
      <c r="O16" s="14" t="s">
        <v>9158</v>
      </c>
      <c r="P16" s="14" t="s">
        <v>9158</v>
      </c>
      <c r="Q16" s="14" t="s">
        <v>9158</v>
      </c>
    </row>
    <row r="17" spans="1:18">
      <c r="D17" s="7"/>
    </row>
    <row r="18" spans="1:18">
      <c r="A18" s="14" t="s">
        <v>17519</v>
      </c>
      <c r="D18" s="7"/>
    </row>
    <row r="19" spans="1:18">
      <c r="A19" s="14">
        <v>238693</v>
      </c>
      <c r="B19" s="14" t="s">
        <v>4889</v>
      </c>
      <c r="D19" s="7"/>
    </row>
    <row r="20" spans="1:18">
      <c r="A20" s="14">
        <v>98445</v>
      </c>
      <c r="B20" s="14" t="s">
        <v>0</v>
      </c>
      <c r="C20" s="14" t="s">
        <v>202</v>
      </c>
      <c r="D20" s="18" t="s">
        <v>17525</v>
      </c>
      <c r="E20" s="15" t="str">
        <f>HYPERLINK("https://stat100.ameba.jp/tnk47/ratio20/illustrations/card/ill_98445_yuenchisutaffuakazomemon05.jpg?202106-5-RELEASE-marathon-536xx", "■")</f>
        <v>■</v>
      </c>
      <c r="F20" s="14" t="s">
        <v>17524</v>
      </c>
      <c r="G20" s="14">
        <v>217871</v>
      </c>
      <c r="H20" s="14">
        <v>157763</v>
      </c>
      <c r="I20" s="14">
        <v>29</v>
      </c>
      <c r="J20" s="14" t="s">
        <v>10</v>
      </c>
      <c r="K20" s="14" t="s">
        <v>17523</v>
      </c>
      <c r="L20" s="14" t="s">
        <v>13407</v>
      </c>
      <c r="M20" s="14" t="s">
        <v>9158</v>
      </c>
      <c r="N20" s="14" t="s">
        <v>9158</v>
      </c>
      <c r="O20" s="14" t="s">
        <v>9158</v>
      </c>
      <c r="P20" s="14" t="s">
        <v>9158</v>
      </c>
      <c r="Q20" s="14" t="s">
        <v>9158</v>
      </c>
      <c r="R20" s="14" t="s">
        <v>174</v>
      </c>
    </row>
    <row r="21" spans="1:18">
      <c r="A21" s="14">
        <v>98443</v>
      </c>
      <c r="B21" s="14" t="s">
        <v>15</v>
      </c>
      <c r="C21" s="14" t="s">
        <v>47</v>
      </c>
      <c r="D21" s="18" t="s">
        <v>17525</v>
      </c>
      <c r="E21" s="15" t="str">
        <f>HYPERLINK("https://stat100.ameba.jp/tnk47/ratio20/illustrations/card/ill_98443_yuenchisutaffuakazomemon03.jpg?202106-5-RELEASE-marathon-536xx", "■")</f>
        <v>■</v>
      </c>
      <c r="F21" s="14" t="s">
        <v>17524</v>
      </c>
      <c r="G21" s="14">
        <v>160527</v>
      </c>
      <c r="H21" s="14">
        <v>116243</v>
      </c>
      <c r="I21" s="14">
        <v>29</v>
      </c>
      <c r="J21" s="14" t="s">
        <v>10</v>
      </c>
      <c r="K21" s="14" t="s">
        <v>17523</v>
      </c>
      <c r="L21" s="14" t="s">
        <v>13408</v>
      </c>
      <c r="M21" s="14" t="s">
        <v>9158</v>
      </c>
      <c r="N21" s="14" t="s">
        <v>9158</v>
      </c>
      <c r="O21" s="14" t="s">
        <v>9158</v>
      </c>
      <c r="P21" s="14" t="s">
        <v>9158</v>
      </c>
      <c r="Q21" s="14" t="s">
        <v>9158</v>
      </c>
      <c r="R21" s="14" t="s">
        <v>175</v>
      </c>
    </row>
    <row r="22" spans="1:18">
      <c r="A22" s="14">
        <v>98441</v>
      </c>
      <c r="B22" s="14" t="s">
        <v>15</v>
      </c>
      <c r="C22" s="14" t="s">
        <v>47</v>
      </c>
      <c r="D22" s="18" t="s">
        <v>17525</v>
      </c>
      <c r="E22" s="15" t="str">
        <f>HYPERLINK("https://stat100.ameba.jp/tnk47/ratio20/illustrations/card/ill_98441_yuenchisutaffuakazomemon01.jpg?202106-5-RELEASE-marathon-536xx", "■")</f>
        <v>■</v>
      </c>
      <c r="F22" s="14" t="s">
        <v>17524</v>
      </c>
      <c r="G22" s="14">
        <v>102109</v>
      </c>
      <c r="H22" s="14">
        <v>73950</v>
      </c>
      <c r="I22" s="14">
        <v>29</v>
      </c>
      <c r="J22" s="14" t="s">
        <v>10</v>
      </c>
      <c r="K22" s="14" t="s">
        <v>17523</v>
      </c>
      <c r="L22" s="14" t="s">
        <v>6370</v>
      </c>
      <c r="M22" s="14" t="s">
        <v>9158</v>
      </c>
      <c r="N22" s="14" t="s">
        <v>9158</v>
      </c>
      <c r="O22" s="14" t="s">
        <v>9158</v>
      </c>
      <c r="P22" s="14" t="s">
        <v>9158</v>
      </c>
      <c r="Q22" s="14" t="s">
        <v>9158</v>
      </c>
      <c r="R22" s="14" t="s">
        <v>176</v>
      </c>
    </row>
    <row r="23" spans="1:18">
      <c r="D23" s="7"/>
    </row>
    <row r="24" spans="1:18">
      <c r="A24" s="14" t="s">
        <v>17520</v>
      </c>
      <c r="D24" s="7"/>
    </row>
    <row r="25" spans="1:18">
      <c r="A25" s="14">
        <v>109125</v>
      </c>
      <c r="B25" s="14" t="s">
        <v>17522</v>
      </c>
      <c r="D25" s="7"/>
    </row>
    <row r="26" spans="1:18">
      <c r="A26" s="14" t="s">
        <v>15807</v>
      </c>
      <c r="B26" s="14" t="s">
        <v>52</v>
      </c>
      <c r="C26" s="14" t="s">
        <v>35</v>
      </c>
      <c r="D26" s="14" t="s">
        <v>15808</v>
      </c>
      <c r="E26" s="15" t="str">
        <f>HYPERLINK("https://stat100.ameba.jp/tnk47/ratio20/illustrations/card/ill_95013_0_shinshunnisennijuichiayakashi03.jpg?202106-5-RELEASE-marathon-536xx", "■")</f>
        <v>■</v>
      </c>
      <c r="F26" s="14" t="s">
        <v>15806</v>
      </c>
      <c r="G26" s="14">
        <v>278470</v>
      </c>
      <c r="H26" s="14">
        <v>308104</v>
      </c>
      <c r="I26" s="14">
        <v>28</v>
      </c>
      <c r="J26" s="14" t="s">
        <v>73</v>
      </c>
      <c r="K26" s="14" t="s">
        <v>15805</v>
      </c>
      <c r="L26" s="14" t="s">
        <v>15804</v>
      </c>
      <c r="M26" s="14" t="s">
        <v>9158</v>
      </c>
      <c r="N26" s="14" t="s">
        <v>9158</v>
      </c>
      <c r="O26" s="14" t="s">
        <v>15802</v>
      </c>
      <c r="P26" s="14" t="s">
        <v>15803</v>
      </c>
      <c r="Q26" s="14">
        <v>0</v>
      </c>
    </row>
    <row r="27" spans="1:18">
      <c r="A27" s="14" t="s">
        <v>16084</v>
      </c>
      <c r="B27" s="7" t="s">
        <v>52</v>
      </c>
      <c r="C27" s="14" t="s">
        <v>202</v>
      </c>
      <c r="D27" s="18" t="s">
        <v>16083</v>
      </c>
      <c r="E27" s="15" t="str">
        <f>HYPERLINK("https://stat100.ameba.jp/tnk47/ratio20/illustrations/card/ill_95653_0_barentaindefukuhime03.jpg?202106-5-RELEASE-marathon-536xx", "■")</f>
        <v>■</v>
      </c>
      <c r="F27" s="14" t="s">
        <v>16082</v>
      </c>
      <c r="G27" s="14">
        <v>322612</v>
      </c>
      <c r="H27" s="14">
        <v>263960</v>
      </c>
      <c r="I27" s="7">
        <v>28</v>
      </c>
      <c r="J27" s="14" t="s">
        <v>77</v>
      </c>
      <c r="K27" s="14" t="s">
        <v>16081</v>
      </c>
      <c r="L27" s="14" t="s">
        <v>16080</v>
      </c>
      <c r="M27" s="14" t="s">
        <v>9158</v>
      </c>
      <c r="N27" s="14" t="s">
        <v>9158</v>
      </c>
      <c r="O27" s="7" t="s">
        <v>16086</v>
      </c>
      <c r="P27" s="7" t="s">
        <v>16085</v>
      </c>
      <c r="Q27" s="7">
        <v>1</v>
      </c>
    </row>
    <row r="28" spans="1:18">
      <c r="A28" s="14" t="s">
        <v>14533</v>
      </c>
      <c r="B28" s="7" t="s">
        <v>52</v>
      </c>
      <c r="C28" s="14" t="s">
        <v>202</v>
      </c>
      <c r="D28" s="18" t="s">
        <v>14532</v>
      </c>
      <c r="E28" s="15" t="str">
        <f>HYPERLINK("https://stat100.ameba.jp/tnk47/ratio20/illustrations/card/ill_91703_0_ninjashugyohanakosan03.jpg?202106-5-RELEASE-marathon-536xx", "■")</f>
        <v>■</v>
      </c>
      <c r="F28" s="14" t="s">
        <v>14534</v>
      </c>
      <c r="G28" s="14">
        <v>292832</v>
      </c>
      <c r="H28" s="14">
        <v>324004</v>
      </c>
      <c r="I28" s="7">
        <v>28</v>
      </c>
      <c r="J28" s="14" t="s">
        <v>77</v>
      </c>
      <c r="K28" s="14" t="s">
        <v>14536</v>
      </c>
      <c r="L28" s="14" t="s">
        <v>14535</v>
      </c>
      <c r="M28" s="14" t="s">
        <v>9158</v>
      </c>
      <c r="N28" s="14" t="s">
        <v>9158</v>
      </c>
      <c r="O28" s="6" t="s">
        <v>14539</v>
      </c>
      <c r="P28" s="7" t="s">
        <v>14538</v>
      </c>
      <c r="Q28" s="7">
        <v>1</v>
      </c>
    </row>
    <row r="29" spans="1:18">
      <c r="A29" s="14" t="s">
        <v>15831</v>
      </c>
      <c r="B29" s="7" t="s">
        <v>52</v>
      </c>
      <c r="C29" s="14" t="s">
        <v>202</v>
      </c>
      <c r="D29" s="18" t="s">
        <v>15825</v>
      </c>
      <c r="E29" s="15" t="str">
        <f>HYPERLINK("https://stat100.ameba.jp/tnk47/ratio20/illustrations/card/ill_94293_0_kurisumasupurezentofukudahideko03.jpg?202106-5-RELEASE-marathon-536xx", "■")</f>
        <v>■</v>
      </c>
      <c r="F29" s="14" t="s">
        <v>15830</v>
      </c>
      <c r="G29" s="14">
        <v>308104</v>
      </c>
      <c r="H29" s="14">
        <v>278470</v>
      </c>
      <c r="I29" s="7">
        <v>28</v>
      </c>
      <c r="J29" s="14" t="s">
        <v>16</v>
      </c>
      <c r="K29" s="14" t="s">
        <v>15829</v>
      </c>
      <c r="L29" s="14" t="s">
        <v>15828</v>
      </c>
      <c r="M29" s="14" t="s">
        <v>9158</v>
      </c>
      <c r="N29" s="14" t="s">
        <v>9158</v>
      </c>
      <c r="O29" s="6" t="s">
        <v>15827</v>
      </c>
      <c r="P29" s="7" t="s">
        <v>15826</v>
      </c>
      <c r="Q29" s="7">
        <v>1</v>
      </c>
    </row>
    <row r="30" spans="1:18">
      <c r="A30" s="14" t="s">
        <v>12532</v>
      </c>
      <c r="B30" s="7" t="s">
        <v>52</v>
      </c>
      <c r="C30" s="14" t="s">
        <v>202</v>
      </c>
      <c r="D30" s="18" t="s">
        <v>12528</v>
      </c>
      <c r="E30" s="15" t="str">
        <f>HYPERLINK("https://stat100.ameba.jp/tnk47/ratio20/illustrations/card/ill_89073_0_efuwanresuyokohamaserachan03.jpg?202106-5-RELEASE-marathon-536xx", "■")</f>
        <v>■</v>
      </c>
      <c r="F30" s="14" t="s">
        <v>12529</v>
      </c>
      <c r="G30" s="14">
        <v>307998</v>
      </c>
      <c r="H30" s="14">
        <v>340784</v>
      </c>
      <c r="I30" s="7">
        <v>28</v>
      </c>
      <c r="J30" s="14" t="s">
        <v>229</v>
      </c>
      <c r="K30" s="14" t="s">
        <v>12530</v>
      </c>
      <c r="L30" s="14" t="s">
        <v>12531</v>
      </c>
      <c r="M30" s="14" t="s">
        <v>9158</v>
      </c>
      <c r="N30" s="14" t="s">
        <v>9158</v>
      </c>
      <c r="O30" s="6" t="s">
        <v>12533</v>
      </c>
      <c r="P30" s="7" t="s">
        <v>12534</v>
      </c>
      <c r="Q30" s="7">
        <v>1</v>
      </c>
    </row>
    <row r="31" spans="1:18">
      <c r="A31" s="14">
        <v>91873</v>
      </c>
      <c r="B31" s="14" t="s">
        <v>0</v>
      </c>
      <c r="C31" s="14" t="s">
        <v>185</v>
      </c>
      <c r="D31" s="14" t="s">
        <v>14698</v>
      </c>
      <c r="E31" s="15" t="str">
        <f>HYPERLINK("https://stat100.ameba.jp/tnk47/ratio20/illustrations/card/ill_91873_mahogakkosabanto03.jpg?202106-5-RELEASE-marathon-536xx", "■")</f>
        <v>■</v>
      </c>
      <c r="F31" s="14" t="s">
        <v>14697</v>
      </c>
      <c r="G31" s="14">
        <v>109970</v>
      </c>
      <c r="H31" s="14">
        <v>118287</v>
      </c>
      <c r="I31" s="14">
        <v>29</v>
      </c>
      <c r="J31" s="14" t="s">
        <v>44</v>
      </c>
      <c r="K31" s="14" t="s">
        <v>14695</v>
      </c>
      <c r="L31" s="14" t="s">
        <v>14694</v>
      </c>
      <c r="M31" s="14" t="s">
        <v>9158</v>
      </c>
      <c r="N31" s="14" t="s">
        <v>9158</v>
      </c>
      <c r="O31" s="14" t="s">
        <v>9158</v>
      </c>
      <c r="P31" s="14" t="s">
        <v>9158</v>
      </c>
      <c r="Q31" s="14" t="s">
        <v>9158</v>
      </c>
    </row>
    <row r="32" spans="1:18">
      <c r="A32" s="14">
        <v>95813</v>
      </c>
      <c r="B32" s="14" t="s">
        <v>0</v>
      </c>
      <c r="C32" s="14" t="s">
        <v>23</v>
      </c>
      <c r="D32" s="14" t="s">
        <v>16139</v>
      </c>
      <c r="E32" s="15" t="str">
        <f>HYPERLINK("https://stat100.ameba.jp/tnk47/ratio20/illustrations/card/ill_95813_kirin03.jpg?202106-5-RELEASE-marathon-536xx", "■")</f>
        <v>■</v>
      </c>
      <c r="F32" s="14" t="s">
        <v>16138</v>
      </c>
      <c r="G32" s="14">
        <v>113277</v>
      </c>
      <c r="H32" s="14">
        <v>105281</v>
      </c>
      <c r="I32" s="14">
        <v>29</v>
      </c>
      <c r="J32" s="14" t="s">
        <v>38</v>
      </c>
      <c r="K32" s="14" t="s">
        <v>16137</v>
      </c>
      <c r="L32" s="14" t="s">
        <v>16136</v>
      </c>
      <c r="M32" s="14" t="s">
        <v>9158</v>
      </c>
      <c r="N32" s="14" t="s">
        <v>9158</v>
      </c>
      <c r="O32" s="14" t="s">
        <v>9158</v>
      </c>
      <c r="P32" s="14" t="s">
        <v>9158</v>
      </c>
      <c r="Q32" s="14" t="s">
        <v>9158</v>
      </c>
    </row>
    <row r="33" spans="1:19">
      <c r="A33" s="14">
        <v>96553</v>
      </c>
      <c r="B33" s="14" t="s">
        <v>0</v>
      </c>
      <c r="C33" s="14" t="s">
        <v>101</v>
      </c>
      <c r="D33" s="14" t="s">
        <v>16826</v>
      </c>
      <c r="E33" s="15" t="str">
        <f>HYPERLINK("https://stat100.ameba.jp/tnk47/ratio20/illustrations/card/ill_96553_saishomarugotto03.jpg?202106-5-RELEASE-marathon-536xx", "■")</f>
        <v>■</v>
      </c>
      <c r="F33" s="14" t="s">
        <v>16825</v>
      </c>
      <c r="G33" s="14">
        <v>105281</v>
      </c>
      <c r="H33" s="14">
        <v>113277</v>
      </c>
      <c r="I33" s="14">
        <v>29</v>
      </c>
      <c r="J33" s="14" t="s">
        <v>44</v>
      </c>
      <c r="K33" s="14" t="s">
        <v>16824</v>
      </c>
      <c r="L33" s="14" t="s">
        <v>16823</v>
      </c>
      <c r="M33" s="14" t="s">
        <v>9158</v>
      </c>
      <c r="N33" s="14" t="s">
        <v>9158</v>
      </c>
      <c r="O33" s="14" t="s">
        <v>9158</v>
      </c>
      <c r="P33" s="14" t="s">
        <v>9158</v>
      </c>
      <c r="Q33" s="14" t="s">
        <v>9158</v>
      </c>
    </row>
    <row r="34" spans="1:19">
      <c r="A34" s="14">
        <v>95183</v>
      </c>
      <c r="B34" s="14" t="s">
        <v>0</v>
      </c>
      <c r="C34" s="14" t="s">
        <v>96</v>
      </c>
      <c r="D34" s="14" t="s">
        <v>15936</v>
      </c>
      <c r="E34" s="15" t="str">
        <f>HYPERLINK("https://stat100.ameba.jp/tnk47/ratio20/illustrations/card/ill_95183_samuzorarukusukanderachan03.jpg?202106-5-RELEASE-marathon-536xx", "■")</f>
        <v>■</v>
      </c>
      <c r="F34" s="14" t="s">
        <v>15935</v>
      </c>
      <c r="G34" s="14">
        <v>160296</v>
      </c>
      <c r="H34" s="14">
        <v>172397</v>
      </c>
      <c r="I34" s="14">
        <v>29</v>
      </c>
      <c r="J34" s="14" t="s">
        <v>73</v>
      </c>
      <c r="K34" s="14" t="s">
        <v>15930</v>
      </c>
      <c r="L34" s="14" t="s">
        <v>12721</v>
      </c>
      <c r="M34" s="14" t="s">
        <v>9158</v>
      </c>
      <c r="N34" s="14" t="s">
        <v>9158</v>
      </c>
      <c r="O34" s="14" t="s">
        <v>9158</v>
      </c>
      <c r="P34" s="14" t="s">
        <v>9158</v>
      </c>
      <c r="Q34" s="14" t="s">
        <v>9158</v>
      </c>
    </row>
    <row r="35" spans="1:19">
      <c r="A35" s="14">
        <v>93743</v>
      </c>
      <c r="B35" s="14" t="s">
        <v>0</v>
      </c>
      <c r="C35" s="14" t="s">
        <v>1</v>
      </c>
      <c r="D35" s="14" t="s">
        <v>15531</v>
      </c>
      <c r="E35" s="15" t="str">
        <f>HYPERLINK("https://stat100.ameba.jp/tnk47/ratio20/illustrations/card/ill_93743_bampaiahantakamiyoame03.jpg?202106-5-RELEASE-marathon-536xx", "■")</f>
        <v>■</v>
      </c>
      <c r="F35" s="14" t="s">
        <v>15530</v>
      </c>
      <c r="G35" s="14">
        <v>160296</v>
      </c>
      <c r="H35" s="14">
        <v>172397</v>
      </c>
      <c r="I35" s="14">
        <v>29</v>
      </c>
      <c r="J35" s="14" t="s">
        <v>104</v>
      </c>
      <c r="K35" s="14" t="s">
        <v>15528</v>
      </c>
      <c r="L35" s="14" t="s">
        <v>12356</v>
      </c>
      <c r="M35" s="14" t="s">
        <v>9158</v>
      </c>
      <c r="N35" s="14" t="s">
        <v>9158</v>
      </c>
      <c r="O35" s="14" t="s">
        <v>9158</v>
      </c>
      <c r="P35" s="14" t="s">
        <v>9158</v>
      </c>
      <c r="Q35" s="14" t="s">
        <v>9864</v>
      </c>
    </row>
    <row r="36" spans="1:19">
      <c r="A36" s="14">
        <v>95713</v>
      </c>
      <c r="B36" s="14" t="s">
        <v>0</v>
      </c>
      <c r="C36" s="14" t="s">
        <v>107</v>
      </c>
      <c r="D36" s="14" t="s">
        <v>16194</v>
      </c>
      <c r="E36" s="15" t="str">
        <f>HYPERLINK("https://stat100.ameba.jp/tnk47/ratio20/illustrations/card/ill_95713_barentaindeosabi03.jpg?202106-5-RELEASE-marathon-536xx", "■")</f>
        <v>■</v>
      </c>
      <c r="F36" s="14" t="s">
        <v>16193</v>
      </c>
      <c r="G36" s="14">
        <v>113277</v>
      </c>
      <c r="H36" s="14">
        <v>105281</v>
      </c>
      <c r="I36" s="14">
        <v>29</v>
      </c>
      <c r="J36" s="14" t="s">
        <v>73</v>
      </c>
      <c r="K36" s="14" t="s">
        <v>16192</v>
      </c>
      <c r="L36" s="14" t="s">
        <v>16191</v>
      </c>
      <c r="M36" s="14" t="s">
        <v>9158</v>
      </c>
      <c r="N36" s="14" t="s">
        <v>9158</v>
      </c>
      <c r="O36" s="14" t="s">
        <v>9158</v>
      </c>
      <c r="P36" s="14" t="s">
        <v>9158</v>
      </c>
      <c r="Q36" s="14" t="s">
        <v>9158</v>
      </c>
    </row>
    <row r="38" spans="1:19">
      <c r="A38" s="14" t="s">
        <v>4012</v>
      </c>
    </row>
    <row r="39" spans="1:19">
      <c r="A39" s="14">
        <v>238719</v>
      </c>
      <c r="B39" s="14" t="s">
        <v>17521</v>
      </c>
    </row>
    <row r="40" spans="1:19">
      <c r="A40" s="14" t="s">
        <v>5601</v>
      </c>
      <c r="B40" s="14" t="s">
        <v>330</v>
      </c>
      <c r="C40" s="14" t="s">
        <v>35</v>
      </c>
      <c r="D40" s="19" t="s">
        <v>10318</v>
      </c>
      <c r="E40" s="15" t="str">
        <f>HYPERLINK("https://stat100.ameba.jp/tnk47/ratio20/illustrations/card/ill_82423_0_bikinigarukishi03.jpg?202106-5-RELEASE-marathon-536xx", "■")</f>
        <v>■</v>
      </c>
      <c r="F40" s="14" t="s">
        <v>5391</v>
      </c>
      <c r="G40" s="14">
        <v>326924</v>
      </c>
      <c r="H40" s="14">
        <v>295479</v>
      </c>
      <c r="I40" s="14">
        <v>27</v>
      </c>
      <c r="J40" s="14" t="s">
        <v>77</v>
      </c>
      <c r="K40" s="14" t="s">
        <v>5392</v>
      </c>
      <c r="L40" s="14" t="s">
        <v>5393</v>
      </c>
      <c r="M40" s="14" t="s">
        <v>9158</v>
      </c>
      <c r="N40" s="14" t="s">
        <v>9158</v>
      </c>
      <c r="O40" s="19" t="s">
        <v>10069</v>
      </c>
      <c r="P40" s="14" t="s">
        <v>5394</v>
      </c>
      <c r="Q40" s="14">
        <v>1</v>
      </c>
    </row>
    <row r="41" spans="1:19">
      <c r="A41" s="14" t="s">
        <v>5725</v>
      </c>
      <c r="B41" s="14" t="s">
        <v>52</v>
      </c>
      <c r="C41" s="14" t="s">
        <v>107</v>
      </c>
      <c r="D41" s="19" t="s">
        <v>543</v>
      </c>
      <c r="E41" s="15" t="str">
        <f>HYPERLINK("https://stat100.ameba.jp/tnk47/ratio20/illustrations/card/ill_52693_0_sengokumibirakiyanagiharabyakuren03.jpg?202106-5-RELEASE-marathon-536xx", "■")</f>
        <v>■</v>
      </c>
      <c r="F41" s="14" t="s">
        <v>1246</v>
      </c>
      <c r="G41" s="14">
        <v>150680</v>
      </c>
      <c r="H41" s="14">
        <v>169624</v>
      </c>
      <c r="I41" s="14">
        <v>27</v>
      </c>
      <c r="J41" s="14" t="s">
        <v>16</v>
      </c>
      <c r="K41" s="14" t="s">
        <v>1247</v>
      </c>
      <c r="L41" s="14" t="s">
        <v>1248</v>
      </c>
      <c r="M41" s="14" t="s">
        <v>9158</v>
      </c>
      <c r="N41" s="14" t="s">
        <v>9158</v>
      </c>
      <c r="O41" s="19" t="s">
        <v>2886</v>
      </c>
      <c r="P41" s="14" t="s">
        <v>3304</v>
      </c>
      <c r="Q41" s="14">
        <v>1</v>
      </c>
    </row>
    <row r="42" spans="1:19">
      <c r="A42" s="14" t="s">
        <v>6132</v>
      </c>
      <c r="B42" s="14" t="s">
        <v>52</v>
      </c>
      <c r="C42" s="14" t="s">
        <v>205</v>
      </c>
      <c r="D42" s="19" t="s">
        <v>702</v>
      </c>
      <c r="E42" s="15" t="str">
        <f>HYPERLINK("https://stat100.ameba.jp/tnk47/ratio20/illustrations/card/ill_50693_0_hanamizugimimuratsuru03.jpg?202106-5-RELEASE-marathon-536xx", "■")</f>
        <v>■</v>
      </c>
      <c r="F42" s="14" t="s">
        <v>2282</v>
      </c>
      <c r="G42" s="14">
        <v>150680</v>
      </c>
      <c r="H42" s="14">
        <v>169624</v>
      </c>
      <c r="I42" s="14">
        <v>27</v>
      </c>
      <c r="J42" s="14" t="s">
        <v>143</v>
      </c>
      <c r="K42" s="14" t="s">
        <v>2283</v>
      </c>
      <c r="L42" s="14" t="s">
        <v>2284</v>
      </c>
      <c r="M42" s="14" t="s">
        <v>9158</v>
      </c>
      <c r="N42" s="14" t="s">
        <v>9158</v>
      </c>
      <c r="O42" s="14" t="s">
        <v>9158</v>
      </c>
      <c r="P42" s="14" t="s">
        <v>9158</v>
      </c>
      <c r="Q42" s="14" t="s">
        <v>9158</v>
      </c>
    </row>
    <row r="43" spans="1:19">
      <c r="A43" s="7">
        <v>95503</v>
      </c>
      <c r="B43" s="14" t="s">
        <v>334</v>
      </c>
      <c r="C43" s="7" t="s">
        <v>35</v>
      </c>
      <c r="D43" s="20" t="s">
        <v>17535</v>
      </c>
      <c r="E43" s="15" t="str">
        <f>HYPERLINK("https://stat100.ameba.jp/tnk47/ratio20/illustrations/card/ill_95503_barentaindeamanojaku03.jpg?202106-5-RELEASE-marathon-536xx", "■")</f>
        <v>■</v>
      </c>
      <c r="F43" s="7" t="s">
        <v>17534</v>
      </c>
      <c r="G43" s="7">
        <v>133262</v>
      </c>
      <c r="H43" s="7">
        <v>143328</v>
      </c>
      <c r="I43" s="14">
        <v>29</v>
      </c>
      <c r="J43" s="14" t="s">
        <v>73</v>
      </c>
      <c r="K43" s="7" t="s">
        <v>17533</v>
      </c>
      <c r="L43" s="7" t="s">
        <v>12269</v>
      </c>
      <c r="M43" s="14" t="s">
        <v>9158</v>
      </c>
      <c r="N43" s="14" t="s">
        <v>9158</v>
      </c>
      <c r="O43" s="14" t="s">
        <v>9158</v>
      </c>
      <c r="P43" s="14" t="s">
        <v>9158</v>
      </c>
      <c r="Q43" s="14" t="s">
        <v>9158</v>
      </c>
      <c r="S43" s="14" t="s">
        <v>17543</v>
      </c>
    </row>
    <row r="44" spans="1:19">
      <c r="A44" s="14">
        <v>95233</v>
      </c>
      <c r="B44" s="14" t="s">
        <v>334</v>
      </c>
      <c r="C44" s="14" t="s">
        <v>47</v>
      </c>
      <c r="D44" s="20" t="s">
        <v>17538</v>
      </c>
      <c r="E44" s="15" t="str">
        <f>HYPERLINK("https://stat100.ameba.jp/tnk47/ratio20/illustrations/card/ill_95233_baikinguchan03.jpg?202106-5-RELEASE-marathon-536xx", "■")</f>
        <v>■</v>
      </c>
      <c r="F44" s="14" t="s">
        <v>17537</v>
      </c>
      <c r="G44" s="14">
        <v>105281</v>
      </c>
      <c r="H44" s="14">
        <v>113277</v>
      </c>
      <c r="I44" s="14">
        <v>29</v>
      </c>
      <c r="J44" s="14" t="s">
        <v>10</v>
      </c>
      <c r="K44" s="14" t="s">
        <v>17536</v>
      </c>
      <c r="L44" s="14" t="s">
        <v>1977</v>
      </c>
      <c r="M44" s="14" t="s">
        <v>9158</v>
      </c>
      <c r="N44" s="14" t="s">
        <v>9158</v>
      </c>
      <c r="O44" s="14" t="s">
        <v>9158</v>
      </c>
      <c r="P44" s="14" t="s">
        <v>9158</v>
      </c>
      <c r="Q44" s="14" t="s">
        <v>9158</v>
      </c>
      <c r="S44" s="14" t="s">
        <v>17544</v>
      </c>
    </row>
    <row r="45" spans="1:19">
      <c r="A45" s="14">
        <v>94643</v>
      </c>
      <c r="B45" s="14" t="s">
        <v>334</v>
      </c>
      <c r="C45" s="14" t="s">
        <v>41</v>
      </c>
      <c r="D45" s="19" t="s">
        <v>17542</v>
      </c>
      <c r="E45" s="15" t="str">
        <f>HYPERLINK("https://stat100.ameba.jp/tnk47/ratio20/illustrations/card/ill_94643_seiyadetokotohiraguchan03.jpg?202106-5-RELEASE-marathon-536xx", "■")</f>
        <v>■</v>
      </c>
      <c r="F45" s="14" t="s">
        <v>17541</v>
      </c>
      <c r="G45" s="14">
        <v>118287</v>
      </c>
      <c r="H45" s="14">
        <v>109970</v>
      </c>
      <c r="I45" s="14">
        <v>29</v>
      </c>
      <c r="J45" s="14" t="s">
        <v>26</v>
      </c>
      <c r="K45" s="14" t="s">
        <v>17540</v>
      </c>
      <c r="L45" s="14" t="s">
        <v>17539</v>
      </c>
      <c r="M45" s="14" t="s">
        <v>9158</v>
      </c>
      <c r="N45" s="14" t="s">
        <v>9158</v>
      </c>
      <c r="O45" s="14" t="s">
        <v>9158</v>
      </c>
      <c r="P45" s="14" t="s">
        <v>9158</v>
      </c>
      <c r="Q45" s="14" t="s">
        <v>9158</v>
      </c>
      <c r="S45" s="14" t="s">
        <v>17545</v>
      </c>
    </row>
    <row r="46" spans="1:19">
      <c r="A46" s="7">
        <v>81043</v>
      </c>
      <c r="B46" s="14" t="s">
        <v>15</v>
      </c>
      <c r="C46" s="14" t="s">
        <v>14</v>
      </c>
      <c r="D46" s="20" t="s">
        <v>17528</v>
      </c>
      <c r="E46" s="15" t="str">
        <f>HYPERLINK("https://stat100.ameba.jp/tnk47/ratio20/illustrations/card/ill_81043_tsukinowaguma03.jpg?202106-5-RELEASE-marathon-536xx", "■")</f>
        <v>■</v>
      </c>
      <c r="F46" s="14" t="s">
        <v>17527</v>
      </c>
      <c r="G46" s="14">
        <v>60480</v>
      </c>
      <c r="H46" s="14">
        <v>66690</v>
      </c>
      <c r="I46" s="14">
        <v>27</v>
      </c>
      <c r="J46" s="14" t="s">
        <v>26</v>
      </c>
      <c r="K46" s="14" t="s">
        <v>17526</v>
      </c>
      <c r="L46" s="14" t="s">
        <v>14307</v>
      </c>
      <c r="M46" s="14" t="s">
        <v>9158</v>
      </c>
      <c r="N46" s="14" t="s">
        <v>9158</v>
      </c>
      <c r="O46" s="14" t="s">
        <v>9158</v>
      </c>
      <c r="P46" s="14" t="s">
        <v>9158</v>
      </c>
      <c r="Q46" s="14" t="s">
        <v>9158</v>
      </c>
      <c r="S46" s="14" t="s">
        <v>15297</v>
      </c>
    </row>
    <row r="47" spans="1:19">
      <c r="A47" s="7">
        <v>91563</v>
      </c>
      <c r="B47" s="14" t="s">
        <v>15</v>
      </c>
      <c r="C47" s="14" t="s">
        <v>101</v>
      </c>
      <c r="D47" s="20" t="s">
        <v>17531</v>
      </c>
      <c r="E47" s="15" t="str">
        <f>HYPERLINK("https://stat100.ameba.jp/tnk47/ratio20/illustrations/card/ill_91563_tokagemaru03.jpg?202106-5-RELEASE-marathon-536xx", "■")</f>
        <v>■</v>
      </c>
      <c r="F47" s="14" t="s">
        <v>17530</v>
      </c>
      <c r="G47" s="14">
        <v>80028</v>
      </c>
      <c r="H47" s="14">
        <v>72586</v>
      </c>
      <c r="I47" s="14">
        <v>27</v>
      </c>
      <c r="J47" s="14" t="s">
        <v>73</v>
      </c>
      <c r="K47" s="14" t="s">
        <v>17529</v>
      </c>
      <c r="L47" s="14" t="s">
        <v>4649</v>
      </c>
      <c r="M47" s="14" t="s">
        <v>9158</v>
      </c>
      <c r="N47" s="14" t="s">
        <v>9158</v>
      </c>
      <c r="O47" s="14" t="s">
        <v>9158</v>
      </c>
      <c r="P47" s="14" t="s">
        <v>9158</v>
      </c>
      <c r="Q47" s="14" t="s">
        <v>9158</v>
      </c>
      <c r="S47" s="14" t="s">
        <v>16860</v>
      </c>
    </row>
    <row r="48" spans="1:19">
      <c r="A48" s="9">
        <v>81333</v>
      </c>
      <c r="B48" s="14" t="s">
        <v>15</v>
      </c>
      <c r="C48" s="14" t="s">
        <v>96</v>
      </c>
      <c r="D48" s="14" t="s">
        <v>15996</v>
      </c>
      <c r="E48" s="15" t="str">
        <f>HYPERLINK("https://stat100.ameba.jp/tnk47/ratio20/illustrations/card/ill_81333_otokomatsuriishikawagoemon03.jpg?202106-5-RELEASE-marathon-536xx", "■")</f>
        <v>■</v>
      </c>
      <c r="F48" s="14" t="s">
        <v>15995</v>
      </c>
      <c r="G48" s="14">
        <v>72586</v>
      </c>
      <c r="H48" s="14">
        <v>80028</v>
      </c>
      <c r="I48" s="14">
        <v>27</v>
      </c>
      <c r="J48" s="14" t="s">
        <v>143</v>
      </c>
      <c r="K48" s="14" t="s">
        <v>15993</v>
      </c>
      <c r="L48" s="14" t="s">
        <v>2619</v>
      </c>
      <c r="M48" s="14" t="s">
        <v>9158</v>
      </c>
      <c r="N48" s="14" t="s">
        <v>9158</v>
      </c>
      <c r="O48" s="14" t="s">
        <v>9158</v>
      </c>
      <c r="P48" s="14" t="s">
        <v>9158</v>
      </c>
      <c r="Q48" s="14" t="s">
        <v>9158</v>
      </c>
      <c r="S48" s="14" t="s">
        <v>17532</v>
      </c>
    </row>
    <row r="50" spans="1:18">
      <c r="A50" s="14" t="s">
        <v>4065</v>
      </c>
    </row>
    <row r="51" spans="1:18">
      <c r="A51" s="14">
        <v>109136</v>
      </c>
      <c r="B51" s="14" t="s">
        <v>4907</v>
      </c>
    </row>
    <row r="52" spans="1:18">
      <c r="A52" s="7" t="s">
        <v>8839</v>
      </c>
      <c r="B52" s="7" t="s">
        <v>52</v>
      </c>
      <c r="C52" s="7" t="s">
        <v>202</v>
      </c>
      <c r="D52" s="20" t="s">
        <v>10880</v>
      </c>
      <c r="E52" s="15" t="str">
        <f>HYPERLINK("https://stat100.ameba.jp/tnk47/ratio20/illustrations/card/ill_86273_0_oshogatsuniijimayae03.jpg?202106-5-RELEASE-marathon-536xx", "■")</f>
        <v>■</v>
      </c>
      <c r="F52" s="7" t="s">
        <v>8838</v>
      </c>
      <c r="G52" s="7">
        <v>307296</v>
      </c>
      <c r="H52" s="7">
        <v>340008</v>
      </c>
      <c r="I52" s="7">
        <v>28</v>
      </c>
      <c r="J52" s="14" t="s">
        <v>173</v>
      </c>
      <c r="K52" s="7" t="s">
        <v>8837</v>
      </c>
      <c r="L52" s="7" t="s">
        <v>13211</v>
      </c>
      <c r="M52" s="14" t="s">
        <v>9158</v>
      </c>
      <c r="N52" s="14" t="s">
        <v>9158</v>
      </c>
      <c r="O52" s="19" t="s">
        <v>10134</v>
      </c>
      <c r="P52" s="7" t="s">
        <v>8870</v>
      </c>
      <c r="Q52" s="7">
        <v>1</v>
      </c>
    </row>
    <row r="53" spans="1:18">
      <c r="A53" s="9">
        <v>64893</v>
      </c>
      <c r="B53" s="14" t="s">
        <v>334</v>
      </c>
      <c r="C53" s="14" t="s">
        <v>185</v>
      </c>
      <c r="D53" s="14" t="s">
        <v>1288</v>
      </c>
      <c r="E53" s="15" t="str">
        <f>HYPERLINK("https://stat100.ameba.jp/tnk47/ratio20/illustrations/card/ill_64893_yukataonamihime03.jpg?202106-5-RELEASE-marathon-536xx", "■")</f>
        <v>■</v>
      </c>
      <c r="F53" s="14" t="s">
        <v>1289</v>
      </c>
      <c r="G53" s="14">
        <v>160507</v>
      </c>
      <c r="H53" s="14">
        <v>149240</v>
      </c>
      <c r="I53" s="14">
        <v>27</v>
      </c>
      <c r="J53" s="14" t="s">
        <v>194</v>
      </c>
      <c r="K53" s="14" t="s">
        <v>1290</v>
      </c>
      <c r="L53" s="14" t="s">
        <v>13155</v>
      </c>
      <c r="M53" s="14" t="s">
        <v>9158</v>
      </c>
      <c r="N53" s="14" t="s">
        <v>9158</v>
      </c>
      <c r="O53" s="9" t="s">
        <v>3854</v>
      </c>
      <c r="P53" s="14" t="s">
        <v>13124</v>
      </c>
      <c r="Q53" s="14">
        <v>1</v>
      </c>
    </row>
    <row r="54" spans="1:18">
      <c r="A54" s="14">
        <v>79963</v>
      </c>
      <c r="B54" s="14" t="s">
        <v>0</v>
      </c>
      <c r="C54" s="14" t="s">
        <v>200</v>
      </c>
      <c r="D54" s="20" t="s">
        <v>10477</v>
      </c>
      <c r="E54" s="15" t="str">
        <f>HYPERLINK("https://stat100.ameba.jp/tnk47/ratio20/illustrations/card/ill_79963_hinamatsurirakko03.jpg?202106-5-RELEASE-marathon-536xx", "■")</f>
        <v>■</v>
      </c>
      <c r="F54" s="14" t="s">
        <v>3715</v>
      </c>
      <c r="G54" s="14">
        <v>123002</v>
      </c>
      <c r="H54" s="14">
        <v>114362</v>
      </c>
      <c r="I54" s="14">
        <v>27</v>
      </c>
      <c r="J54" s="14" t="s">
        <v>26</v>
      </c>
      <c r="K54" s="14" t="s">
        <v>3716</v>
      </c>
      <c r="L54" s="14" t="s">
        <v>1086</v>
      </c>
      <c r="M54" s="14" t="s">
        <v>9158</v>
      </c>
      <c r="N54" s="14" t="s">
        <v>9158</v>
      </c>
      <c r="O54" s="19" t="s">
        <v>10090</v>
      </c>
      <c r="P54" s="14" t="s">
        <v>3460</v>
      </c>
      <c r="Q54" s="14">
        <v>1</v>
      </c>
    </row>
    <row r="55" spans="1:18">
      <c r="A55" s="14">
        <v>88323</v>
      </c>
      <c r="B55" s="14" t="s">
        <v>0</v>
      </c>
      <c r="C55" s="14" t="s">
        <v>205</v>
      </c>
      <c r="D55" s="18" t="s">
        <v>12019</v>
      </c>
      <c r="E55" s="15" t="str">
        <f>HYPERLINK("https://stat100.ameba.jp/tnk47/ratio20/illustrations/card/ill_88323_hanamibakedanuki03.jpg?202106-5-RELEASE-marathon-536xx", "■")</f>
        <v>■</v>
      </c>
      <c r="F55" s="14" t="s">
        <v>12020</v>
      </c>
      <c r="G55" s="14">
        <v>104619</v>
      </c>
      <c r="H55" s="14">
        <v>112496</v>
      </c>
      <c r="I55" s="14">
        <v>27</v>
      </c>
      <c r="J55" s="14" t="s">
        <v>73</v>
      </c>
      <c r="K55" s="14" t="s">
        <v>12021</v>
      </c>
      <c r="L55" s="14" t="s">
        <v>12022</v>
      </c>
      <c r="M55" s="14" t="s">
        <v>9158</v>
      </c>
      <c r="N55" s="14" t="s">
        <v>9158</v>
      </c>
      <c r="O55" s="6" t="s">
        <v>10064</v>
      </c>
      <c r="P55" s="7" t="s">
        <v>13150</v>
      </c>
      <c r="Q55" s="7">
        <v>1</v>
      </c>
    </row>
    <row r="57" spans="1:18">
      <c r="A57" s="14" t="s">
        <v>13327</v>
      </c>
    </row>
    <row r="58" spans="1:18">
      <c r="A58" s="14">
        <v>109141</v>
      </c>
      <c r="B58" s="14" t="s">
        <v>4908</v>
      </c>
    </row>
    <row r="59" spans="1:18">
      <c r="A59" s="14">
        <v>99513</v>
      </c>
      <c r="B59" s="14" t="s">
        <v>334</v>
      </c>
      <c r="C59" s="14" t="s">
        <v>14</v>
      </c>
      <c r="D59" s="14" t="s">
        <v>17094</v>
      </c>
      <c r="E59" s="15" t="str">
        <f>HYPERLINK("https://stat100.ameba.jp/tnk47/ratio20/illustrations/card/ill_99513_aberute03.jpg?202106-5-RELEASE-marathon-536xx", "■")</f>
        <v>■</v>
      </c>
      <c r="F59" s="14" t="s">
        <v>17093</v>
      </c>
      <c r="G59" s="14">
        <v>132737</v>
      </c>
      <c r="H59" s="14">
        <v>142768</v>
      </c>
      <c r="I59" s="14">
        <v>29</v>
      </c>
      <c r="J59" s="14" t="s">
        <v>26</v>
      </c>
      <c r="K59" s="14" t="s">
        <v>17092</v>
      </c>
      <c r="L59" s="14" t="s">
        <v>17091</v>
      </c>
      <c r="M59" s="14" t="s">
        <v>2138</v>
      </c>
      <c r="N59" s="14" t="s">
        <v>2139</v>
      </c>
      <c r="O59" s="14" t="s">
        <v>9158</v>
      </c>
      <c r="P59" s="14" t="s">
        <v>9158</v>
      </c>
      <c r="Q59" s="14" t="s">
        <v>9158</v>
      </c>
      <c r="R59" s="14" t="s">
        <v>14748</v>
      </c>
    </row>
    <row r="60" spans="1:18">
      <c r="A60" s="14">
        <v>99512</v>
      </c>
      <c r="B60" s="14" t="s">
        <v>334</v>
      </c>
      <c r="C60" s="14" t="s">
        <v>14</v>
      </c>
      <c r="D60" s="14" t="s">
        <v>17094</v>
      </c>
      <c r="E60" s="15" t="str">
        <f>HYPERLINK("https://stat100.ameba.jp/tnk47/ratio20/illustrations/card/ill_99512_aberute02.jpg?202106-5-RELEASE-marathon-536xx", "■")</f>
        <v>■</v>
      </c>
      <c r="F60" s="14" t="s">
        <v>17093</v>
      </c>
      <c r="G60" s="14">
        <v>109938</v>
      </c>
      <c r="H60" s="14">
        <v>119345</v>
      </c>
      <c r="I60" s="14">
        <v>29</v>
      </c>
      <c r="J60" s="14" t="s">
        <v>26</v>
      </c>
      <c r="K60" s="14" t="s">
        <v>17092</v>
      </c>
      <c r="L60" s="14" t="s">
        <v>17095</v>
      </c>
      <c r="M60" s="14" t="s">
        <v>13270</v>
      </c>
      <c r="N60" s="14" t="s">
        <v>13271</v>
      </c>
      <c r="O60" s="14" t="s">
        <v>9158</v>
      </c>
      <c r="P60" s="14" t="s">
        <v>9158</v>
      </c>
      <c r="Q60" s="14" t="s">
        <v>9158</v>
      </c>
      <c r="R60" s="14" t="s">
        <v>14748</v>
      </c>
    </row>
    <row r="61" spans="1:18">
      <c r="A61" s="14">
        <v>99511</v>
      </c>
      <c r="B61" s="14" t="s">
        <v>334</v>
      </c>
      <c r="C61" s="14" t="s">
        <v>14</v>
      </c>
      <c r="D61" s="14" t="s">
        <v>17094</v>
      </c>
      <c r="E61" s="15" t="str">
        <f>HYPERLINK("https://stat100.ameba.jp/tnk47/ratio20/illustrations/card/ill_99511_aberute01.jpg?202106-5-RELEASE-marathon-536xx", "■")</f>
        <v>■</v>
      </c>
      <c r="F61" s="14" t="s">
        <v>17093</v>
      </c>
      <c r="G61" s="14">
        <v>84825</v>
      </c>
      <c r="H61" s="14">
        <v>91118</v>
      </c>
      <c r="I61" s="14">
        <v>29</v>
      </c>
      <c r="J61" s="14" t="s">
        <v>26</v>
      </c>
      <c r="K61" s="14" t="s">
        <v>17092</v>
      </c>
      <c r="L61" s="14" t="s">
        <v>17096</v>
      </c>
      <c r="M61" s="14" t="s">
        <v>13270</v>
      </c>
      <c r="N61" s="14" t="s">
        <v>13271</v>
      </c>
      <c r="O61" s="14" t="s">
        <v>9158</v>
      </c>
      <c r="P61" s="14" t="s">
        <v>9158</v>
      </c>
      <c r="Q61" s="14" t="s">
        <v>9158</v>
      </c>
      <c r="R61" s="14" t="s">
        <v>14748</v>
      </c>
    </row>
    <row r="62" spans="1:18">
      <c r="A62" s="14">
        <v>99523</v>
      </c>
      <c r="B62" s="14" t="s">
        <v>334</v>
      </c>
      <c r="C62" s="14" t="s">
        <v>23</v>
      </c>
      <c r="D62" s="14" t="s">
        <v>17100</v>
      </c>
      <c r="E62" s="15" t="str">
        <f>HYPERLINK("https://stat100.ameba.jp/tnk47/ratio20/illustrations/card/ill_99523_arukumasshu03.jpg?202106-5-RELEASE-marathon-536xx", "■")</f>
        <v>■</v>
      </c>
      <c r="F62" s="14" t="s">
        <v>17099</v>
      </c>
      <c r="G62" s="14">
        <v>132737</v>
      </c>
      <c r="H62" s="14">
        <v>142768</v>
      </c>
      <c r="I62" s="14">
        <v>29</v>
      </c>
      <c r="J62" s="14" t="s">
        <v>104</v>
      </c>
      <c r="K62" s="14" t="s">
        <v>17098</v>
      </c>
      <c r="L62" s="14" t="s">
        <v>17097</v>
      </c>
      <c r="M62" s="14" t="s">
        <v>2138</v>
      </c>
      <c r="N62" s="14" t="s">
        <v>2139</v>
      </c>
      <c r="O62" s="14" t="s">
        <v>9158</v>
      </c>
      <c r="P62" s="14" t="s">
        <v>9158</v>
      </c>
      <c r="Q62" s="14" t="s">
        <v>9158</v>
      </c>
      <c r="R62" s="14" t="s">
        <v>14748</v>
      </c>
    </row>
    <row r="63" spans="1:18">
      <c r="A63" s="14">
        <v>99533</v>
      </c>
      <c r="B63" s="14" t="s">
        <v>334</v>
      </c>
      <c r="C63" s="14" t="s">
        <v>101</v>
      </c>
      <c r="D63" s="14" t="s">
        <v>17104</v>
      </c>
      <c r="E63" s="15" t="str">
        <f>HYPERLINK("https://stat100.ameba.jp/tnk47/ratio20/illustrations/card/ill_99533_zahhaku03.jpg?202106-5-RELEASE-marathon-536xx", "■")</f>
        <v>■</v>
      </c>
      <c r="F63" s="14" t="s">
        <v>17103</v>
      </c>
      <c r="G63" s="14">
        <v>142768</v>
      </c>
      <c r="H63" s="14">
        <v>132737</v>
      </c>
      <c r="I63" s="14">
        <v>29</v>
      </c>
      <c r="J63" s="14" t="s">
        <v>73</v>
      </c>
      <c r="K63" s="14" t="s">
        <v>17102</v>
      </c>
      <c r="L63" s="14" t="s">
        <v>17101</v>
      </c>
      <c r="M63" s="14" t="s">
        <v>2138</v>
      </c>
      <c r="N63" s="14" t="s">
        <v>2139</v>
      </c>
      <c r="O63" s="14" t="s">
        <v>9158</v>
      </c>
      <c r="P63" s="14" t="s">
        <v>9158</v>
      </c>
      <c r="Q63" s="14" t="s">
        <v>9158</v>
      </c>
      <c r="R63" s="14" t="s">
        <v>14748</v>
      </c>
    </row>
    <row r="64" spans="1:18">
      <c r="A64" s="14">
        <v>99543</v>
      </c>
      <c r="B64" s="14" t="s">
        <v>334</v>
      </c>
      <c r="C64" s="14" t="s">
        <v>96</v>
      </c>
      <c r="D64" s="14" t="s">
        <v>17108</v>
      </c>
      <c r="E64" s="15" t="str">
        <f>HYPERLINK("https://stat100.ameba.jp/tnk47/ratio20/illustrations/card/ill_99543_bega03.jpg?202106-5-RELEASE-marathon-536xx", "■")</f>
        <v>■</v>
      </c>
      <c r="F64" s="14" t="s">
        <v>17107</v>
      </c>
      <c r="G64" s="14">
        <v>142768</v>
      </c>
      <c r="H64" s="14">
        <v>132737</v>
      </c>
      <c r="I64" s="14">
        <v>29</v>
      </c>
      <c r="J64" s="14" t="s">
        <v>44</v>
      </c>
      <c r="K64" s="14" t="s">
        <v>17106</v>
      </c>
      <c r="L64" s="14" t="s">
        <v>17105</v>
      </c>
      <c r="M64" s="14" t="s">
        <v>2138</v>
      </c>
      <c r="N64" s="14" t="s">
        <v>2139</v>
      </c>
      <c r="O64" s="14" t="s">
        <v>9158</v>
      </c>
      <c r="P64" s="14" t="s">
        <v>9158</v>
      </c>
      <c r="Q64" s="14" t="s">
        <v>9158</v>
      </c>
      <c r="R64" s="14" t="s">
        <v>14748</v>
      </c>
    </row>
    <row r="65" spans="1:18">
      <c r="A65" s="14">
        <v>99553</v>
      </c>
      <c r="B65" s="14" t="s">
        <v>334</v>
      </c>
      <c r="C65" s="14" t="s">
        <v>1</v>
      </c>
      <c r="D65" s="14" t="s">
        <v>17112</v>
      </c>
      <c r="E65" s="15" t="str">
        <f>HYPERLINK("https://stat100.ameba.jp/tnk47/ratio20/illustrations/card/ill_99553_shupigeru03.jpg?202106-5-RELEASE-marathon-536xx", "■")</f>
        <v>■</v>
      </c>
      <c r="F65" s="14" t="s">
        <v>17111</v>
      </c>
      <c r="G65" s="14">
        <v>142768</v>
      </c>
      <c r="H65" s="14">
        <v>132737</v>
      </c>
      <c r="I65" s="14">
        <v>29</v>
      </c>
      <c r="J65" s="14" t="s">
        <v>77</v>
      </c>
      <c r="K65" s="14" t="s">
        <v>17110</v>
      </c>
      <c r="L65" s="14" t="s">
        <v>17109</v>
      </c>
      <c r="M65" s="14" t="s">
        <v>2138</v>
      </c>
      <c r="N65" s="14" t="s">
        <v>2139</v>
      </c>
      <c r="O65" s="14" t="s">
        <v>9158</v>
      </c>
      <c r="P65" s="14" t="s">
        <v>9158</v>
      </c>
      <c r="Q65" s="14" t="s">
        <v>9158</v>
      </c>
      <c r="R65" s="14" t="s">
        <v>14748</v>
      </c>
    </row>
    <row r="66" spans="1:18">
      <c r="A66" s="14">
        <v>99563</v>
      </c>
      <c r="B66" s="14" t="s">
        <v>334</v>
      </c>
      <c r="C66" s="14" t="s">
        <v>107</v>
      </c>
      <c r="D66" s="14" t="s">
        <v>17116</v>
      </c>
      <c r="E66" s="15" t="str">
        <f>HYPERLINK("https://stat100.ameba.jp/tnk47/ratio20/illustrations/card/ill_99563_senkinokishiryunnu03.jpg?202106-5-RELEASE-marathon-536xx", "■")</f>
        <v>■</v>
      </c>
      <c r="F66" s="14" t="s">
        <v>17115</v>
      </c>
      <c r="G66" s="14">
        <v>132737</v>
      </c>
      <c r="H66" s="14">
        <v>142768</v>
      </c>
      <c r="I66" s="14">
        <v>29</v>
      </c>
      <c r="J66" s="14" t="s">
        <v>143</v>
      </c>
      <c r="K66" s="14" t="s">
        <v>17114</v>
      </c>
      <c r="L66" s="14" t="s">
        <v>17113</v>
      </c>
      <c r="M66" s="14" t="s">
        <v>2138</v>
      </c>
      <c r="N66" s="14" t="s">
        <v>2139</v>
      </c>
      <c r="O66" s="14" t="s">
        <v>9158</v>
      </c>
      <c r="P66" s="14" t="s">
        <v>9158</v>
      </c>
      <c r="Q66" s="14" t="s">
        <v>9158</v>
      </c>
      <c r="R66" s="14" t="s">
        <v>14748</v>
      </c>
    </row>
    <row r="115" spans="1:17">
      <c r="A115" s="14" t="s">
        <v>3916</v>
      </c>
    </row>
    <row r="116" spans="1:17">
      <c r="A116" s="14">
        <v>109216</v>
      </c>
      <c r="B116" s="14" t="s">
        <v>4979</v>
      </c>
    </row>
    <row r="117" spans="1:17">
      <c r="A117" s="14">
        <v>76103</v>
      </c>
      <c r="B117" s="14" t="s">
        <v>334</v>
      </c>
      <c r="C117" s="14" t="s">
        <v>154</v>
      </c>
      <c r="D117" s="19" t="s">
        <v>570</v>
      </c>
      <c r="E117" s="15" t="str">
        <f>HYPERLINK("https://stat100.ameba.jp/tnk47/ratio20/illustrations/card/ill_76103_shibuaji03.jpg?202106-5-RELEASE-marathon-536xx", "■")</f>
        <v>■</v>
      </c>
      <c r="F117" s="14" t="s">
        <v>1122</v>
      </c>
      <c r="G117" s="14">
        <v>125078</v>
      </c>
      <c r="H117" s="14">
        <v>116296</v>
      </c>
      <c r="I117" s="14">
        <v>29</v>
      </c>
      <c r="J117" s="14" t="s">
        <v>143</v>
      </c>
      <c r="K117" s="14" t="s">
        <v>1123</v>
      </c>
      <c r="L117" s="14" t="s">
        <v>1124</v>
      </c>
      <c r="M117" s="14" t="s">
        <v>9864</v>
      </c>
      <c r="N117" s="14" t="s">
        <v>9158</v>
      </c>
      <c r="O117" s="14" t="s">
        <v>9158</v>
      </c>
      <c r="P117" s="14" t="s">
        <v>9158</v>
      </c>
      <c r="Q117" s="14" t="s">
        <v>9158</v>
      </c>
    </row>
    <row r="118" spans="1:17">
      <c r="A118" s="14">
        <v>76113</v>
      </c>
      <c r="B118" s="14" t="s">
        <v>334</v>
      </c>
      <c r="C118" s="14" t="s">
        <v>158</v>
      </c>
      <c r="D118" s="19" t="s">
        <v>10268</v>
      </c>
      <c r="E118" s="15" t="str">
        <f>HYPERLINK("https://stat100.ameba.jp/tnk47/ratio20/illustrations/card/ill_76113_jannudaruku03.jpg?202106-5-RELEASE-marathon-536xx", "■")</f>
        <v>■</v>
      </c>
      <c r="F118" s="14" t="s">
        <v>1126</v>
      </c>
      <c r="G118" s="14">
        <v>125078</v>
      </c>
      <c r="H118" s="14">
        <v>116296</v>
      </c>
      <c r="I118" s="14">
        <v>29</v>
      </c>
      <c r="J118" s="14" t="s">
        <v>10</v>
      </c>
      <c r="K118" s="14" t="s">
        <v>1127</v>
      </c>
      <c r="L118" s="14" t="s">
        <v>1128</v>
      </c>
      <c r="M118" s="14" t="s">
        <v>9158</v>
      </c>
      <c r="N118" s="14" t="s">
        <v>9158</v>
      </c>
      <c r="O118" s="14" t="s">
        <v>9158</v>
      </c>
      <c r="P118" s="14" t="s">
        <v>9158</v>
      </c>
      <c r="Q118" s="14" t="s">
        <v>9158</v>
      </c>
    </row>
    <row r="119" spans="1:17">
      <c r="A119" s="14">
        <v>63323</v>
      </c>
      <c r="B119" s="14" t="s">
        <v>0</v>
      </c>
      <c r="C119" s="14" t="s">
        <v>200</v>
      </c>
      <c r="D119" s="19" t="s">
        <v>10269</v>
      </c>
      <c r="E119" s="15" t="str">
        <f>HYPERLINK("https://stat100.ameba.jp/tnk47/ratio20/illustrations/card/ill_63323_ajisaikushinadahime03.jpg?202106-5-RELEASE-marathon-536xx", "■")</f>
        <v>■</v>
      </c>
      <c r="F119" s="14" t="s">
        <v>3583</v>
      </c>
      <c r="G119" s="14">
        <v>109970</v>
      </c>
      <c r="H119" s="14">
        <v>118287</v>
      </c>
      <c r="I119" s="14">
        <v>29</v>
      </c>
      <c r="J119" s="14" t="s">
        <v>44</v>
      </c>
      <c r="K119" s="14" t="s">
        <v>3584</v>
      </c>
      <c r="L119" s="14" t="s">
        <v>2400</v>
      </c>
      <c r="M119" s="14" t="s">
        <v>9158</v>
      </c>
      <c r="N119" s="14" t="s">
        <v>9158</v>
      </c>
      <c r="O119" s="14" t="s">
        <v>9158</v>
      </c>
      <c r="P119" s="14" t="s">
        <v>9158</v>
      </c>
      <c r="Q119" s="14" t="s">
        <v>9158</v>
      </c>
    </row>
    <row r="120" spans="1:17">
      <c r="A120" s="14">
        <v>59863</v>
      </c>
      <c r="B120" s="14" t="s">
        <v>334</v>
      </c>
      <c r="C120" s="14" t="s">
        <v>165</v>
      </c>
      <c r="D120" s="19" t="s">
        <v>318</v>
      </c>
      <c r="E120" s="15" t="str">
        <f>HYPERLINK("https://stat100.ameba.jp/tnk47/ratio20/illustrations/card/ill_59863_yoseiichimokuren03.jpg?202106-5-RELEASE-marathon-536xx", "■")</f>
        <v>■</v>
      </c>
      <c r="F120" s="14" t="s">
        <v>319</v>
      </c>
      <c r="G120" s="14">
        <v>120830</v>
      </c>
      <c r="H120" s="14">
        <v>112369</v>
      </c>
      <c r="I120" s="14">
        <v>29</v>
      </c>
      <c r="J120" s="14" t="s">
        <v>320</v>
      </c>
      <c r="K120" s="14" t="s">
        <v>321</v>
      </c>
      <c r="L120" s="14" t="s">
        <v>322</v>
      </c>
      <c r="M120" s="14" t="s">
        <v>9158</v>
      </c>
      <c r="N120" s="14" t="s">
        <v>9158</v>
      </c>
      <c r="O120" s="14" t="s">
        <v>9158</v>
      </c>
      <c r="P120" s="14" t="s">
        <v>9158</v>
      </c>
      <c r="Q120" s="14" t="s">
        <v>9158</v>
      </c>
    </row>
    <row r="121" spans="1:17">
      <c r="A121" s="14">
        <v>51823</v>
      </c>
      <c r="B121" s="14" t="s">
        <v>15</v>
      </c>
      <c r="C121" s="14" t="s">
        <v>101</v>
      </c>
      <c r="D121" s="19" t="s">
        <v>10587</v>
      </c>
      <c r="E121" s="15" t="str">
        <f>HYPERLINK("https://stat100.ameba.jp/tnk47/ratio20/illustrations/card/ill_51823_jukimatsu03.jpg?202106-5-RELEASE-marathon-536xx", "■")</f>
        <v>■</v>
      </c>
      <c r="F121" s="14" t="s">
        <v>6742</v>
      </c>
      <c r="G121" s="14">
        <v>64520</v>
      </c>
      <c r="H121" s="14">
        <v>71136</v>
      </c>
      <c r="I121" s="14">
        <v>24</v>
      </c>
      <c r="J121" s="14" t="s">
        <v>77</v>
      </c>
      <c r="K121" s="14" t="s">
        <v>6743</v>
      </c>
      <c r="L121" s="14" t="s">
        <v>6744</v>
      </c>
      <c r="M121" s="14" t="s">
        <v>9158</v>
      </c>
      <c r="N121" s="14" t="s">
        <v>9158</v>
      </c>
      <c r="O121" s="14" t="s">
        <v>9158</v>
      </c>
      <c r="P121" s="14" t="s">
        <v>9158</v>
      </c>
      <c r="Q121" s="14" t="s">
        <v>9158</v>
      </c>
    </row>
    <row r="122" spans="1:17">
      <c r="A122" s="14">
        <v>51773</v>
      </c>
      <c r="B122" s="14" t="s">
        <v>15</v>
      </c>
      <c r="C122" s="14" t="s">
        <v>205</v>
      </c>
      <c r="D122" s="19" t="s">
        <v>10588</v>
      </c>
      <c r="E122" s="15" t="str">
        <f>HYPERLINK("https://stat100.ameba.jp/tnk47/ratio20/illustrations/card/ill_51773_kawaasobikanekomisuzu03.jpg?202106-5-RELEASE-marathon-536xx", "■")</f>
        <v>■</v>
      </c>
      <c r="F122" s="14" t="s">
        <v>6747</v>
      </c>
      <c r="G122" s="14">
        <v>71136</v>
      </c>
      <c r="H122" s="14">
        <v>64520</v>
      </c>
      <c r="I122" s="14">
        <v>24</v>
      </c>
      <c r="J122" s="14" t="s">
        <v>10</v>
      </c>
      <c r="K122" s="14" t="s">
        <v>6746</v>
      </c>
      <c r="L122" s="14" t="s">
        <v>6745</v>
      </c>
      <c r="M122" s="14" t="s">
        <v>9158</v>
      </c>
      <c r="N122" s="14" t="s">
        <v>9158</v>
      </c>
      <c r="O122" s="14" t="s">
        <v>9158</v>
      </c>
      <c r="P122" s="14" t="s">
        <v>9158</v>
      </c>
      <c r="Q122" s="14" t="s">
        <v>9158</v>
      </c>
    </row>
    <row r="123" spans="1:17">
      <c r="A123" s="14">
        <v>51733</v>
      </c>
      <c r="B123" s="14" t="s">
        <v>15</v>
      </c>
      <c r="C123" s="14" t="s">
        <v>185</v>
      </c>
      <c r="D123" s="19" t="s">
        <v>10589</v>
      </c>
      <c r="E123" s="15" t="str">
        <f>HYPERLINK("https://stat100.ameba.jp/tnk47/ratio20/illustrations/card/ill_51733_ekusoshisutopoiyampe03.jpg?202106-5-RELEASE-marathon-536xx", "■")</f>
        <v>■</v>
      </c>
      <c r="F123" s="14" t="s">
        <v>6750</v>
      </c>
      <c r="G123" s="14">
        <v>64520</v>
      </c>
      <c r="H123" s="14">
        <v>71136</v>
      </c>
      <c r="I123" s="14">
        <v>24</v>
      </c>
      <c r="J123" s="14" t="s">
        <v>274</v>
      </c>
      <c r="K123" s="14" t="s">
        <v>6749</v>
      </c>
      <c r="L123" s="14" t="s">
        <v>6748</v>
      </c>
      <c r="M123" s="14" t="s">
        <v>9158</v>
      </c>
      <c r="N123" s="14" t="s">
        <v>9158</v>
      </c>
      <c r="O123" s="14" t="s">
        <v>9158</v>
      </c>
      <c r="P123" s="14" t="s">
        <v>9158</v>
      </c>
      <c r="Q123" s="14" t="s">
        <v>9158</v>
      </c>
    </row>
    <row r="124" spans="1:17">
      <c r="A124" s="14">
        <v>55743</v>
      </c>
      <c r="B124" s="14" t="s">
        <v>15</v>
      </c>
      <c r="C124" s="14" t="s">
        <v>96</v>
      </c>
      <c r="D124" s="19" t="s">
        <v>10590</v>
      </c>
      <c r="E124" s="15" t="str">
        <f>HYPERLINK("https://stat100.ameba.jp/tnk47/ratio20/illustrations/card/ill_55743_nankoume03.jpg?202106-5-RELEASE-marathon-536xx", "■")</f>
        <v>■</v>
      </c>
      <c r="F124" s="14" t="s">
        <v>4308</v>
      </c>
      <c r="G124" s="14">
        <v>64520</v>
      </c>
      <c r="H124" s="14">
        <v>71136</v>
      </c>
      <c r="I124" s="14">
        <v>24</v>
      </c>
      <c r="J124" s="14" t="s">
        <v>216</v>
      </c>
      <c r="K124" s="14" t="s">
        <v>4310</v>
      </c>
      <c r="L124" s="14" t="s">
        <v>4311</v>
      </c>
      <c r="M124" s="14" t="s">
        <v>9158</v>
      </c>
      <c r="N124" s="14" t="s">
        <v>9158</v>
      </c>
      <c r="O124" s="14" t="s">
        <v>9158</v>
      </c>
      <c r="P124" s="14" t="s">
        <v>9158</v>
      </c>
      <c r="Q124" s="14" t="s">
        <v>9158</v>
      </c>
    </row>
    <row r="156" spans="1:18">
      <c r="A156" s="14" t="s">
        <v>13327</v>
      </c>
    </row>
    <row r="157" spans="1:18">
      <c r="A157" s="14">
        <v>109241</v>
      </c>
      <c r="B157" s="14" t="s">
        <v>17441</v>
      </c>
    </row>
    <row r="158" spans="1:18">
      <c r="A158" s="14">
        <v>97493</v>
      </c>
      <c r="B158" s="14" t="s">
        <v>0</v>
      </c>
      <c r="C158" s="14" t="s">
        <v>335</v>
      </c>
      <c r="D158" s="14" t="s">
        <v>16764</v>
      </c>
      <c r="E158" s="15" t="str">
        <f>HYPERLINK("https://stat100.ameba.jp/tnk47/ratio20/illustrations/card/ill_97493_saiseinoshinkansopudeto03.jpg?202106-5-RELEASE-marathon-536xxxx", "■")</f>
        <v>■</v>
      </c>
      <c r="F158" s="14" t="s">
        <v>16763</v>
      </c>
      <c r="G158" s="14">
        <v>132737</v>
      </c>
      <c r="H158" s="14">
        <v>142768</v>
      </c>
      <c r="I158" s="14">
        <v>29</v>
      </c>
      <c r="J158" s="14" t="s">
        <v>38</v>
      </c>
      <c r="K158" s="14" t="s">
        <v>16762</v>
      </c>
      <c r="L158" s="14" t="s">
        <v>16761</v>
      </c>
      <c r="M158" s="14" t="s">
        <v>2138</v>
      </c>
      <c r="N158" s="14" t="s">
        <v>2139</v>
      </c>
      <c r="O158" s="14" t="s">
        <v>9158</v>
      </c>
      <c r="P158" s="14" t="s">
        <v>9158</v>
      </c>
      <c r="Q158" s="14" t="s">
        <v>9158</v>
      </c>
      <c r="R158" s="14" t="s">
        <v>14748</v>
      </c>
    </row>
    <row r="159" spans="1:18">
      <c r="A159" s="14">
        <v>97492</v>
      </c>
      <c r="B159" s="14" t="s">
        <v>0</v>
      </c>
      <c r="C159" s="14" t="s">
        <v>335</v>
      </c>
      <c r="D159" s="14" t="s">
        <v>16764</v>
      </c>
      <c r="E159" s="15" t="str">
        <f>HYPERLINK("https://stat100.ameba.jp/tnk47/ratio20/illustrations/card/ill_97492_saiseinoshinkansopudeto02.jpg?202106-5-RELEASE-marathon-536xxxx", "■")</f>
        <v>■</v>
      </c>
      <c r="F159" s="14" t="s">
        <v>16763</v>
      </c>
      <c r="G159" s="14">
        <v>109938</v>
      </c>
      <c r="H159" s="14">
        <v>119345</v>
      </c>
      <c r="I159" s="14">
        <v>29</v>
      </c>
      <c r="J159" s="14" t="s">
        <v>38</v>
      </c>
      <c r="K159" s="14" t="s">
        <v>16762</v>
      </c>
      <c r="L159" s="14" t="s">
        <v>16765</v>
      </c>
      <c r="M159" s="14" t="s">
        <v>13270</v>
      </c>
      <c r="N159" s="14" t="s">
        <v>13271</v>
      </c>
      <c r="O159" s="14" t="s">
        <v>9158</v>
      </c>
      <c r="P159" s="14" t="s">
        <v>9158</v>
      </c>
      <c r="Q159" s="14" t="s">
        <v>9158</v>
      </c>
      <c r="R159" s="14" t="s">
        <v>14748</v>
      </c>
    </row>
    <row r="160" spans="1:18">
      <c r="A160" s="14">
        <v>97491</v>
      </c>
      <c r="B160" s="14" t="s">
        <v>0</v>
      </c>
      <c r="C160" s="14" t="s">
        <v>335</v>
      </c>
      <c r="D160" s="14" t="s">
        <v>16764</v>
      </c>
      <c r="E160" s="15" t="str">
        <f>HYPERLINK("https://stat100.ameba.jp/tnk47/ratio20/illustrations/card/ill_97491_saiseinoshinkansopudeto01.jpg?202106-5-RELEASE-marathon-536xxxx", "■")</f>
        <v>■</v>
      </c>
      <c r="F160" s="14" t="s">
        <v>16763</v>
      </c>
      <c r="G160" s="14">
        <v>84825</v>
      </c>
      <c r="H160" s="14">
        <v>91118</v>
      </c>
      <c r="I160" s="14">
        <v>29</v>
      </c>
      <c r="J160" s="14" t="s">
        <v>38</v>
      </c>
      <c r="K160" s="14" t="s">
        <v>16762</v>
      </c>
      <c r="L160" s="14" t="s">
        <v>16766</v>
      </c>
      <c r="M160" s="14" t="s">
        <v>13270</v>
      </c>
      <c r="N160" s="14" t="s">
        <v>13271</v>
      </c>
      <c r="O160" s="14" t="s">
        <v>9158</v>
      </c>
      <c r="P160" s="14" t="s">
        <v>9158</v>
      </c>
      <c r="Q160" s="14" t="s">
        <v>9158</v>
      </c>
      <c r="R160" s="14" t="s">
        <v>14748</v>
      </c>
    </row>
    <row r="161" spans="1:18">
      <c r="A161" s="14">
        <v>97503</v>
      </c>
      <c r="B161" s="14" t="s">
        <v>0</v>
      </c>
      <c r="C161" s="14" t="s">
        <v>200</v>
      </c>
      <c r="D161" s="14" t="s">
        <v>16770</v>
      </c>
      <c r="E161" s="15" t="str">
        <f>HYPERLINK("https://stat100.ameba.jp/tnk47/ratio20/illustrations/card/ill_97503_kokeinodein03.jpg?202106-5-RELEASE-marathon-536xxxx", "■")</f>
        <v>■</v>
      </c>
      <c r="F161" s="14" t="s">
        <v>16769</v>
      </c>
      <c r="G161" s="14">
        <v>142768</v>
      </c>
      <c r="H161" s="14">
        <v>132737</v>
      </c>
      <c r="I161" s="14">
        <v>29</v>
      </c>
      <c r="J161" s="14" t="s">
        <v>143</v>
      </c>
      <c r="K161" s="14" t="s">
        <v>16768</v>
      </c>
      <c r="L161" s="14" t="s">
        <v>16767</v>
      </c>
      <c r="M161" s="14" t="s">
        <v>2138</v>
      </c>
      <c r="N161" s="14" t="s">
        <v>2139</v>
      </c>
      <c r="O161" s="14" t="s">
        <v>9158</v>
      </c>
      <c r="P161" s="14" t="s">
        <v>9158</v>
      </c>
      <c r="Q161" s="14" t="s">
        <v>9158</v>
      </c>
      <c r="R161" s="14" t="s">
        <v>14748</v>
      </c>
    </row>
    <row r="162" spans="1:18">
      <c r="A162" s="14">
        <v>97513</v>
      </c>
      <c r="B162" s="14" t="s">
        <v>0</v>
      </c>
      <c r="C162" s="14" t="s">
        <v>307</v>
      </c>
      <c r="D162" s="14" t="s">
        <v>16774</v>
      </c>
      <c r="E162" s="15" t="str">
        <f>HYPERLINK("https://stat100.ameba.jp/tnk47/ratio20/illustrations/card/ill_97513_yusuteiteia03.jpg?202106-5-RELEASE-marathon-536xxxx", "■")</f>
        <v>■</v>
      </c>
      <c r="F162" s="14" t="s">
        <v>16773</v>
      </c>
      <c r="G162" s="14">
        <v>132737</v>
      </c>
      <c r="H162" s="14">
        <v>142768</v>
      </c>
      <c r="I162" s="14">
        <v>29</v>
      </c>
      <c r="J162" s="14" t="s">
        <v>44</v>
      </c>
      <c r="K162" s="14" t="s">
        <v>16772</v>
      </c>
      <c r="L162" s="14" t="s">
        <v>16771</v>
      </c>
      <c r="M162" s="14" t="s">
        <v>2138</v>
      </c>
      <c r="N162" s="14" t="s">
        <v>2139</v>
      </c>
      <c r="O162" s="14" t="s">
        <v>9158</v>
      </c>
      <c r="P162" s="14" t="s">
        <v>9158</v>
      </c>
      <c r="Q162" s="14" t="s">
        <v>9158</v>
      </c>
      <c r="R162" s="14" t="s">
        <v>14748</v>
      </c>
    </row>
    <row r="163" spans="1:18">
      <c r="A163" s="14">
        <v>97523</v>
      </c>
      <c r="B163" s="14" t="s">
        <v>0</v>
      </c>
      <c r="C163" s="14" t="s">
        <v>165</v>
      </c>
      <c r="D163" s="14" t="s">
        <v>16778</v>
      </c>
      <c r="E163" s="15" t="str">
        <f>HYPERLINK("https://stat100.ameba.jp/tnk47/ratio20/illustrations/card/ill_97523_karyua03.jpg?202106-5-RELEASE-marathon-536xxxx", "■")</f>
        <v>■</v>
      </c>
      <c r="F163" s="14" t="s">
        <v>16777</v>
      </c>
      <c r="G163" s="14">
        <v>132737</v>
      </c>
      <c r="H163" s="14">
        <v>142768</v>
      </c>
      <c r="I163" s="14">
        <v>29</v>
      </c>
      <c r="J163" s="14" t="s">
        <v>26</v>
      </c>
      <c r="K163" s="14" t="s">
        <v>16776</v>
      </c>
      <c r="L163" s="14" t="s">
        <v>16775</v>
      </c>
      <c r="M163" s="14" t="s">
        <v>2138</v>
      </c>
      <c r="N163" s="14" t="s">
        <v>2139</v>
      </c>
      <c r="O163" s="14" t="s">
        <v>9158</v>
      </c>
      <c r="P163" s="14" t="s">
        <v>9158</v>
      </c>
      <c r="Q163" s="14" t="s">
        <v>9158</v>
      </c>
      <c r="R163" s="14" t="s">
        <v>14748</v>
      </c>
    </row>
    <row r="164" spans="1:18">
      <c r="A164" s="14">
        <v>97533</v>
      </c>
      <c r="B164" s="14" t="s">
        <v>0</v>
      </c>
      <c r="C164" s="9" t="s">
        <v>205</v>
      </c>
      <c r="D164" s="14" t="s">
        <v>16782</v>
      </c>
      <c r="E164" s="15" t="str">
        <f>HYPERLINK("https://stat100.ameba.jp/tnk47/ratio20/illustrations/card/ill_97533_pariakaka03.jpg?202106-5-RELEASE-marathon-536xxxx", "■")</f>
        <v>■</v>
      </c>
      <c r="F164" s="14" t="s">
        <v>16781</v>
      </c>
      <c r="G164" s="14">
        <v>132737</v>
      </c>
      <c r="H164" s="14">
        <v>142768</v>
      </c>
      <c r="I164" s="14">
        <v>29</v>
      </c>
      <c r="J164" s="14" t="s">
        <v>10</v>
      </c>
      <c r="K164" s="14" t="s">
        <v>16780</v>
      </c>
      <c r="L164" s="14" t="s">
        <v>16779</v>
      </c>
      <c r="M164" s="14" t="s">
        <v>2138</v>
      </c>
      <c r="N164" s="14" t="s">
        <v>2139</v>
      </c>
      <c r="O164" s="14" t="s">
        <v>9158</v>
      </c>
      <c r="P164" s="14" t="s">
        <v>9158</v>
      </c>
      <c r="Q164" s="14" t="s">
        <v>9158</v>
      </c>
      <c r="R164" s="14" t="s">
        <v>14748</v>
      </c>
    </row>
    <row r="165" spans="1:18">
      <c r="A165" s="14">
        <v>97543</v>
      </c>
      <c r="B165" s="14" t="s">
        <v>0</v>
      </c>
      <c r="C165" s="14" t="s">
        <v>206</v>
      </c>
      <c r="D165" s="14" t="s">
        <v>16786</v>
      </c>
      <c r="E165" s="15" t="str">
        <f>HYPERLINK("https://stat100.ameba.jp/tnk47/ratio20/illustrations/card/ill_97543_kuroimorinohekuse03.jpg?202106-5-RELEASE-marathon-536xxxx", "■")</f>
        <v>■</v>
      </c>
      <c r="F165" s="14" t="s">
        <v>16785</v>
      </c>
      <c r="G165" s="14">
        <v>142768</v>
      </c>
      <c r="H165" s="14">
        <v>132737</v>
      </c>
      <c r="I165" s="14">
        <v>29</v>
      </c>
      <c r="J165" s="14" t="s">
        <v>16</v>
      </c>
      <c r="K165" s="14" t="s">
        <v>16784</v>
      </c>
      <c r="L165" s="14" t="s">
        <v>16783</v>
      </c>
      <c r="M165" s="14" t="s">
        <v>2138</v>
      </c>
      <c r="N165" s="14" t="s">
        <v>2139</v>
      </c>
      <c r="O165" s="14" t="s">
        <v>9158</v>
      </c>
      <c r="P165" s="14" t="s">
        <v>9158</v>
      </c>
      <c r="Q165" s="14" t="s">
        <v>9158</v>
      </c>
      <c r="R165" s="14" t="s">
        <v>14748</v>
      </c>
    </row>
    <row r="194" spans="1:17">
      <c r="A194" s="14" t="s">
        <v>3916</v>
      </c>
    </row>
    <row r="195" spans="1:17">
      <c r="A195" s="14">
        <v>109316</v>
      </c>
      <c r="B195" s="14" t="s">
        <v>13882</v>
      </c>
    </row>
    <row r="196" spans="1:17">
      <c r="A196" s="14">
        <v>71013</v>
      </c>
      <c r="B196" s="14" t="s">
        <v>334</v>
      </c>
      <c r="C196" s="14" t="s">
        <v>154</v>
      </c>
      <c r="D196" s="19" t="s">
        <v>837</v>
      </c>
      <c r="E196" s="15" t="str">
        <f>HYPERLINK("https://stat100.ameba.jp/tnk47/ratio20/illustrations/card/ill_71013_fujutsushisarashina03.jpg?202106-5-RELEASE-marathon-536xxxx", "■")</f>
        <v>■</v>
      </c>
      <c r="F196" s="14" t="s">
        <v>838</v>
      </c>
      <c r="G196" s="14">
        <v>116296</v>
      </c>
      <c r="H196" s="14">
        <v>125078</v>
      </c>
      <c r="I196" s="14">
        <v>29</v>
      </c>
      <c r="J196" s="14" t="s">
        <v>155</v>
      </c>
      <c r="K196" s="14" t="s">
        <v>1231</v>
      </c>
      <c r="L196" s="14" t="s">
        <v>13152</v>
      </c>
      <c r="M196" s="14" t="s">
        <v>9864</v>
      </c>
      <c r="N196" s="14" t="s">
        <v>9158</v>
      </c>
      <c r="O196" s="14" t="s">
        <v>9158</v>
      </c>
      <c r="P196" s="14" t="s">
        <v>9158</v>
      </c>
      <c r="Q196" s="14" t="s">
        <v>9158</v>
      </c>
    </row>
    <row r="197" spans="1:17">
      <c r="A197" s="14">
        <v>71023</v>
      </c>
      <c r="B197" s="14" t="s">
        <v>334</v>
      </c>
      <c r="C197" s="14" t="s">
        <v>158</v>
      </c>
      <c r="D197" s="19" t="s">
        <v>841</v>
      </c>
      <c r="E197" s="15" t="str">
        <f>HYPERLINK("https://stat100.ameba.jp/tnk47/ratio20/illustrations/card/ill_71023_ommyojiiroha03.jpg?202106-5-RELEASE-marathon-536xxxx", "■")</f>
        <v>■</v>
      </c>
      <c r="F197" s="14" t="s">
        <v>842</v>
      </c>
      <c r="G197" s="14">
        <v>116296</v>
      </c>
      <c r="H197" s="14">
        <v>125078</v>
      </c>
      <c r="I197" s="14">
        <v>29</v>
      </c>
      <c r="J197" s="14" t="s">
        <v>159</v>
      </c>
      <c r="K197" s="14" t="s">
        <v>1232</v>
      </c>
      <c r="L197" s="14" t="s">
        <v>1233</v>
      </c>
      <c r="M197" s="14" t="s">
        <v>9158</v>
      </c>
      <c r="N197" s="14" t="s">
        <v>9158</v>
      </c>
      <c r="O197" s="14" t="s">
        <v>9158</v>
      </c>
      <c r="P197" s="14" t="s">
        <v>9158</v>
      </c>
      <c r="Q197" s="14" t="s">
        <v>9158</v>
      </c>
    </row>
    <row r="198" spans="1:17">
      <c r="A198" s="14">
        <v>66053</v>
      </c>
      <c r="B198" s="14" t="s">
        <v>334</v>
      </c>
      <c r="C198" s="14" t="s">
        <v>205</v>
      </c>
      <c r="D198" s="19" t="s">
        <v>3046</v>
      </c>
      <c r="E198" s="15" t="str">
        <f>HYPERLINK("https://stat100.ameba.jp/tnk47/ratio20/illustrations/card/ill_66053_serebukushiyatamanokami03.jpg?202106-5-RELEASE-marathon-536xxxx", "■")</f>
        <v>■</v>
      </c>
      <c r="F198" s="14" t="s">
        <v>2265</v>
      </c>
      <c r="G198" s="14">
        <v>118287</v>
      </c>
      <c r="H198" s="14">
        <v>109970</v>
      </c>
      <c r="I198" s="14">
        <v>29</v>
      </c>
      <c r="J198" s="14" t="s">
        <v>44</v>
      </c>
      <c r="K198" s="14" t="s">
        <v>2266</v>
      </c>
      <c r="L198" s="14" t="s">
        <v>1860</v>
      </c>
      <c r="M198" s="14" t="s">
        <v>9158</v>
      </c>
      <c r="N198" s="14" t="s">
        <v>9158</v>
      </c>
      <c r="O198" s="14" t="s">
        <v>9158</v>
      </c>
      <c r="P198" s="14" t="s">
        <v>9158</v>
      </c>
      <c r="Q198" s="14" t="s">
        <v>9158</v>
      </c>
    </row>
    <row r="199" spans="1:17">
      <c r="A199" s="14">
        <v>65923</v>
      </c>
      <c r="B199" s="14" t="s">
        <v>334</v>
      </c>
      <c r="C199" s="14" t="s">
        <v>185</v>
      </c>
      <c r="D199" s="19" t="s">
        <v>10204</v>
      </c>
      <c r="E199" s="15" t="str">
        <f>HYPERLINK("https://stat100.ameba.jp/tnk47/ratio20/illustrations/card/ill_65923_arabianginko03.jpg?202106-5-RELEASE-marathon-536xxxx", "■")</f>
        <v>■</v>
      </c>
      <c r="F199" s="14" t="s">
        <v>4978</v>
      </c>
      <c r="G199" s="14">
        <v>120830</v>
      </c>
      <c r="H199" s="14">
        <v>112369</v>
      </c>
      <c r="I199" s="14">
        <v>29</v>
      </c>
      <c r="J199" s="14" t="s">
        <v>182</v>
      </c>
      <c r="K199" s="14" t="s">
        <v>3679</v>
      </c>
      <c r="L199" s="14" t="s">
        <v>13188</v>
      </c>
      <c r="M199" s="14" t="s">
        <v>9158</v>
      </c>
      <c r="N199" s="14" t="s">
        <v>9158</v>
      </c>
      <c r="O199" s="14" t="s">
        <v>9158</v>
      </c>
      <c r="P199" s="14" t="s">
        <v>9158</v>
      </c>
      <c r="Q199" s="14" t="s">
        <v>9158</v>
      </c>
    </row>
    <row r="200" spans="1:17">
      <c r="A200" s="14">
        <v>52863</v>
      </c>
      <c r="B200" s="14" t="s">
        <v>15</v>
      </c>
      <c r="C200" s="14" t="s">
        <v>191</v>
      </c>
      <c r="D200" s="19" t="s">
        <v>10516</v>
      </c>
      <c r="E200" s="15" t="str">
        <f>HYPERLINK("https://stat100.ameba.jp/tnk47/ratio20/illustrations/card/ill_52863_andoroidokingyonota03.jpg?202106-5-RELEASE-marathon-536xxxx", "■")</f>
        <v>■</v>
      </c>
      <c r="F200" s="14" t="s">
        <v>6409</v>
      </c>
      <c r="G200" s="14">
        <v>64520</v>
      </c>
      <c r="H200" s="14">
        <v>71136</v>
      </c>
      <c r="I200" s="14">
        <v>24</v>
      </c>
      <c r="J200" s="14" t="s">
        <v>38</v>
      </c>
      <c r="K200" s="14" t="s">
        <v>6407</v>
      </c>
      <c r="L200" s="14" t="s">
        <v>6406</v>
      </c>
      <c r="M200" s="14" t="s">
        <v>9158</v>
      </c>
      <c r="N200" s="14" t="s">
        <v>9158</v>
      </c>
      <c r="O200" s="14" t="s">
        <v>9158</v>
      </c>
      <c r="P200" s="14" t="s">
        <v>9158</v>
      </c>
      <c r="Q200" s="14" t="s">
        <v>9158</v>
      </c>
    </row>
    <row r="201" spans="1:17">
      <c r="A201" s="14">
        <v>51593</v>
      </c>
      <c r="B201" s="14" t="s">
        <v>15</v>
      </c>
      <c r="C201" s="14" t="s">
        <v>200</v>
      </c>
      <c r="D201" s="19" t="s">
        <v>10517</v>
      </c>
      <c r="E201" s="15" t="str">
        <f>HYPERLINK("https://stat100.ameba.jp/tnk47/ratio20/illustrations/card/ill_51593_kishuhondatadakatsu03.jpg?202106-5-RELEASE-marathon-536xxxx", "■")</f>
        <v>■</v>
      </c>
      <c r="F201" s="14" t="s">
        <v>6413</v>
      </c>
      <c r="G201" s="14">
        <v>64520</v>
      </c>
      <c r="H201" s="14">
        <v>71136</v>
      </c>
      <c r="I201" s="14">
        <v>24</v>
      </c>
      <c r="J201" s="14" t="s">
        <v>143</v>
      </c>
      <c r="K201" s="14" t="s">
        <v>6411</v>
      </c>
      <c r="L201" s="14" t="s">
        <v>6410</v>
      </c>
      <c r="M201" s="14" t="s">
        <v>9158</v>
      </c>
      <c r="N201" s="14" t="s">
        <v>9158</v>
      </c>
      <c r="O201" s="14" t="s">
        <v>9158</v>
      </c>
      <c r="P201" s="14" t="s">
        <v>9158</v>
      </c>
      <c r="Q201" s="14" t="s">
        <v>9158</v>
      </c>
    </row>
    <row r="202" spans="1:17">
      <c r="A202" s="14">
        <v>55403</v>
      </c>
      <c r="B202" s="14" t="s">
        <v>15</v>
      </c>
      <c r="C202" s="14" t="s">
        <v>165</v>
      </c>
      <c r="D202" s="19" t="s">
        <v>10518</v>
      </c>
      <c r="E202" s="15" t="str">
        <f>HYPERLINK("https://stat100.ameba.jp/tnk47/ratio20/illustrations/card/ill_55403_undokaikyogokumaria03.jpg?202106-5-RELEASE-marathon-536xxxx", "■")</f>
        <v>■</v>
      </c>
      <c r="F202" s="14" t="s">
        <v>6417</v>
      </c>
      <c r="G202" s="14">
        <v>71136</v>
      </c>
      <c r="H202" s="14">
        <v>64520</v>
      </c>
      <c r="I202" s="14">
        <v>24</v>
      </c>
      <c r="J202" s="14" t="s">
        <v>77</v>
      </c>
      <c r="K202" s="14" t="s">
        <v>6415</v>
      </c>
      <c r="L202" s="14" t="s">
        <v>6414</v>
      </c>
      <c r="M202" s="14" t="s">
        <v>9158</v>
      </c>
      <c r="N202" s="14" t="s">
        <v>9158</v>
      </c>
      <c r="O202" s="14" t="s">
        <v>9158</v>
      </c>
      <c r="P202" s="14" t="s">
        <v>9158</v>
      </c>
      <c r="Q202" s="14" t="s">
        <v>9158</v>
      </c>
    </row>
    <row r="203" spans="1:17">
      <c r="A203" s="14">
        <v>52973</v>
      </c>
      <c r="B203" s="14" t="s">
        <v>15</v>
      </c>
      <c r="C203" s="14" t="s">
        <v>206</v>
      </c>
      <c r="D203" s="19" t="s">
        <v>10519</v>
      </c>
      <c r="E203" s="15" t="str">
        <f>HYPERLINK("https://stat100.ameba.jp/tnk47/ratio20/illustrations/card/ill_55403_undokaikyogokumaria03.jpg?202106-5-RELEASE-marathon-536xxxx", "■")</f>
        <v>■</v>
      </c>
      <c r="F203" s="14" t="s">
        <v>6421</v>
      </c>
      <c r="G203" s="14">
        <v>71136</v>
      </c>
      <c r="H203" s="14">
        <v>64520</v>
      </c>
      <c r="I203" s="14">
        <v>24</v>
      </c>
      <c r="J203" s="14" t="s">
        <v>44</v>
      </c>
      <c r="K203" s="14" t="s">
        <v>6419</v>
      </c>
      <c r="L203" s="14" t="s">
        <v>6418</v>
      </c>
      <c r="M203" s="14" t="s">
        <v>9158</v>
      </c>
      <c r="N203" s="14" t="s">
        <v>9158</v>
      </c>
      <c r="O203" s="14" t="s">
        <v>9158</v>
      </c>
      <c r="P203" s="14" t="s">
        <v>9158</v>
      </c>
      <c r="Q203" s="14" t="s">
        <v>9864</v>
      </c>
    </row>
    <row r="237" spans="1:18">
      <c r="A237" s="14" t="s">
        <v>13327</v>
      </c>
    </row>
    <row r="238" spans="1:18">
      <c r="A238" s="14">
        <v>109355</v>
      </c>
      <c r="B238" s="14" t="s">
        <v>5119</v>
      </c>
    </row>
    <row r="239" spans="1:18">
      <c r="A239" s="14">
        <v>94773</v>
      </c>
      <c r="B239" s="14" t="s">
        <v>0</v>
      </c>
      <c r="C239" s="14" t="s">
        <v>335</v>
      </c>
      <c r="D239" s="14" t="s">
        <v>15781</v>
      </c>
      <c r="E239" s="15" t="str">
        <f>HYPERLINK("https://stat100.ameba.jp/tnk47/ratio20/illustrations/card/ill_94773_baiorinisutosuru03.jpg?202106-5-RELEASE-marathon-536xxxx", "■")</f>
        <v>■</v>
      </c>
      <c r="F239" s="14" t="s">
        <v>15780</v>
      </c>
      <c r="G239" s="14">
        <v>132737</v>
      </c>
      <c r="H239" s="14">
        <v>142768</v>
      </c>
      <c r="I239" s="14">
        <v>29</v>
      </c>
      <c r="J239" s="14" t="s">
        <v>16</v>
      </c>
      <c r="K239" s="14" t="s">
        <v>15779</v>
      </c>
      <c r="L239" s="14" t="s">
        <v>15778</v>
      </c>
      <c r="M239" s="14" t="s">
        <v>2138</v>
      </c>
      <c r="N239" s="14" t="s">
        <v>2139</v>
      </c>
      <c r="O239" s="14" t="s">
        <v>9158</v>
      </c>
      <c r="P239" s="14" t="s">
        <v>9158</v>
      </c>
      <c r="Q239" s="14" t="s">
        <v>9158</v>
      </c>
      <c r="R239" s="14" t="s">
        <v>14748</v>
      </c>
    </row>
    <row r="240" spans="1:18">
      <c r="A240" s="14">
        <v>94772</v>
      </c>
      <c r="B240" s="14" t="s">
        <v>0</v>
      </c>
      <c r="C240" s="14" t="s">
        <v>335</v>
      </c>
      <c r="D240" s="14" t="s">
        <v>15781</v>
      </c>
      <c r="E240" s="15" t="str">
        <f>HYPERLINK("https://stat100.ameba.jp/tnk47/ratio20/illustrations/card/ill_94772_baiorinisutosuru02.jpg?202106-5-RELEASE-marathon-536xxxx", "■")</f>
        <v>■</v>
      </c>
      <c r="F240" s="14" t="s">
        <v>15780</v>
      </c>
      <c r="G240" s="14">
        <v>109938</v>
      </c>
      <c r="H240" s="14">
        <v>119345</v>
      </c>
      <c r="I240" s="14">
        <v>29</v>
      </c>
      <c r="J240" s="14" t="s">
        <v>16</v>
      </c>
      <c r="K240" s="14" t="s">
        <v>15779</v>
      </c>
      <c r="L240" s="14" t="s">
        <v>15778</v>
      </c>
      <c r="M240" s="14" t="s">
        <v>13270</v>
      </c>
      <c r="N240" s="14" t="s">
        <v>13271</v>
      </c>
      <c r="O240" s="14" t="s">
        <v>9158</v>
      </c>
      <c r="P240" s="14" t="s">
        <v>9158</v>
      </c>
      <c r="Q240" s="14" t="s">
        <v>9158</v>
      </c>
      <c r="R240" s="14" t="s">
        <v>14748</v>
      </c>
    </row>
    <row r="241" spans="1:18">
      <c r="A241" s="14">
        <v>94771</v>
      </c>
      <c r="B241" s="14" t="s">
        <v>0</v>
      </c>
      <c r="C241" s="14" t="s">
        <v>335</v>
      </c>
      <c r="D241" s="14" t="s">
        <v>15781</v>
      </c>
      <c r="E241" s="15" t="str">
        <f>HYPERLINK("https://stat100.ameba.jp/tnk47/ratio20/illustrations/card/ill_94771_baiorinisutosuru01.jpg?202106-5-RELEASE-marathon-536xxxx", "■")</f>
        <v>■</v>
      </c>
      <c r="F241" s="14" t="s">
        <v>15780</v>
      </c>
      <c r="G241" s="14">
        <v>84825</v>
      </c>
      <c r="H241" s="14">
        <v>91118</v>
      </c>
      <c r="I241" s="14">
        <v>29</v>
      </c>
      <c r="J241" s="14" t="s">
        <v>16</v>
      </c>
      <c r="K241" s="14" t="s">
        <v>15779</v>
      </c>
      <c r="L241" s="14" t="s">
        <v>15778</v>
      </c>
      <c r="M241" s="14" t="s">
        <v>13270</v>
      </c>
      <c r="N241" s="14" t="s">
        <v>13271</v>
      </c>
      <c r="O241" s="14" t="s">
        <v>9158</v>
      </c>
      <c r="P241" s="14" t="s">
        <v>9158</v>
      </c>
      <c r="Q241" s="14" t="s">
        <v>9158</v>
      </c>
      <c r="R241" s="14" t="s">
        <v>14748</v>
      </c>
    </row>
    <row r="242" spans="1:18">
      <c r="A242" s="14">
        <v>94783</v>
      </c>
      <c r="B242" s="14" t="s">
        <v>0</v>
      </c>
      <c r="C242" s="14" t="s">
        <v>200</v>
      </c>
      <c r="D242" s="14" t="s">
        <v>15784</v>
      </c>
      <c r="E242" s="15" t="str">
        <f>HYPERLINK("https://stat100.ameba.jp/tnk47/ratio20/illustrations/card/ill_94783_deusuekusumashina03.jpg?202106-5-RELEASE-marathon-536xxxx", "■")</f>
        <v>■</v>
      </c>
      <c r="F242" s="14" t="s">
        <v>15785</v>
      </c>
      <c r="G242" s="14">
        <v>132737</v>
      </c>
      <c r="H242" s="14">
        <v>142768</v>
      </c>
      <c r="I242" s="14">
        <v>29</v>
      </c>
      <c r="J242" s="14" t="s">
        <v>10</v>
      </c>
      <c r="K242" s="14" t="s">
        <v>15783</v>
      </c>
      <c r="L242" s="14" t="s">
        <v>15782</v>
      </c>
      <c r="M242" s="14" t="s">
        <v>2138</v>
      </c>
      <c r="N242" s="14" t="s">
        <v>2139</v>
      </c>
      <c r="O242" s="14" t="s">
        <v>9158</v>
      </c>
      <c r="P242" s="14" t="s">
        <v>9158</v>
      </c>
      <c r="Q242" s="14" t="s">
        <v>9158</v>
      </c>
      <c r="R242" s="14" t="s">
        <v>14748</v>
      </c>
    </row>
    <row r="243" spans="1:18">
      <c r="A243" s="14">
        <v>94793</v>
      </c>
      <c r="B243" s="14" t="s">
        <v>0</v>
      </c>
      <c r="C243" s="14" t="s">
        <v>307</v>
      </c>
      <c r="D243" s="14" t="s">
        <v>15789</v>
      </c>
      <c r="E243" s="15" t="str">
        <f>HYPERLINK("https://stat100.ameba.jp/tnk47/ratio20/illustrations/card/ill_94793_eiyukohoseiashuramu03.jpg?202106-5-RELEASE-marathon-536xxxx", "■")</f>
        <v>■</v>
      </c>
      <c r="F243" s="14" t="s">
        <v>15788</v>
      </c>
      <c r="G243" s="14">
        <v>142768</v>
      </c>
      <c r="H243" s="14">
        <v>132737</v>
      </c>
      <c r="I243" s="14">
        <v>29</v>
      </c>
      <c r="J243" s="14" t="s">
        <v>143</v>
      </c>
      <c r="K243" s="14" t="s">
        <v>15787</v>
      </c>
      <c r="L243" s="14" t="s">
        <v>15786</v>
      </c>
      <c r="M243" s="14" t="s">
        <v>2138</v>
      </c>
      <c r="N243" s="14" t="s">
        <v>2139</v>
      </c>
      <c r="O243" s="14" t="s">
        <v>9158</v>
      </c>
      <c r="P243" s="14" t="s">
        <v>9158</v>
      </c>
      <c r="Q243" s="14" t="s">
        <v>9158</v>
      </c>
      <c r="R243" s="14" t="s">
        <v>14748</v>
      </c>
    </row>
    <row r="244" spans="1:18">
      <c r="A244" s="14">
        <v>94803</v>
      </c>
      <c r="B244" s="14" t="s">
        <v>0</v>
      </c>
      <c r="C244" s="14" t="s">
        <v>165</v>
      </c>
      <c r="D244" s="14" t="s">
        <v>15793</v>
      </c>
      <c r="E244" s="15" t="str">
        <f>HYPERLINK("https://stat100.ameba.jp/tnk47/ratio20/illustrations/card/ill_94803_pideiria03.jpg?202106-5-RELEASE-marathon-536xxxx", "■")</f>
        <v>■</v>
      </c>
      <c r="F244" s="14" t="s">
        <v>15792</v>
      </c>
      <c r="G244" s="14">
        <v>142768</v>
      </c>
      <c r="H244" s="14">
        <v>132737</v>
      </c>
      <c r="I244" s="14">
        <v>29</v>
      </c>
      <c r="J244" s="14" t="s">
        <v>77</v>
      </c>
      <c r="K244" s="14" t="s">
        <v>15791</v>
      </c>
      <c r="L244" s="14" t="s">
        <v>15790</v>
      </c>
      <c r="M244" s="14" t="s">
        <v>2138</v>
      </c>
      <c r="N244" s="14" t="s">
        <v>2139</v>
      </c>
      <c r="O244" s="14" t="s">
        <v>9158</v>
      </c>
      <c r="P244" s="14" t="s">
        <v>9158</v>
      </c>
      <c r="Q244" s="14" t="s">
        <v>9158</v>
      </c>
      <c r="R244" s="14" t="s">
        <v>14748</v>
      </c>
    </row>
    <row r="245" spans="1:18">
      <c r="A245" s="14">
        <v>94813</v>
      </c>
      <c r="B245" s="14" t="s">
        <v>0</v>
      </c>
      <c r="C245" s="9" t="s">
        <v>205</v>
      </c>
      <c r="D245" s="14" t="s">
        <v>15796</v>
      </c>
      <c r="E245" s="15" t="str">
        <f>HYPERLINK("https://stat100.ameba.jp/tnk47/ratio20/illustrations/card/ill_94813_satogashinomajoshukuru03.jpg?202106-5-RELEASE-marathon-536xxxx", "■")</f>
        <v>■</v>
      </c>
      <c r="F245" s="14" t="s">
        <v>15795</v>
      </c>
      <c r="G245" s="14">
        <v>142768</v>
      </c>
      <c r="H245" s="14">
        <v>132737</v>
      </c>
      <c r="I245" s="14">
        <v>29</v>
      </c>
      <c r="J245" s="14" t="s">
        <v>104</v>
      </c>
      <c r="K245" s="14" t="s">
        <v>15794</v>
      </c>
      <c r="L245" s="14" t="s">
        <v>13292</v>
      </c>
      <c r="M245" s="14" t="s">
        <v>2138</v>
      </c>
      <c r="N245" s="14" t="s">
        <v>2139</v>
      </c>
      <c r="O245" s="14" t="s">
        <v>9158</v>
      </c>
      <c r="P245" s="14" t="s">
        <v>9158</v>
      </c>
      <c r="Q245" s="14" t="s">
        <v>9158</v>
      </c>
      <c r="R245" s="14" t="s">
        <v>14748</v>
      </c>
    </row>
    <row r="246" spans="1:18">
      <c r="A246" s="14">
        <v>94823</v>
      </c>
      <c r="B246" s="14" t="s">
        <v>0</v>
      </c>
      <c r="C246" s="14" t="s">
        <v>206</v>
      </c>
      <c r="D246" s="14" t="s">
        <v>15800</v>
      </c>
      <c r="E246" s="15" t="str">
        <f>HYPERLINK("https://stat100.ameba.jp/tnk47/ratio20/illustrations/card/ill_94823_sandorizado03.jpg?202106-5-RELEASE-marathon-536xxxx", "■")</f>
        <v>■</v>
      </c>
      <c r="F246" s="14" t="s">
        <v>15799</v>
      </c>
      <c r="G246" s="14">
        <v>132737</v>
      </c>
      <c r="H246" s="14">
        <v>142768</v>
      </c>
      <c r="I246" s="14">
        <v>29</v>
      </c>
      <c r="J246" s="14" t="s">
        <v>73</v>
      </c>
      <c r="K246" s="14" t="s">
        <v>15798</v>
      </c>
      <c r="L246" s="14" t="s">
        <v>15797</v>
      </c>
      <c r="M246" s="14" t="s">
        <v>2138</v>
      </c>
      <c r="N246" s="14" t="s">
        <v>2139</v>
      </c>
      <c r="O246" s="14" t="s">
        <v>9158</v>
      </c>
      <c r="P246" s="14" t="s">
        <v>9158</v>
      </c>
      <c r="Q246" s="14" t="s">
        <v>9158</v>
      </c>
      <c r="R246" s="14" t="s">
        <v>14748</v>
      </c>
    </row>
    <row r="267" spans="1:18">
      <c r="D267" s="7"/>
    </row>
    <row r="268" spans="1:18">
      <c r="A268" s="14" t="s">
        <v>18474</v>
      </c>
      <c r="D268" s="7"/>
    </row>
    <row r="269" spans="1:18">
      <c r="A269" s="14">
        <v>238969</v>
      </c>
      <c r="B269" s="14" t="s">
        <v>5151</v>
      </c>
      <c r="D269" s="7"/>
    </row>
    <row r="270" spans="1:18">
      <c r="A270" s="14">
        <v>98675</v>
      </c>
      <c r="B270" s="14" t="s">
        <v>0</v>
      </c>
      <c r="C270" s="14" t="s">
        <v>202</v>
      </c>
      <c r="D270" s="18" t="s">
        <v>18481</v>
      </c>
      <c r="E270" s="15" t="str">
        <f>HYPERLINK("https://stat100.ameba.jp/tnk47/ratio20/illustrations/card/ill_98675_fuanfueaderi05.jpg?202106-5-RELEASE-marathon-536xxxxx", "■")</f>
        <v>■</v>
      </c>
      <c r="F270" s="14" t="s">
        <v>18480</v>
      </c>
      <c r="G270" s="14">
        <v>164886</v>
      </c>
      <c r="H270" s="14">
        <v>119401</v>
      </c>
      <c r="I270" s="14">
        <v>29</v>
      </c>
      <c r="J270" s="14" t="s">
        <v>104</v>
      </c>
      <c r="K270" s="14" t="s">
        <v>18479</v>
      </c>
      <c r="L270" s="14" t="s">
        <v>13093</v>
      </c>
      <c r="M270" s="14" t="s">
        <v>9158</v>
      </c>
      <c r="N270" s="14" t="s">
        <v>9158</v>
      </c>
      <c r="O270" s="14" t="s">
        <v>9158</v>
      </c>
      <c r="P270" s="14" t="s">
        <v>9158</v>
      </c>
      <c r="Q270" s="14" t="s">
        <v>9158</v>
      </c>
      <c r="R270" s="14" t="s">
        <v>174</v>
      </c>
    </row>
    <row r="271" spans="1:18">
      <c r="A271" s="14">
        <v>98673</v>
      </c>
      <c r="B271" s="14" t="s">
        <v>15</v>
      </c>
      <c r="C271" s="14" t="s">
        <v>47</v>
      </c>
      <c r="D271" s="18" t="s">
        <v>18481</v>
      </c>
      <c r="E271" s="15" t="str">
        <f>HYPERLINK("https://stat100.ameba.jp/tnk47/ratio20/illustrations/card/ill_98673_fuanfueaderi03.jpg?202106-5-RELEASE-marathon-536xxxxx", "■")</f>
        <v>■</v>
      </c>
      <c r="F271" s="14" t="s">
        <v>18480</v>
      </c>
      <c r="G271" s="14">
        <v>121498</v>
      </c>
      <c r="H271" s="14">
        <v>87973</v>
      </c>
      <c r="I271" s="14">
        <v>29</v>
      </c>
      <c r="J271" s="14" t="s">
        <v>104</v>
      </c>
      <c r="K271" s="14" t="s">
        <v>18479</v>
      </c>
      <c r="L271" s="14" t="s">
        <v>17028</v>
      </c>
      <c r="M271" s="14" t="s">
        <v>9158</v>
      </c>
      <c r="N271" s="14" t="s">
        <v>9158</v>
      </c>
      <c r="O271" s="14" t="s">
        <v>9158</v>
      </c>
      <c r="P271" s="14" t="s">
        <v>9158</v>
      </c>
      <c r="Q271" s="14" t="s">
        <v>9158</v>
      </c>
      <c r="R271" s="14" t="s">
        <v>175</v>
      </c>
    </row>
    <row r="272" spans="1:18">
      <c r="A272" s="14">
        <v>98671</v>
      </c>
      <c r="B272" s="14" t="s">
        <v>15</v>
      </c>
      <c r="C272" s="14" t="s">
        <v>47</v>
      </c>
      <c r="D272" s="18" t="s">
        <v>18481</v>
      </c>
      <c r="E272" s="15" t="str">
        <f>HYPERLINK("https://stat100.ameba.jp/tnk47/ratio20/illustrations/card/ill_98671_fuanfueaderi01.jpg?202106-5-RELEASE-marathon-536xxxxx", "■")</f>
        <v>■</v>
      </c>
      <c r="F272" s="14" t="s">
        <v>18480</v>
      </c>
      <c r="G272" s="14">
        <v>77285</v>
      </c>
      <c r="H272" s="14">
        <v>55970</v>
      </c>
      <c r="I272" s="14">
        <v>29</v>
      </c>
      <c r="J272" s="14" t="s">
        <v>104</v>
      </c>
      <c r="K272" s="14" t="s">
        <v>18479</v>
      </c>
      <c r="L272" s="14" t="s">
        <v>17029</v>
      </c>
      <c r="M272" s="14" t="s">
        <v>9158</v>
      </c>
      <c r="N272" s="14" t="s">
        <v>9158</v>
      </c>
      <c r="O272" s="14" t="s">
        <v>9158</v>
      </c>
      <c r="P272" s="14" t="s">
        <v>9158</v>
      </c>
      <c r="Q272" s="14" t="s">
        <v>9158</v>
      </c>
      <c r="R272" s="14" t="s">
        <v>176</v>
      </c>
    </row>
    <row r="274" spans="1:19">
      <c r="A274" s="14" t="s">
        <v>18475</v>
      </c>
    </row>
    <row r="275" spans="1:19">
      <c r="A275" s="14">
        <v>109375</v>
      </c>
      <c r="B275" s="14" t="s">
        <v>13888</v>
      </c>
    </row>
    <row r="276" spans="1:19">
      <c r="A276" s="14">
        <v>47953</v>
      </c>
      <c r="B276" s="14" t="s">
        <v>0</v>
      </c>
      <c r="C276" s="14" t="s">
        <v>47</v>
      </c>
      <c r="D276" s="14" t="s">
        <v>4733</v>
      </c>
      <c r="E276" s="15" t="str">
        <f>HYPERLINK("https://stat100.ameba.jp/tnk47/ratio20/illustrations/card/ill_47953_nekomiminene03.jpg?202106-5-RELEASE-marathon-536xxxxx", "■")</f>
        <v>■</v>
      </c>
      <c r="F276" s="14" t="s">
        <v>4734</v>
      </c>
      <c r="G276" s="14">
        <v>113277</v>
      </c>
      <c r="H276" s="14">
        <v>105281</v>
      </c>
      <c r="I276" s="14">
        <v>29</v>
      </c>
      <c r="J276" s="14" t="s">
        <v>77</v>
      </c>
      <c r="K276" s="14" t="s">
        <v>4735</v>
      </c>
      <c r="L276" s="14" t="s">
        <v>4096</v>
      </c>
      <c r="M276" s="14" t="s">
        <v>9158</v>
      </c>
      <c r="N276" s="14" t="s">
        <v>9158</v>
      </c>
      <c r="O276" s="14" t="s">
        <v>9158</v>
      </c>
      <c r="P276" s="14" t="s">
        <v>9158</v>
      </c>
      <c r="Q276" s="14" t="s">
        <v>9158</v>
      </c>
      <c r="S276" s="14" t="s">
        <v>18482</v>
      </c>
    </row>
    <row r="277" spans="1:19">
      <c r="A277" s="9">
        <v>86523</v>
      </c>
      <c r="B277" s="9" t="s">
        <v>0</v>
      </c>
      <c r="C277" s="9" t="s">
        <v>165</v>
      </c>
      <c r="D277" s="20" t="s">
        <v>10912</v>
      </c>
      <c r="E277" s="15" t="str">
        <f>HYPERLINK("https://stat100.ameba.jp/tnk47/ratio20/illustrations/card/ill_86523_supahirosaimeitenno03.jpg?202106-5-RELEASE-marathon-536xxxxx", "■")</f>
        <v>■</v>
      </c>
      <c r="F277" s="9" t="s">
        <v>9020</v>
      </c>
      <c r="G277" s="9">
        <v>113277</v>
      </c>
      <c r="H277" s="9">
        <v>105281</v>
      </c>
      <c r="I277" s="7">
        <v>29</v>
      </c>
      <c r="J277" s="9" t="s">
        <v>173</v>
      </c>
      <c r="K277" s="9" t="s">
        <v>9019</v>
      </c>
      <c r="L277" s="9" t="s">
        <v>6763</v>
      </c>
      <c r="M277" s="14" t="s">
        <v>9158</v>
      </c>
      <c r="N277" s="14" t="s">
        <v>9158</v>
      </c>
      <c r="O277" s="14" t="s">
        <v>9158</v>
      </c>
      <c r="P277" s="14" t="s">
        <v>9158</v>
      </c>
      <c r="Q277" s="14" t="s">
        <v>9158</v>
      </c>
    </row>
    <row r="278" spans="1:19">
      <c r="A278" s="14">
        <v>83013</v>
      </c>
      <c r="B278" s="14" t="s">
        <v>0</v>
      </c>
      <c r="C278" s="14" t="s">
        <v>205</v>
      </c>
      <c r="D278" s="19" t="s">
        <v>10454</v>
      </c>
      <c r="E278" s="15" t="str">
        <f>HYPERLINK("https://stat100.ameba.jp/tnk47/ratio20/illustrations/card/ill_83013_kyofunobyotosuseribime03.jpg?202106-5-RELEASE-marathon-536xxxxx", "■")</f>
        <v>■</v>
      </c>
      <c r="F278" s="14" t="s">
        <v>6035</v>
      </c>
      <c r="G278" s="14">
        <v>109970</v>
      </c>
      <c r="H278" s="14">
        <v>118287</v>
      </c>
      <c r="I278" s="7">
        <v>29</v>
      </c>
      <c r="J278" s="14" t="s">
        <v>169</v>
      </c>
      <c r="K278" s="14" t="s">
        <v>6037</v>
      </c>
      <c r="L278" s="14" t="s">
        <v>13194</v>
      </c>
      <c r="M278" s="14" t="s">
        <v>9158</v>
      </c>
      <c r="N278" s="14" t="s">
        <v>9158</v>
      </c>
      <c r="O278" s="14" t="s">
        <v>9158</v>
      </c>
      <c r="P278" s="14" t="s">
        <v>9158</v>
      </c>
      <c r="Q278" s="14" t="s">
        <v>9158</v>
      </c>
    </row>
    <row r="279" spans="1:19">
      <c r="A279" s="9">
        <v>72933</v>
      </c>
      <c r="B279" s="14" t="s">
        <v>15</v>
      </c>
      <c r="C279" s="14" t="s">
        <v>23</v>
      </c>
      <c r="D279" s="14" t="s">
        <v>18485</v>
      </c>
      <c r="E279" s="15" t="str">
        <f>HYPERLINK("https://stat100.ameba.jp/tnk47/ratio20/illustrations/card/ill_72933_amenohanayomeisehime03.jpg?202106-5-RELEASE-marathon-536xxxxx", "■")</f>
        <v>■</v>
      </c>
      <c r="F279" s="14" t="s">
        <v>18484</v>
      </c>
      <c r="G279" s="14">
        <v>59280</v>
      </c>
      <c r="H279" s="14">
        <v>53768</v>
      </c>
      <c r="I279" s="14">
        <v>20</v>
      </c>
      <c r="J279" s="14" t="s">
        <v>77</v>
      </c>
      <c r="K279" s="14" t="s">
        <v>18483</v>
      </c>
      <c r="L279" s="14" t="s">
        <v>3501</v>
      </c>
      <c r="M279" s="14" t="s">
        <v>9158</v>
      </c>
      <c r="N279" s="14" t="s">
        <v>9158</v>
      </c>
      <c r="O279" s="14" t="s">
        <v>9158</v>
      </c>
      <c r="P279" s="14" t="s">
        <v>9158</v>
      </c>
      <c r="Q279" s="14" t="s">
        <v>9158</v>
      </c>
    </row>
    <row r="280" spans="1:19">
      <c r="A280" s="9">
        <v>72943</v>
      </c>
      <c r="B280" s="14" t="s">
        <v>348</v>
      </c>
      <c r="C280" s="14" t="s">
        <v>101</v>
      </c>
      <c r="D280" s="14" t="s">
        <v>18486</v>
      </c>
      <c r="E280" s="15" t="str">
        <f>HYPERLINK("https://stat100.ameba.jp/tnk47/ratio20/illustrations/card/ill_72943_amenohanayomemadogusha03.jpg?202106-5-RELEASE-marathon-536xxxxx", "■")</f>
        <v>■</v>
      </c>
      <c r="F280" s="14" t="s">
        <v>18488</v>
      </c>
      <c r="G280" s="14">
        <v>59280</v>
      </c>
      <c r="H280" s="14">
        <v>53768</v>
      </c>
      <c r="I280" s="14">
        <v>20</v>
      </c>
      <c r="J280" s="14" t="s">
        <v>73</v>
      </c>
      <c r="K280" s="14" t="s">
        <v>18487</v>
      </c>
      <c r="L280" s="14" t="s">
        <v>2150</v>
      </c>
      <c r="M280" s="14" t="s">
        <v>9158</v>
      </c>
      <c r="N280" s="14" t="s">
        <v>9158</v>
      </c>
      <c r="O280" s="14" t="s">
        <v>9158</v>
      </c>
      <c r="P280" s="14" t="s">
        <v>9158</v>
      </c>
      <c r="Q280" s="14" t="s">
        <v>9158</v>
      </c>
    </row>
    <row r="281" spans="1:19">
      <c r="A281" s="9">
        <v>81773</v>
      </c>
      <c r="B281" s="14" t="s">
        <v>348</v>
      </c>
      <c r="C281" s="14" t="s">
        <v>1</v>
      </c>
      <c r="D281" s="14" t="s">
        <v>18489</v>
      </c>
      <c r="E281" s="15" t="str">
        <f>HYPERLINK("https://stat100.ameba.jp/tnk47/ratio20/illustrations/card/ill_81773_zenhanshiromatsurihorioyoshiharu03.jpg?202106-5-RELEASE-marathon-536xxxxx", "■")</f>
        <v>■</v>
      </c>
      <c r="F281" s="14" t="s">
        <v>4869</v>
      </c>
      <c r="G281" s="14">
        <v>59280</v>
      </c>
      <c r="H281" s="14">
        <v>53768</v>
      </c>
      <c r="I281" s="14">
        <v>20</v>
      </c>
      <c r="J281" s="14" t="s">
        <v>143</v>
      </c>
      <c r="K281" s="14" t="s">
        <v>4871</v>
      </c>
      <c r="L281" s="14" t="s">
        <v>4188</v>
      </c>
      <c r="M281" s="14" t="s">
        <v>9158</v>
      </c>
      <c r="N281" s="14" t="s">
        <v>9158</v>
      </c>
      <c r="O281" s="14" t="s">
        <v>9158</v>
      </c>
      <c r="P281" s="14" t="s">
        <v>9158</v>
      </c>
      <c r="Q281" s="14" t="s">
        <v>9158</v>
      </c>
    </row>
    <row r="283" spans="1:19">
      <c r="A283" s="14" t="s">
        <v>18476</v>
      </c>
    </row>
    <row r="284" spans="1:19">
      <c r="A284" s="14">
        <v>109391</v>
      </c>
      <c r="B284" s="14" t="s">
        <v>18477</v>
      </c>
    </row>
    <row r="285" spans="1:19">
      <c r="A285" s="14">
        <v>109419</v>
      </c>
      <c r="B285" s="14" t="s">
        <v>18478</v>
      </c>
    </row>
    <row r="286" spans="1:19">
      <c r="A286" s="14">
        <v>98683</v>
      </c>
      <c r="B286" s="14" t="s">
        <v>117</v>
      </c>
      <c r="C286" s="14" t="s">
        <v>202</v>
      </c>
      <c r="D286" s="14" t="s">
        <v>18495</v>
      </c>
      <c r="E286" s="15" t="str">
        <f>HYPERLINK("https://stat100.ameba.jp/tnk47/ratio20/illustrations/card/ill_98683_0_shukufukunohanayome03.jpg?202106-5-RELEASE-marathon-536xxxxx", "■")</f>
        <v>■</v>
      </c>
      <c r="F286" s="14" t="s">
        <v>18494</v>
      </c>
      <c r="G286" s="14">
        <v>407539</v>
      </c>
      <c r="H286" s="14">
        <v>378941</v>
      </c>
      <c r="I286" s="14">
        <v>33</v>
      </c>
      <c r="J286" s="14" t="s">
        <v>26</v>
      </c>
      <c r="K286" s="14" t="s">
        <v>18493</v>
      </c>
      <c r="L286" s="14" t="s">
        <v>18492</v>
      </c>
      <c r="M286" s="14" t="s">
        <v>9158</v>
      </c>
      <c r="N286" s="14" t="s">
        <v>9158</v>
      </c>
      <c r="O286" s="14" t="s">
        <v>18491</v>
      </c>
      <c r="P286" s="14" t="s">
        <v>18490</v>
      </c>
      <c r="Q286" s="14">
        <v>1</v>
      </c>
    </row>
    <row r="287" spans="1:19">
      <c r="A287" s="14">
        <v>83903</v>
      </c>
      <c r="B287" s="14" t="s">
        <v>0</v>
      </c>
      <c r="C287" s="14" t="s">
        <v>185</v>
      </c>
      <c r="D287" s="19" t="s">
        <v>10643</v>
      </c>
      <c r="E287" s="15" t="str">
        <f>HYPERLINK("https://stat100.ameba.jp/tnk47/ratio20/illustrations/card/ill_83903_manekinekotsurumyojin03.jpg?202106-5-RELEASE-marathon-536xxxxx", "■")</f>
        <v>■</v>
      </c>
      <c r="F287" s="14" t="s">
        <v>7078</v>
      </c>
      <c r="G287" s="14">
        <v>132346</v>
      </c>
      <c r="H287" s="14">
        <v>122834</v>
      </c>
      <c r="I287" s="14">
        <v>29</v>
      </c>
      <c r="J287" s="14" t="s">
        <v>38</v>
      </c>
      <c r="K287" s="14" t="s">
        <v>7077</v>
      </c>
      <c r="L287" s="14" t="s">
        <v>4856</v>
      </c>
      <c r="M287" s="14" t="s">
        <v>9158</v>
      </c>
      <c r="N287" s="14" t="s">
        <v>9158</v>
      </c>
      <c r="O287" s="14" t="s">
        <v>9158</v>
      </c>
      <c r="P287" s="14" t="s">
        <v>9158</v>
      </c>
      <c r="Q287" s="14" t="s">
        <v>9158</v>
      </c>
    </row>
    <row r="288" spans="1:19">
      <c r="A288" s="14">
        <v>81833</v>
      </c>
      <c r="B288" s="14" t="s">
        <v>334</v>
      </c>
      <c r="C288" s="14" t="s">
        <v>23</v>
      </c>
      <c r="D288" s="19" t="s">
        <v>10191</v>
      </c>
      <c r="E288" s="15" t="str">
        <f>HYPERLINK("https://stat100.ameba.jp/tnk47/ratio20/illustrations/card/ill_81833_amehimenogyakushuhojotsunataka03.jpg?202106-5-RELEASE-marathon-536xxxxx", "■")</f>
        <v>■</v>
      </c>
      <c r="F288" s="14" t="s">
        <v>4941</v>
      </c>
      <c r="G288" s="14">
        <v>172397</v>
      </c>
      <c r="H288" s="14">
        <v>160296</v>
      </c>
      <c r="I288" s="14">
        <v>29</v>
      </c>
      <c r="J288" s="14" t="s">
        <v>143</v>
      </c>
      <c r="K288" s="14" t="s">
        <v>4943</v>
      </c>
      <c r="L288" s="14" t="s">
        <v>3459</v>
      </c>
      <c r="M288" s="14" t="s">
        <v>9158</v>
      </c>
      <c r="N288" s="14" t="s">
        <v>9158</v>
      </c>
      <c r="O288" s="9" t="s">
        <v>9158</v>
      </c>
      <c r="P288" s="14" t="s">
        <v>9158</v>
      </c>
      <c r="Q288" s="14" t="s">
        <v>9158</v>
      </c>
    </row>
    <row r="289" spans="1:17">
      <c r="A289" s="14">
        <v>81983</v>
      </c>
      <c r="B289" s="14" t="s">
        <v>0</v>
      </c>
      <c r="C289" s="14" t="s">
        <v>101</v>
      </c>
      <c r="D289" s="19" t="s">
        <v>10206</v>
      </c>
      <c r="E289" s="15" t="str">
        <f>HYPERLINK("https://stat100.ameba.jp/tnk47/ratio20/illustrations/card/ill_81983_otenkinonesammatsushitaotome03.jpg?202106-5-RELEASE-marathon-536xxxxx", "■")</f>
        <v>■</v>
      </c>
      <c r="F289" s="14" t="s">
        <v>5022</v>
      </c>
      <c r="G289" s="14">
        <v>113277</v>
      </c>
      <c r="H289" s="14">
        <v>105281</v>
      </c>
      <c r="I289" s="14">
        <v>29</v>
      </c>
      <c r="J289" s="14" t="s">
        <v>77</v>
      </c>
      <c r="K289" s="14" t="s">
        <v>5024</v>
      </c>
      <c r="L289" s="14" t="s">
        <v>4678</v>
      </c>
      <c r="M289" s="14" t="s">
        <v>9158</v>
      </c>
      <c r="N289" s="14" t="s">
        <v>9158</v>
      </c>
      <c r="O289" s="9" t="s">
        <v>9158</v>
      </c>
      <c r="P289" s="14" t="s">
        <v>9158</v>
      </c>
      <c r="Q289" s="14" t="s">
        <v>9158</v>
      </c>
    </row>
    <row r="290" spans="1:17">
      <c r="A290" s="9">
        <v>81233</v>
      </c>
      <c r="B290" s="14" t="s">
        <v>334</v>
      </c>
      <c r="C290" s="14" t="s">
        <v>165</v>
      </c>
      <c r="D290" s="14" t="s">
        <v>4546</v>
      </c>
      <c r="E290" s="15" t="str">
        <f>HYPERLINK("https://stat100.ameba.jp/tnk47/ratio20/illustrations/card/ill_81233_sakasutengaihata03.jpg?202106-5-RELEASE-marathon-536xxxxx", "■")</f>
        <v>■</v>
      </c>
      <c r="F290" s="14" t="s">
        <v>4547</v>
      </c>
      <c r="G290" s="14">
        <v>118287</v>
      </c>
      <c r="H290" s="14">
        <v>109970</v>
      </c>
      <c r="I290" s="14">
        <v>29</v>
      </c>
      <c r="J290" s="14" t="s">
        <v>44</v>
      </c>
      <c r="K290" s="14" t="s">
        <v>4548</v>
      </c>
      <c r="L290" s="14" t="s">
        <v>4549</v>
      </c>
      <c r="M290" s="14" t="s">
        <v>9158</v>
      </c>
      <c r="N290" s="14" t="s">
        <v>9158</v>
      </c>
      <c r="O290" s="14" t="s">
        <v>9158</v>
      </c>
      <c r="P290" s="14" t="s">
        <v>9158</v>
      </c>
      <c r="Q290" s="14" t="s">
        <v>9158</v>
      </c>
    </row>
    <row r="291" spans="1:17">
      <c r="A291" s="14">
        <v>83353</v>
      </c>
      <c r="B291" s="14" t="s">
        <v>0</v>
      </c>
      <c r="C291" s="14" t="s">
        <v>267</v>
      </c>
      <c r="D291" s="19" t="s">
        <v>10532</v>
      </c>
      <c r="E291" s="15" t="str">
        <f>HYPERLINK("https://stat100.ameba.jp/tnk47/ratio20/illustrations/card/ill_83353_kunoichikumanofudechan03.jpg?202106-5-RELEASE-marathon-536xxxxx", "■")</f>
        <v>■</v>
      </c>
      <c r="F291" s="14" t="s">
        <v>6475</v>
      </c>
      <c r="G291" s="14">
        <v>132112</v>
      </c>
      <c r="H291" s="14">
        <v>122834</v>
      </c>
      <c r="I291" s="14">
        <v>29</v>
      </c>
      <c r="J291" s="14" t="s">
        <v>229</v>
      </c>
      <c r="K291" s="14" t="s">
        <v>6474</v>
      </c>
      <c r="L291" s="14" t="s">
        <v>6473</v>
      </c>
      <c r="M291" s="14" t="s">
        <v>9158</v>
      </c>
      <c r="N291" s="14" t="s">
        <v>9158</v>
      </c>
      <c r="O291" s="14" t="s">
        <v>9158</v>
      </c>
      <c r="P291" s="14" t="s">
        <v>9158</v>
      </c>
      <c r="Q291" s="14" t="s">
        <v>9158</v>
      </c>
    </row>
    <row r="292" spans="1:17">
      <c r="A292" s="9">
        <v>80943</v>
      </c>
      <c r="B292" s="14" t="s">
        <v>334</v>
      </c>
      <c r="C292" s="14" t="s">
        <v>107</v>
      </c>
      <c r="D292" s="14" t="s">
        <v>4452</v>
      </c>
      <c r="E292" s="15" t="str">
        <f>HYPERLINK("https://stat100.ameba.jp/tnk47/ratio20/illustrations/card/ill_80943_shinshakaijimburakkuparu03.jpg?202106-5-RELEASE-marathon-536xxxxx", "■")</f>
        <v>■</v>
      </c>
      <c r="F292" s="14" t="s">
        <v>4453</v>
      </c>
      <c r="G292" s="14">
        <v>113277</v>
      </c>
      <c r="H292" s="14">
        <v>105281</v>
      </c>
      <c r="I292" s="14">
        <v>29</v>
      </c>
      <c r="J292" s="14" t="s">
        <v>16</v>
      </c>
      <c r="K292" s="14" t="s">
        <v>4454</v>
      </c>
      <c r="L292" s="14" t="s">
        <v>4455</v>
      </c>
      <c r="M292" s="14" t="s">
        <v>9158</v>
      </c>
      <c r="N292" s="14" t="s">
        <v>9158</v>
      </c>
      <c r="O292" s="14" t="s">
        <v>9158</v>
      </c>
      <c r="P292" s="14" t="s">
        <v>9158</v>
      </c>
      <c r="Q292" s="14" t="s">
        <v>9158</v>
      </c>
    </row>
    <row r="313" spans="1:17">
      <c r="D313" s="7"/>
    </row>
    <row r="316" spans="1:17">
      <c r="A316" s="14" t="s">
        <v>3916</v>
      </c>
      <c r="I316" s="9"/>
    </row>
    <row r="317" spans="1:17">
      <c r="A317" s="14">
        <v>109460</v>
      </c>
      <c r="B317" s="14" t="s">
        <v>17442</v>
      </c>
      <c r="I317" s="9"/>
    </row>
    <row r="318" spans="1:17">
      <c r="A318" s="9">
        <v>60363</v>
      </c>
      <c r="B318" s="14" t="s">
        <v>0</v>
      </c>
      <c r="C318" s="14" t="s">
        <v>209</v>
      </c>
      <c r="D318" s="14" t="s">
        <v>3918</v>
      </c>
      <c r="E318" s="15" t="str">
        <f>HYPERLINK("https://stat100.ameba.jp/tnk47/ratio20/illustrations/card/ill_60363_shirakaba03.jpg?202106-5-RELEASE-marathon-536xxxxx", "■")</f>
        <v>■</v>
      </c>
      <c r="F318" s="14" t="s">
        <v>3919</v>
      </c>
      <c r="G318" s="14">
        <v>116296</v>
      </c>
      <c r="H318" s="14">
        <v>125078</v>
      </c>
      <c r="I318" s="9">
        <v>29</v>
      </c>
      <c r="J318" s="14" t="s">
        <v>26</v>
      </c>
      <c r="K318" s="14" t="s">
        <v>3920</v>
      </c>
      <c r="L318" s="14" t="s">
        <v>3921</v>
      </c>
      <c r="M318" s="14" t="s">
        <v>9158</v>
      </c>
      <c r="N318" s="14" t="s">
        <v>9158</v>
      </c>
      <c r="O318" s="14" t="s">
        <v>9158</v>
      </c>
      <c r="P318" s="14" t="s">
        <v>9158</v>
      </c>
      <c r="Q318" s="14" t="s">
        <v>9158</v>
      </c>
    </row>
    <row r="319" spans="1:17">
      <c r="A319" s="9">
        <v>59413</v>
      </c>
      <c r="B319" s="14" t="s">
        <v>334</v>
      </c>
      <c r="C319" s="14" t="s">
        <v>158</v>
      </c>
      <c r="D319" s="14" t="s">
        <v>3922</v>
      </c>
      <c r="E319" s="15" t="str">
        <f>HYPERLINK("https://stat100.ameba.jp/tnk47/ratio20/illustrations/card/ill_59413_otogosahime03.jpg?202106-5-RELEASE-marathon-536xxxxx", "■")</f>
        <v>■</v>
      </c>
      <c r="F319" s="14" t="s">
        <v>3923</v>
      </c>
      <c r="G319" s="14">
        <v>116296</v>
      </c>
      <c r="H319" s="14">
        <v>125078</v>
      </c>
      <c r="I319" s="14">
        <v>29</v>
      </c>
      <c r="J319" s="14" t="s">
        <v>38</v>
      </c>
      <c r="K319" s="14" t="s">
        <v>3924</v>
      </c>
      <c r="L319" s="14" t="s">
        <v>3925</v>
      </c>
      <c r="M319" s="14" t="s">
        <v>9158</v>
      </c>
      <c r="N319" s="14" t="s">
        <v>9158</v>
      </c>
      <c r="O319" s="14" t="s">
        <v>9158</v>
      </c>
      <c r="P319" s="14" t="s">
        <v>9158</v>
      </c>
      <c r="Q319" s="14" t="s">
        <v>9158</v>
      </c>
    </row>
    <row r="320" spans="1:17">
      <c r="A320" s="14">
        <v>76483</v>
      </c>
      <c r="B320" s="14" t="s">
        <v>334</v>
      </c>
      <c r="C320" s="14" t="s">
        <v>307</v>
      </c>
      <c r="D320" s="20" t="s">
        <v>589</v>
      </c>
      <c r="E320" s="15" t="str">
        <f>HYPERLINK("https://stat100.ameba.jp/tnk47/ratio20/illustrations/card/ill_76483_yukemurimizuhanome03.jpg?202106-5-RELEASE-marathon-536xxxxx", "■")</f>
        <v>■</v>
      </c>
      <c r="F320" s="14" t="s">
        <v>590</v>
      </c>
      <c r="G320" s="14">
        <v>118287</v>
      </c>
      <c r="H320" s="14">
        <v>109970</v>
      </c>
      <c r="I320" s="9">
        <v>29</v>
      </c>
      <c r="J320" s="14" t="s">
        <v>401</v>
      </c>
      <c r="K320" s="14" t="s">
        <v>591</v>
      </c>
      <c r="L320" s="14" t="s">
        <v>592</v>
      </c>
      <c r="M320" s="14" t="s">
        <v>9158</v>
      </c>
      <c r="N320" s="14" t="s">
        <v>9158</v>
      </c>
      <c r="O320" s="14" t="s">
        <v>9158</v>
      </c>
      <c r="P320" s="14" t="s">
        <v>9158</v>
      </c>
      <c r="Q320" s="14" t="s">
        <v>9158</v>
      </c>
    </row>
    <row r="321" spans="1:17">
      <c r="A321" s="14">
        <v>70023</v>
      </c>
      <c r="B321" s="14" t="s">
        <v>334</v>
      </c>
      <c r="C321" s="14" t="s">
        <v>344</v>
      </c>
      <c r="D321" s="20" t="s">
        <v>10230</v>
      </c>
      <c r="E321" s="15" t="str">
        <f>HYPERLINK("https://stat100.ameba.jp/tnk47/ratio20/illustrations/card/ill_70023_yukinoukokunabeshimanobakeneko03.jpg?202106-5-RELEASE-marathon-536xxxxx", "■")</f>
        <v>■</v>
      </c>
      <c r="F321" s="14" t="s">
        <v>769</v>
      </c>
      <c r="G321" s="14">
        <v>112369</v>
      </c>
      <c r="H321" s="14">
        <v>120830</v>
      </c>
      <c r="I321" s="14">
        <v>29</v>
      </c>
      <c r="J321" s="14" t="s">
        <v>320</v>
      </c>
      <c r="K321" s="14" t="s">
        <v>770</v>
      </c>
      <c r="L321" s="14" t="s">
        <v>771</v>
      </c>
      <c r="M321" s="14" t="s">
        <v>9158</v>
      </c>
      <c r="N321" s="14" t="s">
        <v>9158</v>
      </c>
      <c r="O321" s="14" t="s">
        <v>9158</v>
      </c>
      <c r="P321" s="14" t="s">
        <v>9158</v>
      </c>
      <c r="Q321" s="14" t="s">
        <v>9158</v>
      </c>
    </row>
    <row r="322" spans="1:17">
      <c r="A322" s="14">
        <v>52733</v>
      </c>
      <c r="B322" s="14" t="s">
        <v>15</v>
      </c>
      <c r="C322" s="14" t="s">
        <v>185</v>
      </c>
      <c r="D322" s="20" t="s">
        <v>10491</v>
      </c>
      <c r="E322" s="15" t="str">
        <f>HYPERLINK("https://stat100.ameba.jp/tnk47/ratio20/illustrations/card/ill_52733_sekkinambutsuruhime03.jpg?202106-5-RELEASE-marathon-536xxxxx", "■")</f>
        <v>■</v>
      </c>
      <c r="F322" s="14" t="s">
        <v>6246</v>
      </c>
      <c r="G322" s="14">
        <v>64520</v>
      </c>
      <c r="H322" s="14">
        <v>71136</v>
      </c>
      <c r="I322" s="14">
        <v>24</v>
      </c>
      <c r="J322" s="14" t="s">
        <v>77</v>
      </c>
      <c r="K322" s="14" t="s">
        <v>6248</v>
      </c>
      <c r="L322" s="14" t="s">
        <v>6249</v>
      </c>
      <c r="M322" s="14" t="s">
        <v>9158</v>
      </c>
      <c r="N322" s="14" t="s">
        <v>9158</v>
      </c>
      <c r="O322" s="14" t="s">
        <v>9158</v>
      </c>
      <c r="P322" s="14" t="s">
        <v>9158</v>
      </c>
      <c r="Q322" s="14" t="s">
        <v>9158</v>
      </c>
    </row>
    <row r="323" spans="1:17">
      <c r="A323" s="14">
        <v>54003</v>
      </c>
      <c r="B323" s="14" t="s">
        <v>15</v>
      </c>
      <c r="C323" s="14" t="s">
        <v>200</v>
      </c>
      <c r="D323" s="20" t="s">
        <v>10492</v>
      </c>
      <c r="E323" s="15" t="str">
        <f>HYPERLINK("https://stat100.ameba.jp/tnk47/ratio20/illustrations/card/ill_54003_seiryumegurihiguchiichiyo03.jpg?202106-5-RELEASE-marathon-536xxxxx", "■")</f>
        <v>■</v>
      </c>
      <c r="F323" s="14" t="s">
        <v>6250</v>
      </c>
      <c r="G323" s="14">
        <v>71136</v>
      </c>
      <c r="H323" s="14">
        <v>64520</v>
      </c>
      <c r="I323" s="14">
        <v>24</v>
      </c>
      <c r="J323" s="14" t="s">
        <v>10</v>
      </c>
      <c r="K323" s="14" t="s">
        <v>6252</v>
      </c>
      <c r="L323" s="14" t="s">
        <v>6253</v>
      </c>
      <c r="M323" s="14" t="s">
        <v>9158</v>
      </c>
      <c r="N323" s="14" t="s">
        <v>9158</v>
      </c>
      <c r="O323" s="14" t="s">
        <v>9158</v>
      </c>
      <c r="P323" s="14" t="s">
        <v>9158</v>
      </c>
      <c r="Q323" s="14" t="s">
        <v>9158</v>
      </c>
    </row>
    <row r="324" spans="1:17">
      <c r="A324" s="14">
        <v>51833</v>
      </c>
      <c r="B324" s="14" t="s">
        <v>15</v>
      </c>
      <c r="C324" s="14" t="s">
        <v>205</v>
      </c>
      <c r="D324" s="20" t="s">
        <v>10493</v>
      </c>
      <c r="E324" s="15" t="str">
        <f>HYPERLINK("https://stat100.ameba.jp/tnk47/ratio20/illustrations/card/ill_51833_jukimakitsuhikonomikoto03.jpg?202106-5-RELEASE-marathon-536xxxxx", "■")</f>
        <v>■</v>
      </c>
      <c r="F324" s="14" t="s">
        <v>6254</v>
      </c>
      <c r="G324" s="14">
        <v>71136</v>
      </c>
      <c r="H324" s="14">
        <v>64520</v>
      </c>
      <c r="I324" s="14">
        <v>24</v>
      </c>
      <c r="J324" s="14" t="s">
        <v>44</v>
      </c>
      <c r="K324" s="14" t="s">
        <v>6257</v>
      </c>
      <c r="L324" s="14" t="s">
        <v>6256</v>
      </c>
      <c r="M324" s="14" t="s">
        <v>9158</v>
      </c>
      <c r="N324" s="14" t="s">
        <v>9158</v>
      </c>
      <c r="O324" s="14" t="s">
        <v>9158</v>
      </c>
      <c r="P324" s="14" t="s">
        <v>9158</v>
      </c>
      <c r="Q324" s="14" t="s">
        <v>9158</v>
      </c>
    </row>
    <row r="325" spans="1:17">
      <c r="A325" s="14">
        <v>53203</v>
      </c>
      <c r="B325" s="14" t="s">
        <v>15</v>
      </c>
      <c r="C325" s="14" t="s">
        <v>165</v>
      </c>
      <c r="D325" s="20" t="s">
        <v>10494</v>
      </c>
      <c r="E325" s="15" t="str">
        <f>HYPERLINK("https://stat100.ameba.jp/tnk47/ratio20/illustrations/card/ill_53203_buruhawaichan03.jpg?202106-5-RELEASE-marathon-536xxxxx", "■")</f>
        <v>■</v>
      </c>
      <c r="F325" s="14" t="s">
        <v>6258</v>
      </c>
      <c r="G325" s="14">
        <v>64520</v>
      </c>
      <c r="H325" s="14">
        <v>71136</v>
      </c>
      <c r="I325" s="14">
        <v>24</v>
      </c>
      <c r="J325" s="14" t="s">
        <v>104</v>
      </c>
      <c r="K325" s="14" t="s">
        <v>6261</v>
      </c>
      <c r="L325" s="14" t="s">
        <v>6260</v>
      </c>
      <c r="M325" s="14" t="s">
        <v>9158</v>
      </c>
      <c r="N325" s="14" t="s">
        <v>9158</v>
      </c>
      <c r="O325" s="14" t="s">
        <v>9158</v>
      </c>
      <c r="P325" s="14" t="s">
        <v>9158</v>
      </c>
      <c r="Q325" s="14" t="s">
        <v>9158</v>
      </c>
    </row>
    <row r="340" spans="1:18">
      <c r="A340" s="14" t="s">
        <v>13327</v>
      </c>
    </row>
    <row r="341" spans="1:18">
      <c r="A341" s="14">
        <v>109495</v>
      </c>
      <c r="B341" s="14" t="s">
        <v>17443</v>
      </c>
    </row>
    <row r="342" spans="1:18">
      <c r="A342" s="14">
        <v>92173</v>
      </c>
      <c r="B342" s="14" t="s">
        <v>0</v>
      </c>
      <c r="C342" s="14" t="s">
        <v>335</v>
      </c>
      <c r="D342" s="14" t="s">
        <v>14616</v>
      </c>
      <c r="E342" s="15" t="str">
        <f>HYPERLINK("https://stat100.ameba.jp/tnk47/ratio20/illustrations/card/ill_92173_atorasu03.jpg?202107-i_prefecture_active_user", "■")</f>
        <v>■</v>
      </c>
      <c r="F342" s="14" t="s">
        <v>14617</v>
      </c>
      <c r="G342" s="14">
        <v>142768</v>
      </c>
      <c r="H342" s="14">
        <v>132737</v>
      </c>
      <c r="I342" s="14">
        <v>29</v>
      </c>
      <c r="J342" s="14" t="s">
        <v>77</v>
      </c>
      <c r="K342" s="14" t="s">
        <v>14619</v>
      </c>
      <c r="L342" s="14" t="s">
        <v>14618</v>
      </c>
      <c r="M342" s="14" t="s">
        <v>2138</v>
      </c>
      <c r="N342" s="14" t="s">
        <v>2139</v>
      </c>
      <c r="O342" s="14" t="s">
        <v>9158</v>
      </c>
      <c r="P342" s="14" t="s">
        <v>9158</v>
      </c>
      <c r="Q342" s="14" t="s">
        <v>9158</v>
      </c>
      <c r="R342" s="14" t="s">
        <v>14748</v>
      </c>
    </row>
    <row r="343" spans="1:18">
      <c r="A343" s="14">
        <v>92172</v>
      </c>
      <c r="B343" s="14" t="s">
        <v>0</v>
      </c>
      <c r="C343" s="14" t="s">
        <v>335</v>
      </c>
      <c r="D343" s="14" t="s">
        <v>14616</v>
      </c>
      <c r="E343" s="15" t="str">
        <f>HYPERLINK("https://stat100.ameba.jp/tnk47/ratio20/illustrations/card/ill_92172_atorasu02.jpg?202107-i_prefecture_active_user", "■")</f>
        <v>■</v>
      </c>
      <c r="F343" s="14" t="s">
        <v>14617</v>
      </c>
      <c r="G343" s="14">
        <v>119345</v>
      </c>
      <c r="H343" s="14">
        <v>109938</v>
      </c>
      <c r="I343" s="14">
        <v>29</v>
      </c>
      <c r="J343" s="14" t="s">
        <v>77</v>
      </c>
      <c r="K343" s="14" t="s">
        <v>14619</v>
      </c>
      <c r="L343" s="14" t="s">
        <v>14618</v>
      </c>
      <c r="M343" s="14" t="s">
        <v>13270</v>
      </c>
      <c r="N343" s="14" t="s">
        <v>13271</v>
      </c>
      <c r="O343" s="14" t="s">
        <v>9158</v>
      </c>
      <c r="P343" s="14" t="s">
        <v>9158</v>
      </c>
      <c r="Q343" s="14" t="s">
        <v>9158</v>
      </c>
      <c r="R343" s="14" t="s">
        <v>14748</v>
      </c>
    </row>
    <row r="344" spans="1:18">
      <c r="A344" s="14">
        <v>92171</v>
      </c>
      <c r="B344" s="14" t="s">
        <v>0</v>
      </c>
      <c r="C344" s="14" t="s">
        <v>335</v>
      </c>
      <c r="D344" s="14" t="s">
        <v>14616</v>
      </c>
      <c r="E344" s="15" t="str">
        <f>HYPERLINK("https://stat100.ameba.jp/tnk47/ratio20/illustrations/card/ill_92171_atorasu01.jpg?202107-i_prefecture_active_user", "■")</f>
        <v>■</v>
      </c>
      <c r="F344" s="14" t="s">
        <v>14617</v>
      </c>
      <c r="G344" s="14">
        <v>91118</v>
      </c>
      <c r="H344" s="14">
        <v>84825</v>
      </c>
      <c r="I344" s="14">
        <v>29</v>
      </c>
      <c r="J344" s="14" t="s">
        <v>77</v>
      </c>
      <c r="K344" s="14" t="s">
        <v>14619</v>
      </c>
      <c r="L344" s="14" t="s">
        <v>14618</v>
      </c>
      <c r="M344" s="14" t="s">
        <v>13270</v>
      </c>
      <c r="N344" s="14" t="s">
        <v>13271</v>
      </c>
      <c r="O344" s="14" t="s">
        <v>9158</v>
      </c>
      <c r="P344" s="14" t="s">
        <v>9158</v>
      </c>
      <c r="Q344" s="14" t="s">
        <v>9158</v>
      </c>
      <c r="R344" s="14" t="s">
        <v>14748</v>
      </c>
    </row>
    <row r="345" spans="1:18">
      <c r="A345" s="14">
        <v>92183</v>
      </c>
      <c r="B345" s="14" t="s">
        <v>0</v>
      </c>
      <c r="C345" s="14" t="s">
        <v>200</v>
      </c>
      <c r="D345" s="14" t="s">
        <v>14624</v>
      </c>
      <c r="E345" s="15" t="str">
        <f>HYPERLINK("https://stat100.ameba.jp/tnk47/ratio20/illustrations/card/ill_92183_shokorafue03.jpg?202107-i_prefecture_active_user", "■")</f>
        <v>■</v>
      </c>
      <c r="F345" s="14" t="s">
        <v>14623</v>
      </c>
      <c r="G345" s="14">
        <v>142768</v>
      </c>
      <c r="H345" s="14">
        <v>132737</v>
      </c>
      <c r="I345" s="14">
        <v>29</v>
      </c>
      <c r="J345" s="14" t="s">
        <v>104</v>
      </c>
      <c r="K345" s="14" t="s">
        <v>14621</v>
      </c>
      <c r="L345" s="14" t="s">
        <v>14620</v>
      </c>
      <c r="M345" s="14" t="s">
        <v>2138</v>
      </c>
      <c r="N345" s="14" t="s">
        <v>2139</v>
      </c>
      <c r="O345" s="14" t="s">
        <v>9158</v>
      </c>
      <c r="P345" s="14" t="s">
        <v>9158</v>
      </c>
      <c r="Q345" s="14" t="s">
        <v>9158</v>
      </c>
      <c r="R345" s="14" t="s">
        <v>14748</v>
      </c>
    </row>
    <row r="346" spans="1:18">
      <c r="A346" s="14">
        <v>92193</v>
      </c>
      <c r="B346" s="14" t="s">
        <v>0</v>
      </c>
      <c r="C346" s="14" t="s">
        <v>307</v>
      </c>
      <c r="D346" s="14" t="s">
        <v>14629</v>
      </c>
      <c r="E346" s="15" t="str">
        <f>HYPERLINK("https://stat100.ameba.jp/tnk47/ratio20/illustrations/card/ill_92193_kerubu03.jpg?202107-i_prefecture_active_user", "■")</f>
        <v>■</v>
      </c>
      <c r="F346" s="14" t="s">
        <v>14628</v>
      </c>
      <c r="G346" s="14">
        <v>142768</v>
      </c>
      <c r="H346" s="14">
        <v>132737</v>
      </c>
      <c r="I346" s="14">
        <v>29</v>
      </c>
      <c r="J346" s="14" t="s">
        <v>44</v>
      </c>
      <c r="K346" s="14" t="s">
        <v>14626</v>
      </c>
      <c r="L346" s="14" t="s">
        <v>14625</v>
      </c>
      <c r="M346" s="14" t="s">
        <v>2138</v>
      </c>
      <c r="N346" s="14" t="s">
        <v>2139</v>
      </c>
      <c r="O346" s="14" t="s">
        <v>9158</v>
      </c>
      <c r="P346" s="14" t="s">
        <v>9158</v>
      </c>
      <c r="Q346" s="14" t="s">
        <v>9158</v>
      </c>
      <c r="R346" s="14" t="s">
        <v>14748</v>
      </c>
    </row>
    <row r="347" spans="1:18">
      <c r="A347" s="14">
        <v>92203</v>
      </c>
      <c r="B347" s="14" t="s">
        <v>0</v>
      </c>
      <c r="C347" s="14" t="s">
        <v>165</v>
      </c>
      <c r="D347" s="14" t="s">
        <v>14634</v>
      </c>
      <c r="E347" s="15" t="str">
        <f>HYPERLINK("https://stat100.ameba.jp/tnk47/ratio20/illustrations/card/ill_92203_tarazetotoreda03.jpg?202107-i_prefecture_active_user", "■")</f>
        <v>■</v>
      </c>
      <c r="F347" s="14" t="s">
        <v>14633</v>
      </c>
      <c r="G347" s="14">
        <v>132737</v>
      </c>
      <c r="H347" s="14">
        <v>142768</v>
      </c>
      <c r="I347" s="14">
        <v>29</v>
      </c>
      <c r="J347" s="14" t="s">
        <v>73</v>
      </c>
      <c r="K347" s="14" t="s">
        <v>14631</v>
      </c>
      <c r="L347" s="14" t="s">
        <v>14630</v>
      </c>
      <c r="M347" s="14" t="s">
        <v>2138</v>
      </c>
      <c r="N347" s="14" t="s">
        <v>2139</v>
      </c>
      <c r="O347" s="14" t="s">
        <v>9158</v>
      </c>
      <c r="P347" s="14" t="s">
        <v>9158</v>
      </c>
      <c r="Q347" s="14" t="s">
        <v>9158</v>
      </c>
      <c r="R347" s="14" t="s">
        <v>14748</v>
      </c>
    </row>
    <row r="348" spans="1:18">
      <c r="A348" s="14">
        <v>92213</v>
      </c>
      <c r="B348" s="14" t="s">
        <v>0</v>
      </c>
      <c r="C348" s="9" t="s">
        <v>205</v>
      </c>
      <c r="D348" s="14" t="s">
        <v>14639</v>
      </c>
      <c r="E348" s="15" t="str">
        <f>HYPERLINK("https://stat100.ameba.jp/tnk47/ratio20/illustrations/card/ill_92213_pushikopompoi03.jpg?202107-i_prefecture_active_user", "■")</f>
        <v>■</v>
      </c>
      <c r="F348" s="14" t="s">
        <v>14638</v>
      </c>
      <c r="G348" s="14">
        <v>132737</v>
      </c>
      <c r="H348" s="14">
        <v>142768</v>
      </c>
      <c r="I348" s="14">
        <v>29</v>
      </c>
      <c r="J348" s="14" t="s">
        <v>38</v>
      </c>
      <c r="K348" s="14" t="s">
        <v>14636</v>
      </c>
      <c r="L348" s="14" t="s">
        <v>14635</v>
      </c>
      <c r="M348" s="14" t="s">
        <v>2138</v>
      </c>
      <c r="N348" s="14" t="s">
        <v>2139</v>
      </c>
      <c r="O348" s="14" t="s">
        <v>9158</v>
      </c>
      <c r="P348" s="14" t="s">
        <v>9158</v>
      </c>
      <c r="Q348" s="14" t="s">
        <v>9158</v>
      </c>
      <c r="R348" s="14" t="s">
        <v>14748</v>
      </c>
    </row>
    <row r="349" spans="1:18">
      <c r="A349" s="14">
        <v>92223</v>
      </c>
      <c r="B349" s="14" t="s">
        <v>0</v>
      </c>
      <c r="C349" s="14" t="s">
        <v>206</v>
      </c>
      <c r="D349" s="14" t="s">
        <v>14644</v>
      </c>
      <c r="E349" s="15" t="str">
        <f>HYPERLINK("https://stat100.ameba.jp/tnk47/ratio20/illustrations/card/ill_92223_sanfuraua03.jpg?202107-i_prefecture_active_user", "■")</f>
        <v>■</v>
      </c>
      <c r="F349" s="14" t="s">
        <v>14643</v>
      </c>
      <c r="G349" s="14">
        <v>132737</v>
      </c>
      <c r="H349" s="14">
        <v>142768</v>
      </c>
      <c r="I349" s="14">
        <v>29</v>
      </c>
      <c r="J349" s="14" t="s">
        <v>26</v>
      </c>
      <c r="K349" s="14" t="s">
        <v>14641</v>
      </c>
      <c r="L349" s="14" t="s">
        <v>14640</v>
      </c>
      <c r="M349" s="14" t="s">
        <v>2138</v>
      </c>
      <c r="N349" s="14" t="s">
        <v>2139</v>
      </c>
      <c r="O349" s="14" t="s">
        <v>9158</v>
      </c>
      <c r="P349" s="14" t="s">
        <v>9158</v>
      </c>
      <c r="Q349" s="14" t="s">
        <v>9158</v>
      </c>
      <c r="R349" s="14" t="s">
        <v>14748</v>
      </c>
    </row>
    <row r="350" spans="1:18">
      <c r="E350" s="15"/>
    </row>
    <row r="351" spans="1:18">
      <c r="A351" s="14" t="s">
        <v>946</v>
      </c>
      <c r="E351" s="15"/>
    </row>
    <row r="352" spans="1:18">
      <c r="A352" s="14">
        <v>239066</v>
      </c>
      <c r="B352" s="14" t="s">
        <v>5266</v>
      </c>
    </row>
    <row r="353" spans="1:17">
      <c r="A353" s="9" t="s">
        <v>5650</v>
      </c>
      <c r="B353" s="14" t="s">
        <v>52</v>
      </c>
      <c r="C353" s="14" t="s">
        <v>200</v>
      </c>
      <c r="D353" s="14" t="s">
        <v>136</v>
      </c>
      <c r="E353" s="15" t="str">
        <f>HYPERLINK("https://stat100.ameba.jp/tnk47/ratio20/illustrations/card/ill_68033_0_kurisumasupateikandamyojin03.jpg?202107-i_prefecture_active_user", "■")</f>
        <v>■</v>
      </c>
      <c r="F353" s="14" t="s">
        <v>1871</v>
      </c>
      <c r="G353" s="14">
        <v>127162</v>
      </c>
      <c r="H353" s="14">
        <v>136788</v>
      </c>
      <c r="I353" s="14">
        <v>20</v>
      </c>
      <c r="J353" s="14" t="s">
        <v>44</v>
      </c>
      <c r="K353" s="14" t="s">
        <v>1872</v>
      </c>
      <c r="L353" s="14" t="s">
        <v>1873</v>
      </c>
      <c r="M353" s="14" t="s">
        <v>9158</v>
      </c>
      <c r="N353" s="14" t="s">
        <v>9158</v>
      </c>
      <c r="O353" s="9" t="s">
        <v>3482</v>
      </c>
      <c r="P353" s="14" t="s">
        <v>3483</v>
      </c>
      <c r="Q353" s="14">
        <v>2</v>
      </c>
    </row>
    <row r="354" spans="1:17">
      <c r="A354" s="14">
        <v>98733</v>
      </c>
      <c r="B354" s="14" t="s">
        <v>0</v>
      </c>
      <c r="C354" s="14" t="s">
        <v>96</v>
      </c>
      <c r="D354" s="14" t="s">
        <v>17368</v>
      </c>
      <c r="E354" s="15" t="str">
        <f>HYPERLINK("https://stat100.ameba.jp/tnk47/ratio20/illustrations/card/ill_98733_hokennokuraudeia03.jpg?202107-i_prefecture_active_user", "■")</f>
        <v>■</v>
      </c>
      <c r="F354" s="14" t="s">
        <v>17367</v>
      </c>
      <c r="G354" s="14">
        <v>119785</v>
      </c>
      <c r="H354" s="14">
        <v>212908</v>
      </c>
      <c r="I354" s="14">
        <v>29</v>
      </c>
      <c r="J354" s="14" t="s">
        <v>143</v>
      </c>
      <c r="K354" s="14" t="s">
        <v>17366</v>
      </c>
      <c r="L354" s="14" t="s">
        <v>14475</v>
      </c>
      <c r="M354" s="14" t="s">
        <v>9158</v>
      </c>
      <c r="N354" s="14" t="s">
        <v>9158</v>
      </c>
      <c r="O354" s="14" t="s">
        <v>9158</v>
      </c>
      <c r="P354" s="14" t="s">
        <v>9158</v>
      </c>
      <c r="Q354" s="14" t="s">
        <v>9158</v>
      </c>
    </row>
    <row r="355" spans="1:17">
      <c r="A355" s="14">
        <v>98732</v>
      </c>
      <c r="B355" s="14" t="s">
        <v>0</v>
      </c>
      <c r="C355" s="14" t="s">
        <v>96</v>
      </c>
      <c r="D355" s="14" t="s">
        <v>17368</v>
      </c>
      <c r="E355" s="15" t="str">
        <f>HYPERLINK("https://stat100.ameba.jp/tnk47/ratio20/illustrations/card/ill_98732_hokennokuraudeia02.jpg?202107-i_prefecture_active_user", "■")</f>
        <v>■</v>
      </c>
      <c r="F355" s="14" t="s">
        <v>17367</v>
      </c>
      <c r="G355" s="14">
        <v>99690</v>
      </c>
      <c r="H355" s="14">
        <v>177149</v>
      </c>
      <c r="I355" s="14">
        <v>29</v>
      </c>
      <c r="J355" s="14" t="s">
        <v>143</v>
      </c>
      <c r="K355" s="14" t="s">
        <v>17366</v>
      </c>
      <c r="L355" s="14" t="s">
        <v>17369</v>
      </c>
      <c r="M355" s="14" t="s">
        <v>9158</v>
      </c>
      <c r="N355" s="14" t="s">
        <v>9158</v>
      </c>
      <c r="O355" s="14" t="s">
        <v>9158</v>
      </c>
      <c r="P355" s="14" t="s">
        <v>9158</v>
      </c>
      <c r="Q355" s="14" t="s">
        <v>9158</v>
      </c>
    </row>
    <row r="356" spans="1:17">
      <c r="A356" s="14">
        <v>98731</v>
      </c>
      <c r="B356" s="14" t="s">
        <v>0</v>
      </c>
      <c r="C356" s="14" t="s">
        <v>96</v>
      </c>
      <c r="D356" s="14" t="s">
        <v>17368</v>
      </c>
      <c r="E356" s="15" t="str">
        <f>HYPERLINK("https://stat100.ameba.jp/tnk47/ratio20/illustrations/card/ill_98731_hokennokuraudeia01.jpg?202107-i_prefecture_active_user", "■")</f>
        <v>■</v>
      </c>
      <c r="F356" s="14" t="s">
        <v>17367</v>
      </c>
      <c r="G356" s="14">
        <v>76502</v>
      </c>
      <c r="H356" s="14">
        <v>135952</v>
      </c>
      <c r="I356" s="14">
        <v>29</v>
      </c>
      <c r="J356" s="14" t="s">
        <v>143</v>
      </c>
      <c r="K356" s="14" t="s">
        <v>17366</v>
      </c>
      <c r="L356" s="14" t="s">
        <v>13527</v>
      </c>
      <c r="M356" s="14" t="s">
        <v>9158</v>
      </c>
      <c r="N356" s="14" t="s">
        <v>9158</v>
      </c>
      <c r="O356" s="14" t="s">
        <v>9158</v>
      </c>
      <c r="P356" s="14" t="s">
        <v>9158</v>
      </c>
      <c r="Q356" s="14" t="s">
        <v>9158</v>
      </c>
    </row>
    <row r="357" spans="1:17">
      <c r="A357" s="14">
        <v>98743</v>
      </c>
      <c r="B357" s="14" t="s">
        <v>0</v>
      </c>
      <c r="C357" s="14" t="s">
        <v>14</v>
      </c>
      <c r="D357" s="14" t="s">
        <v>17372</v>
      </c>
      <c r="E357" s="15" t="str">
        <f>HYPERLINK("https://stat100.ameba.jp/tnk47/ratio20/illustrations/card/ill_98743_nessanotamiaiyuku03.jpg?202107-i_prefecture_active_user", "■")</f>
        <v>■</v>
      </c>
      <c r="F357" s="14" t="s">
        <v>17371</v>
      </c>
      <c r="G357" s="14">
        <v>91809</v>
      </c>
      <c r="H357" s="14">
        <v>163137</v>
      </c>
      <c r="I357" s="14">
        <v>29</v>
      </c>
      <c r="J357" s="14" t="s">
        <v>44</v>
      </c>
      <c r="K357" s="14" t="s">
        <v>17370</v>
      </c>
      <c r="L357" s="14" t="s">
        <v>7160</v>
      </c>
      <c r="M357" s="14" t="s">
        <v>9158</v>
      </c>
      <c r="N357" s="14" t="s">
        <v>9158</v>
      </c>
      <c r="O357" s="14" t="s">
        <v>9158</v>
      </c>
      <c r="P357" s="14" t="s">
        <v>9158</v>
      </c>
      <c r="Q357" s="14" t="s">
        <v>9158</v>
      </c>
    </row>
    <row r="358" spans="1:17">
      <c r="A358" s="14">
        <v>98742</v>
      </c>
      <c r="B358" s="14" t="s">
        <v>0</v>
      </c>
      <c r="C358" s="14" t="s">
        <v>14</v>
      </c>
      <c r="D358" s="14" t="s">
        <v>17372</v>
      </c>
      <c r="E358" s="15" t="str">
        <f>HYPERLINK("https://stat100.ameba.jp/tnk47/ratio20/illustrations/card/ill_98742_nessanotamiaiyuku02.jpg?202107-i_prefecture_active_user", "■")</f>
        <v>■</v>
      </c>
      <c r="F358" s="14" t="s">
        <v>17371</v>
      </c>
      <c r="G358" s="14">
        <v>76390</v>
      </c>
      <c r="H358" s="14">
        <v>135788</v>
      </c>
      <c r="I358" s="14">
        <v>29</v>
      </c>
      <c r="J358" s="14" t="s">
        <v>44</v>
      </c>
      <c r="K358" s="14" t="s">
        <v>17370</v>
      </c>
      <c r="L358" s="14" t="s">
        <v>17373</v>
      </c>
      <c r="M358" s="14" t="s">
        <v>9158</v>
      </c>
      <c r="N358" s="14" t="s">
        <v>9158</v>
      </c>
      <c r="O358" s="14" t="s">
        <v>9158</v>
      </c>
      <c r="P358" s="14" t="s">
        <v>9158</v>
      </c>
      <c r="Q358" s="14" t="s">
        <v>9158</v>
      </c>
    </row>
    <row r="359" spans="1:17">
      <c r="A359" s="14">
        <v>98741</v>
      </c>
      <c r="B359" s="14" t="s">
        <v>0</v>
      </c>
      <c r="C359" s="14" t="s">
        <v>14</v>
      </c>
      <c r="D359" s="14" t="s">
        <v>17372</v>
      </c>
      <c r="E359" s="15" t="str">
        <f>HYPERLINK("https://stat100.ameba.jp/tnk47/ratio20/illustrations/card/ill_98741_nessanotamiaiyuku01.jpg?202107-i_prefecture_active_user", "■")</f>
        <v>■</v>
      </c>
      <c r="F359" s="14" t="s">
        <v>17371</v>
      </c>
      <c r="G359" s="14">
        <v>58609</v>
      </c>
      <c r="H359" s="14">
        <v>104168</v>
      </c>
      <c r="I359" s="14">
        <v>29</v>
      </c>
      <c r="J359" s="14" t="s">
        <v>44</v>
      </c>
      <c r="K359" s="14" t="s">
        <v>17370</v>
      </c>
      <c r="L359" s="14" t="s">
        <v>17374</v>
      </c>
      <c r="M359" s="14" t="s">
        <v>9158</v>
      </c>
      <c r="N359" s="14" t="s">
        <v>9158</v>
      </c>
      <c r="O359" s="14" t="s">
        <v>9158</v>
      </c>
      <c r="P359" s="14" t="s">
        <v>9158</v>
      </c>
      <c r="Q359" s="14" t="s">
        <v>9158</v>
      </c>
    </row>
    <row r="361" spans="1:17">
      <c r="A361" s="14" t="s">
        <v>8239</v>
      </c>
    </row>
    <row r="362" spans="1:17">
      <c r="A362" s="14">
        <v>239095</v>
      </c>
      <c r="B362" s="14" t="s">
        <v>14009</v>
      </c>
    </row>
    <row r="363" spans="1:17">
      <c r="A363" s="14">
        <v>239131</v>
      </c>
      <c r="B363" s="14" t="s">
        <v>18542</v>
      </c>
    </row>
    <row r="364" spans="1:17">
      <c r="A364" s="14" t="s">
        <v>17214</v>
      </c>
      <c r="B364" s="14" t="s">
        <v>117</v>
      </c>
      <c r="C364" s="14" t="s">
        <v>35</v>
      </c>
      <c r="D364" s="14" t="s">
        <v>17211</v>
      </c>
      <c r="E364" s="15" t="str">
        <f>HYPERLINK("https://stat100.ameba.jp/tnk47/ratio20/illustrations/card/ill_98863_0_tenkurosamushinguburu03.jpg?202107-i_prefecture_active_user", "■")</f>
        <v>■</v>
      </c>
      <c r="F364" s="14" t="s">
        <v>17377</v>
      </c>
      <c r="G364" s="14">
        <v>468377</v>
      </c>
      <c r="H364" s="14">
        <v>423344</v>
      </c>
      <c r="I364" s="14">
        <v>35</v>
      </c>
      <c r="J364" s="14" t="s">
        <v>16</v>
      </c>
      <c r="K364" s="14" t="s">
        <v>17376</v>
      </c>
      <c r="L364" s="14" t="s">
        <v>17375</v>
      </c>
      <c r="M364" s="14" t="s">
        <v>9158</v>
      </c>
      <c r="N364" s="14" t="s">
        <v>9158</v>
      </c>
      <c r="O364" s="14" t="s">
        <v>9158</v>
      </c>
      <c r="P364" s="14" t="s">
        <v>9158</v>
      </c>
      <c r="Q364" s="14" t="s">
        <v>9158</v>
      </c>
    </row>
    <row r="365" spans="1:17">
      <c r="A365" s="14" t="s">
        <v>17060</v>
      </c>
      <c r="B365" s="14" t="s">
        <v>117</v>
      </c>
      <c r="C365" s="14" t="s">
        <v>35</v>
      </c>
      <c r="D365" s="14" t="s">
        <v>17059</v>
      </c>
      <c r="E365" s="15" t="str">
        <f>HYPERLINK("https://stat100.ameba.jp/tnk47/ratio20/illustrations/card/ill_96843_0_tenkuroairando03.jpg?202107-i_prefecture_active_user", "■")</f>
        <v>■</v>
      </c>
      <c r="F365" s="14" t="s">
        <v>17058</v>
      </c>
      <c r="G365" s="14">
        <v>422461</v>
      </c>
      <c r="H365" s="14">
        <v>467373</v>
      </c>
      <c r="I365" s="14">
        <v>35</v>
      </c>
      <c r="J365" s="14" t="s">
        <v>26</v>
      </c>
      <c r="K365" s="14" t="s">
        <v>17057</v>
      </c>
      <c r="L365" s="14" t="s">
        <v>17056</v>
      </c>
      <c r="M365" s="14" t="s">
        <v>9158</v>
      </c>
      <c r="N365" s="14" t="s">
        <v>9158</v>
      </c>
      <c r="O365" s="14" t="s">
        <v>9158</v>
      </c>
      <c r="P365" s="14" t="s">
        <v>9158</v>
      </c>
      <c r="Q365" s="14" t="s">
        <v>9158</v>
      </c>
    </row>
    <row r="366" spans="1:17">
      <c r="A366" s="14" t="s">
        <v>17212</v>
      </c>
      <c r="B366" s="14" t="s">
        <v>117</v>
      </c>
      <c r="C366" s="14" t="s">
        <v>35</v>
      </c>
      <c r="D366" s="14" t="s">
        <v>17209</v>
      </c>
      <c r="E366" s="15" t="str">
        <f>HYPERLINK("https://stat100.ameba.jp/tnk47/ratio20/illustrations/card/ill_97483_0_tenkuronessanojunin03.jpg?202107-i_prefecture_active_user", "■")</f>
        <v>■</v>
      </c>
      <c r="F366" s="14" t="s">
        <v>17222</v>
      </c>
      <c r="G366" s="14">
        <v>467373</v>
      </c>
      <c r="H366" s="14">
        <v>422461</v>
      </c>
      <c r="I366" s="14">
        <v>35</v>
      </c>
      <c r="J366" s="14" t="s">
        <v>44</v>
      </c>
      <c r="K366" s="14" t="s">
        <v>17221</v>
      </c>
      <c r="L366" s="14" t="s">
        <v>17220</v>
      </c>
      <c r="M366" s="14" t="s">
        <v>9158</v>
      </c>
      <c r="N366" s="14" t="s">
        <v>9158</v>
      </c>
      <c r="O366" s="14" t="s">
        <v>9158</v>
      </c>
      <c r="P366" s="14" t="s">
        <v>9158</v>
      </c>
      <c r="Q366" s="14" t="s">
        <v>9158</v>
      </c>
    </row>
    <row r="367" spans="1:17">
      <c r="A367" s="14" t="s">
        <v>17213</v>
      </c>
      <c r="B367" s="14" t="s">
        <v>117</v>
      </c>
      <c r="C367" s="14" t="s">
        <v>35</v>
      </c>
      <c r="D367" s="14" t="s">
        <v>17210</v>
      </c>
      <c r="E367" s="15" t="str">
        <f>HYPERLINK("https://stat100.ameba.jp/tnk47/ratio20/illustrations/card/ill_98173_0_tenkurobekari03.jpg?202107-i_prefecture_active_user", "■")</f>
        <v>■</v>
      </c>
      <c r="F367" s="14" t="s">
        <v>17363</v>
      </c>
      <c r="G367" s="14">
        <v>423344</v>
      </c>
      <c r="H367" s="14">
        <v>468377</v>
      </c>
      <c r="I367" s="14">
        <v>35</v>
      </c>
      <c r="J367" s="14" t="s">
        <v>104</v>
      </c>
      <c r="K367" s="14" t="s">
        <v>17362</v>
      </c>
      <c r="L367" s="14" t="s">
        <v>17361</v>
      </c>
      <c r="M367" s="14" t="s">
        <v>9158</v>
      </c>
      <c r="N367" s="14" t="s">
        <v>9158</v>
      </c>
      <c r="O367" s="14" t="s">
        <v>9158</v>
      </c>
      <c r="P367" s="14" t="s">
        <v>9158</v>
      </c>
      <c r="Q367" s="14" t="s">
        <v>9158</v>
      </c>
    </row>
    <row r="368" spans="1:17">
      <c r="A368" s="14" t="s">
        <v>5843</v>
      </c>
      <c r="B368" s="14" t="s">
        <v>52</v>
      </c>
      <c r="C368" s="14" t="s">
        <v>202</v>
      </c>
      <c r="D368" s="19" t="s">
        <v>10291</v>
      </c>
      <c r="E368" s="15" t="str">
        <f>HYPERLINK("https://stat100.ameba.jp/tnk47/ratio20/illustrations/card/ill_77963_0_kurisumasudaisakusentakiyashahime03.jpg?202107-i_prefecture_active_user", "■")</f>
        <v>■</v>
      </c>
      <c r="F368" s="14" t="s">
        <v>2127</v>
      </c>
      <c r="G368" s="14">
        <v>270184</v>
      </c>
      <c r="H368" s="14">
        <v>244188</v>
      </c>
      <c r="I368" s="14">
        <v>22</v>
      </c>
      <c r="J368" s="14" t="s">
        <v>77</v>
      </c>
      <c r="K368" s="14" t="s">
        <v>2128</v>
      </c>
      <c r="L368" s="14" t="s">
        <v>2129</v>
      </c>
      <c r="M368" s="14" t="s">
        <v>9158</v>
      </c>
      <c r="N368" s="14" t="s">
        <v>9158</v>
      </c>
      <c r="O368" s="19" t="s">
        <v>10107</v>
      </c>
      <c r="P368" s="14" t="s">
        <v>3589</v>
      </c>
      <c r="Q368" s="14">
        <v>2</v>
      </c>
    </row>
    <row r="369" spans="1:17">
      <c r="A369" s="14">
        <v>95823</v>
      </c>
      <c r="B369" s="14" t="s">
        <v>0</v>
      </c>
      <c r="C369" s="14" t="s">
        <v>14</v>
      </c>
      <c r="D369" s="14" t="s">
        <v>16141</v>
      </c>
      <c r="E369" s="15" t="str">
        <f>HYPERLINK("https://stat100.ameba.jp/tnk47/ratio20/illustrations/card/ill_95823_yamakawafutaba03.jpg?202107-i_prefecture_active_user", "■")</f>
        <v>■</v>
      </c>
      <c r="F369" s="14" t="s">
        <v>16140</v>
      </c>
      <c r="G369" s="14">
        <v>109381</v>
      </c>
      <c r="H369" s="14">
        <v>117591</v>
      </c>
      <c r="I369" s="14">
        <v>29</v>
      </c>
      <c r="J369" s="14" t="s">
        <v>16</v>
      </c>
      <c r="K369" s="14" t="s">
        <v>3473</v>
      </c>
      <c r="L369" s="14" t="s">
        <v>15839</v>
      </c>
      <c r="M369" s="14" t="s">
        <v>9158</v>
      </c>
      <c r="N369" s="14" t="s">
        <v>9158</v>
      </c>
      <c r="O369" s="14" t="s">
        <v>9158</v>
      </c>
      <c r="P369" s="14" t="s">
        <v>9158</v>
      </c>
      <c r="Q369" s="14" t="s">
        <v>9158</v>
      </c>
    </row>
    <row r="370" spans="1:17">
      <c r="A370" s="14">
        <v>89313</v>
      </c>
      <c r="B370" s="14" t="s">
        <v>0</v>
      </c>
      <c r="C370" s="14" t="s">
        <v>23</v>
      </c>
      <c r="D370" s="14" t="s">
        <v>12716</v>
      </c>
      <c r="E370" s="15" t="str">
        <f>HYPERLINK("https://stat100.ameba.jp/tnk47/ratio20/illustrations/card/ill_89313_hantahiimisama03.jpg?202107-i_prefecture_active_user", "■")</f>
        <v>■</v>
      </c>
      <c r="F370" s="14" t="s">
        <v>12718</v>
      </c>
      <c r="G370" s="14">
        <v>160296</v>
      </c>
      <c r="H370" s="14">
        <v>172397</v>
      </c>
      <c r="I370" s="14">
        <v>29</v>
      </c>
      <c r="J370" s="14" t="s">
        <v>73</v>
      </c>
      <c r="K370" s="14" t="s">
        <v>12720</v>
      </c>
      <c r="L370" s="14" t="s">
        <v>12721</v>
      </c>
      <c r="M370" s="14" t="s">
        <v>9158</v>
      </c>
      <c r="N370" s="14" t="s">
        <v>9158</v>
      </c>
      <c r="O370" s="14" t="s">
        <v>9158</v>
      </c>
      <c r="P370" s="14" t="s">
        <v>9158</v>
      </c>
      <c r="Q370" s="14" t="s">
        <v>9158</v>
      </c>
    </row>
    <row r="371" spans="1:17">
      <c r="A371" s="14">
        <v>90123</v>
      </c>
      <c r="B371" s="14" t="s">
        <v>0</v>
      </c>
      <c r="C371" s="14" t="s">
        <v>101</v>
      </c>
      <c r="D371" s="14" t="s">
        <v>14056</v>
      </c>
      <c r="E371" s="15" t="str">
        <f>HYPERLINK("https://stat100.ameba.jp/tnk47/ratio20/illustrations/card/ill_90123_ononomichikaze03.jpg?202107-i_prefecture_active_user", "■")</f>
        <v>■</v>
      </c>
      <c r="F371" s="14" t="s">
        <v>14055</v>
      </c>
      <c r="G371" s="14">
        <v>113277</v>
      </c>
      <c r="H371" s="14">
        <v>105281</v>
      </c>
      <c r="I371" s="14">
        <v>29</v>
      </c>
      <c r="J371" s="14" t="s">
        <v>16</v>
      </c>
      <c r="K371" s="14" t="s">
        <v>14054</v>
      </c>
      <c r="L371" s="14" t="s">
        <v>14053</v>
      </c>
      <c r="M371" s="14" t="s">
        <v>9158</v>
      </c>
      <c r="N371" s="14" t="s">
        <v>9158</v>
      </c>
      <c r="O371" s="14" t="s">
        <v>9158</v>
      </c>
      <c r="P371" s="14" t="s">
        <v>9158</v>
      </c>
      <c r="Q371" s="14" t="s">
        <v>9158</v>
      </c>
    </row>
    <row r="372" spans="1:17">
      <c r="A372" s="14">
        <v>89253</v>
      </c>
      <c r="B372" s="14" t="s">
        <v>0</v>
      </c>
      <c r="C372" s="14" t="s">
        <v>96</v>
      </c>
      <c r="D372" s="14" t="s">
        <v>12651</v>
      </c>
      <c r="E372" s="15" t="str">
        <f>HYPERLINK("https://stat100.ameba.jp/tnk47/ratio20/illustrations/card/ill_89253_ushirogami03.jpg?202107-i_prefecture_active_user", "■")</f>
        <v>■</v>
      </c>
      <c r="F372" s="14" t="s">
        <v>12653</v>
      </c>
      <c r="G372" s="14">
        <v>109970</v>
      </c>
      <c r="H372" s="14">
        <v>118287</v>
      </c>
      <c r="I372" s="14">
        <v>29</v>
      </c>
      <c r="J372" s="14" t="s">
        <v>73</v>
      </c>
      <c r="K372" s="14" t="s">
        <v>12655</v>
      </c>
      <c r="L372" s="14" t="s">
        <v>12656</v>
      </c>
      <c r="M372" s="14" t="s">
        <v>9158</v>
      </c>
      <c r="N372" s="14" t="s">
        <v>9158</v>
      </c>
      <c r="O372" s="14" t="s">
        <v>9158</v>
      </c>
      <c r="P372" s="14" t="s">
        <v>9158</v>
      </c>
      <c r="Q372" s="14" t="s">
        <v>9158</v>
      </c>
    </row>
    <row r="373" spans="1:17">
      <c r="A373" s="14">
        <v>93913</v>
      </c>
      <c r="B373" s="14" t="s">
        <v>334</v>
      </c>
      <c r="C373" s="14" t="s">
        <v>1</v>
      </c>
      <c r="D373" s="14" t="s">
        <v>15712</v>
      </c>
      <c r="E373" s="15" t="str">
        <f>HYPERLINK("https://stat100.ameba.jp/tnk47/ratio20/illustrations/card/ill_93913_karuyuhaimu03.jpg?202107-i_prefecture_active_user", "■")</f>
        <v>■</v>
      </c>
      <c r="F373" s="14" t="s">
        <v>15711</v>
      </c>
      <c r="G373" s="14">
        <v>105281</v>
      </c>
      <c r="H373" s="14">
        <v>113277</v>
      </c>
      <c r="I373" s="14">
        <v>29</v>
      </c>
      <c r="J373" s="14" t="s">
        <v>10</v>
      </c>
      <c r="K373" s="14" t="s">
        <v>15709</v>
      </c>
      <c r="L373" s="14" t="s">
        <v>15708</v>
      </c>
      <c r="M373" s="14" t="s">
        <v>9158</v>
      </c>
      <c r="N373" s="14" t="s">
        <v>9158</v>
      </c>
      <c r="O373" s="14" t="s">
        <v>9158</v>
      </c>
      <c r="P373" s="14" t="s">
        <v>9158</v>
      </c>
      <c r="Q373" s="14" t="s">
        <v>9158</v>
      </c>
    </row>
    <row r="374" spans="1:17">
      <c r="A374" s="14">
        <v>96083</v>
      </c>
      <c r="B374" s="14" t="s">
        <v>0</v>
      </c>
      <c r="C374" s="14" t="s">
        <v>107</v>
      </c>
      <c r="D374" s="14" t="s">
        <v>16685</v>
      </c>
      <c r="E374" s="15" t="str">
        <f>HYPERLINK("https://stat100.ameba.jp/tnk47/ratio20/illustrations/card/ill_96083_edoushinpei03.jpg?202107-i_prefecture_active_user", "■")</f>
        <v>■</v>
      </c>
      <c r="F374" s="14" t="s">
        <v>16684</v>
      </c>
      <c r="G374" s="14">
        <v>113277</v>
      </c>
      <c r="H374" s="14">
        <v>105281</v>
      </c>
      <c r="I374" s="14">
        <v>29</v>
      </c>
      <c r="J374" s="14" t="s">
        <v>10</v>
      </c>
      <c r="K374" s="14" t="s">
        <v>9201</v>
      </c>
      <c r="L374" s="14" t="s">
        <v>14881</v>
      </c>
      <c r="M374" s="14" t="s">
        <v>9158</v>
      </c>
      <c r="N374" s="14" t="s">
        <v>9158</v>
      </c>
      <c r="O374" s="14" t="s">
        <v>9158</v>
      </c>
      <c r="P374" s="14" t="s">
        <v>9158</v>
      </c>
      <c r="Q374" s="14" t="s">
        <v>9158</v>
      </c>
    </row>
    <row r="383" spans="1:17">
      <c r="A383" s="9" t="s">
        <v>3916</v>
      </c>
    </row>
    <row r="384" spans="1:17">
      <c r="A384" s="14">
        <v>109571</v>
      </c>
      <c r="B384" s="14" t="s">
        <v>17444</v>
      </c>
    </row>
    <row r="385" spans="1:17">
      <c r="A385" s="14">
        <v>84733</v>
      </c>
      <c r="B385" s="14" t="s">
        <v>0</v>
      </c>
      <c r="C385" s="14" t="s">
        <v>154</v>
      </c>
      <c r="D385" s="19" t="s">
        <v>10677</v>
      </c>
      <c r="E385" s="15" t="str">
        <f>HYPERLINK("https://stat100.ameba.jp/tnk47/ratio20/illustrations/card/ill_84733_madadoru03.jpg?202107-i_prefecture_active_user", "■")</f>
        <v>■</v>
      </c>
      <c r="F385" s="14" t="s">
        <v>7293</v>
      </c>
      <c r="G385" s="14">
        <v>125078</v>
      </c>
      <c r="H385" s="14">
        <v>116296</v>
      </c>
      <c r="I385" s="14">
        <v>29</v>
      </c>
      <c r="J385" s="14" t="s">
        <v>182</v>
      </c>
      <c r="K385" s="14" t="s">
        <v>7296</v>
      </c>
      <c r="L385" s="14" t="s">
        <v>7295</v>
      </c>
      <c r="M385" s="14" t="s">
        <v>9158</v>
      </c>
      <c r="N385" s="14" t="s">
        <v>9158</v>
      </c>
      <c r="O385" s="14" t="s">
        <v>9158</v>
      </c>
      <c r="P385" s="14" t="s">
        <v>9158</v>
      </c>
      <c r="Q385" s="14" t="s">
        <v>9158</v>
      </c>
    </row>
    <row r="386" spans="1:17">
      <c r="A386" s="14">
        <v>84743</v>
      </c>
      <c r="B386" s="14" t="s">
        <v>0</v>
      </c>
      <c r="C386" s="14" t="s">
        <v>158</v>
      </c>
      <c r="D386" s="19" t="s">
        <v>10678</v>
      </c>
      <c r="E386" s="15" t="str">
        <f>HYPERLINK("https://stat100.ameba.jp/tnk47/ratio20/illustrations/card/ill_84743_rinnenonyumpe03.jpg?202107-i_prefecture_active_user", "■")</f>
        <v>■</v>
      </c>
      <c r="F386" s="14" t="s">
        <v>7294</v>
      </c>
      <c r="G386" s="14">
        <v>125078</v>
      </c>
      <c r="H386" s="14">
        <v>116296</v>
      </c>
      <c r="I386" s="14">
        <v>29</v>
      </c>
      <c r="J386" s="14" t="s">
        <v>169</v>
      </c>
      <c r="K386" s="14" t="s">
        <v>7297</v>
      </c>
      <c r="L386" s="14" t="s">
        <v>7298</v>
      </c>
      <c r="M386" s="14" t="s">
        <v>9158</v>
      </c>
      <c r="N386" s="14" t="s">
        <v>9158</v>
      </c>
      <c r="O386" s="14" t="s">
        <v>9158</v>
      </c>
      <c r="P386" s="14" t="s">
        <v>9158</v>
      </c>
      <c r="Q386" s="14" t="s">
        <v>9158</v>
      </c>
    </row>
    <row r="387" spans="1:17">
      <c r="A387" s="14">
        <v>69883</v>
      </c>
      <c r="B387" s="14" t="s">
        <v>334</v>
      </c>
      <c r="C387" s="14" t="s">
        <v>185</v>
      </c>
      <c r="D387" s="19" t="s">
        <v>10293</v>
      </c>
      <c r="E387" s="15" t="str">
        <f>HYPERLINK("https://stat100.ameba.jp/tnk47/ratio20/illustrations/card/ill_69883_kyupiddotominushihime03.jpg?202107-i_prefecture_active_user", "■")</f>
        <v>■</v>
      </c>
      <c r="F387" s="14" t="s">
        <v>4142</v>
      </c>
      <c r="G387" s="14">
        <v>109970</v>
      </c>
      <c r="H387" s="14">
        <v>118287</v>
      </c>
      <c r="I387" s="14">
        <v>29</v>
      </c>
      <c r="J387" s="14" t="s">
        <v>169</v>
      </c>
      <c r="K387" s="14" t="s">
        <v>4143</v>
      </c>
      <c r="L387" s="14" t="s">
        <v>13190</v>
      </c>
      <c r="M387" s="14" t="s">
        <v>9158</v>
      </c>
      <c r="N387" s="14" t="s">
        <v>9158</v>
      </c>
      <c r="O387" s="14" t="s">
        <v>9158</v>
      </c>
      <c r="P387" s="14" t="s">
        <v>9158</v>
      </c>
      <c r="Q387" s="14" t="s">
        <v>9158</v>
      </c>
    </row>
    <row r="388" spans="1:17">
      <c r="A388" s="14">
        <v>67243</v>
      </c>
      <c r="B388" s="14" t="s">
        <v>334</v>
      </c>
      <c r="C388" s="14" t="s">
        <v>205</v>
      </c>
      <c r="D388" s="20" t="s">
        <v>10199</v>
      </c>
      <c r="E388" s="15" t="str">
        <f>HYPERLINK("https://stat100.ameba.jp/tnk47/ratio20/illustrations/card/ill_67243_onsenyadomoryo03.jpg?202107-i_prefecture_active_user", "■")</f>
        <v>■</v>
      </c>
      <c r="F388" s="14" t="s">
        <v>3638</v>
      </c>
      <c r="G388" s="14">
        <v>112369</v>
      </c>
      <c r="H388" s="14">
        <v>120830</v>
      </c>
      <c r="I388" s="14">
        <v>29</v>
      </c>
      <c r="J388" s="14" t="s">
        <v>182</v>
      </c>
      <c r="K388" s="14" t="s">
        <v>3639</v>
      </c>
      <c r="L388" s="14" t="s">
        <v>3640</v>
      </c>
      <c r="M388" s="14" t="s">
        <v>9158</v>
      </c>
      <c r="N388" s="14" t="s">
        <v>9158</v>
      </c>
      <c r="O388" s="14" t="s">
        <v>9158</v>
      </c>
      <c r="P388" s="14" t="s">
        <v>9158</v>
      </c>
      <c r="Q388" s="14" t="s">
        <v>9158</v>
      </c>
    </row>
    <row r="389" spans="1:17">
      <c r="A389" s="14">
        <v>52973</v>
      </c>
      <c r="B389" s="14" t="s">
        <v>15</v>
      </c>
      <c r="C389" s="14" t="s">
        <v>206</v>
      </c>
      <c r="D389" s="19" t="s">
        <v>10519</v>
      </c>
      <c r="E389" s="15" t="str">
        <f>HYPERLINK("https://stat100.ameba.jp/tnk47/ratio20/illustrations/card/ill_52973_torampuamoronagu03.jpg?202107-i_prefecture_active_user", "■")</f>
        <v>■</v>
      </c>
      <c r="F389" s="14" t="s">
        <v>6421</v>
      </c>
      <c r="G389" s="14">
        <v>71136</v>
      </c>
      <c r="H389" s="14">
        <v>64520</v>
      </c>
      <c r="I389" s="14">
        <v>24</v>
      </c>
      <c r="J389" s="14" t="s">
        <v>44</v>
      </c>
      <c r="K389" s="14" t="s">
        <v>6419</v>
      </c>
      <c r="L389" s="14" t="s">
        <v>6418</v>
      </c>
      <c r="M389" s="14" t="s">
        <v>9158</v>
      </c>
      <c r="N389" s="14" t="s">
        <v>9158</v>
      </c>
      <c r="O389" s="14" t="s">
        <v>9158</v>
      </c>
      <c r="P389" s="14" t="s">
        <v>9158</v>
      </c>
      <c r="Q389" s="14" t="s">
        <v>9158</v>
      </c>
    </row>
    <row r="390" spans="1:17">
      <c r="A390" s="14">
        <v>52333</v>
      </c>
      <c r="B390" s="14" t="s">
        <v>15</v>
      </c>
      <c r="C390" s="14" t="s">
        <v>200</v>
      </c>
      <c r="D390" s="19" t="s">
        <v>10537</v>
      </c>
      <c r="E390" s="15" t="str">
        <f>HYPERLINK("https://stat100.ameba.jp/tnk47/ratio20/illustrations/card/ill_52333_chichibuyomatsuri03.jpg?202107-i_prefecture_active_user", "■")</f>
        <v>■</v>
      </c>
      <c r="F390" s="14" t="s">
        <v>3614</v>
      </c>
      <c r="G390" s="14">
        <v>71136</v>
      </c>
      <c r="H390" s="14">
        <v>64520</v>
      </c>
      <c r="I390" s="14">
        <v>24</v>
      </c>
      <c r="J390" s="14" t="s">
        <v>38</v>
      </c>
      <c r="K390" s="14" t="s">
        <v>3615</v>
      </c>
      <c r="L390" s="14" t="s">
        <v>3616</v>
      </c>
      <c r="M390" s="14" t="s">
        <v>9158</v>
      </c>
      <c r="N390" s="14" t="s">
        <v>9158</v>
      </c>
      <c r="O390" s="14" t="s">
        <v>9158</v>
      </c>
      <c r="P390" s="14" t="s">
        <v>9158</v>
      </c>
      <c r="Q390" s="14" t="s">
        <v>9158</v>
      </c>
    </row>
    <row r="391" spans="1:17">
      <c r="A391" s="14">
        <v>51913</v>
      </c>
      <c r="B391" s="14" t="s">
        <v>15</v>
      </c>
      <c r="C391" s="14" t="s">
        <v>191</v>
      </c>
      <c r="D391" s="19" t="s">
        <v>10538</v>
      </c>
      <c r="E391" s="15" t="str">
        <f>HYPERLINK("https://stat100.ameba.jp/tnk47/ratio20/illustrations/card/ill_51913_kemonomizugihamahime03.jpg?202107-i_prefecture_active_user", "■")</f>
        <v>■</v>
      </c>
      <c r="F391" s="14" t="s">
        <v>6501</v>
      </c>
      <c r="G391" s="14">
        <v>64520</v>
      </c>
      <c r="H391" s="14">
        <v>71136</v>
      </c>
      <c r="I391" s="14">
        <v>24</v>
      </c>
      <c r="J391" s="14" t="s">
        <v>182</v>
      </c>
      <c r="K391" s="14" t="s">
        <v>6500</v>
      </c>
      <c r="L391" s="14" t="s">
        <v>6499</v>
      </c>
      <c r="M391" s="14" t="s">
        <v>9158</v>
      </c>
      <c r="N391" s="14" t="s">
        <v>9158</v>
      </c>
      <c r="O391" s="14" t="s">
        <v>9158</v>
      </c>
      <c r="P391" s="14" t="s">
        <v>9158</v>
      </c>
      <c r="Q391" s="14" t="s">
        <v>9158</v>
      </c>
    </row>
    <row r="392" spans="1:17">
      <c r="A392" s="14">
        <v>53203</v>
      </c>
      <c r="B392" s="14" t="s">
        <v>15</v>
      </c>
      <c r="C392" s="14" t="s">
        <v>165</v>
      </c>
      <c r="D392" s="20" t="s">
        <v>10494</v>
      </c>
      <c r="E392" s="15" t="str">
        <f>HYPERLINK("https://stat100.ameba.jp/tnk47/ratio20/illustrations/card/ill_53203_buruhawaichan03.jpg?202107-i_prefecture_active_user", "■")</f>
        <v>■</v>
      </c>
      <c r="F392" s="14" t="s">
        <v>6258</v>
      </c>
      <c r="G392" s="14">
        <v>64520</v>
      </c>
      <c r="H392" s="14">
        <v>71136</v>
      </c>
      <c r="I392" s="14">
        <v>24</v>
      </c>
      <c r="J392" s="14" t="s">
        <v>104</v>
      </c>
      <c r="K392" s="14" t="s">
        <v>6261</v>
      </c>
      <c r="L392" s="14" t="s">
        <v>6260</v>
      </c>
      <c r="M392" s="14" t="s">
        <v>9158</v>
      </c>
      <c r="N392" s="14" t="s">
        <v>9158</v>
      </c>
      <c r="O392" s="14" t="s">
        <v>9158</v>
      </c>
      <c r="P392" s="14" t="s">
        <v>9158</v>
      </c>
      <c r="Q392" s="14" t="s">
        <v>9158</v>
      </c>
    </row>
    <row r="408" spans="1:18">
      <c r="A408" s="14" t="s">
        <v>13327</v>
      </c>
    </row>
    <row r="409" spans="1:18">
      <c r="A409" s="14">
        <v>109582</v>
      </c>
      <c r="B409" s="14" t="s">
        <v>17445</v>
      </c>
    </row>
    <row r="410" spans="1:18">
      <c r="A410" s="14">
        <v>86063</v>
      </c>
      <c r="B410" s="14" t="s">
        <v>334</v>
      </c>
      <c r="C410" s="14" t="s">
        <v>14</v>
      </c>
      <c r="D410" s="19" t="s">
        <v>10818</v>
      </c>
      <c r="E410" s="15" t="str">
        <f>HYPERLINK("https://stat100.ameba.jp/tnk47/ratio20/illustrations/card/ill_86063_uotchimeika03.jpg?202107-i_prefecture_active_user", "■")</f>
        <v>■</v>
      </c>
      <c r="F410" s="14" t="s">
        <v>8368</v>
      </c>
      <c r="G410" s="14">
        <v>132737</v>
      </c>
      <c r="H410" s="14">
        <v>142768</v>
      </c>
      <c r="I410" s="14">
        <v>29</v>
      </c>
      <c r="J410" s="14" t="s">
        <v>173</v>
      </c>
      <c r="K410" s="14" t="s">
        <v>8367</v>
      </c>
      <c r="L410" s="14" t="s">
        <v>8366</v>
      </c>
      <c r="M410" s="14" t="s">
        <v>13130</v>
      </c>
      <c r="N410" s="14" t="s">
        <v>343</v>
      </c>
      <c r="O410" s="14" t="s">
        <v>9158</v>
      </c>
      <c r="P410" s="14" t="s">
        <v>9158</v>
      </c>
      <c r="Q410" s="14" t="s">
        <v>9158</v>
      </c>
      <c r="R410" s="14" t="s">
        <v>14748</v>
      </c>
    </row>
    <row r="411" spans="1:18">
      <c r="A411" s="14">
        <v>86062</v>
      </c>
      <c r="B411" s="14" t="s">
        <v>334</v>
      </c>
      <c r="C411" s="14" t="s">
        <v>14</v>
      </c>
      <c r="D411" s="19" t="s">
        <v>10818</v>
      </c>
      <c r="E411" s="15" t="str">
        <f>HYPERLINK("https://stat100.ameba.jp/tnk47/ratio20/illustrations/card/ill_86062_uotchimeika02.jpg?202107-i_prefecture_active_user", "■")</f>
        <v>■</v>
      </c>
      <c r="F411" s="14" t="s">
        <v>8368</v>
      </c>
      <c r="G411" s="14">
        <v>109938</v>
      </c>
      <c r="H411" s="14">
        <v>119345</v>
      </c>
      <c r="I411" s="14">
        <v>29</v>
      </c>
      <c r="J411" s="14" t="s">
        <v>173</v>
      </c>
      <c r="K411" s="14" t="s">
        <v>8367</v>
      </c>
      <c r="L411" s="14" t="s">
        <v>8366</v>
      </c>
      <c r="M411" s="14" t="s">
        <v>13131</v>
      </c>
      <c r="N411" s="14" t="s">
        <v>251</v>
      </c>
      <c r="O411" s="14" t="s">
        <v>9158</v>
      </c>
      <c r="P411" s="14" t="s">
        <v>9158</v>
      </c>
      <c r="Q411" s="14" t="s">
        <v>9158</v>
      </c>
      <c r="R411" s="14" t="s">
        <v>14748</v>
      </c>
    </row>
    <row r="412" spans="1:18">
      <c r="A412" s="14">
        <v>86061</v>
      </c>
      <c r="B412" s="14" t="s">
        <v>0</v>
      </c>
      <c r="C412" s="14" t="s">
        <v>14</v>
      </c>
      <c r="D412" s="19" t="s">
        <v>10818</v>
      </c>
      <c r="E412" s="15" t="str">
        <f>HYPERLINK("https://stat100.ameba.jp/tnk47/ratio20/illustrations/card/ill_86061_uotchimeika01.jpg?202107-i_prefecture_active_user", "■")</f>
        <v>■</v>
      </c>
      <c r="F412" s="14" t="s">
        <v>8368</v>
      </c>
      <c r="G412" s="14">
        <v>84825</v>
      </c>
      <c r="H412" s="14">
        <v>91118</v>
      </c>
      <c r="I412" s="14">
        <v>29</v>
      </c>
      <c r="J412" s="14" t="s">
        <v>173</v>
      </c>
      <c r="K412" s="14" t="s">
        <v>8367</v>
      </c>
      <c r="L412" s="14" t="s">
        <v>8366</v>
      </c>
      <c r="M412" s="14" t="s">
        <v>13131</v>
      </c>
      <c r="N412" s="14" t="s">
        <v>251</v>
      </c>
      <c r="O412" s="14" t="s">
        <v>9158</v>
      </c>
      <c r="P412" s="14" t="s">
        <v>9158</v>
      </c>
      <c r="Q412" s="14" t="s">
        <v>9158</v>
      </c>
      <c r="R412" s="14" t="s">
        <v>14748</v>
      </c>
    </row>
    <row r="413" spans="1:18">
      <c r="A413" s="14">
        <v>86073</v>
      </c>
      <c r="B413" s="14" t="s">
        <v>334</v>
      </c>
      <c r="C413" s="14" t="s">
        <v>23</v>
      </c>
      <c r="D413" s="19" t="s">
        <v>10819</v>
      </c>
      <c r="E413" s="15" t="str">
        <f>HYPERLINK("https://stat100.ameba.jp/tnk47/ratio20/illustrations/card/ill_86073_maddohatta03.jpg?202107-i_prefecture_active_user", "■")</f>
        <v>■</v>
      </c>
      <c r="F413" s="14" t="s">
        <v>8371</v>
      </c>
      <c r="G413" s="14">
        <v>132737</v>
      </c>
      <c r="H413" s="14">
        <v>142768</v>
      </c>
      <c r="I413" s="14">
        <v>29</v>
      </c>
      <c r="J413" s="14" t="s">
        <v>155</v>
      </c>
      <c r="K413" s="14" t="s">
        <v>8370</v>
      </c>
      <c r="L413" s="14" t="s">
        <v>8369</v>
      </c>
      <c r="M413" s="14" t="s">
        <v>13130</v>
      </c>
      <c r="N413" s="14" t="s">
        <v>343</v>
      </c>
      <c r="O413" s="14" t="s">
        <v>9158</v>
      </c>
      <c r="P413" s="14" t="s">
        <v>9158</v>
      </c>
      <c r="Q413" s="14" t="s">
        <v>9158</v>
      </c>
      <c r="R413" s="14" t="s">
        <v>14748</v>
      </c>
    </row>
    <row r="414" spans="1:18">
      <c r="A414" s="14">
        <v>86083</v>
      </c>
      <c r="B414" s="14" t="s">
        <v>334</v>
      </c>
      <c r="C414" s="14" t="s">
        <v>101</v>
      </c>
      <c r="D414" s="19" t="s">
        <v>10820</v>
      </c>
      <c r="E414" s="15" t="str">
        <f>HYPERLINK("https://stat100.ameba.jp/tnk47/ratio20/illustrations/card/ill_86083_keieinochojomeruro03.jpg?202107-i_prefecture_active_user", "■")</f>
        <v>■</v>
      </c>
      <c r="F414" s="14" t="s">
        <v>8375</v>
      </c>
      <c r="G414" s="14">
        <v>142768</v>
      </c>
      <c r="H414" s="14">
        <v>132737</v>
      </c>
      <c r="I414" s="14">
        <v>29</v>
      </c>
      <c r="J414" s="14" t="s">
        <v>229</v>
      </c>
      <c r="K414" s="14" t="s">
        <v>8374</v>
      </c>
      <c r="L414" s="14" t="s">
        <v>8373</v>
      </c>
      <c r="M414" s="14" t="s">
        <v>13130</v>
      </c>
      <c r="N414" s="14" t="s">
        <v>343</v>
      </c>
      <c r="O414" s="14" t="s">
        <v>9158</v>
      </c>
      <c r="P414" s="14" t="s">
        <v>9158</v>
      </c>
      <c r="Q414" s="14" t="s">
        <v>9158</v>
      </c>
      <c r="R414" s="14" t="s">
        <v>14748</v>
      </c>
    </row>
    <row r="415" spans="1:18">
      <c r="A415" s="14">
        <v>86093</v>
      </c>
      <c r="B415" s="14" t="s">
        <v>0</v>
      </c>
      <c r="C415" s="14" t="s">
        <v>96</v>
      </c>
      <c r="D415" s="19" t="s">
        <v>10821</v>
      </c>
      <c r="E415" s="15" t="str">
        <f>HYPERLINK("https://stat100.ameba.jp/tnk47/ratio20/illustrations/card/ill_86093_minamotonoyoshimitsu03.jpg?202107-i_prefecture_active_user", "■")</f>
        <v>■</v>
      </c>
      <c r="F415" s="14" t="s">
        <v>8379</v>
      </c>
      <c r="G415" s="14">
        <v>142768</v>
      </c>
      <c r="H415" s="14">
        <v>132737</v>
      </c>
      <c r="I415" s="14">
        <v>29</v>
      </c>
      <c r="J415" s="14" t="s">
        <v>194</v>
      </c>
      <c r="K415" s="14" t="s">
        <v>8377</v>
      </c>
      <c r="L415" s="14" t="s">
        <v>8376</v>
      </c>
      <c r="M415" s="14" t="s">
        <v>13130</v>
      </c>
      <c r="N415" s="14" t="s">
        <v>343</v>
      </c>
      <c r="O415" s="14" t="s">
        <v>9158</v>
      </c>
      <c r="P415" s="14" t="s">
        <v>9158</v>
      </c>
      <c r="Q415" s="14" t="s">
        <v>9158</v>
      </c>
      <c r="R415" s="14" t="s">
        <v>14748</v>
      </c>
    </row>
    <row r="416" spans="1:18">
      <c r="A416" s="14">
        <v>86103</v>
      </c>
      <c r="B416" s="14" t="s">
        <v>334</v>
      </c>
      <c r="C416" s="14" t="s">
        <v>205</v>
      </c>
      <c r="D416" s="19" t="s">
        <v>10822</v>
      </c>
      <c r="E416" s="15" t="str">
        <f>HYPERLINK("https://stat100.ameba.jp/tnk47/ratio20/illustrations/card/ill_86103_omatsudaimyojin03.jpg?202107-i_prefecture_active_user", "■")</f>
        <v>■</v>
      </c>
      <c r="F416" s="14" t="s">
        <v>8383</v>
      </c>
      <c r="G416" s="14">
        <v>142768</v>
      </c>
      <c r="H416" s="14">
        <v>132737</v>
      </c>
      <c r="I416" s="14">
        <v>29</v>
      </c>
      <c r="J416" s="14" t="s">
        <v>169</v>
      </c>
      <c r="K416" s="14" t="s">
        <v>8381</v>
      </c>
      <c r="L416" s="14" t="s">
        <v>8380</v>
      </c>
      <c r="M416" s="14" t="s">
        <v>13130</v>
      </c>
      <c r="N416" s="14" t="s">
        <v>343</v>
      </c>
      <c r="O416" s="14" t="s">
        <v>9158</v>
      </c>
      <c r="P416" s="14" t="s">
        <v>9158</v>
      </c>
      <c r="Q416" s="14" t="s">
        <v>9158</v>
      </c>
      <c r="R416" s="14" t="s">
        <v>14748</v>
      </c>
    </row>
    <row r="417" spans="1:18">
      <c r="A417" s="14">
        <v>86113</v>
      </c>
      <c r="B417" s="14" t="s">
        <v>334</v>
      </c>
      <c r="C417" s="14" t="s">
        <v>107</v>
      </c>
      <c r="D417" s="19" t="s">
        <v>10823</v>
      </c>
      <c r="E417" s="15" t="str">
        <f>HYPERLINK("https://stat100.ameba.jp/tnk47/ratio20/illustrations/card/ill_86113_yuno03.jpg?202107-i_prefecture_active_user", "■")</f>
        <v>■</v>
      </c>
      <c r="F417" s="14" t="s">
        <v>8387</v>
      </c>
      <c r="G417" s="14">
        <v>132737</v>
      </c>
      <c r="H417" s="14">
        <v>142768</v>
      </c>
      <c r="I417" s="14">
        <v>29</v>
      </c>
      <c r="J417" s="14" t="s">
        <v>159</v>
      </c>
      <c r="K417" s="14" t="s">
        <v>8385</v>
      </c>
      <c r="L417" s="14" t="s">
        <v>8384</v>
      </c>
      <c r="M417" s="14" t="s">
        <v>13130</v>
      </c>
      <c r="N417" s="14" t="s">
        <v>343</v>
      </c>
      <c r="O417" s="14" t="s">
        <v>9158</v>
      </c>
      <c r="P417" s="14" t="s">
        <v>9158</v>
      </c>
      <c r="Q417" s="14" t="s">
        <v>9158</v>
      </c>
      <c r="R417" s="14" t="s">
        <v>14748</v>
      </c>
    </row>
    <row r="451" spans="1:17">
      <c r="A451" s="14" t="s">
        <v>3916</v>
      </c>
    </row>
    <row r="452" spans="1:17">
      <c r="A452" s="14">
        <v>109645</v>
      </c>
      <c r="B452" s="14" t="s">
        <v>17446</v>
      </c>
    </row>
    <row r="453" spans="1:17">
      <c r="A453" s="14">
        <v>62203</v>
      </c>
      <c r="B453" s="14" t="s">
        <v>334</v>
      </c>
      <c r="C453" s="14" t="s">
        <v>154</v>
      </c>
      <c r="D453" s="20" t="s">
        <v>2260</v>
      </c>
      <c r="E453" s="15" t="str">
        <f>HYPERLINK("https://stat100.ameba.jp/tnk47/ratio20/illustrations/card/ill_62203_keishoimmasahime03.jpg?202107-5-RELEASE-marathon-541x", "■")</f>
        <v>■</v>
      </c>
      <c r="F453" s="14" t="s">
        <v>2261</v>
      </c>
      <c r="G453" s="14">
        <v>116296</v>
      </c>
      <c r="H453" s="14">
        <v>125078</v>
      </c>
      <c r="I453" s="7">
        <v>29</v>
      </c>
      <c r="J453" s="14" t="s">
        <v>77</v>
      </c>
      <c r="K453" s="14" t="s">
        <v>2262</v>
      </c>
      <c r="L453" s="14" t="s">
        <v>2263</v>
      </c>
      <c r="M453" s="14" t="s">
        <v>9158</v>
      </c>
      <c r="N453" s="14" t="s">
        <v>9158</v>
      </c>
      <c r="O453" s="14" t="s">
        <v>9158</v>
      </c>
      <c r="P453" s="14" t="s">
        <v>9158</v>
      </c>
      <c r="Q453" s="14" t="s">
        <v>9158</v>
      </c>
    </row>
    <row r="454" spans="1:17">
      <c r="A454" s="14">
        <v>69723</v>
      </c>
      <c r="B454" s="14" t="s">
        <v>334</v>
      </c>
      <c r="C454" s="14" t="s">
        <v>158</v>
      </c>
      <c r="D454" s="20" t="s">
        <v>3042</v>
      </c>
      <c r="E454" s="15" t="str">
        <f>HYPERLINK("https://stat100.ameba.jp/tnk47/ratio20/illustrations/card/ill_69723_nakaurajurian03.jpg?202107-5-RELEASE-marathon-541x", "■")</f>
        <v>■</v>
      </c>
      <c r="F454" s="14" t="s">
        <v>2257</v>
      </c>
      <c r="G454" s="14">
        <v>116296</v>
      </c>
      <c r="H454" s="14">
        <v>125078</v>
      </c>
      <c r="I454" s="7">
        <v>29</v>
      </c>
      <c r="J454" s="14" t="s">
        <v>173</v>
      </c>
      <c r="K454" s="14" t="s">
        <v>2258</v>
      </c>
      <c r="L454" s="14" t="s">
        <v>2259</v>
      </c>
      <c r="M454" s="14" t="s">
        <v>9158</v>
      </c>
      <c r="N454" s="14" t="s">
        <v>9158</v>
      </c>
      <c r="O454" s="14" t="s">
        <v>9158</v>
      </c>
      <c r="P454" s="14" t="s">
        <v>9158</v>
      </c>
      <c r="Q454" s="14" t="s">
        <v>9158</v>
      </c>
    </row>
    <row r="455" spans="1:17">
      <c r="A455" s="14">
        <v>62153</v>
      </c>
      <c r="B455" s="14" t="s">
        <v>334</v>
      </c>
      <c r="C455" s="14" t="s">
        <v>1</v>
      </c>
      <c r="D455" s="20" t="s">
        <v>16317</v>
      </c>
      <c r="E455" s="15" t="str">
        <f>HYPERLINK("https://stat100.ameba.jp/tnk47/ratio20/illustrations/card/ill_62153_obentonekodanuki03.jpg?202107-5-RELEASE-marathon-541x", "■")</f>
        <v>■</v>
      </c>
      <c r="F455" s="14" t="s">
        <v>16318</v>
      </c>
      <c r="G455" s="14">
        <v>120830</v>
      </c>
      <c r="H455" s="14">
        <v>112369</v>
      </c>
      <c r="I455" s="7">
        <v>29</v>
      </c>
      <c r="J455" s="14" t="s">
        <v>73</v>
      </c>
      <c r="K455" s="14" t="s">
        <v>12212</v>
      </c>
      <c r="L455" s="14" t="s">
        <v>16319</v>
      </c>
      <c r="M455" s="14" t="s">
        <v>9158</v>
      </c>
      <c r="N455" s="14" t="s">
        <v>9158</v>
      </c>
      <c r="O455" s="14" t="s">
        <v>9158</v>
      </c>
      <c r="P455" s="14" t="s">
        <v>9158</v>
      </c>
      <c r="Q455" s="14" t="s">
        <v>9158</v>
      </c>
    </row>
    <row r="456" spans="1:17">
      <c r="A456" s="14">
        <v>65173</v>
      </c>
      <c r="B456" s="14" t="s">
        <v>334</v>
      </c>
      <c r="C456" s="14" t="s">
        <v>101</v>
      </c>
      <c r="D456" s="20" t="s">
        <v>16320</v>
      </c>
      <c r="E456" s="15" t="str">
        <f>HYPERLINK("https://stat100.ameba.jp/tnk47/ratio20/illustrations/card/ill_65173_kimodameshihorahamahime03.jpg?202107-5-RELEASE-marathon-541x", "■")</f>
        <v>■</v>
      </c>
      <c r="F456" s="14" t="s">
        <v>3565</v>
      </c>
      <c r="G456" s="14">
        <v>112369</v>
      </c>
      <c r="H456" s="14">
        <v>120830</v>
      </c>
      <c r="I456" s="7">
        <v>29</v>
      </c>
      <c r="J456" s="14" t="s">
        <v>73</v>
      </c>
      <c r="K456" s="14" t="s">
        <v>16321</v>
      </c>
      <c r="L456" s="14" t="s">
        <v>16322</v>
      </c>
      <c r="M456" s="14" t="s">
        <v>9158</v>
      </c>
      <c r="N456" s="14" t="s">
        <v>9158</v>
      </c>
      <c r="O456" s="14" t="s">
        <v>9158</v>
      </c>
      <c r="P456" s="14" t="s">
        <v>9158</v>
      </c>
      <c r="Q456" s="14" t="s">
        <v>9158</v>
      </c>
    </row>
    <row r="457" spans="1:17">
      <c r="A457" s="14">
        <v>51923</v>
      </c>
      <c r="B457" s="14" t="s">
        <v>15</v>
      </c>
      <c r="C457" s="14" t="s">
        <v>165</v>
      </c>
      <c r="D457" s="20" t="s">
        <v>15362</v>
      </c>
      <c r="E457" s="15" t="str">
        <f>HYPERLINK("https://stat100.ameba.jp/tnk47/ratio20/illustrations/card/ill_51923_kemonomizugikokyu03.jpg?202107-5-RELEASE-marathon-541x", "■")</f>
        <v>■</v>
      </c>
      <c r="F457" s="14" t="s">
        <v>15367</v>
      </c>
      <c r="G457" s="14">
        <v>71136</v>
      </c>
      <c r="H457" s="14">
        <v>64520</v>
      </c>
      <c r="I457" s="14">
        <v>24</v>
      </c>
      <c r="J457" s="14" t="s">
        <v>38</v>
      </c>
      <c r="K457" s="14" t="s">
        <v>15365</v>
      </c>
      <c r="L457" s="14" t="s">
        <v>15364</v>
      </c>
      <c r="M457" s="14" t="s">
        <v>9158</v>
      </c>
      <c r="N457" s="14" t="s">
        <v>9158</v>
      </c>
      <c r="O457" s="14" t="s">
        <v>9158</v>
      </c>
      <c r="P457" s="14" t="s">
        <v>9158</v>
      </c>
      <c r="Q457" s="14" t="s">
        <v>9158</v>
      </c>
    </row>
    <row r="458" spans="1:17">
      <c r="A458" s="14">
        <v>52963</v>
      </c>
      <c r="B458" s="14" t="s">
        <v>15</v>
      </c>
      <c r="C458" s="14" t="s">
        <v>101</v>
      </c>
      <c r="D458" s="20" t="s">
        <v>102</v>
      </c>
      <c r="E458" s="15" t="str">
        <f>HYPERLINK("https://stat100.ameba.jp/tnk47/ratio20/illustrations/card/ill_52963_torampumomochan03.jpg?202107-5-RELEASE-marathon-541x", "■")</f>
        <v>■</v>
      </c>
      <c r="F458" s="14" t="s">
        <v>103</v>
      </c>
      <c r="G458" s="14">
        <v>64520</v>
      </c>
      <c r="H458" s="14">
        <v>71136</v>
      </c>
      <c r="I458" s="14">
        <v>24</v>
      </c>
      <c r="J458" s="14" t="s">
        <v>104</v>
      </c>
      <c r="K458" s="14" t="s">
        <v>105</v>
      </c>
      <c r="L458" s="14" t="s">
        <v>106</v>
      </c>
      <c r="M458" s="14" t="s">
        <v>9158</v>
      </c>
      <c r="N458" s="14" t="s">
        <v>9158</v>
      </c>
      <c r="O458" s="14" t="s">
        <v>9158</v>
      </c>
      <c r="P458" s="14" t="s">
        <v>9158</v>
      </c>
      <c r="Q458" s="14" t="s">
        <v>9158</v>
      </c>
    </row>
    <row r="459" spans="1:17">
      <c r="A459" s="14">
        <v>51383</v>
      </c>
      <c r="B459" s="14" t="s">
        <v>15</v>
      </c>
      <c r="C459" s="14" t="s">
        <v>1</v>
      </c>
      <c r="D459" s="20" t="s">
        <v>15363</v>
      </c>
      <c r="E459" s="15" t="str">
        <f>HYPERLINK("https://stat100.ameba.jp/tnk47/ratio20/illustrations/card/ill_51383_ozashikikyogokuichiko03.jpg?202107-5-RELEASE-marathon-541x", "■")</f>
        <v>■</v>
      </c>
      <c r="F459" s="14" t="s">
        <v>15371</v>
      </c>
      <c r="G459" s="14">
        <v>71136</v>
      </c>
      <c r="H459" s="14">
        <v>64520</v>
      </c>
      <c r="I459" s="14">
        <v>24</v>
      </c>
      <c r="J459" s="14" t="s">
        <v>16</v>
      </c>
      <c r="K459" s="14" t="s">
        <v>15369</v>
      </c>
      <c r="L459" s="14" t="s">
        <v>15368</v>
      </c>
      <c r="M459" s="14" t="s">
        <v>9158</v>
      </c>
      <c r="N459" s="14" t="s">
        <v>9158</v>
      </c>
      <c r="O459" s="14" t="s">
        <v>9158</v>
      </c>
      <c r="P459" s="14" t="s">
        <v>9158</v>
      </c>
      <c r="Q459" s="14" t="s">
        <v>9158</v>
      </c>
    </row>
    <row r="460" spans="1:17">
      <c r="A460" s="14">
        <v>51903</v>
      </c>
      <c r="B460" s="14" t="s">
        <v>15</v>
      </c>
      <c r="C460" s="14" t="s">
        <v>14</v>
      </c>
      <c r="D460" s="20" t="s">
        <v>16323</v>
      </c>
      <c r="E460" s="15" t="str">
        <f>HYPERLINK("https://stat100.ameba.jp/tnk47/ratio20/illustrations/card/ill_51903_kemonomizugiringochan03.jpg?202107-5-RELEASE-marathon-541x", "■")</f>
        <v>■</v>
      </c>
      <c r="F460" s="14" t="s">
        <v>16324</v>
      </c>
      <c r="G460" s="14">
        <v>71136</v>
      </c>
      <c r="H460" s="14">
        <v>64520</v>
      </c>
      <c r="I460" s="14">
        <v>24</v>
      </c>
      <c r="J460" s="14" t="s">
        <v>104</v>
      </c>
      <c r="K460" s="14" t="s">
        <v>16325</v>
      </c>
      <c r="L460" s="14" t="s">
        <v>16326</v>
      </c>
      <c r="M460" s="14" t="s">
        <v>9158</v>
      </c>
      <c r="N460" s="14" t="s">
        <v>9158</v>
      </c>
      <c r="O460" s="14" t="s">
        <v>9158</v>
      </c>
      <c r="P460" s="14" t="s">
        <v>9158</v>
      </c>
      <c r="Q460" s="14" t="s">
        <v>9158</v>
      </c>
    </row>
    <row r="494" spans="1:17">
      <c r="A494" s="14" t="s">
        <v>4065</v>
      </c>
    </row>
    <row r="495" spans="1:17">
      <c r="A495" s="14">
        <v>109703</v>
      </c>
      <c r="B495" s="14" t="s">
        <v>14077</v>
      </c>
    </row>
    <row r="496" spans="1:17">
      <c r="A496" s="9" t="s">
        <v>9325</v>
      </c>
      <c r="B496" s="7" t="s">
        <v>52</v>
      </c>
      <c r="C496" s="9" t="s">
        <v>202</v>
      </c>
      <c r="D496" s="19" t="s">
        <v>10947</v>
      </c>
      <c r="E496" s="15" t="str">
        <f>HYPERLINK("https://stat100.ameba.jp/tnk47/ratio20/illustrations/card/ill_86893_0_chokonohisukeban03.jpg?202107-5-RELEASE-marathon-541x", "■")</f>
        <v>■</v>
      </c>
      <c r="F496" s="14" t="s">
        <v>9332</v>
      </c>
      <c r="G496" s="9">
        <v>364754</v>
      </c>
      <c r="H496" s="9">
        <v>329646</v>
      </c>
      <c r="I496" s="7">
        <v>28</v>
      </c>
      <c r="J496" s="9" t="s">
        <v>187</v>
      </c>
      <c r="K496" s="14" t="s">
        <v>9330</v>
      </c>
      <c r="L496" s="14" t="s">
        <v>9331</v>
      </c>
      <c r="M496" s="14" t="s">
        <v>9158</v>
      </c>
      <c r="N496" s="14" t="s">
        <v>9158</v>
      </c>
      <c r="O496" s="19" t="s">
        <v>10136</v>
      </c>
      <c r="P496" s="7" t="s">
        <v>9324</v>
      </c>
      <c r="Q496" s="7">
        <v>1</v>
      </c>
    </row>
    <row r="497" spans="1:18">
      <c r="A497" s="14">
        <v>77123</v>
      </c>
      <c r="B497" s="14" t="s">
        <v>334</v>
      </c>
      <c r="C497" s="14" t="s">
        <v>191</v>
      </c>
      <c r="D497" s="20" t="s">
        <v>10424</v>
      </c>
      <c r="E497" s="15" t="str">
        <f>HYPERLINK("https://stat100.ameba.jp/tnk47/ratio20/illustrations/card/ill_77123_yukemuriizuna03.jpg?202107-5-RELEASE-marathon-541x", "■")</f>
        <v>■</v>
      </c>
      <c r="F497" s="14" t="s">
        <v>1377</v>
      </c>
      <c r="G497" s="14">
        <v>112496</v>
      </c>
      <c r="H497" s="14">
        <v>104619</v>
      </c>
      <c r="I497" s="14">
        <v>27</v>
      </c>
      <c r="J497" s="14" t="s">
        <v>320</v>
      </c>
      <c r="K497" s="14" t="s">
        <v>1378</v>
      </c>
      <c r="L497" s="14" t="s">
        <v>1379</v>
      </c>
      <c r="M497" s="14" t="s">
        <v>9158</v>
      </c>
      <c r="N497" s="14" t="s">
        <v>9158</v>
      </c>
      <c r="O497" s="19" t="s">
        <v>2838</v>
      </c>
      <c r="P497" s="14" t="s">
        <v>3579</v>
      </c>
      <c r="Q497" s="14">
        <v>1</v>
      </c>
    </row>
    <row r="498" spans="1:18">
      <c r="A498" s="14">
        <v>72193</v>
      </c>
      <c r="B498" s="14" t="s">
        <v>334</v>
      </c>
      <c r="C498" s="14" t="s">
        <v>165</v>
      </c>
      <c r="D498" s="19" t="s">
        <v>3112</v>
      </c>
      <c r="E498" s="15" t="str">
        <f>HYPERLINK("https://stat100.ameba.jp/tnk47/ratio20/illustrations/card/ill_72193_koinoborikomyokogo03.jpg?202107-5-RELEASE-marathon-541x", "■")</f>
        <v>■</v>
      </c>
      <c r="F498" s="14" t="s">
        <v>2539</v>
      </c>
      <c r="G498" s="14">
        <v>105465</v>
      </c>
      <c r="H498" s="14">
        <v>98019</v>
      </c>
      <c r="I498" s="14">
        <v>27</v>
      </c>
      <c r="J498" s="14" t="s">
        <v>10</v>
      </c>
      <c r="K498" s="14" t="s">
        <v>2540</v>
      </c>
      <c r="L498" s="14" t="s">
        <v>60</v>
      </c>
      <c r="M498" s="14" t="s">
        <v>9158</v>
      </c>
      <c r="N498" s="14" t="s">
        <v>9158</v>
      </c>
      <c r="O498" s="19" t="s">
        <v>10090</v>
      </c>
      <c r="P498" s="14" t="s">
        <v>3460</v>
      </c>
      <c r="Q498" s="14">
        <v>1</v>
      </c>
    </row>
    <row r="499" spans="1:18">
      <c r="A499" s="14">
        <v>56443</v>
      </c>
      <c r="B499" s="14" t="s">
        <v>0</v>
      </c>
      <c r="C499" s="14" t="s">
        <v>205</v>
      </c>
      <c r="D499" s="20" t="s">
        <v>10314</v>
      </c>
      <c r="E499" s="15" t="str">
        <f>HYPERLINK("https://stat100.ameba.jp/tnk47/ratio20/illustrations/card/ill_56443_poppukurisumasuizumonokuni03.jpg?202107-5-RELEASE-marathon-541x", "■")</f>
        <v>■</v>
      </c>
      <c r="F499" s="14" t="s">
        <v>1151</v>
      </c>
      <c r="G499" s="14">
        <v>96756</v>
      </c>
      <c r="H499" s="14">
        <v>104068</v>
      </c>
      <c r="I499" s="14">
        <v>27</v>
      </c>
      <c r="J499" s="14" t="s">
        <v>10</v>
      </c>
      <c r="K499" s="14" t="s">
        <v>1152</v>
      </c>
      <c r="L499" s="14" t="s">
        <v>1153</v>
      </c>
      <c r="M499" s="14" t="s">
        <v>9864</v>
      </c>
      <c r="N499" s="14" t="s">
        <v>9158</v>
      </c>
      <c r="O499" s="19" t="s">
        <v>10119</v>
      </c>
      <c r="P499" s="14" t="s">
        <v>3662</v>
      </c>
      <c r="Q499" s="14">
        <v>1</v>
      </c>
    </row>
    <row r="501" spans="1:18">
      <c r="A501" s="14" t="s">
        <v>13327</v>
      </c>
    </row>
    <row r="502" spans="1:18">
      <c r="A502" s="14">
        <v>109708</v>
      </c>
      <c r="B502" s="14" t="s">
        <v>17447</v>
      </c>
    </row>
    <row r="503" spans="1:18">
      <c r="A503" s="14">
        <v>90183</v>
      </c>
      <c r="B503" s="14" t="s">
        <v>0</v>
      </c>
      <c r="C503" s="14" t="s">
        <v>335</v>
      </c>
      <c r="D503" s="14" t="s">
        <v>13264</v>
      </c>
      <c r="E503" s="15" t="str">
        <f>HYPERLINK("https://stat100.ameba.jp/tnk47/ratio20/illustrations/card/ill_90183_shinsetsunojou03.jpg?202107-5-RELEASE-marathon-541x", "■")</f>
        <v>■</v>
      </c>
      <c r="F503" s="14" t="s">
        <v>13267</v>
      </c>
      <c r="G503" s="14">
        <v>132737</v>
      </c>
      <c r="H503" s="14">
        <v>142768</v>
      </c>
      <c r="I503" s="14">
        <v>29</v>
      </c>
      <c r="J503" s="14" t="s">
        <v>44</v>
      </c>
      <c r="K503" s="14" t="s">
        <v>13266</v>
      </c>
      <c r="L503" s="14" t="s">
        <v>13272</v>
      </c>
      <c r="M503" s="14" t="s">
        <v>2138</v>
      </c>
      <c r="N503" s="14" t="s">
        <v>2139</v>
      </c>
      <c r="O503" s="14" t="s">
        <v>9158</v>
      </c>
      <c r="P503" s="14" t="s">
        <v>9158</v>
      </c>
      <c r="Q503" s="14" t="s">
        <v>9158</v>
      </c>
      <c r="R503" s="14" t="s">
        <v>14748</v>
      </c>
    </row>
    <row r="504" spans="1:18">
      <c r="A504" s="14">
        <v>90182</v>
      </c>
      <c r="B504" s="14" t="s">
        <v>0</v>
      </c>
      <c r="C504" s="14" t="s">
        <v>335</v>
      </c>
      <c r="D504" s="14" t="s">
        <v>13264</v>
      </c>
      <c r="E504" s="15" t="str">
        <f>HYPERLINK("https://stat100.ameba.jp/tnk47/ratio20/illustrations/card/ill_90182_shinsetsunojou02.jpg?202107-5-RELEASE-marathon-541x", "■")</f>
        <v>■</v>
      </c>
      <c r="F504" s="14" t="s">
        <v>13267</v>
      </c>
      <c r="G504" s="14">
        <v>109938</v>
      </c>
      <c r="H504" s="14">
        <v>119345</v>
      </c>
      <c r="I504" s="14">
        <v>29</v>
      </c>
      <c r="J504" s="14" t="s">
        <v>44</v>
      </c>
      <c r="K504" s="14" t="s">
        <v>13266</v>
      </c>
      <c r="L504" s="14" t="s">
        <v>13272</v>
      </c>
      <c r="M504" s="14" t="s">
        <v>13270</v>
      </c>
      <c r="N504" s="14" t="s">
        <v>13271</v>
      </c>
      <c r="O504" s="14" t="s">
        <v>9158</v>
      </c>
      <c r="P504" s="14" t="s">
        <v>9158</v>
      </c>
      <c r="Q504" s="14" t="s">
        <v>9158</v>
      </c>
      <c r="R504" s="14" t="s">
        <v>14748</v>
      </c>
    </row>
    <row r="505" spans="1:18">
      <c r="A505" s="14">
        <v>90181</v>
      </c>
      <c r="B505" s="14" t="s">
        <v>0</v>
      </c>
      <c r="C505" s="14" t="s">
        <v>335</v>
      </c>
      <c r="D505" s="14" t="s">
        <v>13264</v>
      </c>
      <c r="E505" s="15" t="str">
        <f>HYPERLINK("https://stat100.ameba.jp/tnk47/ratio20/illustrations/card/ill_90181_shinsetsunojou01.jpg?202107-5-RELEASE-marathon-541x", "■")</f>
        <v>■</v>
      </c>
      <c r="F505" s="14" t="s">
        <v>13267</v>
      </c>
      <c r="G505" s="14">
        <v>84825</v>
      </c>
      <c r="H505" s="14">
        <v>91118</v>
      </c>
      <c r="I505" s="14">
        <v>29</v>
      </c>
      <c r="J505" s="14" t="s">
        <v>44</v>
      </c>
      <c r="K505" s="14" t="s">
        <v>13266</v>
      </c>
      <c r="L505" s="14" t="s">
        <v>13272</v>
      </c>
      <c r="M505" s="14" t="s">
        <v>13270</v>
      </c>
      <c r="N505" s="14" t="s">
        <v>13271</v>
      </c>
      <c r="O505" s="14" t="s">
        <v>9158</v>
      </c>
      <c r="P505" s="14" t="s">
        <v>9158</v>
      </c>
      <c r="Q505" s="14" t="s">
        <v>9158</v>
      </c>
      <c r="R505" s="14" t="s">
        <v>14748</v>
      </c>
    </row>
    <row r="506" spans="1:18">
      <c r="A506" s="14">
        <v>90193</v>
      </c>
      <c r="B506" s="14" t="s">
        <v>0</v>
      </c>
      <c r="C506" s="14" t="s">
        <v>200</v>
      </c>
      <c r="D506" s="14" t="s">
        <v>13273</v>
      </c>
      <c r="E506" s="15" t="str">
        <f>HYPERLINK("https://stat100.ameba.jp/tnk47/ratio20/illustrations/card/ill_90193_puchidebirubani03.jpg?202107-5-RELEASE-marathon-541x", "■")</f>
        <v>■</v>
      </c>
      <c r="F506" s="14" t="s">
        <v>13274</v>
      </c>
      <c r="G506" s="14">
        <v>132737</v>
      </c>
      <c r="H506" s="14">
        <v>142768</v>
      </c>
      <c r="I506" s="14">
        <v>29</v>
      </c>
      <c r="J506" s="14" t="s">
        <v>73</v>
      </c>
      <c r="K506" s="14" t="s">
        <v>13277</v>
      </c>
      <c r="L506" s="14" t="s">
        <v>13276</v>
      </c>
      <c r="M506" s="14" t="s">
        <v>2138</v>
      </c>
      <c r="N506" s="14" t="s">
        <v>2139</v>
      </c>
      <c r="O506" s="14" t="s">
        <v>9158</v>
      </c>
      <c r="P506" s="14" t="s">
        <v>9158</v>
      </c>
      <c r="Q506" s="14" t="s">
        <v>9158</v>
      </c>
      <c r="R506" s="14" t="s">
        <v>14748</v>
      </c>
    </row>
    <row r="507" spans="1:18">
      <c r="A507" s="14">
        <v>90203</v>
      </c>
      <c r="B507" s="14" t="s">
        <v>0</v>
      </c>
      <c r="C507" s="14" t="s">
        <v>307</v>
      </c>
      <c r="D507" s="14" t="s">
        <v>13278</v>
      </c>
      <c r="E507" s="15" t="str">
        <f>HYPERLINK("https://stat100.ameba.jp/tnk47/ratio20/illustrations/card/ill_90203_kyuteigakademeru03.jpg?202107-5-RELEASE-marathon-541x", "■")</f>
        <v>■</v>
      </c>
      <c r="F507" s="14" t="s">
        <v>13279</v>
      </c>
      <c r="G507" s="14">
        <v>132737</v>
      </c>
      <c r="H507" s="14">
        <v>142768</v>
      </c>
      <c r="I507" s="14">
        <v>29</v>
      </c>
      <c r="J507" s="14" t="s">
        <v>10</v>
      </c>
      <c r="K507" s="14" t="s">
        <v>13281</v>
      </c>
      <c r="L507" s="14" t="s">
        <v>13282</v>
      </c>
      <c r="M507" s="14" t="s">
        <v>2138</v>
      </c>
      <c r="N507" s="14" t="s">
        <v>2139</v>
      </c>
      <c r="O507" s="14" t="s">
        <v>9158</v>
      </c>
      <c r="P507" s="14" t="s">
        <v>9158</v>
      </c>
      <c r="Q507" s="14" t="s">
        <v>9158</v>
      </c>
      <c r="R507" s="14" t="s">
        <v>14748</v>
      </c>
    </row>
    <row r="508" spans="1:18">
      <c r="A508" s="14">
        <v>90213</v>
      </c>
      <c r="B508" s="14" t="s">
        <v>0</v>
      </c>
      <c r="C508" s="14" t="s">
        <v>165</v>
      </c>
      <c r="D508" s="14" t="s">
        <v>13283</v>
      </c>
      <c r="E508" s="15" t="str">
        <f>HYPERLINK("https://stat100.ameba.jp/tnk47/ratio20/illustrations/card/ill_90213_kenkyushinomaruyo03.jpg?202107-5-RELEASE-marathon-541x", "■")</f>
        <v>■</v>
      </c>
      <c r="F508" s="14" t="s">
        <v>13284</v>
      </c>
      <c r="G508" s="14">
        <v>142768</v>
      </c>
      <c r="H508" s="14">
        <v>132737</v>
      </c>
      <c r="I508" s="14">
        <v>29</v>
      </c>
      <c r="J508" s="14" t="s">
        <v>16</v>
      </c>
      <c r="K508" s="14" t="s">
        <v>13286</v>
      </c>
      <c r="L508" s="14" t="s">
        <v>13287</v>
      </c>
      <c r="M508" s="14" t="s">
        <v>2138</v>
      </c>
      <c r="N508" s="14" t="s">
        <v>2139</v>
      </c>
      <c r="O508" s="14" t="s">
        <v>9158</v>
      </c>
      <c r="P508" s="14" t="s">
        <v>9158</v>
      </c>
      <c r="Q508" s="14" t="s">
        <v>9158</v>
      </c>
      <c r="R508" s="14" t="s">
        <v>14748</v>
      </c>
    </row>
    <row r="509" spans="1:18">
      <c r="A509" s="14">
        <v>90223</v>
      </c>
      <c r="B509" s="14" t="s">
        <v>0</v>
      </c>
      <c r="C509" s="9" t="s">
        <v>205</v>
      </c>
      <c r="D509" s="14" t="s">
        <v>13288</v>
      </c>
      <c r="E509" s="15" t="str">
        <f>HYPERLINK("https://stat100.ameba.jp/tnk47/ratio20/illustrations/card/ill_90223_karunepurinshipe03.jpg?202107-5-RELEASE-marathon-541x", "■")</f>
        <v>■</v>
      </c>
      <c r="F509" s="14" t="s">
        <v>13289</v>
      </c>
      <c r="G509" s="14">
        <v>142768</v>
      </c>
      <c r="H509" s="14">
        <v>132737</v>
      </c>
      <c r="I509" s="14">
        <v>29</v>
      </c>
      <c r="J509" s="14" t="s">
        <v>104</v>
      </c>
      <c r="K509" s="14" t="s">
        <v>13291</v>
      </c>
      <c r="L509" s="14" t="s">
        <v>13292</v>
      </c>
      <c r="M509" s="14" t="s">
        <v>2138</v>
      </c>
      <c r="N509" s="14" t="s">
        <v>2139</v>
      </c>
      <c r="O509" s="14" t="s">
        <v>9158</v>
      </c>
      <c r="P509" s="14" t="s">
        <v>9158</v>
      </c>
      <c r="Q509" s="14" t="s">
        <v>9158</v>
      </c>
      <c r="R509" s="14" t="s">
        <v>14748</v>
      </c>
    </row>
    <row r="510" spans="1:18">
      <c r="A510" s="14">
        <v>90233</v>
      </c>
      <c r="B510" s="14" t="s">
        <v>0</v>
      </c>
      <c r="C510" s="14" t="s">
        <v>206</v>
      </c>
      <c r="D510" s="14" t="s">
        <v>13293</v>
      </c>
      <c r="E510" s="15" t="str">
        <f>HYPERLINK("https://stat100.ameba.jp/tnk47/ratio20/illustrations/card/ill_90233_kakutokafuante03.jpg?202107-5-RELEASE-marathon-541x", "■")</f>
        <v>■</v>
      </c>
      <c r="F510" s="14" t="s">
        <v>13294</v>
      </c>
      <c r="G510" s="14">
        <v>142768</v>
      </c>
      <c r="H510" s="14">
        <v>132737</v>
      </c>
      <c r="I510" s="14">
        <v>29</v>
      </c>
      <c r="J510" s="14" t="s">
        <v>143</v>
      </c>
      <c r="K510" s="14" t="s">
        <v>13296</v>
      </c>
      <c r="L510" s="14" t="s">
        <v>13297</v>
      </c>
      <c r="M510" s="14" t="s">
        <v>2138</v>
      </c>
      <c r="N510" s="14" t="s">
        <v>2139</v>
      </c>
      <c r="O510" s="14" t="s">
        <v>9158</v>
      </c>
      <c r="P510" s="14" t="s">
        <v>9158</v>
      </c>
      <c r="Q510" s="14" t="s">
        <v>9158</v>
      </c>
      <c r="R510" s="14" t="s">
        <v>14748</v>
      </c>
    </row>
    <row r="512" spans="1:18">
      <c r="A512" s="14" t="s">
        <v>3643</v>
      </c>
    </row>
    <row r="513" spans="1:18">
      <c r="A513" s="14">
        <v>109729</v>
      </c>
      <c r="B513" s="14" t="s">
        <v>5369</v>
      </c>
    </row>
    <row r="514" spans="1:18">
      <c r="A514" s="14">
        <v>96485</v>
      </c>
      <c r="B514" s="14" t="s">
        <v>0</v>
      </c>
      <c r="C514" s="14" t="s">
        <v>202</v>
      </c>
      <c r="D514" s="18" t="s">
        <v>16870</v>
      </c>
      <c r="E514" s="15" t="str">
        <f>HYPERLINK("https://stat100.ameba.jp/tnk47/ratio20/illustrations/card/ill_96485_matagichan05.jpg?202107-5-RELEASE-marathon-541xx", "■")</f>
        <v>■</v>
      </c>
      <c r="F514" s="14" t="s">
        <v>16869</v>
      </c>
      <c r="G514" s="14">
        <v>119401</v>
      </c>
      <c r="H514" s="14">
        <v>164886</v>
      </c>
      <c r="I514" s="14">
        <v>29</v>
      </c>
      <c r="J514" s="14" t="s">
        <v>26</v>
      </c>
      <c r="K514" s="14" t="s">
        <v>16868</v>
      </c>
      <c r="L514" s="14" t="s">
        <v>16867</v>
      </c>
      <c r="M514" s="14" t="s">
        <v>9158</v>
      </c>
      <c r="N514" s="14" t="s">
        <v>9158</v>
      </c>
      <c r="O514" s="14" t="s">
        <v>9158</v>
      </c>
      <c r="P514" s="14" t="s">
        <v>9158</v>
      </c>
      <c r="Q514" s="14" t="s">
        <v>9158</v>
      </c>
      <c r="R514" s="14" t="s">
        <v>174</v>
      </c>
    </row>
    <row r="515" spans="1:18">
      <c r="A515" s="14">
        <v>96483</v>
      </c>
      <c r="B515" s="14" t="s">
        <v>15</v>
      </c>
      <c r="C515" s="14" t="s">
        <v>47</v>
      </c>
      <c r="D515" s="18" t="s">
        <v>16870</v>
      </c>
      <c r="E515" s="15" t="str">
        <f>HYPERLINK("https://stat100.ameba.jp/tnk47/ratio20/illustrations/card/ill_96483_matagichan03.jpg?202107-5-RELEASE-marathon-541xx", "■")</f>
        <v>■</v>
      </c>
      <c r="F515" s="14" t="s">
        <v>16869</v>
      </c>
      <c r="G515" s="14">
        <v>87973</v>
      </c>
      <c r="H515" s="14">
        <v>121498</v>
      </c>
      <c r="I515" s="14">
        <v>29</v>
      </c>
      <c r="J515" s="14" t="s">
        <v>26</v>
      </c>
      <c r="K515" s="14" t="s">
        <v>16868</v>
      </c>
      <c r="L515" s="14" t="s">
        <v>16871</v>
      </c>
      <c r="M515" s="14" t="s">
        <v>9158</v>
      </c>
      <c r="N515" s="14" t="s">
        <v>9158</v>
      </c>
      <c r="O515" s="14" t="s">
        <v>9158</v>
      </c>
      <c r="P515" s="14" t="s">
        <v>9158</v>
      </c>
      <c r="Q515" s="14" t="s">
        <v>9158</v>
      </c>
      <c r="R515" s="14" t="s">
        <v>175</v>
      </c>
    </row>
    <row r="516" spans="1:18">
      <c r="A516" s="14">
        <v>96481</v>
      </c>
      <c r="B516" s="14" t="s">
        <v>15</v>
      </c>
      <c r="C516" s="14" t="s">
        <v>47</v>
      </c>
      <c r="D516" s="18" t="s">
        <v>16870</v>
      </c>
      <c r="E516" s="15" t="str">
        <f>HYPERLINK("https://stat100.ameba.jp/tnk47/ratio20/illustrations/card/ill_96481_matagichan01.jpg?202107-5-RELEASE-marathon-541xx", "■")</f>
        <v>■</v>
      </c>
      <c r="F516" s="14" t="s">
        <v>16869</v>
      </c>
      <c r="G516" s="14">
        <v>55970</v>
      </c>
      <c r="H516" s="14">
        <v>77285</v>
      </c>
      <c r="I516" s="14">
        <v>29</v>
      </c>
      <c r="J516" s="14" t="s">
        <v>26</v>
      </c>
      <c r="K516" s="14" t="s">
        <v>16868</v>
      </c>
      <c r="L516" s="14" t="s">
        <v>16872</v>
      </c>
      <c r="M516" s="14" t="s">
        <v>9158</v>
      </c>
      <c r="N516" s="14" t="s">
        <v>9158</v>
      </c>
      <c r="O516" s="14" t="s">
        <v>9158</v>
      </c>
      <c r="P516" s="14" t="s">
        <v>9158</v>
      </c>
      <c r="Q516" s="14" t="s">
        <v>9158</v>
      </c>
      <c r="R516" s="14" t="s">
        <v>176</v>
      </c>
    </row>
    <row r="517" spans="1:18">
      <c r="A517" s="14">
        <v>88465</v>
      </c>
      <c r="B517" s="14" t="s">
        <v>0</v>
      </c>
      <c r="C517" s="14" t="s">
        <v>202</v>
      </c>
      <c r="D517" s="14" t="s">
        <v>12145</v>
      </c>
      <c r="E517" s="15" t="str">
        <f>HYPERLINK("https://stat100.ameba.jp/tnk47/ratio20/illustrations/card/ill_88465_sotonoarubebira05.jpg?202107-5-RELEASE-marathon-541xx", "■")</f>
        <v>■</v>
      </c>
      <c r="F517" s="14" t="s">
        <v>12156</v>
      </c>
      <c r="G517" s="14">
        <v>207526</v>
      </c>
      <c r="H517" s="14">
        <v>150263</v>
      </c>
      <c r="I517" s="14">
        <v>29</v>
      </c>
      <c r="J517" s="14" t="s">
        <v>143</v>
      </c>
      <c r="K517" s="14" t="s">
        <v>12154</v>
      </c>
      <c r="L517" s="14" t="s">
        <v>12153</v>
      </c>
      <c r="M517" s="14" t="s">
        <v>9158</v>
      </c>
      <c r="N517" s="14" t="s">
        <v>9158</v>
      </c>
      <c r="O517" s="14" t="s">
        <v>9158</v>
      </c>
      <c r="P517" s="14" t="s">
        <v>9158</v>
      </c>
      <c r="Q517" s="14" t="s">
        <v>9158</v>
      </c>
      <c r="R517" s="14" t="s">
        <v>174</v>
      </c>
    </row>
    <row r="518" spans="1:18">
      <c r="A518" s="14">
        <v>88463</v>
      </c>
      <c r="B518" s="14" t="s">
        <v>15</v>
      </c>
      <c r="C518" s="14" t="s">
        <v>158</v>
      </c>
      <c r="D518" s="14" t="s">
        <v>12145</v>
      </c>
      <c r="E518" s="15" t="str">
        <f>HYPERLINK("https://stat100.ameba.jp/tnk47/ratio20/illustrations/card/ill_88463_sotonoarubebira03.jpg?202107-5-RELEASE-marathon-541xx", "■")</f>
        <v>■</v>
      </c>
      <c r="F518" s="14" t="s">
        <v>12156</v>
      </c>
      <c r="G518" s="14">
        <v>152904</v>
      </c>
      <c r="H518" s="14">
        <v>110708</v>
      </c>
      <c r="I518" s="14">
        <v>29</v>
      </c>
      <c r="J518" s="14" t="s">
        <v>143</v>
      </c>
      <c r="K518" s="14" t="s">
        <v>12154</v>
      </c>
      <c r="L518" s="14" t="s">
        <v>12157</v>
      </c>
      <c r="M518" s="14" t="s">
        <v>9158</v>
      </c>
      <c r="N518" s="14" t="s">
        <v>9158</v>
      </c>
      <c r="O518" s="14" t="s">
        <v>9158</v>
      </c>
      <c r="P518" s="14" t="s">
        <v>9158</v>
      </c>
      <c r="Q518" s="14" t="s">
        <v>9158</v>
      </c>
      <c r="R518" s="14" t="s">
        <v>175</v>
      </c>
    </row>
    <row r="519" spans="1:18">
      <c r="A519" s="14">
        <v>88461</v>
      </c>
      <c r="B519" s="14" t="s">
        <v>15</v>
      </c>
      <c r="C519" s="14" t="s">
        <v>158</v>
      </c>
      <c r="D519" s="14" t="s">
        <v>12145</v>
      </c>
      <c r="E519" s="15" t="str">
        <f>HYPERLINK("https://stat100.ameba.jp/tnk47/ratio20/illustrations/card/ill_88461_sotonoarubebira01.jpg?202107-5-RELEASE-marathon-541xx", "■")</f>
        <v>■</v>
      </c>
      <c r="F519" s="14" t="s">
        <v>12156</v>
      </c>
      <c r="G519" s="14">
        <v>97266</v>
      </c>
      <c r="H519" s="14">
        <v>70441</v>
      </c>
      <c r="I519" s="14">
        <v>29</v>
      </c>
      <c r="J519" s="14" t="s">
        <v>143</v>
      </c>
      <c r="K519" s="14" t="s">
        <v>12154</v>
      </c>
      <c r="L519" s="14" t="s">
        <v>12158</v>
      </c>
      <c r="M519" s="14" t="s">
        <v>9158</v>
      </c>
      <c r="N519" s="14" t="s">
        <v>9158</v>
      </c>
      <c r="O519" s="14" t="s">
        <v>9158</v>
      </c>
      <c r="P519" s="14" t="s">
        <v>9158</v>
      </c>
      <c r="Q519" s="14" t="s">
        <v>9158</v>
      </c>
      <c r="R519" s="14" t="s">
        <v>176</v>
      </c>
    </row>
    <row r="520" spans="1:18">
      <c r="A520" s="14">
        <v>89165</v>
      </c>
      <c r="B520" s="14" t="s">
        <v>0</v>
      </c>
      <c r="C520" s="14" t="s">
        <v>202</v>
      </c>
      <c r="D520" s="18" t="s">
        <v>12570</v>
      </c>
      <c r="E520" s="15" t="str">
        <f>HYPERLINK("https://stat100.ameba.jp/tnk47/ratio20/illustrations/card/ill_89165_uchusensohottakichiko05.jpg?202107-5-RELEASE-marathon-541xx", "■")</f>
        <v>■</v>
      </c>
      <c r="F520" s="14" t="s">
        <v>12571</v>
      </c>
      <c r="G520" s="14">
        <v>148618</v>
      </c>
      <c r="H520" s="14">
        <v>107617</v>
      </c>
      <c r="I520" s="14">
        <v>29</v>
      </c>
      <c r="J520" s="14" t="s">
        <v>16</v>
      </c>
      <c r="K520" s="14" t="s">
        <v>12573</v>
      </c>
      <c r="L520" s="14" t="s">
        <v>12415</v>
      </c>
      <c r="M520" s="14" t="s">
        <v>9158</v>
      </c>
      <c r="N520" s="14" t="s">
        <v>9158</v>
      </c>
      <c r="O520" s="14" t="s">
        <v>9158</v>
      </c>
      <c r="P520" s="14" t="s">
        <v>9158</v>
      </c>
      <c r="Q520" s="14" t="s">
        <v>9158</v>
      </c>
      <c r="R520" s="14" t="s">
        <v>174</v>
      </c>
    </row>
    <row r="521" spans="1:18">
      <c r="A521" s="14">
        <v>89163</v>
      </c>
      <c r="B521" s="14" t="s">
        <v>15</v>
      </c>
      <c r="C521" s="14" t="s">
        <v>41</v>
      </c>
      <c r="D521" s="18" t="s">
        <v>12570</v>
      </c>
      <c r="E521" s="15" t="str">
        <f>HYPERLINK("https://stat100.ameba.jp/tnk47/ratio20/illustrations/card/ill_89163_uchusensohottakichiko03.jpg?202107-5-RELEASE-marathon-541xx", "■")</f>
        <v>■</v>
      </c>
      <c r="F521" s="14" t="s">
        <v>12571</v>
      </c>
      <c r="G521" s="14">
        <v>109493</v>
      </c>
      <c r="H521" s="14">
        <v>79273</v>
      </c>
      <c r="I521" s="14">
        <v>29</v>
      </c>
      <c r="J521" s="14" t="s">
        <v>16</v>
      </c>
      <c r="K521" s="14" t="s">
        <v>12573</v>
      </c>
      <c r="L521" s="14" t="s">
        <v>12575</v>
      </c>
      <c r="M521" s="14" t="s">
        <v>9158</v>
      </c>
      <c r="N521" s="14" t="s">
        <v>9158</v>
      </c>
      <c r="O521" s="14" t="s">
        <v>9158</v>
      </c>
      <c r="P521" s="14" t="s">
        <v>9158</v>
      </c>
      <c r="Q521" s="14" t="s">
        <v>9158</v>
      </c>
      <c r="R521" s="14" t="s">
        <v>175</v>
      </c>
    </row>
    <row r="522" spans="1:18">
      <c r="A522" s="14">
        <v>89161</v>
      </c>
      <c r="B522" s="14" t="s">
        <v>15</v>
      </c>
      <c r="C522" s="14" t="s">
        <v>41</v>
      </c>
      <c r="D522" s="18" t="s">
        <v>12570</v>
      </c>
      <c r="E522" s="15" t="str">
        <f>HYPERLINK("https://stat100.ameba.jp/tnk47/ratio20/illustrations/card/ill_89161_uchusensohottakichiko01.jpg?202107-5-RELEASE-marathon-541xx", "■")</f>
        <v>■</v>
      </c>
      <c r="F522" s="14" t="s">
        <v>12571</v>
      </c>
      <c r="G522" s="14">
        <v>69658</v>
      </c>
      <c r="H522" s="14">
        <v>50431</v>
      </c>
      <c r="I522" s="14">
        <v>29</v>
      </c>
      <c r="J522" s="14" t="s">
        <v>16</v>
      </c>
      <c r="K522" s="14" t="s">
        <v>12573</v>
      </c>
      <c r="L522" s="14" t="s">
        <v>12577</v>
      </c>
      <c r="M522" s="14" t="s">
        <v>9158</v>
      </c>
      <c r="N522" s="14" t="s">
        <v>9158</v>
      </c>
      <c r="O522" s="14" t="s">
        <v>9158</v>
      </c>
      <c r="P522" s="14" t="s">
        <v>9158</v>
      </c>
      <c r="Q522" s="14" t="s">
        <v>9158</v>
      </c>
      <c r="R522" s="14" t="s">
        <v>176</v>
      </c>
    </row>
    <row r="524" spans="1:18">
      <c r="A524" s="14" t="s">
        <v>3844</v>
      </c>
    </row>
    <row r="525" spans="1:18">
      <c r="A525" s="14">
        <v>109747</v>
      </c>
      <c r="B525" s="14" t="s">
        <v>14081</v>
      </c>
    </row>
    <row r="526" spans="1:18">
      <c r="A526" s="7" t="s">
        <v>8839</v>
      </c>
      <c r="B526" s="7" t="s">
        <v>52</v>
      </c>
      <c r="C526" s="7" t="s">
        <v>202</v>
      </c>
      <c r="D526" s="20" t="s">
        <v>10880</v>
      </c>
      <c r="E526" s="15" t="str">
        <f>HYPERLINK("https://stat100.ameba.jp/tnk47/ratio20/illustrations/card/ill_86273_0_oshogatsuniijimayae03.jpg?202107-5-RELEASE-marathon-541xx", "■")</f>
        <v>■</v>
      </c>
      <c r="F526" s="7" t="s">
        <v>8838</v>
      </c>
      <c r="G526" s="7">
        <v>296321</v>
      </c>
      <c r="H526" s="7">
        <v>327865</v>
      </c>
      <c r="I526" s="7">
        <v>27</v>
      </c>
      <c r="J526" s="14" t="s">
        <v>173</v>
      </c>
      <c r="K526" s="7" t="s">
        <v>8837</v>
      </c>
      <c r="L526" s="7" t="s">
        <v>13211</v>
      </c>
      <c r="M526" s="14" t="s">
        <v>9158</v>
      </c>
      <c r="N526" s="14" t="s">
        <v>9158</v>
      </c>
      <c r="O526" s="19" t="s">
        <v>10134</v>
      </c>
      <c r="P526" s="7" t="s">
        <v>8870</v>
      </c>
      <c r="Q526" s="7">
        <v>1</v>
      </c>
    </row>
    <row r="527" spans="1:18">
      <c r="A527" s="14">
        <v>89013</v>
      </c>
      <c r="B527" s="14" t="s">
        <v>0</v>
      </c>
      <c r="C527" s="14" t="s">
        <v>23</v>
      </c>
      <c r="D527" s="18" t="s">
        <v>12538</v>
      </c>
      <c r="E527" s="15" t="str">
        <f>HYPERLINK("https://stat100.ameba.jp/tnk47/ratio20/illustrations/card/ill_89013_efuwanresutokugawaieyasu03.jpg?202107-5-RELEASE-marathon-541xx", "■")</f>
        <v>■</v>
      </c>
      <c r="F527" s="14" t="s">
        <v>12539</v>
      </c>
      <c r="G527" s="14">
        <v>160296</v>
      </c>
      <c r="H527" s="14">
        <v>172397</v>
      </c>
      <c r="I527" s="14">
        <v>29</v>
      </c>
      <c r="J527" s="14" t="s">
        <v>143</v>
      </c>
      <c r="K527" s="14" t="s">
        <v>12540</v>
      </c>
      <c r="L527" s="14" t="s">
        <v>12026</v>
      </c>
      <c r="M527" s="14" t="s">
        <v>9158</v>
      </c>
      <c r="N527" s="14" t="s">
        <v>9158</v>
      </c>
      <c r="O527" s="6" t="s">
        <v>3624</v>
      </c>
      <c r="P527" s="7" t="s">
        <v>3625</v>
      </c>
      <c r="Q527" s="7">
        <v>1</v>
      </c>
    </row>
    <row r="528" spans="1:18">
      <c r="A528" s="14">
        <v>89653</v>
      </c>
      <c r="B528" s="14" t="s">
        <v>0</v>
      </c>
      <c r="C528" s="14" t="s">
        <v>101</v>
      </c>
      <c r="D528" s="18" t="s">
        <v>13090</v>
      </c>
      <c r="E528" s="15" t="str">
        <f>HYPERLINK("https://stat100.ameba.jp/tnk47/ratio20/illustrations/card/ill_89653_jumburaidochakkariozonichan03.jpg?202107-5-RELEASE-marathon-541xx", "■")</f>
        <v>■</v>
      </c>
      <c r="F528" s="14" t="s">
        <v>13091</v>
      </c>
      <c r="G528" s="14">
        <v>136953</v>
      </c>
      <c r="H528" s="14">
        <v>127350</v>
      </c>
      <c r="I528" s="14">
        <v>29</v>
      </c>
      <c r="J528" s="14" t="s">
        <v>104</v>
      </c>
      <c r="K528" s="14" t="s">
        <v>13092</v>
      </c>
      <c r="L528" s="14" t="s">
        <v>13093</v>
      </c>
      <c r="M528" s="14" t="s">
        <v>9158</v>
      </c>
      <c r="N528" s="14" t="s">
        <v>9158</v>
      </c>
      <c r="O528" s="6" t="s">
        <v>4583</v>
      </c>
      <c r="P528" s="7" t="s">
        <v>4584</v>
      </c>
      <c r="Q528" s="7">
        <v>1</v>
      </c>
    </row>
    <row r="529" spans="1:17">
      <c r="A529" s="14">
        <v>94973</v>
      </c>
      <c r="B529" s="14" t="s">
        <v>0</v>
      </c>
      <c r="C529" s="14" t="s">
        <v>107</v>
      </c>
      <c r="D529" s="18" t="s">
        <v>15868</v>
      </c>
      <c r="E529" s="15" t="str">
        <f>HYPERLINK("https://stat100.ameba.jp/tnk47/ratio20/illustrations/card/ill_94973_shinshunnisennijuichimiyamotomusashi03.jpg?202107-5-RELEASE-marathon-541xx", "■")</f>
        <v>■</v>
      </c>
      <c r="F529" s="14" t="s">
        <v>15867</v>
      </c>
      <c r="G529" s="14">
        <v>136953</v>
      </c>
      <c r="H529" s="14">
        <v>127350</v>
      </c>
      <c r="I529" s="14">
        <v>29</v>
      </c>
      <c r="J529" s="14" t="s">
        <v>143</v>
      </c>
      <c r="K529" s="14" t="s">
        <v>15866</v>
      </c>
      <c r="L529" s="14" t="s">
        <v>13460</v>
      </c>
      <c r="M529" s="14" t="s">
        <v>9158</v>
      </c>
      <c r="N529" s="14" t="s">
        <v>9158</v>
      </c>
      <c r="O529" s="6" t="s">
        <v>3244</v>
      </c>
      <c r="P529" s="7" t="s">
        <v>3245</v>
      </c>
      <c r="Q529" s="7">
        <v>1</v>
      </c>
    </row>
  </sheetData>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67EC-0040-4AAF-B93B-852AB924F40C}">
  <dimension ref="A1:U682"/>
  <sheetViews>
    <sheetView zoomScale="55" zoomScaleNormal="55" workbookViewId="0">
      <pane ySplit="1" topLeftCell="A420" activePane="bottomLeft" state="frozen"/>
      <selection activeCell="A231" sqref="A231:Q231"/>
      <selection pane="bottomLeft" activeCell="D433" sqref="D433"/>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17265</v>
      </c>
    </row>
    <row r="4" spans="1:19">
      <c r="A4" s="14">
        <v>312105</v>
      </c>
      <c r="B4" s="14" t="s">
        <v>13448</v>
      </c>
    </row>
    <row r="5" spans="1:19">
      <c r="A5" s="14">
        <v>312154</v>
      </c>
      <c r="B5" s="14" t="s">
        <v>13449</v>
      </c>
    </row>
    <row r="6" spans="1:19">
      <c r="A6" s="14" t="s">
        <v>17272</v>
      </c>
      <c r="B6" s="7" t="s">
        <v>52</v>
      </c>
      <c r="C6" s="14" t="s">
        <v>202</v>
      </c>
      <c r="D6" s="18" t="s">
        <v>17271</v>
      </c>
      <c r="E6" s="15" t="str">
        <f>HYPERLINK("https://stat100.ameba.jp/tnk47/ratio20/illustrations/card/ill_99033_0_uminoiehangakugozen03.jpg?202107-5-RELEASE-marathon-541xx", "■")</f>
        <v>■</v>
      </c>
      <c r="F6" s="14" t="s">
        <v>17270</v>
      </c>
      <c r="G6" s="14">
        <v>312442</v>
      </c>
      <c r="H6" s="14">
        <v>381870</v>
      </c>
      <c r="I6" s="7">
        <v>34</v>
      </c>
      <c r="J6" s="14" t="s">
        <v>143</v>
      </c>
      <c r="K6" s="14" t="s">
        <v>17269</v>
      </c>
      <c r="L6" s="14" t="s">
        <v>17268</v>
      </c>
      <c r="M6" s="14" t="s">
        <v>9158</v>
      </c>
      <c r="N6" s="14" t="s">
        <v>9158</v>
      </c>
      <c r="O6" s="7" t="s">
        <v>17267</v>
      </c>
      <c r="P6" s="7" t="s">
        <v>17266</v>
      </c>
      <c r="Q6" s="7">
        <v>1</v>
      </c>
    </row>
    <row r="7" spans="1:19">
      <c r="A7" s="14">
        <v>98993</v>
      </c>
      <c r="B7" s="14" t="s">
        <v>0</v>
      </c>
      <c r="C7" s="14" t="s">
        <v>107</v>
      </c>
      <c r="D7" s="18" t="s">
        <v>17276</v>
      </c>
      <c r="E7" s="15" t="str">
        <f>HYPERLINK("https://stat100.ameba.jp/tnk47/ratio20/illustrations/card/ill_98993_uminoietobiuochan03.jpg?202107-5-RELEASE-marathon-541xx", "■")</f>
        <v>■</v>
      </c>
      <c r="F7" s="14" t="s">
        <v>17275</v>
      </c>
      <c r="G7" s="14">
        <v>109970</v>
      </c>
      <c r="H7" s="14">
        <v>118287</v>
      </c>
      <c r="I7" s="14">
        <v>29</v>
      </c>
      <c r="J7" s="14" t="s">
        <v>26</v>
      </c>
      <c r="K7" s="14" t="s">
        <v>17274</v>
      </c>
      <c r="L7" s="14" t="s">
        <v>17273</v>
      </c>
      <c r="M7" s="14" t="s">
        <v>9158</v>
      </c>
      <c r="N7" s="14" t="s">
        <v>9158</v>
      </c>
      <c r="O7" s="7" t="s">
        <v>3461</v>
      </c>
      <c r="P7" s="7" t="s">
        <v>3462</v>
      </c>
      <c r="Q7" s="7">
        <v>1</v>
      </c>
    </row>
    <row r="8" spans="1:19">
      <c r="A8" s="14">
        <v>98973</v>
      </c>
      <c r="B8" s="14" t="s">
        <v>0</v>
      </c>
      <c r="C8" s="14" t="s">
        <v>14</v>
      </c>
      <c r="D8" s="18" t="s">
        <v>17279</v>
      </c>
      <c r="E8" s="15" t="str">
        <f>HYPERLINK("https://stat100.ameba.jp/tnk47/ratio20/illustrations/card/ill_98973_uminoietadanomakuzu03.jpg?202107-5-RELEASE-marathon-541xx", "■")</f>
        <v>■</v>
      </c>
      <c r="F8" s="14" t="s">
        <v>17278</v>
      </c>
      <c r="G8" s="14">
        <v>172397</v>
      </c>
      <c r="H8" s="14">
        <v>160296</v>
      </c>
      <c r="I8" s="14">
        <v>29</v>
      </c>
      <c r="J8" s="14" t="s">
        <v>10</v>
      </c>
      <c r="K8" s="14" t="s">
        <v>17277</v>
      </c>
      <c r="L8" s="14" t="s">
        <v>13407</v>
      </c>
      <c r="M8" s="14" t="s">
        <v>2138</v>
      </c>
      <c r="N8" s="14" t="s">
        <v>2139</v>
      </c>
      <c r="O8" s="14" t="s">
        <v>9158</v>
      </c>
      <c r="P8" s="14" t="s">
        <v>9158</v>
      </c>
      <c r="Q8" s="14" t="s">
        <v>9158</v>
      </c>
      <c r="R8" s="14" t="s">
        <v>13120</v>
      </c>
    </row>
    <row r="9" spans="1:19">
      <c r="A9" s="14">
        <v>98983</v>
      </c>
      <c r="B9" s="14" t="s">
        <v>0</v>
      </c>
      <c r="C9" s="14" t="s">
        <v>101</v>
      </c>
      <c r="D9" s="18" t="s">
        <v>17282</v>
      </c>
      <c r="E9" s="15" t="str">
        <f>HYPERLINK("https://stat100.ameba.jp/tnk47/ratio20/illustrations/card/ill_98983_uminoiekurohime03.jpg?202107-5-RELEASE-marathon-541xx", "■")</f>
        <v>■</v>
      </c>
      <c r="F9" s="14" t="s">
        <v>17281</v>
      </c>
      <c r="G9" s="14">
        <v>136953</v>
      </c>
      <c r="H9" s="14">
        <v>127350</v>
      </c>
      <c r="I9" s="14">
        <v>29</v>
      </c>
      <c r="J9" s="14" t="s">
        <v>38</v>
      </c>
      <c r="K9" s="14" t="s">
        <v>17280</v>
      </c>
      <c r="L9" s="14" t="s">
        <v>13460</v>
      </c>
      <c r="M9" s="14" t="s">
        <v>2138</v>
      </c>
      <c r="N9" s="14" t="s">
        <v>2139</v>
      </c>
      <c r="O9" s="14" t="s">
        <v>9158</v>
      </c>
      <c r="P9" s="14" t="s">
        <v>9158</v>
      </c>
      <c r="Q9" s="14" t="s">
        <v>9158</v>
      </c>
      <c r="R9" s="14" t="s">
        <v>13120</v>
      </c>
    </row>
    <row r="10" spans="1:19">
      <c r="A10" s="14">
        <v>99003</v>
      </c>
      <c r="B10" s="14" t="s">
        <v>15</v>
      </c>
      <c r="C10" s="14" t="s">
        <v>96</v>
      </c>
      <c r="D10" s="18" t="s">
        <v>17284</v>
      </c>
      <c r="E10" s="15" t="str">
        <f>HYPERLINK("https://stat100.ameba.jp/tnk47/ratio20/illustrations/card/ill_99003_buruhawaichan03.jpg?202107-5-RELEASE-marathon-541xx", "■")</f>
        <v>■</v>
      </c>
      <c r="F10" s="14" t="s">
        <v>17283</v>
      </c>
      <c r="G10" s="7">
        <v>85956</v>
      </c>
      <c r="H10" s="7">
        <v>77962</v>
      </c>
      <c r="I10" s="7">
        <v>29</v>
      </c>
      <c r="J10" s="14" t="s">
        <v>104</v>
      </c>
      <c r="K10" s="7" t="s">
        <v>6261</v>
      </c>
      <c r="L10" s="7" t="s">
        <v>3502</v>
      </c>
      <c r="M10" s="14" t="s">
        <v>9158</v>
      </c>
      <c r="N10" s="14" t="s">
        <v>9158</v>
      </c>
      <c r="O10" s="14" t="s">
        <v>9158</v>
      </c>
      <c r="P10" s="14" t="s">
        <v>9158</v>
      </c>
      <c r="Q10" s="14" t="s">
        <v>9158</v>
      </c>
    </row>
    <row r="11" spans="1:19">
      <c r="A11" s="14">
        <v>99013</v>
      </c>
      <c r="B11" s="14" t="s">
        <v>15</v>
      </c>
      <c r="C11" s="14" t="s">
        <v>23</v>
      </c>
      <c r="D11" s="18" t="s">
        <v>17287</v>
      </c>
      <c r="E11" s="15" t="str">
        <f>HYPERLINK("https://stat100.ameba.jp/tnk47/ratio20/illustrations/card/ill_99013_hosogyo03.jpg?202107-5-RELEASE-marathon-541xx", "■")</f>
        <v>■</v>
      </c>
      <c r="F11" s="14" t="s">
        <v>17286</v>
      </c>
      <c r="G11" s="7">
        <v>77962</v>
      </c>
      <c r="H11" s="7">
        <v>85956</v>
      </c>
      <c r="I11" s="7">
        <v>29</v>
      </c>
      <c r="J11" s="14" t="s">
        <v>73</v>
      </c>
      <c r="K11" s="7" t="s">
        <v>17285</v>
      </c>
      <c r="L11" s="7" t="s">
        <v>2113</v>
      </c>
      <c r="M11" s="14" t="s">
        <v>9158</v>
      </c>
      <c r="N11" s="14" t="s">
        <v>9158</v>
      </c>
      <c r="O11" s="14" t="s">
        <v>9158</v>
      </c>
      <c r="P11" s="14" t="s">
        <v>9158</v>
      </c>
      <c r="Q11" s="14" t="s">
        <v>9158</v>
      </c>
    </row>
    <row r="12" spans="1:19">
      <c r="A12" s="14">
        <v>99023</v>
      </c>
      <c r="B12" s="14" t="s">
        <v>15</v>
      </c>
      <c r="C12" s="14" t="s">
        <v>1</v>
      </c>
      <c r="D12" s="18" t="s">
        <v>17290</v>
      </c>
      <c r="E12" s="15" t="str">
        <f>HYPERLINK("https://stat100.ameba.jp/tnk47/ratio20/illustrations/card/ill_99023_sengokumibirakiinugamitsukai03.jpg?202107-5-RELEASE-marathon-541xx", "■")</f>
        <v>■</v>
      </c>
      <c r="F12" s="14" t="s">
        <v>17289</v>
      </c>
      <c r="G12" s="7">
        <v>85956</v>
      </c>
      <c r="H12" s="7">
        <v>77962</v>
      </c>
      <c r="I12" s="7">
        <v>29</v>
      </c>
      <c r="J12" s="14" t="s">
        <v>44</v>
      </c>
      <c r="K12" s="7" t="s">
        <v>17288</v>
      </c>
      <c r="L12" s="7" t="s">
        <v>3726</v>
      </c>
      <c r="M12" s="14" t="s">
        <v>9158</v>
      </c>
      <c r="N12" s="14" t="s">
        <v>9158</v>
      </c>
      <c r="O12" s="14" t="s">
        <v>9158</v>
      </c>
      <c r="P12" s="14" t="s">
        <v>9158</v>
      </c>
      <c r="Q12" s="14" t="s">
        <v>9158</v>
      </c>
    </row>
    <row r="13" spans="1:19">
      <c r="A13" s="14">
        <v>99043</v>
      </c>
      <c r="B13" s="14" t="s">
        <v>22</v>
      </c>
      <c r="C13" s="14" t="s">
        <v>1</v>
      </c>
      <c r="D13" s="18" t="s">
        <v>17293</v>
      </c>
      <c r="E13" s="15" t="str">
        <f>HYPERLINK("https://stat100.ameba.jp/tnk47/ratio20/illustrations/card/ill_99043_iyokangorichan03.jpg?202107-5-RELEASE-marathon-541xx", "■")</f>
        <v>■</v>
      </c>
      <c r="F13" s="14" t="s">
        <v>17296</v>
      </c>
      <c r="G13" s="14">
        <v>56138</v>
      </c>
      <c r="H13" s="14">
        <v>46676</v>
      </c>
      <c r="I13" s="7">
        <v>27</v>
      </c>
      <c r="J13" s="14" t="s">
        <v>104</v>
      </c>
      <c r="K13" s="7" t="s">
        <v>17295</v>
      </c>
      <c r="L13" s="7" t="s">
        <v>3741</v>
      </c>
      <c r="M13" s="14" t="s">
        <v>9158</v>
      </c>
      <c r="N13" s="14" t="s">
        <v>9158</v>
      </c>
      <c r="O13" s="14" t="s">
        <v>9158</v>
      </c>
      <c r="P13" s="14" t="s">
        <v>9158</v>
      </c>
      <c r="Q13" s="14" t="s">
        <v>9158</v>
      </c>
    </row>
    <row r="14" spans="1:19">
      <c r="A14" s="14">
        <v>99053</v>
      </c>
      <c r="B14" s="14" t="s">
        <v>22</v>
      </c>
      <c r="C14" s="14" t="s">
        <v>101</v>
      </c>
      <c r="D14" s="18" t="s">
        <v>17292</v>
      </c>
      <c r="E14" s="15" t="str">
        <f>HYPERLINK("https://stat100.ameba.jp/tnk47/ratio20/illustrations/card/ill_99053_utatanenezufujin03.jpg?202107-5-RELEASE-marathon-541xx", "■")</f>
        <v>■</v>
      </c>
      <c r="F14" s="14" t="s">
        <v>17298</v>
      </c>
      <c r="G14" s="14">
        <v>46676</v>
      </c>
      <c r="H14" s="14">
        <v>56138</v>
      </c>
      <c r="I14" s="7">
        <v>27</v>
      </c>
      <c r="J14" s="14" t="s">
        <v>77</v>
      </c>
      <c r="K14" s="7" t="s">
        <v>17297</v>
      </c>
      <c r="L14" s="7" t="s">
        <v>3506</v>
      </c>
      <c r="M14" s="14" t="s">
        <v>9158</v>
      </c>
      <c r="N14" s="14" t="s">
        <v>9158</v>
      </c>
      <c r="O14" s="14" t="s">
        <v>9158</v>
      </c>
      <c r="P14" s="14" t="s">
        <v>9158</v>
      </c>
      <c r="Q14" s="14" t="s">
        <v>9158</v>
      </c>
    </row>
    <row r="15" spans="1:19">
      <c r="A15" s="14">
        <v>99063</v>
      </c>
      <c r="B15" s="14" t="s">
        <v>22</v>
      </c>
      <c r="C15" s="14" t="s">
        <v>107</v>
      </c>
      <c r="D15" s="18" t="s">
        <v>17294</v>
      </c>
      <c r="E15" s="15" t="str">
        <f>HYPERLINK("https://stat100.ameba.jp/tnk47/ratio20/illustrations/card/ill_99063_nehanzo03.jpg?202107-5-RELEASE-marathon-541xx", "■")</f>
        <v>■</v>
      </c>
      <c r="F15" s="14" t="s">
        <v>17300</v>
      </c>
      <c r="G15" s="14">
        <v>56138</v>
      </c>
      <c r="H15" s="14">
        <v>46676</v>
      </c>
      <c r="I15" s="7">
        <v>27</v>
      </c>
      <c r="J15" s="14" t="s">
        <v>44</v>
      </c>
      <c r="K15" s="7" t="s">
        <v>17299</v>
      </c>
      <c r="L15" s="7" t="s">
        <v>4531</v>
      </c>
      <c r="M15" s="14" t="s">
        <v>9158</v>
      </c>
      <c r="N15" s="14" t="s">
        <v>9158</v>
      </c>
      <c r="O15" s="14" t="s">
        <v>9158</v>
      </c>
      <c r="P15" s="14" t="s">
        <v>9158</v>
      </c>
      <c r="Q15" s="14" t="s">
        <v>9158</v>
      </c>
    </row>
    <row r="16" spans="1:19">
      <c r="A16" s="14">
        <v>99073</v>
      </c>
      <c r="B16" s="14" t="s">
        <v>22</v>
      </c>
      <c r="C16" s="14" t="s">
        <v>23</v>
      </c>
      <c r="D16" s="18" t="s">
        <v>17291</v>
      </c>
      <c r="E16" s="15" t="str">
        <f>HYPERLINK("https://stat100.ameba.jp/tnk47/ratio20/illustrations/card/ill_99073_bandoninomiyakinjirou03.jpg?202107-5-RELEASE-marathon-541xx", "■")</f>
        <v>■</v>
      </c>
      <c r="F16" s="14" t="s">
        <v>17301</v>
      </c>
      <c r="G16" s="14">
        <v>46676</v>
      </c>
      <c r="H16" s="14">
        <v>56138</v>
      </c>
      <c r="I16" s="7">
        <v>27</v>
      </c>
      <c r="J16" s="14" t="s">
        <v>10</v>
      </c>
      <c r="K16" s="7" t="s">
        <v>17302</v>
      </c>
      <c r="L16" s="7" t="s">
        <v>9347</v>
      </c>
      <c r="M16" s="14" t="s">
        <v>9158</v>
      </c>
      <c r="N16" s="14" t="s">
        <v>9158</v>
      </c>
      <c r="O16" s="14" t="s">
        <v>9158</v>
      </c>
      <c r="P16" s="14" t="s">
        <v>9158</v>
      </c>
      <c r="Q16" s="14" t="s">
        <v>9158</v>
      </c>
    </row>
    <row r="17" spans="1:18">
      <c r="D17" s="7"/>
    </row>
    <row r="18" spans="1:18">
      <c r="A18" s="14" t="s">
        <v>17305</v>
      </c>
      <c r="D18" s="7"/>
    </row>
    <row r="19" spans="1:18">
      <c r="A19" s="14">
        <v>239215</v>
      </c>
      <c r="B19" s="14" t="s">
        <v>5425</v>
      </c>
      <c r="D19" s="7"/>
    </row>
    <row r="20" spans="1:18">
      <c r="A20" s="14">
        <v>99085</v>
      </c>
      <c r="B20" s="14" t="s">
        <v>0</v>
      </c>
      <c r="C20" s="14" t="s">
        <v>202</v>
      </c>
      <c r="D20" s="18" t="s">
        <v>17309</v>
      </c>
      <c r="E20" s="15" t="str">
        <f>HYPERLINK("https://stat100.ameba.jp/tnk47/ratio20/illustrations/card/ill_99085_uminokyujotaiinembi05.jpg?202107-5-RELEASE-marathon-541xx", "■")</f>
        <v>■</v>
      </c>
      <c r="F20" s="14" t="s">
        <v>17308</v>
      </c>
      <c r="G20" s="14">
        <v>125359</v>
      </c>
      <c r="H20" s="14">
        <v>173127</v>
      </c>
      <c r="I20" s="14">
        <v>29</v>
      </c>
      <c r="J20" s="14" t="s">
        <v>73</v>
      </c>
      <c r="K20" s="14" t="s">
        <v>17307</v>
      </c>
      <c r="L20" s="14" t="s">
        <v>17306</v>
      </c>
      <c r="M20" s="14" t="s">
        <v>9158</v>
      </c>
      <c r="N20" s="14" t="s">
        <v>9158</v>
      </c>
      <c r="O20" s="14" t="s">
        <v>9158</v>
      </c>
      <c r="P20" s="14" t="s">
        <v>9158</v>
      </c>
      <c r="Q20" s="14" t="s">
        <v>9158</v>
      </c>
      <c r="R20" s="14" t="s">
        <v>174</v>
      </c>
    </row>
    <row r="21" spans="1:18">
      <c r="A21" s="14">
        <v>99083</v>
      </c>
      <c r="B21" s="14" t="s">
        <v>15</v>
      </c>
      <c r="C21" s="14" t="s">
        <v>41</v>
      </c>
      <c r="D21" s="18" t="s">
        <v>17309</v>
      </c>
      <c r="E21" s="15" t="str">
        <f>HYPERLINK("https://stat100.ameba.jp/tnk47/ratio20/illustrations/card/ill_99083_uminokyujotaiinembi03.jpg?202107-5-RELEASE-marathon-541xx", "■")</f>
        <v>■</v>
      </c>
      <c r="F21" s="14" t="s">
        <v>17308</v>
      </c>
      <c r="G21" s="14">
        <v>92359</v>
      </c>
      <c r="H21" s="14">
        <v>127556</v>
      </c>
      <c r="I21" s="14">
        <v>29</v>
      </c>
      <c r="J21" s="14" t="s">
        <v>73</v>
      </c>
      <c r="K21" s="14" t="s">
        <v>17307</v>
      </c>
      <c r="L21" s="14" t="s">
        <v>17310</v>
      </c>
      <c r="M21" s="14" t="s">
        <v>9158</v>
      </c>
      <c r="N21" s="14" t="s">
        <v>9158</v>
      </c>
      <c r="O21" s="14" t="s">
        <v>9158</v>
      </c>
      <c r="P21" s="14" t="s">
        <v>9158</v>
      </c>
      <c r="Q21" s="14" t="s">
        <v>9158</v>
      </c>
      <c r="R21" s="14" t="s">
        <v>175</v>
      </c>
    </row>
    <row r="22" spans="1:18">
      <c r="A22" s="14">
        <v>99081</v>
      </c>
      <c r="B22" s="14" t="s">
        <v>15</v>
      </c>
      <c r="C22" s="14" t="s">
        <v>41</v>
      </c>
      <c r="D22" s="18" t="s">
        <v>17309</v>
      </c>
      <c r="E22" s="15" t="str">
        <f>HYPERLINK("https://stat100.ameba.jp/tnk47/ratio20/illustrations/card/ill_99081_uminokyujotaiinembi01.jpg?202107-5-RELEASE-marathon-541xx", "■")</f>
        <v>■</v>
      </c>
      <c r="F22" s="14" t="s">
        <v>17308</v>
      </c>
      <c r="G22" s="14">
        <v>58754</v>
      </c>
      <c r="H22" s="14">
        <v>81142</v>
      </c>
      <c r="I22" s="14">
        <v>29</v>
      </c>
      <c r="J22" s="14" t="s">
        <v>73</v>
      </c>
      <c r="K22" s="14" t="s">
        <v>17307</v>
      </c>
      <c r="L22" s="14" t="s">
        <v>17311</v>
      </c>
      <c r="M22" s="14" t="s">
        <v>9158</v>
      </c>
      <c r="N22" s="14" t="s">
        <v>9158</v>
      </c>
      <c r="O22" s="14" t="s">
        <v>9158</v>
      </c>
      <c r="P22" s="14" t="s">
        <v>9158</v>
      </c>
      <c r="Q22" s="14" t="s">
        <v>9158</v>
      </c>
      <c r="R22" s="14" t="s">
        <v>176</v>
      </c>
    </row>
    <row r="24" spans="1:18">
      <c r="A24" s="14" t="s">
        <v>13431</v>
      </c>
    </row>
    <row r="25" spans="1:18">
      <c r="A25" s="14">
        <v>109778</v>
      </c>
      <c r="B25" s="14" t="s">
        <v>17303</v>
      </c>
    </row>
    <row r="26" spans="1:18">
      <c r="A26" s="14" t="s">
        <v>16989</v>
      </c>
      <c r="B26" s="7" t="s">
        <v>52</v>
      </c>
      <c r="C26" s="14" t="s">
        <v>202</v>
      </c>
      <c r="D26" s="18" t="s">
        <v>16988</v>
      </c>
      <c r="E26" s="15" t="str">
        <f>HYPERLINK("https://stat100.ameba.jp/tnk47/ratio20/illustrations/card/ill_97013_0_kanokaishiranui03.jpg?202107-5-RELEASE-marathon-541xx", "■")</f>
        <v>■</v>
      </c>
      <c r="F26" s="14" t="s">
        <v>16987</v>
      </c>
      <c r="G26" s="14">
        <v>295662</v>
      </c>
      <c r="H26" s="14">
        <v>267196</v>
      </c>
      <c r="I26" s="7">
        <v>28</v>
      </c>
      <c r="J26" s="14" t="s">
        <v>73</v>
      </c>
      <c r="K26" s="14" t="s">
        <v>16986</v>
      </c>
      <c r="L26" s="14" t="s">
        <v>16985</v>
      </c>
      <c r="M26" s="14" t="s">
        <v>9158</v>
      </c>
      <c r="N26" s="14" t="s">
        <v>9158</v>
      </c>
      <c r="O26" s="7" t="s">
        <v>16990</v>
      </c>
      <c r="P26" s="7" t="s">
        <v>16991</v>
      </c>
      <c r="Q26" s="7">
        <v>1</v>
      </c>
    </row>
    <row r="27" spans="1:18">
      <c r="A27" s="14" t="s">
        <v>14533</v>
      </c>
      <c r="B27" s="7" t="s">
        <v>52</v>
      </c>
      <c r="C27" s="14" t="s">
        <v>202</v>
      </c>
      <c r="D27" s="18" t="s">
        <v>14532</v>
      </c>
      <c r="E27" s="15" t="str">
        <f>HYPERLINK("https://stat100.ameba.jp/tnk47/ratio20/illustrations/card/ill_91703_0_ninjashugyohanakosan03.jpg?202107-5-RELEASE-marathon-541xx", "■")</f>
        <v>■</v>
      </c>
      <c r="F27" s="14" t="s">
        <v>14534</v>
      </c>
      <c r="G27" s="14">
        <v>292832</v>
      </c>
      <c r="H27" s="14">
        <v>324004</v>
      </c>
      <c r="I27" s="7">
        <v>28</v>
      </c>
      <c r="J27" s="14" t="s">
        <v>77</v>
      </c>
      <c r="K27" s="14" t="s">
        <v>14536</v>
      </c>
      <c r="L27" s="14" t="s">
        <v>14535</v>
      </c>
      <c r="M27" s="14" t="s">
        <v>9158</v>
      </c>
      <c r="N27" s="14" t="s">
        <v>9158</v>
      </c>
      <c r="O27" s="6" t="s">
        <v>14539</v>
      </c>
      <c r="P27" s="7" t="s">
        <v>14538</v>
      </c>
      <c r="Q27" s="7">
        <v>1</v>
      </c>
    </row>
    <row r="28" spans="1:18">
      <c r="A28" s="14" t="s">
        <v>15440</v>
      </c>
      <c r="B28" s="7" t="s">
        <v>52</v>
      </c>
      <c r="C28" s="14" t="s">
        <v>202</v>
      </c>
      <c r="D28" s="18" t="s">
        <v>15441</v>
      </c>
      <c r="E28" s="15" t="str">
        <f>HYPERLINK("https://stat100.ameba.jp/tnk47/ratio20/illustrations/card/ill_93683_0_yukemurionsenshirowainchan03.jpg?202107-5-RELEASE-marathon-541xx", "■")</f>
        <v>■</v>
      </c>
      <c r="F28" s="14" t="s">
        <v>15444</v>
      </c>
      <c r="G28" s="14">
        <v>277564</v>
      </c>
      <c r="H28" s="14">
        <v>339272</v>
      </c>
      <c r="I28" s="7">
        <v>28</v>
      </c>
      <c r="J28" s="14" t="s">
        <v>104</v>
      </c>
      <c r="K28" s="14" t="s">
        <v>15443</v>
      </c>
      <c r="L28" s="14" t="s">
        <v>15442</v>
      </c>
      <c r="M28" s="14" t="s">
        <v>9158</v>
      </c>
      <c r="N28" s="14" t="s">
        <v>9158</v>
      </c>
      <c r="O28" s="6" t="s">
        <v>15445</v>
      </c>
      <c r="P28" s="7" t="s">
        <v>15446</v>
      </c>
      <c r="Q28" s="7">
        <v>1</v>
      </c>
    </row>
    <row r="29" spans="1:18">
      <c r="A29" s="14" t="s">
        <v>15807</v>
      </c>
      <c r="B29" s="14" t="s">
        <v>52</v>
      </c>
      <c r="C29" s="14" t="s">
        <v>35</v>
      </c>
      <c r="D29" s="14" t="s">
        <v>15808</v>
      </c>
      <c r="E29" s="15" t="str">
        <f>HYPERLINK("https://stat100.ameba.jp/tnk47/ratio20/illustrations/card/ill_95013_0_shinshunnisennijuichiayakashi03.jpg?202107-5-RELEASE-marathon-541xx", "■")</f>
        <v>■</v>
      </c>
      <c r="F29" s="14" t="s">
        <v>15806</v>
      </c>
      <c r="G29" s="14">
        <v>278470</v>
      </c>
      <c r="H29" s="14">
        <v>308104</v>
      </c>
      <c r="I29" s="14">
        <v>28</v>
      </c>
      <c r="J29" s="14" t="s">
        <v>73</v>
      </c>
      <c r="K29" s="14" t="s">
        <v>15805</v>
      </c>
      <c r="L29" s="14" t="s">
        <v>15804</v>
      </c>
      <c r="M29" s="14" t="s">
        <v>9158</v>
      </c>
      <c r="N29" s="14" t="s">
        <v>9158</v>
      </c>
      <c r="O29" s="14" t="s">
        <v>15802</v>
      </c>
      <c r="P29" s="14" t="s">
        <v>15803</v>
      </c>
      <c r="Q29" s="14">
        <v>0</v>
      </c>
    </row>
    <row r="30" spans="1:18">
      <c r="A30" s="14" t="s">
        <v>13435</v>
      </c>
      <c r="B30" s="7" t="s">
        <v>52</v>
      </c>
      <c r="C30" s="14" t="s">
        <v>202</v>
      </c>
      <c r="D30" s="18" t="s">
        <v>13434</v>
      </c>
      <c r="E30" s="15" t="str">
        <f>HYPERLINK("https://stat100.ameba.jp/tnk47/ratio20/illustrations/card/ill_91073_0_mizugiaidorusarukanigassen03.jpg?202107-5-RELEASE-marathon-541xx", "■")</f>
        <v>■</v>
      </c>
      <c r="F30" s="14" t="s">
        <v>13436</v>
      </c>
      <c r="G30" s="14">
        <v>324004</v>
      </c>
      <c r="H30" s="14">
        <v>292832</v>
      </c>
      <c r="I30" s="7">
        <v>28</v>
      </c>
      <c r="J30" s="14" t="s">
        <v>38</v>
      </c>
      <c r="K30" s="14" t="s">
        <v>13437</v>
      </c>
      <c r="L30" s="14" t="s">
        <v>13438</v>
      </c>
      <c r="M30" s="14" t="s">
        <v>9158</v>
      </c>
      <c r="N30" s="14" t="s">
        <v>9158</v>
      </c>
      <c r="O30" s="6" t="s">
        <v>13439</v>
      </c>
      <c r="P30" s="7" t="s">
        <v>13440</v>
      </c>
      <c r="Q30" s="7">
        <v>1</v>
      </c>
    </row>
    <row r="31" spans="1:18">
      <c r="A31" s="14">
        <v>95253</v>
      </c>
      <c r="B31" s="14" t="s">
        <v>0</v>
      </c>
      <c r="C31" s="14" t="s">
        <v>14</v>
      </c>
      <c r="D31" s="14" t="s">
        <v>16248</v>
      </c>
      <c r="E31" s="15" t="str">
        <f>HYPERLINK("https://stat100.ameba.jp/tnk47/ratio20/illustrations/card/ill_95253_amekomifukuhime03.jpg?202107-5-RELEASE-marathon-541xx", "■")</f>
        <v>■</v>
      </c>
      <c r="F31" s="14" t="s">
        <v>16247</v>
      </c>
      <c r="G31" s="14">
        <v>105281</v>
      </c>
      <c r="H31" s="14">
        <v>113277</v>
      </c>
      <c r="I31" s="14">
        <v>29</v>
      </c>
      <c r="J31" s="14" t="s">
        <v>77</v>
      </c>
      <c r="K31" s="14" t="s">
        <v>16246</v>
      </c>
      <c r="L31" s="14" t="s">
        <v>13612</v>
      </c>
      <c r="M31" s="14" t="s">
        <v>9158</v>
      </c>
      <c r="N31" s="14" t="s">
        <v>9158</v>
      </c>
      <c r="O31" s="14" t="s">
        <v>9158</v>
      </c>
      <c r="P31" s="14" t="s">
        <v>9158</v>
      </c>
      <c r="Q31" s="14" t="s">
        <v>9158</v>
      </c>
    </row>
    <row r="32" spans="1:18">
      <c r="A32" s="14">
        <v>96423</v>
      </c>
      <c r="B32" s="14" t="s">
        <v>0</v>
      </c>
      <c r="C32" s="14" t="s">
        <v>23</v>
      </c>
      <c r="D32" s="14" t="s">
        <v>16791</v>
      </c>
      <c r="E32" s="15" t="str">
        <f>HYPERLINK("https://stat100.ameba.jp/tnk47/ratio20/illustrations/card/ill_96423_ohinasamaakibameido03.jpg?202107-5-RELEASE-marathon-541xx", "■")</f>
        <v>■</v>
      </c>
      <c r="F32" s="14" t="s">
        <v>16790</v>
      </c>
      <c r="G32" s="14">
        <v>105281</v>
      </c>
      <c r="H32" s="14">
        <v>113277</v>
      </c>
      <c r="I32" s="14">
        <v>29</v>
      </c>
      <c r="J32" s="14" t="s">
        <v>26</v>
      </c>
      <c r="K32" s="14" t="s">
        <v>16789</v>
      </c>
      <c r="L32" s="14" t="s">
        <v>16788</v>
      </c>
      <c r="M32" s="14" t="s">
        <v>9158</v>
      </c>
      <c r="N32" s="14" t="s">
        <v>9158</v>
      </c>
      <c r="O32" s="14" t="s">
        <v>9158</v>
      </c>
      <c r="P32" s="14" t="s">
        <v>9158</v>
      </c>
      <c r="Q32" s="14" t="s">
        <v>9158</v>
      </c>
    </row>
    <row r="33" spans="1:19">
      <c r="A33" s="14">
        <v>95433</v>
      </c>
      <c r="B33" s="14" t="s">
        <v>0</v>
      </c>
      <c r="C33" s="14" t="s">
        <v>101</v>
      </c>
      <c r="D33" s="14" t="s">
        <v>16035</v>
      </c>
      <c r="E33" s="15" t="str">
        <f>HYPERLINK("https://stat100.ameba.jp/tnk47/ratio20/illustrations/card/ill_95433_nonakachiyoko03.jpg?202107-5-RELEASE-marathon-541xx", "■")</f>
        <v>■</v>
      </c>
      <c r="F33" s="14" t="s">
        <v>16034</v>
      </c>
      <c r="G33" s="14">
        <v>117591</v>
      </c>
      <c r="H33" s="14">
        <v>109381</v>
      </c>
      <c r="I33" s="14">
        <v>29</v>
      </c>
      <c r="J33" s="14" t="s">
        <v>16</v>
      </c>
      <c r="K33" s="14" t="s">
        <v>3789</v>
      </c>
      <c r="L33" s="14" t="s">
        <v>15184</v>
      </c>
      <c r="M33" s="14" t="s">
        <v>9158</v>
      </c>
      <c r="N33" s="14" t="s">
        <v>9158</v>
      </c>
      <c r="O33" s="14" t="s">
        <v>9158</v>
      </c>
      <c r="P33" s="14" t="s">
        <v>9158</v>
      </c>
      <c r="Q33" s="14" t="s">
        <v>9158</v>
      </c>
    </row>
    <row r="34" spans="1:19">
      <c r="A34" s="14">
        <v>88563</v>
      </c>
      <c r="B34" s="7" t="s">
        <v>0</v>
      </c>
      <c r="C34" s="14" t="s">
        <v>165</v>
      </c>
      <c r="D34" s="18" t="s">
        <v>12108</v>
      </c>
      <c r="E34" s="15" t="str">
        <f>HYPERLINK("https://stat100.ameba.jp/tnk47/ratio20/illustrations/card/ill_88563_furawagadenrishieru03.jpg?202107-5-RELEASE-marathon-541xx", "■")</f>
        <v>■</v>
      </c>
      <c r="F34" s="14" t="s">
        <v>12141</v>
      </c>
      <c r="G34" s="14">
        <v>105281</v>
      </c>
      <c r="H34" s="14">
        <v>113277</v>
      </c>
      <c r="I34" s="14">
        <v>29</v>
      </c>
      <c r="J34" s="14" t="s">
        <v>187</v>
      </c>
      <c r="K34" s="14" t="s">
        <v>12140</v>
      </c>
      <c r="L34" s="14" t="s">
        <v>12139</v>
      </c>
      <c r="M34" s="14" t="s">
        <v>9158</v>
      </c>
      <c r="N34" s="14" t="s">
        <v>9158</v>
      </c>
      <c r="O34" s="14" t="s">
        <v>9158</v>
      </c>
      <c r="P34" s="14" t="s">
        <v>9158</v>
      </c>
      <c r="Q34" s="14" t="s">
        <v>9158</v>
      </c>
    </row>
    <row r="35" spans="1:19">
      <c r="A35" s="9">
        <v>88033</v>
      </c>
      <c r="B35" s="9" t="s">
        <v>0</v>
      </c>
      <c r="C35" s="9" t="s">
        <v>205</v>
      </c>
      <c r="D35" s="9" t="s">
        <v>11979</v>
      </c>
      <c r="E35" s="15" t="str">
        <f>HYPERLINK("https://stat100.ameba.jp/tnk47/ratio20/illustrations/card/ill_88033_meishuandorudeisu03.jpg?202107-5-RELEASE-marathon-541xx", "■")</f>
        <v>■</v>
      </c>
      <c r="F35" s="9" t="s">
        <v>11980</v>
      </c>
      <c r="G35" s="14">
        <v>105281</v>
      </c>
      <c r="H35" s="14">
        <v>113277</v>
      </c>
      <c r="I35" s="14">
        <v>29</v>
      </c>
      <c r="J35" s="9" t="s">
        <v>187</v>
      </c>
      <c r="K35" s="9" t="s">
        <v>11981</v>
      </c>
      <c r="L35" s="9" t="s">
        <v>13252</v>
      </c>
      <c r="M35" s="14" t="s">
        <v>9158</v>
      </c>
      <c r="N35" s="14" t="s">
        <v>9158</v>
      </c>
      <c r="O35" s="7" t="s">
        <v>9158</v>
      </c>
      <c r="P35" s="14" t="s">
        <v>9158</v>
      </c>
      <c r="Q35" s="14" t="s">
        <v>9158</v>
      </c>
    </row>
    <row r="36" spans="1:19">
      <c r="A36" s="9">
        <v>87843</v>
      </c>
      <c r="B36" s="9" t="s">
        <v>0</v>
      </c>
      <c r="C36" s="9" t="s">
        <v>206</v>
      </c>
      <c r="D36" s="9" t="s">
        <v>14686</v>
      </c>
      <c r="E36" s="15" t="str">
        <f>HYPERLINK("https://stat100.ameba.jp/tnk47/ratio20/illustrations/card/ill_87843_odorikobidorozaikuchan03.jpg?202107-5-RELEASE-marathon-541xx", "■")</f>
        <v>■</v>
      </c>
      <c r="F36" s="9" t="s">
        <v>11528</v>
      </c>
      <c r="G36" s="14">
        <v>113277</v>
      </c>
      <c r="H36" s="14">
        <v>105281</v>
      </c>
      <c r="I36" s="14">
        <v>29</v>
      </c>
      <c r="J36" s="9" t="s">
        <v>229</v>
      </c>
      <c r="K36" s="9" t="s">
        <v>11529</v>
      </c>
      <c r="L36" s="9" t="s">
        <v>13220</v>
      </c>
      <c r="M36" s="14" t="s">
        <v>9158</v>
      </c>
      <c r="N36" s="14" t="s">
        <v>9158</v>
      </c>
      <c r="O36" s="14" t="s">
        <v>9158</v>
      </c>
      <c r="P36" s="14" t="s">
        <v>9158</v>
      </c>
      <c r="Q36" s="14" t="s">
        <v>9158</v>
      </c>
    </row>
    <row r="38" spans="1:19">
      <c r="A38" s="14" t="s">
        <v>4012</v>
      </c>
    </row>
    <row r="39" spans="1:19">
      <c r="A39" s="14">
        <v>239241</v>
      </c>
      <c r="B39" s="14" t="s">
        <v>17304</v>
      </c>
    </row>
    <row r="40" spans="1:19">
      <c r="A40" s="9" t="s">
        <v>5843</v>
      </c>
      <c r="B40" s="14" t="s">
        <v>52</v>
      </c>
      <c r="C40" s="14" t="s">
        <v>202</v>
      </c>
      <c r="D40" s="14" t="s">
        <v>2126</v>
      </c>
      <c r="E40" s="15" t="str">
        <f>HYPERLINK("https://stat100.ameba.jp/tnk47/ratio20/illustrations/card/ill_77963_0_kurisumasudaisakusentakiyashahime03.jpg?202107-5-RELEASE-marathon-541xx", "■")</f>
        <v>■</v>
      </c>
      <c r="F40" s="14" t="s">
        <v>2127</v>
      </c>
      <c r="G40" s="14">
        <v>331590</v>
      </c>
      <c r="H40" s="14">
        <v>299687</v>
      </c>
      <c r="I40" s="14">
        <v>27</v>
      </c>
      <c r="J40" s="14" t="s">
        <v>77</v>
      </c>
      <c r="K40" s="14" t="s">
        <v>2128</v>
      </c>
      <c r="L40" s="14" t="s">
        <v>2129</v>
      </c>
      <c r="M40" s="14" t="s">
        <v>9158</v>
      </c>
      <c r="N40" s="14" t="s">
        <v>9158</v>
      </c>
      <c r="O40" s="9" t="s">
        <v>3588</v>
      </c>
      <c r="P40" s="14" t="s">
        <v>3589</v>
      </c>
      <c r="Q40" s="14">
        <v>2</v>
      </c>
    </row>
    <row r="41" spans="1:19">
      <c r="A41" s="14" t="s">
        <v>7150</v>
      </c>
      <c r="B41" s="14" t="s">
        <v>52</v>
      </c>
      <c r="C41" s="14" t="s">
        <v>202</v>
      </c>
      <c r="D41" s="20" t="s">
        <v>10656</v>
      </c>
      <c r="E41" s="15" t="str">
        <f>HYPERLINK("https://stat100.ameba.jp/tnk47/ratio20/illustrations/card/ill_84203_0_tarottofujiwaranoshoshi03.jpg?202107-5-RELEASE-marathon-541xx", "■")</f>
        <v>■</v>
      </c>
      <c r="F41" s="14" t="s">
        <v>7153</v>
      </c>
      <c r="G41" s="14">
        <v>397406</v>
      </c>
      <c r="H41" s="14">
        <v>359198</v>
      </c>
      <c r="I41" s="14">
        <v>27</v>
      </c>
      <c r="J41" s="14" t="s">
        <v>10</v>
      </c>
      <c r="K41" s="14" t="s">
        <v>7152</v>
      </c>
      <c r="L41" s="14" t="s">
        <v>7151</v>
      </c>
      <c r="M41" s="14" t="s">
        <v>9158</v>
      </c>
      <c r="N41" s="14" t="s">
        <v>9158</v>
      </c>
      <c r="O41" s="19" t="s">
        <v>10128</v>
      </c>
      <c r="P41" s="14" t="s">
        <v>7154</v>
      </c>
      <c r="Q41" s="14">
        <v>1</v>
      </c>
    </row>
    <row r="42" spans="1:19">
      <c r="A42" s="14" t="s">
        <v>5616</v>
      </c>
      <c r="B42" s="14" t="s">
        <v>52</v>
      </c>
      <c r="C42" s="14" t="s">
        <v>14</v>
      </c>
      <c r="D42" s="19" t="s">
        <v>638</v>
      </c>
      <c r="E42" s="15" t="str">
        <f>HYPERLINK("https://stat100.ameba.jp/tnk47/ratio20/illustrations/card/ill_44253_0_dokuganryudatemasamune03.jpg?202107-5-RELEASE-marathon-541xx", "■")</f>
        <v>■</v>
      </c>
      <c r="F42" s="14" t="s">
        <v>1181</v>
      </c>
      <c r="G42" s="14">
        <v>147980</v>
      </c>
      <c r="H42" s="14">
        <v>158004</v>
      </c>
      <c r="I42" s="14">
        <v>27</v>
      </c>
      <c r="J42" s="14" t="s">
        <v>143</v>
      </c>
      <c r="K42" s="14" t="s">
        <v>1182</v>
      </c>
      <c r="L42" s="14" t="s">
        <v>1183</v>
      </c>
      <c r="M42" s="14" t="s">
        <v>9158</v>
      </c>
      <c r="N42" s="14" t="s">
        <v>9158</v>
      </c>
      <c r="O42" s="14" t="s">
        <v>9158</v>
      </c>
      <c r="P42" s="14" t="s">
        <v>9158</v>
      </c>
      <c r="Q42" s="14" t="s">
        <v>9158</v>
      </c>
    </row>
    <row r="43" spans="1:19">
      <c r="A43" s="14">
        <v>96223</v>
      </c>
      <c r="B43" s="14" t="s">
        <v>334</v>
      </c>
      <c r="C43" s="14" t="s">
        <v>35</v>
      </c>
      <c r="D43" s="14" t="s">
        <v>17314</v>
      </c>
      <c r="E43" s="15" t="str">
        <f>HYPERLINK("https://stat100.ameba.jp/tnk47/ratio20/illustrations/card/ill_96223_ohinasamamatsuotaseko03.jpg?202107-5-RELEASE-marathon-541xx", "■")</f>
        <v>■</v>
      </c>
      <c r="F43" s="14" t="s">
        <v>17313</v>
      </c>
      <c r="G43" s="14">
        <v>167738</v>
      </c>
      <c r="H43" s="14">
        <v>180409</v>
      </c>
      <c r="I43" s="7">
        <v>29</v>
      </c>
      <c r="J43" s="14" t="s">
        <v>143</v>
      </c>
      <c r="K43" s="14" t="s">
        <v>17312</v>
      </c>
      <c r="L43" s="14" t="s">
        <v>12026</v>
      </c>
      <c r="M43" s="14" t="s">
        <v>9158</v>
      </c>
      <c r="N43" s="14" t="s">
        <v>9158</v>
      </c>
      <c r="O43" s="14" t="s">
        <v>9158</v>
      </c>
      <c r="P43" s="14" t="s">
        <v>9158</v>
      </c>
      <c r="Q43" s="14" t="s">
        <v>9158</v>
      </c>
      <c r="S43" s="14" t="s">
        <v>17321</v>
      </c>
    </row>
    <row r="44" spans="1:19">
      <c r="A44" s="14">
        <v>94413</v>
      </c>
      <c r="B44" s="14" t="s">
        <v>334</v>
      </c>
      <c r="C44" s="14" t="s">
        <v>47</v>
      </c>
      <c r="D44" s="14" t="s">
        <v>17317</v>
      </c>
      <c r="E44" s="15" t="str">
        <f>HYPERLINK("https://stat100.ameba.jp/tnk47/ratio20/illustrations/card/ill_94413_yomaanku03.jpg?202107-5-RELEASE-marathon-541xx", "■")</f>
        <v>■</v>
      </c>
      <c r="F44" s="14" t="s">
        <v>17316</v>
      </c>
      <c r="G44" s="14">
        <v>136953</v>
      </c>
      <c r="H44" s="14">
        <v>127350</v>
      </c>
      <c r="I44" s="7">
        <v>29</v>
      </c>
      <c r="J44" s="14" t="s">
        <v>73</v>
      </c>
      <c r="K44" s="14" t="s">
        <v>17315</v>
      </c>
      <c r="L44" s="14" t="s">
        <v>16347</v>
      </c>
      <c r="M44" s="14" t="s">
        <v>9158</v>
      </c>
      <c r="N44" s="14" t="s">
        <v>9158</v>
      </c>
      <c r="O44" s="14" t="s">
        <v>9158</v>
      </c>
      <c r="P44" s="14" t="s">
        <v>9158</v>
      </c>
      <c r="Q44" s="14" t="s">
        <v>9158</v>
      </c>
      <c r="S44" s="14" t="s">
        <v>17322</v>
      </c>
    </row>
    <row r="45" spans="1:19">
      <c r="A45" s="14">
        <v>96013</v>
      </c>
      <c r="B45" s="9" t="s">
        <v>0</v>
      </c>
      <c r="C45" s="14" t="s">
        <v>41</v>
      </c>
      <c r="D45" s="14" t="s">
        <v>17320</v>
      </c>
      <c r="E45" s="15" t="str">
        <f>HYPERLINK("https://stat100.ameba.jp/tnk47/ratio20/illustrations/card/ill_96013_shinsengumimakami03.jpg?202107-5-RELEASE-marathon-541xx", "■")</f>
        <v>■</v>
      </c>
      <c r="F45" s="14" t="s">
        <v>17319</v>
      </c>
      <c r="G45" s="14">
        <v>105281</v>
      </c>
      <c r="H45" s="14">
        <v>113277</v>
      </c>
      <c r="I45" s="7">
        <v>29</v>
      </c>
      <c r="J45" s="14" t="s">
        <v>44</v>
      </c>
      <c r="K45" s="14" t="s">
        <v>17318</v>
      </c>
      <c r="L45" s="14" t="s">
        <v>12599</v>
      </c>
      <c r="M45" s="14" t="s">
        <v>9158</v>
      </c>
      <c r="N45" s="14" t="s">
        <v>9158</v>
      </c>
      <c r="O45" s="14" t="s">
        <v>9158</v>
      </c>
      <c r="P45" s="14" t="s">
        <v>9158</v>
      </c>
      <c r="Q45" s="14" t="s">
        <v>9158</v>
      </c>
      <c r="S45" s="14" t="s">
        <v>17323</v>
      </c>
    </row>
    <row r="46" spans="1:19">
      <c r="A46" s="14">
        <v>86133</v>
      </c>
      <c r="B46" s="9" t="s">
        <v>15</v>
      </c>
      <c r="C46" s="14" t="s">
        <v>107</v>
      </c>
      <c r="D46" s="14" t="s">
        <v>17121</v>
      </c>
      <c r="E46" s="15" t="str">
        <f>HYPERLINK("https://stat100.ameba.jp/tnk47/ratio20/illustrations/card/ill_86133_gantankusumototakako03.jpg?202107-5-RELEASE-marathon-541xx", "■")</f>
        <v>■</v>
      </c>
      <c r="F46" s="14" t="s">
        <v>17120</v>
      </c>
      <c r="G46" s="14">
        <v>72586</v>
      </c>
      <c r="H46" s="14">
        <v>80028</v>
      </c>
      <c r="I46" s="14">
        <v>27</v>
      </c>
      <c r="J46" s="14" t="s">
        <v>16</v>
      </c>
      <c r="K46" s="14" t="s">
        <v>17119</v>
      </c>
      <c r="L46" s="14" t="s">
        <v>3436</v>
      </c>
      <c r="M46" s="14" t="s">
        <v>9158</v>
      </c>
      <c r="N46" s="14" t="s">
        <v>9158</v>
      </c>
      <c r="O46" s="14" t="s">
        <v>9158</v>
      </c>
      <c r="P46" s="14" t="s">
        <v>9158</v>
      </c>
      <c r="Q46" s="14" t="s">
        <v>9158</v>
      </c>
      <c r="S46" s="14" t="s">
        <v>16230</v>
      </c>
    </row>
    <row r="47" spans="1:19">
      <c r="A47" s="14">
        <v>82823</v>
      </c>
      <c r="B47" s="9" t="s">
        <v>15</v>
      </c>
      <c r="C47" s="14" t="s">
        <v>23</v>
      </c>
      <c r="D47" s="14" t="s">
        <v>17124</v>
      </c>
      <c r="E47" s="15" t="str">
        <f>HYPERLINK("https://stat100.ameba.jp/tnk47/ratio20/illustrations/card/ill_82823_ryoranyukizukainarinobyakko03.jpg?202107-5-RELEASE-marathon-541xx", "■")</f>
        <v>■</v>
      </c>
      <c r="F47" s="14" t="s">
        <v>17123</v>
      </c>
      <c r="G47" s="14">
        <v>80028</v>
      </c>
      <c r="H47" s="14">
        <v>72586</v>
      </c>
      <c r="I47" s="14">
        <v>27</v>
      </c>
      <c r="J47" s="14" t="s">
        <v>73</v>
      </c>
      <c r="K47" s="14" t="s">
        <v>17122</v>
      </c>
      <c r="L47" s="14" t="s">
        <v>4649</v>
      </c>
      <c r="M47" s="14" t="s">
        <v>9158</v>
      </c>
      <c r="N47" s="14" t="s">
        <v>9158</v>
      </c>
      <c r="O47" s="14" t="s">
        <v>9158</v>
      </c>
      <c r="P47" s="14" t="s">
        <v>9158</v>
      </c>
      <c r="Q47" s="14" t="s">
        <v>9158</v>
      </c>
      <c r="S47" s="14" t="s">
        <v>17129</v>
      </c>
    </row>
    <row r="48" spans="1:19">
      <c r="A48" s="14">
        <v>82283</v>
      </c>
      <c r="B48" s="9" t="s">
        <v>15</v>
      </c>
      <c r="C48" s="14" t="s">
        <v>1</v>
      </c>
      <c r="D48" s="14" t="s">
        <v>17127</v>
      </c>
      <c r="E48" s="15" t="str">
        <f>HYPERLINK("https://stat100.ameba.jp/tnk47/ratio20/illustrations/card/ill_82283_uranaishioribuchan03.jpg?202107-5-RELEASE-marathon-541xx", "■")</f>
        <v>■</v>
      </c>
      <c r="F48" s="14" t="s">
        <v>17126</v>
      </c>
      <c r="G48" s="14">
        <v>72586</v>
      </c>
      <c r="H48" s="14">
        <v>80028</v>
      </c>
      <c r="I48" s="14">
        <v>27</v>
      </c>
      <c r="J48" s="14" t="s">
        <v>104</v>
      </c>
      <c r="K48" s="14" t="s">
        <v>17125</v>
      </c>
      <c r="L48" s="14" t="s">
        <v>5225</v>
      </c>
      <c r="M48" s="14" t="s">
        <v>9158</v>
      </c>
      <c r="N48" s="14" t="s">
        <v>9158</v>
      </c>
      <c r="O48" s="14" t="s">
        <v>9158</v>
      </c>
      <c r="P48" s="14" t="s">
        <v>9158</v>
      </c>
      <c r="Q48" s="14" t="s">
        <v>9158</v>
      </c>
      <c r="S48" s="14" t="s">
        <v>17130</v>
      </c>
    </row>
    <row r="50" spans="1:18">
      <c r="A50" s="14" t="s">
        <v>4065</v>
      </c>
    </row>
    <row r="51" spans="1:18">
      <c r="A51" s="14">
        <v>109789</v>
      </c>
      <c r="B51" s="14" t="s">
        <v>5444</v>
      </c>
    </row>
    <row r="52" spans="1:18">
      <c r="A52" s="14" t="s">
        <v>12012</v>
      </c>
      <c r="B52" s="7" t="s">
        <v>52</v>
      </c>
      <c r="C52" s="14" t="s">
        <v>202</v>
      </c>
      <c r="D52" s="18" t="s">
        <v>12013</v>
      </c>
      <c r="E52" s="15" t="str">
        <f>HYPERLINK("https://stat100.ameba.jp/tnk47/ratio20/illustrations/card/ill_88363_0_hanamijingukogo03.jpg?202107-5-RELEASE-marathon-541xx", "■")</f>
        <v>■</v>
      </c>
      <c r="F52" s="14" t="s">
        <v>12014</v>
      </c>
      <c r="G52" s="14">
        <v>340784</v>
      </c>
      <c r="H52" s="14">
        <v>307998</v>
      </c>
      <c r="I52" s="7">
        <v>28</v>
      </c>
      <c r="J52" s="14" t="s">
        <v>10</v>
      </c>
      <c r="K52" s="14" t="s">
        <v>12015</v>
      </c>
      <c r="L52" s="14" t="s">
        <v>12016</v>
      </c>
      <c r="M52" s="14" t="s">
        <v>9158</v>
      </c>
      <c r="N52" s="14" t="s">
        <v>9158</v>
      </c>
      <c r="O52" s="6" t="s">
        <v>12017</v>
      </c>
      <c r="P52" s="7" t="s">
        <v>12018</v>
      </c>
      <c r="Q52" s="7">
        <v>1</v>
      </c>
    </row>
    <row r="53" spans="1:18">
      <c r="A53" s="14">
        <v>94233</v>
      </c>
      <c r="B53" s="14" t="s">
        <v>0</v>
      </c>
      <c r="C53" s="14" t="s">
        <v>14</v>
      </c>
      <c r="D53" s="18" t="s">
        <v>15838</v>
      </c>
      <c r="E53" s="15" t="str">
        <f>HYPERLINK("https://stat100.ameba.jp/tnk47/ratio20/illustrations/card/ill_94233_kurisumasupurezentoyukiusagichan03.jpg?202107-5-RELEASE-marathon-541xx", "■")</f>
        <v>■</v>
      </c>
      <c r="F53" s="14" t="s">
        <v>15837</v>
      </c>
      <c r="G53" s="14">
        <v>123002</v>
      </c>
      <c r="H53" s="14">
        <v>114362</v>
      </c>
      <c r="I53" s="14">
        <v>27</v>
      </c>
      <c r="J53" s="14" t="s">
        <v>26</v>
      </c>
      <c r="K53" s="14" t="s">
        <v>15836</v>
      </c>
      <c r="L53" s="14" t="s">
        <v>15835</v>
      </c>
      <c r="M53" s="14" t="s">
        <v>9158</v>
      </c>
      <c r="N53" s="14" t="s">
        <v>9158</v>
      </c>
      <c r="O53" s="6" t="s">
        <v>10025</v>
      </c>
      <c r="P53" s="7" t="s">
        <v>3701</v>
      </c>
      <c r="Q53" s="7">
        <v>1</v>
      </c>
    </row>
    <row r="54" spans="1:18">
      <c r="A54" s="14">
        <v>74553</v>
      </c>
      <c r="B54" s="14" t="s">
        <v>0</v>
      </c>
      <c r="C54" s="14" t="s">
        <v>107</v>
      </c>
      <c r="D54" s="19" t="s">
        <v>10389</v>
      </c>
      <c r="E54" s="15" t="str">
        <f>HYPERLINK("https://stat100.ameba.jp/tnk47/ratio20/illustrations/card/ill_74553_natsuyuenchikusumotoine03.jpg?202107-5-RELEASE-marathon-541xx", "■")</f>
        <v>■</v>
      </c>
      <c r="F54" s="14" t="s">
        <v>4109</v>
      </c>
      <c r="G54" s="14">
        <v>109481</v>
      </c>
      <c r="H54" s="14">
        <v>101837</v>
      </c>
      <c r="I54" s="14">
        <v>27</v>
      </c>
      <c r="J54" s="14" t="s">
        <v>16</v>
      </c>
      <c r="K54" s="14" t="s">
        <v>4110</v>
      </c>
      <c r="L54" s="14" t="s">
        <v>1149</v>
      </c>
      <c r="M54" s="14" t="s">
        <v>9158</v>
      </c>
      <c r="N54" s="14" t="s">
        <v>9158</v>
      </c>
      <c r="O54" s="19" t="s">
        <v>10090</v>
      </c>
      <c r="P54" s="14" t="s">
        <v>3460</v>
      </c>
      <c r="Q54" s="14">
        <v>1</v>
      </c>
    </row>
    <row r="55" spans="1:18">
      <c r="A55" s="14">
        <v>63853</v>
      </c>
      <c r="B55" s="14" t="s">
        <v>334</v>
      </c>
      <c r="C55" s="14" t="s">
        <v>200</v>
      </c>
      <c r="D55" s="20" t="s">
        <v>10284</v>
      </c>
      <c r="E55" s="15" t="str">
        <f>HYPERLINK("https://stat100.ameba.jp/tnk47/ratio20/illustrations/card/ill_63853_daikokaijidainansosatomihakkenden03.jpg?202107-5-RELEASE-marathon-541xx", "■")</f>
        <v>■</v>
      </c>
      <c r="F55" s="14" t="s">
        <v>941</v>
      </c>
      <c r="G55" s="14">
        <v>114362</v>
      </c>
      <c r="H55" s="14">
        <v>123220</v>
      </c>
      <c r="I55" s="14">
        <v>27</v>
      </c>
      <c r="J55" s="14" t="s">
        <v>155</v>
      </c>
      <c r="K55" s="14" t="s">
        <v>942</v>
      </c>
      <c r="L55" s="14" t="s">
        <v>13149</v>
      </c>
      <c r="M55" s="14" t="s">
        <v>9158</v>
      </c>
      <c r="N55" s="14" t="s">
        <v>9158</v>
      </c>
      <c r="O55" s="19" t="s">
        <v>10121</v>
      </c>
      <c r="P55" s="14" t="s">
        <v>3330</v>
      </c>
      <c r="Q55" s="14">
        <v>1</v>
      </c>
    </row>
    <row r="57" spans="1:18">
      <c r="A57" s="14" t="s">
        <v>13327</v>
      </c>
    </row>
    <row r="58" spans="1:18">
      <c r="A58" s="14">
        <v>109794</v>
      </c>
      <c r="B58" s="14" t="s">
        <v>5446</v>
      </c>
    </row>
    <row r="59" spans="1:18">
      <c r="A59" s="14">
        <v>99513</v>
      </c>
      <c r="B59" s="14" t="s">
        <v>334</v>
      </c>
      <c r="C59" s="14" t="s">
        <v>14</v>
      </c>
      <c r="D59" s="14" t="s">
        <v>17094</v>
      </c>
      <c r="E59" s="15" t="str">
        <f>HYPERLINK("https://stat100.ameba.jp/tnk47/ratio20/illustrations/card/ill_99513_aberute03.jpg?202107-5-RELEASE-marathon-541xx", "■")</f>
        <v>■</v>
      </c>
      <c r="F59" s="14" t="s">
        <v>17093</v>
      </c>
      <c r="G59" s="14">
        <v>132737</v>
      </c>
      <c r="H59" s="14">
        <v>142768</v>
      </c>
      <c r="I59" s="14">
        <v>29</v>
      </c>
      <c r="J59" s="14" t="s">
        <v>26</v>
      </c>
      <c r="K59" s="14" t="s">
        <v>17092</v>
      </c>
      <c r="L59" s="14" t="s">
        <v>17091</v>
      </c>
      <c r="M59" s="14" t="s">
        <v>2138</v>
      </c>
      <c r="N59" s="14" t="s">
        <v>2139</v>
      </c>
      <c r="O59" s="14" t="s">
        <v>9158</v>
      </c>
      <c r="P59" s="14" t="s">
        <v>9158</v>
      </c>
      <c r="Q59" s="14" t="s">
        <v>9158</v>
      </c>
      <c r="R59" s="14" t="s">
        <v>14748</v>
      </c>
    </row>
    <row r="60" spans="1:18">
      <c r="A60" s="14">
        <v>99512</v>
      </c>
      <c r="B60" s="14" t="s">
        <v>334</v>
      </c>
      <c r="C60" s="14" t="s">
        <v>14</v>
      </c>
      <c r="D60" s="14" t="s">
        <v>17094</v>
      </c>
      <c r="E60" s="15" t="str">
        <f>HYPERLINK("https://stat100.ameba.jp/tnk47/ratio20/illustrations/card/ill_99512_aberute02.jpg?202107-5-RELEASE-marathon-541xx", "■")</f>
        <v>■</v>
      </c>
      <c r="F60" s="14" t="s">
        <v>17093</v>
      </c>
      <c r="G60" s="14">
        <v>109938</v>
      </c>
      <c r="H60" s="14">
        <v>119345</v>
      </c>
      <c r="I60" s="14">
        <v>29</v>
      </c>
      <c r="J60" s="14" t="s">
        <v>26</v>
      </c>
      <c r="K60" s="14" t="s">
        <v>17092</v>
      </c>
      <c r="L60" s="14" t="s">
        <v>17095</v>
      </c>
      <c r="M60" s="14" t="s">
        <v>13270</v>
      </c>
      <c r="N60" s="14" t="s">
        <v>13271</v>
      </c>
      <c r="O60" s="14" t="s">
        <v>9158</v>
      </c>
      <c r="P60" s="14" t="s">
        <v>9158</v>
      </c>
      <c r="Q60" s="14" t="s">
        <v>9158</v>
      </c>
      <c r="R60" s="14" t="s">
        <v>14748</v>
      </c>
    </row>
    <row r="61" spans="1:18">
      <c r="A61" s="14">
        <v>99511</v>
      </c>
      <c r="B61" s="14" t="s">
        <v>334</v>
      </c>
      <c r="C61" s="14" t="s">
        <v>14</v>
      </c>
      <c r="D61" s="14" t="s">
        <v>17094</v>
      </c>
      <c r="E61" s="15" t="str">
        <f>HYPERLINK("https://stat100.ameba.jp/tnk47/ratio20/illustrations/card/ill_99511_aberute01.jpg?202107-5-RELEASE-marathon-541xx", "■")</f>
        <v>■</v>
      </c>
      <c r="F61" s="14" t="s">
        <v>17093</v>
      </c>
      <c r="G61" s="14">
        <v>84825</v>
      </c>
      <c r="H61" s="14">
        <v>91118</v>
      </c>
      <c r="I61" s="14">
        <v>29</v>
      </c>
      <c r="J61" s="14" t="s">
        <v>26</v>
      </c>
      <c r="K61" s="14" t="s">
        <v>17092</v>
      </c>
      <c r="L61" s="14" t="s">
        <v>17096</v>
      </c>
      <c r="M61" s="14" t="s">
        <v>13270</v>
      </c>
      <c r="N61" s="14" t="s">
        <v>13271</v>
      </c>
      <c r="O61" s="14" t="s">
        <v>9158</v>
      </c>
      <c r="P61" s="14" t="s">
        <v>9158</v>
      </c>
      <c r="Q61" s="14" t="s">
        <v>9158</v>
      </c>
      <c r="R61" s="14" t="s">
        <v>14748</v>
      </c>
    </row>
    <row r="62" spans="1:18">
      <c r="A62" s="14">
        <v>99523</v>
      </c>
      <c r="B62" s="14" t="s">
        <v>334</v>
      </c>
      <c r="C62" s="14" t="s">
        <v>23</v>
      </c>
      <c r="D62" s="14" t="s">
        <v>17100</v>
      </c>
      <c r="E62" s="15" t="str">
        <f>HYPERLINK("https://stat100.ameba.jp/tnk47/ratio20/illustrations/card/ill_99523_arukumasshu03.jpg?202107-5-RELEASE-marathon-541xx", "■")</f>
        <v>■</v>
      </c>
      <c r="F62" s="14" t="s">
        <v>17099</v>
      </c>
      <c r="G62" s="14">
        <v>132737</v>
      </c>
      <c r="H62" s="14">
        <v>142768</v>
      </c>
      <c r="I62" s="14">
        <v>29</v>
      </c>
      <c r="J62" s="14" t="s">
        <v>104</v>
      </c>
      <c r="K62" s="14" t="s">
        <v>17098</v>
      </c>
      <c r="L62" s="14" t="s">
        <v>17097</v>
      </c>
      <c r="M62" s="14" t="s">
        <v>2138</v>
      </c>
      <c r="N62" s="14" t="s">
        <v>2139</v>
      </c>
      <c r="O62" s="14" t="s">
        <v>9158</v>
      </c>
      <c r="P62" s="14" t="s">
        <v>9158</v>
      </c>
      <c r="Q62" s="14" t="s">
        <v>9158</v>
      </c>
      <c r="R62" s="14" t="s">
        <v>14748</v>
      </c>
    </row>
    <row r="63" spans="1:18">
      <c r="A63" s="14">
        <v>99533</v>
      </c>
      <c r="B63" s="14" t="s">
        <v>334</v>
      </c>
      <c r="C63" s="14" t="s">
        <v>101</v>
      </c>
      <c r="D63" s="14" t="s">
        <v>17104</v>
      </c>
      <c r="E63" s="15" t="str">
        <f>HYPERLINK("https://stat100.ameba.jp/tnk47/ratio20/illustrations/card/ill_99533_zahhaku03.jpg?202107-5-RELEASE-marathon-541xx", "■")</f>
        <v>■</v>
      </c>
      <c r="F63" s="14" t="s">
        <v>17103</v>
      </c>
      <c r="G63" s="14">
        <v>142768</v>
      </c>
      <c r="H63" s="14">
        <v>132737</v>
      </c>
      <c r="I63" s="14">
        <v>29</v>
      </c>
      <c r="J63" s="14" t="s">
        <v>73</v>
      </c>
      <c r="K63" s="14" t="s">
        <v>17102</v>
      </c>
      <c r="L63" s="14" t="s">
        <v>17101</v>
      </c>
      <c r="M63" s="14" t="s">
        <v>2138</v>
      </c>
      <c r="N63" s="14" t="s">
        <v>2139</v>
      </c>
      <c r="O63" s="14" t="s">
        <v>9158</v>
      </c>
      <c r="P63" s="14" t="s">
        <v>9158</v>
      </c>
      <c r="Q63" s="14" t="s">
        <v>9158</v>
      </c>
      <c r="R63" s="14" t="s">
        <v>14748</v>
      </c>
    </row>
    <row r="64" spans="1:18">
      <c r="A64" s="14">
        <v>99543</v>
      </c>
      <c r="B64" s="14" t="s">
        <v>334</v>
      </c>
      <c r="C64" s="14" t="s">
        <v>96</v>
      </c>
      <c r="D64" s="14" t="s">
        <v>17108</v>
      </c>
      <c r="E64" s="15" t="str">
        <f>HYPERLINK("https://stat100.ameba.jp/tnk47/ratio20/illustrations/card/ill_99543_bega03.jpg?202107-5-RELEASE-marathon-541xx", "■")</f>
        <v>■</v>
      </c>
      <c r="F64" s="14" t="s">
        <v>17107</v>
      </c>
      <c r="G64" s="14">
        <v>142768</v>
      </c>
      <c r="H64" s="14">
        <v>132737</v>
      </c>
      <c r="I64" s="14">
        <v>29</v>
      </c>
      <c r="J64" s="14" t="s">
        <v>44</v>
      </c>
      <c r="K64" s="14" t="s">
        <v>17106</v>
      </c>
      <c r="L64" s="14" t="s">
        <v>17105</v>
      </c>
      <c r="M64" s="14" t="s">
        <v>2138</v>
      </c>
      <c r="N64" s="14" t="s">
        <v>2139</v>
      </c>
      <c r="O64" s="14" t="s">
        <v>9158</v>
      </c>
      <c r="P64" s="14" t="s">
        <v>9158</v>
      </c>
      <c r="Q64" s="14" t="s">
        <v>9158</v>
      </c>
      <c r="R64" s="14" t="s">
        <v>14748</v>
      </c>
    </row>
    <row r="65" spans="1:18">
      <c r="A65" s="14">
        <v>99553</v>
      </c>
      <c r="B65" s="14" t="s">
        <v>334</v>
      </c>
      <c r="C65" s="14" t="s">
        <v>1</v>
      </c>
      <c r="D65" s="14" t="s">
        <v>17112</v>
      </c>
      <c r="E65" s="15" t="str">
        <f>HYPERLINK("https://stat100.ameba.jp/tnk47/ratio20/illustrations/card/ill_99553_shupigeru03.jpg?202107-5-RELEASE-marathon-541xx", "■")</f>
        <v>■</v>
      </c>
      <c r="F65" s="14" t="s">
        <v>17111</v>
      </c>
      <c r="G65" s="14">
        <v>142768</v>
      </c>
      <c r="H65" s="14">
        <v>132737</v>
      </c>
      <c r="I65" s="14">
        <v>29</v>
      </c>
      <c r="J65" s="14" t="s">
        <v>77</v>
      </c>
      <c r="K65" s="14" t="s">
        <v>17110</v>
      </c>
      <c r="L65" s="14" t="s">
        <v>17109</v>
      </c>
      <c r="M65" s="14" t="s">
        <v>2138</v>
      </c>
      <c r="N65" s="14" t="s">
        <v>2139</v>
      </c>
      <c r="O65" s="14" t="s">
        <v>9158</v>
      </c>
      <c r="P65" s="14" t="s">
        <v>9158</v>
      </c>
      <c r="Q65" s="14" t="s">
        <v>9158</v>
      </c>
      <c r="R65" s="14" t="s">
        <v>14748</v>
      </c>
    </row>
    <row r="66" spans="1:18">
      <c r="A66" s="14">
        <v>99563</v>
      </c>
      <c r="B66" s="14" t="s">
        <v>334</v>
      </c>
      <c r="C66" s="14" t="s">
        <v>107</v>
      </c>
      <c r="D66" s="14" t="s">
        <v>17116</v>
      </c>
      <c r="E66" s="15" t="str">
        <f>HYPERLINK("https://stat100.ameba.jp/tnk47/ratio20/illustrations/card/ill_99563_senkinokishiryunnu03.jpg?202107-5-RELEASE-marathon-541xx", "■")</f>
        <v>■</v>
      </c>
      <c r="F66" s="14" t="s">
        <v>17115</v>
      </c>
      <c r="G66" s="14">
        <v>132737</v>
      </c>
      <c r="H66" s="14">
        <v>142768</v>
      </c>
      <c r="I66" s="14">
        <v>29</v>
      </c>
      <c r="J66" s="14" t="s">
        <v>143</v>
      </c>
      <c r="K66" s="14" t="s">
        <v>17114</v>
      </c>
      <c r="L66" s="14" t="s">
        <v>17113</v>
      </c>
      <c r="M66" s="14" t="s">
        <v>2138</v>
      </c>
      <c r="N66" s="14" t="s">
        <v>2139</v>
      </c>
      <c r="O66" s="14" t="s">
        <v>9158</v>
      </c>
      <c r="P66" s="14" t="s">
        <v>9158</v>
      </c>
      <c r="Q66" s="14" t="s">
        <v>9158</v>
      </c>
      <c r="R66" s="14" t="s">
        <v>14748</v>
      </c>
    </row>
    <row r="68" spans="1:18">
      <c r="A68" s="14" t="s">
        <v>17638</v>
      </c>
    </row>
    <row r="69" spans="1:18">
      <c r="A69" s="14">
        <v>239261</v>
      </c>
      <c r="B69" s="14" t="s">
        <v>5448</v>
      </c>
    </row>
    <row r="70" spans="1:18">
      <c r="A70" s="14">
        <v>239267</v>
      </c>
      <c r="B70" s="14" t="s">
        <v>7664</v>
      </c>
    </row>
    <row r="71" spans="1:18">
      <c r="A71" s="14" t="s">
        <v>17272</v>
      </c>
      <c r="B71" s="7" t="s">
        <v>52</v>
      </c>
      <c r="C71" s="14" t="s">
        <v>202</v>
      </c>
      <c r="D71" s="18" t="s">
        <v>17271</v>
      </c>
      <c r="E71" s="15" t="str">
        <f>HYPERLINK("https://stat100.ameba.jp/tnk47/ratio20/illustrations/card/ill_99033_0_uminoiehangakugozen03.jpg?202107-5-RELEASE-marathon-541xx", "■")</f>
        <v>■</v>
      </c>
      <c r="F71" s="14" t="s">
        <v>17270</v>
      </c>
      <c r="G71" s="14">
        <v>266496</v>
      </c>
      <c r="H71" s="14">
        <v>325712</v>
      </c>
      <c r="I71" s="7">
        <v>29</v>
      </c>
      <c r="J71" s="14" t="s">
        <v>143</v>
      </c>
      <c r="K71" s="14" t="s">
        <v>17269</v>
      </c>
      <c r="L71" s="14" t="s">
        <v>17268</v>
      </c>
      <c r="M71" s="14" t="s">
        <v>9158</v>
      </c>
      <c r="N71" s="14" t="s">
        <v>9158</v>
      </c>
      <c r="O71" s="7" t="s">
        <v>17267</v>
      </c>
      <c r="P71" s="7" t="s">
        <v>17266</v>
      </c>
      <c r="Q71" s="7">
        <v>1</v>
      </c>
    </row>
    <row r="72" spans="1:18">
      <c r="A72" s="14">
        <v>99093</v>
      </c>
      <c r="B72" s="14" t="s">
        <v>0</v>
      </c>
      <c r="C72" s="14" t="s">
        <v>1</v>
      </c>
      <c r="D72" s="14" t="s">
        <v>17641</v>
      </c>
      <c r="E72" s="15" t="str">
        <f>HYPERLINK("https://stat100.ameba.jp/tnk47/ratio20/illustrations/card/ill_99093_uminokyujotaiizumonokuni03.jpg?202107-5-RELEASE-marathon-541xx", "■")</f>
        <v>■</v>
      </c>
      <c r="F72" s="14" t="s">
        <v>17640</v>
      </c>
      <c r="G72" s="14">
        <v>160296</v>
      </c>
      <c r="H72" s="14">
        <v>172397</v>
      </c>
      <c r="I72" s="7">
        <v>29</v>
      </c>
      <c r="J72" s="14" t="s">
        <v>10</v>
      </c>
      <c r="K72" s="14" t="s">
        <v>17639</v>
      </c>
      <c r="L72" s="14" t="s">
        <v>14369</v>
      </c>
      <c r="M72" s="14" t="s">
        <v>9158</v>
      </c>
      <c r="N72" s="14" t="s">
        <v>9158</v>
      </c>
      <c r="O72" s="14" t="s">
        <v>9158</v>
      </c>
      <c r="P72" s="14" t="s">
        <v>9158</v>
      </c>
      <c r="Q72" s="14" t="s">
        <v>9158</v>
      </c>
    </row>
    <row r="73" spans="1:18">
      <c r="A73" s="14">
        <v>99103</v>
      </c>
      <c r="B73" s="14" t="s">
        <v>15</v>
      </c>
      <c r="C73" s="14" t="s">
        <v>96</v>
      </c>
      <c r="D73" s="14" t="s">
        <v>17644</v>
      </c>
      <c r="E73" s="15" t="str">
        <f>HYPERLINK("https://stat100.ameba.jp/tnk47/ratio20/illustrations/card/ill_99103_umibirakikukiyoshitaka03.jpg?202107-5-RELEASE-marathon-541xx", "■")</f>
        <v>■</v>
      </c>
      <c r="F73" s="14" t="s">
        <v>17643</v>
      </c>
      <c r="G73" s="14">
        <v>85956</v>
      </c>
      <c r="H73" s="14">
        <v>77962</v>
      </c>
      <c r="I73" s="7">
        <v>29</v>
      </c>
      <c r="J73" s="14" t="s">
        <v>143</v>
      </c>
      <c r="K73" s="14" t="s">
        <v>17642</v>
      </c>
      <c r="L73" s="14" t="s">
        <v>3524</v>
      </c>
      <c r="M73" s="14" t="s">
        <v>9158</v>
      </c>
      <c r="N73" s="14" t="s">
        <v>9158</v>
      </c>
      <c r="O73" s="14" t="s">
        <v>9158</v>
      </c>
      <c r="P73" s="14" t="s">
        <v>9158</v>
      </c>
      <c r="Q73" s="14" t="s">
        <v>9158</v>
      </c>
    </row>
    <row r="74" spans="1:18">
      <c r="A74" s="14">
        <v>99113</v>
      </c>
      <c r="B74" s="14" t="s">
        <v>22</v>
      </c>
      <c r="C74" s="14" t="s">
        <v>107</v>
      </c>
      <c r="D74" s="14" t="s">
        <v>17647</v>
      </c>
      <c r="E74" s="15" t="str">
        <f>HYPERLINK("https://stat100.ameba.jp/tnk47/ratio20/illustrations/card/ill_99113_mangosofutochan03.jpg?202107-5-RELEASE-marathon-541xx", "■")</f>
        <v>■</v>
      </c>
      <c r="F74" s="14" t="s">
        <v>17646</v>
      </c>
      <c r="G74" s="14">
        <v>50134</v>
      </c>
      <c r="H74" s="14">
        <v>60296</v>
      </c>
      <c r="I74" s="7">
        <v>29</v>
      </c>
      <c r="J74" s="14" t="s">
        <v>104</v>
      </c>
      <c r="K74" s="14" t="s">
        <v>17645</v>
      </c>
      <c r="L74" s="14" t="s">
        <v>3839</v>
      </c>
      <c r="M74" s="14" t="s">
        <v>9158</v>
      </c>
      <c r="N74" s="14" t="s">
        <v>9158</v>
      </c>
      <c r="O74" s="14" t="s">
        <v>9158</v>
      </c>
      <c r="P74" s="14" t="s">
        <v>9158</v>
      </c>
      <c r="Q74" s="14" t="s">
        <v>9158</v>
      </c>
    </row>
    <row r="75" spans="1:18">
      <c r="A75" s="14">
        <v>99123</v>
      </c>
      <c r="B75" s="14" t="s">
        <v>22</v>
      </c>
      <c r="C75" s="14" t="s">
        <v>14</v>
      </c>
      <c r="D75" s="14" t="s">
        <v>17650</v>
      </c>
      <c r="E75" s="15" t="str">
        <f>HYPERLINK("https://stat100.ameba.jp/tnk47/ratio20/illustrations/card/ill_99123_u03.jpg?202107-5-RELEASE-marathon-541xx", "■")</f>
        <v>■</v>
      </c>
      <c r="F75" s="14" t="s">
        <v>17649</v>
      </c>
      <c r="G75" s="14">
        <v>60296</v>
      </c>
      <c r="H75" s="14">
        <v>50134</v>
      </c>
      <c r="I75" s="7">
        <v>29</v>
      </c>
      <c r="J75" s="14" t="s">
        <v>44</v>
      </c>
      <c r="K75" s="14" t="s">
        <v>17648</v>
      </c>
      <c r="L75" s="14" t="s">
        <v>4956</v>
      </c>
      <c r="M75" s="14" t="s">
        <v>9158</v>
      </c>
      <c r="N75" s="14" t="s">
        <v>9158</v>
      </c>
      <c r="O75" s="14" t="s">
        <v>9158</v>
      </c>
      <c r="P75" s="14" t="s">
        <v>9158</v>
      </c>
      <c r="Q75" s="14" t="s">
        <v>9158</v>
      </c>
    </row>
    <row r="77" spans="1:18">
      <c r="A77" s="14" t="s">
        <v>3844</v>
      </c>
    </row>
    <row r="78" spans="1:18">
      <c r="A78" s="14">
        <v>109813</v>
      </c>
      <c r="B78" s="14" t="s">
        <v>14172</v>
      </c>
    </row>
    <row r="79" spans="1:18">
      <c r="A79" s="14" t="s">
        <v>14997</v>
      </c>
      <c r="B79" s="7" t="s">
        <v>52</v>
      </c>
      <c r="C79" s="14" t="s">
        <v>202</v>
      </c>
      <c r="D79" s="18" t="s">
        <v>14996</v>
      </c>
      <c r="E79" s="15" t="str">
        <f>HYPERLINK("https://stat100.ameba.jp/tnk47/ratio20/illustrations/card/ill_92403_0_haroimmochizukichiyome03.jpg?202107-5-RELEASE-marathon-541xx", "■")</f>
        <v>■</v>
      </c>
      <c r="F79" s="14" t="s">
        <v>15003</v>
      </c>
      <c r="G79" s="7">
        <v>327154</v>
      </c>
      <c r="H79" s="7">
        <v>267651</v>
      </c>
      <c r="I79" s="7">
        <v>27</v>
      </c>
      <c r="J79" s="14" t="s">
        <v>16</v>
      </c>
      <c r="K79" s="14" t="s">
        <v>15001</v>
      </c>
      <c r="L79" s="14" t="s">
        <v>15000</v>
      </c>
      <c r="M79" s="14" t="s">
        <v>9158</v>
      </c>
      <c r="N79" s="14" t="s">
        <v>9158</v>
      </c>
      <c r="O79" s="6" t="s">
        <v>14998</v>
      </c>
      <c r="P79" s="7" t="s">
        <v>14999</v>
      </c>
      <c r="Q79" s="7">
        <v>1</v>
      </c>
    </row>
    <row r="80" spans="1:18">
      <c r="A80" s="14">
        <v>80573</v>
      </c>
      <c r="B80" s="14" t="s">
        <v>334</v>
      </c>
      <c r="C80" s="14" t="s">
        <v>165</v>
      </c>
      <c r="D80" s="20" t="s">
        <v>10301</v>
      </c>
      <c r="E80" s="15" t="str">
        <f>HYPERLINK("https://stat100.ameba.jp/tnk47/ratio20/illustrations/card/ill_80573_ohanamigurampingusotorihime03.jpg?202107-5-RELEASE-marathon-541xx", "■")</f>
        <v>■</v>
      </c>
      <c r="F80" s="14" t="s">
        <v>4176</v>
      </c>
      <c r="G80" s="14">
        <v>132346</v>
      </c>
      <c r="H80" s="14">
        <v>122834</v>
      </c>
      <c r="I80" s="14">
        <v>29</v>
      </c>
      <c r="J80" s="14" t="s">
        <v>38</v>
      </c>
      <c r="K80" s="14" t="s">
        <v>4177</v>
      </c>
      <c r="L80" s="14" t="s">
        <v>4178</v>
      </c>
      <c r="M80" s="14" t="s">
        <v>9158</v>
      </c>
      <c r="N80" s="14" t="s">
        <v>9158</v>
      </c>
      <c r="O80" s="19" t="s">
        <v>10119</v>
      </c>
      <c r="P80" s="14" t="s">
        <v>3662</v>
      </c>
      <c r="Q80" s="14">
        <v>1</v>
      </c>
    </row>
    <row r="81" spans="1:17">
      <c r="A81" s="14">
        <v>92363</v>
      </c>
      <c r="B81" s="14" t="s">
        <v>0</v>
      </c>
      <c r="C81" s="14" t="s">
        <v>1</v>
      </c>
      <c r="D81" s="18" t="s">
        <v>15010</v>
      </c>
      <c r="E81" s="15" t="str">
        <f>HYPERLINK("https://stat100.ameba.jp/tnk47/ratio20/illustrations/card/ill_92363_haroinorochinomusha03.jpg?202107-5-RELEASE-marathon-541xx", "■")</f>
        <v>■</v>
      </c>
      <c r="F81" s="14" t="s">
        <v>15009</v>
      </c>
      <c r="G81" s="14">
        <v>160296</v>
      </c>
      <c r="H81" s="14">
        <v>172397</v>
      </c>
      <c r="I81" s="14">
        <v>29</v>
      </c>
      <c r="J81" s="14" t="s">
        <v>143</v>
      </c>
      <c r="K81" s="14" t="s">
        <v>15007</v>
      </c>
      <c r="L81" s="14" t="s">
        <v>12361</v>
      </c>
      <c r="M81" s="14" t="s">
        <v>9158</v>
      </c>
      <c r="N81" s="14" t="s">
        <v>9158</v>
      </c>
      <c r="O81" s="6" t="s">
        <v>2717</v>
      </c>
      <c r="P81" s="7" t="s">
        <v>15004</v>
      </c>
      <c r="Q81" s="7">
        <v>1</v>
      </c>
    </row>
    <row r="82" spans="1:17">
      <c r="A82" s="14">
        <v>77903</v>
      </c>
      <c r="B82" s="14" t="s">
        <v>0</v>
      </c>
      <c r="C82" s="14" t="s">
        <v>185</v>
      </c>
      <c r="D82" s="20" t="s">
        <v>10405</v>
      </c>
      <c r="E82" s="15" t="str">
        <f>HYPERLINK("https://stat100.ameba.jp/tnk47/ratio20/illustrations/card/ill_77903_kurisumasudaisakusendongurikorokoro03.jpg?202107-5-RELEASE-marathon-541xx", "■")</f>
        <v>■</v>
      </c>
      <c r="F82" s="14" t="s">
        <v>2131</v>
      </c>
      <c r="G82" s="14">
        <v>132346</v>
      </c>
      <c r="H82" s="14">
        <v>122834</v>
      </c>
      <c r="I82" s="14">
        <v>29</v>
      </c>
      <c r="J82" s="14" t="s">
        <v>38</v>
      </c>
      <c r="K82" s="14" t="s">
        <v>2132</v>
      </c>
      <c r="L82" s="14" t="s">
        <v>2133</v>
      </c>
      <c r="M82" s="14" t="s">
        <v>9158</v>
      </c>
      <c r="N82" s="14" t="s">
        <v>9158</v>
      </c>
      <c r="O82" s="19" t="s">
        <v>10090</v>
      </c>
      <c r="P82" s="14" t="s">
        <v>3460</v>
      </c>
      <c r="Q82" s="14">
        <v>1</v>
      </c>
    </row>
    <row r="84" spans="1:17">
      <c r="A84" s="14" t="s">
        <v>180</v>
      </c>
    </row>
    <row r="85" spans="1:17">
      <c r="A85" s="14">
        <v>109816</v>
      </c>
      <c r="B85" s="14" t="s">
        <v>5485</v>
      </c>
    </row>
    <row r="86" spans="1:17">
      <c r="A86" s="14" t="s">
        <v>6508</v>
      </c>
      <c r="B86" s="14" t="s">
        <v>330</v>
      </c>
      <c r="C86" s="14" t="s">
        <v>35</v>
      </c>
      <c r="D86" s="20" t="s">
        <v>10168</v>
      </c>
      <c r="E86" s="15" t="str">
        <f>HYPERLINK("https://stat100.ameba.jp/tnk47/ratio20/illustrations/card/ill_81783_0_denshagarukoteipenginchan03.jpg?202107-5-RELEASE-marathon-541xx", "■")</f>
        <v>■</v>
      </c>
      <c r="F86" s="14" t="s">
        <v>4834</v>
      </c>
      <c r="G86" s="14">
        <v>313989</v>
      </c>
      <c r="H86" s="14">
        <v>283765</v>
      </c>
      <c r="I86" s="14">
        <v>27</v>
      </c>
      <c r="J86" s="14" t="s">
        <v>26</v>
      </c>
      <c r="K86" s="14" t="s">
        <v>4836</v>
      </c>
      <c r="L86" s="14" t="s">
        <v>1783</v>
      </c>
      <c r="M86" s="14" t="s">
        <v>9158</v>
      </c>
      <c r="N86" s="14" t="s">
        <v>9158</v>
      </c>
      <c r="O86" s="19" t="s">
        <v>10124</v>
      </c>
      <c r="P86" s="14" t="s">
        <v>4838</v>
      </c>
      <c r="Q86" s="14">
        <v>1</v>
      </c>
    </row>
    <row r="87" spans="1:17">
      <c r="A87" s="14" t="s">
        <v>5605</v>
      </c>
      <c r="B87" s="14" t="s">
        <v>52</v>
      </c>
      <c r="C87" s="14" t="s">
        <v>202</v>
      </c>
      <c r="D87" s="19" t="s">
        <v>10332</v>
      </c>
      <c r="E87" s="15" t="str">
        <f>HYPERLINK("https://stat100.ameba.jp/tnk47/ratio20/illustrations/card/ill_79373_0_hommeichokotennyohime03.jpg?202107-5-RELEASE-marathon-541xx", "■")</f>
        <v>■</v>
      </c>
      <c r="F87" s="14" t="s">
        <v>3495</v>
      </c>
      <c r="G87" s="14">
        <v>333862</v>
      </c>
      <c r="H87" s="14">
        <v>301759</v>
      </c>
      <c r="I87" s="14">
        <v>27</v>
      </c>
      <c r="J87" s="14" t="s">
        <v>104</v>
      </c>
      <c r="K87" s="14" t="s">
        <v>3496</v>
      </c>
      <c r="L87" s="14" t="s">
        <v>3497</v>
      </c>
      <c r="M87" s="14" t="s">
        <v>9158</v>
      </c>
      <c r="N87" s="14" t="s">
        <v>9158</v>
      </c>
      <c r="O87" s="19" t="s">
        <v>10072</v>
      </c>
      <c r="P87" s="14" t="s">
        <v>3498</v>
      </c>
      <c r="Q87" s="14">
        <v>1</v>
      </c>
    </row>
    <row r="88" spans="1:17">
      <c r="A88" s="14" t="s">
        <v>5830</v>
      </c>
      <c r="B88" s="14" t="s">
        <v>330</v>
      </c>
      <c r="C88" s="14" t="s">
        <v>191</v>
      </c>
      <c r="D88" s="19" t="s">
        <v>793</v>
      </c>
      <c r="E88" s="15" t="str">
        <f>HYPERLINK("https://stat100.ameba.jp/tnk47/ratio20/illustrations/card/ill_39933_0_reihiiinaotora03.jpg?202107-5-RELEASE-marathon-541xx", "■")</f>
        <v>■</v>
      </c>
      <c r="F88" s="14" t="s">
        <v>794</v>
      </c>
      <c r="G88" s="14">
        <v>147980</v>
      </c>
      <c r="H88" s="14">
        <v>158004</v>
      </c>
      <c r="I88" s="14">
        <v>27</v>
      </c>
      <c r="J88" s="14" t="s">
        <v>315</v>
      </c>
      <c r="K88" s="14" t="s">
        <v>795</v>
      </c>
      <c r="L88" s="14" t="s">
        <v>796</v>
      </c>
      <c r="M88" s="14" t="s">
        <v>9158</v>
      </c>
      <c r="N88" s="14" t="s">
        <v>9158</v>
      </c>
      <c r="O88" s="14" t="s">
        <v>9158</v>
      </c>
      <c r="P88" s="14" t="s">
        <v>9158</v>
      </c>
      <c r="Q88" s="14" t="s">
        <v>9158</v>
      </c>
    </row>
    <row r="89" spans="1:17">
      <c r="A89" s="14">
        <v>99093</v>
      </c>
      <c r="B89" s="14" t="s">
        <v>0</v>
      </c>
      <c r="C89" s="14" t="s">
        <v>1</v>
      </c>
      <c r="D89" s="14" t="s">
        <v>17641</v>
      </c>
      <c r="E89" s="15" t="str">
        <f>HYPERLINK("https://stat100.ameba.jp/tnk47/ratio20/illustrations/card/ill_99093_uminokyujotaiizumonokuni03.jpg?202107-5-RELEASE-marathon-541xx", "■")</f>
        <v>■</v>
      </c>
      <c r="F89" s="14" t="s">
        <v>17640</v>
      </c>
      <c r="G89" s="14">
        <v>149240</v>
      </c>
      <c r="H89" s="14">
        <v>160507</v>
      </c>
      <c r="I89" s="14">
        <v>27</v>
      </c>
      <c r="J89" s="14" t="s">
        <v>10</v>
      </c>
      <c r="K89" s="14" t="s">
        <v>17639</v>
      </c>
      <c r="L89" s="14" t="s">
        <v>14369</v>
      </c>
      <c r="M89" s="14" t="s">
        <v>9158</v>
      </c>
      <c r="N89" s="14" t="s">
        <v>9158</v>
      </c>
      <c r="O89" s="14" t="s">
        <v>9158</v>
      </c>
      <c r="P89" s="14" t="s">
        <v>9158</v>
      </c>
      <c r="Q89" s="14" t="s">
        <v>9158</v>
      </c>
    </row>
    <row r="90" spans="1:17">
      <c r="A90" s="14">
        <v>99103</v>
      </c>
      <c r="B90" s="14" t="s">
        <v>15</v>
      </c>
      <c r="C90" s="14" t="s">
        <v>96</v>
      </c>
      <c r="D90" s="14" t="s">
        <v>17644</v>
      </c>
      <c r="E90" s="15" t="str">
        <f>HYPERLINK("https://stat100.ameba.jp/tnk47/ratio20/illustrations/card/ill_99103_umibirakikukiyoshitaka03.jpg?202107-5-RELEASE-marathon-541xx", "■")</f>
        <v>■</v>
      </c>
      <c r="F90" s="14" t="s">
        <v>17643</v>
      </c>
      <c r="G90" s="14">
        <v>80028</v>
      </c>
      <c r="H90" s="14">
        <v>72586</v>
      </c>
      <c r="I90" s="14">
        <v>27</v>
      </c>
      <c r="J90" s="14" t="s">
        <v>143</v>
      </c>
      <c r="K90" s="14" t="s">
        <v>17642</v>
      </c>
      <c r="L90" s="14" t="s">
        <v>3524</v>
      </c>
      <c r="M90" s="14" t="s">
        <v>9158</v>
      </c>
      <c r="N90" s="14" t="s">
        <v>9158</v>
      </c>
      <c r="O90" s="14" t="s">
        <v>9158</v>
      </c>
      <c r="P90" s="14" t="s">
        <v>9158</v>
      </c>
      <c r="Q90" s="14" t="s">
        <v>9158</v>
      </c>
    </row>
    <row r="91" spans="1:17">
      <c r="A91" s="14">
        <v>99113</v>
      </c>
      <c r="B91" s="14" t="s">
        <v>22</v>
      </c>
      <c r="C91" s="14" t="s">
        <v>107</v>
      </c>
      <c r="D91" s="14" t="s">
        <v>17647</v>
      </c>
      <c r="E91" s="15" t="str">
        <f>HYPERLINK("https://stat100.ameba.jp/tnk47/ratio20/illustrations/card/ill_99113_mangosofutochan03.jpg?202107-5-RELEASE-marathon-541xx", "■")</f>
        <v>■</v>
      </c>
      <c r="F91" s="14" t="s">
        <v>17646</v>
      </c>
      <c r="G91" s="14">
        <v>46676</v>
      </c>
      <c r="H91" s="14">
        <v>56138</v>
      </c>
      <c r="I91" s="14">
        <v>27</v>
      </c>
      <c r="J91" s="14" t="s">
        <v>104</v>
      </c>
      <c r="K91" s="14" t="s">
        <v>17645</v>
      </c>
      <c r="L91" s="14" t="s">
        <v>3839</v>
      </c>
      <c r="M91" s="14" t="s">
        <v>9158</v>
      </c>
      <c r="N91" s="14" t="s">
        <v>9158</v>
      </c>
      <c r="O91" s="14" t="s">
        <v>9158</v>
      </c>
      <c r="P91" s="14" t="s">
        <v>9158</v>
      </c>
      <c r="Q91" s="14" t="s">
        <v>9158</v>
      </c>
    </row>
    <row r="92" spans="1:17">
      <c r="A92" s="14">
        <v>99123</v>
      </c>
      <c r="B92" s="14" t="s">
        <v>22</v>
      </c>
      <c r="C92" s="14" t="s">
        <v>14</v>
      </c>
      <c r="D92" s="14" t="s">
        <v>17650</v>
      </c>
      <c r="E92" s="15" t="str">
        <f>HYPERLINK("https://stat100.ameba.jp/tnk47/ratio20/illustrations/card/ill_99123_u03.jpg?202107-5-RELEASE-marathon-541xx", "■")</f>
        <v>■</v>
      </c>
      <c r="F92" s="14" t="s">
        <v>17649</v>
      </c>
      <c r="G92" s="14">
        <v>56138</v>
      </c>
      <c r="H92" s="14">
        <v>46676</v>
      </c>
      <c r="I92" s="14">
        <v>27</v>
      </c>
      <c r="J92" s="14" t="s">
        <v>44</v>
      </c>
      <c r="K92" s="14" t="s">
        <v>17648</v>
      </c>
      <c r="L92" s="14" t="s">
        <v>4956</v>
      </c>
      <c r="M92" s="14" t="s">
        <v>9158</v>
      </c>
      <c r="N92" s="14" t="s">
        <v>9158</v>
      </c>
      <c r="O92" s="14" t="s">
        <v>9158</v>
      </c>
      <c r="P92" s="14" t="s">
        <v>9158</v>
      </c>
      <c r="Q92" s="14" t="s">
        <v>9158</v>
      </c>
    </row>
    <row r="94" spans="1:17">
      <c r="A94" s="14" t="s">
        <v>3911</v>
      </c>
      <c r="I94" s="7"/>
    </row>
    <row r="95" spans="1:17">
      <c r="A95" s="14">
        <v>109839</v>
      </c>
      <c r="B95" s="14" t="s">
        <v>17651</v>
      </c>
      <c r="I95" s="7"/>
    </row>
    <row r="96" spans="1:17">
      <c r="A96" s="14">
        <v>109849</v>
      </c>
      <c r="B96" s="14" t="s">
        <v>15721</v>
      </c>
      <c r="I96" s="7"/>
    </row>
    <row r="97" spans="1:17">
      <c r="A97" s="14" t="s">
        <v>16989</v>
      </c>
      <c r="B97" s="7" t="s">
        <v>52</v>
      </c>
      <c r="C97" s="14" t="s">
        <v>202</v>
      </c>
      <c r="D97" s="18" t="s">
        <v>16988</v>
      </c>
      <c r="E97" s="15" t="str">
        <f>HYPERLINK("https://stat100.ameba.jp/tnk47/ratio20/illustrations/card/ill_97013_0_kanokaishiranui03.jpg?202107-5-RELEASE-marathon-541xx", "■")</f>
        <v>■</v>
      </c>
      <c r="F97" s="14" t="s">
        <v>16987</v>
      </c>
      <c r="G97" s="14">
        <v>316780</v>
      </c>
      <c r="H97" s="14">
        <v>286280</v>
      </c>
      <c r="I97" s="7">
        <v>30</v>
      </c>
      <c r="J97" s="14" t="s">
        <v>73</v>
      </c>
      <c r="K97" s="14" t="s">
        <v>16986</v>
      </c>
      <c r="L97" s="14" t="s">
        <v>16985</v>
      </c>
      <c r="M97" s="14" t="s">
        <v>9158</v>
      </c>
      <c r="N97" s="14" t="s">
        <v>9158</v>
      </c>
      <c r="O97" s="7" t="s">
        <v>16990</v>
      </c>
      <c r="P97" s="7" t="s">
        <v>16991</v>
      </c>
      <c r="Q97" s="7">
        <v>1</v>
      </c>
    </row>
    <row r="98" spans="1:17">
      <c r="A98" s="14" t="s">
        <v>13086</v>
      </c>
      <c r="B98" s="7" t="s">
        <v>52</v>
      </c>
      <c r="C98" s="14" t="s">
        <v>202</v>
      </c>
      <c r="D98" s="18" t="s">
        <v>13084</v>
      </c>
      <c r="E98" s="15" t="str">
        <f>HYPERLINK("https://stat100.ameba.jp/tnk47/ratio20/illustrations/card/ill_89703_0_jumburaidohimiko03.jpg?202107-5-RELEASE-marathon-541xx", "■")</f>
        <v>■</v>
      </c>
      <c r="F98" s="14" t="s">
        <v>13085</v>
      </c>
      <c r="G98" s="14">
        <v>382328</v>
      </c>
      <c r="H98" s="14">
        <v>312796</v>
      </c>
      <c r="I98" s="7">
        <v>30</v>
      </c>
      <c r="J98" s="14" t="s">
        <v>10</v>
      </c>
      <c r="K98" s="14" t="s">
        <v>13087</v>
      </c>
      <c r="L98" s="14" t="s">
        <v>12016</v>
      </c>
      <c r="M98" s="14" t="s">
        <v>9158</v>
      </c>
      <c r="N98" s="14" t="s">
        <v>9158</v>
      </c>
      <c r="O98" s="6" t="s">
        <v>13088</v>
      </c>
      <c r="P98" s="7" t="s">
        <v>13089</v>
      </c>
      <c r="Q98" s="7">
        <v>1</v>
      </c>
    </row>
    <row r="99" spans="1:17">
      <c r="A99" s="14" t="s">
        <v>5627</v>
      </c>
      <c r="B99" s="14" t="s">
        <v>330</v>
      </c>
      <c r="C99" s="14" t="s">
        <v>191</v>
      </c>
      <c r="D99" s="19" t="s">
        <v>393</v>
      </c>
      <c r="E99" s="15" t="str">
        <f>HYPERLINK("https://stat100.ameba.jp/tnk47/ratio20/illustrations/card/ill_46283_0_odanobunaga03.jpg?202107-5-RELEASE-marathon-541xx", "■")</f>
        <v>■</v>
      </c>
      <c r="F99" s="14" t="s">
        <v>1073</v>
      </c>
      <c r="G99" s="14">
        <v>158942</v>
      </c>
      <c r="H99" s="14">
        <v>169708</v>
      </c>
      <c r="I99" s="7">
        <v>30</v>
      </c>
      <c r="J99" s="14" t="s">
        <v>143</v>
      </c>
      <c r="K99" s="14" t="s">
        <v>1074</v>
      </c>
      <c r="L99" s="14" t="s">
        <v>1075</v>
      </c>
      <c r="M99" s="14" t="s">
        <v>9158</v>
      </c>
      <c r="N99" s="14" t="s">
        <v>9158</v>
      </c>
      <c r="O99" s="14" t="s">
        <v>9158</v>
      </c>
      <c r="P99" s="14" t="s">
        <v>9158</v>
      </c>
      <c r="Q99" s="14" t="s">
        <v>9158</v>
      </c>
    </row>
    <row r="100" spans="1:17">
      <c r="A100" s="14">
        <v>64043</v>
      </c>
      <c r="B100" s="14" t="s">
        <v>334</v>
      </c>
      <c r="C100" s="14" t="s">
        <v>209</v>
      </c>
      <c r="D100" s="20" t="s">
        <v>10262</v>
      </c>
      <c r="E100" s="15" t="str">
        <f>HYPERLINK("https://stat100.ameba.jp/tnk47/ratio20/illustrations/card/ill_64043_kegonnotaki03.jpg?202107-5-RELEASE-marathon-541xx", "■")</f>
        <v>■</v>
      </c>
      <c r="F100" s="14" t="s">
        <v>759</v>
      </c>
      <c r="G100" s="14">
        <v>137943</v>
      </c>
      <c r="H100" s="14">
        <v>99922</v>
      </c>
      <c r="I100" s="14">
        <v>29</v>
      </c>
      <c r="J100" s="14" t="s">
        <v>229</v>
      </c>
      <c r="K100" s="14" t="s">
        <v>230</v>
      </c>
      <c r="L100" s="14" t="s">
        <v>13143</v>
      </c>
      <c r="M100" s="14" t="s">
        <v>9158</v>
      </c>
      <c r="N100" s="14" t="s">
        <v>9158</v>
      </c>
      <c r="O100" s="19" t="s">
        <v>10070</v>
      </c>
      <c r="P100" s="14" t="s">
        <v>3579</v>
      </c>
      <c r="Q100" s="14">
        <v>1</v>
      </c>
    </row>
    <row r="101" spans="1:17">
      <c r="A101" s="14">
        <v>60173</v>
      </c>
      <c r="B101" s="14" t="s">
        <v>0</v>
      </c>
      <c r="C101" s="14" t="s">
        <v>41</v>
      </c>
      <c r="D101" s="19" t="s">
        <v>10231</v>
      </c>
      <c r="E101" s="15" t="str">
        <f>HYPERLINK("https://stat100.ameba.jp/tnk47/ratio20/illustrations/card/ill_60173_kugutsushi03.jpg?202107-5-RELEASE-marathon-541xx", "■")</f>
        <v>■</v>
      </c>
      <c r="F101" s="14" t="s">
        <v>4282</v>
      </c>
      <c r="G101" s="14">
        <v>107188</v>
      </c>
      <c r="H101" s="14">
        <v>147992</v>
      </c>
      <c r="I101" s="14">
        <v>29</v>
      </c>
      <c r="J101" s="14" t="s">
        <v>38</v>
      </c>
      <c r="K101" s="14" t="s">
        <v>4283</v>
      </c>
      <c r="L101" s="14" t="s">
        <v>2714</v>
      </c>
      <c r="M101" s="14" t="s">
        <v>9158</v>
      </c>
      <c r="N101" s="14" t="s">
        <v>9158</v>
      </c>
      <c r="O101" s="19" t="s">
        <v>10113</v>
      </c>
      <c r="P101" s="14" t="s">
        <v>4285</v>
      </c>
      <c r="Q101" s="14">
        <v>1</v>
      </c>
    </row>
    <row r="102" spans="1:17">
      <c r="A102" s="14">
        <v>76803</v>
      </c>
      <c r="B102" s="14" t="s">
        <v>334</v>
      </c>
      <c r="C102" s="14" t="s">
        <v>202</v>
      </c>
      <c r="D102" s="19" t="s">
        <v>673</v>
      </c>
      <c r="E102" s="15" t="str">
        <f>HYPERLINK("https://stat100.ameba.jp/tnk47/ratio20/illustrations/card/ill_76803_monsutakujirachan03.jpg?202107-5-RELEASE-marathon-541xx", "■")</f>
        <v>■</v>
      </c>
      <c r="F102" s="14" t="s">
        <v>674</v>
      </c>
      <c r="G102" s="14">
        <v>192940</v>
      </c>
      <c r="H102" s="14">
        <v>139753</v>
      </c>
      <c r="I102" s="14">
        <v>29</v>
      </c>
      <c r="J102" s="14" t="s">
        <v>283</v>
      </c>
      <c r="K102" s="14" t="s">
        <v>675</v>
      </c>
      <c r="L102" s="14" t="s">
        <v>435</v>
      </c>
      <c r="M102" s="14" t="s">
        <v>9158</v>
      </c>
      <c r="N102" s="14" t="s">
        <v>9158</v>
      </c>
      <c r="O102" s="19" t="s">
        <v>3165</v>
      </c>
      <c r="P102" s="14" t="s">
        <v>13139</v>
      </c>
      <c r="Q102" s="14">
        <v>1</v>
      </c>
    </row>
    <row r="103" spans="1:17">
      <c r="A103" s="14">
        <v>77663</v>
      </c>
      <c r="B103" s="14" t="s">
        <v>334</v>
      </c>
      <c r="C103" s="14" t="s">
        <v>202</v>
      </c>
      <c r="D103" s="20" t="s">
        <v>10614</v>
      </c>
      <c r="E103" s="15" t="str">
        <f>HYPERLINK("https://stat100.ameba.jp/tnk47/ratio20/illustrations/card/ill_77663_deipuburu03.jpg?202107-5-RELEASE-marathon-541xx", "■")</f>
        <v>■</v>
      </c>
      <c r="F103" s="14" t="s">
        <v>1573</v>
      </c>
      <c r="G103" s="14">
        <v>95357</v>
      </c>
      <c r="H103" s="14">
        <v>131617</v>
      </c>
      <c r="I103" s="7">
        <v>29</v>
      </c>
      <c r="J103" s="14" t="s">
        <v>414</v>
      </c>
      <c r="K103" s="14" t="s">
        <v>1574</v>
      </c>
      <c r="L103" s="14" t="s">
        <v>1575</v>
      </c>
      <c r="M103" s="14" t="s">
        <v>9158</v>
      </c>
      <c r="N103" s="14" t="s">
        <v>9158</v>
      </c>
      <c r="O103" s="19" t="s">
        <v>10117</v>
      </c>
      <c r="P103" s="14" t="s">
        <v>3625</v>
      </c>
      <c r="Q103" s="14">
        <v>1</v>
      </c>
    </row>
    <row r="104" spans="1:17">
      <c r="A104" s="14">
        <v>78133</v>
      </c>
      <c r="B104" s="14" t="s">
        <v>0</v>
      </c>
      <c r="C104" s="14" t="s">
        <v>154</v>
      </c>
      <c r="D104" s="20" t="s">
        <v>10313</v>
      </c>
      <c r="E104" s="15" t="str">
        <f>HYPERLINK("https://stat100.ameba.jp/tnk47/ratio20/illustrations/card/ill_78133_akazukin03.jpg?202107-5-RELEASE-marathon-541xx", "■")</f>
        <v>■</v>
      </c>
      <c r="F104" s="14" t="s">
        <v>2202</v>
      </c>
      <c r="G104" s="14">
        <v>107188</v>
      </c>
      <c r="H104" s="14">
        <v>147992</v>
      </c>
      <c r="I104" s="14">
        <v>29</v>
      </c>
      <c r="J104" s="14" t="s">
        <v>38</v>
      </c>
      <c r="K104" s="14" t="s">
        <v>2203</v>
      </c>
      <c r="L104" s="14" t="s">
        <v>2204</v>
      </c>
      <c r="M104" s="14" t="s">
        <v>9158</v>
      </c>
      <c r="N104" s="14" t="s">
        <v>9158</v>
      </c>
      <c r="O104" s="19" t="s">
        <v>2917</v>
      </c>
      <c r="P104" s="14" t="s">
        <v>3531</v>
      </c>
      <c r="Q104" s="14">
        <v>1</v>
      </c>
    </row>
    <row r="105" spans="1:17">
      <c r="A105" s="14">
        <v>83093</v>
      </c>
      <c r="B105" s="14" t="s">
        <v>0</v>
      </c>
      <c r="C105" s="14" t="s">
        <v>158</v>
      </c>
      <c r="D105" s="20" t="s">
        <v>10490</v>
      </c>
      <c r="E105" s="15" t="str">
        <f>HYPERLINK("https://stat100.ameba.jp/tnk47/ratio20/illustrations/card/ill_83093_yusuraume03.jpg?202107-5-RELEASE-marathon-541xx", "■")</f>
        <v>■</v>
      </c>
      <c r="F105" s="14" t="s">
        <v>6267</v>
      </c>
      <c r="G105" s="14">
        <v>153288</v>
      </c>
      <c r="H105" s="14">
        <v>111017</v>
      </c>
      <c r="I105" s="14">
        <v>29</v>
      </c>
      <c r="J105" s="14" t="s">
        <v>104</v>
      </c>
      <c r="K105" s="14" t="s">
        <v>6266</v>
      </c>
      <c r="L105" s="14" t="s">
        <v>2409</v>
      </c>
      <c r="M105" s="14" t="s">
        <v>9158</v>
      </c>
      <c r="N105" s="14" t="s">
        <v>9158</v>
      </c>
      <c r="O105" s="19" t="s">
        <v>10090</v>
      </c>
      <c r="P105" s="14" t="s">
        <v>3460</v>
      </c>
      <c r="Q105" s="14">
        <v>1</v>
      </c>
    </row>
    <row r="107" spans="1:17">
      <c r="A107" s="14" t="s">
        <v>3785</v>
      </c>
    </row>
    <row r="108" spans="1:17">
      <c r="A108" s="14">
        <v>239291</v>
      </c>
      <c r="B108" s="14" t="s">
        <v>17652</v>
      </c>
    </row>
    <row r="109" spans="1:17">
      <c r="A109" s="14" t="s">
        <v>5734</v>
      </c>
      <c r="B109" s="14" t="s">
        <v>330</v>
      </c>
      <c r="C109" s="14" t="s">
        <v>202</v>
      </c>
      <c r="D109" s="19" t="s">
        <v>1497</v>
      </c>
      <c r="E109" s="15" t="str">
        <f>HYPERLINK("https://stat100.ameba.jp/tnk47/ratio20/illustrations/card/ill_74593_0_natsuyuenchikoshihikari03.jpg?202107-5-RELEASE-marathon-541xx", "■")</f>
        <v>■</v>
      </c>
      <c r="F109" s="14" t="s">
        <v>1498</v>
      </c>
      <c r="G109" s="14">
        <v>238328</v>
      </c>
      <c r="H109" s="14">
        <v>221566</v>
      </c>
      <c r="I109" s="14">
        <v>22</v>
      </c>
      <c r="J109" s="14" t="s">
        <v>283</v>
      </c>
      <c r="K109" s="14" t="s">
        <v>1499</v>
      </c>
      <c r="L109" s="14" t="s">
        <v>1500</v>
      </c>
      <c r="M109" s="14" t="s">
        <v>9158</v>
      </c>
      <c r="N109" s="14" t="s">
        <v>9158</v>
      </c>
      <c r="O109" s="19" t="s">
        <v>2731</v>
      </c>
      <c r="P109" s="14" t="s">
        <v>2732</v>
      </c>
      <c r="Q109" s="14">
        <v>1</v>
      </c>
    </row>
    <row r="110" spans="1:17">
      <c r="A110" s="14" t="s">
        <v>5778</v>
      </c>
      <c r="B110" s="14" t="s">
        <v>330</v>
      </c>
      <c r="C110" s="14" t="s">
        <v>205</v>
      </c>
      <c r="D110" s="19" t="s">
        <v>272</v>
      </c>
      <c r="E110" s="15" t="str">
        <f>HYPERLINK("https://stat100.ameba.jp/tnk47/ratio20/illustrations/card/ill_68783_0_gantammomotaro03.jpg?202107-5-RELEASE-marathon-541xx", "■")</f>
        <v>■</v>
      </c>
      <c r="F110" s="14" t="s">
        <v>273</v>
      </c>
      <c r="G110" s="14">
        <v>150466</v>
      </c>
      <c r="H110" s="14">
        <v>139878</v>
      </c>
      <c r="I110" s="14">
        <v>22</v>
      </c>
      <c r="J110" s="14" t="s">
        <v>274</v>
      </c>
      <c r="K110" s="14" t="s">
        <v>275</v>
      </c>
      <c r="L110" s="14" t="s">
        <v>276</v>
      </c>
      <c r="M110" s="14" t="s">
        <v>9158</v>
      </c>
      <c r="N110" s="14" t="s">
        <v>9158</v>
      </c>
      <c r="O110" s="6" t="s">
        <v>9992</v>
      </c>
      <c r="P110" s="14" t="s">
        <v>3451</v>
      </c>
      <c r="Q110" s="14">
        <v>1</v>
      </c>
    </row>
    <row r="111" spans="1:17">
      <c r="A111" s="9" t="s">
        <v>5820</v>
      </c>
      <c r="B111" s="14" t="s">
        <v>330</v>
      </c>
      <c r="C111" s="14" t="s">
        <v>200</v>
      </c>
      <c r="D111" s="14" t="s">
        <v>630</v>
      </c>
      <c r="E111" s="15" t="str">
        <f>HYPERLINK("https://stat100.ameba.jp/tnk47/ratio20/illustrations/card/ill_48283_0_kyuubitamamonomae03.jpg?202107-5-RELEASE-marathon-541xx", "■")</f>
        <v>■</v>
      </c>
      <c r="F111" s="14" t="s">
        <v>631</v>
      </c>
      <c r="G111" s="14">
        <v>138212</v>
      </c>
      <c r="H111" s="14">
        <v>122776</v>
      </c>
      <c r="I111" s="14">
        <v>22</v>
      </c>
      <c r="J111" s="14" t="s">
        <v>320</v>
      </c>
      <c r="K111" s="14" t="s">
        <v>632</v>
      </c>
      <c r="L111" s="14" t="s">
        <v>633</v>
      </c>
      <c r="M111" s="14" t="s">
        <v>9158</v>
      </c>
      <c r="N111" s="14" t="s">
        <v>9158</v>
      </c>
      <c r="O111" s="14" t="s">
        <v>9158</v>
      </c>
      <c r="P111" s="14" t="s">
        <v>9158</v>
      </c>
      <c r="Q111" s="14" t="s">
        <v>9158</v>
      </c>
    </row>
    <row r="112" spans="1:17">
      <c r="A112" s="14">
        <v>90013</v>
      </c>
      <c r="B112" s="14" t="s">
        <v>0</v>
      </c>
      <c r="C112" s="14" t="s">
        <v>23</v>
      </c>
      <c r="D112" s="14" t="s">
        <v>13981</v>
      </c>
      <c r="E112" s="15" t="str">
        <f>HYPERLINK("https://stat100.ameba.jp/tnk47/ratio20/illustrations/card/ill_90013_buiranzumarisondemonia03.jpg?202107-5-RELEASE-marathon-541xx", "■")</f>
        <v>■</v>
      </c>
      <c r="F112" s="14" t="s">
        <v>13982</v>
      </c>
      <c r="G112" s="14">
        <v>169148</v>
      </c>
      <c r="H112" s="14">
        <v>95155</v>
      </c>
      <c r="I112" s="14">
        <v>29</v>
      </c>
      <c r="J112" s="14" t="s">
        <v>26</v>
      </c>
      <c r="K112" s="14" t="s">
        <v>13983</v>
      </c>
      <c r="L112" s="14" t="s">
        <v>2388</v>
      </c>
      <c r="M112" s="14" t="s">
        <v>9158</v>
      </c>
      <c r="N112" s="14" t="s">
        <v>9158</v>
      </c>
      <c r="O112" s="14" t="s">
        <v>9158</v>
      </c>
      <c r="P112" s="14" t="s">
        <v>9158</v>
      </c>
      <c r="Q112" s="14" t="s">
        <v>9158</v>
      </c>
    </row>
    <row r="113" spans="1:17">
      <c r="A113" s="14">
        <v>96693</v>
      </c>
      <c r="B113" s="14" t="s">
        <v>0</v>
      </c>
      <c r="C113" s="14" t="s">
        <v>101</v>
      </c>
      <c r="D113" s="14" t="s">
        <v>16907</v>
      </c>
      <c r="E113" s="15" t="str">
        <f>HYPERLINK("https://stat100.ameba.jp/tnk47/ratio20/illustrations/card/ill_96693_gurimuhirudo03.jpg?202107-5-RELEASE-marathon-541xx", "■")</f>
        <v>■</v>
      </c>
      <c r="F113" s="14" t="s">
        <v>16906</v>
      </c>
      <c r="G113" s="14">
        <v>139860</v>
      </c>
      <c r="H113" s="14">
        <v>78696</v>
      </c>
      <c r="I113" s="14">
        <v>29</v>
      </c>
      <c r="J113" s="14" t="s">
        <v>73</v>
      </c>
      <c r="K113" s="14" t="s">
        <v>16905</v>
      </c>
      <c r="L113" s="14" t="s">
        <v>16191</v>
      </c>
      <c r="M113" s="14" t="s">
        <v>9158</v>
      </c>
      <c r="N113" s="14" t="s">
        <v>9158</v>
      </c>
      <c r="O113" s="14" t="s">
        <v>9158</v>
      </c>
      <c r="P113" s="14" t="s">
        <v>9158</v>
      </c>
      <c r="Q113" s="14" t="s">
        <v>9158</v>
      </c>
    </row>
    <row r="114" spans="1:17">
      <c r="A114" s="14">
        <v>91383</v>
      </c>
      <c r="B114" s="14" t="s">
        <v>334</v>
      </c>
      <c r="C114" s="14" t="s">
        <v>14</v>
      </c>
      <c r="D114" s="14" t="s">
        <v>14132</v>
      </c>
      <c r="E114" s="15" t="str">
        <f>HYPERLINK("https://stat100.ameba.jp/tnk47/ratio20/illustrations/card/ill_91383_ganga03.jpg?202107-5-RELEASE-marathon-541xx", "■")</f>
        <v>■</v>
      </c>
      <c r="F114" s="14" t="s">
        <v>14134</v>
      </c>
      <c r="G114" s="14">
        <v>139860</v>
      </c>
      <c r="H114" s="14">
        <v>78696</v>
      </c>
      <c r="I114" s="14">
        <v>29</v>
      </c>
      <c r="J114" s="14" t="s">
        <v>10</v>
      </c>
      <c r="K114" s="14" t="s">
        <v>14136</v>
      </c>
      <c r="L114" s="14" t="s">
        <v>12648</v>
      </c>
      <c r="M114" s="14" t="s">
        <v>9158</v>
      </c>
      <c r="N114" s="14" t="s">
        <v>9158</v>
      </c>
      <c r="O114" s="14" t="s">
        <v>9158</v>
      </c>
      <c r="P114" s="14" t="s">
        <v>9158</v>
      </c>
      <c r="Q114" s="14" t="s">
        <v>9158</v>
      </c>
    </row>
    <row r="116" spans="1:17">
      <c r="A116" s="14" t="s">
        <v>3916</v>
      </c>
    </row>
    <row r="117" spans="1:17">
      <c r="A117" s="14">
        <v>109863</v>
      </c>
      <c r="B117" s="14" t="s">
        <v>5498</v>
      </c>
    </row>
    <row r="118" spans="1:17">
      <c r="A118" s="14">
        <v>76103</v>
      </c>
      <c r="B118" s="14" t="s">
        <v>334</v>
      </c>
      <c r="C118" s="14" t="s">
        <v>154</v>
      </c>
      <c r="D118" s="19" t="s">
        <v>570</v>
      </c>
      <c r="E118" s="15" t="str">
        <f>HYPERLINK("https://stat100.ameba.jp/tnk47/ratio20/illustrations/card/ill_76103_shibuaji03.jpg?202107-5-RELEASE-marathon-541xx", "■")</f>
        <v>■</v>
      </c>
      <c r="F118" s="14" t="s">
        <v>1122</v>
      </c>
      <c r="G118" s="14">
        <v>125078</v>
      </c>
      <c r="H118" s="14">
        <v>116296</v>
      </c>
      <c r="I118" s="14">
        <v>29</v>
      </c>
      <c r="J118" s="14" t="s">
        <v>143</v>
      </c>
      <c r="K118" s="14" t="s">
        <v>1123</v>
      </c>
      <c r="L118" s="14" t="s">
        <v>1124</v>
      </c>
      <c r="M118" s="14" t="s">
        <v>9864</v>
      </c>
      <c r="N118" s="14" t="s">
        <v>9158</v>
      </c>
      <c r="O118" s="14" t="s">
        <v>9158</v>
      </c>
      <c r="P118" s="14" t="s">
        <v>9158</v>
      </c>
      <c r="Q118" s="14" t="s">
        <v>9158</v>
      </c>
    </row>
    <row r="119" spans="1:17">
      <c r="A119" s="14">
        <v>76113</v>
      </c>
      <c r="B119" s="14" t="s">
        <v>334</v>
      </c>
      <c r="C119" s="14" t="s">
        <v>158</v>
      </c>
      <c r="D119" s="19" t="s">
        <v>10268</v>
      </c>
      <c r="E119" s="15" t="str">
        <f>HYPERLINK("https://stat100.ameba.jp/tnk47/ratio20/illustrations/card/ill_76113_jannudaruku03.jpg?202107-5-RELEASE-marathon-541xx", "■")</f>
        <v>■</v>
      </c>
      <c r="F119" s="14" t="s">
        <v>1126</v>
      </c>
      <c r="G119" s="14">
        <v>125078</v>
      </c>
      <c r="H119" s="14">
        <v>116296</v>
      </c>
      <c r="I119" s="14">
        <v>29</v>
      </c>
      <c r="J119" s="14" t="s">
        <v>10</v>
      </c>
      <c r="K119" s="14" t="s">
        <v>1127</v>
      </c>
      <c r="L119" s="14" t="s">
        <v>1128</v>
      </c>
      <c r="M119" s="14" t="s">
        <v>9158</v>
      </c>
      <c r="N119" s="14" t="s">
        <v>9158</v>
      </c>
      <c r="O119" s="14" t="s">
        <v>9158</v>
      </c>
      <c r="P119" s="14" t="s">
        <v>9158</v>
      </c>
      <c r="Q119" s="14" t="s">
        <v>9158</v>
      </c>
    </row>
    <row r="120" spans="1:17">
      <c r="A120" s="14">
        <v>63323</v>
      </c>
      <c r="B120" s="14" t="s">
        <v>0</v>
      </c>
      <c r="C120" s="14" t="s">
        <v>200</v>
      </c>
      <c r="D120" s="19" t="s">
        <v>10269</v>
      </c>
      <c r="E120" s="15" t="str">
        <f>HYPERLINK("https://stat100.ameba.jp/tnk47/ratio20/illustrations/card/ill_63323_ajisaikushinadahime03.jpg?202107-5-RELEASE-marathon-541xx", "■")</f>
        <v>■</v>
      </c>
      <c r="F120" s="14" t="s">
        <v>3583</v>
      </c>
      <c r="G120" s="14">
        <v>109970</v>
      </c>
      <c r="H120" s="14">
        <v>118287</v>
      </c>
      <c r="I120" s="14">
        <v>29</v>
      </c>
      <c r="J120" s="14" t="s">
        <v>44</v>
      </c>
      <c r="K120" s="14" t="s">
        <v>3584</v>
      </c>
      <c r="L120" s="14" t="s">
        <v>2400</v>
      </c>
      <c r="M120" s="14" t="s">
        <v>9158</v>
      </c>
      <c r="N120" s="14" t="s">
        <v>9158</v>
      </c>
      <c r="O120" s="14" t="s">
        <v>9158</v>
      </c>
      <c r="P120" s="14" t="s">
        <v>9158</v>
      </c>
      <c r="Q120" s="14" t="s">
        <v>9158</v>
      </c>
    </row>
    <row r="121" spans="1:17">
      <c r="A121" s="14">
        <v>59863</v>
      </c>
      <c r="B121" s="14" t="s">
        <v>334</v>
      </c>
      <c r="C121" s="14" t="s">
        <v>165</v>
      </c>
      <c r="D121" s="19" t="s">
        <v>318</v>
      </c>
      <c r="E121" s="15" t="str">
        <f>HYPERLINK("https://stat100.ameba.jp/tnk47/ratio20/illustrations/card/ill_59863_yoseiichimokuren03.jpg?202107-5-RELEASE-marathon-541xx", "■")</f>
        <v>■</v>
      </c>
      <c r="F121" s="14" t="s">
        <v>319</v>
      </c>
      <c r="G121" s="14">
        <v>120830</v>
      </c>
      <c r="H121" s="14">
        <v>112369</v>
      </c>
      <c r="I121" s="14">
        <v>29</v>
      </c>
      <c r="J121" s="14" t="s">
        <v>320</v>
      </c>
      <c r="K121" s="14" t="s">
        <v>321</v>
      </c>
      <c r="L121" s="14" t="s">
        <v>322</v>
      </c>
      <c r="M121" s="14" t="s">
        <v>9158</v>
      </c>
      <c r="N121" s="14" t="s">
        <v>9158</v>
      </c>
      <c r="O121" s="14" t="s">
        <v>9158</v>
      </c>
      <c r="P121" s="14" t="s">
        <v>9158</v>
      </c>
      <c r="Q121" s="14" t="s">
        <v>9158</v>
      </c>
    </row>
    <row r="122" spans="1:17">
      <c r="A122" s="14">
        <v>51823</v>
      </c>
      <c r="B122" s="14" t="s">
        <v>15</v>
      </c>
      <c r="C122" s="14" t="s">
        <v>101</v>
      </c>
      <c r="D122" s="19" t="s">
        <v>10587</v>
      </c>
      <c r="E122" s="15" t="str">
        <f>HYPERLINK("https://stat100.ameba.jp/tnk47/ratio20/illustrations/card/ill_51823_jukimatsu03.jpg?202107-5-RELEASE-marathon-541xx", "■")</f>
        <v>■</v>
      </c>
      <c r="F122" s="14" t="s">
        <v>6742</v>
      </c>
      <c r="G122" s="14">
        <v>64520</v>
      </c>
      <c r="H122" s="14">
        <v>71136</v>
      </c>
      <c r="I122" s="14">
        <v>24</v>
      </c>
      <c r="J122" s="14" t="s">
        <v>77</v>
      </c>
      <c r="K122" s="14" t="s">
        <v>6743</v>
      </c>
      <c r="L122" s="14" t="s">
        <v>6744</v>
      </c>
      <c r="M122" s="14" t="s">
        <v>9158</v>
      </c>
      <c r="N122" s="14" t="s">
        <v>9158</v>
      </c>
      <c r="O122" s="14" t="s">
        <v>9158</v>
      </c>
      <c r="P122" s="14" t="s">
        <v>9158</v>
      </c>
      <c r="Q122" s="14" t="s">
        <v>9158</v>
      </c>
    </row>
    <row r="123" spans="1:17">
      <c r="A123" s="14">
        <v>51773</v>
      </c>
      <c r="B123" s="14" t="s">
        <v>15</v>
      </c>
      <c r="C123" s="14" t="s">
        <v>205</v>
      </c>
      <c r="D123" s="19" t="s">
        <v>10588</v>
      </c>
      <c r="E123" s="15" t="str">
        <f>HYPERLINK("https://stat100.ameba.jp/tnk47/ratio20/illustrations/card/ill_51773_kawaasobikanekomisuzu03.jpg?202107-5-RELEASE-marathon-541xx", "■")</f>
        <v>■</v>
      </c>
      <c r="F123" s="14" t="s">
        <v>6747</v>
      </c>
      <c r="G123" s="14">
        <v>71136</v>
      </c>
      <c r="H123" s="14">
        <v>64520</v>
      </c>
      <c r="I123" s="14">
        <v>24</v>
      </c>
      <c r="J123" s="14" t="s">
        <v>10</v>
      </c>
      <c r="K123" s="14" t="s">
        <v>6746</v>
      </c>
      <c r="L123" s="14" t="s">
        <v>6745</v>
      </c>
      <c r="M123" s="14" t="s">
        <v>9158</v>
      </c>
      <c r="N123" s="14" t="s">
        <v>9158</v>
      </c>
      <c r="O123" s="14" t="s">
        <v>9158</v>
      </c>
      <c r="P123" s="14" t="s">
        <v>9158</v>
      </c>
      <c r="Q123" s="14" t="s">
        <v>9158</v>
      </c>
    </row>
    <row r="124" spans="1:17">
      <c r="A124" s="14">
        <v>51733</v>
      </c>
      <c r="B124" s="14" t="s">
        <v>15</v>
      </c>
      <c r="C124" s="14" t="s">
        <v>185</v>
      </c>
      <c r="D124" s="19" t="s">
        <v>10589</v>
      </c>
      <c r="E124" s="15" t="str">
        <f>HYPERLINK("https://stat100.ameba.jp/tnk47/ratio20/illustrations/card/ill_51733_ekusoshisutopoiyampe03.jpg?202107-5-RELEASE-marathon-541xx", "■")</f>
        <v>■</v>
      </c>
      <c r="F124" s="14" t="s">
        <v>6750</v>
      </c>
      <c r="G124" s="14">
        <v>64520</v>
      </c>
      <c r="H124" s="14">
        <v>71136</v>
      </c>
      <c r="I124" s="14">
        <v>24</v>
      </c>
      <c r="J124" s="14" t="s">
        <v>274</v>
      </c>
      <c r="K124" s="14" t="s">
        <v>6749</v>
      </c>
      <c r="L124" s="14" t="s">
        <v>6748</v>
      </c>
      <c r="M124" s="14" t="s">
        <v>9158</v>
      </c>
      <c r="N124" s="14" t="s">
        <v>9158</v>
      </c>
      <c r="O124" s="14" t="s">
        <v>9158</v>
      </c>
      <c r="P124" s="14" t="s">
        <v>9158</v>
      </c>
      <c r="Q124" s="14" t="s">
        <v>9158</v>
      </c>
    </row>
    <row r="125" spans="1:17">
      <c r="A125" s="14">
        <v>55743</v>
      </c>
      <c r="B125" s="14" t="s">
        <v>15</v>
      </c>
      <c r="C125" s="14" t="s">
        <v>96</v>
      </c>
      <c r="D125" s="19" t="s">
        <v>10590</v>
      </c>
      <c r="E125" s="15" t="str">
        <f>HYPERLINK("https://stat100.ameba.jp/tnk47/ratio20/illustrations/card/ill_55743_nankoume03.jpg?202107-5-RELEASE-marathon-541xx", "■")</f>
        <v>■</v>
      </c>
      <c r="F125" s="14" t="s">
        <v>4308</v>
      </c>
      <c r="G125" s="14">
        <v>64520</v>
      </c>
      <c r="H125" s="14">
        <v>71136</v>
      </c>
      <c r="I125" s="14">
        <v>24</v>
      </c>
      <c r="J125" s="14" t="s">
        <v>216</v>
      </c>
      <c r="K125" s="14" t="s">
        <v>4310</v>
      </c>
      <c r="L125" s="14" t="s">
        <v>4311</v>
      </c>
      <c r="M125" s="14" t="s">
        <v>9158</v>
      </c>
      <c r="N125" s="14" t="s">
        <v>9158</v>
      </c>
      <c r="O125" s="14" t="s">
        <v>9158</v>
      </c>
      <c r="P125" s="14" t="s">
        <v>9158</v>
      </c>
      <c r="Q125" s="14" t="s">
        <v>9158</v>
      </c>
    </row>
    <row r="183" spans="1:17">
      <c r="A183" s="14" t="s">
        <v>3916</v>
      </c>
    </row>
    <row r="184" spans="1:17">
      <c r="A184" s="14">
        <v>109961</v>
      </c>
      <c r="B184" s="14" t="s">
        <v>14222</v>
      </c>
    </row>
    <row r="185" spans="1:17">
      <c r="A185" s="14">
        <v>71013</v>
      </c>
      <c r="B185" s="14" t="s">
        <v>334</v>
      </c>
      <c r="C185" s="14" t="s">
        <v>154</v>
      </c>
      <c r="D185" s="19" t="s">
        <v>837</v>
      </c>
      <c r="E185" s="15" t="str">
        <f>HYPERLINK("https://stat100.ameba.jp/tnk47/ratio20/illustrations/card/ill_71013_fujutsushisarashina03.jpg?202107-5-RELEASE-marathon-541xx", "■")</f>
        <v>■</v>
      </c>
      <c r="F185" s="14" t="s">
        <v>838</v>
      </c>
      <c r="G185" s="14">
        <v>116296</v>
      </c>
      <c r="H185" s="14">
        <v>125078</v>
      </c>
      <c r="I185" s="14">
        <v>29</v>
      </c>
      <c r="J185" s="14" t="s">
        <v>155</v>
      </c>
      <c r="K185" s="14" t="s">
        <v>1231</v>
      </c>
      <c r="L185" s="14" t="s">
        <v>13152</v>
      </c>
      <c r="M185" s="14" t="s">
        <v>9864</v>
      </c>
      <c r="N185" s="14" t="s">
        <v>9158</v>
      </c>
      <c r="O185" s="14" t="s">
        <v>9158</v>
      </c>
      <c r="P185" s="14" t="s">
        <v>9158</v>
      </c>
      <c r="Q185" s="14" t="s">
        <v>9158</v>
      </c>
    </row>
    <row r="186" spans="1:17">
      <c r="A186" s="14">
        <v>71023</v>
      </c>
      <c r="B186" s="14" t="s">
        <v>334</v>
      </c>
      <c r="C186" s="14" t="s">
        <v>158</v>
      </c>
      <c r="D186" s="19" t="s">
        <v>841</v>
      </c>
      <c r="E186" s="15" t="str">
        <f>HYPERLINK("https://stat100.ameba.jp/tnk47/ratio20/illustrations/card/ill_71023_ommyojiiroha03.jpg?202107-5-RELEASE-marathon-541xx", "■")</f>
        <v>■</v>
      </c>
      <c r="F186" s="14" t="s">
        <v>842</v>
      </c>
      <c r="G186" s="14">
        <v>116296</v>
      </c>
      <c r="H186" s="14">
        <v>125078</v>
      </c>
      <c r="I186" s="14">
        <v>29</v>
      </c>
      <c r="J186" s="14" t="s">
        <v>159</v>
      </c>
      <c r="K186" s="14" t="s">
        <v>1232</v>
      </c>
      <c r="L186" s="14" t="s">
        <v>1233</v>
      </c>
      <c r="M186" s="14" t="s">
        <v>9158</v>
      </c>
      <c r="N186" s="14" t="s">
        <v>9158</v>
      </c>
      <c r="O186" s="14" t="s">
        <v>9158</v>
      </c>
      <c r="P186" s="14" t="s">
        <v>9158</v>
      </c>
      <c r="Q186" s="14" t="s">
        <v>9158</v>
      </c>
    </row>
    <row r="187" spans="1:17">
      <c r="A187" s="14">
        <v>66053</v>
      </c>
      <c r="B187" s="14" t="s">
        <v>334</v>
      </c>
      <c r="C187" s="14" t="s">
        <v>205</v>
      </c>
      <c r="D187" s="19" t="s">
        <v>3046</v>
      </c>
      <c r="E187" s="15" t="str">
        <f>HYPERLINK("https://stat100.ameba.jp/tnk47/ratio20/illustrations/card/ill_66053_serebukushiyatamanokami03.jpg?202107-5-RELEASE-marathon-541xx", "■")</f>
        <v>■</v>
      </c>
      <c r="F187" s="14" t="s">
        <v>2265</v>
      </c>
      <c r="G187" s="14">
        <v>118287</v>
      </c>
      <c r="H187" s="14">
        <v>109970</v>
      </c>
      <c r="I187" s="14">
        <v>29</v>
      </c>
      <c r="J187" s="14" t="s">
        <v>44</v>
      </c>
      <c r="K187" s="14" t="s">
        <v>2266</v>
      </c>
      <c r="L187" s="14" t="s">
        <v>1860</v>
      </c>
      <c r="M187" s="14" t="s">
        <v>9158</v>
      </c>
      <c r="N187" s="14" t="s">
        <v>9158</v>
      </c>
      <c r="O187" s="14" t="s">
        <v>9158</v>
      </c>
      <c r="P187" s="14" t="s">
        <v>9158</v>
      </c>
      <c r="Q187" s="14" t="s">
        <v>9158</v>
      </c>
    </row>
    <row r="188" spans="1:17">
      <c r="A188" s="14">
        <v>65923</v>
      </c>
      <c r="B188" s="14" t="s">
        <v>334</v>
      </c>
      <c r="C188" s="14" t="s">
        <v>185</v>
      </c>
      <c r="D188" s="19" t="s">
        <v>10204</v>
      </c>
      <c r="E188" s="15" t="str">
        <f>HYPERLINK("https://stat100.ameba.jp/tnk47/ratio20/illustrations/card/ill_65923_arabianginko03.jpg?202107-5-RELEASE-marathon-541xx", "■")</f>
        <v>■</v>
      </c>
      <c r="F188" s="14" t="s">
        <v>4978</v>
      </c>
      <c r="G188" s="14">
        <v>120830</v>
      </c>
      <c r="H188" s="14">
        <v>112369</v>
      </c>
      <c r="I188" s="14">
        <v>29</v>
      </c>
      <c r="J188" s="14" t="s">
        <v>182</v>
      </c>
      <c r="K188" s="14" t="s">
        <v>3679</v>
      </c>
      <c r="L188" s="14" t="s">
        <v>13188</v>
      </c>
      <c r="M188" s="14" t="s">
        <v>9158</v>
      </c>
      <c r="N188" s="14" t="s">
        <v>9158</v>
      </c>
      <c r="O188" s="14" t="s">
        <v>9158</v>
      </c>
      <c r="P188" s="14" t="s">
        <v>9158</v>
      </c>
      <c r="Q188" s="14" t="s">
        <v>9158</v>
      </c>
    </row>
    <row r="189" spans="1:17">
      <c r="A189" s="14">
        <v>52863</v>
      </c>
      <c r="B189" s="14" t="s">
        <v>15</v>
      </c>
      <c r="C189" s="14" t="s">
        <v>191</v>
      </c>
      <c r="D189" s="19" t="s">
        <v>10516</v>
      </c>
      <c r="E189" s="15" t="str">
        <f>HYPERLINK("https://stat100.ameba.jp/tnk47/ratio20/illustrations/card/ill_52863_andoroidokingyonota03.jpg?202107-5-RELEASE-marathon-541xx", "■")</f>
        <v>■</v>
      </c>
      <c r="F189" s="14" t="s">
        <v>6409</v>
      </c>
      <c r="G189" s="14">
        <v>64520</v>
      </c>
      <c r="H189" s="14">
        <v>71136</v>
      </c>
      <c r="I189" s="14">
        <v>24</v>
      </c>
      <c r="J189" s="14" t="s">
        <v>38</v>
      </c>
      <c r="K189" s="14" t="s">
        <v>6407</v>
      </c>
      <c r="L189" s="14" t="s">
        <v>6406</v>
      </c>
      <c r="M189" s="14" t="s">
        <v>9158</v>
      </c>
      <c r="N189" s="14" t="s">
        <v>9158</v>
      </c>
      <c r="O189" s="14" t="s">
        <v>9158</v>
      </c>
      <c r="P189" s="14" t="s">
        <v>9158</v>
      </c>
      <c r="Q189" s="14" t="s">
        <v>9158</v>
      </c>
    </row>
    <row r="190" spans="1:17">
      <c r="A190" s="14">
        <v>51593</v>
      </c>
      <c r="B190" s="14" t="s">
        <v>15</v>
      </c>
      <c r="C190" s="14" t="s">
        <v>200</v>
      </c>
      <c r="D190" s="19" t="s">
        <v>10517</v>
      </c>
      <c r="E190" s="15" t="str">
        <f>HYPERLINK("https://stat100.ameba.jp/tnk47/ratio20/illustrations/card/ill_51593_kishuhondatadakatsu03.jpg?202107-5-RELEASE-marathon-541xx", "■")</f>
        <v>■</v>
      </c>
      <c r="F190" s="14" t="s">
        <v>6413</v>
      </c>
      <c r="G190" s="14">
        <v>64520</v>
      </c>
      <c r="H190" s="14">
        <v>71136</v>
      </c>
      <c r="I190" s="14">
        <v>24</v>
      </c>
      <c r="J190" s="14" t="s">
        <v>143</v>
      </c>
      <c r="K190" s="14" t="s">
        <v>6411</v>
      </c>
      <c r="L190" s="14" t="s">
        <v>6410</v>
      </c>
      <c r="M190" s="14" t="s">
        <v>9158</v>
      </c>
      <c r="N190" s="14" t="s">
        <v>9158</v>
      </c>
      <c r="O190" s="14" t="s">
        <v>9158</v>
      </c>
      <c r="P190" s="14" t="s">
        <v>9158</v>
      </c>
      <c r="Q190" s="14" t="s">
        <v>9158</v>
      </c>
    </row>
    <row r="191" spans="1:17">
      <c r="A191" s="14">
        <v>55403</v>
      </c>
      <c r="B191" s="14" t="s">
        <v>15</v>
      </c>
      <c r="C191" s="14" t="s">
        <v>165</v>
      </c>
      <c r="D191" s="19" t="s">
        <v>10518</v>
      </c>
      <c r="E191" s="15" t="str">
        <f>HYPERLINK("https://stat100.ameba.jp/tnk47/ratio20/illustrations/card/ill_55403_undokaikyogokumaria03.jpg?202107-5-RELEASE-marathon-541xx", "■")</f>
        <v>■</v>
      </c>
      <c r="F191" s="14" t="s">
        <v>6417</v>
      </c>
      <c r="G191" s="14">
        <v>71136</v>
      </c>
      <c r="H191" s="14">
        <v>64520</v>
      </c>
      <c r="I191" s="14">
        <v>24</v>
      </c>
      <c r="J191" s="14" t="s">
        <v>77</v>
      </c>
      <c r="K191" s="14" t="s">
        <v>6415</v>
      </c>
      <c r="L191" s="14" t="s">
        <v>6414</v>
      </c>
      <c r="M191" s="14" t="s">
        <v>9158</v>
      </c>
      <c r="N191" s="14" t="s">
        <v>9158</v>
      </c>
      <c r="O191" s="14" t="s">
        <v>9158</v>
      </c>
      <c r="P191" s="14" t="s">
        <v>9158</v>
      </c>
      <c r="Q191" s="14" t="s">
        <v>9158</v>
      </c>
    </row>
    <row r="192" spans="1:17">
      <c r="A192" s="14">
        <v>52973</v>
      </c>
      <c r="B192" s="14" t="s">
        <v>15</v>
      </c>
      <c r="C192" s="14" t="s">
        <v>206</v>
      </c>
      <c r="D192" s="19" t="s">
        <v>10519</v>
      </c>
      <c r="E192" s="15" t="str">
        <f>HYPERLINK("https://stat100.ameba.jp/tnk47/ratio20/illustrations/card/ill_55403_undokaikyogokumaria03.jpg?202107-5-RELEASE-marathon-541xx", "■")</f>
        <v>■</v>
      </c>
      <c r="F192" s="14" t="s">
        <v>6421</v>
      </c>
      <c r="G192" s="14">
        <v>71136</v>
      </c>
      <c r="H192" s="14">
        <v>64520</v>
      </c>
      <c r="I192" s="14">
        <v>24</v>
      </c>
      <c r="J192" s="14" t="s">
        <v>44</v>
      </c>
      <c r="K192" s="14" t="s">
        <v>6419</v>
      </c>
      <c r="L192" s="14" t="s">
        <v>6418</v>
      </c>
      <c r="M192" s="14" t="s">
        <v>9158</v>
      </c>
      <c r="N192" s="14" t="s">
        <v>9158</v>
      </c>
      <c r="O192" s="14" t="s">
        <v>9158</v>
      </c>
      <c r="P192" s="14" t="s">
        <v>9158</v>
      </c>
      <c r="Q192" s="14" t="s">
        <v>9158</v>
      </c>
    </row>
    <row r="220" spans="1:18">
      <c r="A220" s="14" t="s">
        <v>13327</v>
      </c>
    </row>
    <row r="221" spans="1:18">
      <c r="A221" s="14">
        <v>110031</v>
      </c>
      <c r="B221" s="14" t="s">
        <v>5651</v>
      </c>
    </row>
    <row r="222" spans="1:18">
      <c r="A222" s="14">
        <v>83973</v>
      </c>
      <c r="B222" s="14" t="s">
        <v>334</v>
      </c>
      <c r="C222" s="14" t="s">
        <v>14</v>
      </c>
      <c r="D222" s="19" t="s">
        <v>10570</v>
      </c>
      <c r="E222" s="15" t="str">
        <f>HYPERLINK("https://stat100.ameba.jp/tnk47/ratio20/illustrations/card/ill_83973_nekokishiirurosu03.jpg?202107-5-RELEASE-marathon-541xx", "■")</f>
        <v>■</v>
      </c>
      <c r="F222" s="14" t="s">
        <v>6706</v>
      </c>
      <c r="G222" s="14">
        <v>142768</v>
      </c>
      <c r="H222" s="14">
        <v>132737</v>
      </c>
      <c r="I222" s="14">
        <v>29</v>
      </c>
      <c r="J222" s="14" t="s">
        <v>229</v>
      </c>
      <c r="K222" s="14" t="s">
        <v>6707</v>
      </c>
      <c r="L222" s="14" t="s">
        <v>13202</v>
      </c>
      <c r="M222" s="14" t="s">
        <v>13130</v>
      </c>
      <c r="N222" s="14" t="s">
        <v>343</v>
      </c>
      <c r="O222" s="14" t="s">
        <v>9158</v>
      </c>
      <c r="P222" s="14" t="s">
        <v>9158</v>
      </c>
      <c r="Q222" s="14" t="s">
        <v>9158</v>
      </c>
      <c r="R222" s="14" t="s">
        <v>14748</v>
      </c>
    </row>
    <row r="223" spans="1:18">
      <c r="A223" s="14">
        <v>83972</v>
      </c>
      <c r="B223" s="14" t="s">
        <v>334</v>
      </c>
      <c r="C223" s="14" t="s">
        <v>14</v>
      </c>
      <c r="D223" s="19" t="s">
        <v>10570</v>
      </c>
      <c r="E223" s="15" t="str">
        <f>HYPERLINK("https://stat100.ameba.jp/tnk47/ratio20/illustrations/card/ill_83972_nekokishiirurosu02.jpg?202107-5-RELEASE-marathon-541xx", "■")</f>
        <v>■</v>
      </c>
      <c r="F223" s="14" t="s">
        <v>6706</v>
      </c>
      <c r="G223" s="14">
        <v>119345</v>
      </c>
      <c r="H223" s="14">
        <v>109938</v>
      </c>
      <c r="I223" s="14">
        <v>29</v>
      </c>
      <c r="J223" s="14" t="s">
        <v>229</v>
      </c>
      <c r="K223" s="14" t="s">
        <v>6707</v>
      </c>
      <c r="L223" s="14" t="s">
        <v>13201</v>
      </c>
      <c r="M223" s="14" t="s">
        <v>13131</v>
      </c>
      <c r="N223" s="14" t="s">
        <v>251</v>
      </c>
      <c r="O223" s="14" t="s">
        <v>9158</v>
      </c>
      <c r="P223" s="14" t="s">
        <v>9158</v>
      </c>
      <c r="Q223" s="14" t="s">
        <v>9158</v>
      </c>
      <c r="R223" s="14" t="s">
        <v>14748</v>
      </c>
    </row>
    <row r="224" spans="1:18">
      <c r="A224" s="14">
        <v>83971</v>
      </c>
      <c r="B224" s="14" t="s">
        <v>0</v>
      </c>
      <c r="C224" s="14" t="s">
        <v>14</v>
      </c>
      <c r="D224" s="19" t="s">
        <v>10570</v>
      </c>
      <c r="E224" s="15" t="str">
        <f>HYPERLINK("https://stat100.ameba.jp/tnk47/ratio20/illustrations/card/ill_83971_nekokishiirurosu01.jpg?202107-5-RELEASE-marathon-541xx", "■")</f>
        <v>■</v>
      </c>
      <c r="F224" s="14" t="s">
        <v>6706</v>
      </c>
      <c r="G224" s="14">
        <v>91118</v>
      </c>
      <c r="H224" s="14">
        <v>84825</v>
      </c>
      <c r="I224" s="14">
        <v>29</v>
      </c>
      <c r="J224" s="14" t="s">
        <v>229</v>
      </c>
      <c r="K224" s="14" t="s">
        <v>6707</v>
      </c>
      <c r="L224" s="14" t="s">
        <v>13201</v>
      </c>
      <c r="M224" s="14" t="s">
        <v>13131</v>
      </c>
      <c r="N224" s="14" t="s">
        <v>251</v>
      </c>
      <c r="O224" s="14" t="s">
        <v>9158</v>
      </c>
      <c r="P224" s="14" t="s">
        <v>9158</v>
      </c>
      <c r="Q224" s="14" t="s">
        <v>9158</v>
      </c>
      <c r="R224" s="14" t="s">
        <v>14748</v>
      </c>
    </row>
    <row r="225" spans="1:18">
      <c r="A225" s="14">
        <v>83983</v>
      </c>
      <c r="B225" s="14" t="s">
        <v>334</v>
      </c>
      <c r="C225" s="14" t="s">
        <v>23</v>
      </c>
      <c r="D225" s="19" t="s">
        <v>10571</v>
      </c>
      <c r="E225" s="15" t="str">
        <f>HYPERLINK("https://stat100.ameba.jp/tnk47/ratio20/illustrations/card/ill_83983_ryujinsui03.jpg?202107-5-RELEASE-marathon-541xx", "■")</f>
        <v>■</v>
      </c>
      <c r="F225" s="14" t="s">
        <v>6708</v>
      </c>
      <c r="G225" s="14">
        <v>132737</v>
      </c>
      <c r="H225" s="14">
        <v>142768</v>
      </c>
      <c r="I225" s="14">
        <v>29</v>
      </c>
      <c r="J225" s="14" t="s">
        <v>169</v>
      </c>
      <c r="K225" s="14" t="s">
        <v>6710</v>
      </c>
      <c r="L225" s="14" t="s">
        <v>6721</v>
      </c>
      <c r="M225" s="14" t="s">
        <v>13130</v>
      </c>
      <c r="N225" s="14" t="s">
        <v>343</v>
      </c>
      <c r="O225" s="14" t="s">
        <v>9158</v>
      </c>
      <c r="P225" s="14" t="s">
        <v>9158</v>
      </c>
      <c r="Q225" s="14" t="s">
        <v>9158</v>
      </c>
      <c r="R225" s="14" t="s">
        <v>14748</v>
      </c>
    </row>
    <row r="226" spans="1:18">
      <c r="A226" s="14">
        <v>83993</v>
      </c>
      <c r="B226" s="14" t="s">
        <v>334</v>
      </c>
      <c r="C226" s="14" t="s">
        <v>101</v>
      </c>
      <c r="D226" s="19" t="s">
        <v>10572</v>
      </c>
      <c r="E226" s="15" t="str">
        <f>HYPERLINK("https://stat100.ameba.jp/tnk47/ratio20/illustrations/card/ill_83993_enjieruzuranotamagochan03.jpg?202107-5-RELEASE-marathon-541xx", "■")</f>
        <v>■</v>
      </c>
      <c r="F226" s="14" t="s">
        <v>6722</v>
      </c>
      <c r="G226" s="14">
        <v>132737</v>
      </c>
      <c r="H226" s="14">
        <v>142768</v>
      </c>
      <c r="I226" s="14">
        <v>29</v>
      </c>
      <c r="J226" s="14" t="s">
        <v>216</v>
      </c>
      <c r="K226" s="14" t="s">
        <v>6723</v>
      </c>
      <c r="L226" s="14" t="s">
        <v>6724</v>
      </c>
      <c r="M226" s="14" t="s">
        <v>13130</v>
      </c>
      <c r="N226" s="14" t="s">
        <v>343</v>
      </c>
      <c r="O226" s="14" t="s">
        <v>9158</v>
      </c>
      <c r="P226" s="14" t="s">
        <v>9158</v>
      </c>
      <c r="Q226" s="14" t="s">
        <v>9158</v>
      </c>
      <c r="R226" s="14" t="s">
        <v>14748</v>
      </c>
    </row>
    <row r="227" spans="1:18">
      <c r="A227" s="14">
        <v>84003</v>
      </c>
      <c r="B227" s="14" t="s">
        <v>0</v>
      </c>
      <c r="C227" s="14" t="s">
        <v>96</v>
      </c>
      <c r="D227" s="19" t="s">
        <v>10573</v>
      </c>
      <c r="E227" s="15" t="str">
        <f>HYPERLINK("https://stat100.ameba.jp/tnk47/ratio20/illustrations/card/ill_84003_sukoropendora03.jpg?202107-5-RELEASE-marathon-541xx", "■")</f>
        <v>■</v>
      </c>
      <c r="F227" s="14" t="s">
        <v>6725</v>
      </c>
      <c r="G227" s="14">
        <v>142768</v>
      </c>
      <c r="H227" s="14">
        <v>132737</v>
      </c>
      <c r="I227" s="14">
        <v>29</v>
      </c>
      <c r="J227" s="14" t="s">
        <v>182</v>
      </c>
      <c r="K227" s="14" t="s">
        <v>6727</v>
      </c>
      <c r="L227" s="14" t="s">
        <v>6728</v>
      </c>
      <c r="M227" s="14" t="s">
        <v>13130</v>
      </c>
      <c r="N227" s="14" t="s">
        <v>343</v>
      </c>
      <c r="O227" s="14" t="s">
        <v>9158</v>
      </c>
      <c r="P227" s="14" t="s">
        <v>9158</v>
      </c>
      <c r="Q227" s="14" t="s">
        <v>9158</v>
      </c>
      <c r="R227" s="14" t="s">
        <v>14748</v>
      </c>
    </row>
    <row r="228" spans="1:18">
      <c r="A228" s="14">
        <v>84013</v>
      </c>
      <c r="B228" s="14" t="s">
        <v>334</v>
      </c>
      <c r="C228" s="14" t="s">
        <v>205</v>
      </c>
      <c r="D228" s="19" t="s">
        <v>10574</v>
      </c>
      <c r="E228" s="15" t="str">
        <f>HYPERLINK("https://stat100.ameba.jp/tnk47/ratio20/illustrations/card/ill_84013_neikiddo03.jpg?202107-5-RELEASE-marathon-541xx", "■")</f>
        <v>■</v>
      </c>
      <c r="F228" s="14" t="s">
        <v>6729</v>
      </c>
      <c r="G228" s="14">
        <v>132737</v>
      </c>
      <c r="H228" s="14">
        <v>142768</v>
      </c>
      <c r="I228" s="14">
        <v>29</v>
      </c>
      <c r="J228" s="14" t="s">
        <v>194</v>
      </c>
      <c r="K228" s="14" t="s">
        <v>6731</v>
      </c>
      <c r="L228" s="14" t="s">
        <v>6732</v>
      </c>
      <c r="M228" s="14" t="s">
        <v>13130</v>
      </c>
      <c r="N228" s="14" t="s">
        <v>343</v>
      </c>
      <c r="O228" s="14" t="s">
        <v>9158</v>
      </c>
      <c r="P228" s="14" t="s">
        <v>9158</v>
      </c>
      <c r="Q228" s="14" t="s">
        <v>9158</v>
      </c>
      <c r="R228" s="14" t="s">
        <v>14748</v>
      </c>
    </row>
    <row r="229" spans="1:18">
      <c r="A229" s="14">
        <v>76763</v>
      </c>
      <c r="B229" s="14" t="s">
        <v>334</v>
      </c>
      <c r="C229" s="14" t="s">
        <v>107</v>
      </c>
      <c r="D229" s="19" t="s">
        <v>10575</v>
      </c>
      <c r="E229" s="15" t="str">
        <f>HYPERLINK("https://stat100.ameba.jp/tnk47/ratio20/illustrations/card/ill_76763_monsutanabeshimakeiginni03.jpg?202107-5-RELEASE-marathon-541xx", "■")</f>
        <v>■</v>
      </c>
      <c r="F229" s="14" t="s">
        <v>6733</v>
      </c>
      <c r="G229" s="14">
        <v>142768</v>
      </c>
      <c r="H229" s="14">
        <v>132737</v>
      </c>
      <c r="I229" s="14">
        <v>29</v>
      </c>
      <c r="J229" s="14" t="s">
        <v>187</v>
      </c>
      <c r="K229" s="14" t="s">
        <v>6735</v>
      </c>
      <c r="L229" s="14" t="s">
        <v>6736</v>
      </c>
      <c r="M229" s="14" t="s">
        <v>13130</v>
      </c>
      <c r="N229" s="14" t="s">
        <v>343</v>
      </c>
      <c r="O229" s="14" t="s">
        <v>9158</v>
      </c>
      <c r="P229" s="14" t="s">
        <v>9158</v>
      </c>
      <c r="Q229" s="14" t="s">
        <v>9158</v>
      </c>
      <c r="R229" s="14" t="s">
        <v>14748</v>
      </c>
    </row>
    <row r="240" spans="1:18">
      <c r="A240" s="14" t="s">
        <v>3916</v>
      </c>
    </row>
    <row r="241" spans="1:17">
      <c r="A241" s="14">
        <v>110051</v>
      </c>
      <c r="B241" s="14" t="s">
        <v>17448</v>
      </c>
      <c r="I241" s="9"/>
    </row>
    <row r="242" spans="1:17">
      <c r="A242" s="9">
        <v>60363</v>
      </c>
      <c r="B242" s="14" t="s">
        <v>0</v>
      </c>
      <c r="C242" s="14" t="s">
        <v>209</v>
      </c>
      <c r="D242" s="14" t="s">
        <v>3918</v>
      </c>
      <c r="E242" s="15" t="str">
        <f>HYPERLINK("https://stat100.ameba.jp/tnk47/ratio20/illustrations/card/ill_60363_shirakaba03.jpg?202107-5-RELEASE-marathon-541xx", "■")</f>
        <v>■</v>
      </c>
      <c r="F242" s="14" t="s">
        <v>3919</v>
      </c>
      <c r="G242" s="14">
        <v>116296</v>
      </c>
      <c r="H242" s="14">
        <v>125078</v>
      </c>
      <c r="I242" s="9">
        <v>29</v>
      </c>
      <c r="J242" s="14" t="s">
        <v>26</v>
      </c>
      <c r="K242" s="14" t="s">
        <v>3920</v>
      </c>
      <c r="L242" s="14" t="s">
        <v>3921</v>
      </c>
      <c r="M242" s="14" t="s">
        <v>9158</v>
      </c>
      <c r="N242" s="14" t="s">
        <v>9158</v>
      </c>
      <c r="O242" s="14" t="s">
        <v>9158</v>
      </c>
      <c r="P242" s="14" t="s">
        <v>9158</v>
      </c>
      <c r="Q242" s="14" t="s">
        <v>9158</v>
      </c>
    </row>
    <row r="243" spans="1:17">
      <c r="A243" s="9">
        <v>59413</v>
      </c>
      <c r="B243" s="14" t="s">
        <v>334</v>
      </c>
      <c r="C243" s="14" t="s">
        <v>158</v>
      </c>
      <c r="D243" s="14" t="s">
        <v>3922</v>
      </c>
      <c r="E243" s="15" t="str">
        <f>HYPERLINK("https://stat100.ameba.jp/tnk47/ratio20/illustrations/card/ill_59413_otogosahime03.jpg?202107-5-RELEASE-marathon-541xx", "■")</f>
        <v>■</v>
      </c>
      <c r="F243" s="14" t="s">
        <v>3923</v>
      </c>
      <c r="G243" s="14">
        <v>116296</v>
      </c>
      <c r="H243" s="14">
        <v>125078</v>
      </c>
      <c r="I243" s="14">
        <v>29</v>
      </c>
      <c r="J243" s="14" t="s">
        <v>38</v>
      </c>
      <c r="K243" s="14" t="s">
        <v>3924</v>
      </c>
      <c r="L243" s="14" t="s">
        <v>3925</v>
      </c>
      <c r="M243" s="14" t="s">
        <v>9158</v>
      </c>
      <c r="N243" s="14" t="s">
        <v>9158</v>
      </c>
      <c r="O243" s="14" t="s">
        <v>9158</v>
      </c>
      <c r="P243" s="14" t="s">
        <v>9158</v>
      </c>
      <c r="Q243" s="14" t="s">
        <v>9158</v>
      </c>
    </row>
    <row r="244" spans="1:17">
      <c r="A244" s="14">
        <v>76483</v>
      </c>
      <c r="B244" s="14" t="s">
        <v>334</v>
      </c>
      <c r="C244" s="14" t="s">
        <v>307</v>
      </c>
      <c r="D244" s="20" t="s">
        <v>589</v>
      </c>
      <c r="E244" s="15" t="str">
        <f>HYPERLINK("https://stat100.ameba.jp/tnk47/ratio20/illustrations/card/ill_76483_yukemurimizuhanome03.jpg?202107-5-RELEASE-marathon-541xx", "■")</f>
        <v>■</v>
      </c>
      <c r="F244" s="14" t="s">
        <v>590</v>
      </c>
      <c r="G244" s="14">
        <v>118287</v>
      </c>
      <c r="H244" s="14">
        <v>109970</v>
      </c>
      <c r="I244" s="9">
        <v>29</v>
      </c>
      <c r="J244" s="14" t="s">
        <v>401</v>
      </c>
      <c r="K244" s="14" t="s">
        <v>591</v>
      </c>
      <c r="L244" s="14" t="s">
        <v>592</v>
      </c>
      <c r="M244" s="14" t="s">
        <v>9158</v>
      </c>
      <c r="N244" s="14" t="s">
        <v>9158</v>
      </c>
      <c r="O244" s="14" t="s">
        <v>9158</v>
      </c>
      <c r="P244" s="14" t="s">
        <v>9158</v>
      </c>
      <c r="Q244" s="14" t="s">
        <v>9158</v>
      </c>
    </row>
    <row r="245" spans="1:17">
      <c r="A245" s="14">
        <v>70023</v>
      </c>
      <c r="B245" s="14" t="s">
        <v>334</v>
      </c>
      <c r="C245" s="14" t="s">
        <v>344</v>
      </c>
      <c r="D245" s="20" t="s">
        <v>10230</v>
      </c>
      <c r="E245" s="15" t="str">
        <f>HYPERLINK("https://stat100.ameba.jp/tnk47/ratio20/illustrations/card/ill_70023_yukinoukokunabeshimanobakeneko03.jpg?202107-5-RELEASE-marathon-541xx", "■")</f>
        <v>■</v>
      </c>
      <c r="F245" s="14" t="s">
        <v>769</v>
      </c>
      <c r="G245" s="14">
        <v>112369</v>
      </c>
      <c r="H245" s="14">
        <v>120830</v>
      </c>
      <c r="I245" s="14">
        <v>29</v>
      </c>
      <c r="J245" s="14" t="s">
        <v>320</v>
      </c>
      <c r="K245" s="14" t="s">
        <v>770</v>
      </c>
      <c r="L245" s="14" t="s">
        <v>771</v>
      </c>
      <c r="M245" s="14" t="s">
        <v>9158</v>
      </c>
      <c r="N245" s="14" t="s">
        <v>9158</v>
      </c>
      <c r="O245" s="14" t="s">
        <v>9158</v>
      </c>
      <c r="P245" s="14" t="s">
        <v>9158</v>
      </c>
      <c r="Q245" s="14" t="s">
        <v>9158</v>
      </c>
    </row>
    <row r="246" spans="1:17">
      <c r="A246" s="14">
        <v>52733</v>
      </c>
      <c r="B246" s="14" t="s">
        <v>15</v>
      </c>
      <c r="C246" s="14" t="s">
        <v>185</v>
      </c>
      <c r="D246" s="20" t="s">
        <v>10491</v>
      </c>
      <c r="E246" s="15" t="str">
        <f>HYPERLINK("https://stat100.ameba.jp/tnk47/ratio20/illustrations/card/ill_52733_sekkinambutsuruhime03.jpg?202107-5-RELEASE-marathon-541xx", "■")</f>
        <v>■</v>
      </c>
      <c r="F246" s="14" t="s">
        <v>6246</v>
      </c>
      <c r="G246" s="14">
        <v>64520</v>
      </c>
      <c r="H246" s="14">
        <v>71136</v>
      </c>
      <c r="I246" s="14">
        <v>24</v>
      </c>
      <c r="J246" s="14" t="s">
        <v>77</v>
      </c>
      <c r="K246" s="14" t="s">
        <v>6248</v>
      </c>
      <c r="L246" s="14" t="s">
        <v>6249</v>
      </c>
      <c r="M246" s="14" t="s">
        <v>9158</v>
      </c>
      <c r="N246" s="14" t="s">
        <v>9158</v>
      </c>
      <c r="O246" s="14" t="s">
        <v>9158</v>
      </c>
      <c r="P246" s="14" t="s">
        <v>9158</v>
      </c>
      <c r="Q246" s="14" t="s">
        <v>9158</v>
      </c>
    </row>
    <row r="247" spans="1:17">
      <c r="A247" s="14">
        <v>54003</v>
      </c>
      <c r="B247" s="14" t="s">
        <v>15</v>
      </c>
      <c r="C247" s="14" t="s">
        <v>200</v>
      </c>
      <c r="D247" s="20" t="s">
        <v>10492</v>
      </c>
      <c r="E247" s="15" t="str">
        <f>HYPERLINK("https://stat100.ameba.jp/tnk47/ratio20/illustrations/card/ill_54003_seiryumegurihiguchiichiyo03.jpg?202107-5-RELEASE-marathon-541xx", "■")</f>
        <v>■</v>
      </c>
      <c r="F247" s="14" t="s">
        <v>6250</v>
      </c>
      <c r="G247" s="14">
        <v>71136</v>
      </c>
      <c r="H247" s="14">
        <v>64520</v>
      </c>
      <c r="I247" s="14">
        <v>24</v>
      </c>
      <c r="J247" s="14" t="s">
        <v>10</v>
      </c>
      <c r="K247" s="14" t="s">
        <v>6252</v>
      </c>
      <c r="L247" s="14" t="s">
        <v>6253</v>
      </c>
      <c r="M247" s="14" t="s">
        <v>9158</v>
      </c>
      <c r="N247" s="14" t="s">
        <v>9158</v>
      </c>
      <c r="O247" s="14" t="s">
        <v>9158</v>
      </c>
      <c r="P247" s="14" t="s">
        <v>9158</v>
      </c>
      <c r="Q247" s="14" t="s">
        <v>9158</v>
      </c>
    </row>
    <row r="248" spans="1:17">
      <c r="A248" s="14">
        <v>51833</v>
      </c>
      <c r="B248" s="14" t="s">
        <v>15</v>
      </c>
      <c r="C248" s="14" t="s">
        <v>205</v>
      </c>
      <c r="D248" s="20" t="s">
        <v>10493</v>
      </c>
      <c r="E248" s="15" t="str">
        <f>HYPERLINK("https://stat100.ameba.jp/tnk47/ratio20/illustrations/card/ill_51833_jukimakitsuhikonomikoto03.jpg?202107-5-RELEASE-marathon-541xx", "■")</f>
        <v>■</v>
      </c>
      <c r="F248" s="14" t="s">
        <v>6254</v>
      </c>
      <c r="G248" s="14">
        <v>71136</v>
      </c>
      <c r="H248" s="14">
        <v>64520</v>
      </c>
      <c r="I248" s="14">
        <v>24</v>
      </c>
      <c r="J248" s="14" t="s">
        <v>44</v>
      </c>
      <c r="K248" s="14" t="s">
        <v>6257</v>
      </c>
      <c r="L248" s="14" t="s">
        <v>6256</v>
      </c>
      <c r="M248" s="14" t="s">
        <v>9158</v>
      </c>
      <c r="N248" s="14" t="s">
        <v>9158</v>
      </c>
      <c r="O248" s="14" t="s">
        <v>9158</v>
      </c>
      <c r="P248" s="14" t="s">
        <v>9158</v>
      </c>
      <c r="Q248" s="14" t="s">
        <v>9158</v>
      </c>
    </row>
    <row r="249" spans="1:17">
      <c r="A249" s="14">
        <v>53203</v>
      </c>
      <c r="B249" s="14" t="s">
        <v>15</v>
      </c>
      <c r="C249" s="14" t="s">
        <v>165</v>
      </c>
      <c r="D249" s="20" t="s">
        <v>10494</v>
      </c>
      <c r="E249" s="15" t="str">
        <f>HYPERLINK("https://stat100.ameba.jp/tnk47/ratio20/illustrations/card/ill_53203_buruhawaichan03.jpg?202107-5-RELEASE-marathon-541xx", "■")</f>
        <v>■</v>
      </c>
      <c r="F249" s="14" t="s">
        <v>6258</v>
      </c>
      <c r="G249" s="14">
        <v>64520</v>
      </c>
      <c r="H249" s="14">
        <v>71136</v>
      </c>
      <c r="I249" s="14">
        <v>24</v>
      </c>
      <c r="J249" s="14" t="s">
        <v>104</v>
      </c>
      <c r="K249" s="14" t="s">
        <v>6261</v>
      </c>
      <c r="L249" s="14" t="s">
        <v>6260</v>
      </c>
      <c r="M249" s="14" t="s">
        <v>9158</v>
      </c>
      <c r="N249" s="14" t="s">
        <v>9158</v>
      </c>
      <c r="O249" s="14" t="s">
        <v>9158</v>
      </c>
      <c r="P249" s="14" t="s">
        <v>9158</v>
      </c>
      <c r="Q249" s="14" t="s">
        <v>9158</v>
      </c>
    </row>
    <row r="272" spans="1:1">
      <c r="A272" s="14" t="s">
        <v>1711</v>
      </c>
    </row>
    <row r="273" spans="1:17">
      <c r="A273" s="14">
        <v>110112</v>
      </c>
      <c r="B273" s="14" t="s">
        <v>5718</v>
      </c>
    </row>
    <row r="274" spans="1:17">
      <c r="A274" s="14" t="s">
        <v>5619</v>
      </c>
      <c r="B274" s="14" t="s">
        <v>330</v>
      </c>
      <c r="C274" s="14" t="s">
        <v>202</v>
      </c>
      <c r="D274" s="19" t="s">
        <v>10348</v>
      </c>
      <c r="E274" s="15" t="str">
        <f>HYPERLINK("https://stat100.ameba.jp/tnk47/ratio20/illustrations/card/ill_81183_0_shinryokunokisetsuamaterasu03.jpg?202107-5-RELEASE-marathon-541xxxx", "■")</f>
        <v>■</v>
      </c>
      <c r="F274" s="14" t="s">
        <v>4505</v>
      </c>
      <c r="G274" s="14">
        <v>283637</v>
      </c>
      <c r="H274" s="14">
        <v>313857</v>
      </c>
      <c r="I274" s="14">
        <v>27</v>
      </c>
      <c r="J274" s="14" t="s">
        <v>44</v>
      </c>
      <c r="K274" s="14" t="s">
        <v>4506</v>
      </c>
      <c r="L274" s="14" t="s">
        <v>4507</v>
      </c>
      <c r="M274" s="14" t="s">
        <v>9158</v>
      </c>
      <c r="N274" s="14" t="s">
        <v>9158</v>
      </c>
      <c r="O274" s="19" t="s">
        <v>10083</v>
      </c>
      <c r="P274" s="14" t="s">
        <v>4509</v>
      </c>
      <c r="Q274" s="14">
        <v>0</v>
      </c>
    </row>
    <row r="275" spans="1:17">
      <c r="A275" s="14" t="s">
        <v>5650</v>
      </c>
      <c r="B275" s="14" t="s">
        <v>52</v>
      </c>
      <c r="C275" s="14" t="s">
        <v>23</v>
      </c>
      <c r="D275" s="20" t="s">
        <v>809</v>
      </c>
      <c r="E275" s="15" t="str">
        <f>HYPERLINK("https://stat100.ameba.jp/tnk47/ratio20/illustrations/card/ill_68033_0_kurisumasupateikandamyojin03.jpg?202107-5-RELEASE-marathon-541xxxx", "■")</f>
        <v>■</v>
      </c>
      <c r="F275" s="14" t="s">
        <v>1871</v>
      </c>
      <c r="G275" s="14">
        <v>171669</v>
      </c>
      <c r="H275" s="14">
        <v>184662</v>
      </c>
      <c r="I275" s="14">
        <v>27</v>
      </c>
      <c r="J275" s="14" t="s">
        <v>44</v>
      </c>
      <c r="K275" s="14" t="s">
        <v>1872</v>
      </c>
      <c r="L275" s="14" t="s">
        <v>1873</v>
      </c>
      <c r="M275" s="14" t="s">
        <v>9158</v>
      </c>
      <c r="N275" s="14" t="s">
        <v>9158</v>
      </c>
      <c r="O275" s="19" t="s">
        <v>2997</v>
      </c>
      <c r="P275" s="14" t="s">
        <v>3483</v>
      </c>
      <c r="Q275" s="14">
        <v>2</v>
      </c>
    </row>
    <row r="276" spans="1:17">
      <c r="A276" s="14" t="s">
        <v>5604</v>
      </c>
      <c r="B276" s="14" t="s">
        <v>330</v>
      </c>
      <c r="C276" s="14" t="s">
        <v>206</v>
      </c>
      <c r="D276" s="19" t="s">
        <v>614</v>
      </c>
      <c r="E276" s="15" t="str">
        <f>HYPERLINK("https://stat100.ameba.jp/tnk47/ratio20/illustrations/card/ill_47263_0_oukyuuatsuhime03.jpg?202107-5-RELEASE-marathon-541xxxx", "■")</f>
        <v>■</v>
      </c>
      <c r="F276" s="14" t="s">
        <v>615</v>
      </c>
      <c r="G276" s="14">
        <v>169624</v>
      </c>
      <c r="H276" s="14">
        <v>150680</v>
      </c>
      <c r="I276" s="14">
        <v>27</v>
      </c>
      <c r="J276" s="14" t="s">
        <v>315</v>
      </c>
      <c r="K276" s="14" t="s">
        <v>616</v>
      </c>
      <c r="L276" s="14" t="s">
        <v>617</v>
      </c>
      <c r="M276" s="14" t="s">
        <v>9158</v>
      </c>
      <c r="N276" s="14" t="s">
        <v>9158</v>
      </c>
      <c r="O276" s="14" t="s">
        <v>9158</v>
      </c>
      <c r="P276" s="14" t="s">
        <v>9158</v>
      </c>
      <c r="Q276" s="14" t="s">
        <v>9158</v>
      </c>
    </row>
    <row r="277" spans="1:17">
      <c r="A277" s="14">
        <v>99263</v>
      </c>
      <c r="B277" s="14" t="s">
        <v>334</v>
      </c>
      <c r="C277" s="14" t="s">
        <v>96</v>
      </c>
      <c r="D277" s="14" t="s">
        <v>18508</v>
      </c>
      <c r="E277" s="15" t="str">
        <f>HYPERLINK("https://stat100.ameba.jp/tnk47/ratio20/illustrations/card/ill_99263_deirarubiruna03.jpg?202107-5-RELEASE-marathon-541xxxx", "■")</f>
        <v>■</v>
      </c>
      <c r="F277" s="14" t="s">
        <v>18507</v>
      </c>
      <c r="G277" s="14">
        <v>118568</v>
      </c>
      <c r="H277" s="14">
        <v>127507</v>
      </c>
      <c r="I277" s="14">
        <v>27</v>
      </c>
      <c r="J277" s="14" t="s">
        <v>77</v>
      </c>
      <c r="K277" s="14" t="s">
        <v>18506</v>
      </c>
      <c r="L277" s="14" t="s">
        <v>16889</v>
      </c>
      <c r="M277" s="14" t="s">
        <v>9158</v>
      </c>
      <c r="N277" s="14" t="s">
        <v>9158</v>
      </c>
      <c r="O277" s="14" t="s">
        <v>9158</v>
      </c>
      <c r="P277" s="14" t="s">
        <v>9158</v>
      </c>
      <c r="Q277" s="14" t="s">
        <v>9158</v>
      </c>
    </row>
    <row r="278" spans="1:17">
      <c r="A278" s="14">
        <v>99283</v>
      </c>
      <c r="B278" s="14" t="s">
        <v>15</v>
      </c>
      <c r="C278" s="14" t="s">
        <v>1</v>
      </c>
      <c r="D278" s="14" t="s">
        <v>17137</v>
      </c>
      <c r="E278" s="15" t="str">
        <f>HYPERLINK("https://stat100.ameba.jp/tnk47/ratio20/illustrations/card/ill_99283_baniyamanetoshiko03.jpg?202107-5-RELEASE-marathon-541xxxx", "■")</f>
        <v>■</v>
      </c>
      <c r="F278" s="14" t="s">
        <v>17136</v>
      </c>
      <c r="G278" s="14">
        <v>80028</v>
      </c>
      <c r="H278" s="14">
        <v>72586</v>
      </c>
      <c r="I278" s="14">
        <v>27</v>
      </c>
      <c r="J278" s="14" t="s">
        <v>16</v>
      </c>
      <c r="K278" s="14" t="s">
        <v>1279</v>
      </c>
      <c r="L278" s="14" t="s">
        <v>21</v>
      </c>
      <c r="M278" s="14" t="s">
        <v>9158</v>
      </c>
      <c r="N278" s="14" t="s">
        <v>9158</v>
      </c>
      <c r="O278" s="14" t="s">
        <v>9158</v>
      </c>
      <c r="P278" s="14" t="s">
        <v>9158</v>
      </c>
      <c r="Q278" s="14" t="s">
        <v>9158</v>
      </c>
    </row>
    <row r="279" spans="1:17">
      <c r="A279" s="14">
        <v>99293</v>
      </c>
      <c r="B279" s="14" t="s">
        <v>22</v>
      </c>
      <c r="C279" s="14" t="s">
        <v>101</v>
      </c>
      <c r="D279" s="14" t="s">
        <v>17140</v>
      </c>
      <c r="E279" s="15" t="str">
        <f>HYPERLINK("https://stat100.ameba.jp/tnk47/ratio20/illustrations/card/ill_99293_kodaishiheitakeuchinosukune03.jpg?202107-5-RELEASE-marathon-541xxxx", "■")</f>
        <v>■</v>
      </c>
      <c r="F279" s="14" t="s">
        <v>17139</v>
      </c>
      <c r="G279" s="14">
        <v>46676</v>
      </c>
      <c r="H279" s="14">
        <v>56138</v>
      </c>
      <c r="I279" s="14">
        <v>27</v>
      </c>
      <c r="J279" s="14" t="s">
        <v>10</v>
      </c>
      <c r="K279" s="14" t="s">
        <v>17138</v>
      </c>
      <c r="L279" s="14" t="s">
        <v>4228</v>
      </c>
      <c r="M279" s="14" t="s">
        <v>9158</v>
      </c>
      <c r="N279" s="14" t="s">
        <v>9158</v>
      </c>
      <c r="O279" s="14" t="s">
        <v>9158</v>
      </c>
      <c r="P279" s="14" t="s">
        <v>9158</v>
      </c>
      <c r="Q279" s="14" t="s">
        <v>9158</v>
      </c>
    </row>
    <row r="280" spans="1:17">
      <c r="A280" s="14">
        <v>99303</v>
      </c>
      <c r="B280" s="14" t="s">
        <v>22</v>
      </c>
      <c r="C280" s="14" t="s">
        <v>23</v>
      </c>
      <c r="D280" s="14" t="s">
        <v>17143</v>
      </c>
      <c r="E280" s="15" t="str">
        <f>HYPERLINK("https://stat100.ameba.jp/tnk47/ratio20/illustrations/card/ill_99303_tokyotocho03.jpg?202107-5-RELEASE-marathon-541xxxx", "■")</f>
        <v>■</v>
      </c>
      <c r="F280" s="14" t="s">
        <v>17142</v>
      </c>
      <c r="G280" s="14">
        <v>56138</v>
      </c>
      <c r="H280" s="14">
        <v>46676</v>
      </c>
      <c r="I280" s="14">
        <v>27</v>
      </c>
      <c r="J280" s="14" t="s">
        <v>26</v>
      </c>
      <c r="K280" s="14" t="s">
        <v>17141</v>
      </c>
      <c r="L280" s="14" t="s">
        <v>2635</v>
      </c>
    </row>
    <row r="282" spans="1:17">
      <c r="A282" s="14" t="s">
        <v>3844</v>
      </c>
    </row>
    <row r="283" spans="1:17">
      <c r="A283" s="14">
        <v>110135</v>
      </c>
      <c r="B283" s="14" t="s">
        <v>18496</v>
      </c>
    </row>
    <row r="284" spans="1:17">
      <c r="A284" s="7" t="s">
        <v>8437</v>
      </c>
      <c r="B284" s="7" t="s">
        <v>52</v>
      </c>
      <c r="C284" s="7" t="s">
        <v>202</v>
      </c>
      <c r="D284" s="20" t="s">
        <v>10806</v>
      </c>
      <c r="E284" s="15" t="str">
        <f>HYPERLINK("https://stat100.ameba.jp/tnk47/ratio20/illustrations/card/ill_85523_0_seitankuronikurukusumotoine03.jpg?202107-5-RELEASE-marathon-541xxxx", "■")</f>
        <v>■</v>
      </c>
      <c r="F284" s="7" t="s">
        <v>8440</v>
      </c>
      <c r="G284" s="7">
        <v>327089</v>
      </c>
      <c r="H284" s="7">
        <v>295640</v>
      </c>
      <c r="I284" s="7">
        <v>27</v>
      </c>
      <c r="J284" s="14" t="s">
        <v>77</v>
      </c>
      <c r="K284" s="7" t="s">
        <v>8446</v>
      </c>
      <c r="L284" s="7" t="s">
        <v>8439</v>
      </c>
      <c r="M284" s="14" t="s">
        <v>9158</v>
      </c>
      <c r="N284" s="14" t="s">
        <v>9158</v>
      </c>
      <c r="O284" s="19" t="s">
        <v>10133</v>
      </c>
      <c r="P284" s="7" t="s">
        <v>8441</v>
      </c>
      <c r="Q284" s="7">
        <v>1</v>
      </c>
    </row>
    <row r="285" spans="1:17">
      <c r="A285" s="9">
        <v>73723</v>
      </c>
      <c r="B285" s="14" t="s">
        <v>334</v>
      </c>
      <c r="C285" s="14" t="s">
        <v>191</v>
      </c>
      <c r="D285" s="14" t="s">
        <v>3456</v>
      </c>
      <c r="E285" s="15" t="str">
        <f>HYPERLINK("https://stat100.ameba.jp/tnk47/ratio20/illustrations/card/ill_73723_umibirakitomoegozen03.jpg?202107-5-RELEASE-marathon-541xxxx", "■")</f>
        <v>■</v>
      </c>
      <c r="F285" s="14" t="s">
        <v>3457</v>
      </c>
      <c r="G285" s="14">
        <v>172397</v>
      </c>
      <c r="H285" s="14">
        <v>160296</v>
      </c>
      <c r="I285" s="14">
        <v>29</v>
      </c>
      <c r="J285" s="14" t="s">
        <v>143</v>
      </c>
      <c r="K285" s="14" t="s">
        <v>3458</v>
      </c>
      <c r="L285" s="14" t="s">
        <v>3459</v>
      </c>
      <c r="M285" s="14" t="s">
        <v>9158</v>
      </c>
      <c r="N285" s="14" t="s">
        <v>9158</v>
      </c>
      <c r="O285" s="18" t="s">
        <v>10057</v>
      </c>
      <c r="P285" s="14" t="s">
        <v>3460</v>
      </c>
      <c r="Q285" s="14">
        <v>1</v>
      </c>
    </row>
    <row r="286" spans="1:17">
      <c r="A286" s="14">
        <v>93623</v>
      </c>
      <c r="B286" s="14" t="s">
        <v>0</v>
      </c>
      <c r="C286" s="14" t="s">
        <v>23</v>
      </c>
      <c r="D286" s="18" t="s">
        <v>15449</v>
      </c>
      <c r="E286" s="15" t="str">
        <f>HYPERLINK("https://stat100.ameba.jp/tnk47/ratio20/illustrations/card/ill_93623_yukemurionsennakajimautako03.jpg?202107-5-RELEASE-marathon-541xxxx", "■")</f>
        <v>■</v>
      </c>
      <c r="F286" s="14" t="s">
        <v>15448</v>
      </c>
      <c r="G286" s="14">
        <v>113277</v>
      </c>
      <c r="H286" s="14">
        <v>105281</v>
      </c>
      <c r="I286" s="14">
        <v>29</v>
      </c>
      <c r="J286" s="14" t="s">
        <v>10</v>
      </c>
      <c r="K286" s="14" t="s">
        <v>15447</v>
      </c>
      <c r="L286" s="14" t="s">
        <v>2645</v>
      </c>
      <c r="M286" s="14" t="s">
        <v>9158</v>
      </c>
      <c r="N286" s="14" t="s">
        <v>9158</v>
      </c>
      <c r="O286" s="6" t="s">
        <v>3578</v>
      </c>
      <c r="P286" s="7" t="s">
        <v>3579</v>
      </c>
      <c r="Q286" s="7">
        <v>1</v>
      </c>
    </row>
    <row r="287" spans="1:17">
      <c r="A287" s="14">
        <v>94973</v>
      </c>
      <c r="B287" s="14" t="s">
        <v>0</v>
      </c>
      <c r="C287" s="14" t="s">
        <v>107</v>
      </c>
      <c r="D287" s="18" t="s">
        <v>15868</v>
      </c>
      <c r="E287" s="15" t="str">
        <f>HYPERLINK("https://stat100.ameba.jp/tnk47/ratio20/illustrations/card/ill_94973_shinshunnisennijuichimiyamotomusashi03.jpg?202107-5-RELEASE-marathon-541xxxx", "■")</f>
        <v>■</v>
      </c>
      <c r="F287" s="14" t="s">
        <v>15867</v>
      </c>
      <c r="G287" s="14">
        <v>136953</v>
      </c>
      <c r="H287" s="14">
        <v>127350</v>
      </c>
      <c r="I287" s="14">
        <v>29</v>
      </c>
      <c r="J287" s="14" t="s">
        <v>143</v>
      </c>
      <c r="K287" s="14" t="s">
        <v>15866</v>
      </c>
      <c r="L287" s="14" t="s">
        <v>13460</v>
      </c>
      <c r="M287" s="14" t="s">
        <v>9158</v>
      </c>
      <c r="N287" s="14" t="s">
        <v>9158</v>
      </c>
      <c r="O287" s="6" t="s">
        <v>3244</v>
      </c>
      <c r="P287" s="7" t="s">
        <v>3245</v>
      </c>
      <c r="Q287" s="7">
        <v>1</v>
      </c>
    </row>
    <row r="289" spans="1:17">
      <c r="A289" s="14" t="s">
        <v>18497</v>
      </c>
    </row>
    <row r="290" spans="1:17">
      <c r="A290" s="14">
        <v>110144</v>
      </c>
      <c r="B290" s="14" t="s">
        <v>18498</v>
      </c>
    </row>
    <row r="291" spans="1:17">
      <c r="A291" s="14">
        <v>110172</v>
      </c>
      <c r="B291" s="14" t="s">
        <v>18499</v>
      </c>
    </row>
    <row r="292" spans="1:17">
      <c r="A292" s="14">
        <v>99323</v>
      </c>
      <c r="B292" s="14" t="s">
        <v>117</v>
      </c>
      <c r="C292" s="14" t="s">
        <v>35</v>
      </c>
      <c r="D292" s="14" t="s">
        <v>18503</v>
      </c>
      <c r="E292" s="15" t="str">
        <f>HYPERLINK("https://stat100.ameba.jp/tnk47/ratio20/illustrations/card/ill_99323_0_padokkugaruzu03.jpg?202107-5-RELEASE-marathon-541xxxx", "■")</f>
        <v>■</v>
      </c>
      <c r="F292" s="14" t="s">
        <v>18502</v>
      </c>
      <c r="G292" s="14">
        <v>373721</v>
      </c>
      <c r="H292" s="14">
        <v>401950</v>
      </c>
      <c r="I292" s="14">
        <v>33</v>
      </c>
      <c r="J292" s="14" t="s">
        <v>26</v>
      </c>
      <c r="K292" s="14" t="s">
        <v>18501</v>
      </c>
      <c r="L292" s="14" t="s">
        <v>18500</v>
      </c>
      <c r="M292" s="14" t="s">
        <v>9158</v>
      </c>
      <c r="N292" s="14" t="s">
        <v>9158</v>
      </c>
      <c r="O292" s="14" t="s">
        <v>18504</v>
      </c>
      <c r="P292" s="14" t="s">
        <v>18505</v>
      </c>
      <c r="Q292" s="14">
        <v>0</v>
      </c>
    </row>
    <row r="293" spans="1:17">
      <c r="A293" s="7">
        <v>85323</v>
      </c>
      <c r="B293" s="7" t="s">
        <v>0</v>
      </c>
      <c r="C293" s="7" t="s">
        <v>185</v>
      </c>
      <c r="D293" s="19" t="s">
        <v>10798</v>
      </c>
      <c r="E293" s="15" t="str">
        <f>HYPERLINK("https://stat100.ameba.jp/tnk47/ratio20/illustrations/card/ill_85323_sangokushikaryoubinga03.jpg?202107-5-RELEASE-marathon-541xxxx", "■")</f>
        <v>■</v>
      </c>
      <c r="F293" s="7" t="s">
        <v>8273</v>
      </c>
      <c r="G293" s="7">
        <v>109970</v>
      </c>
      <c r="H293" s="7">
        <v>118287</v>
      </c>
      <c r="I293" s="7">
        <v>29</v>
      </c>
      <c r="J293" s="7" t="s">
        <v>169</v>
      </c>
      <c r="K293" s="7" t="s">
        <v>8272</v>
      </c>
      <c r="L293" s="7" t="s">
        <v>6782</v>
      </c>
      <c r="M293" s="14" t="s">
        <v>9158</v>
      </c>
      <c r="N293" s="14" t="s">
        <v>9158</v>
      </c>
      <c r="O293" s="14" t="s">
        <v>9158</v>
      </c>
      <c r="P293" s="14" t="s">
        <v>9158</v>
      </c>
      <c r="Q293" s="14" t="s">
        <v>9158</v>
      </c>
    </row>
    <row r="294" spans="1:17">
      <c r="A294" s="14">
        <v>83163</v>
      </c>
      <c r="B294" s="14" t="s">
        <v>0</v>
      </c>
      <c r="C294" s="14" t="s">
        <v>200</v>
      </c>
      <c r="D294" s="19" t="s">
        <v>10480</v>
      </c>
      <c r="E294" s="15" t="str">
        <f>HYPERLINK("https://stat100.ameba.jp/tnk47/ratio20/illustrations/card/ill_83163_mangamatsurifutomakimatsurizushi03.jpg?202107-5-RELEASE-marathon-541xxxx", "■")</f>
        <v>■</v>
      </c>
      <c r="F294" s="14" t="s">
        <v>6164</v>
      </c>
      <c r="G294" s="14">
        <v>136953</v>
      </c>
      <c r="H294" s="14">
        <v>127350</v>
      </c>
      <c r="I294" s="14">
        <v>29</v>
      </c>
      <c r="J294" s="14" t="s">
        <v>104</v>
      </c>
      <c r="K294" s="14" t="s">
        <v>6166</v>
      </c>
      <c r="L294" s="14" t="s">
        <v>2409</v>
      </c>
      <c r="M294" s="14" t="s">
        <v>9158</v>
      </c>
      <c r="N294" s="14" t="s">
        <v>9158</v>
      </c>
      <c r="O294" s="14" t="s">
        <v>9158</v>
      </c>
      <c r="P294" s="14" t="s">
        <v>9158</v>
      </c>
      <c r="Q294" s="14" t="s">
        <v>9158</v>
      </c>
    </row>
    <row r="295" spans="1:17">
      <c r="A295" s="9">
        <v>79713</v>
      </c>
      <c r="B295" s="9" t="s">
        <v>334</v>
      </c>
      <c r="C295" s="9" t="s">
        <v>307</v>
      </c>
      <c r="D295" s="9" t="s">
        <v>10717</v>
      </c>
      <c r="E295" s="15" t="str">
        <f>HYPERLINK("https://stat100.ameba.jp/tnk47/ratio20/illustrations/card/ill_79713_yukinosaitembodeikonchan03.jpg?202107-5-RELEASE-marathon-541xxxx", "■")</f>
        <v>■</v>
      </c>
      <c r="F295" s="9" t="s">
        <v>11426</v>
      </c>
      <c r="G295" s="9">
        <v>132112</v>
      </c>
      <c r="H295" s="9">
        <v>122834</v>
      </c>
      <c r="I295" s="14">
        <v>29</v>
      </c>
      <c r="J295" s="9" t="s">
        <v>369</v>
      </c>
      <c r="K295" s="9" t="s">
        <v>11427</v>
      </c>
      <c r="L295" s="9" t="s">
        <v>1532</v>
      </c>
      <c r="M295" s="14" t="s">
        <v>9158</v>
      </c>
      <c r="N295" s="14" t="s">
        <v>9158</v>
      </c>
      <c r="O295" s="14" t="s">
        <v>9158</v>
      </c>
      <c r="P295" s="14" t="s">
        <v>9158</v>
      </c>
      <c r="Q295" s="14" t="s">
        <v>9158</v>
      </c>
    </row>
    <row r="296" spans="1:17">
      <c r="A296" s="14">
        <v>83963</v>
      </c>
      <c r="B296" s="14" t="s">
        <v>0</v>
      </c>
      <c r="C296" s="14" t="s">
        <v>165</v>
      </c>
      <c r="D296" s="19" t="s">
        <v>10496</v>
      </c>
      <c r="E296" s="15" t="str">
        <f>HYPERLINK("https://stat100.ameba.jp/tnk47/ratio20/illustrations/card/ill_83963_natsumatsurikaguya03.jpg?202107-5-RELEASE-marathon-541xxxx", "■")</f>
        <v>■</v>
      </c>
      <c r="F296" s="14" t="s">
        <v>6286</v>
      </c>
      <c r="G296" s="14">
        <v>122834</v>
      </c>
      <c r="H296" s="14">
        <v>132346</v>
      </c>
      <c r="I296" s="14">
        <v>29</v>
      </c>
      <c r="J296" s="14" t="s">
        <v>38</v>
      </c>
      <c r="K296" s="14" t="s">
        <v>6289</v>
      </c>
      <c r="L296" s="14" t="s">
        <v>2204</v>
      </c>
      <c r="M296" s="14" t="s">
        <v>9158</v>
      </c>
      <c r="N296" s="14" t="s">
        <v>9158</v>
      </c>
      <c r="O296" s="14" t="s">
        <v>9158</v>
      </c>
      <c r="P296" s="14" t="s">
        <v>9158</v>
      </c>
      <c r="Q296" s="14" t="s">
        <v>9158</v>
      </c>
    </row>
    <row r="297" spans="1:17">
      <c r="A297" s="16">
        <v>82033</v>
      </c>
      <c r="B297" s="14" t="s">
        <v>0</v>
      </c>
      <c r="C297" s="14" t="s">
        <v>1</v>
      </c>
      <c r="D297" s="19" t="s">
        <v>10240</v>
      </c>
      <c r="E297" s="15" t="str">
        <f>HYPERLINK("https://stat100.ameba.jp/tnk47/ratio20/illustrations/card/ill_82033_chichinohiakashirejina03.jpg?202107-5-RELEASE-marathon-541xxxx", "■")</f>
        <v>■</v>
      </c>
      <c r="F297" s="14" t="s">
        <v>5126</v>
      </c>
      <c r="G297" s="14">
        <v>113277</v>
      </c>
      <c r="H297" s="14">
        <v>105281</v>
      </c>
      <c r="I297" s="14">
        <v>29</v>
      </c>
      <c r="J297" s="14" t="s">
        <v>10</v>
      </c>
      <c r="K297" s="14" t="s">
        <v>5128</v>
      </c>
      <c r="L297" s="14" t="s">
        <v>4347</v>
      </c>
      <c r="M297" s="14" t="s">
        <v>9158</v>
      </c>
      <c r="N297" s="14" t="s">
        <v>9158</v>
      </c>
      <c r="O297" s="9" t="s">
        <v>9158</v>
      </c>
      <c r="P297" s="14" t="s">
        <v>9158</v>
      </c>
      <c r="Q297" s="14" t="s">
        <v>9158</v>
      </c>
    </row>
    <row r="298" spans="1:17">
      <c r="A298" s="9">
        <v>80673</v>
      </c>
      <c r="B298" s="14" t="s">
        <v>0</v>
      </c>
      <c r="C298" s="14" t="s">
        <v>107</v>
      </c>
      <c r="D298" s="14" t="s">
        <v>4219</v>
      </c>
      <c r="E298" s="15" t="str">
        <f>HYPERLINK("https://stat100.ameba.jp/tnk47/ratio20/illustrations/card/ill_80673_banchoshishirianraisu03.jpg?202107-5-RELEASE-marathon-541xxxx", "■")</f>
        <v>■</v>
      </c>
      <c r="F298" s="14" t="s">
        <v>4220</v>
      </c>
      <c r="G298" s="14">
        <v>160296</v>
      </c>
      <c r="H298" s="14">
        <v>172397</v>
      </c>
      <c r="I298" s="14">
        <v>29</v>
      </c>
      <c r="J298" s="14" t="s">
        <v>104</v>
      </c>
      <c r="K298" s="14" t="s">
        <v>4221</v>
      </c>
      <c r="L298" s="14" t="s">
        <v>2304</v>
      </c>
      <c r="M298" s="14" t="s">
        <v>9158</v>
      </c>
      <c r="N298" s="14" t="s">
        <v>9158</v>
      </c>
      <c r="O298" s="14" t="s">
        <v>9158</v>
      </c>
      <c r="P298" s="14" t="s">
        <v>9158</v>
      </c>
      <c r="Q298" s="14" t="s">
        <v>9158</v>
      </c>
    </row>
    <row r="300" spans="1:17">
      <c r="A300" s="14" t="s">
        <v>4065</v>
      </c>
    </row>
    <row r="301" spans="1:17">
      <c r="A301" s="14">
        <v>110138</v>
      </c>
      <c r="B301" s="14" t="s">
        <v>17345</v>
      </c>
    </row>
    <row r="302" spans="1:17">
      <c r="A302" s="14" t="s">
        <v>12178</v>
      </c>
      <c r="B302" s="14" t="s">
        <v>117</v>
      </c>
      <c r="C302" s="14" t="s">
        <v>202</v>
      </c>
      <c r="D302" s="14" t="s">
        <v>12177</v>
      </c>
      <c r="E302" s="15" t="str">
        <f>HYPERLINK("https://stat100.ameba.jp/tnk47/ratio20/illustrations/card/ill_89533_0_harukazesangakudan03.jpg?202108-i_prefecture_active_user", "■")</f>
        <v>■</v>
      </c>
      <c r="F302" s="14" t="s">
        <v>12183</v>
      </c>
      <c r="G302" s="14">
        <v>334256</v>
      </c>
      <c r="H302" s="14">
        <v>302062</v>
      </c>
      <c r="I302" s="14">
        <v>28</v>
      </c>
      <c r="J302" s="14" t="s">
        <v>169</v>
      </c>
      <c r="K302" s="14" t="s">
        <v>12182</v>
      </c>
      <c r="L302" s="14" t="s">
        <v>12181</v>
      </c>
      <c r="M302" s="14" t="s">
        <v>9158</v>
      </c>
      <c r="N302" s="14" t="s">
        <v>9158</v>
      </c>
      <c r="O302" s="14" t="s">
        <v>12186</v>
      </c>
      <c r="P302" s="14" t="s">
        <v>12187</v>
      </c>
      <c r="Q302" s="14">
        <v>1</v>
      </c>
    </row>
    <row r="303" spans="1:17">
      <c r="A303" s="14">
        <v>90353</v>
      </c>
      <c r="B303" s="14" t="s">
        <v>0</v>
      </c>
      <c r="C303" s="14" t="s">
        <v>107</v>
      </c>
      <c r="D303" s="18" t="s">
        <v>13656</v>
      </c>
      <c r="E303" s="15" t="str">
        <f>HYPERLINK("https://stat100.ameba.jp/tnk47/ratio20/illustrations/card/ill_90353_nangokubakansumyorinni03.jpg?202108-i_prefecture_active_user", "■")</f>
        <v>■</v>
      </c>
      <c r="F303" s="14" t="s">
        <v>13658</v>
      </c>
      <c r="G303" s="14">
        <v>160507</v>
      </c>
      <c r="H303" s="14">
        <v>149240</v>
      </c>
      <c r="I303" s="14">
        <v>27</v>
      </c>
      <c r="J303" s="14" t="s">
        <v>143</v>
      </c>
      <c r="K303" s="14" t="s">
        <v>13660</v>
      </c>
      <c r="L303" s="14" t="s">
        <v>13661</v>
      </c>
      <c r="M303" s="14" t="s">
        <v>9158</v>
      </c>
      <c r="N303" s="14" t="s">
        <v>9158</v>
      </c>
      <c r="O303" s="6" t="s">
        <v>3578</v>
      </c>
      <c r="P303" s="7" t="s">
        <v>3579</v>
      </c>
      <c r="Q303" s="7">
        <v>1</v>
      </c>
    </row>
    <row r="304" spans="1:17">
      <c r="A304" s="9">
        <v>68723</v>
      </c>
      <c r="B304" s="14" t="s">
        <v>334</v>
      </c>
      <c r="C304" s="14" t="s">
        <v>185</v>
      </c>
      <c r="D304" s="14" t="s">
        <v>226</v>
      </c>
      <c r="E304" s="15" t="str">
        <f>HYPERLINK("https://stat100.ameba.jp/tnk47/ratio20/illustrations/card/ill_68723_gantanfukuhime03.jpg?202108-i_prefecture_active_user", "■")</f>
        <v>■</v>
      </c>
      <c r="F304" s="14" t="s">
        <v>758</v>
      </c>
      <c r="G304" s="14">
        <v>98019</v>
      </c>
      <c r="H304" s="14">
        <v>105465</v>
      </c>
      <c r="I304" s="14">
        <v>27</v>
      </c>
      <c r="J304" s="14" t="s">
        <v>187</v>
      </c>
      <c r="K304" s="14" t="s">
        <v>227</v>
      </c>
      <c r="L304" s="14" t="s">
        <v>13142</v>
      </c>
      <c r="M304" s="14" t="s">
        <v>9158</v>
      </c>
      <c r="N304" s="14" t="s">
        <v>9158</v>
      </c>
      <c r="O304" s="17" t="s">
        <v>10053</v>
      </c>
      <c r="P304" s="14" t="s">
        <v>3592</v>
      </c>
      <c r="Q304" s="14">
        <v>1</v>
      </c>
    </row>
    <row r="305" spans="1:17">
      <c r="A305" s="14">
        <v>78633</v>
      </c>
      <c r="B305" s="14" t="s">
        <v>334</v>
      </c>
      <c r="C305" s="14" t="s">
        <v>200</v>
      </c>
      <c r="D305" s="19" t="s">
        <v>2749</v>
      </c>
      <c r="E305" s="15" t="str">
        <f>HYPERLINK("https://stat100.ameba.jp/tnk47/ratio20/illustrations/card/ill_78633_geishunyuramyoinni03.jpg?202108-i_prefecture_active_user", "■")</f>
        <v>■</v>
      </c>
      <c r="F305" s="14" t="s">
        <v>2750</v>
      </c>
      <c r="G305" s="14">
        <v>98019</v>
      </c>
      <c r="H305" s="14">
        <v>105465</v>
      </c>
      <c r="I305" s="14">
        <v>27</v>
      </c>
      <c r="J305" s="14" t="s">
        <v>315</v>
      </c>
      <c r="K305" s="14" t="s">
        <v>2751</v>
      </c>
      <c r="L305" s="14" t="s">
        <v>608</v>
      </c>
      <c r="M305" s="14" t="s">
        <v>9158</v>
      </c>
      <c r="N305" s="14" t="s">
        <v>9158</v>
      </c>
      <c r="O305" s="19" t="s">
        <v>2752</v>
      </c>
      <c r="P305" s="14" t="s">
        <v>13123</v>
      </c>
      <c r="Q305" s="14">
        <v>1</v>
      </c>
    </row>
    <row r="307" spans="1:17">
      <c r="A307" s="14" t="s">
        <v>13431</v>
      </c>
    </row>
    <row r="308" spans="1:17">
      <c r="A308" s="14">
        <v>110182</v>
      </c>
      <c r="B308" s="14" t="s">
        <v>17344</v>
      </c>
    </row>
    <row r="309" spans="1:17">
      <c r="A309" s="14" t="s">
        <v>15807</v>
      </c>
      <c r="B309" s="14" t="s">
        <v>52</v>
      </c>
      <c r="C309" s="14" t="s">
        <v>35</v>
      </c>
      <c r="D309" s="14" t="s">
        <v>15808</v>
      </c>
      <c r="E309" s="15" t="str">
        <f>HYPERLINK("https://stat100.ameba.jp/tnk47/ratio20/illustrations/card/ill_95013_0_shinshunnisennijuichiayakashi03.jpg?202108-i_prefecture_active_user", "■")</f>
        <v>■</v>
      </c>
      <c r="F309" s="14" t="s">
        <v>15806</v>
      </c>
      <c r="G309" s="14">
        <v>278470</v>
      </c>
      <c r="H309" s="14">
        <v>308104</v>
      </c>
      <c r="I309" s="14">
        <v>28</v>
      </c>
      <c r="J309" s="14" t="s">
        <v>73</v>
      </c>
      <c r="K309" s="14" t="s">
        <v>15805</v>
      </c>
      <c r="L309" s="14" t="s">
        <v>15804</v>
      </c>
      <c r="M309" s="14" t="s">
        <v>9158</v>
      </c>
      <c r="N309" s="14" t="s">
        <v>9158</v>
      </c>
      <c r="O309" s="14" t="s">
        <v>15802</v>
      </c>
      <c r="P309" s="14" t="s">
        <v>15803</v>
      </c>
      <c r="Q309" s="14">
        <v>0</v>
      </c>
    </row>
    <row r="310" spans="1:17">
      <c r="A310" s="14" t="s">
        <v>15831</v>
      </c>
      <c r="B310" s="7" t="s">
        <v>52</v>
      </c>
      <c r="C310" s="14" t="s">
        <v>202</v>
      </c>
      <c r="D310" s="18" t="s">
        <v>15825</v>
      </c>
      <c r="E310" s="15" t="str">
        <f>HYPERLINK("https://stat100.ameba.jp/tnk47/ratio20/illustrations/card/ill_94293_0_kurisumasupurezentofukudahideko03.jpg?202108-i_prefecture_active_user", "■")</f>
        <v>■</v>
      </c>
      <c r="F310" s="14" t="s">
        <v>15830</v>
      </c>
      <c r="G310" s="14">
        <v>308104</v>
      </c>
      <c r="H310" s="14">
        <v>278470</v>
      </c>
      <c r="I310" s="14">
        <v>28</v>
      </c>
      <c r="J310" s="14" t="s">
        <v>16</v>
      </c>
      <c r="K310" s="14" t="s">
        <v>15829</v>
      </c>
      <c r="L310" s="14" t="s">
        <v>15828</v>
      </c>
      <c r="M310" s="14" t="s">
        <v>9158</v>
      </c>
      <c r="N310" s="14" t="s">
        <v>9158</v>
      </c>
      <c r="O310" s="6" t="s">
        <v>15827</v>
      </c>
      <c r="P310" s="7" t="s">
        <v>15826</v>
      </c>
      <c r="Q310" s="7">
        <v>1</v>
      </c>
    </row>
    <row r="311" spans="1:17">
      <c r="A311" s="14" t="s">
        <v>13442</v>
      </c>
      <c r="B311" s="7" t="s">
        <v>52</v>
      </c>
      <c r="C311" s="14" t="s">
        <v>202</v>
      </c>
      <c r="D311" s="18" t="s">
        <v>13441</v>
      </c>
      <c r="E311" s="15" t="str">
        <f>HYPERLINK("https://stat100.ameba.jp/tnk47/ratio20/illustrations/card/ill_90393_0_nangokubakansusanukiudonchan03.jpg?202108-i_prefecture_active_user", "■")</f>
        <v>■</v>
      </c>
      <c r="F311" s="14" t="s">
        <v>13443</v>
      </c>
      <c r="G311" s="14">
        <v>291942</v>
      </c>
      <c r="H311" s="14">
        <v>356840</v>
      </c>
      <c r="I311" s="7">
        <v>28</v>
      </c>
      <c r="J311" s="14" t="s">
        <v>104</v>
      </c>
      <c r="K311" s="14" t="s">
        <v>13444</v>
      </c>
      <c r="L311" s="14" t="s">
        <v>13445</v>
      </c>
      <c r="M311" s="14" t="s">
        <v>9158</v>
      </c>
      <c r="N311" s="14" t="s">
        <v>9158</v>
      </c>
      <c r="O311" s="6" t="s">
        <v>13446</v>
      </c>
      <c r="P311" s="7" t="s">
        <v>13447</v>
      </c>
      <c r="Q311" s="7">
        <v>1</v>
      </c>
    </row>
    <row r="312" spans="1:17">
      <c r="A312" s="14" t="s">
        <v>16989</v>
      </c>
      <c r="B312" s="7" t="s">
        <v>52</v>
      </c>
      <c r="C312" s="14" t="s">
        <v>202</v>
      </c>
      <c r="D312" s="18" t="s">
        <v>16988</v>
      </c>
      <c r="E312" s="15" t="str">
        <f>HYPERLINK("https://stat100.ameba.jp/tnk47/ratio20/illustrations/card/ill_97013_0_kanokaishiranui03.jpg?202108-i_prefecture_active_user", "■")</f>
        <v>■</v>
      </c>
      <c r="F312" s="14" t="s">
        <v>16987</v>
      </c>
      <c r="G312" s="14">
        <v>295662</v>
      </c>
      <c r="H312" s="14">
        <v>267196</v>
      </c>
      <c r="I312" s="7">
        <v>28</v>
      </c>
      <c r="J312" s="14" t="s">
        <v>73</v>
      </c>
      <c r="K312" s="14" t="s">
        <v>16986</v>
      </c>
      <c r="L312" s="14" t="s">
        <v>16985</v>
      </c>
      <c r="M312" s="14" t="s">
        <v>9158</v>
      </c>
      <c r="N312" s="14" t="s">
        <v>9158</v>
      </c>
      <c r="O312" s="7" t="s">
        <v>16990</v>
      </c>
      <c r="P312" s="7" t="s">
        <v>16991</v>
      </c>
      <c r="Q312" s="7">
        <v>1</v>
      </c>
    </row>
    <row r="313" spans="1:17">
      <c r="A313" s="14" t="s">
        <v>16720</v>
      </c>
      <c r="B313" s="7" t="s">
        <v>52</v>
      </c>
      <c r="C313" s="14" t="s">
        <v>202</v>
      </c>
      <c r="D313" s="18" t="s">
        <v>16719</v>
      </c>
      <c r="E313" s="15" t="str">
        <f>HYPERLINK("https://stat100.ameba.jp/tnk47/ratio20/illustrations/card/ill_96373_0_ohinasamaakitakomachichan03.jpg?202108-i_prefecture_active_user", "■")</f>
        <v>■</v>
      </c>
      <c r="F313" s="14" t="s">
        <v>16718</v>
      </c>
      <c r="G313" s="14">
        <v>263960</v>
      </c>
      <c r="H313" s="14">
        <v>322612</v>
      </c>
      <c r="I313" s="7">
        <v>28</v>
      </c>
      <c r="J313" s="14" t="s">
        <v>104</v>
      </c>
      <c r="K313" s="14" t="s">
        <v>16717</v>
      </c>
      <c r="L313" s="14" t="s">
        <v>16716</v>
      </c>
      <c r="M313" s="14" t="s">
        <v>9158</v>
      </c>
      <c r="N313" s="14" t="s">
        <v>9158</v>
      </c>
      <c r="O313" s="7" t="s">
        <v>16715</v>
      </c>
      <c r="P313" s="7" t="s">
        <v>16714</v>
      </c>
      <c r="Q313" s="7">
        <v>1</v>
      </c>
    </row>
    <row r="314" spans="1:17">
      <c r="A314" s="14">
        <v>97243</v>
      </c>
      <c r="B314" s="14" t="s">
        <v>334</v>
      </c>
      <c r="C314" s="14" t="s">
        <v>14</v>
      </c>
      <c r="D314" s="14" t="s">
        <v>17346</v>
      </c>
      <c r="E314" s="15" t="str">
        <f>HYPERLINK("https://stat100.ameba.jp/tnk47/ratio20/illustrations/card/ill_97243_fuesuteibaruiwaisepo03.jpg?202108-i_prefecture_active_user", "■")</f>
        <v>■</v>
      </c>
      <c r="F314" s="14" t="s">
        <v>17348</v>
      </c>
      <c r="G314" s="14">
        <v>172397</v>
      </c>
      <c r="H314" s="14">
        <v>160296</v>
      </c>
      <c r="I314" s="7">
        <v>29</v>
      </c>
      <c r="J314" s="14" t="s">
        <v>73</v>
      </c>
      <c r="K314" s="14" t="s">
        <v>17347</v>
      </c>
      <c r="L314" s="14" t="s">
        <v>16278</v>
      </c>
      <c r="M314" s="14" t="s">
        <v>9158</v>
      </c>
      <c r="N314" s="14" t="s">
        <v>9158</v>
      </c>
      <c r="O314" s="14" t="s">
        <v>9158</v>
      </c>
      <c r="P314" s="14" t="s">
        <v>9158</v>
      </c>
      <c r="Q314" s="14" t="s">
        <v>9158</v>
      </c>
    </row>
    <row r="315" spans="1:17">
      <c r="A315" s="14">
        <v>96793</v>
      </c>
      <c r="B315" s="14" t="s">
        <v>0</v>
      </c>
      <c r="C315" s="14" t="s">
        <v>23</v>
      </c>
      <c r="D315" s="14" t="s">
        <v>16971</v>
      </c>
      <c r="E315" s="15" t="str">
        <f>HYPERLINK("https://stat100.ameba.jp/tnk47/ratio20/illustrations/card/ill_96793_basunotabimashumarochan03.jpg?202108-i_prefecture_active_user", "■")</f>
        <v>■</v>
      </c>
      <c r="F315" s="14" t="s">
        <v>16970</v>
      </c>
      <c r="G315" s="14">
        <v>136953</v>
      </c>
      <c r="H315" s="14">
        <v>127350</v>
      </c>
      <c r="I315" s="7">
        <v>29</v>
      </c>
      <c r="J315" s="14" t="s">
        <v>104</v>
      </c>
      <c r="K315" s="14" t="s">
        <v>16969</v>
      </c>
      <c r="L315" s="14" t="s">
        <v>16968</v>
      </c>
      <c r="M315" s="14" t="s">
        <v>9158</v>
      </c>
      <c r="N315" s="14" t="s">
        <v>9158</v>
      </c>
      <c r="O315" s="14" t="s">
        <v>9158</v>
      </c>
      <c r="P315" s="14" t="s">
        <v>9158</v>
      </c>
      <c r="Q315" s="14" t="s">
        <v>9158</v>
      </c>
    </row>
    <row r="316" spans="1:17">
      <c r="A316" s="14">
        <v>95893</v>
      </c>
      <c r="B316" s="14" t="s">
        <v>0</v>
      </c>
      <c r="C316" s="14" t="s">
        <v>101</v>
      </c>
      <c r="D316" s="14" t="s">
        <v>16265</v>
      </c>
      <c r="E316" s="15" t="str">
        <f>HYPERLINK("https://stat100.ameba.jp/tnk47/ratio20/illustrations/card/ill_95893_akagenoan03.jpg?202108-i_prefecture_active_user", "■")</f>
        <v>■</v>
      </c>
      <c r="F316" s="14" t="s">
        <v>16264</v>
      </c>
      <c r="G316" s="14">
        <v>122834</v>
      </c>
      <c r="H316" s="14">
        <v>132112</v>
      </c>
      <c r="I316" s="14">
        <v>29</v>
      </c>
      <c r="J316" s="14" t="s">
        <v>38</v>
      </c>
      <c r="K316" s="14" t="s">
        <v>16263</v>
      </c>
      <c r="L316" s="14" t="s">
        <v>16262</v>
      </c>
      <c r="M316" s="14" t="s">
        <v>9158</v>
      </c>
      <c r="N316" s="14" t="s">
        <v>9158</v>
      </c>
      <c r="O316" s="14" t="s">
        <v>9158</v>
      </c>
      <c r="P316" s="14" t="s">
        <v>9158</v>
      </c>
      <c r="Q316" s="14" t="s">
        <v>9158</v>
      </c>
    </row>
    <row r="317" spans="1:17">
      <c r="A317" s="14">
        <v>96563</v>
      </c>
      <c r="B317" s="14" t="s">
        <v>0</v>
      </c>
      <c r="C317" s="14" t="s">
        <v>96</v>
      </c>
      <c r="D317" s="14" t="s">
        <v>16829</v>
      </c>
      <c r="E317" s="15" t="str">
        <f>HYPERLINK("https://stat100.ameba.jp/tnk47/ratio20/illustrations/card/ill_96563_junihitoe03.jpg?202108-i_prefecture_active_user", "■")</f>
        <v>■</v>
      </c>
      <c r="F317" s="14" t="s">
        <v>16828</v>
      </c>
      <c r="G317" s="14">
        <v>118287</v>
      </c>
      <c r="H317" s="14">
        <v>109970</v>
      </c>
      <c r="I317" s="14">
        <v>29</v>
      </c>
      <c r="J317" s="14" t="s">
        <v>38</v>
      </c>
      <c r="K317" s="14" t="s">
        <v>16827</v>
      </c>
      <c r="L317" s="14" t="s">
        <v>13427</v>
      </c>
      <c r="M317" s="14" t="s">
        <v>9158</v>
      </c>
      <c r="N317" s="14" t="s">
        <v>9158</v>
      </c>
      <c r="O317" s="14" t="s">
        <v>9158</v>
      </c>
      <c r="P317" s="14" t="s">
        <v>9158</v>
      </c>
      <c r="Q317" s="14" t="s">
        <v>9158</v>
      </c>
    </row>
    <row r="318" spans="1:17">
      <c r="A318" s="14">
        <v>96803</v>
      </c>
      <c r="B318" s="14" t="s">
        <v>0</v>
      </c>
      <c r="C318" s="14" t="s">
        <v>1</v>
      </c>
      <c r="D318" s="14" t="s">
        <v>16975</v>
      </c>
      <c r="E318" s="15" t="str">
        <f>HYPERLINK("https://stat100.ameba.jp/tnk47/ratio20/illustrations/card/ill_96803_suparizotomimuratsuru03.jpg?202108-i_prefecture_active_user", "■")</f>
        <v>■</v>
      </c>
      <c r="F318" s="14" t="s">
        <v>16974</v>
      </c>
      <c r="G318" s="14">
        <v>113277</v>
      </c>
      <c r="H318" s="14">
        <v>105281</v>
      </c>
      <c r="I318" s="7">
        <v>29</v>
      </c>
      <c r="J318" s="14" t="s">
        <v>77</v>
      </c>
      <c r="K318" s="14" t="s">
        <v>16973</v>
      </c>
      <c r="L318" s="14" t="s">
        <v>16972</v>
      </c>
      <c r="M318" s="14" t="s">
        <v>9158</v>
      </c>
      <c r="N318" s="14" t="s">
        <v>9158</v>
      </c>
      <c r="O318" s="14" t="s">
        <v>9158</v>
      </c>
      <c r="P318" s="14" t="s">
        <v>9158</v>
      </c>
      <c r="Q318" s="14" t="s">
        <v>9158</v>
      </c>
    </row>
    <row r="319" spans="1:17">
      <c r="A319" s="14">
        <v>96623</v>
      </c>
      <c r="B319" s="14" t="s">
        <v>0</v>
      </c>
      <c r="C319" s="14" t="s">
        <v>107</v>
      </c>
      <c r="D319" s="14" t="s">
        <v>16809</v>
      </c>
      <c r="E319" s="15" t="str">
        <f>HYPERLINK("https://stat100.ameba.jp/tnk47/ratio20/illustrations/card/ill_96623_andoroidootomosorin03.jpg?202108-i_prefecture_active_user", "■")</f>
        <v>■</v>
      </c>
      <c r="F319" s="14" t="s">
        <v>16808</v>
      </c>
      <c r="G319" s="14">
        <v>105281</v>
      </c>
      <c r="H319" s="14">
        <v>113277</v>
      </c>
      <c r="I319" s="14">
        <v>29</v>
      </c>
      <c r="J319" s="14" t="s">
        <v>143</v>
      </c>
      <c r="K319" s="14" t="s">
        <v>8293</v>
      </c>
      <c r="L319" s="14" t="s">
        <v>14552</v>
      </c>
      <c r="M319" s="14" t="s">
        <v>9158</v>
      </c>
      <c r="N319" s="14" t="s">
        <v>9158</v>
      </c>
      <c r="O319" s="14" t="s">
        <v>9158</v>
      </c>
      <c r="P319" s="14" t="s">
        <v>9158</v>
      </c>
      <c r="Q319" s="14" t="s">
        <v>9158</v>
      </c>
    </row>
    <row r="321" spans="1:17">
      <c r="A321" s="14" t="s">
        <v>3916</v>
      </c>
    </row>
    <row r="322" spans="1:17">
      <c r="A322" s="14">
        <v>110193</v>
      </c>
      <c r="B322" s="14" t="s">
        <v>17343</v>
      </c>
    </row>
    <row r="323" spans="1:17">
      <c r="A323" s="14">
        <v>84733</v>
      </c>
      <c r="B323" s="14" t="s">
        <v>0</v>
      </c>
      <c r="C323" s="14" t="s">
        <v>154</v>
      </c>
      <c r="D323" s="19" t="s">
        <v>10677</v>
      </c>
      <c r="E323" s="15" t="str">
        <f>HYPERLINK("https://stat100.ameba.jp/tnk47/ratio20/illustrations/card/ill_84733_madadoru03.jpg?202108-i_prefecture_active_user", "■")</f>
        <v>■</v>
      </c>
      <c r="F323" s="14" t="s">
        <v>7293</v>
      </c>
      <c r="G323" s="14">
        <v>125078</v>
      </c>
      <c r="H323" s="14">
        <v>116296</v>
      </c>
      <c r="I323" s="14">
        <v>29</v>
      </c>
      <c r="J323" s="14" t="s">
        <v>182</v>
      </c>
      <c r="K323" s="14" t="s">
        <v>7296</v>
      </c>
      <c r="L323" s="14" t="s">
        <v>7295</v>
      </c>
      <c r="M323" s="14" t="s">
        <v>9158</v>
      </c>
      <c r="N323" s="14" t="s">
        <v>9158</v>
      </c>
      <c r="O323" s="14" t="s">
        <v>9158</v>
      </c>
      <c r="P323" s="14" t="s">
        <v>9158</v>
      </c>
      <c r="Q323" s="14" t="s">
        <v>9158</v>
      </c>
    </row>
    <row r="324" spans="1:17">
      <c r="A324" s="14">
        <v>84743</v>
      </c>
      <c r="B324" s="14" t="s">
        <v>0</v>
      </c>
      <c r="C324" s="14" t="s">
        <v>158</v>
      </c>
      <c r="D324" s="19" t="s">
        <v>10678</v>
      </c>
      <c r="E324" s="15" t="str">
        <f>HYPERLINK("https://stat100.ameba.jp/tnk47/ratio20/illustrations/card/ill_84743_rinnenonyumpe03.jpg?202108-i_prefecture_active_user", "■")</f>
        <v>■</v>
      </c>
      <c r="F324" s="14" t="s">
        <v>7294</v>
      </c>
      <c r="G324" s="14">
        <v>125078</v>
      </c>
      <c r="H324" s="14">
        <v>116296</v>
      </c>
      <c r="I324" s="14">
        <v>29</v>
      </c>
      <c r="J324" s="14" t="s">
        <v>169</v>
      </c>
      <c r="K324" s="14" t="s">
        <v>7297</v>
      </c>
      <c r="L324" s="14" t="s">
        <v>7298</v>
      </c>
      <c r="M324" s="14" t="s">
        <v>9158</v>
      </c>
      <c r="N324" s="14" t="s">
        <v>9158</v>
      </c>
      <c r="O324" s="14" t="s">
        <v>9158</v>
      </c>
      <c r="P324" s="14" t="s">
        <v>9158</v>
      </c>
      <c r="Q324" s="14" t="s">
        <v>9158</v>
      </c>
    </row>
    <row r="325" spans="1:17">
      <c r="A325" s="14">
        <v>69883</v>
      </c>
      <c r="B325" s="14" t="s">
        <v>334</v>
      </c>
      <c r="C325" s="14" t="s">
        <v>185</v>
      </c>
      <c r="D325" s="19" t="s">
        <v>10293</v>
      </c>
      <c r="E325" s="15" t="str">
        <f>HYPERLINK("https://stat100.ameba.jp/tnk47/ratio20/illustrations/card/ill_69883_kyupiddotominushihime03.jpg?202108-i_prefecture_active_user", "■")</f>
        <v>■</v>
      </c>
      <c r="F325" s="14" t="s">
        <v>4142</v>
      </c>
      <c r="G325" s="14">
        <v>109970</v>
      </c>
      <c r="H325" s="14">
        <v>118287</v>
      </c>
      <c r="I325" s="14">
        <v>29</v>
      </c>
      <c r="J325" s="14" t="s">
        <v>169</v>
      </c>
      <c r="K325" s="14" t="s">
        <v>4143</v>
      </c>
      <c r="L325" s="14" t="s">
        <v>13190</v>
      </c>
      <c r="M325" s="14" t="s">
        <v>9158</v>
      </c>
      <c r="N325" s="14" t="s">
        <v>9158</v>
      </c>
      <c r="O325" s="14" t="s">
        <v>9158</v>
      </c>
      <c r="P325" s="14" t="s">
        <v>9158</v>
      </c>
      <c r="Q325" s="14" t="s">
        <v>9158</v>
      </c>
    </row>
    <row r="326" spans="1:17">
      <c r="A326" s="14">
        <v>67243</v>
      </c>
      <c r="B326" s="14" t="s">
        <v>334</v>
      </c>
      <c r="C326" s="14" t="s">
        <v>205</v>
      </c>
      <c r="D326" s="20" t="s">
        <v>10199</v>
      </c>
      <c r="E326" s="15" t="str">
        <f>HYPERLINK("https://stat100.ameba.jp/tnk47/ratio20/illustrations/card/ill_67243_onsenyadomoryo03.jpg?202108-i_prefecture_active_user", "■")</f>
        <v>■</v>
      </c>
      <c r="F326" s="14" t="s">
        <v>3638</v>
      </c>
      <c r="G326" s="14">
        <v>112369</v>
      </c>
      <c r="H326" s="14">
        <v>120830</v>
      </c>
      <c r="I326" s="14">
        <v>29</v>
      </c>
      <c r="J326" s="14" t="s">
        <v>182</v>
      </c>
      <c r="K326" s="14" t="s">
        <v>3639</v>
      </c>
      <c r="L326" s="14" t="s">
        <v>3640</v>
      </c>
      <c r="M326" s="14" t="s">
        <v>9158</v>
      </c>
      <c r="N326" s="14" t="s">
        <v>9158</v>
      </c>
      <c r="O326" s="14" t="s">
        <v>9158</v>
      </c>
      <c r="P326" s="14" t="s">
        <v>9158</v>
      </c>
      <c r="Q326" s="14" t="s">
        <v>9158</v>
      </c>
    </row>
    <row r="327" spans="1:17">
      <c r="A327" s="14">
        <v>52973</v>
      </c>
      <c r="B327" s="14" t="s">
        <v>15</v>
      </c>
      <c r="C327" s="14" t="s">
        <v>206</v>
      </c>
      <c r="D327" s="19" t="s">
        <v>10519</v>
      </c>
      <c r="E327" s="15" t="str">
        <f>HYPERLINK("https://stat100.ameba.jp/tnk47/ratio20/illustrations/card/ill_52973_torampuamoronagu03.jpg?202108-i_prefecture_active_user", "■")</f>
        <v>■</v>
      </c>
      <c r="F327" s="14" t="s">
        <v>6421</v>
      </c>
      <c r="G327" s="14">
        <v>71136</v>
      </c>
      <c r="H327" s="14">
        <v>64520</v>
      </c>
      <c r="I327" s="14">
        <v>24</v>
      </c>
      <c r="J327" s="14" t="s">
        <v>44</v>
      </c>
      <c r="K327" s="14" t="s">
        <v>6419</v>
      </c>
      <c r="L327" s="14" t="s">
        <v>6418</v>
      </c>
      <c r="M327" s="14" t="s">
        <v>9158</v>
      </c>
      <c r="N327" s="14" t="s">
        <v>9158</v>
      </c>
      <c r="O327" s="14" t="s">
        <v>9158</v>
      </c>
      <c r="P327" s="14" t="s">
        <v>9158</v>
      </c>
      <c r="Q327" s="14" t="s">
        <v>9158</v>
      </c>
    </row>
    <row r="328" spans="1:17">
      <c r="A328" s="14">
        <v>52333</v>
      </c>
      <c r="B328" s="14" t="s">
        <v>15</v>
      </c>
      <c r="C328" s="14" t="s">
        <v>200</v>
      </c>
      <c r="D328" s="19" t="s">
        <v>10537</v>
      </c>
      <c r="E328" s="15" t="str">
        <f>HYPERLINK("https://stat100.ameba.jp/tnk47/ratio20/illustrations/card/ill_52333_chichibuyomatsuri03.jpg?202108-i_prefecture_active_user", "■")</f>
        <v>■</v>
      </c>
      <c r="F328" s="14" t="s">
        <v>3614</v>
      </c>
      <c r="G328" s="14">
        <v>71136</v>
      </c>
      <c r="H328" s="14">
        <v>64520</v>
      </c>
      <c r="I328" s="14">
        <v>24</v>
      </c>
      <c r="J328" s="14" t="s">
        <v>38</v>
      </c>
      <c r="K328" s="14" t="s">
        <v>3615</v>
      </c>
      <c r="L328" s="14" t="s">
        <v>3616</v>
      </c>
      <c r="M328" s="14" t="s">
        <v>9158</v>
      </c>
      <c r="N328" s="14" t="s">
        <v>9158</v>
      </c>
      <c r="O328" s="14" t="s">
        <v>9158</v>
      </c>
      <c r="P328" s="14" t="s">
        <v>9158</v>
      </c>
      <c r="Q328" s="14" t="s">
        <v>9158</v>
      </c>
    </row>
    <row r="329" spans="1:17">
      <c r="A329" s="14">
        <v>51913</v>
      </c>
      <c r="B329" s="14" t="s">
        <v>15</v>
      </c>
      <c r="C329" s="14" t="s">
        <v>191</v>
      </c>
      <c r="D329" s="19" t="s">
        <v>10538</v>
      </c>
      <c r="E329" s="15" t="str">
        <f>HYPERLINK("https://stat100.ameba.jp/tnk47/ratio20/illustrations/card/ill_51913_kemonomizugihamahime03.jpg?202108-i_prefecture_active_user", "■")</f>
        <v>■</v>
      </c>
      <c r="F329" s="14" t="s">
        <v>6501</v>
      </c>
      <c r="G329" s="14">
        <v>64520</v>
      </c>
      <c r="H329" s="14">
        <v>71136</v>
      </c>
      <c r="I329" s="14">
        <v>24</v>
      </c>
      <c r="J329" s="14" t="s">
        <v>182</v>
      </c>
      <c r="K329" s="14" t="s">
        <v>6500</v>
      </c>
      <c r="L329" s="14" t="s">
        <v>6499</v>
      </c>
      <c r="M329" s="14" t="s">
        <v>9158</v>
      </c>
      <c r="N329" s="14" t="s">
        <v>9158</v>
      </c>
      <c r="O329" s="14" t="s">
        <v>9158</v>
      </c>
      <c r="P329" s="14" t="s">
        <v>9158</v>
      </c>
      <c r="Q329" s="14" t="s">
        <v>9158</v>
      </c>
    </row>
    <row r="330" spans="1:17">
      <c r="A330" s="14">
        <v>53203</v>
      </c>
      <c r="B330" s="14" t="s">
        <v>15</v>
      </c>
      <c r="C330" s="14" t="s">
        <v>165</v>
      </c>
      <c r="D330" s="20" t="s">
        <v>10494</v>
      </c>
      <c r="E330" s="15" t="str">
        <f>HYPERLINK("https://stat100.ameba.jp/tnk47/ratio20/illustrations/card/ill_53203_buruhawaichan03.jpg?202108-i_prefecture_active_user", "■")</f>
        <v>■</v>
      </c>
      <c r="F330" s="14" t="s">
        <v>6258</v>
      </c>
      <c r="G330" s="14">
        <v>64520</v>
      </c>
      <c r="H330" s="14">
        <v>71136</v>
      </c>
      <c r="I330" s="14">
        <v>24</v>
      </c>
      <c r="J330" s="14" t="s">
        <v>104</v>
      </c>
      <c r="K330" s="14" t="s">
        <v>6261</v>
      </c>
      <c r="L330" s="14" t="s">
        <v>6260</v>
      </c>
      <c r="M330" s="14" t="s">
        <v>9158</v>
      </c>
      <c r="N330" s="14" t="s">
        <v>9158</v>
      </c>
      <c r="O330" s="14" t="s">
        <v>9158</v>
      </c>
      <c r="P330" s="14" t="s">
        <v>9158</v>
      </c>
      <c r="Q330" s="14" t="s">
        <v>9158</v>
      </c>
    </row>
    <row r="332" spans="1:17">
      <c r="A332" s="14" t="s">
        <v>3911</v>
      </c>
    </row>
    <row r="333" spans="1:17">
      <c r="A333" s="14">
        <v>110212</v>
      </c>
      <c r="B333" s="14" t="s">
        <v>17117</v>
      </c>
    </row>
    <row r="334" spans="1:17">
      <c r="A334" s="14">
        <v>110222</v>
      </c>
      <c r="B334" s="14" t="s">
        <v>15721</v>
      </c>
    </row>
    <row r="335" spans="1:17">
      <c r="A335" s="14" t="s">
        <v>16720</v>
      </c>
      <c r="B335" s="7" t="s">
        <v>52</v>
      </c>
      <c r="C335" s="14" t="s">
        <v>202</v>
      </c>
      <c r="D335" s="18" t="s">
        <v>16719</v>
      </c>
      <c r="E335" s="15" t="str">
        <f>HYPERLINK("https://stat100.ameba.jp/tnk47/ratio20/illustrations/card/ill_96373_0_ohinasamaakitakomachichan03.jpg?202108-i_prefecture_active_user", "■")</f>
        <v>■</v>
      </c>
      <c r="F335" s="14" t="s">
        <v>16718</v>
      </c>
      <c r="G335" s="14">
        <v>282816</v>
      </c>
      <c r="H335" s="14">
        <v>345656</v>
      </c>
      <c r="I335" s="7">
        <v>30</v>
      </c>
      <c r="J335" s="14" t="s">
        <v>104</v>
      </c>
      <c r="K335" s="14" t="s">
        <v>16717</v>
      </c>
      <c r="L335" s="14" t="s">
        <v>16716</v>
      </c>
      <c r="M335" s="14" t="s">
        <v>9158</v>
      </c>
      <c r="N335" s="14" t="s">
        <v>9158</v>
      </c>
      <c r="O335" s="7" t="s">
        <v>16715</v>
      </c>
      <c r="P335" s="7" t="s">
        <v>16714</v>
      </c>
      <c r="Q335" s="7">
        <v>1</v>
      </c>
    </row>
    <row r="336" spans="1:17">
      <c r="A336" s="9" t="s">
        <v>9325</v>
      </c>
      <c r="B336" s="7" t="s">
        <v>52</v>
      </c>
      <c r="C336" s="9" t="s">
        <v>202</v>
      </c>
      <c r="D336" s="19" t="s">
        <v>10947</v>
      </c>
      <c r="E336" s="15" t="str">
        <f>HYPERLINK("https://stat100.ameba.jp/tnk47/ratio20/illustrations/card/ill_86893_0_chokonohisukeban03.jpg?202108-i_prefecture_active_user", "■")</f>
        <v>■</v>
      </c>
      <c r="F336" s="14" t="s">
        <v>9332</v>
      </c>
      <c r="G336" s="9">
        <v>390808</v>
      </c>
      <c r="H336" s="9">
        <v>353192</v>
      </c>
      <c r="I336" s="7">
        <v>30</v>
      </c>
      <c r="J336" s="9" t="s">
        <v>187</v>
      </c>
      <c r="K336" s="14" t="s">
        <v>9330</v>
      </c>
      <c r="L336" s="14" t="s">
        <v>9331</v>
      </c>
      <c r="M336" s="14" t="s">
        <v>9158</v>
      </c>
      <c r="N336" s="14" t="s">
        <v>9158</v>
      </c>
      <c r="O336" s="19" t="s">
        <v>10136</v>
      </c>
      <c r="P336" s="7" t="s">
        <v>9324</v>
      </c>
      <c r="Q336" s="7">
        <v>1</v>
      </c>
    </row>
    <row r="337" spans="1:19">
      <c r="A337" s="14" t="s">
        <v>5625</v>
      </c>
      <c r="B337" s="14" t="s">
        <v>330</v>
      </c>
      <c r="C337" s="14" t="s">
        <v>200</v>
      </c>
      <c r="D337" s="20" t="s">
        <v>630</v>
      </c>
      <c r="E337" s="15" t="str">
        <f>HYPERLINK("https://stat100.ameba.jp/tnk47/ratio20/illustrations/card/ill_48283_0_kyuubitamamonomae03.jpg?202108-i_prefecture_active_user", "■")</f>
        <v>■</v>
      </c>
      <c r="F337" s="14" t="s">
        <v>631</v>
      </c>
      <c r="G337" s="14">
        <v>188472</v>
      </c>
      <c r="H337" s="14">
        <v>167424</v>
      </c>
      <c r="I337" s="7">
        <v>30</v>
      </c>
      <c r="J337" s="14" t="s">
        <v>320</v>
      </c>
      <c r="K337" s="14" t="s">
        <v>632</v>
      </c>
      <c r="L337" s="14" t="s">
        <v>633</v>
      </c>
      <c r="M337" s="14" t="s">
        <v>9158</v>
      </c>
      <c r="N337" s="14" t="s">
        <v>9158</v>
      </c>
      <c r="O337" s="14" t="s">
        <v>9158</v>
      </c>
      <c r="P337" s="14" t="s">
        <v>9158</v>
      </c>
      <c r="Q337" s="14" t="s">
        <v>9158</v>
      </c>
    </row>
    <row r="338" spans="1:19">
      <c r="A338" s="14">
        <v>84633</v>
      </c>
      <c r="B338" s="14" t="s">
        <v>334</v>
      </c>
      <c r="C338" s="14" t="s">
        <v>154</v>
      </c>
      <c r="D338" s="20" t="s">
        <v>10586</v>
      </c>
      <c r="E338" s="15" t="str">
        <f>HYPERLINK("https://stat100.ameba.jp/tnk47/ratio20/illustrations/card/ill_84633_akubishoppu03.jpg?202108-i_prefecture_active_user", "■")</f>
        <v>■</v>
      </c>
      <c r="F338" s="14" t="s">
        <v>6762</v>
      </c>
      <c r="G338" s="14">
        <v>126741</v>
      </c>
      <c r="H338" s="14">
        <v>91815</v>
      </c>
      <c r="I338" s="14">
        <v>29</v>
      </c>
      <c r="J338" s="14" t="s">
        <v>10</v>
      </c>
      <c r="K338" s="14" t="s">
        <v>6764</v>
      </c>
      <c r="L338" s="14" t="s">
        <v>6763</v>
      </c>
      <c r="M338" s="14" t="s">
        <v>9158</v>
      </c>
      <c r="N338" s="14" t="s">
        <v>9158</v>
      </c>
      <c r="O338" s="19" t="s">
        <v>10090</v>
      </c>
      <c r="P338" s="14" t="s">
        <v>3460</v>
      </c>
      <c r="Q338" s="14">
        <v>1</v>
      </c>
    </row>
    <row r="339" spans="1:19">
      <c r="A339" s="14">
        <v>75083</v>
      </c>
      <c r="B339" s="14" t="s">
        <v>334</v>
      </c>
      <c r="C339" s="14" t="s">
        <v>209</v>
      </c>
      <c r="D339" s="19" t="s">
        <v>10401</v>
      </c>
      <c r="E339" s="15" t="str">
        <f>HYPERLINK("https://stat100.ameba.jp/tnk47/ratio20/illustrations/card/ill_75083_sukumizuhanakosan03.jpg?202108-i_prefecture_active_user", "■")</f>
        <v>■</v>
      </c>
      <c r="F339" s="14" t="s">
        <v>1020</v>
      </c>
      <c r="G339" s="14">
        <v>135229</v>
      </c>
      <c r="H339" s="14">
        <v>97970</v>
      </c>
      <c r="I339" s="14">
        <v>29</v>
      </c>
      <c r="J339" s="14" t="s">
        <v>73</v>
      </c>
      <c r="K339" s="14" t="s">
        <v>1021</v>
      </c>
      <c r="L339" s="14" t="s">
        <v>1022</v>
      </c>
      <c r="M339" s="14" t="s">
        <v>9158</v>
      </c>
      <c r="N339" s="14" t="s">
        <v>9158</v>
      </c>
      <c r="O339" s="19" t="s">
        <v>10105</v>
      </c>
      <c r="P339" s="14" t="s">
        <v>3416</v>
      </c>
      <c r="Q339" s="14">
        <v>1</v>
      </c>
    </row>
    <row r="340" spans="1:19">
      <c r="A340" s="14">
        <v>83083</v>
      </c>
      <c r="B340" s="14" t="s">
        <v>0</v>
      </c>
      <c r="C340" s="14" t="s">
        <v>209</v>
      </c>
      <c r="D340" s="19" t="s">
        <v>10469</v>
      </c>
      <c r="E340" s="15" t="str">
        <f>HYPERLINK("https://stat100.ameba.jp/tnk47/ratio20/illustrations/card/ill_83083_burakkukingu03.jpg?202108-i_prefecture_active_user", "■")</f>
        <v>■</v>
      </c>
      <c r="F340" s="14" t="s">
        <v>6093</v>
      </c>
      <c r="G340" s="14">
        <v>139753</v>
      </c>
      <c r="H340" s="14">
        <v>192940</v>
      </c>
      <c r="I340" s="7">
        <v>29</v>
      </c>
      <c r="J340" s="14" t="s">
        <v>194</v>
      </c>
      <c r="K340" s="14" t="s">
        <v>6095</v>
      </c>
      <c r="L340" s="14" t="s">
        <v>1148</v>
      </c>
      <c r="M340" s="14" t="s">
        <v>9158</v>
      </c>
      <c r="N340" s="14" t="s">
        <v>9158</v>
      </c>
      <c r="O340" s="19" t="s">
        <v>10117</v>
      </c>
      <c r="P340" s="14" t="s">
        <v>3625</v>
      </c>
      <c r="Q340" s="14">
        <v>1</v>
      </c>
    </row>
    <row r="341" spans="1:19">
      <c r="A341" s="14">
        <v>78143</v>
      </c>
      <c r="B341" s="14" t="s">
        <v>334</v>
      </c>
      <c r="C341" s="14" t="s">
        <v>203</v>
      </c>
      <c r="D341" s="19" t="s">
        <v>10285</v>
      </c>
      <c r="E341" s="15" t="str">
        <f>HYPERLINK("https://stat100.ameba.jp/tnk47/ratio20/illustrations/card/ill_78143_kanibarukuin03.jpg?202108-i_prefecture_active_user", "■")</f>
        <v>■</v>
      </c>
      <c r="F341" s="14" t="s">
        <v>2687</v>
      </c>
      <c r="G341" s="14">
        <v>107088</v>
      </c>
      <c r="H341" s="14">
        <v>147858</v>
      </c>
      <c r="I341" s="7">
        <v>29</v>
      </c>
      <c r="J341" s="14" t="s">
        <v>26</v>
      </c>
      <c r="K341" s="14" t="s">
        <v>2688</v>
      </c>
      <c r="L341" s="14" t="s">
        <v>2137</v>
      </c>
      <c r="M341" s="14" t="s">
        <v>9158</v>
      </c>
      <c r="N341" s="14" t="s">
        <v>9158</v>
      </c>
      <c r="O341" s="19" t="s">
        <v>10103</v>
      </c>
      <c r="P341" s="14" t="s">
        <v>3897</v>
      </c>
      <c r="Q341" s="14">
        <v>1</v>
      </c>
    </row>
    <row r="342" spans="1:19">
      <c r="A342" s="14">
        <v>62473</v>
      </c>
      <c r="B342" s="14" t="s">
        <v>334</v>
      </c>
      <c r="C342" s="14" t="s">
        <v>203</v>
      </c>
      <c r="D342" s="20" t="s">
        <v>2834</v>
      </c>
      <c r="E342" s="15" t="str">
        <f>HYPERLINK("https://stat100.ameba.jp/tnk47/ratio20/illustrations/card/ill_62473_kokuriko03.jpg?202108-i_prefecture_active_user", "■")</f>
        <v>■</v>
      </c>
      <c r="F342" s="14" t="s">
        <v>2835</v>
      </c>
      <c r="G342" s="14">
        <v>132379</v>
      </c>
      <c r="H342" s="14">
        <v>95880</v>
      </c>
      <c r="I342" s="7">
        <v>29</v>
      </c>
      <c r="J342" s="14" t="s">
        <v>401</v>
      </c>
      <c r="K342" s="14" t="s">
        <v>2836</v>
      </c>
      <c r="L342" s="14" t="s">
        <v>2837</v>
      </c>
      <c r="M342" s="14" t="s">
        <v>9158</v>
      </c>
      <c r="N342" s="14" t="s">
        <v>9158</v>
      </c>
      <c r="O342" s="19" t="s">
        <v>2838</v>
      </c>
      <c r="P342" s="14" t="s">
        <v>2839</v>
      </c>
      <c r="Q342" s="14">
        <v>1</v>
      </c>
    </row>
    <row r="343" spans="1:19">
      <c r="A343" s="9">
        <v>85363</v>
      </c>
      <c r="B343" s="9" t="s">
        <v>0</v>
      </c>
      <c r="C343" s="9" t="s">
        <v>158</v>
      </c>
      <c r="D343" s="19" t="s">
        <v>10708</v>
      </c>
      <c r="E343" s="15" t="str">
        <f>HYPERLINK("https://stat100.ameba.jp/tnk47/ratio20/illustrations/card/ill_85363_sukarunetaisa03.jpg?202108-i_prefecture_active_user", "■")</f>
        <v>■</v>
      </c>
      <c r="F343" s="9" t="s">
        <v>7506</v>
      </c>
      <c r="G343" s="9">
        <v>139753</v>
      </c>
      <c r="H343" s="9">
        <v>192940</v>
      </c>
      <c r="I343" s="7">
        <v>29</v>
      </c>
      <c r="J343" s="9" t="s">
        <v>194</v>
      </c>
      <c r="K343" s="9" t="s">
        <v>7504</v>
      </c>
      <c r="L343" s="9" t="s">
        <v>1148</v>
      </c>
      <c r="M343" s="14" t="s">
        <v>9864</v>
      </c>
      <c r="N343" s="14" t="s">
        <v>9158</v>
      </c>
      <c r="O343" s="19" t="s">
        <v>10106</v>
      </c>
      <c r="P343" s="14" t="s">
        <v>3330</v>
      </c>
      <c r="Q343" s="14">
        <v>2</v>
      </c>
    </row>
    <row r="345" spans="1:19">
      <c r="A345" s="14" t="s">
        <v>4012</v>
      </c>
    </row>
    <row r="346" spans="1:19">
      <c r="A346" s="14">
        <v>239545</v>
      </c>
      <c r="B346" s="14" t="s">
        <v>17118</v>
      </c>
    </row>
    <row r="347" spans="1:19">
      <c r="A347" s="9" t="s">
        <v>5843</v>
      </c>
      <c r="B347" s="14" t="s">
        <v>52</v>
      </c>
      <c r="C347" s="14" t="s">
        <v>202</v>
      </c>
      <c r="D347" s="14" t="s">
        <v>2126</v>
      </c>
      <c r="E347" s="15" t="str">
        <f>HYPERLINK("https://stat100.ameba.jp/tnk47/ratio20/illustrations/card/ill_77963_0_kurisumasudaisakusentakiyashahime03.jpg?202108-i_prefecture_active_user", "■")</f>
        <v>■</v>
      </c>
      <c r="F347" s="14" t="s">
        <v>2127</v>
      </c>
      <c r="G347" s="14">
        <v>331590</v>
      </c>
      <c r="H347" s="14">
        <v>299687</v>
      </c>
      <c r="I347" s="14">
        <v>27</v>
      </c>
      <c r="J347" s="14" t="s">
        <v>77</v>
      </c>
      <c r="K347" s="14" t="s">
        <v>2128</v>
      </c>
      <c r="L347" s="14" t="s">
        <v>2129</v>
      </c>
      <c r="M347" s="14" t="s">
        <v>9158</v>
      </c>
      <c r="N347" s="14" t="s">
        <v>9158</v>
      </c>
      <c r="O347" s="9" t="s">
        <v>3588</v>
      </c>
      <c r="P347" s="14" t="s">
        <v>3589</v>
      </c>
      <c r="Q347" s="14">
        <v>2</v>
      </c>
    </row>
    <row r="348" spans="1:19">
      <c r="A348" s="14" t="s">
        <v>7150</v>
      </c>
      <c r="B348" s="14" t="s">
        <v>52</v>
      </c>
      <c r="C348" s="14" t="s">
        <v>202</v>
      </c>
      <c r="D348" s="20" t="s">
        <v>10656</v>
      </c>
      <c r="E348" s="15" t="str">
        <f>HYPERLINK("https://stat100.ameba.jp/tnk47/ratio20/illustrations/card/ill_84203_0_tarottofujiwaranoshoshi03.jpg?202108-i_prefecture_active_user", "■")</f>
        <v>■</v>
      </c>
      <c r="F348" s="14" t="s">
        <v>7153</v>
      </c>
      <c r="G348" s="14">
        <v>397406</v>
      </c>
      <c r="H348" s="14">
        <v>359198</v>
      </c>
      <c r="I348" s="14">
        <v>27</v>
      </c>
      <c r="J348" s="14" t="s">
        <v>10</v>
      </c>
      <c r="K348" s="14" t="s">
        <v>7152</v>
      </c>
      <c r="L348" s="14" t="s">
        <v>7151</v>
      </c>
      <c r="M348" s="14" t="s">
        <v>9158</v>
      </c>
      <c r="N348" s="14" t="s">
        <v>9158</v>
      </c>
      <c r="O348" s="19" t="s">
        <v>10128</v>
      </c>
      <c r="P348" s="14" t="s">
        <v>7154</v>
      </c>
      <c r="Q348" s="14">
        <v>1</v>
      </c>
    </row>
    <row r="349" spans="1:19">
      <c r="A349" s="14" t="s">
        <v>5616</v>
      </c>
      <c r="B349" s="14" t="s">
        <v>52</v>
      </c>
      <c r="C349" s="14" t="s">
        <v>14</v>
      </c>
      <c r="D349" s="19" t="s">
        <v>638</v>
      </c>
      <c r="E349" s="15" t="str">
        <f>HYPERLINK("https://stat100.ameba.jp/tnk47/ratio20/illustrations/card/ill_44253_0_dokuganryudatemasamune03.jpg?202108-i_prefecture_active_user", "■")</f>
        <v>■</v>
      </c>
      <c r="F349" s="14" t="s">
        <v>1181</v>
      </c>
      <c r="G349" s="14">
        <v>147980</v>
      </c>
      <c r="H349" s="14">
        <v>158004</v>
      </c>
      <c r="I349" s="14">
        <v>27</v>
      </c>
      <c r="J349" s="14" t="s">
        <v>143</v>
      </c>
      <c r="K349" s="14" t="s">
        <v>1182</v>
      </c>
      <c r="L349" s="14" t="s">
        <v>1183</v>
      </c>
      <c r="M349" s="14" t="s">
        <v>9158</v>
      </c>
      <c r="N349" s="14" t="s">
        <v>9158</v>
      </c>
      <c r="O349" s="14" t="s">
        <v>9158</v>
      </c>
      <c r="P349" s="14" t="s">
        <v>9158</v>
      </c>
      <c r="Q349" s="14" t="s">
        <v>9158</v>
      </c>
    </row>
    <row r="350" spans="1:19">
      <c r="A350" s="14">
        <v>87493</v>
      </c>
      <c r="B350" s="14" t="s">
        <v>334</v>
      </c>
      <c r="C350" s="14" t="s">
        <v>35</v>
      </c>
      <c r="D350" s="14" t="s">
        <v>16479</v>
      </c>
      <c r="E350" s="15" t="str">
        <f>HYPERLINK("https://stat100.ameba.jp/tnk47/ratio20/illustrations/card/ill_87493_seikasodatsusenhatsumenotsubone03.jpg?202108-i_prefecture_active_user", "■")</f>
        <v>■</v>
      </c>
      <c r="F350" s="14" t="s">
        <v>16478</v>
      </c>
      <c r="G350" s="14">
        <v>118540</v>
      </c>
      <c r="H350" s="14">
        <v>110186</v>
      </c>
      <c r="I350" s="7">
        <v>29</v>
      </c>
      <c r="J350" s="14" t="s">
        <v>77</v>
      </c>
      <c r="K350" s="14" t="s">
        <v>16477</v>
      </c>
      <c r="L350" s="14" t="s">
        <v>76</v>
      </c>
      <c r="M350" s="14" t="s">
        <v>9158</v>
      </c>
      <c r="N350" s="14" t="s">
        <v>9158</v>
      </c>
      <c r="O350" s="14" t="s">
        <v>9158</v>
      </c>
      <c r="P350" s="14" t="s">
        <v>9158</v>
      </c>
      <c r="Q350" s="14" t="s">
        <v>9158</v>
      </c>
      <c r="S350" s="14" t="s">
        <v>16487</v>
      </c>
    </row>
    <row r="351" spans="1:19">
      <c r="A351" s="14">
        <v>85163</v>
      </c>
      <c r="B351" s="14" t="s">
        <v>334</v>
      </c>
      <c r="C351" s="14" t="s">
        <v>41</v>
      </c>
      <c r="D351" s="14" t="s">
        <v>16517</v>
      </c>
      <c r="E351" s="15" t="str">
        <f>HYPERLINK("https://stat100.ameba.jp/tnk47/ratio20/illustrations/card/ill_85163_kimononohichojugiga03.jpg?202108-i_prefecture_active_user", "■")</f>
        <v>■</v>
      </c>
      <c r="F351" s="14" t="s">
        <v>16516</v>
      </c>
      <c r="G351" s="14">
        <v>105281</v>
      </c>
      <c r="H351" s="14">
        <v>113277</v>
      </c>
      <c r="I351" s="7">
        <v>29</v>
      </c>
      <c r="J351" s="14" t="s">
        <v>38</v>
      </c>
      <c r="K351" s="14" t="s">
        <v>16515</v>
      </c>
      <c r="L351" s="14" t="s">
        <v>16514</v>
      </c>
      <c r="M351" s="14" t="s">
        <v>9158</v>
      </c>
      <c r="N351" s="14" t="s">
        <v>9158</v>
      </c>
      <c r="O351" s="14" t="s">
        <v>9158</v>
      </c>
      <c r="P351" s="14" t="s">
        <v>9158</v>
      </c>
      <c r="Q351" s="14" t="s">
        <v>9158</v>
      </c>
      <c r="S351" s="14" t="s">
        <v>16531</v>
      </c>
    </row>
    <row r="352" spans="1:19">
      <c r="A352" s="14">
        <v>85893</v>
      </c>
      <c r="B352" s="9" t="s">
        <v>0</v>
      </c>
      <c r="C352" s="14" t="s">
        <v>47</v>
      </c>
      <c r="D352" s="14" t="s">
        <v>16520</v>
      </c>
      <c r="E352" s="15" t="str">
        <f>HYPERLINK("https://stat100.ameba.jp/tnk47/ratio20/illustrations/card/ill_85893_toshikoshishojo03.jpg?202108-i_prefecture_active_user", "■")</f>
        <v>■</v>
      </c>
      <c r="F352" s="14" t="s">
        <v>16519</v>
      </c>
      <c r="G352" s="14">
        <v>117591</v>
      </c>
      <c r="H352" s="14">
        <v>109381</v>
      </c>
      <c r="I352" s="7">
        <v>29</v>
      </c>
      <c r="J352" s="14" t="s">
        <v>73</v>
      </c>
      <c r="K352" s="14" t="s">
        <v>16518</v>
      </c>
      <c r="L352" s="14" t="s">
        <v>13101</v>
      </c>
      <c r="M352" s="14" t="s">
        <v>9158</v>
      </c>
      <c r="N352" s="14" t="s">
        <v>9158</v>
      </c>
      <c r="O352" s="14" t="s">
        <v>9158</v>
      </c>
      <c r="P352" s="14" t="s">
        <v>9158</v>
      </c>
      <c r="Q352" s="14" t="s">
        <v>9158</v>
      </c>
      <c r="S352" s="14" t="s">
        <v>17131</v>
      </c>
    </row>
    <row r="353" spans="1:19">
      <c r="A353" s="14">
        <v>86133</v>
      </c>
      <c r="B353" s="9" t="s">
        <v>15</v>
      </c>
      <c r="C353" s="14" t="s">
        <v>107</v>
      </c>
      <c r="D353" s="14" t="s">
        <v>17121</v>
      </c>
      <c r="E353" s="15" t="str">
        <f>HYPERLINK("https://stat100.ameba.jp/tnk47/ratio20/illustrations/card/ill_86133_gantankusumototakako03.jpg?202108-i_prefecture_active_user", "■")</f>
        <v>■</v>
      </c>
      <c r="F353" s="14" t="s">
        <v>17120</v>
      </c>
      <c r="G353" s="14">
        <v>72586</v>
      </c>
      <c r="H353" s="14">
        <v>80028</v>
      </c>
      <c r="I353" s="14">
        <v>27</v>
      </c>
      <c r="J353" s="14" t="s">
        <v>16</v>
      </c>
      <c r="K353" s="14" t="s">
        <v>17119</v>
      </c>
      <c r="L353" s="14" t="s">
        <v>3436</v>
      </c>
      <c r="M353" s="14" t="s">
        <v>9158</v>
      </c>
      <c r="N353" s="14" t="s">
        <v>9158</v>
      </c>
      <c r="O353" s="14" t="s">
        <v>9158</v>
      </c>
      <c r="P353" s="14" t="s">
        <v>9158</v>
      </c>
      <c r="Q353" s="14" t="s">
        <v>9158</v>
      </c>
      <c r="S353" s="14" t="s">
        <v>16230</v>
      </c>
    </row>
    <row r="354" spans="1:19">
      <c r="A354" s="14">
        <v>82823</v>
      </c>
      <c r="B354" s="9" t="s">
        <v>15</v>
      </c>
      <c r="C354" s="14" t="s">
        <v>23</v>
      </c>
      <c r="D354" s="14" t="s">
        <v>17124</v>
      </c>
      <c r="E354" s="15" t="str">
        <f>HYPERLINK("https://stat100.ameba.jp/tnk47/ratio20/illustrations/card/ill_82823_ryoranyukizukainarinobyakko03.jpg?202108-i_prefecture_active_user", "■")</f>
        <v>■</v>
      </c>
      <c r="F354" s="14" t="s">
        <v>17123</v>
      </c>
      <c r="G354" s="14">
        <v>80028</v>
      </c>
      <c r="H354" s="14">
        <v>72586</v>
      </c>
      <c r="I354" s="14">
        <v>27</v>
      </c>
      <c r="J354" s="14" t="s">
        <v>73</v>
      </c>
      <c r="K354" s="14" t="s">
        <v>17122</v>
      </c>
      <c r="L354" s="14" t="s">
        <v>4649</v>
      </c>
      <c r="M354" s="14" t="s">
        <v>9158</v>
      </c>
      <c r="N354" s="14" t="s">
        <v>9158</v>
      </c>
      <c r="O354" s="14" t="s">
        <v>9158</v>
      </c>
      <c r="P354" s="14" t="s">
        <v>9158</v>
      </c>
      <c r="Q354" s="14" t="s">
        <v>9158</v>
      </c>
      <c r="S354" s="14" t="s">
        <v>17129</v>
      </c>
    </row>
    <row r="355" spans="1:19">
      <c r="A355" s="14">
        <v>82283</v>
      </c>
      <c r="B355" s="9" t="s">
        <v>15</v>
      </c>
      <c r="C355" s="14" t="s">
        <v>1</v>
      </c>
      <c r="D355" s="14" t="s">
        <v>17127</v>
      </c>
      <c r="E355" s="15" t="str">
        <f>HYPERLINK("https://stat100.ameba.jp/tnk47/ratio20/illustrations/card/ill_82283_uranaishioribuchan03.jpg?202108-i_prefecture_active_user", "■")</f>
        <v>■</v>
      </c>
      <c r="F355" s="14" t="s">
        <v>17126</v>
      </c>
      <c r="G355" s="14">
        <v>72586</v>
      </c>
      <c r="H355" s="14">
        <v>80028</v>
      </c>
      <c r="I355" s="14">
        <v>27</v>
      </c>
      <c r="J355" s="14" t="s">
        <v>104</v>
      </c>
      <c r="K355" s="14" t="s">
        <v>17125</v>
      </c>
      <c r="L355" s="14" t="s">
        <v>5225</v>
      </c>
      <c r="M355" s="14" t="s">
        <v>9158</v>
      </c>
      <c r="N355" s="14" t="s">
        <v>9158</v>
      </c>
      <c r="O355" s="14" t="s">
        <v>9158</v>
      </c>
      <c r="P355" s="14" t="s">
        <v>9158</v>
      </c>
      <c r="Q355" s="14" t="s">
        <v>9158</v>
      </c>
      <c r="S355" s="14" t="s">
        <v>17130</v>
      </c>
    </row>
    <row r="357" spans="1:19">
      <c r="A357" s="14" t="s">
        <v>13327</v>
      </c>
    </row>
    <row r="358" spans="1:19">
      <c r="A358" s="14">
        <v>110238</v>
      </c>
      <c r="B358" s="14" t="s">
        <v>17128</v>
      </c>
    </row>
    <row r="359" spans="1:19">
      <c r="A359" s="14">
        <v>94773</v>
      </c>
      <c r="B359" s="14" t="s">
        <v>0</v>
      </c>
      <c r="C359" s="14" t="s">
        <v>335</v>
      </c>
      <c r="D359" s="14" t="s">
        <v>15781</v>
      </c>
      <c r="E359" s="15" t="str">
        <f>HYPERLINK("https://stat100.ameba.jp/tnk47/ratio20/illustrations/card/ill_94773_baiorinisutosuru03.jpg?202108-i_prefecture_active_user", "■")</f>
        <v>■</v>
      </c>
      <c r="F359" s="14" t="s">
        <v>15780</v>
      </c>
      <c r="G359" s="14">
        <v>132737</v>
      </c>
      <c r="H359" s="14">
        <v>142768</v>
      </c>
      <c r="I359" s="14">
        <v>29</v>
      </c>
      <c r="J359" s="14" t="s">
        <v>16</v>
      </c>
      <c r="K359" s="14" t="s">
        <v>15779</v>
      </c>
      <c r="L359" s="14" t="s">
        <v>15778</v>
      </c>
      <c r="M359" s="14" t="s">
        <v>2138</v>
      </c>
      <c r="N359" s="14" t="s">
        <v>2139</v>
      </c>
      <c r="O359" s="14" t="s">
        <v>9158</v>
      </c>
      <c r="P359" s="14" t="s">
        <v>9158</v>
      </c>
      <c r="Q359" s="14" t="s">
        <v>9158</v>
      </c>
      <c r="R359" s="14" t="s">
        <v>14748</v>
      </c>
    </row>
    <row r="360" spans="1:19">
      <c r="A360" s="14">
        <v>94772</v>
      </c>
      <c r="B360" s="14" t="s">
        <v>0</v>
      </c>
      <c r="C360" s="14" t="s">
        <v>335</v>
      </c>
      <c r="D360" s="14" t="s">
        <v>15781</v>
      </c>
      <c r="E360" s="15" t="str">
        <f>HYPERLINK("https://stat100.ameba.jp/tnk47/ratio20/illustrations/card/ill_94772_baiorinisutosuru02.jpg?202108-i_prefecture_active_user", "■")</f>
        <v>■</v>
      </c>
      <c r="F360" s="14" t="s">
        <v>15780</v>
      </c>
      <c r="G360" s="14">
        <v>109938</v>
      </c>
      <c r="H360" s="14">
        <v>119345</v>
      </c>
      <c r="I360" s="14">
        <v>29</v>
      </c>
      <c r="J360" s="14" t="s">
        <v>16</v>
      </c>
      <c r="K360" s="14" t="s">
        <v>15779</v>
      </c>
      <c r="L360" s="14" t="s">
        <v>15778</v>
      </c>
      <c r="M360" s="14" t="s">
        <v>13270</v>
      </c>
      <c r="N360" s="14" t="s">
        <v>13271</v>
      </c>
      <c r="O360" s="14" t="s">
        <v>9158</v>
      </c>
      <c r="P360" s="14" t="s">
        <v>9158</v>
      </c>
      <c r="Q360" s="14" t="s">
        <v>9158</v>
      </c>
      <c r="R360" s="14" t="s">
        <v>14748</v>
      </c>
    </row>
    <row r="361" spans="1:19">
      <c r="A361" s="14">
        <v>94771</v>
      </c>
      <c r="B361" s="14" t="s">
        <v>0</v>
      </c>
      <c r="C361" s="14" t="s">
        <v>335</v>
      </c>
      <c r="D361" s="14" t="s">
        <v>15781</v>
      </c>
      <c r="E361" s="15" t="str">
        <f>HYPERLINK("https://stat100.ameba.jp/tnk47/ratio20/illustrations/card/ill_94771_baiorinisutosuru01.jpg?202108-i_prefecture_active_user", "■")</f>
        <v>■</v>
      </c>
      <c r="F361" s="14" t="s">
        <v>15780</v>
      </c>
      <c r="G361" s="14">
        <v>84825</v>
      </c>
      <c r="H361" s="14">
        <v>91118</v>
      </c>
      <c r="I361" s="14">
        <v>29</v>
      </c>
      <c r="J361" s="14" t="s">
        <v>16</v>
      </c>
      <c r="K361" s="14" t="s">
        <v>15779</v>
      </c>
      <c r="L361" s="14" t="s">
        <v>15778</v>
      </c>
      <c r="M361" s="14" t="s">
        <v>13270</v>
      </c>
      <c r="N361" s="14" t="s">
        <v>13271</v>
      </c>
      <c r="O361" s="14" t="s">
        <v>9158</v>
      </c>
      <c r="P361" s="14" t="s">
        <v>9158</v>
      </c>
      <c r="Q361" s="14" t="s">
        <v>9158</v>
      </c>
      <c r="R361" s="14" t="s">
        <v>14748</v>
      </c>
    </row>
    <row r="362" spans="1:19">
      <c r="A362" s="14">
        <v>94783</v>
      </c>
      <c r="B362" s="14" t="s">
        <v>0</v>
      </c>
      <c r="C362" s="14" t="s">
        <v>200</v>
      </c>
      <c r="D362" s="14" t="s">
        <v>15784</v>
      </c>
      <c r="E362" s="15" t="str">
        <f>HYPERLINK("https://stat100.ameba.jp/tnk47/ratio20/illustrations/card/ill_94783_deusuekusumashina03.jpg?202108-i_prefecture_active_user", "■")</f>
        <v>■</v>
      </c>
      <c r="F362" s="14" t="s">
        <v>15785</v>
      </c>
      <c r="G362" s="14">
        <v>132737</v>
      </c>
      <c r="H362" s="14">
        <v>142768</v>
      </c>
      <c r="I362" s="14">
        <v>29</v>
      </c>
      <c r="J362" s="14" t="s">
        <v>10</v>
      </c>
      <c r="K362" s="14" t="s">
        <v>15783</v>
      </c>
      <c r="L362" s="14" t="s">
        <v>15782</v>
      </c>
      <c r="M362" s="14" t="s">
        <v>2138</v>
      </c>
      <c r="N362" s="14" t="s">
        <v>2139</v>
      </c>
      <c r="O362" s="14" t="s">
        <v>9158</v>
      </c>
      <c r="P362" s="14" t="s">
        <v>9158</v>
      </c>
      <c r="Q362" s="14" t="s">
        <v>9158</v>
      </c>
      <c r="R362" s="14" t="s">
        <v>14748</v>
      </c>
    </row>
    <row r="363" spans="1:19">
      <c r="A363" s="14">
        <v>94793</v>
      </c>
      <c r="B363" s="14" t="s">
        <v>0</v>
      </c>
      <c r="C363" s="14" t="s">
        <v>307</v>
      </c>
      <c r="D363" s="14" t="s">
        <v>15789</v>
      </c>
      <c r="E363" s="15" t="str">
        <f>HYPERLINK("https://stat100.ameba.jp/tnk47/ratio20/illustrations/card/ill_94793_eiyukohoseiashuramu03.jpg?202108-i_prefecture_active_user", "■")</f>
        <v>■</v>
      </c>
      <c r="F363" s="14" t="s">
        <v>15788</v>
      </c>
      <c r="G363" s="14">
        <v>142768</v>
      </c>
      <c r="H363" s="14">
        <v>132737</v>
      </c>
      <c r="I363" s="14">
        <v>29</v>
      </c>
      <c r="J363" s="14" t="s">
        <v>143</v>
      </c>
      <c r="K363" s="14" t="s">
        <v>15787</v>
      </c>
      <c r="L363" s="14" t="s">
        <v>15786</v>
      </c>
      <c r="M363" s="14" t="s">
        <v>2138</v>
      </c>
      <c r="N363" s="14" t="s">
        <v>2139</v>
      </c>
      <c r="O363" s="14" t="s">
        <v>9158</v>
      </c>
      <c r="P363" s="14" t="s">
        <v>9158</v>
      </c>
      <c r="Q363" s="14" t="s">
        <v>9158</v>
      </c>
      <c r="R363" s="14" t="s">
        <v>14748</v>
      </c>
    </row>
    <row r="364" spans="1:19">
      <c r="A364" s="14">
        <v>94803</v>
      </c>
      <c r="B364" s="14" t="s">
        <v>0</v>
      </c>
      <c r="C364" s="14" t="s">
        <v>165</v>
      </c>
      <c r="D364" s="14" t="s">
        <v>15793</v>
      </c>
      <c r="E364" s="15" t="str">
        <f>HYPERLINK("https://stat100.ameba.jp/tnk47/ratio20/illustrations/card/ill_94803_pideiria03.jpg?202108-i_prefecture_active_user", "■")</f>
        <v>■</v>
      </c>
      <c r="F364" s="14" t="s">
        <v>15792</v>
      </c>
      <c r="G364" s="14">
        <v>142768</v>
      </c>
      <c r="H364" s="14">
        <v>132737</v>
      </c>
      <c r="I364" s="14">
        <v>29</v>
      </c>
      <c r="J364" s="14" t="s">
        <v>77</v>
      </c>
      <c r="K364" s="14" t="s">
        <v>15791</v>
      </c>
      <c r="L364" s="14" t="s">
        <v>15790</v>
      </c>
      <c r="M364" s="14" t="s">
        <v>2138</v>
      </c>
      <c r="N364" s="14" t="s">
        <v>2139</v>
      </c>
      <c r="O364" s="14" t="s">
        <v>9158</v>
      </c>
      <c r="P364" s="14" t="s">
        <v>9158</v>
      </c>
      <c r="Q364" s="14" t="s">
        <v>9158</v>
      </c>
      <c r="R364" s="14" t="s">
        <v>14748</v>
      </c>
    </row>
    <row r="365" spans="1:19">
      <c r="A365" s="14">
        <v>94813</v>
      </c>
      <c r="B365" s="14" t="s">
        <v>0</v>
      </c>
      <c r="C365" s="9" t="s">
        <v>205</v>
      </c>
      <c r="D365" s="14" t="s">
        <v>15796</v>
      </c>
      <c r="E365" s="15" t="str">
        <f>HYPERLINK("https://stat100.ameba.jp/tnk47/ratio20/illustrations/card/ill_94813_satogashinomajoshukuru03.jpg?202108-i_prefecture_active_user", "■")</f>
        <v>■</v>
      </c>
      <c r="F365" s="14" t="s">
        <v>15795</v>
      </c>
      <c r="G365" s="14">
        <v>142768</v>
      </c>
      <c r="H365" s="14">
        <v>132737</v>
      </c>
      <c r="I365" s="14">
        <v>29</v>
      </c>
      <c r="J365" s="14" t="s">
        <v>104</v>
      </c>
      <c r="K365" s="14" t="s">
        <v>15794</v>
      </c>
      <c r="L365" s="14" t="s">
        <v>13292</v>
      </c>
      <c r="M365" s="14" t="s">
        <v>2138</v>
      </c>
      <c r="N365" s="14" t="s">
        <v>2139</v>
      </c>
      <c r="O365" s="14" t="s">
        <v>9158</v>
      </c>
      <c r="P365" s="14" t="s">
        <v>9158</v>
      </c>
      <c r="Q365" s="14" t="s">
        <v>9158</v>
      </c>
      <c r="R365" s="14" t="s">
        <v>14748</v>
      </c>
    </row>
    <row r="366" spans="1:19">
      <c r="A366" s="14">
        <v>94823</v>
      </c>
      <c r="B366" s="14" t="s">
        <v>0</v>
      </c>
      <c r="C366" s="14" t="s">
        <v>206</v>
      </c>
      <c r="D366" s="14" t="s">
        <v>15800</v>
      </c>
      <c r="E366" s="15" t="str">
        <f>HYPERLINK("https://stat100.ameba.jp/tnk47/ratio20/illustrations/card/ill_94823_sandorizado03.jpg?202108-i_prefecture_active_user", "■")</f>
        <v>■</v>
      </c>
      <c r="F366" s="14" t="s">
        <v>15799</v>
      </c>
      <c r="G366" s="14">
        <v>132737</v>
      </c>
      <c r="H366" s="14">
        <v>142768</v>
      </c>
      <c r="I366" s="14">
        <v>29</v>
      </c>
      <c r="J366" s="14" t="s">
        <v>73</v>
      </c>
      <c r="K366" s="14" t="s">
        <v>15798</v>
      </c>
      <c r="L366" s="14" t="s">
        <v>15797</v>
      </c>
      <c r="M366" s="14" t="s">
        <v>2138</v>
      </c>
      <c r="N366" s="14" t="s">
        <v>2139</v>
      </c>
      <c r="O366" s="14" t="s">
        <v>9158</v>
      </c>
      <c r="P366" s="14" t="s">
        <v>9158</v>
      </c>
      <c r="Q366" s="14" t="s">
        <v>9158</v>
      </c>
      <c r="R366" s="14" t="s">
        <v>14748</v>
      </c>
    </row>
    <row r="368" spans="1:19">
      <c r="A368" s="14" t="s">
        <v>1711</v>
      </c>
    </row>
    <row r="369" spans="1:17">
      <c r="A369" s="14">
        <v>110257</v>
      </c>
      <c r="B369" s="14" t="s">
        <v>14274</v>
      </c>
    </row>
    <row r="370" spans="1:17">
      <c r="A370" s="14" t="s">
        <v>5734</v>
      </c>
      <c r="B370" s="14" t="s">
        <v>330</v>
      </c>
      <c r="C370" s="14" t="s">
        <v>202</v>
      </c>
      <c r="D370" s="19" t="s">
        <v>2297</v>
      </c>
      <c r="E370" s="15" t="str">
        <f>HYPERLINK("https://stat100.ameba.jp/tnk47/ratio20/illustrations/card/ill_74593_0_natsuyuenchikoshihikari03.jpg?202108-i_prefecture_active_user", "■")</f>
        <v>■</v>
      </c>
      <c r="F370" s="14" t="s">
        <v>1498</v>
      </c>
      <c r="G370" s="14">
        <v>292494</v>
      </c>
      <c r="H370" s="14">
        <v>271923</v>
      </c>
      <c r="I370" s="14">
        <v>27</v>
      </c>
      <c r="J370" s="14" t="s">
        <v>283</v>
      </c>
      <c r="K370" s="14" t="s">
        <v>1499</v>
      </c>
      <c r="L370" s="14" t="s">
        <v>1500</v>
      </c>
      <c r="M370" s="14" t="s">
        <v>9158</v>
      </c>
      <c r="N370" s="14" t="s">
        <v>9158</v>
      </c>
      <c r="O370" s="19" t="s">
        <v>2731</v>
      </c>
      <c r="P370" s="14" t="s">
        <v>2732</v>
      </c>
      <c r="Q370" s="14">
        <v>1</v>
      </c>
    </row>
    <row r="371" spans="1:17">
      <c r="A371" s="9" t="s">
        <v>6030</v>
      </c>
      <c r="B371" s="14" t="s">
        <v>330</v>
      </c>
      <c r="C371" s="14" t="s">
        <v>202</v>
      </c>
      <c r="D371" s="14" t="s">
        <v>3708</v>
      </c>
      <c r="E371" s="15" t="str">
        <f>HYPERLINK("https://stat100.ameba.jp/tnk47/ratio20/illustrations/card/ill_80023_0_hinamatsurikyogokumaria03.jpg?202108-i_prefecture_active_user", "■")</f>
        <v>■</v>
      </c>
      <c r="F371" s="14" t="s">
        <v>3709</v>
      </c>
      <c r="G371" s="14">
        <v>363858</v>
      </c>
      <c r="H371" s="14">
        <v>402625</v>
      </c>
      <c r="I371" s="14">
        <v>27</v>
      </c>
      <c r="J371" s="14" t="s">
        <v>26</v>
      </c>
      <c r="K371" s="14" t="s">
        <v>3710</v>
      </c>
      <c r="L371" s="14" t="s">
        <v>3711</v>
      </c>
      <c r="M371" s="14" t="s">
        <v>9158</v>
      </c>
      <c r="N371" s="14" t="s">
        <v>9158</v>
      </c>
      <c r="O371" s="9" t="s">
        <v>3712</v>
      </c>
      <c r="P371" s="14" t="s">
        <v>3713</v>
      </c>
      <c r="Q371" s="14">
        <v>1</v>
      </c>
    </row>
    <row r="372" spans="1:17">
      <c r="A372" s="14" t="s">
        <v>5897</v>
      </c>
      <c r="B372" s="14" t="s">
        <v>52</v>
      </c>
      <c r="C372" s="14" t="s">
        <v>23</v>
      </c>
      <c r="D372" s="19" t="s">
        <v>277</v>
      </c>
      <c r="E372" s="15" t="str">
        <f>HYPERLINK("https://stat100.ameba.jp/tnk47/ratio20/illustrations/card/ill_40913_0_reigyokudensetsufusehime03.jpg?202108-i_prefecture_active_user", "■")</f>
        <v>■</v>
      </c>
      <c r="F372" s="14" t="s">
        <v>955</v>
      </c>
      <c r="G372" s="14">
        <v>147980</v>
      </c>
      <c r="H372" s="14">
        <v>158004</v>
      </c>
      <c r="I372" s="14">
        <v>27</v>
      </c>
      <c r="J372" s="14" t="s">
        <v>38</v>
      </c>
      <c r="K372" s="14" t="s">
        <v>956</v>
      </c>
      <c r="L372" s="14" t="s">
        <v>957</v>
      </c>
      <c r="M372" s="14" t="s">
        <v>9158</v>
      </c>
      <c r="N372" s="14" t="s">
        <v>9158</v>
      </c>
      <c r="O372" s="14" t="s">
        <v>9158</v>
      </c>
      <c r="P372" s="14" t="s">
        <v>9158</v>
      </c>
      <c r="Q372" s="14" t="s">
        <v>9158</v>
      </c>
    </row>
    <row r="373" spans="1:17">
      <c r="A373" s="14">
        <v>99273</v>
      </c>
      <c r="B373" s="14" t="s">
        <v>0</v>
      </c>
      <c r="C373" s="14" t="s">
        <v>14</v>
      </c>
      <c r="D373" s="14" t="s">
        <v>17135</v>
      </c>
      <c r="E373" s="15" t="str">
        <f>HYPERLINK("https://stat100.ameba.jp/tnk47/ratio20/illustrations/card/ill_99273_inaniwaudon03.jpg?202108-i_prefecture_active_user", "■")</f>
        <v>■</v>
      </c>
      <c r="F373" s="14" t="s">
        <v>17134</v>
      </c>
      <c r="G373" s="14">
        <v>127507</v>
      </c>
      <c r="H373" s="14">
        <v>118568</v>
      </c>
      <c r="I373" s="14">
        <v>27</v>
      </c>
      <c r="J373" s="14" t="s">
        <v>104</v>
      </c>
      <c r="K373" s="14" t="s">
        <v>17133</v>
      </c>
      <c r="L373" s="14" t="s">
        <v>17132</v>
      </c>
      <c r="M373" s="14" t="s">
        <v>9158</v>
      </c>
      <c r="N373" s="14" t="s">
        <v>9158</v>
      </c>
      <c r="O373" s="14" t="s">
        <v>9158</v>
      </c>
      <c r="P373" s="14" t="s">
        <v>9158</v>
      </c>
      <c r="Q373" s="14" t="s">
        <v>9158</v>
      </c>
    </row>
    <row r="374" spans="1:17">
      <c r="A374" s="14">
        <v>99283</v>
      </c>
      <c r="B374" s="14" t="s">
        <v>15</v>
      </c>
      <c r="C374" s="14" t="s">
        <v>1</v>
      </c>
      <c r="D374" s="14" t="s">
        <v>17137</v>
      </c>
      <c r="E374" s="15" t="str">
        <f>HYPERLINK("https://stat100.ameba.jp/tnk47/ratio20/illustrations/card/ill_99283_baniyamanetoshiko03.jpg?202108-i_prefecture_active_user", "■")</f>
        <v>■</v>
      </c>
      <c r="F374" s="14" t="s">
        <v>17136</v>
      </c>
      <c r="G374" s="14">
        <v>80028</v>
      </c>
      <c r="H374" s="14">
        <v>72586</v>
      </c>
      <c r="I374" s="14">
        <v>27</v>
      </c>
      <c r="J374" s="14" t="s">
        <v>16</v>
      </c>
      <c r="K374" s="14" t="s">
        <v>1279</v>
      </c>
      <c r="L374" s="14" t="s">
        <v>21</v>
      </c>
      <c r="M374" s="14" t="s">
        <v>9158</v>
      </c>
      <c r="N374" s="14" t="s">
        <v>9158</v>
      </c>
      <c r="O374" s="14" t="s">
        <v>9158</v>
      </c>
      <c r="P374" s="14" t="s">
        <v>9158</v>
      </c>
      <c r="Q374" s="14" t="s">
        <v>9158</v>
      </c>
    </row>
    <row r="375" spans="1:17">
      <c r="A375" s="14">
        <v>99293</v>
      </c>
      <c r="B375" s="14" t="s">
        <v>22</v>
      </c>
      <c r="C375" s="14" t="s">
        <v>101</v>
      </c>
      <c r="D375" s="14" t="s">
        <v>17140</v>
      </c>
      <c r="E375" s="15" t="str">
        <f>HYPERLINK("https://stat100.ameba.jp/tnk47/ratio20/illustrations/card/ill_99293_kodaishiheitakeuchinosukune03.jpg?202108-i_prefecture_active_user", "■")</f>
        <v>■</v>
      </c>
      <c r="F375" s="14" t="s">
        <v>17139</v>
      </c>
      <c r="G375" s="14">
        <v>46676</v>
      </c>
      <c r="H375" s="14">
        <v>56138</v>
      </c>
      <c r="I375" s="14">
        <v>27</v>
      </c>
      <c r="J375" s="14" t="s">
        <v>10</v>
      </c>
      <c r="K375" s="14" t="s">
        <v>17138</v>
      </c>
      <c r="L375" s="14" t="s">
        <v>4228</v>
      </c>
      <c r="M375" s="14" t="s">
        <v>9158</v>
      </c>
      <c r="N375" s="14" t="s">
        <v>9158</v>
      </c>
      <c r="O375" s="14" t="s">
        <v>9158</v>
      </c>
      <c r="P375" s="14" t="s">
        <v>9158</v>
      </c>
      <c r="Q375" s="14" t="s">
        <v>9158</v>
      </c>
    </row>
    <row r="376" spans="1:17">
      <c r="A376" s="14">
        <v>99303</v>
      </c>
      <c r="B376" s="14" t="s">
        <v>22</v>
      </c>
      <c r="C376" s="14" t="s">
        <v>23</v>
      </c>
      <c r="D376" s="14" t="s">
        <v>17143</v>
      </c>
      <c r="E376" s="15" t="str">
        <f>HYPERLINK("https://stat100.ameba.jp/tnk47/ratio20/illustrations/card/ill_99303_tokyotocho03.jpg?202108-i_prefecture_active_user", "■")</f>
        <v>■</v>
      </c>
      <c r="F376" s="14" t="s">
        <v>17142</v>
      </c>
      <c r="G376" s="14">
        <v>56138</v>
      </c>
      <c r="H376" s="14">
        <v>46676</v>
      </c>
      <c r="I376" s="14">
        <v>27</v>
      </c>
      <c r="J376" s="14" t="s">
        <v>26</v>
      </c>
      <c r="K376" s="14" t="s">
        <v>17141</v>
      </c>
      <c r="L376" s="14" t="s">
        <v>2635</v>
      </c>
      <c r="M376" s="14" t="s">
        <v>9158</v>
      </c>
      <c r="N376" s="14" t="s">
        <v>9158</v>
      </c>
      <c r="O376" s="14" t="s">
        <v>9158</v>
      </c>
      <c r="P376" s="14" t="s">
        <v>9158</v>
      </c>
      <c r="Q376" s="14" t="s">
        <v>9158</v>
      </c>
    </row>
    <row r="378" spans="1:17">
      <c r="A378" s="14" t="s">
        <v>3844</v>
      </c>
    </row>
    <row r="379" spans="1:17">
      <c r="A379" s="14">
        <v>110280</v>
      </c>
      <c r="B379" s="14" t="s">
        <v>5786</v>
      </c>
    </row>
    <row r="380" spans="1:17">
      <c r="A380" s="14" t="s">
        <v>5891</v>
      </c>
      <c r="B380" s="14" t="s">
        <v>330</v>
      </c>
      <c r="C380" s="14" t="s">
        <v>202</v>
      </c>
      <c r="D380" s="20" t="s">
        <v>1371</v>
      </c>
      <c r="E380" s="15" t="str">
        <f>HYPERLINK("https://stat100.ameba.jp/tnk47/ratio20/illustrations/card/ill_77173_0_yukemuritomoegozen03.jpg?202108-i_prefecture_active_user", "■")</f>
        <v>■</v>
      </c>
      <c r="F380" s="14" t="s">
        <v>1372</v>
      </c>
      <c r="G380" s="14">
        <v>270658</v>
      </c>
      <c r="H380" s="14">
        <v>299465</v>
      </c>
      <c r="I380" s="14">
        <v>27</v>
      </c>
      <c r="J380" s="14" t="s">
        <v>310</v>
      </c>
      <c r="K380" s="14" t="s">
        <v>1373</v>
      </c>
      <c r="L380" s="14" t="s">
        <v>1374</v>
      </c>
      <c r="M380" s="14" t="s">
        <v>9158</v>
      </c>
      <c r="N380" s="14" t="s">
        <v>9158</v>
      </c>
      <c r="O380" s="19" t="s">
        <v>4067</v>
      </c>
      <c r="P380" s="14" t="s">
        <v>3879</v>
      </c>
      <c r="Q380" s="14">
        <v>2</v>
      </c>
    </row>
    <row r="381" spans="1:17">
      <c r="A381" s="9">
        <v>71343</v>
      </c>
      <c r="B381" s="14" t="s">
        <v>334</v>
      </c>
      <c r="C381" s="14" t="s">
        <v>185</v>
      </c>
      <c r="D381" s="14" t="s">
        <v>186</v>
      </c>
      <c r="E381" s="15" t="str">
        <f>HYPERLINK("https://stat100.ameba.jp/tnk47/ratio20/illustrations/card/ill_71343_ohanamimatehime03.jpg?202108-i_prefecture_active_user", "■")</f>
        <v>■</v>
      </c>
      <c r="F381" s="14" t="s">
        <v>536</v>
      </c>
      <c r="G381" s="14">
        <v>105281</v>
      </c>
      <c r="H381" s="14">
        <v>113277</v>
      </c>
      <c r="I381" s="14">
        <v>29</v>
      </c>
      <c r="J381" s="14" t="s">
        <v>187</v>
      </c>
      <c r="K381" s="14" t="s">
        <v>188</v>
      </c>
      <c r="L381" s="14" t="s">
        <v>13132</v>
      </c>
      <c r="M381" s="14" t="s">
        <v>9158</v>
      </c>
      <c r="N381" s="14" t="s">
        <v>9158</v>
      </c>
      <c r="O381" s="9" t="s">
        <v>2717</v>
      </c>
      <c r="P381" s="14" t="s">
        <v>13123</v>
      </c>
      <c r="Q381" s="14">
        <v>1</v>
      </c>
    </row>
    <row r="382" spans="1:17">
      <c r="A382" s="14">
        <v>58803</v>
      </c>
      <c r="B382" s="14" t="s">
        <v>0</v>
      </c>
      <c r="C382" s="14" t="s">
        <v>205</v>
      </c>
      <c r="D382" s="19" t="s">
        <v>10210</v>
      </c>
      <c r="E382" s="15" t="str">
        <f>HYPERLINK("https://stat100.ameba.jp/tnk47/ratio20/illustrations/card/ill_58803_setsubumpanikkumimuratsuru03.jpg?202108-i_prefecture_active_user", "■")</f>
        <v>■</v>
      </c>
      <c r="F382" s="14" t="s">
        <v>2028</v>
      </c>
      <c r="G382" s="14">
        <v>171911</v>
      </c>
      <c r="H382" s="14">
        <v>103924</v>
      </c>
      <c r="I382" s="14">
        <v>29</v>
      </c>
      <c r="J382" s="14" t="s">
        <v>194</v>
      </c>
      <c r="K382" s="14" t="s">
        <v>2029</v>
      </c>
      <c r="L382" s="14" t="s">
        <v>13171</v>
      </c>
      <c r="M382" s="14" t="s">
        <v>9158</v>
      </c>
      <c r="N382" s="14" t="s">
        <v>9158</v>
      </c>
      <c r="O382" s="19" t="s">
        <v>10092</v>
      </c>
      <c r="P382" s="14" t="s">
        <v>3704</v>
      </c>
      <c r="Q382" s="14">
        <v>1</v>
      </c>
    </row>
    <row r="383" spans="1:17">
      <c r="A383" s="9">
        <v>87583</v>
      </c>
      <c r="B383" s="14" t="s">
        <v>0</v>
      </c>
      <c r="C383" s="9" t="s">
        <v>165</v>
      </c>
      <c r="D383" s="6" t="s">
        <v>9981</v>
      </c>
      <c r="E383" s="15" t="str">
        <f>HYPERLINK("https://stat100.ameba.jp/tnk47/ratio20/illustrations/card/ill_87583_oendanise03.jpg?202108-i_prefecture_active_user", "■")</f>
        <v>■</v>
      </c>
      <c r="F383" s="9" t="s">
        <v>9929</v>
      </c>
      <c r="G383" s="14">
        <v>117591</v>
      </c>
      <c r="H383" s="14">
        <v>109381</v>
      </c>
      <c r="I383" s="14">
        <v>29</v>
      </c>
      <c r="J383" s="9" t="s">
        <v>159</v>
      </c>
      <c r="K383" s="9" t="s">
        <v>9934</v>
      </c>
      <c r="L383" s="9" t="s">
        <v>9927</v>
      </c>
      <c r="M383" s="14" t="s">
        <v>9158</v>
      </c>
      <c r="N383" s="14" t="s">
        <v>9158</v>
      </c>
      <c r="O383" s="6" t="s">
        <v>4373</v>
      </c>
      <c r="P383" s="14" t="s">
        <v>4374</v>
      </c>
      <c r="Q383" s="14">
        <v>1</v>
      </c>
    </row>
    <row r="385" spans="1:21">
      <c r="A385" s="14" t="s">
        <v>4065</v>
      </c>
    </row>
    <row r="386" spans="1:21">
      <c r="A386" s="14">
        <v>110283</v>
      </c>
      <c r="B386" s="14" t="s">
        <v>5803</v>
      </c>
    </row>
    <row r="387" spans="1:21">
      <c r="A387" s="14" t="s">
        <v>14997</v>
      </c>
      <c r="B387" s="7" t="s">
        <v>52</v>
      </c>
      <c r="C387" s="14" t="s">
        <v>202</v>
      </c>
      <c r="D387" s="18" t="s">
        <v>14996</v>
      </c>
      <c r="E387" s="15" t="str">
        <f>HYPERLINK("https://stat100.ameba.jp/tnk47/ratio20/illustrations/card/ill_92403_0_haroimmochizukichiyome03.jpg?202108-i_prefecture_active_user", "■")</f>
        <v>■</v>
      </c>
      <c r="F387" s="14" t="s">
        <v>15003</v>
      </c>
      <c r="G387" s="14">
        <v>339272</v>
      </c>
      <c r="H387" s="14">
        <v>277564</v>
      </c>
      <c r="I387" s="7">
        <v>28</v>
      </c>
      <c r="J387" s="14" t="s">
        <v>16</v>
      </c>
      <c r="K387" s="14" t="s">
        <v>15001</v>
      </c>
      <c r="L387" s="14" t="s">
        <v>15000</v>
      </c>
      <c r="M387" s="14" t="s">
        <v>9158</v>
      </c>
      <c r="N387" s="14" t="s">
        <v>9158</v>
      </c>
      <c r="O387" s="6" t="s">
        <v>14998</v>
      </c>
      <c r="P387" s="7" t="s">
        <v>14999</v>
      </c>
      <c r="Q387" s="7">
        <v>1</v>
      </c>
    </row>
    <row r="388" spans="1:21">
      <c r="A388" s="14">
        <v>91653</v>
      </c>
      <c r="B388" s="14" t="s">
        <v>0</v>
      </c>
      <c r="C388" s="14" t="s">
        <v>96</v>
      </c>
      <c r="D388" s="18" t="s">
        <v>14544</v>
      </c>
      <c r="E388" s="15" t="str">
        <f>HYPERLINK("https://stat100.ameba.jp/tnk47/ratio20/illustrations/card/ill_91653_ninjashugyosunakakemusume03.jpg?202108-i_prefecture_active_user", "■")</f>
        <v>■</v>
      </c>
      <c r="F388" s="14" t="s">
        <v>14543</v>
      </c>
      <c r="G388" s="14">
        <v>105465</v>
      </c>
      <c r="H388" s="14">
        <v>98019</v>
      </c>
      <c r="I388" s="14">
        <v>27</v>
      </c>
      <c r="J388" s="14" t="s">
        <v>73</v>
      </c>
      <c r="K388" s="14" t="s">
        <v>14541</v>
      </c>
      <c r="L388" s="14" t="s">
        <v>12211</v>
      </c>
      <c r="M388" s="14" t="s">
        <v>9158</v>
      </c>
      <c r="N388" s="14" t="s">
        <v>9158</v>
      </c>
      <c r="O388" s="6" t="s">
        <v>10054</v>
      </c>
      <c r="P388" s="7" t="s">
        <v>3672</v>
      </c>
      <c r="Q388" s="7">
        <v>1</v>
      </c>
    </row>
    <row r="389" spans="1:21">
      <c r="A389" s="14">
        <v>77123</v>
      </c>
      <c r="B389" s="14" t="s">
        <v>334</v>
      </c>
      <c r="C389" s="14" t="s">
        <v>191</v>
      </c>
      <c r="D389" s="20" t="s">
        <v>10424</v>
      </c>
      <c r="E389" s="15" t="str">
        <f>HYPERLINK("https://stat100.ameba.jp/tnk47/ratio20/illustrations/card/ill_77123_yukemuriizuna03.jpg?202108-i_prefecture_active_user", "■")</f>
        <v>■</v>
      </c>
      <c r="F389" s="14" t="s">
        <v>1377</v>
      </c>
      <c r="G389" s="14">
        <v>112496</v>
      </c>
      <c r="H389" s="14">
        <v>104619</v>
      </c>
      <c r="I389" s="14">
        <v>27</v>
      </c>
      <c r="J389" s="14" t="s">
        <v>320</v>
      </c>
      <c r="K389" s="14" t="s">
        <v>1378</v>
      </c>
      <c r="L389" s="14" t="s">
        <v>1379</v>
      </c>
      <c r="M389" s="14" t="s">
        <v>9158</v>
      </c>
      <c r="N389" s="14" t="s">
        <v>9158</v>
      </c>
      <c r="O389" s="19" t="s">
        <v>2838</v>
      </c>
      <c r="P389" s="14" t="s">
        <v>3579</v>
      </c>
      <c r="Q389" s="14">
        <v>1</v>
      </c>
    </row>
    <row r="390" spans="1:21">
      <c r="A390" s="14">
        <v>67993</v>
      </c>
      <c r="B390" s="14" t="s">
        <v>334</v>
      </c>
      <c r="C390" s="14" t="s">
        <v>205</v>
      </c>
      <c r="D390" s="6" t="s">
        <v>2546</v>
      </c>
      <c r="E390" s="15" t="str">
        <f>HYPERLINK("https://stat100.ameba.jp/tnk47/ratio20/illustrations/card/ill_67993_kurisumasupateikanekomisuzu03.jpg?202108-i_prefecture_active_user", "■")</f>
        <v>■</v>
      </c>
      <c r="F390" s="14" t="s">
        <v>1286</v>
      </c>
      <c r="G390" s="14">
        <v>105465</v>
      </c>
      <c r="H390" s="14">
        <v>98019</v>
      </c>
      <c r="I390" s="14">
        <v>27</v>
      </c>
      <c r="J390" s="14" t="s">
        <v>10</v>
      </c>
      <c r="K390" s="14" t="s">
        <v>2547</v>
      </c>
      <c r="L390" s="14" t="s">
        <v>2548</v>
      </c>
      <c r="M390" s="14" t="s">
        <v>9158</v>
      </c>
      <c r="N390" s="14" t="s">
        <v>9158</v>
      </c>
      <c r="O390" s="6" t="s">
        <v>10025</v>
      </c>
      <c r="P390" s="14" t="s">
        <v>3701</v>
      </c>
      <c r="Q390" s="14">
        <v>1</v>
      </c>
    </row>
    <row r="392" spans="1:21">
      <c r="A392" s="14" t="s">
        <v>3643</v>
      </c>
    </row>
    <row r="393" spans="1:21">
      <c r="A393" s="14">
        <v>110288</v>
      </c>
      <c r="B393" s="14" t="s">
        <v>17144</v>
      </c>
    </row>
    <row r="394" spans="1:21">
      <c r="A394" s="9">
        <v>86985</v>
      </c>
      <c r="B394" s="9" t="s">
        <v>0</v>
      </c>
      <c r="C394" s="9" t="s">
        <v>202</v>
      </c>
      <c r="D394" s="19" t="s">
        <v>10957</v>
      </c>
      <c r="E394" s="15" t="str">
        <f>HYPERLINK("https://stat100.ameba.jp/tnk47/ratio20/illustrations/card/ill_86985_setsubunkamejuhime05.jpg?202108-i_prefecture_active_user", "■")</f>
        <v>■</v>
      </c>
      <c r="F394" s="9" t="s">
        <v>9317</v>
      </c>
      <c r="G394" s="14">
        <v>130912</v>
      </c>
      <c r="H394" s="14">
        <v>100285</v>
      </c>
      <c r="I394" s="14">
        <v>29</v>
      </c>
      <c r="J394" s="9" t="s">
        <v>187</v>
      </c>
      <c r="K394" s="9" t="s">
        <v>9316</v>
      </c>
      <c r="L394" s="9" t="s">
        <v>4678</v>
      </c>
      <c r="M394" s="14" t="s">
        <v>9158</v>
      </c>
      <c r="N394" s="14" t="s">
        <v>9158</v>
      </c>
      <c r="O394" s="14" t="s">
        <v>9158</v>
      </c>
      <c r="P394" s="14" t="s">
        <v>9158</v>
      </c>
      <c r="Q394" s="14" t="s">
        <v>9158</v>
      </c>
      <c r="R394" s="9" t="s">
        <v>174</v>
      </c>
      <c r="S394" s="9"/>
      <c r="T394" s="9"/>
      <c r="U394" s="9"/>
    </row>
    <row r="395" spans="1:21">
      <c r="A395" s="9">
        <v>86983</v>
      </c>
      <c r="B395" s="9" t="s">
        <v>15</v>
      </c>
      <c r="C395" s="9" t="s">
        <v>158</v>
      </c>
      <c r="D395" s="19" t="s">
        <v>10957</v>
      </c>
      <c r="E395" s="15" t="str">
        <f>HYPERLINK("https://stat100.ameba.jp/tnk47/ratio20/illustrations/card/ill_86983_setsubunkamejuhime03.jpg?202108-i_prefecture_active_user", "■")</f>
        <v>■</v>
      </c>
      <c r="F395" s="9" t="s">
        <v>9317</v>
      </c>
      <c r="G395" s="14">
        <v>92675</v>
      </c>
      <c r="H395" s="14">
        <v>77670</v>
      </c>
      <c r="I395" s="14">
        <v>29</v>
      </c>
      <c r="J395" s="9" t="s">
        <v>187</v>
      </c>
      <c r="K395" s="9" t="s">
        <v>9316</v>
      </c>
      <c r="L395" s="9" t="s">
        <v>9318</v>
      </c>
      <c r="M395" s="14" t="s">
        <v>9158</v>
      </c>
      <c r="N395" s="14" t="s">
        <v>9158</v>
      </c>
      <c r="O395" s="14" t="s">
        <v>9158</v>
      </c>
      <c r="P395" s="14" t="s">
        <v>9158</v>
      </c>
      <c r="Q395" s="14" t="s">
        <v>9158</v>
      </c>
      <c r="R395" s="9" t="s">
        <v>175</v>
      </c>
      <c r="S395" s="9"/>
      <c r="T395" s="9"/>
      <c r="U395" s="9"/>
    </row>
    <row r="396" spans="1:21">
      <c r="A396" s="9">
        <v>86981</v>
      </c>
      <c r="B396" s="9" t="s">
        <v>15</v>
      </c>
      <c r="C396" s="9" t="s">
        <v>158</v>
      </c>
      <c r="D396" s="19" t="s">
        <v>10957</v>
      </c>
      <c r="E396" s="15" t="str">
        <f>HYPERLINK("https://stat100.ameba.jp/tnk47/ratio20/illustrations/card/ill_86981_setsubunkamejuhime01.jpg?202108-i_prefecture_active_user", "■")</f>
        <v>■</v>
      </c>
      <c r="F396" s="9" t="s">
        <v>9317</v>
      </c>
      <c r="G396" s="14">
        <v>57536</v>
      </c>
      <c r="H396" s="14">
        <v>50837</v>
      </c>
      <c r="I396" s="14">
        <v>29</v>
      </c>
      <c r="J396" s="9" t="s">
        <v>187</v>
      </c>
      <c r="K396" s="9" t="s">
        <v>9316</v>
      </c>
      <c r="L396" s="9" t="s">
        <v>9319</v>
      </c>
      <c r="M396" s="14" t="s">
        <v>9158</v>
      </c>
      <c r="N396" s="14" t="s">
        <v>9158</v>
      </c>
      <c r="O396" s="14" t="s">
        <v>9158</v>
      </c>
      <c r="P396" s="14" t="s">
        <v>9158</v>
      </c>
      <c r="Q396" s="14" t="s">
        <v>9158</v>
      </c>
      <c r="R396" s="9" t="s">
        <v>176</v>
      </c>
      <c r="S396" s="9"/>
      <c r="T396" s="9"/>
      <c r="U396" s="9"/>
    </row>
    <row r="397" spans="1:21">
      <c r="A397" s="9">
        <v>87005</v>
      </c>
      <c r="B397" s="9" t="s">
        <v>0</v>
      </c>
      <c r="C397" s="9" t="s">
        <v>202</v>
      </c>
      <c r="D397" s="19" t="s">
        <v>10981</v>
      </c>
      <c r="E397" s="15" t="str">
        <f>HYPERLINK("https://stat100.ameba.jp/tnk47/ratio20/illustrations/card/ill_87005_okashinokunigureteru05.jpg?202108-i_prefecture_active_user", "■")</f>
        <v>■</v>
      </c>
      <c r="F397" s="9" t="s">
        <v>9634</v>
      </c>
      <c r="G397" s="14">
        <v>105340</v>
      </c>
      <c r="H397" s="14">
        <v>145458</v>
      </c>
      <c r="I397" s="14">
        <v>29</v>
      </c>
      <c r="J397" s="9" t="s">
        <v>155</v>
      </c>
      <c r="K397" s="9" t="s">
        <v>9633</v>
      </c>
      <c r="L397" s="9" t="s">
        <v>4306</v>
      </c>
      <c r="M397" s="14" t="s">
        <v>9158</v>
      </c>
      <c r="N397" s="14" t="s">
        <v>9158</v>
      </c>
      <c r="O397" s="14" t="s">
        <v>9158</v>
      </c>
      <c r="P397" s="14" t="s">
        <v>9158</v>
      </c>
      <c r="Q397" s="14" t="s">
        <v>9158</v>
      </c>
      <c r="R397" s="9" t="s">
        <v>174</v>
      </c>
      <c r="S397" s="9"/>
      <c r="T397" s="9"/>
      <c r="U397" s="9"/>
    </row>
    <row r="398" spans="1:21">
      <c r="A398" s="9">
        <v>87003</v>
      </c>
      <c r="B398" s="9" t="s">
        <v>15</v>
      </c>
      <c r="C398" s="9" t="s">
        <v>154</v>
      </c>
      <c r="D398" s="19" t="s">
        <v>10981</v>
      </c>
      <c r="E398" s="15" t="str">
        <f>HYPERLINK("https://stat100.ameba.jp/tnk47/ratio20/illustrations/card/ill_87003_okashinokunigureteru03.jpg?202108-i_prefecture_active_user", "■")</f>
        <v>■</v>
      </c>
      <c r="F398" s="9" t="s">
        <v>9634</v>
      </c>
      <c r="G398" s="14">
        <v>77599</v>
      </c>
      <c r="H398" s="14">
        <v>107189</v>
      </c>
      <c r="I398" s="14">
        <v>29</v>
      </c>
      <c r="J398" s="9" t="s">
        <v>155</v>
      </c>
      <c r="K398" s="9" t="s">
        <v>9633</v>
      </c>
      <c r="L398" s="9" t="s">
        <v>9638</v>
      </c>
      <c r="M398" s="14" t="s">
        <v>9158</v>
      </c>
      <c r="N398" s="14" t="s">
        <v>9158</v>
      </c>
      <c r="O398" s="14" t="s">
        <v>9158</v>
      </c>
      <c r="P398" s="14" t="s">
        <v>9158</v>
      </c>
      <c r="Q398" s="14" t="s">
        <v>9158</v>
      </c>
      <c r="R398" s="9" t="s">
        <v>175</v>
      </c>
      <c r="S398" s="9"/>
      <c r="T398" s="9"/>
      <c r="U398" s="9"/>
    </row>
    <row r="399" spans="1:21">
      <c r="A399" s="9">
        <v>87001</v>
      </c>
      <c r="B399" s="9" t="s">
        <v>15</v>
      </c>
      <c r="C399" s="9" t="s">
        <v>154</v>
      </c>
      <c r="D399" s="19" t="s">
        <v>10981</v>
      </c>
      <c r="E399" s="15" t="str">
        <f>HYPERLINK("https://stat100.ameba.jp/tnk47/ratio20/illustrations/card/ill_87001_okashinokunigureteru01.jpg?202108-i_prefecture_active_user", "■")</f>
        <v>■</v>
      </c>
      <c r="F399" s="9" t="s">
        <v>9634</v>
      </c>
      <c r="G399" s="14">
        <v>49358</v>
      </c>
      <c r="H399" s="14">
        <v>68179</v>
      </c>
      <c r="I399" s="14">
        <v>29</v>
      </c>
      <c r="J399" s="9" t="s">
        <v>155</v>
      </c>
      <c r="K399" s="9" t="s">
        <v>9633</v>
      </c>
      <c r="L399" s="9" t="s">
        <v>9639</v>
      </c>
      <c r="M399" s="14" t="s">
        <v>9158</v>
      </c>
      <c r="N399" s="14" t="s">
        <v>9158</v>
      </c>
      <c r="O399" s="14" t="s">
        <v>9158</v>
      </c>
      <c r="P399" s="14" t="s">
        <v>9158</v>
      </c>
      <c r="Q399" s="14" t="s">
        <v>9158</v>
      </c>
      <c r="R399" s="9" t="s">
        <v>176</v>
      </c>
      <c r="S399" s="9"/>
      <c r="T399" s="9"/>
      <c r="U399" s="9"/>
    </row>
    <row r="400" spans="1:21">
      <c r="A400" s="7">
        <v>86365</v>
      </c>
      <c r="B400" s="7" t="s">
        <v>0</v>
      </c>
      <c r="C400" s="7" t="s">
        <v>202</v>
      </c>
      <c r="D400" s="20" t="s">
        <v>10891</v>
      </c>
      <c r="E400" s="15" t="str">
        <f>HYPERLINK("https://stat100.ameba.jp/tnk47/ratio20/illustrations/card/ill_86365_hagoitataisenhinotomiko05.jpg?202108-i_prefecture_active_user", "■")</f>
        <v>■</v>
      </c>
      <c r="F400" s="7" t="s">
        <v>8880</v>
      </c>
      <c r="G400" s="14">
        <v>98713</v>
      </c>
      <c r="H400" s="14">
        <v>136338</v>
      </c>
      <c r="I400" s="14">
        <v>29</v>
      </c>
      <c r="J400" s="14" t="s">
        <v>187</v>
      </c>
      <c r="K400" s="7" t="s">
        <v>8882</v>
      </c>
      <c r="L400" s="7" t="s">
        <v>7158</v>
      </c>
      <c r="M400" s="14" t="s">
        <v>9158</v>
      </c>
      <c r="N400" s="14" t="s">
        <v>9158</v>
      </c>
      <c r="O400" s="14" t="s">
        <v>9158</v>
      </c>
      <c r="P400" s="14" t="s">
        <v>9158</v>
      </c>
      <c r="Q400" s="14" t="s">
        <v>9158</v>
      </c>
      <c r="R400" s="7" t="s">
        <v>174</v>
      </c>
      <c r="S400" s="7"/>
      <c r="T400" s="7"/>
      <c r="U400" s="7"/>
    </row>
    <row r="401" spans="1:21">
      <c r="A401" s="7">
        <v>86363</v>
      </c>
      <c r="B401" s="7" t="s">
        <v>15</v>
      </c>
      <c r="C401" s="7" t="s">
        <v>158</v>
      </c>
      <c r="D401" s="20" t="s">
        <v>10891</v>
      </c>
      <c r="E401" s="15" t="str">
        <f>HYPERLINK("https://stat100.ameba.jp/tnk47/ratio20/illustrations/card/ill_86363_hagoitataisenhinotomiko03.jpg?202108-i_prefecture_active_user", "■")</f>
        <v>■</v>
      </c>
      <c r="F401" s="7" t="s">
        <v>8880</v>
      </c>
      <c r="G401" s="14">
        <v>72725</v>
      </c>
      <c r="H401" s="14">
        <v>100441</v>
      </c>
      <c r="I401" s="14">
        <v>29</v>
      </c>
      <c r="J401" s="14" t="s">
        <v>187</v>
      </c>
      <c r="K401" s="7" t="s">
        <v>8882</v>
      </c>
      <c r="L401" s="7" t="s">
        <v>8883</v>
      </c>
      <c r="M401" s="14" t="s">
        <v>9158</v>
      </c>
      <c r="N401" s="14" t="s">
        <v>9158</v>
      </c>
      <c r="O401" s="14" t="s">
        <v>9158</v>
      </c>
      <c r="P401" s="14" t="s">
        <v>9158</v>
      </c>
      <c r="Q401" s="14" t="s">
        <v>9158</v>
      </c>
      <c r="R401" s="7" t="s">
        <v>175</v>
      </c>
      <c r="S401" s="7"/>
      <c r="T401" s="7"/>
      <c r="U401" s="7"/>
    </row>
    <row r="402" spans="1:21">
      <c r="A402" s="7">
        <v>86361</v>
      </c>
      <c r="B402" s="7" t="s">
        <v>15</v>
      </c>
      <c r="C402" s="7" t="s">
        <v>158</v>
      </c>
      <c r="D402" s="20" t="s">
        <v>10891</v>
      </c>
      <c r="E402" s="15" t="str">
        <f>HYPERLINK("https://stat100.ameba.jp/tnk47/ratio20/illustrations/card/ill_86361_hagoitataisenhinotomiko01.jpg?202108-i_prefecture_active_user", "■")</f>
        <v>■</v>
      </c>
      <c r="F402" s="7" t="s">
        <v>8880</v>
      </c>
      <c r="G402" s="14">
        <v>46255</v>
      </c>
      <c r="H402" s="14">
        <v>63887</v>
      </c>
      <c r="I402" s="14">
        <v>29</v>
      </c>
      <c r="J402" s="14" t="s">
        <v>187</v>
      </c>
      <c r="K402" s="7" t="s">
        <v>8882</v>
      </c>
      <c r="L402" s="7" t="s">
        <v>8884</v>
      </c>
      <c r="M402" s="14" t="s">
        <v>9158</v>
      </c>
      <c r="N402" s="14" t="s">
        <v>9158</v>
      </c>
      <c r="O402" s="14" t="s">
        <v>9158</v>
      </c>
      <c r="P402" s="14" t="s">
        <v>9158</v>
      </c>
      <c r="Q402" s="14" t="s">
        <v>9158</v>
      </c>
      <c r="R402" s="7" t="s">
        <v>176</v>
      </c>
      <c r="S402" s="7"/>
      <c r="T402" s="7"/>
      <c r="U402" s="7"/>
    </row>
    <row r="404" spans="1:21">
      <c r="A404" s="14" t="s">
        <v>4422</v>
      </c>
    </row>
    <row r="405" spans="1:21">
      <c r="A405" s="14">
        <v>239582</v>
      </c>
      <c r="B405" s="14" t="s">
        <v>5811</v>
      </c>
    </row>
    <row r="406" spans="1:21">
      <c r="A406" s="14">
        <v>99353</v>
      </c>
      <c r="B406" s="7" t="s">
        <v>0</v>
      </c>
      <c r="C406" s="14" t="s">
        <v>23</v>
      </c>
      <c r="D406" s="14" t="s">
        <v>17147</v>
      </c>
      <c r="E406" s="15" t="str">
        <f>HYPERLINK("https://stat100.ameba.jp/tnk47/ratio20/illustrations/card/ill_99353_mashishorandore03.jpg?202108-i_prefecture_active_user", "■")</f>
        <v>■</v>
      </c>
      <c r="F406" s="14" t="s">
        <v>17146</v>
      </c>
      <c r="G406" s="14">
        <v>212908</v>
      </c>
      <c r="H406" s="14">
        <v>119785</v>
      </c>
      <c r="I406" s="14">
        <v>29</v>
      </c>
      <c r="J406" s="14" t="s">
        <v>10</v>
      </c>
      <c r="K406" s="14" t="s">
        <v>17145</v>
      </c>
      <c r="L406" s="14" t="s">
        <v>13407</v>
      </c>
      <c r="M406" s="14" t="s">
        <v>9158</v>
      </c>
      <c r="N406" s="14" t="s">
        <v>9158</v>
      </c>
      <c r="O406" s="14" t="s">
        <v>9158</v>
      </c>
      <c r="P406" s="14" t="s">
        <v>9158</v>
      </c>
      <c r="Q406" s="14" t="s">
        <v>9158</v>
      </c>
    </row>
    <row r="407" spans="1:21">
      <c r="A407" s="14">
        <v>99352</v>
      </c>
      <c r="B407" s="7" t="s">
        <v>0</v>
      </c>
      <c r="C407" s="14" t="s">
        <v>23</v>
      </c>
      <c r="D407" s="14" t="s">
        <v>17147</v>
      </c>
      <c r="E407" s="15" t="str">
        <f>HYPERLINK("https://stat100.ameba.jp/tnk47/ratio20/illustrations/card/ill_99352_mashishorandore02.jpg?202108-i_prefecture_active_user", "■")</f>
        <v>■</v>
      </c>
      <c r="F407" s="14" t="s">
        <v>17146</v>
      </c>
      <c r="G407" s="14">
        <v>177149</v>
      </c>
      <c r="H407" s="14">
        <v>99690</v>
      </c>
      <c r="I407" s="14">
        <v>29</v>
      </c>
      <c r="J407" s="14" t="s">
        <v>10</v>
      </c>
      <c r="K407" s="14" t="s">
        <v>17145</v>
      </c>
      <c r="L407" s="14" t="s">
        <v>17152</v>
      </c>
      <c r="M407" s="14" t="s">
        <v>9158</v>
      </c>
      <c r="N407" s="14" t="s">
        <v>9158</v>
      </c>
      <c r="O407" s="14" t="s">
        <v>9158</v>
      </c>
      <c r="P407" s="14" t="s">
        <v>9158</v>
      </c>
      <c r="Q407" s="14" t="s">
        <v>9158</v>
      </c>
    </row>
    <row r="408" spans="1:21">
      <c r="A408" s="14">
        <v>99351</v>
      </c>
      <c r="B408" s="7" t="s">
        <v>0</v>
      </c>
      <c r="C408" s="14" t="s">
        <v>23</v>
      </c>
      <c r="D408" s="14" t="s">
        <v>17147</v>
      </c>
      <c r="E408" s="15" t="str">
        <f>HYPERLINK("https://stat100.ameba.jp/tnk47/ratio20/illustrations/card/ill_99351_mashishorandore01.jpg?202108-i_prefecture_active_user", "■")</f>
        <v>■</v>
      </c>
      <c r="F408" s="14" t="s">
        <v>17146</v>
      </c>
      <c r="G408" s="14">
        <v>135952</v>
      </c>
      <c r="H408" s="14">
        <v>76502</v>
      </c>
      <c r="I408" s="14">
        <v>29</v>
      </c>
      <c r="J408" s="14" t="s">
        <v>10</v>
      </c>
      <c r="K408" s="14" t="s">
        <v>17145</v>
      </c>
      <c r="L408" s="14" t="s">
        <v>13408</v>
      </c>
      <c r="M408" s="14" t="s">
        <v>9158</v>
      </c>
      <c r="N408" s="14" t="s">
        <v>9158</v>
      </c>
      <c r="O408" s="14" t="s">
        <v>9158</v>
      </c>
      <c r="P408" s="14" t="s">
        <v>9158</v>
      </c>
      <c r="Q408" s="14" t="s">
        <v>9158</v>
      </c>
    </row>
    <row r="409" spans="1:21">
      <c r="A409" s="14">
        <v>99363</v>
      </c>
      <c r="B409" s="7" t="s">
        <v>0</v>
      </c>
      <c r="C409" s="14" t="s">
        <v>96</v>
      </c>
      <c r="D409" s="14" t="s">
        <v>17151</v>
      </c>
      <c r="E409" s="15" t="str">
        <f>HYPERLINK("https://stat100.ameba.jp/tnk47/ratio20/illustrations/card/ill_99363_kariudorobin03.jpg?202108-i_prefecture_active_user", "■")</f>
        <v>■</v>
      </c>
      <c r="F409" s="14" t="s">
        <v>17150</v>
      </c>
      <c r="G409" s="14">
        <v>169148</v>
      </c>
      <c r="H409" s="14">
        <v>95155</v>
      </c>
      <c r="I409" s="14">
        <v>29</v>
      </c>
      <c r="J409" s="14" t="s">
        <v>38</v>
      </c>
      <c r="K409" s="14" t="s">
        <v>17149</v>
      </c>
      <c r="L409" s="14" t="s">
        <v>17148</v>
      </c>
      <c r="M409" s="14" t="s">
        <v>9158</v>
      </c>
      <c r="N409" s="14" t="s">
        <v>9158</v>
      </c>
      <c r="O409" s="14" t="s">
        <v>9158</v>
      </c>
      <c r="P409" s="14" t="s">
        <v>9158</v>
      </c>
      <c r="Q409" s="14" t="s">
        <v>9158</v>
      </c>
    </row>
    <row r="410" spans="1:21">
      <c r="A410" s="14">
        <v>99362</v>
      </c>
      <c r="B410" s="7" t="s">
        <v>0</v>
      </c>
      <c r="C410" s="14" t="s">
        <v>96</v>
      </c>
      <c r="D410" s="14" t="s">
        <v>17151</v>
      </c>
      <c r="E410" s="15" t="str">
        <f>HYPERLINK("https://stat100.ameba.jp/tnk47/ratio20/illustrations/card/ill_99362_kariudorobin02.jpg?202108-i_prefecture_active_user", "■")</f>
        <v>■</v>
      </c>
      <c r="F410" s="14" t="s">
        <v>17150</v>
      </c>
      <c r="G410" s="14">
        <v>140759</v>
      </c>
      <c r="H410" s="14">
        <v>79204</v>
      </c>
      <c r="I410" s="14">
        <v>29</v>
      </c>
      <c r="J410" s="14" t="s">
        <v>38</v>
      </c>
      <c r="K410" s="14" t="s">
        <v>17149</v>
      </c>
      <c r="L410" s="14" t="s">
        <v>5407</v>
      </c>
      <c r="M410" s="14" t="s">
        <v>9158</v>
      </c>
      <c r="N410" s="14" t="s">
        <v>9158</v>
      </c>
      <c r="O410" s="14" t="s">
        <v>9158</v>
      </c>
      <c r="P410" s="14" t="s">
        <v>9158</v>
      </c>
      <c r="Q410" s="14" t="s">
        <v>9158</v>
      </c>
    </row>
    <row r="411" spans="1:21">
      <c r="A411" s="14">
        <v>99361</v>
      </c>
      <c r="B411" s="7" t="s">
        <v>0</v>
      </c>
      <c r="C411" s="14" t="s">
        <v>96</v>
      </c>
      <c r="D411" s="14" t="s">
        <v>17151</v>
      </c>
      <c r="E411" s="15" t="str">
        <f>HYPERLINK("https://stat100.ameba.jp/tnk47/ratio20/illustrations/card/ill_99361_kariudorobin01.jpg?202108-i_prefecture_active_user", "■")</f>
        <v>■</v>
      </c>
      <c r="F411" s="14" t="s">
        <v>17150</v>
      </c>
      <c r="G411" s="14">
        <v>107996</v>
      </c>
      <c r="H411" s="14">
        <v>60784</v>
      </c>
      <c r="I411" s="14">
        <v>29</v>
      </c>
      <c r="J411" s="14" t="s">
        <v>38</v>
      </c>
      <c r="K411" s="14" t="s">
        <v>17149</v>
      </c>
      <c r="L411" s="14" t="s">
        <v>15514</v>
      </c>
      <c r="M411" s="14" t="s">
        <v>9158</v>
      </c>
      <c r="N411" s="14" t="s">
        <v>9158</v>
      </c>
      <c r="O411" s="14" t="s">
        <v>9158</v>
      </c>
      <c r="P411" s="14" t="s">
        <v>9158</v>
      </c>
      <c r="Q411" s="14" t="s">
        <v>9158</v>
      </c>
    </row>
    <row r="413" spans="1:21">
      <c r="A413" s="14" t="s">
        <v>3844</v>
      </c>
    </row>
    <row r="414" spans="1:21">
      <c r="A414" s="14">
        <v>110306</v>
      </c>
      <c r="B414" s="14" t="s">
        <v>17153</v>
      </c>
    </row>
    <row r="415" spans="1:21">
      <c r="A415" s="9" t="s">
        <v>5733</v>
      </c>
      <c r="B415" s="14" t="s">
        <v>330</v>
      </c>
      <c r="C415" s="14" t="s">
        <v>202</v>
      </c>
      <c r="D415" s="14" t="s">
        <v>2744</v>
      </c>
      <c r="E415" s="15" t="str">
        <f>HYPERLINK("https://stat100.ameba.jp/tnk47/ratio20/illustrations/card/ill_78693_0_kyupittokoinomikoto03.jpg?202108-i_prefecture_active_user", "■")</f>
        <v>■</v>
      </c>
      <c r="F415" s="14" t="s">
        <v>2745</v>
      </c>
      <c r="G415" s="14">
        <v>282956</v>
      </c>
      <c r="H415" s="14">
        <v>313081</v>
      </c>
      <c r="I415" s="14">
        <v>27</v>
      </c>
      <c r="J415" s="14" t="s">
        <v>274</v>
      </c>
      <c r="K415" s="14" t="s">
        <v>2746</v>
      </c>
      <c r="L415" s="14" t="s">
        <v>2747</v>
      </c>
      <c r="M415" s="14" t="s">
        <v>9158</v>
      </c>
      <c r="N415" s="14" t="s">
        <v>9158</v>
      </c>
      <c r="O415" s="18" t="s">
        <v>10067</v>
      </c>
      <c r="P415" s="14" t="s">
        <v>2748</v>
      </c>
      <c r="Q415" s="14">
        <v>1</v>
      </c>
    </row>
    <row r="416" spans="1:21">
      <c r="A416" s="9">
        <v>56183</v>
      </c>
      <c r="B416" s="14" t="s">
        <v>0</v>
      </c>
      <c r="C416" s="14" t="s">
        <v>191</v>
      </c>
      <c r="D416" s="14" t="s">
        <v>2024</v>
      </c>
      <c r="E416" s="15" t="str">
        <f>HYPERLINK("https://stat100.ameba.jp/tnk47/ratio20/illustrations/card/ill_56183_onsempanikkukoteipenginchan03.jpg?202108-i_prefecture_active_user", "■")</f>
        <v>■</v>
      </c>
      <c r="F416" s="14" t="s">
        <v>2025</v>
      </c>
      <c r="G416" s="14">
        <v>111776</v>
      </c>
      <c r="H416" s="14">
        <v>103924</v>
      </c>
      <c r="I416" s="14">
        <v>29</v>
      </c>
      <c r="J416" s="14" t="s">
        <v>229</v>
      </c>
      <c r="K416" s="14" t="s">
        <v>2026</v>
      </c>
      <c r="L416" s="14" t="s">
        <v>13170</v>
      </c>
      <c r="M416" s="14" t="s">
        <v>9158</v>
      </c>
      <c r="N416" s="14" t="s">
        <v>9158</v>
      </c>
      <c r="O416" s="9" t="s">
        <v>3894</v>
      </c>
      <c r="P416" s="14" t="s">
        <v>3895</v>
      </c>
      <c r="Q416" s="14">
        <v>1</v>
      </c>
    </row>
    <row r="417" spans="1:17">
      <c r="A417" s="14">
        <v>85483</v>
      </c>
      <c r="B417" s="14" t="s">
        <v>0</v>
      </c>
      <c r="C417" s="14" t="s">
        <v>206</v>
      </c>
      <c r="D417" s="20" t="s">
        <v>10807</v>
      </c>
      <c r="E417" s="15" t="str">
        <f>HYPERLINK("https://stat100.ameba.jp/tnk47/ratio20/illustrations/card/ill_85483_seitankuronikururirimu03.jpg?202108-i_prefecture_active_user", "■")</f>
        <v>■</v>
      </c>
      <c r="F417" s="14" t="s">
        <v>8445</v>
      </c>
      <c r="G417" s="14">
        <v>120830</v>
      </c>
      <c r="H417" s="14">
        <v>112369</v>
      </c>
      <c r="I417" s="14">
        <v>29</v>
      </c>
      <c r="J417" s="14" t="s">
        <v>182</v>
      </c>
      <c r="K417" s="14" t="s">
        <v>8444</v>
      </c>
      <c r="L417" s="14" t="s">
        <v>2308</v>
      </c>
      <c r="M417" s="14" t="s">
        <v>9158</v>
      </c>
      <c r="N417" s="14" t="s">
        <v>9158</v>
      </c>
      <c r="O417" s="19" t="s">
        <v>10086</v>
      </c>
      <c r="P417" s="14" t="s">
        <v>3701</v>
      </c>
      <c r="Q417" s="14">
        <v>1</v>
      </c>
    </row>
    <row r="418" spans="1:17">
      <c r="A418" s="14">
        <v>75333</v>
      </c>
      <c r="B418" s="14" t="s">
        <v>334</v>
      </c>
      <c r="C418" s="14" t="s">
        <v>200</v>
      </c>
      <c r="D418" s="19" t="s">
        <v>3206</v>
      </c>
      <c r="E418" s="15" t="str">
        <f>HYPERLINK("https://stat100.ameba.jp/tnk47/ratio20/illustrations/card/ill_75333_resukuintamamonomae03.jpg?202108-i_prefecture_active_user", "■")</f>
        <v>■</v>
      </c>
      <c r="F418" s="14" t="s">
        <v>3207</v>
      </c>
      <c r="G418" s="14">
        <v>112369</v>
      </c>
      <c r="H418" s="14">
        <v>120830</v>
      </c>
      <c r="I418" s="14">
        <v>29</v>
      </c>
      <c r="J418" s="14" t="s">
        <v>320</v>
      </c>
      <c r="K418" s="14" t="s">
        <v>3208</v>
      </c>
      <c r="L418" s="14" t="s">
        <v>3209</v>
      </c>
      <c r="M418" s="14" t="s">
        <v>9158</v>
      </c>
      <c r="N418" s="14" t="s">
        <v>9158</v>
      </c>
      <c r="O418" s="19" t="s">
        <v>10074</v>
      </c>
      <c r="P418" s="14" t="s">
        <v>2822</v>
      </c>
      <c r="Q418" s="14">
        <v>1</v>
      </c>
    </row>
    <row r="420" spans="1:17">
      <c r="A420" s="14" t="s">
        <v>4076</v>
      </c>
    </row>
    <row r="421" spans="1:17">
      <c r="A421" s="14">
        <v>239612</v>
      </c>
      <c r="B421" s="14" t="s">
        <v>5827</v>
      </c>
    </row>
    <row r="422" spans="1:17">
      <c r="A422" s="9" t="s">
        <v>5901</v>
      </c>
      <c r="B422" s="14" t="s">
        <v>52</v>
      </c>
      <c r="C422" s="14" t="s">
        <v>101</v>
      </c>
      <c r="D422" s="14" t="s">
        <v>119</v>
      </c>
      <c r="E422" s="15" t="str">
        <f>HYPERLINK("https://stat100.ameba.jp/tnk47/ratio20/illustrations/card/ill_64953_0_yukatatokugawayoshinobu03.jpg?201906-1-RELEASE-raid-412x", "■")</f>
        <v>■</v>
      </c>
      <c r="F422" s="14" t="s">
        <v>2090</v>
      </c>
      <c r="G422" s="14">
        <v>124600</v>
      </c>
      <c r="H422" s="14">
        <v>134004</v>
      </c>
      <c r="I422" s="14">
        <v>20</v>
      </c>
      <c r="J422" s="14" t="s">
        <v>10</v>
      </c>
      <c r="K422" s="14" t="s">
        <v>2091</v>
      </c>
      <c r="L422" s="14" t="s">
        <v>2092</v>
      </c>
      <c r="M422" s="14" t="s">
        <v>9158</v>
      </c>
      <c r="N422" s="14" t="s">
        <v>9158</v>
      </c>
      <c r="O422" s="9" t="s">
        <v>2889</v>
      </c>
      <c r="P422" s="14" t="s">
        <v>2890</v>
      </c>
      <c r="Q422" s="14">
        <v>1</v>
      </c>
    </row>
    <row r="423" spans="1:17">
      <c r="A423" s="14">
        <v>99373</v>
      </c>
      <c r="B423" s="14" t="s">
        <v>334</v>
      </c>
      <c r="C423" s="14" t="s">
        <v>101</v>
      </c>
      <c r="D423" s="14" t="s">
        <v>17198</v>
      </c>
      <c r="E423" s="15" t="str">
        <f>HYPERLINK("https://stat100.ameba.jp/tnk47/ratio20/illustrations/card/ill_99373_naitomea03.jpg?202108-i_prefecture_active_user", "■")</f>
        <v>■</v>
      </c>
      <c r="F423" s="14" t="s">
        <v>17197</v>
      </c>
      <c r="G423" s="14">
        <v>95155</v>
      </c>
      <c r="H423" s="14">
        <v>169148</v>
      </c>
      <c r="I423" s="14">
        <v>29</v>
      </c>
      <c r="J423" s="14" t="s">
        <v>73</v>
      </c>
      <c r="K423" s="14" t="s">
        <v>17196</v>
      </c>
      <c r="L423" s="14" t="s">
        <v>13096</v>
      </c>
      <c r="M423" s="14" t="s">
        <v>9158</v>
      </c>
      <c r="N423" s="14" t="s">
        <v>9158</v>
      </c>
      <c r="O423" s="14" t="s">
        <v>9158</v>
      </c>
      <c r="P423" s="14" t="s">
        <v>9158</v>
      </c>
      <c r="Q423" s="14" t="s">
        <v>9158</v>
      </c>
    </row>
    <row r="424" spans="1:17">
      <c r="A424" s="14">
        <v>99372</v>
      </c>
      <c r="B424" s="14" t="s">
        <v>334</v>
      </c>
      <c r="C424" s="14" t="s">
        <v>101</v>
      </c>
      <c r="D424" s="14" t="s">
        <v>17198</v>
      </c>
      <c r="E424" s="15" t="str">
        <f>HYPERLINK("https://stat100.ameba.jp/tnk47/ratio20/illustrations/card/ill_99372_naitomea02.jpg?202108-i_prefecture_active_user", "■")</f>
        <v>■</v>
      </c>
      <c r="F424" s="14" t="s">
        <v>17197</v>
      </c>
      <c r="G424" s="14">
        <v>79204</v>
      </c>
      <c r="H424" s="14">
        <v>140759</v>
      </c>
      <c r="I424" s="14">
        <v>29</v>
      </c>
      <c r="J424" s="14" t="s">
        <v>73</v>
      </c>
      <c r="K424" s="14" t="s">
        <v>17196</v>
      </c>
      <c r="L424" s="14" t="s">
        <v>17199</v>
      </c>
      <c r="M424" s="14" t="s">
        <v>9158</v>
      </c>
      <c r="N424" s="14" t="s">
        <v>9158</v>
      </c>
      <c r="O424" s="14" t="s">
        <v>9158</v>
      </c>
      <c r="P424" s="14" t="s">
        <v>9158</v>
      </c>
      <c r="Q424" s="14" t="s">
        <v>9158</v>
      </c>
    </row>
    <row r="425" spans="1:17">
      <c r="A425" s="14">
        <v>99371</v>
      </c>
      <c r="B425" s="14" t="s">
        <v>334</v>
      </c>
      <c r="C425" s="14" t="s">
        <v>101</v>
      </c>
      <c r="D425" s="14" t="s">
        <v>17198</v>
      </c>
      <c r="E425" s="15" t="str">
        <f>HYPERLINK("https://stat100.ameba.jp/tnk47/ratio20/illustrations/card/ill_99371_naitomea01.jpg?202108-i_prefecture_active_user", "■")</f>
        <v>■</v>
      </c>
      <c r="F425" s="14" t="s">
        <v>17197</v>
      </c>
      <c r="G425" s="14">
        <v>60784</v>
      </c>
      <c r="H425" s="14">
        <v>107996</v>
      </c>
      <c r="I425" s="14">
        <v>29</v>
      </c>
      <c r="J425" s="14" t="s">
        <v>73</v>
      </c>
      <c r="K425" s="14" t="s">
        <v>17196</v>
      </c>
      <c r="L425" s="14" t="s">
        <v>17200</v>
      </c>
      <c r="M425" s="14" t="s">
        <v>9158</v>
      </c>
      <c r="N425" s="14" t="s">
        <v>9158</v>
      </c>
      <c r="O425" s="14" t="s">
        <v>9158</v>
      </c>
      <c r="P425" s="14" t="s">
        <v>9158</v>
      </c>
      <c r="Q425" s="14" t="s">
        <v>9158</v>
      </c>
    </row>
    <row r="426" spans="1:17">
      <c r="A426" s="14">
        <v>99383</v>
      </c>
      <c r="B426" s="14" t="s">
        <v>334</v>
      </c>
      <c r="C426" s="14" t="s">
        <v>107</v>
      </c>
      <c r="D426" s="14" t="s">
        <v>17203</v>
      </c>
      <c r="E426" s="15" t="str">
        <f>HYPERLINK("https://stat100.ameba.jp/tnk47/ratio20/illustrations/card/ill_99383_seishigaburieru03.jpg?202108-i_prefecture_active_user", "■")</f>
        <v>■</v>
      </c>
      <c r="F426" s="14" t="s">
        <v>17202</v>
      </c>
      <c r="G426" s="14">
        <v>78696</v>
      </c>
      <c r="H426" s="14">
        <v>139860</v>
      </c>
      <c r="I426" s="14">
        <v>29</v>
      </c>
      <c r="J426" s="14" t="s">
        <v>44</v>
      </c>
      <c r="K426" s="14" t="s">
        <v>17201</v>
      </c>
      <c r="L426" s="14" t="s">
        <v>12599</v>
      </c>
      <c r="M426" s="14" t="s">
        <v>9158</v>
      </c>
      <c r="N426" s="14" t="s">
        <v>9158</v>
      </c>
      <c r="O426" s="14" t="s">
        <v>9158</v>
      </c>
      <c r="P426" s="14" t="s">
        <v>9158</v>
      </c>
      <c r="Q426" s="14" t="s">
        <v>9158</v>
      </c>
    </row>
    <row r="427" spans="1:17">
      <c r="A427" s="14">
        <v>99382</v>
      </c>
      <c r="B427" s="14" t="s">
        <v>334</v>
      </c>
      <c r="C427" s="14" t="s">
        <v>107</v>
      </c>
      <c r="D427" s="14" t="s">
        <v>17203</v>
      </c>
      <c r="E427" s="15" t="str">
        <f>HYPERLINK("https://stat100.ameba.jp/tnk47/ratio20/illustrations/card/ill_99382_seishigaburieru02.jpg?202108-i_prefecture_active_user", "■")</f>
        <v>■</v>
      </c>
      <c r="F427" s="14" t="s">
        <v>17202</v>
      </c>
      <c r="G427" s="14">
        <v>65498</v>
      </c>
      <c r="H427" s="14">
        <v>116406</v>
      </c>
      <c r="I427" s="14">
        <v>29</v>
      </c>
      <c r="J427" s="14" t="s">
        <v>44</v>
      </c>
      <c r="K427" s="14" t="s">
        <v>17201</v>
      </c>
      <c r="L427" s="14" t="s">
        <v>13999</v>
      </c>
      <c r="M427" s="14" t="s">
        <v>9158</v>
      </c>
      <c r="N427" s="14" t="s">
        <v>9158</v>
      </c>
      <c r="O427" s="14" t="s">
        <v>9158</v>
      </c>
      <c r="P427" s="14" t="s">
        <v>9158</v>
      </c>
      <c r="Q427" s="14" t="s">
        <v>9158</v>
      </c>
    </row>
    <row r="428" spans="1:17">
      <c r="A428" s="14">
        <v>99381</v>
      </c>
      <c r="B428" s="14" t="s">
        <v>334</v>
      </c>
      <c r="C428" s="14" t="s">
        <v>107</v>
      </c>
      <c r="D428" s="14" t="s">
        <v>17203</v>
      </c>
      <c r="E428" s="15" t="str">
        <f>HYPERLINK("https://stat100.ameba.jp/tnk47/ratio20/illustrations/card/ill_99381_seishigaburieru01.jpg?202108-i_prefecture_active_user", "■")</f>
        <v>■</v>
      </c>
      <c r="F428" s="14" t="s">
        <v>17202</v>
      </c>
      <c r="G428" s="14">
        <v>50257</v>
      </c>
      <c r="H428" s="14">
        <v>89320</v>
      </c>
      <c r="I428" s="14">
        <v>29</v>
      </c>
      <c r="J428" s="14" t="s">
        <v>44</v>
      </c>
      <c r="K428" s="14" t="s">
        <v>17201</v>
      </c>
      <c r="L428" s="14" t="s">
        <v>14000</v>
      </c>
      <c r="M428" s="14" t="s">
        <v>9158</v>
      </c>
      <c r="N428" s="14" t="s">
        <v>9158</v>
      </c>
      <c r="O428" s="14" t="s">
        <v>9158</v>
      </c>
      <c r="P428" s="14" t="s">
        <v>9158</v>
      </c>
      <c r="Q428" s="14" t="s">
        <v>9158</v>
      </c>
    </row>
    <row r="430" spans="1:17">
      <c r="A430" s="14" t="s">
        <v>8239</v>
      </c>
    </row>
    <row r="431" spans="1:17">
      <c r="A431" s="14">
        <v>239641</v>
      </c>
      <c r="B431" s="14" t="s">
        <v>17195</v>
      </c>
    </row>
    <row r="432" spans="1:17">
      <c r="A432" s="14">
        <v>239677</v>
      </c>
      <c r="B432" s="14" t="s">
        <v>18541</v>
      </c>
    </row>
    <row r="433" spans="1:17">
      <c r="A433" s="14" t="s">
        <v>17207</v>
      </c>
      <c r="B433" s="14" t="s">
        <v>117</v>
      </c>
      <c r="C433" s="14" t="s">
        <v>35</v>
      </c>
      <c r="D433" s="14" t="s">
        <v>17208</v>
      </c>
      <c r="E433" s="15" t="str">
        <f>HYPERLINK("https://stat100.ameba.jp/tnk47/ratio20/illustrations/card/ill_99503_0_tenkuroakuariumu03.jpg?202108-i_prefecture_active_user", "■")</f>
        <v>■</v>
      </c>
      <c r="F433" s="14" t="s">
        <v>17206</v>
      </c>
      <c r="G433" s="14">
        <v>424184</v>
      </c>
      <c r="H433" s="14">
        <v>469348</v>
      </c>
      <c r="I433" s="14">
        <v>35</v>
      </c>
      <c r="J433" s="14" t="s">
        <v>26</v>
      </c>
      <c r="K433" s="14" t="s">
        <v>17205</v>
      </c>
      <c r="L433" s="14" t="s">
        <v>17204</v>
      </c>
      <c r="M433" s="14" t="s">
        <v>9158</v>
      </c>
      <c r="N433" s="14" t="s">
        <v>9158</v>
      </c>
      <c r="O433" s="14" t="s">
        <v>9158</v>
      </c>
      <c r="P433" s="14" t="s">
        <v>9158</v>
      </c>
      <c r="Q433" s="14" t="s">
        <v>9158</v>
      </c>
    </row>
    <row r="434" spans="1:17">
      <c r="A434" s="14" t="s">
        <v>17212</v>
      </c>
      <c r="B434" s="14" t="s">
        <v>117</v>
      </c>
      <c r="C434" s="14" t="s">
        <v>35</v>
      </c>
      <c r="D434" s="14" t="s">
        <v>17209</v>
      </c>
      <c r="E434" s="15" t="str">
        <f>HYPERLINK("https://stat100.ameba.jp/tnk47/ratio20/illustrations/card/ill_97483_0_tenkuronessanojunin03.jpg?202108-i_prefecture_active_user", "■")</f>
        <v>■</v>
      </c>
      <c r="F434" s="14" t="s">
        <v>17222</v>
      </c>
      <c r="G434" s="14">
        <v>467373</v>
      </c>
      <c r="H434" s="14">
        <v>422461</v>
      </c>
      <c r="I434" s="14">
        <v>35</v>
      </c>
      <c r="J434" s="14" t="s">
        <v>44</v>
      </c>
      <c r="K434" s="14" t="s">
        <v>17221</v>
      </c>
      <c r="L434" s="14" t="s">
        <v>17220</v>
      </c>
      <c r="M434" s="14" t="s">
        <v>9158</v>
      </c>
      <c r="N434" s="14" t="s">
        <v>9158</v>
      </c>
      <c r="O434" s="14" t="s">
        <v>9158</v>
      </c>
      <c r="P434" s="14" t="s">
        <v>9158</v>
      </c>
      <c r="Q434" s="14" t="s">
        <v>9158</v>
      </c>
    </row>
    <row r="435" spans="1:17">
      <c r="A435" s="14" t="s">
        <v>17213</v>
      </c>
      <c r="B435" s="14" t="s">
        <v>117</v>
      </c>
      <c r="C435" s="14" t="s">
        <v>35</v>
      </c>
      <c r="D435" s="14" t="s">
        <v>17210</v>
      </c>
      <c r="E435" s="15" t="str">
        <f>HYPERLINK("https://stat100.ameba.jp/tnk47/ratio20/illustrations/card/ill_98173_0_tenkurobekari03.jpg?202108-i_prefecture_active_user", "■")</f>
        <v>■</v>
      </c>
      <c r="F435" s="14" t="s">
        <v>17363</v>
      </c>
      <c r="G435" s="14">
        <v>423344</v>
      </c>
      <c r="H435" s="14">
        <v>468377</v>
      </c>
      <c r="I435" s="14">
        <v>35</v>
      </c>
      <c r="J435" s="14" t="s">
        <v>104</v>
      </c>
      <c r="K435" s="14" t="s">
        <v>17362</v>
      </c>
      <c r="L435" s="14" t="s">
        <v>17361</v>
      </c>
      <c r="M435" s="14" t="s">
        <v>9158</v>
      </c>
      <c r="N435" s="14" t="s">
        <v>9158</v>
      </c>
      <c r="O435" s="14" t="s">
        <v>9158</v>
      </c>
      <c r="P435" s="14" t="s">
        <v>9158</v>
      </c>
      <c r="Q435" s="14" t="s">
        <v>9158</v>
      </c>
    </row>
    <row r="436" spans="1:17">
      <c r="A436" s="14" t="s">
        <v>17214</v>
      </c>
      <c r="B436" s="14" t="s">
        <v>117</v>
      </c>
      <c r="C436" s="14" t="s">
        <v>35</v>
      </c>
      <c r="D436" s="14" t="s">
        <v>17211</v>
      </c>
      <c r="E436" s="15" t="str">
        <f>HYPERLINK("https://stat100.ameba.jp/tnk47/ratio20/illustrations/card/ill_98863_0_tenkurosamushinguburu03.jpg?202108-i_prefecture_active_user", "■")</f>
        <v>■</v>
      </c>
      <c r="F436" s="14" t="s">
        <v>17377</v>
      </c>
      <c r="G436" s="14">
        <v>468377</v>
      </c>
      <c r="H436" s="14">
        <v>423344</v>
      </c>
      <c r="I436" s="14">
        <v>35</v>
      </c>
      <c r="J436" s="14" t="s">
        <v>16</v>
      </c>
      <c r="K436" s="14" t="s">
        <v>17376</v>
      </c>
      <c r="L436" s="14" t="s">
        <v>17375</v>
      </c>
      <c r="M436" s="14" t="s">
        <v>9158</v>
      </c>
      <c r="N436" s="14" t="s">
        <v>9158</v>
      </c>
      <c r="O436" s="14" t="s">
        <v>9158</v>
      </c>
      <c r="P436" s="14" t="s">
        <v>9158</v>
      </c>
      <c r="Q436" s="14" t="s">
        <v>9158</v>
      </c>
    </row>
    <row r="437" spans="1:17">
      <c r="A437" s="14" t="s">
        <v>5787</v>
      </c>
      <c r="B437" s="14" t="s">
        <v>330</v>
      </c>
      <c r="C437" s="14" t="s">
        <v>270</v>
      </c>
      <c r="D437" s="19" t="s">
        <v>331</v>
      </c>
      <c r="E437" s="15" t="str">
        <f>HYPERLINK("https://stat100.ameba.jp/tnk47/ratio20/illustrations/card/ill_76303_0_haroinkaguya03.jpg?202108-i_prefecture_active_user", "■")</f>
        <v>■</v>
      </c>
      <c r="F437" s="14" t="s">
        <v>332</v>
      </c>
      <c r="G437" s="14">
        <v>261812</v>
      </c>
      <c r="H437" s="14">
        <v>243398</v>
      </c>
      <c r="I437" s="14">
        <v>22</v>
      </c>
      <c r="J437" s="14" t="s">
        <v>274</v>
      </c>
      <c r="K437" s="14" t="s">
        <v>333</v>
      </c>
      <c r="L437" s="14" t="s">
        <v>276</v>
      </c>
      <c r="M437" s="14" t="s">
        <v>9158</v>
      </c>
      <c r="N437" s="14" t="s">
        <v>9158</v>
      </c>
      <c r="O437" s="7" t="s">
        <v>2723</v>
      </c>
      <c r="P437" s="14" t="s">
        <v>2724</v>
      </c>
      <c r="Q437" s="14">
        <v>1</v>
      </c>
    </row>
    <row r="438" spans="1:17">
      <c r="A438" s="14">
        <v>89473</v>
      </c>
      <c r="B438" s="14" t="s">
        <v>0</v>
      </c>
      <c r="C438" s="14" t="s">
        <v>14</v>
      </c>
      <c r="D438" s="14" t="s">
        <v>12991</v>
      </c>
      <c r="E438" s="15" t="str">
        <f>HYPERLINK("https://stat100.ameba.jp/tnk47/ratio20/illustrations/card/ill_89473_resshanotabikasajizo03.jpg?202108-i_prefecture_active_user", "■")</f>
        <v>■</v>
      </c>
      <c r="F438" s="14" t="s">
        <v>12995</v>
      </c>
      <c r="G438" s="14">
        <v>118287</v>
      </c>
      <c r="H438" s="14">
        <v>109970</v>
      </c>
      <c r="I438" s="14">
        <v>29</v>
      </c>
      <c r="J438" s="14" t="s">
        <v>38</v>
      </c>
      <c r="K438" s="14" t="s">
        <v>12997</v>
      </c>
      <c r="L438" s="14" t="s">
        <v>12998</v>
      </c>
      <c r="M438" s="14" t="s">
        <v>9158</v>
      </c>
      <c r="N438" s="14" t="s">
        <v>9158</v>
      </c>
      <c r="O438" s="14" t="s">
        <v>9158</v>
      </c>
      <c r="P438" s="14" t="s">
        <v>9158</v>
      </c>
      <c r="Q438" s="14" t="s">
        <v>9158</v>
      </c>
    </row>
    <row r="439" spans="1:17">
      <c r="A439" s="14">
        <v>90113</v>
      </c>
      <c r="B439" s="14" t="s">
        <v>0</v>
      </c>
      <c r="C439" s="14" t="s">
        <v>23</v>
      </c>
      <c r="D439" s="14" t="s">
        <v>14052</v>
      </c>
      <c r="E439" s="15" t="str">
        <f>HYPERLINK("https://stat100.ameba.jp/tnk47/ratio20/illustrations/card/ill_90113_hotarumatsuribenzaiten03.jpg?202108-i_prefecture_active_user", "■")</f>
        <v>■</v>
      </c>
      <c r="F439" s="14" t="s">
        <v>14051</v>
      </c>
      <c r="G439" s="14">
        <v>109970</v>
      </c>
      <c r="H439" s="14">
        <v>118287</v>
      </c>
      <c r="I439" s="14">
        <v>29</v>
      </c>
      <c r="J439" s="14" t="s">
        <v>44</v>
      </c>
      <c r="K439" s="14" t="s">
        <v>14050</v>
      </c>
      <c r="L439" s="14" t="s">
        <v>14049</v>
      </c>
      <c r="M439" s="14" t="s">
        <v>9158</v>
      </c>
      <c r="N439" s="14" t="s">
        <v>9158</v>
      </c>
      <c r="O439" s="14" t="s">
        <v>9158</v>
      </c>
      <c r="P439" s="14" t="s">
        <v>9158</v>
      </c>
      <c r="Q439" s="14" t="s">
        <v>9158</v>
      </c>
    </row>
    <row r="440" spans="1:17">
      <c r="A440" s="14">
        <v>92813</v>
      </c>
      <c r="B440" s="14" t="s">
        <v>0</v>
      </c>
      <c r="C440" s="14" t="s">
        <v>101</v>
      </c>
      <c r="D440" s="14" t="s">
        <v>15302</v>
      </c>
      <c r="E440" s="15" t="str">
        <f>HYPERLINK("https://stat100.ameba.jp/tnk47/ratio20/illustrations/card/ill_92813_udonnotabiobakeyashiki03.jpg?202108-i_prefecture_active_user", "■")</f>
        <v>■</v>
      </c>
      <c r="F440" s="14" t="s">
        <v>15308</v>
      </c>
      <c r="G440" s="14">
        <v>132112</v>
      </c>
      <c r="H440" s="14">
        <v>122834</v>
      </c>
      <c r="I440" s="14">
        <v>29</v>
      </c>
      <c r="J440" s="14" t="s">
        <v>26</v>
      </c>
      <c r="K440" s="14" t="s">
        <v>15306</v>
      </c>
      <c r="L440" s="14" t="s">
        <v>15305</v>
      </c>
      <c r="M440" s="14" t="s">
        <v>9158</v>
      </c>
      <c r="N440" s="14" t="s">
        <v>9158</v>
      </c>
      <c r="O440" s="14" t="s">
        <v>9158</v>
      </c>
      <c r="P440" s="14" t="s">
        <v>9158</v>
      </c>
      <c r="Q440" s="14" t="s">
        <v>9158</v>
      </c>
    </row>
    <row r="441" spans="1:17">
      <c r="A441" s="14">
        <v>91483</v>
      </c>
      <c r="B441" s="14" t="s">
        <v>334</v>
      </c>
      <c r="C441" s="14" t="s">
        <v>165</v>
      </c>
      <c r="D441" s="14" t="s">
        <v>14459</v>
      </c>
      <c r="E441" s="15" t="str">
        <f>HYPERLINK("https://stat100.ameba.jp/tnk47/ratio20/illustrations/card/ill_91483_suizokukanzuwaiganichan03.jpg?202108-i_prefecture_active_user", "■")</f>
        <v>■</v>
      </c>
      <c r="F441" s="14" t="s">
        <v>14474</v>
      </c>
      <c r="G441" s="14">
        <v>160296</v>
      </c>
      <c r="H441" s="14">
        <v>172397</v>
      </c>
      <c r="I441" s="14">
        <v>29</v>
      </c>
      <c r="J441" s="14" t="s">
        <v>104</v>
      </c>
      <c r="K441" s="14" t="s">
        <v>14472</v>
      </c>
      <c r="L441" s="14" t="s">
        <v>12356</v>
      </c>
      <c r="M441" s="14" t="s">
        <v>9158</v>
      </c>
      <c r="N441" s="14" t="s">
        <v>9158</v>
      </c>
      <c r="O441" s="14" t="s">
        <v>9158</v>
      </c>
      <c r="P441" s="14" t="s">
        <v>9158</v>
      </c>
      <c r="Q441" s="14" t="s">
        <v>9158</v>
      </c>
    </row>
    <row r="442" spans="1:17">
      <c r="A442" s="14">
        <v>90793</v>
      </c>
      <c r="B442" s="14" t="s">
        <v>0</v>
      </c>
      <c r="C442" s="14" t="s">
        <v>1</v>
      </c>
      <c r="D442" s="14" t="s">
        <v>14411</v>
      </c>
      <c r="E442" s="15" t="str">
        <f>HYPERLINK("https://stat100.ameba.jp/tnk47/ratio20/illustrations/card/ill_90793_suitsuzammaininko03.jpg?202108-i_prefecture_active_user", "■")</f>
        <v>■</v>
      </c>
      <c r="F442" s="14" t="s">
        <v>14410</v>
      </c>
      <c r="G442" s="14">
        <v>127350</v>
      </c>
      <c r="H442" s="14">
        <v>136953</v>
      </c>
      <c r="I442" s="14">
        <v>29</v>
      </c>
      <c r="J442" s="14" t="s">
        <v>73</v>
      </c>
      <c r="K442" s="14" t="s">
        <v>14408</v>
      </c>
      <c r="L442" s="14" t="s">
        <v>13096</v>
      </c>
      <c r="M442" s="14" t="s">
        <v>9158</v>
      </c>
      <c r="N442" s="14" t="s">
        <v>9158</v>
      </c>
      <c r="O442" s="14" t="s">
        <v>9158</v>
      </c>
      <c r="P442" s="14" t="s">
        <v>9158</v>
      </c>
      <c r="Q442" s="14" t="s">
        <v>9158</v>
      </c>
    </row>
    <row r="443" spans="1:17">
      <c r="A443" s="14">
        <v>94713</v>
      </c>
      <c r="B443" s="14" t="s">
        <v>0</v>
      </c>
      <c r="C443" s="14" t="s">
        <v>107</v>
      </c>
      <c r="D443" s="14" t="s">
        <v>16659</v>
      </c>
      <c r="E443" s="15" t="str">
        <f>HYPERLINK("https://stat100.ameba.jp/tnk47/ratio20/illustrations/card/ill_94713_shirokitsunenooshibai03.jpg?202108-i_prefecture_active_user", "■")</f>
        <v>■</v>
      </c>
      <c r="F443" s="14" t="s">
        <v>16658</v>
      </c>
      <c r="G443" s="14">
        <v>132112</v>
      </c>
      <c r="H443" s="14">
        <v>122834</v>
      </c>
      <c r="I443" s="14">
        <v>29</v>
      </c>
      <c r="J443" s="14" t="s">
        <v>38</v>
      </c>
      <c r="K443" s="14" t="s">
        <v>8524</v>
      </c>
      <c r="L443" s="14" t="s">
        <v>12715</v>
      </c>
      <c r="M443" s="14" t="s">
        <v>9158</v>
      </c>
      <c r="N443" s="14" t="s">
        <v>9158</v>
      </c>
      <c r="O443" s="9" t="s">
        <v>9158</v>
      </c>
      <c r="P443" s="14" t="s">
        <v>9158</v>
      </c>
      <c r="Q443" s="14" t="s">
        <v>9158</v>
      </c>
    </row>
    <row r="444" spans="1:17">
      <c r="I444" s="7"/>
    </row>
    <row r="445" spans="1:17">
      <c r="A445" s="14" t="s">
        <v>4065</v>
      </c>
    </row>
    <row r="446" spans="1:17">
      <c r="A446" s="14">
        <v>110309</v>
      </c>
      <c r="B446" s="14" t="s">
        <v>5842</v>
      </c>
    </row>
    <row r="447" spans="1:17">
      <c r="A447" s="14" t="s">
        <v>12532</v>
      </c>
      <c r="B447" s="7" t="s">
        <v>52</v>
      </c>
      <c r="C447" s="14" t="s">
        <v>202</v>
      </c>
      <c r="D447" s="18" t="s">
        <v>12528</v>
      </c>
      <c r="E447" s="15" t="str">
        <f>HYPERLINK("https://stat100.ameba.jp/tnk47/ratio20/illustrations/card/ill_89073_0_efuwanresuyokohamaserachan03.jpg?202102-5-RELEASE-marathon-516", "■")</f>
        <v>■</v>
      </c>
      <c r="F447" s="14" t="s">
        <v>12529</v>
      </c>
      <c r="G447" s="14">
        <v>307998</v>
      </c>
      <c r="H447" s="14">
        <v>340784</v>
      </c>
      <c r="I447" s="7">
        <v>28</v>
      </c>
      <c r="J447" s="14" t="s">
        <v>229</v>
      </c>
      <c r="K447" s="14" t="s">
        <v>12530</v>
      </c>
      <c r="L447" s="14" t="s">
        <v>12531</v>
      </c>
      <c r="M447" s="14" t="s">
        <v>9158</v>
      </c>
      <c r="N447" s="14" t="s">
        <v>9158</v>
      </c>
      <c r="O447" s="6" t="s">
        <v>12533</v>
      </c>
      <c r="P447" s="7" t="s">
        <v>12534</v>
      </c>
      <c r="Q447" s="7">
        <v>1</v>
      </c>
    </row>
    <row r="448" spans="1:17">
      <c r="A448" s="14">
        <v>79313</v>
      </c>
      <c r="B448" s="14" t="s">
        <v>334</v>
      </c>
      <c r="C448" s="14" t="s">
        <v>185</v>
      </c>
      <c r="D448" s="20" t="s">
        <v>10334</v>
      </c>
      <c r="E448" s="15" t="str">
        <f>HYPERLINK("https://stat100.ameba.jp/tnk47/ratio20/illustrations/card/ill_79313_hommeichokodatemasamune03.jpg?202104-i_prefecture_active_user", "■")</f>
        <v>■</v>
      </c>
      <c r="F448" s="14" t="s">
        <v>3499</v>
      </c>
      <c r="G448" s="14">
        <v>149240</v>
      </c>
      <c r="H448" s="14">
        <v>160507</v>
      </c>
      <c r="I448" s="14">
        <v>27</v>
      </c>
      <c r="J448" s="14" t="s">
        <v>143</v>
      </c>
      <c r="K448" s="14" t="s">
        <v>3500</v>
      </c>
      <c r="L448" s="14" t="s">
        <v>1148</v>
      </c>
      <c r="M448" s="14" t="s">
        <v>9158</v>
      </c>
      <c r="N448" s="14" t="s">
        <v>9158</v>
      </c>
      <c r="O448" s="19" t="s">
        <v>2752</v>
      </c>
      <c r="P448" s="14" t="s">
        <v>13123</v>
      </c>
      <c r="Q448" s="14">
        <v>1</v>
      </c>
    </row>
    <row r="449" spans="1:19">
      <c r="A449" s="9">
        <v>72923</v>
      </c>
      <c r="B449" s="14" t="s">
        <v>0</v>
      </c>
      <c r="C449" s="14" t="s">
        <v>206</v>
      </c>
      <c r="D449" s="14" t="s">
        <v>1836</v>
      </c>
      <c r="E449" s="15" t="str">
        <f>HYPERLINK("https://stat100.ameba.jp/tnk47/ratio20/illustrations/card/ill_72923_amenohanayomemyorinni03.jpg?202009-5-RELEASE-marathon-491xxx", "■")</f>
        <v>■</v>
      </c>
      <c r="F449" s="14" t="s">
        <v>1837</v>
      </c>
      <c r="G449" s="14">
        <v>149240</v>
      </c>
      <c r="H449" s="14">
        <v>160507</v>
      </c>
      <c r="I449" s="14">
        <v>27</v>
      </c>
      <c r="J449" s="14" t="s">
        <v>194</v>
      </c>
      <c r="K449" s="14" t="s">
        <v>1838</v>
      </c>
      <c r="L449" s="14" t="s">
        <v>13160</v>
      </c>
      <c r="M449" s="14" t="s">
        <v>9158</v>
      </c>
      <c r="N449" s="14" t="s">
        <v>9158</v>
      </c>
      <c r="O449" s="9" t="s">
        <v>2752</v>
      </c>
      <c r="P449" s="14" t="s">
        <v>13123</v>
      </c>
      <c r="Q449" s="14">
        <v>1</v>
      </c>
    </row>
    <row r="450" spans="1:19">
      <c r="A450" s="14">
        <v>75333</v>
      </c>
      <c r="B450" s="14" t="s">
        <v>334</v>
      </c>
      <c r="C450" s="14" t="s">
        <v>200</v>
      </c>
      <c r="D450" s="19" t="s">
        <v>3206</v>
      </c>
      <c r="E450" s="15" t="str">
        <f>HYPERLINK("https://stat100.ameba.jp/tnk47/ratio20/illustrations/card/ill_75333_resukuintamamonomae03.jpg?202104-5-RELEASE-marathon-526xx", "■")</f>
        <v>■</v>
      </c>
      <c r="F450" s="14" t="s">
        <v>3207</v>
      </c>
      <c r="G450" s="14">
        <v>104619</v>
      </c>
      <c r="H450" s="14">
        <v>112496</v>
      </c>
      <c r="I450" s="14">
        <v>27</v>
      </c>
      <c r="J450" s="14" t="s">
        <v>320</v>
      </c>
      <c r="K450" s="14" t="s">
        <v>3208</v>
      </c>
      <c r="L450" s="14" t="s">
        <v>3209</v>
      </c>
      <c r="M450" s="14" t="s">
        <v>9158</v>
      </c>
      <c r="N450" s="14" t="s">
        <v>9158</v>
      </c>
      <c r="O450" s="19" t="s">
        <v>10074</v>
      </c>
      <c r="P450" s="14" t="s">
        <v>2822</v>
      </c>
      <c r="Q450" s="14">
        <v>1</v>
      </c>
    </row>
    <row r="452" spans="1:19">
      <c r="A452" s="14" t="s">
        <v>4012</v>
      </c>
    </row>
    <row r="453" spans="1:19">
      <c r="A453" s="14">
        <v>239689</v>
      </c>
      <c r="B453" s="14" t="s">
        <v>17260</v>
      </c>
    </row>
    <row r="454" spans="1:19">
      <c r="A454" s="9" t="s">
        <v>5843</v>
      </c>
      <c r="B454" s="14" t="s">
        <v>52</v>
      </c>
      <c r="C454" s="14" t="s">
        <v>202</v>
      </c>
      <c r="D454" s="14" t="s">
        <v>2126</v>
      </c>
      <c r="E454" s="15" t="str">
        <f>HYPERLINK("https://stat100.ameba.jp/tnk47/ratio20/illustrations/card/ill_77963_0_kurisumasudaisakusentakiyashahime03.jpg?202108-i_prefecture_active_user", "■")</f>
        <v>■</v>
      </c>
      <c r="F454" s="14" t="s">
        <v>2127</v>
      </c>
      <c r="G454" s="14">
        <v>331590</v>
      </c>
      <c r="H454" s="14">
        <v>299687</v>
      </c>
      <c r="I454" s="14">
        <v>27</v>
      </c>
      <c r="J454" s="14" t="s">
        <v>77</v>
      </c>
      <c r="K454" s="14" t="s">
        <v>2128</v>
      </c>
      <c r="L454" s="14" t="s">
        <v>2129</v>
      </c>
      <c r="M454" s="14" t="s">
        <v>9158</v>
      </c>
      <c r="N454" s="14" t="s">
        <v>9158</v>
      </c>
      <c r="O454" s="9" t="s">
        <v>3588</v>
      </c>
      <c r="P454" s="14" t="s">
        <v>3589</v>
      </c>
      <c r="Q454" s="14">
        <v>2</v>
      </c>
    </row>
    <row r="455" spans="1:19">
      <c r="A455" s="14" t="s">
        <v>7150</v>
      </c>
      <c r="B455" s="14" t="s">
        <v>52</v>
      </c>
      <c r="C455" s="14" t="s">
        <v>202</v>
      </c>
      <c r="D455" s="20" t="s">
        <v>10656</v>
      </c>
      <c r="E455" s="15" t="str">
        <f>HYPERLINK("https://stat100.ameba.jp/tnk47/ratio20/illustrations/card/ill_84203_0_tarottofujiwaranoshoshi03.jpg?202108-i_prefecture_active_user", "■")</f>
        <v>■</v>
      </c>
      <c r="F455" s="14" t="s">
        <v>7153</v>
      </c>
      <c r="G455" s="14">
        <v>397406</v>
      </c>
      <c r="H455" s="14">
        <v>359198</v>
      </c>
      <c r="I455" s="14">
        <v>27</v>
      </c>
      <c r="J455" s="14" t="s">
        <v>10</v>
      </c>
      <c r="K455" s="14" t="s">
        <v>7152</v>
      </c>
      <c r="L455" s="14" t="s">
        <v>7151</v>
      </c>
      <c r="M455" s="14" t="s">
        <v>9158</v>
      </c>
      <c r="N455" s="14" t="s">
        <v>9158</v>
      </c>
      <c r="O455" s="19" t="s">
        <v>10128</v>
      </c>
      <c r="P455" s="14" t="s">
        <v>7154</v>
      </c>
      <c r="Q455" s="14">
        <v>1</v>
      </c>
    </row>
    <row r="456" spans="1:19">
      <c r="A456" s="14" t="s">
        <v>5616</v>
      </c>
      <c r="B456" s="14" t="s">
        <v>52</v>
      </c>
      <c r="C456" s="14" t="s">
        <v>14</v>
      </c>
      <c r="D456" s="19" t="s">
        <v>638</v>
      </c>
      <c r="E456" s="15" t="str">
        <f>HYPERLINK("https://stat100.ameba.jp/tnk47/ratio20/illustrations/card/ill_44253_0_dokuganryudatemasamune03.jpg?202108-i_prefecture_active_user", "■")</f>
        <v>■</v>
      </c>
      <c r="F456" s="14" t="s">
        <v>1181</v>
      </c>
      <c r="G456" s="14">
        <v>147980</v>
      </c>
      <c r="H456" s="14">
        <v>158004</v>
      </c>
      <c r="I456" s="14">
        <v>27</v>
      </c>
      <c r="J456" s="14" t="s">
        <v>143</v>
      </c>
      <c r="K456" s="14" t="s">
        <v>1182</v>
      </c>
      <c r="L456" s="14" t="s">
        <v>1183</v>
      </c>
      <c r="M456" s="14" t="s">
        <v>9158</v>
      </c>
      <c r="N456" s="14" t="s">
        <v>9158</v>
      </c>
      <c r="O456" s="14" t="s">
        <v>9158</v>
      </c>
      <c r="P456" s="14" t="s">
        <v>9158</v>
      </c>
      <c r="Q456" s="14" t="s">
        <v>9158</v>
      </c>
    </row>
    <row r="457" spans="1:19">
      <c r="A457" s="14">
        <v>86123</v>
      </c>
      <c r="B457" s="14" t="s">
        <v>334</v>
      </c>
      <c r="C457" s="14" t="s">
        <v>35</v>
      </c>
      <c r="D457" s="14" t="s">
        <v>16513</v>
      </c>
      <c r="E457" s="15" t="str">
        <f>HYPERLINK("https://stat100.ameba.jp/tnk47/ratio20/illustrations/card/ill_86123_hagoitataisenoginoginko03.jpg?202108-i_prefecture_active_user", "■")</f>
        <v>■</v>
      </c>
      <c r="F457" s="14" t="s">
        <v>16512</v>
      </c>
      <c r="G457" s="14">
        <v>123062</v>
      </c>
      <c r="H457" s="14">
        <v>114488</v>
      </c>
      <c r="I457" s="7">
        <v>29</v>
      </c>
      <c r="J457" s="14" t="s">
        <v>16</v>
      </c>
      <c r="K457" s="14" t="s">
        <v>16511</v>
      </c>
      <c r="L457" s="14" t="s">
        <v>7794</v>
      </c>
      <c r="M457" s="14" t="s">
        <v>9158</v>
      </c>
      <c r="N457" s="14" t="s">
        <v>9158</v>
      </c>
      <c r="O457" s="14" t="s">
        <v>9158</v>
      </c>
      <c r="P457" s="14" t="s">
        <v>9158</v>
      </c>
      <c r="Q457" s="14" t="s">
        <v>9158</v>
      </c>
      <c r="S457" s="14" t="s">
        <v>16230</v>
      </c>
    </row>
    <row r="458" spans="1:19">
      <c r="A458" s="14">
        <v>86743</v>
      </c>
      <c r="B458" s="14" t="s">
        <v>334</v>
      </c>
      <c r="C458" s="14" t="s">
        <v>35</v>
      </c>
      <c r="D458" s="14" t="s">
        <v>16380</v>
      </c>
      <c r="E458" s="15" t="str">
        <f>HYPERLINK("https://stat100.ameba.jp/tnk47/ratio20/illustrations/card/ill_86743_setsubunhakoneonsenchan03.jpg?202108-i_prefecture_active_user", "■")</f>
        <v>■</v>
      </c>
      <c r="F458" s="14" t="s">
        <v>16379</v>
      </c>
      <c r="G458" s="14">
        <v>132112</v>
      </c>
      <c r="H458" s="14">
        <v>122834</v>
      </c>
      <c r="I458" s="7">
        <v>29</v>
      </c>
      <c r="J458" s="14" t="s">
        <v>26</v>
      </c>
      <c r="K458" s="14" t="s">
        <v>16378</v>
      </c>
      <c r="L458" s="14" t="s">
        <v>5235</v>
      </c>
      <c r="M458" s="14" t="s">
        <v>9158</v>
      </c>
      <c r="N458" s="14" t="s">
        <v>9158</v>
      </c>
      <c r="O458" s="14" t="s">
        <v>9158</v>
      </c>
      <c r="P458" s="14" t="s">
        <v>9158</v>
      </c>
      <c r="Q458" s="14" t="s">
        <v>9158</v>
      </c>
      <c r="S458" s="14" t="s">
        <v>16396</v>
      </c>
    </row>
    <row r="459" spans="1:19">
      <c r="A459" s="14">
        <v>81633</v>
      </c>
      <c r="B459" s="9" t="s">
        <v>0</v>
      </c>
      <c r="C459" s="14" t="s">
        <v>35</v>
      </c>
      <c r="D459" s="14" t="s">
        <v>17261</v>
      </c>
      <c r="E459" s="15" t="str">
        <f>HYPERLINK("https://stat100.ameba.jp/tnk47/ratio20/illustrations/card/ill_81633_amehimenogyakushunohime03.jpg?202108-i_prefecture_active_user", "■")</f>
        <v>■</v>
      </c>
      <c r="F459" s="14" t="s">
        <v>11684</v>
      </c>
      <c r="G459" s="14">
        <v>110186</v>
      </c>
      <c r="H459" s="14">
        <v>118540</v>
      </c>
      <c r="I459" s="7">
        <v>29</v>
      </c>
      <c r="J459" s="14" t="s">
        <v>77</v>
      </c>
      <c r="K459" s="14" t="s">
        <v>11683</v>
      </c>
      <c r="L459" s="14" t="s">
        <v>969</v>
      </c>
      <c r="M459" s="14" t="s">
        <v>9158</v>
      </c>
      <c r="N459" s="14" t="s">
        <v>9158</v>
      </c>
      <c r="O459" s="14" t="s">
        <v>9158</v>
      </c>
      <c r="P459" s="14" t="s">
        <v>9158</v>
      </c>
      <c r="Q459" s="14" t="s">
        <v>9158</v>
      </c>
      <c r="S459" s="14" t="s">
        <v>17262</v>
      </c>
    </row>
    <row r="460" spans="1:19">
      <c r="A460" s="14">
        <v>86133</v>
      </c>
      <c r="B460" s="9" t="s">
        <v>15</v>
      </c>
      <c r="C460" s="14" t="s">
        <v>107</v>
      </c>
      <c r="D460" s="14" t="s">
        <v>17121</v>
      </c>
      <c r="E460" s="15" t="str">
        <f>HYPERLINK("https://stat100.ameba.jp/tnk47/ratio20/illustrations/card/ill_86133_gantankusumototakako03.jpg?202108-i_prefecture_active_user", "■")</f>
        <v>■</v>
      </c>
      <c r="F460" s="14" t="s">
        <v>17120</v>
      </c>
      <c r="G460" s="14">
        <v>72586</v>
      </c>
      <c r="H460" s="14">
        <v>80028</v>
      </c>
      <c r="I460" s="14">
        <v>27</v>
      </c>
      <c r="J460" s="14" t="s">
        <v>16</v>
      </c>
      <c r="K460" s="14" t="s">
        <v>17119</v>
      </c>
      <c r="L460" s="14" t="s">
        <v>3436</v>
      </c>
      <c r="M460" s="14" t="s">
        <v>9158</v>
      </c>
      <c r="N460" s="14" t="s">
        <v>9158</v>
      </c>
      <c r="O460" s="14" t="s">
        <v>9158</v>
      </c>
      <c r="P460" s="14" t="s">
        <v>9158</v>
      </c>
      <c r="Q460" s="14" t="s">
        <v>9158</v>
      </c>
      <c r="S460" s="14" t="s">
        <v>16230</v>
      </c>
    </row>
    <row r="461" spans="1:19">
      <c r="A461" s="14">
        <v>82823</v>
      </c>
      <c r="B461" s="9" t="s">
        <v>15</v>
      </c>
      <c r="C461" s="14" t="s">
        <v>23</v>
      </c>
      <c r="D461" s="14" t="s">
        <v>17124</v>
      </c>
      <c r="E461" s="15" t="str">
        <f>HYPERLINK("https://stat100.ameba.jp/tnk47/ratio20/illustrations/card/ill_82823_ryoranyukizukainarinobyakko03.jpg?202108-i_prefecture_active_user", "■")</f>
        <v>■</v>
      </c>
      <c r="F461" s="14" t="s">
        <v>17123</v>
      </c>
      <c r="G461" s="14">
        <v>80028</v>
      </c>
      <c r="H461" s="14">
        <v>72586</v>
      </c>
      <c r="I461" s="14">
        <v>27</v>
      </c>
      <c r="J461" s="14" t="s">
        <v>73</v>
      </c>
      <c r="K461" s="14" t="s">
        <v>17122</v>
      </c>
      <c r="L461" s="14" t="s">
        <v>4649</v>
      </c>
      <c r="M461" s="14" t="s">
        <v>9158</v>
      </c>
      <c r="N461" s="14" t="s">
        <v>9158</v>
      </c>
      <c r="O461" s="14" t="s">
        <v>9158</v>
      </c>
      <c r="P461" s="14" t="s">
        <v>9158</v>
      </c>
      <c r="Q461" s="14" t="s">
        <v>9158</v>
      </c>
      <c r="S461" s="14" t="s">
        <v>17129</v>
      </c>
    </row>
    <row r="462" spans="1:19">
      <c r="A462" s="14">
        <v>82283</v>
      </c>
      <c r="B462" s="9" t="s">
        <v>15</v>
      </c>
      <c r="C462" s="14" t="s">
        <v>1</v>
      </c>
      <c r="D462" s="14" t="s">
        <v>17127</v>
      </c>
      <c r="E462" s="15" t="str">
        <f>HYPERLINK("https://stat100.ameba.jp/tnk47/ratio20/illustrations/card/ill_82283_uranaishioribuchan03.jpg?202108-i_prefecture_active_user", "■")</f>
        <v>■</v>
      </c>
      <c r="F462" s="14" t="s">
        <v>17126</v>
      </c>
      <c r="G462" s="14">
        <v>72586</v>
      </c>
      <c r="H462" s="14">
        <v>80028</v>
      </c>
      <c r="I462" s="14">
        <v>27</v>
      </c>
      <c r="J462" s="14" t="s">
        <v>104</v>
      </c>
      <c r="K462" s="14" t="s">
        <v>17125</v>
      </c>
      <c r="L462" s="14" t="s">
        <v>5225</v>
      </c>
      <c r="M462" s="14" t="s">
        <v>9158</v>
      </c>
      <c r="N462" s="14" t="s">
        <v>9158</v>
      </c>
      <c r="O462" s="14" t="s">
        <v>9158</v>
      </c>
      <c r="P462" s="14" t="s">
        <v>9158</v>
      </c>
      <c r="Q462" s="14" t="s">
        <v>9158</v>
      </c>
      <c r="S462" s="14" t="s">
        <v>17130</v>
      </c>
    </row>
    <row r="464" spans="1:19">
      <c r="A464" s="14" t="s">
        <v>3911</v>
      </c>
    </row>
    <row r="465" spans="1:17">
      <c r="A465" s="14">
        <v>110314</v>
      </c>
      <c r="B465" s="14" t="s">
        <v>17263</v>
      </c>
    </row>
    <row r="466" spans="1:17">
      <c r="A466" s="14">
        <v>110324</v>
      </c>
      <c r="B466" s="14" t="s">
        <v>15721</v>
      </c>
    </row>
    <row r="467" spans="1:17">
      <c r="A467" s="14" t="s">
        <v>13435</v>
      </c>
      <c r="B467" s="7" t="s">
        <v>52</v>
      </c>
      <c r="C467" s="14" t="s">
        <v>202</v>
      </c>
      <c r="D467" s="18" t="s">
        <v>13434</v>
      </c>
      <c r="E467" s="15" t="str">
        <f>HYPERLINK("https://stat100.ameba.jp/tnk47/ratio20/illustrations/card/ill_91073_0_mizugiaidorusarukanigassen03.jpg?202108-i_prefecture_active_user", "■")</f>
        <v>■</v>
      </c>
      <c r="F467" s="14" t="s">
        <v>13436</v>
      </c>
      <c r="G467" s="14">
        <v>347148</v>
      </c>
      <c r="H467" s="14">
        <v>313748</v>
      </c>
      <c r="I467" s="14">
        <v>30</v>
      </c>
      <c r="J467" s="14" t="s">
        <v>38</v>
      </c>
      <c r="K467" s="14" t="s">
        <v>13437</v>
      </c>
      <c r="L467" s="14" t="s">
        <v>13438</v>
      </c>
      <c r="M467" s="14" t="s">
        <v>9158</v>
      </c>
      <c r="N467" s="14" t="s">
        <v>9158</v>
      </c>
      <c r="O467" s="6" t="s">
        <v>13439</v>
      </c>
      <c r="P467" s="7" t="s">
        <v>13440</v>
      </c>
      <c r="Q467" s="7">
        <v>1</v>
      </c>
    </row>
    <row r="468" spans="1:17">
      <c r="A468" s="14" t="s">
        <v>15807</v>
      </c>
      <c r="B468" s="14" t="s">
        <v>52</v>
      </c>
      <c r="C468" s="14" t="s">
        <v>35</v>
      </c>
      <c r="D468" s="14" t="s">
        <v>15808</v>
      </c>
      <c r="E468" s="15" t="str">
        <f>HYPERLINK("https://stat100.ameba.jp/tnk47/ratio20/illustrations/card/ill_95013_0_shinshunnisennijuichiayakashi03.jpg?202108-i_prefecture_active_user", "■")</f>
        <v>■</v>
      </c>
      <c r="F468" s="14" t="s">
        <v>15806</v>
      </c>
      <c r="G468" s="14">
        <v>298362</v>
      </c>
      <c r="H468" s="14">
        <v>330110</v>
      </c>
      <c r="I468" s="14">
        <v>30</v>
      </c>
      <c r="J468" s="14" t="s">
        <v>73</v>
      </c>
      <c r="K468" s="14" t="s">
        <v>15805</v>
      </c>
      <c r="L468" s="14" t="s">
        <v>15804</v>
      </c>
      <c r="M468" s="14" t="s">
        <v>9158</v>
      </c>
      <c r="N468" s="14" t="s">
        <v>9158</v>
      </c>
      <c r="O468" s="14" t="s">
        <v>15802</v>
      </c>
      <c r="P468" s="14" t="s">
        <v>15803</v>
      </c>
      <c r="Q468" s="14">
        <v>0</v>
      </c>
    </row>
    <row r="469" spans="1:17">
      <c r="A469" s="14" t="s">
        <v>5616</v>
      </c>
      <c r="B469" s="14" t="s">
        <v>52</v>
      </c>
      <c r="C469" s="14" t="s">
        <v>14</v>
      </c>
      <c r="D469" s="19" t="s">
        <v>638</v>
      </c>
      <c r="E469" s="15" t="str">
        <f>HYPERLINK("https://stat100.ameba.jp/tnk47/ratio20/illustrations/card/ill_44253_0_dokuganryudatemasamune03.jpg?202108-i_prefecture_active_user", "■")</f>
        <v>■</v>
      </c>
      <c r="F469" s="14" t="s">
        <v>1181</v>
      </c>
      <c r="G469" s="14">
        <v>164424</v>
      </c>
      <c r="H469" s="14">
        <v>175560</v>
      </c>
      <c r="I469" s="14">
        <v>30</v>
      </c>
      <c r="J469" s="14" t="s">
        <v>143</v>
      </c>
      <c r="K469" s="14" t="s">
        <v>1182</v>
      </c>
      <c r="L469" s="14" t="s">
        <v>1183</v>
      </c>
      <c r="M469" s="14" t="s">
        <v>9158</v>
      </c>
      <c r="N469" s="14" t="s">
        <v>9158</v>
      </c>
      <c r="O469" s="14" t="s">
        <v>9158</v>
      </c>
      <c r="P469" s="14" t="s">
        <v>9158</v>
      </c>
      <c r="Q469" s="14" t="s">
        <v>9158</v>
      </c>
    </row>
    <row r="470" spans="1:17">
      <c r="A470" s="14">
        <v>65643</v>
      </c>
      <c r="B470" s="14" t="s">
        <v>0</v>
      </c>
      <c r="C470" s="14" t="s">
        <v>209</v>
      </c>
      <c r="D470" s="20" t="s">
        <v>1681</v>
      </c>
      <c r="E470" s="15" t="str">
        <f>HYPERLINK("https://stat100.ameba.jp/tnk47/ratio20/illustrations/card/ill_65643_shitompekamui03.jpg?202108-i_prefecture_active_user", "■")</f>
        <v>■</v>
      </c>
      <c r="F470" s="14" t="s">
        <v>1250</v>
      </c>
      <c r="G470" s="14">
        <v>95880</v>
      </c>
      <c r="H470" s="14">
        <v>132379</v>
      </c>
      <c r="I470" s="7">
        <v>29</v>
      </c>
      <c r="J470" s="14" t="s">
        <v>44</v>
      </c>
      <c r="K470" s="14" t="s">
        <v>1251</v>
      </c>
      <c r="L470" s="14" t="s">
        <v>1252</v>
      </c>
      <c r="M470" s="14" t="s">
        <v>9158</v>
      </c>
      <c r="N470" s="14" t="s">
        <v>9158</v>
      </c>
      <c r="O470" s="19" t="s">
        <v>10096</v>
      </c>
      <c r="P470" s="14" t="s">
        <v>3245</v>
      </c>
      <c r="Q470" s="14">
        <v>1</v>
      </c>
    </row>
    <row r="471" spans="1:17">
      <c r="A471" s="14">
        <v>69503</v>
      </c>
      <c r="B471" s="14" t="s">
        <v>0</v>
      </c>
      <c r="C471" s="14" t="s">
        <v>47</v>
      </c>
      <c r="D471" s="14" t="s">
        <v>65</v>
      </c>
      <c r="E471" s="15" t="str">
        <f>HYPERLINK("https://stat100.ameba.jp/tnk47/ratio20/illustrations/card/ill_69503_azusayumi03.jpg?202108-i_prefecture_active_user", "■")</f>
        <v>■</v>
      </c>
      <c r="F471" s="14" t="s">
        <v>66</v>
      </c>
      <c r="G471" s="14">
        <v>131617</v>
      </c>
      <c r="H471" s="14">
        <v>95357</v>
      </c>
      <c r="I471" s="7">
        <v>29</v>
      </c>
      <c r="J471" s="14" t="s">
        <v>38</v>
      </c>
      <c r="K471" s="14" t="s">
        <v>67</v>
      </c>
      <c r="L471" s="14" t="s">
        <v>68</v>
      </c>
      <c r="M471" s="14" t="s">
        <v>9158</v>
      </c>
      <c r="N471" s="14" t="s">
        <v>9158</v>
      </c>
      <c r="O471" s="7" t="s">
        <v>2951</v>
      </c>
      <c r="P471" s="14" t="s">
        <v>13122</v>
      </c>
      <c r="Q471" s="14">
        <v>1</v>
      </c>
    </row>
    <row r="472" spans="1:17">
      <c r="A472" s="14">
        <v>70843</v>
      </c>
      <c r="B472" s="14" t="s">
        <v>334</v>
      </c>
      <c r="C472" s="14" t="s">
        <v>268</v>
      </c>
      <c r="D472" s="20" t="s">
        <v>10651</v>
      </c>
      <c r="E472" s="15" t="str">
        <f>HYPERLINK("https://stat100.ameba.jp/tnk47/ratio20/illustrations/card/ill_70843_indoshinwakurionechan03.jpg?202108-i_prefecture_active_user", "■")</f>
        <v>■</v>
      </c>
      <c r="F472" s="14" t="s">
        <v>856</v>
      </c>
      <c r="G472" s="14">
        <v>122834</v>
      </c>
      <c r="H472" s="14">
        <v>132112</v>
      </c>
      <c r="I472" s="7">
        <v>29</v>
      </c>
      <c r="J472" s="14" t="s">
        <v>369</v>
      </c>
      <c r="K472" s="14" t="s">
        <v>857</v>
      </c>
      <c r="L472" s="14" t="s">
        <v>496</v>
      </c>
      <c r="M472" s="14" t="s">
        <v>9158</v>
      </c>
      <c r="N472" s="14" t="s">
        <v>9158</v>
      </c>
      <c r="O472" s="19" t="s">
        <v>10074</v>
      </c>
      <c r="P472" s="14" t="s">
        <v>3592</v>
      </c>
      <c r="Q472" s="14">
        <v>1</v>
      </c>
    </row>
    <row r="473" spans="1:17">
      <c r="A473" s="14">
        <v>76783</v>
      </c>
      <c r="B473" s="14" t="s">
        <v>334</v>
      </c>
      <c r="C473" s="14" t="s">
        <v>203</v>
      </c>
      <c r="D473" s="19" t="s">
        <v>10367</v>
      </c>
      <c r="E473" s="15" t="str">
        <f>HYPERLINK("https://stat100.ameba.jp/tnk47/ratio20/illustrations/card/ill_76783_monsutaakashirejina03.jpg?202108-i_prefecture_active_user", "■")</f>
        <v>■</v>
      </c>
      <c r="F473" s="14" t="s">
        <v>1192</v>
      </c>
      <c r="G473" s="14">
        <v>91815</v>
      </c>
      <c r="H473" s="14">
        <v>126741</v>
      </c>
      <c r="I473" s="7">
        <v>29</v>
      </c>
      <c r="J473" s="14" t="s">
        <v>10</v>
      </c>
      <c r="K473" s="14" t="s">
        <v>1193</v>
      </c>
      <c r="L473" s="14" t="s">
        <v>1194</v>
      </c>
      <c r="M473" s="14" t="s">
        <v>9158</v>
      </c>
      <c r="N473" s="14" t="s">
        <v>9158</v>
      </c>
      <c r="O473" s="19" t="s">
        <v>2752</v>
      </c>
      <c r="P473" s="14" t="s">
        <v>13123</v>
      </c>
      <c r="Q473" s="14">
        <v>1</v>
      </c>
    </row>
    <row r="474" spans="1:17">
      <c r="A474" s="14">
        <v>77663</v>
      </c>
      <c r="B474" s="14" t="s">
        <v>334</v>
      </c>
      <c r="C474" s="14" t="s">
        <v>202</v>
      </c>
      <c r="D474" s="20" t="s">
        <v>10614</v>
      </c>
      <c r="E474" s="15" t="str">
        <f>HYPERLINK("https://stat100.ameba.jp/tnk47/ratio20/illustrations/card/ill_77663_deipuburu03.jpg?202108-i_prefecture_active_user", "■")</f>
        <v>■</v>
      </c>
      <c r="F474" s="14" t="s">
        <v>1573</v>
      </c>
      <c r="G474" s="14">
        <v>95357</v>
      </c>
      <c r="H474" s="14">
        <v>131617</v>
      </c>
      <c r="I474" s="7">
        <v>29</v>
      </c>
      <c r="J474" s="14" t="s">
        <v>414</v>
      </c>
      <c r="K474" s="14" t="s">
        <v>1574</v>
      </c>
      <c r="L474" s="14" t="s">
        <v>1575</v>
      </c>
      <c r="M474" s="14" t="s">
        <v>9158</v>
      </c>
      <c r="N474" s="14" t="s">
        <v>9158</v>
      </c>
      <c r="O474" s="19" t="s">
        <v>10117</v>
      </c>
      <c r="P474" s="14" t="s">
        <v>3625</v>
      </c>
      <c r="Q474" s="14">
        <v>1</v>
      </c>
    </row>
    <row r="475" spans="1:17">
      <c r="A475" s="14">
        <v>84643</v>
      </c>
      <c r="B475" s="14" t="s">
        <v>0</v>
      </c>
      <c r="C475" s="14" t="s">
        <v>203</v>
      </c>
      <c r="D475" s="20" t="s">
        <v>10605</v>
      </c>
      <c r="E475" s="15" t="str">
        <f>HYPERLINK("https://stat100.ameba.jp/tnk47/ratio20/illustrations/card/ill_84643_rikayaojo03.jpg?202108-i_prefecture_active_user", "■")</f>
        <v>■</v>
      </c>
      <c r="F475" s="14" t="s">
        <v>6853</v>
      </c>
      <c r="G475" s="14">
        <v>192940</v>
      </c>
      <c r="H475" s="14">
        <v>139753</v>
      </c>
      <c r="I475" s="7">
        <v>29</v>
      </c>
      <c r="J475" s="14" t="s">
        <v>315</v>
      </c>
      <c r="K475" s="14" t="s">
        <v>6852</v>
      </c>
      <c r="L475" s="14" t="s">
        <v>6851</v>
      </c>
      <c r="M475" s="14" t="s">
        <v>9158</v>
      </c>
      <c r="N475" s="14" t="s">
        <v>9158</v>
      </c>
      <c r="O475" s="19" t="s">
        <v>10082</v>
      </c>
      <c r="P475" s="14" t="s">
        <v>13124</v>
      </c>
      <c r="Q475" s="14">
        <v>1</v>
      </c>
    </row>
    <row r="477" spans="1:17">
      <c r="A477" s="14" t="s">
        <v>3916</v>
      </c>
    </row>
    <row r="478" spans="1:17">
      <c r="A478" s="14">
        <v>110340</v>
      </c>
      <c r="B478" s="14" t="s">
        <v>17264</v>
      </c>
      <c r="I478" s="7"/>
    </row>
    <row r="479" spans="1:17">
      <c r="A479" s="14">
        <v>62203</v>
      </c>
      <c r="B479" s="14" t="s">
        <v>334</v>
      </c>
      <c r="C479" s="14" t="s">
        <v>154</v>
      </c>
      <c r="D479" s="20" t="s">
        <v>2260</v>
      </c>
      <c r="E479" s="15" t="str">
        <f>HYPERLINK("https://stat100.ameba.jp/tnk47/ratio20/illustrations/card/ill_62203_keishoimmasahime03.jpg?202108-i_prefecture_active_user", "■")</f>
        <v>■</v>
      </c>
      <c r="F479" s="14" t="s">
        <v>2261</v>
      </c>
      <c r="G479" s="14">
        <v>116296</v>
      </c>
      <c r="H479" s="14">
        <v>125078</v>
      </c>
      <c r="I479" s="7">
        <v>29</v>
      </c>
      <c r="J479" s="14" t="s">
        <v>77</v>
      </c>
      <c r="K479" s="14" t="s">
        <v>2262</v>
      </c>
      <c r="L479" s="14" t="s">
        <v>2263</v>
      </c>
      <c r="M479" s="14" t="s">
        <v>9158</v>
      </c>
      <c r="N479" s="14" t="s">
        <v>9158</v>
      </c>
      <c r="O479" s="14" t="s">
        <v>9158</v>
      </c>
      <c r="P479" s="14" t="s">
        <v>9158</v>
      </c>
      <c r="Q479" s="14" t="s">
        <v>9158</v>
      </c>
    </row>
    <row r="480" spans="1:17">
      <c r="A480" s="14">
        <v>69723</v>
      </c>
      <c r="B480" s="14" t="s">
        <v>334</v>
      </c>
      <c r="C480" s="14" t="s">
        <v>158</v>
      </c>
      <c r="D480" s="20" t="s">
        <v>3042</v>
      </c>
      <c r="E480" s="15" t="str">
        <f>HYPERLINK("https://stat100.ameba.jp/tnk47/ratio20/illustrations/card/ill_69723_nakaurajurian03.jpg?202108-i_prefecture_active_user", "■")</f>
        <v>■</v>
      </c>
      <c r="F480" s="14" t="s">
        <v>2257</v>
      </c>
      <c r="G480" s="14">
        <v>116296</v>
      </c>
      <c r="H480" s="14">
        <v>125078</v>
      </c>
      <c r="I480" s="7">
        <v>29</v>
      </c>
      <c r="J480" s="14" t="s">
        <v>173</v>
      </c>
      <c r="K480" s="14" t="s">
        <v>2258</v>
      </c>
      <c r="L480" s="14" t="s">
        <v>2259</v>
      </c>
      <c r="M480" s="14" t="s">
        <v>9158</v>
      </c>
      <c r="N480" s="14" t="s">
        <v>9158</v>
      </c>
      <c r="O480" s="14" t="s">
        <v>9158</v>
      </c>
      <c r="P480" s="14" t="s">
        <v>9158</v>
      </c>
      <c r="Q480" s="14" t="s">
        <v>9158</v>
      </c>
    </row>
    <row r="481" spans="1:17">
      <c r="A481" s="14">
        <v>62153</v>
      </c>
      <c r="B481" s="14" t="s">
        <v>334</v>
      </c>
      <c r="C481" s="14" t="s">
        <v>1</v>
      </c>
      <c r="D481" s="20" t="s">
        <v>16317</v>
      </c>
      <c r="E481" s="15" t="str">
        <f>HYPERLINK("https://stat100.ameba.jp/tnk47/ratio20/illustrations/card/ill_62153_obentonekodanuki03.jpg?202108-i_prefecture_active_user", "■")</f>
        <v>■</v>
      </c>
      <c r="F481" s="14" t="s">
        <v>16318</v>
      </c>
      <c r="G481" s="14">
        <v>120830</v>
      </c>
      <c r="H481" s="14">
        <v>112369</v>
      </c>
      <c r="I481" s="7">
        <v>29</v>
      </c>
      <c r="J481" s="14" t="s">
        <v>73</v>
      </c>
      <c r="K481" s="14" t="s">
        <v>12212</v>
      </c>
      <c r="L481" s="14" t="s">
        <v>16319</v>
      </c>
      <c r="M481" s="14" t="s">
        <v>9158</v>
      </c>
      <c r="N481" s="14" t="s">
        <v>9158</v>
      </c>
      <c r="O481" s="14" t="s">
        <v>9158</v>
      </c>
      <c r="P481" s="14" t="s">
        <v>9158</v>
      </c>
      <c r="Q481" s="14" t="s">
        <v>9158</v>
      </c>
    </row>
    <row r="482" spans="1:17">
      <c r="A482" s="14">
        <v>65173</v>
      </c>
      <c r="B482" s="14" t="s">
        <v>334</v>
      </c>
      <c r="C482" s="14" t="s">
        <v>101</v>
      </c>
      <c r="D482" s="20" t="s">
        <v>16320</v>
      </c>
      <c r="E482" s="15" t="str">
        <f>HYPERLINK("https://stat100.ameba.jp/tnk47/ratio20/illustrations/card/ill_65173_kimodameshihorahamahime03.jpg?202108-i_prefecture_active_user", "■")</f>
        <v>■</v>
      </c>
      <c r="F482" s="14" t="s">
        <v>3565</v>
      </c>
      <c r="G482" s="14">
        <v>112369</v>
      </c>
      <c r="H482" s="14">
        <v>120830</v>
      </c>
      <c r="I482" s="7">
        <v>29</v>
      </c>
      <c r="J482" s="14" t="s">
        <v>73</v>
      </c>
      <c r="K482" s="14" t="s">
        <v>16321</v>
      </c>
      <c r="L482" s="14" t="s">
        <v>16322</v>
      </c>
      <c r="M482" s="14" t="s">
        <v>9158</v>
      </c>
      <c r="N482" s="14" t="s">
        <v>9158</v>
      </c>
      <c r="O482" s="14" t="s">
        <v>9158</v>
      </c>
      <c r="P482" s="14" t="s">
        <v>9158</v>
      </c>
      <c r="Q482" s="14" t="s">
        <v>9158</v>
      </c>
    </row>
    <row r="483" spans="1:17">
      <c r="A483" s="14">
        <v>51923</v>
      </c>
      <c r="B483" s="14" t="s">
        <v>15</v>
      </c>
      <c r="C483" s="14" t="s">
        <v>165</v>
      </c>
      <c r="D483" s="20" t="s">
        <v>15362</v>
      </c>
      <c r="E483" s="15" t="str">
        <f>HYPERLINK("https://stat100.ameba.jp/tnk47/ratio20/illustrations/card/ill_51923_kemonomizugikokyu03.jpg?202108-i_prefecture_active_user", "■")</f>
        <v>■</v>
      </c>
      <c r="F483" s="14" t="s">
        <v>15367</v>
      </c>
      <c r="G483" s="14">
        <v>71136</v>
      </c>
      <c r="H483" s="14">
        <v>64520</v>
      </c>
      <c r="I483" s="14">
        <v>24</v>
      </c>
      <c r="J483" s="14" t="s">
        <v>38</v>
      </c>
      <c r="K483" s="14" t="s">
        <v>15365</v>
      </c>
      <c r="L483" s="14" t="s">
        <v>15364</v>
      </c>
      <c r="M483" s="14" t="s">
        <v>9158</v>
      </c>
      <c r="N483" s="14" t="s">
        <v>9158</v>
      </c>
      <c r="O483" s="14" t="s">
        <v>9158</v>
      </c>
      <c r="P483" s="14" t="s">
        <v>9158</v>
      </c>
      <c r="Q483" s="14" t="s">
        <v>9158</v>
      </c>
    </row>
    <row r="484" spans="1:17">
      <c r="A484" s="14">
        <v>52963</v>
      </c>
      <c r="B484" s="14" t="s">
        <v>15</v>
      </c>
      <c r="C484" s="14" t="s">
        <v>101</v>
      </c>
      <c r="D484" s="20" t="s">
        <v>102</v>
      </c>
      <c r="E484" s="15" t="str">
        <f>HYPERLINK("https://stat100.ameba.jp/tnk47/ratio20/illustrations/card/ill_52963_torampumomochan03.jpg?202108-i_prefecture_active_user", "■")</f>
        <v>■</v>
      </c>
      <c r="F484" s="14" t="s">
        <v>103</v>
      </c>
      <c r="G484" s="14">
        <v>64520</v>
      </c>
      <c r="H484" s="14">
        <v>71136</v>
      </c>
      <c r="I484" s="14">
        <v>24</v>
      </c>
      <c r="J484" s="14" t="s">
        <v>104</v>
      </c>
      <c r="K484" s="14" t="s">
        <v>105</v>
      </c>
      <c r="L484" s="14" t="s">
        <v>106</v>
      </c>
      <c r="M484" s="14" t="s">
        <v>9158</v>
      </c>
      <c r="N484" s="14" t="s">
        <v>9158</v>
      </c>
      <c r="O484" s="14" t="s">
        <v>9158</v>
      </c>
      <c r="P484" s="14" t="s">
        <v>9158</v>
      </c>
      <c r="Q484" s="14" t="s">
        <v>9158</v>
      </c>
    </row>
    <row r="485" spans="1:17">
      <c r="A485" s="14">
        <v>51383</v>
      </c>
      <c r="B485" s="14" t="s">
        <v>15</v>
      </c>
      <c r="C485" s="14" t="s">
        <v>1</v>
      </c>
      <c r="D485" s="20" t="s">
        <v>15363</v>
      </c>
      <c r="E485" s="15" t="str">
        <f>HYPERLINK("https://stat100.ameba.jp/tnk47/ratio20/illustrations/card/ill_51383_ozashikikyogokuichiko03.jpg?202108-i_prefecture_active_user", "■")</f>
        <v>■</v>
      </c>
      <c r="F485" s="14" t="s">
        <v>15371</v>
      </c>
      <c r="G485" s="14">
        <v>71136</v>
      </c>
      <c r="H485" s="14">
        <v>64520</v>
      </c>
      <c r="I485" s="14">
        <v>24</v>
      </c>
      <c r="J485" s="14" t="s">
        <v>16</v>
      </c>
      <c r="K485" s="14" t="s">
        <v>15369</v>
      </c>
      <c r="L485" s="14" t="s">
        <v>15368</v>
      </c>
      <c r="M485" s="14" t="s">
        <v>9158</v>
      </c>
      <c r="N485" s="14" t="s">
        <v>9158</v>
      </c>
      <c r="O485" s="14" t="s">
        <v>9158</v>
      </c>
      <c r="P485" s="14" t="s">
        <v>9158</v>
      </c>
      <c r="Q485" s="14" t="s">
        <v>9158</v>
      </c>
    </row>
    <row r="486" spans="1:17">
      <c r="A486" s="14">
        <v>51903</v>
      </c>
      <c r="B486" s="14" t="s">
        <v>15</v>
      </c>
      <c r="C486" s="14" t="s">
        <v>14</v>
      </c>
      <c r="D486" s="20" t="s">
        <v>16323</v>
      </c>
      <c r="E486" s="15" t="str">
        <f>HYPERLINK("https://stat100.ameba.jp/tnk47/ratio20/illustrations/card/ill_51903_kemonomizugiringochan03.jpg?202108-i_prefecture_active_user", "■")</f>
        <v>■</v>
      </c>
      <c r="F486" s="14" t="s">
        <v>16324</v>
      </c>
      <c r="G486" s="14">
        <v>71136</v>
      </c>
      <c r="H486" s="14">
        <v>64520</v>
      </c>
      <c r="I486" s="14">
        <v>24</v>
      </c>
      <c r="J486" s="14" t="s">
        <v>104</v>
      </c>
      <c r="K486" s="14" t="s">
        <v>16325</v>
      </c>
      <c r="L486" s="14" t="s">
        <v>16326</v>
      </c>
      <c r="M486" s="14" t="s">
        <v>9158</v>
      </c>
      <c r="N486" s="14" t="s">
        <v>9158</v>
      </c>
      <c r="O486" s="14" t="s">
        <v>9158</v>
      </c>
      <c r="P486" s="14" t="s">
        <v>9158</v>
      </c>
      <c r="Q486" s="14" t="s">
        <v>9158</v>
      </c>
    </row>
    <row r="488" spans="1:17">
      <c r="A488" s="14" t="s">
        <v>12630</v>
      </c>
    </row>
    <row r="489" spans="1:17">
      <c r="A489" s="14">
        <v>239709</v>
      </c>
      <c r="B489" s="14" t="s">
        <v>17324</v>
      </c>
    </row>
    <row r="490" spans="1:17">
      <c r="A490" s="14">
        <v>239719</v>
      </c>
      <c r="B490" s="14" t="s">
        <v>15725</v>
      </c>
    </row>
    <row r="491" spans="1:17">
      <c r="A491" s="9" t="s">
        <v>12742</v>
      </c>
    </row>
    <row r="492" spans="1:17">
      <c r="A492" s="14" t="s">
        <v>15831</v>
      </c>
      <c r="B492" s="7" t="s">
        <v>52</v>
      </c>
      <c r="C492" s="14" t="s">
        <v>202</v>
      </c>
      <c r="D492" s="18" t="s">
        <v>15825</v>
      </c>
      <c r="E492" s="15" t="str">
        <f>HYPERLINK("https://stat100.ameba.jp/tnk47/ratio20/illustrations/card/ill_94293_0_kurisumasupurezentofukudahideko03.jpg?202108-i_prefecture_active_user", "■")</f>
        <v>■</v>
      </c>
      <c r="F492" s="14" t="s">
        <v>15830</v>
      </c>
      <c r="G492" s="14">
        <v>319106</v>
      </c>
      <c r="H492" s="14">
        <v>288416</v>
      </c>
      <c r="I492" s="7">
        <v>29</v>
      </c>
      <c r="J492" s="14" t="s">
        <v>16</v>
      </c>
      <c r="K492" s="14" t="s">
        <v>15829</v>
      </c>
      <c r="L492" s="14" t="s">
        <v>15828</v>
      </c>
      <c r="M492" s="14" t="s">
        <v>9158</v>
      </c>
      <c r="N492" s="14" t="s">
        <v>9158</v>
      </c>
      <c r="O492" s="6" t="s">
        <v>15827</v>
      </c>
      <c r="P492" s="7" t="s">
        <v>15826</v>
      </c>
      <c r="Q492" s="7">
        <v>1</v>
      </c>
    </row>
    <row r="493" spans="1:17">
      <c r="A493" s="14" t="s">
        <v>16084</v>
      </c>
      <c r="B493" s="7" t="s">
        <v>52</v>
      </c>
      <c r="C493" s="14" t="s">
        <v>202</v>
      </c>
      <c r="D493" s="18" t="s">
        <v>16083</v>
      </c>
      <c r="E493" s="15" t="str">
        <f>HYPERLINK("https://stat100.ameba.jp/tnk47/ratio20/illustrations/card/ill_95653_0_barentaindefukuhime03.jpg?202108-i_prefecture_active_user", "■")</f>
        <v>■</v>
      </c>
      <c r="F493" s="14" t="s">
        <v>16082</v>
      </c>
      <c r="G493" s="14">
        <v>334134</v>
      </c>
      <c r="H493" s="14">
        <v>273388</v>
      </c>
      <c r="I493" s="7">
        <v>29</v>
      </c>
      <c r="J493" s="14" t="s">
        <v>77</v>
      </c>
      <c r="K493" s="14" t="s">
        <v>16081</v>
      </c>
      <c r="L493" s="14" t="s">
        <v>16080</v>
      </c>
      <c r="M493" s="14" t="s">
        <v>9158</v>
      </c>
      <c r="N493" s="14" t="s">
        <v>9158</v>
      </c>
      <c r="O493" s="7" t="s">
        <v>16086</v>
      </c>
      <c r="P493" s="7" t="s">
        <v>16085</v>
      </c>
      <c r="Q493" s="7">
        <v>1</v>
      </c>
    </row>
    <row r="494" spans="1:17">
      <c r="A494" s="14" t="s">
        <v>15440</v>
      </c>
      <c r="B494" s="7" t="s">
        <v>52</v>
      </c>
      <c r="C494" s="14" t="s">
        <v>202</v>
      </c>
      <c r="D494" s="18" t="s">
        <v>15441</v>
      </c>
      <c r="E494" s="15" t="str">
        <f>HYPERLINK("https://stat100.ameba.jp/tnk47/ratio20/illustrations/card/ill_93683_0_yukemurionsenshirowainchan03.jpg?202108-i_prefecture_active_user", "■")</f>
        <v>■</v>
      </c>
      <c r="F494" s="14" t="s">
        <v>15444</v>
      </c>
      <c r="G494" s="14">
        <v>287477</v>
      </c>
      <c r="H494" s="14">
        <v>351388</v>
      </c>
      <c r="I494" s="14">
        <v>29</v>
      </c>
      <c r="J494" s="14" t="s">
        <v>104</v>
      </c>
      <c r="K494" s="14" t="s">
        <v>15443</v>
      </c>
      <c r="L494" s="14" t="s">
        <v>15442</v>
      </c>
      <c r="M494" s="14" t="s">
        <v>9158</v>
      </c>
      <c r="N494" s="14" t="s">
        <v>9158</v>
      </c>
      <c r="O494" s="6" t="s">
        <v>15445</v>
      </c>
      <c r="P494" s="7" t="s">
        <v>15446</v>
      </c>
      <c r="Q494" s="7">
        <v>1</v>
      </c>
    </row>
    <row r="495" spans="1:17">
      <c r="A495" s="9">
        <v>87903</v>
      </c>
      <c r="B495" s="9" t="s">
        <v>0</v>
      </c>
      <c r="C495" s="9" t="s">
        <v>185</v>
      </c>
      <c r="D495" s="9" t="s">
        <v>11595</v>
      </c>
      <c r="E495" s="15" t="str">
        <f>HYPERLINK("https://stat100.ameba.jp/tnk47/ratio20/illustrations/card/ill_87903_kyupiddotominushihime03.jpg?202108-i_prefecture_active_user", "■")</f>
        <v>■</v>
      </c>
      <c r="F495" s="9" t="s">
        <v>11596</v>
      </c>
      <c r="G495" s="14">
        <v>118287</v>
      </c>
      <c r="H495" s="14">
        <v>109970</v>
      </c>
      <c r="I495" s="7">
        <v>29</v>
      </c>
      <c r="J495" s="9" t="s">
        <v>169</v>
      </c>
      <c r="K495" s="9" t="s">
        <v>4143</v>
      </c>
      <c r="L495" s="9" t="s">
        <v>13231</v>
      </c>
      <c r="M495" s="14" t="s">
        <v>9158</v>
      </c>
      <c r="N495" s="14" t="s">
        <v>9158</v>
      </c>
      <c r="O495" s="14" t="s">
        <v>9158</v>
      </c>
      <c r="P495" s="14" t="s">
        <v>9158</v>
      </c>
      <c r="Q495" s="14" t="s">
        <v>9158</v>
      </c>
    </row>
    <row r="496" spans="1:17">
      <c r="A496" s="9">
        <v>87093</v>
      </c>
      <c r="B496" s="9" t="s">
        <v>0</v>
      </c>
      <c r="C496" s="9" t="s">
        <v>200</v>
      </c>
      <c r="D496" s="19" t="s">
        <v>10967</v>
      </c>
      <c r="E496" s="15" t="str">
        <f>HYPERLINK("https://stat100.ameba.jp/tnk47/ratio20/illustrations/card/ill_87093_togijosesutasu03.jpg?202108-i_prefecture_active_user", "■")</f>
        <v>■</v>
      </c>
      <c r="F496" s="9" t="s">
        <v>9408</v>
      </c>
      <c r="G496" s="14">
        <v>132112</v>
      </c>
      <c r="H496" s="14">
        <v>122834</v>
      </c>
      <c r="I496" s="7">
        <v>29</v>
      </c>
      <c r="J496" s="9" t="s">
        <v>155</v>
      </c>
      <c r="K496" s="9" t="s">
        <v>9407</v>
      </c>
      <c r="L496" s="9" t="s">
        <v>7847</v>
      </c>
      <c r="M496" s="14" t="s">
        <v>9158</v>
      </c>
      <c r="N496" s="14" t="s">
        <v>9158</v>
      </c>
      <c r="O496" s="14" t="s">
        <v>9158</v>
      </c>
      <c r="P496" s="14" t="s">
        <v>9158</v>
      </c>
      <c r="Q496" s="14" t="s">
        <v>9158</v>
      </c>
    </row>
    <row r="497" spans="1:18">
      <c r="A497" s="9">
        <v>88043</v>
      </c>
      <c r="B497" s="9" t="s">
        <v>0</v>
      </c>
      <c r="C497" s="9" t="s">
        <v>191</v>
      </c>
      <c r="D497" s="9" t="s">
        <v>11982</v>
      </c>
      <c r="E497" s="15" t="str">
        <f>HYPERLINK("https://stat100.ameba.jp/tnk47/ratio20/illustrations/card/ill_88043_kaidoichinoyumitoriimagawayoshimoto03.jpg?202108-i_prefecture_active_user", "■")</f>
        <v>■</v>
      </c>
      <c r="F497" s="9" t="s">
        <v>11983</v>
      </c>
      <c r="G497" s="14">
        <v>160296</v>
      </c>
      <c r="H497" s="14">
        <v>172397</v>
      </c>
      <c r="I497" s="14">
        <v>29</v>
      </c>
      <c r="J497" s="9" t="s">
        <v>194</v>
      </c>
      <c r="K497" s="9" t="s">
        <v>11984</v>
      </c>
      <c r="L497" s="9" t="s">
        <v>13253</v>
      </c>
      <c r="M497" s="14" t="s">
        <v>9158</v>
      </c>
      <c r="N497" s="14" t="s">
        <v>9158</v>
      </c>
      <c r="O497" s="7" t="s">
        <v>9158</v>
      </c>
      <c r="P497" s="14" t="s">
        <v>9158</v>
      </c>
      <c r="Q497" s="14" t="s">
        <v>9158</v>
      </c>
    </row>
    <row r="498" spans="1:18">
      <c r="A498" s="9">
        <v>87323</v>
      </c>
      <c r="B498" s="9" t="s">
        <v>0</v>
      </c>
      <c r="C498" s="9" t="s">
        <v>165</v>
      </c>
      <c r="D498" s="19" t="s">
        <v>10995</v>
      </c>
      <c r="E498" s="15" t="str">
        <f>HYPERLINK("https://stat100.ameba.jp/tnk47/ratio20/illustrations/card/ill_87323_takopakuidaorechan03.jpg?202108-i_prefecture_active_user", "■")</f>
        <v>■</v>
      </c>
      <c r="F498" s="9" t="s">
        <v>9830</v>
      </c>
      <c r="G498" s="14">
        <v>122834</v>
      </c>
      <c r="H498" s="14">
        <v>132112</v>
      </c>
      <c r="I498" s="7">
        <v>29</v>
      </c>
      <c r="J498" s="9" t="s">
        <v>229</v>
      </c>
      <c r="K498" s="9" t="s">
        <v>9829</v>
      </c>
      <c r="L498" s="9" t="s">
        <v>7427</v>
      </c>
      <c r="M498" s="14" t="s">
        <v>9158</v>
      </c>
      <c r="N498" s="14" t="s">
        <v>9158</v>
      </c>
      <c r="O498" s="14" t="s">
        <v>9158</v>
      </c>
      <c r="P498" s="14" t="s">
        <v>9158</v>
      </c>
      <c r="Q498" s="14" t="s">
        <v>9158</v>
      </c>
    </row>
    <row r="499" spans="1:18">
      <c r="A499" s="9">
        <v>87693</v>
      </c>
      <c r="B499" s="9" t="s">
        <v>0</v>
      </c>
      <c r="C499" s="9" t="s">
        <v>205</v>
      </c>
      <c r="D499" s="9" t="s">
        <v>10039</v>
      </c>
      <c r="E499" s="15" t="str">
        <f>HYPERLINK("https://stat100.ameba.jp/tnk47/ratio20/illustrations/card/ill_87693_seikasodatsusenizumotaisha03.jpg?202108-i_prefecture_active_user", "■")</f>
        <v>■</v>
      </c>
      <c r="F499" s="9" t="s">
        <v>10040</v>
      </c>
      <c r="G499" s="14">
        <v>122834</v>
      </c>
      <c r="H499" s="14">
        <v>132112</v>
      </c>
      <c r="I499" s="7">
        <v>29</v>
      </c>
      <c r="J499" s="9" t="s">
        <v>229</v>
      </c>
      <c r="K499" s="9" t="s">
        <v>10041</v>
      </c>
      <c r="L499" s="9" t="s">
        <v>13215</v>
      </c>
      <c r="M499" s="14" t="s">
        <v>9158</v>
      </c>
      <c r="N499" s="14" t="s">
        <v>9158</v>
      </c>
      <c r="O499" s="7" t="s">
        <v>9158</v>
      </c>
      <c r="P499" s="14" t="s">
        <v>9158</v>
      </c>
      <c r="Q499" s="14" t="s">
        <v>9158</v>
      </c>
    </row>
    <row r="500" spans="1:18">
      <c r="A500" s="7">
        <v>85313</v>
      </c>
      <c r="B500" s="7" t="s">
        <v>0</v>
      </c>
      <c r="C500" s="7" t="s">
        <v>206</v>
      </c>
      <c r="D500" s="19" t="s">
        <v>10797</v>
      </c>
      <c r="E500" s="15" t="str">
        <f>HYPERLINK("https://stat100.ameba.jp/tnk47/ratio20/illustrations/card/ill_85313_chukahantentachibanaginchiyo03.jpg?202108-i_prefecture_active_user", "■")</f>
        <v>■</v>
      </c>
      <c r="F500" s="7" t="s">
        <v>8270</v>
      </c>
      <c r="G500" s="14">
        <v>113277</v>
      </c>
      <c r="H500" s="14">
        <v>105281</v>
      </c>
      <c r="I500" s="14">
        <v>29</v>
      </c>
      <c r="J500" s="7" t="s">
        <v>187</v>
      </c>
      <c r="K500" s="7" t="s">
        <v>14015</v>
      </c>
      <c r="L500" s="7" t="s">
        <v>8269</v>
      </c>
      <c r="M500" s="14" t="s">
        <v>9158</v>
      </c>
      <c r="N500" s="14" t="s">
        <v>9158</v>
      </c>
      <c r="O500" s="14" t="s">
        <v>9158</v>
      </c>
      <c r="P500" s="14" t="s">
        <v>9158</v>
      </c>
      <c r="Q500" s="14" t="s">
        <v>9158</v>
      </c>
    </row>
    <row r="502" spans="1:18">
      <c r="A502" s="14" t="s">
        <v>13327</v>
      </c>
    </row>
    <row r="503" spans="1:18">
      <c r="A503" s="14">
        <v>110359</v>
      </c>
      <c r="B503" s="14" t="s">
        <v>5845</v>
      </c>
    </row>
    <row r="504" spans="1:18">
      <c r="A504" s="14">
        <v>92173</v>
      </c>
      <c r="B504" s="14" t="s">
        <v>0</v>
      </c>
      <c r="C504" s="14" t="s">
        <v>335</v>
      </c>
      <c r="D504" s="14" t="s">
        <v>14616</v>
      </c>
      <c r="E504" s="15" t="str">
        <f>HYPERLINK("https://stat100.ameba.jp/tnk47/ratio20/illustrations/card/ill_92173_atorasu03.jpg?202108-i_prefecture_active_user", "■")</f>
        <v>■</v>
      </c>
      <c r="F504" s="14" t="s">
        <v>14617</v>
      </c>
      <c r="G504" s="14">
        <v>142768</v>
      </c>
      <c r="H504" s="14">
        <v>132737</v>
      </c>
      <c r="I504" s="14">
        <v>29</v>
      </c>
      <c r="J504" s="14" t="s">
        <v>77</v>
      </c>
      <c r="K504" s="14" t="s">
        <v>14619</v>
      </c>
      <c r="L504" s="14" t="s">
        <v>14618</v>
      </c>
      <c r="M504" s="14" t="s">
        <v>2138</v>
      </c>
      <c r="N504" s="14" t="s">
        <v>2139</v>
      </c>
      <c r="O504" s="14" t="s">
        <v>9158</v>
      </c>
      <c r="P504" s="14" t="s">
        <v>9158</v>
      </c>
      <c r="Q504" s="14" t="s">
        <v>9158</v>
      </c>
      <c r="R504" s="14" t="s">
        <v>14748</v>
      </c>
    </row>
    <row r="505" spans="1:18">
      <c r="A505" s="14">
        <v>92172</v>
      </c>
      <c r="B505" s="14" t="s">
        <v>0</v>
      </c>
      <c r="C505" s="14" t="s">
        <v>335</v>
      </c>
      <c r="D505" s="14" t="s">
        <v>14616</v>
      </c>
      <c r="E505" s="15" t="str">
        <f>HYPERLINK("https://stat100.ameba.jp/tnk47/ratio20/illustrations/card/ill_92172_atorasu02.jpg?202108-i_prefecture_active_user", "■")</f>
        <v>■</v>
      </c>
      <c r="F505" s="14" t="s">
        <v>14617</v>
      </c>
      <c r="G505" s="14">
        <v>119345</v>
      </c>
      <c r="H505" s="14">
        <v>109938</v>
      </c>
      <c r="I505" s="14">
        <v>29</v>
      </c>
      <c r="J505" s="14" t="s">
        <v>77</v>
      </c>
      <c r="K505" s="14" t="s">
        <v>14619</v>
      </c>
      <c r="L505" s="14" t="s">
        <v>14618</v>
      </c>
      <c r="M505" s="14" t="s">
        <v>13270</v>
      </c>
      <c r="N505" s="14" t="s">
        <v>13271</v>
      </c>
      <c r="O505" s="14" t="s">
        <v>9158</v>
      </c>
      <c r="P505" s="14" t="s">
        <v>9158</v>
      </c>
      <c r="Q505" s="14" t="s">
        <v>9158</v>
      </c>
      <c r="R505" s="14" t="s">
        <v>14748</v>
      </c>
    </row>
    <row r="506" spans="1:18">
      <c r="A506" s="14">
        <v>92171</v>
      </c>
      <c r="B506" s="14" t="s">
        <v>0</v>
      </c>
      <c r="C506" s="14" t="s">
        <v>335</v>
      </c>
      <c r="D506" s="14" t="s">
        <v>14616</v>
      </c>
      <c r="E506" s="15" t="str">
        <f>HYPERLINK("https://stat100.ameba.jp/tnk47/ratio20/illustrations/card/ill_92171_atorasu01.jpg?202108-i_prefecture_active_user", "■")</f>
        <v>■</v>
      </c>
      <c r="F506" s="14" t="s">
        <v>14617</v>
      </c>
      <c r="G506" s="14">
        <v>91118</v>
      </c>
      <c r="H506" s="14">
        <v>84825</v>
      </c>
      <c r="I506" s="14">
        <v>29</v>
      </c>
      <c r="J506" s="14" t="s">
        <v>77</v>
      </c>
      <c r="K506" s="14" t="s">
        <v>14619</v>
      </c>
      <c r="L506" s="14" t="s">
        <v>14618</v>
      </c>
      <c r="M506" s="14" t="s">
        <v>13270</v>
      </c>
      <c r="N506" s="14" t="s">
        <v>13271</v>
      </c>
      <c r="O506" s="14" t="s">
        <v>9158</v>
      </c>
      <c r="P506" s="14" t="s">
        <v>9158</v>
      </c>
      <c r="Q506" s="14" t="s">
        <v>9158</v>
      </c>
      <c r="R506" s="14" t="s">
        <v>14748</v>
      </c>
    </row>
    <row r="507" spans="1:18">
      <c r="A507" s="14">
        <v>92183</v>
      </c>
      <c r="B507" s="14" t="s">
        <v>0</v>
      </c>
      <c r="C507" s="14" t="s">
        <v>200</v>
      </c>
      <c r="D507" s="14" t="s">
        <v>14624</v>
      </c>
      <c r="E507" s="15" t="str">
        <f>HYPERLINK("https://stat100.ameba.jp/tnk47/ratio20/illustrations/card/ill_92183_shokorafue03.jpg?202108-i_prefecture_active_user", "■")</f>
        <v>■</v>
      </c>
      <c r="F507" s="14" t="s">
        <v>14623</v>
      </c>
      <c r="G507" s="14">
        <v>142768</v>
      </c>
      <c r="H507" s="14">
        <v>132737</v>
      </c>
      <c r="I507" s="14">
        <v>29</v>
      </c>
      <c r="J507" s="14" t="s">
        <v>104</v>
      </c>
      <c r="K507" s="14" t="s">
        <v>14621</v>
      </c>
      <c r="L507" s="14" t="s">
        <v>14620</v>
      </c>
      <c r="M507" s="14" t="s">
        <v>2138</v>
      </c>
      <c r="N507" s="14" t="s">
        <v>2139</v>
      </c>
      <c r="O507" s="14" t="s">
        <v>9158</v>
      </c>
      <c r="P507" s="14" t="s">
        <v>9158</v>
      </c>
      <c r="Q507" s="14" t="s">
        <v>9158</v>
      </c>
      <c r="R507" s="14" t="s">
        <v>14748</v>
      </c>
    </row>
    <row r="508" spans="1:18">
      <c r="A508" s="14">
        <v>92193</v>
      </c>
      <c r="B508" s="14" t="s">
        <v>0</v>
      </c>
      <c r="C508" s="14" t="s">
        <v>307</v>
      </c>
      <c r="D508" s="14" t="s">
        <v>14629</v>
      </c>
      <c r="E508" s="15" t="str">
        <f>HYPERLINK("https://stat100.ameba.jp/tnk47/ratio20/illustrations/card/ill_92193_kerubu03.jpg?202108-i_prefecture_active_user", "■")</f>
        <v>■</v>
      </c>
      <c r="F508" s="14" t="s">
        <v>14628</v>
      </c>
      <c r="G508" s="14">
        <v>142768</v>
      </c>
      <c r="H508" s="14">
        <v>132737</v>
      </c>
      <c r="I508" s="14">
        <v>29</v>
      </c>
      <c r="J508" s="14" t="s">
        <v>44</v>
      </c>
      <c r="K508" s="14" t="s">
        <v>14626</v>
      </c>
      <c r="L508" s="14" t="s">
        <v>14625</v>
      </c>
      <c r="M508" s="14" t="s">
        <v>2138</v>
      </c>
      <c r="N508" s="14" t="s">
        <v>2139</v>
      </c>
      <c r="O508" s="14" t="s">
        <v>9158</v>
      </c>
      <c r="P508" s="14" t="s">
        <v>9158</v>
      </c>
      <c r="Q508" s="14" t="s">
        <v>9158</v>
      </c>
      <c r="R508" s="14" t="s">
        <v>14748</v>
      </c>
    </row>
    <row r="509" spans="1:18">
      <c r="A509" s="14">
        <v>92203</v>
      </c>
      <c r="B509" s="14" t="s">
        <v>0</v>
      </c>
      <c r="C509" s="14" t="s">
        <v>165</v>
      </c>
      <c r="D509" s="14" t="s">
        <v>14634</v>
      </c>
      <c r="E509" s="15" t="str">
        <f>HYPERLINK("https://stat100.ameba.jp/tnk47/ratio20/illustrations/card/ill_92203_tarazetotoreda03.jpg?202108-i_prefecture_active_user", "■")</f>
        <v>■</v>
      </c>
      <c r="F509" s="14" t="s">
        <v>14633</v>
      </c>
      <c r="G509" s="14">
        <v>132737</v>
      </c>
      <c r="H509" s="14">
        <v>142768</v>
      </c>
      <c r="I509" s="14">
        <v>29</v>
      </c>
      <c r="J509" s="14" t="s">
        <v>73</v>
      </c>
      <c r="K509" s="14" t="s">
        <v>14631</v>
      </c>
      <c r="L509" s="14" t="s">
        <v>14630</v>
      </c>
      <c r="M509" s="14" t="s">
        <v>2138</v>
      </c>
      <c r="N509" s="14" t="s">
        <v>2139</v>
      </c>
      <c r="O509" s="14" t="s">
        <v>9158</v>
      </c>
      <c r="P509" s="14" t="s">
        <v>9158</v>
      </c>
      <c r="Q509" s="14" t="s">
        <v>9158</v>
      </c>
      <c r="R509" s="14" t="s">
        <v>14748</v>
      </c>
    </row>
    <row r="510" spans="1:18">
      <c r="A510" s="14">
        <v>92213</v>
      </c>
      <c r="B510" s="14" t="s">
        <v>0</v>
      </c>
      <c r="C510" s="9" t="s">
        <v>205</v>
      </c>
      <c r="D510" s="14" t="s">
        <v>14639</v>
      </c>
      <c r="E510" s="15" t="str">
        <f>HYPERLINK("https://stat100.ameba.jp/tnk47/ratio20/illustrations/card/ill_92213_pushikopompoi03.jpg?202108-i_prefecture_active_user", "■")</f>
        <v>■</v>
      </c>
      <c r="F510" s="14" t="s">
        <v>14638</v>
      </c>
      <c r="G510" s="14">
        <v>132737</v>
      </c>
      <c r="H510" s="14">
        <v>142768</v>
      </c>
      <c r="I510" s="14">
        <v>29</v>
      </c>
      <c r="J510" s="14" t="s">
        <v>38</v>
      </c>
      <c r="K510" s="14" t="s">
        <v>14636</v>
      </c>
      <c r="L510" s="14" t="s">
        <v>14635</v>
      </c>
      <c r="M510" s="14" t="s">
        <v>2138</v>
      </c>
      <c r="N510" s="14" t="s">
        <v>2139</v>
      </c>
      <c r="O510" s="14" t="s">
        <v>9158</v>
      </c>
      <c r="P510" s="14" t="s">
        <v>9158</v>
      </c>
      <c r="Q510" s="14" t="s">
        <v>9158</v>
      </c>
      <c r="R510" s="14" t="s">
        <v>14748</v>
      </c>
    </row>
    <row r="511" spans="1:18">
      <c r="A511" s="14">
        <v>92223</v>
      </c>
      <c r="B511" s="14" t="s">
        <v>0</v>
      </c>
      <c r="C511" s="14" t="s">
        <v>206</v>
      </c>
      <c r="D511" s="14" t="s">
        <v>14644</v>
      </c>
      <c r="E511" s="15" t="str">
        <f>HYPERLINK("https://stat100.ameba.jp/tnk47/ratio20/illustrations/card/ill_92223_sanfuraua03.jpg?202108-i_prefecture_active_user", "■")</f>
        <v>■</v>
      </c>
      <c r="F511" s="14" t="s">
        <v>14643</v>
      </c>
      <c r="G511" s="14">
        <v>132737</v>
      </c>
      <c r="H511" s="14">
        <v>142768</v>
      </c>
      <c r="I511" s="14">
        <v>29</v>
      </c>
      <c r="J511" s="14" t="s">
        <v>26</v>
      </c>
      <c r="K511" s="14" t="s">
        <v>14641</v>
      </c>
      <c r="L511" s="14" t="s">
        <v>14640</v>
      </c>
      <c r="M511" s="14" t="s">
        <v>2138</v>
      </c>
      <c r="N511" s="14" t="s">
        <v>2139</v>
      </c>
      <c r="O511" s="14" t="s">
        <v>9158</v>
      </c>
      <c r="P511" s="14" t="s">
        <v>9158</v>
      </c>
      <c r="Q511" s="14" t="s">
        <v>9158</v>
      </c>
      <c r="R511" s="14" t="s">
        <v>14748</v>
      </c>
    </row>
    <row r="513" spans="1:17">
      <c r="A513" s="14" t="s">
        <v>17325</v>
      </c>
    </row>
    <row r="514" spans="1:17">
      <c r="A514" s="14">
        <v>239726</v>
      </c>
      <c r="B514" s="14" t="s">
        <v>5862</v>
      </c>
    </row>
    <row r="515" spans="1:17">
      <c r="A515" s="14">
        <v>239732</v>
      </c>
      <c r="B515" s="14" t="s">
        <v>7661</v>
      </c>
    </row>
    <row r="516" spans="1:17">
      <c r="A516" s="14" t="s">
        <v>17272</v>
      </c>
      <c r="B516" s="7" t="s">
        <v>52</v>
      </c>
      <c r="C516" s="14" t="s">
        <v>202</v>
      </c>
      <c r="D516" s="18" t="s">
        <v>17271</v>
      </c>
      <c r="E516" s="15" t="str">
        <f>HYPERLINK("https://stat100.ameba.jp/tnk47/ratio20/illustrations/card/ill_99033_0_uminoiehangakugozen03.jpg?202108-i_prefecture_active_user", "■")</f>
        <v>■</v>
      </c>
      <c r="F516" s="14" t="s">
        <v>17270</v>
      </c>
      <c r="G516" s="14">
        <v>266496</v>
      </c>
      <c r="H516" s="14">
        <v>325712</v>
      </c>
      <c r="I516" s="14">
        <v>29</v>
      </c>
      <c r="J516" s="14" t="s">
        <v>143</v>
      </c>
      <c r="K516" s="14" t="s">
        <v>17269</v>
      </c>
      <c r="L516" s="14" t="s">
        <v>17268</v>
      </c>
      <c r="M516" s="14" t="s">
        <v>9158</v>
      </c>
      <c r="N516" s="14" t="s">
        <v>9158</v>
      </c>
      <c r="O516" s="7" t="s">
        <v>17267</v>
      </c>
      <c r="P516" s="7" t="s">
        <v>17266</v>
      </c>
      <c r="Q516" s="7">
        <v>1</v>
      </c>
    </row>
    <row r="517" spans="1:17">
      <c r="A517" s="14">
        <v>99453</v>
      </c>
      <c r="B517" s="14" t="s">
        <v>0</v>
      </c>
      <c r="C517" s="14" t="s">
        <v>14</v>
      </c>
      <c r="D517" s="14" t="s">
        <v>17328</v>
      </c>
      <c r="E517" s="15" t="str">
        <f>HYPERLINK("https://stat100.ameba.jp/tnk47/ratio20/illustrations/card/ill_99453_jimutoreaioisamanosoden03.jpg?202108-i_prefecture_active_user", "■")</f>
        <v>■</v>
      </c>
      <c r="F517" s="14" t="s">
        <v>17327</v>
      </c>
      <c r="G517" s="14">
        <v>127350</v>
      </c>
      <c r="H517" s="14">
        <v>136953</v>
      </c>
      <c r="I517" s="14">
        <v>29</v>
      </c>
      <c r="J517" s="14" t="s">
        <v>38</v>
      </c>
      <c r="K517" s="14" t="s">
        <v>17326</v>
      </c>
      <c r="L517" s="14" t="s">
        <v>16889</v>
      </c>
      <c r="M517" s="14" t="s">
        <v>9158</v>
      </c>
      <c r="N517" s="14" t="s">
        <v>9158</v>
      </c>
      <c r="O517" s="14" t="s">
        <v>9158</v>
      </c>
      <c r="P517" s="14" t="s">
        <v>9158</v>
      </c>
      <c r="Q517" s="14" t="s">
        <v>9158</v>
      </c>
    </row>
    <row r="518" spans="1:17">
      <c r="A518" s="14">
        <v>99463</v>
      </c>
      <c r="B518" s="14" t="s">
        <v>0</v>
      </c>
      <c r="C518" s="14" t="s">
        <v>23</v>
      </c>
      <c r="D518" s="14" t="s">
        <v>17332</v>
      </c>
      <c r="E518" s="15" t="str">
        <f>HYPERLINK("https://stat100.ameba.jp/tnk47/ratio20/illustrations/card/ill_99463_ameyokochan03.jpg?202108-i_prefecture_active_user", "■")</f>
        <v>■</v>
      </c>
      <c r="F518" s="14" t="s">
        <v>17331</v>
      </c>
      <c r="G518" s="14">
        <v>113277</v>
      </c>
      <c r="H518" s="14">
        <v>105281</v>
      </c>
      <c r="I518" s="14">
        <v>29</v>
      </c>
      <c r="J518" s="14" t="s">
        <v>26</v>
      </c>
      <c r="K518" s="14" t="s">
        <v>17330</v>
      </c>
      <c r="L518" s="14" t="s">
        <v>17329</v>
      </c>
      <c r="M518" s="14" t="s">
        <v>9158</v>
      </c>
      <c r="N518" s="14" t="s">
        <v>9158</v>
      </c>
      <c r="O518" s="14" t="s">
        <v>9158</v>
      </c>
      <c r="P518" s="14" t="s">
        <v>9158</v>
      </c>
      <c r="Q518" s="14" t="s">
        <v>9158</v>
      </c>
    </row>
    <row r="519" spans="1:17">
      <c r="A519" s="14">
        <v>99473</v>
      </c>
      <c r="B519" s="14" t="s">
        <v>15</v>
      </c>
      <c r="C519" s="14" t="s">
        <v>101</v>
      </c>
      <c r="D519" s="14" t="s">
        <v>17335</v>
      </c>
      <c r="E519" s="15" t="str">
        <f>HYPERLINK("https://stat100.ameba.jp/tnk47/ratio20/illustrations/card/ill_99473_jimukomatsuhime03.jpg?202108-i_prefecture_active_user", "■")</f>
        <v>■</v>
      </c>
      <c r="F519" s="14" t="s">
        <v>17334</v>
      </c>
      <c r="G519" s="14">
        <v>77962</v>
      </c>
      <c r="H519" s="14">
        <v>85956</v>
      </c>
      <c r="I519" s="14">
        <v>29</v>
      </c>
      <c r="J519" s="14" t="s">
        <v>77</v>
      </c>
      <c r="K519" s="14" t="s">
        <v>17333</v>
      </c>
      <c r="L519" s="14" t="s">
        <v>973</v>
      </c>
      <c r="M519" s="14" t="s">
        <v>9158</v>
      </c>
      <c r="N519" s="14" t="s">
        <v>9158</v>
      </c>
      <c r="O519" s="14" t="s">
        <v>9158</v>
      </c>
      <c r="P519" s="14" t="s">
        <v>9158</v>
      </c>
      <c r="Q519" s="14" t="s">
        <v>9158</v>
      </c>
    </row>
    <row r="520" spans="1:17">
      <c r="A520" s="14">
        <v>99483</v>
      </c>
      <c r="B520" s="14" t="s">
        <v>22</v>
      </c>
      <c r="C520" s="14" t="s">
        <v>96</v>
      </c>
      <c r="D520" s="14" t="s">
        <v>17338</v>
      </c>
      <c r="E520" s="15" t="str">
        <f>HYPERLINK("https://stat100.ameba.jp/tnk47/ratio20/illustrations/card/ill_99483_onnabujutsukakiyohime03.jpg?202108-i_prefecture_active_user", "■")</f>
        <v>■</v>
      </c>
      <c r="F520" s="14" t="s">
        <v>17337</v>
      </c>
      <c r="G520" s="14">
        <v>60296</v>
      </c>
      <c r="H520" s="14">
        <v>50134</v>
      </c>
      <c r="I520" s="14">
        <v>29</v>
      </c>
      <c r="J520" s="14" t="s">
        <v>73</v>
      </c>
      <c r="K520" s="14" t="s">
        <v>17336</v>
      </c>
      <c r="L520" s="14" t="s">
        <v>4556</v>
      </c>
      <c r="M520" s="14" t="s">
        <v>9158</v>
      </c>
      <c r="N520" s="14" t="s">
        <v>9158</v>
      </c>
      <c r="O520" s="14" t="s">
        <v>9158</v>
      </c>
      <c r="P520" s="14" t="s">
        <v>9158</v>
      </c>
      <c r="Q520" s="14" t="s">
        <v>9158</v>
      </c>
    </row>
    <row r="521" spans="1:17">
      <c r="A521" s="14">
        <v>99493</v>
      </c>
      <c r="B521" s="14" t="s">
        <v>22</v>
      </c>
      <c r="C521" s="14" t="s">
        <v>1</v>
      </c>
      <c r="D521" s="14" t="s">
        <v>17341</v>
      </c>
      <c r="E521" s="15" t="str">
        <f>HYPERLINK("https://stat100.ameba.jp/tnk47/ratio20/illustrations/card/ill_99493_shimantogawanoyakatabune03.jpg?202108-i_prefecture_active_user", "■")</f>
        <v>■</v>
      </c>
      <c r="F521" s="14" t="s">
        <v>17340</v>
      </c>
      <c r="G521" s="14">
        <v>50134</v>
      </c>
      <c r="H521" s="14">
        <v>60296</v>
      </c>
      <c r="I521" s="14">
        <v>29</v>
      </c>
      <c r="J521" s="14" t="s">
        <v>26</v>
      </c>
      <c r="K521" s="14" t="s">
        <v>17339</v>
      </c>
      <c r="L521" s="14" t="s">
        <v>28</v>
      </c>
      <c r="M521" s="14" t="s">
        <v>9158</v>
      </c>
      <c r="N521" s="14" t="s">
        <v>9158</v>
      </c>
      <c r="O521" s="14" t="s">
        <v>9158</v>
      </c>
      <c r="P521" s="14" t="s">
        <v>9158</v>
      </c>
      <c r="Q521" s="14" t="s">
        <v>9158</v>
      </c>
    </row>
    <row r="523" spans="1:17">
      <c r="A523" s="14" t="s">
        <v>3844</v>
      </c>
    </row>
    <row r="524" spans="1:17">
      <c r="A524" s="14">
        <v>110378</v>
      </c>
      <c r="B524" s="14" t="s">
        <v>17342</v>
      </c>
    </row>
    <row r="525" spans="1:17">
      <c r="A525" s="7" t="s">
        <v>8437</v>
      </c>
      <c r="B525" s="7" t="s">
        <v>52</v>
      </c>
      <c r="C525" s="7" t="s">
        <v>202</v>
      </c>
      <c r="D525" s="20" t="s">
        <v>10806</v>
      </c>
      <c r="E525" s="15" t="str">
        <f>HYPERLINK("https://stat100.ameba.jp/tnk47/ratio20/illustrations/card/ill_85523_0_seitankuronikurukusumotoine03.jpg?202108-i_prefecture_active_user", "■")</f>
        <v>■</v>
      </c>
      <c r="F525" s="7" t="s">
        <v>8440</v>
      </c>
      <c r="G525" s="7">
        <v>327089</v>
      </c>
      <c r="H525" s="7">
        <v>295640</v>
      </c>
      <c r="I525" s="7">
        <v>27</v>
      </c>
      <c r="J525" s="14" t="s">
        <v>77</v>
      </c>
      <c r="K525" s="7" t="s">
        <v>8446</v>
      </c>
      <c r="L525" s="7" t="s">
        <v>8439</v>
      </c>
      <c r="M525" s="14" t="s">
        <v>9158</v>
      </c>
      <c r="N525" s="14" t="s">
        <v>9158</v>
      </c>
      <c r="O525" s="19" t="s">
        <v>10133</v>
      </c>
      <c r="P525" s="7" t="s">
        <v>8441</v>
      </c>
      <c r="Q525" s="7">
        <v>1</v>
      </c>
    </row>
    <row r="526" spans="1:17">
      <c r="A526" s="14">
        <v>91013</v>
      </c>
      <c r="B526" s="14" t="s">
        <v>0</v>
      </c>
      <c r="C526" s="14" t="s">
        <v>14</v>
      </c>
      <c r="D526" s="18" t="s">
        <v>13451</v>
      </c>
      <c r="E526" s="15" t="str">
        <f>HYPERLINK("https://stat100.ameba.jp/tnk47/ratio20/illustrations/card/ill_91013_mizugiaidorusakurambochan03.jpg?202108-i_prefecture_active_user", "■")</f>
        <v>■</v>
      </c>
      <c r="F526" s="14" t="s">
        <v>13452</v>
      </c>
      <c r="G526" s="14">
        <v>136953</v>
      </c>
      <c r="H526" s="14">
        <v>127350</v>
      </c>
      <c r="I526" s="14">
        <v>29</v>
      </c>
      <c r="J526" s="14" t="s">
        <v>104</v>
      </c>
      <c r="K526" s="14" t="s">
        <v>13454</v>
      </c>
      <c r="L526" s="14" t="s">
        <v>12340</v>
      </c>
      <c r="M526" s="14" t="s">
        <v>9158</v>
      </c>
      <c r="N526" s="14" t="s">
        <v>9158</v>
      </c>
      <c r="O526" s="6" t="s">
        <v>3768</v>
      </c>
      <c r="P526" s="7" t="s">
        <v>13453</v>
      </c>
      <c r="Q526" s="7">
        <v>1</v>
      </c>
    </row>
    <row r="527" spans="1:17">
      <c r="A527" s="14">
        <v>80573</v>
      </c>
      <c r="B527" s="14" t="s">
        <v>334</v>
      </c>
      <c r="C527" s="14" t="s">
        <v>165</v>
      </c>
      <c r="D527" s="20" t="s">
        <v>10301</v>
      </c>
      <c r="E527" s="15" t="str">
        <f>HYPERLINK("https://stat100.ameba.jp/tnk47/ratio20/illustrations/card/ill_80573_ohanamigurampingusotorihime03.jpg?202108-i_prefecture_active_user", "■")</f>
        <v>■</v>
      </c>
      <c r="F527" s="14" t="s">
        <v>4176</v>
      </c>
      <c r="G527" s="14">
        <v>132346</v>
      </c>
      <c r="H527" s="14">
        <v>122834</v>
      </c>
      <c r="I527" s="14">
        <v>29</v>
      </c>
      <c r="J527" s="14" t="s">
        <v>38</v>
      </c>
      <c r="K527" s="14" t="s">
        <v>4177</v>
      </c>
      <c r="L527" s="14" t="s">
        <v>4178</v>
      </c>
      <c r="M527" s="14" t="s">
        <v>9158</v>
      </c>
      <c r="N527" s="14" t="s">
        <v>9158</v>
      </c>
      <c r="O527" s="19" t="s">
        <v>10119</v>
      </c>
      <c r="P527" s="14" t="s">
        <v>3662</v>
      </c>
      <c r="Q527" s="14">
        <v>1</v>
      </c>
    </row>
    <row r="528" spans="1:17">
      <c r="A528" s="14">
        <v>92363</v>
      </c>
      <c r="B528" s="14" t="s">
        <v>0</v>
      </c>
      <c r="C528" s="14" t="s">
        <v>1</v>
      </c>
      <c r="D528" s="18" t="s">
        <v>15010</v>
      </c>
      <c r="E528" s="15" t="str">
        <f>HYPERLINK("https://stat100.ameba.jp/tnk47/ratio20/illustrations/card/ill_92363_haroinorochinomusha03.jpg?202108-i_prefecture_active_user", "■")</f>
        <v>■</v>
      </c>
      <c r="F528" s="14" t="s">
        <v>15009</v>
      </c>
      <c r="G528" s="14">
        <v>160296</v>
      </c>
      <c r="H528" s="14">
        <v>172397</v>
      </c>
      <c r="I528" s="14">
        <v>29</v>
      </c>
      <c r="J528" s="14" t="s">
        <v>143</v>
      </c>
      <c r="K528" s="14" t="s">
        <v>15007</v>
      </c>
      <c r="L528" s="14" t="s">
        <v>12361</v>
      </c>
      <c r="M528" s="14" t="s">
        <v>9158</v>
      </c>
      <c r="N528" s="14" t="s">
        <v>9158</v>
      </c>
      <c r="O528" s="6" t="s">
        <v>2717</v>
      </c>
      <c r="P528" s="7" t="s">
        <v>15004</v>
      </c>
      <c r="Q528" s="7">
        <v>1</v>
      </c>
    </row>
    <row r="530" spans="1:17">
      <c r="A530" s="14" t="s">
        <v>4065</v>
      </c>
    </row>
    <row r="531" spans="1:17">
      <c r="A531" s="14">
        <v>110393</v>
      </c>
      <c r="B531" s="14" t="s">
        <v>5890</v>
      </c>
    </row>
    <row r="532" spans="1:17">
      <c r="A532" s="14" t="s">
        <v>16315</v>
      </c>
      <c r="B532" s="14" t="s">
        <v>117</v>
      </c>
      <c r="C532" s="14" t="s">
        <v>35</v>
      </c>
      <c r="D532" s="14" t="s">
        <v>16314</v>
      </c>
      <c r="E532" s="15" t="str">
        <f>HYPERLINK("https://stat100.ameba.jp/tnk47/ratio20/illustrations/card/ill_95293_0_kajinobatoru03.jpg?202108-i_prefecture_active_user", "■")</f>
        <v>■</v>
      </c>
      <c r="F532" s="14" t="s">
        <v>16313</v>
      </c>
      <c r="G532" s="14">
        <v>339400</v>
      </c>
      <c r="H532" s="14">
        <v>315520</v>
      </c>
      <c r="I532" s="14">
        <v>28</v>
      </c>
      <c r="J532" s="14" t="s">
        <v>194</v>
      </c>
      <c r="K532" s="14" t="s">
        <v>16312</v>
      </c>
      <c r="L532" s="14" t="s">
        <v>16311</v>
      </c>
      <c r="M532" s="14" t="s">
        <v>9158</v>
      </c>
      <c r="N532" s="14" t="s">
        <v>9158</v>
      </c>
      <c r="O532" s="14" t="s">
        <v>16310</v>
      </c>
      <c r="P532" s="14" t="s">
        <v>8441</v>
      </c>
      <c r="Q532" s="14">
        <v>1</v>
      </c>
    </row>
    <row r="533" spans="1:17">
      <c r="A533" s="14">
        <v>89653</v>
      </c>
      <c r="B533" s="14" t="s">
        <v>0</v>
      </c>
      <c r="C533" s="14" t="s">
        <v>101</v>
      </c>
      <c r="D533" s="18" t="s">
        <v>13090</v>
      </c>
      <c r="E533" s="15" t="str">
        <f>HYPERLINK("https://stat100.ameba.jp/tnk47/ratio20/illustrations/card/ill_89653_jumburaidochakkariozonichan03.jpg?202108-i_prefecture_active_user", "■")</f>
        <v>■</v>
      </c>
      <c r="F533" s="14" t="s">
        <v>13091</v>
      </c>
      <c r="G533" s="14">
        <v>127507</v>
      </c>
      <c r="H533" s="14">
        <v>118568</v>
      </c>
      <c r="I533" s="14">
        <v>27</v>
      </c>
      <c r="J533" s="14" t="s">
        <v>104</v>
      </c>
      <c r="K533" s="14" t="s">
        <v>13092</v>
      </c>
      <c r="L533" s="14" t="s">
        <v>13093</v>
      </c>
      <c r="M533" s="14" t="s">
        <v>9158</v>
      </c>
      <c r="N533" s="14" t="s">
        <v>9158</v>
      </c>
      <c r="O533" s="6" t="s">
        <v>4583</v>
      </c>
      <c r="P533" s="7" t="s">
        <v>4584</v>
      </c>
      <c r="Q533" s="7">
        <v>1</v>
      </c>
    </row>
    <row r="534" spans="1:17">
      <c r="A534" s="14">
        <v>72193</v>
      </c>
      <c r="B534" s="14" t="s">
        <v>334</v>
      </c>
      <c r="C534" s="14" t="s">
        <v>165</v>
      </c>
      <c r="D534" s="19" t="s">
        <v>3112</v>
      </c>
      <c r="E534" s="15" t="str">
        <f>HYPERLINK("https://stat100.ameba.jp/tnk47/ratio20/illustrations/card/ill_72193_koinoborikomyokogo03.jpg?202108-i_prefecture_active_user", "■")</f>
        <v>■</v>
      </c>
      <c r="F534" s="14" t="s">
        <v>2539</v>
      </c>
      <c r="G534" s="14">
        <v>105465</v>
      </c>
      <c r="H534" s="14">
        <v>98019</v>
      </c>
      <c r="I534" s="14">
        <v>27</v>
      </c>
      <c r="J534" s="14" t="s">
        <v>10</v>
      </c>
      <c r="K534" s="14" t="s">
        <v>2540</v>
      </c>
      <c r="L534" s="14" t="s">
        <v>60</v>
      </c>
      <c r="M534" s="14" t="s">
        <v>9158</v>
      </c>
      <c r="N534" s="14" t="s">
        <v>9158</v>
      </c>
      <c r="O534" s="19" t="s">
        <v>10090</v>
      </c>
      <c r="P534" s="14" t="s">
        <v>3460</v>
      </c>
      <c r="Q534" s="14">
        <v>1</v>
      </c>
    </row>
    <row r="535" spans="1:17">
      <c r="A535" s="9">
        <v>81143</v>
      </c>
      <c r="B535" s="14" t="s">
        <v>334</v>
      </c>
      <c r="C535" s="14" t="s">
        <v>205</v>
      </c>
      <c r="D535" s="14" t="s">
        <v>4516</v>
      </c>
      <c r="E535" s="15" t="str">
        <f>HYPERLINK("https://stat100.ameba.jp/tnk47/ratio20/illustrations/card/ill_81143_shinryokunokisetsumerompan03.jpg?202108-i_prefecture_active_user", "■")</f>
        <v>■</v>
      </c>
      <c r="F535" s="14" t="s">
        <v>4517</v>
      </c>
      <c r="G535" s="14">
        <v>127507</v>
      </c>
      <c r="H535" s="14">
        <v>118568</v>
      </c>
      <c r="I535" s="14">
        <v>27</v>
      </c>
      <c r="J535" s="14" t="s">
        <v>104</v>
      </c>
      <c r="K535" s="14" t="s">
        <v>4518</v>
      </c>
      <c r="L535" s="14" t="s">
        <v>3489</v>
      </c>
      <c r="M535" s="14" t="s">
        <v>9158</v>
      </c>
      <c r="N535" s="14" t="s">
        <v>9158</v>
      </c>
      <c r="O535" s="9" t="s">
        <v>3609</v>
      </c>
      <c r="P535" s="14" t="s">
        <v>3610</v>
      </c>
      <c r="Q535" s="14">
        <v>1</v>
      </c>
    </row>
    <row r="537" spans="1:17">
      <c r="A537" s="14" t="s">
        <v>3785</v>
      </c>
    </row>
    <row r="538" spans="1:17">
      <c r="A538" s="14">
        <v>239759</v>
      </c>
      <c r="B538" s="14" t="s">
        <v>17364</v>
      </c>
    </row>
    <row r="539" spans="1:17">
      <c r="A539" s="14" t="s">
        <v>5734</v>
      </c>
      <c r="B539" s="14" t="s">
        <v>330</v>
      </c>
      <c r="C539" s="14" t="s">
        <v>202</v>
      </c>
      <c r="D539" s="19" t="s">
        <v>1497</v>
      </c>
      <c r="E539" s="15" t="str">
        <f>HYPERLINK("https://stat100.ameba.jp/tnk47/ratio20/illustrations/card/ill_74593_0_natsuyuenchikoshihikari03.jpg?202108-i_prefecture_active_user", "■")</f>
        <v>■</v>
      </c>
      <c r="F539" s="14" t="s">
        <v>1498</v>
      </c>
      <c r="G539" s="14">
        <v>238328</v>
      </c>
      <c r="H539" s="14">
        <v>221566</v>
      </c>
      <c r="I539" s="14">
        <v>22</v>
      </c>
      <c r="J539" s="14" t="s">
        <v>283</v>
      </c>
      <c r="K539" s="14" t="s">
        <v>1499</v>
      </c>
      <c r="L539" s="14" t="s">
        <v>1500</v>
      </c>
      <c r="M539" s="14" t="s">
        <v>9158</v>
      </c>
      <c r="N539" s="14" t="s">
        <v>9158</v>
      </c>
      <c r="O539" s="19" t="s">
        <v>2731</v>
      </c>
      <c r="P539" s="14" t="s">
        <v>2732</v>
      </c>
      <c r="Q539" s="14">
        <v>1</v>
      </c>
    </row>
    <row r="540" spans="1:17">
      <c r="A540" s="14" t="s">
        <v>5778</v>
      </c>
      <c r="B540" s="14" t="s">
        <v>330</v>
      </c>
      <c r="C540" s="14" t="s">
        <v>205</v>
      </c>
      <c r="D540" s="19" t="s">
        <v>272</v>
      </c>
      <c r="E540" s="15" t="str">
        <f>HYPERLINK("https://stat100.ameba.jp/tnk47/ratio20/illustrations/card/ill_68783_0_gantammomotaro03.jpg?202108-i_prefecture_active_user", "■")</f>
        <v>■</v>
      </c>
      <c r="F540" s="14" t="s">
        <v>273</v>
      </c>
      <c r="G540" s="14">
        <v>150466</v>
      </c>
      <c r="H540" s="14">
        <v>139878</v>
      </c>
      <c r="I540" s="14">
        <v>22</v>
      </c>
      <c r="J540" s="14" t="s">
        <v>274</v>
      </c>
      <c r="K540" s="14" t="s">
        <v>275</v>
      </c>
      <c r="L540" s="14" t="s">
        <v>276</v>
      </c>
      <c r="M540" s="14" t="s">
        <v>9158</v>
      </c>
      <c r="N540" s="14" t="s">
        <v>9158</v>
      </c>
      <c r="O540" s="6" t="s">
        <v>9992</v>
      </c>
      <c r="P540" s="14" t="s">
        <v>3451</v>
      </c>
      <c r="Q540" s="14">
        <v>1</v>
      </c>
    </row>
    <row r="541" spans="1:17">
      <c r="A541" s="9" t="s">
        <v>5820</v>
      </c>
      <c r="B541" s="14" t="s">
        <v>330</v>
      </c>
      <c r="C541" s="14" t="s">
        <v>200</v>
      </c>
      <c r="D541" s="14" t="s">
        <v>630</v>
      </c>
      <c r="E541" s="15" t="str">
        <f>HYPERLINK("https://stat100.ameba.jp/tnk47/ratio20/illustrations/card/ill_48283_0_kyuubitamamonomae03.jpg?202108-i_prefecture_active_user", "■")</f>
        <v>■</v>
      </c>
      <c r="F541" s="14" t="s">
        <v>631</v>
      </c>
      <c r="G541" s="14">
        <v>138212</v>
      </c>
      <c r="H541" s="14">
        <v>122776</v>
      </c>
      <c r="I541" s="14">
        <v>22</v>
      </c>
      <c r="J541" s="14" t="s">
        <v>320</v>
      </c>
      <c r="K541" s="14" t="s">
        <v>632</v>
      </c>
      <c r="L541" s="14" t="s">
        <v>633</v>
      </c>
      <c r="M541" s="14" t="s">
        <v>9158</v>
      </c>
      <c r="N541" s="14" t="s">
        <v>9158</v>
      </c>
      <c r="O541" s="14" t="s">
        <v>9158</v>
      </c>
      <c r="P541" s="14" t="s">
        <v>9158</v>
      </c>
      <c r="Q541" s="14" t="s">
        <v>9158</v>
      </c>
    </row>
    <row r="542" spans="1:17">
      <c r="A542" s="14">
        <v>90693</v>
      </c>
      <c r="B542" s="14" t="s">
        <v>0</v>
      </c>
      <c r="C542" s="14" t="s">
        <v>101</v>
      </c>
      <c r="D542" s="14" t="s">
        <v>14330</v>
      </c>
      <c r="E542" s="15" t="str">
        <f>HYPERLINK("https://stat100.ameba.jp/tnk47/ratio20/illustrations/card/ill_90693_hamabeshigaru03.jpg?202108-i_prefecture_active_user", "■")</f>
        <v>■</v>
      </c>
      <c r="F542" s="14" t="s">
        <v>14329</v>
      </c>
      <c r="G542" s="14">
        <v>139860</v>
      </c>
      <c r="H542" s="14">
        <v>78696</v>
      </c>
      <c r="I542" s="14">
        <v>29</v>
      </c>
      <c r="J542" s="14" t="s">
        <v>10</v>
      </c>
      <c r="K542" s="14" t="s">
        <v>14328</v>
      </c>
      <c r="L542" s="14" t="s">
        <v>12211</v>
      </c>
      <c r="M542" s="14" t="s">
        <v>9158</v>
      </c>
      <c r="N542" s="14" t="s">
        <v>9158</v>
      </c>
      <c r="O542" s="14" t="s">
        <v>9158</v>
      </c>
      <c r="P542" s="14" t="s">
        <v>9158</v>
      </c>
      <c r="Q542" s="14" t="s">
        <v>9158</v>
      </c>
    </row>
    <row r="543" spans="1:17">
      <c r="A543" s="14">
        <v>81013</v>
      </c>
      <c r="B543" s="14" t="s">
        <v>334</v>
      </c>
      <c r="C543" s="14" t="s">
        <v>205</v>
      </c>
      <c r="D543" s="19" t="s">
        <v>4412</v>
      </c>
      <c r="E543" s="15" t="str">
        <f>HYPERLINK("https://stat100.ameba.jp/tnk47/ratio20/illustrations/card/ill_81013_furudenshagoshikihime03.jpg?202108-i_prefecture_active_user", "■")</f>
        <v>■</v>
      </c>
      <c r="F543" s="14" t="s">
        <v>4413</v>
      </c>
      <c r="G543" s="14">
        <v>163283</v>
      </c>
      <c r="H543" s="14">
        <v>91897</v>
      </c>
      <c r="I543" s="14">
        <v>29</v>
      </c>
      <c r="J543" s="14" t="s">
        <v>155</v>
      </c>
      <c r="K543" s="14" t="s">
        <v>4414</v>
      </c>
      <c r="L543" s="14" t="s">
        <v>2557</v>
      </c>
      <c r="M543" s="14" t="s">
        <v>9158</v>
      </c>
      <c r="N543" s="14" t="s">
        <v>9158</v>
      </c>
      <c r="O543" s="14" t="s">
        <v>9158</v>
      </c>
      <c r="P543" s="14" t="s">
        <v>9158</v>
      </c>
      <c r="Q543" s="14" t="s">
        <v>9158</v>
      </c>
    </row>
    <row r="544" spans="1:17">
      <c r="A544" s="9">
        <v>87973</v>
      </c>
      <c r="B544" s="14" t="s">
        <v>334</v>
      </c>
      <c r="C544" s="9" t="s">
        <v>200</v>
      </c>
      <c r="D544" s="9" t="s">
        <v>11905</v>
      </c>
      <c r="E544" s="15" t="str">
        <f>HYPERLINK("https://stat100.ameba.jp/tnk47/ratio20/illustrations/card/ill_87973_mafuiaerisu03.jpg?202108-i_prefecture_active_user", "■")</f>
        <v>■</v>
      </c>
      <c r="F544" s="9" t="s">
        <v>11906</v>
      </c>
      <c r="G544" s="14">
        <v>145247</v>
      </c>
      <c r="H544" s="14">
        <v>81727</v>
      </c>
      <c r="I544" s="14">
        <v>29</v>
      </c>
      <c r="J544" s="9" t="s">
        <v>159</v>
      </c>
      <c r="K544" s="9" t="s">
        <v>11907</v>
      </c>
      <c r="L544" s="9" t="s">
        <v>13247</v>
      </c>
      <c r="M544" s="14" t="s">
        <v>9158</v>
      </c>
      <c r="N544" s="14" t="s">
        <v>9158</v>
      </c>
      <c r="O544" s="14" t="s">
        <v>9158</v>
      </c>
      <c r="P544" s="14" t="s">
        <v>9158</v>
      </c>
      <c r="Q544" s="14" t="s">
        <v>9158</v>
      </c>
    </row>
    <row r="546" spans="1:17">
      <c r="A546" s="14" t="s">
        <v>3905</v>
      </c>
    </row>
    <row r="547" spans="1:17">
      <c r="A547" s="14">
        <v>239782</v>
      </c>
      <c r="B547" s="14" t="s">
        <v>17364</v>
      </c>
      <c r="G547" s="9"/>
      <c r="H547" s="9"/>
    </row>
    <row r="548" spans="1:17">
      <c r="A548" s="14" t="s">
        <v>5963</v>
      </c>
      <c r="B548" s="14" t="s">
        <v>330</v>
      </c>
      <c r="C548" s="14" t="s">
        <v>35</v>
      </c>
      <c r="D548" s="20" t="s">
        <v>10438</v>
      </c>
      <c r="E548" s="15" t="str">
        <f>HYPERLINK("https://stat100.ameba.jp/tnk47/ratio20/illustrations/card/ill_82963_0_yukatamatsuritomokazuki03.jpg?202108-i_prefecture_active_user", "■")</f>
        <v>■</v>
      </c>
      <c r="F548" s="14" t="s">
        <v>5964</v>
      </c>
      <c r="G548" s="14">
        <v>262064</v>
      </c>
      <c r="H548" s="14">
        <v>289970</v>
      </c>
      <c r="I548" s="14">
        <v>22</v>
      </c>
      <c r="J548" s="14" t="s">
        <v>73</v>
      </c>
      <c r="K548" s="14" t="s">
        <v>5966</v>
      </c>
      <c r="L548" s="14" t="s">
        <v>5967</v>
      </c>
      <c r="M548" s="14" t="s">
        <v>9158</v>
      </c>
      <c r="N548" s="14" t="s">
        <v>9158</v>
      </c>
      <c r="O548" s="19" t="s">
        <v>10115</v>
      </c>
      <c r="P548" s="14" t="s">
        <v>5968</v>
      </c>
      <c r="Q548" s="14">
        <v>1</v>
      </c>
    </row>
    <row r="549" spans="1:17">
      <c r="A549" s="9" t="s">
        <v>5899</v>
      </c>
      <c r="B549" s="14" t="s">
        <v>330</v>
      </c>
      <c r="C549" s="14" t="s">
        <v>205</v>
      </c>
      <c r="D549" s="14" t="s">
        <v>934</v>
      </c>
      <c r="E549" s="15" t="str">
        <f>HYPERLINK("https://stat100.ameba.jp/tnk47/ratio20/illustrations/card/ill_73773_0_umibirakiinugamigyobu03.jpg?202108-i_prefecture_active_user", "■")</f>
        <v>■</v>
      </c>
      <c r="F549" s="14" t="s">
        <v>935</v>
      </c>
      <c r="G549" s="14">
        <v>190902</v>
      </c>
      <c r="H549" s="14">
        <v>205334</v>
      </c>
      <c r="I549" s="14">
        <v>22</v>
      </c>
      <c r="J549" s="14" t="s">
        <v>182</v>
      </c>
      <c r="K549" s="14" t="s">
        <v>936</v>
      </c>
      <c r="L549" s="14" t="s">
        <v>13147</v>
      </c>
      <c r="M549" s="14" t="s">
        <v>9158</v>
      </c>
      <c r="N549" s="14" t="s">
        <v>9158</v>
      </c>
      <c r="O549" s="9" t="s">
        <v>2978</v>
      </c>
      <c r="P549" s="14" t="s">
        <v>2979</v>
      </c>
      <c r="Q549" s="14">
        <v>2</v>
      </c>
    </row>
    <row r="550" spans="1:17">
      <c r="A550" s="14" t="s">
        <v>6132</v>
      </c>
      <c r="B550" s="14" t="s">
        <v>330</v>
      </c>
      <c r="C550" s="14" t="s">
        <v>205</v>
      </c>
      <c r="D550" s="19" t="s">
        <v>702</v>
      </c>
      <c r="E550" s="15" t="str">
        <f>HYPERLINK("https://stat100.ameba.jp/tnk47/ratio20/illustrations/card/ill_50693_0_hanamizugimimuratsuru03.jpg?202108-i_prefecture_active_user", "■")</f>
        <v>■</v>
      </c>
      <c r="F550" s="14" t="s">
        <v>703</v>
      </c>
      <c r="G550" s="14">
        <v>122776</v>
      </c>
      <c r="H550" s="14">
        <v>138212</v>
      </c>
      <c r="I550" s="14">
        <v>22</v>
      </c>
      <c r="J550" s="14" t="s">
        <v>310</v>
      </c>
      <c r="K550" s="14" t="s">
        <v>704</v>
      </c>
      <c r="L550" s="14" t="s">
        <v>705</v>
      </c>
      <c r="M550" s="14" t="s">
        <v>9158</v>
      </c>
      <c r="N550" s="14" t="s">
        <v>9158</v>
      </c>
      <c r="O550" s="9" t="s">
        <v>9158</v>
      </c>
      <c r="P550" s="14" t="s">
        <v>9158</v>
      </c>
      <c r="Q550" s="14" t="s">
        <v>9158</v>
      </c>
    </row>
    <row r="551" spans="1:17">
      <c r="A551" s="14">
        <v>97363</v>
      </c>
      <c r="B551" s="9" t="s">
        <v>0</v>
      </c>
      <c r="C551" s="14" t="s">
        <v>107</v>
      </c>
      <c r="D551" s="14" t="s">
        <v>17231</v>
      </c>
      <c r="E551" s="15" t="str">
        <f>HYPERLINK("https://stat100.ameba.jp/tnk47/ratio20/illustrations/card/ill_97363_furinurinobiechiru03.jpg?202108-i_prefecture_active_user", "■")</f>
        <v>■</v>
      </c>
      <c r="F551" s="14" t="s">
        <v>17232</v>
      </c>
      <c r="G551" s="14">
        <v>82180</v>
      </c>
      <c r="H551" s="14">
        <v>146079</v>
      </c>
      <c r="I551" s="14">
        <v>29</v>
      </c>
      <c r="J551" s="14" t="s">
        <v>10</v>
      </c>
      <c r="K551" s="14" t="s">
        <v>17230</v>
      </c>
      <c r="L551" s="14" t="s">
        <v>17229</v>
      </c>
      <c r="M551" s="14" t="s">
        <v>9158</v>
      </c>
      <c r="N551" s="14" t="s">
        <v>9158</v>
      </c>
      <c r="O551" s="14" t="s">
        <v>9158</v>
      </c>
      <c r="P551" s="14" t="s">
        <v>9158</v>
      </c>
      <c r="Q551" s="14" t="s">
        <v>9158</v>
      </c>
    </row>
    <row r="552" spans="1:17">
      <c r="A552" s="14">
        <v>90033</v>
      </c>
      <c r="B552" s="14" t="s">
        <v>0</v>
      </c>
      <c r="C552" s="14" t="s">
        <v>14</v>
      </c>
      <c r="D552" s="14" t="s">
        <v>13998</v>
      </c>
      <c r="E552" s="15" t="str">
        <f>HYPERLINK("https://stat100.ameba.jp/tnk47/ratio20/illustrations/card/ill_90033_buiranzukodonemueru03.jpg?202108-i_prefecture_active_user", "■")</f>
        <v>■</v>
      </c>
      <c r="F552" s="14" t="s">
        <v>13997</v>
      </c>
      <c r="G552" s="14">
        <v>78696</v>
      </c>
      <c r="H552" s="14">
        <v>139860</v>
      </c>
      <c r="I552" s="14">
        <v>29</v>
      </c>
      <c r="J552" s="14" t="s">
        <v>16</v>
      </c>
      <c r="K552" s="14" t="s">
        <v>13996</v>
      </c>
      <c r="L552" s="14" t="s">
        <v>12599</v>
      </c>
      <c r="M552" s="14" t="s">
        <v>9158</v>
      </c>
      <c r="N552" s="14" t="s">
        <v>9158</v>
      </c>
      <c r="O552" s="14" t="s">
        <v>9158</v>
      </c>
      <c r="P552" s="14" t="s">
        <v>9158</v>
      </c>
      <c r="Q552" s="14" t="s">
        <v>9158</v>
      </c>
    </row>
    <row r="553" spans="1:17">
      <c r="A553" s="14">
        <v>84523</v>
      </c>
      <c r="B553" s="14" t="s">
        <v>0</v>
      </c>
      <c r="C553" s="14" t="s">
        <v>165</v>
      </c>
      <c r="D553" s="19" t="s">
        <v>10720</v>
      </c>
      <c r="E553" s="15" t="str">
        <f>HYPERLINK("https://stat100.ameba.jp/tnk47/ratio20/illustrations/card/ill_84523_haroinhoihoibi03.jpg?202108-i_prefecture_active_user", "■")</f>
        <v>■</v>
      </c>
      <c r="F553" s="14" t="s">
        <v>7580</v>
      </c>
      <c r="G553" s="14">
        <v>119785</v>
      </c>
      <c r="H553" s="14">
        <v>212908</v>
      </c>
      <c r="I553" s="14">
        <v>29</v>
      </c>
      <c r="J553" s="14" t="s">
        <v>320</v>
      </c>
      <c r="K553" s="14" t="s">
        <v>7579</v>
      </c>
      <c r="L553" s="14" t="s">
        <v>7578</v>
      </c>
      <c r="M553" s="14" t="s">
        <v>9158</v>
      </c>
      <c r="N553" s="14" t="s">
        <v>9158</v>
      </c>
      <c r="O553" s="14" t="s">
        <v>9158</v>
      </c>
      <c r="P553" s="14" t="s">
        <v>9158</v>
      </c>
      <c r="Q553" s="14" t="s">
        <v>9158</v>
      </c>
    </row>
    <row r="555" spans="1:17">
      <c r="A555" s="14" t="s">
        <v>9283</v>
      </c>
    </row>
    <row r="556" spans="1:17">
      <c r="A556" s="14">
        <v>110398</v>
      </c>
      <c r="B556" s="14" t="s">
        <v>5894</v>
      </c>
    </row>
    <row r="557" spans="1:17">
      <c r="A557" s="14" t="s">
        <v>5963</v>
      </c>
      <c r="B557" s="14" t="s">
        <v>330</v>
      </c>
      <c r="C557" s="14" t="s">
        <v>35</v>
      </c>
      <c r="D557" s="19" t="s">
        <v>10438</v>
      </c>
      <c r="E557" s="15" t="str">
        <f>HYPERLINK("https://stat100.ameba.jp/tnk47/ratio20/illustrations/card/ill_82963_0_yukatamatsuritomokazuki03.jpg?202108-5-RELEASE-marathon-546", "■")</f>
        <v>■</v>
      </c>
      <c r="F557" s="14" t="s">
        <v>5964</v>
      </c>
      <c r="G557" s="14">
        <v>321625</v>
      </c>
      <c r="H557" s="14">
        <v>355871</v>
      </c>
      <c r="I557" s="14">
        <v>27</v>
      </c>
      <c r="J557" s="14" t="s">
        <v>73</v>
      </c>
      <c r="K557" s="14" t="s">
        <v>5966</v>
      </c>
      <c r="L557" s="14" t="s">
        <v>5967</v>
      </c>
      <c r="M557" s="14" t="s">
        <v>9158</v>
      </c>
      <c r="N557" s="14" t="s">
        <v>9158</v>
      </c>
      <c r="O557" s="19" t="s">
        <v>10115</v>
      </c>
      <c r="P557" s="14" t="s">
        <v>5968</v>
      </c>
      <c r="Q557" s="14">
        <v>1</v>
      </c>
    </row>
    <row r="558" spans="1:17">
      <c r="A558" s="14" t="s">
        <v>5610</v>
      </c>
      <c r="B558" s="14" t="s">
        <v>330</v>
      </c>
      <c r="C558" s="14" t="s">
        <v>185</v>
      </c>
      <c r="D558" s="20" t="s">
        <v>539</v>
      </c>
      <c r="E558" s="15" t="str">
        <f>HYPERLINK("https://stat100.ameba.jp/tnk47/ratio20/illustrations/card/ill_60633_0_harumaisentoin03.jpg?202108-5-RELEASE-marathon-546", "■")</f>
        <v>■</v>
      </c>
      <c r="F558" s="14" t="s">
        <v>540</v>
      </c>
      <c r="G558" s="14">
        <v>171669</v>
      </c>
      <c r="H558" s="14">
        <v>184662</v>
      </c>
      <c r="I558" s="14">
        <v>27</v>
      </c>
      <c r="J558" s="14" t="s">
        <v>274</v>
      </c>
      <c r="K558" s="14" t="s">
        <v>541</v>
      </c>
      <c r="L558" s="14" t="s">
        <v>542</v>
      </c>
      <c r="M558" s="14" t="s">
        <v>9158</v>
      </c>
      <c r="N558" s="14" t="s">
        <v>9158</v>
      </c>
      <c r="O558" s="19" t="s">
        <v>2888</v>
      </c>
      <c r="P558" s="14" t="s">
        <v>3144</v>
      </c>
      <c r="Q558" s="14">
        <v>1</v>
      </c>
    </row>
    <row r="559" spans="1:17">
      <c r="A559" s="14" t="s">
        <v>5608</v>
      </c>
      <c r="B559" s="14" t="s">
        <v>52</v>
      </c>
      <c r="C559" s="14" t="s">
        <v>96</v>
      </c>
      <c r="D559" s="19" t="s">
        <v>634</v>
      </c>
      <c r="E559" s="15" t="str">
        <f>HYPERLINK("https://stat100.ameba.jp/tnk47/ratio20/illustrations/card/ill_40963_0_makami03.jpg?202108-5-RELEASE-marathon-546", "■")</f>
        <v>■</v>
      </c>
      <c r="F559" s="14" t="s">
        <v>2038</v>
      </c>
      <c r="G559" s="14">
        <v>158004</v>
      </c>
      <c r="H559" s="14">
        <v>147980</v>
      </c>
      <c r="I559" s="14">
        <v>27</v>
      </c>
      <c r="J559" s="14" t="s">
        <v>44</v>
      </c>
      <c r="K559" s="14" t="s">
        <v>2039</v>
      </c>
      <c r="L559" s="14" t="s">
        <v>2040</v>
      </c>
      <c r="M559" s="14" t="s">
        <v>9158</v>
      </c>
      <c r="N559" s="14" t="s">
        <v>9158</v>
      </c>
      <c r="O559" s="14" t="s">
        <v>9158</v>
      </c>
      <c r="P559" s="14" t="s">
        <v>9158</v>
      </c>
      <c r="Q559" s="14" t="s">
        <v>9158</v>
      </c>
    </row>
    <row r="560" spans="1:17">
      <c r="A560" s="14">
        <v>99453</v>
      </c>
      <c r="B560" s="14" t="s">
        <v>0</v>
      </c>
      <c r="C560" s="14" t="s">
        <v>14</v>
      </c>
      <c r="D560" s="14" t="s">
        <v>17328</v>
      </c>
      <c r="E560" s="15" t="str">
        <f>HYPERLINK("https://stat100.ameba.jp/tnk47/ratio20/illustrations/card/ill_99453_jimutoreaioisamanosoden03.jpg?202108-5-RELEASE-marathon-546", "■")</f>
        <v>■</v>
      </c>
      <c r="F560" s="14" t="s">
        <v>17327</v>
      </c>
      <c r="G560" s="14">
        <v>118568</v>
      </c>
      <c r="H560" s="14">
        <v>127507</v>
      </c>
      <c r="I560" s="14">
        <v>27</v>
      </c>
      <c r="J560" s="14" t="s">
        <v>38</v>
      </c>
      <c r="K560" s="14" t="s">
        <v>17326</v>
      </c>
      <c r="L560" s="14" t="s">
        <v>16889</v>
      </c>
      <c r="M560" s="14" t="s">
        <v>9158</v>
      </c>
      <c r="N560" s="14" t="s">
        <v>9158</v>
      </c>
      <c r="O560" s="14" t="s">
        <v>9158</v>
      </c>
      <c r="P560" s="14" t="s">
        <v>9158</v>
      </c>
      <c r="Q560" s="14" t="s">
        <v>9158</v>
      </c>
    </row>
    <row r="561" spans="1:17">
      <c r="A561" s="14">
        <v>99473</v>
      </c>
      <c r="B561" s="14" t="s">
        <v>15</v>
      </c>
      <c r="C561" s="14" t="s">
        <v>101</v>
      </c>
      <c r="D561" s="14" t="s">
        <v>17335</v>
      </c>
      <c r="E561" s="15" t="str">
        <f>HYPERLINK("https://stat100.ameba.jp/tnk47/ratio20/illustrations/card/ill_99473_jimukomatsuhime03.jpg?202108-5-RELEASE-marathon-546", "■")</f>
        <v>■</v>
      </c>
      <c r="F561" s="14" t="s">
        <v>17334</v>
      </c>
      <c r="G561" s="14">
        <v>72586</v>
      </c>
      <c r="H561" s="14">
        <v>80028</v>
      </c>
      <c r="I561" s="14">
        <v>27</v>
      </c>
      <c r="J561" s="14" t="s">
        <v>77</v>
      </c>
      <c r="K561" s="14" t="s">
        <v>17333</v>
      </c>
      <c r="L561" s="14" t="s">
        <v>973</v>
      </c>
      <c r="M561" s="14" t="s">
        <v>9158</v>
      </c>
      <c r="N561" s="14" t="s">
        <v>9158</v>
      </c>
      <c r="O561" s="14" t="s">
        <v>9158</v>
      </c>
      <c r="P561" s="14" t="s">
        <v>9158</v>
      </c>
      <c r="Q561" s="14" t="s">
        <v>9158</v>
      </c>
    </row>
    <row r="562" spans="1:17">
      <c r="A562" s="14">
        <v>99483</v>
      </c>
      <c r="B562" s="14" t="s">
        <v>22</v>
      </c>
      <c r="C562" s="14" t="s">
        <v>96</v>
      </c>
      <c r="D562" s="14" t="s">
        <v>17338</v>
      </c>
      <c r="E562" s="15" t="str">
        <f>HYPERLINK("https://stat100.ameba.jp/tnk47/ratio20/illustrations/card/ill_99483_onnabujutsukakiyohime03.jpg?202108-5-RELEASE-marathon-546", "■")</f>
        <v>■</v>
      </c>
      <c r="F562" s="14" t="s">
        <v>17337</v>
      </c>
      <c r="G562" s="14">
        <v>56138</v>
      </c>
      <c r="H562" s="14">
        <v>46676</v>
      </c>
      <c r="I562" s="14">
        <v>27</v>
      </c>
      <c r="J562" s="14" t="s">
        <v>73</v>
      </c>
      <c r="K562" s="14" t="s">
        <v>17336</v>
      </c>
      <c r="L562" s="14" t="s">
        <v>4556</v>
      </c>
      <c r="M562" s="14" t="s">
        <v>9158</v>
      </c>
      <c r="N562" s="14" t="s">
        <v>9158</v>
      </c>
      <c r="O562" s="14" t="s">
        <v>9158</v>
      </c>
      <c r="P562" s="14" t="s">
        <v>9158</v>
      </c>
      <c r="Q562" s="14" t="s">
        <v>9158</v>
      </c>
    </row>
    <row r="563" spans="1:17">
      <c r="A563" s="14">
        <v>99493</v>
      </c>
      <c r="B563" s="14" t="s">
        <v>22</v>
      </c>
      <c r="C563" s="14" t="s">
        <v>1</v>
      </c>
      <c r="D563" s="14" t="s">
        <v>17341</v>
      </c>
      <c r="E563" s="15" t="str">
        <f>HYPERLINK("https://stat100.ameba.jp/tnk47/ratio20/illustrations/card/ill_99493_shimantogawanoyakatabune03.jpg?202108-5-RELEASE-marathon-546", "■")</f>
        <v>■</v>
      </c>
      <c r="F563" s="14" t="s">
        <v>17340</v>
      </c>
      <c r="G563" s="14">
        <v>46676</v>
      </c>
      <c r="H563" s="14">
        <v>56138</v>
      </c>
      <c r="I563" s="14">
        <v>27</v>
      </c>
      <c r="J563" s="14" t="s">
        <v>26</v>
      </c>
      <c r="K563" s="14" t="s">
        <v>17339</v>
      </c>
      <c r="L563" s="14" t="s">
        <v>28</v>
      </c>
      <c r="M563" s="14" t="s">
        <v>9158</v>
      </c>
      <c r="N563" s="14" t="s">
        <v>9158</v>
      </c>
      <c r="O563" s="14" t="s">
        <v>9158</v>
      </c>
      <c r="P563" s="14" t="s">
        <v>9158</v>
      </c>
      <c r="Q563" s="14" t="s">
        <v>9158</v>
      </c>
    </row>
    <row r="565" spans="1:17">
      <c r="A565" s="14" t="s">
        <v>3916</v>
      </c>
    </row>
    <row r="566" spans="1:17">
      <c r="A566" s="14">
        <v>110421</v>
      </c>
      <c r="B566" s="14" t="s">
        <v>17449</v>
      </c>
    </row>
    <row r="567" spans="1:17">
      <c r="A567" s="14">
        <v>76103</v>
      </c>
      <c r="B567" s="14" t="s">
        <v>334</v>
      </c>
      <c r="C567" s="14" t="s">
        <v>154</v>
      </c>
      <c r="D567" s="19" t="s">
        <v>570</v>
      </c>
      <c r="E567" s="15" t="str">
        <f>HYPERLINK("https://stat100.ameba.jp/tnk47/ratio20/illustrations/card/ill_76103_shibuaji03.jpg?202108-5-RELEASE-marathon-546", "■")</f>
        <v>■</v>
      </c>
      <c r="F567" s="14" t="s">
        <v>1122</v>
      </c>
      <c r="G567" s="14">
        <v>125078</v>
      </c>
      <c r="H567" s="14">
        <v>116296</v>
      </c>
      <c r="I567" s="14">
        <v>29</v>
      </c>
      <c r="J567" s="14" t="s">
        <v>143</v>
      </c>
      <c r="K567" s="14" t="s">
        <v>1123</v>
      </c>
      <c r="L567" s="14" t="s">
        <v>1124</v>
      </c>
      <c r="M567" s="14" t="s">
        <v>9864</v>
      </c>
      <c r="N567" s="14" t="s">
        <v>9158</v>
      </c>
      <c r="O567" s="14" t="s">
        <v>9158</v>
      </c>
      <c r="P567" s="14" t="s">
        <v>9158</v>
      </c>
      <c r="Q567" s="14" t="s">
        <v>9158</v>
      </c>
    </row>
    <row r="568" spans="1:17">
      <c r="A568" s="14">
        <v>76113</v>
      </c>
      <c r="B568" s="14" t="s">
        <v>334</v>
      </c>
      <c r="C568" s="14" t="s">
        <v>158</v>
      </c>
      <c r="D568" s="19" t="s">
        <v>10268</v>
      </c>
      <c r="E568" s="15" t="str">
        <f>HYPERLINK("https://stat100.ameba.jp/tnk47/ratio20/illustrations/card/ill_76113_jannudaruku03.jpg?202108-5-RELEASE-marathon-546", "■")</f>
        <v>■</v>
      </c>
      <c r="F568" s="14" t="s">
        <v>1126</v>
      </c>
      <c r="G568" s="14">
        <v>125078</v>
      </c>
      <c r="H568" s="14">
        <v>116296</v>
      </c>
      <c r="I568" s="14">
        <v>29</v>
      </c>
      <c r="J568" s="14" t="s">
        <v>10</v>
      </c>
      <c r="K568" s="14" t="s">
        <v>1127</v>
      </c>
      <c r="L568" s="14" t="s">
        <v>1128</v>
      </c>
      <c r="M568" s="14" t="s">
        <v>9158</v>
      </c>
      <c r="N568" s="14" t="s">
        <v>9158</v>
      </c>
      <c r="O568" s="14" t="s">
        <v>9158</v>
      </c>
      <c r="P568" s="14" t="s">
        <v>9158</v>
      </c>
      <c r="Q568" s="14" t="s">
        <v>9158</v>
      </c>
    </row>
    <row r="569" spans="1:17">
      <c r="A569" s="14">
        <v>63323</v>
      </c>
      <c r="B569" s="14" t="s">
        <v>0</v>
      </c>
      <c r="C569" s="14" t="s">
        <v>200</v>
      </c>
      <c r="D569" s="19" t="s">
        <v>10269</v>
      </c>
      <c r="E569" s="15" t="str">
        <f>HYPERLINK("https://stat100.ameba.jp/tnk47/ratio20/illustrations/card/ill_63323_ajisaikushinadahime03.jpg?202108-5-RELEASE-marathon-546", "■")</f>
        <v>■</v>
      </c>
      <c r="F569" s="14" t="s">
        <v>3583</v>
      </c>
      <c r="G569" s="14">
        <v>109970</v>
      </c>
      <c r="H569" s="14">
        <v>118287</v>
      </c>
      <c r="I569" s="14">
        <v>29</v>
      </c>
      <c r="J569" s="14" t="s">
        <v>44</v>
      </c>
      <c r="K569" s="14" t="s">
        <v>3584</v>
      </c>
      <c r="L569" s="14" t="s">
        <v>2400</v>
      </c>
      <c r="M569" s="14" t="s">
        <v>9158</v>
      </c>
      <c r="N569" s="14" t="s">
        <v>9158</v>
      </c>
      <c r="O569" s="14" t="s">
        <v>9158</v>
      </c>
      <c r="P569" s="14" t="s">
        <v>9158</v>
      </c>
      <c r="Q569" s="14" t="s">
        <v>9158</v>
      </c>
    </row>
    <row r="570" spans="1:17">
      <c r="A570" s="14">
        <v>59863</v>
      </c>
      <c r="B570" s="14" t="s">
        <v>334</v>
      </c>
      <c r="C570" s="14" t="s">
        <v>165</v>
      </c>
      <c r="D570" s="19" t="s">
        <v>318</v>
      </c>
      <c r="E570" s="15" t="str">
        <f>HYPERLINK("https://stat100.ameba.jp/tnk47/ratio20/illustrations/card/ill_59863_yoseiichimokuren03.jpg?202108-5-RELEASE-marathon-546", "■")</f>
        <v>■</v>
      </c>
      <c r="F570" s="14" t="s">
        <v>319</v>
      </c>
      <c r="G570" s="14">
        <v>120830</v>
      </c>
      <c r="H570" s="14">
        <v>112369</v>
      </c>
      <c r="I570" s="14">
        <v>29</v>
      </c>
      <c r="J570" s="14" t="s">
        <v>320</v>
      </c>
      <c r="K570" s="14" t="s">
        <v>321</v>
      </c>
      <c r="L570" s="14" t="s">
        <v>322</v>
      </c>
      <c r="M570" s="14" t="s">
        <v>9158</v>
      </c>
      <c r="N570" s="14" t="s">
        <v>9158</v>
      </c>
      <c r="O570" s="14" t="s">
        <v>9158</v>
      </c>
      <c r="P570" s="14" t="s">
        <v>9158</v>
      </c>
      <c r="Q570" s="14" t="s">
        <v>9158</v>
      </c>
    </row>
    <row r="571" spans="1:17">
      <c r="A571" s="14">
        <v>51823</v>
      </c>
      <c r="B571" s="14" t="s">
        <v>15</v>
      </c>
      <c r="C571" s="14" t="s">
        <v>101</v>
      </c>
      <c r="D571" s="19" t="s">
        <v>10587</v>
      </c>
      <c r="E571" s="15" t="str">
        <f>HYPERLINK("https://stat100.ameba.jp/tnk47/ratio20/illustrations/card/ill_51823_jukimatsu03.jpg?202108-5-RELEASE-marathon-546", "■")</f>
        <v>■</v>
      </c>
      <c r="F571" s="14" t="s">
        <v>6742</v>
      </c>
      <c r="G571" s="14">
        <v>64520</v>
      </c>
      <c r="H571" s="14">
        <v>71136</v>
      </c>
      <c r="I571" s="14">
        <v>24</v>
      </c>
      <c r="J571" s="14" t="s">
        <v>77</v>
      </c>
      <c r="K571" s="14" t="s">
        <v>6743</v>
      </c>
      <c r="L571" s="14" t="s">
        <v>6744</v>
      </c>
      <c r="M571" s="14" t="s">
        <v>9158</v>
      </c>
      <c r="N571" s="14" t="s">
        <v>9158</v>
      </c>
      <c r="O571" s="14" t="s">
        <v>9158</v>
      </c>
      <c r="P571" s="14" t="s">
        <v>9158</v>
      </c>
      <c r="Q571" s="14" t="s">
        <v>9158</v>
      </c>
    </row>
    <row r="572" spans="1:17">
      <c r="A572" s="14">
        <v>51773</v>
      </c>
      <c r="B572" s="14" t="s">
        <v>15</v>
      </c>
      <c r="C572" s="14" t="s">
        <v>205</v>
      </c>
      <c r="D572" s="19" t="s">
        <v>10588</v>
      </c>
      <c r="E572" s="15" t="str">
        <f>HYPERLINK("https://stat100.ameba.jp/tnk47/ratio20/illustrations/card/ill_51773_kawaasobikanekomisuzu03.jpg?202108-5-RELEASE-marathon-546", "■")</f>
        <v>■</v>
      </c>
      <c r="F572" s="14" t="s">
        <v>6747</v>
      </c>
      <c r="G572" s="14">
        <v>71136</v>
      </c>
      <c r="H572" s="14">
        <v>64520</v>
      </c>
      <c r="I572" s="14">
        <v>24</v>
      </c>
      <c r="J572" s="14" t="s">
        <v>10</v>
      </c>
      <c r="K572" s="14" t="s">
        <v>6746</v>
      </c>
      <c r="L572" s="14" t="s">
        <v>6745</v>
      </c>
      <c r="M572" s="14" t="s">
        <v>9158</v>
      </c>
      <c r="N572" s="14" t="s">
        <v>9158</v>
      </c>
      <c r="O572" s="14" t="s">
        <v>9158</v>
      </c>
      <c r="P572" s="14" t="s">
        <v>9158</v>
      </c>
      <c r="Q572" s="14" t="s">
        <v>9158</v>
      </c>
    </row>
    <row r="573" spans="1:17">
      <c r="A573" s="14">
        <v>51733</v>
      </c>
      <c r="B573" s="14" t="s">
        <v>15</v>
      </c>
      <c r="C573" s="14" t="s">
        <v>185</v>
      </c>
      <c r="D573" s="19" t="s">
        <v>10589</v>
      </c>
      <c r="E573" s="15" t="str">
        <f>HYPERLINK("https://stat100.ameba.jp/tnk47/ratio20/illustrations/card/ill_51733_ekusoshisutopoiyampe03.jpg?202108-5-RELEASE-marathon-546", "■")</f>
        <v>■</v>
      </c>
      <c r="F573" s="14" t="s">
        <v>6750</v>
      </c>
      <c r="G573" s="14">
        <v>64520</v>
      </c>
      <c r="H573" s="14">
        <v>71136</v>
      </c>
      <c r="I573" s="14">
        <v>24</v>
      </c>
      <c r="J573" s="14" t="s">
        <v>274</v>
      </c>
      <c r="K573" s="14" t="s">
        <v>6749</v>
      </c>
      <c r="L573" s="14" t="s">
        <v>6748</v>
      </c>
      <c r="M573" s="14" t="s">
        <v>9158</v>
      </c>
      <c r="N573" s="14" t="s">
        <v>9158</v>
      </c>
      <c r="O573" s="14" t="s">
        <v>9158</v>
      </c>
      <c r="P573" s="14" t="s">
        <v>9158</v>
      </c>
      <c r="Q573" s="14" t="s">
        <v>9158</v>
      </c>
    </row>
    <row r="574" spans="1:17">
      <c r="A574" s="14">
        <v>55743</v>
      </c>
      <c r="B574" s="14" t="s">
        <v>15</v>
      </c>
      <c r="C574" s="14" t="s">
        <v>96</v>
      </c>
      <c r="D574" s="19" t="s">
        <v>10590</v>
      </c>
      <c r="E574" s="15" t="str">
        <f>HYPERLINK("https://stat100.ameba.jp/tnk47/ratio20/illustrations/card/ill_55743_nankoume03.jpg?202108-5-RELEASE-marathon-546", "■")</f>
        <v>■</v>
      </c>
      <c r="F574" s="14" t="s">
        <v>4308</v>
      </c>
      <c r="G574" s="14">
        <v>64520</v>
      </c>
      <c r="H574" s="14">
        <v>71136</v>
      </c>
      <c r="I574" s="14">
        <v>24</v>
      </c>
      <c r="J574" s="14" t="s">
        <v>216</v>
      </c>
      <c r="K574" s="14" t="s">
        <v>4310</v>
      </c>
      <c r="L574" s="14" t="s">
        <v>4311</v>
      </c>
      <c r="M574" s="14" t="s">
        <v>9158</v>
      </c>
      <c r="N574" s="14" t="s">
        <v>9158</v>
      </c>
      <c r="O574" s="14" t="s">
        <v>9158</v>
      </c>
      <c r="P574" s="14" t="s">
        <v>9158</v>
      </c>
      <c r="Q574" s="14" t="s">
        <v>9158</v>
      </c>
    </row>
    <row r="576" spans="1:17">
      <c r="A576" s="14" t="s">
        <v>4065</v>
      </c>
    </row>
    <row r="577" spans="1:19">
      <c r="A577" s="14">
        <v>110440</v>
      </c>
      <c r="B577" s="14" t="s">
        <v>5904</v>
      </c>
    </row>
    <row r="578" spans="1:19">
      <c r="A578" s="14" t="s">
        <v>15589</v>
      </c>
      <c r="B578" s="14" t="s">
        <v>117</v>
      </c>
      <c r="C578" s="14" t="s">
        <v>35</v>
      </c>
      <c r="D578" s="14" t="s">
        <v>15579</v>
      </c>
      <c r="E578" s="15" t="str">
        <f>HYPERLINK("https://stat100.ameba.jp/tnk47/ratio20/illustrations/card/ill_93523_0_kyodokusanreijo03.jpg?202108-5-RELEASE-marathon-546", "■")</f>
        <v>■</v>
      </c>
      <c r="F578" s="14" t="s">
        <v>15588</v>
      </c>
      <c r="G578" s="14">
        <v>339204</v>
      </c>
      <c r="H578" s="14">
        <v>315388</v>
      </c>
      <c r="I578" s="14">
        <v>28</v>
      </c>
      <c r="J578" s="14" t="s">
        <v>26</v>
      </c>
      <c r="K578" s="14" t="s">
        <v>15586</v>
      </c>
      <c r="L578" s="14" t="s">
        <v>15585</v>
      </c>
      <c r="M578" s="14" t="s">
        <v>9158</v>
      </c>
      <c r="N578" s="14" t="s">
        <v>9158</v>
      </c>
      <c r="O578" s="14" t="s">
        <v>15590</v>
      </c>
      <c r="P578" s="14" t="s">
        <v>15591</v>
      </c>
      <c r="Q578" s="14">
        <v>1</v>
      </c>
    </row>
    <row r="579" spans="1:19">
      <c r="A579" s="14">
        <v>63853</v>
      </c>
      <c r="B579" s="14" t="s">
        <v>334</v>
      </c>
      <c r="C579" s="14" t="s">
        <v>200</v>
      </c>
      <c r="D579" s="20" t="s">
        <v>10284</v>
      </c>
      <c r="E579" s="15" t="str">
        <f>HYPERLINK("https://stat100.ameba.jp/tnk47/ratio20/illustrations/card/ill_63853_daikokaijidainansosatomihakkenden03.jpg?202108-5-RELEASE-marathon-546", "■")</f>
        <v>■</v>
      </c>
      <c r="F579" s="14" t="s">
        <v>941</v>
      </c>
      <c r="G579" s="14">
        <v>114362</v>
      </c>
      <c r="H579" s="14">
        <v>123220</v>
      </c>
      <c r="I579" s="14">
        <v>27</v>
      </c>
      <c r="J579" s="14" t="s">
        <v>155</v>
      </c>
      <c r="K579" s="14" t="s">
        <v>942</v>
      </c>
      <c r="L579" s="14" t="s">
        <v>13149</v>
      </c>
      <c r="M579" s="14" t="s">
        <v>9158</v>
      </c>
      <c r="N579" s="14" t="s">
        <v>9158</v>
      </c>
      <c r="O579" s="19" t="s">
        <v>10121</v>
      </c>
      <c r="P579" s="14" t="s">
        <v>3330</v>
      </c>
      <c r="Q579" s="14">
        <v>1</v>
      </c>
    </row>
    <row r="580" spans="1:19">
      <c r="A580" s="14">
        <v>74553</v>
      </c>
      <c r="B580" s="14" t="s">
        <v>0</v>
      </c>
      <c r="C580" s="14" t="s">
        <v>107</v>
      </c>
      <c r="D580" s="19" t="s">
        <v>10389</v>
      </c>
      <c r="E580" s="15" t="str">
        <f>HYPERLINK("https://stat100.ameba.jp/tnk47/ratio20/illustrations/card/ill_74553_natsuyuenchikusumotoine03.jpg?202108-5-RELEASE-marathon-546", "■")</f>
        <v>■</v>
      </c>
      <c r="F580" s="14" t="s">
        <v>4109</v>
      </c>
      <c r="G580" s="14">
        <v>109481</v>
      </c>
      <c r="H580" s="14">
        <v>101837</v>
      </c>
      <c r="I580" s="14">
        <v>27</v>
      </c>
      <c r="J580" s="14" t="s">
        <v>16</v>
      </c>
      <c r="K580" s="14" t="s">
        <v>4110</v>
      </c>
      <c r="L580" s="14" t="s">
        <v>1149</v>
      </c>
      <c r="M580" s="14" t="s">
        <v>9158</v>
      </c>
      <c r="N580" s="14" t="s">
        <v>9158</v>
      </c>
      <c r="O580" s="19" t="s">
        <v>10090</v>
      </c>
      <c r="P580" s="14" t="s">
        <v>3460</v>
      </c>
      <c r="Q580" s="14">
        <v>1</v>
      </c>
    </row>
    <row r="581" spans="1:19">
      <c r="A581" s="14">
        <v>69533</v>
      </c>
      <c r="B581" s="14" t="s">
        <v>0</v>
      </c>
      <c r="C581" s="14" t="s">
        <v>101</v>
      </c>
      <c r="D581" s="20" t="s">
        <v>10418</v>
      </c>
      <c r="E581" s="15" t="str">
        <f>HYPERLINK("https://stat100.ameba.jp/tnk47/ratio20/illustrations/card/ill_69533_setsubunodainokata03.jpg?202108-5-RELEASE-marathon-546", "■")</f>
        <v>■</v>
      </c>
      <c r="F581" s="14" t="s">
        <v>138</v>
      </c>
      <c r="G581" s="14">
        <v>105465</v>
      </c>
      <c r="H581" s="14">
        <v>98019</v>
      </c>
      <c r="I581" s="14">
        <v>27</v>
      </c>
      <c r="J581" s="14" t="s">
        <v>10</v>
      </c>
      <c r="K581" s="14" t="s">
        <v>139</v>
      </c>
      <c r="L581" s="14" t="s">
        <v>140</v>
      </c>
      <c r="M581" s="14" t="s">
        <v>9158</v>
      </c>
      <c r="N581" s="14" t="s">
        <v>9158</v>
      </c>
      <c r="O581" s="19" t="s">
        <v>10082</v>
      </c>
      <c r="P581" s="14" t="s">
        <v>13124</v>
      </c>
      <c r="Q581" s="14">
        <v>1</v>
      </c>
    </row>
    <row r="583" spans="1:19">
      <c r="A583" s="14" t="s">
        <v>4012</v>
      </c>
    </row>
    <row r="584" spans="1:19">
      <c r="A584" s="14">
        <v>239805</v>
      </c>
      <c r="B584" s="14" t="s">
        <v>17479</v>
      </c>
    </row>
    <row r="585" spans="1:19">
      <c r="A585" s="9" t="s">
        <v>5843</v>
      </c>
      <c r="B585" s="14" t="s">
        <v>52</v>
      </c>
      <c r="C585" s="14" t="s">
        <v>202</v>
      </c>
      <c r="D585" s="14" t="s">
        <v>2126</v>
      </c>
      <c r="E585" s="15" t="str">
        <f>HYPERLINK("https://stat100.ameba.jp/tnk47/ratio20/illustrations/card/ill_77963_0_kurisumasudaisakusentakiyashahime03.jpg?202108-5-RELEASE-marathon-546", "■")</f>
        <v>■</v>
      </c>
      <c r="F585" s="14" t="s">
        <v>2127</v>
      </c>
      <c r="G585" s="14">
        <v>331590</v>
      </c>
      <c r="H585" s="14">
        <v>299687</v>
      </c>
      <c r="I585" s="14">
        <v>27</v>
      </c>
      <c r="J585" s="14" t="s">
        <v>77</v>
      </c>
      <c r="K585" s="14" t="s">
        <v>2128</v>
      </c>
      <c r="L585" s="14" t="s">
        <v>2129</v>
      </c>
      <c r="M585" s="14" t="s">
        <v>9158</v>
      </c>
      <c r="N585" s="14" t="s">
        <v>9158</v>
      </c>
      <c r="O585" s="9" t="s">
        <v>3588</v>
      </c>
      <c r="P585" s="14" t="s">
        <v>3589</v>
      </c>
      <c r="Q585" s="14">
        <v>2</v>
      </c>
    </row>
    <row r="586" spans="1:19">
      <c r="A586" s="14" t="s">
        <v>7150</v>
      </c>
      <c r="B586" s="14" t="s">
        <v>52</v>
      </c>
      <c r="C586" s="14" t="s">
        <v>202</v>
      </c>
      <c r="D586" s="20" t="s">
        <v>10656</v>
      </c>
      <c r="E586" s="15" t="str">
        <f>HYPERLINK("https://stat100.ameba.jp/tnk47/ratio20/illustrations/card/ill_84203_0_tarottofujiwaranoshoshi03.jpg?202108-5-RELEASE-marathon-546", "■")</f>
        <v>■</v>
      </c>
      <c r="F586" s="14" t="s">
        <v>7153</v>
      </c>
      <c r="G586" s="14">
        <v>397406</v>
      </c>
      <c r="H586" s="14">
        <v>359198</v>
      </c>
      <c r="I586" s="14">
        <v>27</v>
      </c>
      <c r="J586" s="14" t="s">
        <v>10</v>
      </c>
      <c r="K586" s="14" t="s">
        <v>7152</v>
      </c>
      <c r="L586" s="14" t="s">
        <v>7151</v>
      </c>
      <c r="M586" s="14" t="s">
        <v>9158</v>
      </c>
      <c r="N586" s="14" t="s">
        <v>9158</v>
      </c>
      <c r="O586" s="19" t="s">
        <v>10128</v>
      </c>
      <c r="P586" s="14" t="s">
        <v>7154</v>
      </c>
      <c r="Q586" s="14">
        <v>1</v>
      </c>
    </row>
    <row r="587" spans="1:19">
      <c r="A587" s="14" t="s">
        <v>5616</v>
      </c>
      <c r="B587" s="14" t="s">
        <v>52</v>
      </c>
      <c r="C587" s="14" t="s">
        <v>14</v>
      </c>
      <c r="D587" s="19" t="s">
        <v>638</v>
      </c>
      <c r="E587" s="15" t="str">
        <f>HYPERLINK("https://stat100.ameba.jp/tnk47/ratio20/illustrations/card/ill_44253_0_dokuganryudatemasamune03.jpg?202108-5-RELEASE-marathon-546", "■")</f>
        <v>■</v>
      </c>
      <c r="F587" s="14" t="s">
        <v>1181</v>
      </c>
      <c r="G587" s="14">
        <v>147980</v>
      </c>
      <c r="H587" s="14">
        <v>158004</v>
      </c>
      <c r="I587" s="14">
        <v>27</v>
      </c>
      <c r="J587" s="14" t="s">
        <v>143</v>
      </c>
      <c r="K587" s="14" t="s">
        <v>1182</v>
      </c>
      <c r="L587" s="14" t="s">
        <v>1183</v>
      </c>
      <c r="M587" s="14" t="s">
        <v>9158</v>
      </c>
      <c r="N587" s="14" t="s">
        <v>9158</v>
      </c>
      <c r="O587" s="14" t="s">
        <v>9158</v>
      </c>
      <c r="P587" s="14" t="s">
        <v>9158</v>
      </c>
      <c r="Q587" s="14" t="s">
        <v>9158</v>
      </c>
    </row>
    <row r="588" spans="1:19">
      <c r="A588" s="14">
        <v>84773</v>
      </c>
      <c r="B588" s="14" t="s">
        <v>334</v>
      </c>
      <c r="C588" s="14" t="s">
        <v>35</v>
      </c>
      <c r="D588" s="14" t="s">
        <v>15264</v>
      </c>
      <c r="E588" s="15" t="str">
        <f>HYPERLINK("https://stat100.ameba.jp/tnk47/ratio20/illustrations/card/ill_84773_yukimomijiizumonokuni03.jpg?202108-5-RELEASE-marathon-546", "■")</f>
        <v>■</v>
      </c>
      <c r="F588" s="14" t="s">
        <v>15263</v>
      </c>
      <c r="G588" s="14">
        <v>118540</v>
      </c>
      <c r="H588" s="14">
        <v>110186</v>
      </c>
      <c r="I588" s="7">
        <v>29</v>
      </c>
      <c r="J588" s="14" t="s">
        <v>10</v>
      </c>
      <c r="K588" s="14" t="s">
        <v>15261</v>
      </c>
      <c r="L588" s="14" t="s">
        <v>1202</v>
      </c>
      <c r="M588" s="14" t="s">
        <v>9158</v>
      </c>
      <c r="N588" s="14" t="s">
        <v>9158</v>
      </c>
      <c r="O588" s="14" t="s">
        <v>9158</v>
      </c>
      <c r="P588" s="14" t="s">
        <v>9158</v>
      </c>
      <c r="Q588" s="14" t="s">
        <v>9158</v>
      </c>
      <c r="S588" s="14" t="s">
        <v>15294</v>
      </c>
    </row>
    <row r="589" spans="1:19">
      <c r="A589" s="14">
        <v>84053</v>
      </c>
      <c r="B589" s="14" t="s">
        <v>334</v>
      </c>
      <c r="C589" s="14" t="s">
        <v>35</v>
      </c>
      <c r="D589" s="14" t="s">
        <v>14281</v>
      </c>
      <c r="E589" s="15" t="str">
        <f>HYPERLINK("https://stat100.ameba.jp/tnk47/ratio20/illustrations/card/ill_84053_yokaitaisenjamegami03.jpg?202108-5-RELEASE-marathon-546", "■")</f>
        <v>■</v>
      </c>
      <c r="F589" s="14" t="s">
        <v>14280</v>
      </c>
      <c r="G589" s="14">
        <v>115083</v>
      </c>
      <c r="H589" s="14">
        <v>123795</v>
      </c>
      <c r="I589" s="7">
        <v>29</v>
      </c>
      <c r="J589" s="14" t="s">
        <v>44</v>
      </c>
      <c r="K589" s="14" t="s">
        <v>14279</v>
      </c>
      <c r="L589" s="14" t="s">
        <v>14277</v>
      </c>
      <c r="M589" s="14" t="s">
        <v>9158</v>
      </c>
      <c r="N589" s="14" t="s">
        <v>9158</v>
      </c>
      <c r="O589" s="14" t="s">
        <v>9158</v>
      </c>
      <c r="P589" s="14" t="s">
        <v>9158</v>
      </c>
      <c r="Q589" s="14" t="s">
        <v>9158</v>
      </c>
      <c r="S589" s="14" t="s">
        <v>17480</v>
      </c>
    </row>
    <row r="590" spans="1:19">
      <c r="A590" s="14">
        <v>83403</v>
      </c>
      <c r="B590" s="9" t="s">
        <v>0</v>
      </c>
      <c r="C590" s="14" t="s">
        <v>35</v>
      </c>
      <c r="D590" s="14" t="s">
        <v>13945</v>
      </c>
      <c r="E590" s="15" t="str">
        <f>HYPERLINK("https://stat100.ameba.jp/tnk47/ratio20/illustrations/card/ill_83403_yuenchihazadosoyoshitoshi03.jpg?202108-5-RELEASE-marathon-546", "■")</f>
        <v>■</v>
      </c>
      <c r="F590" s="14" t="s">
        <v>13948</v>
      </c>
      <c r="G590" s="14">
        <v>167738</v>
      </c>
      <c r="H590" s="14">
        <v>180409</v>
      </c>
      <c r="I590" s="7">
        <v>29</v>
      </c>
      <c r="J590" s="14" t="s">
        <v>143</v>
      </c>
      <c r="K590" s="14" t="s">
        <v>13947</v>
      </c>
      <c r="L590" s="14" t="s">
        <v>1148</v>
      </c>
      <c r="M590" s="14" t="s">
        <v>9158</v>
      </c>
      <c r="N590" s="14" t="s">
        <v>9158</v>
      </c>
      <c r="O590" s="14" t="s">
        <v>9158</v>
      </c>
      <c r="P590" s="14" t="s">
        <v>9158</v>
      </c>
      <c r="Q590" s="14" t="s">
        <v>9158</v>
      </c>
      <c r="S590" s="14" t="s">
        <v>16532</v>
      </c>
    </row>
    <row r="591" spans="1:19">
      <c r="A591" s="14">
        <v>86133</v>
      </c>
      <c r="B591" s="9" t="s">
        <v>15</v>
      </c>
      <c r="C591" s="14" t="s">
        <v>107</v>
      </c>
      <c r="D591" s="14" t="s">
        <v>17121</v>
      </c>
      <c r="E591" s="15" t="str">
        <f>HYPERLINK("https://stat100.ameba.jp/tnk47/ratio20/illustrations/card/ill_86133_gantankusumototakako03.jpg?202108-5-RELEASE-marathon-546", "■")</f>
        <v>■</v>
      </c>
      <c r="F591" s="14" t="s">
        <v>17120</v>
      </c>
      <c r="G591" s="14">
        <v>72586</v>
      </c>
      <c r="H591" s="14">
        <v>80028</v>
      </c>
      <c r="I591" s="14">
        <v>27</v>
      </c>
      <c r="J591" s="14" t="s">
        <v>16</v>
      </c>
      <c r="K591" s="14" t="s">
        <v>17119</v>
      </c>
      <c r="L591" s="14" t="s">
        <v>3436</v>
      </c>
      <c r="M591" s="14" t="s">
        <v>9158</v>
      </c>
      <c r="N591" s="14" t="s">
        <v>9158</v>
      </c>
      <c r="O591" s="14" t="s">
        <v>9158</v>
      </c>
      <c r="P591" s="14" t="s">
        <v>9158</v>
      </c>
      <c r="Q591" s="14" t="s">
        <v>9158</v>
      </c>
      <c r="S591" s="14" t="s">
        <v>16230</v>
      </c>
    </row>
    <row r="592" spans="1:19">
      <c r="A592" s="14">
        <v>82823</v>
      </c>
      <c r="B592" s="9" t="s">
        <v>15</v>
      </c>
      <c r="C592" s="14" t="s">
        <v>23</v>
      </c>
      <c r="D592" s="14" t="s">
        <v>17124</v>
      </c>
      <c r="E592" s="15" t="str">
        <f>HYPERLINK("https://stat100.ameba.jp/tnk47/ratio20/illustrations/card/ill_82823_ryoranyukizukainarinobyakko03.jpg?202108-5-RELEASE-marathon-546", "■")</f>
        <v>■</v>
      </c>
      <c r="F592" s="14" t="s">
        <v>17123</v>
      </c>
      <c r="G592" s="14">
        <v>80028</v>
      </c>
      <c r="H592" s="14">
        <v>72586</v>
      </c>
      <c r="I592" s="14">
        <v>27</v>
      </c>
      <c r="J592" s="14" t="s">
        <v>73</v>
      </c>
      <c r="K592" s="14" t="s">
        <v>17122</v>
      </c>
      <c r="L592" s="14" t="s">
        <v>4649</v>
      </c>
      <c r="M592" s="14" t="s">
        <v>9158</v>
      </c>
      <c r="N592" s="14" t="s">
        <v>9158</v>
      </c>
      <c r="O592" s="14" t="s">
        <v>9158</v>
      </c>
      <c r="P592" s="14" t="s">
        <v>9158</v>
      </c>
      <c r="Q592" s="14" t="s">
        <v>9158</v>
      </c>
      <c r="S592" s="14" t="s">
        <v>17129</v>
      </c>
    </row>
    <row r="593" spans="1:19">
      <c r="A593" s="14">
        <v>82283</v>
      </c>
      <c r="B593" s="9" t="s">
        <v>15</v>
      </c>
      <c r="C593" s="14" t="s">
        <v>1</v>
      </c>
      <c r="D593" s="14" t="s">
        <v>17127</v>
      </c>
      <c r="E593" s="15" t="str">
        <f>HYPERLINK("https://stat100.ameba.jp/tnk47/ratio20/illustrations/card/ill_82283_uranaishioribuchan03.jpg?202108-5-RELEASE-marathon-546", "■")</f>
        <v>■</v>
      </c>
      <c r="F593" s="14" t="s">
        <v>17126</v>
      </c>
      <c r="G593" s="14">
        <v>72586</v>
      </c>
      <c r="H593" s="14">
        <v>80028</v>
      </c>
      <c r="I593" s="14">
        <v>27</v>
      </c>
      <c r="J593" s="14" t="s">
        <v>104</v>
      </c>
      <c r="K593" s="14" t="s">
        <v>17125</v>
      </c>
      <c r="L593" s="14" t="s">
        <v>5225</v>
      </c>
      <c r="M593" s="14" t="s">
        <v>9158</v>
      </c>
      <c r="N593" s="14" t="s">
        <v>9158</v>
      </c>
      <c r="O593" s="14" t="s">
        <v>9158</v>
      </c>
      <c r="P593" s="14" t="s">
        <v>9158</v>
      </c>
      <c r="Q593" s="14" t="s">
        <v>9158</v>
      </c>
      <c r="S593" s="14" t="s">
        <v>17130</v>
      </c>
    </row>
    <row r="595" spans="1:19">
      <c r="A595" s="14" t="s">
        <v>3911</v>
      </c>
    </row>
    <row r="596" spans="1:19">
      <c r="A596" s="14">
        <v>110445</v>
      </c>
      <c r="B596" s="14" t="s">
        <v>17481</v>
      </c>
    </row>
    <row r="597" spans="1:19">
      <c r="A597" s="14">
        <v>110455</v>
      </c>
      <c r="B597" s="14" t="s">
        <v>15721</v>
      </c>
    </row>
    <row r="598" spans="1:19">
      <c r="A598" s="14" t="s">
        <v>15440</v>
      </c>
      <c r="B598" s="7" t="s">
        <v>52</v>
      </c>
      <c r="C598" s="14" t="s">
        <v>202</v>
      </c>
      <c r="D598" s="18" t="s">
        <v>15441</v>
      </c>
      <c r="E598" s="15" t="str">
        <f>HYPERLINK("https://stat100.ameba.jp/tnk47/ratio20/illustrations/card/ill_93683_0_yukemurionsenshirowainchan03.jpg?202108-5-RELEASE-marathon-546", "■")</f>
        <v>■</v>
      </c>
      <c r="F598" s="14" t="s">
        <v>15444</v>
      </c>
      <c r="G598" s="14">
        <v>297390</v>
      </c>
      <c r="H598" s="14">
        <v>363506</v>
      </c>
      <c r="I598" s="7">
        <v>30</v>
      </c>
      <c r="J598" s="14" t="s">
        <v>104</v>
      </c>
      <c r="K598" s="14" t="s">
        <v>15443</v>
      </c>
      <c r="L598" s="14" t="s">
        <v>15442</v>
      </c>
      <c r="M598" s="14" t="s">
        <v>9158</v>
      </c>
      <c r="N598" s="14" t="s">
        <v>9158</v>
      </c>
      <c r="O598" s="6" t="s">
        <v>15445</v>
      </c>
      <c r="P598" s="7" t="s">
        <v>15446</v>
      </c>
      <c r="Q598" s="7">
        <v>1</v>
      </c>
    </row>
    <row r="599" spans="1:19">
      <c r="A599" s="14" t="s">
        <v>15831</v>
      </c>
      <c r="B599" s="7" t="s">
        <v>52</v>
      </c>
      <c r="C599" s="14" t="s">
        <v>202</v>
      </c>
      <c r="D599" s="18" t="s">
        <v>15825</v>
      </c>
      <c r="E599" s="15" t="str">
        <f>HYPERLINK("https://stat100.ameba.jp/tnk47/ratio20/illustrations/card/ill_94293_0_kurisumasupurezentofukudahideko03.jpg?202108-5-RELEASE-marathon-546", "■")</f>
        <v>■</v>
      </c>
      <c r="F599" s="14" t="s">
        <v>15830</v>
      </c>
      <c r="G599" s="14">
        <v>330110</v>
      </c>
      <c r="H599" s="14">
        <v>298362</v>
      </c>
      <c r="I599" s="14">
        <v>30</v>
      </c>
      <c r="J599" s="14" t="s">
        <v>16</v>
      </c>
      <c r="K599" s="14" t="s">
        <v>15829</v>
      </c>
      <c r="L599" s="14" t="s">
        <v>15828</v>
      </c>
      <c r="M599" s="14" t="s">
        <v>9158</v>
      </c>
      <c r="N599" s="14" t="s">
        <v>9158</v>
      </c>
      <c r="O599" s="6" t="s">
        <v>15827</v>
      </c>
      <c r="P599" s="7" t="s">
        <v>15826</v>
      </c>
      <c r="Q599" s="7">
        <v>1</v>
      </c>
    </row>
    <row r="600" spans="1:19">
      <c r="A600" s="14" t="s">
        <v>6132</v>
      </c>
      <c r="B600" s="14" t="s">
        <v>330</v>
      </c>
      <c r="C600" s="14" t="s">
        <v>205</v>
      </c>
      <c r="D600" s="19" t="s">
        <v>702</v>
      </c>
      <c r="E600" s="15" t="str">
        <f>HYPERLINK("https://stat100.ameba.jp/tnk47/ratio20/illustrations/card/ill_50693_0_hanamizugimimuratsuru03.jpg?202108-5-RELEASE-marathon-546", "■")</f>
        <v>■</v>
      </c>
      <c r="F600" s="14" t="s">
        <v>703</v>
      </c>
      <c r="G600" s="14">
        <v>167424</v>
      </c>
      <c r="H600" s="14">
        <v>138212</v>
      </c>
      <c r="I600" s="14">
        <v>30</v>
      </c>
      <c r="J600" s="14" t="s">
        <v>310</v>
      </c>
      <c r="K600" s="14" t="s">
        <v>704</v>
      </c>
      <c r="L600" s="14" t="s">
        <v>705</v>
      </c>
      <c r="M600" s="14" t="s">
        <v>9158</v>
      </c>
      <c r="N600" s="14" t="s">
        <v>9158</v>
      </c>
      <c r="O600" s="9" t="s">
        <v>9158</v>
      </c>
      <c r="P600" s="14" t="s">
        <v>9158</v>
      </c>
      <c r="Q600" s="14" t="s">
        <v>9158</v>
      </c>
    </row>
    <row r="601" spans="1:19">
      <c r="A601" s="14">
        <v>75873</v>
      </c>
      <c r="B601" s="14" t="s">
        <v>334</v>
      </c>
      <c r="C601" s="14" t="s">
        <v>209</v>
      </c>
      <c r="D601" s="19" t="s">
        <v>10221</v>
      </c>
      <c r="E601" s="15" t="str">
        <f>HYPERLINK("https://stat100.ameba.jp/tnk47/ratio20/illustrations/card/ill_75873_harajukuroriitachan03.jpg?202108-5-RELEASE-marathon-546", "■")</f>
        <v>■</v>
      </c>
      <c r="F601" s="14" t="s">
        <v>1945</v>
      </c>
      <c r="G601" s="14">
        <v>127350</v>
      </c>
      <c r="H601" s="14">
        <v>136953</v>
      </c>
      <c r="I601" s="14">
        <v>29</v>
      </c>
      <c r="J601" s="14" t="s">
        <v>26</v>
      </c>
      <c r="K601" s="14" t="s">
        <v>1946</v>
      </c>
      <c r="L601" s="14" t="s">
        <v>1947</v>
      </c>
      <c r="M601" s="14" t="s">
        <v>9158</v>
      </c>
      <c r="N601" s="14" t="s">
        <v>9158</v>
      </c>
      <c r="O601" s="19" t="s">
        <v>2752</v>
      </c>
      <c r="P601" s="14" t="s">
        <v>13123</v>
      </c>
      <c r="Q601" s="14">
        <v>1</v>
      </c>
    </row>
    <row r="602" spans="1:19">
      <c r="A602" s="14">
        <v>80173</v>
      </c>
      <c r="B602" s="14" t="s">
        <v>334</v>
      </c>
      <c r="C602" s="14" t="s">
        <v>47</v>
      </c>
      <c r="D602" s="20" t="s">
        <v>10390</v>
      </c>
      <c r="E602" s="15" t="str">
        <f>HYPERLINK("https://stat100.ameba.jp/tnk47/ratio20/illustrations/card/ill_80173_jusomedeia03.jpg?202108-5-RELEASE-marathon-546", "■")</f>
        <v>■</v>
      </c>
      <c r="F602" s="14" t="s">
        <v>3914</v>
      </c>
      <c r="G602" s="14">
        <v>111017</v>
      </c>
      <c r="H602" s="14">
        <v>153288</v>
      </c>
      <c r="I602" s="14">
        <v>29</v>
      </c>
      <c r="J602" s="14" t="s">
        <v>73</v>
      </c>
      <c r="K602" s="14" t="s">
        <v>3915</v>
      </c>
      <c r="L602" s="14" t="s">
        <v>1033</v>
      </c>
      <c r="M602" s="14" t="s">
        <v>9158</v>
      </c>
      <c r="N602" s="14" t="s">
        <v>9158</v>
      </c>
      <c r="O602" s="19" t="s">
        <v>10074</v>
      </c>
      <c r="P602" s="14" t="s">
        <v>3592</v>
      </c>
      <c r="Q602" s="14">
        <v>1</v>
      </c>
    </row>
    <row r="603" spans="1:19">
      <c r="A603" s="14">
        <v>63283</v>
      </c>
      <c r="B603" s="14" t="s">
        <v>334</v>
      </c>
      <c r="C603" s="14" t="s">
        <v>209</v>
      </c>
      <c r="D603" s="19" t="s">
        <v>327</v>
      </c>
      <c r="E603" s="15" t="str">
        <f>HYPERLINK("https://stat100.ameba.jp/tnk47/ratio20/illustrations/card/ill_63283_mizuyokanchan03.jpg?202108-5-RELEASE-marathon-546", "■")</f>
        <v>■</v>
      </c>
      <c r="F603" s="14" t="s">
        <v>327</v>
      </c>
      <c r="G603" s="14">
        <v>136953</v>
      </c>
      <c r="H603" s="14">
        <v>127350</v>
      </c>
      <c r="I603" s="14">
        <v>29</v>
      </c>
      <c r="J603" s="14" t="s">
        <v>283</v>
      </c>
      <c r="K603" s="14" t="s">
        <v>328</v>
      </c>
      <c r="L603" s="14" t="s">
        <v>329</v>
      </c>
      <c r="M603" s="14" t="s">
        <v>9158</v>
      </c>
      <c r="N603" s="14" t="s">
        <v>9158</v>
      </c>
      <c r="O603" s="19" t="s">
        <v>10084</v>
      </c>
      <c r="P603" s="14" t="s">
        <v>3563</v>
      </c>
      <c r="Q603" s="14">
        <v>1</v>
      </c>
    </row>
    <row r="604" spans="1:19">
      <c r="A604" s="14">
        <v>73893</v>
      </c>
      <c r="B604" s="14" t="s">
        <v>334</v>
      </c>
      <c r="C604" s="14" t="s">
        <v>203</v>
      </c>
      <c r="D604" s="19" t="s">
        <v>10388</v>
      </c>
      <c r="E604" s="15" t="str">
        <f>HYPERLINK("https://stat100.ameba.jp/tnk47/ratio20/illustrations/card/ill_73893_kurohachidaimyojintookami03.jpg?202108-5-RELEASE-marathon-546", "■")</f>
        <v>■</v>
      </c>
      <c r="F604" s="14" t="s">
        <v>685</v>
      </c>
      <c r="G604" s="14">
        <v>147992</v>
      </c>
      <c r="H604" s="14">
        <v>107188</v>
      </c>
      <c r="I604" s="7">
        <v>29</v>
      </c>
      <c r="J604" s="14" t="s">
        <v>274</v>
      </c>
      <c r="K604" s="14" t="s">
        <v>686</v>
      </c>
      <c r="L604" s="14" t="s">
        <v>428</v>
      </c>
      <c r="M604" s="14" t="s">
        <v>9158</v>
      </c>
      <c r="N604" s="14" t="s">
        <v>9158</v>
      </c>
      <c r="O604" s="19" t="s">
        <v>10100</v>
      </c>
      <c r="P604" s="14" t="s">
        <v>3810</v>
      </c>
      <c r="Q604" s="14">
        <v>1</v>
      </c>
    </row>
    <row r="605" spans="1:19">
      <c r="A605" s="14">
        <v>84663</v>
      </c>
      <c r="B605" s="14" t="s">
        <v>334</v>
      </c>
      <c r="C605" s="14" t="s">
        <v>158</v>
      </c>
      <c r="D605" s="20" t="s">
        <v>10648</v>
      </c>
      <c r="E605" s="15" t="str">
        <f>HYPERLINK("https://stat100.ameba.jp/tnk47/ratio20/illustrations/card/ill_84663_juwannonefuerufuito03.jpg?202108-5-RELEASE-marathon-546", "■")</f>
        <v>■</v>
      </c>
      <c r="F605" s="14" t="s">
        <v>7095</v>
      </c>
      <c r="G605" s="14">
        <v>97970</v>
      </c>
      <c r="H605" s="14">
        <v>135229</v>
      </c>
      <c r="I605" s="14">
        <v>29</v>
      </c>
      <c r="J605" s="14" t="s">
        <v>182</v>
      </c>
      <c r="K605" s="14" t="s">
        <v>7094</v>
      </c>
      <c r="L605" s="14" t="s">
        <v>7093</v>
      </c>
      <c r="M605" s="14" t="s">
        <v>9158</v>
      </c>
      <c r="N605" s="14" t="s">
        <v>9158</v>
      </c>
      <c r="O605" s="19" t="s">
        <v>10091</v>
      </c>
      <c r="P605" s="14" t="s">
        <v>3670</v>
      </c>
      <c r="Q605" s="14">
        <v>1</v>
      </c>
    </row>
    <row r="606" spans="1:19">
      <c r="A606" s="14">
        <v>84323</v>
      </c>
      <c r="B606" s="14" t="s">
        <v>0</v>
      </c>
      <c r="C606" s="14" t="s">
        <v>158</v>
      </c>
      <c r="D606" s="19" t="s">
        <v>10669</v>
      </c>
      <c r="E606" s="15" t="str">
        <f>HYPERLINK("https://stat100.ameba.jp/tnk47/ratio20/illustrations/card/ill_84323_kagizumebyakko03.jpg?202108-5-RELEASE-marathon-546", "■")</f>
        <v>■</v>
      </c>
      <c r="F606" s="14" t="s">
        <v>7284</v>
      </c>
      <c r="G606" s="14">
        <v>147858</v>
      </c>
      <c r="H606" s="14">
        <v>107088</v>
      </c>
      <c r="I606" s="14">
        <v>29</v>
      </c>
      <c r="J606" s="14" t="s">
        <v>155</v>
      </c>
      <c r="K606" s="14" t="s">
        <v>7283</v>
      </c>
      <c r="L606" s="14" t="s">
        <v>7282</v>
      </c>
      <c r="M606" s="14" t="s">
        <v>9158</v>
      </c>
      <c r="N606" s="14" t="s">
        <v>9158</v>
      </c>
      <c r="O606" s="19" t="s">
        <v>10109</v>
      </c>
      <c r="P606" s="14" t="s">
        <v>3625</v>
      </c>
      <c r="Q606" s="14">
        <v>1</v>
      </c>
    </row>
    <row r="608" spans="1:19">
      <c r="A608" s="14" t="s">
        <v>13327</v>
      </c>
    </row>
    <row r="609" spans="1:18">
      <c r="A609" s="14">
        <v>110471</v>
      </c>
      <c r="B609" s="14" t="s">
        <v>17482</v>
      </c>
    </row>
    <row r="610" spans="1:18">
      <c r="A610" s="14">
        <v>86063</v>
      </c>
      <c r="B610" s="14" t="s">
        <v>334</v>
      </c>
      <c r="C610" s="14" t="s">
        <v>14</v>
      </c>
      <c r="D610" s="19" t="s">
        <v>10818</v>
      </c>
      <c r="E610" s="15" t="str">
        <f>HYPERLINK("https://stat100.ameba.jp/tnk47/ratio20/illustrations/card/ill_86063_uotchimeika03.jpg?202108-5-RELEASE-marathon-546", "■")</f>
        <v>■</v>
      </c>
      <c r="F610" s="14" t="s">
        <v>8368</v>
      </c>
      <c r="G610" s="14">
        <v>132737</v>
      </c>
      <c r="H610" s="14">
        <v>142768</v>
      </c>
      <c r="I610" s="14">
        <v>29</v>
      </c>
      <c r="J610" s="14" t="s">
        <v>173</v>
      </c>
      <c r="K610" s="14" t="s">
        <v>8367</v>
      </c>
      <c r="L610" s="14" t="s">
        <v>8366</v>
      </c>
      <c r="M610" s="14" t="s">
        <v>13130</v>
      </c>
      <c r="N610" s="14" t="s">
        <v>343</v>
      </c>
      <c r="O610" s="14" t="s">
        <v>9158</v>
      </c>
      <c r="P610" s="14" t="s">
        <v>9158</v>
      </c>
      <c r="Q610" s="14" t="s">
        <v>9158</v>
      </c>
      <c r="R610" s="14" t="s">
        <v>14748</v>
      </c>
    </row>
    <row r="611" spans="1:18">
      <c r="A611" s="14">
        <v>86062</v>
      </c>
      <c r="B611" s="14" t="s">
        <v>334</v>
      </c>
      <c r="C611" s="14" t="s">
        <v>14</v>
      </c>
      <c r="D611" s="19" t="s">
        <v>10818</v>
      </c>
      <c r="E611" s="15" t="str">
        <f>HYPERLINK("https://stat100.ameba.jp/tnk47/ratio20/illustrations/card/ill_86062_uotchimeika02.jpg?202108-5-RELEASE-marathon-546", "■")</f>
        <v>■</v>
      </c>
      <c r="F611" s="14" t="s">
        <v>8368</v>
      </c>
      <c r="G611" s="14">
        <v>109938</v>
      </c>
      <c r="H611" s="14">
        <v>119345</v>
      </c>
      <c r="I611" s="14">
        <v>29</v>
      </c>
      <c r="J611" s="14" t="s">
        <v>173</v>
      </c>
      <c r="K611" s="14" t="s">
        <v>8367</v>
      </c>
      <c r="L611" s="14" t="s">
        <v>8366</v>
      </c>
      <c r="M611" s="14" t="s">
        <v>13131</v>
      </c>
      <c r="N611" s="14" t="s">
        <v>251</v>
      </c>
      <c r="O611" s="14" t="s">
        <v>9158</v>
      </c>
      <c r="P611" s="14" t="s">
        <v>9158</v>
      </c>
      <c r="Q611" s="14" t="s">
        <v>9158</v>
      </c>
      <c r="R611" s="14" t="s">
        <v>14748</v>
      </c>
    </row>
    <row r="612" spans="1:18">
      <c r="A612" s="14">
        <v>86061</v>
      </c>
      <c r="B612" s="14" t="s">
        <v>0</v>
      </c>
      <c r="C612" s="14" t="s">
        <v>14</v>
      </c>
      <c r="D612" s="19" t="s">
        <v>10818</v>
      </c>
      <c r="E612" s="15" t="str">
        <f>HYPERLINK("https://stat100.ameba.jp/tnk47/ratio20/illustrations/card/ill_86061_uotchimeika01.jpg?202108-5-RELEASE-marathon-546", "■")</f>
        <v>■</v>
      </c>
      <c r="F612" s="14" t="s">
        <v>8368</v>
      </c>
      <c r="G612" s="14">
        <v>84825</v>
      </c>
      <c r="H612" s="14">
        <v>91118</v>
      </c>
      <c r="I612" s="14">
        <v>29</v>
      </c>
      <c r="J612" s="14" t="s">
        <v>173</v>
      </c>
      <c r="K612" s="14" t="s">
        <v>8367</v>
      </c>
      <c r="L612" s="14" t="s">
        <v>8366</v>
      </c>
      <c r="M612" s="14" t="s">
        <v>13131</v>
      </c>
      <c r="N612" s="14" t="s">
        <v>251</v>
      </c>
      <c r="O612" s="14" t="s">
        <v>9158</v>
      </c>
      <c r="P612" s="14" t="s">
        <v>9158</v>
      </c>
      <c r="Q612" s="14" t="s">
        <v>9158</v>
      </c>
      <c r="R612" s="14" t="s">
        <v>14748</v>
      </c>
    </row>
    <row r="613" spans="1:18">
      <c r="A613" s="14">
        <v>86073</v>
      </c>
      <c r="B613" s="14" t="s">
        <v>334</v>
      </c>
      <c r="C613" s="14" t="s">
        <v>23</v>
      </c>
      <c r="D613" s="19" t="s">
        <v>10819</v>
      </c>
      <c r="E613" s="15" t="str">
        <f>HYPERLINK("https://stat100.ameba.jp/tnk47/ratio20/illustrations/card/ill_86073_maddohatta03.jpg?202108-5-RELEASE-marathon-546", "■")</f>
        <v>■</v>
      </c>
      <c r="F613" s="14" t="s">
        <v>8371</v>
      </c>
      <c r="G613" s="14">
        <v>132737</v>
      </c>
      <c r="H613" s="14">
        <v>142768</v>
      </c>
      <c r="I613" s="14">
        <v>29</v>
      </c>
      <c r="J613" s="14" t="s">
        <v>155</v>
      </c>
      <c r="K613" s="14" t="s">
        <v>8370</v>
      </c>
      <c r="L613" s="14" t="s">
        <v>8369</v>
      </c>
      <c r="M613" s="14" t="s">
        <v>13130</v>
      </c>
      <c r="N613" s="14" t="s">
        <v>343</v>
      </c>
      <c r="O613" s="14" t="s">
        <v>9158</v>
      </c>
      <c r="P613" s="14" t="s">
        <v>9158</v>
      </c>
      <c r="Q613" s="14" t="s">
        <v>9158</v>
      </c>
      <c r="R613" s="14" t="s">
        <v>14748</v>
      </c>
    </row>
    <row r="614" spans="1:18">
      <c r="A614" s="14">
        <v>86083</v>
      </c>
      <c r="B614" s="14" t="s">
        <v>334</v>
      </c>
      <c r="C614" s="14" t="s">
        <v>101</v>
      </c>
      <c r="D614" s="19" t="s">
        <v>10820</v>
      </c>
      <c r="E614" s="15" t="str">
        <f>HYPERLINK("https://stat100.ameba.jp/tnk47/ratio20/illustrations/card/ill_86083_keieinochojomeruro03.jpg?202108-5-RELEASE-marathon-546", "■")</f>
        <v>■</v>
      </c>
      <c r="F614" s="14" t="s">
        <v>8375</v>
      </c>
      <c r="G614" s="14">
        <v>142768</v>
      </c>
      <c r="H614" s="14">
        <v>132737</v>
      </c>
      <c r="I614" s="14">
        <v>29</v>
      </c>
      <c r="J614" s="14" t="s">
        <v>229</v>
      </c>
      <c r="K614" s="14" t="s">
        <v>8374</v>
      </c>
      <c r="L614" s="14" t="s">
        <v>8373</v>
      </c>
      <c r="M614" s="14" t="s">
        <v>13130</v>
      </c>
      <c r="N614" s="14" t="s">
        <v>343</v>
      </c>
      <c r="O614" s="14" t="s">
        <v>9158</v>
      </c>
      <c r="P614" s="14" t="s">
        <v>9158</v>
      </c>
      <c r="Q614" s="14" t="s">
        <v>9158</v>
      </c>
      <c r="R614" s="14" t="s">
        <v>14748</v>
      </c>
    </row>
    <row r="615" spans="1:18">
      <c r="A615" s="14">
        <v>86093</v>
      </c>
      <c r="B615" s="14" t="s">
        <v>0</v>
      </c>
      <c r="C615" s="14" t="s">
        <v>96</v>
      </c>
      <c r="D615" s="19" t="s">
        <v>10821</v>
      </c>
      <c r="E615" s="15" t="str">
        <f>HYPERLINK("https://stat100.ameba.jp/tnk47/ratio20/illustrations/card/ill_86093_minamotonoyoshimitsu03.jpg?202108-5-RELEASE-marathon-546", "■")</f>
        <v>■</v>
      </c>
      <c r="F615" s="14" t="s">
        <v>8379</v>
      </c>
      <c r="G615" s="14">
        <v>142768</v>
      </c>
      <c r="H615" s="14">
        <v>132737</v>
      </c>
      <c r="I615" s="14">
        <v>29</v>
      </c>
      <c r="J615" s="14" t="s">
        <v>194</v>
      </c>
      <c r="K615" s="14" t="s">
        <v>8377</v>
      </c>
      <c r="L615" s="14" t="s">
        <v>8376</v>
      </c>
      <c r="M615" s="14" t="s">
        <v>13130</v>
      </c>
      <c r="N615" s="14" t="s">
        <v>343</v>
      </c>
      <c r="O615" s="14" t="s">
        <v>9158</v>
      </c>
      <c r="P615" s="14" t="s">
        <v>9158</v>
      </c>
      <c r="Q615" s="14" t="s">
        <v>9158</v>
      </c>
      <c r="R615" s="14" t="s">
        <v>14748</v>
      </c>
    </row>
    <row r="616" spans="1:18">
      <c r="A616" s="14">
        <v>86103</v>
      </c>
      <c r="B616" s="14" t="s">
        <v>334</v>
      </c>
      <c r="C616" s="14" t="s">
        <v>205</v>
      </c>
      <c r="D616" s="19" t="s">
        <v>10822</v>
      </c>
      <c r="E616" s="15" t="str">
        <f>HYPERLINK("https://stat100.ameba.jp/tnk47/ratio20/illustrations/card/ill_86103_omatsudaimyojin03.jpg?202108-5-RELEASE-marathon-546", "■")</f>
        <v>■</v>
      </c>
      <c r="F616" s="14" t="s">
        <v>8383</v>
      </c>
      <c r="G616" s="14">
        <v>142768</v>
      </c>
      <c r="H616" s="14">
        <v>132737</v>
      </c>
      <c r="I616" s="14">
        <v>29</v>
      </c>
      <c r="J616" s="14" t="s">
        <v>169</v>
      </c>
      <c r="K616" s="14" t="s">
        <v>8381</v>
      </c>
      <c r="L616" s="14" t="s">
        <v>8380</v>
      </c>
      <c r="M616" s="14" t="s">
        <v>13130</v>
      </c>
      <c r="N616" s="14" t="s">
        <v>343</v>
      </c>
      <c r="O616" s="14" t="s">
        <v>9158</v>
      </c>
      <c r="P616" s="14" t="s">
        <v>9158</v>
      </c>
      <c r="Q616" s="14" t="s">
        <v>9158</v>
      </c>
      <c r="R616" s="14" t="s">
        <v>14748</v>
      </c>
    </row>
    <row r="617" spans="1:18">
      <c r="A617" s="14">
        <v>86113</v>
      </c>
      <c r="B617" s="14" t="s">
        <v>334</v>
      </c>
      <c r="C617" s="14" t="s">
        <v>107</v>
      </c>
      <c r="D617" s="19" t="s">
        <v>10823</v>
      </c>
      <c r="E617" s="15" t="str">
        <f>HYPERLINK("https://stat100.ameba.jp/tnk47/ratio20/illustrations/card/ill_86113_yuno03.jpg?202108-5-RELEASE-marathon-546", "■")</f>
        <v>■</v>
      </c>
      <c r="F617" s="14" t="s">
        <v>8387</v>
      </c>
      <c r="G617" s="14">
        <v>132737</v>
      </c>
      <c r="H617" s="14">
        <v>142768</v>
      </c>
      <c r="I617" s="14">
        <v>29</v>
      </c>
      <c r="J617" s="14" t="s">
        <v>159</v>
      </c>
      <c r="K617" s="14" t="s">
        <v>8385</v>
      </c>
      <c r="L617" s="14" t="s">
        <v>8384</v>
      </c>
      <c r="M617" s="14" t="s">
        <v>13130</v>
      </c>
      <c r="N617" s="14" t="s">
        <v>343</v>
      </c>
      <c r="O617" s="14" t="s">
        <v>9158</v>
      </c>
      <c r="P617" s="14" t="s">
        <v>9158</v>
      </c>
      <c r="Q617" s="14" t="s">
        <v>9158</v>
      </c>
      <c r="R617" s="14" t="s">
        <v>14748</v>
      </c>
    </row>
    <row r="619" spans="1:18">
      <c r="A619" s="14" t="s">
        <v>9283</v>
      </c>
    </row>
    <row r="620" spans="1:18">
      <c r="A620" s="14">
        <v>110490</v>
      </c>
      <c r="B620" s="14" t="s">
        <v>14438</v>
      </c>
    </row>
    <row r="621" spans="1:18">
      <c r="A621" s="9" t="s">
        <v>9891</v>
      </c>
      <c r="B621" s="7" t="s">
        <v>52</v>
      </c>
      <c r="C621" s="9" t="s">
        <v>202</v>
      </c>
      <c r="D621" s="6" t="s">
        <v>9978</v>
      </c>
      <c r="E621" s="15" t="str">
        <f>HYPERLINK("https://stat100.ameba.jp/tnk47/ratio20/illustrations/card/ill_87643_0_oendanotohime03.jpg?202108-5-RELEASE-marathon-546", "■")</f>
        <v>■</v>
      </c>
      <c r="F621" s="14" t="s">
        <v>9928</v>
      </c>
      <c r="G621" s="9">
        <v>281156</v>
      </c>
      <c r="H621" s="9">
        <v>343608</v>
      </c>
      <c r="I621" s="7">
        <v>27</v>
      </c>
      <c r="J621" s="9" t="s">
        <v>155</v>
      </c>
      <c r="K621" s="14" t="s">
        <v>9932</v>
      </c>
      <c r="L621" s="14" t="s">
        <v>9933</v>
      </c>
      <c r="M621" s="14" t="s">
        <v>9158</v>
      </c>
      <c r="N621" s="14" t="s">
        <v>9158</v>
      </c>
      <c r="O621" s="6" t="s">
        <v>9989</v>
      </c>
      <c r="P621" s="7" t="s">
        <v>9944</v>
      </c>
      <c r="Q621" s="7">
        <v>1</v>
      </c>
    </row>
    <row r="622" spans="1:18">
      <c r="A622" s="9" t="s">
        <v>5843</v>
      </c>
      <c r="B622" s="14" t="s">
        <v>52</v>
      </c>
      <c r="C622" s="14" t="s">
        <v>202</v>
      </c>
      <c r="D622" s="14" t="s">
        <v>2126</v>
      </c>
      <c r="E622" s="15" t="str">
        <f>HYPERLINK("https://stat100.ameba.jp/tnk47/ratio20/illustrations/card/ill_77963_0_kurisumasudaisakusentakiyashahime03.jpg?202108-5-RELEASE-marathon-546", "■")</f>
        <v>■</v>
      </c>
      <c r="F622" s="14" t="s">
        <v>2127</v>
      </c>
      <c r="G622" s="14">
        <v>331590</v>
      </c>
      <c r="H622" s="14">
        <v>299687</v>
      </c>
      <c r="I622" s="14">
        <v>27</v>
      </c>
      <c r="J622" s="14" t="s">
        <v>77</v>
      </c>
      <c r="K622" s="14" t="s">
        <v>2128</v>
      </c>
      <c r="L622" s="14" t="s">
        <v>2129</v>
      </c>
      <c r="M622" s="14" t="s">
        <v>9158</v>
      </c>
      <c r="N622" s="14" t="s">
        <v>9158</v>
      </c>
      <c r="O622" s="9" t="s">
        <v>3588</v>
      </c>
      <c r="P622" s="14" t="s">
        <v>3589</v>
      </c>
      <c r="Q622" s="14">
        <v>2</v>
      </c>
    </row>
    <row r="623" spans="1:18">
      <c r="A623" s="14" t="s">
        <v>5721</v>
      </c>
      <c r="B623" s="14" t="s">
        <v>52</v>
      </c>
      <c r="C623" s="14" t="s">
        <v>1</v>
      </c>
      <c r="D623" s="19" t="s">
        <v>513</v>
      </c>
      <c r="E623" s="15" t="str">
        <f>HYPERLINK("https://stat100.ameba.jp/tnk47/ratio20/illustrations/card/ill_44283_0_izumonokuni03.jpg?202108-5-RELEASE-marathon-546", "■")</f>
        <v>■</v>
      </c>
      <c r="F623" s="14" t="s">
        <v>1716</v>
      </c>
      <c r="G623" s="14">
        <v>158004</v>
      </c>
      <c r="H623" s="14">
        <v>147980</v>
      </c>
      <c r="I623" s="14">
        <v>27</v>
      </c>
      <c r="J623" s="14" t="s">
        <v>16</v>
      </c>
      <c r="K623" s="14" t="s">
        <v>2254</v>
      </c>
      <c r="L623" s="14" t="s">
        <v>1718</v>
      </c>
      <c r="M623" s="14" t="s">
        <v>9158</v>
      </c>
      <c r="N623" s="14" t="s">
        <v>9158</v>
      </c>
      <c r="O623" s="14" t="s">
        <v>9158</v>
      </c>
      <c r="P623" s="14" t="s">
        <v>9158</v>
      </c>
      <c r="Q623" s="14" t="s">
        <v>9158</v>
      </c>
    </row>
    <row r="624" spans="1:18">
      <c r="A624" s="14">
        <v>99463</v>
      </c>
      <c r="B624" s="14" t="s">
        <v>0</v>
      </c>
      <c r="C624" s="14" t="s">
        <v>23</v>
      </c>
      <c r="D624" s="14" t="s">
        <v>17332</v>
      </c>
      <c r="E624" s="15" t="str">
        <f>HYPERLINK("https://stat100.ameba.jp/tnk47/ratio20/illustrations/card/ill_99463_ameyokochan03.jpg?202108-5-RELEASE-marathon-546", "■")</f>
        <v>■</v>
      </c>
      <c r="F624" s="14" t="s">
        <v>17331</v>
      </c>
      <c r="G624" s="14">
        <v>105465</v>
      </c>
      <c r="H624" s="14">
        <v>98019</v>
      </c>
      <c r="I624" s="14">
        <v>27</v>
      </c>
      <c r="J624" s="14" t="s">
        <v>26</v>
      </c>
      <c r="K624" s="14" t="s">
        <v>17330</v>
      </c>
      <c r="L624" s="14" t="s">
        <v>17329</v>
      </c>
      <c r="M624" s="14" t="s">
        <v>9158</v>
      </c>
      <c r="N624" s="14" t="s">
        <v>9158</v>
      </c>
      <c r="O624" s="14" t="s">
        <v>9158</v>
      </c>
      <c r="P624" s="14" t="s">
        <v>9158</v>
      </c>
      <c r="Q624" s="14" t="s">
        <v>9158</v>
      </c>
    </row>
    <row r="625" spans="1:17">
      <c r="A625" s="14">
        <v>99473</v>
      </c>
      <c r="B625" s="14" t="s">
        <v>15</v>
      </c>
      <c r="C625" s="14" t="s">
        <v>101</v>
      </c>
      <c r="D625" s="14" t="s">
        <v>17335</v>
      </c>
      <c r="E625" s="15" t="str">
        <f>HYPERLINK("https://stat100.ameba.jp/tnk47/ratio20/illustrations/card/ill_99473_jimukomatsuhime03.jpg?202108-5-RELEASE-marathon-546", "■")</f>
        <v>■</v>
      </c>
      <c r="F625" s="14" t="s">
        <v>17334</v>
      </c>
      <c r="G625" s="14">
        <v>72586</v>
      </c>
      <c r="H625" s="14">
        <v>80028</v>
      </c>
      <c r="I625" s="14">
        <v>27</v>
      </c>
      <c r="J625" s="14" t="s">
        <v>77</v>
      </c>
      <c r="K625" s="14" t="s">
        <v>17333</v>
      </c>
      <c r="L625" s="14" t="s">
        <v>973</v>
      </c>
      <c r="M625" s="14" t="s">
        <v>9158</v>
      </c>
      <c r="N625" s="14" t="s">
        <v>9158</v>
      </c>
      <c r="O625" s="14" t="s">
        <v>9158</v>
      </c>
      <c r="P625" s="14" t="s">
        <v>9158</v>
      </c>
      <c r="Q625" s="14" t="s">
        <v>9158</v>
      </c>
    </row>
    <row r="626" spans="1:17">
      <c r="A626" s="14">
        <v>99483</v>
      </c>
      <c r="B626" s="14" t="s">
        <v>22</v>
      </c>
      <c r="C626" s="14" t="s">
        <v>96</v>
      </c>
      <c r="D626" s="14" t="s">
        <v>17338</v>
      </c>
      <c r="E626" s="15" t="str">
        <f>HYPERLINK("https://stat100.ameba.jp/tnk47/ratio20/illustrations/card/ill_99483_onnabujutsukakiyohime03.jpg?202108-5-RELEASE-marathon-546", "■")</f>
        <v>■</v>
      </c>
      <c r="F626" s="14" t="s">
        <v>17337</v>
      </c>
      <c r="G626" s="14">
        <v>56138</v>
      </c>
      <c r="H626" s="14">
        <v>46676</v>
      </c>
      <c r="I626" s="14">
        <v>27</v>
      </c>
      <c r="J626" s="14" t="s">
        <v>73</v>
      </c>
      <c r="K626" s="14" t="s">
        <v>17336</v>
      </c>
      <c r="L626" s="14" t="s">
        <v>4556</v>
      </c>
      <c r="M626" s="14" t="s">
        <v>9158</v>
      </c>
      <c r="N626" s="14" t="s">
        <v>9158</v>
      </c>
      <c r="O626" s="14" t="s">
        <v>9158</v>
      </c>
      <c r="P626" s="14" t="s">
        <v>9158</v>
      </c>
      <c r="Q626" s="14" t="s">
        <v>9158</v>
      </c>
    </row>
    <row r="627" spans="1:17">
      <c r="A627" s="14">
        <v>99493</v>
      </c>
      <c r="B627" s="14" t="s">
        <v>22</v>
      </c>
      <c r="C627" s="14" t="s">
        <v>1</v>
      </c>
      <c r="D627" s="14" t="s">
        <v>17341</v>
      </c>
      <c r="E627" s="15" t="str">
        <f>HYPERLINK("https://stat100.ameba.jp/tnk47/ratio20/illustrations/card/ill_99493_shimantogawanoyakatabune03.jpg?202108-5-RELEASE-marathon-546", "■")</f>
        <v>■</v>
      </c>
      <c r="F627" s="14" t="s">
        <v>17340</v>
      </c>
      <c r="G627" s="14">
        <v>46676</v>
      </c>
      <c r="H627" s="14">
        <v>56138</v>
      </c>
      <c r="I627" s="14">
        <v>27</v>
      </c>
      <c r="J627" s="14" t="s">
        <v>26</v>
      </c>
      <c r="K627" s="14" t="s">
        <v>17339</v>
      </c>
      <c r="L627" s="14" t="s">
        <v>28</v>
      </c>
      <c r="M627" s="14" t="s">
        <v>9158</v>
      </c>
      <c r="N627" s="14" t="s">
        <v>9158</v>
      </c>
      <c r="O627" s="14" t="s">
        <v>9158</v>
      </c>
      <c r="P627" s="14" t="s">
        <v>9158</v>
      </c>
      <c r="Q627" s="14" t="s">
        <v>9158</v>
      </c>
    </row>
    <row r="629" spans="1:17">
      <c r="A629" s="14" t="s">
        <v>3844</v>
      </c>
    </row>
    <row r="630" spans="1:17">
      <c r="A630" s="14">
        <v>110513</v>
      </c>
      <c r="B630" s="14" t="s">
        <v>5932</v>
      </c>
    </row>
    <row r="631" spans="1:17">
      <c r="A631" s="14" t="s">
        <v>6598</v>
      </c>
      <c r="B631" s="14" t="s">
        <v>330</v>
      </c>
      <c r="C631" s="14" t="s">
        <v>35</v>
      </c>
      <c r="D631" s="19" t="s">
        <v>10555</v>
      </c>
      <c r="E631" s="15" t="str">
        <f>HYPERLINK("https://stat100.ameba.jp/tnk47/ratio20/illustrations/card/ill_83553_0_kajuenamoronagu03.jpg?202108-5-RELEASE-marathon-546", "■")</f>
        <v>■</v>
      </c>
      <c r="F631" s="14" t="s">
        <v>6597</v>
      </c>
      <c r="G631" s="14">
        <v>284219</v>
      </c>
      <c r="H631" s="14">
        <v>314478</v>
      </c>
      <c r="I631" s="14">
        <v>27</v>
      </c>
      <c r="J631" s="14" t="s">
        <v>44</v>
      </c>
      <c r="K631" s="14" t="s">
        <v>6595</v>
      </c>
      <c r="L631" s="14" t="s">
        <v>6594</v>
      </c>
      <c r="M631" s="14" t="s">
        <v>9158</v>
      </c>
      <c r="N631" s="14" t="s">
        <v>9158</v>
      </c>
      <c r="O631" s="19" t="s">
        <v>10125</v>
      </c>
      <c r="P631" s="14" t="s">
        <v>6599</v>
      </c>
      <c r="Q631" s="14">
        <v>1</v>
      </c>
    </row>
    <row r="632" spans="1:17">
      <c r="A632" s="14">
        <v>89013</v>
      </c>
      <c r="B632" s="14" t="s">
        <v>0</v>
      </c>
      <c r="C632" s="14" t="s">
        <v>23</v>
      </c>
      <c r="D632" s="18" t="s">
        <v>12538</v>
      </c>
      <c r="E632" s="15" t="str">
        <f>HYPERLINK("https://stat100.ameba.jp/tnk47/ratio20/illustrations/card/ill_89013_efuwanresutokugawaieyasu03.jpg?202108-5-RELEASE-marathon-546", "■")</f>
        <v>■</v>
      </c>
      <c r="F632" s="14" t="s">
        <v>12539</v>
      </c>
      <c r="G632" s="14">
        <v>160296</v>
      </c>
      <c r="H632" s="14">
        <v>172397</v>
      </c>
      <c r="I632" s="14">
        <v>29</v>
      </c>
      <c r="J632" s="14" t="s">
        <v>143</v>
      </c>
      <c r="K632" s="14" t="s">
        <v>12540</v>
      </c>
      <c r="L632" s="14" t="s">
        <v>12026</v>
      </c>
      <c r="M632" s="14" t="s">
        <v>9158</v>
      </c>
      <c r="N632" s="14" t="s">
        <v>9158</v>
      </c>
      <c r="O632" s="6" t="s">
        <v>3624</v>
      </c>
      <c r="P632" s="7" t="s">
        <v>3625</v>
      </c>
      <c r="Q632" s="7">
        <v>1</v>
      </c>
    </row>
    <row r="633" spans="1:17">
      <c r="A633" s="14">
        <v>82373</v>
      </c>
      <c r="B633" s="14" t="s">
        <v>334</v>
      </c>
      <c r="C633" s="14" t="s">
        <v>191</v>
      </c>
      <c r="D633" s="6" t="s">
        <v>10020</v>
      </c>
      <c r="E633" s="15" t="str">
        <f>HYPERLINK("https://stat100.ameba.jp/tnk47/ratio20/illustrations/card/ill_82373_bikinigaruyasharyujin03.jpg?202108-5-RELEASE-marathon-546", "■")</f>
        <v>■</v>
      </c>
      <c r="F633" s="14" t="s">
        <v>5397</v>
      </c>
      <c r="G633" s="14">
        <v>118287</v>
      </c>
      <c r="H633" s="14">
        <v>109970</v>
      </c>
      <c r="I633" s="14">
        <v>29</v>
      </c>
      <c r="J633" s="14" t="s">
        <v>44</v>
      </c>
      <c r="K633" s="14" t="s">
        <v>5398</v>
      </c>
      <c r="L633" s="14" t="s">
        <v>3356</v>
      </c>
      <c r="M633" s="14" t="s">
        <v>9158</v>
      </c>
      <c r="N633" s="14" t="s">
        <v>9158</v>
      </c>
      <c r="O633" s="6" t="s">
        <v>3578</v>
      </c>
      <c r="P633" s="14" t="s">
        <v>3579</v>
      </c>
      <c r="Q633" s="14">
        <v>1</v>
      </c>
    </row>
    <row r="634" spans="1:17">
      <c r="A634" s="9">
        <v>55273</v>
      </c>
      <c r="B634" s="14" t="s">
        <v>0</v>
      </c>
      <c r="C634" s="14" t="s">
        <v>206</v>
      </c>
      <c r="D634" s="14" t="s">
        <v>4741</v>
      </c>
      <c r="E634" s="15" t="str">
        <f>HYPERLINK("https://stat100.ameba.jp/tnk47/ratio20/illustrations/card/ill_55273_harointachibanamuneshige03.jpg?202108-5-RELEASE-marathon-546", "■")</f>
        <v>■</v>
      </c>
      <c r="F634" s="14" t="s">
        <v>4742</v>
      </c>
      <c r="G634" s="14">
        <v>103924</v>
      </c>
      <c r="H634" s="14">
        <v>171911</v>
      </c>
      <c r="I634" s="14">
        <v>29</v>
      </c>
      <c r="J634" s="14" t="s">
        <v>143</v>
      </c>
      <c r="K634" s="14" t="s">
        <v>4743</v>
      </c>
      <c r="L634" s="14" t="s">
        <v>4744</v>
      </c>
      <c r="M634" s="14" t="s">
        <v>9158</v>
      </c>
      <c r="N634" s="14" t="s">
        <v>9158</v>
      </c>
      <c r="O634" s="9" t="s">
        <v>4745</v>
      </c>
      <c r="P634" s="14" t="s">
        <v>13145</v>
      </c>
      <c r="Q634" s="14">
        <v>1</v>
      </c>
    </row>
    <row r="636" spans="1:17">
      <c r="A636" s="14" t="s">
        <v>4065</v>
      </c>
    </row>
    <row r="637" spans="1:17">
      <c r="A637" s="14">
        <v>110516</v>
      </c>
      <c r="B637" s="14" t="s">
        <v>5948</v>
      </c>
    </row>
    <row r="638" spans="1:17">
      <c r="A638" s="9" t="s">
        <v>9325</v>
      </c>
      <c r="B638" s="7" t="s">
        <v>52</v>
      </c>
      <c r="C638" s="9" t="s">
        <v>202</v>
      </c>
      <c r="D638" s="19" t="s">
        <v>10947</v>
      </c>
      <c r="E638" s="15" t="str">
        <f>HYPERLINK("https://stat100.ameba.jp/tnk47/ratio20/illustrations/card/ill_86893_0_chokonohisukeban03.jpg?202108-5-RELEASE-marathon-546x", "■")</f>
        <v>■</v>
      </c>
      <c r="F638" s="14" t="s">
        <v>9332</v>
      </c>
      <c r="G638" s="9">
        <v>364754</v>
      </c>
      <c r="H638" s="9">
        <v>329646</v>
      </c>
      <c r="I638" s="7">
        <v>28</v>
      </c>
      <c r="J638" s="9" t="s">
        <v>187</v>
      </c>
      <c r="K638" s="14" t="s">
        <v>9330</v>
      </c>
      <c r="L638" s="14" t="s">
        <v>9331</v>
      </c>
      <c r="M638" s="14" t="s">
        <v>9158</v>
      </c>
      <c r="N638" s="14" t="s">
        <v>9158</v>
      </c>
      <c r="O638" s="19" t="s">
        <v>10136</v>
      </c>
      <c r="P638" s="7" t="s">
        <v>9324</v>
      </c>
      <c r="Q638" s="7">
        <v>1</v>
      </c>
    </row>
    <row r="639" spans="1:17">
      <c r="A639" s="14">
        <v>82903</v>
      </c>
      <c r="B639" s="14" t="s">
        <v>334</v>
      </c>
      <c r="C639" s="14" t="s">
        <v>185</v>
      </c>
      <c r="D639" s="19" t="s">
        <v>10439</v>
      </c>
      <c r="E639" s="15" t="str">
        <f>HYPERLINK("https://stat100.ameba.jp/tnk47/ratio20/illustrations/card/ill_82903_yukatamatsurisonobehideo03.jpg?202108-5-RELEASE-marathon-546x", "■")</f>
        <v>■</v>
      </c>
      <c r="F639" s="14" t="s">
        <v>5970</v>
      </c>
      <c r="G639" s="14">
        <v>105465</v>
      </c>
      <c r="H639" s="14">
        <v>98019</v>
      </c>
      <c r="I639" s="14">
        <v>27</v>
      </c>
      <c r="J639" s="14" t="s">
        <v>10</v>
      </c>
      <c r="K639" s="14" t="s">
        <v>5972</v>
      </c>
      <c r="L639" s="14" t="s">
        <v>5973</v>
      </c>
      <c r="M639" s="14" t="s">
        <v>9158</v>
      </c>
      <c r="N639" s="14" t="s">
        <v>9158</v>
      </c>
      <c r="O639" s="19" t="s">
        <v>10102</v>
      </c>
      <c r="P639" s="14" t="s">
        <v>3672</v>
      </c>
      <c r="Q639" s="14">
        <v>1</v>
      </c>
    </row>
    <row r="640" spans="1:17">
      <c r="A640" s="14">
        <v>79963</v>
      </c>
      <c r="B640" s="14" t="s">
        <v>0</v>
      </c>
      <c r="C640" s="14" t="s">
        <v>200</v>
      </c>
      <c r="D640" s="20" t="s">
        <v>10477</v>
      </c>
      <c r="E640" s="15" t="str">
        <f>HYPERLINK("https://stat100.ameba.jp/tnk47/ratio20/illustrations/card/ill_79963_hinamatsurirakko03.jpg?202108-5-RELEASE-marathon-546x", "■")</f>
        <v>■</v>
      </c>
      <c r="F640" s="14" t="s">
        <v>3715</v>
      </c>
      <c r="G640" s="14">
        <v>123002</v>
      </c>
      <c r="H640" s="14">
        <v>114362</v>
      </c>
      <c r="I640" s="14">
        <v>27</v>
      </c>
      <c r="J640" s="14" t="s">
        <v>26</v>
      </c>
      <c r="K640" s="14" t="s">
        <v>3716</v>
      </c>
      <c r="L640" s="14" t="s">
        <v>1086</v>
      </c>
      <c r="M640" s="14" t="s">
        <v>9158</v>
      </c>
      <c r="N640" s="14" t="s">
        <v>9158</v>
      </c>
      <c r="O640" s="19" t="s">
        <v>10090</v>
      </c>
      <c r="P640" s="14" t="s">
        <v>3460</v>
      </c>
      <c r="Q640" s="14">
        <v>1</v>
      </c>
    </row>
    <row r="641" spans="1:18">
      <c r="A641" s="14">
        <v>94973</v>
      </c>
      <c r="B641" s="14" t="s">
        <v>0</v>
      </c>
      <c r="C641" s="14" t="s">
        <v>107</v>
      </c>
      <c r="D641" s="18" t="s">
        <v>15868</v>
      </c>
      <c r="E641" s="15" t="str">
        <f>HYPERLINK("https://stat100.ameba.jp/tnk47/ratio20/illustrations/card/ill_94973_shinshunnisennijuichimiyamotomusashi03.jpg?202108-5-RELEASE-marathon-546x", "■")</f>
        <v>■</v>
      </c>
      <c r="F641" s="14" t="s">
        <v>15867</v>
      </c>
      <c r="G641" s="14">
        <v>127507</v>
      </c>
      <c r="H641" s="14">
        <v>118568</v>
      </c>
      <c r="I641" s="14">
        <v>27</v>
      </c>
      <c r="J641" s="14" t="s">
        <v>143</v>
      </c>
      <c r="K641" s="14" t="s">
        <v>15866</v>
      </c>
      <c r="L641" s="14" t="s">
        <v>13460</v>
      </c>
      <c r="M641" s="14" t="s">
        <v>9158</v>
      </c>
      <c r="N641" s="14" t="s">
        <v>9158</v>
      </c>
      <c r="O641" s="6" t="s">
        <v>3244</v>
      </c>
      <c r="P641" s="7" t="s">
        <v>3245</v>
      </c>
      <c r="Q641" s="7">
        <v>1</v>
      </c>
    </row>
    <row r="643" spans="1:18">
      <c r="A643" s="14" t="s">
        <v>3916</v>
      </c>
    </row>
    <row r="644" spans="1:18">
      <c r="A644" s="14">
        <v>110521</v>
      </c>
      <c r="B644" s="14" t="s">
        <v>17546</v>
      </c>
    </row>
    <row r="645" spans="1:18">
      <c r="A645" s="14">
        <v>71013</v>
      </c>
      <c r="B645" s="14" t="s">
        <v>334</v>
      </c>
      <c r="C645" s="14" t="s">
        <v>154</v>
      </c>
      <c r="D645" s="19" t="s">
        <v>837</v>
      </c>
      <c r="E645" s="15" t="str">
        <f>HYPERLINK("https://stat100.ameba.jp/tnk47/ratio20/illustrations/card/ill_71013_fujutsushisarashina03.jpg?202108-5-RELEASE-marathon-546x", "■")</f>
        <v>■</v>
      </c>
      <c r="F645" s="14" t="s">
        <v>838</v>
      </c>
      <c r="G645" s="14">
        <v>116296</v>
      </c>
      <c r="H645" s="14">
        <v>125078</v>
      </c>
      <c r="I645" s="14">
        <v>29</v>
      </c>
      <c r="J645" s="14" t="s">
        <v>155</v>
      </c>
      <c r="K645" s="14" t="s">
        <v>1231</v>
      </c>
      <c r="L645" s="14" t="s">
        <v>13152</v>
      </c>
      <c r="M645" s="14" t="s">
        <v>9864</v>
      </c>
      <c r="N645" s="14" t="s">
        <v>9158</v>
      </c>
      <c r="O645" s="14" t="s">
        <v>9158</v>
      </c>
      <c r="P645" s="14" t="s">
        <v>9158</v>
      </c>
      <c r="Q645" s="14" t="s">
        <v>9158</v>
      </c>
    </row>
    <row r="646" spans="1:18">
      <c r="A646" s="14">
        <v>71023</v>
      </c>
      <c r="B646" s="14" t="s">
        <v>334</v>
      </c>
      <c r="C646" s="14" t="s">
        <v>158</v>
      </c>
      <c r="D646" s="19" t="s">
        <v>841</v>
      </c>
      <c r="E646" s="15" t="str">
        <f>HYPERLINK("https://stat100.ameba.jp/tnk47/ratio20/illustrations/card/ill_71023_ommyojiiroha03.jpg?202108-5-RELEASE-marathon-546x", "■")</f>
        <v>■</v>
      </c>
      <c r="F646" s="14" t="s">
        <v>842</v>
      </c>
      <c r="G646" s="14">
        <v>116296</v>
      </c>
      <c r="H646" s="14">
        <v>125078</v>
      </c>
      <c r="I646" s="14">
        <v>29</v>
      </c>
      <c r="J646" s="14" t="s">
        <v>159</v>
      </c>
      <c r="K646" s="14" t="s">
        <v>1232</v>
      </c>
      <c r="L646" s="14" t="s">
        <v>1233</v>
      </c>
      <c r="M646" s="14" t="s">
        <v>9158</v>
      </c>
      <c r="N646" s="14" t="s">
        <v>9158</v>
      </c>
      <c r="O646" s="14" t="s">
        <v>9158</v>
      </c>
      <c r="P646" s="14" t="s">
        <v>9158</v>
      </c>
      <c r="Q646" s="14" t="s">
        <v>9158</v>
      </c>
    </row>
    <row r="647" spans="1:18">
      <c r="A647" s="14">
        <v>66053</v>
      </c>
      <c r="B647" s="14" t="s">
        <v>334</v>
      </c>
      <c r="C647" s="14" t="s">
        <v>205</v>
      </c>
      <c r="D647" s="19" t="s">
        <v>3046</v>
      </c>
      <c r="E647" s="15" t="str">
        <f>HYPERLINK("https://stat100.ameba.jp/tnk47/ratio20/illustrations/card/ill_66053_serebukushiyatamanokami03.jpg?202108-5-RELEASE-marathon-546x", "■")</f>
        <v>■</v>
      </c>
      <c r="F647" s="14" t="s">
        <v>2265</v>
      </c>
      <c r="G647" s="14">
        <v>118287</v>
      </c>
      <c r="H647" s="14">
        <v>109970</v>
      </c>
      <c r="I647" s="14">
        <v>29</v>
      </c>
      <c r="J647" s="14" t="s">
        <v>44</v>
      </c>
      <c r="K647" s="14" t="s">
        <v>2266</v>
      </c>
      <c r="L647" s="14" t="s">
        <v>1860</v>
      </c>
      <c r="M647" s="14" t="s">
        <v>9158</v>
      </c>
      <c r="N647" s="14" t="s">
        <v>9158</v>
      </c>
      <c r="O647" s="14" t="s">
        <v>9158</v>
      </c>
      <c r="P647" s="14" t="s">
        <v>9158</v>
      </c>
      <c r="Q647" s="14" t="s">
        <v>9158</v>
      </c>
    </row>
    <row r="648" spans="1:18">
      <c r="A648" s="14">
        <v>65923</v>
      </c>
      <c r="B648" s="14" t="s">
        <v>334</v>
      </c>
      <c r="C648" s="14" t="s">
        <v>185</v>
      </c>
      <c r="D648" s="19" t="s">
        <v>10204</v>
      </c>
      <c r="E648" s="15" t="str">
        <f>HYPERLINK("https://stat100.ameba.jp/tnk47/ratio20/illustrations/card/ill_65923_arabianginko03.jpg?202108-5-RELEASE-marathon-546x", "■")</f>
        <v>■</v>
      </c>
      <c r="F648" s="14" t="s">
        <v>4978</v>
      </c>
      <c r="G648" s="14">
        <v>120830</v>
      </c>
      <c r="H648" s="14">
        <v>112369</v>
      </c>
      <c r="I648" s="14">
        <v>29</v>
      </c>
      <c r="J648" s="14" t="s">
        <v>182</v>
      </c>
      <c r="K648" s="14" t="s">
        <v>3679</v>
      </c>
      <c r="L648" s="14" t="s">
        <v>13188</v>
      </c>
      <c r="M648" s="14" t="s">
        <v>9158</v>
      </c>
      <c r="N648" s="14" t="s">
        <v>9158</v>
      </c>
      <c r="O648" s="14" t="s">
        <v>9158</v>
      </c>
      <c r="P648" s="14" t="s">
        <v>9158</v>
      </c>
      <c r="Q648" s="14" t="s">
        <v>9158</v>
      </c>
    </row>
    <row r="649" spans="1:18">
      <c r="A649" s="14">
        <v>52863</v>
      </c>
      <c r="B649" s="14" t="s">
        <v>15</v>
      </c>
      <c r="C649" s="14" t="s">
        <v>191</v>
      </c>
      <c r="D649" s="19" t="s">
        <v>10516</v>
      </c>
      <c r="E649" s="15" t="str">
        <f>HYPERLINK("https://stat100.ameba.jp/tnk47/ratio20/illustrations/card/ill_52863_andoroidokingyonota03.jpg?202108-5-RELEASE-marathon-546x", "■")</f>
        <v>■</v>
      </c>
      <c r="F649" s="14" t="s">
        <v>6409</v>
      </c>
      <c r="G649" s="14">
        <v>64520</v>
      </c>
      <c r="H649" s="14">
        <v>71136</v>
      </c>
      <c r="I649" s="14">
        <v>24</v>
      </c>
      <c r="J649" s="14" t="s">
        <v>38</v>
      </c>
      <c r="K649" s="14" t="s">
        <v>6407</v>
      </c>
      <c r="L649" s="14" t="s">
        <v>6406</v>
      </c>
      <c r="M649" s="14" t="s">
        <v>9158</v>
      </c>
      <c r="N649" s="14" t="s">
        <v>9158</v>
      </c>
      <c r="O649" s="14" t="s">
        <v>9158</v>
      </c>
      <c r="P649" s="14" t="s">
        <v>9158</v>
      </c>
      <c r="Q649" s="14" t="s">
        <v>9158</v>
      </c>
    </row>
    <row r="650" spans="1:18">
      <c r="A650" s="14">
        <v>51593</v>
      </c>
      <c r="B650" s="14" t="s">
        <v>15</v>
      </c>
      <c r="C650" s="14" t="s">
        <v>200</v>
      </c>
      <c r="D650" s="19" t="s">
        <v>10517</v>
      </c>
      <c r="E650" s="15" t="str">
        <f>HYPERLINK("https://stat100.ameba.jp/tnk47/ratio20/illustrations/card/ill_51593_kishuhondatadakatsu03.jpg?202108-5-RELEASE-marathon-546x", "■")</f>
        <v>■</v>
      </c>
      <c r="F650" s="14" t="s">
        <v>6413</v>
      </c>
      <c r="G650" s="14">
        <v>64520</v>
      </c>
      <c r="H650" s="14">
        <v>71136</v>
      </c>
      <c r="I650" s="14">
        <v>24</v>
      </c>
      <c r="J650" s="14" t="s">
        <v>143</v>
      </c>
      <c r="K650" s="14" t="s">
        <v>6411</v>
      </c>
      <c r="L650" s="14" t="s">
        <v>6410</v>
      </c>
      <c r="M650" s="14" t="s">
        <v>9158</v>
      </c>
      <c r="N650" s="14" t="s">
        <v>9158</v>
      </c>
      <c r="O650" s="14" t="s">
        <v>9158</v>
      </c>
      <c r="P650" s="14" t="s">
        <v>9158</v>
      </c>
      <c r="Q650" s="14" t="s">
        <v>9158</v>
      </c>
    </row>
    <row r="651" spans="1:18">
      <c r="A651" s="14">
        <v>55403</v>
      </c>
      <c r="B651" s="14" t="s">
        <v>15</v>
      </c>
      <c r="C651" s="14" t="s">
        <v>165</v>
      </c>
      <c r="D651" s="19" t="s">
        <v>10518</v>
      </c>
      <c r="E651" s="15" t="str">
        <f>HYPERLINK("https://stat100.ameba.jp/tnk47/ratio20/illustrations/card/ill_55403_undokaikyogokumaria03.jpg?202108-5-RELEASE-marathon-546x", "■")</f>
        <v>■</v>
      </c>
      <c r="F651" s="14" t="s">
        <v>6417</v>
      </c>
      <c r="G651" s="14">
        <v>71136</v>
      </c>
      <c r="H651" s="14">
        <v>64520</v>
      </c>
      <c r="I651" s="14">
        <v>24</v>
      </c>
      <c r="J651" s="14" t="s">
        <v>77</v>
      </c>
      <c r="K651" s="14" t="s">
        <v>6415</v>
      </c>
      <c r="L651" s="14" t="s">
        <v>6414</v>
      </c>
      <c r="M651" s="14" t="s">
        <v>9158</v>
      </c>
      <c r="N651" s="14" t="s">
        <v>9158</v>
      </c>
      <c r="O651" s="14" t="s">
        <v>9158</v>
      </c>
      <c r="P651" s="14" t="s">
        <v>9158</v>
      </c>
      <c r="Q651" s="14" t="s">
        <v>9158</v>
      </c>
    </row>
    <row r="652" spans="1:18">
      <c r="A652" s="14">
        <v>52973</v>
      </c>
      <c r="B652" s="14" t="s">
        <v>15</v>
      </c>
      <c r="C652" s="14" t="s">
        <v>206</v>
      </c>
      <c r="D652" s="19" t="s">
        <v>10519</v>
      </c>
      <c r="E652" s="15" t="str">
        <f>HYPERLINK("https://stat100.ameba.jp/tnk47/ratio20/illustrations/card/ill_55403_undokaikyogokumaria03.jpg?202108-5-RELEASE-marathon-546x", "■")</f>
        <v>■</v>
      </c>
      <c r="F652" s="14" t="s">
        <v>6421</v>
      </c>
      <c r="G652" s="14">
        <v>71136</v>
      </c>
      <c r="H652" s="14">
        <v>64520</v>
      </c>
      <c r="I652" s="14">
        <v>24</v>
      </c>
      <c r="J652" s="14" t="s">
        <v>44</v>
      </c>
      <c r="K652" s="14" t="s">
        <v>6419</v>
      </c>
      <c r="L652" s="14" t="s">
        <v>6418</v>
      </c>
      <c r="M652" s="14" t="s">
        <v>9158</v>
      </c>
      <c r="N652" s="14" t="s">
        <v>9158</v>
      </c>
      <c r="O652" s="14" t="s">
        <v>9158</v>
      </c>
      <c r="P652" s="14" t="s">
        <v>9158</v>
      </c>
      <c r="Q652" s="14" t="s">
        <v>9864</v>
      </c>
    </row>
    <row r="654" spans="1:18">
      <c r="A654" s="14" t="s">
        <v>3643</v>
      </c>
    </row>
    <row r="655" spans="1:18">
      <c r="A655" s="14">
        <v>110532</v>
      </c>
      <c r="B655" s="14" t="s">
        <v>5954</v>
      </c>
    </row>
    <row r="656" spans="1:18">
      <c r="A656" s="14">
        <v>91795</v>
      </c>
      <c r="B656" s="14" t="s">
        <v>0</v>
      </c>
      <c r="C656" s="14" t="s">
        <v>202</v>
      </c>
      <c r="D656" s="18" t="s">
        <v>14594</v>
      </c>
      <c r="E656" s="15" t="str">
        <f>HYPERLINK("https://stat100.ameba.jp/tnk47/ratio20/illustrations/card/ill_91795_porisufugusashichan05.jpg?202108-5-RELEASE-marathon-546x", "■")</f>
        <v>■</v>
      </c>
      <c r="F656" s="14" t="s">
        <v>14593</v>
      </c>
      <c r="G656" s="14">
        <v>125359</v>
      </c>
      <c r="H656" s="14">
        <v>173127</v>
      </c>
      <c r="I656" s="14">
        <v>29</v>
      </c>
      <c r="J656" s="14" t="s">
        <v>104</v>
      </c>
      <c r="K656" s="14" t="s">
        <v>14591</v>
      </c>
      <c r="L656" s="14" t="s">
        <v>14590</v>
      </c>
      <c r="M656" s="14" t="s">
        <v>9158</v>
      </c>
      <c r="N656" s="14" t="s">
        <v>9158</v>
      </c>
      <c r="O656" s="14" t="s">
        <v>9158</v>
      </c>
      <c r="P656" s="14" t="s">
        <v>9158</v>
      </c>
      <c r="Q656" s="14" t="s">
        <v>9158</v>
      </c>
      <c r="R656" s="14" t="s">
        <v>174</v>
      </c>
    </row>
    <row r="657" spans="1:18">
      <c r="A657" s="14">
        <v>91793</v>
      </c>
      <c r="B657" s="14" t="s">
        <v>15</v>
      </c>
      <c r="C657" s="14" t="s">
        <v>41</v>
      </c>
      <c r="D657" s="18" t="s">
        <v>14594</v>
      </c>
      <c r="E657" s="15" t="str">
        <f>HYPERLINK("https://stat100.ameba.jp/tnk47/ratio20/illustrations/card/ill_91793_porisufugusashichan03.jpg?202108-5-RELEASE-marathon-546x", "■")</f>
        <v>■</v>
      </c>
      <c r="F657" s="14" t="s">
        <v>14593</v>
      </c>
      <c r="G657" s="14">
        <v>92359</v>
      </c>
      <c r="H657" s="14">
        <v>127556</v>
      </c>
      <c r="I657" s="14">
        <v>29</v>
      </c>
      <c r="J657" s="14" t="s">
        <v>104</v>
      </c>
      <c r="K657" s="14" t="s">
        <v>14591</v>
      </c>
      <c r="L657" s="14" t="s">
        <v>13966</v>
      </c>
      <c r="M657" s="14" t="s">
        <v>9158</v>
      </c>
      <c r="N657" s="14" t="s">
        <v>9158</v>
      </c>
      <c r="O657" s="14" t="s">
        <v>9158</v>
      </c>
      <c r="P657" s="14" t="s">
        <v>9158</v>
      </c>
      <c r="Q657" s="14" t="s">
        <v>9158</v>
      </c>
      <c r="R657" s="14" t="s">
        <v>175</v>
      </c>
    </row>
    <row r="658" spans="1:18">
      <c r="A658" s="14">
        <v>91791</v>
      </c>
      <c r="B658" s="14" t="s">
        <v>15</v>
      </c>
      <c r="C658" s="14" t="s">
        <v>41</v>
      </c>
      <c r="D658" s="18" t="s">
        <v>14594</v>
      </c>
      <c r="E658" s="15" t="str">
        <f>HYPERLINK("https://stat100.ameba.jp/tnk47/ratio20/illustrations/card/ill_91791_porisufugusashichan01.jpg?202108-5-RELEASE-marathon-546x", "■")</f>
        <v>■</v>
      </c>
      <c r="F658" s="14" t="s">
        <v>14593</v>
      </c>
      <c r="G658" s="14">
        <v>58754</v>
      </c>
      <c r="H658" s="14">
        <v>81142</v>
      </c>
      <c r="I658" s="14">
        <v>29</v>
      </c>
      <c r="J658" s="14" t="s">
        <v>104</v>
      </c>
      <c r="K658" s="14" t="s">
        <v>14591</v>
      </c>
      <c r="L658" s="14" t="s">
        <v>14597</v>
      </c>
      <c r="M658" s="14" t="s">
        <v>9158</v>
      </c>
      <c r="N658" s="14" t="s">
        <v>9158</v>
      </c>
      <c r="O658" s="14" t="s">
        <v>9158</v>
      </c>
      <c r="P658" s="14" t="s">
        <v>9158</v>
      </c>
      <c r="Q658" s="14" t="s">
        <v>9158</v>
      </c>
      <c r="R658" s="14" t="s">
        <v>176</v>
      </c>
    </row>
    <row r="659" spans="1:18">
      <c r="A659" s="14">
        <v>93885</v>
      </c>
      <c r="B659" s="14" t="s">
        <v>0</v>
      </c>
      <c r="C659" s="14" t="s">
        <v>202</v>
      </c>
      <c r="D659" s="18" t="s">
        <v>15565</v>
      </c>
      <c r="E659" s="15" t="str">
        <f>HYPERLINK("https://stat100.ameba.jp/tnk47/ratio20/illustrations/card/ill_93885_hyakujukireo05.jpg?202108-5-RELEASE-marathon-546x", "■")</f>
        <v>■</v>
      </c>
      <c r="F659" s="14" t="s">
        <v>15564</v>
      </c>
      <c r="G659" s="14">
        <v>150263</v>
      </c>
      <c r="H659" s="14">
        <v>207526</v>
      </c>
      <c r="I659" s="14">
        <v>29</v>
      </c>
      <c r="J659" s="14" t="s">
        <v>143</v>
      </c>
      <c r="K659" s="14" t="s">
        <v>15562</v>
      </c>
      <c r="L659" s="14" t="s">
        <v>12361</v>
      </c>
      <c r="M659" s="14" t="s">
        <v>9158</v>
      </c>
      <c r="N659" s="14" t="s">
        <v>9158</v>
      </c>
      <c r="O659" s="14" t="s">
        <v>9158</v>
      </c>
      <c r="P659" s="14" t="s">
        <v>9158</v>
      </c>
      <c r="Q659" s="14" t="s">
        <v>9158</v>
      </c>
      <c r="R659" s="14" t="s">
        <v>174</v>
      </c>
    </row>
    <row r="660" spans="1:18">
      <c r="A660" s="14">
        <v>93883</v>
      </c>
      <c r="B660" s="14" t="s">
        <v>15</v>
      </c>
      <c r="C660" s="14" t="s">
        <v>41</v>
      </c>
      <c r="D660" s="18" t="s">
        <v>15565</v>
      </c>
      <c r="E660" s="15" t="str">
        <f>HYPERLINK("https://stat100.ameba.jp/tnk47/ratio20/illustrations/card/ill_93883_hyakujukireo03.jpg?202108-5-RELEASE-marathon-546x", "■")</f>
        <v>■</v>
      </c>
      <c r="F660" s="14" t="s">
        <v>15564</v>
      </c>
      <c r="G660" s="14">
        <v>110708</v>
      </c>
      <c r="H660" s="14">
        <v>152904</v>
      </c>
      <c r="I660" s="14">
        <v>29</v>
      </c>
      <c r="J660" s="14" t="s">
        <v>143</v>
      </c>
      <c r="K660" s="14" t="s">
        <v>15562</v>
      </c>
      <c r="L660" s="14" t="s">
        <v>13527</v>
      </c>
      <c r="M660" s="14" t="s">
        <v>9158</v>
      </c>
      <c r="N660" s="14" t="s">
        <v>9158</v>
      </c>
      <c r="O660" s="14" t="s">
        <v>9158</v>
      </c>
      <c r="P660" s="14" t="s">
        <v>9158</v>
      </c>
      <c r="Q660" s="14" t="s">
        <v>9158</v>
      </c>
      <c r="R660" s="14" t="s">
        <v>175</v>
      </c>
    </row>
    <row r="661" spans="1:18">
      <c r="A661" s="14">
        <v>93881</v>
      </c>
      <c r="B661" s="14" t="s">
        <v>15</v>
      </c>
      <c r="C661" s="14" t="s">
        <v>41</v>
      </c>
      <c r="D661" s="18" t="s">
        <v>15565</v>
      </c>
      <c r="E661" s="15" t="str">
        <f>HYPERLINK("https://stat100.ameba.jp/tnk47/ratio20/illustrations/card/ill_93881_hyakujukireo01.jpg?202108-5-RELEASE-marathon-546x", "■")</f>
        <v>■</v>
      </c>
      <c r="F661" s="14" t="s">
        <v>15564</v>
      </c>
      <c r="G661" s="14">
        <v>70441</v>
      </c>
      <c r="H661" s="14">
        <v>97266</v>
      </c>
      <c r="I661" s="14">
        <v>29</v>
      </c>
      <c r="J661" s="14" t="s">
        <v>143</v>
      </c>
      <c r="K661" s="14" t="s">
        <v>15562</v>
      </c>
      <c r="L661" s="14" t="s">
        <v>13528</v>
      </c>
      <c r="M661" s="14" t="s">
        <v>9158</v>
      </c>
      <c r="N661" s="14" t="s">
        <v>9158</v>
      </c>
      <c r="O661" s="14" t="s">
        <v>9158</v>
      </c>
      <c r="P661" s="14" t="s">
        <v>9158</v>
      </c>
      <c r="Q661" s="14" t="s">
        <v>9158</v>
      </c>
      <c r="R661" s="14" t="s">
        <v>176</v>
      </c>
    </row>
    <row r="662" spans="1:18">
      <c r="A662" s="14">
        <v>89805</v>
      </c>
      <c r="B662" s="14" t="s">
        <v>334</v>
      </c>
      <c r="C662" s="14" t="s">
        <v>202</v>
      </c>
      <c r="D662" s="14" t="s">
        <v>13866</v>
      </c>
      <c r="E662" s="15" t="str">
        <f>HYPERLINK("https://stat100.ameba.jp/tnk47/ratio20/illustrations/card/ill_89805_cheripai05.jpg?202108-5-RELEASE-marathon-546x", "■")</f>
        <v>■</v>
      </c>
      <c r="F662" s="14" t="s">
        <v>13867</v>
      </c>
      <c r="G662" s="14">
        <v>207526</v>
      </c>
      <c r="H662" s="14">
        <v>150263</v>
      </c>
      <c r="I662" s="14">
        <v>29</v>
      </c>
      <c r="J662" s="14" t="s">
        <v>104</v>
      </c>
      <c r="K662" s="14" t="s">
        <v>13868</v>
      </c>
      <c r="L662" s="14" t="s">
        <v>4443</v>
      </c>
      <c r="M662" s="14" t="s">
        <v>9158</v>
      </c>
      <c r="N662" s="14" t="s">
        <v>9158</v>
      </c>
      <c r="O662" s="14" t="s">
        <v>9158</v>
      </c>
      <c r="P662" s="14" t="s">
        <v>9158</v>
      </c>
      <c r="Q662" s="14" t="s">
        <v>9158</v>
      </c>
      <c r="R662" s="14" t="s">
        <v>174</v>
      </c>
    </row>
    <row r="663" spans="1:18">
      <c r="A663" s="14">
        <v>89803</v>
      </c>
      <c r="B663" s="14" t="s">
        <v>15</v>
      </c>
      <c r="C663" s="14" t="s">
        <v>209</v>
      </c>
      <c r="D663" s="14" t="s">
        <v>13866</v>
      </c>
      <c r="E663" s="15" t="str">
        <f>HYPERLINK("https://stat100.ameba.jp/tnk47/ratio20/illustrations/card/ill_89803_cheripai03.jpg?202108-5-RELEASE-marathon-546x", "■")</f>
        <v>■</v>
      </c>
      <c r="F663" s="14" t="s">
        <v>13867</v>
      </c>
      <c r="G663" s="14">
        <v>152904</v>
      </c>
      <c r="H663" s="14">
        <v>110708</v>
      </c>
      <c r="I663" s="14">
        <v>29</v>
      </c>
      <c r="J663" s="14" t="s">
        <v>104</v>
      </c>
      <c r="K663" s="14" t="s">
        <v>13868</v>
      </c>
      <c r="L663" s="14" t="s">
        <v>13873</v>
      </c>
      <c r="M663" s="14" t="s">
        <v>9158</v>
      </c>
      <c r="N663" s="14" t="s">
        <v>9158</v>
      </c>
      <c r="O663" s="14" t="s">
        <v>9158</v>
      </c>
      <c r="P663" s="14" t="s">
        <v>9158</v>
      </c>
      <c r="Q663" s="14" t="s">
        <v>9158</v>
      </c>
      <c r="R663" s="14" t="s">
        <v>175</v>
      </c>
    </row>
    <row r="664" spans="1:18">
      <c r="A664" s="14">
        <v>89801</v>
      </c>
      <c r="B664" s="14" t="s">
        <v>15</v>
      </c>
      <c r="C664" s="14" t="s">
        <v>209</v>
      </c>
      <c r="D664" s="14" t="s">
        <v>13866</v>
      </c>
      <c r="E664" s="15" t="str">
        <f>HYPERLINK("https://stat100.ameba.jp/tnk47/ratio20/illustrations/card/ill_89801_cheripai01.jpg?202108-5-RELEASE-marathon-546x", "■")</f>
        <v>■</v>
      </c>
      <c r="F664" s="14" t="s">
        <v>13867</v>
      </c>
      <c r="G664" s="14">
        <v>97266</v>
      </c>
      <c r="H664" s="14">
        <v>70441</v>
      </c>
      <c r="I664" s="14">
        <v>29</v>
      </c>
      <c r="J664" s="14" t="s">
        <v>104</v>
      </c>
      <c r="K664" s="14" t="s">
        <v>13868</v>
      </c>
      <c r="L664" s="14" t="s">
        <v>5193</v>
      </c>
      <c r="M664" s="14" t="s">
        <v>9158</v>
      </c>
      <c r="N664" s="14" t="s">
        <v>9158</v>
      </c>
      <c r="O664" s="14" t="s">
        <v>9158</v>
      </c>
      <c r="P664" s="14" t="s">
        <v>9158</v>
      </c>
      <c r="Q664" s="14" t="s">
        <v>9158</v>
      </c>
      <c r="R664" s="14" t="s">
        <v>176</v>
      </c>
    </row>
    <row r="665" spans="1:18">
      <c r="I665" s="7"/>
    </row>
    <row r="666" spans="1:18">
      <c r="A666" s="14" t="s">
        <v>3844</v>
      </c>
      <c r="I666" s="7"/>
    </row>
    <row r="667" spans="1:18">
      <c r="A667" s="14">
        <v>110550</v>
      </c>
      <c r="B667" s="14" t="s">
        <v>17547</v>
      </c>
      <c r="I667" s="7"/>
    </row>
    <row r="668" spans="1:18">
      <c r="A668" s="14" t="s">
        <v>13086</v>
      </c>
      <c r="B668" s="7" t="s">
        <v>52</v>
      </c>
      <c r="C668" s="14" t="s">
        <v>202</v>
      </c>
      <c r="D668" s="18" t="s">
        <v>13084</v>
      </c>
      <c r="E668" s="15" t="str">
        <f>HYPERLINK("https://stat100.ameba.jp/tnk47/ratio20/illustrations/card/ill_89703_0_jumburaidohimiko03.jpg?202108-5-RELEASE-marathon-546x", "■")</f>
        <v>■</v>
      </c>
      <c r="F668" s="14" t="s">
        <v>13085</v>
      </c>
      <c r="G668" s="14">
        <v>344095</v>
      </c>
      <c r="H668" s="14">
        <v>281517</v>
      </c>
      <c r="I668" s="7">
        <v>27</v>
      </c>
      <c r="J668" s="14" t="s">
        <v>10</v>
      </c>
      <c r="K668" s="14" t="s">
        <v>13087</v>
      </c>
      <c r="L668" s="14" t="s">
        <v>12016</v>
      </c>
      <c r="M668" s="14" t="s">
        <v>9158</v>
      </c>
      <c r="N668" s="14" t="s">
        <v>9158</v>
      </c>
      <c r="O668" s="6" t="s">
        <v>13088</v>
      </c>
      <c r="P668" s="7" t="s">
        <v>13089</v>
      </c>
      <c r="Q668" s="7">
        <v>1</v>
      </c>
    </row>
    <row r="669" spans="1:18">
      <c r="A669" s="9">
        <v>52593</v>
      </c>
      <c r="B669" s="9" t="s">
        <v>334</v>
      </c>
      <c r="C669" s="9" t="s">
        <v>185</v>
      </c>
      <c r="D669" s="9" t="s">
        <v>10287</v>
      </c>
      <c r="E669" s="15" t="str">
        <f>HYPERLINK("https://stat100.ameba.jp/tnk47/ratio20/illustrations/card/ill_52593_sengokumibirakikitsunenohoju03.jpg?202108-5-RELEASE-marathon-546x", "■")</f>
        <v>■</v>
      </c>
      <c r="F669" s="9" t="s">
        <v>11192</v>
      </c>
      <c r="G669" s="14">
        <v>111776</v>
      </c>
      <c r="H669" s="14">
        <v>103924</v>
      </c>
      <c r="I669" s="14">
        <v>29</v>
      </c>
      <c r="J669" s="9" t="s">
        <v>274</v>
      </c>
      <c r="K669" s="9" t="s">
        <v>11193</v>
      </c>
      <c r="L669" s="9" t="s">
        <v>11194</v>
      </c>
      <c r="M669" s="14" t="s">
        <v>9158</v>
      </c>
      <c r="N669" s="14" t="s">
        <v>9158</v>
      </c>
      <c r="O669" s="9" t="s">
        <v>11195</v>
      </c>
      <c r="P669" s="9" t="s">
        <v>13124</v>
      </c>
      <c r="Q669" s="9">
        <v>1</v>
      </c>
    </row>
    <row r="670" spans="1:18">
      <c r="A670" s="14">
        <v>84153</v>
      </c>
      <c r="B670" s="14" t="s">
        <v>0</v>
      </c>
      <c r="C670" s="14" t="s">
        <v>165</v>
      </c>
      <c r="D670" s="20" t="s">
        <v>14065</v>
      </c>
      <c r="E670" s="15" t="str">
        <f>HYPERLINK("https://stat100.ameba.jp/tnk47/ratio20/illustrations/card/ill_84153_tarottotoyotomihideyori03.jpg?202108-5-RELEASE-marathon-546x", "■")</f>
        <v>■</v>
      </c>
      <c r="F670" s="14" t="s">
        <v>7155</v>
      </c>
      <c r="G670" s="14">
        <v>172397</v>
      </c>
      <c r="H670" s="14">
        <v>160296</v>
      </c>
      <c r="I670" s="14">
        <v>29</v>
      </c>
      <c r="J670" s="14" t="s">
        <v>143</v>
      </c>
      <c r="K670" s="14" t="s">
        <v>7156</v>
      </c>
      <c r="L670" s="14" t="s">
        <v>145</v>
      </c>
      <c r="M670" s="14" t="s">
        <v>9158</v>
      </c>
      <c r="N670" s="14" t="s">
        <v>9158</v>
      </c>
      <c r="O670" s="19" t="s">
        <v>10090</v>
      </c>
      <c r="P670" s="14" t="s">
        <v>3460</v>
      </c>
      <c r="Q670" s="14">
        <v>1</v>
      </c>
    </row>
    <row r="671" spans="1:18">
      <c r="A671" s="14">
        <v>56443</v>
      </c>
      <c r="B671" s="14" t="s">
        <v>0</v>
      </c>
      <c r="C671" s="14" t="s">
        <v>205</v>
      </c>
      <c r="D671" s="20" t="s">
        <v>10314</v>
      </c>
      <c r="E671" s="15" t="str">
        <f>HYPERLINK("https://stat100.ameba.jp/tnk47/ratio20/illustrations/card/ill_56443_poppukurisumasuizumonokuni03.jpg?202108-5-RELEASE-marathon-546x", "■")</f>
        <v>■</v>
      </c>
      <c r="F671" s="14" t="s">
        <v>1151</v>
      </c>
      <c r="G671" s="14">
        <v>103924</v>
      </c>
      <c r="H671" s="14">
        <v>111776</v>
      </c>
      <c r="I671" s="14">
        <v>29</v>
      </c>
      <c r="J671" s="14" t="s">
        <v>10</v>
      </c>
      <c r="K671" s="14" t="s">
        <v>1152</v>
      </c>
      <c r="L671" s="14" t="s">
        <v>1153</v>
      </c>
      <c r="M671" s="14" t="s">
        <v>9864</v>
      </c>
      <c r="N671" s="14" t="s">
        <v>9158</v>
      </c>
      <c r="O671" s="19" t="s">
        <v>10119</v>
      </c>
      <c r="P671" s="14" t="s">
        <v>3662</v>
      </c>
      <c r="Q671" s="14">
        <v>1</v>
      </c>
    </row>
    <row r="673" spans="1:18">
      <c r="A673" s="14" t="s">
        <v>13327</v>
      </c>
    </row>
    <row r="674" spans="1:18">
      <c r="A674" s="14">
        <v>110553</v>
      </c>
      <c r="B674" s="14" t="s">
        <v>17548</v>
      </c>
    </row>
    <row r="675" spans="1:18">
      <c r="A675" s="14">
        <v>90183</v>
      </c>
      <c r="B675" s="14" t="s">
        <v>0</v>
      </c>
      <c r="C675" s="14" t="s">
        <v>335</v>
      </c>
      <c r="D675" s="14" t="s">
        <v>13264</v>
      </c>
      <c r="E675" s="15" t="str">
        <f>HYPERLINK("https://stat100.ameba.jp/tnk47/ratio20/illustrations/card/ill_90183_shinsetsunojou03.jpg?202108-5-RELEASE-marathon-546x", "■")</f>
        <v>■</v>
      </c>
      <c r="F675" s="14" t="s">
        <v>13267</v>
      </c>
      <c r="G675" s="14">
        <v>132737</v>
      </c>
      <c r="H675" s="14">
        <v>142768</v>
      </c>
      <c r="I675" s="14">
        <v>29</v>
      </c>
      <c r="J675" s="14" t="s">
        <v>44</v>
      </c>
      <c r="K675" s="14" t="s">
        <v>13266</v>
      </c>
      <c r="L675" s="14" t="s">
        <v>13272</v>
      </c>
      <c r="M675" s="14" t="s">
        <v>2138</v>
      </c>
      <c r="N675" s="14" t="s">
        <v>2139</v>
      </c>
      <c r="O675" s="14" t="s">
        <v>9158</v>
      </c>
      <c r="P675" s="14" t="s">
        <v>9158</v>
      </c>
      <c r="Q675" s="14" t="s">
        <v>9158</v>
      </c>
      <c r="R675" s="14" t="s">
        <v>14748</v>
      </c>
    </row>
    <row r="676" spans="1:18">
      <c r="A676" s="14">
        <v>90182</v>
      </c>
      <c r="B676" s="14" t="s">
        <v>0</v>
      </c>
      <c r="C676" s="14" t="s">
        <v>335</v>
      </c>
      <c r="D676" s="14" t="s">
        <v>13264</v>
      </c>
      <c r="E676" s="15" t="str">
        <f>HYPERLINK("https://stat100.ameba.jp/tnk47/ratio20/illustrations/card/ill_90182_shinsetsunojou02.jpg?202108-5-RELEASE-marathon-546x", "■")</f>
        <v>■</v>
      </c>
      <c r="F676" s="14" t="s">
        <v>13267</v>
      </c>
      <c r="G676" s="14">
        <v>109938</v>
      </c>
      <c r="H676" s="14">
        <v>119345</v>
      </c>
      <c r="I676" s="14">
        <v>29</v>
      </c>
      <c r="J676" s="14" t="s">
        <v>44</v>
      </c>
      <c r="K676" s="14" t="s">
        <v>13266</v>
      </c>
      <c r="L676" s="14" t="s">
        <v>13272</v>
      </c>
      <c r="M676" s="14" t="s">
        <v>13270</v>
      </c>
      <c r="N676" s="14" t="s">
        <v>13271</v>
      </c>
      <c r="O676" s="14" t="s">
        <v>9158</v>
      </c>
      <c r="P676" s="14" t="s">
        <v>9158</v>
      </c>
      <c r="Q676" s="14" t="s">
        <v>9158</v>
      </c>
      <c r="R676" s="14" t="s">
        <v>14748</v>
      </c>
    </row>
    <row r="677" spans="1:18">
      <c r="A677" s="14">
        <v>90181</v>
      </c>
      <c r="B677" s="14" t="s">
        <v>0</v>
      </c>
      <c r="C677" s="14" t="s">
        <v>335</v>
      </c>
      <c r="D677" s="14" t="s">
        <v>13264</v>
      </c>
      <c r="E677" s="15" t="str">
        <f>HYPERLINK("https://stat100.ameba.jp/tnk47/ratio20/illustrations/card/ill_90181_shinsetsunojou01.jpg?202108-5-RELEASE-marathon-546x", "■")</f>
        <v>■</v>
      </c>
      <c r="F677" s="14" t="s">
        <v>13267</v>
      </c>
      <c r="G677" s="14">
        <v>84825</v>
      </c>
      <c r="H677" s="14">
        <v>91118</v>
      </c>
      <c r="I677" s="14">
        <v>29</v>
      </c>
      <c r="J677" s="14" t="s">
        <v>44</v>
      </c>
      <c r="K677" s="14" t="s">
        <v>13266</v>
      </c>
      <c r="L677" s="14" t="s">
        <v>13272</v>
      </c>
      <c r="M677" s="14" t="s">
        <v>13270</v>
      </c>
      <c r="N677" s="14" t="s">
        <v>13271</v>
      </c>
      <c r="O677" s="14" t="s">
        <v>9158</v>
      </c>
      <c r="P677" s="14" t="s">
        <v>9158</v>
      </c>
      <c r="Q677" s="14" t="s">
        <v>9158</v>
      </c>
      <c r="R677" s="14" t="s">
        <v>14748</v>
      </c>
    </row>
    <row r="678" spans="1:18">
      <c r="A678" s="14">
        <v>90193</v>
      </c>
      <c r="B678" s="14" t="s">
        <v>0</v>
      </c>
      <c r="C678" s="14" t="s">
        <v>200</v>
      </c>
      <c r="D678" s="14" t="s">
        <v>13273</v>
      </c>
      <c r="E678" s="15" t="str">
        <f>HYPERLINK("https://stat100.ameba.jp/tnk47/ratio20/illustrations/card/ill_90193_puchidebirubani03.jpg?202108-5-RELEASE-marathon-546x", "■")</f>
        <v>■</v>
      </c>
      <c r="F678" s="14" t="s">
        <v>13274</v>
      </c>
      <c r="G678" s="14">
        <v>132737</v>
      </c>
      <c r="H678" s="14">
        <v>142768</v>
      </c>
      <c r="I678" s="14">
        <v>29</v>
      </c>
      <c r="J678" s="14" t="s">
        <v>73</v>
      </c>
      <c r="K678" s="14" t="s">
        <v>13277</v>
      </c>
      <c r="L678" s="14" t="s">
        <v>13276</v>
      </c>
      <c r="M678" s="14" t="s">
        <v>2138</v>
      </c>
      <c r="N678" s="14" t="s">
        <v>2139</v>
      </c>
      <c r="O678" s="14" t="s">
        <v>9158</v>
      </c>
      <c r="P678" s="14" t="s">
        <v>9158</v>
      </c>
      <c r="Q678" s="14" t="s">
        <v>9158</v>
      </c>
      <c r="R678" s="14" t="s">
        <v>14748</v>
      </c>
    </row>
    <row r="679" spans="1:18">
      <c r="A679" s="14">
        <v>90203</v>
      </c>
      <c r="B679" s="14" t="s">
        <v>0</v>
      </c>
      <c r="C679" s="14" t="s">
        <v>307</v>
      </c>
      <c r="D679" s="14" t="s">
        <v>13278</v>
      </c>
      <c r="E679" s="15" t="str">
        <f>HYPERLINK("https://stat100.ameba.jp/tnk47/ratio20/illustrations/card/ill_90203_kyuteigakademeru03.jpg?202108-5-RELEASE-marathon-546x", "■")</f>
        <v>■</v>
      </c>
      <c r="F679" s="14" t="s">
        <v>13279</v>
      </c>
      <c r="G679" s="14">
        <v>132737</v>
      </c>
      <c r="H679" s="14">
        <v>142768</v>
      </c>
      <c r="I679" s="14">
        <v>29</v>
      </c>
      <c r="J679" s="14" t="s">
        <v>10</v>
      </c>
      <c r="K679" s="14" t="s">
        <v>13281</v>
      </c>
      <c r="L679" s="14" t="s">
        <v>13282</v>
      </c>
      <c r="M679" s="14" t="s">
        <v>2138</v>
      </c>
      <c r="N679" s="14" t="s">
        <v>2139</v>
      </c>
      <c r="O679" s="14" t="s">
        <v>9158</v>
      </c>
      <c r="P679" s="14" t="s">
        <v>9158</v>
      </c>
      <c r="Q679" s="14" t="s">
        <v>9158</v>
      </c>
      <c r="R679" s="14" t="s">
        <v>14748</v>
      </c>
    </row>
    <row r="680" spans="1:18">
      <c r="A680" s="14">
        <v>90213</v>
      </c>
      <c r="B680" s="14" t="s">
        <v>0</v>
      </c>
      <c r="C680" s="14" t="s">
        <v>165</v>
      </c>
      <c r="D680" s="14" t="s">
        <v>13283</v>
      </c>
      <c r="E680" s="15" t="str">
        <f>HYPERLINK("https://stat100.ameba.jp/tnk47/ratio20/illustrations/card/ill_90213_kenkyushinomaruyo03.jpg?202108-5-RELEASE-marathon-546x", "■")</f>
        <v>■</v>
      </c>
      <c r="F680" s="14" t="s">
        <v>13284</v>
      </c>
      <c r="G680" s="14">
        <v>142768</v>
      </c>
      <c r="H680" s="14">
        <v>132737</v>
      </c>
      <c r="I680" s="14">
        <v>29</v>
      </c>
      <c r="J680" s="14" t="s">
        <v>16</v>
      </c>
      <c r="K680" s="14" t="s">
        <v>13286</v>
      </c>
      <c r="L680" s="14" t="s">
        <v>13287</v>
      </c>
      <c r="M680" s="14" t="s">
        <v>2138</v>
      </c>
      <c r="N680" s="14" t="s">
        <v>2139</v>
      </c>
      <c r="O680" s="14" t="s">
        <v>9158</v>
      </c>
      <c r="P680" s="14" t="s">
        <v>9158</v>
      </c>
      <c r="Q680" s="14" t="s">
        <v>9158</v>
      </c>
      <c r="R680" s="14" t="s">
        <v>14748</v>
      </c>
    </row>
    <row r="681" spans="1:18">
      <c r="A681" s="14">
        <v>90223</v>
      </c>
      <c r="B681" s="14" t="s">
        <v>0</v>
      </c>
      <c r="C681" s="9" t="s">
        <v>205</v>
      </c>
      <c r="D681" s="14" t="s">
        <v>13288</v>
      </c>
      <c r="E681" s="15" t="str">
        <f>HYPERLINK("https://stat100.ameba.jp/tnk47/ratio20/illustrations/card/ill_90223_karunepurinshipe03.jpg?202108-5-RELEASE-marathon-546x", "■")</f>
        <v>■</v>
      </c>
      <c r="F681" s="14" t="s">
        <v>13289</v>
      </c>
      <c r="G681" s="14">
        <v>142768</v>
      </c>
      <c r="H681" s="14">
        <v>132737</v>
      </c>
      <c r="I681" s="14">
        <v>29</v>
      </c>
      <c r="J681" s="14" t="s">
        <v>104</v>
      </c>
      <c r="K681" s="14" t="s">
        <v>13291</v>
      </c>
      <c r="L681" s="14" t="s">
        <v>13292</v>
      </c>
      <c r="M681" s="14" t="s">
        <v>2138</v>
      </c>
      <c r="N681" s="14" t="s">
        <v>2139</v>
      </c>
      <c r="O681" s="14" t="s">
        <v>9158</v>
      </c>
      <c r="P681" s="14" t="s">
        <v>9158</v>
      </c>
      <c r="Q681" s="14" t="s">
        <v>9158</v>
      </c>
      <c r="R681" s="14" t="s">
        <v>14748</v>
      </c>
    </row>
    <row r="682" spans="1:18">
      <c r="A682" s="14">
        <v>90233</v>
      </c>
      <c r="B682" s="14" t="s">
        <v>0</v>
      </c>
      <c r="C682" s="14" t="s">
        <v>206</v>
      </c>
      <c r="D682" s="14" t="s">
        <v>13293</v>
      </c>
      <c r="E682" s="15" t="str">
        <f>HYPERLINK("https://stat100.ameba.jp/tnk47/ratio20/illustrations/card/ill_90233_kakutokafuante03.jpg?202108-5-RELEASE-marathon-546x", "■")</f>
        <v>■</v>
      </c>
      <c r="F682" s="14" t="s">
        <v>13294</v>
      </c>
      <c r="G682" s="14">
        <v>142768</v>
      </c>
      <c r="H682" s="14">
        <v>132737</v>
      </c>
      <c r="I682" s="14">
        <v>29</v>
      </c>
      <c r="J682" s="14" t="s">
        <v>143</v>
      </c>
      <c r="K682" s="14" t="s">
        <v>13296</v>
      </c>
      <c r="L682" s="14" t="s">
        <v>13297</v>
      </c>
      <c r="M682" s="14" t="s">
        <v>2138</v>
      </c>
      <c r="N682" s="14" t="s">
        <v>2139</v>
      </c>
      <c r="O682" s="14" t="s">
        <v>9158</v>
      </c>
      <c r="P682" s="14" t="s">
        <v>9158</v>
      </c>
      <c r="Q682" s="14" t="s">
        <v>9158</v>
      </c>
      <c r="R682" s="14" t="s">
        <v>14748</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1735-750B-4854-8610-7CADAE3324FA}">
  <dimension ref="A1:T635"/>
  <sheetViews>
    <sheetView zoomScale="55" zoomScaleNormal="55" workbookViewId="0">
      <pane ySplit="1" topLeftCell="A463" activePane="bottomLeft" state="frozen"/>
      <selection activeCell="A231" sqref="A231:Q231"/>
      <selection pane="bottomLeft" activeCell="D476" sqref="D476"/>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17631</v>
      </c>
    </row>
    <row r="4" spans="1:19">
      <c r="A4" s="14">
        <v>312200</v>
      </c>
      <c r="B4" s="14" t="s">
        <v>13481</v>
      </c>
    </row>
    <row r="5" spans="1:19">
      <c r="A5" s="14">
        <v>312249</v>
      </c>
      <c r="B5" s="14" t="s">
        <v>13482</v>
      </c>
    </row>
    <row r="6" spans="1:19">
      <c r="A6" s="14" t="s">
        <v>17555</v>
      </c>
      <c r="B6" s="7" t="s">
        <v>52</v>
      </c>
      <c r="C6" s="14" t="s">
        <v>202</v>
      </c>
      <c r="D6" s="18" t="s">
        <v>17554</v>
      </c>
      <c r="E6" s="15" t="str">
        <f>HYPERLINK("https://stat100.ameba.jp/tnk47/ratio20/illustrations/card/ill_99723_0_natsuyomatsurisuzaku03.jpg?202108-5-RELEASE-marathon-546x", "■")</f>
        <v>■</v>
      </c>
      <c r="F6" s="14" t="s">
        <v>17553</v>
      </c>
      <c r="G6" s="14">
        <v>381870</v>
      </c>
      <c r="H6" s="14">
        <v>312442</v>
      </c>
      <c r="I6" s="7">
        <v>34</v>
      </c>
      <c r="J6" s="14" t="s">
        <v>44</v>
      </c>
      <c r="K6" s="14" t="s">
        <v>17552</v>
      </c>
      <c r="L6" s="14" t="s">
        <v>17551</v>
      </c>
      <c r="M6" s="14" t="s">
        <v>9158</v>
      </c>
      <c r="N6" s="14" t="s">
        <v>9158</v>
      </c>
      <c r="O6" s="14" t="s">
        <v>17550</v>
      </c>
      <c r="P6" s="7" t="s">
        <v>17549</v>
      </c>
      <c r="Q6" s="7">
        <v>1</v>
      </c>
    </row>
    <row r="7" spans="1:19">
      <c r="A7" s="18">
        <v>99673</v>
      </c>
      <c r="B7" s="14" t="s">
        <v>0</v>
      </c>
      <c r="C7" s="14" t="s">
        <v>96</v>
      </c>
      <c r="D7" s="14" t="s">
        <v>17574</v>
      </c>
      <c r="E7" s="15" t="str">
        <f>HYPERLINK("https://stat100.ameba.jp/tnk47/ratio20/illustrations/card/ill_99673_natsuyomatsuriominokane03.jpg?202108-5-RELEASE-marathon-546x", "■")</f>
        <v>■</v>
      </c>
      <c r="F7" s="14" t="s">
        <v>17573</v>
      </c>
      <c r="G7" s="14">
        <v>121646</v>
      </c>
      <c r="H7" s="14">
        <v>113154</v>
      </c>
      <c r="I7" s="14">
        <v>30</v>
      </c>
      <c r="J7" s="14" t="s">
        <v>10</v>
      </c>
      <c r="K7" s="14" t="s">
        <v>17572</v>
      </c>
      <c r="L7" s="14" t="s">
        <v>17571</v>
      </c>
      <c r="M7" s="14" t="s">
        <v>9158</v>
      </c>
      <c r="N7" s="14" t="s">
        <v>9158</v>
      </c>
      <c r="O7" s="7" t="s">
        <v>3490</v>
      </c>
      <c r="P7" s="7" t="s">
        <v>3491</v>
      </c>
      <c r="Q7" s="7">
        <v>1</v>
      </c>
    </row>
    <row r="8" spans="1:19">
      <c r="A8" s="14">
        <v>99663</v>
      </c>
      <c r="B8" s="14" t="s">
        <v>0</v>
      </c>
      <c r="C8" s="14" t="s">
        <v>23</v>
      </c>
      <c r="D8" s="18" t="s">
        <v>17578</v>
      </c>
      <c r="E8" s="15" t="str">
        <f>HYPERLINK("https://stat100.ameba.jp/tnk47/ratio20/illustrations/card/ill_99663_natsuyomatsuriunkoin03.jpg?202108-5-RELEASE-marathon-546x", "■")</f>
        <v>■</v>
      </c>
      <c r="F8" s="14" t="s">
        <v>17577</v>
      </c>
      <c r="G8" s="14">
        <v>127070</v>
      </c>
      <c r="H8" s="14">
        <v>136668</v>
      </c>
      <c r="I8" s="14">
        <v>30</v>
      </c>
      <c r="J8" s="14" t="s">
        <v>77</v>
      </c>
      <c r="K8" s="14" t="s">
        <v>17576</v>
      </c>
      <c r="L8" s="14" t="s">
        <v>17575</v>
      </c>
      <c r="M8" s="14" t="s">
        <v>2138</v>
      </c>
      <c r="N8" s="14" t="s">
        <v>2139</v>
      </c>
      <c r="O8" s="14" t="s">
        <v>9158</v>
      </c>
      <c r="P8" s="14" t="s">
        <v>9158</v>
      </c>
      <c r="Q8" s="14" t="s">
        <v>9158</v>
      </c>
      <c r="R8" s="14" t="s">
        <v>13120</v>
      </c>
    </row>
    <row r="9" spans="1:19">
      <c r="A9" s="14">
        <v>99683</v>
      </c>
      <c r="B9" s="14" t="s">
        <v>0</v>
      </c>
      <c r="C9" s="14" t="s">
        <v>1</v>
      </c>
      <c r="D9" s="18" t="s">
        <v>17581</v>
      </c>
      <c r="E9" s="15" t="str">
        <f>HYPERLINK("https://stat100.ameba.jp/tnk47/ratio20/illustrations/card/ill_99683_natsuyomatsurikiuifurutsuchan03.jpg?202108-5-RELEASE-marathon-546x", "■")</f>
        <v>■</v>
      </c>
      <c r="F9" s="14" t="s">
        <v>17580</v>
      </c>
      <c r="G9" s="14">
        <v>165824</v>
      </c>
      <c r="H9" s="14">
        <v>178342</v>
      </c>
      <c r="I9" s="14">
        <v>30</v>
      </c>
      <c r="J9" s="14" t="s">
        <v>104</v>
      </c>
      <c r="K9" s="14" t="s">
        <v>17579</v>
      </c>
      <c r="L9" s="14" t="s">
        <v>12356</v>
      </c>
      <c r="M9" s="14" t="s">
        <v>2138</v>
      </c>
      <c r="N9" s="14" t="s">
        <v>2139</v>
      </c>
      <c r="O9" s="14" t="s">
        <v>9158</v>
      </c>
      <c r="P9" s="14" t="s">
        <v>9158</v>
      </c>
      <c r="Q9" s="14" t="s">
        <v>9158</v>
      </c>
      <c r="R9" s="14" t="s">
        <v>13120</v>
      </c>
    </row>
    <row r="10" spans="1:19">
      <c r="A10" s="14">
        <v>99693</v>
      </c>
      <c r="B10" s="14" t="s">
        <v>15</v>
      </c>
      <c r="C10" s="14" t="s">
        <v>14</v>
      </c>
      <c r="D10" s="18" t="s">
        <v>17583</v>
      </c>
      <c r="E10" s="15" t="str">
        <f>HYPERLINK("https://stat100.ameba.jp/tnk47/ratio20/illustrations/card/ill_99693_natsumatsuritatsukohime03.jpg?202108-5-RELEASE-marathon-546x", "■")</f>
        <v>■</v>
      </c>
      <c r="F10" s="14" t="s">
        <v>17582</v>
      </c>
      <c r="G10" s="7">
        <v>88920</v>
      </c>
      <c r="H10" s="7">
        <v>80652</v>
      </c>
      <c r="I10" s="7">
        <v>30</v>
      </c>
      <c r="J10" s="14" t="s">
        <v>73</v>
      </c>
      <c r="K10" s="7" t="s">
        <v>6332</v>
      </c>
      <c r="L10" s="7" t="s">
        <v>2150</v>
      </c>
      <c r="M10" s="14" t="s">
        <v>9158</v>
      </c>
      <c r="N10" s="14" t="s">
        <v>9158</v>
      </c>
      <c r="O10" s="14" t="s">
        <v>9158</v>
      </c>
      <c r="P10" s="14" t="s">
        <v>9158</v>
      </c>
      <c r="Q10" s="14" t="s">
        <v>9158</v>
      </c>
    </row>
    <row r="11" spans="1:19">
      <c r="A11" s="14">
        <v>99703</v>
      </c>
      <c r="B11" s="14" t="s">
        <v>15</v>
      </c>
      <c r="C11" s="14" t="s">
        <v>101</v>
      </c>
      <c r="D11" s="18" t="s">
        <v>17586</v>
      </c>
      <c r="E11" s="15" t="str">
        <f>HYPERLINK("https://stat100.ameba.jp/tnk47/ratio20/illustrations/card/ill_99703_meronkakigori03.jpg?202108-5-RELEASE-marathon-546x", "■")</f>
        <v>■</v>
      </c>
      <c r="F11" s="14" t="s">
        <v>17585</v>
      </c>
      <c r="G11" s="7">
        <v>80652</v>
      </c>
      <c r="H11" s="7">
        <v>88920</v>
      </c>
      <c r="I11" s="7">
        <v>30</v>
      </c>
      <c r="J11" s="14" t="s">
        <v>104</v>
      </c>
      <c r="K11" s="7" t="s">
        <v>17584</v>
      </c>
      <c r="L11" s="7" t="s">
        <v>2154</v>
      </c>
      <c r="M11" s="14" t="s">
        <v>9158</v>
      </c>
      <c r="N11" s="14" t="s">
        <v>9158</v>
      </c>
      <c r="O11" s="14" t="s">
        <v>9158</v>
      </c>
      <c r="P11" s="14" t="s">
        <v>9158</v>
      </c>
      <c r="Q11" s="14" t="s">
        <v>9158</v>
      </c>
    </row>
    <row r="12" spans="1:19">
      <c r="A12" s="14">
        <v>99713</v>
      </c>
      <c r="B12" s="14" t="s">
        <v>15</v>
      </c>
      <c r="C12" s="14" t="s">
        <v>107</v>
      </c>
      <c r="D12" s="18" t="s">
        <v>17589</v>
      </c>
      <c r="E12" s="15" t="str">
        <f>HYPERLINK("https://stat100.ameba.jp/tnk47/ratio20/illustrations/card/ill_99713_shoronagashichan03.jpg?202108-5-RELEASE-marathon-546x", "■")</f>
        <v>■</v>
      </c>
      <c r="F12" s="14" t="s">
        <v>17588</v>
      </c>
      <c r="G12" s="7">
        <v>88920</v>
      </c>
      <c r="H12" s="7">
        <v>80652</v>
      </c>
      <c r="I12" s="7">
        <v>30</v>
      </c>
      <c r="J12" s="14" t="s">
        <v>26</v>
      </c>
      <c r="K12" s="7" t="s">
        <v>17587</v>
      </c>
      <c r="L12" s="7" t="s">
        <v>5926</v>
      </c>
      <c r="M12" s="14" t="s">
        <v>9158</v>
      </c>
      <c r="N12" s="14" t="s">
        <v>9158</v>
      </c>
      <c r="O12" s="14" t="s">
        <v>9158</v>
      </c>
      <c r="P12" s="14" t="s">
        <v>9158</v>
      </c>
      <c r="Q12" s="14" t="s">
        <v>9158</v>
      </c>
    </row>
    <row r="13" spans="1:19">
      <c r="A13" s="14">
        <v>99763</v>
      </c>
      <c r="B13" s="14" t="s">
        <v>22</v>
      </c>
      <c r="C13" s="14" t="s">
        <v>14</v>
      </c>
      <c r="D13" s="18" t="s">
        <v>17590</v>
      </c>
      <c r="E13" s="15" t="str">
        <f>HYPERLINK("https://stat100.ameba.jp/tnk47/ratio20/illustrations/card/ill_99763_chainamarihime03.jpg?202108-5-RELEASE-marathon-546x", "■")</f>
        <v>■</v>
      </c>
      <c r="F13" s="14" t="s">
        <v>17596</v>
      </c>
      <c r="G13" s="14">
        <v>56138</v>
      </c>
      <c r="H13" s="14">
        <v>46676</v>
      </c>
      <c r="I13" s="7">
        <v>27</v>
      </c>
      <c r="J13" s="14" t="s">
        <v>77</v>
      </c>
      <c r="K13" s="7" t="s">
        <v>17597</v>
      </c>
      <c r="L13" s="7" t="s">
        <v>7808</v>
      </c>
      <c r="M13" s="14" t="s">
        <v>9158</v>
      </c>
      <c r="N13" s="14" t="s">
        <v>9158</v>
      </c>
      <c r="O13" s="14" t="s">
        <v>9158</v>
      </c>
      <c r="P13" s="14" t="s">
        <v>9158</v>
      </c>
      <c r="Q13" s="14" t="s">
        <v>9158</v>
      </c>
    </row>
    <row r="14" spans="1:19">
      <c r="A14" s="14">
        <v>99733</v>
      </c>
      <c r="B14" s="14" t="s">
        <v>22</v>
      </c>
      <c r="C14" s="14" t="s">
        <v>101</v>
      </c>
      <c r="D14" s="18" t="s">
        <v>17591</v>
      </c>
      <c r="E14" s="15" t="str">
        <f>HYPERLINK("https://stat100.ameba.jp/tnk47/ratio20/illustrations/card/ill_99733_tezutsuhanabisan03.jpg?202108-5-RELEASE-marathon-546x", "■")</f>
        <v>■</v>
      </c>
      <c r="F14" s="14" t="s">
        <v>17600</v>
      </c>
      <c r="G14" s="14">
        <v>46676</v>
      </c>
      <c r="H14" s="14">
        <v>56138</v>
      </c>
      <c r="I14" s="7">
        <v>27</v>
      </c>
      <c r="J14" s="14" t="s">
        <v>26</v>
      </c>
      <c r="K14" s="7" t="s">
        <v>17601</v>
      </c>
      <c r="L14" s="7" t="s">
        <v>5415</v>
      </c>
      <c r="M14" s="14" t="s">
        <v>9158</v>
      </c>
      <c r="N14" s="14" t="s">
        <v>9158</v>
      </c>
      <c r="O14" s="14" t="s">
        <v>9158</v>
      </c>
      <c r="P14" s="14" t="s">
        <v>9158</v>
      </c>
      <c r="Q14" s="14" t="s">
        <v>9158</v>
      </c>
    </row>
    <row r="15" spans="1:19">
      <c r="A15" s="14">
        <v>99753</v>
      </c>
      <c r="B15" s="14" t="s">
        <v>22</v>
      </c>
      <c r="C15" s="14" t="s">
        <v>96</v>
      </c>
      <c r="D15" s="18" t="s">
        <v>17592</v>
      </c>
      <c r="E15" s="15" t="str">
        <f>HYPERLINK("https://stat100.ameba.jp/tnk47/ratio20/illustrations/card/ill_99753_biwapafue03.jpg?202108-5-RELEASE-marathon-546x", "■")</f>
        <v>■</v>
      </c>
      <c r="F15" s="14" t="s">
        <v>17594</v>
      </c>
      <c r="G15" s="14">
        <v>46676</v>
      </c>
      <c r="H15" s="14">
        <v>56138</v>
      </c>
      <c r="I15" s="7">
        <v>27</v>
      </c>
      <c r="J15" s="14" t="s">
        <v>104</v>
      </c>
      <c r="K15" s="7" t="s">
        <v>17595</v>
      </c>
      <c r="L15" s="7" t="s">
        <v>8875</v>
      </c>
      <c r="M15" s="14" t="s">
        <v>9158</v>
      </c>
      <c r="N15" s="14" t="s">
        <v>9158</v>
      </c>
      <c r="O15" s="14" t="s">
        <v>9158</v>
      </c>
      <c r="P15" s="14" t="s">
        <v>9158</v>
      </c>
      <c r="Q15" s="14" t="s">
        <v>9158</v>
      </c>
    </row>
    <row r="16" spans="1:19">
      <c r="A16" s="14">
        <v>99743</v>
      </c>
      <c r="B16" s="14" t="s">
        <v>22</v>
      </c>
      <c r="C16" s="14" t="s">
        <v>1</v>
      </c>
      <c r="D16" s="18" t="s">
        <v>17593</v>
      </c>
      <c r="E16" s="15" t="str">
        <f>HYPERLINK("https://stat100.ameba.jp/tnk47/ratio20/illustrations/card/ill_99743_natsumikanchan03.jpg?202108-5-RELEASE-marathon-546x", "■")</f>
        <v>■</v>
      </c>
      <c r="F16" s="14" t="s">
        <v>17598</v>
      </c>
      <c r="G16" s="14">
        <v>56138</v>
      </c>
      <c r="H16" s="14">
        <v>46676</v>
      </c>
      <c r="I16" s="7">
        <v>27</v>
      </c>
      <c r="J16" s="14" t="s">
        <v>104</v>
      </c>
      <c r="K16" s="7" t="s">
        <v>17599</v>
      </c>
      <c r="L16" s="7" t="s">
        <v>3741</v>
      </c>
      <c r="M16" s="14" t="s">
        <v>9158</v>
      </c>
      <c r="N16" s="14" t="s">
        <v>9158</v>
      </c>
      <c r="O16" s="14" t="s">
        <v>9158</v>
      </c>
      <c r="P16" s="14" t="s">
        <v>9158</v>
      </c>
      <c r="Q16" s="14" t="s">
        <v>9158</v>
      </c>
    </row>
    <row r="17" spans="1:19">
      <c r="D17" s="7"/>
    </row>
    <row r="18" spans="1:19">
      <c r="A18" s="14" t="s">
        <v>17602</v>
      </c>
      <c r="D18" s="7"/>
    </row>
    <row r="19" spans="1:19">
      <c r="A19" s="14">
        <v>239825</v>
      </c>
      <c r="B19" s="14" t="s">
        <v>6017</v>
      </c>
      <c r="D19" s="7"/>
    </row>
    <row r="20" spans="1:19">
      <c r="A20" s="14">
        <v>99775</v>
      </c>
      <c r="B20" s="14" t="s">
        <v>0</v>
      </c>
      <c r="C20" s="14" t="s">
        <v>202</v>
      </c>
      <c r="D20" s="18" t="s">
        <v>17607</v>
      </c>
      <c r="E20" s="15" t="str">
        <f>HYPERLINK("https://stat100.ameba.jp/tnk47/ratio20/illustrations/card/ill_99775_saishumidori05.jpg?202108-5-RELEASE-marathon-546x", "■")</f>
        <v>■</v>
      </c>
      <c r="F20" s="14" t="s">
        <v>17606</v>
      </c>
      <c r="G20" s="14">
        <v>173432</v>
      </c>
      <c r="H20" s="14">
        <v>125554</v>
      </c>
      <c r="I20" s="14">
        <v>30</v>
      </c>
      <c r="J20" s="14" t="s">
        <v>38</v>
      </c>
      <c r="K20" s="14" t="s">
        <v>17605</v>
      </c>
      <c r="L20" s="14" t="s">
        <v>13101</v>
      </c>
      <c r="M20" s="14" t="s">
        <v>9158</v>
      </c>
      <c r="N20" s="14" t="s">
        <v>9158</v>
      </c>
      <c r="O20" s="14" t="s">
        <v>9158</v>
      </c>
      <c r="P20" s="14" t="s">
        <v>9158</v>
      </c>
      <c r="Q20" s="14" t="s">
        <v>9158</v>
      </c>
      <c r="R20" s="14" t="s">
        <v>174</v>
      </c>
    </row>
    <row r="21" spans="1:19">
      <c r="A21" s="14">
        <v>99773</v>
      </c>
      <c r="B21" s="14" t="s">
        <v>15</v>
      </c>
      <c r="C21" s="14" t="s">
        <v>47</v>
      </c>
      <c r="D21" s="18" t="s">
        <v>17607</v>
      </c>
      <c r="E21" s="15" t="str">
        <f>HYPERLINK("https://stat100.ameba.jp/tnk47/ratio20/illustrations/card/ill_99773_saishumidori03.jpg?202108-5-RELEASE-marathon-546x", "■")</f>
        <v>■</v>
      </c>
      <c r="F21" s="14" t="s">
        <v>17606</v>
      </c>
      <c r="G21" s="14">
        <v>125318</v>
      </c>
      <c r="H21" s="14">
        <v>90742</v>
      </c>
      <c r="I21" s="7">
        <v>30</v>
      </c>
      <c r="J21" s="14" t="s">
        <v>38</v>
      </c>
      <c r="K21" s="14" t="s">
        <v>17605</v>
      </c>
      <c r="L21" s="14" t="s">
        <v>17608</v>
      </c>
      <c r="M21" s="14" t="s">
        <v>9158</v>
      </c>
      <c r="N21" s="14" t="s">
        <v>9158</v>
      </c>
      <c r="O21" s="14" t="s">
        <v>9158</v>
      </c>
      <c r="P21" s="14" t="s">
        <v>9158</v>
      </c>
      <c r="Q21" s="14" t="s">
        <v>9158</v>
      </c>
      <c r="R21" s="14" t="s">
        <v>175</v>
      </c>
    </row>
    <row r="22" spans="1:19">
      <c r="A22" s="14">
        <v>99771</v>
      </c>
      <c r="B22" s="14" t="s">
        <v>15</v>
      </c>
      <c r="C22" s="14" t="s">
        <v>47</v>
      </c>
      <c r="D22" s="18" t="s">
        <v>17607</v>
      </c>
      <c r="E22" s="15" t="str">
        <f>HYPERLINK("https://stat100.ameba.jp/tnk47/ratio20/illustrations/card/ill_99771_saishumidori01.jpg?202108-5-RELEASE-marathon-546x", "■")</f>
        <v>■</v>
      </c>
      <c r="F22" s="14" t="s">
        <v>17606</v>
      </c>
      <c r="G22" s="14">
        <v>72690</v>
      </c>
      <c r="H22" s="14">
        <v>52620</v>
      </c>
      <c r="I22" s="7">
        <v>30</v>
      </c>
      <c r="J22" s="14" t="s">
        <v>38</v>
      </c>
      <c r="K22" s="14" t="s">
        <v>17605</v>
      </c>
      <c r="L22" s="14" t="s">
        <v>17609</v>
      </c>
      <c r="M22" s="14" t="s">
        <v>9158</v>
      </c>
      <c r="N22" s="14" t="s">
        <v>9158</v>
      </c>
      <c r="O22" s="14" t="s">
        <v>9158</v>
      </c>
      <c r="P22" s="14" t="s">
        <v>9158</v>
      </c>
      <c r="Q22" s="14" t="s">
        <v>9158</v>
      </c>
      <c r="R22" s="14" t="s">
        <v>176</v>
      </c>
    </row>
    <row r="24" spans="1:19">
      <c r="A24" s="14" t="s">
        <v>4012</v>
      </c>
    </row>
    <row r="25" spans="1:19">
      <c r="A25" s="14">
        <v>239854</v>
      </c>
      <c r="B25" s="14" t="s">
        <v>17603</v>
      </c>
    </row>
    <row r="26" spans="1:19">
      <c r="A26" s="9" t="s">
        <v>5606</v>
      </c>
      <c r="B26" s="14" t="s">
        <v>52</v>
      </c>
      <c r="C26" s="14" t="s">
        <v>206</v>
      </c>
      <c r="D26" s="14" t="s">
        <v>1011</v>
      </c>
      <c r="E26" s="15" t="str">
        <f>HYPERLINK("https://stat100.ameba.jp/tnk47/ratio20/illustrations/card/ill_72233_0_koinoboriryugujin03.jpg?202108-5-RELEASE-marathon-546x", "■")</f>
        <v>■</v>
      </c>
      <c r="F26" s="14" t="s">
        <v>1012</v>
      </c>
      <c r="G26" s="14">
        <v>177111</v>
      </c>
      <c r="H26" s="14">
        <v>190501</v>
      </c>
      <c r="I26" s="14">
        <v>27</v>
      </c>
      <c r="J26" s="14" t="s">
        <v>44</v>
      </c>
      <c r="K26" s="14" t="s">
        <v>1013</v>
      </c>
      <c r="L26" s="14" t="s">
        <v>1014</v>
      </c>
      <c r="M26" s="14" t="s">
        <v>9158</v>
      </c>
      <c r="N26" s="14" t="s">
        <v>9158</v>
      </c>
      <c r="O26" s="9" t="s">
        <v>3419</v>
      </c>
      <c r="P26" s="14" t="s">
        <v>3420</v>
      </c>
      <c r="Q26" s="14">
        <v>2</v>
      </c>
    </row>
    <row r="27" spans="1:19">
      <c r="A27" s="14" t="s">
        <v>5621</v>
      </c>
      <c r="B27" s="14" t="s">
        <v>330</v>
      </c>
      <c r="C27" s="14" t="s">
        <v>191</v>
      </c>
      <c r="D27" s="19" t="s">
        <v>2871</v>
      </c>
      <c r="E27" s="15" t="str">
        <f>HYPERLINK("https://stat100.ameba.jp/tnk47/ratio20/illustrations/card/ill_51973_0_kemonomizugikuroyuridensetsu03.jpg?202108-5-RELEASE-marathon-546x", "■")</f>
        <v>■</v>
      </c>
      <c r="F27" s="14" t="s">
        <v>2034</v>
      </c>
      <c r="G27" s="14">
        <v>169624</v>
      </c>
      <c r="H27" s="14">
        <v>150680</v>
      </c>
      <c r="I27" s="14">
        <v>27</v>
      </c>
      <c r="J27" s="14" t="s">
        <v>38</v>
      </c>
      <c r="K27" s="14" t="s">
        <v>2035</v>
      </c>
      <c r="L27" s="14" t="s">
        <v>2036</v>
      </c>
      <c r="M27" s="14" t="s">
        <v>9158</v>
      </c>
      <c r="N27" s="14" t="s">
        <v>9158</v>
      </c>
      <c r="O27" s="19" t="s">
        <v>10088</v>
      </c>
      <c r="P27" s="14" t="s">
        <v>13172</v>
      </c>
      <c r="Q27" s="14">
        <v>1</v>
      </c>
    </row>
    <row r="28" spans="1:19">
      <c r="A28" s="14" t="s">
        <v>5721</v>
      </c>
      <c r="B28" s="14" t="s">
        <v>52</v>
      </c>
      <c r="C28" s="14" t="s">
        <v>1</v>
      </c>
      <c r="D28" s="19" t="s">
        <v>513</v>
      </c>
      <c r="E28" s="15" t="str">
        <f>HYPERLINK("https://stat100.ameba.jp/tnk47/ratio20/illustrations/card/ill_44283_0_izumonokuni03.jpg?202108-5-RELEASE-marathon-546x", "■")</f>
        <v>■</v>
      </c>
      <c r="F28" s="14" t="s">
        <v>1716</v>
      </c>
      <c r="G28" s="14">
        <v>158004</v>
      </c>
      <c r="H28" s="14">
        <v>147980</v>
      </c>
      <c r="I28" s="14">
        <v>27</v>
      </c>
      <c r="J28" s="14" t="s">
        <v>16</v>
      </c>
      <c r="K28" s="14" t="s">
        <v>2254</v>
      </c>
      <c r="L28" s="14" t="s">
        <v>1718</v>
      </c>
      <c r="M28" s="14" t="s">
        <v>9158</v>
      </c>
      <c r="N28" s="14" t="s">
        <v>9158</v>
      </c>
      <c r="O28" s="14" t="s">
        <v>9158</v>
      </c>
      <c r="P28" s="14" t="s">
        <v>9158</v>
      </c>
      <c r="Q28" s="14" t="s">
        <v>9158</v>
      </c>
    </row>
    <row r="29" spans="1:19">
      <c r="A29" s="14">
        <v>96863</v>
      </c>
      <c r="B29" s="14" t="s">
        <v>0</v>
      </c>
      <c r="C29" s="14" t="s">
        <v>35</v>
      </c>
      <c r="D29" s="14" t="s">
        <v>17613</v>
      </c>
      <c r="E29" s="15" t="str">
        <f>HYPERLINK("https://stat100.ameba.jp/tnk47/ratio20/illustrations/card/ill_96863_sakurakotenyamagamisama03.jpg?202108-5-RELEASE-marathon-546x", "■")</f>
        <v>■</v>
      </c>
      <c r="F29" s="14" t="s">
        <v>17612</v>
      </c>
      <c r="G29" s="14">
        <v>119052</v>
      </c>
      <c r="H29" s="14">
        <v>128064</v>
      </c>
      <c r="I29" s="14">
        <v>30</v>
      </c>
      <c r="J29" s="14" t="s">
        <v>44</v>
      </c>
      <c r="K29" s="14" t="s">
        <v>17611</v>
      </c>
      <c r="L29" s="14" t="s">
        <v>17610</v>
      </c>
      <c r="M29" s="14" t="s">
        <v>9158</v>
      </c>
      <c r="N29" s="14" t="s">
        <v>9158</v>
      </c>
      <c r="O29" s="14" t="s">
        <v>9158</v>
      </c>
      <c r="P29" s="14" t="s">
        <v>9158</v>
      </c>
      <c r="Q29" s="14" t="s">
        <v>9158</v>
      </c>
      <c r="S29" s="14" t="s">
        <v>17626</v>
      </c>
    </row>
    <row r="30" spans="1:19">
      <c r="A30" s="14">
        <v>89933</v>
      </c>
      <c r="B30" s="14" t="s">
        <v>0</v>
      </c>
      <c r="C30" s="14" t="s">
        <v>41</v>
      </c>
      <c r="D30" s="14" t="s">
        <v>16341</v>
      </c>
      <c r="E30" s="15" t="str">
        <f>HYPERLINK("https://stat100.ameba.jp/tnk47/ratio20/illustrations/card/ill_89933_erementarujoga03.jpg?202108-5-RELEASE-marathon-546x", "■")</f>
        <v>■</v>
      </c>
      <c r="F30" s="14" t="s">
        <v>16340</v>
      </c>
      <c r="G30" s="14">
        <v>121646</v>
      </c>
      <c r="H30" s="14">
        <v>113154</v>
      </c>
      <c r="I30" s="14">
        <v>30</v>
      </c>
      <c r="J30" s="14" t="s">
        <v>16</v>
      </c>
      <c r="K30" s="14" t="s">
        <v>16339</v>
      </c>
      <c r="L30" s="14" t="s">
        <v>16338</v>
      </c>
      <c r="M30" s="14" t="s">
        <v>9158</v>
      </c>
      <c r="N30" s="14" t="s">
        <v>9158</v>
      </c>
      <c r="O30" s="14" t="s">
        <v>9158</v>
      </c>
      <c r="P30" s="14" t="s">
        <v>9158</v>
      </c>
      <c r="Q30" s="14" t="s">
        <v>9158</v>
      </c>
      <c r="S30" s="14" t="s">
        <v>16342</v>
      </c>
    </row>
    <row r="31" spans="1:19">
      <c r="A31" s="14">
        <v>89413</v>
      </c>
      <c r="B31" s="14" t="s">
        <v>0</v>
      </c>
      <c r="C31" s="14" t="s">
        <v>47</v>
      </c>
      <c r="D31" s="14" t="s">
        <v>17617</v>
      </c>
      <c r="E31" s="15" t="str">
        <f>HYPERLINK("https://stat100.ameba.jp/tnk47/ratio20/illustrations/card/ill_89413_resshanotabikaryobinga03.jpg?202108-5-RELEASE-marathon-546x", "■")</f>
        <v>■</v>
      </c>
      <c r="F31" s="14" t="s">
        <v>17616</v>
      </c>
      <c r="G31" s="14">
        <v>108912</v>
      </c>
      <c r="H31" s="14">
        <v>117182</v>
      </c>
      <c r="I31" s="14">
        <v>30</v>
      </c>
      <c r="J31" s="14" t="s">
        <v>44</v>
      </c>
      <c r="K31" s="14" t="s">
        <v>17615</v>
      </c>
      <c r="L31" s="14" t="s">
        <v>17614</v>
      </c>
      <c r="M31" s="14" t="s">
        <v>9158</v>
      </c>
      <c r="N31" s="14" t="s">
        <v>9158</v>
      </c>
      <c r="O31" s="14" t="s">
        <v>9158</v>
      </c>
      <c r="P31" s="14" t="s">
        <v>9158</v>
      </c>
      <c r="Q31" s="14" t="s">
        <v>9158</v>
      </c>
      <c r="S31" s="14" t="s">
        <v>17627</v>
      </c>
    </row>
    <row r="32" spans="1:19">
      <c r="A32" s="14">
        <v>88523</v>
      </c>
      <c r="B32" s="14" t="s">
        <v>15</v>
      </c>
      <c r="C32" s="14" t="s">
        <v>101</v>
      </c>
      <c r="D32" s="14" t="s">
        <v>17620</v>
      </c>
      <c r="E32" s="15" t="str">
        <f>HYPERLINK("https://stat100.ameba.jp/tnk47/ratio20/illustrations/card/ill_88523_harumaiikumatsu03.jpg?202108-5-RELEASE-marathon-546x", "■")</f>
        <v>■</v>
      </c>
      <c r="F32" s="14" t="s">
        <v>17619</v>
      </c>
      <c r="G32" s="14">
        <v>72586</v>
      </c>
      <c r="H32" s="14">
        <v>80028</v>
      </c>
      <c r="I32" s="14">
        <v>27</v>
      </c>
      <c r="J32" s="14" t="s">
        <v>16</v>
      </c>
      <c r="K32" s="14" t="s">
        <v>17618</v>
      </c>
      <c r="L32" s="14" t="s">
        <v>3436</v>
      </c>
      <c r="M32" s="14" t="s">
        <v>9158</v>
      </c>
      <c r="N32" s="14" t="s">
        <v>9158</v>
      </c>
      <c r="O32" s="14" t="s">
        <v>9158</v>
      </c>
      <c r="P32" s="14" t="s">
        <v>9158</v>
      </c>
      <c r="Q32" s="14" t="s">
        <v>9158</v>
      </c>
      <c r="S32" s="14" t="s">
        <v>17628</v>
      </c>
    </row>
    <row r="33" spans="1:20">
      <c r="A33" s="14">
        <v>92063</v>
      </c>
      <c r="B33" s="14" t="s">
        <v>15</v>
      </c>
      <c r="C33" s="14" t="s">
        <v>96</v>
      </c>
      <c r="D33" s="14" t="s">
        <v>17623</v>
      </c>
      <c r="E33" s="15" t="str">
        <f>HYPERLINK("https://stat100.ameba.jp/tnk47/ratio20/illustrations/card/ill_92063_tamogitake03.jpg?202108-5-RELEASE-marathon-546x", "■")</f>
        <v>■</v>
      </c>
      <c r="F33" s="14" t="s">
        <v>17622</v>
      </c>
      <c r="G33" s="14">
        <v>80028</v>
      </c>
      <c r="H33" s="14">
        <v>72586</v>
      </c>
      <c r="I33" s="14">
        <v>27</v>
      </c>
      <c r="J33" s="14" t="s">
        <v>104</v>
      </c>
      <c r="K33" s="14" t="s">
        <v>17621</v>
      </c>
      <c r="L33" s="14" t="s">
        <v>17028</v>
      </c>
      <c r="M33" s="14" t="s">
        <v>9158</v>
      </c>
      <c r="N33" s="14" t="s">
        <v>9158</v>
      </c>
      <c r="O33" s="14" t="s">
        <v>9158</v>
      </c>
      <c r="P33" s="14" t="s">
        <v>9158</v>
      </c>
      <c r="Q33" s="14" t="s">
        <v>9158</v>
      </c>
      <c r="S33" s="14" t="s">
        <v>17629</v>
      </c>
    </row>
    <row r="34" spans="1:20">
      <c r="A34" s="14">
        <v>92543</v>
      </c>
      <c r="B34" s="14" t="s">
        <v>15</v>
      </c>
      <c r="C34" s="14" t="s">
        <v>14</v>
      </c>
      <c r="D34" s="14" t="s">
        <v>17625</v>
      </c>
      <c r="E34" s="15" t="str">
        <f>HYPERLINK("https://stat100.ameba.jp/tnk47/ratio20/illustrations/card/ill_92543_sankichioni03.jpg?202108-5-RELEASE-marathon-546x", "■")</f>
        <v>■</v>
      </c>
      <c r="F34" s="14" t="s">
        <v>17624</v>
      </c>
      <c r="G34" s="14">
        <v>80028</v>
      </c>
      <c r="H34" s="14">
        <v>72586</v>
      </c>
      <c r="I34" s="14">
        <v>27</v>
      </c>
      <c r="J34" s="14" t="s">
        <v>73</v>
      </c>
      <c r="K34" s="14" t="s">
        <v>3966</v>
      </c>
      <c r="L34" s="14" t="s">
        <v>4649</v>
      </c>
      <c r="M34" s="14" t="s">
        <v>9158</v>
      </c>
      <c r="N34" s="14" t="s">
        <v>9158</v>
      </c>
      <c r="O34" s="14" t="s">
        <v>9158</v>
      </c>
      <c r="P34" s="14" t="s">
        <v>9158</v>
      </c>
      <c r="Q34" s="14" t="s">
        <v>9158</v>
      </c>
      <c r="S34" s="14" t="s">
        <v>17630</v>
      </c>
    </row>
    <row r="36" spans="1:20">
      <c r="A36" s="14" t="s">
        <v>13431</v>
      </c>
    </row>
    <row r="37" spans="1:20">
      <c r="A37" s="14">
        <v>110587</v>
      </c>
      <c r="B37" s="14" t="s">
        <v>17604</v>
      </c>
    </row>
    <row r="38" spans="1:20">
      <c r="A38" s="14" t="s">
        <v>17383</v>
      </c>
      <c r="B38" s="7" t="s">
        <v>52</v>
      </c>
      <c r="C38" s="14" t="s">
        <v>202</v>
      </c>
      <c r="D38" s="18" t="s">
        <v>17382</v>
      </c>
      <c r="E38" s="15" t="str">
        <f>HYPERLINK("https://stat100.ameba.jp/tnk47/ratio20/illustrations/card/ill_97703_0_shisutatachibanaginchiyo03.jpg?202108-5-RELEASE-marathon-546x", "■")</f>
        <v>■</v>
      </c>
      <c r="F38" s="14" t="s">
        <v>17381</v>
      </c>
      <c r="G38" s="14">
        <v>276738</v>
      </c>
      <c r="H38" s="14">
        <v>306220</v>
      </c>
      <c r="I38" s="14">
        <v>29</v>
      </c>
      <c r="J38" s="14" t="s">
        <v>77</v>
      </c>
      <c r="K38" s="14" t="s">
        <v>17380</v>
      </c>
      <c r="L38" s="14" t="s">
        <v>17268</v>
      </c>
      <c r="M38" s="14" t="s">
        <v>9158</v>
      </c>
      <c r="N38" s="14" t="s">
        <v>9158</v>
      </c>
      <c r="O38" s="7" t="s">
        <v>17379</v>
      </c>
      <c r="P38" s="7" t="s">
        <v>17378</v>
      </c>
      <c r="Q38" s="7">
        <v>1</v>
      </c>
    </row>
    <row r="39" spans="1:20">
      <c r="A39" s="14" t="s">
        <v>15807</v>
      </c>
      <c r="B39" s="14" t="s">
        <v>52</v>
      </c>
      <c r="C39" s="14" t="s">
        <v>35</v>
      </c>
      <c r="D39" s="14" t="s">
        <v>15808</v>
      </c>
      <c r="E39" s="15" t="str">
        <f>HYPERLINK("https://stat100.ameba.jp/tnk47/ratio20/illustrations/card/ill_95013_0_shinshunnisennijuichiayakashi03.jpg?202108-5-RELEASE-marathon-546x", "■")</f>
        <v>■</v>
      </c>
      <c r="F39" s="14" t="s">
        <v>15806</v>
      </c>
      <c r="G39" s="14">
        <v>288416</v>
      </c>
      <c r="H39" s="14">
        <v>319106</v>
      </c>
      <c r="I39" s="14">
        <v>29</v>
      </c>
      <c r="J39" s="14" t="s">
        <v>73</v>
      </c>
      <c r="K39" s="14" t="s">
        <v>15805</v>
      </c>
      <c r="L39" s="14" t="s">
        <v>15804</v>
      </c>
      <c r="M39" s="14" t="s">
        <v>9158</v>
      </c>
      <c r="N39" s="14" t="s">
        <v>9158</v>
      </c>
      <c r="O39" s="14" t="s">
        <v>15802</v>
      </c>
      <c r="P39" s="14" t="s">
        <v>15803</v>
      </c>
      <c r="Q39" s="14">
        <v>0</v>
      </c>
    </row>
    <row r="40" spans="1:20">
      <c r="A40" s="14" t="s">
        <v>14533</v>
      </c>
      <c r="B40" s="7" t="s">
        <v>52</v>
      </c>
      <c r="C40" s="14" t="s">
        <v>202</v>
      </c>
      <c r="D40" s="18" t="s">
        <v>14532</v>
      </c>
      <c r="E40" s="15" t="str">
        <f>HYPERLINK("https://stat100.ameba.jp/tnk47/ratio20/illustrations/card/ill_91703_0_ninjashugyohanakosan03.jpg?202108-5-RELEASE-marathon-546x", "■")</f>
        <v>■</v>
      </c>
      <c r="F40" s="14" t="s">
        <v>14534</v>
      </c>
      <c r="G40" s="14">
        <v>303290</v>
      </c>
      <c r="H40" s="14">
        <v>335575</v>
      </c>
      <c r="I40" s="14">
        <v>29</v>
      </c>
      <c r="J40" s="14" t="s">
        <v>77</v>
      </c>
      <c r="K40" s="14" t="s">
        <v>14536</v>
      </c>
      <c r="L40" s="14" t="s">
        <v>14535</v>
      </c>
      <c r="M40" s="14" t="s">
        <v>9158</v>
      </c>
      <c r="N40" s="14" t="s">
        <v>9158</v>
      </c>
      <c r="O40" s="6" t="s">
        <v>14539</v>
      </c>
      <c r="P40" s="7" t="s">
        <v>14538</v>
      </c>
      <c r="Q40" s="7">
        <v>1</v>
      </c>
    </row>
    <row r="41" spans="1:20">
      <c r="A41" s="14" t="s">
        <v>12532</v>
      </c>
      <c r="B41" s="7" t="s">
        <v>52</v>
      </c>
      <c r="C41" s="14" t="s">
        <v>202</v>
      </c>
      <c r="D41" s="18" t="s">
        <v>12528</v>
      </c>
      <c r="E41" s="15" t="str">
        <f>HYPERLINK("https://stat100.ameba.jp/tnk47/ratio20/illustrations/card/ill_89073_0_efuwanresuyokohamaserachan03.jpg?202108-5-RELEASE-marathon-546x", "■")</f>
        <v>■</v>
      </c>
      <c r="F41" s="14" t="s">
        <v>12529</v>
      </c>
      <c r="G41" s="14">
        <v>318998</v>
      </c>
      <c r="H41" s="14">
        <v>352956</v>
      </c>
      <c r="I41" s="7">
        <v>29</v>
      </c>
      <c r="J41" s="14" t="s">
        <v>229</v>
      </c>
      <c r="K41" s="14" t="s">
        <v>12530</v>
      </c>
      <c r="L41" s="14" t="s">
        <v>12531</v>
      </c>
      <c r="M41" s="14" t="s">
        <v>9158</v>
      </c>
      <c r="N41" s="14" t="s">
        <v>9158</v>
      </c>
      <c r="O41" s="6" t="s">
        <v>12533</v>
      </c>
      <c r="P41" s="7" t="s">
        <v>12534</v>
      </c>
      <c r="Q41" s="7">
        <v>1</v>
      </c>
    </row>
    <row r="42" spans="1:20">
      <c r="A42" s="14" t="s">
        <v>16989</v>
      </c>
      <c r="B42" s="7" t="s">
        <v>52</v>
      </c>
      <c r="C42" s="14" t="s">
        <v>202</v>
      </c>
      <c r="D42" s="18" t="s">
        <v>16988</v>
      </c>
      <c r="E42" s="15" t="str">
        <f>HYPERLINK("https://stat100.ameba.jp/tnk47/ratio20/illustrations/card/ill_97013_0_kanokaishiranui03.jpg?202108-5-RELEASE-marathon-546x", "■")</f>
        <v>■</v>
      </c>
      <c r="F42" s="14" t="s">
        <v>16987</v>
      </c>
      <c r="G42" s="14">
        <v>306220</v>
      </c>
      <c r="H42" s="14">
        <v>276738</v>
      </c>
      <c r="I42" s="7">
        <v>29</v>
      </c>
      <c r="J42" s="14" t="s">
        <v>73</v>
      </c>
      <c r="K42" s="14" t="s">
        <v>16986</v>
      </c>
      <c r="L42" s="14" t="s">
        <v>16985</v>
      </c>
      <c r="M42" s="14" t="s">
        <v>9158</v>
      </c>
      <c r="N42" s="14" t="s">
        <v>9158</v>
      </c>
      <c r="O42" s="7" t="s">
        <v>16990</v>
      </c>
      <c r="P42" s="7" t="s">
        <v>16991</v>
      </c>
      <c r="Q42" s="7">
        <v>1</v>
      </c>
    </row>
    <row r="43" spans="1:20">
      <c r="A43" s="14">
        <v>94703</v>
      </c>
      <c r="B43" s="14" t="s">
        <v>0</v>
      </c>
      <c r="C43" s="14" t="s">
        <v>14</v>
      </c>
      <c r="D43" s="14" t="s">
        <v>16657</v>
      </c>
      <c r="E43" s="15" t="str">
        <f>HYPERLINK("https://stat100.ameba.jp/tnk47/ratio20/illustrations/card/ill_94703_seiyadetojimboyuki03.jpg?202108-5-RELEASE-marathon-546x", "■")</f>
        <v>■</v>
      </c>
      <c r="F43" s="14" t="s">
        <v>16656</v>
      </c>
      <c r="G43" s="14">
        <v>117182</v>
      </c>
      <c r="H43" s="14">
        <v>108912</v>
      </c>
      <c r="I43" s="14">
        <v>30</v>
      </c>
      <c r="J43" s="14" t="s">
        <v>10</v>
      </c>
      <c r="K43" s="14" t="s">
        <v>16655</v>
      </c>
      <c r="L43" s="14" t="s">
        <v>14881</v>
      </c>
      <c r="M43" s="14" t="s">
        <v>9158</v>
      </c>
      <c r="N43" s="14" t="s">
        <v>9158</v>
      </c>
      <c r="O43" s="9" t="s">
        <v>9158</v>
      </c>
      <c r="P43" s="14" t="s">
        <v>9158</v>
      </c>
      <c r="Q43" s="14" t="s">
        <v>9158</v>
      </c>
    </row>
    <row r="44" spans="1:20">
      <c r="A44" s="14">
        <v>94083</v>
      </c>
      <c r="B44" s="14" t="s">
        <v>0</v>
      </c>
      <c r="C44" s="14" t="s">
        <v>23</v>
      </c>
      <c r="D44" s="14" t="s">
        <v>15740</v>
      </c>
      <c r="E44" s="15" t="str">
        <f>HYPERLINK("https://stat100.ameba.jp/tnk47/ratio20/illustrations/card/ill_94083_bojorenubogo03.jpg?202108-5-RELEASE-marathon-546x", "■")</f>
        <v>■</v>
      </c>
      <c r="F44" s="14" t="s">
        <v>15739</v>
      </c>
      <c r="G44" s="14">
        <v>108912</v>
      </c>
      <c r="H44" s="14">
        <v>117182</v>
      </c>
      <c r="I44" s="14">
        <v>30</v>
      </c>
      <c r="J44" s="14" t="s">
        <v>77</v>
      </c>
      <c r="K44" s="14" t="s">
        <v>15737</v>
      </c>
      <c r="L44" s="14" t="s">
        <v>13612</v>
      </c>
      <c r="M44" s="14" t="s">
        <v>9158</v>
      </c>
      <c r="N44" s="14" t="s">
        <v>9158</v>
      </c>
      <c r="O44" s="14" t="s">
        <v>9158</v>
      </c>
      <c r="P44" s="14" t="s">
        <v>9158</v>
      </c>
      <c r="Q44" s="14" t="s">
        <v>9158</v>
      </c>
    </row>
    <row r="45" spans="1:20">
      <c r="A45" s="14">
        <v>94483</v>
      </c>
      <c r="B45" s="14" t="s">
        <v>0</v>
      </c>
      <c r="C45" s="14" t="s">
        <v>101</v>
      </c>
      <c r="D45" s="14" t="s">
        <v>16368</v>
      </c>
      <c r="E45" s="15" t="str">
        <f>HYPERLINK("https://stat100.ameba.jp/tnk47/ratio20/illustrations/card/ill_94483_yamabiko03.jpg?202108-5-RELEASE-marathon-546x", "■")</f>
        <v>■</v>
      </c>
      <c r="F45" s="14" t="s">
        <v>16367</v>
      </c>
      <c r="G45" s="14">
        <v>165824</v>
      </c>
      <c r="H45" s="14">
        <v>178342</v>
      </c>
      <c r="I45" s="14">
        <v>30</v>
      </c>
      <c r="J45" s="14" t="s">
        <v>73</v>
      </c>
      <c r="K45" s="14" t="s">
        <v>16366</v>
      </c>
      <c r="L45" s="14" t="s">
        <v>12721</v>
      </c>
      <c r="M45" s="14" t="s">
        <v>9158</v>
      </c>
      <c r="N45" s="14" t="s">
        <v>9158</v>
      </c>
      <c r="O45" s="14" t="s">
        <v>9158</v>
      </c>
      <c r="P45" s="14" t="s">
        <v>9158</v>
      </c>
      <c r="Q45" s="14" t="s">
        <v>9158</v>
      </c>
      <c r="T45" s="7"/>
    </row>
    <row r="46" spans="1:20">
      <c r="A46" s="14">
        <v>94093</v>
      </c>
      <c r="B46" s="14" t="s">
        <v>0</v>
      </c>
      <c r="C46" s="14" t="s">
        <v>96</v>
      </c>
      <c r="D46" s="14" t="s">
        <v>15749</v>
      </c>
      <c r="E46" s="15" t="str">
        <f>HYPERLINK("https://stat100.ameba.jp/tnk47/ratio20/illustrations/card/ill_94093_baresukuizumishikibu03.jpg?202108-5-RELEASE-marathon-546x", "■")</f>
        <v>■</v>
      </c>
      <c r="F46" s="14" t="s">
        <v>15748</v>
      </c>
      <c r="G46" s="14">
        <v>121646</v>
      </c>
      <c r="H46" s="14">
        <v>113154</v>
      </c>
      <c r="I46" s="14">
        <v>30</v>
      </c>
      <c r="J46" s="14" t="s">
        <v>16</v>
      </c>
      <c r="K46" s="14" t="s">
        <v>12238</v>
      </c>
      <c r="L46" s="14" t="s">
        <v>12415</v>
      </c>
      <c r="M46" s="14" t="s">
        <v>9158</v>
      </c>
      <c r="N46" s="14" t="s">
        <v>9158</v>
      </c>
      <c r="O46" s="14" t="s">
        <v>9158</v>
      </c>
      <c r="P46" s="14" t="s">
        <v>9158</v>
      </c>
      <c r="Q46" s="14" t="s">
        <v>9158</v>
      </c>
    </row>
    <row r="47" spans="1:20">
      <c r="A47" s="14">
        <v>89243</v>
      </c>
      <c r="B47" s="14" t="s">
        <v>0</v>
      </c>
      <c r="C47" s="14" t="s">
        <v>1</v>
      </c>
      <c r="D47" s="14" t="s">
        <v>12643</v>
      </c>
      <c r="E47" s="15" t="str">
        <f>HYPERLINK("https://stat100.ameba.jp/tnk47/ratio20/illustrations/card/ill_89243_kajinoinona03.jpg?202108-5-RELEASE-marathon-546x", "■")</f>
        <v>■</v>
      </c>
      <c r="F47" s="14" t="s">
        <v>12647</v>
      </c>
      <c r="G47" s="14">
        <v>117182</v>
      </c>
      <c r="H47" s="14">
        <v>108912</v>
      </c>
      <c r="I47" s="14">
        <v>30</v>
      </c>
      <c r="J47" s="14" t="s">
        <v>10</v>
      </c>
      <c r="K47" s="14" t="s">
        <v>12649</v>
      </c>
      <c r="L47" s="14" t="s">
        <v>12648</v>
      </c>
      <c r="M47" s="14" t="s">
        <v>9158</v>
      </c>
      <c r="N47" s="14" t="s">
        <v>9158</v>
      </c>
      <c r="O47" s="14" t="s">
        <v>9158</v>
      </c>
      <c r="P47" s="14" t="s">
        <v>9158</v>
      </c>
      <c r="Q47" s="14" t="s">
        <v>9158</v>
      </c>
    </row>
    <row r="48" spans="1:20">
      <c r="A48" s="14">
        <v>92103</v>
      </c>
      <c r="B48" s="14" t="s">
        <v>0</v>
      </c>
      <c r="C48" s="14" t="s">
        <v>107</v>
      </c>
      <c r="D48" s="14" t="s">
        <v>14936</v>
      </c>
      <c r="E48" s="15" t="str">
        <f>HYPERLINK("https://stat100.ameba.jp/tnk47/ratio20/illustrations/card/ill_92103_kyampujoshimomotofumiagari03.jpg?202108-5-RELEASE-marathon-546x", "■")</f>
        <v>■</v>
      </c>
      <c r="F48" s="14" t="s">
        <v>14935</v>
      </c>
      <c r="G48" s="14">
        <v>108912</v>
      </c>
      <c r="H48" s="14">
        <v>117182</v>
      </c>
      <c r="I48" s="14">
        <v>30</v>
      </c>
      <c r="J48" s="14" t="s">
        <v>77</v>
      </c>
      <c r="K48" s="14" t="s">
        <v>14933</v>
      </c>
      <c r="L48" s="14" t="s">
        <v>12139</v>
      </c>
      <c r="M48" s="14" t="s">
        <v>9158</v>
      </c>
      <c r="N48" s="14" t="s">
        <v>9158</v>
      </c>
      <c r="O48" s="14" t="s">
        <v>9158</v>
      </c>
      <c r="P48" s="14" t="s">
        <v>9158</v>
      </c>
      <c r="Q48" s="14" t="s">
        <v>9158</v>
      </c>
      <c r="T48" s="7"/>
    </row>
    <row r="50" spans="1:18">
      <c r="A50" s="14" t="s">
        <v>4065</v>
      </c>
    </row>
    <row r="51" spans="1:18">
      <c r="A51" s="14">
        <v>110598</v>
      </c>
      <c r="B51" s="14" t="s">
        <v>6028</v>
      </c>
    </row>
    <row r="52" spans="1:18">
      <c r="A52" s="7" t="s">
        <v>8437</v>
      </c>
      <c r="B52" s="7" t="s">
        <v>52</v>
      </c>
      <c r="C52" s="7" t="s">
        <v>202</v>
      </c>
      <c r="D52" s="20" t="s">
        <v>10806</v>
      </c>
      <c r="E52" s="15" t="str">
        <f>HYPERLINK("https://stat100.ameba.jp/tnk47/ratio20/illustrations/card/ill_85523_0_seitankuronikurukusumotoine03.jpg?202108-5-RELEASE-marathon-546xx", "■")</f>
        <v>■</v>
      </c>
      <c r="F52" s="7" t="s">
        <v>8440</v>
      </c>
      <c r="G52" s="7">
        <v>351319</v>
      </c>
      <c r="H52" s="7">
        <v>317540</v>
      </c>
      <c r="I52" s="7">
        <v>29</v>
      </c>
      <c r="J52" s="14" t="s">
        <v>77</v>
      </c>
      <c r="K52" s="7" t="s">
        <v>8446</v>
      </c>
      <c r="L52" s="7" t="s">
        <v>8439</v>
      </c>
      <c r="M52" s="14" t="s">
        <v>9158</v>
      </c>
      <c r="N52" s="14" t="s">
        <v>9158</v>
      </c>
      <c r="O52" s="19" t="s">
        <v>10133</v>
      </c>
      <c r="P52" s="7" t="s">
        <v>8441</v>
      </c>
      <c r="Q52" s="7">
        <v>1</v>
      </c>
    </row>
    <row r="53" spans="1:18">
      <c r="A53" s="14">
        <v>95603</v>
      </c>
      <c r="B53" s="14" t="s">
        <v>0</v>
      </c>
      <c r="C53" s="14" t="s">
        <v>96</v>
      </c>
      <c r="D53" s="18" t="s">
        <v>16091</v>
      </c>
      <c r="E53" s="15" t="str">
        <f>HYPERLINK("https://stat100.ameba.jp/tnk47/ratio20/illustrations/card/ill_95603_barentaindeujichachan03.jpg?202108-5-RELEASE-marathon-546xx", "■")</f>
        <v>■</v>
      </c>
      <c r="F53" s="14" t="s">
        <v>16090</v>
      </c>
      <c r="G53" s="14">
        <v>127507</v>
      </c>
      <c r="H53" s="14">
        <v>118568</v>
      </c>
      <c r="I53" s="14">
        <v>27</v>
      </c>
      <c r="J53" s="14" t="s">
        <v>104</v>
      </c>
      <c r="K53" s="14" t="s">
        <v>16089</v>
      </c>
      <c r="L53" s="14" t="s">
        <v>12340</v>
      </c>
      <c r="M53" s="14" t="s">
        <v>9158</v>
      </c>
      <c r="N53" s="14" t="s">
        <v>9158</v>
      </c>
      <c r="O53" s="7" t="s">
        <v>10055</v>
      </c>
      <c r="P53" s="7" t="s">
        <v>16092</v>
      </c>
      <c r="Q53" s="7">
        <v>1</v>
      </c>
    </row>
    <row r="54" spans="1:18">
      <c r="A54" s="9">
        <v>56183</v>
      </c>
      <c r="B54" s="14" t="s">
        <v>0</v>
      </c>
      <c r="C54" s="14" t="s">
        <v>191</v>
      </c>
      <c r="D54" s="14" t="s">
        <v>2024</v>
      </c>
      <c r="E54" s="15" t="str">
        <f>HYPERLINK("https://stat100.ameba.jp/tnk47/ratio20/illustrations/card/ill_56183_onsempanikkukoteipenginchan03.jpg?202108-5-RELEASE-marathon-546xx", "■")</f>
        <v>■</v>
      </c>
      <c r="F54" s="14" t="s">
        <v>2025</v>
      </c>
      <c r="G54" s="14">
        <v>104068</v>
      </c>
      <c r="H54" s="14">
        <v>96756</v>
      </c>
      <c r="I54" s="14">
        <v>27</v>
      </c>
      <c r="J54" s="14" t="s">
        <v>229</v>
      </c>
      <c r="K54" s="14" t="s">
        <v>2026</v>
      </c>
      <c r="L54" s="14" t="s">
        <v>13170</v>
      </c>
      <c r="M54" s="14" t="s">
        <v>9158</v>
      </c>
      <c r="N54" s="14" t="s">
        <v>9158</v>
      </c>
      <c r="O54" s="9" t="s">
        <v>3894</v>
      </c>
      <c r="P54" s="14" t="s">
        <v>3895</v>
      </c>
      <c r="Q54" s="14">
        <v>1</v>
      </c>
    </row>
    <row r="55" spans="1:18">
      <c r="A55" s="14">
        <v>96973</v>
      </c>
      <c r="B55" s="14" t="s">
        <v>0</v>
      </c>
      <c r="C55" s="14" t="s">
        <v>1</v>
      </c>
      <c r="D55" s="18" t="s">
        <v>16995</v>
      </c>
      <c r="E55" s="15" t="str">
        <f>HYPERLINK("https://stat100.ameba.jp/tnk47/ratio20/illustrations/card/ill_96973_kanokaiinugamitsukai03.jpg?202108-5-RELEASE-marathon-546xx", "■")</f>
        <v>■</v>
      </c>
      <c r="F55" s="14" t="s">
        <v>16994</v>
      </c>
      <c r="G55" s="14">
        <v>160507</v>
      </c>
      <c r="H55" s="14">
        <v>149240</v>
      </c>
      <c r="I55" s="14">
        <v>27</v>
      </c>
      <c r="J55" s="14" t="s">
        <v>44</v>
      </c>
      <c r="K55" s="14" t="s">
        <v>16993</v>
      </c>
      <c r="L55" s="14" t="s">
        <v>16992</v>
      </c>
      <c r="M55" s="14" t="s">
        <v>9158</v>
      </c>
      <c r="N55" s="14" t="s">
        <v>9158</v>
      </c>
      <c r="O55" s="7" t="s">
        <v>10118</v>
      </c>
      <c r="P55" s="7" t="s">
        <v>3810</v>
      </c>
      <c r="Q55" s="7">
        <v>1</v>
      </c>
    </row>
    <row r="57" spans="1:18">
      <c r="A57" s="14" t="s">
        <v>13327</v>
      </c>
    </row>
    <row r="58" spans="1:18">
      <c r="A58" s="14">
        <v>110603</v>
      </c>
      <c r="B58" s="14" t="s">
        <v>6029</v>
      </c>
    </row>
    <row r="59" spans="1:18">
      <c r="A59" s="14">
        <v>99513</v>
      </c>
      <c r="B59" s="14" t="s">
        <v>334</v>
      </c>
      <c r="C59" s="14" t="s">
        <v>14</v>
      </c>
      <c r="D59" s="14" t="s">
        <v>17094</v>
      </c>
      <c r="E59" s="15" t="str">
        <f>HYPERLINK("https://stat100.ameba.jp/tnk47/ratio20/illustrations/card/ill_99513_aberute03.jpg?202108-5-RELEASE-marathon-546xx", "■")</f>
        <v>■</v>
      </c>
      <c r="F59" s="14" t="s">
        <v>17093</v>
      </c>
      <c r="G59" s="14">
        <v>137316</v>
      </c>
      <c r="H59" s="14">
        <v>147692</v>
      </c>
      <c r="I59" s="14">
        <v>30</v>
      </c>
      <c r="J59" s="14" t="s">
        <v>26</v>
      </c>
      <c r="K59" s="14" t="s">
        <v>17092</v>
      </c>
      <c r="L59" s="14" t="s">
        <v>17091</v>
      </c>
      <c r="M59" s="14" t="s">
        <v>2138</v>
      </c>
      <c r="N59" s="14" t="s">
        <v>2139</v>
      </c>
      <c r="O59" s="14" t="s">
        <v>9158</v>
      </c>
      <c r="P59" s="14" t="s">
        <v>9158</v>
      </c>
      <c r="Q59" s="14" t="s">
        <v>9158</v>
      </c>
      <c r="R59" s="14" t="s">
        <v>14748</v>
      </c>
    </row>
    <row r="60" spans="1:18">
      <c r="A60" s="14">
        <v>99512</v>
      </c>
      <c r="B60" s="14" t="s">
        <v>334</v>
      </c>
      <c r="C60" s="14" t="s">
        <v>14</v>
      </c>
      <c r="D60" s="14" t="s">
        <v>17094</v>
      </c>
      <c r="E60" s="15" t="str">
        <f>HYPERLINK("https://stat100.ameba.jp/tnk47/ratio20/illustrations/card/ill_99512_aberute02.jpg?202108-5-RELEASE-marathon-546xx", "■")</f>
        <v>■</v>
      </c>
      <c r="F60" s="14" t="s">
        <v>17093</v>
      </c>
      <c r="G60" s="14">
        <v>113730</v>
      </c>
      <c r="H60" s="14">
        <v>123462</v>
      </c>
      <c r="I60" s="14">
        <v>30</v>
      </c>
      <c r="J60" s="14" t="s">
        <v>26</v>
      </c>
      <c r="K60" s="14" t="s">
        <v>17092</v>
      </c>
      <c r="L60" s="14" t="s">
        <v>17095</v>
      </c>
      <c r="M60" s="14" t="s">
        <v>13270</v>
      </c>
      <c r="N60" s="14" t="s">
        <v>13271</v>
      </c>
      <c r="O60" s="14" t="s">
        <v>9158</v>
      </c>
      <c r="P60" s="14" t="s">
        <v>9158</v>
      </c>
      <c r="Q60" s="14" t="s">
        <v>9158</v>
      </c>
      <c r="R60" s="14" t="s">
        <v>14748</v>
      </c>
    </row>
    <row r="61" spans="1:18">
      <c r="A61" s="14">
        <v>99511</v>
      </c>
      <c r="B61" s="14" t="s">
        <v>334</v>
      </c>
      <c r="C61" s="14" t="s">
        <v>14</v>
      </c>
      <c r="D61" s="14" t="s">
        <v>17094</v>
      </c>
      <c r="E61" s="15" t="str">
        <f>HYPERLINK("https://stat100.ameba.jp/tnk47/ratio20/illustrations/card/ill_99511_aberute01.jpg?202108-5-RELEASE-marathon-546xx", "■")</f>
        <v>■</v>
      </c>
      <c r="F61" s="14" t="s">
        <v>17093</v>
      </c>
      <c r="G61" s="14">
        <v>87750</v>
      </c>
      <c r="H61" s="14">
        <v>94260</v>
      </c>
      <c r="I61" s="14">
        <v>30</v>
      </c>
      <c r="J61" s="14" t="s">
        <v>26</v>
      </c>
      <c r="K61" s="14" t="s">
        <v>17092</v>
      </c>
      <c r="L61" s="14" t="s">
        <v>17096</v>
      </c>
      <c r="M61" s="14" t="s">
        <v>13270</v>
      </c>
      <c r="N61" s="14" t="s">
        <v>13271</v>
      </c>
      <c r="O61" s="14" t="s">
        <v>9158</v>
      </c>
      <c r="P61" s="14" t="s">
        <v>9158</v>
      </c>
      <c r="Q61" s="14" t="s">
        <v>9158</v>
      </c>
      <c r="R61" s="14" t="s">
        <v>14748</v>
      </c>
    </row>
    <row r="62" spans="1:18">
      <c r="A62" s="14">
        <v>99523</v>
      </c>
      <c r="B62" s="14" t="s">
        <v>334</v>
      </c>
      <c r="C62" s="14" t="s">
        <v>23</v>
      </c>
      <c r="D62" s="14" t="s">
        <v>17100</v>
      </c>
      <c r="E62" s="15" t="str">
        <f>HYPERLINK("https://stat100.ameba.jp/tnk47/ratio20/illustrations/card/ill_99523_arukumasshu03.jpg?202108-5-RELEASE-marathon-546xx", "■")</f>
        <v>■</v>
      </c>
      <c r="F62" s="14" t="s">
        <v>17099</v>
      </c>
      <c r="G62" s="14">
        <v>137316</v>
      </c>
      <c r="H62" s="14">
        <v>147692</v>
      </c>
      <c r="I62" s="14">
        <v>30</v>
      </c>
      <c r="J62" s="14" t="s">
        <v>104</v>
      </c>
      <c r="K62" s="14" t="s">
        <v>17098</v>
      </c>
      <c r="L62" s="14" t="s">
        <v>17097</v>
      </c>
      <c r="M62" s="14" t="s">
        <v>2138</v>
      </c>
      <c r="N62" s="14" t="s">
        <v>2139</v>
      </c>
      <c r="O62" s="14" t="s">
        <v>9158</v>
      </c>
      <c r="P62" s="14" t="s">
        <v>9158</v>
      </c>
      <c r="Q62" s="14" t="s">
        <v>9158</v>
      </c>
      <c r="R62" s="14" t="s">
        <v>14748</v>
      </c>
    </row>
    <row r="63" spans="1:18">
      <c r="A63" s="14">
        <v>99533</v>
      </c>
      <c r="B63" s="14" t="s">
        <v>334</v>
      </c>
      <c r="C63" s="14" t="s">
        <v>101</v>
      </c>
      <c r="D63" s="14" t="s">
        <v>17104</v>
      </c>
      <c r="E63" s="15" t="str">
        <f>HYPERLINK("https://stat100.ameba.jp/tnk47/ratio20/illustrations/card/ill_99533_zahhaku03.jpg?202108-5-RELEASE-marathon-546xx", "■")</f>
        <v>■</v>
      </c>
      <c r="F63" s="14" t="s">
        <v>17103</v>
      </c>
      <c r="G63" s="14">
        <v>147692</v>
      </c>
      <c r="H63" s="14">
        <v>137316</v>
      </c>
      <c r="I63" s="14">
        <v>30</v>
      </c>
      <c r="J63" s="14" t="s">
        <v>73</v>
      </c>
      <c r="K63" s="14" t="s">
        <v>17102</v>
      </c>
      <c r="L63" s="14" t="s">
        <v>17101</v>
      </c>
      <c r="M63" s="14" t="s">
        <v>2138</v>
      </c>
      <c r="N63" s="14" t="s">
        <v>2139</v>
      </c>
      <c r="O63" s="14" t="s">
        <v>9158</v>
      </c>
      <c r="P63" s="14" t="s">
        <v>9158</v>
      </c>
      <c r="Q63" s="14" t="s">
        <v>9158</v>
      </c>
      <c r="R63" s="14" t="s">
        <v>14748</v>
      </c>
    </row>
    <row r="64" spans="1:18">
      <c r="A64" s="14">
        <v>99543</v>
      </c>
      <c r="B64" s="14" t="s">
        <v>334</v>
      </c>
      <c r="C64" s="14" t="s">
        <v>96</v>
      </c>
      <c r="D64" s="14" t="s">
        <v>17108</v>
      </c>
      <c r="E64" s="15" t="str">
        <f>HYPERLINK("https://stat100.ameba.jp/tnk47/ratio20/illustrations/card/ill_99543_bega03.jpg?202108-5-RELEASE-marathon-546xx", "■")</f>
        <v>■</v>
      </c>
      <c r="F64" s="14" t="s">
        <v>17107</v>
      </c>
      <c r="G64" s="14">
        <v>147692</v>
      </c>
      <c r="H64" s="14">
        <v>137316</v>
      </c>
      <c r="I64" s="14">
        <v>30</v>
      </c>
      <c r="J64" s="14" t="s">
        <v>44</v>
      </c>
      <c r="K64" s="14" t="s">
        <v>17106</v>
      </c>
      <c r="L64" s="14" t="s">
        <v>17105</v>
      </c>
      <c r="M64" s="14" t="s">
        <v>2138</v>
      </c>
      <c r="N64" s="14" t="s">
        <v>2139</v>
      </c>
      <c r="O64" s="14" t="s">
        <v>9158</v>
      </c>
      <c r="P64" s="14" t="s">
        <v>9158</v>
      </c>
      <c r="Q64" s="14" t="s">
        <v>9158</v>
      </c>
      <c r="R64" s="14" t="s">
        <v>14748</v>
      </c>
    </row>
    <row r="65" spans="1:18">
      <c r="A65" s="14">
        <v>99553</v>
      </c>
      <c r="B65" s="14" t="s">
        <v>334</v>
      </c>
      <c r="C65" s="14" t="s">
        <v>1</v>
      </c>
      <c r="D65" s="14" t="s">
        <v>17112</v>
      </c>
      <c r="E65" s="15" t="str">
        <f>HYPERLINK("https://stat100.ameba.jp/tnk47/ratio20/illustrations/card/ill_99553_shupigeru03.jpg?202108-5-RELEASE-marathon-546xx", "■")</f>
        <v>■</v>
      </c>
      <c r="F65" s="14" t="s">
        <v>17111</v>
      </c>
      <c r="G65" s="14">
        <v>147692</v>
      </c>
      <c r="H65" s="14">
        <v>137316</v>
      </c>
      <c r="I65" s="14">
        <v>30</v>
      </c>
      <c r="J65" s="14" t="s">
        <v>77</v>
      </c>
      <c r="K65" s="14" t="s">
        <v>17110</v>
      </c>
      <c r="L65" s="14" t="s">
        <v>17109</v>
      </c>
      <c r="M65" s="14" t="s">
        <v>2138</v>
      </c>
      <c r="N65" s="14" t="s">
        <v>2139</v>
      </c>
      <c r="O65" s="14" t="s">
        <v>9158</v>
      </c>
      <c r="P65" s="14" t="s">
        <v>9158</v>
      </c>
      <c r="Q65" s="14" t="s">
        <v>9158</v>
      </c>
      <c r="R65" s="14" t="s">
        <v>14748</v>
      </c>
    </row>
    <row r="66" spans="1:18">
      <c r="A66" s="14">
        <v>99563</v>
      </c>
      <c r="B66" s="14" t="s">
        <v>334</v>
      </c>
      <c r="C66" s="14" t="s">
        <v>107</v>
      </c>
      <c r="D66" s="14" t="s">
        <v>17116</v>
      </c>
      <c r="E66" s="15" t="str">
        <f>HYPERLINK("https://stat100.ameba.jp/tnk47/ratio20/illustrations/card/ill_99563_senkinokishiryunnu03.jpg?202108-5-RELEASE-marathon-546xx", "■")</f>
        <v>■</v>
      </c>
      <c r="F66" s="14" t="s">
        <v>17115</v>
      </c>
      <c r="G66" s="14">
        <v>137316</v>
      </c>
      <c r="H66" s="14">
        <v>147692</v>
      </c>
      <c r="I66" s="14">
        <v>30</v>
      </c>
      <c r="J66" s="14" t="s">
        <v>143</v>
      </c>
      <c r="K66" s="14" t="s">
        <v>17114</v>
      </c>
      <c r="L66" s="14" t="s">
        <v>17113</v>
      </c>
      <c r="M66" s="14" t="s">
        <v>2138</v>
      </c>
      <c r="N66" s="14" t="s">
        <v>2139</v>
      </c>
      <c r="O66" s="14" t="s">
        <v>9158</v>
      </c>
      <c r="P66" s="14" t="s">
        <v>9158</v>
      </c>
      <c r="Q66" s="14" t="s">
        <v>9158</v>
      </c>
      <c r="R66" s="14" t="s">
        <v>14748</v>
      </c>
    </row>
    <row r="68" spans="1:18">
      <c r="A68" s="14" t="s">
        <v>17557</v>
      </c>
    </row>
    <row r="69" spans="1:18">
      <c r="A69" s="14">
        <v>239876</v>
      </c>
      <c r="B69" s="14" t="s">
        <v>6032</v>
      </c>
    </row>
    <row r="70" spans="1:18">
      <c r="A70" s="14">
        <v>239882</v>
      </c>
      <c r="B70" s="14" t="s">
        <v>7659</v>
      </c>
    </row>
    <row r="71" spans="1:18">
      <c r="A71" s="14" t="s">
        <v>17555</v>
      </c>
      <c r="B71" s="7" t="s">
        <v>52</v>
      </c>
      <c r="C71" s="14" t="s">
        <v>202</v>
      </c>
      <c r="D71" s="18" t="s">
        <v>17554</v>
      </c>
      <c r="E71" s="15" t="str">
        <f>HYPERLINK("https://stat100.ameba.jp/tnk47/ratio20/illustrations/card/ill_99723_0_natsuyomatsurisuzaku03.jpg?202108-5-RELEASE-marathon-546xx", "■")</f>
        <v>■</v>
      </c>
      <c r="F71" s="14" t="s">
        <v>17553</v>
      </c>
      <c r="G71" s="14">
        <v>336944</v>
      </c>
      <c r="H71" s="14">
        <v>275684</v>
      </c>
      <c r="I71" s="7">
        <v>30</v>
      </c>
      <c r="J71" s="14" t="s">
        <v>44</v>
      </c>
      <c r="K71" s="14" t="s">
        <v>17552</v>
      </c>
      <c r="L71" s="14" t="s">
        <v>17551</v>
      </c>
      <c r="M71" s="14" t="s">
        <v>9158</v>
      </c>
      <c r="N71" s="14" t="s">
        <v>9158</v>
      </c>
      <c r="O71" s="14" t="s">
        <v>17550</v>
      </c>
      <c r="P71" s="7" t="s">
        <v>17549</v>
      </c>
      <c r="Q71" s="7">
        <v>1</v>
      </c>
    </row>
    <row r="72" spans="1:18">
      <c r="A72" s="14">
        <v>99783</v>
      </c>
      <c r="B72" s="14" t="s">
        <v>0</v>
      </c>
      <c r="C72" s="14" t="s">
        <v>107</v>
      </c>
      <c r="D72" s="14" t="s">
        <v>17561</v>
      </c>
      <c r="E72" s="15" t="str">
        <f>HYPERLINK("https://stat100.ameba.jp/tnk47/ratio20/illustrations/card/ill_99783_saishuoryo03.jpg?202108-5-RELEASE-marathon-546xx", "■")</f>
        <v>■</v>
      </c>
      <c r="F72" s="14" t="s">
        <v>17560</v>
      </c>
      <c r="G72" s="14">
        <v>121646</v>
      </c>
      <c r="H72" s="14">
        <v>113154</v>
      </c>
      <c r="I72" s="7">
        <v>30</v>
      </c>
      <c r="J72" s="14" t="s">
        <v>77</v>
      </c>
      <c r="K72" s="14" t="s">
        <v>17559</v>
      </c>
      <c r="L72" s="14" t="s">
        <v>17558</v>
      </c>
      <c r="M72" s="14" t="s">
        <v>9158</v>
      </c>
      <c r="N72" s="14" t="s">
        <v>9158</v>
      </c>
      <c r="O72" s="14" t="s">
        <v>9158</v>
      </c>
      <c r="P72" s="14" t="s">
        <v>9158</v>
      </c>
      <c r="Q72" s="14" t="s">
        <v>9158</v>
      </c>
    </row>
    <row r="73" spans="1:18">
      <c r="A73" s="14">
        <v>99793</v>
      </c>
      <c r="B73" s="14" t="s">
        <v>15</v>
      </c>
      <c r="C73" s="14" t="s">
        <v>23</v>
      </c>
      <c r="D73" s="14" t="s">
        <v>17564</v>
      </c>
      <c r="E73" s="15" t="str">
        <f>HYPERLINK("https://stat100.ameba.jp/tnk47/ratio20/illustrations/card/ill_99793_yukataazabunooneko03.jpg?202108-5-RELEASE-marathon-546xx", "■")</f>
        <v>■</v>
      </c>
      <c r="F73" s="14" t="s">
        <v>17563</v>
      </c>
      <c r="G73" s="14">
        <v>80652</v>
      </c>
      <c r="H73" s="14">
        <v>88920</v>
      </c>
      <c r="I73" s="7">
        <v>30</v>
      </c>
      <c r="J73" s="14" t="s">
        <v>73</v>
      </c>
      <c r="K73" s="14" t="s">
        <v>17562</v>
      </c>
      <c r="L73" s="14" t="s">
        <v>1706</v>
      </c>
      <c r="M73" s="14" t="s">
        <v>9158</v>
      </c>
      <c r="N73" s="14" t="s">
        <v>9158</v>
      </c>
      <c r="O73" s="14" t="s">
        <v>9158</v>
      </c>
      <c r="P73" s="14" t="s">
        <v>9158</v>
      </c>
      <c r="Q73" s="14" t="s">
        <v>9158</v>
      </c>
    </row>
    <row r="74" spans="1:18">
      <c r="A74" s="14">
        <v>99803</v>
      </c>
      <c r="B74" s="14" t="s">
        <v>22</v>
      </c>
      <c r="C74" s="14" t="s">
        <v>101</v>
      </c>
      <c r="D74" s="14" t="s">
        <v>17567</v>
      </c>
      <c r="E74" s="15" t="str">
        <f>HYPERLINK("https://stat100.ameba.jp/tnk47/ratio20/illustrations/card/ill_99803_yoshidanohimatsuri03.jpg?202108-5-RELEASE-marathon-546xx", "■")</f>
        <v>■</v>
      </c>
      <c r="F74" s="14" t="s">
        <v>17566</v>
      </c>
      <c r="G74" s="14">
        <v>62376</v>
      </c>
      <c r="H74" s="14">
        <v>51864</v>
      </c>
      <c r="I74" s="7">
        <v>30</v>
      </c>
      <c r="J74" s="14" t="s">
        <v>26</v>
      </c>
      <c r="K74" s="14" t="s">
        <v>17565</v>
      </c>
      <c r="L74" s="14" t="s">
        <v>2635</v>
      </c>
      <c r="M74" s="14" t="s">
        <v>9158</v>
      </c>
      <c r="N74" s="14" t="s">
        <v>9158</v>
      </c>
      <c r="O74" s="14" t="s">
        <v>9158</v>
      </c>
      <c r="P74" s="14" t="s">
        <v>9158</v>
      </c>
      <c r="Q74" s="14" t="s">
        <v>9158</v>
      </c>
    </row>
    <row r="75" spans="1:18">
      <c r="A75" s="14">
        <v>99813</v>
      </c>
      <c r="B75" s="14" t="s">
        <v>22</v>
      </c>
      <c r="C75" s="14" t="s">
        <v>1</v>
      </c>
      <c r="D75" s="14" t="s">
        <v>17570</v>
      </c>
      <c r="E75" s="15" t="str">
        <f>HYPERLINK("https://stat100.ameba.jp/tnk47/ratio20/illustrations/card/ill_99813_shittorotodori03.jpg?202108-5-RELEASE-marathon-546xx", "■")</f>
        <v>■</v>
      </c>
      <c r="F75" s="14" t="s">
        <v>17569</v>
      </c>
      <c r="G75" s="14">
        <v>51864</v>
      </c>
      <c r="H75" s="14">
        <v>62376</v>
      </c>
      <c r="I75" s="7">
        <v>30</v>
      </c>
      <c r="J75" s="14" t="s">
        <v>38</v>
      </c>
      <c r="K75" s="14" t="s">
        <v>17568</v>
      </c>
      <c r="L75" s="14" t="s">
        <v>7248</v>
      </c>
      <c r="M75" s="14" t="s">
        <v>9158</v>
      </c>
      <c r="N75" s="14" t="s">
        <v>9158</v>
      </c>
      <c r="O75" s="14" t="s">
        <v>9158</v>
      </c>
      <c r="P75" s="14" t="s">
        <v>9158</v>
      </c>
      <c r="Q75" s="14" t="s">
        <v>9158</v>
      </c>
    </row>
    <row r="77" spans="1:18">
      <c r="A77" s="14" t="s">
        <v>3844</v>
      </c>
    </row>
    <row r="78" spans="1:18">
      <c r="A78" s="14">
        <v>110626</v>
      </c>
      <c r="B78" s="14" t="s">
        <v>13592</v>
      </c>
    </row>
    <row r="79" spans="1:18">
      <c r="A79" s="9" t="s">
        <v>9891</v>
      </c>
      <c r="B79" s="7" t="s">
        <v>52</v>
      </c>
      <c r="C79" s="9" t="s">
        <v>202</v>
      </c>
      <c r="D79" s="6" t="s">
        <v>9978</v>
      </c>
      <c r="E79" s="15" t="str">
        <f>HYPERLINK("https://stat100.ameba.jp/tnk47/ratio20/illustrations/card/ill_87643_0_oendanotohime03.jpg?202108-5-RELEASE-marathon-546xx", "■")</f>
        <v>■</v>
      </c>
      <c r="F79" s="14" t="s">
        <v>9928</v>
      </c>
      <c r="G79" s="9">
        <v>281156</v>
      </c>
      <c r="H79" s="9">
        <v>343608</v>
      </c>
      <c r="I79" s="7">
        <v>27</v>
      </c>
      <c r="J79" s="9" t="s">
        <v>155</v>
      </c>
      <c r="K79" s="14" t="s">
        <v>9932</v>
      </c>
      <c r="L79" s="14" t="s">
        <v>9933</v>
      </c>
      <c r="M79" s="14" t="s">
        <v>9158</v>
      </c>
      <c r="N79" s="14" t="s">
        <v>9158</v>
      </c>
      <c r="O79" s="6" t="s">
        <v>9989</v>
      </c>
      <c r="P79" s="7" t="s">
        <v>9944</v>
      </c>
      <c r="Q79" s="7">
        <v>1</v>
      </c>
    </row>
    <row r="80" spans="1:18">
      <c r="A80" s="14">
        <v>84863</v>
      </c>
      <c r="B80" s="14" t="s">
        <v>0</v>
      </c>
      <c r="C80" s="14" t="s">
        <v>200</v>
      </c>
      <c r="D80" s="19" t="s">
        <v>10742</v>
      </c>
      <c r="E80" s="15" t="str">
        <f>HYPERLINK("https://stat100.ameba.jp/tnk47/ratio20/illustrations/card/ill_84863_onsengaiarisubekon03.jpg?202108-5-RELEASE-marathon-546xx", "■")</f>
        <v>■</v>
      </c>
      <c r="F80" s="14" t="s">
        <v>7796</v>
      </c>
      <c r="G80" s="14">
        <v>117591</v>
      </c>
      <c r="H80" s="14">
        <v>109381</v>
      </c>
      <c r="I80" s="9">
        <v>29</v>
      </c>
      <c r="J80" s="14" t="s">
        <v>159</v>
      </c>
      <c r="K80" s="14" t="s">
        <v>7795</v>
      </c>
      <c r="L80" s="14" t="s">
        <v>7794</v>
      </c>
      <c r="M80" s="14" t="s">
        <v>9158</v>
      </c>
      <c r="N80" s="14" t="s">
        <v>9158</v>
      </c>
      <c r="O80" s="19" t="s">
        <v>2951</v>
      </c>
      <c r="P80" s="14" t="s">
        <v>13122</v>
      </c>
      <c r="Q80" s="14">
        <v>1</v>
      </c>
    </row>
    <row r="81" spans="1:17">
      <c r="A81" s="14">
        <v>86223</v>
      </c>
      <c r="B81" s="14" t="s">
        <v>0</v>
      </c>
      <c r="C81" s="14" t="s">
        <v>191</v>
      </c>
      <c r="D81" s="20" t="s">
        <v>10881</v>
      </c>
      <c r="E81" s="15" t="str">
        <f>HYPERLINK("https://stat100.ameba.jp/tnk47/ratio20/illustrations/card/ill_86223_oshogatsumiyoshino03.jpg?202108-5-RELEASE-marathon-546xx", "■")</f>
        <v>■</v>
      </c>
      <c r="F81" s="14" t="s">
        <v>8871</v>
      </c>
      <c r="G81" s="14">
        <v>105281</v>
      </c>
      <c r="H81" s="14">
        <v>113277</v>
      </c>
      <c r="I81" s="14">
        <v>29</v>
      </c>
      <c r="J81" s="14" t="s">
        <v>187</v>
      </c>
      <c r="K81" s="14" t="s">
        <v>8845</v>
      </c>
      <c r="L81" s="14" t="s">
        <v>13212</v>
      </c>
      <c r="M81" s="14" t="s">
        <v>9158</v>
      </c>
      <c r="N81" s="14" t="s">
        <v>9158</v>
      </c>
      <c r="O81" s="19" t="s">
        <v>10119</v>
      </c>
      <c r="P81" s="14" t="s">
        <v>3662</v>
      </c>
      <c r="Q81" s="14">
        <v>1</v>
      </c>
    </row>
    <row r="82" spans="1:17">
      <c r="A82" s="14">
        <v>92363</v>
      </c>
      <c r="B82" s="14" t="s">
        <v>0</v>
      </c>
      <c r="C82" s="14" t="s">
        <v>1</v>
      </c>
      <c r="D82" s="18" t="s">
        <v>15010</v>
      </c>
      <c r="E82" s="15" t="str">
        <f>HYPERLINK("https://stat100.ameba.jp/tnk47/ratio20/illustrations/card/ill_92363_haroinorochinomusha03.jpg?202108-5-RELEASE-marathon-546xx", "■")</f>
        <v>■</v>
      </c>
      <c r="F82" s="14" t="s">
        <v>15009</v>
      </c>
      <c r="G82" s="14">
        <v>160296</v>
      </c>
      <c r="H82" s="14">
        <v>172397</v>
      </c>
      <c r="I82" s="9">
        <v>29</v>
      </c>
      <c r="J82" s="14" t="s">
        <v>143</v>
      </c>
      <c r="K82" s="14" t="s">
        <v>15007</v>
      </c>
      <c r="L82" s="14" t="s">
        <v>12361</v>
      </c>
      <c r="M82" s="14" t="s">
        <v>9158</v>
      </c>
      <c r="N82" s="14" t="s">
        <v>9158</v>
      </c>
      <c r="O82" s="6" t="s">
        <v>2717</v>
      </c>
      <c r="P82" s="7" t="s">
        <v>15004</v>
      </c>
      <c r="Q82" s="7">
        <v>1</v>
      </c>
    </row>
    <row r="84" spans="1:17">
      <c r="A84" s="14" t="s">
        <v>3916</v>
      </c>
    </row>
    <row r="85" spans="1:17">
      <c r="A85" s="14">
        <v>110629</v>
      </c>
      <c r="B85" s="14" t="s">
        <v>17556</v>
      </c>
      <c r="I85" s="9"/>
    </row>
    <row r="86" spans="1:17">
      <c r="A86" s="9">
        <v>60363</v>
      </c>
      <c r="B86" s="14" t="s">
        <v>0</v>
      </c>
      <c r="C86" s="14" t="s">
        <v>209</v>
      </c>
      <c r="D86" s="14" t="s">
        <v>3918</v>
      </c>
      <c r="E86" s="15" t="str">
        <f>HYPERLINK("https://stat100.ameba.jp/tnk47/ratio20/illustrations/card/ill_60363_shirakaba03.jpg?202108-5-RELEASE-marathon-546xx", "■")</f>
        <v>■</v>
      </c>
      <c r="F86" s="14" t="s">
        <v>3919</v>
      </c>
      <c r="G86" s="14">
        <v>116296</v>
      </c>
      <c r="H86" s="14">
        <v>125078</v>
      </c>
      <c r="I86" s="9">
        <v>29</v>
      </c>
      <c r="J86" s="14" t="s">
        <v>26</v>
      </c>
      <c r="K86" s="14" t="s">
        <v>3920</v>
      </c>
      <c r="L86" s="14" t="s">
        <v>3921</v>
      </c>
      <c r="M86" s="14" t="s">
        <v>9158</v>
      </c>
      <c r="N86" s="14" t="s">
        <v>9158</v>
      </c>
      <c r="O86" s="14" t="s">
        <v>9158</v>
      </c>
      <c r="P86" s="14" t="s">
        <v>9158</v>
      </c>
      <c r="Q86" s="14" t="s">
        <v>9158</v>
      </c>
    </row>
    <row r="87" spans="1:17">
      <c r="A87" s="9">
        <v>59413</v>
      </c>
      <c r="B87" s="14" t="s">
        <v>334</v>
      </c>
      <c r="C87" s="14" t="s">
        <v>158</v>
      </c>
      <c r="D87" s="14" t="s">
        <v>3922</v>
      </c>
      <c r="E87" s="15" t="str">
        <f>HYPERLINK("https://stat100.ameba.jp/tnk47/ratio20/illustrations/card/ill_59413_otogosahime03.jpg?202108-5-RELEASE-marathon-546xx", "■")</f>
        <v>■</v>
      </c>
      <c r="F87" s="14" t="s">
        <v>3923</v>
      </c>
      <c r="G87" s="14">
        <v>116296</v>
      </c>
      <c r="H87" s="14">
        <v>125078</v>
      </c>
      <c r="I87" s="14">
        <v>29</v>
      </c>
      <c r="J87" s="14" t="s">
        <v>38</v>
      </c>
      <c r="K87" s="14" t="s">
        <v>3924</v>
      </c>
      <c r="L87" s="14" t="s">
        <v>3925</v>
      </c>
      <c r="M87" s="14" t="s">
        <v>9158</v>
      </c>
      <c r="N87" s="14" t="s">
        <v>9158</v>
      </c>
      <c r="O87" s="14" t="s">
        <v>9158</v>
      </c>
      <c r="P87" s="14" t="s">
        <v>9158</v>
      </c>
      <c r="Q87" s="14" t="s">
        <v>9158</v>
      </c>
    </row>
    <row r="88" spans="1:17">
      <c r="A88" s="14">
        <v>76483</v>
      </c>
      <c r="B88" s="14" t="s">
        <v>334</v>
      </c>
      <c r="C88" s="14" t="s">
        <v>307</v>
      </c>
      <c r="D88" s="20" t="s">
        <v>589</v>
      </c>
      <c r="E88" s="15" t="str">
        <f>HYPERLINK("https://stat100.ameba.jp/tnk47/ratio20/illustrations/card/ill_76483_yukemurimizuhanome03.jpg?202108-5-RELEASE-marathon-546xx", "■")</f>
        <v>■</v>
      </c>
      <c r="F88" s="14" t="s">
        <v>590</v>
      </c>
      <c r="G88" s="14">
        <v>118287</v>
      </c>
      <c r="H88" s="14">
        <v>109970</v>
      </c>
      <c r="I88" s="9">
        <v>29</v>
      </c>
      <c r="J88" s="14" t="s">
        <v>401</v>
      </c>
      <c r="K88" s="14" t="s">
        <v>591</v>
      </c>
      <c r="L88" s="14" t="s">
        <v>592</v>
      </c>
      <c r="M88" s="14" t="s">
        <v>9158</v>
      </c>
      <c r="N88" s="14" t="s">
        <v>9158</v>
      </c>
      <c r="O88" s="14" t="s">
        <v>9158</v>
      </c>
      <c r="P88" s="14" t="s">
        <v>9158</v>
      </c>
      <c r="Q88" s="14" t="s">
        <v>9158</v>
      </c>
    </row>
    <row r="89" spans="1:17">
      <c r="A89" s="14">
        <v>70023</v>
      </c>
      <c r="B89" s="14" t="s">
        <v>334</v>
      </c>
      <c r="C89" s="14" t="s">
        <v>344</v>
      </c>
      <c r="D89" s="20" t="s">
        <v>10230</v>
      </c>
      <c r="E89" s="15" t="str">
        <f>HYPERLINK("https://stat100.ameba.jp/tnk47/ratio20/illustrations/card/ill_70023_yukinoukokunabeshimanobakeneko03.jpg?202108-5-RELEASE-marathon-546xx", "■")</f>
        <v>■</v>
      </c>
      <c r="F89" s="14" t="s">
        <v>769</v>
      </c>
      <c r="G89" s="14">
        <v>112369</v>
      </c>
      <c r="H89" s="14">
        <v>120830</v>
      </c>
      <c r="I89" s="14">
        <v>29</v>
      </c>
      <c r="J89" s="14" t="s">
        <v>320</v>
      </c>
      <c r="K89" s="14" t="s">
        <v>770</v>
      </c>
      <c r="L89" s="14" t="s">
        <v>771</v>
      </c>
      <c r="M89" s="14" t="s">
        <v>9158</v>
      </c>
      <c r="N89" s="14" t="s">
        <v>9158</v>
      </c>
      <c r="O89" s="14" t="s">
        <v>9158</v>
      </c>
      <c r="P89" s="14" t="s">
        <v>9158</v>
      </c>
      <c r="Q89" s="14" t="s">
        <v>9158</v>
      </c>
    </row>
    <row r="90" spans="1:17">
      <c r="A90" s="14">
        <v>52733</v>
      </c>
      <c r="B90" s="14" t="s">
        <v>15</v>
      </c>
      <c r="C90" s="14" t="s">
        <v>185</v>
      </c>
      <c r="D90" s="20" t="s">
        <v>10491</v>
      </c>
      <c r="E90" s="15" t="str">
        <f>HYPERLINK("https://stat100.ameba.jp/tnk47/ratio20/illustrations/card/ill_52733_sekkinambutsuruhime03.jpg?202108-5-RELEASE-marathon-546xx", "■")</f>
        <v>■</v>
      </c>
      <c r="F90" s="14" t="s">
        <v>6246</v>
      </c>
      <c r="G90" s="14">
        <v>67210</v>
      </c>
      <c r="H90" s="14">
        <v>74100</v>
      </c>
      <c r="I90" s="14">
        <v>25</v>
      </c>
      <c r="J90" s="14" t="s">
        <v>77</v>
      </c>
      <c r="K90" s="14" t="s">
        <v>6248</v>
      </c>
      <c r="L90" s="14" t="s">
        <v>6249</v>
      </c>
      <c r="M90" s="14" t="s">
        <v>9158</v>
      </c>
      <c r="N90" s="14" t="s">
        <v>9158</v>
      </c>
      <c r="O90" s="14" t="s">
        <v>9158</v>
      </c>
      <c r="P90" s="14" t="s">
        <v>9158</v>
      </c>
      <c r="Q90" s="14" t="s">
        <v>9158</v>
      </c>
    </row>
    <row r="91" spans="1:17">
      <c r="A91" s="14">
        <v>54003</v>
      </c>
      <c r="B91" s="14" t="s">
        <v>15</v>
      </c>
      <c r="C91" s="14" t="s">
        <v>200</v>
      </c>
      <c r="D91" s="20" t="s">
        <v>10492</v>
      </c>
      <c r="E91" s="15" t="str">
        <f>HYPERLINK("https://stat100.ameba.jp/tnk47/ratio20/illustrations/card/ill_54003_seiryumegurihiguchiichiyo03.jpg?202108-5-RELEASE-marathon-546xx", "■")</f>
        <v>■</v>
      </c>
      <c r="F91" s="14" t="s">
        <v>6250</v>
      </c>
      <c r="G91" s="14">
        <v>74100</v>
      </c>
      <c r="H91" s="14">
        <v>67210</v>
      </c>
      <c r="I91" s="14">
        <v>25</v>
      </c>
      <c r="J91" s="14" t="s">
        <v>10</v>
      </c>
      <c r="K91" s="14" t="s">
        <v>6252</v>
      </c>
      <c r="L91" s="14" t="s">
        <v>6253</v>
      </c>
      <c r="M91" s="14" t="s">
        <v>9158</v>
      </c>
      <c r="N91" s="14" t="s">
        <v>9158</v>
      </c>
      <c r="O91" s="14" t="s">
        <v>9158</v>
      </c>
      <c r="P91" s="14" t="s">
        <v>9158</v>
      </c>
      <c r="Q91" s="14" t="s">
        <v>9158</v>
      </c>
    </row>
    <row r="92" spans="1:17">
      <c r="A92" s="14">
        <v>51833</v>
      </c>
      <c r="B92" s="14" t="s">
        <v>15</v>
      </c>
      <c r="C92" s="14" t="s">
        <v>205</v>
      </c>
      <c r="D92" s="20" t="s">
        <v>10493</v>
      </c>
      <c r="E92" s="15" t="str">
        <f>HYPERLINK("https://stat100.ameba.jp/tnk47/ratio20/illustrations/card/ill_51833_jukimakitsuhikonomikoto03.jpg?202108-5-RELEASE-marathon-546xx", "■")</f>
        <v>■</v>
      </c>
      <c r="F92" s="14" t="s">
        <v>6254</v>
      </c>
      <c r="G92" s="14">
        <v>74100</v>
      </c>
      <c r="H92" s="14">
        <v>67210</v>
      </c>
      <c r="I92" s="14">
        <v>25</v>
      </c>
      <c r="J92" s="14" t="s">
        <v>44</v>
      </c>
      <c r="K92" s="14" t="s">
        <v>6257</v>
      </c>
      <c r="L92" s="14" t="s">
        <v>6256</v>
      </c>
      <c r="M92" s="14" t="s">
        <v>9158</v>
      </c>
      <c r="N92" s="14" t="s">
        <v>9158</v>
      </c>
      <c r="O92" s="14" t="s">
        <v>9158</v>
      </c>
      <c r="P92" s="14" t="s">
        <v>9158</v>
      </c>
      <c r="Q92" s="14" t="s">
        <v>9158</v>
      </c>
    </row>
    <row r="93" spans="1:17">
      <c r="A93" s="14">
        <v>53203</v>
      </c>
      <c r="B93" s="14" t="s">
        <v>15</v>
      </c>
      <c r="C93" s="14" t="s">
        <v>165</v>
      </c>
      <c r="D93" s="20" t="s">
        <v>10494</v>
      </c>
      <c r="E93" s="15" t="str">
        <f>HYPERLINK("https://stat100.ameba.jp/tnk47/ratio20/illustrations/card/ill_53203_buruhawaichan03.jpg?202108-5-RELEASE-marathon-546xx", "■")</f>
        <v>■</v>
      </c>
      <c r="F93" s="14" t="s">
        <v>6258</v>
      </c>
      <c r="G93" s="14">
        <v>67210</v>
      </c>
      <c r="H93" s="14">
        <v>74100</v>
      </c>
      <c r="I93" s="14">
        <v>25</v>
      </c>
      <c r="J93" s="14" t="s">
        <v>104</v>
      </c>
      <c r="K93" s="14" t="s">
        <v>6261</v>
      </c>
      <c r="L93" s="14" t="s">
        <v>6260</v>
      </c>
      <c r="M93" s="14" t="s">
        <v>9158</v>
      </c>
      <c r="N93" s="14" t="s">
        <v>9158</v>
      </c>
      <c r="O93" s="14" t="s">
        <v>9158</v>
      </c>
      <c r="P93" s="14" t="s">
        <v>9158</v>
      </c>
      <c r="Q93" s="14" t="s">
        <v>9158</v>
      </c>
    </row>
    <row r="95" spans="1:17">
      <c r="A95" s="14" t="s">
        <v>17655</v>
      </c>
    </row>
    <row r="96" spans="1:17">
      <c r="A96" s="14">
        <v>110648</v>
      </c>
      <c r="B96" s="14" t="s">
        <v>6069</v>
      </c>
    </row>
    <row r="97" spans="1:20">
      <c r="A97" s="7" t="s">
        <v>8839</v>
      </c>
      <c r="B97" s="7" t="s">
        <v>52</v>
      </c>
      <c r="C97" s="7" t="s">
        <v>202</v>
      </c>
      <c r="D97" s="20" t="s">
        <v>10880</v>
      </c>
      <c r="E97" s="15" t="str">
        <f>HYPERLINK("https://stat100.ameba.jp/tnk47/ratio20/illustrations/card/ill_86273_0_oshogatsuniijimayae03.jpg?202108-5-RELEASE-marathon-546xx", "■")</f>
        <v>■</v>
      </c>
      <c r="F97" s="7" t="s">
        <v>8838</v>
      </c>
      <c r="G97" s="29">
        <v>307296</v>
      </c>
      <c r="H97" s="29">
        <v>340008</v>
      </c>
      <c r="I97" s="29">
        <v>28</v>
      </c>
      <c r="J97" s="14" t="s">
        <v>173</v>
      </c>
      <c r="K97" s="7" t="s">
        <v>8837</v>
      </c>
      <c r="L97" s="7" t="s">
        <v>13211</v>
      </c>
      <c r="M97" s="14" t="s">
        <v>9158</v>
      </c>
      <c r="N97" s="14" t="s">
        <v>9158</v>
      </c>
      <c r="O97" s="19" t="s">
        <v>10134</v>
      </c>
      <c r="P97" s="7" t="s">
        <v>8870</v>
      </c>
      <c r="Q97" s="7">
        <v>1</v>
      </c>
    </row>
    <row r="98" spans="1:20">
      <c r="A98" s="14" t="s">
        <v>5719</v>
      </c>
      <c r="B98" s="14" t="s">
        <v>52</v>
      </c>
      <c r="C98" s="14" t="s">
        <v>165</v>
      </c>
      <c r="D98" s="20" t="s">
        <v>10379</v>
      </c>
      <c r="E98" s="15" t="str">
        <f>HYPERLINK("https://stat100.ameba.jp/tnk47/ratio20/illustrations/card/ill_54523_0_yonshunennionohime03.jpg?202108-5-RELEASE-marathon-546xx", "■")</f>
        <v>■</v>
      </c>
      <c r="F98" s="14" t="s">
        <v>1773</v>
      </c>
      <c r="G98" s="29">
        <v>156262</v>
      </c>
      <c r="H98" s="29">
        <v>175906</v>
      </c>
      <c r="I98" s="29">
        <v>28</v>
      </c>
      <c r="J98" s="14" t="s">
        <v>38</v>
      </c>
      <c r="K98" s="14" t="s">
        <v>1774</v>
      </c>
      <c r="L98" s="14" t="s">
        <v>1775</v>
      </c>
      <c r="M98" s="14" t="s">
        <v>9158</v>
      </c>
      <c r="N98" s="14" t="s">
        <v>9158</v>
      </c>
      <c r="O98" s="19" t="s">
        <v>10094</v>
      </c>
      <c r="P98" s="14" t="s">
        <v>13168</v>
      </c>
      <c r="Q98" s="14">
        <v>1</v>
      </c>
    </row>
    <row r="99" spans="1:20">
      <c r="A99" s="14" t="s">
        <v>5622</v>
      </c>
      <c r="B99" s="14" t="s">
        <v>330</v>
      </c>
      <c r="C99" s="14" t="s">
        <v>335</v>
      </c>
      <c r="D99" s="19" t="s">
        <v>1043</v>
      </c>
      <c r="E99" s="15" t="str">
        <f>HYPERLINK("https://stat100.ameba.jp/tnk47/ratio20/illustrations/card/ill_49953_0_yushamarihime03.jpg?202108-5-RELEASE-marathon-546xx", "■")</f>
        <v>■</v>
      </c>
      <c r="F99" s="14" t="s">
        <v>510</v>
      </c>
      <c r="G99" s="29">
        <v>175906</v>
      </c>
      <c r="H99" s="29">
        <v>156262</v>
      </c>
      <c r="I99" s="29">
        <v>28</v>
      </c>
      <c r="J99" s="14" t="s">
        <v>315</v>
      </c>
      <c r="K99" s="14" t="s">
        <v>511</v>
      </c>
      <c r="L99" s="14" t="s">
        <v>512</v>
      </c>
      <c r="M99" s="14" t="s">
        <v>9158</v>
      </c>
      <c r="N99" s="14" t="s">
        <v>9158</v>
      </c>
      <c r="O99" s="14" t="s">
        <v>9158</v>
      </c>
      <c r="P99" s="14" t="s">
        <v>9158</v>
      </c>
      <c r="Q99" s="14" t="s">
        <v>9158</v>
      </c>
    </row>
    <row r="100" spans="1:20">
      <c r="A100" s="14">
        <v>99783</v>
      </c>
      <c r="B100" s="14" t="s">
        <v>0</v>
      </c>
      <c r="C100" s="14" t="s">
        <v>107</v>
      </c>
      <c r="D100" s="14" t="s">
        <v>17561</v>
      </c>
      <c r="E100" s="15" t="str">
        <f>HYPERLINK("https://stat100.ameba.jp/tnk47/ratio20/illustrations/card/ill_99783_saishuoryo03.jpg?202108-5-RELEASE-marathon-546xx", "■")</f>
        <v>■</v>
      </c>
      <c r="F100" s="14" t="s">
        <v>17560</v>
      </c>
      <c r="G100" s="29">
        <v>113536</v>
      </c>
      <c r="H100" s="29">
        <v>105610</v>
      </c>
      <c r="I100" s="29">
        <v>28</v>
      </c>
      <c r="J100" s="14" t="s">
        <v>77</v>
      </c>
      <c r="K100" s="14" t="s">
        <v>17559</v>
      </c>
      <c r="L100" s="14" t="s">
        <v>17558</v>
      </c>
      <c r="M100" s="14" t="s">
        <v>9158</v>
      </c>
      <c r="N100" s="14" t="s">
        <v>9158</v>
      </c>
      <c r="O100" s="14" t="s">
        <v>9158</v>
      </c>
      <c r="P100" s="14" t="s">
        <v>9158</v>
      </c>
      <c r="Q100" s="14" t="s">
        <v>9158</v>
      </c>
      <c r="T100" s="7"/>
    </row>
    <row r="101" spans="1:20">
      <c r="A101" s="14">
        <v>99793</v>
      </c>
      <c r="B101" s="14" t="s">
        <v>15</v>
      </c>
      <c r="C101" s="14" t="s">
        <v>23</v>
      </c>
      <c r="D101" s="14" t="s">
        <v>17564</v>
      </c>
      <c r="E101" s="15" t="str">
        <f>HYPERLINK("https://stat100.ameba.jp/tnk47/ratio20/illustrations/card/ill_99793_yukataazabunooneko03.jpg?202108-5-RELEASE-marathon-546xx", "■")</f>
        <v>■</v>
      </c>
      <c r="F101" s="14" t="s">
        <v>17563</v>
      </c>
      <c r="G101" s="29">
        <v>75274</v>
      </c>
      <c r="H101" s="29">
        <v>82992</v>
      </c>
      <c r="I101" s="29">
        <v>28</v>
      </c>
      <c r="J101" s="14" t="s">
        <v>73</v>
      </c>
      <c r="K101" s="14" t="s">
        <v>17562</v>
      </c>
      <c r="L101" s="14" t="s">
        <v>1706</v>
      </c>
      <c r="M101" s="14" t="s">
        <v>9158</v>
      </c>
      <c r="N101" s="14" t="s">
        <v>9158</v>
      </c>
      <c r="O101" s="14" t="s">
        <v>9158</v>
      </c>
      <c r="P101" s="14" t="s">
        <v>9158</v>
      </c>
      <c r="Q101" s="14" t="s">
        <v>9158</v>
      </c>
      <c r="T101" s="7"/>
    </row>
    <row r="102" spans="1:20">
      <c r="A102" s="14">
        <v>99803</v>
      </c>
      <c r="B102" s="14" t="s">
        <v>22</v>
      </c>
      <c r="C102" s="14" t="s">
        <v>101</v>
      </c>
      <c r="D102" s="14" t="s">
        <v>17567</v>
      </c>
      <c r="E102" s="15" t="str">
        <f>HYPERLINK("https://stat100.ameba.jp/tnk47/ratio20/illustrations/card/ill_99803_yoshidanohimatsuri03.jpg?202108-5-RELEASE-marathon-546xx", "■")</f>
        <v>■</v>
      </c>
      <c r="F102" s="14" t="s">
        <v>17566</v>
      </c>
      <c r="G102" s="29">
        <v>58216</v>
      </c>
      <c r="H102" s="29">
        <v>48406</v>
      </c>
      <c r="I102" s="29">
        <v>28</v>
      </c>
      <c r="J102" s="14" t="s">
        <v>26</v>
      </c>
      <c r="K102" s="14" t="s">
        <v>17565</v>
      </c>
      <c r="L102" s="14" t="s">
        <v>2635</v>
      </c>
      <c r="M102" s="14" t="s">
        <v>9158</v>
      </c>
      <c r="N102" s="14" t="s">
        <v>9158</v>
      </c>
      <c r="O102" s="14" t="s">
        <v>9158</v>
      </c>
      <c r="P102" s="14" t="s">
        <v>9158</v>
      </c>
      <c r="Q102" s="14" t="s">
        <v>9158</v>
      </c>
      <c r="T102" s="7"/>
    </row>
    <row r="103" spans="1:20">
      <c r="A103" s="14">
        <v>99813</v>
      </c>
      <c r="B103" s="14" t="s">
        <v>22</v>
      </c>
      <c r="C103" s="14" t="s">
        <v>1</v>
      </c>
      <c r="D103" s="14" t="s">
        <v>17570</v>
      </c>
      <c r="E103" s="15" t="str">
        <f>HYPERLINK("https://stat100.ameba.jp/tnk47/ratio20/illustrations/card/ill_99813_shittorotodori03.jpg?202108-5-RELEASE-marathon-546xx", "■")</f>
        <v>■</v>
      </c>
      <c r="F103" s="14" t="s">
        <v>17569</v>
      </c>
      <c r="G103" s="29">
        <v>48406</v>
      </c>
      <c r="H103" s="29">
        <v>58216</v>
      </c>
      <c r="I103" s="29">
        <v>28</v>
      </c>
      <c r="J103" s="14" t="s">
        <v>38</v>
      </c>
      <c r="K103" s="14" t="s">
        <v>17568</v>
      </c>
      <c r="L103" s="14" t="s">
        <v>17654</v>
      </c>
      <c r="M103" s="14" t="s">
        <v>9158</v>
      </c>
      <c r="N103" s="14" t="s">
        <v>9158</v>
      </c>
      <c r="O103" s="14" t="s">
        <v>9158</v>
      </c>
      <c r="P103" s="14" t="s">
        <v>9158</v>
      </c>
      <c r="Q103" s="14" t="s">
        <v>9158</v>
      </c>
      <c r="T103" s="7"/>
    </row>
    <row r="105" spans="1:20">
      <c r="A105" s="14" t="s">
        <v>3911</v>
      </c>
      <c r="I105" s="7"/>
    </row>
    <row r="106" spans="1:20">
      <c r="A106" s="14">
        <v>110671</v>
      </c>
      <c r="B106" s="14" t="s">
        <v>17653</v>
      </c>
      <c r="I106" s="7"/>
    </row>
    <row r="107" spans="1:20">
      <c r="A107" s="14">
        <v>110681</v>
      </c>
      <c r="B107" s="14" t="s">
        <v>15721</v>
      </c>
      <c r="I107" s="7"/>
    </row>
    <row r="108" spans="1:20">
      <c r="A108" s="14" t="s">
        <v>16720</v>
      </c>
      <c r="B108" s="7" t="s">
        <v>52</v>
      </c>
      <c r="C108" s="14" t="s">
        <v>202</v>
      </c>
      <c r="D108" s="18" t="s">
        <v>16719</v>
      </c>
      <c r="E108" s="15" t="str">
        <f>HYPERLINK("https://stat100.ameba.jp/tnk47/ratio20/illustrations/card/ill_96373_0_ohinasamaakitakomachichan03.jpg?202108-5-RELEASE-marathon-546xx", "■")</f>
        <v>■</v>
      </c>
      <c r="F108" s="14" t="s">
        <v>16718</v>
      </c>
      <c r="G108" s="14">
        <v>282816</v>
      </c>
      <c r="H108" s="14">
        <v>345656</v>
      </c>
      <c r="I108" s="7">
        <v>30</v>
      </c>
      <c r="J108" s="14" t="s">
        <v>104</v>
      </c>
      <c r="K108" s="14" t="s">
        <v>16717</v>
      </c>
      <c r="L108" s="14" t="s">
        <v>16716</v>
      </c>
      <c r="M108" s="14" t="s">
        <v>9158</v>
      </c>
      <c r="N108" s="14" t="s">
        <v>9158</v>
      </c>
      <c r="O108" s="7" t="s">
        <v>16715</v>
      </c>
      <c r="P108" s="7" t="s">
        <v>16714</v>
      </c>
      <c r="Q108" s="7">
        <v>1</v>
      </c>
    </row>
    <row r="109" spans="1:20">
      <c r="A109" s="14" t="s">
        <v>13435</v>
      </c>
      <c r="B109" s="7" t="s">
        <v>52</v>
      </c>
      <c r="C109" s="14" t="s">
        <v>202</v>
      </c>
      <c r="D109" s="18" t="s">
        <v>13434</v>
      </c>
      <c r="E109" s="15" t="str">
        <f>HYPERLINK("https://stat100.ameba.jp/tnk47/ratio20/illustrations/card/ill_91073_0_mizugiaidorusarukanigassen03.jpg?202108-5-RELEASE-marathon-546xx", "■")</f>
        <v>■</v>
      </c>
      <c r="F109" s="14" t="s">
        <v>13436</v>
      </c>
      <c r="G109" s="14">
        <v>347148</v>
      </c>
      <c r="H109" s="14">
        <v>313748</v>
      </c>
      <c r="I109" s="14">
        <v>30</v>
      </c>
      <c r="J109" s="14" t="s">
        <v>38</v>
      </c>
      <c r="K109" s="14" t="s">
        <v>13437</v>
      </c>
      <c r="L109" s="14" t="s">
        <v>13438</v>
      </c>
      <c r="M109" s="14" t="s">
        <v>9158</v>
      </c>
      <c r="N109" s="14" t="s">
        <v>9158</v>
      </c>
      <c r="O109" s="6" t="s">
        <v>13439</v>
      </c>
      <c r="P109" s="7" t="s">
        <v>13440</v>
      </c>
      <c r="Q109" s="7">
        <v>1</v>
      </c>
    </row>
    <row r="110" spans="1:20">
      <c r="A110" s="14" t="s">
        <v>5612</v>
      </c>
      <c r="B110" s="14" t="s">
        <v>52</v>
      </c>
      <c r="C110" s="14" t="s">
        <v>165</v>
      </c>
      <c r="D110" s="19" t="s">
        <v>789</v>
      </c>
      <c r="E110" s="15" t="str">
        <f>HYPERLINK("https://stat100.ameba.jp/tnk47/ratio20/illustrations/card/ill_49193_0_onmyoudouabenoseimei03.jpg?202108-5-RELEASE-marathon-546xx", "■")</f>
        <v>■</v>
      </c>
      <c r="F110" s="14" t="s">
        <v>1896</v>
      </c>
      <c r="G110" s="14">
        <v>167424</v>
      </c>
      <c r="H110" s="14">
        <v>188472</v>
      </c>
      <c r="I110" s="7">
        <v>30</v>
      </c>
      <c r="J110" s="14" t="s">
        <v>10</v>
      </c>
      <c r="K110" s="14" t="s">
        <v>1897</v>
      </c>
      <c r="L110" s="14" t="s">
        <v>1898</v>
      </c>
      <c r="M110" s="14" t="s">
        <v>9158</v>
      </c>
      <c r="N110" s="14" t="s">
        <v>9158</v>
      </c>
      <c r="O110" s="14" t="s">
        <v>9158</v>
      </c>
      <c r="P110" s="14" t="s">
        <v>9158</v>
      </c>
      <c r="Q110" s="14" t="s">
        <v>9158</v>
      </c>
    </row>
    <row r="111" spans="1:20">
      <c r="A111" s="14">
        <v>67103</v>
      </c>
      <c r="B111" s="14" t="s">
        <v>334</v>
      </c>
      <c r="C111" s="14" t="s">
        <v>154</v>
      </c>
      <c r="D111" s="20" t="s">
        <v>10253</v>
      </c>
      <c r="E111" s="15" t="str">
        <f>HYPERLINK("https://stat100.ameba.jp/tnk47/ratio20/illustrations/card/ill_67103_ankonabe03.jpg?202108-5-RELEASE-marathon-546xx", "■")</f>
        <v>■</v>
      </c>
      <c r="F111" s="14" t="s">
        <v>1283</v>
      </c>
      <c r="G111" s="14">
        <v>114846</v>
      </c>
      <c r="H111" s="14">
        <v>158574</v>
      </c>
      <c r="I111" s="7">
        <v>30</v>
      </c>
      <c r="J111" s="14" t="s">
        <v>216</v>
      </c>
      <c r="K111" s="14" t="s">
        <v>1284</v>
      </c>
      <c r="L111" s="14" t="s">
        <v>13153</v>
      </c>
      <c r="M111" s="14" t="s">
        <v>9158</v>
      </c>
      <c r="N111" s="14" t="s">
        <v>9158</v>
      </c>
      <c r="O111" s="19" t="s">
        <v>4074</v>
      </c>
      <c r="P111" s="14" t="s">
        <v>3462</v>
      </c>
      <c r="Q111" s="14">
        <v>1</v>
      </c>
    </row>
    <row r="112" spans="1:20">
      <c r="A112" s="14">
        <v>76793</v>
      </c>
      <c r="B112" s="14" t="s">
        <v>334</v>
      </c>
      <c r="C112" s="14" t="s">
        <v>268</v>
      </c>
      <c r="D112" s="20" t="s">
        <v>425</v>
      </c>
      <c r="E112" s="15" t="str">
        <f>HYPERLINK("https://stat100.ameba.jp/tnk47/ratio20/illustrations/card/ill_76793_monsutatamatebako03.jpg?202108-5-RELEASE-marathon-546xx", "■")</f>
        <v>■</v>
      </c>
      <c r="F112" s="14" t="s">
        <v>426</v>
      </c>
      <c r="G112" s="14">
        <v>136154</v>
      </c>
      <c r="H112" s="14">
        <v>98646</v>
      </c>
      <c r="I112" s="14">
        <v>30</v>
      </c>
      <c r="J112" s="14" t="s">
        <v>274</v>
      </c>
      <c r="K112" s="14" t="s">
        <v>427</v>
      </c>
      <c r="L112" s="14" t="s">
        <v>428</v>
      </c>
      <c r="M112" s="14" t="s">
        <v>9158</v>
      </c>
      <c r="N112" s="14" t="s">
        <v>9158</v>
      </c>
      <c r="O112" s="19" t="s">
        <v>3037</v>
      </c>
      <c r="P112" s="14" t="s">
        <v>13128</v>
      </c>
      <c r="Q112" s="14">
        <v>1</v>
      </c>
    </row>
    <row r="113" spans="1:17">
      <c r="A113" s="14">
        <v>78873</v>
      </c>
      <c r="B113" s="14" t="s">
        <v>334</v>
      </c>
      <c r="C113" s="14" t="s">
        <v>209</v>
      </c>
      <c r="D113" s="19" t="s">
        <v>2818</v>
      </c>
      <c r="E113" s="15" t="str">
        <f>HYPERLINK("https://stat100.ameba.jp/tnk47/ratio20/illustrations/card/ill_78873_furutsutomato03.jpg?202108-5-RELEASE-marathon-546xx", "■")</f>
        <v>■</v>
      </c>
      <c r="F113" s="14" t="s">
        <v>2819</v>
      </c>
      <c r="G113" s="14">
        <v>114846</v>
      </c>
      <c r="H113" s="14">
        <v>158574</v>
      </c>
      <c r="I113" s="7">
        <v>30</v>
      </c>
      <c r="J113" s="14" t="s">
        <v>283</v>
      </c>
      <c r="K113" s="14" t="s">
        <v>2820</v>
      </c>
      <c r="L113" s="14" t="s">
        <v>2821</v>
      </c>
      <c r="M113" s="14" t="s">
        <v>9158</v>
      </c>
      <c r="N113" s="14" t="s">
        <v>9158</v>
      </c>
      <c r="O113" s="19" t="s">
        <v>10074</v>
      </c>
      <c r="P113" s="14" t="s">
        <v>2822</v>
      </c>
      <c r="Q113" s="14">
        <v>1</v>
      </c>
    </row>
    <row r="114" spans="1:17">
      <c r="A114" s="14">
        <v>77683</v>
      </c>
      <c r="B114" s="14" t="s">
        <v>0</v>
      </c>
      <c r="C114" s="14" t="s">
        <v>203</v>
      </c>
      <c r="D114" s="20" t="s">
        <v>10220</v>
      </c>
      <c r="E114" s="15" t="str">
        <f>HYPERLINK("https://stat100.ameba.jp/tnk47/ratio20/illustrations/card/ill_77683_shukusainoujohoride03.jpg?202108-5-RELEASE-marathon-546xx", "■")</f>
        <v>■</v>
      </c>
      <c r="F114" s="14" t="s">
        <v>1430</v>
      </c>
      <c r="G114" s="14">
        <v>131112</v>
      </c>
      <c r="H114" s="14">
        <v>94982</v>
      </c>
      <c r="I114" s="7">
        <v>30</v>
      </c>
      <c r="J114" s="14" t="s">
        <v>315</v>
      </c>
      <c r="K114" s="14" t="s">
        <v>1431</v>
      </c>
      <c r="L114" s="14" t="s">
        <v>1432</v>
      </c>
      <c r="M114" s="14" t="s">
        <v>9158</v>
      </c>
      <c r="N114" s="14" t="s">
        <v>9158</v>
      </c>
      <c r="O114" s="19" t="s">
        <v>10090</v>
      </c>
      <c r="P114" s="14" t="s">
        <v>3460</v>
      </c>
      <c r="Q114" s="14">
        <v>1</v>
      </c>
    </row>
    <row r="115" spans="1:17">
      <c r="A115" s="14">
        <v>69513</v>
      </c>
      <c r="B115" s="14" t="s">
        <v>0</v>
      </c>
      <c r="C115" s="14" t="s">
        <v>158</v>
      </c>
      <c r="D115" s="19" t="s">
        <v>10265</v>
      </c>
      <c r="E115" s="15" t="str">
        <f>HYPERLINK("https://stat100.ameba.jp/tnk47/ratio20/illustrations/card/ill_69513_somedononokisaki03.jpg?202108-5-RELEASE-marathon-546xx", "■")</f>
        <v>■</v>
      </c>
      <c r="F115" s="14" t="s">
        <v>3674</v>
      </c>
      <c r="G115" s="14">
        <v>99186</v>
      </c>
      <c r="H115" s="14">
        <v>136944</v>
      </c>
      <c r="I115" s="14">
        <v>30</v>
      </c>
      <c r="J115" s="14" t="s">
        <v>187</v>
      </c>
      <c r="K115" s="14" t="s">
        <v>3675</v>
      </c>
      <c r="L115" s="14" t="s">
        <v>13187</v>
      </c>
      <c r="M115" s="14" t="s">
        <v>9158</v>
      </c>
      <c r="N115" s="14" t="s">
        <v>9158</v>
      </c>
      <c r="O115" s="19" t="s">
        <v>2752</v>
      </c>
      <c r="P115" s="14" t="s">
        <v>13173</v>
      </c>
      <c r="Q115" s="14">
        <v>1</v>
      </c>
    </row>
    <row r="116" spans="1:17">
      <c r="A116" s="14">
        <v>76803</v>
      </c>
      <c r="B116" s="14" t="s">
        <v>334</v>
      </c>
      <c r="C116" s="14" t="s">
        <v>202</v>
      </c>
      <c r="D116" s="19" t="s">
        <v>673</v>
      </c>
      <c r="E116" s="15" t="str">
        <f>HYPERLINK("https://stat100.ameba.jp/tnk47/ratio20/illustrations/card/ill_76803_monsutakujirachan03.jpg?202108-5-RELEASE-marathon-546xx", "■")</f>
        <v>■</v>
      </c>
      <c r="F116" s="14" t="s">
        <v>674</v>
      </c>
      <c r="G116" s="14">
        <v>199594</v>
      </c>
      <c r="H116" s="14">
        <v>144572</v>
      </c>
      <c r="I116" s="7">
        <v>30</v>
      </c>
      <c r="J116" s="14" t="s">
        <v>283</v>
      </c>
      <c r="K116" s="14" t="s">
        <v>675</v>
      </c>
      <c r="L116" s="14" t="s">
        <v>435</v>
      </c>
      <c r="M116" s="14" t="s">
        <v>9158</v>
      </c>
      <c r="N116" s="14" t="s">
        <v>9158</v>
      </c>
      <c r="O116" s="19" t="s">
        <v>3165</v>
      </c>
      <c r="P116" s="14" t="s">
        <v>13139</v>
      </c>
      <c r="Q116" s="14">
        <v>1</v>
      </c>
    </row>
    <row r="118" spans="1:17">
      <c r="A118" s="14" t="s">
        <v>4065</v>
      </c>
    </row>
    <row r="119" spans="1:17">
      <c r="A119" s="14">
        <v>110697</v>
      </c>
      <c r="B119" s="14" t="s">
        <v>13597</v>
      </c>
    </row>
    <row r="120" spans="1:17">
      <c r="A120" s="9" t="s">
        <v>6905</v>
      </c>
      <c r="B120" s="14" t="s">
        <v>330</v>
      </c>
      <c r="C120" s="14" t="s">
        <v>35</v>
      </c>
      <c r="D120" s="14" t="s">
        <v>4161</v>
      </c>
      <c r="E120" s="15" t="str">
        <f>HYPERLINK("https://stat100.ameba.jp/tnk47/ratio20/illustrations/card/ill_80623_0_ohanamigurampingutominushihime03.jpg?202108-5-RELEASE-marathon-546xx", "■")</f>
        <v>■</v>
      </c>
      <c r="F120" s="14" t="s">
        <v>4162</v>
      </c>
      <c r="G120" s="14">
        <v>349540</v>
      </c>
      <c r="H120" s="14">
        <v>315944</v>
      </c>
      <c r="I120" s="14">
        <v>29</v>
      </c>
      <c r="J120" s="14" t="s">
        <v>44</v>
      </c>
      <c r="K120" s="14" t="s">
        <v>4163</v>
      </c>
      <c r="L120" s="14" t="s">
        <v>4164</v>
      </c>
      <c r="M120" s="14" t="s">
        <v>9158</v>
      </c>
      <c r="N120" s="14" t="s">
        <v>9158</v>
      </c>
      <c r="O120" s="9" t="s">
        <v>4165</v>
      </c>
      <c r="P120" s="14" t="s">
        <v>4166</v>
      </c>
      <c r="Q120" s="14">
        <v>1</v>
      </c>
    </row>
    <row r="121" spans="1:17">
      <c r="A121" s="14">
        <v>59613</v>
      </c>
      <c r="B121" s="14" t="s">
        <v>0</v>
      </c>
      <c r="C121" s="14" t="s">
        <v>185</v>
      </c>
      <c r="D121" s="20" t="s">
        <v>10267</v>
      </c>
      <c r="E121" s="15" t="str">
        <f>HYPERLINK("https://stat100.ameba.jp/tnk47/ratio20/illustrations/card/ill_59613_oheyadaria03.jpg?202108-5-RELEASE-marathon-546xx", "■")</f>
        <v>■</v>
      </c>
      <c r="F121" s="14" t="s">
        <v>2293</v>
      </c>
      <c r="G121" s="14">
        <v>114768</v>
      </c>
      <c r="H121" s="14">
        <v>106693</v>
      </c>
      <c r="I121" s="14">
        <v>27</v>
      </c>
      <c r="J121" s="14" t="s">
        <v>26</v>
      </c>
      <c r="K121" s="14" t="s">
        <v>2294</v>
      </c>
      <c r="L121" s="14" t="s">
        <v>2295</v>
      </c>
      <c r="M121" s="14" t="s">
        <v>9158</v>
      </c>
      <c r="N121" s="14" t="s">
        <v>9158</v>
      </c>
      <c r="O121" s="19" t="s">
        <v>10111</v>
      </c>
      <c r="P121" s="14" t="s">
        <v>3610</v>
      </c>
      <c r="Q121" s="14">
        <v>1</v>
      </c>
    </row>
    <row r="122" spans="1:17">
      <c r="A122" s="14">
        <v>93623</v>
      </c>
      <c r="B122" s="14" t="s">
        <v>0</v>
      </c>
      <c r="C122" s="14" t="s">
        <v>23</v>
      </c>
      <c r="D122" s="18" t="s">
        <v>15449</v>
      </c>
      <c r="E122" s="15" t="str">
        <f>HYPERLINK("https://stat100.ameba.jp/tnk47/ratio20/illustrations/card/ill_93623_yukemurionsennakajimautako03.jpg?202108-5-RELEASE-marathon-546xx", "■")</f>
        <v>■</v>
      </c>
      <c r="F122" s="14" t="s">
        <v>15448</v>
      </c>
      <c r="G122" s="14">
        <v>105465</v>
      </c>
      <c r="H122" s="14">
        <v>98019</v>
      </c>
      <c r="I122" s="14">
        <v>27</v>
      </c>
      <c r="J122" s="14" t="s">
        <v>10</v>
      </c>
      <c r="K122" s="14" t="s">
        <v>15447</v>
      </c>
      <c r="L122" s="14" t="s">
        <v>2645</v>
      </c>
      <c r="M122" s="14" t="s">
        <v>9158</v>
      </c>
      <c r="N122" s="14" t="s">
        <v>9158</v>
      </c>
      <c r="O122" s="6" t="s">
        <v>3578</v>
      </c>
      <c r="P122" s="7" t="s">
        <v>3579</v>
      </c>
      <c r="Q122" s="7">
        <v>1</v>
      </c>
    </row>
    <row r="123" spans="1:17">
      <c r="A123" s="14">
        <v>88323</v>
      </c>
      <c r="B123" s="14" t="s">
        <v>0</v>
      </c>
      <c r="C123" s="14" t="s">
        <v>205</v>
      </c>
      <c r="D123" s="18" t="s">
        <v>12019</v>
      </c>
      <c r="E123" s="15" t="str">
        <f>HYPERLINK("https://stat100.ameba.jp/tnk47/ratio20/illustrations/card/ill_88323_hanamibakedanuki03.jpg?202108-5-RELEASE-marathon-546xx", "■")</f>
        <v>■</v>
      </c>
      <c r="F123" s="14" t="s">
        <v>12020</v>
      </c>
      <c r="G123" s="14">
        <v>104619</v>
      </c>
      <c r="H123" s="14">
        <v>112496</v>
      </c>
      <c r="I123" s="14">
        <v>27</v>
      </c>
      <c r="J123" s="14" t="s">
        <v>73</v>
      </c>
      <c r="K123" s="14" t="s">
        <v>12021</v>
      </c>
      <c r="L123" s="14" t="s">
        <v>12022</v>
      </c>
      <c r="M123" s="14" t="s">
        <v>9158</v>
      </c>
      <c r="N123" s="14" t="s">
        <v>9158</v>
      </c>
      <c r="O123" s="6" t="s">
        <v>10064</v>
      </c>
      <c r="P123" s="7" t="s">
        <v>13150</v>
      </c>
      <c r="Q123" s="7">
        <v>1</v>
      </c>
    </row>
    <row r="125" spans="1:17">
      <c r="A125" s="14" t="s">
        <v>3785</v>
      </c>
    </row>
    <row r="126" spans="1:17">
      <c r="A126" s="14">
        <v>239905</v>
      </c>
      <c r="B126" s="14" t="s">
        <v>17656</v>
      </c>
    </row>
    <row r="127" spans="1:17">
      <c r="A127" s="14" t="s">
        <v>5601</v>
      </c>
      <c r="B127" s="14" t="s">
        <v>330</v>
      </c>
      <c r="C127" s="14" t="s">
        <v>35</v>
      </c>
      <c r="D127" s="20" t="s">
        <v>10318</v>
      </c>
      <c r="E127" s="15" t="str">
        <f>HYPERLINK("https://stat100.ameba.jp/tnk47/ratio20/illustrations/card/ill_82423_0_bikinigarukishi03.jpg?202108-5-RELEASE-marathon-546xx", "■")</f>
        <v>■</v>
      </c>
      <c r="F127" s="14" t="s">
        <v>5391</v>
      </c>
      <c r="G127" s="14">
        <v>266382</v>
      </c>
      <c r="H127" s="14">
        <v>240760</v>
      </c>
      <c r="I127" s="14">
        <v>22</v>
      </c>
      <c r="J127" s="14" t="s">
        <v>77</v>
      </c>
      <c r="K127" s="14" t="s">
        <v>5392</v>
      </c>
      <c r="L127" s="14" t="s">
        <v>5393</v>
      </c>
      <c r="M127" s="14" t="s">
        <v>9158</v>
      </c>
      <c r="N127" s="14" t="s">
        <v>9158</v>
      </c>
      <c r="O127" s="19" t="s">
        <v>10069</v>
      </c>
      <c r="P127" s="14" t="s">
        <v>5394</v>
      </c>
      <c r="Q127" s="14">
        <v>1</v>
      </c>
    </row>
    <row r="128" spans="1:17">
      <c r="A128" s="14" t="s">
        <v>5822</v>
      </c>
      <c r="B128" s="14" t="s">
        <v>330</v>
      </c>
      <c r="C128" s="14" t="s">
        <v>307</v>
      </c>
      <c r="D128" s="19" t="s">
        <v>306</v>
      </c>
      <c r="E128" s="15" t="str">
        <f>HYPERLINK("https://stat100.ameba.jp/tnk47/ratio20/illustrations/card/ill_71403_0_ohanamisanadayukimura03.jpg?202108-5-RELEASE-marathon-546xx", "■")</f>
        <v>■</v>
      </c>
      <c r="F128" s="14" t="s">
        <v>309</v>
      </c>
      <c r="G128" s="14">
        <v>205358</v>
      </c>
      <c r="H128" s="14">
        <v>190952</v>
      </c>
      <c r="I128" s="14">
        <v>22</v>
      </c>
      <c r="J128" s="14" t="s">
        <v>310</v>
      </c>
      <c r="K128" s="14" t="s">
        <v>311</v>
      </c>
      <c r="L128" s="14" t="s">
        <v>312</v>
      </c>
      <c r="M128" s="14" t="s">
        <v>9158</v>
      </c>
      <c r="N128" s="14" t="s">
        <v>9158</v>
      </c>
      <c r="O128" s="6" t="s">
        <v>10060</v>
      </c>
      <c r="P128" s="14" t="s">
        <v>3418</v>
      </c>
      <c r="Q128" s="14">
        <v>2</v>
      </c>
    </row>
    <row r="129" spans="1:17">
      <c r="A129" s="14" t="s">
        <v>5608</v>
      </c>
      <c r="B129" s="14" t="s">
        <v>52</v>
      </c>
      <c r="C129" s="14" t="s">
        <v>96</v>
      </c>
      <c r="D129" s="20" t="s">
        <v>634</v>
      </c>
      <c r="E129" s="15" t="str">
        <f>HYPERLINK("https://stat100.ameba.jp/tnk47/ratio20/illustrations/card/ill_40963_0_makami03.jpg?202108-5-RELEASE-marathon-546xx", "■")</f>
        <v>■</v>
      </c>
      <c r="F129" s="14" t="s">
        <v>2038</v>
      </c>
      <c r="G129" s="14">
        <v>128744</v>
      </c>
      <c r="H129" s="14">
        <v>120576</v>
      </c>
      <c r="I129" s="14">
        <v>22</v>
      </c>
      <c r="J129" s="14" t="s">
        <v>44</v>
      </c>
      <c r="K129" s="14" t="s">
        <v>2039</v>
      </c>
      <c r="L129" s="14" t="s">
        <v>2040</v>
      </c>
      <c r="M129" s="14" t="s">
        <v>9158</v>
      </c>
      <c r="N129" s="14" t="s">
        <v>9158</v>
      </c>
      <c r="O129" s="14" t="s">
        <v>9158</v>
      </c>
      <c r="P129" s="14" t="s">
        <v>9158</v>
      </c>
      <c r="Q129" s="14" t="s">
        <v>9158</v>
      </c>
    </row>
    <row r="130" spans="1:17">
      <c r="A130" s="14">
        <v>98023</v>
      </c>
      <c r="B130" s="14" t="s">
        <v>334</v>
      </c>
      <c r="C130" s="14" t="s">
        <v>14</v>
      </c>
      <c r="D130" s="14" t="s">
        <v>17659</v>
      </c>
      <c r="E130" s="15" t="str">
        <f>HYPERLINK("https://stat100.ameba.jp/tnk47/ratio20/illustrations/card/ill_98023_bokujonomeria03.jpg?202108-5-RELEASE-marathon-546xx", "■")</f>
        <v>■</v>
      </c>
      <c r="F130" s="14" t="s">
        <v>17658</v>
      </c>
      <c r="G130" s="14">
        <v>174982</v>
      </c>
      <c r="H130" s="14">
        <v>98436</v>
      </c>
      <c r="I130" s="14">
        <v>30</v>
      </c>
      <c r="J130" s="14" t="s">
        <v>104</v>
      </c>
      <c r="K130" s="14" t="s">
        <v>17657</v>
      </c>
      <c r="L130" s="14" t="s">
        <v>13093</v>
      </c>
      <c r="M130" s="14" t="s">
        <v>9158</v>
      </c>
      <c r="N130" s="14" t="s">
        <v>9158</v>
      </c>
      <c r="O130" s="14" t="s">
        <v>9158</v>
      </c>
      <c r="P130" s="14" t="s">
        <v>9158</v>
      </c>
      <c r="Q130" s="14" t="s">
        <v>9158</v>
      </c>
    </row>
    <row r="131" spans="1:17">
      <c r="A131" s="14">
        <v>88703</v>
      </c>
      <c r="B131" s="14" t="s">
        <v>334</v>
      </c>
      <c r="C131" s="14" t="s">
        <v>101</v>
      </c>
      <c r="D131" s="14" t="s">
        <v>12342</v>
      </c>
      <c r="E131" s="15" t="str">
        <f>HYPERLINK("https://stat100.ameba.jp/tnk47/ratio20/illustrations/card/ill_88703_pammatsurirezumburedo03.jpg?202108-5-RELEASE-marathon-546xx", "■")</f>
        <v>■</v>
      </c>
      <c r="F131" s="14" t="s">
        <v>12343</v>
      </c>
      <c r="G131" s="14">
        <v>144684</v>
      </c>
      <c r="H131" s="14">
        <v>81410</v>
      </c>
      <c r="I131" s="14">
        <v>30</v>
      </c>
      <c r="J131" s="14" t="s">
        <v>77</v>
      </c>
      <c r="K131" s="14" t="s">
        <v>12346</v>
      </c>
      <c r="L131" s="14" t="s">
        <v>12081</v>
      </c>
      <c r="M131" s="14" t="s">
        <v>9158</v>
      </c>
      <c r="N131" s="14" t="s">
        <v>9158</v>
      </c>
      <c r="O131" s="14" t="s">
        <v>9158</v>
      </c>
      <c r="P131" s="14" t="s">
        <v>9158</v>
      </c>
      <c r="Q131" s="14" t="s">
        <v>9158</v>
      </c>
    </row>
    <row r="132" spans="1:17">
      <c r="A132" s="14">
        <v>94613</v>
      </c>
      <c r="B132" s="14" t="s">
        <v>0</v>
      </c>
      <c r="C132" s="14" t="s">
        <v>1</v>
      </c>
      <c r="D132" s="14" t="s">
        <v>16475</v>
      </c>
      <c r="E132" s="15" t="str">
        <f>HYPERLINK("https://stat100.ameba.jp/tnk47/ratio20/illustrations/card/ill_94613_tenshitoakumaazurairu03.jpg?202108-5-RELEASE-marathon-546xx", "■")</f>
        <v>■</v>
      </c>
      <c r="F132" s="14" t="s">
        <v>16474</v>
      </c>
      <c r="G132" s="14">
        <v>220250</v>
      </c>
      <c r="H132" s="14">
        <v>123914</v>
      </c>
      <c r="I132" s="14">
        <v>30</v>
      </c>
      <c r="J132" s="14" t="s">
        <v>73</v>
      </c>
      <c r="K132" s="14" t="s">
        <v>16473</v>
      </c>
      <c r="L132" s="14" t="s">
        <v>16278</v>
      </c>
      <c r="M132" s="14" t="s">
        <v>9158</v>
      </c>
      <c r="N132" s="14" t="s">
        <v>9158</v>
      </c>
      <c r="O132" s="14" t="s">
        <v>9158</v>
      </c>
      <c r="P132" s="14" t="s">
        <v>9158</v>
      </c>
      <c r="Q132" s="14" t="s">
        <v>9158</v>
      </c>
    </row>
    <row r="134" spans="1:17">
      <c r="A134" s="14" t="s">
        <v>3905</v>
      </c>
    </row>
    <row r="135" spans="1:17">
      <c r="A135" s="14">
        <v>239925</v>
      </c>
      <c r="B135" s="14" t="s">
        <v>17656</v>
      </c>
    </row>
    <row r="136" spans="1:17">
      <c r="A136" s="14" t="s">
        <v>5724</v>
      </c>
      <c r="B136" s="14" t="s">
        <v>330</v>
      </c>
      <c r="C136" s="14" t="s">
        <v>335</v>
      </c>
      <c r="D136" s="20" t="s">
        <v>698</v>
      </c>
      <c r="E136" s="15" t="str">
        <f>HYPERLINK("https://stat100.ameba.jp/tnk47/ratio20/illustrations/card/ill_66433_0_haroinfujishirogozen03.jpg?202108-5-RELEASE-marathon-546xx", "■")</f>
        <v>■</v>
      </c>
      <c r="F136" s="14" t="s">
        <v>699</v>
      </c>
      <c r="G136" s="14">
        <v>134652</v>
      </c>
      <c r="H136" s="14">
        <v>144834</v>
      </c>
      <c r="I136" s="14">
        <v>22</v>
      </c>
      <c r="J136" s="14" t="s">
        <v>315</v>
      </c>
      <c r="K136" s="14" t="s">
        <v>700</v>
      </c>
      <c r="L136" s="14" t="s">
        <v>701</v>
      </c>
      <c r="M136" s="14" t="s">
        <v>9158</v>
      </c>
      <c r="N136" s="14" t="s">
        <v>9158</v>
      </c>
      <c r="O136" s="19" t="s">
        <v>10095</v>
      </c>
      <c r="P136" s="14" t="s">
        <v>3345</v>
      </c>
      <c r="Q136" s="14">
        <v>1</v>
      </c>
    </row>
    <row r="137" spans="1:17">
      <c r="A137" s="9" t="s">
        <v>5618</v>
      </c>
      <c r="B137" s="14" t="s">
        <v>330</v>
      </c>
      <c r="C137" s="14" t="s">
        <v>200</v>
      </c>
      <c r="D137" s="14" t="s">
        <v>665</v>
      </c>
      <c r="E137" s="15" t="str">
        <f>HYPERLINK("https://stat100.ameba.jp/tnk47/ratio20/illustrations/card/ill_63173_0_minazukikonakaiteruko03.jpg?202108-5-RELEASE-marathon-546xx", "■")</f>
        <v>■</v>
      </c>
      <c r="F137" s="14" t="s">
        <v>666</v>
      </c>
      <c r="G137" s="14">
        <v>190952</v>
      </c>
      <c r="H137" s="14">
        <v>205358</v>
      </c>
      <c r="I137" s="14">
        <v>22</v>
      </c>
      <c r="J137" s="14" t="s">
        <v>310</v>
      </c>
      <c r="K137" s="14" t="s">
        <v>667</v>
      </c>
      <c r="L137" s="14" t="s">
        <v>668</v>
      </c>
      <c r="M137" s="14" t="s">
        <v>9158</v>
      </c>
      <c r="N137" s="14" t="s">
        <v>9158</v>
      </c>
      <c r="O137" s="9" t="s">
        <v>3328</v>
      </c>
      <c r="P137" s="14" t="s">
        <v>3329</v>
      </c>
      <c r="Q137" s="14">
        <v>1</v>
      </c>
    </row>
    <row r="138" spans="1:17">
      <c r="A138" s="9" t="s">
        <v>5830</v>
      </c>
      <c r="B138" s="14" t="s">
        <v>330</v>
      </c>
      <c r="C138" s="14" t="s">
        <v>191</v>
      </c>
      <c r="D138" s="14" t="s">
        <v>1719</v>
      </c>
      <c r="E138" s="15" t="str">
        <f>HYPERLINK("https://stat100.ameba.jp/tnk47/ratio20/illustrations/card/ill_39933_0_reihiiinaotora03.jpg?202108-5-RELEASE-marathon-546xx", "■")</f>
        <v>■</v>
      </c>
      <c r="F138" s="14" t="s">
        <v>794</v>
      </c>
      <c r="G138" s="14">
        <v>120576</v>
      </c>
      <c r="H138" s="14">
        <v>128744</v>
      </c>
      <c r="I138" s="14">
        <v>22</v>
      </c>
      <c r="J138" s="14" t="s">
        <v>315</v>
      </c>
      <c r="K138" s="14" t="s">
        <v>795</v>
      </c>
      <c r="L138" s="14" t="s">
        <v>796</v>
      </c>
      <c r="M138" s="14" t="s">
        <v>9158</v>
      </c>
      <c r="N138" s="14" t="s">
        <v>9158</v>
      </c>
      <c r="O138" s="14" t="s">
        <v>9158</v>
      </c>
      <c r="P138" s="14" t="s">
        <v>9158</v>
      </c>
      <c r="Q138" s="14" t="s">
        <v>9158</v>
      </c>
    </row>
    <row r="139" spans="1:17">
      <c r="A139" s="14">
        <v>98043</v>
      </c>
      <c r="B139" s="14" t="s">
        <v>334</v>
      </c>
      <c r="C139" s="14" t="s">
        <v>23</v>
      </c>
      <c r="D139" s="14" t="s">
        <v>17352</v>
      </c>
      <c r="E139" s="15" t="str">
        <f>HYPERLINK("https://stat100.ameba.jp/tnk47/ratio20/illustrations/card/ill_98043_rufuto03.jpg?202108-5-RELEASE-marathon-546xx", "■")</f>
        <v>■</v>
      </c>
      <c r="F139" s="14" t="s">
        <v>17351</v>
      </c>
      <c r="G139" s="14">
        <v>123914</v>
      </c>
      <c r="H139" s="14">
        <v>220250</v>
      </c>
      <c r="I139" s="14">
        <v>30</v>
      </c>
      <c r="J139" s="14" t="s">
        <v>44</v>
      </c>
      <c r="K139" s="14" t="s">
        <v>17350</v>
      </c>
      <c r="L139" s="14" t="s">
        <v>17349</v>
      </c>
      <c r="M139" s="14" t="s">
        <v>9158</v>
      </c>
      <c r="N139" s="14" t="s">
        <v>9158</v>
      </c>
      <c r="O139" s="14" t="s">
        <v>9158</v>
      </c>
      <c r="P139" s="14" t="s">
        <v>9158</v>
      </c>
      <c r="Q139" s="14" t="s">
        <v>9158</v>
      </c>
    </row>
    <row r="140" spans="1:17">
      <c r="A140" s="14">
        <v>98053</v>
      </c>
      <c r="B140" s="14" t="s">
        <v>0</v>
      </c>
      <c r="C140" s="14" t="s">
        <v>1</v>
      </c>
      <c r="D140" s="14" t="s">
        <v>17358</v>
      </c>
      <c r="E140" s="15" t="str">
        <f>HYPERLINK("https://stat100.ameba.jp/tnk47/ratio20/illustrations/card/ill_98053_topazuhime03.jpg?202108-5-RELEASE-marathon-546xx", "■")</f>
        <v>■</v>
      </c>
      <c r="F140" s="14" t="s">
        <v>17357</v>
      </c>
      <c r="G140" s="14">
        <v>94974</v>
      </c>
      <c r="H140" s="14">
        <v>168764</v>
      </c>
      <c r="I140" s="14">
        <v>30</v>
      </c>
      <c r="J140" s="14" t="s">
        <v>77</v>
      </c>
      <c r="K140" s="14" t="s">
        <v>17356</v>
      </c>
      <c r="L140" s="14" t="s">
        <v>17355</v>
      </c>
      <c r="M140" s="14" t="s">
        <v>9158</v>
      </c>
      <c r="N140" s="14" t="s">
        <v>9158</v>
      </c>
      <c r="O140" s="14" t="s">
        <v>9158</v>
      </c>
      <c r="P140" s="14" t="s">
        <v>9158</v>
      </c>
      <c r="Q140" s="14" t="s">
        <v>9158</v>
      </c>
    </row>
    <row r="141" spans="1:17">
      <c r="A141" s="14">
        <v>90043</v>
      </c>
      <c r="B141" s="14" t="s">
        <v>0</v>
      </c>
      <c r="C141" s="14" t="s">
        <v>101</v>
      </c>
      <c r="D141" s="14" t="s">
        <v>14004</v>
      </c>
      <c r="E141" s="15" t="str">
        <f>HYPERLINK("https://stat100.ameba.jp/tnk47/ratio20/illustrations/card/ill_90043_buiranzuredeifuranken03.jpg?202108-5-RELEASE-marathon-546xx", "■")</f>
        <v>■</v>
      </c>
      <c r="F141" s="14" t="s">
        <v>14003</v>
      </c>
      <c r="G141" s="14">
        <v>94974</v>
      </c>
      <c r="H141" s="14">
        <v>168764</v>
      </c>
      <c r="I141" s="14">
        <v>30</v>
      </c>
      <c r="J141" s="14" t="s">
        <v>26</v>
      </c>
      <c r="K141" s="14" t="s">
        <v>14002</v>
      </c>
      <c r="L141" s="14" t="s">
        <v>14001</v>
      </c>
      <c r="M141" s="14" t="s">
        <v>9158</v>
      </c>
      <c r="N141" s="14" t="s">
        <v>9158</v>
      </c>
      <c r="O141" s="14" t="s">
        <v>9158</v>
      </c>
      <c r="P141" s="14" t="s">
        <v>9158</v>
      </c>
      <c r="Q141" s="14" t="s">
        <v>9158</v>
      </c>
    </row>
    <row r="164" spans="1:18">
      <c r="A164" s="14" t="s">
        <v>13327</v>
      </c>
    </row>
    <row r="165" spans="1:18">
      <c r="A165" s="14">
        <v>110705</v>
      </c>
      <c r="B165" s="14" t="s">
        <v>13603</v>
      </c>
    </row>
    <row r="166" spans="1:18">
      <c r="A166" s="14">
        <v>97493</v>
      </c>
      <c r="B166" s="14" t="s">
        <v>0</v>
      </c>
      <c r="C166" s="14" t="s">
        <v>335</v>
      </c>
      <c r="D166" s="14" t="s">
        <v>16764</v>
      </c>
      <c r="E166" s="15" t="str">
        <f>HYPERLINK("https://stat100.ameba.jp/tnk47/ratio20/illustrations/card/ill_97493_saiseinoshinkansopudeto03.jpg?202108-5-RELEASE-marathon-546xx", "■")</f>
        <v>■</v>
      </c>
      <c r="F166" s="14" t="s">
        <v>16763</v>
      </c>
      <c r="G166" s="14">
        <v>137316</v>
      </c>
      <c r="H166" s="14">
        <v>147692</v>
      </c>
      <c r="I166" s="14">
        <v>30</v>
      </c>
      <c r="J166" s="14" t="s">
        <v>38</v>
      </c>
      <c r="K166" s="14" t="s">
        <v>16762</v>
      </c>
      <c r="L166" s="14" t="s">
        <v>16761</v>
      </c>
      <c r="M166" s="14" t="s">
        <v>2138</v>
      </c>
      <c r="N166" s="14" t="s">
        <v>2139</v>
      </c>
      <c r="O166" s="14" t="s">
        <v>9158</v>
      </c>
      <c r="P166" s="14" t="s">
        <v>9158</v>
      </c>
      <c r="Q166" s="14" t="s">
        <v>9158</v>
      </c>
      <c r="R166" s="14" t="s">
        <v>14748</v>
      </c>
    </row>
    <row r="167" spans="1:18">
      <c r="A167" s="14">
        <v>97492</v>
      </c>
      <c r="B167" s="14" t="s">
        <v>0</v>
      </c>
      <c r="C167" s="14" t="s">
        <v>335</v>
      </c>
      <c r="D167" s="14" t="s">
        <v>16764</v>
      </c>
      <c r="E167" s="15" t="str">
        <f>HYPERLINK("https://stat100.ameba.jp/tnk47/ratio20/illustrations/card/ill_97492_saiseinoshinkansopudeto02.jpg?202108-5-RELEASE-marathon-546xx", "■")</f>
        <v>■</v>
      </c>
      <c r="F167" s="14" t="s">
        <v>16763</v>
      </c>
      <c r="G167" s="14">
        <v>113730</v>
      </c>
      <c r="H167" s="14">
        <v>123462</v>
      </c>
      <c r="I167" s="14">
        <v>30</v>
      </c>
      <c r="J167" s="14" t="s">
        <v>38</v>
      </c>
      <c r="K167" s="14" t="s">
        <v>16762</v>
      </c>
      <c r="L167" s="14" t="s">
        <v>16765</v>
      </c>
      <c r="M167" s="14" t="s">
        <v>13270</v>
      </c>
      <c r="N167" s="14" t="s">
        <v>13271</v>
      </c>
      <c r="O167" s="14" t="s">
        <v>9158</v>
      </c>
      <c r="P167" s="14" t="s">
        <v>9158</v>
      </c>
      <c r="Q167" s="14" t="s">
        <v>9158</v>
      </c>
      <c r="R167" s="14" t="s">
        <v>14748</v>
      </c>
    </row>
    <row r="168" spans="1:18">
      <c r="A168" s="14">
        <v>97491</v>
      </c>
      <c r="B168" s="14" t="s">
        <v>0</v>
      </c>
      <c r="C168" s="14" t="s">
        <v>335</v>
      </c>
      <c r="D168" s="14" t="s">
        <v>16764</v>
      </c>
      <c r="E168" s="15" t="str">
        <f>HYPERLINK("https://stat100.ameba.jp/tnk47/ratio20/illustrations/card/ill_97491_saiseinoshinkansopudeto01.jpg?202108-5-RELEASE-marathon-546xx", "■")</f>
        <v>■</v>
      </c>
      <c r="F168" s="14" t="s">
        <v>16763</v>
      </c>
      <c r="G168" s="14">
        <v>87750</v>
      </c>
      <c r="H168" s="14">
        <v>94260</v>
      </c>
      <c r="I168" s="14">
        <v>30</v>
      </c>
      <c r="J168" s="14" t="s">
        <v>38</v>
      </c>
      <c r="K168" s="14" t="s">
        <v>16762</v>
      </c>
      <c r="L168" s="14" t="s">
        <v>16766</v>
      </c>
      <c r="M168" s="14" t="s">
        <v>13270</v>
      </c>
      <c r="N168" s="14" t="s">
        <v>13271</v>
      </c>
      <c r="O168" s="14" t="s">
        <v>9158</v>
      </c>
      <c r="P168" s="14" t="s">
        <v>9158</v>
      </c>
      <c r="Q168" s="14" t="s">
        <v>9158</v>
      </c>
      <c r="R168" s="14" t="s">
        <v>14748</v>
      </c>
    </row>
    <row r="169" spans="1:18">
      <c r="A169" s="14">
        <v>97503</v>
      </c>
      <c r="B169" s="14" t="s">
        <v>0</v>
      </c>
      <c r="C169" s="14" t="s">
        <v>200</v>
      </c>
      <c r="D169" s="14" t="s">
        <v>16770</v>
      </c>
      <c r="E169" s="15" t="str">
        <f>HYPERLINK("https://stat100.ameba.jp/tnk47/ratio20/illustrations/card/ill_97503_kokeinodein03.jpg?202108-5-RELEASE-marathon-546xx", "■")</f>
        <v>■</v>
      </c>
      <c r="F169" s="14" t="s">
        <v>16769</v>
      </c>
      <c r="G169" s="14">
        <v>147692</v>
      </c>
      <c r="H169" s="14">
        <v>137316</v>
      </c>
      <c r="I169" s="14">
        <v>30</v>
      </c>
      <c r="J169" s="14" t="s">
        <v>143</v>
      </c>
      <c r="K169" s="14" t="s">
        <v>16768</v>
      </c>
      <c r="L169" s="14" t="s">
        <v>16767</v>
      </c>
      <c r="M169" s="14" t="s">
        <v>2138</v>
      </c>
      <c r="N169" s="14" t="s">
        <v>2139</v>
      </c>
      <c r="O169" s="14" t="s">
        <v>9158</v>
      </c>
      <c r="P169" s="14" t="s">
        <v>9158</v>
      </c>
      <c r="Q169" s="14" t="s">
        <v>9158</v>
      </c>
      <c r="R169" s="14" t="s">
        <v>14748</v>
      </c>
    </row>
    <row r="170" spans="1:18">
      <c r="A170" s="14">
        <v>97513</v>
      </c>
      <c r="B170" s="14" t="s">
        <v>0</v>
      </c>
      <c r="C170" s="14" t="s">
        <v>307</v>
      </c>
      <c r="D170" s="14" t="s">
        <v>16774</v>
      </c>
      <c r="E170" s="15" t="str">
        <f>HYPERLINK("https://stat100.ameba.jp/tnk47/ratio20/illustrations/card/ill_97513_yusuteiteia03.jpg?202108-5-RELEASE-marathon-546xx", "■")</f>
        <v>■</v>
      </c>
      <c r="F170" s="14" t="s">
        <v>16773</v>
      </c>
      <c r="G170" s="14">
        <v>137316</v>
      </c>
      <c r="H170" s="14">
        <v>147692</v>
      </c>
      <c r="I170" s="14">
        <v>30</v>
      </c>
      <c r="J170" s="14" t="s">
        <v>44</v>
      </c>
      <c r="K170" s="14" t="s">
        <v>16772</v>
      </c>
      <c r="L170" s="14" t="s">
        <v>16771</v>
      </c>
      <c r="M170" s="14" t="s">
        <v>2138</v>
      </c>
      <c r="N170" s="14" t="s">
        <v>2139</v>
      </c>
      <c r="O170" s="14" t="s">
        <v>9158</v>
      </c>
      <c r="P170" s="14" t="s">
        <v>9158</v>
      </c>
      <c r="Q170" s="14" t="s">
        <v>9158</v>
      </c>
      <c r="R170" s="14" t="s">
        <v>14748</v>
      </c>
    </row>
    <row r="171" spans="1:18">
      <c r="A171" s="14">
        <v>97523</v>
      </c>
      <c r="B171" s="14" t="s">
        <v>0</v>
      </c>
      <c r="C171" s="14" t="s">
        <v>165</v>
      </c>
      <c r="D171" s="14" t="s">
        <v>16778</v>
      </c>
      <c r="E171" s="15" t="str">
        <f>HYPERLINK("https://stat100.ameba.jp/tnk47/ratio20/illustrations/card/ill_97523_karyua03.jpg?202108-5-RELEASE-marathon-546xx", "■")</f>
        <v>■</v>
      </c>
      <c r="F171" s="14" t="s">
        <v>16777</v>
      </c>
      <c r="G171" s="14">
        <v>137316</v>
      </c>
      <c r="H171" s="14">
        <v>147692</v>
      </c>
      <c r="I171" s="14">
        <v>30</v>
      </c>
      <c r="J171" s="14" t="s">
        <v>26</v>
      </c>
      <c r="K171" s="14" t="s">
        <v>16776</v>
      </c>
      <c r="L171" s="14" t="s">
        <v>16775</v>
      </c>
      <c r="M171" s="14" t="s">
        <v>2138</v>
      </c>
      <c r="N171" s="14" t="s">
        <v>2139</v>
      </c>
      <c r="O171" s="14" t="s">
        <v>9158</v>
      </c>
      <c r="P171" s="14" t="s">
        <v>9158</v>
      </c>
      <c r="Q171" s="14" t="s">
        <v>9158</v>
      </c>
      <c r="R171" s="14" t="s">
        <v>14748</v>
      </c>
    </row>
    <row r="172" spans="1:18">
      <c r="A172" s="14">
        <v>97533</v>
      </c>
      <c r="B172" s="14" t="s">
        <v>0</v>
      </c>
      <c r="C172" s="9" t="s">
        <v>205</v>
      </c>
      <c r="D172" s="14" t="s">
        <v>16782</v>
      </c>
      <c r="E172" s="15" t="str">
        <f>HYPERLINK("https://stat100.ameba.jp/tnk47/ratio20/illustrations/card/ill_97533_pariakaka03.jpg?202108-5-RELEASE-marathon-546xx", "■")</f>
        <v>■</v>
      </c>
      <c r="F172" s="14" t="s">
        <v>16781</v>
      </c>
      <c r="G172" s="14">
        <v>137316</v>
      </c>
      <c r="H172" s="14">
        <v>147692</v>
      </c>
      <c r="I172" s="14">
        <v>30</v>
      </c>
      <c r="J172" s="14" t="s">
        <v>10</v>
      </c>
      <c r="K172" s="14" t="s">
        <v>16780</v>
      </c>
      <c r="L172" s="14" t="s">
        <v>16779</v>
      </c>
      <c r="M172" s="14" t="s">
        <v>2138</v>
      </c>
      <c r="N172" s="14" t="s">
        <v>2139</v>
      </c>
      <c r="O172" s="14" t="s">
        <v>9158</v>
      </c>
      <c r="P172" s="14" t="s">
        <v>9158</v>
      </c>
      <c r="Q172" s="14" t="s">
        <v>9158</v>
      </c>
      <c r="R172" s="14" t="s">
        <v>14748</v>
      </c>
    </row>
    <row r="173" spans="1:18">
      <c r="A173" s="14">
        <v>97543</v>
      </c>
      <c r="B173" s="14" t="s">
        <v>0</v>
      </c>
      <c r="C173" s="14" t="s">
        <v>206</v>
      </c>
      <c r="D173" s="14" t="s">
        <v>16786</v>
      </c>
      <c r="E173" s="15" t="str">
        <f>HYPERLINK("https://stat100.ameba.jp/tnk47/ratio20/illustrations/card/ill_97543_kuroimorinohekuse03.jpg?202108-5-RELEASE-marathon-546xx", "■")</f>
        <v>■</v>
      </c>
      <c r="F173" s="14" t="s">
        <v>16785</v>
      </c>
      <c r="G173" s="14">
        <v>147692</v>
      </c>
      <c r="H173" s="14">
        <v>137316</v>
      </c>
      <c r="I173" s="14">
        <v>30</v>
      </c>
      <c r="J173" s="14" t="s">
        <v>16</v>
      </c>
      <c r="K173" s="14" t="s">
        <v>16784</v>
      </c>
      <c r="L173" s="14" t="s">
        <v>16783</v>
      </c>
      <c r="M173" s="14" t="s">
        <v>2138</v>
      </c>
      <c r="N173" s="14" t="s">
        <v>2139</v>
      </c>
      <c r="O173" s="14" t="s">
        <v>9158</v>
      </c>
      <c r="P173" s="14" t="s">
        <v>9158</v>
      </c>
      <c r="Q173" s="14" t="s">
        <v>9158</v>
      </c>
      <c r="R173" s="14" t="s">
        <v>14748</v>
      </c>
    </row>
    <row r="199" spans="1:17">
      <c r="A199" s="14" t="s">
        <v>3916</v>
      </c>
    </row>
    <row r="200" spans="1:17">
      <c r="A200" s="14">
        <v>110736</v>
      </c>
      <c r="B200" s="14" t="s">
        <v>17895</v>
      </c>
    </row>
    <row r="201" spans="1:17">
      <c r="A201" s="14">
        <v>84733</v>
      </c>
      <c r="B201" s="14" t="s">
        <v>0</v>
      </c>
      <c r="C201" s="14" t="s">
        <v>154</v>
      </c>
      <c r="D201" s="19" t="s">
        <v>10677</v>
      </c>
      <c r="E201" s="15" t="str">
        <f>HYPERLINK("https://stat100.ameba.jp/tnk47/ratio20/illustrations/card/ill_84733_madadoru03.jpg?202108-5-RELEASE-marathon-546xx", "■")</f>
        <v>■</v>
      </c>
      <c r="F201" s="14" t="s">
        <v>7293</v>
      </c>
      <c r="G201" s="14">
        <v>125078</v>
      </c>
      <c r="H201" s="14">
        <v>116296</v>
      </c>
      <c r="I201" s="14">
        <v>29</v>
      </c>
      <c r="J201" s="14" t="s">
        <v>182</v>
      </c>
      <c r="K201" s="14" t="s">
        <v>7296</v>
      </c>
      <c r="L201" s="14" t="s">
        <v>7295</v>
      </c>
      <c r="M201" s="14" t="s">
        <v>9158</v>
      </c>
      <c r="N201" s="14" t="s">
        <v>9158</v>
      </c>
      <c r="O201" s="14" t="s">
        <v>9158</v>
      </c>
      <c r="P201" s="14" t="s">
        <v>9158</v>
      </c>
      <c r="Q201" s="14" t="s">
        <v>9158</v>
      </c>
    </row>
    <row r="202" spans="1:17">
      <c r="A202" s="14">
        <v>84743</v>
      </c>
      <c r="B202" s="14" t="s">
        <v>0</v>
      </c>
      <c r="C202" s="14" t="s">
        <v>158</v>
      </c>
      <c r="D202" s="19" t="s">
        <v>10678</v>
      </c>
      <c r="E202" s="15" t="str">
        <f>HYPERLINK("https://stat100.ameba.jp/tnk47/ratio20/illustrations/card/ill_84743_rinnenonyumpe03.jpg?202108-5-RELEASE-marathon-546xx", "■")</f>
        <v>■</v>
      </c>
      <c r="F202" s="14" t="s">
        <v>7294</v>
      </c>
      <c r="G202" s="14">
        <v>125078</v>
      </c>
      <c r="H202" s="14">
        <v>116296</v>
      </c>
      <c r="I202" s="14">
        <v>29</v>
      </c>
      <c r="J202" s="14" t="s">
        <v>169</v>
      </c>
      <c r="K202" s="14" t="s">
        <v>7297</v>
      </c>
      <c r="L202" s="14" t="s">
        <v>7298</v>
      </c>
      <c r="M202" s="14" t="s">
        <v>9158</v>
      </c>
      <c r="N202" s="14" t="s">
        <v>9158</v>
      </c>
      <c r="O202" s="14" t="s">
        <v>9158</v>
      </c>
      <c r="P202" s="14" t="s">
        <v>9158</v>
      </c>
      <c r="Q202" s="14" t="s">
        <v>9158</v>
      </c>
    </row>
    <row r="203" spans="1:17">
      <c r="A203" s="14">
        <v>69883</v>
      </c>
      <c r="B203" s="14" t="s">
        <v>334</v>
      </c>
      <c r="C203" s="14" t="s">
        <v>185</v>
      </c>
      <c r="D203" s="19" t="s">
        <v>10293</v>
      </c>
      <c r="E203" s="15" t="str">
        <f>HYPERLINK("https://stat100.ameba.jp/tnk47/ratio20/illustrations/card/ill_69883_kyupiddotominushihime03.jpg?202108-5-RELEASE-marathon-546xx", "■")</f>
        <v>■</v>
      </c>
      <c r="F203" s="14" t="s">
        <v>4142</v>
      </c>
      <c r="G203" s="14">
        <v>109970</v>
      </c>
      <c r="H203" s="14">
        <v>118287</v>
      </c>
      <c r="I203" s="14">
        <v>29</v>
      </c>
      <c r="J203" s="14" t="s">
        <v>169</v>
      </c>
      <c r="K203" s="14" t="s">
        <v>4143</v>
      </c>
      <c r="L203" s="14" t="s">
        <v>13190</v>
      </c>
      <c r="M203" s="14" t="s">
        <v>9158</v>
      </c>
      <c r="N203" s="14" t="s">
        <v>9158</v>
      </c>
      <c r="O203" s="14" t="s">
        <v>9158</v>
      </c>
      <c r="P203" s="14" t="s">
        <v>9158</v>
      </c>
      <c r="Q203" s="14" t="s">
        <v>9158</v>
      </c>
    </row>
    <row r="204" spans="1:17">
      <c r="A204" s="14">
        <v>67243</v>
      </c>
      <c r="B204" s="14" t="s">
        <v>334</v>
      </c>
      <c r="C204" s="14" t="s">
        <v>205</v>
      </c>
      <c r="D204" s="20" t="s">
        <v>10199</v>
      </c>
      <c r="E204" s="15" t="str">
        <f>HYPERLINK("https://stat100.ameba.jp/tnk47/ratio20/illustrations/card/ill_67243_onsenyadomoryo03.jpg?202108-5-RELEASE-marathon-546xx", "■")</f>
        <v>■</v>
      </c>
      <c r="F204" s="14" t="s">
        <v>3638</v>
      </c>
      <c r="G204" s="14">
        <v>112369</v>
      </c>
      <c r="H204" s="14">
        <v>120830</v>
      </c>
      <c r="I204" s="14">
        <v>29</v>
      </c>
      <c r="J204" s="14" t="s">
        <v>182</v>
      </c>
      <c r="K204" s="14" t="s">
        <v>3639</v>
      </c>
      <c r="L204" s="14" t="s">
        <v>3640</v>
      </c>
      <c r="M204" s="14" t="s">
        <v>9158</v>
      </c>
      <c r="N204" s="14" t="s">
        <v>9158</v>
      </c>
      <c r="O204" s="14" t="s">
        <v>9158</v>
      </c>
      <c r="P204" s="14" t="s">
        <v>9158</v>
      </c>
      <c r="Q204" s="14" t="s">
        <v>9158</v>
      </c>
    </row>
    <row r="205" spans="1:17">
      <c r="A205" s="14">
        <v>52973</v>
      </c>
      <c r="B205" s="14" t="s">
        <v>15</v>
      </c>
      <c r="C205" s="14" t="s">
        <v>206</v>
      </c>
      <c r="D205" s="19" t="s">
        <v>10519</v>
      </c>
      <c r="E205" s="15" t="str">
        <f>HYPERLINK("https://stat100.ameba.jp/tnk47/ratio20/illustrations/card/ill_52973_torampuamoronagu03.jpg?202108-5-RELEASE-marathon-546xx", "■")</f>
        <v>■</v>
      </c>
      <c r="F205" s="14" t="s">
        <v>6421</v>
      </c>
      <c r="G205" s="14">
        <v>71136</v>
      </c>
      <c r="H205" s="14">
        <v>64520</v>
      </c>
      <c r="I205" s="14">
        <v>24</v>
      </c>
      <c r="J205" s="14" t="s">
        <v>44</v>
      </c>
      <c r="K205" s="14" t="s">
        <v>6419</v>
      </c>
      <c r="L205" s="14" t="s">
        <v>6418</v>
      </c>
      <c r="M205" s="14" t="s">
        <v>9158</v>
      </c>
      <c r="N205" s="14" t="s">
        <v>9158</v>
      </c>
      <c r="O205" s="14" t="s">
        <v>9158</v>
      </c>
      <c r="P205" s="14" t="s">
        <v>9158</v>
      </c>
      <c r="Q205" s="14" t="s">
        <v>9158</v>
      </c>
    </row>
    <row r="206" spans="1:17">
      <c r="A206" s="14">
        <v>52333</v>
      </c>
      <c r="B206" s="14" t="s">
        <v>15</v>
      </c>
      <c r="C206" s="14" t="s">
        <v>200</v>
      </c>
      <c r="D206" s="19" t="s">
        <v>10537</v>
      </c>
      <c r="E206" s="15" t="str">
        <f>HYPERLINK("https://stat100.ameba.jp/tnk47/ratio20/illustrations/card/ill_52333_chichibuyomatsuri03.jpg?202108-5-RELEASE-marathon-546xx", "■")</f>
        <v>■</v>
      </c>
      <c r="F206" s="14" t="s">
        <v>3614</v>
      </c>
      <c r="G206" s="14">
        <v>71136</v>
      </c>
      <c r="H206" s="14">
        <v>64520</v>
      </c>
      <c r="I206" s="14">
        <v>24</v>
      </c>
      <c r="J206" s="14" t="s">
        <v>38</v>
      </c>
      <c r="K206" s="14" t="s">
        <v>3615</v>
      </c>
      <c r="L206" s="14" t="s">
        <v>3616</v>
      </c>
      <c r="M206" s="14" t="s">
        <v>9158</v>
      </c>
      <c r="N206" s="14" t="s">
        <v>9158</v>
      </c>
      <c r="O206" s="14" t="s">
        <v>9158</v>
      </c>
      <c r="P206" s="14" t="s">
        <v>9158</v>
      </c>
      <c r="Q206" s="14" t="s">
        <v>9158</v>
      </c>
    </row>
    <row r="207" spans="1:17">
      <c r="A207" s="14">
        <v>51913</v>
      </c>
      <c r="B207" s="14" t="s">
        <v>15</v>
      </c>
      <c r="C207" s="14" t="s">
        <v>191</v>
      </c>
      <c r="D207" s="19" t="s">
        <v>10538</v>
      </c>
      <c r="E207" s="15" t="str">
        <f>HYPERLINK("https://stat100.ameba.jp/tnk47/ratio20/illustrations/card/ill_51913_kemonomizugihamahime03.jpg?202108-5-RELEASE-marathon-546xx", "■")</f>
        <v>■</v>
      </c>
      <c r="F207" s="14" t="s">
        <v>6501</v>
      </c>
      <c r="G207" s="14">
        <v>64520</v>
      </c>
      <c r="H207" s="14">
        <v>71136</v>
      </c>
      <c r="I207" s="14">
        <v>24</v>
      </c>
      <c r="J207" s="14" t="s">
        <v>182</v>
      </c>
      <c r="K207" s="14" t="s">
        <v>6500</v>
      </c>
      <c r="L207" s="14" t="s">
        <v>6499</v>
      </c>
      <c r="M207" s="14" t="s">
        <v>9158</v>
      </c>
      <c r="N207" s="14" t="s">
        <v>9158</v>
      </c>
      <c r="O207" s="14" t="s">
        <v>9158</v>
      </c>
      <c r="P207" s="14" t="s">
        <v>9158</v>
      </c>
      <c r="Q207" s="14" t="s">
        <v>9158</v>
      </c>
    </row>
    <row r="208" spans="1:17">
      <c r="A208" s="14">
        <v>53203</v>
      </c>
      <c r="B208" s="14" t="s">
        <v>15</v>
      </c>
      <c r="C208" s="14" t="s">
        <v>165</v>
      </c>
      <c r="D208" s="20" t="s">
        <v>10494</v>
      </c>
      <c r="E208" s="15" t="str">
        <f>HYPERLINK("https://stat100.ameba.jp/tnk47/ratio20/illustrations/card/ill_53203_buruhawaichan03.jpg?202108-5-RELEASE-marathon-546xx", "■")</f>
        <v>■</v>
      </c>
      <c r="F208" s="14" t="s">
        <v>6258</v>
      </c>
      <c r="G208" s="14">
        <v>64520</v>
      </c>
      <c r="H208" s="14">
        <v>71136</v>
      </c>
      <c r="I208" s="14">
        <v>24</v>
      </c>
      <c r="J208" s="14" t="s">
        <v>104</v>
      </c>
      <c r="K208" s="14" t="s">
        <v>6261</v>
      </c>
      <c r="L208" s="14" t="s">
        <v>6260</v>
      </c>
      <c r="M208" s="14" t="s">
        <v>9158</v>
      </c>
      <c r="N208" s="14" t="s">
        <v>9158</v>
      </c>
      <c r="O208" s="14" t="s">
        <v>9158</v>
      </c>
      <c r="P208" s="14" t="s">
        <v>9158</v>
      </c>
      <c r="Q208" s="14" t="s">
        <v>9158</v>
      </c>
    </row>
    <row r="294" spans="1:17">
      <c r="A294" s="14" t="s">
        <v>1711</v>
      </c>
    </row>
    <row r="295" spans="1:17">
      <c r="A295" s="14">
        <v>110945</v>
      </c>
      <c r="B295" s="14" t="s">
        <v>6335</v>
      </c>
    </row>
    <row r="296" spans="1:17">
      <c r="A296" s="14" t="s">
        <v>6508</v>
      </c>
      <c r="B296" s="14" t="s">
        <v>330</v>
      </c>
      <c r="C296" s="14" t="s">
        <v>35</v>
      </c>
      <c r="D296" s="20" t="s">
        <v>10168</v>
      </c>
      <c r="E296" s="15" t="str">
        <f>HYPERLINK("https://stat100.ameba.jp/tnk47/ratio20/illustrations/card/ill_81783_0_denshagarukoteipenginchan03.jpg?202109-i_prefecture_active_userx", "■")</f>
        <v>■</v>
      </c>
      <c r="F296" s="14" t="s">
        <v>4834</v>
      </c>
      <c r="G296" s="14">
        <v>313989</v>
      </c>
      <c r="H296" s="14">
        <v>283765</v>
      </c>
      <c r="I296" s="14">
        <v>27</v>
      </c>
      <c r="J296" s="14" t="s">
        <v>26</v>
      </c>
      <c r="K296" s="14" t="s">
        <v>4836</v>
      </c>
      <c r="L296" s="14" t="s">
        <v>1783</v>
      </c>
      <c r="M296" s="14" t="s">
        <v>9158</v>
      </c>
      <c r="N296" s="14" t="s">
        <v>9158</v>
      </c>
      <c r="O296" s="19" t="s">
        <v>10124</v>
      </c>
      <c r="P296" s="14" t="s">
        <v>4838</v>
      </c>
      <c r="Q296" s="14">
        <v>1</v>
      </c>
    </row>
    <row r="297" spans="1:17">
      <c r="A297" s="9" t="s">
        <v>5603</v>
      </c>
      <c r="B297" s="14" t="s">
        <v>330</v>
      </c>
      <c r="C297" s="14" t="s">
        <v>267</v>
      </c>
      <c r="D297" s="14" t="s">
        <v>611</v>
      </c>
      <c r="E297" s="15" t="str">
        <f>HYPERLINK("https://stat100.ameba.jp/tnk47/ratio20/illustrations/card/ill_61893_0_onikirishumiyamotomusashi03.jpg?202109-i_prefecture_active_userx", "■")</f>
        <v>■</v>
      </c>
      <c r="F297" s="14" t="s">
        <v>612</v>
      </c>
      <c r="G297" s="14">
        <v>252030</v>
      </c>
      <c r="H297" s="14">
        <v>234350</v>
      </c>
      <c r="I297" s="14">
        <v>27</v>
      </c>
      <c r="J297" s="14" t="s">
        <v>310</v>
      </c>
      <c r="K297" s="14" t="s">
        <v>613</v>
      </c>
      <c r="L297" s="14" t="s">
        <v>312</v>
      </c>
      <c r="M297" s="14" t="s">
        <v>9158</v>
      </c>
      <c r="N297" s="14" t="s">
        <v>9158</v>
      </c>
      <c r="O297" s="9" t="s">
        <v>3252</v>
      </c>
      <c r="P297" s="14" t="s">
        <v>3253</v>
      </c>
      <c r="Q297" s="14">
        <v>1</v>
      </c>
    </row>
    <row r="298" spans="1:17">
      <c r="A298" s="14" t="s">
        <v>5897</v>
      </c>
      <c r="B298" s="14" t="s">
        <v>52</v>
      </c>
      <c r="C298" s="14" t="s">
        <v>23</v>
      </c>
      <c r="D298" s="19" t="s">
        <v>277</v>
      </c>
      <c r="E298" s="15" t="str">
        <f>HYPERLINK("https://stat100.ameba.jp/tnk47/ratio20/illustrations/card/ill_40913_0_reigyokudensetsufusehime03.jpg?202109-i_prefecture_active_userx", "■")</f>
        <v>■</v>
      </c>
      <c r="F298" s="14" t="s">
        <v>955</v>
      </c>
      <c r="G298" s="14">
        <v>147980</v>
      </c>
      <c r="H298" s="14">
        <v>158004</v>
      </c>
      <c r="I298" s="14">
        <v>27</v>
      </c>
      <c r="J298" s="14" t="s">
        <v>38</v>
      </c>
      <c r="K298" s="14" t="s">
        <v>956</v>
      </c>
      <c r="L298" s="14" t="s">
        <v>957</v>
      </c>
      <c r="M298" s="14" t="s">
        <v>9158</v>
      </c>
      <c r="N298" s="14" t="s">
        <v>9158</v>
      </c>
      <c r="O298" s="14" t="s">
        <v>9158</v>
      </c>
      <c r="P298" s="14" t="s">
        <v>9158</v>
      </c>
      <c r="Q298" s="14" t="s">
        <v>9158</v>
      </c>
    </row>
    <row r="299" spans="1:17">
      <c r="A299" s="14">
        <v>99953</v>
      </c>
      <c r="B299" s="14" t="s">
        <v>334</v>
      </c>
      <c r="C299" s="14" t="s">
        <v>1</v>
      </c>
      <c r="D299" s="14" t="s">
        <v>18521</v>
      </c>
      <c r="E299" s="15" t="str">
        <f>HYPERLINK("https://stat100.ameba.jp/tnk47/ratio20/illustrations/card/ill_99953_mameidominakushi03.jpg?202109-i_prefecture_active_userx", "■")</f>
        <v>■</v>
      </c>
      <c r="F299" s="14" t="s">
        <v>18520</v>
      </c>
      <c r="G299" s="14">
        <v>102386</v>
      </c>
      <c r="H299" s="14">
        <v>110129</v>
      </c>
      <c r="I299" s="14">
        <v>27</v>
      </c>
      <c r="J299" s="14" t="s">
        <v>44</v>
      </c>
      <c r="K299" s="14" t="s">
        <v>18519</v>
      </c>
      <c r="L299" s="14" t="s">
        <v>15905</v>
      </c>
      <c r="M299" s="14" t="s">
        <v>9158</v>
      </c>
      <c r="N299" s="14" t="s">
        <v>9158</v>
      </c>
      <c r="O299" s="14" t="s">
        <v>9158</v>
      </c>
      <c r="P299" s="14" t="s">
        <v>9158</v>
      </c>
      <c r="Q299" s="14" t="s">
        <v>9158</v>
      </c>
    </row>
    <row r="300" spans="1:17">
      <c r="A300" s="14">
        <v>99973</v>
      </c>
      <c r="B300" s="14" t="s">
        <v>15</v>
      </c>
      <c r="C300" s="14" t="s">
        <v>107</v>
      </c>
      <c r="D300" s="14" t="s">
        <v>18524</v>
      </c>
      <c r="E300" s="15" t="str">
        <f>HYPERLINK("https://stat100.ameba.jp/tnk47/ratio20/illustrations/card/ill_99973_amabie03.jpg?202109-i_prefecture_active_userx", "■")</f>
        <v>■</v>
      </c>
      <c r="F300" s="14" t="s">
        <v>18523</v>
      </c>
      <c r="G300" s="14">
        <v>80028</v>
      </c>
      <c r="H300" s="14">
        <v>72586</v>
      </c>
      <c r="I300" s="14">
        <v>27</v>
      </c>
      <c r="J300" s="14" t="s">
        <v>73</v>
      </c>
      <c r="K300" s="14" t="s">
        <v>18522</v>
      </c>
      <c r="L300" s="14" t="s">
        <v>3835</v>
      </c>
      <c r="M300" s="14" t="s">
        <v>9158</v>
      </c>
      <c r="N300" s="14" t="s">
        <v>9158</v>
      </c>
      <c r="O300" s="14" t="s">
        <v>9158</v>
      </c>
      <c r="P300" s="14" t="s">
        <v>9158</v>
      </c>
      <c r="Q300" s="14" t="s">
        <v>9158</v>
      </c>
    </row>
    <row r="301" spans="1:17">
      <c r="A301" s="14">
        <v>99983</v>
      </c>
      <c r="B301" s="14" t="s">
        <v>22</v>
      </c>
      <c r="C301" s="14" t="s">
        <v>14</v>
      </c>
      <c r="D301" s="14" t="s">
        <v>18527</v>
      </c>
      <c r="E301" s="15" t="str">
        <f>HYPERLINK("https://stat100.ameba.jp/tnk47/ratio20/illustrations/card/ill_99983_suparizotokatakurakojuro03.jpg?202109-i_prefecture_active_userx", "■")</f>
        <v>■</v>
      </c>
      <c r="F301" s="14" t="s">
        <v>18526</v>
      </c>
      <c r="G301" s="14">
        <v>46676</v>
      </c>
      <c r="H301" s="14">
        <v>56138</v>
      </c>
      <c r="I301" s="14">
        <v>27</v>
      </c>
      <c r="J301" s="14" t="s">
        <v>143</v>
      </c>
      <c r="K301" s="14" t="s">
        <v>18525</v>
      </c>
      <c r="L301" s="14" t="s">
        <v>3403</v>
      </c>
      <c r="M301" s="14" t="s">
        <v>9158</v>
      </c>
      <c r="N301" s="14" t="s">
        <v>9158</v>
      </c>
      <c r="O301" s="14" t="s">
        <v>9158</v>
      </c>
      <c r="P301" s="14" t="s">
        <v>9158</v>
      </c>
      <c r="Q301" s="14" t="s">
        <v>9158</v>
      </c>
    </row>
    <row r="302" spans="1:17">
      <c r="A302" s="14">
        <v>99993</v>
      </c>
      <c r="B302" s="14" t="s">
        <v>22</v>
      </c>
      <c r="C302" s="14" t="s">
        <v>23</v>
      </c>
      <c r="D302" s="14" t="s">
        <v>18530</v>
      </c>
      <c r="E302" s="15" t="str">
        <f>HYPERLINK("https://stat100.ameba.jp/tnk47/ratio20/illustrations/card/ill_99993_nagatoronoyamamorikori03.jpg?202109-i_prefecture_active_userx", "■")</f>
        <v>■</v>
      </c>
      <c r="F302" s="14" t="s">
        <v>18529</v>
      </c>
      <c r="G302" s="14">
        <v>56138</v>
      </c>
      <c r="H302" s="14">
        <v>46676</v>
      </c>
      <c r="I302" s="14">
        <v>27</v>
      </c>
      <c r="J302" s="14" t="s">
        <v>104</v>
      </c>
      <c r="K302" s="14" t="s">
        <v>18528</v>
      </c>
      <c r="L302" s="14" t="s">
        <v>2674</v>
      </c>
    </row>
    <row r="304" spans="1:17">
      <c r="A304" s="14" t="s">
        <v>3844</v>
      </c>
    </row>
    <row r="305" spans="1:17">
      <c r="A305" s="14">
        <v>110968</v>
      </c>
      <c r="B305" s="14" t="s">
        <v>18509</v>
      </c>
    </row>
    <row r="306" spans="1:17">
      <c r="A306" s="7" t="s">
        <v>8100</v>
      </c>
      <c r="B306" s="7" t="s">
        <v>117</v>
      </c>
      <c r="C306" s="7" t="s">
        <v>202</v>
      </c>
      <c r="D306" s="19" t="s">
        <v>10784</v>
      </c>
      <c r="E306" s="15" t="str">
        <f>HYPERLINK("https://stat100.ameba.jp/tnk47/ratio20/illustrations/card/ill_86013_0_somemonosansaishiki03.jpg?202109-i_prefecture_active_userx", "■")</f>
        <v>■</v>
      </c>
      <c r="F306" s="7" t="s">
        <v>8103</v>
      </c>
      <c r="G306" s="7">
        <v>314478</v>
      </c>
      <c r="H306" s="7">
        <v>284219</v>
      </c>
      <c r="I306" s="7">
        <v>27</v>
      </c>
      <c r="J306" s="7" t="s">
        <v>187</v>
      </c>
      <c r="K306" s="7" t="s">
        <v>8102</v>
      </c>
      <c r="L306" s="7" t="s">
        <v>8101</v>
      </c>
      <c r="M306" s="14" t="s">
        <v>9158</v>
      </c>
      <c r="N306" s="14" t="s">
        <v>9158</v>
      </c>
      <c r="O306" s="19" t="s">
        <v>10132</v>
      </c>
      <c r="P306" s="14" t="s">
        <v>3277</v>
      </c>
      <c r="Q306" s="14">
        <v>1</v>
      </c>
    </row>
    <row r="307" spans="1:17">
      <c r="A307" s="14">
        <v>75333</v>
      </c>
      <c r="B307" s="14" t="s">
        <v>334</v>
      </c>
      <c r="C307" s="14" t="s">
        <v>200</v>
      </c>
      <c r="D307" s="19" t="s">
        <v>3206</v>
      </c>
      <c r="E307" s="15" t="str">
        <f>HYPERLINK("https://stat100.ameba.jp/tnk47/ratio20/illustrations/card/ill_75333_resukuintamamonomae03.jpg?202109-i_prefecture_active_userx", "■")</f>
        <v>■</v>
      </c>
      <c r="F307" s="14" t="s">
        <v>3207</v>
      </c>
      <c r="G307" s="14">
        <v>112369</v>
      </c>
      <c r="H307" s="14">
        <v>120830</v>
      </c>
      <c r="I307" s="14">
        <v>29</v>
      </c>
      <c r="J307" s="14" t="s">
        <v>320</v>
      </c>
      <c r="K307" s="14" t="s">
        <v>3208</v>
      </c>
      <c r="L307" s="14" t="s">
        <v>3209</v>
      </c>
      <c r="M307" s="14" t="s">
        <v>9158</v>
      </c>
      <c r="N307" s="14" t="s">
        <v>9158</v>
      </c>
      <c r="O307" s="19" t="s">
        <v>10074</v>
      </c>
      <c r="P307" s="14" t="s">
        <v>2822</v>
      </c>
      <c r="Q307" s="14">
        <v>1</v>
      </c>
    </row>
    <row r="308" spans="1:17">
      <c r="A308" s="14">
        <v>77123</v>
      </c>
      <c r="B308" s="14" t="s">
        <v>334</v>
      </c>
      <c r="C308" s="14" t="s">
        <v>191</v>
      </c>
      <c r="D308" s="20" t="s">
        <v>10424</v>
      </c>
      <c r="E308" s="15" t="str">
        <f>HYPERLINK("https://stat100.ameba.jp/tnk47/ratio20/illustrations/card/ill_77123_yukemuriizuna03.jpg?202109-i_prefecture_active_userx", "■")</f>
        <v>■</v>
      </c>
      <c r="F308" s="14" t="s">
        <v>1377</v>
      </c>
      <c r="G308" s="14">
        <v>120830</v>
      </c>
      <c r="H308" s="14">
        <v>112369</v>
      </c>
      <c r="I308" s="14">
        <v>29</v>
      </c>
      <c r="J308" s="14" t="s">
        <v>320</v>
      </c>
      <c r="K308" s="14" t="s">
        <v>1378</v>
      </c>
      <c r="L308" s="14" t="s">
        <v>1379</v>
      </c>
      <c r="M308" s="14" t="s">
        <v>9158</v>
      </c>
      <c r="N308" s="14" t="s">
        <v>9158</v>
      </c>
      <c r="O308" s="19" t="s">
        <v>2838</v>
      </c>
      <c r="P308" s="14" t="s">
        <v>3579</v>
      </c>
      <c r="Q308" s="14">
        <v>1</v>
      </c>
    </row>
    <row r="309" spans="1:17">
      <c r="A309" s="14">
        <v>67993</v>
      </c>
      <c r="B309" s="14" t="s">
        <v>334</v>
      </c>
      <c r="C309" s="14" t="s">
        <v>205</v>
      </c>
      <c r="D309" s="6" t="s">
        <v>2546</v>
      </c>
      <c r="E309" s="15" t="str">
        <f>HYPERLINK("https://stat100.ameba.jp/tnk47/ratio20/illustrations/card/ill_67993_kurisumasupateikanekomisuzu03.jpg?202109-i_prefecture_active_userx", "■")</f>
        <v>■</v>
      </c>
      <c r="F309" s="14" t="s">
        <v>1286</v>
      </c>
      <c r="G309" s="14">
        <v>113277</v>
      </c>
      <c r="H309" s="14">
        <v>105281</v>
      </c>
      <c r="I309" s="14">
        <v>29</v>
      </c>
      <c r="J309" s="14" t="s">
        <v>10</v>
      </c>
      <c r="K309" s="14" t="s">
        <v>2547</v>
      </c>
      <c r="L309" s="14" t="s">
        <v>2548</v>
      </c>
      <c r="M309" s="14" t="s">
        <v>9158</v>
      </c>
      <c r="N309" s="14" t="s">
        <v>9158</v>
      </c>
      <c r="O309" s="6" t="s">
        <v>10025</v>
      </c>
      <c r="P309" s="14" t="s">
        <v>3701</v>
      </c>
      <c r="Q309" s="14">
        <v>1</v>
      </c>
    </row>
    <row r="311" spans="1:17">
      <c r="A311" s="14" t="s">
        <v>18510</v>
      </c>
    </row>
    <row r="312" spans="1:17">
      <c r="A312" s="14">
        <v>110971</v>
      </c>
      <c r="B312" s="14" t="s">
        <v>18511</v>
      </c>
    </row>
    <row r="313" spans="1:17">
      <c r="A313" s="14">
        <v>110999</v>
      </c>
      <c r="B313" s="14" t="s">
        <v>18512</v>
      </c>
    </row>
    <row r="314" spans="1:17">
      <c r="A314" s="14">
        <v>200013</v>
      </c>
      <c r="B314" s="14" t="s">
        <v>117</v>
      </c>
      <c r="C314" s="14" t="s">
        <v>35</v>
      </c>
      <c r="D314" s="14" t="s">
        <v>18518</v>
      </c>
      <c r="E314" s="15" t="str">
        <f>HYPERLINK("https://stat100.ameba.jp/tnk47/ratio20/illustrations/card/ill_200013_0_aoharukoshien03.jpg?202109-i_prefecture_active_userx", "■")</f>
        <v>■</v>
      </c>
      <c r="F314" s="14" t="s">
        <v>18517</v>
      </c>
      <c r="G314" s="14">
        <v>401950</v>
      </c>
      <c r="H314" s="14">
        <v>373721</v>
      </c>
      <c r="I314" s="14">
        <v>33</v>
      </c>
      <c r="J314" s="14" t="s">
        <v>26</v>
      </c>
      <c r="K314" s="14" t="s">
        <v>18516</v>
      </c>
      <c r="L314" s="14" t="s">
        <v>18515</v>
      </c>
      <c r="M314" s="14" t="s">
        <v>9158</v>
      </c>
      <c r="N314" s="14" t="s">
        <v>9158</v>
      </c>
      <c r="O314" s="14" t="s">
        <v>18514</v>
      </c>
      <c r="P314" s="14" t="s">
        <v>18513</v>
      </c>
      <c r="Q314" s="14">
        <v>1</v>
      </c>
    </row>
    <row r="315" spans="1:17">
      <c r="A315" s="14">
        <v>95063</v>
      </c>
      <c r="B315" s="14" t="s">
        <v>0</v>
      </c>
      <c r="C315" s="14" t="s">
        <v>14</v>
      </c>
      <c r="D315" s="14" t="s">
        <v>15812</v>
      </c>
      <c r="E315" s="15" t="str">
        <f>HYPERLINK("https://stat100.ameba.jp/tnk47/ratio20/illustrations/card/ill_95063_daikichitokachinoraijin03.jpg?202109-i_prefecture_active_userx", "■")</f>
        <v>■</v>
      </c>
      <c r="F315" s="14" t="s">
        <v>15811</v>
      </c>
      <c r="G315" s="14">
        <v>136668</v>
      </c>
      <c r="H315" s="14">
        <v>127070</v>
      </c>
      <c r="I315" s="14">
        <v>30</v>
      </c>
      <c r="J315" s="14" t="s">
        <v>38</v>
      </c>
      <c r="K315" s="14" t="s">
        <v>15810</v>
      </c>
      <c r="L315" s="14" t="s">
        <v>15809</v>
      </c>
      <c r="M315" s="14" t="s">
        <v>9158</v>
      </c>
      <c r="N315" s="14" t="s">
        <v>9158</v>
      </c>
      <c r="O315" s="14" t="s">
        <v>9158</v>
      </c>
      <c r="P315" s="14" t="s">
        <v>9158</v>
      </c>
      <c r="Q315" s="14" t="s">
        <v>9158</v>
      </c>
    </row>
    <row r="316" spans="1:17">
      <c r="A316" s="14">
        <v>88413</v>
      </c>
      <c r="B316" s="14" t="s">
        <v>0</v>
      </c>
      <c r="C316" s="14" t="s">
        <v>200</v>
      </c>
      <c r="D316" s="14" t="s">
        <v>12065</v>
      </c>
      <c r="E316" s="15" t="str">
        <f>HYPERLINK("https://stat100.ameba.jp/tnk47/ratio20/illustrations/card/ill_88413_puroresugo03.jpg?202109-i_prefecture_active_userx", "■")</f>
        <v>■</v>
      </c>
      <c r="F316" s="14" t="s">
        <v>12083</v>
      </c>
      <c r="G316" s="14">
        <v>117182</v>
      </c>
      <c r="H316" s="14">
        <v>108912</v>
      </c>
      <c r="I316" s="14">
        <v>30</v>
      </c>
      <c r="J316" s="14" t="s">
        <v>187</v>
      </c>
      <c r="K316" s="14" t="s">
        <v>12082</v>
      </c>
      <c r="L316" s="14" t="s">
        <v>12081</v>
      </c>
      <c r="M316" s="14" t="s">
        <v>9158</v>
      </c>
      <c r="N316" s="14" t="s">
        <v>9158</v>
      </c>
      <c r="O316" s="14" t="s">
        <v>9158</v>
      </c>
      <c r="P316" s="14" t="s">
        <v>9158</v>
      </c>
      <c r="Q316" s="14" t="s">
        <v>9158</v>
      </c>
    </row>
    <row r="317" spans="1:17">
      <c r="A317" s="14">
        <v>89303</v>
      </c>
      <c r="B317" s="14" t="s">
        <v>0</v>
      </c>
      <c r="C317" s="14" t="s">
        <v>101</v>
      </c>
      <c r="D317" s="14" t="s">
        <v>12706</v>
      </c>
      <c r="E317" s="15" t="str">
        <f>HYPERLINK("https://stat100.ameba.jp/tnk47/ratio20/illustrations/card/ill_89303_ransaapaosha03.jpg?202109-i_prefecture_active_userx", "■")</f>
        <v>■</v>
      </c>
      <c r="F317" s="14" t="s">
        <v>12712</v>
      </c>
      <c r="G317" s="14">
        <v>136668</v>
      </c>
      <c r="H317" s="14">
        <v>127070</v>
      </c>
      <c r="I317" s="14">
        <v>30</v>
      </c>
      <c r="J317" s="14" t="s">
        <v>38</v>
      </c>
      <c r="K317" s="14" t="s">
        <v>12714</v>
      </c>
      <c r="L317" s="14" t="s">
        <v>12715</v>
      </c>
      <c r="M317" s="14" t="s">
        <v>9158</v>
      </c>
      <c r="N317" s="14" t="s">
        <v>9158</v>
      </c>
      <c r="O317" s="14" t="s">
        <v>9158</v>
      </c>
      <c r="P317" s="14" t="s">
        <v>9158</v>
      </c>
      <c r="Q317" s="14" t="s">
        <v>9158</v>
      </c>
    </row>
    <row r="318" spans="1:17">
      <c r="A318" s="14">
        <v>90623</v>
      </c>
      <c r="B318" s="14" t="s">
        <v>0</v>
      </c>
      <c r="C318" s="14" t="s">
        <v>96</v>
      </c>
      <c r="D318" s="14" t="s">
        <v>14237</v>
      </c>
      <c r="E318" s="15" t="str">
        <f>HYPERLINK("https://stat100.ameba.jp/tnk47/ratio20/illustrations/card/ill_90623_arabiankunopeshu03.jpg?202109-i_prefecture_active_userx", "■")</f>
        <v>■</v>
      </c>
      <c r="F318" s="14" t="s">
        <v>14236</v>
      </c>
      <c r="G318" s="14">
        <v>178342</v>
      </c>
      <c r="H318" s="14">
        <v>165824</v>
      </c>
      <c r="I318" s="14">
        <v>30</v>
      </c>
      <c r="J318" s="14" t="s">
        <v>143</v>
      </c>
      <c r="K318" s="14" t="s">
        <v>14234</v>
      </c>
      <c r="L318" s="14" t="s">
        <v>12153</v>
      </c>
      <c r="M318" s="14" t="s">
        <v>9158</v>
      </c>
      <c r="N318" s="14" t="s">
        <v>9158</v>
      </c>
      <c r="O318" s="14" t="s">
        <v>9158</v>
      </c>
      <c r="P318" s="14" t="s">
        <v>9158</v>
      </c>
      <c r="Q318" s="14" t="s">
        <v>9158</v>
      </c>
    </row>
    <row r="319" spans="1:17">
      <c r="A319" s="14">
        <v>93743</v>
      </c>
      <c r="B319" s="14" t="s">
        <v>0</v>
      </c>
      <c r="C319" s="14" t="s">
        <v>1</v>
      </c>
      <c r="D319" s="14" t="s">
        <v>15531</v>
      </c>
      <c r="E319" s="15" t="str">
        <f>HYPERLINK("https://stat100.ameba.jp/tnk47/ratio20/illustrations/card/ill_93743_bampaiahantakamiyoame03.jpg?202109-i_prefecture_active_userx", "■")</f>
        <v>■</v>
      </c>
      <c r="F319" s="14" t="s">
        <v>15530</v>
      </c>
      <c r="G319" s="14">
        <v>165824</v>
      </c>
      <c r="H319" s="14">
        <v>178342</v>
      </c>
      <c r="I319" s="14">
        <v>30</v>
      </c>
      <c r="J319" s="14" t="s">
        <v>104</v>
      </c>
      <c r="K319" s="14" t="s">
        <v>15528</v>
      </c>
      <c r="L319" s="14" t="s">
        <v>12356</v>
      </c>
      <c r="M319" s="14" t="s">
        <v>9158</v>
      </c>
      <c r="N319" s="14" t="s">
        <v>9158</v>
      </c>
      <c r="O319" s="14" t="s">
        <v>9158</v>
      </c>
      <c r="P319" s="14" t="s">
        <v>9158</v>
      </c>
      <c r="Q319" s="14" t="s">
        <v>9864</v>
      </c>
    </row>
    <row r="320" spans="1:17">
      <c r="A320" s="14">
        <v>94533</v>
      </c>
      <c r="B320" s="14" t="s">
        <v>334</v>
      </c>
      <c r="C320" s="14" t="s">
        <v>107</v>
      </c>
      <c r="D320" s="14" t="s">
        <v>16619</v>
      </c>
      <c r="E320" s="15" t="str">
        <f>HYPERLINK("https://stat100.ameba.jp/tnk47/ratio20/illustrations/card/ill_94533_fuyunotozurekeitotsukaiyumu03.jpg?202109-i_prefecture_active_userx", "■")</f>
        <v>■</v>
      </c>
      <c r="F320" s="14" t="s">
        <v>16618</v>
      </c>
      <c r="G320" s="14">
        <v>178342</v>
      </c>
      <c r="H320" s="14">
        <v>165824</v>
      </c>
      <c r="I320" s="14">
        <v>30</v>
      </c>
      <c r="J320" s="14" t="s">
        <v>26</v>
      </c>
      <c r="K320" s="14" t="s">
        <v>16617</v>
      </c>
      <c r="L320" s="14" t="s">
        <v>5053</v>
      </c>
      <c r="M320" s="14" t="s">
        <v>9158</v>
      </c>
      <c r="N320" s="14" t="s">
        <v>9158</v>
      </c>
      <c r="O320" s="14" t="s">
        <v>9158</v>
      </c>
      <c r="P320" s="14" t="s">
        <v>9158</v>
      </c>
      <c r="Q320" s="14" t="s">
        <v>9158</v>
      </c>
    </row>
    <row r="325" spans="9:9">
      <c r="I325" s="7"/>
    </row>
    <row r="456" spans="1:17">
      <c r="A456" s="14" t="s">
        <v>4076</v>
      </c>
    </row>
    <row r="457" spans="1:17">
      <c r="A457" s="14">
        <v>240258</v>
      </c>
      <c r="B457" s="14" t="s">
        <v>6439</v>
      </c>
    </row>
    <row r="458" spans="1:17">
      <c r="A458" s="14" t="s">
        <v>5606</v>
      </c>
      <c r="B458" s="14" t="s">
        <v>52</v>
      </c>
      <c r="C458" s="14" t="s">
        <v>206</v>
      </c>
      <c r="D458" s="19" t="s">
        <v>2936</v>
      </c>
      <c r="E458" s="15" t="str">
        <f>HYPERLINK("https://stat100.ameba.jp/tnk47/ratio20/illustrations/card/ill_72233_0_koinoboriryugujin03.jpg?202109-i_prefecture_active_userx", "■")</f>
        <v>■</v>
      </c>
      <c r="F458" s="14" t="s">
        <v>1012</v>
      </c>
      <c r="G458" s="14">
        <v>131192</v>
      </c>
      <c r="H458" s="14">
        <v>141112</v>
      </c>
      <c r="I458" s="14">
        <v>20</v>
      </c>
      <c r="J458" s="14" t="s">
        <v>44</v>
      </c>
      <c r="K458" s="14" t="s">
        <v>1013</v>
      </c>
      <c r="L458" s="14" t="s">
        <v>1014</v>
      </c>
      <c r="M458" s="14" t="s">
        <v>9158</v>
      </c>
      <c r="N458" s="14" t="s">
        <v>9158</v>
      </c>
      <c r="O458" s="19" t="s">
        <v>2940</v>
      </c>
      <c r="P458" s="14" t="s">
        <v>2941</v>
      </c>
      <c r="Q458" s="14">
        <v>2</v>
      </c>
    </row>
    <row r="459" spans="1:17">
      <c r="A459" s="14">
        <v>200063</v>
      </c>
      <c r="B459" s="9" t="s">
        <v>0</v>
      </c>
      <c r="C459" s="14" t="s">
        <v>23</v>
      </c>
      <c r="D459" s="14" t="s">
        <v>18245</v>
      </c>
      <c r="E459" s="15" t="str">
        <f>HYPERLINK("https://stat100.ameba.jp/tnk47/ratio20/illustrations/card/ill_200063_masenririanta03.jpg?202109-i_prefecture_active_userx", "■")</f>
        <v>■</v>
      </c>
      <c r="F459" s="14" t="s">
        <v>18244</v>
      </c>
      <c r="G459" s="14">
        <v>123914</v>
      </c>
      <c r="H459" s="14">
        <v>220250</v>
      </c>
      <c r="I459" s="14">
        <v>30</v>
      </c>
      <c r="J459" s="14" t="s">
        <v>73</v>
      </c>
      <c r="K459" s="14" t="s">
        <v>18243</v>
      </c>
      <c r="L459" s="14" t="s">
        <v>16158</v>
      </c>
      <c r="M459" s="14" t="s">
        <v>9158</v>
      </c>
      <c r="N459" s="14" t="s">
        <v>9158</v>
      </c>
      <c r="O459" s="14" t="s">
        <v>9158</v>
      </c>
      <c r="P459" s="14" t="s">
        <v>9158</v>
      </c>
      <c r="Q459" s="14" t="s">
        <v>9158</v>
      </c>
    </row>
    <row r="460" spans="1:17">
      <c r="A460" s="14">
        <v>200062</v>
      </c>
      <c r="B460" s="9" t="s">
        <v>0</v>
      </c>
      <c r="C460" s="14" t="s">
        <v>23</v>
      </c>
      <c r="D460" s="14" t="s">
        <v>18245</v>
      </c>
      <c r="E460" s="15" t="str">
        <f>HYPERLINK("https://stat100.ameba.jp/tnk47/ratio20/illustrations/card/ill_200062_masenririanta02.jpg?202109-i_prefecture_active_userx", "■")</f>
        <v>■</v>
      </c>
      <c r="F460" s="14" t="s">
        <v>18244</v>
      </c>
      <c r="G460" s="14">
        <v>103128</v>
      </c>
      <c r="H460" s="14">
        <v>183258</v>
      </c>
      <c r="I460" s="14">
        <v>30</v>
      </c>
      <c r="J460" s="14" t="s">
        <v>73</v>
      </c>
      <c r="K460" s="14" t="s">
        <v>18243</v>
      </c>
      <c r="L460" s="14" t="s">
        <v>17311</v>
      </c>
      <c r="M460" s="14" t="s">
        <v>9158</v>
      </c>
      <c r="N460" s="14" t="s">
        <v>9158</v>
      </c>
      <c r="O460" s="14" t="s">
        <v>9158</v>
      </c>
      <c r="P460" s="14" t="s">
        <v>9158</v>
      </c>
      <c r="Q460" s="14" t="s">
        <v>9158</v>
      </c>
    </row>
    <row r="461" spans="1:17">
      <c r="A461" s="14">
        <v>200061</v>
      </c>
      <c r="B461" s="9" t="s">
        <v>0</v>
      </c>
      <c r="C461" s="14" t="s">
        <v>23</v>
      </c>
      <c r="D461" s="14" t="s">
        <v>18245</v>
      </c>
      <c r="E461" s="15" t="str">
        <f>HYPERLINK("https://stat100.ameba.jp/tnk47/ratio20/illustrations/card/ill_200061_masenririanta01.jpg?202109-i_prefecture_active_userx", "■")</f>
        <v>■</v>
      </c>
      <c r="F461" s="14" t="s">
        <v>18244</v>
      </c>
      <c r="G461" s="14">
        <v>79140</v>
      </c>
      <c r="H461" s="14">
        <v>140640</v>
      </c>
      <c r="I461" s="14">
        <v>30</v>
      </c>
      <c r="J461" s="14" t="s">
        <v>73</v>
      </c>
      <c r="K461" s="14" t="s">
        <v>18243</v>
      </c>
      <c r="L461" s="14" t="s">
        <v>18532</v>
      </c>
      <c r="M461" s="14" t="s">
        <v>9158</v>
      </c>
      <c r="N461" s="14" t="s">
        <v>9158</v>
      </c>
      <c r="O461" s="14" t="s">
        <v>9158</v>
      </c>
      <c r="P461" s="14" t="s">
        <v>9158</v>
      </c>
      <c r="Q461" s="14" t="s">
        <v>9158</v>
      </c>
    </row>
    <row r="462" spans="1:17">
      <c r="A462" s="14">
        <v>200073</v>
      </c>
      <c r="B462" s="9" t="s">
        <v>0</v>
      </c>
      <c r="C462" s="14" t="s">
        <v>1</v>
      </c>
      <c r="D462" s="14" t="s">
        <v>18535</v>
      </c>
      <c r="E462" s="15" t="str">
        <f>HYPERLINK("https://stat100.ameba.jp/tnk47/ratio20/illustrations/card/ill_200073_himatsunoterume03.jpg?202109-i_prefecture_active_userx", "■")</f>
        <v>■</v>
      </c>
      <c r="F462" s="14" t="s">
        <v>18534</v>
      </c>
      <c r="G462" s="14">
        <v>94974</v>
      </c>
      <c r="H462" s="14">
        <v>168764</v>
      </c>
      <c r="I462" s="14">
        <v>30</v>
      </c>
      <c r="J462" s="14" t="s">
        <v>26</v>
      </c>
      <c r="K462" s="14" t="s">
        <v>18533</v>
      </c>
      <c r="L462" s="14" t="s">
        <v>9333</v>
      </c>
      <c r="M462" s="14" t="s">
        <v>9158</v>
      </c>
      <c r="N462" s="14" t="s">
        <v>9158</v>
      </c>
      <c r="O462" s="14" t="s">
        <v>9158</v>
      </c>
      <c r="P462" s="14" t="s">
        <v>9158</v>
      </c>
      <c r="Q462" s="14" t="s">
        <v>9158</v>
      </c>
    </row>
    <row r="463" spans="1:17">
      <c r="A463" s="14">
        <v>200072</v>
      </c>
      <c r="B463" s="9" t="s">
        <v>0</v>
      </c>
      <c r="C463" s="14" t="s">
        <v>1</v>
      </c>
      <c r="D463" s="14" t="s">
        <v>18535</v>
      </c>
      <c r="E463" s="15" t="str">
        <f>HYPERLINK("https://stat100.ameba.jp/tnk47/ratio20/illustrations/card/ill_200072_himatsunoterume02.jpg?202109-i_prefecture_active_userx", "■")</f>
        <v>■</v>
      </c>
      <c r="F463" s="14" t="s">
        <v>18534</v>
      </c>
      <c r="G463" s="14">
        <v>79026</v>
      </c>
      <c r="H463" s="14">
        <v>140472</v>
      </c>
      <c r="I463" s="14">
        <v>30</v>
      </c>
      <c r="J463" s="14" t="s">
        <v>26</v>
      </c>
      <c r="K463" s="14" t="s">
        <v>18533</v>
      </c>
      <c r="L463" s="14" t="s">
        <v>15397</v>
      </c>
      <c r="M463" s="14" t="s">
        <v>9158</v>
      </c>
      <c r="N463" s="14" t="s">
        <v>9158</v>
      </c>
      <c r="O463" s="14" t="s">
        <v>9158</v>
      </c>
      <c r="P463" s="14" t="s">
        <v>9158</v>
      </c>
      <c r="Q463" s="14" t="s">
        <v>9158</v>
      </c>
    </row>
    <row r="464" spans="1:17">
      <c r="A464" s="14">
        <v>200071</v>
      </c>
      <c r="B464" s="9" t="s">
        <v>0</v>
      </c>
      <c r="C464" s="14" t="s">
        <v>1</v>
      </c>
      <c r="D464" s="14" t="s">
        <v>18535</v>
      </c>
      <c r="E464" s="15" t="str">
        <f>HYPERLINK("https://stat100.ameba.jp/tnk47/ratio20/illustrations/card/ill_200071_himatsunoterume01.jpg?202109-i_prefecture_active_userx", "■")</f>
        <v>■</v>
      </c>
      <c r="F464" s="14" t="s">
        <v>18534</v>
      </c>
      <c r="G464" s="14">
        <v>60630</v>
      </c>
      <c r="H464" s="14">
        <v>107760</v>
      </c>
      <c r="I464" s="14">
        <v>30</v>
      </c>
      <c r="J464" s="14" t="s">
        <v>26</v>
      </c>
      <c r="K464" s="14" t="s">
        <v>18533</v>
      </c>
      <c r="L464" s="14" t="s">
        <v>15398</v>
      </c>
      <c r="M464" s="14" t="s">
        <v>9158</v>
      </c>
      <c r="N464" s="14" t="s">
        <v>9158</v>
      </c>
      <c r="O464" s="14" t="s">
        <v>9158</v>
      </c>
      <c r="P464" s="14" t="s">
        <v>9158</v>
      </c>
      <c r="Q464" s="14" t="s">
        <v>9158</v>
      </c>
    </row>
    <row r="466" spans="1:17">
      <c r="A466" s="14" t="s">
        <v>3844</v>
      </c>
    </row>
    <row r="467" spans="1:17">
      <c r="A467" s="14">
        <v>111144</v>
      </c>
      <c r="B467" s="14" t="s">
        <v>6572</v>
      </c>
    </row>
    <row r="468" spans="1:17">
      <c r="A468" s="14" t="s">
        <v>12809</v>
      </c>
      <c r="B468" s="14" t="s">
        <v>117</v>
      </c>
      <c r="C468" s="14" t="s">
        <v>35</v>
      </c>
      <c r="D468" s="14" t="s">
        <v>12807</v>
      </c>
      <c r="E468" s="15" t="str">
        <f>HYPERLINK("https://stat100.ameba.jp/tnk47/ratio20/illustrations/card/ill_90173_0_yurakunekomusume03.jpg?202109-i_prefecture_active_userx", "■")</f>
        <v>■</v>
      </c>
      <c r="F468" s="14" t="s">
        <v>12810</v>
      </c>
      <c r="G468" s="14">
        <v>322452</v>
      </c>
      <c r="H468" s="14">
        <v>291467</v>
      </c>
      <c r="I468" s="14">
        <v>27</v>
      </c>
      <c r="J468" s="14" t="s">
        <v>38</v>
      </c>
      <c r="K468" s="14" t="s">
        <v>12812</v>
      </c>
      <c r="L468" s="14" t="s">
        <v>12813</v>
      </c>
      <c r="M468" s="14" t="s">
        <v>9158</v>
      </c>
      <c r="N468" s="14" t="s">
        <v>9158</v>
      </c>
      <c r="O468" s="14" t="s">
        <v>12805</v>
      </c>
      <c r="P468" s="14" t="s">
        <v>3491</v>
      </c>
      <c r="Q468" s="14">
        <v>1</v>
      </c>
    </row>
    <row r="469" spans="1:17">
      <c r="A469" s="14">
        <v>63853</v>
      </c>
      <c r="B469" s="14" t="s">
        <v>334</v>
      </c>
      <c r="C469" s="14" t="s">
        <v>200</v>
      </c>
      <c r="D469" s="20" t="s">
        <v>10284</v>
      </c>
      <c r="E469" s="15" t="str">
        <f>HYPERLINK("https://stat100.ameba.jp/tnk47/ratio20/illustrations/card/ill_63853_daikokaijidainansosatomihakkenden03.jpg?202109-i_prefecture_active_userx", "■")</f>
        <v>■</v>
      </c>
      <c r="F469" s="14" t="s">
        <v>941</v>
      </c>
      <c r="G469" s="14">
        <v>122834</v>
      </c>
      <c r="H469" s="14">
        <v>132346</v>
      </c>
      <c r="I469" s="14">
        <v>29</v>
      </c>
      <c r="J469" s="14" t="s">
        <v>155</v>
      </c>
      <c r="K469" s="14" t="s">
        <v>942</v>
      </c>
      <c r="L469" s="14" t="s">
        <v>13149</v>
      </c>
      <c r="M469" s="14" t="s">
        <v>9158</v>
      </c>
      <c r="N469" s="14" t="s">
        <v>9158</v>
      </c>
      <c r="O469" s="19" t="s">
        <v>10121</v>
      </c>
      <c r="P469" s="14" t="s">
        <v>3330</v>
      </c>
      <c r="Q469" s="14">
        <v>1</v>
      </c>
    </row>
    <row r="470" spans="1:17">
      <c r="A470" s="14">
        <v>69533</v>
      </c>
      <c r="B470" s="14" t="s">
        <v>0</v>
      </c>
      <c r="C470" s="14" t="s">
        <v>101</v>
      </c>
      <c r="D470" s="20" t="s">
        <v>10418</v>
      </c>
      <c r="E470" s="15" t="str">
        <f>HYPERLINK("https://stat100.ameba.jp/tnk47/ratio20/illustrations/card/ill_69533_setsubunodainokata03.jpg?202109-i_prefecture_active_userx", "■")</f>
        <v>■</v>
      </c>
      <c r="F470" s="14" t="s">
        <v>138</v>
      </c>
      <c r="G470" s="14">
        <v>113277</v>
      </c>
      <c r="H470" s="14">
        <v>105281</v>
      </c>
      <c r="I470" s="14">
        <v>29</v>
      </c>
      <c r="J470" s="14" t="s">
        <v>10</v>
      </c>
      <c r="K470" s="14" t="s">
        <v>139</v>
      </c>
      <c r="L470" s="14" t="s">
        <v>140</v>
      </c>
      <c r="M470" s="14" t="s">
        <v>9158</v>
      </c>
      <c r="N470" s="14" t="s">
        <v>9158</v>
      </c>
      <c r="O470" s="19" t="s">
        <v>10082</v>
      </c>
      <c r="P470" s="14" t="s">
        <v>13124</v>
      </c>
      <c r="Q470" s="14">
        <v>1</v>
      </c>
    </row>
    <row r="471" spans="1:17">
      <c r="A471" s="14">
        <v>56443</v>
      </c>
      <c r="B471" s="14" t="s">
        <v>0</v>
      </c>
      <c r="C471" s="14" t="s">
        <v>205</v>
      </c>
      <c r="D471" s="20" t="s">
        <v>10314</v>
      </c>
      <c r="E471" s="15" t="str">
        <f>HYPERLINK("https://stat100.ameba.jp/tnk47/ratio20/illustrations/card/ill_56443_poppukurisumasuizumonokuni03.jpg?202109-i_prefecture_active_userx", "■")</f>
        <v>■</v>
      </c>
      <c r="F471" s="14" t="s">
        <v>1151</v>
      </c>
      <c r="G471" s="14">
        <v>103924</v>
      </c>
      <c r="H471" s="14">
        <v>111776</v>
      </c>
      <c r="I471" s="14">
        <v>29</v>
      </c>
      <c r="J471" s="14" t="s">
        <v>10</v>
      </c>
      <c r="K471" s="14" t="s">
        <v>1152</v>
      </c>
      <c r="L471" s="14" t="s">
        <v>1153</v>
      </c>
      <c r="M471" s="14" t="s">
        <v>9864</v>
      </c>
      <c r="N471" s="14" t="s">
        <v>9158</v>
      </c>
      <c r="O471" s="19" t="s">
        <v>10119</v>
      </c>
      <c r="P471" s="14" t="s">
        <v>3662</v>
      </c>
      <c r="Q471" s="14">
        <v>1</v>
      </c>
    </row>
    <row r="473" spans="1:17">
      <c r="A473" s="14" t="s">
        <v>8239</v>
      </c>
    </row>
    <row r="474" spans="1:17">
      <c r="A474" s="14">
        <v>240288</v>
      </c>
      <c r="B474" s="14" t="s">
        <v>14366</v>
      </c>
    </row>
    <row r="475" spans="1:17">
      <c r="A475" s="14">
        <v>240324</v>
      </c>
      <c r="B475" s="14" t="s">
        <v>18531</v>
      </c>
    </row>
    <row r="476" spans="1:17">
      <c r="A476" s="14" t="s">
        <v>18540</v>
      </c>
      <c r="B476" s="14" t="s">
        <v>117</v>
      </c>
      <c r="C476" s="14" t="s">
        <v>35</v>
      </c>
      <c r="D476" s="14" t="s">
        <v>18539</v>
      </c>
      <c r="E476" s="15" t="str">
        <f>HYPERLINK("https://stat100.ameba.jp/tnk47/ratio20/illustrations/card/ill_200193_0_tenkuromarinsupotsu03.jpg?202109-i_prefecture_active_userx", "■")</f>
        <v>■</v>
      </c>
      <c r="F476" s="14" t="s">
        <v>18538</v>
      </c>
      <c r="G476" s="14">
        <v>469348</v>
      </c>
      <c r="H476" s="14">
        <v>424184</v>
      </c>
      <c r="I476" s="14">
        <v>35</v>
      </c>
      <c r="J476" s="14" t="s">
        <v>38</v>
      </c>
      <c r="K476" s="14" t="s">
        <v>18537</v>
      </c>
      <c r="L476" s="14" t="s">
        <v>18536</v>
      </c>
      <c r="M476" s="14" t="s">
        <v>9158</v>
      </c>
      <c r="N476" s="14" t="s">
        <v>9158</v>
      </c>
      <c r="O476" s="14" t="s">
        <v>9158</v>
      </c>
      <c r="P476" s="14" t="s">
        <v>9158</v>
      </c>
      <c r="Q476" s="14" t="s">
        <v>9158</v>
      </c>
    </row>
    <row r="477" spans="1:17">
      <c r="A477" s="14" t="s">
        <v>17213</v>
      </c>
      <c r="B477" s="14" t="s">
        <v>117</v>
      </c>
      <c r="C477" s="14" t="s">
        <v>35</v>
      </c>
      <c r="D477" s="14" t="s">
        <v>17210</v>
      </c>
      <c r="E477" s="15" t="str">
        <f>HYPERLINK("https://stat100.ameba.jp/tnk47/ratio20/illustrations/card/ill_98173_0_tenkurobekari03.jpg?202109-i_prefecture_active_userx", "■")</f>
        <v>■</v>
      </c>
      <c r="F477" s="14" t="s">
        <v>17363</v>
      </c>
      <c r="G477" s="14">
        <v>423344</v>
      </c>
      <c r="H477" s="14">
        <v>468377</v>
      </c>
      <c r="I477" s="14">
        <v>35</v>
      </c>
      <c r="J477" s="14" t="s">
        <v>104</v>
      </c>
      <c r="K477" s="14" t="s">
        <v>17362</v>
      </c>
      <c r="L477" s="14" t="s">
        <v>17361</v>
      </c>
      <c r="M477" s="14" t="s">
        <v>9158</v>
      </c>
      <c r="N477" s="14" t="s">
        <v>9158</v>
      </c>
      <c r="O477" s="14" t="s">
        <v>9158</v>
      </c>
      <c r="P477" s="14" t="s">
        <v>9158</v>
      </c>
      <c r="Q477" s="14" t="s">
        <v>9158</v>
      </c>
    </row>
    <row r="478" spans="1:17">
      <c r="A478" s="14" t="s">
        <v>17214</v>
      </c>
      <c r="B478" s="14" t="s">
        <v>117</v>
      </c>
      <c r="C478" s="14" t="s">
        <v>35</v>
      </c>
      <c r="D478" s="14" t="s">
        <v>17211</v>
      </c>
      <c r="E478" s="15" t="str">
        <f>HYPERLINK("https://stat100.ameba.jp/tnk47/ratio20/illustrations/card/ill_98863_0_tenkurosamushinguburu03.jpg?202109-i_prefecture_active_userx", "■")</f>
        <v>■</v>
      </c>
      <c r="F478" s="14" t="s">
        <v>17377</v>
      </c>
      <c r="G478" s="14">
        <v>468377</v>
      </c>
      <c r="H478" s="14">
        <v>423344</v>
      </c>
      <c r="I478" s="14">
        <v>35</v>
      </c>
      <c r="J478" s="14" t="s">
        <v>16</v>
      </c>
      <c r="K478" s="14" t="s">
        <v>17376</v>
      </c>
      <c r="L478" s="14" t="s">
        <v>17375</v>
      </c>
      <c r="M478" s="14" t="s">
        <v>9158</v>
      </c>
      <c r="N478" s="14" t="s">
        <v>9158</v>
      </c>
      <c r="O478" s="14" t="s">
        <v>9158</v>
      </c>
      <c r="P478" s="14" t="s">
        <v>9158</v>
      </c>
      <c r="Q478" s="14" t="s">
        <v>9158</v>
      </c>
    </row>
    <row r="479" spans="1:17">
      <c r="A479" s="14" t="s">
        <v>17207</v>
      </c>
      <c r="B479" s="14" t="s">
        <v>117</v>
      </c>
      <c r="C479" s="14" t="s">
        <v>35</v>
      </c>
      <c r="D479" s="14" t="s">
        <v>17208</v>
      </c>
      <c r="E479" s="15" t="str">
        <f>HYPERLINK("https://stat100.ameba.jp/tnk47/ratio20/illustrations/card/ill_99503_0_tenkuroakuariumu03.jpg?202109-i_prefecture_active_userx", "■")</f>
        <v>■</v>
      </c>
      <c r="F479" s="14" t="s">
        <v>17206</v>
      </c>
      <c r="G479" s="14">
        <v>424184</v>
      </c>
      <c r="H479" s="14">
        <v>469348</v>
      </c>
      <c r="I479" s="14">
        <v>35</v>
      </c>
      <c r="J479" s="14" t="s">
        <v>26</v>
      </c>
      <c r="K479" s="14" t="s">
        <v>17205</v>
      </c>
      <c r="L479" s="14" t="s">
        <v>17204</v>
      </c>
      <c r="M479" s="14" t="s">
        <v>9158</v>
      </c>
      <c r="N479" s="14" t="s">
        <v>9158</v>
      </c>
      <c r="O479" s="14" t="s">
        <v>9158</v>
      </c>
      <c r="P479" s="14" t="s">
        <v>9158</v>
      </c>
      <c r="Q479" s="14" t="s">
        <v>9158</v>
      </c>
    </row>
    <row r="480" spans="1:17">
      <c r="A480" s="14" t="s">
        <v>5804</v>
      </c>
      <c r="B480" s="14" t="s">
        <v>52</v>
      </c>
      <c r="C480" s="14" t="s">
        <v>14</v>
      </c>
      <c r="D480" s="19" t="s">
        <v>3195</v>
      </c>
      <c r="E480" s="15" t="str">
        <f>HYPERLINK("https://stat100.ameba.jp/tnk47/ratio20/illustrations/card/ill_75393_0_resukuinotsukisamaniittausagi03.jpg?202109-i_prefecture_active_userx", "■")</f>
        <v>■</v>
      </c>
      <c r="F480" s="14" t="s">
        <v>3248</v>
      </c>
      <c r="G480" s="14">
        <v>250588</v>
      </c>
      <c r="H480" s="14">
        <v>232980</v>
      </c>
      <c r="I480" s="14">
        <v>22</v>
      </c>
      <c r="J480" s="14" t="s">
        <v>26</v>
      </c>
      <c r="K480" s="14" t="s">
        <v>3249</v>
      </c>
      <c r="L480" s="14" t="s">
        <v>3250</v>
      </c>
      <c r="M480" s="14" t="s">
        <v>9158</v>
      </c>
      <c r="N480" s="14" t="s">
        <v>9158</v>
      </c>
      <c r="O480" s="6" t="s">
        <v>10051</v>
      </c>
      <c r="P480" s="14" t="s">
        <v>3251</v>
      </c>
      <c r="Q480" s="14">
        <v>2</v>
      </c>
    </row>
    <row r="481" spans="1:17">
      <c r="A481" s="14">
        <v>88573</v>
      </c>
      <c r="B481" s="14" t="s">
        <v>0</v>
      </c>
      <c r="C481" s="14" t="s">
        <v>185</v>
      </c>
      <c r="D481" s="14" t="s">
        <v>12124</v>
      </c>
      <c r="E481" s="15" t="str">
        <f>HYPERLINK("https://stat100.ameba.jp/tnk47/ratio20/illustrations/card/ill_88573_mukadehime03.jpg?202109-i_prefecture_active_userx", "■")</f>
        <v>■</v>
      </c>
      <c r="F481" s="14" t="s">
        <v>12138</v>
      </c>
      <c r="G481" s="14">
        <v>113154</v>
      </c>
      <c r="H481" s="14">
        <v>121646</v>
      </c>
      <c r="I481" s="14">
        <v>30</v>
      </c>
      <c r="J481" s="14" t="s">
        <v>155</v>
      </c>
      <c r="K481" s="14" t="s">
        <v>12137</v>
      </c>
      <c r="L481" s="14" t="s">
        <v>12136</v>
      </c>
      <c r="M481" s="14" t="s">
        <v>9158</v>
      </c>
      <c r="N481" s="14" t="s">
        <v>9158</v>
      </c>
      <c r="O481" s="14" t="s">
        <v>9158</v>
      </c>
      <c r="P481" s="14" t="s">
        <v>9158</v>
      </c>
      <c r="Q481" s="14" t="s">
        <v>9158</v>
      </c>
    </row>
    <row r="482" spans="1:17">
      <c r="A482" s="14">
        <v>91933</v>
      </c>
      <c r="B482" s="14" t="s">
        <v>0</v>
      </c>
      <c r="C482" s="14" t="s">
        <v>23</v>
      </c>
      <c r="D482" s="14" t="s">
        <v>14788</v>
      </c>
      <c r="E482" s="15" t="str">
        <f>HYPERLINK("https://stat100.ameba.jp/tnk47/ratio20/illustrations/card/ill_91933_gekkomaihimekureburu03.jpg?202109-i_prefecture_active_userx", "■")</f>
        <v>■</v>
      </c>
      <c r="F482" s="14" t="s">
        <v>14787</v>
      </c>
      <c r="G482" s="14">
        <v>178342</v>
      </c>
      <c r="H482" s="14">
        <v>165824</v>
      </c>
      <c r="I482" s="14">
        <v>30</v>
      </c>
      <c r="J482" s="14" t="s">
        <v>73</v>
      </c>
      <c r="K482" s="14" t="s">
        <v>14790</v>
      </c>
      <c r="L482" s="14" t="s">
        <v>13766</v>
      </c>
      <c r="M482" s="14" t="s">
        <v>9158</v>
      </c>
      <c r="N482" s="14" t="s">
        <v>9158</v>
      </c>
      <c r="O482" s="14" t="s">
        <v>9158</v>
      </c>
      <c r="P482" s="14" t="s">
        <v>9158</v>
      </c>
      <c r="Q482" s="14" t="s">
        <v>9158</v>
      </c>
    </row>
    <row r="483" spans="1:17">
      <c r="A483" s="14">
        <v>90563</v>
      </c>
      <c r="B483" s="14" t="s">
        <v>0</v>
      </c>
      <c r="C483" s="14" t="s">
        <v>101</v>
      </c>
      <c r="D483" s="14" t="s">
        <v>14195</v>
      </c>
      <c r="E483" s="15" t="str">
        <f>HYPERLINK("https://stat100.ameba.jp/tnk47/ratio20/illustrations/card/ill_90563_jinro03.jpg?202109-i_prefecture_active_userx", "■")</f>
        <v>■</v>
      </c>
      <c r="F483" s="14" t="s">
        <v>14194</v>
      </c>
      <c r="G483" s="14">
        <v>178342</v>
      </c>
      <c r="H483" s="14">
        <v>165824</v>
      </c>
      <c r="I483" s="14">
        <v>30</v>
      </c>
      <c r="J483" s="14" t="s">
        <v>73</v>
      </c>
      <c r="K483" s="14" t="s">
        <v>14193</v>
      </c>
      <c r="L483" s="14" t="s">
        <v>13766</v>
      </c>
      <c r="M483" s="14" t="s">
        <v>9158</v>
      </c>
      <c r="N483" s="14" t="s">
        <v>9158</v>
      </c>
      <c r="O483" s="14" t="s">
        <v>9158</v>
      </c>
      <c r="P483" s="14" t="s">
        <v>9158</v>
      </c>
      <c r="Q483" s="14" t="s">
        <v>9158</v>
      </c>
    </row>
    <row r="484" spans="1:17">
      <c r="A484" s="14">
        <v>95883</v>
      </c>
      <c r="B484" s="14" t="s">
        <v>0</v>
      </c>
      <c r="C484" s="14" t="s">
        <v>96</v>
      </c>
      <c r="D484" s="14" t="s">
        <v>16261</v>
      </c>
      <c r="E484" s="15" t="str">
        <f>HYPERLINK("https://stat100.ameba.jp/tnk47/ratio20/illustrations/card/ill_95883_suitorami03.jpg?202109-i_prefecture_active_userx", "■")</f>
        <v>■</v>
      </c>
      <c r="F484" s="14" t="s">
        <v>16260</v>
      </c>
      <c r="G484" s="14">
        <v>117182</v>
      </c>
      <c r="H484" s="14">
        <v>108912</v>
      </c>
      <c r="I484" s="14">
        <v>30</v>
      </c>
      <c r="J484" s="14" t="s">
        <v>77</v>
      </c>
      <c r="K484" s="14" t="s">
        <v>16259</v>
      </c>
      <c r="L484" s="14" t="s">
        <v>13491</v>
      </c>
      <c r="M484" s="14" t="s">
        <v>9158</v>
      </c>
      <c r="N484" s="14" t="s">
        <v>9158</v>
      </c>
      <c r="O484" s="14" t="s">
        <v>9158</v>
      </c>
      <c r="P484" s="14" t="s">
        <v>9158</v>
      </c>
      <c r="Q484" s="14" t="s">
        <v>9158</v>
      </c>
    </row>
    <row r="485" spans="1:17">
      <c r="A485" s="14">
        <v>94473</v>
      </c>
      <c r="B485" s="14" t="s">
        <v>0</v>
      </c>
      <c r="C485" s="14" t="s">
        <v>1</v>
      </c>
      <c r="D485" s="14" t="s">
        <v>16365</v>
      </c>
      <c r="E485" s="15" t="str">
        <f>HYPERLINK("https://stat100.ameba.jp/tnk47/ratio20/illustrations/card/ill_94473_majonodeshierito03.jpg?202109-i_prefecture_active_userx", "■")</f>
        <v>■</v>
      </c>
      <c r="F485" s="14" t="s">
        <v>16364</v>
      </c>
      <c r="G485" s="14">
        <v>113154</v>
      </c>
      <c r="H485" s="14">
        <v>121646</v>
      </c>
      <c r="I485" s="14">
        <v>30</v>
      </c>
      <c r="J485" s="14" t="s">
        <v>16</v>
      </c>
      <c r="K485" s="14" t="s">
        <v>16363</v>
      </c>
      <c r="L485" s="14" t="s">
        <v>16362</v>
      </c>
      <c r="M485" s="14" t="s">
        <v>9158</v>
      </c>
      <c r="N485" s="14" t="s">
        <v>9158</v>
      </c>
      <c r="O485" s="14" t="s">
        <v>9158</v>
      </c>
      <c r="P485" s="14" t="s">
        <v>9158</v>
      </c>
      <c r="Q485" s="14" t="s">
        <v>9158</v>
      </c>
    </row>
    <row r="486" spans="1:17">
      <c r="A486" s="14">
        <v>92583</v>
      </c>
      <c r="B486" s="14" t="s">
        <v>0</v>
      </c>
      <c r="C486" s="14" t="s">
        <v>107</v>
      </c>
      <c r="D486" s="14" t="s">
        <v>15122</v>
      </c>
      <c r="E486" s="15" t="str">
        <f>HYPERLINK("https://stat100.ameba.jp/tnk47/ratio20/illustrations/card/ill_92583_daichinomegumisuoro03.jpg?202109-i_prefecture_active_userx", "■")</f>
        <v>■</v>
      </c>
      <c r="F486" s="14" t="s">
        <v>15121</v>
      </c>
      <c r="G486" s="14">
        <v>117182</v>
      </c>
      <c r="H486" s="14">
        <v>108912</v>
      </c>
      <c r="I486" s="14">
        <v>30</v>
      </c>
      <c r="J486" s="14" t="s">
        <v>44</v>
      </c>
      <c r="K486" s="14" t="s">
        <v>15119</v>
      </c>
      <c r="L486" s="14" t="s">
        <v>14651</v>
      </c>
      <c r="M486" s="14" t="s">
        <v>9158</v>
      </c>
      <c r="N486" s="14" t="s">
        <v>9158</v>
      </c>
      <c r="O486" s="14" t="s">
        <v>9158</v>
      </c>
      <c r="P486" s="14" t="s">
        <v>9158</v>
      </c>
      <c r="Q486" s="14" t="s">
        <v>9158</v>
      </c>
    </row>
    <row r="560" spans="1:1">
      <c r="A560" s="14" t="s">
        <v>17691</v>
      </c>
    </row>
    <row r="561" spans="1:17">
      <c r="A561" s="14">
        <v>240353</v>
      </c>
      <c r="B561" s="14" t="s">
        <v>6482</v>
      </c>
    </row>
    <row r="562" spans="1:17">
      <c r="A562" s="14">
        <v>240359</v>
      </c>
      <c r="B562" s="14" t="s">
        <v>7656</v>
      </c>
    </row>
    <row r="563" spans="1:17">
      <c r="A563" s="14" t="s">
        <v>17555</v>
      </c>
      <c r="B563" s="14" t="s">
        <v>52</v>
      </c>
      <c r="C563" s="14" t="s">
        <v>35</v>
      </c>
      <c r="D563" s="14" t="s">
        <v>17554</v>
      </c>
      <c r="E563" s="15" t="str">
        <f>HYPERLINK("https://stat100.ameba.jp/tnk47/ratio20/illustrations/card/ill_99723_0_natsuyomatsurisuzaku03.jpg?202109-i_prefecture_active_userx", "■")</f>
        <v>■</v>
      </c>
      <c r="F563" s="14" t="s">
        <v>17553</v>
      </c>
      <c r="G563" s="14">
        <v>336944</v>
      </c>
      <c r="H563" s="14">
        <v>275684</v>
      </c>
      <c r="I563" s="14">
        <v>30</v>
      </c>
      <c r="J563" s="14" t="s">
        <v>44</v>
      </c>
      <c r="K563" s="14" t="s">
        <v>17552</v>
      </c>
      <c r="L563" s="14" t="s">
        <v>17551</v>
      </c>
      <c r="M563" s="14" t="s">
        <v>9158</v>
      </c>
      <c r="N563" s="14" t="s">
        <v>9158</v>
      </c>
      <c r="O563" s="14" t="s">
        <v>17550</v>
      </c>
      <c r="P563" s="14" t="s">
        <v>17549</v>
      </c>
      <c r="Q563" s="14">
        <v>1</v>
      </c>
    </row>
    <row r="564" spans="1:17">
      <c r="A564" s="14">
        <v>200143</v>
      </c>
      <c r="B564" s="14" t="s">
        <v>0</v>
      </c>
      <c r="C564" s="14" t="s">
        <v>101</v>
      </c>
      <c r="D564" s="14" t="s">
        <v>17681</v>
      </c>
      <c r="E564" s="15" t="str">
        <f>HYPERLINK("https://stat100.ameba.jp/tnk47/ratio20/illustrations/card/ill_200143_bakansurionetta03.jpg?202109-i_prefecture_active_userx", "■")</f>
        <v>■</v>
      </c>
      <c r="F564" s="14" t="s">
        <v>17680</v>
      </c>
      <c r="G564" s="14">
        <v>136668</v>
      </c>
      <c r="H564" s="14">
        <v>127070</v>
      </c>
      <c r="I564" s="14">
        <v>30</v>
      </c>
      <c r="J564" s="14" t="s">
        <v>77</v>
      </c>
      <c r="K564" s="14" t="s">
        <v>17679</v>
      </c>
      <c r="L564" s="14" t="s">
        <v>15809</v>
      </c>
      <c r="M564" s="14" t="s">
        <v>9158</v>
      </c>
      <c r="N564" s="14" t="s">
        <v>9158</v>
      </c>
      <c r="O564" s="14" t="s">
        <v>9158</v>
      </c>
      <c r="P564" s="14" t="s">
        <v>9158</v>
      </c>
      <c r="Q564" s="14" t="s">
        <v>9158</v>
      </c>
    </row>
    <row r="565" spans="1:17">
      <c r="A565" s="14">
        <v>200153</v>
      </c>
      <c r="B565" s="14" t="s">
        <v>0</v>
      </c>
      <c r="C565" s="14" t="s">
        <v>96</v>
      </c>
      <c r="D565" s="14" t="s">
        <v>17694</v>
      </c>
      <c r="E565" s="15" t="str">
        <f>HYPERLINK("https://stat100.ameba.jp/tnk47/ratio20/illustrations/card/ill_200153_fuisshingukoshikibunonaishi03.jpg?202109-i_prefecture_active_userx", "■")</f>
        <v>■</v>
      </c>
      <c r="F565" s="14" t="s">
        <v>17693</v>
      </c>
      <c r="G565" s="14">
        <v>178342</v>
      </c>
      <c r="H565" s="14">
        <v>165824</v>
      </c>
      <c r="I565" s="14">
        <v>30</v>
      </c>
      <c r="J565" s="14" t="s">
        <v>16</v>
      </c>
      <c r="K565" s="14" t="s">
        <v>5663</v>
      </c>
      <c r="L565" s="14" t="s">
        <v>17692</v>
      </c>
      <c r="M565" s="14" t="s">
        <v>9158</v>
      </c>
      <c r="N565" s="14" t="s">
        <v>9158</v>
      </c>
      <c r="O565" s="14" t="s">
        <v>9158</v>
      </c>
      <c r="P565" s="14" t="s">
        <v>9158</v>
      </c>
      <c r="Q565" s="14" t="s">
        <v>9158</v>
      </c>
    </row>
    <row r="566" spans="1:17">
      <c r="A566" s="14">
        <v>200163</v>
      </c>
      <c r="B566" s="14" t="s">
        <v>15</v>
      </c>
      <c r="C566" s="14" t="s">
        <v>23</v>
      </c>
      <c r="D566" s="14" t="s">
        <v>17684</v>
      </c>
      <c r="E566" s="15" t="str">
        <f>HYPERLINK("https://stat100.ameba.jp/tnk47/ratio20/illustrations/card/ill_200163_fukagawamatsuri03.jpg?202109-i_prefecture_active_userx", "■")</f>
        <v>■</v>
      </c>
      <c r="F566" s="14" t="s">
        <v>17683</v>
      </c>
      <c r="G566" s="14">
        <v>80652</v>
      </c>
      <c r="H566" s="14">
        <v>88920</v>
      </c>
      <c r="I566" s="14">
        <v>30</v>
      </c>
      <c r="J566" s="14" t="s">
        <v>26</v>
      </c>
      <c r="K566" s="14" t="s">
        <v>17682</v>
      </c>
      <c r="L566" s="14" t="s">
        <v>977</v>
      </c>
      <c r="M566" s="14" t="s">
        <v>9158</v>
      </c>
      <c r="N566" s="14" t="s">
        <v>9158</v>
      </c>
      <c r="O566" s="14" t="s">
        <v>9158</v>
      </c>
      <c r="P566" s="14" t="s">
        <v>9158</v>
      </c>
      <c r="Q566" s="14" t="s">
        <v>9158</v>
      </c>
    </row>
    <row r="567" spans="1:17">
      <c r="A567" s="14">
        <v>200173</v>
      </c>
      <c r="B567" s="14" t="s">
        <v>22</v>
      </c>
      <c r="C567" s="14" t="s">
        <v>1</v>
      </c>
      <c r="D567" s="14" t="s">
        <v>17687</v>
      </c>
      <c r="E567" s="15" t="str">
        <f>HYPERLINK("https://stat100.ameba.jp/tnk47/ratio20/illustrations/card/ill_200173_umibirakiakiyamasaneyuki03.jpg?202109-i_prefecture_active_userx", "■")</f>
        <v>■</v>
      </c>
      <c r="F567" s="14" t="s">
        <v>17686</v>
      </c>
      <c r="G567" s="14">
        <v>62376</v>
      </c>
      <c r="H567" s="14">
        <v>51864</v>
      </c>
      <c r="I567" s="14">
        <v>30</v>
      </c>
      <c r="J567" s="14" t="s">
        <v>143</v>
      </c>
      <c r="K567" s="14" t="s">
        <v>17685</v>
      </c>
      <c r="L567" s="14" t="s">
        <v>4461</v>
      </c>
      <c r="M567" s="14" t="s">
        <v>9158</v>
      </c>
      <c r="N567" s="14" t="s">
        <v>9158</v>
      </c>
      <c r="O567" s="14" t="s">
        <v>9158</v>
      </c>
      <c r="P567" s="14" t="s">
        <v>9158</v>
      </c>
      <c r="Q567" s="14" t="s">
        <v>9158</v>
      </c>
    </row>
    <row r="568" spans="1:17">
      <c r="A568" s="14">
        <v>200183</v>
      </c>
      <c r="B568" s="14" t="s">
        <v>22</v>
      </c>
      <c r="C568" s="14" t="s">
        <v>107</v>
      </c>
      <c r="D568" s="14" t="s">
        <v>17690</v>
      </c>
      <c r="E568" s="15" t="str">
        <f>HYPERLINK("https://stat100.ameba.jp/tnk47/ratio20/illustrations/card/ill_200183_moaichan03.jpg?202109-i_prefecture_active_userx", "■")</f>
        <v>■</v>
      </c>
      <c r="F568" s="14" t="s">
        <v>17689</v>
      </c>
      <c r="G568" s="14">
        <v>51864</v>
      </c>
      <c r="H568" s="14">
        <v>62376</v>
      </c>
      <c r="I568" s="14">
        <v>30</v>
      </c>
      <c r="J568" s="14" t="s">
        <v>26</v>
      </c>
      <c r="K568" s="14" t="s">
        <v>17688</v>
      </c>
      <c r="L568" s="14" t="s">
        <v>28</v>
      </c>
      <c r="M568" s="14" t="s">
        <v>9158</v>
      </c>
      <c r="N568" s="14" t="s">
        <v>9158</v>
      </c>
      <c r="O568" s="14" t="s">
        <v>9158</v>
      </c>
      <c r="P568" s="14" t="s">
        <v>9158</v>
      </c>
      <c r="Q568" s="14" t="s">
        <v>9158</v>
      </c>
    </row>
    <row r="570" spans="1:17">
      <c r="A570" s="14" t="s">
        <v>3844</v>
      </c>
    </row>
    <row r="571" spans="1:17">
      <c r="A571" s="14">
        <v>111220</v>
      </c>
      <c r="B571" s="14" t="s">
        <v>6493</v>
      </c>
    </row>
    <row r="572" spans="1:17">
      <c r="A572" s="14" t="s">
        <v>13086</v>
      </c>
      <c r="B572" s="7" t="s">
        <v>52</v>
      </c>
      <c r="C572" s="14" t="s">
        <v>202</v>
      </c>
      <c r="D572" s="18" t="s">
        <v>13084</v>
      </c>
      <c r="E572" s="15" t="str">
        <f>HYPERLINK("https://stat100.ameba.jp/tnk47/ratio20/illustrations/card/ill_89703_0_jumburaidohimiko03.jpg?202109-i_prefecture_active_userx", "■")</f>
        <v>■</v>
      </c>
      <c r="F572" s="14" t="s">
        <v>13085</v>
      </c>
      <c r="G572" s="14">
        <v>344095</v>
      </c>
      <c r="H572" s="14">
        <v>281517</v>
      </c>
      <c r="I572" s="7">
        <v>27</v>
      </c>
      <c r="J572" s="14" t="s">
        <v>10</v>
      </c>
      <c r="K572" s="14" t="s">
        <v>13087</v>
      </c>
      <c r="L572" s="14" t="s">
        <v>12016</v>
      </c>
      <c r="M572" s="14" t="s">
        <v>9158</v>
      </c>
      <c r="N572" s="14" t="s">
        <v>9158</v>
      </c>
      <c r="O572" s="6" t="s">
        <v>13088</v>
      </c>
      <c r="P572" s="7" t="s">
        <v>13089</v>
      </c>
      <c r="Q572" s="7">
        <v>1</v>
      </c>
    </row>
    <row r="573" spans="1:17">
      <c r="A573" s="14">
        <v>84863</v>
      </c>
      <c r="B573" s="14" t="s">
        <v>0</v>
      </c>
      <c r="C573" s="14" t="s">
        <v>200</v>
      </c>
      <c r="D573" s="19" t="s">
        <v>10742</v>
      </c>
      <c r="E573" s="15" t="str">
        <f>HYPERLINK("https://stat100.ameba.jp/tnk47/ratio20/illustrations/card/ill_84863_onsengaiarisubekon03.jpg?202109-i_prefecture_active_userx", "■")</f>
        <v>■</v>
      </c>
      <c r="F573" s="14" t="s">
        <v>7796</v>
      </c>
      <c r="G573" s="14">
        <v>117591</v>
      </c>
      <c r="H573" s="14">
        <v>109381</v>
      </c>
      <c r="I573" s="9">
        <v>29</v>
      </c>
      <c r="J573" s="14" t="s">
        <v>159</v>
      </c>
      <c r="K573" s="14" t="s">
        <v>7795</v>
      </c>
      <c r="L573" s="14" t="s">
        <v>7794</v>
      </c>
      <c r="M573" s="14" t="s">
        <v>9158</v>
      </c>
      <c r="N573" s="14" t="s">
        <v>9158</v>
      </c>
      <c r="O573" s="19" t="s">
        <v>2951</v>
      </c>
      <c r="P573" s="14" t="s">
        <v>13122</v>
      </c>
      <c r="Q573" s="14">
        <v>1</v>
      </c>
    </row>
    <row r="574" spans="1:17">
      <c r="A574" s="9">
        <v>56183</v>
      </c>
      <c r="B574" s="14" t="s">
        <v>0</v>
      </c>
      <c r="C574" s="14" t="s">
        <v>191</v>
      </c>
      <c r="D574" s="14" t="s">
        <v>2024</v>
      </c>
      <c r="E574" s="15" t="str">
        <f>HYPERLINK("https://stat100.ameba.jp/tnk47/ratio20/illustrations/card/ill_56183_onsempanikkukoteipenginchan03.jpg?202109-i_prefecture_active_userx", "■")</f>
        <v>■</v>
      </c>
      <c r="F574" s="14" t="s">
        <v>2025</v>
      </c>
      <c r="G574" s="14">
        <v>111776</v>
      </c>
      <c r="H574" s="14">
        <v>103924</v>
      </c>
      <c r="I574" s="14">
        <v>29</v>
      </c>
      <c r="J574" s="14" t="s">
        <v>229</v>
      </c>
      <c r="K574" s="14" t="s">
        <v>2026</v>
      </c>
      <c r="L574" s="14" t="s">
        <v>13170</v>
      </c>
      <c r="M574" s="14" t="s">
        <v>9158</v>
      </c>
      <c r="N574" s="14" t="s">
        <v>9158</v>
      </c>
      <c r="O574" s="9" t="s">
        <v>3894</v>
      </c>
      <c r="P574" s="14" t="s">
        <v>3895</v>
      </c>
      <c r="Q574" s="14">
        <v>1</v>
      </c>
    </row>
    <row r="575" spans="1:17">
      <c r="A575" s="14">
        <v>88323</v>
      </c>
      <c r="B575" s="14" t="s">
        <v>0</v>
      </c>
      <c r="C575" s="14" t="s">
        <v>205</v>
      </c>
      <c r="D575" s="18" t="s">
        <v>12019</v>
      </c>
      <c r="E575" s="15" t="str">
        <f>HYPERLINK("https://stat100.ameba.jp/tnk47/ratio20/illustrations/card/ill_88323_hanamibakedanuki03.jpg?202109-i_prefecture_active_userx", "■")</f>
        <v>■</v>
      </c>
      <c r="F575" s="14" t="s">
        <v>12020</v>
      </c>
      <c r="G575" s="14">
        <v>112369</v>
      </c>
      <c r="H575" s="14">
        <v>120830</v>
      </c>
      <c r="I575" s="9">
        <v>29</v>
      </c>
      <c r="J575" s="14" t="s">
        <v>73</v>
      </c>
      <c r="K575" s="14" t="s">
        <v>12021</v>
      </c>
      <c r="L575" s="14" t="s">
        <v>12022</v>
      </c>
      <c r="M575" s="14" t="s">
        <v>9158</v>
      </c>
      <c r="N575" s="14" t="s">
        <v>9158</v>
      </c>
      <c r="O575" s="6" t="s">
        <v>10064</v>
      </c>
      <c r="P575" s="7" t="s">
        <v>13150</v>
      </c>
      <c r="Q575" s="7">
        <v>1</v>
      </c>
    </row>
    <row r="577" spans="1:17">
      <c r="A577" s="14" t="s">
        <v>3785</v>
      </c>
    </row>
    <row r="578" spans="1:17">
      <c r="A578" s="14">
        <v>240385</v>
      </c>
      <c r="B578" s="14" t="s">
        <v>17695</v>
      </c>
    </row>
    <row r="579" spans="1:17">
      <c r="A579" s="14" t="s">
        <v>5601</v>
      </c>
      <c r="B579" s="14" t="s">
        <v>330</v>
      </c>
      <c r="C579" s="14" t="s">
        <v>35</v>
      </c>
      <c r="D579" s="20" t="s">
        <v>10318</v>
      </c>
      <c r="E579" s="15" t="str">
        <f>HYPERLINK("https://stat100.ameba.jp/tnk47/ratio20/illustrations/card/ill_82423_0_bikinigarukishi03.jpg?202109-i_prefecture_active_userx", "■")</f>
        <v>■</v>
      </c>
      <c r="F579" s="14" t="s">
        <v>5391</v>
      </c>
      <c r="G579" s="14">
        <v>266382</v>
      </c>
      <c r="H579" s="14">
        <v>240760</v>
      </c>
      <c r="I579" s="14">
        <v>22</v>
      </c>
      <c r="J579" s="14" t="s">
        <v>77</v>
      </c>
      <c r="K579" s="14" t="s">
        <v>5392</v>
      </c>
      <c r="L579" s="14" t="s">
        <v>5393</v>
      </c>
      <c r="M579" s="14" t="s">
        <v>9158</v>
      </c>
      <c r="N579" s="14" t="s">
        <v>9158</v>
      </c>
      <c r="O579" s="19" t="s">
        <v>10069</v>
      </c>
      <c r="P579" s="14" t="s">
        <v>5394</v>
      </c>
      <c r="Q579" s="14">
        <v>1</v>
      </c>
    </row>
    <row r="580" spans="1:17">
      <c r="A580" s="14" t="s">
        <v>5822</v>
      </c>
      <c r="B580" s="14" t="s">
        <v>330</v>
      </c>
      <c r="C580" s="14" t="s">
        <v>307</v>
      </c>
      <c r="D580" s="19" t="s">
        <v>306</v>
      </c>
      <c r="E580" s="15" t="str">
        <f>HYPERLINK("https://stat100.ameba.jp/tnk47/ratio20/illustrations/card/ill_71403_0_ohanamisanadayukimura03.jpg?202109-i_prefecture_active_userx", "■")</f>
        <v>■</v>
      </c>
      <c r="F580" s="14" t="s">
        <v>309</v>
      </c>
      <c r="G580" s="14">
        <v>205358</v>
      </c>
      <c r="H580" s="14">
        <v>190952</v>
      </c>
      <c r="I580" s="14">
        <v>22</v>
      </c>
      <c r="J580" s="14" t="s">
        <v>310</v>
      </c>
      <c r="K580" s="14" t="s">
        <v>311</v>
      </c>
      <c r="L580" s="14" t="s">
        <v>312</v>
      </c>
      <c r="M580" s="14" t="s">
        <v>9158</v>
      </c>
      <c r="N580" s="14" t="s">
        <v>9158</v>
      </c>
      <c r="O580" s="6" t="s">
        <v>10060</v>
      </c>
      <c r="P580" s="14" t="s">
        <v>3418</v>
      </c>
      <c r="Q580" s="14">
        <v>2</v>
      </c>
    </row>
    <row r="581" spans="1:17">
      <c r="A581" s="14" t="s">
        <v>5608</v>
      </c>
      <c r="B581" s="14" t="s">
        <v>52</v>
      </c>
      <c r="C581" s="14" t="s">
        <v>96</v>
      </c>
      <c r="D581" s="20" t="s">
        <v>634</v>
      </c>
      <c r="E581" s="15" t="str">
        <f>HYPERLINK("https://stat100.ameba.jp/tnk47/ratio20/illustrations/card/ill_40963_0_makami03.jpg?202109-i_prefecture_active_userx", "■")</f>
        <v>■</v>
      </c>
      <c r="F581" s="14" t="s">
        <v>2038</v>
      </c>
      <c r="G581" s="14">
        <v>128744</v>
      </c>
      <c r="H581" s="14">
        <v>120576</v>
      </c>
      <c r="I581" s="14">
        <v>22</v>
      </c>
      <c r="J581" s="14" t="s">
        <v>44</v>
      </c>
      <c r="K581" s="14" t="s">
        <v>2039</v>
      </c>
      <c r="L581" s="14" t="s">
        <v>2040</v>
      </c>
      <c r="M581" s="14" t="s">
        <v>9158</v>
      </c>
      <c r="N581" s="14" t="s">
        <v>9158</v>
      </c>
      <c r="O581" s="14" t="s">
        <v>9158</v>
      </c>
      <c r="P581" s="14" t="s">
        <v>9158</v>
      </c>
      <c r="Q581" s="14" t="s">
        <v>9158</v>
      </c>
    </row>
    <row r="582" spans="1:17">
      <c r="A582" s="14">
        <v>96703</v>
      </c>
      <c r="B582" s="14" t="s">
        <v>0</v>
      </c>
      <c r="C582" s="14" t="s">
        <v>1</v>
      </c>
      <c r="D582" s="14" t="s">
        <v>16912</v>
      </c>
      <c r="E582" s="15" t="str">
        <f>HYPERLINK("https://stat100.ameba.jp/tnk47/ratio20/illustrations/card/ill_96703_teienhatonokuin03.jpg?202109-i_prefecture_active_userx", "■")</f>
        <v>■</v>
      </c>
      <c r="F582" s="14" t="s">
        <v>16911</v>
      </c>
      <c r="G582" s="14">
        <v>151116</v>
      </c>
      <c r="H582" s="14">
        <v>85014</v>
      </c>
      <c r="I582" s="14">
        <v>30</v>
      </c>
      <c r="J582" s="14" t="s">
        <v>38</v>
      </c>
      <c r="K582" s="14" t="s">
        <v>16910</v>
      </c>
      <c r="L582" s="14" t="s">
        <v>12998</v>
      </c>
      <c r="M582" s="14" t="s">
        <v>9158</v>
      </c>
      <c r="N582" s="14" t="s">
        <v>9158</v>
      </c>
      <c r="O582" s="14" t="s">
        <v>9158</v>
      </c>
      <c r="P582" s="14" t="s">
        <v>9158</v>
      </c>
      <c r="Q582" s="14" t="s">
        <v>9158</v>
      </c>
    </row>
    <row r="583" spans="1:17">
      <c r="A583" s="14">
        <v>91383</v>
      </c>
      <c r="B583" s="14" t="s">
        <v>334</v>
      </c>
      <c r="C583" s="14" t="s">
        <v>14</v>
      </c>
      <c r="D583" s="14" t="s">
        <v>14132</v>
      </c>
      <c r="E583" s="15" t="str">
        <f>HYPERLINK("https://stat100.ameba.jp/tnk47/ratio20/illustrations/card/ill_91383_ganga03.jpg?202109-i_prefecture_active_userx", "■")</f>
        <v>■</v>
      </c>
      <c r="F583" s="14" t="s">
        <v>14134</v>
      </c>
      <c r="G583" s="14">
        <v>144684</v>
      </c>
      <c r="H583" s="14">
        <v>81410</v>
      </c>
      <c r="I583" s="14">
        <v>30</v>
      </c>
      <c r="J583" s="14" t="s">
        <v>10</v>
      </c>
      <c r="K583" s="14" t="s">
        <v>14136</v>
      </c>
      <c r="L583" s="14" t="s">
        <v>12648</v>
      </c>
      <c r="M583" s="14" t="s">
        <v>9158</v>
      </c>
      <c r="N583" s="14" t="s">
        <v>9158</v>
      </c>
      <c r="O583" s="14" t="s">
        <v>9158</v>
      </c>
      <c r="P583" s="14" t="s">
        <v>9158</v>
      </c>
      <c r="Q583" s="14" t="s">
        <v>9158</v>
      </c>
    </row>
    <row r="584" spans="1:17">
      <c r="A584" s="14">
        <v>92713</v>
      </c>
      <c r="B584" s="14" t="s">
        <v>0</v>
      </c>
      <c r="C584" s="14" t="s">
        <v>101</v>
      </c>
      <c r="D584" s="14" t="s">
        <v>15378</v>
      </c>
      <c r="E584" s="15" t="str">
        <f>HYPERLINK("https://stat100.ameba.jp/tnk47/ratio20/illustrations/card/ill_92713_doragonraidazona03.jpg?202109-i_prefecture_active_userx", "■")</f>
        <v>■</v>
      </c>
      <c r="F584" s="14" t="s">
        <v>15377</v>
      </c>
      <c r="G584" s="14">
        <v>168764</v>
      </c>
      <c r="H584" s="14">
        <v>94974</v>
      </c>
      <c r="I584" s="14">
        <v>30</v>
      </c>
      <c r="J584" s="14" t="s">
        <v>38</v>
      </c>
      <c r="K584" s="14" t="s">
        <v>15376</v>
      </c>
      <c r="L584" s="14" t="s">
        <v>68</v>
      </c>
      <c r="M584" s="14" t="s">
        <v>9158</v>
      </c>
      <c r="N584" s="14" t="s">
        <v>9158</v>
      </c>
      <c r="O584" s="14" t="s">
        <v>9158</v>
      </c>
      <c r="P584" s="14" t="s">
        <v>9158</v>
      </c>
      <c r="Q584" s="14" t="s">
        <v>9158</v>
      </c>
    </row>
    <row r="586" spans="1:17">
      <c r="A586" s="14" t="s">
        <v>4065</v>
      </c>
    </row>
    <row r="587" spans="1:17">
      <c r="A587" s="14">
        <v>111223</v>
      </c>
      <c r="B587" s="14" t="s">
        <v>6507</v>
      </c>
    </row>
    <row r="588" spans="1:17">
      <c r="A588" s="14" t="s">
        <v>12532</v>
      </c>
      <c r="B588" s="7" t="s">
        <v>52</v>
      </c>
      <c r="C588" s="14" t="s">
        <v>202</v>
      </c>
      <c r="D588" s="18" t="s">
        <v>12528</v>
      </c>
      <c r="E588" s="15" t="str">
        <f>HYPERLINK("https://stat100.ameba.jp/tnk47/ratio20/illustrations/card/ill_89073_0_efuwanresuyokohamaserachan03.jpg?202109-5-RELEASE-marathon-551", "■")</f>
        <v>■</v>
      </c>
      <c r="F588" s="14" t="s">
        <v>12529</v>
      </c>
      <c r="G588" s="14">
        <v>318998</v>
      </c>
      <c r="H588" s="14">
        <v>352956</v>
      </c>
      <c r="I588" s="7">
        <v>29</v>
      </c>
      <c r="J588" s="14" t="s">
        <v>229</v>
      </c>
      <c r="K588" s="14" t="s">
        <v>12530</v>
      </c>
      <c r="L588" s="14" t="s">
        <v>12531</v>
      </c>
      <c r="M588" s="14" t="s">
        <v>9158</v>
      </c>
      <c r="N588" s="14" t="s">
        <v>9158</v>
      </c>
      <c r="O588" s="6" t="s">
        <v>12533</v>
      </c>
      <c r="P588" s="7" t="s">
        <v>12534</v>
      </c>
      <c r="Q588" s="7">
        <v>1</v>
      </c>
    </row>
    <row r="589" spans="1:17">
      <c r="A589" s="14">
        <v>76243</v>
      </c>
      <c r="B589" s="14" t="s">
        <v>334</v>
      </c>
      <c r="C589" s="14" t="s">
        <v>335</v>
      </c>
      <c r="D589" s="20" t="s">
        <v>10263</v>
      </c>
      <c r="E589" s="15" t="str">
        <f>HYPERLINK("https://stat100.ameba.jp/tnk47/ratio20/illustrations/card/ill_76243_haroinkaraguchinihonshuchan03.jpg?202109-5-RELEASE-marathon-551", "■")</f>
        <v>■</v>
      </c>
      <c r="F589" s="14" t="s">
        <v>336</v>
      </c>
      <c r="G589" s="14">
        <v>127507</v>
      </c>
      <c r="H589" s="14">
        <v>118568</v>
      </c>
      <c r="I589" s="14">
        <v>27</v>
      </c>
      <c r="J589" s="14" t="s">
        <v>283</v>
      </c>
      <c r="K589" s="14" t="s">
        <v>337</v>
      </c>
      <c r="L589" s="14" t="s">
        <v>338</v>
      </c>
      <c r="M589" s="14" t="s">
        <v>9158</v>
      </c>
      <c r="N589" s="14" t="s">
        <v>9158</v>
      </c>
      <c r="O589" s="19" t="s">
        <v>10090</v>
      </c>
      <c r="P589" s="14" t="s">
        <v>3561</v>
      </c>
      <c r="Q589" s="14">
        <v>1</v>
      </c>
    </row>
    <row r="590" spans="1:17">
      <c r="A590" s="14">
        <v>93623</v>
      </c>
      <c r="B590" s="14" t="s">
        <v>0</v>
      </c>
      <c r="C590" s="14" t="s">
        <v>23</v>
      </c>
      <c r="D590" s="18" t="s">
        <v>15449</v>
      </c>
      <c r="E590" s="15" t="str">
        <f>HYPERLINK("https://stat100.ameba.jp/tnk47/ratio20/illustrations/card/ill_93623_yukemurionsennakajimautako03.jpg?202109-5-RELEASE-marathon-551", "■")</f>
        <v>■</v>
      </c>
      <c r="F590" s="14" t="s">
        <v>15448</v>
      </c>
      <c r="G590" s="14">
        <v>105465</v>
      </c>
      <c r="H590" s="14">
        <v>98019</v>
      </c>
      <c r="I590" s="14">
        <v>27</v>
      </c>
      <c r="J590" s="14" t="s">
        <v>10</v>
      </c>
      <c r="K590" s="14" t="s">
        <v>15447</v>
      </c>
      <c r="L590" s="14" t="s">
        <v>2645</v>
      </c>
      <c r="M590" s="14" t="s">
        <v>9158</v>
      </c>
      <c r="N590" s="14" t="s">
        <v>9158</v>
      </c>
      <c r="O590" s="6" t="s">
        <v>3578</v>
      </c>
      <c r="P590" s="7" t="s">
        <v>3579</v>
      </c>
      <c r="Q590" s="7">
        <v>1</v>
      </c>
    </row>
    <row r="591" spans="1:17">
      <c r="A591" s="14">
        <v>94973</v>
      </c>
      <c r="B591" s="14" t="s">
        <v>0</v>
      </c>
      <c r="C591" s="14" t="s">
        <v>107</v>
      </c>
      <c r="D591" s="18" t="s">
        <v>15868</v>
      </c>
      <c r="E591" s="15" t="str">
        <f>HYPERLINK("https://stat100.ameba.jp/tnk47/ratio20/illustrations/card/ill_94973_shinshunnisennijuichimiyamotomusashi03.jpg?202109-5-RELEASE-marathon-551", "■")</f>
        <v>■</v>
      </c>
      <c r="F591" s="14" t="s">
        <v>15867</v>
      </c>
      <c r="G591" s="14">
        <v>127507</v>
      </c>
      <c r="H591" s="14">
        <v>118568</v>
      </c>
      <c r="I591" s="14">
        <v>27</v>
      </c>
      <c r="J591" s="14" t="s">
        <v>143</v>
      </c>
      <c r="K591" s="14" t="s">
        <v>15866</v>
      </c>
      <c r="L591" s="14" t="s">
        <v>13460</v>
      </c>
      <c r="M591" s="14" t="s">
        <v>9158</v>
      </c>
      <c r="N591" s="14" t="s">
        <v>9158</v>
      </c>
      <c r="O591" s="6" t="s">
        <v>3244</v>
      </c>
      <c r="P591" s="7" t="s">
        <v>3245</v>
      </c>
      <c r="Q591" s="7">
        <v>1</v>
      </c>
    </row>
    <row r="593" spans="1:17">
      <c r="A593" s="14" t="s">
        <v>3916</v>
      </c>
    </row>
    <row r="594" spans="1:17">
      <c r="A594" s="14">
        <v>111228</v>
      </c>
      <c r="B594" s="14" t="s">
        <v>17696</v>
      </c>
    </row>
    <row r="595" spans="1:17">
      <c r="A595" s="9">
        <v>60363</v>
      </c>
      <c r="B595" s="14" t="s">
        <v>0</v>
      </c>
      <c r="C595" s="14" t="s">
        <v>209</v>
      </c>
      <c r="D595" s="14" t="s">
        <v>3918</v>
      </c>
      <c r="E595" s="15" t="str">
        <f>HYPERLINK("https://stat100.ameba.jp/tnk47/ratio20/illustrations/card/ill_60363_shirakaba03.jpg?202109-5-RELEASE-marathon-551", "■")</f>
        <v>■</v>
      </c>
      <c r="F595" s="14" t="s">
        <v>3919</v>
      </c>
      <c r="G595" s="14">
        <v>116296</v>
      </c>
      <c r="H595" s="14">
        <v>125078</v>
      </c>
      <c r="I595" s="9">
        <v>29</v>
      </c>
      <c r="J595" s="14" t="s">
        <v>26</v>
      </c>
      <c r="K595" s="14" t="s">
        <v>3920</v>
      </c>
      <c r="L595" s="14" t="s">
        <v>3921</v>
      </c>
      <c r="M595" s="14" t="s">
        <v>9158</v>
      </c>
      <c r="N595" s="14" t="s">
        <v>9158</v>
      </c>
      <c r="O595" s="14" t="s">
        <v>9158</v>
      </c>
      <c r="P595" s="14" t="s">
        <v>9158</v>
      </c>
      <c r="Q595" s="14" t="s">
        <v>9158</v>
      </c>
    </row>
    <row r="596" spans="1:17">
      <c r="A596" s="9">
        <v>59413</v>
      </c>
      <c r="B596" s="14" t="s">
        <v>334</v>
      </c>
      <c r="C596" s="14" t="s">
        <v>158</v>
      </c>
      <c r="D596" s="14" t="s">
        <v>3922</v>
      </c>
      <c r="E596" s="15" t="str">
        <f>HYPERLINK("https://stat100.ameba.jp/tnk47/ratio20/illustrations/card/ill_59413_otogosahime03.jpg?202109-5-RELEASE-marathon-551", "■")</f>
        <v>■</v>
      </c>
      <c r="F596" s="14" t="s">
        <v>3923</v>
      </c>
      <c r="G596" s="14">
        <v>116296</v>
      </c>
      <c r="H596" s="14">
        <v>125078</v>
      </c>
      <c r="I596" s="14">
        <v>29</v>
      </c>
      <c r="J596" s="14" t="s">
        <v>38</v>
      </c>
      <c r="K596" s="14" t="s">
        <v>3924</v>
      </c>
      <c r="L596" s="14" t="s">
        <v>3925</v>
      </c>
      <c r="M596" s="14" t="s">
        <v>9158</v>
      </c>
      <c r="N596" s="14" t="s">
        <v>9158</v>
      </c>
      <c r="O596" s="14" t="s">
        <v>9158</v>
      </c>
      <c r="P596" s="14" t="s">
        <v>9158</v>
      </c>
      <c r="Q596" s="14" t="s">
        <v>9158</v>
      </c>
    </row>
    <row r="597" spans="1:17">
      <c r="A597" s="14">
        <v>76483</v>
      </c>
      <c r="B597" s="14" t="s">
        <v>334</v>
      </c>
      <c r="C597" s="14" t="s">
        <v>307</v>
      </c>
      <c r="D597" s="20" t="s">
        <v>589</v>
      </c>
      <c r="E597" s="15" t="str">
        <f>HYPERLINK("https://stat100.ameba.jp/tnk47/ratio20/illustrations/card/ill_76483_yukemurimizuhanome03.jpg?202109-5-RELEASE-marathon-551", "■")</f>
        <v>■</v>
      </c>
      <c r="F597" s="14" t="s">
        <v>590</v>
      </c>
      <c r="G597" s="14">
        <v>118287</v>
      </c>
      <c r="H597" s="14">
        <v>109970</v>
      </c>
      <c r="I597" s="9">
        <v>29</v>
      </c>
      <c r="J597" s="14" t="s">
        <v>401</v>
      </c>
      <c r="K597" s="14" t="s">
        <v>591</v>
      </c>
      <c r="L597" s="14" t="s">
        <v>592</v>
      </c>
      <c r="M597" s="14" t="s">
        <v>9158</v>
      </c>
      <c r="N597" s="14" t="s">
        <v>9158</v>
      </c>
      <c r="O597" s="14" t="s">
        <v>9158</v>
      </c>
      <c r="P597" s="14" t="s">
        <v>9158</v>
      </c>
      <c r="Q597" s="14" t="s">
        <v>9158</v>
      </c>
    </row>
    <row r="598" spans="1:17">
      <c r="A598" s="14">
        <v>70023</v>
      </c>
      <c r="B598" s="14" t="s">
        <v>334</v>
      </c>
      <c r="C598" s="14" t="s">
        <v>344</v>
      </c>
      <c r="D598" s="20" t="s">
        <v>10230</v>
      </c>
      <c r="E598" s="15" t="str">
        <f>HYPERLINK("https://stat100.ameba.jp/tnk47/ratio20/illustrations/card/ill_70023_yukinoukokunabeshimanobakeneko03.jpg?202109-5-RELEASE-marathon-551", "■")</f>
        <v>■</v>
      </c>
      <c r="F598" s="14" t="s">
        <v>769</v>
      </c>
      <c r="G598" s="14">
        <v>112369</v>
      </c>
      <c r="H598" s="14">
        <v>120830</v>
      </c>
      <c r="I598" s="14">
        <v>29</v>
      </c>
      <c r="J598" s="14" t="s">
        <v>320</v>
      </c>
      <c r="K598" s="14" t="s">
        <v>770</v>
      </c>
      <c r="L598" s="14" t="s">
        <v>771</v>
      </c>
      <c r="M598" s="14" t="s">
        <v>9158</v>
      </c>
      <c r="N598" s="14" t="s">
        <v>9158</v>
      </c>
      <c r="O598" s="14" t="s">
        <v>9158</v>
      </c>
      <c r="P598" s="14" t="s">
        <v>9158</v>
      </c>
      <c r="Q598" s="14" t="s">
        <v>9158</v>
      </c>
    </row>
    <row r="599" spans="1:17">
      <c r="A599" s="14">
        <v>52733</v>
      </c>
      <c r="B599" s="14" t="s">
        <v>15</v>
      </c>
      <c r="C599" s="14" t="s">
        <v>185</v>
      </c>
      <c r="D599" s="20" t="s">
        <v>10491</v>
      </c>
      <c r="E599" s="15" t="str">
        <f>HYPERLINK("https://stat100.ameba.jp/tnk47/ratio20/illustrations/card/ill_52733_sekkinambutsuruhime03.jpg?202109-5-RELEASE-marathon-551", "■")</f>
        <v>■</v>
      </c>
      <c r="F599" s="14" t="s">
        <v>6246</v>
      </c>
      <c r="G599" s="14">
        <v>67210</v>
      </c>
      <c r="H599" s="14">
        <v>74100</v>
      </c>
      <c r="I599" s="14">
        <v>25</v>
      </c>
      <c r="J599" s="14" t="s">
        <v>77</v>
      </c>
      <c r="K599" s="14" t="s">
        <v>6248</v>
      </c>
      <c r="L599" s="14" t="s">
        <v>6249</v>
      </c>
      <c r="M599" s="14" t="s">
        <v>9158</v>
      </c>
      <c r="N599" s="14" t="s">
        <v>9158</v>
      </c>
      <c r="O599" s="14" t="s">
        <v>9158</v>
      </c>
      <c r="P599" s="14" t="s">
        <v>9158</v>
      </c>
      <c r="Q599" s="14" t="s">
        <v>9158</v>
      </c>
    </row>
    <row r="600" spans="1:17">
      <c r="A600" s="14">
        <v>54003</v>
      </c>
      <c r="B600" s="14" t="s">
        <v>15</v>
      </c>
      <c r="C600" s="14" t="s">
        <v>200</v>
      </c>
      <c r="D600" s="20" t="s">
        <v>10492</v>
      </c>
      <c r="E600" s="15" t="str">
        <f>HYPERLINK("https://stat100.ameba.jp/tnk47/ratio20/illustrations/card/ill_54003_seiryumegurihiguchiichiyo03.jpg?202109-5-RELEASE-marathon-551", "■")</f>
        <v>■</v>
      </c>
      <c r="F600" s="14" t="s">
        <v>6250</v>
      </c>
      <c r="G600" s="14">
        <v>74100</v>
      </c>
      <c r="H600" s="14">
        <v>67210</v>
      </c>
      <c r="I600" s="14">
        <v>25</v>
      </c>
      <c r="J600" s="14" t="s">
        <v>10</v>
      </c>
      <c r="K600" s="14" t="s">
        <v>6252</v>
      </c>
      <c r="L600" s="14" t="s">
        <v>6253</v>
      </c>
      <c r="M600" s="14" t="s">
        <v>9158</v>
      </c>
      <c r="N600" s="14" t="s">
        <v>9158</v>
      </c>
      <c r="O600" s="14" t="s">
        <v>9158</v>
      </c>
      <c r="P600" s="14" t="s">
        <v>9158</v>
      </c>
      <c r="Q600" s="14" t="s">
        <v>9158</v>
      </c>
    </row>
    <row r="601" spans="1:17">
      <c r="A601" s="14">
        <v>51833</v>
      </c>
      <c r="B601" s="14" t="s">
        <v>15</v>
      </c>
      <c r="C601" s="14" t="s">
        <v>205</v>
      </c>
      <c r="D601" s="20" t="s">
        <v>10493</v>
      </c>
      <c r="E601" s="15" t="str">
        <f>HYPERLINK("https://stat100.ameba.jp/tnk47/ratio20/illustrations/card/ill_51833_jukimakitsuhikonomikoto03.jpg?202109-5-RELEASE-marathon-551", "■")</f>
        <v>■</v>
      </c>
      <c r="F601" s="14" t="s">
        <v>6254</v>
      </c>
      <c r="G601" s="14">
        <v>74100</v>
      </c>
      <c r="H601" s="14">
        <v>67210</v>
      </c>
      <c r="I601" s="14">
        <v>25</v>
      </c>
      <c r="J601" s="14" t="s">
        <v>44</v>
      </c>
      <c r="K601" s="14" t="s">
        <v>6257</v>
      </c>
      <c r="L601" s="14" t="s">
        <v>6256</v>
      </c>
      <c r="M601" s="14" t="s">
        <v>9158</v>
      </c>
      <c r="N601" s="14" t="s">
        <v>9158</v>
      </c>
      <c r="O601" s="14" t="s">
        <v>9158</v>
      </c>
      <c r="P601" s="14" t="s">
        <v>9158</v>
      </c>
      <c r="Q601" s="14" t="s">
        <v>9158</v>
      </c>
    </row>
    <row r="602" spans="1:17">
      <c r="A602" s="14">
        <v>53203</v>
      </c>
      <c r="B602" s="14" t="s">
        <v>15</v>
      </c>
      <c r="C602" s="14" t="s">
        <v>165</v>
      </c>
      <c r="D602" s="20" t="s">
        <v>10494</v>
      </c>
      <c r="E602" s="15" t="str">
        <f>HYPERLINK("https://stat100.ameba.jp/tnk47/ratio20/illustrations/card/ill_53203_buruhawaichan03.jpg?202109-5-RELEASE-marathon-551", "■")</f>
        <v>■</v>
      </c>
      <c r="F602" s="14" t="s">
        <v>6258</v>
      </c>
      <c r="G602" s="14">
        <v>67210</v>
      </c>
      <c r="H602" s="14">
        <v>74100</v>
      </c>
      <c r="I602" s="14">
        <v>25</v>
      </c>
      <c r="J602" s="14" t="s">
        <v>104</v>
      </c>
      <c r="K602" s="14" t="s">
        <v>6261</v>
      </c>
      <c r="L602" s="14" t="s">
        <v>6260</v>
      </c>
      <c r="M602" s="14" t="s">
        <v>9158</v>
      </c>
      <c r="N602" s="14" t="s">
        <v>9158</v>
      </c>
      <c r="O602" s="14" t="s">
        <v>9158</v>
      </c>
      <c r="P602" s="14" t="s">
        <v>9158</v>
      </c>
      <c r="Q602" s="14" t="s">
        <v>9158</v>
      </c>
    </row>
    <row r="604" spans="1:17">
      <c r="A604" s="14" t="s">
        <v>9283</v>
      </c>
    </row>
    <row r="605" spans="1:17">
      <c r="A605" s="14">
        <v>111251</v>
      </c>
      <c r="B605" s="14" t="s">
        <v>6509</v>
      </c>
    </row>
    <row r="606" spans="1:17">
      <c r="A606" s="9" t="s">
        <v>5733</v>
      </c>
      <c r="B606" s="14" t="s">
        <v>330</v>
      </c>
      <c r="C606" s="14" t="s">
        <v>202</v>
      </c>
      <c r="D606" s="14" t="s">
        <v>2744</v>
      </c>
      <c r="E606" s="15" t="str">
        <f>HYPERLINK("https://stat100.ameba.jp/tnk47/ratio20/illustrations/card/ill_78693_0_kyupittokoinomikoto03.jpg?202109-5-RELEASE-marathon-551", "■")</f>
        <v>■</v>
      </c>
      <c r="F606" s="14" t="s">
        <v>2745</v>
      </c>
      <c r="G606" s="14">
        <v>282956</v>
      </c>
      <c r="H606" s="14">
        <v>313081</v>
      </c>
      <c r="I606" s="14">
        <v>27</v>
      </c>
      <c r="J606" s="14" t="s">
        <v>274</v>
      </c>
      <c r="K606" s="14" t="s">
        <v>2746</v>
      </c>
      <c r="L606" s="14" t="s">
        <v>2747</v>
      </c>
      <c r="M606" s="14" t="s">
        <v>9158</v>
      </c>
      <c r="N606" s="14" t="s">
        <v>9158</v>
      </c>
      <c r="O606" s="18" t="s">
        <v>10067</v>
      </c>
      <c r="P606" s="14" t="s">
        <v>2748</v>
      </c>
      <c r="Q606" s="14">
        <v>1</v>
      </c>
    </row>
    <row r="607" spans="1:17">
      <c r="A607" s="14" t="s">
        <v>5623</v>
      </c>
      <c r="B607" s="14" t="s">
        <v>330</v>
      </c>
      <c r="C607" s="14" t="s">
        <v>165</v>
      </c>
      <c r="D607" s="20" t="s">
        <v>3146</v>
      </c>
      <c r="E607" s="15" t="str">
        <f>HYPERLINK("https://stat100.ameba.jp/tnk47/ratio20/illustrations/card/ill_65713_0_undokaionikirimaru03.jpg?202109-5-RELEASE-marathon-551", "■")</f>
        <v>■</v>
      </c>
      <c r="F607" s="14" t="s">
        <v>535</v>
      </c>
      <c r="G607" s="14">
        <v>204345</v>
      </c>
      <c r="H607" s="14">
        <v>189983</v>
      </c>
      <c r="I607" s="14">
        <v>27</v>
      </c>
      <c r="J607" s="14" t="s">
        <v>320</v>
      </c>
      <c r="K607" s="14" t="s">
        <v>3147</v>
      </c>
      <c r="L607" s="14" t="s">
        <v>3148</v>
      </c>
      <c r="M607" s="14" t="s">
        <v>9158</v>
      </c>
      <c r="N607" s="14" t="s">
        <v>9158</v>
      </c>
      <c r="O607" s="19" t="s">
        <v>2869</v>
      </c>
      <c r="P607" s="14" t="s">
        <v>2870</v>
      </c>
      <c r="Q607" s="14">
        <v>1</v>
      </c>
    </row>
    <row r="608" spans="1:17">
      <c r="A608" s="14" t="s">
        <v>6132</v>
      </c>
      <c r="B608" s="14" t="s">
        <v>52</v>
      </c>
      <c r="C608" s="14" t="s">
        <v>205</v>
      </c>
      <c r="D608" s="19" t="s">
        <v>702</v>
      </c>
      <c r="E608" s="15" t="str">
        <f>HYPERLINK("https://stat100.ameba.jp/tnk47/ratio20/illustrations/card/ill_50693_0_hanamizugimimuratsuru03.jpg?202109-5-RELEASE-marathon-551", "■")</f>
        <v>■</v>
      </c>
      <c r="F608" s="14" t="s">
        <v>2282</v>
      </c>
      <c r="G608" s="14">
        <v>150680</v>
      </c>
      <c r="H608" s="14">
        <v>169624</v>
      </c>
      <c r="I608" s="14">
        <v>27</v>
      </c>
      <c r="J608" s="14" t="s">
        <v>143</v>
      </c>
      <c r="K608" s="14" t="s">
        <v>2283</v>
      </c>
      <c r="L608" s="14" t="s">
        <v>2284</v>
      </c>
      <c r="M608" s="14" t="s">
        <v>9158</v>
      </c>
      <c r="N608" s="14" t="s">
        <v>9158</v>
      </c>
      <c r="O608" s="14" t="s">
        <v>9158</v>
      </c>
      <c r="P608" s="14" t="s">
        <v>9158</v>
      </c>
      <c r="Q608" s="14" t="s">
        <v>9158</v>
      </c>
    </row>
    <row r="609" spans="1:18">
      <c r="A609" s="14">
        <v>200143</v>
      </c>
      <c r="B609" s="14" t="s">
        <v>0</v>
      </c>
      <c r="C609" s="14" t="s">
        <v>101</v>
      </c>
      <c r="D609" s="14" t="s">
        <v>17681</v>
      </c>
      <c r="E609" s="15" t="str">
        <f>HYPERLINK("https://stat100.ameba.jp/tnk47/ratio20/illustrations/card/ill_200143_bakansurionetta03.jpg?202109-5-RELEASE-marathon-551", "■")</f>
        <v>■</v>
      </c>
      <c r="F609" s="14" t="s">
        <v>17680</v>
      </c>
      <c r="G609" s="14">
        <v>123002</v>
      </c>
      <c r="H609" s="14">
        <v>114362</v>
      </c>
      <c r="I609" s="14">
        <v>27</v>
      </c>
      <c r="J609" s="14" t="s">
        <v>77</v>
      </c>
      <c r="K609" s="14" t="s">
        <v>17679</v>
      </c>
      <c r="L609" s="14" t="s">
        <v>15809</v>
      </c>
      <c r="M609" s="14" t="s">
        <v>9158</v>
      </c>
      <c r="N609" s="14" t="s">
        <v>9158</v>
      </c>
      <c r="O609" s="14" t="s">
        <v>9158</v>
      </c>
      <c r="P609" s="14" t="s">
        <v>9158</v>
      </c>
      <c r="Q609" s="14" t="s">
        <v>9158</v>
      </c>
    </row>
    <row r="610" spans="1:18">
      <c r="A610" s="14">
        <v>200163</v>
      </c>
      <c r="B610" s="14" t="s">
        <v>15</v>
      </c>
      <c r="C610" s="14" t="s">
        <v>23</v>
      </c>
      <c r="D610" s="14" t="s">
        <v>17684</v>
      </c>
      <c r="E610" s="15" t="str">
        <f>HYPERLINK("https://stat100.ameba.jp/tnk47/ratio20/illustrations/card/ill_200163_fukagawamatsuri03.jpg?202109-5-RELEASE-marathon-551", "■")</f>
        <v>■</v>
      </c>
      <c r="F610" s="14" t="s">
        <v>17683</v>
      </c>
      <c r="G610" s="14">
        <v>72586</v>
      </c>
      <c r="H610" s="14">
        <v>80028</v>
      </c>
      <c r="I610" s="14">
        <v>27</v>
      </c>
      <c r="J610" s="14" t="s">
        <v>26</v>
      </c>
      <c r="K610" s="14" t="s">
        <v>17682</v>
      </c>
      <c r="L610" s="14" t="s">
        <v>977</v>
      </c>
      <c r="M610" s="14" t="s">
        <v>9158</v>
      </c>
      <c r="N610" s="14" t="s">
        <v>9158</v>
      </c>
      <c r="O610" s="14" t="s">
        <v>9158</v>
      </c>
      <c r="P610" s="14" t="s">
        <v>9158</v>
      </c>
      <c r="Q610" s="14" t="s">
        <v>9158</v>
      </c>
    </row>
    <row r="611" spans="1:18">
      <c r="A611" s="14">
        <v>200173</v>
      </c>
      <c r="B611" s="14" t="s">
        <v>22</v>
      </c>
      <c r="C611" s="14" t="s">
        <v>1</v>
      </c>
      <c r="D611" s="14" t="s">
        <v>17687</v>
      </c>
      <c r="E611" s="15" t="str">
        <f>HYPERLINK("https://stat100.ameba.jp/tnk47/ratio20/illustrations/card/ill_200173_umibirakiakiyamasaneyuki03.jpg?202109-5-RELEASE-marathon-551", "■")</f>
        <v>■</v>
      </c>
      <c r="F611" s="14" t="s">
        <v>17686</v>
      </c>
      <c r="G611" s="14">
        <v>56138</v>
      </c>
      <c r="H611" s="14">
        <v>46676</v>
      </c>
      <c r="I611" s="14">
        <v>27</v>
      </c>
      <c r="J611" s="14" t="s">
        <v>143</v>
      </c>
      <c r="K611" s="14" t="s">
        <v>17685</v>
      </c>
      <c r="L611" s="14" t="s">
        <v>4461</v>
      </c>
      <c r="M611" s="14" t="s">
        <v>9158</v>
      </c>
      <c r="N611" s="14" t="s">
        <v>9158</v>
      </c>
      <c r="O611" s="14" t="s">
        <v>9158</v>
      </c>
      <c r="P611" s="14" t="s">
        <v>9158</v>
      </c>
      <c r="Q611" s="14" t="s">
        <v>9158</v>
      </c>
    </row>
    <row r="612" spans="1:18">
      <c r="A612" s="14">
        <v>200183</v>
      </c>
      <c r="B612" s="14" t="s">
        <v>22</v>
      </c>
      <c r="C612" s="14" t="s">
        <v>107</v>
      </c>
      <c r="D612" s="14" t="s">
        <v>17690</v>
      </c>
      <c r="E612" s="15" t="str">
        <f>HYPERLINK("https://stat100.ameba.jp/tnk47/ratio20/illustrations/card/ill_200183_moaichan03.jpg?202109-5-RELEASE-marathon-551", "■")</f>
        <v>■</v>
      </c>
      <c r="F612" s="14" t="s">
        <v>17689</v>
      </c>
      <c r="G612" s="14">
        <v>46676</v>
      </c>
      <c r="H612" s="14">
        <v>56138</v>
      </c>
      <c r="I612" s="14">
        <v>27</v>
      </c>
      <c r="J612" s="14" t="s">
        <v>26</v>
      </c>
      <c r="K612" s="14" t="s">
        <v>17688</v>
      </c>
      <c r="L612" s="14" t="s">
        <v>28</v>
      </c>
      <c r="M612" s="14" t="s">
        <v>9158</v>
      </c>
      <c r="N612" s="14" t="s">
        <v>9158</v>
      </c>
      <c r="O612" s="14" t="s">
        <v>9158</v>
      </c>
      <c r="P612" s="14" t="s">
        <v>9158</v>
      </c>
      <c r="Q612" s="14" t="s">
        <v>9158</v>
      </c>
    </row>
    <row r="614" spans="1:18">
      <c r="A614" s="14" t="s">
        <v>3643</v>
      </c>
    </row>
    <row r="615" spans="1:18">
      <c r="A615" s="14">
        <v>111274</v>
      </c>
      <c r="B615" s="14" t="s">
        <v>17678</v>
      </c>
    </row>
    <row r="616" spans="1:18">
      <c r="A616" s="14">
        <v>89795</v>
      </c>
      <c r="B616" s="14" t="s">
        <v>0</v>
      </c>
      <c r="C616" s="14" t="s">
        <v>202</v>
      </c>
      <c r="D616" s="18" t="s">
        <v>13256</v>
      </c>
      <c r="E616" s="15" t="str">
        <f>HYPERLINK("https://stat100.ameba.jp/tnk47/ratio20/illustrations/card/ill_89795_sennyusosayozenin05.jpg?202109-5-RELEASE-marathon-551", "■")</f>
        <v>■</v>
      </c>
      <c r="F616" s="14" t="s">
        <v>13257</v>
      </c>
      <c r="G616" s="14">
        <v>148074</v>
      </c>
      <c r="H616" s="14">
        <v>107198</v>
      </c>
      <c r="I616" s="14">
        <v>30</v>
      </c>
      <c r="J616" s="14" t="s">
        <v>77</v>
      </c>
      <c r="K616" s="14" t="s">
        <v>13259</v>
      </c>
      <c r="L616" s="14" t="s">
        <v>12081</v>
      </c>
      <c r="M616" s="14" t="s">
        <v>9158</v>
      </c>
      <c r="N616" s="14" t="s">
        <v>9158</v>
      </c>
      <c r="O616" s="14" t="s">
        <v>9158</v>
      </c>
      <c r="P616" s="14" t="s">
        <v>9158</v>
      </c>
      <c r="Q616" s="14" t="s">
        <v>9158</v>
      </c>
      <c r="R616" s="14" t="s">
        <v>174</v>
      </c>
    </row>
    <row r="617" spans="1:18">
      <c r="A617" s="14">
        <v>89793</v>
      </c>
      <c r="B617" s="14" t="s">
        <v>15</v>
      </c>
      <c r="C617" s="14" t="s">
        <v>158</v>
      </c>
      <c r="D617" s="18" t="s">
        <v>13256</v>
      </c>
      <c r="E617" s="15" t="str">
        <f>HYPERLINK("https://stat100.ameba.jp/tnk47/ratio20/illustrations/card/ill_89793_sennyusosayozenin03.jpg?202109-5-RELEASE-marathon-551", "■")</f>
        <v>■</v>
      </c>
      <c r="F617" s="14" t="s">
        <v>13257</v>
      </c>
      <c r="G617" s="14">
        <v>109088</v>
      </c>
      <c r="H617" s="14">
        <v>78976</v>
      </c>
      <c r="I617" s="14">
        <v>30</v>
      </c>
      <c r="J617" s="14" t="s">
        <v>77</v>
      </c>
      <c r="K617" s="14" t="s">
        <v>13259</v>
      </c>
      <c r="L617" s="14" t="s">
        <v>12081</v>
      </c>
      <c r="M617" s="14" t="s">
        <v>9158</v>
      </c>
      <c r="N617" s="14" t="s">
        <v>9158</v>
      </c>
      <c r="O617" s="14" t="s">
        <v>9158</v>
      </c>
      <c r="P617" s="14" t="s">
        <v>9158</v>
      </c>
      <c r="Q617" s="14" t="s">
        <v>9158</v>
      </c>
      <c r="R617" s="14" t="s">
        <v>175</v>
      </c>
    </row>
    <row r="618" spans="1:18">
      <c r="A618" s="14">
        <v>89791</v>
      </c>
      <c r="B618" s="14" t="s">
        <v>15</v>
      </c>
      <c r="C618" s="14" t="s">
        <v>158</v>
      </c>
      <c r="D618" s="18" t="s">
        <v>13256</v>
      </c>
      <c r="E618" s="15" t="str">
        <f>HYPERLINK("https://stat100.ameba.jp/tnk47/ratio20/illustrations/card/ill_89791_sennyusosayozenin01.jpg?202109-5-RELEASE-marathon-551", "■")</f>
        <v>■</v>
      </c>
      <c r="F618" s="14" t="s">
        <v>13257</v>
      </c>
      <c r="G618" s="14">
        <v>69390</v>
      </c>
      <c r="H618" s="14">
        <v>50220</v>
      </c>
      <c r="I618" s="14">
        <v>30</v>
      </c>
      <c r="J618" s="14" t="s">
        <v>77</v>
      </c>
      <c r="K618" s="14" t="s">
        <v>13259</v>
      </c>
      <c r="L618" s="14" t="s">
        <v>12081</v>
      </c>
      <c r="M618" s="14" t="s">
        <v>9158</v>
      </c>
      <c r="N618" s="14" t="s">
        <v>9158</v>
      </c>
      <c r="O618" s="14" t="s">
        <v>9158</v>
      </c>
      <c r="P618" s="14" t="s">
        <v>9158</v>
      </c>
      <c r="Q618" s="14" t="s">
        <v>9158</v>
      </c>
      <c r="R618" s="14" t="s">
        <v>176</v>
      </c>
    </row>
    <row r="619" spans="1:18">
      <c r="A619" s="14">
        <v>88475</v>
      </c>
      <c r="B619" s="14" t="s">
        <v>0</v>
      </c>
      <c r="C619" s="14" t="s">
        <v>202</v>
      </c>
      <c r="D619" s="14" t="s">
        <v>12262</v>
      </c>
      <c r="E619" s="15" t="str">
        <f>HYPERLINK("https://stat100.ameba.jp/tnk47/ratio20/illustrations/card/ill_88475_baiorinisutosentsua05.jpg?202109-5-RELEASE-marathon-551", "■")</f>
        <v>■</v>
      </c>
      <c r="F619" s="14" t="s">
        <v>12263</v>
      </c>
      <c r="G619" s="14">
        <v>123520</v>
      </c>
      <c r="H619" s="14">
        <v>170572</v>
      </c>
      <c r="I619" s="14">
        <v>30</v>
      </c>
      <c r="J619" s="14" t="s">
        <v>73</v>
      </c>
      <c r="K619" s="14" t="s">
        <v>12264</v>
      </c>
      <c r="L619" s="14" t="s">
        <v>12269</v>
      </c>
      <c r="M619" s="14" t="s">
        <v>9158</v>
      </c>
      <c r="N619" s="14" t="s">
        <v>9158</v>
      </c>
      <c r="O619" s="14" t="s">
        <v>9158</v>
      </c>
      <c r="P619" s="14" t="s">
        <v>9158</v>
      </c>
      <c r="Q619" s="14" t="s">
        <v>9158</v>
      </c>
      <c r="R619" s="14" t="s">
        <v>174</v>
      </c>
    </row>
    <row r="620" spans="1:18">
      <c r="A620" s="14">
        <v>88473</v>
      </c>
      <c r="B620" s="14" t="s">
        <v>15</v>
      </c>
      <c r="C620" s="14" t="s">
        <v>47</v>
      </c>
      <c r="D620" s="14" t="s">
        <v>12262</v>
      </c>
      <c r="E620" s="15" t="str">
        <f>HYPERLINK("https://stat100.ameba.jp/tnk47/ratio20/illustrations/card/ill_88473_baiorinisutosentsua03.jpg?202109-5-RELEASE-marathon-551", "■")</f>
        <v>■</v>
      </c>
      <c r="F620" s="14" t="s">
        <v>12263</v>
      </c>
      <c r="G620" s="14">
        <v>91008</v>
      </c>
      <c r="H620" s="14">
        <v>125688</v>
      </c>
      <c r="I620" s="14">
        <v>30</v>
      </c>
      <c r="J620" s="14" t="s">
        <v>73</v>
      </c>
      <c r="K620" s="14" t="s">
        <v>12264</v>
      </c>
      <c r="L620" s="14" t="s">
        <v>12270</v>
      </c>
      <c r="M620" s="14" t="s">
        <v>9158</v>
      </c>
      <c r="N620" s="14" t="s">
        <v>9158</v>
      </c>
      <c r="O620" s="14" t="s">
        <v>9158</v>
      </c>
      <c r="P620" s="14" t="s">
        <v>9158</v>
      </c>
      <c r="Q620" s="14" t="s">
        <v>9158</v>
      </c>
      <c r="R620" s="14" t="s">
        <v>175</v>
      </c>
    </row>
    <row r="621" spans="1:18">
      <c r="A621" s="14">
        <v>88471</v>
      </c>
      <c r="B621" s="14" t="s">
        <v>15</v>
      </c>
      <c r="C621" s="14" t="s">
        <v>47</v>
      </c>
      <c r="D621" s="14" t="s">
        <v>12262</v>
      </c>
      <c r="E621" s="15" t="str">
        <f>HYPERLINK("https://stat100.ameba.jp/tnk47/ratio20/illustrations/card/ill_88471_baiorinisutosentsua01.jpg?202109-5-RELEASE-marathon-551", "■")</f>
        <v>■</v>
      </c>
      <c r="F621" s="14" t="s">
        <v>12263</v>
      </c>
      <c r="G621" s="14">
        <v>57900</v>
      </c>
      <c r="H621" s="14">
        <v>79950</v>
      </c>
      <c r="I621" s="14">
        <v>30</v>
      </c>
      <c r="J621" s="14" t="s">
        <v>73</v>
      </c>
      <c r="K621" s="14" t="s">
        <v>12264</v>
      </c>
      <c r="L621" s="14" t="s">
        <v>12271</v>
      </c>
      <c r="M621" s="14" t="s">
        <v>9158</v>
      </c>
      <c r="N621" s="14" t="s">
        <v>9158</v>
      </c>
      <c r="O621" s="14" t="s">
        <v>9158</v>
      </c>
      <c r="P621" s="14" t="s">
        <v>9158</v>
      </c>
      <c r="Q621" s="14" t="s">
        <v>9158</v>
      </c>
      <c r="R621" s="14" t="s">
        <v>176</v>
      </c>
    </row>
    <row r="622" spans="1:18">
      <c r="A622" s="14">
        <v>89815</v>
      </c>
      <c r="B622" s="14" t="s">
        <v>334</v>
      </c>
      <c r="C622" s="14" t="s">
        <v>202</v>
      </c>
      <c r="D622" s="14" t="s">
        <v>13889</v>
      </c>
      <c r="E622" s="15" t="str">
        <f>HYPERLINK("https://stat100.ameba.jp/tnk47/ratio20/illustrations/card/ill_89815_bukenohanayomekuchinashi05.jpg?202109-5-RELEASE-marathon-551", "■")</f>
        <v>■</v>
      </c>
      <c r="F622" s="14" t="s">
        <v>13890</v>
      </c>
      <c r="G622" s="14">
        <v>106036</v>
      </c>
      <c r="H622" s="14">
        <v>146450</v>
      </c>
      <c r="I622" s="14">
        <v>30</v>
      </c>
      <c r="J622" s="14" t="s">
        <v>26</v>
      </c>
      <c r="K622" s="14" t="s">
        <v>13891</v>
      </c>
      <c r="L622" s="14" t="s">
        <v>13892</v>
      </c>
      <c r="M622" s="14" t="s">
        <v>9158</v>
      </c>
      <c r="N622" s="14" t="s">
        <v>9158</v>
      </c>
      <c r="O622" s="14" t="s">
        <v>9158</v>
      </c>
      <c r="P622" s="14" t="s">
        <v>9158</v>
      </c>
      <c r="Q622" s="14" t="s">
        <v>9158</v>
      </c>
      <c r="R622" s="14" t="s">
        <v>174</v>
      </c>
    </row>
    <row r="623" spans="1:18">
      <c r="A623" s="14">
        <v>89813</v>
      </c>
      <c r="B623" s="14" t="s">
        <v>15</v>
      </c>
      <c r="C623" s="14" t="s">
        <v>158</v>
      </c>
      <c r="D623" s="14" t="s">
        <v>13889</v>
      </c>
      <c r="E623" s="15" t="str">
        <f>HYPERLINK("https://stat100.ameba.jp/tnk47/ratio20/illustrations/card/ill_89813_bukenohanayomekuchinashi03.jpg?202109-5-RELEASE-marathon-551", "■")</f>
        <v>■</v>
      </c>
      <c r="F623" s="14" t="s">
        <v>13890</v>
      </c>
      <c r="G623" s="14">
        <v>78116</v>
      </c>
      <c r="H623" s="14">
        <v>107900</v>
      </c>
      <c r="I623" s="14">
        <v>30</v>
      </c>
      <c r="J623" s="14" t="s">
        <v>26</v>
      </c>
      <c r="K623" s="14" t="s">
        <v>13891</v>
      </c>
      <c r="L623" s="14" t="s">
        <v>13893</v>
      </c>
      <c r="M623" s="14" t="s">
        <v>9158</v>
      </c>
      <c r="N623" s="14" t="s">
        <v>9158</v>
      </c>
      <c r="O623" s="14" t="s">
        <v>9158</v>
      </c>
      <c r="P623" s="14" t="s">
        <v>9158</v>
      </c>
      <c r="Q623" s="14" t="s">
        <v>9158</v>
      </c>
      <c r="R623" s="14" t="s">
        <v>175</v>
      </c>
    </row>
    <row r="624" spans="1:18">
      <c r="A624" s="14">
        <v>89811</v>
      </c>
      <c r="B624" s="14" t="s">
        <v>15</v>
      </c>
      <c r="C624" s="14" t="s">
        <v>158</v>
      </c>
      <c r="D624" s="14" t="s">
        <v>13889</v>
      </c>
      <c r="E624" s="15" t="str">
        <f>HYPERLINK("https://stat100.ameba.jp/tnk47/ratio20/illustrations/card/ill_89811_bukenohanayomekuchinashi01.jpg?202109-5-RELEASE-marathon-551", "■")</f>
        <v>■</v>
      </c>
      <c r="F624" s="14" t="s">
        <v>13890</v>
      </c>
      <c r="G624" s="14">
        <v>49710</v>
      </c>
      <c r="H624" s="14">
        <v>68640</v>
      </c>
      <c r="I624" s="14">
        <v>30</v>
      </c>
      <c r="J624" s="14" t="s">
        <v>26</v>
      </c>
      <c r="K624" s="14" t="s">
        <v>13891</v>
      </c>
      <c r="L624" s="14" t="s">
        <v>13894</v>
      </c>
      <c r="M624" s="14" t="s">
        <v>9158</v>
      </c>
      <c r="N624" s="14" t="s">
        <v>9158</v>
      </c>
      <c r="O624" s="14" t="s">
        <v>9158</v>
      </c>
      <c r="P624" s="14" t="s">
        <v>9158</v>
      </c>
      <c r="Q624" s="14" t="s">
        <v>9158</v>
      </c>
      <c r="R624" s="14" t="s">
        <v>176</v>
      </c>
    </row>
    <row r="626" spans="1:18">
      <c r="A626" s="14" t="s">
        <v>13327</v>
      </c>
    </row>
    <row r="627" spans="1:18">
      <c r="A627" s="14">
        <v>111292</v>
      </c>
      <c r="B627" s="14" t="s">
        <v>14495</v>
      </c>
    </row>
    <row r="628" spans="1:18">
      <c r="A628" s="14">
        <v>86063</v>
      </c>
      <c r="B628" s="14" t="s">
        <v>334</v>
      </c>
      <c r="C628" s="14" t="s">
        <v>14</v>
      </c>
      <c r="D628" s="19" t="s">
        <v>10818</v>
      </c>
      <c r="E628" s="15" t="str">
        <f>HYPERLINK("https://stat100.ameba.jp/tnk47/ratio20/illustrations/card/ill_86063_uotchimeika03.jpg?202109-5-RELEASE-marathon-551", "■")</f>
        <v>■</v>
      </c>
      <c r="F628" s="14" t="s">
        <v>8368</v>
      </c>
      <c r="G628" s="14">
        <v>132737</v>
      </c>
      <c r="H628" s="14">
        <v>142768</v>
      </c>
      <c r="I628" s="14">
        <v>29</v>
      </c>
      <c r="J628" s="14" t="s">
        <v>173</v>
      </c>
      <c r="K628" s="14" t="s">
        <v>8367</v>
      </c>
      <c r="L628" s="14" t="s">
        <v>8366</v>
      </c>
      <c r="M628" s="14" t="s">
        <v>13130</v>
      </c>
      <c r="N628" s="14" t="s">
        <v>343</v>
      </c>
      <c r="O628" s="14" t="s">
        <v>9158</v>
      </c>
      <c r="P628" s="14" t="s">
        <v>9158</v>
      </c>
      <c r="Q628" s="14" t="s">
        <v>9158</v>
      </c>
      <c r="R628" s="14" t="s">
        <v>14748</v>
      </c>
    </row>
    <row r="629" spans="1:18">
      <c r="A629" s="14">
        <v>86062</v>
      </c>
      <c r="B629" s="14" t="s">
        <v>334</v>
      </c>
      <c r="C629" s="14" t="s">
        <v>14</v>
      </c>
      <c r="D629" s="19" t="s">
        <v>10818</v>
      </c>
      <c r="E629" s="15" t="str">
        <f>HYPERLINK("https://stat100.ameba.jp/tnk47/ratio20/illustrations/card/ill_86062_uotchimeika02.jpg?202109-5-RELEASE-marathon-551", "■")</f>
        <v>■</v>
      </c>
      <c r="F629" s="14" t="s">
        <v>8368</v>
      </c>
      <c r="G629" s="14">
        <v>109938</v>
      </c>
      <c r="H629" s="14">
        <v>119345</v>
      </c>
      <c r="I629" s="14">
        <v>29</v>
      </c>
      <c r="J629" s="14" t="s">
        <v>173</v>
      </c>
      <c r="K629" s="14" t="s">
        <v>8367</v>
      </c>
      <c r="L629" s="14" t="s">
        <v>8366</v>
      </c>
      <c r="M629" s="14" t="s">
        <v>13131</v>
      </c>
      <c r="N629" s="14" t="s">
        <v>251</v>
      </c>
      <c r="O629" s="14" t="s">
        <v>9158</v>
      </c>
      <c r="P629" s="14" t="s">
        <v>9158</v>
      </c>
      <c r="Q629" s="14" t="s">
        <v>9158</v>
      </c>
      <c r="R629" s="14" t="s">
        <v>14748</v>
      </c>
    </row>
    <row r="630" spans="1:18">
      <c r="A630" s="14">
        <v>86061</v>
      </c>
      <c r="B630" s="14" t="s">
        <v>0</v>
      </c>
      <c r="C630" s="14" t="s">
        <v>14</v>
      </c>
      <c r="D630" s="19" t="s">
        <v>10818</v>
      </c>
      <c r="E630" s="15" t="str">
        <f>HYPERLINK("https://stat100.ameba.jp/tnk47/ratio20/illustrations/card/ill_86061_uotchimeika01.jpg?202109-5-RELEASE-marathon-551", "■")</f>
        <v>■</v>
      </c>
      <c r="F630" s="14" t="s">
        <v>8368</v>
      </c>
      <c r="G630" s="14">
        <v>84825</v>
      </c>
      <c r="H630" s="14">
        <v>91118</v>
      </c>
      <c r="I630" s="14">
        <v>29</v>
      </c>
      <c r="J630" s="14" t="s">
        <v>173</v>
      </c>
      <c r="K630" s="14" t="s">
        <v>8367</v>
      </c>
      <c r="L630" s="14" t="s">
        <v>8366</v>
      </c>
      <c r="M630" s="14" t="s">
        <v>13131</v>
      </c>
      <c r="N630" s="14" t="s">
        <v>251</v>
      </c>
      <c r="O630" s="14" t="s">
        <v>9158</v>
      </c>
      <c r="P630" s="14" t="s">
        <v>9158</v>
      </c>
      <c r="Q630" s="14" t="s">
        <v>9158</v>
      </c>
      <c r="R630" s="14" t="s">
        <v>14748</v>
      </c>
    </row>
    <row r="631" spans="1:18">
      <c r="A631" s="14">
        <v>86073</v>
      </c>
      <c r="B631" s="14" t="s">
        <v>334</v>
      </c>
      <c r="C631" s="14" t="s">
        <v>23</v>
      </c>
      <c r="D631" s="19" t="s">
        <v>10819</v>
      </c>
      <c r="E631" s="15" t="str">
        <f>HYPERLINK("https://stat100.ameba.jp/tnk47/ratio20/illustrations/card/ill_86073_maddohatta03.jpg?202109-5-RELEASE-marathon-551", "■")</f>
        <v>■</v>
      </c>
      <c r="F631" s="14" t="s">
        <v>8371</v>
      </c>
      <c r="G631" s="14">
        <v>132737</v>
      </c>
      <c r="H631" s="14">
        <v>142768</v>
      </c>
      <c r="I631" s="14">
        <v>29</v>
      </c>
      <c r="J631" s="14" t="s">
        <v>155</v>
      </c>
      <c r="K631" s="14" t="s">
        <v>8370</v>
      </c>
      <c r="L631" s="14" t="s">
        <v>8369</v>
      </c>
      <c r="M631" s="14" t="s">
        <v>13130</v>
      </c>
      <c r="N631" s="14" t="s">
        <v>343</v>
      </c>
      <c r="O631" s="14" t="s">
        <v>9158</v>
      </c>
      <c r="P631" s="14" t="s">
        <v>9158</v>
      </c>
      <c r="Q631" s="14" t="s">
        <v>9158</v>
      </c>
      <c r="R631" s="14" t="s">
        <v>14748</v>
      </c>
    </row>
    <row r="632" spans="1:18">
      <c r="A632" s="14">
        <v>86083</v>
      </c>
      <c r="B632" s="14" t="s">
        <v>334</v>
      </c>
      <c r="C632" s="14" t="s">
        <v>101</v>
      </c>
      <c r="D632" s="19" t="s">
        <v>10820</v>
      </c>
      <c r="E632" s="15" t="str">
        <f>HYPERLINK("https://stat100.ameba.jp/tnk47/ratio20/illustrations/card/ill_86083_keieinochojomeruro03.jpg?202109-5-RELEASE-marathon-551", "■")</f>
        <v>■</v>
      </c>
      <c r="F632" s="14" t="s">
        <v>8375</v>
      </c>
      <c r="G632" s="14">
        <v>142768</v>
      </c>
      <c r="H632" s="14">
        <v>132737</v>
      </c>
      <c r="I632" s="14">
        <v>29</v>
      </c>
      <c r="J632" s="14" t="s">
        <v>229</v>
      </c>
      <c r="K632" s="14" t="s">
        <v>8374</v>
      </c>
      <c r="L632" s="14" t="s">
        <v>8373</v>
      </c>
      <c r="M632" s="14" t="s">
        <v>13130</v>
      </c>
      <c r="N632" s="14" t="s">
        <v>343</v>
      </c>
      <c r="O632" s="14" t="s">
        <v>9158</v>
      </c>
      <c r="P632" s="14" t="s">
        <v>9158</v>
      </c>
      <c r="Q632" s="14" t="s">
        <v>9158</v>
      </c>
      <c r="R632" s="14" t="s">
        <v>14748</v>
      </c>
    </row>
    <row r="633" spans="1:18">
      <c r="A633" s="14">
        <v>86093</v>
      </c>
      <c r="B633" s="14" t="s">
        <v>0</v>
      </c>
      <c r="C633" s="14" t="s">
        <v>96</v>
      </c>
      <c r="D633" s="19" t="s">
        <v>10821</v>
      </c>
      <c r="E633" s="15" t="str">
        <f>HYPERLINK("https://stat100.ameba.jp/tnk47/ratio20/illustrations/card/ill_86093_minamotonoyoshimitsu03.jpg?202109-5-RELEASE-marathon-551", "■")</f>
        <v>■</v>
      </c>
      <c r="F633" s="14" t="s">
        <v>8379</v>
      </c>
      <c r="G633" s="14">
        <v>142768</v>
      </c>
      <c r="H633" s="14">
        <v>132737</v>
      </c>
      <c r="I633" s="14">
        <v>29</v>
      </c>
      <c r="J633" s="14" t="s">
        <v>194</v>
      </c>
      <c r="K633" s="14" t="s">
        <v>8377</v>
      </c>
      <c r="L633" s="14" t="s">
        <v>8376</v>
      </c>
      <c r="M633" s="14" t="s">
        <v>13130</v>
      </c>
      <c r="N633" s="14" t="s">
        <v>343</v>
      </c>
      <c r="O633" s="14" t="s">
        <v>9158</v>
      </c>
      <c r="P633" s="14" t="s">
        <v>9158</v>
      </c>
      <c r="Q633" s="14" t="s">
        <v>9158</v>
      </c>
      <c r="R633" s="14" t="s">
        <v>14748</v>
      </c>
    </row>
    <row r="634" spans="1:18">
      <c r="A634" s="14">
        <v>86103</v>
      </c>
      <c r="B634" s="14" t="s">
        <v>334</v>
      </c>
      <c r="C634" s="14" t="s">
        <v>205</v>
      </c>
      <c r="D634" s="19" t="s">
        <v>10822</v>
      </c>
      <c r="E634" s="15" t="str">
        <f>HYPERLINK("https://stat100.ameba.jp/tnk47/ratio20/illustrations/card/ill_86103_omatsudaimyojin03.jpg?202109-5-RELEASE-marathon-551", "■")</f>
        <v>■</v>
      </c>
      <c r="F634" s="14" t="s">
        <v>8383</v>
      </c>
      <c r="G634" s="14">
        <v>142768</v>
      </c>
      <c r="H634" s="14">
        <v>132737</v>
      </c>
      <c r="I634" s="14">
        <v>29</v>
      </c>
      <c r="J634" s="14" t="s">
        <v>169</v>
      </c>
      <c r="K634" s="14" t="s">
        <v>8381</v>
      </c>
      <c r="L634" s="14" t="s">
        <v>8380</v>
      </c>
      <c r="M634" s="14" t="s">
        <v>13130</v>
      </c>
      <c r="N634" s="14" t="s">
        <v>343</v>
      </c>
      <c r="O634" s="14" t="s">
        <v>9158</v>
      </c>
      <c r="P634" s="14" t="s">
        <v>9158</v>
      </c>
      <c r="Q634" s="14" t="s">
        <v>9158</v>
      </c>
      <c r="R634" s="14" t="s">
        <v>14748</v>
      </c>
    </row>
    <row r="635" spans="1:18">
      <c r="A635" s="14">
        <v>86113</v>
      </c>
      <c r="B635" s="14" t="s">
        <v>334</v>
      </c>
      <c r="C635" s="14" t="s">
        <v>107</v>
      </c>
      <c r="D635" s="19" t="s">
        <v>10823</v>
      </c>
      <c r="E635" s="15" t="str">
        <f>HYPERLINK("https://stat100.ameba.jp/tnk47/ratio20/illustrations/card/ill_86113_yuno03.jpg?202109-5-RELEASE-marathon-551", "■")</f>
        <v>■</v>
      </c>
      <c r="F635" s="14" t="s">
        <v>8387</v>
      </c>
      <c r="G635" s="14">
        <v>132737</v>
      </c>
      <c r="H635" s="14">
        <v>142768</v>
      </c>
      <c r="I635" s="14">
        <v>29</v>
      </c>
      <c r="J635" s="14" t="s">
        <v>159</v>
      </c>
      <c r="K635" s="14" t="s">
        <v>8385</v>
      </c>
      <c r="L635" s="14" t="s">
        <v>8384</v>
      </c>
      <c r="M635" s="14" t="s">
        <v>13130</v>
      </c>
      <c r="N635" s="14" t="s">
        <v>343</v>
      </c>
      <c r="O635" s="14" t="s">
        <v>9158</v>
      </c>
      <c r="P635" s="14" t="s">
        <v>9158</v>
      </c>
      <c r="Q635" s="14" t="s">
        <v>9158</v>
      </c>
      <c r="R635" s="14" t="s">
        <v>14748</v>
      </c>
    </row>
  </sheetData>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11B3C-3EFC-4C2C-87CA-569C490D1B0A}">
  <dimension ref="A1:S531"/>
  <sheetViews>
    <sheetView zoomScale="55" zoomScaleNormal="55" workbookViewId="0">
      <pane ySplit="1" topLeftCell="A4" activePane="bottomLeft" state="frozen"/>
      <selection activeCell="A231" sqref="A231:Q231"/>
      <selection pane="bottomLeft" activeCell="D531" sqref="D531"/>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17973</v>
      </c>
    </row>
    <row r="4" spans="1:19">
      <c r="A4" s="14">
        <v>312299</v>
      </c>
      <c r="B4" s="14" t="s">
        <v>14506</v>
      </c>
    </row>
    <row r="5" spans="1:19">
      <c r="A5" s="14">
        <v>312348</v>
      </c>
      <c r="B5" s="14" t="s">
        <v>14507</v>
      </c>
    </row>
    <row r="6" spans="1:19">
      <c r="A6" s="14" t="s">
        <v>17705</v>
      </c>
      <c r="B6" s="14" t="s">
        <v>52</v>
      </c>
      <c r="C6" s="14" t="s">
        <v>35</v>
      </c>
      <c r="D6" s="14" t="s">
        <v>17704</v>
      </c>
      <c r="E6" s="15" t="str">
        <f>HYPERLINK("https://stat100.ameba.jp/tnk47/ratio20/illustrations/card/ill_200363_0_shukuenkiyohime03.jpg?202110-5-RELEASE-marathon-556", "■")</f>
        <v>■</v>
      </c>
      <c r="F6" s="14" t="s">
        <v>17703</v>
      </c>
      <c r="G6" s="14">
        <v>325057</v>
      </c>
      <c r="H6" s="14">
        <v>359621</v>
      </c>
      <c r="I6" s="14">
        <v>35</v>
      </c>
      <c r="J6" s="14" t="s">
        <v>77</v>
      </c>
      <c r="K6" s="14" t="s">
        <v>17702</v>
      </c>
      <c r="L6" s="14" t="s">
        <v>17701</v>
      </c>
      <c r="M6" s="14" t="s">
        <v>9158</v>
      </c>
      <c r="N6" s="14" t="s">
        <v>9158</v>
      </c>
      <c r="O6" s="14" t="s">
        <v>17700</v>
      </c>
      <c r="P6" s="14" t="s">
        <v>17699</v>
      </c>
      <c r="Q6" s="14">
        <v>1</v>
      </c>
    </row>
    <row r="7" spans="1:19">
      <c r="A7" s="14">
        <v>200313</v>
      </c>
      <c r="B7" s="14" t="s">
        <v>0</v>
      </c>
      <c r="C7" s="14" t="s">
        <v>101</v>
      </c>
      <c r="D7" s="18" t="s">
        <v>17977</v>
      </c>
      <c r="E7" s="15" t="str">
        <f>HYPERLINK("https://stat100.ameba.jp/tnk47/ratio20/illustrations/card/ill_200313_shukuenkurikintonchan03.jpg?202109-5-RELEASE-marathon-551xx", "■")</f>
        <v>■</v>
      </c>
      <c r="F7" s="14" t="s">
        <v>17976</v>
      </c>
      <c r="G7" s="14">
        <v>127070</v>
      </c>
      <c r="H7" s="14">
        <v>136668</v>
      </c>
      <c r="I7" s="14">
        <v>30</v>
      </c>
      <c r="J7" s="14" t="s">
        <v>104</v>
      </c>
      <c r="K7" s="14" t="s">
        <v>17975</v>
      </c>
      <c r="L7" s="14" t="s">
        <v>17974</v>
      </c>
      <c r="M7" s="14" t="s">
        <v>9158</v>
      </c>
      <c r="N7" s="14" t="s">
        <v>9158</v>
      </c>
      <c r="O7" s="7" t="s">
        <v>3891</v>
      </c>
      <c r="P7" s="7" t="s">
        <v>3625</v>
      </c>
      <c r="Q7" s="7">
        <v>1</v>
      </c>
    </row>
    <row r="8" spans="1:19">
      <c r="A8" s="14">
        <v>200303</v>
      </c>
      <c r="B8" s="14" t="s">
        <v>0</v>
      </c>
      <c r="C8" s="14" t="s">
        <v>14</v>
      </c>
      <c r="D8" s="18" t="s">
        <v>17981</v>
      </c>
      <c r="E8" s="15" t="str">
        <f>HYPERLINK("https://stat100.ameba.jp/tnk47/ratio20/illustrations/card/ill_200303_shukuenamikiri03.jpg?202109-5-RELEASE-marathon-551xx", "■")</f>
        <v>■</v>
      </c>
      <c r="F8" s="14" t="s">
        <v>17980</v>
      </c>
      <c r="G8" s="14">
        <v>108912</v>
      </c>
      <c r="H8" s="14">
        <v>117182</v>
      </c>
      <c r="I8" s="14">
        <v>30</v>
      </c>
      <c r="J8" s="14" t="s">
        <v>73</v>
      </c>
      <c r="K8" s="14" t="s">
        <v>17979</v>
      </c>
      <c r="L8" s="14" t="s">
        <v>17978</v>
      </c>
      <c r="M8" s="14" t="s">
        <v>2138</v>
      </c>
      <c r="N8" s="14" t="s">
        <v>2139</v>
      </c>
      <c r="O8" s="14" t="s">
        <v>9158</v>
      </c>
      <c r="P8" s="14" t="s">
        <v>9158</v>
      </c>
      <c r="Q8" s="14" t="s">
        <v>9158</v>
      </c>
      <c r="R8" s="14" t="s">
        <v>13120</v>
      </c>
    </row>
    <row r="9" spans="1:19">
      <c r="A9" s="14">
        <v>200323</v>
      </c>
      <c r="B9" s="14" t="s">
        <v>0</v>
      </c>
      <c r="C9" s="14" t="s">
        <v>107</v>
      </c>
      <c r="D9" s="18" t="s">
        <v>17985</v>
      </c>
      <c r="E9" s="15" t="str">
        <f>HYPERLINK("https://stat100.ameba.jp/tnk47/ratio20/illustrations/card/ill_200323_shukuenjingukogo03.jpg?202109-5-RELEASE-marathon-551xx", "■")</f>
        <v>■</v>
      </c>
      <c r="F9" s="14" t="s">
        <v>17984</v>
      </c>
      <c r="G9" s="14">
        <v>122366</v>
      </c>
      <c r="H9" s="14">
        <v>113762</v>
      </c>
      <c r="I9" s="14">
        <v>30</v>
      </c>
      <c r="J9" s="14" t="s">
        <v>10</v>
      </c>
      <c r="K9" s="14" t="s">
        <v>17983</v>
      </c>
      <c r="L9" s="14" t="s">
        <v>17982</v>
      </c>
      <c r="M9" s="14" t="s">
        <v>2138</v>
      </c>
      <c r="N9" s="14" t="s">
        <v>2139</v>
      </c>
      <c r="O9" s="14" t="s">
        <v>9158</v>
      </c>
      <c r="P9" s="14" t="s">
        <v>9158</v>
      </c>
      <c r="Q9" s="14" t="s">
        <v>9158</v>
      </c>
      <c r="R9" s="14" t="s">
        <v>13120</v>
      </c>
    </row>
    <row r="10" spans="1:19">
      <c r="A10" s="14">
        <v>200333</v>
      </c>
      <c r="B10" s="14" t="s">
        <v>15</v>
      </c>
      <c r="C10" s="14" t="s">
        <v>96</v>
      </c>
      <c r="D10" s="18" t="s">
        <v>17988</v>
      </c>
      <c r="E10" s="15" t="str">
        <f>HYPERLINK("https://stat100.ameba.jp/tnk47/ratio20/illustrations/card/ill_200333_toppusutachan03.jpg?202109-5-RELEASE-marathon-551xx", "■")</f>
        <v>■</v>
      </c>
      <c r="F10" s="14" t="s">
        <v>17987</v>
      </c>
      <c r="G10" s="7">
        <v>88920</v>
      </c>
      <c r="H10" s="7">
        <v>80652</v>
      </c>
      <c r="I10" s="7">
        <v>30</v>
      </c>
      <c r="J10" s="14" t="s">
        <v>26</v>
      </c>
      <c r="K10" s="7" t="s">
        <v>17986</v>
      </c>
      <c r="L10" s="7" t="s">
        <v>5926</v>
      </c>
      <c r="M10" s="14" t="s">
        <v>9158</v>
      </c>
      <c r="N10" s="14" t="s">
        <v>9158</v>
      </c>
      <c r="O10" s="14" t="s">
        <v>9158</v>
      </c>
      <c r="P10" s="14" t="s">
        <v>9158</v>
      </c>
      <c r="Q10" s="14" t="s">
        <v>9158</v>
      </c>
    </row>
    <row r="11" spans="1:19">
      <c r="A11" s="14">
        <v>200343</v>
      </c>
      <c r="B11" s="14" t="s">
        <v>15</v>
      </c>
      <c r="C11" s="14" t="s">
        <v>23</v>
      </c>
      <c r="D11" s="18" t="s">
        <v>17991</v>
      </c>
      <c r="E11" s="15" t="str">
        <f>HYPERLINK("https://stat100.ameba.jp/tnk47/ratio20/illustrations/card/ill_200343_bimegamimyoombenzaiten03.jpg?202109-5-RELEASE-marathon-551xx", "■")</f>
        <v>■</v>
      </c>
      <c r="F11" s="14" t="s">
        <v>17990</v>
      </c>
      <c r="G11" s="7">
        <v>80652</v>
      </c>
      <c r="H11" s="7">
        <v>88920</v>
      </c>
      <c r="I11" s="7">
        <v>30</v>
      </c>
      <c r="J11" s="14" t="s">
        <v>44</v>
      </c>
      <c r="K11" s="7" t="s">
        <v>17989</v>
      </c>
      <c r="L11" s="7" t="s">
        <v>7166</v>
      </c>
      <c r="M11" s="14" t="s">
        <v>9158</v>
      </c>
      <c r="N11" s="14" t="s">
        <v>9158</v>
      </c>
      <c r="O11" s="14" t="s">
        <v>9158</v>
      </c>
      <c r="P11" s="14" t="s">
        <v>9158</v>
      </c>
      <c r="Q11" s="14" t="s">
        <v>9158</v>
      </c>
    </row>
    <row r="12" spans="1:19">
      <c r="A12" s="14">
        <v>200353</v>
      </c>
      <c r="B12" s="14" t="s">
        <v>15</v>
      </c>
      <c r="C12" s="14" t="s">
        <v>1</v>
      </c>
      <c r="D12" s="18" t="s">
        <v>17994</v>
      </c>
      <c r="E12" s="15" t="str">
        <f>HYPERLINK("https://stat100.ameba.jp/tnk47/ratio20/illustrations/card/ill_200353_beta03.jpg?202109-5-RELEASE-marathon-551xx", "■")</f>
        <v>■</v>
      </c>
      <c r="F12" s="14" t="s">
        <v>17993</v>
      </c>
      <c r="G12" s="7">
        <v>88920</v>
      </c>
      <c r="H12" s="7">
        <v>80652</v>
      </c>
      <c r="I12" s="7">
        <v>30</v>
      </c>
      <c r="J12" s="14" t="s">
        <v>26</v>
      </c>
      <c r="K12" s="7" t="s">
        <v>17992</v>
      </c>
      <c r="L12" s="7" t="s">
        <v>5926</v>
      </c>
      <c r="M12" s="14" t="s">
        <v>9158</v>
      </c>
      <c r="N12" s="14" t="s">
        <v>9158</v>
      </c>
      <c r="O12" s="14" t="s">
        <v>9158</v>
      </c>
      <c r="P12" s="14" t="s">
        <v>9158</v>
      </c>
      <c r="Q12" s="14" t="s">
        <v>9158</v>
      </c>
    </row>
    <row r="13" spans="1:19">
      <c r="A13" s="14">
        <v>200383</v>
      </c>
      <c r="B13" s="14" t="s">
        <v>22</v>
      </c>
      <c r="C13" s="14" t="s">
        <v>14</v>
      </c>
      <c r="D13" s="18" t="s">
        <v>17995</v>
      </c>
      <c r="E13" s="15" t="str">
        <f>HYPERLINK("https://stat100.ameba.jp/tnk47/ratio20/illustrations/card/ill_200383_sendaiaobamatsuri03.jpg?202109-5-RELEASE-marathon-551xx", "■")</f>
        <v>■</v>
      </c>
      <c r="F13" s="14" t="s">
        <v>18001</v>
      </c>
      <c r="G13" s="14">
        <v>46676</v>
      </c>
      <c r="H13" s="14">
        <v>56138</v>
      </c>
      <c r="I13" s="7">
        <v>27</v>
      </c>
      <c r="J13" s="14" t="s">
        <v>26</v>
      </c>
      <c r="K13" s="7" t="s">
        <v>18002</v>
      </c>
      <c r="L13" s="7" t="s">
        <v>5415</v>
      </c>
      <c r="M13" s="14" t="s">
        <v>9158</v>
      </c>
      <c r="N13" s="14" t="s">
        <v>9158</v>
      </c>
      <c r="O13" s="14" t="s">
        <v>9158</v>
      </c>
      <c r="P13" s="14" t="s">
        <v>9158</v>
      </c>
      <c r="Q13" s="14" t="s">
        <v>9158</v>
      </c>
    </row>
    <row r="14" spans="1:19">
      <c r="A14" s="14">
        <v>200373</v>
      </c>
      <c r="B14" s="14" t="s">
        <v>22</v>
      </c>
      <c r="C14" s="14" t="s">
        <v>23</v>
      </c>
      <c r="D14" s="18" t="s">
        <v>17996</v>
      </c>
      <c r="E14" s="15" t="str">
        <f>HYPERLINK("https://stat100.ameba.jp/tnk47/ratio20/illustrations/card/ill_200373_baresukuakutagawaryunosuke03.jpg?202109-5-RELEASE-marathon-551xx", "■")</f>
        <v>■</v>
      </c>
      <c r="F14" s="14" t="s">
        <v>18003</v>
      </c>
      <c r="G14" s="14">
        <v>56138</v>
      </c>
      <c r="H14" s="14">
        <v>46676</v>
      </c>
      <c r="I14" s="7">
        <v>27</v>
      </c>
      <c r="J14" s="14" t="s">
        <v>16</v>
      </c>
      <c r="K14" s="7" t="s">
        <v>18004</v>
      </c>
      <c r="L14" s="7" t="s">
        <v>4198</v>
      </c>
      <c r="M14" s="14" t="s">
        <v>9158</v>
      </c>
      <c r="N14" s="14" t="s">
        <v>9158</v>
      </c>
      <c r="O14" s="14" t="s">
        <v>9158</v>
      </c>
      <c r="P14" s="14" t="s">
        <v>9158</v>
      </c>
      <c r="Q14" s="14" t="s">
        <v>9158</v>
      </c>
    </row>
    <row r="15" spans="1:19">
      <c r="A15" s="14">
        <v>200403</v>
      </c>
      <c r="B15" s="14" t="s">
        <v>22</v>
      </c>
      <c r="C15" s="14" t="s">
        <v>101</v>
      </c>
      <c r="D15" s="18" t="s">
        <v>17997</v>
      </c>
      <c r="E15" s="15" t="str">
        <f>HYPERLINK("https://stat100.ameba.jp/tnk47/ratio20/illustrations/card/ill_200403_takayamamatsuri03.jpg?202109-5-RELEASE-marathon-551xx", "■")</f>
        <v>■</v>
      </c>
      <c r="F15" s="14" t="s">
        <v>18005</v>
      </c>
      <c r="G15" s="14">
        <v>46676</v>
      </c>
      <c r="H15" s="14">
        <v>56138</v>
      </c>
      <c r="I15" s="7">
        <v>27</v>
      </c>
      <c r="J15" s="14" t="s">
        <v>26</v>
      </c>
      <c r="K15" s="7" t="s">
        <v>18006</v>
      </c>
      <c r="L15" s="7" t="s">
        <v>5415</v>
      </c>
      <c r="M15" s="14" t="s">
        <v>9158</v>
      </c>
      <c r="N15" s="14" t="s">
        <v>9158</v>
      </c>
      <c r="O15" s="14" t="s">
        <v>9158</v>
      </c>
      <c r="P15" s="14" t="s">
        <v>9158</v>
      </c>
      <c r="Q15" s="14" t="s">
        <v>9158</v>
      </c>
    </row>
    <row r="16" spans="1:19">
      <c r="A16" s="14">
        <v>200393</v>
      </c>
      <c r="B16" s="14" t="s">
        <v>22</v>
      </c>
      <c r="C16" s="14" t="s">
        <v>4952</v>
      </c>
      <c r="D16" s="18" t="s">
        <v>17998</v>
      </c>
      <c r="E16" s="15" t="str">
        <f>HYPERLINK("https://stat100.ameba.jp/tnk47/ratio20/illustrations/card/ill_200393_osushichan03.jpg?202109-5-RELEASE-marathon-551xx", "■")</f>
        <v>■</v>
      </c>
      <c r="F16" s="14" t="s">
        <v>18000</v>
      </c>
      <c r="G16" s="14">
        <v>56138</v>
      </c>
      <c r="H16" s="14">
        <v>46676</v>
      </c>
      <c r="I16" s="7">
        <v>27</v>
      </c>
      <c r="J16" s="14" t="s">
        <v>104</v>
      </c>
      <c r="K16" s="7" t="s">
        <v>17999</v>
      </c>
      <c r="L16" s="7" t="s">
        <v>3741</v>
      </c>
      <c r="M16" s="14" t="s">
        <v>9158</v>
      </c>
      <c r="N16" s="14" t="s">
        <v>9158</v>
      </c>
      <c r="O16" s="14" t="s">
        <v>9158</v>
      </c>
      <c r="P16" s="14" t="s">
        <v>9158</v>
      </c>
      <c r="Q16" s="14" t="s">
        <v>9158</v>
      </c>
    </row>
    <row r="17" spans="1:18">
      <c r="D17" s="7"/>
    </row>
    <row r="18" spans="1:18">
      <c r="A18" s="14" t="s">
        <v>18007</v>
      </c>
      <c r="D18" s="7"/>
    </row>
    <row r="19" spans="1:18">
      <c r="A19" s="14">
        <v>240426</v>
      </c>
      <c r="B19" s="14" t="s">
        <v>6635</v>
      </c>
      <c r="D19" s="7"/>
    </row>
    <row r="20" spans="1:18">
      <c r="A20" s="14">
        <v>200415</v>
      </c>
      <c r="B20" s="14" t="s">
        <v>0</v>
      </c>
      <c r="C20" s="14" t="s">
        <v>202</v>
      </c>
      <c r="D20" s="18" t="s">
        <v>18014</v>
      </c>
      <c r="E20" s="15" t="str">
        <f>HYPERLINK("https://stat100.ameba.jp/tnk47/ratio20/illustrations/card/ill_200415_shukuenkurohime05.jpg?202109-5-RELEASE-marathon-551xx", "■")</f>
        <v>■</v>
      </c>
      <c r="F20" s="14" t="s">
        <v>18013</v>
      </c>
      <c r="G20" s="14">
        <v>111328</v>
      </c>
      <c r="H20" s="14">
        <v>153744</v>
      </c>
      <c r="I20" s="14">
        <v>30</v>
      </c>
      <c r="J20" s="14" t="s">
        <v>16</v>
      </c>
      <c r="K20" s="14" t="s">
        <v>18012</v>
      </c>
      <c r="L20" s="14" t="s">
        <v>17499</v>
      </c>
      <c r="M20" s="14" t="s">
        <v>9158</v>
      </c>
      <c r="N20" s="14" t="s">
        <v>9158</v>
      </c>
      <c r="O20" s="14" t="s">
        <v>9158</v>
      </c>
      <c r="P20" s="14" t="s">
        <v>9158</v>
      </c>
      <c r="Q20" s="14" t="s">
        <v>9158</v>
      </c>
      <c r="R20" s="14" t="s">
        <v>174</v>
      </c>
    </row>
    <row r="21" spans="1:18">
      <c r="A21" s="14">
        <v>200413</v>
      </c>
      <c r="B21" s="14" t="s">
        <v>15</v>
      </c>
      <c r="C21" s="14" t="s">
        <v>203</v>
      </c>
      <c r="D21" s="18" t="s">
        <v>18014</v>
      </c>
      <c r="E21" s="15" t="str">
        <f>HYPERLINK("https://stat100.ameba.jp/tnk47/ratio20/illustrations/card/ill_200413_shukuenkurohime03.jpg?202109-5-RELEASE-marathon-551xx", "■")</f>
        <v>■</v>
      </c>
      <c r="F21" s="14" t="s">
        <v>18013</v>
      </c>
      <c r="G21" s="14">
        <v>82006</v>
      </c>
      <c r="H21" s="14">
        <v>113270</v>
      </c>
      <c r="I21" s="7">
        <v>30</v>
      </c>
      <c r="J21" s="14" t="s">
        <v>16</v>
      </c>
      <c r="K21" s="14" t="s">
        <v>18012</v>
      </c>
      <c r="L21" s="14" t="s">
        <v>18015</v>
      </c>
      <c r="M21" s="14" t="s">
        <v>9158</v>
      </c>
      <c r="N21" s="14" t="s">
        <v>9158</v>
      </c>
      <c r="O21" s="14" t="s">
        <v>9158</v>
      </c>
      <c r="P21" s="14" t="s">
        <v>9158</v>
      </c>
      <c r="Q21" s="14" t="s">
        <v>9158</v>
      </c>
      <c r="R21" s="14" t="s">
        <v>175</v>
      </c>
    </row>
    <row r="22" spans="1:18">
      <c r="A22" s="14">
        <v>200411</v>
      </c>
      <c r="B22" s="14" t="s">
        <v>15</v>
      </c>
      <c r="C22" s="14" t="s">
        <v>203</v>
      </c>
      <c r="D22" s="18" t="s">
        <v>18014</v>
      </c>
      <c r="E22" s="15" t="str">
        <f>HYPERLINK("https://stat100.ameba.jp/tnk47/ratio20/illustrations/card/ill_200411_shukuenkurohime01.jpg?202109-5-RELEASE-marathon-551xx", "■")</f>
        <v>■</v>
      </c>
      <c r="F22" s="14" t="s">
        <v>18013</v>
      </c>
      <c r="G22" s="14">
        <v>52170</v>
      </c>
      <c r="H22" s="14">
        <v>72060</v>
      </c>
      <c r="I22" s="7">
        <v>30</v>
      </c>
      <c r="J22" s="14" t="s">
        <v>16</v>
      </c>
      <c r="K22" s="14" t="s">
        <v>18012</v>
      </c>
      <c r="L22" s="14" t="s">
        <v>18016</v>
      </c>
      <c r="M22" s="14" t="s">
        <v>9158</v>
      </c>
      <c r="N22" s="14" t="s">
        <v>9158</v>
      </c>
      <c r="O22" s="14" t="s">
        <v>9158</v>
      </c>
      <c r="P22" s="14" t="s">
        <v>9158</v>
      </c>
      <c r="Q22" s="14" t="s">
        <v>9158</v>
      </c>
      <c r="R22" s="14" t="s">
        <v>176</v>
      </c>
    </row>
    <row r="24" spans="1:18">
      <c r="A24" s="14" t="s">
        <v>18008</v>
      </c>
    </row>
    <row r="25" spans="1:18">
      <c r="A25" s="14">
        <v>111458</v>
      </c>
      <c r="B25" s="14" t="s">
        <v>18009</v>
      </c>
    </row>
    <row r="26" spans="1:18">
      <c r="A26" s="14">
        <v>111469</v>
      </c>
      <c r="B26" s="14" t="s">
        <v>18010</v>
      </c>
    </row>
    <row r="27" spans="1:18">
      <c r="A27" s="14">
        <v>111470</v>
      </c>
      <c r="B27" s="14" t="s">
        <v>18011</v>
      </c>
    </row>
    <row r="28" spans="1:18">
      <c r="A28" s="14" t="s">
        <v>16720</v>
      </c>
      <c r="B28" s="7" t="s">
        <v>52</v>
      </c>
      <c r="C28" s="14" t="s">
        <v>202</v>
      </c>
      <c r="D28" s="18" t="s">
        <v>16719</v>
      </c>
      <c r="E28" s="15" t="str">
        <f>HYPERLINK("https://stat100.ameba.jp/tnk47/ratio20/illustrations/card/ill_96373_0_ohinasamaakitakomachichan03.jpg?202109-5-RELEASE-marathon-551xx", "■")</f>
        <v>■</v>
      </c>
      <c r="F28" s="14" t="s">
        <v>16718</v>
      </c>
      <c r="G28" s="14">
        <v>273388</v>
      </c>
      <c r="H28" s="14">
        <v>334134</v>
      </c>
      <c r="I28" s="7">
        <v>29</v>
      </c>
      <c r="J28" s="14" t="s">
        <v>104</v>
      </c>
      <c r="K28" s="14" t="s">
        <v>16717</v>
      </c>
      <c r="L28" s="14" t="s">
        <v>16716</v>
      </c>
      <c r="M28" s="14" t="s">
        <v>9158</v>
      </c>
      <c r="N28" s="14" t="s">
        <v>9158</v>
      </c>
      <c r="O28" s="7" t="s">
        <v>16715</v>
      </c>
      <c r="P28" s="7" t="s">
        <v>16714</v>
      </c>
      <c r="Q28" s="7">
        <v>1</v>
      </c>
    </row>
    <row r="29" spans="1:18">
      <c r="A29" s="14" t="s">
        <v>15440</v>
      </c>
      <c r="B29" s="7" t="s">
        <v>52</v>
      </c>
      <c r="C29" s="14" t="s">
        <v>202</v>
      </c>
      <c r="D29" s="18" t="s">
        <v>15441</v>
      </c>
      <c r="E29" s="15" t="str">
        <f>HYPERLINK("https://stat100.ameba.jp/tnk47/ratio20/illustrations/card/ill_93683_0_yukemurionsenshirowainchan03.jpg?202109-5-RELEASE-marathon-551xx", "■")</f>
        <v>■</v>
      </c>
      <c r="F29" s="14" t="s">
        <v>15444</v>
      </c>
      <c r="G29" s="14">
        <v>287477</v>
      </c>
      <c r="H29" s="14">
        <v>351388</v>
      </c>
      <c r="I29" s="14">
        <v>29</v>
      </c>
      <c r="J29" s="14" t="s">
        <v>104</v>
      </c>
      <c r="K29" s="14" t="s">
        <v>15443</v>
      </c>
      <c r="L29" s="14" t="s">
        <v>15442</v>
      </c>
      <c r="M29" s="14" t="s">
        <v>9158</v>
      </c>
      <c r="N29" s="14" t="s">
        <v>9158</v>
      </c>
      <c r="O29" s="6" t="s">
        <v>15445</v>
      </c>
      <c r="P29" s="7" t="s">
        <v>15446</v>
      </c>
      <c r="Q29" s="7">
        <v>1</v>
      </c>
    </row>
    <row r="30" spans="1:18">
      <c r="A30" s="14" t="s">
        <v>17383</v>
      </c>
      <c r="B30" s="7" t="s">
        <v>52</v>
      </c>
      <c r="C30" s="14" t="s">
        <v>202</v>
      </c>
      <c r="D30" s="18" t="s">
        <v>17382</v>
      </c>
      <c r="E30" s="15" t="str">
        <f>HYPERLINK("https://stat100.ameba.jp/tnk47/ratio20/illustrations/card/ill_97703_0_shisutatachibanaginchiyo03.jpg?202109-5-RELEASE-marathon-551xx", "■")</f>
        <v>■</v>
      </c>
      <c r="F30" s="14" t="s">
        <v>17381</v>
      </c>
      <c r="G30" s="14">
        <v>276738</v>
      </c>
      <c r="H30" s="14">
        <v>306220</v>
      </c>
      <c r="I30" s="14">
        <v>29</v>
      </c>
      <c r="J30" s="14" t="s">
        <v>77</v>
      </c>
      <c r="K30" s="14" t="s">
        <v>17380</v>
      </c>
      <c r="L30" s="14" t="s">
        <v>17268</v>
      </c>
      <c r="M30" s="14" t="s">
        <v>9158</v>
      </c>
      <c r="N30" s="14" t="s">
        <v>9158</v>
      </c>
      <c r="O30" s="7" t="s">
        <v>17379</v>
      </c>
      <c r="P30" s="7" t="s">
        <v>17378</v>
      </c>
      <c r="Q30" s="7">
        <v>1</v>
      </c>
    </row>
    <row r="31" spans="1:18">
      <c r="A31" s="14" t="s">
        <v>16084</v>
      </c>
      <c r="B31" s="7" t="s">
        <v>52</v>
      </c>
      <c r="C31" s="14" t="s">
        <v>202</v>
      </c>
      <c r="D31" s="18" t="s">
        <v>16083</v>
      </c>
      <c r="E31" s="15" t="str">
        <f>HYPERLINK("https://stat100.ameba.jp/tnk47/ratio20/illustrations/card/ill_95653_0_barentaindefukuhime03.jpg?202109-5-RELEASE-marathon-551xx", "■")</f>
        <v>■</v>
      </c>
      <c r="F31" s="14" t="s">
        <v>16082</v>
      </c>
      <c r="G31" s="14">
        <v>334134</v>
      </c>
      <c r="H31" s="14">
        <v>273388</v>
      </c>
      <c r="I31" s="7">
        <v>29</v>
      </c>
      <c r="J31" s="14" t="s">
        <v>77</v>
      </c>
      <c r="K31" s="14" t="s">
        <v>16081</v>
      </c>
      <c r="L31" s="14" t="s">
        <v>16080</v>
      </c>
      <c r="M31" s="14" t="s">
        <v>9158</v>
      </c>
      <c r="N31" s="14" t="s">
        <v>9158</v>
      </c>
      <c r="O31" s="7" t="s">
        <v>16086</v>
      </c>
      <c r="P31" s="7" t="s">
        <v>16085</v>
      </c>
      <c r="Q31" s="7">
        <v>1</v>
      </c>
    </row>
    <row r="32" spans="1:18">
      <c r="A32" s="14" t="s">
        <v>16989</v>
      </c>
      <c r="B32" s="7" t="s">
        <v>52</v>
      </c>
      <c r="C32" s="14" t="s">
        <v>202</v>
      </c>
      <c r="D32" s="18" t="s">
        <v>16988</v>
      </c>
      <c r="E32" s="15" t="str">
        <f>HYPERLINK("https://stat100.ameba.jp/tnk47/ratio20/illustrations/card/ill_97013_0_kanokaishiranui03.jpg?202109-5-RELEASE-marathon-551xx", "■")</f>
        <v>■</v>
      </c>
      <c r="F32" s="14" t="s">
        <v>16987</v>
      </c>
      <c r="G32" s="14">
        <v>306220</v>
      </c>
      <c r="H32" s="14">
        <v>276738</v>
      </c>
      <c r="I32" s="7">
        <v>29</v>
      </c>
      <c r="J32" s="14" t="s">
        <v>73</v>
      </c>
      <c r="K32" s="14" t="s">
        <v>16986</v>
      </c>
      <c r="L32" s="14" t="s">
        <v>16985</v>
      </c>
      <c r="M32" s="14" t="s">
        <v>9158</v>
      </c>
      <c r="N32" s="14" t="s">
        <v>9158</v>
      </c>
      <c r="O32" s="7" t="s">
        <v>16990</v>
      </c>
      <c r="P32" s="7" t="s">
        <v>16991</v>
      </c>
      <c r="Q32" s="7">
        <v>1</v>
      </c>
    </row>
    <row r="33" spans="1:18">
      <c r="A33" s="14">
        <v>89643</v>
      </c>
      <c r="B33" s="14" t="s">
        <v>0</v>
      </c>
      <c r="C33" s="14" t="s">
        <v>14</v>
      </c>
      <c r="D33" s="18" t="s">
        <v>13098</v>
      </c>
      <c r="E33" s="15" t="str">
        <f>HYPERLINK("https://stat100.ameba.jp/tnk47/ratio20/illustrations/card/ill_89643_jumburaidokageonna03.jpg?202109-5-RELEASE-marathon-551xx", "■")</f>
        <v>■</v>
      </c>
      <c r="F33" s="14" t="s">
        <v>13094</v>
      </c>
      <c r="G33" s="14">
        <v>131742</v>
      </c>
      <c r="H33" s="14">
        <v>141676</v>
      </c>
      <c r="I33" s="14">
        <v>30</v>
      </c>
      <c r="J33" s="14" t="s">
        <v>73</v>
      </c>
      <c r="K33" s="14" t="s">
        <v>13095</v>
      </c>
      <c r="L33" s="14" t="s">
        <v>13096</v>
      </c>
      <c r="M33" s="14" t="s">
        <v>2138</v>
      </c>
      <c r="N33" s="14" t="s">
        <v>2139</v>
      </c>
      <c r="O33" s="14" t="s">
        <v>9158</v>
      </c>
      <c r="P33" s="14" t="s">
        <v>9158</v>
      </c>
      <c r="Q33" s="14" t="s">
        <v>9158</v>
      </c>
      <c r="R33" s="14" t="s">
        <v>13120</v>
      </c>
    </row>
    <row r="34" spans="1:18">
      <c r="A34" s="14">
        <v>90333</v>
      </c>
      <c r="B34" s="14" t="s">
        <v>0</v>
      </c>
      <c r="C34" s="14" t="s">
        <v>23</v>
      </c>
      <c r="D34" s="18" t="s">
        <v>13668</v>
      </c>
      <c r="E34" s="15" t="str">
        <f>HYPERLINK("https://stat100.ameba.jp/tnk47/ratio20/illustrations/card/ill_90333_nangokubakansuyamashitarin03.jpg?202109-5-RELEASE-marathon-551xx", "■")</f>
        <v>■</v>
      </c>
      <c r="F34" s="14" t="s">
        <v>13670</v>
      </c>
      <c r="G34" s="14">
        <v>113154</v>
      </c>
      <c r="H34" s="14">
        <v>121646</v>
      </c>
      <c r="I34" s="14">
        <v>30</v>
      </c>
      <c r="J34" s="14" t="s">
        <v>16</v>
      </c>
      <c r="K34" s="14" t="s">
        <v>13671</v>
      </c>
      <c r="L34" s="14" t="s">
        <v>13673</v>
      </c>
      <c r="M34" s="14" t="s">
        <v>2138</v>
      </c>
      <c r="N34" s="14" t="s">
        <v>2139</v>
      </c>
      <c r="O34" s="14" t="s">
        <v>9158</v>
      </c>
      <c r="P34" s="14" t="s">
        <v>9158</v>
      </c>
      <c r="Q34" s="14" t="s">
        <v>9158</v>
      </c>
      <c r="R34" s="14" t="s">
        <v>13120</v>
      </c>
    </row>
    <row r="35" spans="1:18">
      <c r="A35" s="14">
        <v>88313</v>
      </c>
      <c r="B35" s="14" t="s">
        <v>0</v>
      </c>
      <c r="C35" s="14" t="s">
        <v>191</v>
      </c>
      <c r="D35" s="18" t="s">
        <v>12027</v>
      </c>
      <c r="E35" s="15" t="str">
        <f>HYPERLINK("https://stat100.ameba.jp/tnk47/ratio20/illustrations/card/ill_88313_hanamikukurihimenokami03.jpg?202109-5-RELEASE-marathon-551xx", "■")</f>
        <v>■</v>
      </c>
      <c r="F35" s="14" t="s">
        <v>12028</v>
      </c>
      <c r="G35" s="14">
        <v>122366</v>
      </c>
      <c r="H35" s="14">
        <v>113762</v>
      </c>
      <c r="I35" s="14">
        <v>30</v>
      </c>
      <c r="J35" s="14" t="s">
        <v>44</v>
      </c>
      <c r="K35" s="14" t="s">
        <v>12029</v>
      </c>
      <c r="L35" s="14" t="s">
        <v>12030</v>
      </c>
      <c r="M35" s="14" t="s">
        <v>2138</v>
      </c>
      <c r="N35" s="14" t="s">
        <v>2139</v>
      </c>
      <c r="O35" s="14" t="s">
        <v>9158</v>
      </c>
      <c r="P35" s="14" t="s">
        <v>9158</v>
      </c>
      <c r="Q35" s="14" t="s">
        <v>9158</v>
      </c>
      <c r="R35" s="14" t="s">
        <v>13120</v>
      </c>
    </row>
    <row r="36" spans="1:18">
      <c r="A36" s="14">
        <v>93633</v>
      </c>
      <c r="B36" s="14" t="s">
        <v>0</v>
      </c>
      <c r="C36" s="14" t="s">
        <v>96</v>
      </c>
      <c r="D36" s="18" t="s">
        <v>15453</v>
      </c>
      <c r="E36" s="15" t="str">
        <f>HYPERLINK("https://stat100.ameba.jp/tnk47/ratio20/illustrations/card/ill_93633_yukemurionsenkaguya03.jpg?202109-5-RELEASE-marathon-551xx", "■")</f>
        <v>■</v>
      </c>
      <c r="F36" s="14" t="s">
        <v>15452</v>
      </c>
      <c r="G36" s="14">
        <v>113154</v>
      </c>
      <c r="H36" s="14">
        <v>121646</v>
      </c>
      <c r="I36" s="14">
        <v>30</v>
      </c>
      <c r="J36" s="14" t="s">
        <v>38</v>
      </c>
      <c r="K36" s="14" t="s">
        <v>15451</v>
      </c>
      <c r="L36" s="14" t="s">
        <v>15450</v>
      </c>
      <c r="M36" s="14" t="s">
        <v>2138</v>
      </c>
      <c r="N36" s="14" t="s">
        <v>2139</v>
      </c>
      <c r="O36" s="14" t="s">
        <v>9158</v>
      </c>
      <c r="P36" s="14" t="s">
        <v>9158</v>
      </c>
      <c r="Q36" s="14" t="s">
        <v>9158</v>
      </c>
      <c r="R36" s="14" t="s">
        <v>13120</v>
      </c>
    </row>
    <row r="37" spans="1:18">
      <c r="A37" s="14">
        <v>91033</v>
      </c>
      <c r="B37" s="14" t="s">
        <v>0</v>
      </c>
      <c r="C37" s="14" t="s">
        <v>1</v>
      </c>
      <c r="D37" s="18" t="s">
        <v>13458</v>
      </c>
      <c r="E37" s="15" t="str">
        <f>HYPERLINK("https://stat100.ameba.jp/tnk47/ratio20/illustrations/card/ill_91033_mizugiaidorukendama03.jpg?202109-5-RELEASE-marathon-551xx", "■")</f>
        <v>■</v>
      </c>
      <c r="F37" s="14" t="s">
        <v>13459</v>
      </c>
      <c r="G37" s="14">
        <v>141676</v>
      </c>
      <c r="H37" s="14">
        <v>131742</v>
      </c>
      <c r="I37" s="14">
        <v>30</v>
      </c>
      <c r="J37" s="14" t="s">
        <v>38</v>
      </c>
      <c r="K37" s="14" t="s">
        <v>13461</v>
      </c>
      <c r="L37" s="14" t="s">
        <v>13460</v>
      </c>
      <c r="M37" s="14" t="s">
        <v>2138</v>
      </c>
      <c r="N37" s="14" t="s">
        <v>2139</v>
      </c>
      <c r="O37" s="14" t="s">
        <v>9158</v>
      </c>
      <c r="P37" s="14" t="s">
        <v>9158</v>
      </c>
      <c r="Q37" s="14" t="s">
        <v>9158</v>
      </c>
      <c r="R37" s="14" t="s">
        <v>13120</v>
      </c>
    </row>
    <row r="38" spans="1:18">
      <c r="A38" s="14">
        <v>89033</v>
      </c>
      <c r="B38" s="14" t="s">
        <v>0</v>
      </c>
      <c r="C38" s="14" t="s">
        <v>107</v>
      </c>
      <c r="D38" s="18" t="s">
        <v>12544</v>
      </c>
      <c r="E38" s="15" t="str">
        <f>HYPERLINK("https://stat100.ameba.jp/tnk47/ratio20/illustrations/card/ill_89033_efuwanresukusumototakako03.jpg?202109-5-RELEASE-marathon-551xx", "■")</f>
        <v>■</v>
      </c>
      <c r="F38" s="14" t="s">
        <v>12545</v>
      </c>
      <c r="G38" s="14">
        <v>121646</v>
      </c>
      <c r="H38" s="14">
        <v>113154</v>
      </c>
      <c r="I38" s="14">
        <v>30</v>
      </c>
      <c r="J38" s="14" t="s">
        <v>16</v>
      </c>
      <c r="K38" s="14" t="s">
        <v>12546</v>
      </c>
      <c r="L38" s="14" t="s">
        <v>12547</v>
      </c>
      <c r="M38" s="14" t="s">
        <v>2138</v>
      </c>
      <c r="N38" s="14" t="s">
        <v>2139</v>
      </c>
      <c r="O38" s="14" t="s">
        <v>9158</v>
      </c>
      <c r="P38" s="14" t="s">
        <v>9158</v>
      </c>
      <c r="Q38" s="14" t="s">
        <v>9158</v>
      </c>
      <c r="R38" s="14" t="s">
        <v>13120</v>
      </c>
    </row>
    <row r="40" spans="1:18">
      <c r="A40" s="14" t="s">
        <v>4012</v>
      </c>
    </row>
    <row r="42" spans="1:18">
      <c r="B42" s="14" t="s">
        <v>52</v>
      </c>
      <c r="E42" s="15" t="str">
        <f t="shared" ref="E42:E50" si="0">HYPERLINK("", "■")</f>
        <v>■</v>
      </c>
      <c r="I42" s="14">
        <v>27</v>
      </c>
      <c r="M42" s="14" t="s">
        <v>9158</v>
      </c>
      <c r="N42" s="14" t="s">
        <v>9158</v>
      </c>
      <c r="O42" s="14" t="s">
        <v>9158</v>
      </c>
      <c r="P42" s="14" t="s">
        <v>9158</v>
      </c>
      <c r="Q42" s="14" t="s">
        <v>9158</v>
      </c>
    </row>
    <row r="43" spans="1:18">
      <c r="B43" s="14" t="s">
        <v>52</v>
      </c>
      <c r="E43" s="15" t="str">
        <f t="shared" si="0"/>
        <v>■</v>
      </c>
      <c r="I43" s="14">
        <v>27</v>
      </c>
      <c r="M43" s="14" t="s">
        <v>9158</v>
      </c>
      <c r="N43" s="14" t="s">
        <v>9158</v>
      </c>
      <c r="O43" s="14" t="s">
        <v>9158</v>
      </c>
      <c r="P43" s="14" t="s">
        <v>9158</v>
      </c>
      <c r="Q43" s="14" t="s">
        <v>9158</v>
      </c>
    </row>
    <row r="44" spans="1:18">
      <c r="B44" s="14" t="s">
        <v>52</v>
      </c>
      <c r="E44" s="15" t="str">
        <f t="shared" si="0"/>
        <v>■</v>
      </c>
      <c r="I44" s="14">
        <v>27</v>
      </c>
      <c r="M44" s="14" t="s">
        <v>9158</v>
      </c>
      <c r="N44" s="14" t="s">
        <v>9158</v>
      </c>
      <c r="O44" s="14" t="s">
        <v>9158</v>
      </c>
      <c r="P44" s="14" t="s">
        <v>9158</v>
      </c>
      <c r="Q44" s="14" t="s">
        <v>9158</v>
      </c>
    </row>
    <row r="45" spans="1:18">
      <c r="B45" s="14" t="s">
        <v>0</v>
      </c>
      <c r="E45" s="15" t="str">
        <f t="shared" si="0"/>
        <v>■</v>
      </c>
      <c r="I45" s="14">
        <v>30</v>
      </c>
      <c r="M45" s="14" t="s">
        <v>9158</v>
      </c>
      <c r="N45" s="14" t="s">
        <v>9158</v>
      </c>
      <c r="O45" s="14" t="s">
        <v>9158</v>
      </c>
      <c r="P45" s="14" t="s">
        <v>9158</v>
      </c>
      <c r="Q45" s="14" t="s">
        <v>9158</v>
      </c>
    </row>
    <row r="46" spans="1:18">
      <c r="B46" s="14" t="s">
        <v>0</v>
      </c>
      <c r="E46" s="15" t="str">
        <f t="shared" si="0"/>
        <v>■</v>
      </c>
      <c r="I46" s="14">
        <v>30</v>
      </c>
      <c r="M46" s="14" t="s">
        <v>9158</v>
      </c>
      <c r="N46" s="14" t="s">
        <v>9158</v>
      </c>
      <c r="O46" s="14" t="s">
        <v>9158</v>
      </c>
      <c r="P46" s="14" t="s">
        <v>9158</v>
      </c>
      <c r="Q46" s="14" t="s">
        <v>9158</v>
      </c>
    </row>
    <row r="47" spans="1:18">
      <c r="B47" s="14" t="s">
        <v>0</v>
      </c>
      <c r="E47" s="15" t="str">
        <f t="shared" si="0"/>
        <v>■</v>
      </c>
      <c r="I47" s="14">
        <v>30</v>
      </c>
      <c r="M47" s="14" t="s">
        <v>9158</v>
      </c>
      <c r="N47" s="14" t="s">
        <v>9158</v>
      </c>
      <c r="O47" s="14" t="s">
        <v>9158</v>
      </c>
      <c r="P47" s="14" t="s">
        <v>9158</v>
      </c>
      <c r="Q47" s="14" t="s">
        <v>9158</v>
      </c>
    </row>
    <row r="48" spans="1:18">
      <c r="B48" s="14" t="s">
        <v>15</v>
      </c>
      <c r="E48" s="15" t="str">
        <f t="shared" si="0"/>
        <v>■</v>
      </c>
      <c r="I48" s="14">
        <v>27</v>
      </c>
      <c r="M48" s="14" t="s">
        <v>9158</v>
      </c>
      <c r="N48" s="14" t="s">
        <v>9158</v>
      </c>
      <c r="O48" s="14" t="s">
        <v>9158</v>
      </c>
      <c r="P48" s="14" t="s">
        <v>9158</v>
      </c>
      <c r="Q48" s="14" t="s">
        <v>9158</v>
      </c>
    </row>
    <row r="49" spans="1:17">
      <c r="B49" s="14" t="s">
        <v>15</v>
      </c>
      <c r="E49" s="15" t="str">
        <f t="shared" si="0"/>
        <v>■</v>
      </c>
      <c r="I49" s="14">
        <v>27</v>
      </c>
      <c r="M49" s="14" t="s">
        <v>9158</v>
      </c>
      <c r="N49" s="14" t="s">
        <v>9158</v>
      </c>
      <c r="O49" s="14" t="s">
        <v>9158</v>
      </c>
      <c r="P49" s="14" t="s">
        <v>9158</v>
      </c>
      <c r="Q49" s="14" t="s">
        <v>9158</v>
      </c>
    </row>
    <row r="50" spans="1:17">
      <c r="B50" s="14" t="s">
        <v>15</v>
      </c>
      <c r="E50" s="15" t="str">
        <f t="shared" si="0"/>
        <v>■</v>
      </c>
      <c r="I50" s="14">
        <v>27</v>
      </c>
      <c r="M50" s="14" t="s">
        <v>9158</v>
      </c>
      <c r="N50" s="14" t="s">
        <v>9158</v>
      </c>
      <c r="O50" s="14" t="s">
        <v>9158</v>
      </c>
      <c r="P50" s="14" t="s">
        <v>9158</v>
      </c>
      <c r="Q50" s="14" t="s">
        <v>9158</v>
      </c>
    </row>
    <row r="52" spans="1:17">
      <c r="A52" s="14" t="s">
        <v>13431</v>
      </c>
    </row>
    <row r="54" spans="1:17">
      <c r="B54" s="7" t="s">
        <v>52</v>
      </c>
      <c r="C54" s="14" t="s">
        <v>202</v>
      </c>
      <c r="D54" s="18"/>
      <c r="E54" s="15" t="str">
        <f t="shared" ref="E54:E64" si="1">HYPERLINK("", "■")</f>
        <v>■</v>
      </c>
      <c r="I54" s="7">
        <v>29</v>
      </c>
      <c r="M54" s="14" t="s">
        <v>9158</v>
      </c>
      <c r="N54" s="14" t="s">
        <v>9158</v>
      </c>
      <c r="O54" s="7" t="s">
        <v>6596</v>
      </c>
      <c r="P54" s="7" t="s">
        <v>6596</v>
      </c>
      <c r="Q54" s="7" t="s">
        <v>6596</v>
      </c>
    </row>
    <row r="55" spans="1:17">
      <c r="B55" s="7" t="s">
        <v>52</v>
      </c>
      <c r="C55" s="14" t="s">
        <v>202</v>
      </c>
      <c r="D55" s="18"/>
      <c r="E55" s="15" t="str">
        <f t="shared" si="1"/>
        <v>■</v>
      </c>
      <c r="I55" s="7">
        <v>29</v>
      </c>
      <c r="M55" s="14" t="s">
        <v>9158</v>
      </c>
      <c r="N55" s="14" t="s">
        <v>9158</v>
      </c>
      <c r="O55" s="7" t="s">
        <v>6596</v>
      </c>
      <c r="P55" s="7" t="s">
        <v>6596</v>
      </c>
      <c r="Q55" s="7" t="s">
        <v>6596</v>
      </c>
    </row>
    <row r="56" spans="1:17">
      <c r="B56" s="7" t="s">
        <v>52</v>
      </c>
      <c r="C56" s="14" t="s">
        <v>202</v>
      </c>
      <c r="D56" s="18"/>
      <c r="E56" s="15" t="str">
        <f t="shared" si="1"/>
        <v>■</v>
      </c>
      <c r="I56" s="7">
        <v>29</v>
      </c>
      <c r="M56" s="14" t="s">
        <v>9158</v>
      </c>
      <c r="N56" s="14" t="s">
        <v>9158</v>
      </c>
      <c r="O56" s="7" t="s">
        <v>6596</v>
      </c>
      <c r="P56" s="7" t="s">
        <v>6596</v>
      </c>
      <c r="Q56" s="7" t="s">
        <v>6596</v>
      </c>
    </row>
    <row r="57" spans="1:17">
      <c r="A57" s="7"/>
      <c r="B57" s="7" t="s">
        <v>52</v>
      </c>
      <c r="C57" s="7" t="s">
        <v>202</v>
      </c>
      <c r="D57" s="20"/>
      <c r="E57" s="15" t="str">
        <f t="shared" si="1"/>
        <v>■</v>
      </c>
      <c r="F57" s="7"/>
      <c r="G57" s="7"/>
      <c r="H57" s="7"/>
      <c r="I57" s="7">
        <v>29</v>
      </c>
      <c r="K57" s="7"/>
      <c r="L57" s="7"/>
      <c r="M57" s="14" t="s">
        <v>9158</v>
      </c>
      <c r="N57" s="14" t="s">
        <v>9158</v>
      </c>
      <c r="O57" s="7" t="s">
        <v>6596</v>
      </c>
      <c r="P57" s="7" t="s">
        <v>6596</v>
      </c>
      <c r="Q57" s="7" t="s">
        <v>6596</v>
      </c>
    </row>
    <row r="58" spans="1:17">
      <c r="B58" s="14" t="s">
        <v>330</v>
      </c>
      <c r="C58" s="14" t="s">
        <v>202</v>
      </c>
      <c r="D58" s="20"/>
      <c r="E58" s="15" t="str">
        <f t="shared" si="1"/>
        <v>■</v>
      </c>
      <c r="I58" s="14">
        <v>29</v>
      </c>
      <c r="M58" s="14" t="s">
        <v>9158</v>
      </c>
      <c r="N58" s="14" t="s">
        <v>9158</v>
      </c>
      <c r="O58" s="7" t="s">
        <v>6596</v>
      </c>
      <c r="P58" s="7" t="s">
        <v>6596</v>
      </c>
      <c r="Q58" s="7" t="s">
        <v>6596</v>
      </c>
    </row>
    <row r="59" spans="1:17">
      <c r="B59" s="14" t="s">
        <v>334</v>
      </c>
      <c r="C59" s="14" t="s">
        <v>185</v>
      </c>
      <c r="D59" s="19"/>
      <c r="E59" s="15" t="str">
        <f t="shared" si="1"/>
        <v>■</v>
      </c>
      <c r="I59" s="14">
        <v>30</v>
      </c>
      <c r="M59" s="14" t="s">
        <v>9158</v>
      </c>
      <c r="N59" s="14" t="s">
        <v>9158</v>
      </c>
      <c r="O59" s="14" t="s">
        <v>9158</v>
      </c>
      <c r="P59" s="14" t="s">
        <v>9158</v>
      </c>
      <c r="Q59" s="14" t="s">
        <v>9158</v>
      </c>
    </row>
    <row r="60" spans="1:17">
      <c r="A60" s="7"/>
      <c r="B60" s="14" t="s">
        <v>334</v>
      </c>
      <c r="C60" s="14" t="s">
        <v>200</v>
      </c>
      <c r="D60" s="20"/>
      <c r="E60" s="15" t="str">
        <f t="shared" si="1"/>
        <v>■</v>
      </c>
      <c r="I60" s="14">
        <v>30</v>
      </c>
      <c r="M60" s="14" t="s">
        <v>9158</v>
      </c>
      <c r="N60" s="14" t="s">
        <v>9158</v>
      </c>
      <c r="O60" s="14" t="s">
        <v>9158</v>
      </c>
      <c r="P60" s="14" t="s">
        <v>9158</v>
      </c>
      <c r="Q60" s="14" t="s">
        <v>9158</v>
      </c>
    </row>
    <row r="61" spans="1:17">
      <c r="A61" s="7"/>
      <c r="B61" s="14" t="s">
        <v>334</v>
      </c>
      <c r="C61" s="14" t="s">
        <v>191</v>
      </c>
      <c r="D61" s="20"/>
      <c r="E61" s="15" t="str">
        <f t="shared" si="1"/>
        <v>■</v>
      </c>
      <c r="I61" s="14">
        <v>30</v>
      </c>
      <c r="M61" s="14" t="s">
        <v>9158</v>
      </c>
      <c r="N61" s="14" t="s">
        <v>9158</v>
      </c>
      <c r="O61" s="14" t="s">
        <v>9158</v>
      </c>
      <c r="P61" s="14" t="s">
        <v>9158</v>
      </c>
      <c r="Q61" s="14" t="s">
        <v>9158</v>
      </c>
    </row>
    <row r="62" spans="1:17">
      <c r="A62" s="9"/>
      <c r="B62" s="14" t="s">
        <v>334</v>
      </c>
      <c r="C62" s="14" t="s">
        <v>165</v>
      </c>
      <c r="E62" s="15" t="str">
        <f t="shared" si="1"/>
        <v>■</v>
      </c>
      <c r="I62" s="14">
        <v>30</v>
      </c>
      <c r="M62" s="14" t="s">
        <v>9158</v>
      </c>
      <c r="N62" s="14" t="s">
        <v>9158</v>
      </c>
      <c r="O62" s="14" t="s">
        <v>9158</v>
      </c>
      <c r="P62" s="14" t="s">
        <v>9158</v>
      </c>
      <c r="Q62" s="14" t="s">
        <v>9158</v>
      </c>
    </row>
    <row r="63" spans="1:17">
      <c r="B63" s="14" t="s">
        <v>334</v>
      </c>
      <c r="C63" s="14" t="s">
        <v>1</v>
      </c>
      <c r="D63" s="19"/>
      <c r="E63" s="15" t="str">
        <f t="shared" si="1"/>
        <v>■</v>
      </c>
      <c r="I63" s="14">
        <v>30</v>
      </c>
      <c r="M63" s="14" t="s">
        <v>9158</v>
      </c>
      <c r="N63" s="14" t="s">
        <v>9158</v>
      </c>
      <c r="O63" s="14" t="s">
        <v>9158</v>
      </c>
      <c r="P63" s="14" t="s">
        <v>9158</v>
      </c>
      <c r="Q63" s="14" t="s">
        <v>9158</v>
      </c>
    </row>
    <row r="64" spans="1:17">
      <c r="A64" s="7"/>
      <c r="B64" s="14" t="s">
        <v>334</v>
      </c>
      <c r="C64" s="14" t="s">
        <v>206</v>
      </c>
      <c r="D64" s="20"/>
      <c r="E64" s="15" t="str">
        <f t="shared" si="1"/>
        <v>■</v>
      </c>
      <c r="I64" s="14">
        <v>30</v>
      </c>
      <c r="M64" s="14" t="s">
        <v>9158</v>
      </c>
      <c r="N64" s="14" t="s">
        <v>9158</v>
      </c>
      <c r="O64" s="14" t="s">
        <v>9158</v>
      </c>
      <c r="P64" s="14" t="s">
        <v>9158</v>
      </c>
      <c r="Q64" s="14" t="s">
        <v>9158</v>
      </c>
    </row>
    <row r="73" spans="1:18">
      <c r="A73" s="14" t="s">
        <v>13327</v>
      </c>
    </row>
    <row r="74" spans="1:18">
      <c r="A74" s="14">
        <v>112234</v>
      </c>
      <c r="B74" s="14" t="s">
        <v>6705</v>
      </c>
    </row>
    <row r="75" spans="1:18">
      <c r="A75" s="14">
        <v>200463</v>
      </c>
      <c r="B75" s="14" t="s">
        <v>0</v>
      </c>
      <c r="C75" s="14" t="s">
        <v>335</v>
      </c>
      <c r="D75" s="14" t="s">
        <v>17725</v>
      </c>
      <c r="E75" s="15" t="str">
        <f>HYPERLINK("https://stat100.ameba.jp/tnk47/ratio20/illustrations/card/ill_200463_bakusanoshieiuddo03.jpg?202109-5-RELEASE-marathon-551xx", "■")</f>
        <v>■</v>
      </c>
      <c r="F75" s="14" t="s">
        <v>17724</v>
      </c>
      <c r="G75" s="14">
        <v>147692</v>
      </c>
      <c r="H75" s="14">
        <v>137316</v>
      </c>
      <c r="I75" s="14">
        <v>30</v>
      </c>
      <c r="J75" s="14" t="s">
        <v>143</v>
      </c>
      <c r="K75" s="14" t="s">
        <v>17723</v>
      </c>
      <c r="L75" s="14" t="s">
        <v>17722</v>
      </c>
      <c r="M75" s="14" t="s">
        <v>2138</v>
      </c>
      <c r="N75" s="14" t="s">
        <v>2139</v>
      </c>
      <c r="O75" s="14" t="s">
        <v>9158</v>
      </c>
      <c r="P75" s="14" t="s">
        <v>9158</v>
      </c>
      <c r="Q75" s="14" t="s">
        <v>9158</v>
      </c>
      <c r="R75" s="14" t="s">
        <v>14748</v>
      </c>
    </row>
    <row r="76" spans="1:18">
      <c r="A76" s="14">
        <v>200462</v>
      </c>
      <c r="B76" s="14" t="s">
        <v>0</v>
      </c>
      <c r="C76" s="14" t="s">
        <v>335</v>
      </c>
      <c r="D76" s="14" t="s">
        <v>17725</v>
      </c>
      <c r="E76" s="15" t="str">
        <f>HYPERLINK("https://stat100.ameba.jp/tnk47/ratio20/illustrations/card/ill_200462_bakusanoshieiuddo02.jpg?202109-5-RELEASE-marathon-551xx", "■")</f>
        <v>■</v>
      </c>
      <c r="F76" s="14" t="s">
        <v>17724</v>
      </c>
      <c r="G76" s="14">
        <v>123462</v>
      </c>
      <c r="H76" s="14">
        <v>113730</v>
      </c>
      <c r="I76" s="14">
        <v>30</v>
      </c>
      <c r="J76" s="14" t="s">
        <v>143</v>
      </c>
      <c r="K76" s="14" t="s">
        <v>17723</v>
      </c>
      <c r="L76" s="14" t="s">
        <v>17726</v>
      </c>
      <c r="M76" s="14" t="s">
        <v>13270</v>
      </c>
      <c r="N76" s="14" t="s">
        <v>13271</v>
      </c>
      <c r="O76" s="14" t="s">
        <v>9158</v>
      </c>
      <c r="P76" s="14" t="s">
        <v>9158</v>
      </c>
      <c r="Q76" s="14" t="s">
        <v>9158</v>
      </c>
      <c r="R76" s="14" t="s">
        <v>14748</v>
      </c>
    </row>
    <row r="77" spans="1:18">
      <c r="A77" s="14">
        <v>200461</v>
      </c>
      <c r="B77" s="14" t="s">
        <v>0</v>
      </c>
      <c r="C77" s="14" t="s">
        <v>335</v>
      </c>
      <c r="D77" s="14" t="s">
        <v>17725</v>
      </c>
      <c r="E77" s="15" t="str">
        <f>HYPERLINK("https://stat100.ameba.jp/tnk47/ratio20/illustrations/card/ill_200461_bakusanoshieiuddo01.jpg?202109-5-RELEASE-marathon-551xx", "■")</f>
        <v>■</v>
      </c>
      <c r="F77" s="14" t="s">
        <v>17724</v>
      </c>
      <c r="G77" s="14">
        <v>94260</v>
      </c>
      <c r="H77" s="14">
        <v>87750</v>
      </c>
      <c r="I77" s="14">
        <v>30</v>
      </c>
      <c r="J77" s="14" t="s">
        <v>143</v>
      </c>
      <c r="K77" s="14" t="s">
        <v>17723</v>
      </c>
      <c r="L77" s="14" t="s">
        <v>17727</v>
      </c>
      <c r="M77" s="14" t="s">
        <v>13270</v>
      </c>
      <c r="N77" s="14" t="s">
        <v>13271</v>
      </c>
      <c r="O77" s="14" t="s">
        <v>9158</v>
      </c>
      <c r="P77" s="14" t="s">
        <v>9158</v>
      </c>
      <c r="Q77" s="14" t="s">
        <v>9158</v>
      </c>
      <c r="R77" s="14" t="s">
        <v>14748</v>
      </c>
    </row>
    <row r="78" spans="1:18">
      <c r="A78" s="14">
        <v>200473</v>
      </c>
      <c r="B78" s="14" t="s">
        <v>0</v>
      </c>
      <c r="C78" s="14" t="s">
        <v>200</v>
      </c>
      <c r="D78" s="14" t="s">
        <v>17731</v>
      </c>
      <c r="E78" s="15" t="str">
        <f>HYPERLINK("https://stat100.ameba.jp/tnk47/ratio20/illustrations/card/ill_200473_hyuperion03.jpg?202109-5-RELEASE-marathon-551xx", "■")</f>
        <v>■</v>
      </c>
      <c r="F78" s="14" t="s">
        <v>17730</v>
      </c>
      <c r="G78" s="14">
        <v>147692</v>
      </c>
      <c r="H78" s="14">
        <v>137316</v>
      </c>
      <c r="I78" s="14">
        <v>30</v>
      </c>
      <c r="J78" s="14" t="s">
        <v>16</v>
      </c>
      <c r="K78" s="14" t="s">
        <v>17729</v>
      </c>
      <c r="L78" s="14" t="s">
        <v>17728</v>
      </c>
      <c r="M78" s="14" t="s">
        <v>2138</v>
      </c>
      <c r="N78" s="14" t="s">
        <v>2139</v>
      </c>
      <c r="O78" s="14" t="s">
        <v>9158</v>
      </c>
      <c r="P78" s="14" t="s">
        <v>9158</v>
      </c>
      <c r="Q78" s="14" t="s">
        <v>9158</v>
      </c>
      <c r="R78" s="14" t="s">
        <v>14748</v>
      </c>
    </row>
    <row r="79" spans="1:18">
      <c r="A79" s="14">
        <v>200483</v>
      </c>
      <c r="B79" s="14" t="s">
        <v>0</v>
      </c>
      <c r="C79" s="14" t="s">
        <v>307</v>
      </c>
      <c r="D79" s="14" t="s">
        <v>17735</v>
      </c>
      <c r="E79" s="15" t="str">
        <f>HYPERLINK("https://stat100.ameba.jp/tnk47/ratio20/illustrations/card/ill_200483_hemmennoaimei03.jpg?202109-5-RELEASE-marathon-551xx", "■")</f>
        <v>■</v>
      </c>
      <c r="F79" s="14" t="s">
        <v>17734</v>
      </c>
      <c r="G79" s="14">
        <v>137316</v>
      </c>
      <c r="H79" s="14">
        <v>147692</v>
      </c>
      <c r="I79" s="14">
        <v>30</v>
      </c>
      <c r="J79" s="14" t="s">
        <v>26</v>
      </c>
      <c r="K79" s="14" t="s">
        <v>17733</v>
      </c>
      <c r="L79" s="14" t="s">
        <v>17732</v>
      </c>
      <c r="M79" s="14" t="s">
        <v>2138</v>
      </c>
      <c r="N79" s="14" t="s">
        <v>2139</v>
      </c>
      <c r="O79" s="14" t="s">
        <v>9158</v>
      </c>
      <c r="P79" s="14" t="s">
        <v>9158</v>
      </c>
      <c r="Q79" s="14" t="s">
        <v>9158</v>
      </c>
      <c r="R79" s="14" t="s">
        <v>14748</v>
      </c>
    </row>
    <row r="80" spans="1:18">
      <c r="A80" s="14">
        <v>200493</v>
      </c>
      <c r="B80" s="14" t="s">
        <v>0</v>
      </c>
      <c r="C80" s="14" t="s">
        <v>165</v>
      </c>
      <c r="D80" s="14" t="s">
        <v>17739</v>
      </c>
      <c r="E80" s="15" t="str">
        <f>HYPERLINK("https://stat100.ameba.jp/tnk47/ratio20/illustrations/card/ill_200493_futeruna03.jpg?202109-5-RELEASE-marathon-551xx", "■")</f>
        <v>■</v>
      </c>
      <c r="F80" s="14" t="s">
        <v>17738</v>
      </c>
      <c r="G80" s="14">
        <v>147692</v>
      </c>
      <c r="H80" s="14">
        <v>137316</v>
      </c>
      <c r="I80" s="14">
        <v>30</v>
      </c>
      <c r="J80" s="14" t="s">
        <v>38</v>
      </c>
      <c r="K80" s="14" t="s">
        <v>17737</v>
      </c>
      <c r="L80" s="14" t="s">
        <v>17736</v>
      </c>
      <c r="M80" s="14" t="s">
        <v>2138</v>
      </c>
      <c r="N80" s="14" t="s">
        <v>2139</v>
      </c>
      <c r="O80" s="14" t="s">
        <v>9158</v>
      </c>
      <c r="P80" s="14" t="s">
        <v>9158</v>
      </c>
      <c r="Q80" s="14" t="s">
        <v>9158</v>
      </c>
      <c r="R80" s="14" t="s">
        <v>14748</v>
      </c>
    </row>
    <row r="81" spans="1:18">
      <c r="A81" s="14">
        <v>200503</v>
      </c>
      <c r="B81" s="14" t="s">
        <v>0</v>
      </c>
      <c r="C81" s="9" t="s">
        <v>205</v>
      </c>
      <c r="D81" s="14" t="s">
        <v>17743</v>
      </c>
      <c r="E81" s="15" t="str">
        <f>HYPERLINK("https://stat100.ameba.jp/tnk47/ratio20/illustrations/card/ill_200503_katoburepasu03.jpg?202109-5-RELEASE-marathon-551xx", "■")</f>
        <v>■</v>
      </c>
      <c r="F81" s="14" t="s">
        <v>17742</v>
      </c>
      <c r="G81" s="14">
        <v>137316</v>
      </c>
      <c r="H81" s="14">
        <v>147692</v>
      </c>
      <c r="I81" s="14">
        <v>30</v>
      </c>
      <c r="J81" s="14" t="s">
        <v>73</v>
      </c>
      <c r="K81" s="14" t="s">
        <v>17741</v>
      </c>
      <c r="L81" s="14" t="s">
        <v>17740</v>
      </c>
      <c r="M81" s="14" t="s">
        <v>2138</v>
      </c>
      <c r="N81" s="14" t="s">
        <v>2139</v>
      </c>
      <c r="O81" s="14" t="s">
        <v>9158</v>
      </c>
      <c r="P81" s="14" t="s">
        <v>9158</v>
      </c>
      <c r="Q81" s="14" t="s">
        <v>9158</v>
      </c>
      <c r="R81" s="14" t="s">
        <v>14748</v>
      </c>
    </row>
    <row r="82" spans="1:18">
      <c r="A82" s="14">
        <v>200513</v>
      </c>
      <c r="B82" s="14" t="s">
        <v>0</v>
      </c>
      <c r="C82" s="14" t="s">
        <v>206</v>
      </c>
      <c r="D82" s="14" t="s">
        <v>17747</v>
      </c>
      <c r="E82" s="15" t="str">
        <f>HYPERLINK("https://stat100.ameba.jp/tnk47/ratio20/illustrations/card/ill_200513_jidarakunadeishiramu03.jpg?202109-5-RELEASE-marathon-551xx", "■")</f>
        <v>■</v>
      </c>
      <c r="F82" s="14" t="s">
        <v>17746</v>
      </c>
      <c r="G82" s="14">
        <v>137316</v>
      </c>
      <c r="H82" s="14">
        <v>147692</v>
      </c>
      <c r="I82" s="14">
        <v>30</v>
      </c>
      <c r="J82" s="14" t="s">
        <v>104</v>
      </c>
      <c r="K82" s="14" t="s">
        <v>17745</v>
      </c>
      <c r="L82" s="14" t="s">
        <v>17744</v>
      </c>
      <c r="M82" s="14" t="s">
        <v>2138</v>
      </c>
      <c r="N82" s="14" t="s">
        <v>2139</v>
      </c>
      <c r="O82" s="14" t="s">
        <v>9158</v>
      </c>
      <c r="P82" s="14" t="s">
        <v>9158</v>
      </c>
      <c r="Q82" s="14" t="s">
        <v>9158</v>
      </c>
      <c r="R82" s="14" t="s">
        <v>14748</v>
      </c>
    </row>
    <row r="516" spans="1:17">
      <c r="A516" s="14" t="s">
        <v>17697</v>
      </c>
    </row>
    <row r="517" spans="1:17">
      <c r="A517" s="14">
        <v>240907</v>
      </c>
      <c r="B517" s="14" t="s">
        <v>7066</v>
      </c>
    </row>
    <row r="518" spans="1:17">
      <c r="A518" s="14">
        <v>240913</v>
      </c>
      <c r="B518" s="14" t="s">
        <v>7650</v>
      </c>
    </row>
    <row r="519" spans="1:17">
      <c r="A519" s="14" t="s">
        <v>17705</v>
      </c>
      <c r="B519" s="14" t="s">
        <v>52</v>
      </c>
      <c r="C519" s="14" t="s">
        <v>35</v>
      </c>
      <c r="D519" s="14" t="s">
        <v>17704</v>
      </c>
      <c r="E519" s="15" t="str">
        <f>HYPERLINK("https://stat100.ameba.jp/tnk47/ratio20/illustrations/card/ill_200363_0_shukuenkiyohime03.jpg?202110-5-RELEASE-marathon-556", "■")</f>
        <v>■</v>
      </c>
      <c r="F519" s="14" t="s">
        <v>17703</v>
      </c>
      <c r="G519" s="14">
        <v>278622</v>
      </c>
      <c r="H519" s="14">
        <v>308246</v>
      </c>
      <c r="I519" s="14">
        <v>30</v>
      </c>
      <c r="J519" s="14" t="s">
        <v>77</v>
      </c>
      <c r="K519" s="14" t="s">
        <v>17702</v>
      </c>
      <c r="L519" s="14" t="s">
        <v>17701</v>
      </c>
      <c r="M519" s="14" t="s">
        <v>9158</v>
      </c>
      <c r="N519" s="14" t="s">
        <v>9158</v>
      </c>
      <c r="O519" s="14" t="s">
        <v>17700</v>
      </c>
      <c r="P519" s="14" t="s">
        <v>17699</v>
      </c>
      <c r="Q519" s="14">
        <v>1</v>
      </c>
    </row>
    <row r="520" spans="1:17">
      <c r="A520" s="14">
        <v>200833</v>
      </c>
      <c r="B520" s="14" t="s">
        <v>0</v>
      </c>
      <c r="C520" s="14" t="s">
        <v>107</v>
      </c>
      <c r="D520" s="14" t="s">
        <v>17708</v>
      </c>
      <c r="E520" s="15" t="str">
        <f>HYPERLINK("https://stat100.ameba.jp/tnk47/ratio20/illustrations/card/ill_200833_hitsujikainofuiromeria03.jpg?202110-5-RELEASE-marathon-556", "■")</f>
        <v>■</v>
      </c>
      <c r="F520" s="14" t="s">
        <v>17707</v>
      </c>
      <c r="G520" s="14">
        <v>108912</v>
      </c>
      <c r="H520" s="14">
        <v>117182</v>
      </c>
      <c r="I520" s="14">
        <v>30</v>
      </c>
      <c r="J520" s="14" t="s">
        <v>16</v>
      </c>
      <c r="K520" s="14" t="s">
        <v>17706</v>
      </c>
      <c r="L520" s="14" t="s">
        <v>17614</v>
      </c>
      <c r="M520" s="14" t="s">
        <v>9158</v>
      </c>
      <c r="N520" s="14" t="s">
        <v>9158</v>
      </c>
      <c r="O520" s="14" t="s">
        <v>9158</v>
      </c>
      <c r="P520" s="14" t="s">
        <v>9158</v>
      </c>
      <c r="Q520" s="14" t="s">
        <v>9158</v>
      </c>
    </row>
    <row r="521" spans="1:17">
      <c r="A521" s="14">
        <v>200843</v>
      </c>
      <c r="B521" s="14" t="s">
        <v>0</v>
      </c>
      <c r="C521" s="14" t="s">
        <v>1</v>
      </c>
      <c r="D521" s="14" t="s">
        <v>17711</v>
      </c>
      <c r="E521" s="15" t="str">
        <f>HYPERLINK("https://stat100.ameba.jp/tnk47/ratio20/illustrations/card/ill_200843_isutabanigohime03.jpg?202110-5-RELEASE-marathon-556", "■")</f>
        <v>■</v>
      </c>
      <c r="F521" s="14" t="s">
        <v>17710</v>
      </c>
      <c r="G521" s="14">
        <v>113762</v>
      </c>
      <c r="H521" s="14">
        <v>122366</v>
      </c>
      <c r="I521" s="14">
        <v>30</v>
      </c>
      <c r="J521" s="14" t="s">
        <v>77</v>
      </c>
      <c r="K521" s="14" t="s">
        <v>7564</v>
      </c>
      <c r="L521" s="14" t="s">
        <v>17709</v>
      </c>
      <c r="M521" s="14" t="s">
        <v>9158</v>
      </c>
      <c r="N521" s="14" t="s">
        <v>9158</v>
      </c>
      <c r="O521" s="14" t="s">
        <v>9158</v>
      </c>
      <c r="P521" s="14" t="s">
        <v>9158</v>
      </c>
      <c r="Q521" s="14" t="s">
        <v>9158</v>
      </c>
    </row>
    <row r="522" spans="1:17">
      <c r="A522" s="14">
        <v>200853</v>
      </c>
      <c r="B522" s="14" t="s">
        <v>15</v>
      </c>
      <c r="C522" s="14" t="s">
        <v>96</v>
      </c>
      <c r="D522" s="14" t="s">
        <v>17714</v>
      </c>
      <c r="E522" s="15" t="str">
        <f>HYPERLINK("https://stat100.ameba.jp/tnk47/ratio20/illustrations/card/ill_200853_nihonteria03.jpg?202110-5-RELEASE-marathon-556", "■")</f>
        <v>■</v>
      </c>
      <c r="F522" s="14" t="s">
        <v>17713</v>
      </c>
      <c r="G522" s="14">
        <v>88920</v>
      </c>
      <c r="H522" s="14">
        <v>80652</v>
      </c>
      <c r="I522" s="14">
        <v>30</v>
      </c>
      <c r="J522" s="14" t="s">
        <v>26</v>
      </c>
      <c r="K522" s="14" t="s">
        <v>17712</v>
      </c>
      <c r="L522" s="14" t="s">
        <v>2011</v>
      </c>
      <c r="M522" s="14" t="s">
        <v>9158</v>
      </c>
      <c r="N522" s="14" t="s">
        <v>9158</v>
      </c>
      <c r="O522" s="14" t="s">
        <v>9158</v>
      </c>
      <c r="P522" s="14" t="s">
        <v>9158</v>
      </c>
      <c r="Q522" s="14" t="s">
        <v>9158</v>
      </c>
    </row>
    <row r="523" spans="1:17">
      <c r="A523" s="14">
        <v>200863</v>
      </c>
      <c r="B523" s="14" t="s">
        <v>22</v>
      </c>
      <c r="C523" s="14" t="s">
        <v>23</v>
      </c>
      <c r="D523" s="14" t="s">
        <v>17717</v>
      </c>
      <c r="E523" s="15" t="str">
        <f>HYPERLINK("https://stat100.ameba.jp/tnk47/ratio20/illustrations/card/ill_200863_nobusuma03.jpg?202110-5-RELEASE-marathon-556", "■")</f>
        <v>■</v>
      </c>
      <c r="F523" s="14" t="s">
        <v>17716</v>
      </c>
      <c r="G523" s="14">
        <v>51864</v>
      </c>
      <c r="H523" s="14">
        <v>62376</v>
      </c>
      <c r="I523" s="14">
        <v>30</v>
      </c>
      <c r="J523" s="14" t="s">
        <v>73</v>
      </c>
      <c r="K523" s="14" t="s">
        <v>17715</v>
      </c>
      <c r="L523" s="14" t="s">
        <v>5881</v>
      </c>
      <c r="M523" s="14" t="s">
        <v>9158</v>
      </c>
      <c r="N523" s="14" t="s">
        <v>9158</v>
      </c>
      <c r="O523" s="14" t="s">
        <v>9158</v>
      </c>
      <c r="P523" s="14" t="s">
        <v>9158</v>
      </c>
      <c r="Q523" s="14" t="s">
        <v>9158</v>
      </c>
    </row>
    <row r="524" spans="1:17">
      <c r="A524" s="14">
        <v>200873</v>
      </c>
      <c r="B524" s="14" t="s">
        <v>22</v>
      </c>
      <c r="C524" s="14" t="s">
        <v>14</v>
      </c>
      <c r="D524" s="14" t="s">
        <v>17720</v>
      </c>
      <c r="E524" s="15" t="str">
        <f>HYPERLINK("https://stat100.ameba.jp/tnk47/ratio20/illustrations/card/ill_200873_dongurikorokoro03.jpg?202110-5-RELEASE-marathon-556", "■")</f>
        <v>■</v>
      </c>
      <c r="F524" s="14" t="s">
        <v>17719</v>
      </c>
      <c r="G524" s="14">
        <v>62376</v>
      </c>
      <c r="H524" s="14">
        <v>51864</v>
      </c>
      <c r="I524" s="14">
        <v>30</v>
      </c>
      <c r="J524" s="14" t="s">
        <v>38</v>
      </c>
      <c r="K524" s="14" t="s">
        <v>17718</v>
      </c>
      <c r="L524" s="14" t="s">
        <v>7248</v>
      </c>
      <c r="M524" s="14" t="s">
        <v>9158</v>
      </c>
      <c r="N524" s="14" t="s">
        <v>9158</v>
      </c>
      <c r="O524" s="14" t="s">
        <v>9158</v>
      </c>
      <c r="P524" s="14" t="s">
        <v>9158</v>
      </c>
      <c r="Q524" s="14" t="s">
        <v>9158</v>
      </c>
    </row>
    <row r="526" spans="1:17">
      <c r="A526" s="14" t="s">
        <v>3844</v>
      </c>
    </row>
    <row r="527" spans="1:17">
      <c r="A527" s="14">
        <v>111976</v>
      </c>
      <c r="B527" s="14" t="s">
        <v>17698</v>
      </c>
    </row>
    <row r="528" spans="1:17">
      <c r="A528" s="14" t="s">
        <v>15831</v>
      </c>
      <c r="B528" s="7" t="s">
        <v>52</v>
      </c>
      <c r="C528" s="14" t="s">
        <v>202</v>
      </c>
      <c r="D528" s="18" t="s">
        <v>15825</v>
      </c>
      <c r="E528" s="15" t="str">
        <f>HYPERLINK("https://stat100.ameba.jp/tnk47/ratio20/illustrations/card/ill_94293_0_kurisumasupurezentofukudahideko03.jpg?202110-5-RELEASE-marathon-556", "■")</f>
        <v>■</v>
      </c>
      <c r="F528" s="14" t="s">
        <v>15830</v>
      </c>
      <c r="G528" s="14">
        <v>308104</v>
      </c>
      <c r="H528" s="14">
        <v>278470</v>
      </c>
      <c r="I528" s="7">
        <v>28</v>
      </c>
      <c r="J528" s="14" t="s">
        <v>16</v>
      </c>
      <c r="K528" s="14" t="s">
        <v>15829</v>
      </c>
      <c r="L528" s="14" t="s">
        <v>15828</v>
      </c>
      <c r="M528" s="14" t="s">
        <v>9158</v>
      </c>
      <c r="N528" s="14" t="s">
        <v>9158</v>
      </c>
      <c r="O528" s="6" t="s">
        <v>15827</v>
      </c>
      <c r="P528" s="7" t="s">
        <v>15826</v>
      </c>
      <c r="Q528" s="7">
        <v>1</v>
      </c>
    </row>
    <row r="529" spans="1:17">
      <c r="A529" s="14">
        <v>76243</v>
      </c>
      <c r="B529" s="14" t="s">
        <v>334</v>
      </c>
      <c r="C529" s="14" t="s">
        <v>335</v>
      </c>
      <c r="D529" s="20" t="s">
        <v>10263</v>
      </c>
      <c r="E529" s="15" t="str">
        <f>HYPERLINK("https://stat100.ameba.jp/tnk47/ratio20/illustrations/card/ill_76243_haroinkaraguchinihonshuchan03.jpg?202110-5-RELEASE-marathon-556", "■")</f>
        <v>■</v>
      </c>
      <c r="F529" s="14" t="s">
        <v>336</v>
      </c>
      <c r="G529" s="14">
        <v>141676</v>
      </c>
      <c r="H529" s="14">
        <v>131742</v>
      </c>
      <c r="I529" s="14">
        <v>30</v>
      </c>
      <c r="J529" s="14" t="s">
        <v>283</v>
      </c>
      <c r="K529" s="14" t="s">
        <v>337</v>
      </c>
      <c r="L529" s="14" t="s">
        <v>338</v>
      </c>
      <c r="M529" s="14" t="s">
        <v>9158</v>
      </c>
      <c r="N529" s="14" t="s">
        <v>9158</v>
      </c>
      <c r="O529" s="19" t="s">
        <v>10090</v>
      </c>
      <c r="P529" s="14" t="s">
        <v>3561</v>
      </c>
      <c r="Q529" s="14">
        <v>1</v>
      </c>
    </row>
    <row r="530" spans="1:17">
      <c r="A530" s="14">
        <v>85483</v>
      </c>
      <c r="B530" s="14" t="s">
        <v>0</v>
      </c>
      <c r="C530" s="14" t="s">
        <v>206</v>
      </c>
      <c r="D530" s="20" t="s">
        <v>10807</v>
      </c>
      <c r="E530" s="15" t="str">
        <f>HYPERLINK("https://stat100.ameba.jp/tnk47/ratio20/illustrations/card/ill_85483_seitankuronikururirimu03.jpg?202110-5-RELEASE-marathon-556", "■")</f>
        <v>■</v>
      </c>
      <c r="F530" s="14" t="s">
        <v>8445</v>
      </c>
      <c r="G530" s="14">
        <v>124996</v>
      </c>
      <c r="H530" s="14">
        <v>116244</v>
      </c>
      <c r="I530" s="14">
        <v>30</v>
      </c>
      <c r="J530" s="14" t="s">
        <v>182</v>
      </c>
      <c r="K530" s="14" t="s">
        <v>8444</v>
      </c>
      <c r="L530" s="14" t="s">
        <v>2308</v>
      </c>
      <c r="M530" s="14" t="s">
        <v>9158</v>
      </c>
      <c r="N530" s="14" t="s">
        <v>9158</v>
      </c>
      <c r="O530" s="19" t="s">
        <v>10086</v>
      </c>
      <c r="P530" s="14" t="s">
        <v>3701</v>
      </c>
      <c r="Q530" s="14">
        <v>1</v>
      </c>
    </row>
    <row r="531" spans="1:17">
      <c r="A531" s="14">
        <v>63853</v>
      </c>
      <c r="B531" s="14" t="s">
        <v>334</v>
      </c>
      <c r="C531" s="14" t="s">
        <v>200</v>
      </c>
      <c r="D531" s="20" t="s">
        <v>10284</v>
      </c>
      <c r="E531" s="15" t="str">
        <f>HYPERLINK("https://stat100.ameba.jp/tnk47/ratio20/illustrations/card/ill_63853_daikokaijidainansosatomihakkenden03.jpg?202110-5-RELEASE-marathon-556", "■")</f>
        <v>■</v>
      </c>
      <c r="F531" s="14" t="s">
        <v>941</v>
      </c>
      <c r="G531" s="14">
        <v>127070</v>
      </c>
      <c r="H531" s="14">
        <v>136910</v>
      </c>
      <c r="I531" s="14">
        <v>30</v>
      </c>
      <c r="J531" s="14" t="s">
        <v>155</v>
      </c>
      <c r="K531" s="14" t="s">
        <v>942</v>
      </c>
      <c r="L531" s="14" t="s">
        <v>13149</v>
      </c>
      <c r="M531" s="14" t="s">
        <v>9158</v>
      </c>
      <c r="N531" s="14" t="s">
        <v>9158</v>
      </c>
      <c r="O531" s="19" t="s">
        <v>10121</v>
      </c>
      <c r="P531" s="14" t="s">
        <v>3330</v>
      </c>
      <c r="Q531" s="14">
        <v>1</v>
      </c>
    </row>
  </sheetData>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B0F9D-9ED4-42D1-BF54-02F5C8F88B36}">
  <dimension ref="A1:V609"/>
  <sheetViews>
    <sheetView zoomScale="55" zoomScaleNormal="55" workbookViewId="0">
      <pane ySplit="1" topLeftCell="A353" activePane="bottomLeft" state="frozen"/>
      <selection activeCell="A231" sqref="A231:Q231"/>
      <selection pane="bottomLeft"/>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17955</v>
      </c>
    </row>
    <row r="4" spans="1:19">
      <c r="A4" s="14">
        <v>312395</v>
      </c>
      <c r="B4" s="14" t="s">
        <v>15019</v>
      </c>
    </row>
    <row r="5" spans="1:19">
      <c r="A5" s="14">
        <v>312444</v>
      </c>
      <c r="B5" s="14" t="s">
        <v>15018</v>
      </c>
    </row>
    <row r="6" spans="1:19">
      <c r="A6" s="14" t="s">
        <v>17940</v>
      </c>
      <c r="B6" s="7" t="s">
        <v>52</v>
      </c>
      <c r="C6" s="14" t="s">
        <v>202</v>
      </c>
      <c r="D6" s="18" t="s">
        <v>17941</v>
      </c>
      <c r="E6" s="15" t="str">
        <f>HYPERLINK("https://stat100.ameba.jp/tnk47/ratio20/illustrations/card/ill_201033_0_haroinresshaarisu03.jpg?202110-5-RELEASE-marathon-556xxx", "■")</f>
        <v>■</v>
      </c>
      <c r="F6" s="14" t="s">
        <v>17939</v>
      </c>
      <c r="G6" s="14">
        <v>359621</v>
      </c>
      <c r="H6" s="14">
        <v>325057</v>
      </c>
      <c r="I6" s="7">
        <v>35</v>
      </c>
      <c r="J6" s="14" t="s">
        <v>38</v>
      </c>
      <c r="K6" s="14" t="s">
        <v>17938</v>
      </c>
      <c r="L6" s="14" t="s">
        <v>17937</v>
      </c>
      <c r="M6" s="14" t="s">
        <v>9158</v>
      </c>
      <c r="N6" s="14" t="s">
        <v>9158</v>
      </c>
      <c r="O6" s="7" t="s">
        <v>17936</v>
      </c>
      <c r="P6" s="7" t="s">
        <v>17935</v>
      </c>
      <c r="Q6" s="7">
        <v>1</v>
      </c>
    </row>
    <row r="7" spans="1:19">
      <c r="A7" s="14">
        <v>200993</v>
      </c>
      <c r="B7" s="14" t="s">
        <v>0</v>
      </c>
      <c r="C7" s="14" t="s">
        <v>1</v>
      </c>
      <c r="D7" s="18" t="s">
        <v>17945</v>
      </c>
      <c r="E7" s="15" t="str">
        <f>HYPERLINK("https://stat100.ameba.jp/tnk47/ratio20/illustrations/card/ill_200993_haroinresshakurenotometsubaki03.jpg?202110-5-RELEASE-marathon-556xxx", "■")</f>
        <v>■</v>
      </c>
      <c r="F7" s="14" t="s">
        <v>17944</v>
      </c>
      <c r="G7" s="14">
        <v>122366</v>
      </c>
      <c r="H7" s="14">
        <v>113762</v>
      </c>
      <c r="I7" s="14">
        <v>30</v>
      </c>
      <c r="J7" s="14" t="s">
        <v>38</v>
      </c>
      <c r="K7" s="14" t="s">
        <v>17943</v>
      </c>
      <c r="L7" s="14" t="s">
        <v>17942</v>
      </c>
      <c r="M7" s="14" t="s">
        <v>9158</v>
      </c>
      <c r="N7" s="14" t="s">
        <v>9158</v>
      </c>
      <c r="O7" s="7" t="s">
        <v>4373</v>
      </c>
      <c r="P7" s="7" t="s">
        <v>4374</v>
      </c>
      <c r="Q7" s="7">
        <v>1</v>
      </c>
    </row>
    <row r="8" spans="1:19">
      <c r="A8" s="14">
        <v>200973</v>
      </c>
      <c r="B8" s="14" t="s">
        <v>0</v>
      </c>
      <c r="C8" s="14" t="s">
        <v>23</v>
      </c>
      <c r="D8" s="18" t="s">
        <v>17948</v>
      </c>
      <c r="E8" s="15" t="str">
        <f>HYPERLINK("https://stat100.ameba.jp/tnk47/ratio20/illustrations/card/ill_200973_haroinresshatsubofurishi03.jpg?202110-5-RELEASE-marathon-556xxx", "■")</f>
        <v>■</v>
      </c>
      <c r="F8" s="14" t="s">
        <v>17947</v>
      </c>
      <c r="G8" s="14">
        <v>178342</v>
      </c>
      <c r="H8" s="14">
        <v>165824</v>
      </c>
      <c r="I8" s="14">
        <v>30</v>
      </c>
      <c r="J8" s="14" t="s">
        <v>16</v>
      </c>
      <c r="K8" s="14" t="s">
        <v>17946</v>
      </c>
      <c r="L8" s="14" t="s">
        <v>12902</v>
      </c>
      <c r="M8" s="14" t="s">
        <v>2138</v>
      </c>
      <c r="N8" s="14" t="s">
        <v>2139</v>
      </c>
      <c r="O8" s="14" t="s">
        <v>9158</v>
      </c>
      <c r="P8" s="14" t="s">
        <v>9158</v>
      </c>
      <c r="Q8" s="14" t="s">
        <v>9158</v>
      </c>
      <c r="R8" s="14" t="s">
        <v>13120</v>
      </c>
    </row>
    <row r="9" spans="1:19">
      <c r="A9" s="14">
        <v>200983</v>
      </c>
      <c r="B9" s="14" t="s">
        <v>0</v>
      </c>
      <c r="C9" s="14" t="s">
        <v>96</v>
      </c>
      <c r="D9" s="18" t="s">
        <v>17951</v>
      </c>
      <c r="E9" s="15" t="str">
        <f>HYPERLINK("https://stat100.ameba.jp/tnk47/ratio20/illustrations/card/ill_200983_haroinresshakachiwarichan03.jpg?202110-5-RELEASE-marathon-556xxx", "■")</f>
        <v>■</v>
      </c>
      <c r="F9" s="14" t="s">
        <v>17950</v>
      </c>
      <c r="G9" s="14">
        <v>131742</v>
      </c>
      <c r="H9" s="14">
        <v>141676</v>
      </c>
      <c r="I9" s="14">
        <v>30</v>
      </c>
      <c r="J9" s="14" t="s">
        <v>104</v>
      </c>
      <c r="K9" s="14" t="s">
        <v>17949</v>
      </c>
      <c r="L9" s="14" t="s">
        <v>14546</v>
      </c>
      <c r="M9" s="14" t="s">
        <v>2138</v>
      </c>
      <c r="N9" s="14" t="s">
        <v>2139</v>
      </c>
      <c r="O9" s="14" t="s">
        <v>9158</v>
      </c>
      <c r="P9" s="14" t="s">
        <v>9158</v>
      </c>
      <c r="Q9" s="14" t="s">
        <v>9158</v>
      </c>
      <c r="R9" s="14" t="s">
        <v>13120</v>
      </c>
    </row>
    <row r="10" spans="1:19">
      <c r="A10" s="14">
        <v>201003</v>
      </c>
      <c r="B10" s="14" t="s">
        <v>15</v>
      </c>
      <c r="C10" s="14" t="s">
        <v>107</v>
      </c>
      <c r="D10" s="18" t="s">
        <v>17954</v>
      </c>
      <c r="E10" s="15" t="str">
        <f>HYPERLINK("https://stat100.ameba.jp/tnk47/ratio20/illustrations/card/ill_201003_haroinkameishokin03.jpg?202110-5-RELEASE-marathon-556xxx", "■")</f>
        <v>■</v>
      </c>
      <c r="F10" s="14" t="s">
        <v>17953</v>
      </c>
      <c r="G10" s="7">
        <v>80652</v>
      </c>
      <c r="H10" s="7">
        <v>88920</v>
      </c>
      <c r="I10" s="7">
        <v>30</v>
      </c>
      <c r="J10" s="14" t="s">
        <v>16</v>
      </c>
      <c r="K10" s="7" t="s">
        <v>17952</v>
      </c>
      <c r="L10" s="7" t="s">
        <v>3760</v>
      </c>
      <c r="M10" s="14" t="s">
        <v>9158</v>
      </c>
      <c r="N10" s="14" t="s">
        <v>9158</v>
      </c>
      <c r="O10" s="14" t="s">
        <v>9158</v>
      </c>
      <c r="P10" s="14" t="s">
        <v>9158</v>
      </c>
      <c r="Q10" s="14" t="s">
        <v>9158</v>
      </c>
    </row>
    <row r="11" spans="1:19">
      <c r="A11" s="14">
        <v>201013</v>
      </c>
      <c r="B11" s="14" t="s">
        <v>15</v>
      </c>
      <c r="C11" s="14" t="s">
        <v>14</v>
      </c>
      <c r="D11" s="18" t="s">
        <v>17958</v>
      </c>
      <c r="E11" s="15" t="str">
        <f>HYPERLINK("https://stat100.ameba.jp/tnk47/ratio20/illustrations/card/ill_201013_haroinnumagozen03.jpg?202110-5-RELEASE-marathon-556xxx", "■")</f>
        <v>■</v>
      </c>
      <c r="F11" s="14" t="s">
        <v>17957</v>
      </c>
      <c r="G11" s="7">
        <v>88920</v>
      </c>
      <c r="H11" s="7">
        <v>80652</v>
      </c>
      <c r="I11" s="7">
        <v>30</v>
      </c>
      <c r="J11" s="14" t="s">
        <v>73</v>
      </c>
      <c r="K11" s="7" t="s">
        <v>17956</v>
      </c>
      <c r="L11" s="7" t="s">
        <v>2150</v>
      </c>
      <c r="M11" s="14" t="s">
        <v>9158</v>
      </c>
      <c r="N11" s="14" t="s">
        <v>9158</v>
      </c>
      <c r="O11" s="14" t="s">
        <v>9158</v>
      </c>
      <c r="P11" s="14" t="s">
        <v>9158</v>
      </c>
      <c r="Q11" s="14" t="s">
        <v>9158</v>
      </c>
    </row>
    <row r="12" spans="1:19">
      <c r="A12" s="14">
        <v>201023</v>
      </c>
      <c r="B12" s="14" t="s">
        <v>15</v>
      </c>
      <c r="C12" s="14" t="s">
        <v>101</v>
      </c>
      <c r="D12" s="18" t="s">
        <v>17960</v>
      </c>
      <c r="E12" s="15" t="str">
        <f>HYPERLINK("https://stat100.ameba.jp/tnk47/ratio20/illustrations/card/ill_201023_haroimmatsuotaseko03.jpg?202110-5-RELEASE-marathon-556xxx", "■")</f>
        <v>■</v>
      </c>
      <c r="F12" s="14" t="s">
        <v>17959</v>
      </c>
      <c r="G12" s="7">
        <v>80652</v>
      </c>
      <c r="H12" s="7">
        <v>88920</v>
      </c>
      <c r="I12" s="7">
        <v>30</v>
      </c>
      <c r="J12" s="14" t="s">
        <v>143</v>
      </c>
      <c r="K12" s="7" t="s">
        <v>7483</v>
      </c>
      <c r="L12" s="7" t="s">
        <v>5404</v>
      </c>
      <c r="M12" s="14" t="s">
        <v>9158</v>
      </c>
      <c r="N12" s="14" t="s">
        <v>9158</v>
      </c>
      <c r="O12" s="14" t="s">
        <v>9158</v>
      </c>
      <c r="P12" s="14" t="s">
        <v>9158</v>
      </c>
      <c r="Q12" s="14" t="s">
        <v>9158</v>
      </c>
    </row>
    <row r="13" spans="1:19">
      <c r="A13" s="14">
        <v>201053</v>
      </c>
      <c r="B13" s="14" t="s">
        <v>22</v>
      </c>
      <c r="C13" s="14" t="s">
        <v>101</v>
      </c>
      <c r="D13" s="18" t="s">
        <v>17961</v>
      </c>
      <c r="E13" s="15" t="str">
        <f>HYPERLINK("https://stat100.ameba.jp/tnk47/ratio20/illustrations/card/ill_201053_jakkuorantan03.jpg?202110-5-RELEASE-marathon-556xxx", "■")</f>
        <v>■</v>
      </c>
      <c r="F13" s="14" t="s">
        <v>17965</v>
      </c>
      <c r="G13" s="14">
        <v>46676</v>
      </c>
      <c r="H13" s="14">
        <v>56138</v>
      </c>
      <c r="I13" s="7">
        <v>27</v>
      </c>
      <c r="J13" s="14" t="s">
        <v>73</v>
      </c>
      <c r="K13" s="7" t="s">
        <v>17966</v>
      </c>
      <c r="L13" s="7" t="s">
        <v>15469</v>
      </c>
      <c r="M13" s="14" t="s">
        <v>9158</v>
      </c>
      <c r="N13" s="14" t="s">
        <v>9158</v>
      </c>
      <c r="O13" s="14" t="s">
        <v>9158</v>
      </c>
      <c r="P13" s="14" t="s">
        <v>9158</v>
      </c>
      <c r="Q13" s="14" t="s">
        <v>9158</v>
      </c>
    </row>
    <row r="14" spans="1:19">
      <c r="A14" s="14">
        <v>201063</v>
      </c>
      <c r="B14" s="14" t="s">
        <v>22</v>
      </c>
      <c r="C14" s="14" t="s">
        <v>1</v>
      </c>
      <c r="D14" s="18" t="s">
        <v>17962</v>
      </c>
      <c r="E14" s="15" t="str">
        <f>HYPERLINK("https://stat100.ameba.jp/tnk47/ratio20/illustrations/card/ill_201063_busse03.jpg?202110-5-RELEASE-marathon-556xxx", "■")</f>
        <v>■</v>
      </c>
      <c r="F14" s="14" t="s">
        <v>17967</v>
      </c>
      <c r="G14" s="14">
        <v>56138</v>
      </c>
      <c r="H14" s="14">
        <v>46676</v>
      </c>
      <c r="I14" s="7">
        <v>27</v>
      </c>
      <c r="J14" s="14" t="s">
        <v>104</v>
      </c>
      <c r="K14" s="7" t="s">
        <v>17968</v>
      </c>
      <c r="L14" s="7" t="s">
        <v>3741</v>
      </c>
      <c r="M14" s="14" t="s">
        <v>9158</v>
      </c>
      <c r="N14" s="14" t="s">
        <v>9158</v>
      </c>
      <c r="O14" s="14" t="s">
        <v>9158</v>
      </c>
      <c r="P14" s="14" t="s">
        <v>9158</v>
      </c>
      <c r="Q14" s="14" t="s">
        <v>9158</v>
      </c>
    </row>
    <row r="15" spans="1:19">
      <c r="A15" s="14">
        <v>201043</v>
      </c>
      <c r="B15" s="14" t="s">
        <v>22</v>
      </c>
      <c r="C15" s="14" t="s">
        <v>107</v>
      </c>
      <c r="D15" s="18" t="s">
        <v>17963</v>
      </c>
      <c r="E15" s="15" t="str">
        <f>HYPERLINK("https://stat100.ameba.jp/tnk47/ratio20/illustrations/card/ill_201043_sataandagi03.jpg?202110-5-RELEASE-marathon-556xxx", "■")</f>
        <v>■</v>
      </c>
      <c r="F15" s="14" t="s">
        <v>17969</v>
      </c>
      <c r="G15" s="14">
        <v>56138</v>
      </c>
      <c r="H15" s="14">
        <v>46676</v>
      </c>
      <c r="I15" s="7">
        <v>27</v>
      </c>
      <c r="J15" s="14" t="s">
        <v>104</v>
      </c>
      <c r="K15" s="7" t="s">
        <v>17970</v>
      </c>
      <c r="L15" s="7" t="s">
        <v>3741</v>
      </c>
      <c r="M15" s="14" t="s">
        <v>9158</v>
      </c>
      <c r="N15" s="14" t="s">
        <v>9158</v>
      </c>
      <c r="O15" s="14" t="s">
        <v>9158</v>
      </c>
      <c r="P15" s="14" t="s">
        <v>9158</v>
      </c>
      <c r="Q15" s="14" t="s">
        <v>9158</v>
      </c>
    </row>
    <row r="16" spans="1:19">
      <c r="A16" s="14">
        <v>201073</v>
      </c>
      <c r="B16" s="14" t="s">
        <v>22</v>
      </c>
      <c r="C16" s="14" t="s">
        <v>4952</v>
      </c>
      <c r="D16" s="18" t="s">
        <v>17964</v>
      </c>
      <c r="E16" s="15" t="str">
        <f>HYPERLINK("https://stat100.ameba.jp/tnk47/ratio20/illustrations/card/ill_201073_kabochanomajo03.jpg?202110-5-RELEASE-marathon-556xxx", "■")</f>
        <v>■</v>
      </c>
      <c r="F16" s="14" t="s">
        <v>17971</v>
      </c>
      <c r="G16" s="14">
        <v>46676</v>
      </c>
      <c r="H16" s="14">
        <v>56138</v>
      </c>
      <c r="I16" s="7">
        <v>27</v>
      </c>
      <c r="J16" s="14" t="s">
        <v>73</v>
      </c>
      <c r="K16" s="7" t="s">
        <v>17972</v>
      </c>
      <c r="L16" s="7" t="s">
        <v>15469</v>
      </c>
      <c r="M16" s="14" t="s">
        <v>9158</v>
      </c>
      <c r="N16" s="14" t="s">
        <v>9158</v>
      </c>
      <c r="O16" s="14" t="s">
        <v>9158</v>
      </c>
      <c r="P16" s="14" t="s">
        <v>9158</v>
      </c>
      <c r="Q16" s="14" t="s">
        <v>9158</v>
      </c>
    </row>
    <row r="17" spans="1:18">
      <c r="D17" s="7"/>
    </row>
    <row r="18" spans="1:18">
      <c r="A18" s="14" t="s">
        <v>17929</v>
      </c>
      <c r="D18" s="7"/>
    </row>
    <row r="19" spans="1:18">
      <c r="A19" s="14">
        <v>240957</v>
      </c>
      <c r="B19" s="14" t="s">
        <v>10153</v>
      </c>
      <c r="D19" s="7"/>
    </row>
    <row r="20" spans="1:18">
      <c r="A20" s="14">
        <v>201085</v>
      </c>
      <c r="B20" s="14" t="s">
        <v>0</v>
      </c>
      <c r="C20" s="14" t="s">
        <v>202</v>
      </c>
      <c r="D20" s="18" t="s">
        <v>17930</v>
      </c>
      <c r="E20" s="15" t="str">
        <f>HYPERLINK("https://stat100.ameba.jp/tnk47/ratio20/illustrations/card/ill_201085_haroinresshatemma05.jpg?202110-5-RELEASE-marathon-556xxx", "■")</f>
        <v>■</v>
      </c>
      <c r="F20" s="14" t="s">
        <v>17932</v>
      </c>
      <c r="G20" s="14">
        <v>148074</v>
      </c>
      <c r="H20" s="14">
        <v>107198</v>
      </c>
      <c r="I20" s="14">
        <v>30</v>
      </c>
      <c r="J20" s="14" t="s">
        <v>44</v>
      </c>
      <c r="K20" s="14" t="s">
        <v>17931</v>
      </c>
      <c r="L20" s="14" t="s">
        <v>14197</v>
      </c>
      <c r="M20" s="14" t="s">
        <v>9158</v>
      </c>
      <c r="N20" s="14" t="s">
        <v>9158</v>
      </c>
      <c r="O20" s="14" t="s">
        <v>9158</v>
      </c>
      <c r="P20" s="14" t="s">
        <v>9158</v>
      </c>
      <c r="Q20" s="14" t="s">
        <v>9158</v>
      </c>
      <c r="R20" s="14" t="s">
        <v>174</v>
      </c>
    </row>
    <row r="21" spans="1:18">
      <c r="A21" s="14">
        <v>201083</v>
      </c>
      <c r="B21" s="14" t="s">
        <v>15</v>
      </c>
      <c r="C21" s="14" t="s">
        <v>209</v>
      </c>
      <c r="D21" s="18" t="s">
        <v>17930</v>
      </c>
      <c r="E21" s="15" t="str">
        <f>HYPERLINK("https://stat100.ameba.jp/tnk47/ratio20/illustrations/card/ill_201083_haroinresshatemma03.jpg?202110-5-RELEASE-marathon-556xxx", "■")</f>
        <v>■</v>
      </c>
      <c r="F21" s="14" t="s">
        <v>17932</v>
      </c>
      <c r="G21" s="14">
        <v>109088</v>
      </c>
      <c r="H21" s="14">
        <v>78976</v>
      </c>
      <c r="I21" s="7">
        <v>30</v>
      </c>
      <c r="J21" s="14" t="s">
        <v>44</v>
      </c>
      <c r="K21" s="14" t="s">
        <v>17931</v>
      </c>
      <c r="L21" s="14" t="s">
        <v>14731</v>
      </c>
      <c r="M21" s="14" t="s">
        <v>9158</v>
      </c>
      <c r="N21" s="14" t="s">
        <v>9158</v>
      </c>
      <c r="O21" s="14" t="s">
        <v>9158</v>
      </c>
      <c r="P21" s="14" t="s">
        <v>9158</v>
      </c>
      <c r="Q21" s="14" t="s">
        <v>9158</v>
      </c>
      <c r="R21" s="14" t="s">
        <v>175</v>
      </c>
    </row>
    <row r="22" spans="1:18">
      <c r="A22" s="14">
        <v>201081</v>
      </c>
      <c r="B22" s="14" t="s">
        <v>15</v>
      </c>
      <c r="C22" s="14" t="s">
        <v>209</v>
      </c>
      <c r="D22" s="18" t="s">
        <v>17930</v>
      </c>
      <c r="E22" s="15" t="str">
        <f>HYPERLINK("https://stat100.ameba.jp/tnk47/ratio20/illustrations/card/ill_201081_haroinresshatemma01.jpg?202110-5-RELEASE-marathon-556xxx", "■")</f>
        <v>■</v>
      </c>
      <c r="F22" s="14" t="s">
        <v>17932</v>
      </c>
      <c r="G22" s="14">
        <v>69390</v>
      </c>
      <c r="H22" s="14">
        <v>50220</v>
      </c>
      <c r="I22" s="7">
        <v>30</v>
      </c>
      <c r="J22" s="14" t="s">
        <v>44</v>
      </c>
      <c r="K22" s="14" t="s">
        <v>17931</v>
      </c>
      <c r="L22" s="14" t="s">
        <v>15670</v>
      </c>
      <c r="M22" s="14" t="s">
        <v>9158</v>
      </c>
      <c r="N22" s="14" t="s">
        <v>9158</v>
      </c>
      <c r="O22" s="14" t="s">
        <v>9158</v>
      </c>
      <c r="P22" s="14" t="s">
        <v>9158</v>
      </c>
      <c r="Q22" s="14" t="s">
        <v>9158</v>
      </c>
      <c r="R22" s="14" t="s">
        <v>176</v>
      </c>
    </row>
    <row r="24" spans="1:18">
      <c r="A24" s="14" t="s">
        <v>13431</v>
      </c>
    </row>
    <row r="25" spans="1:18">
      <c r="A25" s="14">
        <v>112130</v>
      </c>
      <c r="B25" s="14" t="s">
        <v>17927</v>
      </c>
    </row>
    <row r="26" spans="1:18">
      <c r="A26" s="14" t="s">
        <v>17272</v>
      </c>
      <c r="B26" s="7" t="s">
        <v>52</v>
      </c>
      <c r="C26" s="14" t="s">
        <v>202</v>
      </c>
      <c r="D26" s="18" t="s">
        <v>17271</v>
      </c>
      <c r="E26" s="15" t="str">
        <f>HYPERLINK("https://stat100.ameba.jp/tnk47/ratio20/illustrations/card/ill_99033_0_uminoiehangakugozen03.jpg?202110-5-RELEASE-marathon-556xxx", "■")</f>
        <v>■</v>
      </c>
      <c r="F26" s="14" t="s">
        <v>17270</v>
      </c>
      <c r="G26" s="14">
        <v>266496</v>
      </c>
      <c r="H26" s="14">
        <v>325712</v>
      </c>
      <c r="I26" s="14">
        <v>29</v>
      </c>
      <c r="J26" s="14" t="s">
        <v>143</v>
      </c>
      <c r="K26" s="14" t="s">
        <v>17269</v>
      </c>
      <c r="L26" s="14" t="s">
        <v>17268</v>
      </c>
      <c r="M26" s="14" t="s">
        <v>9158</v>
      </c>
      <c r="N26" s="14" t="s">
        <v>9158</v>
      </c>
      <c r="O26" s="7" t="s">
        <v>17267</v>
      </c>
      <c r="P26" s="7" t="s">
        <v>17266</v>
      </c>
      <c r="Q26" s="7">
        <v>1</v>
      </c>
    </row>
    <row r="27" spans="1:18">
      <c r="A27" s="14" t="s">
        <v>17390</v>
      </c>
      <c r="B27" s="7" t="s">
        <v>52</v>
      </c>
      <c r="C27" s="14" t="s">
        <v>202</v>
      </c>
      <c r="D27" s="18" t="s">
        <v>17389</v>
      </c>
      <c r="E27" s="15" t="str">
        <f>HYPERLINK("https://stat100.ameba.jp/tnk47/ratio20/illustrations/card/ill_98393_0_yuembiyorikingyonota03.jpg?202110-5-RELEASE-marathon-556xxx", "■")</f>
        <v>■</v>
      </c>
      <c r="F27" s="14" t="s">
        <v>17388</v>
      </c>
      <c r="G27" s="14">
        <v>311059</v>
      </c>
      <c r="H27" s="14">
        <v>281149</v>
      </c>
      <c r="I27" s="7">
        <v>29</v>
      </c>
      <c r="J27" s="14" t="s">
        <v>38</v>
      </c>
      <c r="K27" s="14" t="s">
        <v>17387</v>
      </c>
      <c r="L27" s="14" t="s">
        <v>17386</v>
      </c>
      <c r="M27" s="14" t="s">
        <v>9158</v>
      </c>
      <c r="N27" s="14" t="s">
        <v>9158</v>
      </c>
      <c r="O27" s="7" t="s">
        <v>17385</v>
      </c>
      <c r="P27" s="7" t="s">
        <v>17384</v>
      </c>
      <c r="Q27" s="7">
        <v>1</v>
      </c>
    </row>
    <row r="28" spans="1:18">
      <c r="A28" s="14" t="s">
        <v>13435</v>
      </c>
      <c r="B28" s="7" t="s">
        <v>52</v>
      </c>
      <c r="C28" s="14" t="s">
        <v>202</v>
      </c>
      <c r="D28" s="18" t="s">
        <v>13434</v>
      </c>
      <c r="E28" s="15" t="str">
        <f>HYPERLINK("https://stat100.ameba.jp/tnk47/ratio20/illustrations/card/ill_91073_0_mizugiaidorusarukanigassen03.jpg?202110-5-RELEASE-marathon-556xxx", "■")</f>
        <v>■</v>
      </c>
      <c r="F28" s="14" t="s">
        <v>13436</v>
      </c>
      <c r="G28" s="14">
        <v>335575</v>
      </c>
      <c r="H28" s="14">
        <v>303290</v>
      </c>
      <c r="I28" s="7">
        <v>29</v>
      </c>
      <c r="J28" s="14" t="s">
        <v>38</v>
      </c>
      <c r="K28" s="14" t="s">
        <v>13437</v>
      </c>
      <c r="L28" s="14" t="s">
        <v>13438</v>
      </c>
      <c r="M28" s="14" t="s">
        <v>9158</v>
      </c>
      <c r="N28" s="14" t="s">
        <v>9158</v>
      </c>
      <c r="O28" s="6" t="s">
        <v>13439</v>
      </c>
      <c r="P28" s="7" t="s">
        <v>13440</v>
      </c>
      <c r="Q28" s="7">
        <v>1</v>
      </c>
    </row>
    <row r="29" spans="1:18">
      <c r="A29" s="14" t="s">
        <v>15440</v>
      </c>
      <c r="B29" s="7" t="s">
        <v>52</v>
      </c>
      <c r="C29" s="14" t="s">
        <v>202</v>
      </c>
      <c r="D29" s="18" t="s">
        <v>15441</v>
      </c>
      <c r="E29" s="15" t="str">
        <f>HYPERLINK("https://stat100.ameba.jp/tnk47/ratio20/illustrations/card/ill_93683_0_yukemurionsenshirowainchan03.jpg?202110-5-RELEASE-marathon-556xxx", "■")</f>
        <v>■</v>
      </c>
      <c r="F29" s="14" t="s">
        <v>15444</v>
      </c>
      <c r="G29" s="14">
        <v>287477</v>
      </c>
      <c r="H29" s="14">
        <v>351388</v>
      </c>
      <c r="I29" s="14">
        <v>29</v>
      </c>
      <c r="J29" s="14" t="s">
        <v>104</v>
      </c>
      <c r="K29" s="14" t="s">
        <v>15443</v>
      </c>
      <c r="L29" s="14" t="s">
        <v>15442</v>
      </c>
      <c r="M29" s="14" t="s">
        <v>9158</v>
      </c>
      <c r="N29" s="14" t="s">
        <v>9158</v>
      </c>
      <c r="O29" s="6" t="s">
        <v>15445</v>
      </c>
      <c r="P29" s="7" t="s">
        <v>15446</v>
      </c>
      <c r="Q29" s="7">
        <v>1</v>
      </c>
    </row>
    <row r="30" spans="1:18">
      <c r="A30" s="14" t="s">
        <v>16720</v>
      </c>
      <c r="B30" s="7" t="s">
        <v>52</v>
      </c>
      <c r="C30" s="14" t="s">
        <v>202</v>
      </c>
      <c r="D30" s="18" t="s">
        <v>16719</v>
      </c>
      <c r="E30" s="15" t="str">
        <f>HYPERLINK("https://stat100.ameba.jp/tnk47/ratio20/illustrations/card/ill_96373_0_ohinasamaakitakomachichan03.jpg?202110-5-RELEASE-marathon-556xxx", "■")</f>
        <v>■</v>
      </c>
      <c r="F30" s="14" t="s">
        <v>16718</v>
      </c>
      <c r="G30" s="14">
        <v>273388</v>
      </c>
      <c r="H30" s="14">
        <v>334134</v>
      </c>
      <c r="I30" s="7">
        <v>29</v>
      </c>
      <c r="J30" s="14" t="s">
        <v>104</v>
      </c>
      <c r="K30" s="14" t="s">
        <v>16717</v>
      </c>
      <c r="L30" s="14" t="s">
        <v>16716</v>
      </c>
      <c r="M30" s="14" t="s">
        <v>9158</v>
      </c>
      <c r="N30" s="14" t="s">
        <v>9158</v>
      </c>
      <c r="O30" s="7" t="s">
        <v>16715</v>
      </c>
      <c r="P30" s="7" t="s">
        <v>16714</v>
      </c>
      <c r="Q30" s="7">
        <v>1</v>
      </c>
    </row>
    <row r="31" spans="1:18">
      <c r="A31" s="14">
        <v>95823</v>
      </c>
      <c r="B31" s="14" t="s">
        <v>0</v>
      </c>
      <c r="C31" s="14" t="s">
        <v>14</v>
      </c>
      <c r="D31" s="14" t="s">
        <v>16141</v>
      </c>
      <c r="E31" s="15" t="str">
        <f>HYPERLINK("https://stat100.ameba.jp/tnk47/ratio20/illustrations/card/ill_95823_yamakawafutaba03.jpg?202110-5-RELEASE-marathon-556xxx", "■")</f>
        <v>■</v>
      </c>
      <c r="F31" s="14" t="s">
        <v>16140</v>
      </c>
      <c r="G31" s="14">
        <v>113154</v>
      </c>
      <c r="H31" s="14">
        <v>121646</v>
      </c>
      <c r="I31" s="14">
        <v>30</v>
      </c>
      <c r="J31" s="14" t="s">
        <v>16</v>
      </c>
      <c r="K31" s="14" t="s">
        <v>3473</v>
      </c>
      <c r="L31" s="14" t="s">
        <v>15839</v>
      </c>
      <c r="M31" s="14" t="s">
        <v>9158</v>
      </c>
      <c r="N31" s="14" t="s">
        <v>9158</v>
      </c>
      <c r="O31" s="14" t="s">
        <v>9158</v>
      </c>
      <c r="P31" s="14" t="s">
        <v>9158</v>
      </c>
      <c r="Q31" s="14" t="s">
        <v>9158</v>
      </c>
    </row>
    <row r="32" spans="1:18">
      <c r="A32" s="14">
        <v>94543</v>
      </c>
      <c r="B32" s="14" t="s">
        <v>0</v>
      </c>
      <c r="C32" s="14" t="s">
        <v>23</v>
      </c>
      <c r="D32" s="14" t="s">
        <v>16402</v>
      </c>
      <c r="E32" s="15" t="str">
        <f>HYPERLINK("https://stat100.ameba.jp/tnk47/ratio20/illustrations/card/ill_94543_yuenchiraguzatama03.jpg?202110-5-RELEASE-marathon-556xxx", "■")</f>
        <v>■</v>
      </c>
      <c r="F32" s="14" t="s">
        <v>16401</v>
      </c>
      <c r="G32" s="14">
        <v>121646</v>
      </c>
      <c r="H32" s="14">
        <v>113154</v>
      </c>
      <c r="I32" s="14">
        <v>30</v>
      </c>
      <c r="J32" s="14" t="s">
        <v>16</v>
      </c>
      <c r="K32" s="14" t="s">
        <v>8601</v>
      </c>
      <c r="L32" s="14" t="s">
        <v>16400</v>
      </c>
      <c r="M32" s="14" t="s">
        <v>9158</v>
      </c>
      <c r="N32" s="14" t="s">
        <v>9158</v>
      </c>
      <c r="O32" s="14" t="s">
        <v>9158</v>
      </c>
      <c r="P32" s="14" t="s">
        <v>9158</v>
      </c>
      <c r="Q32" s="14" t="s">
        <v>9158</v>
      </c>
    </row>
    <row r="33" spans="1:19">
      <c r="A33" s="7"/>
      <c r="B33" s="9" t="s">
        <v>334</v>
      </c>
      <c r="C33" s="9" t="s">
        <v>191</v>
      </c>
      <c r="D33" s="30" t="s">
        <v>17933</v>
      </c>
      <c r="E33" s="15" t="str">
        <f t="shared" ref="E33" si="0">HYPERLINK("", "■")</f>
        <v>■</v>
      </c>
      <c r="G33" s="14" t="s">
        <v>6596</v>
      </c>
      <c r="H33" s="14" t="s">
        <v>6596</v>
      </c>
      <c r="I33" s="14">
        <v>30</v>
      </c>
      <c r="M33" s="14" t="s">
        <v>9158</v>
      </c>
      <c r="N33" s="14" t="s">
        <v>9158</v>
      </c>
      <c r="O33" s="14" t="s">
        <v>9158</v>
      </c>
      <c r="P33" s="14" t="s">
        <v>9158</v>
      </c>
      <c r="Q33" s="14" t="s">
        <v>9158</v>
      </c>
    </row>
    <row r="34" spans="1:19">
      <c r="A34" s="14">
        <v>98133</v>
      </c>
      <c r="B34" s="14" t="s">
        <v>0</v>
      </c>
      <c r="C34" s="14" t="s">
        <v>96</v>
      </c>
      <c r="D34" s="14" t="s">
        <v>17934</v>
      </c>
      <c r="E34" s="15" t="str">
        <f>HYPERLINK("https://stat100.ameba.jp/tnk47/ratio20/illustrations/card/ill_98133_nadanosake03.jpg?202110-5-RELEASE-marathon-556xxx", "■")</f>
        <v>■</v>
      </c>
      <c r="F34" s="14" t="s">
        <v>18268</v>
      </c>
      <c r="G34" s="14">
        <v>108912</v>
      </c>
      <c r="H34" s="14">
        <v>117182</v>
      </c>
      <c r="I34" s="14">
        <v>30</v>
      </c>
      <c r="J34" s="14" t="s">
        <v>104</v>
      </c>
      <c r="K34" s="14" t="s">
        <v>5094</v>
      </c>
      <c r="L34" s="14" t="s">
        <v>18262</v>
      </c>
      <c r="M34" s="14" t="s">
        <v>9158</v>
      </c>
      <c r="N34" s="14" t="s">
        <v>9158</v>
      </c>
      <c r="O34" s="14" t="s">
        <v>9158</v>
      </c>
      <c r="P34" s="14" t="s">
        <v>9158</v>
      </c>
      <c r="Q34" s="14" t="s">
        <v>9158</v>
      </c>
    </row>
    <row r="35" spans="1:19">
      <c r="A35" s="14">
        <v>92113</v>
      </c>
      <c r="B35" s="14" t="s">
        <v>0</v>
      </c>
      <c r="C35" s="14" t="s">
        <v>1</v>
      </c>
      <c r="D35" s="14" t="s">
        <v>14942</v>
      </c>
      <c r="E35" s="15" t="str">
        <f>HYPERLINK("https://stat100.ameba.jp/tnk47/ratio20/illustrations/card/ill_92113_tankentaihoshigamisama03.jpg?202110-5-RELEASE-marathon-556xxx", "■")</f>
        <v>■</v>
      </c>
      <c r="F35" s="14" t="s">
        <v>14941</v>
      </c>
      <c r="G35" s="14">
        <v>113762</v>
      </c>
      <c r="H35" s="14">
        <v>122366</v>
      </c>
      <c r="I35" s="14">
        <v>30</v>
      </c>
      <c r="J35" s="14" t="s">
        <v>38</v>
      </c>
      <c r="K35" s="14" t="s">
        <v>14939</v>
      </c>
      <c r="L35" s="14" t="s">
        <v>14938</v>
      </c>
      <c r="M35" s="14" t="s">
        <v>9158</v>
      </c>
      <c r="N35" s="14" t="s">
        <v>9158</v>
      </c>
      <c r="O35" s="14" t="s">
        <v>9158</v>
      </c>
      <c r="P35" s="14" t="s">
        <v>9158</v>
      </c>
      <c r="Q35" s="14" t="s">
        <v>9158</v>
      </c>
    </row>
    <row r="36" spans="1:19">
      <c r="A36" s="14">
        <v>89893</v>
      </c>
      <c r="B36" s="14" t="s">
        <v>0</v>
      </c>
      <c r="C36" s="14" t="s">
        <v>107</v>
      </c>
      <c r="D36" s="14" t="s">
        <v>13848</v>
      </c>
      <c r="E36" s="15" t="str">
        <f>HYPERLINK("https://stat100.ameba.jp/tnk47/ratio20/illustrations/card/ill_89893_shijuhachitenguhikozambuzembo03.jpg?202110-5-RELEASE-marathon-556xxx", "■")</f>
        <v>■</v>
      </c>
      <c r="F36" s="14" t="s">
        <v>13851</v>
      </c>
      <c r="G36" s="14">
        <v>178342</v>
      </c>
      <c r="H36" s="14">
        <v>165824</v>
      </c>
      <c r="I36" s="14">
        <v>30</v>
      </c>
      <c r="J36" s="14" t="s">
        <v>73</v>
      </c>
      <c r="K36" s="14" t="s">
        <v>3667</v>
      </c>
      <c r="L36" s="14" t="s">
        <v>13766</v>
      </c>
      <c r="M36" s="14" t="s">
        <v>9158</v>
      </c>
      <c r="N36" s="14" t="s">
        <v>9158</v>
      </c>
      <c r="O36" s="14" t="s">
        <v>9158</v>
      </c>
      <c r="P36" s="14" t="s">
        <v>9158</v>
      </c>
      <c r="Q36" s="14" t="s">
        <v>9158</v>
      </c>
    </row>
    <row r="38" spans="1:19">
      <c r="A38" s="26" t="s">
        <v>18083</v>
      </c>
      <c r="I38" s="7"/>
    </row>
    <row r="39" spans="1:19">
      <c r="A39" s="14" t="s">
        <v>4012</v>
      </c>
    </row>
    <row r="40" spans="1:19">
      <c r="A40" s="14">
        <v>240984</v>
      </c>
      <c r="B40" s="14" t="s">
        <v>17926</v>
      </c>
    </row>
    <row r="41" spans="1:19">
      <c r="A41" s="9" t="s">
        <v>5787</v>
      </c>
      <c r="B41" s="14" t="s">
        <v>330</v>
      </c>
      <c r="C41" s="14" t="s">
        <v>270</v>
      </c>
      <c r="D41" s="14" t="s">
        <v>1101</v>
      </c>
      <c r="E41" s="15" t="str">
        <f>HYPERLINK("https://stat100.ameba.jp/tnk47/ratio20/illustrations/card/ill_76303_0_haroinkaguya03.jpg?202110-5-RELEASE-marathon-556xxx", "■")</f>
        <v>■</v>
      </c>
      <c r="F41" s="14" t="s">
        <v>332</v>
      </c>
      <c r="G41" s="14">
        <v>321315</v>
      </c>
      <c r="H41" s="14">
        <v>298717</v>
      </c>
      <c r="I41" s="14">
        <v>27</v>
      </c>
      <c r="J41" s="14" t="s">
        <v>274</v>
      </c>
      <c r="K41" s="14" t="s">
        <v>333</v>
      </c>
      <c r="L41" s="14" t="s">
        <v>276</v>
      </c>
      <c r="M41" s="14" t="s">
        <v>9158</v>
      </c>
      <c r="N41" s="14" t="s">
        <v>9158</v>
      </c>
      <c r="O41" s="9" t="s">
        <v>2723</v>
      </c>
      <c r="P41" s="14" t="s">
        <v>2724</v>
      </c>
      <c r="Q41" s="14">
        <v>1</v>
      </c>
    </row>
    <row r="42" spans="1:19">
      <c r="A42" s="14" t="s">
        <v>6598</v>
      </c>
      <c r="B42" s="14" t="s">
        <v>330</v>
      </c>
      <c r="C42" s="14" t="s">
        <v>35</v>
      </c>
      <c r="D42" s="19" t="s">
        <v>10555</v>
      </c>
      <c r="E42" s="15" t="str">
        <f>HYPERLINK("https://stat100.ameba.jp/tnk47/ratio20/illustrations/card/ill_83553_0_kajuenamoronagu03.jpg?202110-5-RELEASE-marathon-556xxx", "■")</f>
        <v>■</v>
      </c>
      <c r="F42" s="14" t="s">
        <v>6597</v>
      </c>
      <c r="G42" s="14">
        <v>284219</v>
      </c>
      <c r="H42" s="14">
        <v>314478</v>
      </c>
      <c r="I42" s="14">
        <v>27</v>
      </c>
      <c r="J42" s="14" t="s">
        <v>44</v>
      </c>
      <c r="K42" s="14" t="s">
        <v>6595</v>
      </c>
      <c r="L42" s="14" t="s">
        <v>6594</v>
      </c>
      <c r="M42" s="14" t="s">
        <v>9158</v>
      </c>
      <c r="N42" s="14" t="s">
        <v>9158</v>
      </c>
      <c r="O42" s="19" t="s">
        <v>10125</v>
      </c>
      <c r="P42" s="14" t="s">
        <v>6599</v>
      </c>
      <c r="Q42" s="14">
        <v>1</v>
      </c>
    </row>
    <row r="43" spans="1:19">
      <c r="A43" s="14" t="s">
        <v>6132</v>
      </c>
      <c r="B43" s="14" t="s">
        <v>52</v>
      </c>
      <c r="C43" s="14" t="s">
        <v>205</v>
      </c>
      <c r="D43" s="19" t="s">
        <v>702</v>
      </c>
      <c r="E43" s="15" t="str">
        <f>HYPERLINK("https://stat100.ameba.jp/tnk47/ratio20/illustrations/card/ill_50693_0_hanamizugimimuratsuru03.jpg?202110-5-RELEASE-marathon-556xxx", "■")</f>
        <v>■</v>
      </c>
      <c r="F43" s="14" t="s">
        <v>2282</v>
      </c>
      <c r="G43" s="14">
        <v>150680</v>
      </c>
      <c r="H43" s="14">
        <v>169624</v>
      </c>
      <c r="I43" s="14">
        <v>27</v>
      </c>
      <c r="J43" s="14" t="s">
        <v>143</v>
      </c>
      <c r="K43" s="14" t="s">
        <v>2283</v>
      </c>
      <c r="L43" s="14" t="s">
        <v>2284</v>
      </c>
      <c r="M43" s="14" t="s">
        <v>9158</v>
      </c>
      <c r="N43" s="14" t="s">
        <v>9158</v>
      </c>
      <c r="O43" s="14" t="s">
        <v>9158</v>
      </c>
      <c r="P43" s="14" t="s">
        <v>9158</v>
      </c>
      <c r="Q43" s="14" t="s">
        <v>9158</v>
      </c>
    </row>
    <row r="44" spans="1:19">
      <c r="A44" s="14">
        <v>98883</v>
      </c>
      <c r="B44" s="14" t="s">
        <v>0</v>
      </c>
      <c r="C44" s="7" t="s">
        <v>35</v>
      </c>
      <c r="D44" s="29" t="s">
        <v>18039</v>
      </c>
      <c r="E44" s="15" t="str">
        <f>HYPERLINK("https://stat100.ameba.jp/tnk47/ratio20/illustrations/card/ill_98883_yuwakunomikaganochiyojo03.jpg?202110-5-RELEASE-marathon-556xxx", "■")</f>
        <v>■</v>
      </c>
      <c r="F44" s="14" t="s">
        <v>18057</v>
      </c>
      <c r="G44" s="14" t="s">
        <v>6596</v>
      </c>
      <c r="H44" s="14" t="s">
        <v>6596</v>
      </c>
      <c r="I44" s="14">
        <v>30</v>
      </c>
      <c r="J44" s="14" t="s">
        <v>16</v>
      </c>
      <c r="K44" s="14" t="s">
        <v>18055</v>
      </c>
      <c r="L44" s="14" t="s">
        <v>18056</v>
      </c>
      <c r="M44" s="14" t="s">
        <v>9158</v>
      </c>
      <c r="N44" s="14" t="s">
        <v>9158</v>
      </c>
      <c r="O44" s="14" t="s">
        <v>9158</v>
      </c>
      <c r="P44" s="14" t="s">
        <v>9158</v>
      </c>
      <c r="Q44" s="14" t="s">
        <v>9158</v>
      </c>
      <c r="S44" s="14" t="s">
        <v>18054</v>
      </c>
    </row>
    <row r="45" spans="1:19">
      <c r="A45" s="14">
        <v>99253</v>
      </c>
      <c r="B45" s="14" t="s">
        <v>0</v>
      </c>
      <c r="C45" s="7" t="s">
        <v>47</v>
      </c>
      <c r="D45" s="29" t="s">
        <v>18040</v>
      </c>
      <c r="E45" s="15" t="str">
        <f>HYPERLINK("https://stat100.ameba.jp/tnk47/ratio20/illustrations/card/ill_99253_deirajieni03.jpg?202110-5-RELEASE-marathon-556xxx", "■")</f>
        <v>■</v>
      </c>
      <c r="F45" s="14" t="s">
        <v>18061</v>
      </c>
      <c r="G45" s="14" t="s">
        <v>6596</v>
      </c>
      <c r="H45" s="14" t="s">
        <v>6596</v>
      </c>
      <c r="I45" s="14">
        <v>30</v>
      </c>
      <c r="J45" s="14" t="s">
        <v>73</v>
      </c>
      <c r="K45" s="14" t="s">
        <v>18059</v>
      </c>
      <c r="L45" s="14" t="s">
        <v>18060</v>
      </c>
      <c r="M45" s="14" t="s">
        <v>9158</v>
      </c>
      <c r="N45" s="14" t="s">
        <v>9158</v>
      </c>
      <c r="O45" s="14" t="s">
        <v>9158</v>
      </c>
      <c r="P45" s="14" t="s">
        <v>9158</v>
      </c>
      <c r="Q45" s="14" t="s">
        <v>9158</v>
      </c>
      <c r="S45" s="14" t="s">
        <v>18058</v>
      </c>
    </row>
    <row r="46" spans="1:19">
      <c r="A46" s="14">
        <v>97373</v>
      </c>
      <c r="B46" s="14" t="s">
        <v>0</v>
      </c>
      <c r="C46" s="7" t="s">
        <v>41</v>
      </c>
      <c r="D46" s="29" t="s">
        <v>18041</v>
      </c>
      <c r="E46" s="15" t="str">
        <f>HYPERLINK("https://stat100.ameba.jp/tnk47/ratio20/illustrations/card/ill_97373_adobenchatsuneyamagozen03.jpg?202110-5-RELEASE-marathon-556xxx", "■")</f>
        <v>■</v>
      </c>
      <c r="F46" s="14" t="s">
        <v>18064</v>
      </c>
      <c r="G46" s="14" t="s">
        <v>6596</v>
      </c>
      <c r="H46" s="14" t="s">
        <v>6596</v>
      </c>
      <c r="I46" s="14">
        <v>30</v>
      </c>
      <c r="J46" s="14" t="s">
        <v>143</v>
      </c>
      <c r="K46" s="14" t="s">
        <v>18062</v>
      </c>
      <c r="L46" s="14" t="s">
        <v>18063</v>
      </c>
      <c r="M46" s="14" t="s">
        <v>9158</v>
      </c>
      <c r="N46" s="14" t="s">
        <v>9158</v>
      </c>
      <c r="O46" s="14" t="s">
        <v>9158</v>
      </c>
      <c r="P46" s="14" t="s">
        <v>9158</v>
      </c>
      <c r="Q46" s="14" t="s">
        <v>9158</v>
      </c>
      <c r="S46" s="14" t="s">
        <v>18065</v>
      </c>
    </row>
    <row r="47" spans="1:19">
      <c r="A47" s="14">
        <v>92763</v>
      </c>
      <c r="B47" s="14" t="s">
        <v>15</v>
      </c>
      <c r="C47" s="7" t="s">
        <v>101</v>
      </c>
      <c r="D47" s="14" t="s">
        <v>18042</v>
      </c>
      <c r="E47" s="15" t="str">
        <f>HYPERLINK("https://stat100.ameba.jp/tnk47/ratio20/illustrations/card/ill_92763_shizuokaodenchan03.jpg?202110-5-RELEASE-marathon-556xxx", "■")</f>
        <v>■</v>
      </c>
      <c r="F47" s="14" t="s">
        <v>18047</v>
      </c>
      <c r="G47" s="14">
        <v>72586</v>
      </c>
      <c r="H47" s="14">
        <v>80028</v>
      </c>
      <c r="I47" s="14">
        <v>27</v>
      </c>
      <c r="J47" s="14" t="s">
        <v>104</v>
      </c>
      <c r="K47" s="14" t="s">
        <v>18046</v>
      </c>
      <c r="L47" s="14" t="s">
        <v>5225</v>
      </c>
      <c r="M47" s="14" t="s">
        <v>9158</v>
      </c>
      <c r="N47" s="14" t="s">
        <v>9158</v>
      </c>
      <c r="O47" s="14" t="s">
        <v>9158</v>
      </c>
      <c r="P47" s="14" t="s">
        <v>9158</v>
      </c>
      <c r="Q47" s="14" t="s">
        <v>9158</v>
      </c>
      <c r="S47" s="14" t="s">
        <v>18066</v>
      </c>
    </row>
    <row r="48" spans="1:19">
      <c r="A48" s="14">
        <v>99153</v>
      </c>
      <c r="B48" s="14" t="s">
        <v>15</v>
      </c>
      <c r="C48" s="7" t="s">
        <v>14</v>
      </c>
      <c r="D48" s="14" t="s">
        <v>18043</v>
      </c>
      <c r="E48" s="15" t="str">
        <f>HYPERLINK("https://stat100.ameba.jp/tnk47/ratio20/illustrations/card/ill_99153_erosoku03.jpg?202110-5-RELEASE-marathon-556xxx", "■")</f>
        <v>■</v>
      </c>
      <c r="F48" s="14" t="s">
        <v>18049</v>
      </c>
      <c r="G48" s="14">
        <v>80028</v>
      </c>
      <c r="H48" s="14">
        <v>72586</v>
      </c>
      <c r="I48" s="14">
        <v>27</v>
      </c>
      <c r="J48" s="14" t="s">
        <v>26</v>
      </c>
      <c r="K48" s="14" t="s">
        <v>18048</v>
      </c>
      <c r="L48" s="14" t="s">
        <v>924</v>
      </c>
      <c r="M48" s="14" t="s">
        <v>9158</v>
      </c>
      <c r="N48" s="14" t="s">
        <v>9158</v>
      </c>
      <c r="O48" s="14" t="s">
        <v>9158</v>
      </c>
      <c r="P48" s="14" t="s">
        <v>9158</v>
      </c>
      <c r="Q48" s="14" t="s">
        <v>9158</v>
      </c>
      <c r="S48" s="14" t="s">
        <v>18067</v>
      </c>
    </row>
    <row r="49" spans="1:22">
      <c r="A49" s="14">
        <v>98513</v>
      </c>
      <c r="B49" s="14" t="s">
        <v>15</v>
      </c>
      <c r="C49" s="7" t="s">
        <v>96</v>
      </c>
      <c r="D49" s="14" t="s">
        <v>18044</v>
      </c>
      <c r="E49" s="15" t="str">
        <f>HYPERLINK("https://stat100.ameba.jp/tnk47/ratio20/illustrations/card/ill_98513_bareisonokamitsuyuko03.jpg?202110-5-RELEASE-marathon-556xxx", "■")</f>
        <v>■</v>
      </c>
      <c r="F49" s="14" t="s">
        <v>18050</v>
      </c>
      <c r="G49" s="14">
        <v>80028</v>
      </c>
      <c r="H49" s="14">
        <v>72586</v>
      </c>
      <c r="I49" s="14">
        <v>27</v>
      </c>
      <c r="J49" s="14" t="s">
        <v>16</v>
      </c>
      <c r="K49" s="14" t="s">
        <v>99</v>
      </c>
      <c r="L49" s="14" t="s">
        <v>8207</v>
      </c>
      <c r="M49" s="14" t="s">
        <v>9158</v>
      </c>
      <c r="N49" s="14" t="s">
        <v>9158</v>
      </c>
      <c r="O49" s="14" t="s">
        <v>9158</v>
      </c>
      <c r="P49" s="14" t="s">
        <v>9158</v>
      </c>
      <c r="Q49" s="14" t="s">
        <v>9158</v>
      </c>
      <c r="S49" s="14" t="s">
        <v>18068</v>
      </c>
    </row>
    <row r="50" spans="1:22">
      <c r="C50" s="7"/>
    </row>
    <row r="51" spans="1:22">
      <c r="A51" s="14" t="s">
        <v>3911</v>
      </c>
      <c r="C51" s="7"/>
    </row>
    <row r="52" spans="1:22">
      <c r="A52" s="14">
        <v>112146</v>
      </c>
      <c r="B52" s="14" t="s">
        <v>17928</v>
      </c>
      <c r="C52" s="7"/>
    </row>
    <row r="53" spans="1:22">
      <c r="A53" s="14">
        <v>112156</v>
      </c>
      <c r="B53" s="14" t="s">
        <v>15721</v>
      </c>
      <c r="C53" s="7"/>
    </row>
    <row r="54" spans="1:22">
      <c r="A54" s="14" t="s">
        <v>17272</v>
      </c>
      <c r="B54" s="7" t="s">
        <v>52</v>
      </c>
      <c r="C54" s="7" t="s">
        <v>202</v>
      </c>
      <c r="D54" s="31" t="s">
        <v>17271</v>
      </c>
      <c r="E54" s="15" t="str">
        <f>HYPERLINK("https://stat100.ameba.jp/tnk47/ratio20/illustrations/card/ill_99033_0_uminoiehangakugozen03.jpg?202110-5-RELEASE-marathon-556xxx", "■")</f>
        <v>■</v>
      </c>
      <c r="F54" s="14" t="s">
        <v>17270</v>
      </c>
      <c r="G54" s="14" t="s">
        <v>6596</v>
      </c>
      <c r="H54" s="14" t="s">
        <v>6596</v>
      </c>
      <c r="I54" s="7">
        <v>30</v>
      </c>
      <c r="J54" s="14" t="s">
        <v>143</v>
      </c>
      <c r="K54" s="14" t="s">
        <v>17269</v>
      </c>
      <c r="L54" s="14" t="s">
        <v>17268</v>
      </c>
      <c r="M54" s="14" t="s">
        <v>9158</v>
      </c>
      <c r="N54" s="14" t="s">
        <v>9158</v>
      </c>
      <c r="O54" s="7" t="s">
        <v>17267</v>
      </c>
      <c r="P54" s="7" t="s">
        <v>17266</v>
      </c>
      <c r="Q54" s="7">
        <v>1</v>
      </c>
      <c r="T54" s="14">
        <v>266496</v>
      </c>
      <c r="U54" s="14">
        <v>325712</v>
      </c>
      <c r="V54" s="14">
        <v>29</v>
      </c>
    </row>
    <row r="55" spans="1:22">
      <c r="A55" s="14" t="s">
        <v>5891</v>
      </c>
      <c r="B55" s="14" t="s">
        <v>330</v>
      </c>
      <c r="C55" s="7" t="s">
        <v>202</v>
      </c>
      <c r="D55" s="30" t="s">
        <v>1999</v>
      </c>
      <c r="E55" s="15" t="str">
        <f>HYPERLINK("https://stat100.ameba.jp/tnk47/ratio20/illustrations/card/ill_77173_0_yukemuritomoegozen03.jpg?202110-5-RELEASE-marathon-556xxx", "■")</f>
        <v>■</v>
      </c>
      <c r="F55" s="14" t="s">
        <v>1372</v>
      </c>
      <c r="G55" s="14" t="s">
        <v>6596</v>
      </c>
      <c r="H55" s="14" t="s">
        <v>6596</v>
      </c>
      <c r="I55" s="7">
        <v>30</v>
      </c>
      <c r="J55" s="14" t="s">
        <v>310</v>
      </c>
      <c r="K55" s="14" t="s">
        <v>1373</v>
      </c>
      <c r="L55" s="14" t="s">
        <v>1374</v>
      </c>
      <c r="M55" s="14" t="s">
        <v>9158</v>
      </c>
      <c r="N55" s="14" t="s">
        <v>9158</v>
      </c>
      <c r="O55" s="19" t="s">
        <v>4067</v>
      </c>
      <c r="P55" s="14" t="s">
        <v>3879</v>
      </c>
      <c r="Q55" s="14">
        <v>2</v>
      </c>
      <c r="T55" s="14">
        <v>280684</v>
      </c>
      <c r="U55" s="14">
        <v>310558</v>
      </c>
      <c r="V55" s="14">
        <v>28</v>
      </c>
    </row>
    <row r="56" spans="1:22">
      <c r="A56" s="14" t="s">
        <v>5622</v>
      </c>
      <c r="B56" s="14" t="s">
        <v>330</v>
      </c>
      <c r="C56" s="7" t="s">
        <v>335</v>
      </c>
      <c r="D56" s="19" t="s">
        <v>1043</v>
      </c>
      <c r="E56" s="15" t="str">
        <f>HYPERLINK("https://stat100.ameba.jp/tnk47/ratio20/illustrations/card/ill_49953_0_yushamarihime03.jpg?202110-5-RELEASE-marathon-556xxx", "■")</f>
        <v>■</v>
      </c>
      <c r="F56" s="14" t="s">
        <v>510</v>
      </c>
      <c r="G56" s="14">
        <v>188472</v>
      </c>
      <c r="H56" s="14">
        <v>167424</v>
      </c>
      <c r="I56" s="7">
        <v>30</v>
      </c>
      <c r="J56" s="14" t="s">
        <v>315</v>
      </c>
      <c r="K56" s="14" t="s">
        <v>511</v>
      </c>
      <c r="L56" s="14" t="s">
        <v>512</v>
      </c>
      <c r="M56" s="14" t="s">
        <v>9158</v>
      </c>
      <c r="N56" s="14" t="s">
        <v>9158</v>
      </c>
      <c r="O56" s="14" t="s">
        <v>9158</v>
      </c>
      <c r="P56" s="14" t="s">
        <v>9158</v>
      </c>
      <c r="Q56" s="14" t="s">
        <v>9158</v>
      </c>
      <c r="T56" s="14">
        <v>157060</v>
      </c>
      <c r="U56" s="14">
        <v>139520</v>
      </c>
      <c r="V56" s="14">
        <v>25</v>
      </c>
    </row>
    <row r="57" spans="1:22">
      <c r="A57" s="14">
        <v>84653</v>
      </c>
      <c r="B57" s="14" t="s">
        <v>334</v>
      </c>
      <c r="C57" s="7" t="s">
        <v>209</v>
      </c>
      <c r="D57" s="20" t="s">
        <v>10626</v>
      </c>
      <c r="E57" s="15" t="str">
        <f>HYPERLINK("https://stat100.ameba.jp/tnk47/ratio20/illustrations/card/ill_84653_soru03.jpg?202110-5-RELEASE-marathon-556xxx", "■")</f>
        <v>■</v>
      </c>
      <c r="F57" s="14" t="s">
        <v>6954</v>
      </c>
      <c r="G57" s="14">
        <v>94982</v>
      </c>
      <c r="H57" s="14">
        <v>131112</v>
      </c>
      <c r="I57" s="7">
        <v>30</v>
      </c>
      <c r="J57" s="14" t="s">
        <v>44</v>
      </c>
      <c r="K57" s="14" t="s">
        <v>6956</v>
      </c>
      <c r="L57" s="14" t="s">
        <v>3652</v>
      </c>
      <c r="M57" s="14" t="s">
        <v>9158</v>
      </c>
      <c r="N57" s="14" t="s">
        <v>9158</v>
      </c>
      <c r="O57" s="19" t="s">
        <v>10103</v>
      </c>
      <c r="P57" s="14" t="s">
        <v>3897</v>
      </c>
      <c r="Q57" s="14">
        <v>1</v>
      </c>
    </row>
    <row r="58" spans="1:22">
      <c r="A58" s="7">
        <v>85043</v>
      </c>
      <c r="B58" s="7" t="s">
        <v>0</v>
      </c>
      <c r="C58" s="7" t="s">
        <v>209</v>
      </c>
      <c r="D58" s="19" t="s">
        <v>10752</v>
      </c>
      <c r="E58" s="15" t="str">
        <f>HYPERLINK("https://stat100.ameba.jp/tnk47/ratio20/illustrations/card/ill_85043_sutoroberireddo03.jpg?202110-5-RELEASE-marathon-556xxx", "■")</f>
        <v>■</v>
      </c>
      <c r="F58" s="7" t="s">
        <v>7843</v>
      </c>
      <c r="G58" s="14">
        <v>158574</v>
      </c>
      <c r="H58" s="14">
        <v>114846</v>
      </c>
      <c r="I58" s="7">
        <v>30</v>
      </c>
      <c r="J58" s="7" t="s">
        <v>104</v>
      </c>
      <c r="K58" s="7" t="s">
        <v>7841</v>
      </c>
      <c r="L58" s="7" t="s">
        <v>2409</v>
      </c>
      <c r="M58" s="14" t="s">
        <v>9158</v>
      </c>
      <c r="N58" s="14" t="s">
        <v>9158</v>
      </c>
      <c r="O58" s="19" t="s">
        <v>10102</v>
      </c>
      <c r="P58" s="14" t="s">
        <v>3672</v>
      </c>
      <c r="Q58" s="14">
        <v>1</v>
      </c>
    </row>
    <row r="59" spans="1:22">
      <c r="A59" s="14">
        <v>78873</v>
      </c>
      <c r="B59" s="14" t="s">
        <v>334</v>
      </c>
      <c r="C59" s="7" t="s">
        <v>209</v>
      </c>
      <c r="D59" s="19" t="s">
        <v>2818</v>
      </c>
      <c r="E59" s="15" t="str">
        <f>HYPERLINK("https://stat100.ameba.jp/tnk47/ratio20/illustrations/card/ill_78873_furutsutomato03.jpg?202110-5-RELEASE-marathon-556xxx", "■")</f>
        <v>■</v>
      </c>
      <c r="F59" s="14" t="s">
        <v>2819</v>
      </c>
      <c r="G59" s="14">
        <v>114846</v>
      </c>
      <c r="H59" s="14">
        <v>158574</v>
      </c>
      <c r="I59" s="7">
        <v>30</v>
      </c>
      <c r="J59" s="14" t="s">
        <v>283</v>
      </c>
      <c r="K59" s="14" t="s">
        <v>2820</v>
      </c>
      <c r="L59" s="14" t="s">
        <v>2821</v>
      </c>
      <c r="M59" s="14" t="s">
        <v>9158</v>
      </c>
      <c r="N59" s="14" t="s">
        <v>9158</v>
      </c>
      <c r="O59" s="19" t="s">
        <v>10074</v>
      </c>
      <c r="P59" s="14" t="s">
        <v>2822</v>
      </c>
      <c r="Q59" s="14">
        <v>1</v>
      </c>
      <c r="V59" s="7"/>
    </row>
    <row r="60" spans="1:22">
      <c r="A60" s="14">
        <v>52083</v>
      </c>
      <c r="B60" s="14" t="s">
        <v>0</v>
      </c>
      <c r="C60" s="7" t="s">
        <v>158</v>
      </c>
      <c r="D60" s="30" t="s">
        <v>2913</v>
      </c>
      <c r="E60" s="15" t="str">
        <f>HYPERLINK("https://stat100.ameba.jp/tnk47/ratio20/illustrations/card/ill_52083_berubetto03.jpg?202110-5-RELEASE-marathon-556xxx", "■")</f>
        <v>■</v>
      </c>
      <c r="F60" s="14" t="s">
        <v>944</v>
      </c>
      <c r="G60" s="14" t="s">
        <v>6596</v>
      </c>
      <c r="H60" s="14" t="s">
        <v>6596</v>
      </c>
      <c r="I60" s="7">
        <v>30</v>
      </c>
      <c r="J60" s="14" t="s">
        <v>26</v>
      </c>
      <c r="K60" s="14" t="s">
        <v>1864</v>
      </c>
      <c r="L60" s="14" t="s">
        <v>1865</v>
      </c>
      <c r="M60" s="14" t="s">
        <v>9158</v>
      </c>
      <c r="N60" s="14" t="s">
        <v>9158</v>
      </c>
      <c r="O60" s="19" t="s">
        <v>2917</v>
      </c>
      <c r="P60" s="14" t="s">
        <v>2918</v>
      </c>
      <c r="Q60" s="14">
        <v>1</v>
      </c>
      <c r="T60" s="14">
        <v>96476</v>
      </c>
      <c r="U60" s="14">
        <v>133188</v>
      </c>
      <c r="V60" s="14">
        <v>28</v>
      </c>
    </row>
    <row r="61" spans="1:22">
      <c r="A61" s="14">
        <v>71333</v>
      </c>
      <c r="B61" s="14" t="s">
        <v>0</v>
      </c>
      <c r="C61" s="14" t="s">
        <v>41</v>
      </c>
      <c r="D61" s="19" t="s">
        <v>10256</v>
      </c>
      <c r="E61" s="15" t="str">
        <f>HYPERLINK("https://stat100.ameba.jp/tnk47/ratio20/illustrations/card/ill_71333_fujiwaranokamatari03.jpg?202110-5-RELEASE-marathon-556xxx", "■")</f>
        <v>■</v>
      </c>
      <c r="F61" s="14" t="s">
        <v>58</v>
      </c>
      <c r="G61" s="14">
        <v>131112</v>
      </c>
      <c r="H61" s="14">
        <v>94982</v>
      </c>
      <c r="I61" s="7">
        <v>30</v>
      </c>
      <c r="J61" s="14" t="s">
        <v>10</v>
      </c>
      <c r="K61" s="14" t="s">
        <v>59</v>
      </c>
      <c r="L61" s="14" t="s">
        <v>60</v>
      </c>
      <c r="M61" s="14" t="s">
        <v>9158</v>
      </c>
      <c r="N61" s="14" t="s">
        <v>9158</v>
      </c>
      <c r="O61" s="19" t="s">
        <v>10098</v>
      </c>
      <c r="P61" s="14" t="s">
        <v>3491</v>
      </c>
      <c r="Q61" s="14">
        <v>1</v>
      </c>
    </row>
    <row r="62" spans="1:22">
      <c r="A62" s="14">
        <v>80163</v>
      </c>
      <c r="B62" s="14" t="s">
        <v>334</v>
      </c>
      <c r="C62" s="14" t="s">
        <v>158</v>
      </c>
      <c r="D62" s="19" t="s">
        <v>10391</v>
      </c>
      <c r="E62" s="15" t="str">
        <f>HYPERLINK("https://stat100.ameba.jp/tnk47/ratio20/illustrations/card/ill_80163_kuronosu03.jpg?202110-5-RELEASE-marathon-556xxx", "■")</f>
        <v>■</v>
      </c>
      <c r="F62" s="14" t="s">
        <v>3766</v>
      </c>
      <c r="G62" s="14">
        <v>99186</v>
      </c>
      <c r="H62" s="14">
        <v>136944</v>
      </c>
      <c r="I62" s="14">
        <v>30</v>
      </c>
      <c r="J62" s="14" t="s">
        <v>44</v>
      </c>
      <c r="K62" s="14" t="s">
        <v>3767</v>
      </c>
      <c r="L62" s="14" t="s">
        <v>1209</v>
      </c>
      <c r="M62" s="14" t="s">
        <v>9158</v>
      </c>
      <c r="N62" s="14" t="s">
        <v>9158</v>
      </c>
      <c r="O62" s="19" t="s">
        <v>2752</v>
      </c>
      <c r="P62" s="14" t="s">
        <v>13123</v>
      </c>
      <c r="Q62" s="14">
        <v>1</v>
      </c>
    </row>
    <row r="64" spans="1:22">
      <c r="A64" s="14" t="s">
        <v>13327</v>
      </c>
    </row>
    <row r="65" spans="1:18">
      <c r="A65" s="14">
        <v>112172</v>
      </c>
      <c r="B65" s="14" t="s">
        <v>7226</v>
      </c>
    </row>
    <row r="66" spans="1:18">
      <c r="A66" s="14">
        <v>99513</v>
      </c>
      <c r="B66" s="14" t="s">
        <v>334</v>
      </c>
      <c r="C66" s="14" t="s">
        <v>14</v>
      </c>
      <c r="D66" s="14" t="s">
        <v>17094</v>
      </c>
      <c r="E66" s="15" t="str">
        <f>HYPERLINK("https://stat100.ameba.jp/tnk47/ratio20/illustrations/card/ill_99513_aberute03.jpg?202110-5-RELEASE-marathon-556xxx", "■")</f>
        <v>■</v>
      </c>
      <c r="F66" s="14" t="s">
        <v>17093</v>
      </c>
      <c r="G66" s="14">
        <v>137316</v>
      </c>
      <c r="H66" s="14">
        <v>147692</v>
      </c>
      <c r="I66" s="14">
        <v>30</v>
      </c>
      <c r="J66" s="14" t="s">
        <v>26</v>
      </c>
      <c r="K66" s="14" t="s">
        <v>17092</v>
      </c>
      <c r="L66" s="14" t="s">
        <v>17091</v>
      </c>
      <c r="M66" s="14" t="s">
        <v>2138</v>
      </c>
      <c r="N66" s="14" t="s">
        <v>2139</v>
      </c>
      <c r="O66" s="14" t="s">
        <v>9158</v>
      </c>
      <c r="P66" s="14" t="s">
        <v>9158</v>
      </c>
      <c r="Q66" s="14" t="s">
        <v>9158</v>
      </c>
      <c r="R66" s="14" t="s">
        <v>14748</v>
      </c>
    </row>
    <row r="67" spans="1:18">
      <c r="A67" s="14">
        <v>99512</v>
      </c>
      <c r="B67" s="14" t="s">
        <v>334</v>
      </c>
      <c r="C67" s="14" t="s">
        <v>14</v>
      </c>
      <c r="D67" s="14" t="s">
        <v>17094</v>
      </c>
      <c r="E67" s="15" t="str">
        <f>HYPERLINK("https://stat100.ameba.jp/tnk47/ratio20/illustrations/card/ill_99512_aberute02.jpg?202110-5-RELEASE-marathon-556xxx", "■")</f>
        <v>■</v>
      </c>
      <c r="F67" s="14" t="s">
        <v>17093</v>
      </c>
      <c r="G67" s="14">
        <v>113730</v>
      </c>
      <c r="H67" s="14">
        <v>123462</v>
      </c>
      <c r="I67" s="14">
        <v>30</v>
      </c>
      <c r="J67" s="14" t="s">
        <v>26</v>
      </c>
      <c r="K67" s="14" t="s">
        <v>17092</v>
      </c>
      <c r="L67" s="14" t="s">
        <v>17095</v>
      </c>
      <c r="M67" s="14" t="s">
        <v>13270</v>
      </c>
      <c r="N67" s="14" t="s">
        <v>13271</v>
      </c>
      <c r="O67" s="14" t="s">
        <v>9158</v>
      </c>
      <c r="P67" s="14" t="s">
        <v>9158</v>
      </c>
      <c r="Q67" s="14" t="s">
        <v>9158</v>
      </c>
      <c r="R67" s="14" t="s">
        <v>14748</v>
      </c>
    </row>
    <row r="68" spans="1:18">
      <c r="A68" s="14">
        <v>99511</v>
      </c>
      <c r="B68" s="14" t="s">
        <v>334</v>
      </c>
      <c r="C68" s="14" t="s">
        <v>14</v>
      </c>
      <c r="D68" s="14" t="s">
        <v>17094</v>
      </c>
      <c r="E68" s="15" t="str">
        <f>HYPERLINK("https://stat100.ameba.jp/tnk47/ratio20/illustrations/card/ill_99511_aberute01.jpg?202110-5-RELEASE-marathon-556xxx", "■")</f>
        <v>■</v>
      </c>
      <c r="F68" s="14" t="s">
        <v>17093</v>
      </c>
      <c r="G68" s="14">
        <v>87750</v>
      </c>
      <c r="H68" s="14">
        <v>94260</v>
      </c>
      <c r="I68" s="14">
        <v>30</v>
      </c>
      <c r="J68" s="14" t="s">
        <v>26</v>
      </c>
      <c r="K68" s="14" t="s">
        <v>17092</v>
      </c>
      <c r="L68" s="14" t="s">
        <v>17096</v>
      </c>
      <c r="M68" s="14" t="s">
        <v>13270</v>
      </c>
      <c r="N68" s="14" t="s">
        <v>13271</v>
      </c>
      <c r="O68" s="14" t="s">
        <v>9158</v>
      </c>
      <c r="P68" s="14" t="s">
        <v>9158</v>
      </c>
      <c r="Q68" s="14" t="s">
        <v>9158</v>
      </c>
      <c r="R68" s="14" t="s">
        <v>14748</v>
      </c>
    </row>
    <row r="69" spans="1:18">
      <c r="A69" s="14">
        <v>99523</v>
      </c>
      <c r="B69" s="14" t="s">
        <v>334</v>
      </c>
      <c r="C69" s="14" t="s">
        <v>23</v>
      </c>
      <c r="D69" s="14" t="s">
        <v>17100</v>
      </c>
      <c r="E69" s="15" t="str">
        <f>HYPERLINK("https://stat100.ameba.jp/tnk47/ratio20/illustrations/card/ill_99523_arukumasshu03.jpg?202110-5-RELEASE-marathon-556xxx", "■")</f>
        <v>■</v>
      </c>
      <c r="F69" s="14" t="s">
        <v>17099</v>
      </c>
      <c r="G69" s="14">
        <v>137316</v>
      </c>
      <c r="H69" s="14">
        <v>147692</v>
      </c>
      <c r="I69" s="14">
        <v>30</v>
      </c>
      <c r="J69" s="14" t="s">
        <v>104</v>
      </c>
      <c r="K69" s="14" t="s">
        <v>17098</v>
      </c>
      <c r="L69" s="14" t="s">
        <v>17097</v>
      </c>
      <c r="M69" s="14" t="s">
        <v>2138</v>
      </c>
      <c r="N69" s="14" t="s">
        <v>2139</v>
      </c>
      <c r="O69" s="14" t="s">
        <v>9158</v>
      </c>
      <c r="P69" s="14" t="s">
        <v>9158</v>
      </c>
      <c r="Q69" s="14" t="s">
        <v>9158</v>
      </c>
      <c r="R69" s="14" t="s">
        <v>14748</v>
      </c>
    </row>
    <row r="70" spans="1:18">
      <c r="A70" s="14">
        <v>99533</v>
      </c>
      <c r="B70" s="14" t="s">
        <v>334</v>
      </c>
      <c r="C70" s="14" t="s">
        <v>101</v>
      </c>
      <c r="D70" s="14" t="s">
        <v>17104</v>
      </c>
      <c r="E70" s="15" t="str">
        <f>HYPERLINK("https://stat100.ameba.jp/tnk47/ratio20/illustrations/card/ill_99533_zahhaku03.jpg?202110-5-RELEASE-marathon-556xxx", "■")</f>
        <v>■</v>
      </c>
      <c r="F70" s="14" t="s">
        <v>17103</v>
      </c>
      <c r="G70" s="14">
        <v>147692</v>
      </c>
      <c r="H70" s="14">
        <v>137316</v>
      </c>
      <c r="I70" s="14">
        <v>30</v>
      </c>
      <c r="J70" s="14" t="s">
        <v>73</v>
      </c>
      <c r="K70" s="14" t="s">
        <v>17102</v>
      </c>
      <c r="L70" s="14" t="s">
        <v>17101</v>
      </c>
      <c r="M70" s="14" t="s">
        <v>2138</v>
      </c>
      <c r="N70" s="14" t="s">
        <v>2139</v>
      </c>
      <c r="O70" s="14" t="s">
        <v>9158</v>
      </c>
      <c r="P70" s="14" t="s">
        <v>9158</v>
      </c>
      <c r="Q70" s="14" t="s">
        <v>9158</v>
      </c>
      <c r="R70" s="14" t="s">
        <v>14748</v>
      </c>
    </row>
    <row r="71" spans="1:18">
      <c r="A71" s="14">
        <v>99543</v>
      </c>
      <c r="B71" s="14" t="s">
        <v>334</v>
      </c>
      <c r="C71" s="14" t="s">
        <v>96</v>
      </c>
      <c r="D71" s="14" t="s">
        <v>17108</v>
      </c>
      <c r="E71" s="15" t="str">
        <f>HYPERLINK("https://stat100.ameba.jp/tnk47/ratio20/illustrations/card/ill_99543_bega03.jpg?202110-5-RELEASE-marathon-556xxx", "■")</f>
        <v>■</v>
      </c>
      <c r="F71" s="14" t="s">
        <v>17107</v>
      </c>
      <c r="G71" s="14">
        <v>147692</v>
      </c>
      <c r="H71" s="14">
        <v>137316</v>
      </c>
      <c r="I71" s="14">
        <v>30</v>
      </c>
      <c r="J71" s="14" t="s">
        <v>44</v>
      </c>
      <c r="K71" s="14" t="s">
        <v>17106</v>
      </c>
      <c r="L71" s="14" t="s">
        <v>17105</v>
      </c>
      <c r="M71" s="14" t="s">
        <v>2138</v>
      </c>
      <c r="N71" s="14" t="s">
        <v>2139</v>
      </c>
      <c r="O71" s="14" t="s">
        <v>9158</v>
      </c>
      <c r="P71" s="14" t="s">
        <v>9158</v>
      </c>
      <c r="Q71" s="14" t="s">
        <v>9158</v>
      </c>
      <c r="R71" s="14" t="s">
        <v>14748</v>
      </c>
    </row>
    <row r="72" spans="1:18">
      <c r="A72" s="14">
        <v>99553</v>
      </c>
      <c r="B72" s="14" t="s">
        <v>334</v>
      </c>
      <c r="C72" s="14" t="s">
        <v>1</v>
      </c>
      <c r="D72" s="14" t="s">
        <v>17112</v>
      </c>
      <c r="E72" s="15" t="str">
        <f>HYPERLINK("https://stat100.ameba.jp/tnk47/ratio20/illustrations/card/ill_99553_shupigeru03.jpg?202110-5-RELEASE-marathon-556xxx", "■")</f>
        <v>■</v>
      </c>
      <c r="F72" s="14" t="s">
        <v>17111</v>
      </c>
      <c r="G72" s="14">
        <v>147692</v>
      </c>
      <c r="H72" s="14">
        <v>137316</v>
      </c>
      <c r="I72" s="14">
        <v>30</v>
      </c>
      <c r="J72" s="14" t="s">
        <v>77</v>
      </c>
      <c r="K72" s="14" t="s">
        <v>17110</v>
      </c>
      <c r="L72" s="14" t="s">
        <v>17109</v>
      </c>
      <c r="M72" s="14" t="s">
        <v>2138</v>
      </c>
      <c r="N72" s="14" t="s">
        <v>2139</v>
      </c>
      <c r="O72" s="14" t="s">
        <v>9158</v>
      </c>
      <c r="P72" s="14" t="s">
        <v>9158</v>
      </c>
      <c r="Q72" s="14" t="s">
        <v>9158</v>
      </c>
      <c r="R72" s="14" t="s">
        <v>14748</v>
      </c>
    </row>
    <row r="73" spans="1:18">
      <c r="A73" s="14">
        <v>99563</v>
      </c>
      <c r="B73" s="14" t="s">
        <v>334</v>
      </c>
      <c r="C73" s="14" t="s">
        <v>107</v>
      </c>
      <c r="D73" s="14" t="s">
        <v>17116</v>
      </c>
      <c r="E73" s="15" t="str">
        <f>HYPERLINK("https://stat100.ameba.jp/tnk47/ratio20/illustrations/card/ill_99563_senkinokishiryunnu03.jpg?202110-5-RELEASE-marathon-556xxx", "■")</f>
        <v>■</v>
      </c>
      <c r="F73" s="14" t="s">
        <v>17115</v>
      </c>
      <c r="G73" s="14">
        <v>137316</v>
      </c>
      <c r="H73" s="14">
        <v>147692</v>
      </c>
      <c r="I73" s="14">
        <v>30</v>
      </c>
      <c r="J73" s="14" t="s">
        <v>143</v>
      </c>
      <c r="K73" s="14" t="s">
        <v>17114</v>
      </c>
      <c r="L73" s="14" t="s">
        <v>17113</v>
      </c>
      <c r="M73" s="14" t="s">
        <v>2138</v>
      </c>
      <c r="N73" s="14" t="s">
        <v>2139</v>
      </c>
      <c r="O73" s="14" t="s">
        <v>9158</v>
      </c>
      <c r="P73" s="14" t="s">
        <v>9158</v>
      </c>
      <c r="Q73" s="14" t="s">
        <v>9158</v>
      </c>
      <c r="R73" s="14" t="s">
        <v>14748</v>
      </c>
    </row>
    <row r="75" spans="1:18">
      <c r="A75" s="14" t="s">
        <v>18024</v>
      </c>
    </row>
    <row r="76" spans="1:18">
      <c r="A76" s="14">
        <v>241003</v>
      </c>
      <c r="B76" s="14" t="s">
        <v>7230</v>
      </c>
    </row>
    <row r="77" spans="1:18">
      <c r="A77" s="14">
        <v>241009</v>
      </c>
      <c r="B77" s="14" t="s">
        <v>7648</v>
      </c>
    </row>
    <row r="78" spans="1:18">
      <c r="A78" s="14" t="s">
        <v>17940</v>
      </c>
      <c r="B78" s="7" t="s">
        <v>52</v>
      </c>
      <c r="C78" s="14" t="s">
        <v>202</v>
      </c>
      <c r="D78" s="18" t="s">
        <v>17941</v>
      </c>
      <c r="E78" s="15" t="str">
        <f>HYPERLINK("https://stat100.ameba.jp/tnk47/ratio20/illustrations/card/ill_201033_0_haroinresshaarisu03.jpg?202110-5-RELEASE-marathon-556xxx", "■")</f>
        <v>■</v>
      </c>
      <c r="F78" s="14" t="s">
        <v>17939</v>
      </c>
      <c r="G78" s="14">
        <v>308246</v>
      </c>
      <c r="H78" s="14">
        <v>278622</v>
      </c>
      <c r="I78" s="7">
        <v>30</v>
      </c>
      <c r="J78" s="14" t="s">
        <v>38</v>
      </c>
      <c r="K78" s="14" t="s">
        <v>17938</v>
      </c>
      <c r="L78" s="14" t="s">
        <v>17937</v>
      </c>
      <c r="M78" s="14" t="s">
        <v>9158</v>
      </c>
      <c r="N78" s="14" t="s">
        <v>9158</v>
      </c>
      <c r="O78" s="7" t="s">
        <v>17936</v>
      </c>
      <c r="P78" s="7" t="s">
        <v>17935</v>
      </c>
      <c r="Q78" s="7">
        <v>1</v>
      </c>
    </row>
    <row r="79" spans="1:18">
      <c r="A79" s="14">
        <v>201093</v>
      </c>
      <c r="B79" s="14" t="s">
        <v>0</v>
      </c>
      <c r="C79" s="14" t="s">
        <v>101</v>
      </c>
      <c r="D79" s="14" t="s">
        <v>18032</v>
      </c>
      <c r="E79" s="15" t="str">
        <f>HYPERLINK("https://stat100.ameba.jp/tnk47/ratio20/illustrations/card/ill_201093_haroinresshaikedasen03.jpg?202110-5-RELEASE-marathon-556xxx", "■")</f>
        <v>■</v>
      </c>
      <c r="F79" s="14" t="s">
        <v>18028</v>
      </c>
      <c r="G79" s="14">
        <v>165824</v>
      </c>
      <c r="H79" s="14">
        <v>178342</v>
      </c>
      <c r="I79" s="7">
        <v>30</v>
      </c>
      <c r="J79" s="14" t="s">
        <v>143</v>
      </c>
      <c r="K79" s="14" t="s">
        <v>18027</v>
      </c>
      <c r="L79" s="14" t="s">
        <v>18026</v>
      </c>
      <c r="M79" s="14" t="s">
        <v>9158</v>
      </c>
      <c r="N79" s="14" t="s">
        <v>9158</v>
      </c>
      <c r="O79" s="14" t="s">
        <v>9158</v>
      </c>
      <c r="P79" s="14" t="s">
        <v>9158</v>
      </c>
      <c r="Q79" s="14" t="s">
        <v>9158</v>
      </c>
    </row>
    <row r="80" spans="1:18">
      <c r="A80" s="14">
        <v>201103</v>
      </c>
      <c r="B80" s="14" t="s">
        <v>15</v>
      </c>
      <c r="C80" s="14" t="s">
        <v>1</v>
      </c>
      <c r="D80" s="14" t="s">
        <v>18031</v>
      </c>
      <c r="E80" s="15" t="str">
        <f>HYPERLINK("https://stat100.ameba.jp/tnk47/ratio20/illustrations/card/ill_201103_haroinyureigasa03.jpg?202110-5-RELEASE-marathon-556xxx", "■")</f>
        <v>■</v>
      </c>
      <c r="F80" s="14" t="s">
        <v>18030</v>
      </c>
      <c r="G80" s="14">
        <v>88920</v>
      </c>
      <c r="H80" s="14">
        <v>80652</v>
      </c>
      <c r="I80" s="7">
        <v>30</v>
      </c>
      <c r="J80" s="14" t="s">
        <v>73</v>
      </c>
      <c r="K80" s="14" t="s">
        <v>18029</v>
      </c>
      <c r="L80" s="14" t="s">
        <v>3835</v>
      </c>
      <c r="M80" s="14" t="s">
        <v>9158</v>
      </c>
      <c r="N80" s="14" t="s">
        <v>9158</v>
      </c>
      <c r="O80" s="14" t="s">
        <v>9158</v>
      </c>
      <c r="P80" s="14" t="s">
        <v>9158</v>
      </c>
      <c r="Q80" s="14" t="s">
        <v>9158</v>
      </c>
    </row>
    <row r="81" spans="1:17">
      <c r="A81" s="14">
        <v>201113</v>
      </c>
      <c r="B81" s="14" t="s">
        <v>22</v>
      </c>
      <c r="C81" s="14" t="s">
        <v>96</v>
      </c>
      <c r="D81" s="14" t="s">
        <v>18035</v>
      </c>
      <c r="E81" s="15" t="str">
        <f>HYPERLINK("https://stat100.ameba.jp/tnk47/ratio20/illustrations/card/ill_201113_peroperokyandei03.jpg?202110-5-RELEASE-marathon-556xxx", "■")</f>
        <v>■</v>
      </c>
      <c r="F81" s="14" t="s">
        <v>18034</v>
      </c>
      <c r="G81" s="14">
        <v>51864</v>
      </c>
      <c r="H81" s="14">
        <v>62376</v>
      </c>
      <c r="I81" s="7">
        <v>30</v>
      </c>
      <c r="J81" s="14" t="s">
        <v>104</v>
      </c>
      <c r="K81" s="14" t="s">
        <v>18033</v>
      </c>
      <c r="L81" s="14" t="s">
        <v>3839</v>
      </c>
      <c r="M81" s="14" t="s">
        <v>9158</v>
      </c>
      <c r="N81" s="14" t="s">
        <v>9158</v>
      </c>
      <c r="O81" s="14" t="s">
        <v>9158</v>
      </c>
      <c r="P81" s="14" t="s">
        <v>9158</v>
      </c>
      <c r="Q81" s="14" t="s">
        <v>9158</v>
      </c>
    </row>
    <row r="82" spans="1:17">
      <c r="A82" s="14">
        <v>201123</v>
      </c>
      <c r="B82" s="14" t="s">
        <v>22</v>
      </c>
      <c r="C82" s="14" t="s">
        <v>4952</v>
      </c>
      <c r="D82" s="14" t="s">
        <v>18038</v>
      </c>
      <c r="E82" s="15" t="str">
        <f>HYPERLINK("https://stat100.ameba.jp/tnk47/ratio20/illustrations/card/ill_201123_henzerutogureteru03.jpg?202110-5-RELEASE-marathon-556xxx", "■")</f>
        <v>■</v>
      </c>
      <c r="F82" s="14" t="s">
        <v>18037</v>
      </c>
      <c r="G82" s="14">
        <v>62376</v>
      </c>
      <c r="H82" s="14">
        <v>51864</v>
      </c>
      <c r="I82" s="7">
        <v>30</v>
      </c>
      <c r="J82" s="14" t="s">
        <v>38</v>
      </c>
      <c r="K82" s="14" t="s">
        <v>18036</v>
      </c>
      <c r="L82" s="14" t="s">
        <v>7248</v>
      </c>
      <c r="M82" s="14" t="s">
        <v>9158</v>
      </c>
      <c r="N82" s="14" t="s">
        <v>9158</v>
      </c>
      <c r="O82" s="14" t="s">
        <v>9158</v>
      </c>
      <c r="P82" s="14" t="s">
        <v>9158</v>
      </c>
      <c r="Q82" s="14" t="s">
        <v>9158</v>
      </c>
    </row>
    <row r="83" spans="1:17">
      <c r="E83" s="15"/>
    </row>
    <row r="84" spans="1:17">
      <c r="A84" s="14" t="s">
        <v>3905</v>
      </c>
    </row>
    <row r="85" spans="1:17">
      <c r="A85" s="14">
        <v>241032</v>
      </c>
      <c r="B85" s="14" t="s">
        <v>18025</v>
      </c>
    </row>
    <row r="86" spans="1:17">
      <c r="A86" s="14" t="s">
        <v>5719</v>
      </c>
      <c r="B86" s="14" t="s">
        <v>52</v>
      </c>
      <c r="C86" s="14" t="s">
        <v>165</v>
      </c>
      <c r="D86" s="19" t="s">
        <v>10379</v>
      </c>
      <c r="E86" s="15" t="str">
        <f>HYPERLINK("https://stat100.ameba.jp/tnk47/ratio20/illustrations/card/ill_54523_0_yonshunennionohime03.jpg?202110-5-RELEASE-marathon-556xxx", "■")</f>
        <v>■</v>
      </c>
      <c r="F86" s="14" t="s">
        <v>1773</v>
      </c>
      <c r="G86" s="14">
        <v>122776</v>
      </c>
      <c r="H86" s="14">
        <v>138212</v>
      </c>
      <c r="I86" s="14">
        <v>22</v>
      </c>
      <c r="J86" s="14" t="s">
        <v>38</v>
      </c>
      <c r="K86" s="14" t="s">
        <v>1774</v>
      </c>
      <c r="L86" s="14" t="s">
        <v>1775</v>
      </c>
      <c r="M86" s="14" t="s">
        <v>9158</v>
      </c>
      <c r="N86" s="14" t="s">
        <v>9158</v>
      </c>
      <c r="O86" s="19" t="s">
        <v>10094</v>
      </c>
      <c r="P86" s="14" t="s">
        <v>13168</v>
      </c>
      <c r="Q86" s="14">
        <v>1</v>
      </c>
    </row>
    <row r="87" spans="1:17">
      <c r="A87" s="14" t="s">
        <v>5615</v>
      </c>
      <c r="B87" s="14" t="s">
        <v>330</v>
      </c>
      <c r="C87" s="14" t="s">
        <v>206</v>
      </c>
      <c r="D87" s="19" t="s">
        <v>2814</v>
      </c>
      <c r="E87" s="15" t="str">
        <f>HYPERLINK("https://stat100.ameba.jp/tnk47/ratio20/illustrations/card/ill_57733_0_shogatsunisenjunanaamakusashiro03.jpg?202110-5-RELEASE-marathon-556xxx", "■")</f>
        <v>■</v>
      </c>
      <c r="F87" s="14" t="s">
        <v>1016</v>
      </c>
      <c r="G87" s="14">
        <v>122776</v>
      </c>
      <c r="H87" s="14">
        <v>138212</v>
      </c>
      <c r="I87" s="14">
        <v>22</v>
      </c>
      <c r="J87" s="14" t="s">
        <v>10</v>
      </c>
      <c r="K87" s="14" t="s">
        <v>1017</v>
      </c>
      <c r="L87" s="14" t="s">
        <v>1018</v>
      </c>
      <c r="M87" s="14" t="s">
        <v>9158</v>
      </c>
      <c r="N87" s="14" t="s">
        <v>9158</v>
      </c>
      <c r="O87" s="19" t="s">
        <v>10077</v>
      </c>
      <c r="P87" s="14" t="s">
        <v>3062</v>
      </c>
      <c r="Q87" s="14">
        <v>1</v>
      </c>
    </row>
    <row r="88" spans="1:17">
      <c r="A88" s="9" t="s">
        <v>5612</v>
      </c>
      <c r="B88" s="14" t="s">
        <v>330</v>
      </c>
      <c r="C88" s="14" t="s">
        <v>165</v>
      </c>
      <c r="D88" s="14" t="s">
        <v>789</v>
      </c>
      <c r="E88" s="15" t="str">
        <f>HYPERLINK("https://stat100.ameba.jp/tnk47/ratio20/illustrations/card/ill_49193_0_onmyoudouabenoseimei03.jpg?202110-5-RELEASE-marathon-556xxx", "■")</f>
        <v>■</v>
      </c>
      <c r="F88" s="14" t="s">
        <v>790</v>
      </c>
      <c r="G88" s="14">
        <v>122776</v>
      </c>
      <c r="H88" s="14">
        <v>138212</v>
      </c>
      <c r="I88" s="14">
        <v>22</v>
      </c>
      <c r="J88" s="14" t="s">
        <v>351</v>
      </c>
      <c r="K88" s="14" t="s">
        <v>791</v>
      </c>
      <c r="L88" s="14" t="s">
        <v>792</v>
      </c>
      <c r="M88" s="14" t="s">
        <v>9158</v>
      </c>
      <c r="N88" s="14" t="s">
        <v>9158</v>
      </c>
      <c r="O88" s="14" t="s">
        <v>9158</v>
      </c>
      <c r="P88" s="14" t="s">
        <v>9158</v>
      </c>
      <c r="Q88" s="14" t="s">
        <v>9158</v>
      </c>
    </row>
    <row r="89" spans="1:17">
      <c r="A89" s="14">
        <v>99373</v>
      </c>
      <c r="B89" s="14" t="s">
        <v>334</v>
      </c>
      <c r="C89" s="14" t="s">
        <v>101</v>
      </c>
      <c r="D89" s="14" t="s">
        <v>17198</v>
      </c>
      <c r="E89" s="15" t="str">
        <f>HYPERLINK("https://stat100.ameba.jp/tnk47/ratio20/illustrations/card/ill_99373_naitomea03.jpg?202110-5-RELEASE-marathon-556xxx", "■")</f>
        <v>■</v>
      </c>
      <c r="F89" s="14" t="s">
        <v>17197</v>
      </c>
      <c r="G89" s="14">
        <v>98436</v>
      </c>
      <c r="H89" s="14">
        <v>174982</v>
      </c>
      <c r="I89" s="14">
        <v>30</v>
      </c>
      <c r="J89" s="14" t="s">
        <v>73</v>
      </c>
      <c r="K89" s="14" t="s">
        <v>17196</v>
      </c>
      <c r="L89" s="14" t="s">
        <v>13096</v>
      </c>
      <c r="M89" s="14" t="s">
        <v>9158</v>
      </c>
      <c r="N89" s="14" t="s">
        <v>9158</v>
      </c>
      <c r="O89" s="14" t="s">
        <v>9158</v>
      </c>
      <c r="P89" s="14" t="s">
        <v>9158</v>
      </c>
      <c r="Q89" s="14" t="s">
        <v>9158</v>
      </c>
    </row>
    <row r="90" spans="1:17">
      <c r="A90" s="14">
        <v>97363</v>
      </c>
      <c r="B90" s="9" t="s">
        <v>0</v>
      </c>
      <c r="C90" s="14" t="s">
        <v>107</v>
      </c>
      <c r="D90" s="14" t="s">
        <v>17231</v>
      </c>
      <c r="E90" s="15" t="str">
        <f>HYPERLINK("https://stat100.ameba.jp/tnk47/ratio20/illustrations/card/ill_97363_furinurinobiechiru03.jpg?202110-5-RELEASE-marathon-556xxx", "■")</f>
        <v>■</v>
      </c>
      <c r="F90" s="14" t="s">
        <v>17232</v>
      </c>
      <c r="G90" s="14">
        <v>85014</v>
      </c>
      <c r="H90" s="14">
        <v>151116</v>
      </c>
      <c r="I90" s="14">
        <v>30</v>
      </c>
      <c r="J90" s="14" t="s">
        <v>10</v>
      </c>
      <c r="K90" s="14" t="s">
        <v>17230</v>
      </c>
      <c r="L90" s="14" t="s">
        <v>17229</v>
      </c>
      <c r="M90" s="14" t="s">
        <v>9158</v>
      </c>
      <c r="N90" s="14" t="s">
        <v>9158</v>
      </c>
      <c r="O90" s="14" t="s">
        <v>9158</v>
      </c>
      <c r="P90" s="14" t="s">
        <v>9158</v>
      </c>
      <c r="Q90" s="14" t="s">
        <v>9158</v>
      </c>
    </row>
    <row r="91" spans="1:17">
      <c r="A91" s="14">
        <v>96713</v>
      </c>
      <c r="B91" s="14" t="s">
        <v>334</v>
      </c>
      <c r="C91" s="14" t="s">
        <v>96</v>
      </c>
      <c r="D91" s="14" t="s">
        <v>17047</v>
      </c>
      <c r="E91" s="15" t="str">
        <f>HYPERLINK("https://stat100.ameba.jp/tnk47/ratio20/illustrations/card/ill_96713_asutoraia03.jpg?202110-5-RELEASE-marathon-556xxx", "■")</f>
        <v>■</v>
      </c>
      <c r="F91" s="14" t="s">
        <v>17050</v>
      </c>
      <c r="G91" s="14">
        <v>81410</v>
      </c>
      <c r="H91" s="14">
        <v>144684</v>
      </c>
      <c r="I91" s="14">
        <v>30</v>
      </c>
      <c r="J91" s="14" t="s">
        <v>44</v>
      </c>
      <c r="K91" s="14" t="s">
        <v>17049</v>
      </c>
      <c r="L91" s="14" t="s">
        <v>15938</v>
      </c>
      <c r="M91" s="14" t="s">
        <v>9158</v>
      </c>
      <c r="N91" s="14" t="s">
        <v>9158</v>
      </c>
      <c r="O91" s="14" t="s">
        <v>9158</v>
      </c>
      <c r="P91" s="14" t="s">
        <v>9158</v>
      </c>
      <c r="Q91" s="14" t="s">
        <v>9158</v>
      </c>
    </row>
    <row r="92" spans="1:17">
      <c r="E92" s="15"/>
    </row>
    <row r="93" spans="1:17">
      <c r="A93" s="14" t="s">
        <v>3916</v>
      </c>
    </row>
    <row r="94" spans="1:17">
      <c r="A94" s="14">
        <v>112191</v>
      </c>
      <c r="B94" s="14" t="s">
        <v>17925</v>
      </c>
      <c r="I94" s="7"/>
    </row>
    <row r="95" spans="1:17">
      <c r="A95" s="14">
        <v>62203</v>
      </c>
      <c r="B95" s="14" t="s">
        <v>334</v>
      </c>
      <c r="C95" s="14" t="s">
        <v>154</v>
      </c>
      <c r="D95" s="20" t="s">
        <v>2260</v>
      </c>
      <c r="E95" s="15" t="str">
        <f>HYPERLINK("https://stat100.ameba.jp/tnk47/ratio20/illustrations/card/ill_62203_keishoimmasahime03.jpg?202110-5-RELEASE-marathon-556xxx", "■")</f>
        <v>■</v>
      </c>
      <c r="F95" s="14" t="s">
        <v>2261</v>
      </c>
      <c r="G95" s="14">
        <v>120308</v>
      </c>
      <c r="H95" s="14">
        <v>129392</v>
      </c>
      <c r="I95" s="14">
        <v>30</v>
      </c>
      <c r="J95" s="14" t="s">
        <v>77</v>
      </c>
      <c r="K95" s="14" t="s">
        <v>2262</v>
      </c>
      <c r="L95" s="14" t="s">
        <v>2263</v>
      </c>
      <c r="M95" s="14" t="s">
        <v>9158</v>
      </c>
      <c r="N95" s="14" t="s">
        <v>9158</v>
      </c>
      <c r="O95" s="14" t="s">
        <v>9158</v>
      </c>
      <c r="P95" s="14" t="s">
        <v>9158</v>
      </c>
      <c r="Q95" s="14" t="s">
        <v>9158</v>
      </c>
    </row>
    <row r="96" spans="1:17">
      <c r="A96" s="14">
        <v>69723</v>
      </c>
      <c r="B96" s="14" t="s">
        <v>334</v>
      </c>
      <c r="C96" s="14" t="s">
        <v>158</v>
      </c>
      <c r="D96" s="20" t="s">
        <v>3042</v>
      </c>
      <c r="E96" s="15" t="str">
        <f>HYPERLINK("https://stat100.ameba.jp/tnk47/ratio20/illustrations/card/ill_69723_nakaurajurian03.jpg?202110-5-RELEASE-marathon-556xxx", "■")</f>
        <v>■</v>
      </c>
      <c r="F96" s="14" t="s">
        <v>2257</v>
      </c>
      <c r="G96" s="14">
        <v>120308</v>
      </c>
      <c r="H96" s="14">
        <v>129392</v>
      </c>
      <c r="I96" s="14">
        <v>30</v>
      </c>
      <c r="J96" s="14" t="s">
        <v>173</v>
      </c>
      <c r="K96" s="14" t="s">
        <v>2258</v>
      </c>
      <c r="L96" s="14" t="s">
        <v>2259</v>
      </c>
      <c r="M96" s="14" t="s">
        <v>9158</v>
      </c>
      <c r="N96" s="14" t="s">
        <v>9158</v>
      </c>
      <c r="O96" s="14" t="s">
        <v>9158</v>
      </c>
      <c r="P96" s="14" t="s">
        <v>9158</v>
      </c>
      <c r="Q96" s="14" t="s">
        <v>9158</v>
      </c>
    </row>
    <row r="97" spans="1:17">
      <c r="A97" s="14">
        <v>62153</v>
      </c>
      <c r="B97" s="14" t="s">
        <v>334</v>
      </c>
      <c r="C97" s="14" t="s">
        <v>1</v>
      </c>
      <c r="D97" s="20" t="s">
        <v>16317</v>
      </c>
      <c r="E97" s="15" t="str">
        <f>HYPERLINK("https://stat100.ameba.jp/tnk47/ratio20/illustrations/card/ill_62153_obentonekodanuki03.jpg?202110-5-RELEASE-marathon-556xxx", "■")</f>
        <v>■</v>
      </c>
      <c r="F97" s="14" t="s">
        <v>16318</v>
      </c>
      <c r="G97" s="14">
        <v>124996</v>
      </c>
      <c r="H97" s="14">
        <v>116244</v>
      </c>
      <c r="I97" s="14">
        <v>30</v>
      </c>
      <c r="J97" s="14" t="s">
        <v>73</v>
      </c>
      <c r="K97" s="14" t="s">
        <v>12212</v>
      </c>
      <c r="L97" s="14" t="s">
        <v>16319</v>
      </c>
      <c r="M97" s="14" t="s">
        <v>9158</v>
      </c>
      <c r="N97" s="14" t="s">
        <v>9158</v>
      </c>
      <c r="O97" s="14" t="s">
        <v>9158</v>
      </c>
      <c r="P97" s="14" t="s">
        <v>9158</v>
      </c>
      <c r="Q97" s="14" t="s">
        <v>9158</v>
      </c>
    </row>
    <row r="98" spans="1:17">
      <c r="A98" s="14">
        <v>65173</v>
      </c>
      <c r="B98" s="14" t="s">
        <v>334</v>
      </c>
      <c r="C98" s="14" t="s">
        <v>101</v>
      </c>
      <c r="D98" s="20" t="s">
        <v>16320</v>
      </c>
      <c r="E98" s="15" t="str">
        <f>HYPERLINK("https://stat100.ameba.jp/tnk47/ratio20/illustrations/card/ill_65173_kimodameshihorahamahime03.jpg?202110-5-RELEASE-marathon-556xxx", "■")</f>
        <v>■</v>
      </c>
      <c r="F98" s="14" t="s">
        <v>3565</v>
      </c>
      <c r="G98" s="14">
        <v>116244</v>
      </c>
      <c r="H98" s="14">
        <v>124996</v>
      </c>
      <c r="I98" s="14">
        <v>30</v>
      </c>
      <c r="J98" s="14" t="s">
        <v>73</v>
      </c>
      <c r="K98" s="14" t="s">
        <v>16321</v>
      </c>
      <c r="L98" s="14" t="s">
        <v>16322</v>
      </c>
      <c r="M98" s="14" t="s">
        <v>9158</v>
      </c>
      <c r="N98" s="14" t="s">
        <v>9158</v>
      </c>
      <c r="O98" s="14" t="s">
        <v>9158</v>
      </c>
      <c r="P98" s="14" t="s">
        <v>9158</v>
      </c>
      <c r="Q98" s="14" t="s">
        <v>9158</v>
      </c>
    </row>
    <row r="99" spans="1:17">
      <c r="A99" s="14">
        <v>51923</v>
      </c>
      <c r="B99" s="14" t="s">
        <v>15</v>
      </c>
      <c r="C99" s="14" t="s">
        <v>165</v>
      </c>
      <c r="D99" s="20" t="s">
        <v>15362</v>
      </c>
      <c r="E99" s="15" t="str">
        <f>HYPERLINK("https://stat100.ameba.jp/tnk47/ratio20/illustrations/card/ill_51923_kemonomizugikokyu03.jpg?202110-5-RELEASE-marathon-556xxx", "■")</f>
        <v>■</v>
      </c>
      <c r="F99" s="14" t="s">
        <v>15367</v>
      </c>
      <c r="G99" s="14">
        <v>74100</v>
      </c>
      <c r="H99" s="14">
        <v>67210</v>
      </c>
      <c r="I99" s="14">
        <v>25</v>
      </c>
      <c r="J99" s="14" t="s">
        <v>38</v>
      </c>
      <c r="K99" s="14" t="s">
        <v>15365</v>
      </c>
      <c r="L99" s="14" t="s">
        <v>15364</v>
      </c>
      <c r="M99" s="14" t="s">
        <v>9158</v>
      </c>
      <c r="N99" s="14" t="s">
        <v>9158</v>
      </c>
      <c r="O99" s="14" t="s">
        <v>9158</v>
      </c>
      <c r="P99" s="14" t="s">
        <v>9158</v>
      </c>
      <c r="Q99" s="14" t="s">
        <v>9158</v>
      </c>
    </row>
    <row r="100" spans="1:17">
      <c r="A100" s="14">
        <v>52963</v>
      </c>
      <c r="B100" s="14" t="s">
        <v>15</v>
      </c>
      <c r="C100" s="14" t="s">
        <v>101</v>
      </c>
      <c r="D100" s="20" t="s">
        <v>102</v>
      </c>
      <c r="E100" s="15" t="str">
        <f>HYPERLINK("https://stat100.ameba.jp/tnk47/ratio20/illustrations/card/ill_52963_torampumomochan03.jpg?202110-5-RELEASE-marathon-556xxx", "■")</f>
        <v>■</v>
      </c>
      <c r="F100" s="14" t="s">
        <v>103</v>
      </c>
      <c r="G100" s="14">
        <v>67210</v>
      </c>
      <c r="H100" s="14">
        <v>74100</v>
      </c>
      <c r="I100" s="14">
        <v>25</v>
      </c>
      <c r="J100" s="14" t="s">
        <v>104</v>
      </c>
      <c r="K100" s="14" t="s">
        <v>105</v>
      </c>
      <c r="L100" s="14" t="s">
        <v>106</v>
      </c>
      <c r="M100" s="14" t="s">
        <v>9158</v>
      </c>
      <c r="N100" s="14" t="s">
        <v>9158</v>
      </c>
      <c r="O100" s="14" t="s">
        <v>9158</v>
      </c>
      <c r="P100" s="14" t="s">
        <v>9158</v>
      </c>
      <c r="Q100" s="14" t="s">
        <v>9158</v>
      </c>
    </row>
    <row r="101" spans="1:17">
      <c r="A101" s="14">
        <v>51383</v>
      </c>
      <c r="B101" s="14" t="s">
        <v>15</v>
      </c>
      <c r="C101" s="14" t="s">
        <v>1</v>
      </c>
      <c r="D101" s="20" t="s">
        <v>15363</v>
      </c>
      <c r="E101" s="15" t="str">
        <f>HYPERLINK("https://stat100.ameba.jp/tnk47/ratio20/illustrations/card/ill_51383_ozashikikyogokuichiko03.jpg?202110-5-RELEASE-marathon-556xxx", "■")</f>
        <v>■</v>
      </c>
      <c r="F101" s="14" t="s">
        <v>15371</v>
      </c>
      <c r="G101" s="14">
        <v>74100</v>
      </c>
      <c r="H101" s="14">
        <v>67210</v>
      </c>
      <c r="I101" s="14">
        <v>25</v>
      </c>
      <c r="J101" s="14" t="s">
        <v>16</v>
      </c>
      <c r="K101" s="14" t="s">
        <v>15369</v>
      </c>
      <c r="L101" s="14" t="s">
        <v>15368</v>
      </c>
      <c r="M101" s="14" t="s">
        <v>9158</v>
      </c>
      <c r="N101" s="14" t="s">
        <v>9158</v>
      </c>
      <c r="O101" s="14" t="s">
        <v>9158</v>
      </c>
      <c r="P101" s="14" t="s">
        <v>9158</v>
      </c>
      <c r="Q101" s="14" t="s">
        <v>9158</v>
      </c>
    </row>
    <row r="102" spans="1:17">
      <c r="A102" s="14">
        <v>51903</v>
      </c>
      <c r="B102" s="14" t="s">
        <v>15</v>
      </c>
      <c r="C102" s="14" t="s">
        <v>14</v>
      </c>
      <c r="D102" s="20" t="s">
        <v>16323</v>
      </c>
      <c r="E102" s="15" t="str">
        <f>HYPERLINK("https://stat100.ameba.jp/tnk47/ratio20/illustrations/card/ill_51903_kemonomizugiringochan03.jpg?202110-5-RELEASE-marathon-556xxx", "■")</f>
        <v>■</v>
      </c>
      <c r="F102" s="14" t="s">
        <v>16324</v>
      </c>
      <c r="G102" s="14">
        <v>74100</v>
      </c>
      <c r="H102" s="14">
        <v>67210</v>
      </c>
      <c r="I102" s="14">
        <v>25</v>
      </c>
      <c r="J102" s="14" t="s">
        <v>104</v>
      </c>
      <c r="K102" s="14" t="s">
        <v>16325</v>
      </c>
      <c r="L102" s="14" t="s">
        <v>16326</v>
      </c>
      <c r="M102" s="14" t="s">
        <v>9158</v>
      </c>
      <c r="N102" s="14" t="s">
        <v>9158</v>
      </c>
      <c r="O102" s="14" t="s">
        <v>9158</v>
      </c>
      <c r="P102" s="14" t="s">
        <v>9158</v>
      </c>
      <c r="Q102" s="14" t="s">
        <v>9158</v>
      </c>
    </row>
    <row r="104" spans="1:17">
      <c r="A104" s="14" t="s">
        <v>180</v>
      </c>
      <c r="I104" s="7"/>
    </row>
    <row r="105" spans="1:17">
      <c r="A105" s="14">
        <v>112203</v>
      </c>
      <c r="B105" s="14" t="s">
        <v>7257</v>
      </c>
      <c r="I105" s="7"/>
    </row>
    <row r="106" spans="1:17">
      <c r="A106" s="9" t="s">
        <v>5614</v>
      </c>
      <c r="B106" s="14" t="s">
        <v>52</v>
      </c>
      <c r="C106" s="14" t="s">
        <v>205</v>
      </c>
      <c r="D106" s="14" t="s">
        <v>947</v>
      </c>
      <c r="E106" s="15" t="str">
        <f>HYPERLINK("https://stat100.ameba.jp/tnk47/ratio20/illustrations/card/ill_56223_0_onsempanikkugohime03.jpg?202110-5-RELEASE-marathon-556xxx", "■")</f>
        <v>■</v>
      </c>
      <c r="F106" s="14" t="s">
        <v>948</v>
      </c>
      <c r="G106" s="14">
        <v>150680</v>
      </c>
      <c r="H106" s="14">
        <v>169624</v>
      </c>
      <c r="I106" s="14">
        <v>27</v>
      </c>
      <c r="J106" s="14" t="s">
        <v>77</v>
      </c>
      <c r="K106" s="14" t="s">
        <v>949</v>
      </c>
      <c r="L106" s="14" t="s">
        <v>950</v>
      </c>
      <c r="M106" s="14" t="s">
        <v>9158</v>
      </c>
      <c r="N106" s="14" t="s">
        <v>9158</v>
      </c>
      <c r="O106" s="9" t="s">
        <v>3021</v>
      </c>
      <c r="P106" s="14" t="s">
        <v>2890</v>
      </c>
      <c r="Q106" s="14">
        <v>1</v>
      </c>
    </row>
    <row r="107" spans="1:17">
      <c r="A107" s="14" t="s">
        <v>5618</v>
      </c>
      <c r="B107" s="14" t="s">
        <v>330</v>
      </c>
      <c r="C107" s="14" t="s">
        <v>200</v>
      </c>
      <c r="D107" s="20" t="s">
        <v>665</v>
      </c>
      <c r="E107" s="15" t="str">
        <f>HYPERLINK("https://stat100.ameba.jp/tnk47/ratio20/illustrations/card/ill_63173_0_minazukikonakaiteruko03.jpg?202110-5-RELEASE-marathon-556xxx", "■")</f>
        <v>■</v>
      </c>
      <c r="F107" s="14" t="s">
        <v>666</v>
      </c>
      <c r="G107" s="14">
        <v>234350</v>
      </c>
      <c r="H107" s="14">
        <v>252030</v>
      </c>
      <c r="I107" s="14">
        <v>27</v>
      </c>
      <c r="J107" s="14" t="s">
        <v>310</v>
      </c>
      <c r="K107" s="14" t="s">
        <v>667</v>
      </c>
      <c r="L107" s="14" t="s">
        <v>668</v>
      </c>
      <c r="M107" s="14" t="s">
        <v>9158</v>
      </c>
      <c r="N107" s="14" t="s">
        <v>9158</v>
      </c>
      <c r="O107" s="19" t="s">
        <v>10079</v>
      </c>
      <c r="P107" s="14" t="s">
        <v>3329</v>
      </c>
      <c r="Q107" s="14">
        <v>1</v>
      </c>
    </row>
    <row r="108" spans="1:17">
      <c r="A108" s="14" t="s">
        <v>5604</v>
      </c>
      <c r="B108" s="14" t="s">
        <v>330</v>
      </c>
      <c r="C108" s="14" t="s">
        <v>206</v>
      </c>
      <c r="D108" s="19" t="s">
        <v>614</v>
      </c>
      <c r="E108" s="15" t="str">
        <f>HYPERLINK("https://stat100.ameba.jp/tnk47/ratio20/illustrations/card/ill_47263_0_oukyuuatsuhime03.jpg?202110-5-RELEASE-marathon-556xxx", "■")</f>
        <v>■</v>
      </c>
      <c r="F108" s="14" t="s">
        <v>615</v>
      </c>
      <c r="G108" s="14">
        <v>169624</v>
      </c>
      <c r="H108" s="14">
        <v>150680</v>
      </c>
      <c r="I108" s="14">
        <v>27</v>
      </c>
      <c r="J108" s="14" t="s">
        <v>315</v>
      </c>
      <c r="K108" s="14" t="s">
        <v>616</v>
      </c>
      <c r="L108" s="14" t="s">
        <v>617</v>
      </c>
      <c r="M108" s="14" t="s">
        <v>9158</v>
      </c>
      <c r="N108" s="14" t="s">
        <v>9158</v>
      </c>
      <c r="O108" s="14" t="s">
        <v>9158</v>
      </c>
      <c r="P108" s="14" t="s">
        <v>9158</v>
      </c>
      <c r="Q108" s="14" t="s">
        <v>9158</v>
      </c>
    </row>
    <row r="109" spans="1:17">
      <c r="A109" s="14">
        <v>201093</v>
      </c>
      <c r="B109" s="14" t="s">
        <v>0</v>
      </c>
      <c r="C109" s="14" t="s">
        <v>101</v>
      </c>
      <c r="D109" s="14" t="s">
        <v>18032</v>
      </c>
      <c r="E109" s="15" t="str">
        <f>HYPERLINK("https://stat100.ameba.jp/tnk47/ratio20/illustrations/card/ill_201093_haroinresshaikedasen03.jpg?202110-5-RELEASE-marathon-556xxx", "■")</f>
        <v>■</v>
      </c>
      <c r="F109" s="14" t="s">
        <v>18028</v>
      </c>
      <c r="G109" s="14">
        <v>154768</v>
      </c>
      <c r="H109" s="14">
        <v>166452</v>
      </c>
      <c r="I109" s="7">
        <v>28</v>
      </c>
      <c r="J109" s="14" t="s">
        <v>143</v>
      </c>
      <c r="K109" s="14" t="s">
        <v>18027</v>
      </c>
      <c r="L109" s="14" t="s">
        <v>18026</v>
      </c>
      <c r="M109" s="14" t="s">
        <v>9158</v>
      </c>
      <c r="N109" s="14" t="s">
        <v>9158</v>
      </c>
      <c r="O109" s="14" t="s">
        <v>9158</v>
      </c>
      <c r="P109" s="14" t="s">
        <v>9158</v>
      </c>
      <c r="Q109" s="14" t="s">
        <v>9158</v>
      </c>
    </row>
    <row r="110" spans="1:17">
      <c r="A110" s="14">
        <v>201103</v>
      </c>
      <c r="B110" s="14" t="s">
        <v>15</v>
      </c>
      <c r="C110" s="14" t="s">
        <v>1</v>
      </c>
      <c r="D110" s="14" t="s">
        <v>18031</v>
      </c>
      <c r="E110" s="15" t="str">
        <f>HYPERLINK("https://stat100.ameba.jp/tnk47/ratio20/illustrations/card/ill_201103_haroinyureigasa03.jpg?202110-5-RELEASE-marathon-556xxx", "■")</f>
        <v>■</v>
      </c>
      <c r="F110" s="14" t="s">
        <v>18030</v>
      </c>
      <c r="G110" s="14">
        <v>80028</v>
      </c>
      <c r="H110" s="14">
        <v>72586</v>
      </c>
      <c r="I110" s="7">
        <v>27</v>
      </c>
      <c r="J110" s="14" t="s">
        <v>73</v>
      </c>
      <c r="K110" s="14" t="s">
        <v>18029</v>
      </c>
      <c r="L110" s="14" t="s">
        <v>3835</v>
      </c>
      <c r="M110" s="14" t="s">
        <v>9158</v>
      </c>
      <c r="N110" s="14" t="s">
        <v>9158</v>
      </c>
      <c r="O110" s="14" t="s">
        <v>9158</v>
      </c>
      <c r="P110" s="14" t="s">
        <v>9158</v>
      </c>
      <c r="Q110" s="14" t="s">
        <v>9158</v>
      </c>
    </row>
    <row r="111" spans="1:17">
      <c r="A111" s="14">
        <v>201113</v>
      </c>
      <c r="B111" s="14" t="s">
        <v>22</v>
      </c>
      <c r="C111" s="14" t="s">
        <v>96</v>
      </c>
      <c r="D111" s="14" t="s">
        <v>18035</v>
      </c>
      <c r="E111" s="15" t="str">
        <f>HYPERLINK("https://stat100.ameba.jp/tnk47/ratio20/illustrations/card/ill_201113_peroperokyandei03.jpg?202110-5-RELEASE-marathon-556xxx", "■")</f>
        <v>■</v>
      </c>
      <c r="F111" s="14" t="s">
        <v>18034</v>
      </c>
      <c r="G111" s="14">
        <v>46676</v>
      </c>
      <c r="H111" s="14">
        <v>56138</v>
      </c>
      <c r="I111" s="7">
        <v>27</v>
      </c>
      <c r="J111" s="14" t="s">
        <v>104</v>
      </c>
      <c r="K111" s="14" t="s">
        <v>18033</v>
      </c>
      <c r="L111" s="14" t="s">
        <v>3839</v>
      </c>
      <c r="M111" s="14" t="s">
        <v>9158</v>
      </c>
      <c r="N111" s="14" t="s">
        <v>9158</v>
      </c>
      <c r="O111" s="14" t="s">
        <v>9158</v>
      </c>
      <c r="P111" s="14" t="s">
        <v>9158</v>
      </c>
      <c r="Q111" s="14" t="s">
        <v>9158</v>
      </c>
    </row>
    <row r="112" spans="1:17">
      <c r="A112" s="14">
        <v>201123</v>
      </c>
      <c r="B112" s="14" t="s">
        <v>22</v>
      </c>
      <c r="C112" s="14" t="s">
        <v>4952</v>
      </c>
      <c r="D112" s="14" t="s">
        <v>18038</v>
      </c>
      <c r="E112" s="15" t="str">
        <f>HYPERLINK("https://stat100.ameba.jp/tnk47/ratio20/illustrations/card/ill_201123_henzerutogureteru03.jpg?202110-5-RELEASE-marathon-556xxx", "■")</f>
        <v>■</v>
      </c>
      <c r="F112" s="14" t="s">
        <v>18037</v>
      </c>
      <c r="G112" s="14">
        <v>56138</v>
      </c>
      <c r="H112" s="14">
        <v>46676</v>
      </c>
      <c r="I112" s="7">
        <v>27</v>
      </c>
      <c r="J112" s="14" t="s">
        <v>38</v>
      </c>
      <c r="K112" s="14" t="s">
        <v>18036</v>
      </c>
      <c r="L112" s="14" t="s">
        <v>7248</v>
      </c>
      <c r="M112" s="14" t="s">
        <v>9158</v>
      </c>
      <c r="N112" s="14" t="s">
        <v>9158</v>
      </c>
      <c r="O112" s="14" t="s">
        <v>9158</v>
      </c>
      <c r="P112" s="14" t="s">
        <v>9158</v>
      </c>
      <c r="Q112" s="14" t="s">
        <v>9158</v>
      </c>
    </row>
    <row r="114" spans="1:17">
      <c r="A114" s="14" t="s">
        <v>12630</v>
      </c>
    </row>
    <row r="115" spans="1:17">
      <c r="A115" s="14">
        <v>241052</v>
      </c>
      <c r="B115" s="14" t="s">
        <v>18084</v>
      </c>
    </row>
    <row r="116" spans="1:17">
      <c r="A116" s="14">
        <v>241062</v>
      </c>
      <c r="B116" s="14" t="s">
        <v>15725</v>
      </c>
    </row>
    <row r="117" spans="1:17">
      <c r="A117" s="9" t="s">
        <v>18086</v>
      </c>
    </row>
    <row r="118" spans="1:17">
      <c r="A118" s="14" t="s">
        <v>16989</v>
      </c>
      <c r="B118" s="7" t="s">
        <v>52</v>
      </c>
      <c r="C118" s="14" t="s">
        <v>202</v>
      </c>
      <c r="D118" s="18" t="s">
        <v>16988</v>
      </c>
      <c r="E118" s="15" t="str">
        <f>HYPERLINK("https://stat100.ameba.jp/tnk47/ratio20/illustrations/card/ill_97013_0_kanokaishiranui03.jpg?202110-5-RELEASE-marathon-556xxx", "■")</f>
        <v>■</v>
      </c>
      <c r="F118" s="14" t="s">
        <v>16987</v>
      </c>
      <c r="G118" s="14">
        <v>316780</v>
      </c>
      <c r="H118" s="14">
        <v>286280</v>
      </c>
      <c r="I118" s="7">
        <v>30</v>
      </c>
      <c r="J118" s="14" t="s">
        <v>73</v>
      </c>
      <c r="K118" s="14" t="s">
        <v>16986</v>
      </c>
      <c r="L118" s="14" t="s">
        <v>16985</v>
      </c>
      <c r="M118" s="14" t="s">
        <v>9158</v>
      </c>
      <c r="N118" s="14" t="s">
        <v>9158</v>
      </c>
      <c r="O118" s="7" t="s">
        <v>16990</v>
      </c>
      <c r="P118" s="7" t="s">
        <v>16991</v>
      </c>
      <c r="Q118" s="7">
        <v>1</v>
      </c>
    </row>
    <row r="119" spans="1:17">
      <c r="A119" s="14" t="s">
        <v>12532</v>
      </c>
      <c r="B119" s="7" t="s">
        <v>52</v>
      </c>
      <c r="C119" s="14" t="s">
        <v>202</v>
      </c>
      <c r="D119" s="18" t="s">
        <v>12528</v>
      </c>
      <c r="E119" s="15" t="str">
        <f>HYPERLINK("https://stat100.ameba.jp/tnk47/ratio20/illustrations/card/ill_89073_0_efuwanresuyokohamaserachan03.jpg?202110-5-RELEASE-marathon-556xxx", "■")</f>
        <v>■</v>
      </c>
      <c r="F119" s="14" t="s">
        <v>12529</v>
      </c>
      <c r="G119" s="14">
        <v>329998</v>
      </c>
      <c r="H119" s="14">
        <v>365126</v>
      </c>
      <c r="I119" s="7">
        <v>30</v>
      </c>
      <c r="J119" s="14" t="s">
        <v>229</v>
      </c>
      <c r="K119" s="14" t="s">
        <v>12530</v>
      </c>
      <c r="L119" s="14" t="s">
        <v>12531</v>
      </c>
      <c r="M119" s="14" t="s">
        <v>9158</v>
      </c>
      <c r="N119" s="14" t="s">
        <v>9158</v>
      </c>
      <c r="O119" s="6" t="s">
        <v>12533</v>
      </c>
      <c r="P119" s="7" t="s">
        <v>12534</v>
      </c>
      <c r="Q119" s="7">
        <v>1</v>
      </c>
    </row>
    <row r="120" spans="1:17">
      <c r="A120" s="14" t="s">
        <v>5963</v>
      </c>
      <c r="B120" s="14" t="s">
        <v>330</v>
      </c>
      <c r="C120" s="14" t="s">
        <v>35</v>
      </c>
      <c r="D120" s="19" t="s">
        <v>10438</v>
      </c>
      <c r="E120" s="15" t="str">
        <f>HYPERLINK("https://stat100.ameba.jp/tnk47/ratio20/illustrations/card/ill_82963_0_yukatamatsuritomokazuki03.jpg?202110-5-RELEASE-marathon-556xxx", "■")</f>
        <v>■</v>
      </c>
      <c r="F120" s="14" t="s">
        <v>5964</v>
      </c>
      <c r="G120" s="14">
        <v>357362</v>
      </c>
      <c r="H120" s="14">
        <v>395414</v>
      </c>
      <c r="I120" s="7">
        <v>30</v>
      </c>
      <c r="J120" s="14" t="s">
        <v>73</v>
      </c>
      <c r="K120" s="14" t="s">
        <v>5966</v>
      </c>
      <c r="L120" s="14" t="s">
        <v>5967</v>
      </c>
      <c r="M120" s="14" t="s">
        <v>9158</v>
      </c>
      <c r="N120" s="14" t="s">
        <v>9158</v>
      </c>
      <c r="O120" s="19" t="s">
        <v>10115</v>
      </c>
      <c r="P120" s="14" t="s">
        <v>5968</v>
      </c>
      <c r="Q120" s="14">
        <v>1</v>
      </c>
    </row>
    <row r="121" spans="1:17">
      <c r="A121" s="14">
        <v>99273</v>
      </c>
      <c r="B121" s="14" t="s">
        <v>0</v>
      </c>
      <c r="C121" s="14" t="s">
        <v>14</v>
      </c>
      <c r="D121" s="14" t="s">
        <v>17135</v>
      </c>
      <c r="E121" s="15" t="str">
        <f>HYPERLINK("https://stat100.ameba.jp/tnk47/ratio20/illustrations/card/ill_99273_inaniwaudon03.jpg?202110-5-RELEASE-marathon-556xxx", "■")</f>
        <v>■</v>
      </c>
      <c r="F121" s="14" t="s">
        <v>17134</v>
      </c>
      <c r="G121" s="14">
        <v>141676</v>
      </c>
      <c r="H121" s="14">
        <v>131742</v>
      </c>
      <c r="I121" s="7">
        <v>30</v>
      </c>
      <c r="J121" s="14" t="s">
        <v>104</v>
      </c>
      <c r="K121" s="14" t="s">
        <v>17133</v>
      </c>
      <c r="L121" s="14" t="s">
        <v>17132</v>
      </c>
      <c r="M121" s="14" t="s">
        <v>9158</v>
      </c>
      <c r="N121" s="14" t="s">
        <v>9158</v>
      </c>
      <c r="O121" s="14" t="s">
        <v>9158</v>
      </c>
      <c r="P121" s="14" t="s">
        <v>9158</v>
      </c>
      <c r="Q121" s="14" t="s">
        <v>9158</v>
      </c>
    </row>
    <row r="122" spans="1:17">
      <c r="A122" s="14">
        <v>98633</v>
      </c>
      <c r="B122" s="14" t="s">
        <v>0</v>
      </c>
      <c r="C122" s="14" t="s">
        <v>23</v>
      </c>
      <c r="D122" s="14" t="s">
        <v>18088</v>
      </c>
      <c r="E122" s="15" t="str">
        <f>HYPERLINK("https://stat100.ameba.jp/tnk47/ratio20/illustrations/card/ill_98633_ammitsuchan03.jpg?202110-5-RELEASE-marathon-556xxx", "■")</f>
        <v>■</v>
      </c>
      <c r="F122" s="14" t="s">
        <v>18090</v>
      </c>
      <c r="G122" s="14">
        <v>113154</v>
      </c>
      <c r="H122" s="14">
        <v>121646</v>
      </c>
      <c r="I122" s="7">
        <v>30</v>
      </c>
      <c r="J122" s="14" t="s">
        <v>104</v>
      </c>
      <c r="K122" s="14" t="s">
        <v>18089</v>
      </c>
      <c r="L122" s="14" t="s">
        <v>15839</v>
      </c>
      <c r="M122" s="14" t="s">
        <v>9158</v>
      </c>
      <c r="N122" s="14" t="s">
        <v>9158</v>
      </c>
      <c r="O122" s="14" t="s">
        <v>9158</v>
      </c>
      <c r="P122" s="14" t="s">
        <v>9158</v>
      </c>
      <c r="Q122" s="14" t="s">
        <v>9158</v>
      </c>
    </row>
    <row r="123" spans="1:17">
      <c r="A123" s="14">
        <v>96553</v>
      </c>
      <c r="B123" s="14" t="s">
        <v>0</v>
      </c>
      <c r="C123" s="14" t="s">
        <v>101</v>
      </c>
      <c r="D123" s="14" t="s">
        <v>16826</v>
      </c>
      <c r="E123" s="15" t="str">
        <f>HYPERLINK("https://stat100.ameba.jp/tnk47/ratio20/illustrations/card/ill_96553_saishomarugotto03.jpg?202110-5-RELEASE-marathon-556xxx", "■")</f>
        <v>■</v>
      </c>
      <c r="F123" s="14" t="s">
        <v>16825</v>
      </c>
      <c r="G123" s="14">
        <v>108912</v>
      </c>
      <c r="H123" s="14">
        <v>117182</v>
      </c>
      <c r="I123" s="7">
        <v>30</v>
      </c>
      <c r="J123" s="14" t="s">
        <v>44</v>
      </c>
      <c r="K123" s="14" t="s">
        <v>16824</v>
      </c>
      <c r="L123" s="14" t="s">
        <v>16823</v>
      </c>
      <c r="M123" s="14" t="s">
        <v>9158</v>
      </c>
      <c r="N123" s="14" t="s">
        <v>9158</v>
      </c>
      <c r="O123" s="14" t="s">
        <v>9158</v>
      </c>
      <c r="P123" s="14" t="s">
        <v>9158</v>
      </c>
      <c r="Q123" s="14" t="s">
        <v>9158</v>
      </c>
    </row>
    <row r="124" spans="1:17">
      <c r="A124" s="14">
        <v>89953</v>
      </c>
      <c r="B124" s="14" t="s">
        <v>0</v>
      </c>
      <c r="C124" s="14" t="s">
        <v>96</v>
      </c>
      <c r="D124" s="14" t="s">
        <v>13819</v>
      </c>
      <c r="E124" s="15" t="str">
        <f>HYPERLINK("https://stat100.ameba.jp/tnk47/ratio20/illustrations/card/ill_89953_koinoborihinotomiko03.jpg?202110-5-RELEASE-marathon-556xxx", "■")</f>
        <v>■</v>
      </c>
      <c r="F124" s="14" t="s">
        <v>13818</v>
      </c>
      <c r="G124" s="14">
        <v>117182</v>
      </c>
      <c r="H124" s="14">
        <v>108912</v>
      </c>
      <c r="I124" s="7">
        <v>30</v>
      </c>
      <c r="J124" s="14" t="s">
        <v>77</v>
      </c>
      <c r="K124" s="14" t="s">
        <v>2451</v>
      </c>
      <c r="L124" s="14" t="s">
        <v>12081</v>
      </c>
      <c r="M124" s="14" t="s">
        <v>9158</v>
      </c>
      <c r="N124" s="14" t="s">
        <v>9158</v>
      </c>
      <c r="O124" s="14" t="s">
        <v>9158</v>
      </c>
      <c r="P124" s="14" t="s">
        <v>9158</v>
      </c>
      <c r="Q124" s="14" t="s">
        <v>9158</v>
      </c>
    </row>
    <row r="125" spans="1:17">
      <c r="A125" s="14">
        <v>90793</v>
      </c>
      <c r="B125" s="14" t="s">
        <v>0</v>
      </c>
      <c r="C125" s="14" t="s">
        <v>1</v>
      </c>
      <c r="D125" s="14" t="s">
        <v>14411</v>
      </c>
      <c r="E125" s="15" t="str">
        <f>HYPERLINK("https://stat100.ameba.jp/tnk47/ratio20/illustrations/card/ill_90793_suitsuzammaininko03.jpg?202110-5-RELEASE-marathon-556xxx", "■")</f>
        <v>■</v>
      </c>
      <c r="F125" s="14" t="s">
        <v>14410</v>
      </c>
      <c r="G125" s="14">
        <v>131742</v>
      </c>
      <c r="H125" s="14">
        <v>141676</v>
      </c>
      <c r="I125" s="7">
        <v>30</v>
      </c>
      <c r="J125" s="14" t="s">
        <v>73</v>
      </c>
      <c r="K125" s="14" t="s">
        <v>14408</v>
      </c>
      <c r="L125" s="14" t="s">
        <v>13096</v>
      </c>
      <c r="M125" s="14" t="s">
        <v>9158</v>
      </c>
      <c r="N125" s="14" t="s">
        <v>9158</v>
      </c>
      <c r="O125" s="14" t="s">
        <v>9158</v>
      </c>
      <c r="P125" s="14" t="s">
        <v>9158</v>
      </c>
      <c r="Q125" s="14" t="s">
        <v>9158</v>
      </c>
    </row>
    <row r="126" spans="1:17">
      <c r="A126" s="14">
        <v>98623</v>
      </c>
      <c r="B126" s="14" t="s">
        <v>0</v>
      </c>
      <c r="C126" s="14" t="s">
        <v>107</v>
      </c>
      <c r="D126" s="14" t="s">
        <v>18093</v>
      </c>
      <c r="E126" s="15" t="str">
        <f>HYPERLINK("https://stat100.ameba.jp/tnk47/ratio20/illustrations/card/ill_98623_okashinokurikoretto03.jpg?202110-5-RELEASE-marathon-556xxx", "■")</f>
        <v>■</v>
      </c>
      <c r="F126" s="14" t="s">
        <v>18092</v>
      </c>
      <c r="G126" s="14">
        <v>178342</v>
      </c>
      <c r="H126" s="14">
        <v>165824</v>
      </c>
      <c r="I126" s="7">
        <v>30</v>
      </c>
      <c r="J126" s="14" t="s">
        <v>16</v>
      </c>
      <c r="K126" s="14" t="s">
        <v>18091</v>
      </c>
      <c r="L126" s="14" t="s">
        <v>17692</v>
      </c>
      <c r="M126" s="14" t="s">
        <v>9158</v>
      </c>
      <c r="N126" s="14" t="s">
        <v>9158</v>
      </c>
      <c r="O126" s="14" t="s">
        <v>9158</v>
      </c>
      <c r="P126" s="14" t="s">
        <v>9158</v>
      </c>
      <c r="Q126" s="14" t="s">
        <v>9158</v>
      </c>
    </row>
    <row r="128" spans="1:17">
      <c r="A128" s="14" t="s">
        <v>3785</v>
      </c>
    </row>
    <row r="129" spans="1:17">
      <c r="A129" s="14">
        <v>241073</v>
      </c>
      <c r="B129" s="14" t="s">
        <v>18085</v>
      </c>
    </row>
    <row r="130" spans="1:17">
      <c r="A130" s="14" t="s">
        <v>5601</v>
      </c>
      <c r="B130" s="14" t="s">
        <v>330</v>
      </c>
      <c r="C130" s="14" t="s">
        <v>35</v>
      </c>
      <c r="D130" s="20" t="s">
        <v>10318</v>
      </c>
      <c r="E130" s="15" t="str">
        <f>HYPERLINK("https://stat100.ameba.jp/tnk47/ratio20/illustrations/card/ill_82423_0_bikinigarukishi03.jpg?202110-5-RELEASE-marathon-556xxx", "■")</f>
        <v>■</v>
      </c>
      <c r="F130" s="14" t="s">
        <v>5391</v>
      </c>
      <c r="G130" s="14">
        <v>266382</v>
      </c>
      <c r="H130" s="14">
        <v>240760</v>
      </c>
      <c r="I130" s="14">
        <v>22</v>
      </c>
      <c r="J130" s="14" t="s">
        <v>77</v>
      </c>
      <c r="K130" s="14" t="s">
        <v>5392</v>
      </c>
      <c r="L130" s="14" t="s">
        <v>5393</v>
      </c>
      <c r="M130" s="14" t="s">
        <v>9158</v>
      </c>
      <c r="N130" s="14" t="s">
        <v>9158</v>
      </c>
      <c r="O130" s="19" t="s">
        <v>10069</v>
      </c>
      <c r="P130" s="14" t="s">
        <v>5394</v>
      </c>
      <c r="Q130" s="14">
        <v>1</v>
      </c>
    </row>
    <row r="131" spans="1:17">
      <c r="A131" s="14" t="s">
        <v>5804</v>
      </c>
      <c r="B131" s="14" t="s">
        <v>52</v>
      </c>
      <c r="C131" s="14" t="s">
        <v>14</v>
      </c>
      <c r="D131" s="19" t="s">
        <v>3195</v>
      </c>
      <c r="E131" s="15" t="str">
        <f>HYPERLINK("https://stat100.ameba.jp/tnk47/ratio20/illustrations/card/ill_75393_0_resukuinotsukisamaniittausagi03.jpg?202110-5-RELEASE-marathon-556xxx", "■")</f>
        <v>■</v>
      </c>
      <c r="F131" s="14" t="s">
        <v>3248</v>
      </c>
      <c r="G131" s="14">
        <v>250588</v>
      </c>
      <c r="H131" s="14">
        <v>232980</v>
      </c>
      <c r="I131" s="14">
        <v>22</v>
      </c>
      <c r="J131" s="14" t="s">
        <v>26</v>
      </c>
      <c r="K131" s="14" t="s">
        <v>3249</v>
      </c>
      <c r="L131" s="14" t="s">
        <v>3250</v>
      </c>
      <c r="M131" s="14" t="s">
        <v>9158</v>
      </c>
      <c r="N131" s="14" t="s">
        <v>9158</v>
      </c>
      <c r="O131" s="6" t="s">
        <v>10051</v>
      </c>
      <c r="P131" s="14" t="s">
        <v>3251</v>
      </c>
      <c r="Q131" s="14">
        <v>2</v>
      </c>
    </row>
    <row r="132" spans="1:17">
      <c r="A132" s="9" t="s">
        <v>5820</v>
      </c>
      <c r="B132" s="14" t="s">
        <v>330</v>
      </c>
      <c r="C132" s="14" t="s">
        <v>200</v>
      </c>
      <c r="D132" s="14" t="s">
        <v>630</v>
      </c>
      <c r="E132" s="15" t="str">
        <f>HYPERLINK("https://stat100.ameba.jp/tnk47/ratio20/illustrations/card/ill_48283_0_kyuubitamamonomae03.jpg?202110-5-RELEASE-marathon-556xxx", "■")</f>
        <v>■</v>
      </c>
      <c r="F132" s="14" t="s">
        <v>631</v>
      </c>
      <c r="G132" s="14">
        <v>138212</v>
      </c>
      <c r="H132" s="14">
        <v>122776</v>
      </c>
      <c r="I132" s="14">
        <v>22</v>
      </c>
      <c r="J132" s="14" t="s">
        <v>320</v>
      </c>
      <c r="K132" s="14" t="s">
        <v>632</v>
      </c>
      <c r="L132" s="14" t="s">
        <v>633</v>
      </c>
      <c r="M132" s="14" t="s">
        <v>9158</v>
      </c>
      <c r="N132" s="14" t="s">
        <v>9158</v>
      </c>
      <c r="O132" s="14" t="s">
        <v>9158</v>
      </c>
      <c r="P132" s="14" t="s">
        <v>9158</v>
      </c>
      <c r="Q132" s="14" t="s">
        <v>9158</v>
      </c>
    </row>
    <row r="133" spans="1:17">
      <c r="A133" s="14">
        <v>99353</v>
      </c>
      <c r="B133" s="7" t="s">
        <v>0</v>
      </c>
      <c r="C133" s="14" t="s">
        <v>23</v>
      </c>
      <c r="D133" s="14" t="s">
        <v>17147</v>
      </c>
      <c r="E133" s="15" t="str">
        <f>HYPERLINK("https://stat100.ameba.jp/tnk47/ratio20/illustrations/card/ill_99353_mashishorandore03.jpg?202110-5-RELEASE-marathon-556xxx", "■")</f>
        <v>■</v>
      </c>
      <c r="F133" s="14" t="s">
        <v>17146</v>
      </c>
      <c r="G133" s="14">
        <v>220250</v>
      </c>
      <c r="H133" s="14">
        <v>123914</v>
      </c>
      <c r="I133" s="14">
        <v>30</v>
      </c>
      <c r="J133" s="14" t="s">
        <v>10</v>
      </c>
      <c r="K133" s="14" t="s">
        <v>17145</v>
      </c>
      <c r="L133" s="14" t="s">
        <v>13407</v>
      </c>
      <c r="M133" s="14" t="s">
        <v>9158</v>
      </c>
      <c r="N133" s="14" t="s">
        <v>9158</v>
      </c>
      <c r="O133" s="14" t="s">
        <v>9158</v>
      </c>
      <c r="P133" s="14" t="s">
        <v>9158</v>
      </c>
      <c r="Q133" s="14" t="s">
        <v>9158</v>
      </c>
    </row>
    <row r="134" spans="1:17">
      <c r="A134" s="14">
        <v>99363</v>
      </c>
      <c r="B134" s="7" t="s">
        <v>0</v>
      </c>
      <c r="C134" s="14" t="s">
        <v>96</v>
      </c>
      <c r="D134" s="14" t="s">
        <v>17151</v>
      </c>
      <c r="E134" s="15" t="str">
        <f>HYPERLINK("https://stat100.ameba.jp/tnk47/ratio20/illustrations/card/ill_99363_kariudorobin03.jpg?202110-5-RELEASE-marathon-556xxx", "■")</f>
        <v>■</v>
      </c>
      <c r="F134" s="14" t="s">
        <v>17150</v>
      </c>
      <c r="G134" s="14">
        <v>174982</v>
      </c>
      <c r="H134" s="14">
        <v>98436</v>
      </c>
      <c r="I134" s="14">
        <v>30</v>
      </c>
      <c r="J134" s="14" t="s">
        <v>38</v>
      </c>
      <c r="K134" s="14" t="s">
        <v>17149</v>
      </c>
      <c r="L134" s="14" t="s">
        <v>17148</v>
      </c>
      <c r="M134" s="14" t="s">
        <v>9158</v>
      </c>
      <c r="N134" s="14" t="s">
        <v>9158</v>
      </c>
      <c r="O134" s="14" t="s">
        <v>9158</v>
      </c>
      <c r="P134" s="14" t="s">
        <v>9158</v>
      </c>
      <c r="Q134" s="14" t="s">
        <v>9158</v>
      </c>
    </row>
    <row r="135" spans="1:17">
      <c r="A135" s="14">
        <v>93983</v>
      </c>
      <c r="B135" s="14" t="s">
        <v>0</v>
      </c>
      <c r="C135" s="14" t="s">
        <v>107</v>
      </c>
      <c r="D135" s="14" t="s">
        <v>16507</v>
      </c>
      <c r="E135" s="15" t="str">
        <f>HYPERLINK("https://stat100.ameba.jp/tnk47/ratio20/illustrations/card/ill_93983_kambiramia03.jpg?202110-5-RELEASE-marathon-556xxx", "■")</f>
        <v>■</v>
      </c>
      <c r="F135" s="14" t="s">
        <v>16506</v>
      </c>
      <c r="G135" s="14">
        <v>174982</v>
      </c>
      <c r="H135" s="14">
        <v>98436</v>
      </c>
      <c r="I135" s="14">
        <v>30</v>
      </c>
      <c r="J135" s="14" t="s">
        <v>104</v>
      </c>
      <c r="K135" s="14" t="s">
        <v>16505</v>
      </c>
      <c r="L135" s="14" t="s">
        <v>13093</v>
      </c>
      <c r="M135" s="14" t="s">
        <v>9158</v>
      </c>
      <c r="N135" s="14" t="s">
        <v>9158</v>
      </c>
      <c r="O135" s="14" t="s">
        <v>9158</v>
      </c>
      <c r="P135" s="14" t="s">
        <v>9158</v>
      </c>
      <c r="Q135" s="14" t="s">
        <v>9158</v>
      </c>
    </row>
    <row r="137" spans="1:17">
      <c r="A137" s="14" t="s">
        <v>4065</v>
      </c>
    </row>
    <row r="138" spans="1:17">
      <c r="A138" s="14">
        <v>112226</v>
      </c>
      <c r="B138" s="14" t="s">
        <v>15108</v>
      </c>
    </row>
    <row r="139" spans="1:17">
      <c r="A139" s="9" t="s">
        <v>9325</v>
      </c>
      <c r="B139" s="7" t="s">
        <v>52</v>
      </c>
      <c r="C139" s="9" t="s">
        <v>202</v>
      </c>
      <c r="D139" s="19" t="s">
        <v>10947</v>
      </c>
      <c r="E139" s="15" t="str">
        <f>HYPERLINK("https://stat100.ameba.jp/tnk47/ratio20/illustrations/card/ill_86893_0_chokonohisukeban03.jpg?202110-5-RELEASE-marathon-556xxx", "■")</f>
        <v>■</v>
      </c>
      <c r="F139" s="14" t="s">
        <v>9332</v>
      </c>
      <c r="G139" s="9">
        <v>364754</v>
      </c>
      <c r="H139" s="9">
        <v>329646</v>
      </c>
      <c r="I139" s="7">
        <v>28</v>
      </c>
      <c r="J139" s="9" t="s">
        <v>187</v>
      </c>
      <c r="K139" s="14" t="s">
        <v>9330</v>
      </c>
      <c r="L139" s="14" t="s">
        <v>9331</v>
      </c>
      <c r="M139" s="14" t="s">
        <v>9158</v>
      </c>
      <c r="N139" s="14" t="s">
        <v>9158</v>
      </c>
      <c r="O139" s="19" t="s">
        <v>10136</v>
      </c>
      <c r="P139" s="7" t="s">
        <v>9324</v>
      </c>
      <c r="Q139" s="7">
        <v>1</v>
      </c>
    </row>
    <row r="140" spans="1:17">
      <c r="A140" s="14">
        <v>96323</v>
      </c>
      <c r="B140" s="14" t="s">
        <v>0</v>
      </c>
      <c r="C140" s="14" t="s">
        <v>101</v>
      </c>
      <c r="D140" s="18" t="s">
        <v>16726</v>
      </c>
      <c r="E140" s="15" t="str">
        <f>HYPERLINK("https://stat100.ameba.jp/tnk47/ratio20/illustrations/card/ill_96323_ohinasamakubiwakomorichan03.jpg?202110-5-RELEASE-marathon-556xxx", "■")</f>
        <v>■</v>
      </c>
      <c r="F140" s="14" t="s">
        <v>16725</v>
      </c>
      <c r="G140" s="14">
        <v>118568</v>
      </c>
      <c r="H140" s="14">
        <v>127507</v>
      </c>
      <c r="I140" s="14">
        <v>27</v>
      </c>
      <c r="J140" s="14" t="s">
        <v>26</v>
      </c>
      <c r="K140" s="14" t="s">
        <v>16724</v>
      </c>
      <c r="L140" s="14" t="s">
        <v>15061</v>
      </c>
      <c r="M140" s="14" t="s">
        <v>9158</v>
      </c>
      <c r="N140" s="14" t="s">
        <v>9158</v>
      </c>
      <c r="O140" s="7" t="s">
        <v>3461</v>
      </c>
      <c r="P140" s="7" t="s">
        <v>3462</v>
      </c>
      <c r="Q140" s="7">
        <v>1</v>
      </c>
    </row>
    <row r="141" spans="1:17">
      <c r="A141" s="14">
        <v>84153</v>
      </c>
      <c r="B141" s="14" t="s">
        <v>0</v>
      </c>
      <c r="C141" s="14" t="s">
        <v>165</v>
      </c>
      <c r="D141" s="20" t="s">
        <v>14065</v>
      </c>
      <c r="E141" s="15" t="str">
        <f>HYPERLINK("https://stat100.ameba.jp/tnk47/ratio20/illustrations/card/ill_84153_tarottotoyotomihideyori03.jpg?202110-5-RELEASE-marathon-556xxx", "■")</f>
        <v>■</v>
      </c>
      <c r="F141" s="14" t="s">
        <v>7155</v>
      </c>
      <c r="G141" s="14">
        <v>160507</v>
      </c>
      <c r="H141" s="14">
        <v>149240</v>
      </c>
      <c r="I141" s="14">
        <v>27</v>
      </c>
      <c r="J141" s="14" t="s">
        <v>143</v>
      </c>
      <c r="K141" s="14" t="s">
        <v>7156</v>
      </c>
      <c r="L141" s="14" t="s">
        <v>145</v>
      </c>
      <c r="M141" s="14" t="s">
        <v>9158</v>
      </c>
      <c r="N141" s="14" t="s">
        <v>9158</v>
      </c>
      <c r="O141" s="19" t="s">
        <v>10090</v>
      </c>
      <c r="P141" s="14" t="s">
        <v>3460</v>
      </c>
      <c r="Q141" s="14">
        <v>1</v>
      </c>
    </row>
    <row r="142" spans="1:17">
      <c r="A142" s="14">
        <v>75333</v>
      </c>
      <c r="B142" s="14" t="s">
        <v>334</v>
      </c>
      <c r="C142" s="14" t="s">
        <v>200</v>
      </c>
      <c r="D142" s="19" t="s">
        <v>3206</v>
      </c>
      <c r="E142" s="15" t="str">
        <f>HYPERLINK("https://stat100.ameba.jp/tnk47/ratio20/illustrations/card/ill_75333_resukuintamamonomae03.jpg?202110-5-RELEASE-marathon-556xxx", "■")</f>
        <v>■</v>
      </c>
      <c r="F142" s="14" t="s">
        <v>3207</v>
      </c>
      <c r="G142" s="14">
        <v>104619</v>
      </c>
      <c r="H142" s="14">
        <v>112496</v>
      </c>
      <c r="I142" s="14">
        <v>27</v>
      </c>
      <c r="J142" s="14" t="s">
        <v>320</v>
      </c>
      <c r="K142" s="14" t="s">
        <v>3208</v>
      </c>
      <c r="L142" s="14" t="s">
        <v>3209</v>
      </c>
      <c r="M142" s="14" t="s">
        <v>9158</v>
      </c>
      <c r="N142" s="14" t="s">
        <v>9158</v>
      </c>
      <c r="O142" s="19" t="s">
        <v>10074</v>
      </c>
      <c r="P142" s="14" t="s">
        <v>2822</v>
      </c>
      <c r="Q142" s="14">
        <v>1</v>
      </c>
    </row>
    <row r="144" spans="1:17">
      <c r="A144" s="14" t="s">
        <v>3844</v>
      </c>
    </row>
    <row r="145" spans="1:18">
      <c r="A145" s="14">
        <v>112231</v>
      </c>
      <c r="B145" s="14" t="s">
        <v>7285</v>
      </c>
    </row>
    <row r="146" spans="1:18">
      <c r="A146" s="14" t="s">
        <v>15807</v>
      </c>
      <c r="B146" s="14" t="s">
        <v>52</v>
      </c>
      <c r="C146" s="14" t="s">
        <v>35</v>
      </c>
      <c r="D146" s="14" t="s">
        <v>15808</v>
      </c>
      <c r="E146" s="15" t="str">
        <f>HYPERLINK("https://stat100.ameba.jp/tnk47/ratio20/illustrations/card/ill_95013_0_shinshunnisennijuichiayakashi03.jpg?202110-5-RELEASE-marathon-556xxx", "■")</f>
        <v>■</v>
      </c>
      <c r="F146" s="14" t="s">
        <v>15806</v>
      </c>
      <c r="G146" s="14">
        <v>278470</v>
      </c>
      <c r="H146" s="14">
        <v>308104</v>
      </c>
      <c r="I146" s="14">
        <v>28</v>
      </c>
      <c r="J146" s="14" t="s">
        <v>73</v>
      </c>
      <c r="K146" s="14" t="s">
        <v>15805</v>
      </c>
      <c r="L146" s="14" t="s">
        <v>15804</v>
      </c>
      <c r="M146" s="14" t="s">
        <v>9158</v>
      </c>
      <c r="N146" s="14" t="s">
        <v>9158</v>
      </c>
      <c r="O146" s="14" t="s">
        <v>15802</v>
      </c>
      <c r="P146" s="14" t="s">
        <v>15803</v>
      </c>
      <c r="Q146" s="14">
        <v>0</v>
      </c>
    </row>
    <row r="147" spans="1:18">
      <c r="A147" s="9">
        <v>73723</v>
      </c>
      <c r="B147" s="14" t="s">
        <v>334</v>
      </c>
      <c r="C147" s="14" t="s">
        <v>191</v>
      </c>
      <c r="D147" s="14" t="s">
        <v>3456</v>
      </c>
      <c r="E147" s="15" t="str">
        <f>HYPERLINK("https://stat100.ameba.jp/tnk47/ratio20/illustrations/card/ill_73723_umibirakitomoegozen03.jpg?202110-5-RELEASE-marathon-556xxx", "■")</f>
        <v>■</v>
      </c>
      <c r="F147" s="14" t="s">
        <v>3457</v>
      </c>
      <c r="G147" s="14">
        <v>178342</v>
      </c>
      <c r="H147" s="14">
        <v>165824</v>
      </c>
      <c r="I147" s="14">
        <v>30</v>
      </c>
      <c r="J147" s="14" t="s">
        <v>143</v>
      </c>
      <c r="K147" s="14" t="s">
        <v>3458</v>
      </c>
      <c r="L147" s="14" t="s">
        <v>3459</v>
      </c>
      <c r="M147" s="14" t="s">
        <v>9158</v>
      </c>
      <c r="N147" s="14" t="s">
        <v>9158</v>
      </c>
      <c r="O147" s="18" t="s">
        <v>10057</v>
      </c>
      <c r="P147" s="14" t="s">
        <v>3460</v>
      </c>
      <c r="Q147" s="14">
        <v>1</v>
      </c>
    </row>
    <row r="148" spans="1:18">
      <c r="A148" s="9">
        <v>87583</v>
      </c>
      <c r="B148" s="14" t="s">
        <v>0</v>
      </c>
      <c r="C148" s="9" t="s">
        <v>165</v>
      </c>
      <c r="D148" s="6" t="s">
        <v>9981</v>
      </c>
      <c r="E148" s="15" t="str">
        <f>HYPERLINK("https://stat100.ameba.jp/tnk47/ratio20/illustrations/card/ill_87583_oendanise03.jpg?202110-5-RELEASE-marathon-556xxx", "■")</f>
        <v>■</v>
      </c>
      <c r="F148" s="9" t="s">
        <v>9929</v>
      </c>
      <c r="G148" s="14">
        <v>121646</v>
      </c>
      <c r="H148" s="14">
        <v>113154</v>
      </c>
      <c r="I148" s="14">
        <v>30</v>
      </c>
      <c r="J148" s="9" t="s">
        <v>159</v>
      </c>
      <c r="K148" s="9" t="s">
        <v>9934</v>
      </c>
      <c r="L148" s="9" t="s">
        <v>9927</v>
      </c>
      <c r="M148" s="14" t="s">
        <v>9158</v>
      </c>
      <c r="N148" s="14" t="s">
        <v>9158</v>
      </c>
      <c r="O148" s="6" t="s">
        <v>4373</v>
      </c>
      <c r="P148" s="14" t="s">
        <v>4374</v>
      </c>
      <c r="Q148" s="14">
        <v>1</v>
      </c>
    </row>
    <row r="149" spans="1:18">
      <c r="A149" s="14">
        <v>96973</v>
      </c>
      <c r="B149" s="14" t="s">
        <v>0</v>
      </c>
      <c r="C149" s="14" t="s">
        <v>1</v>
      </c>
      <c r="D149" s="18" t="s">
        <v>16995</v>
      </c>
      <c r="E149" s="15" t="str">
        <f>HYPERLINK("https://stat100.ameba.jp/tnk47/ratio20/illustrations/card/ill_96973_kanokaiinugamitsukai03.jpg?202110-5-RELEASE-marathon-556xxx", "■")</f>
        <v>■</v>
      </c>
      <c r="F149" s="14" t="s">
        <v>16994</v>
      </c>
      <c r="G149" s="14">
        <v>178342</v>
      </c>
      <c r="H149" s="14">
        <v>165824</v>
      </c>
      <c r="I149" s="14">
        <v>30</v>
      </c>
      <c r="J149" s="14" t="s">
        <v>44</v>
      </c>
      <c r="K149" s="14" t="s">
        <v>16993</v>
      </c>
      <c r="L149" s="14" t="s">
        <v>16992</v>
      </c>
      <c r="M149" s="14" t="s">
        <v>9158</v>
      </c>
      <c r="N149" s="14" t="s">
        <v>9158</v>
      </c>
      <c r="O149" s="7" t="s">
        <v>10118</v>
      </c>
      <c r="P149" s="7" t="s">
        <v>3810</v>
      </c>
      <c r="Q149" s="7">
        <v>1</v>
      </c>
    </row>
    <row r="151" spans="1:18">
      <c r="A151" s="14" t="s">
        <v>13327</v>
      </c>
    </row>
    <row r="152" spans="1:18">
      <c r="A152" s="14">
        <v>112234</v>
      </c>
      <c r="B152" s="14" t="s">
        <v>17721</v>
      </c>
    </row>
    <row r="153" spans="1:18">
      <c r="A153" s="14">
        <v>200463</v>
      </c>
      <c r="B153" s="14" t="s">
        <v>0</v>
      </c>
      <c r="C153" s="14" t="s">
        <v>335</v>
      </c>
      <c r="D153" s="14" t="s">
        <v>17725</v>
      </c>
      <c r="E153" s="15" t="str">
        <f>HYPERLINK("https://stat100.ameba.jp/tnk47/ratio20/illustrations/card/ill_200463_bakusanoshieiuddo03.jpg?202110-5-RELEASE-marathon-556xxx", "■")</f>
        <v>■</v>
      </c>
      <c r="F153" s="14" t="s">
        <v>17724</v>
      </c>
      <c r="G153" s="14">
        <v>147692</v>
      </c>
      <c r="H153" s="14">
        <v>137316</v>
      </c>
      <c r="I153" s="14">
        <v>30</v>
      </c>
      <c r="J153" s="14" t="s">
        <v>143</v>
      </c>
      <c r="K153" s="14" t="s">
        <v>17723</v>
      </c>
      <c r="L153" s="14" t="s">
        <v>17722</v>
      </c>
      <c r="M153" s="14" t="s">
        <v>2138</v>
      </c>
      <c r="N153" s="14" t="s">
        <v>2139</v>
      </c>
      <c r="O153" s="14" t="s">
        <v>9158</v>
      </c>
      <c r="P153" s="14" t="s">
        <v>9158</v>
      </c>
      <c r="Q153" s="14" t="s">
        <v>9158</v>
      </c>
      <c r="R153" s="14" t="s">
        <v>14748</v>
      </c>
    </row>
    <row r="154" spans="1:18">
      <c r="A154" s="14">
        <v>200462</v>
      </c>
      <c r="B154" s="14" t="s">
        <v>0</v>
      </c>
      <c r="C154" s="14" t="s">
        <v>335</v>
      </c>
      <c r="D154" s="14" t="s">
        <v>17725</v>
      </c>
      <c r="E154" s="15" t="str">
        <f>HYPERLINK("https://stat100.ameba.jp/tnk47/ratio20/illustrations/card/ill_200462_bakusanoshieiuddo02.jpg?202110-5-RELEASE-marathon-556xxx", "■")</f>
        <v>■</v>
      </c>
      <c r="F154" s="14" t="s">
        <v>17724</v>
      </c>
      <c r="G154" s="14">
        <v>123462</v>
      </c>
      <c r="H154" s="14">
        <v>113730</v>
      </c>
      <c r="I154" s="14">
        <v>30</v>
      </c>
      <c r="J154" s="14" t="s">
        <v>143</v>
      </c>
      <c r="K154" s="14" t="s">
        <v>17723</v>
      </c>
      <c r="L154" s="14" t="s">
        <v>17726</v>
      </c>
      <c r="M154" s="14" t="s">
        <v>13270</v>
      </c>
      <c r="N154" s="14" t="s">
        <v>13271</v>
      </c>
      <c r="O154" s="14" t="s">
        <v>9158</v>
      </c>
      <c r="P154" s="14" t="s">
        <v>9158</v>
      </c>
      <c r="Q154" s="14" t="s">
        <v>9158</v>
      </c>
      <c r="R154" s="14" t="s">
        <v>14748</v>
      </c>
    </row>
    <row r="155" spans="1:18">
      <c r="A155" s="14">
        <v>200461</v>
      </c>
      <c r="B155" s="14" t="s">
        <v>0</v>
      </c>
      <c r="C155" s="14" t="s">
        <v>335</v>
      </c>
      <c r="D155" s="14" t="s">
        <v>17725</v>
      </c>
      <c r="E155" s="15" t="str">
        <f>HYPERLINK("https://stat100.ameba.jp/tnk47/ratio20/illustrations/card/ill_200461_bakusanoshieiuddo01.jpg?202110-5-RELEASE-marathon-556xxx", "■")</f>
        <v>■</v>
      </c>
      <c r="F155" s="14" t="s">
        <v>17724</v>
      </c>
      <c r="G155" s="14">
        <v>94260</v>
      </c>
      <c r="H155" s="14">
        <v>87750</v>
      </c>
      <c r="I155" s="14">
        <v>30</v>
      </c>
      <c r="J155" s="14" t="s">
        <v>143</v>
      </c>
      <c r="K155" s="14" t="s">
        <v>17723</v>
      </c>
      <c r="L155" s="14" t="s">
        <v>17727</v>
      </c>
      <c r="M155" s="14" t="s">
        <v>13270</v>
      </c>
      <c r="N155" s="14" t="s">
        <v>13271</v>
      </c>
      <c r="O155" s="14" t="s">
        <v>9158</v>
      </c>
      <c r="P155" s="14" t="s">
        <v>9158</v>
      </c>
      <c r="Q155" s="14" t="s">
        <v>9158</v>
      </c>
      <c r="R155" s="14" t="s">
        <v>14748</v>
      </c>
    </row>
    <row r="156" spans="1:18">
      <c r="A156" s="14">
        <v>200473</v>
      </c>
      <c r="B156" s="14" t="s">
        <v>0</v>
      </c>
      <c r="C156" s="14" t="s">
        <v>200</v>
      </c>
      <c r="D156" s="14" t="s">
        <v>17731</v>
      </c>
      <c r="E156" s="15" t="str">
        <f>HYPERLINK("https://stat100.ameba.jp/tnk47/ratio20/illustrations/card/ill_200473_hyuperion03.jpg?202110-5-RELEASE-marathon-556xxx", "■")</f>
        <v>■</v>
      </c>
      <c r="F156" s="14" t="s">
        <v>17730</v>
      </c>
      <c r="G156" s="14">
        <v>147692</v>
      </c>
      <c r="H156" s="14">
        <v>137316</v>
      </c>
      <c r="I156" s="14">
        <v>30</v>
      </c>
      <c r="J156" s="14" t="s">
        <v>16</v>
      </c>
      <c r="K156" s="14" t="s">
        <v>17729</v>
      </c>
      <c r="L156" s="14" t="s">
        <v>17728</v>
      </c>
      <c r="M156" s="14" t="s">
        <v>2138</v>
      </c>
      <c r="N156" s="14" t="s">
        <v>2139</v>
      </c>
      <c r="O156" s="14" t="s">
        <v>9158</v>
      </c>
      <c r="P156" s="14" t="s">
        <v>9158</v>
      </c>
      <c r="Q156" s="14" t="s">
        <v>9158</v>
      </c>
      <c r="R156" s="14" t="s">
        <v>14748</v>
      </c>
    </row>
    <row r="157" spans="1:18">
      <c r="A157" s="14">
        <v>200483</v>
      </c>
      <c r="B157" s="14" t="s">
        <v>0</v>
      </c>
      <c r="C157" s="14" t="s">
        <v>307</v>
      </c>
      <c r="D157" s="14" t="s">
        <v>17735</v>
      </c>
      <c r="E157" s="15" t="str">
        <f>HYPERLINK("https://stat100.ameba.jp/tnk47/ratio20/illustrations/card/ill_200483_hemmennoaimei03.jpg?202110-5-RELEASE-marathon-556xxx", "■")</f>
        <v>■</v>
      </c>
      <c r="F157" s="14" t="s">
        <v>17734</v>
      </c>
      <c r="G157" s="14">
        <v>137316</v>
      </c>
      <c r="H157" s="14">
        <v>147692</v>
      </c>
      <c r="I157" s="14">
        <v>30</v>
      </c>
      <c r="J157" s="14" t="s">
        <v>26</v>
      </c>
      <c r="K157" s="14" t="s">
        <v>17733</v>
      </c>
      <c r="L157" s="14" t="s">
        <v>17732</v>
      </c>
      <c r="M157" s="14" t="s">
        <v>2138</v>
      </c>
      <c r="N157" s="14" t="s">
        <v>2139</v>
      </c>
      <c r="O157" s="14" t="s">
        <v>9158</v>
      </c>
      <c r="P157" s="14" t="s">
        <v>9158</v>
      </c>
      <c r="Q157" s="14" t="s">
        <v>9158</v>
      </c>
      <c r="R157" s="14" t="s">
        <v>14748</v>
      </c>
    </row>
    <row r="158" spans="1:18">
      <c r="A158" s="14">
        <v>200493</v>
      </c>
      <c r="B158" s="14" t="s">
        <v>0</v>
      </c>
      <c r="C158" s="14" t="s">
        <v>165</v>
      </c>
      <c r="D158" s="14" t="s">
        <v>17739</v>
      </c>
      <c r="E158" s="15" t="str">
        <f>HYPERLINK("https://stat100.ameba.jp/tnk47/ratio20/illustrations/card/ill_200493_futeruna03.jpg?202110-5-RELEASE-marathon-556xxx", "■")</f>
        <v>■</v>
      </c>
      <c r="F158" s="14" t="s">
        <v>17738</v>
      </c>
      <c r="G158" s="14">
        <v>147692</v>
      </c>
      <c r="H158" s="14">
        <v>137316</v>
      </c>
      <c r="I158" s="14">
        <v>30</v>
      </c>
      <c r="J158" s="14" t="s">
        <v>38</v>
      </c>
      <c r="K158" s="14" t="s">
        <v>17737</v>
      </c>
      <c r="L158" s="14" t="s">
        <v>17736</v>
      </c>
      <c r="M158" s="14" t="s">
        <v>2138</v>
      </c>
      <c r="N158" s="14" t="s">
        <v>2139</v>
      </c>
      <c r="O158" s="14" t="s">
        <v>9158</v>
      </c>
      <c r="P158" s="14" t="s">
        <v>9158</v>
      </c>
      <c r="Q158" s="14" t="s">
        <v>9158</v>
      </c>
      <c r="R158" s="14" t="s">
        <v>14748</v>
      </c>
    </row>
    <row r="159" spans="1:18">
      <c r="A159" s="14">
        <v>200503</v>
      </c>
      <c r="B159" s="14" t="s">
        <v>0</v>
      </c>
      <c r="C159" s="9" t="s">
        <v>205</v>
      </c>
      <c r="D159" s="14" t="s">
        <v>17743</v>
      </c>
      <c r="E159" s="15" t="str">
        <f>HYPERLINK("https://stat100.ameba.jp/tnk47/ratio20/illustrations/card/ill_200503_katoburepasu03.jpg?202110-5-RELEASE-marathon-556xxx", "■")</f>
        <v>■</v>
      </c>
      <c r="F159" s="14" t="s">
        <v>17742</v>
      </c>
      <c r="G159" s="14">
        <v>137316</v>
      </c>
      <c r="H159" s="14">
        <v>147692</v>
      </c>
      <c r="I159" s="14">
        <v>30</v>
      </c>
      <c r="J159" s="14" t="s">
        <v>73</v>
      </c>
      <c r="K159" s="14" t="s">
        <v>17741</v>
      </c>
      <c r="L159" s="14" t="s">
        <v>17740</v>
      </c>
      <c r="M159" s="14" t="s">
        <v>2138</v>
      </c>
      <c r="N159" s="14" t="s">
        <v>2139</v>
      </c>
      <c r="O159" s="14" t="s">
        <v>9158</v>
      </c>
      <c r="P159" s="14" t="s">
        <v>9158</v>
      </c>
      <c r="Q159" s="14" t="s">
        <v>9158</v>
      </c>
      <c r="R159" s="14" t="s">
        <v>14748</v>
      </c>
    </row>
    <row r="160" spans="1:18">
      <c r="A160" s="14">
        <v>200513</v>
      </c>
      <c r="B160" s="14" t="s">
        <v>0</v>
      </c>
      <c r="C160" s="14" t="s">
        <v>206</v>
      </c>
      <c r="D160" s="14" t="s">
        <v>17747</v>
      </c>
      <c r="E160" s="15" t="str">
        <f>HYPERLINK("https://stat100.ameba.jp/tnk47/ratio20/illustrations/card/ill_200513_jidarakunadeishiramu03.jpg?202110-5-RELEASE-marathon-556xxx", "■")</f>
        <v>■</v>
      </c>
      <c r="F160" s="14" t="s">
        <v>17746</v>
      </c>
      <c r="G160" s="14">
        <v>137316</v>
      </c>
      <c r="H160" s="14">
        <v>147692</v>
      </c>
      <c r="I160" s="14">
        <v>30</v>
      </c>
      <c r="J160" s="14" t="s">
        <v>104</v>
      </c>
      <c r="K160" s="14" t="s">
        <v>17745</v>
      </c>
      <c r="L160" s="14" t="s">
        <v>17744</v>
      </c>
      <c r="M160" s="14" t="s">
        <v>2138</v>
      </c>
      <c r="N160" s="14" t="s">
        <v>2139</v>
      </c>
      <c r="O160" s="14" t="s">
        <v>9158</v>
      </c>
      <c r="P160" s="14" t="s">
        <v>9158</v>
      </c>
      <c r="Q160" s="14" t="s">
        <v>9158</v>
      </c>
      <c r="R160" s="14" t="s">
        <v>14748</v>
      </c>
    </row>
    <row r="162" spans="1:19">
      <c r="A162" s="14" t="s">
        <v>4012</v>
      </c>
    </row>
    <row r="163" spans="1:19">
      <c r="A163" s="14">
        <v>241093</v>
      </c>
      <c r="B163" s="14" t="s">
        <v>18094</v>
      </c>
    </row>
    <row r="164" spans="1:19">
      <c r="A164" s="9" t="s">
        <v>5787</v>
      </c>
      <c r="B164" s="14" t="s">
        <v>330</v>
      </c>
      <c r="C164" s="14" t="s">
        <v>270</v>
      </c>
      <c r="D164" s="14" t="s">
        <v>1101</v>
      </c>
      <c r="E164" s="15" t="str">
        <f>HYPERLINK("https://stat100.ameba.jp/tnk47/ratio20/illustrations/card/ill_76303_0_haroinkaguya03.jpg?202110-5-RELEASE-marathon-556xxx", "■")</f>
        <v>■</v>
      </c>
      <c r="F164" s="14" t="s">
        <v>332</v>
      </c>
      <c r="G164" s="14">
        <v>321315</v>
      </c>
      <c r="H164" s="14">
        <v>298717</v>
      </c>
      <c r="I164" s="14">
        <v>27</v>
      </c>
      <c r="J164" s="14" t="s">
        <v>274</v>
      </c>
      <c r="K164" s="14" t="s">
        <v>333</v>
      </c>
      <c r="L164" s="14" t="s">
        <v>276</v>
      </c>
      <c r="M164" s="14" t="s">
        <v>9158</v>
      </c>
      <c r="N164" s="14" t="s">
        <v>9158</v>
      </c>
      <c r="O164" s="9" t="s">
        <v>2723</v>
      </c>
      <c r="P164" s="14" t="s">
        <v>2724</v>
      </c>
      <c r="Q164" s="14">
        <v>1</v>
      </c>
    </row>
    <row r="165" spans="1:19">
      <c r="A165" s="14" t="s">
        <v>6598</v>
      </c>
      <c r="B165" s="14" t="s">
        <v>330</v>
      </c>
      <c r="C165" s="14" t="s">
        <v>35</v>
      </c>
      <c r="D165" s="19" t="s">
        <v>10555</v>
      </c>
      <c r="E165" s="15" t="str">
        <f>HYPERLINK("https://stat100.ameba.jp/tnk47/ratio20/illustrations/card/ill_83553_0_kajuenamoronagu03.jpg?202110-5-RELEASE-marathon-556xxx", "■")</f>
        <v>■</v>
      </c>
      <c r="F165" s="14" t="s">
        <v>6597</v>
      </c>
      <c r="G165" s="14">
        <v>284219</v>
      </c>
      <c r="H165" s="14">
        <v>314478</v>
      </c>
      <c r="I165" s="14">
        <v>27</v>
      </c>
      <c r="J165" s="14" t="s">
        <v>44</v>
      </c>
      <c r="K165" s="14" t="s">
        <v>6595</v>
      </c>
      <c r="L165" s="14" t="s">
        <v>6594</v>
      </c>
      <c r="M165" s="14" t="s">
        <v>9158</v>
      </c>
      <c r="N165" s="14" t="s">
        <v>9158</v>
      </c>
      <c r="O165" s="19" t="s">
        <v>10125</v>
      </c>
      <c r="P165" s="14" t="s">
        <v>6599</v>
      </c>
      <c r="Q165" s="14">
        <v>1</v>
      </c>
    </row>
    <row r="166" spans="1:19">
      <c r="A166" s="14" t="s">
        <v>6132</v>
      </c>
      <c r="B166" s="14" t="s">
        <v>52</v>
      </c>
      <c r="C166" s="14" t="s">
        <v>205</v>
      </c>
      <c r="D166" s="19" t="s">
        <v>702</v>
      </c>
      <c r="E166" s="15" t="str">
        <f>HYPERLINK("https://stat100.ameba.jp/tnk47/ratio20/illustrations/card/ill_50693_0_hanamizugimimuratsuru03.jpg?202110-5-RELEASE-marathon-556xxx", "■")</f>
        <v>■</v>
      </c>
      <c r="F166" s="14" t="s">
        <v>2282</v>
      </c>
      <c r="G166" s="14">
        <v>150680</v>
      </c>
      <c r="H166" s="14">
        <v>169624</v>
      </c>
      <c r="I166" s="14">
        <v>27</v>
      </c>
      <c r="J166" s="14" t="s">
        <v>143</v>
      </c>
      <c r="K166" s="14" t="s">
        <v>2283</v>
      </c>
      <c r="L166" s="14" t="s">
        <v>2284</v>
      </c>
      <c r="M166" s="14" t="s">
        <v>9158</v>
      </c>
      <c r="N166" s="14" t="s">
        <v>9158</v>
      </c>
      <c r="O166" s="14" t="s">
        <v>9158</v>
      </c>
      <c r="P166" s="14" t="s">
        <v>9158</v>
      </c>
      <c r="Q166" s="14" t="s">
        <v>9158</v>
      </c>
    </row>
    <row r="167" spans="1:19">
      <c r="A167" s="14">
        <v>90243</v>
      </c>
      <c r="B167" s="14" t="s">
        <v>0</v>
      </c>
      <c r="C167" s="14" t="s">
        <v>35</v>
      </c>
      <c r="D167" s="14" t="s">
        <v>16151</v>
      </c>
      <c r="E167" s="15" t="str">
        <f>HYPERLINK("https://stat100.ameba.jp/tnk47/ratio20/illustrations/card/ill_90243_daikaizokunoboreiamaterasu03.jpg?202110-5-RELEASE-marathon-556xxx", "■")</f>
        <v>■</v>
      </c>
      <c r="F167" s="14" t="s">
        <v>16153</v>
      </c>
      <c r="G167" s="14">
        <v>128064</v>
      </c>
      <c r="H167" s="14">
        <v>119052</v>
      </c>
      <c r="I167" s="14">
        <v>30</v>
      </c>
      <c r="J167" s="14" t="s">
        <v>44</v>
      </c>
      <c r="K167" s="14" t="s">
        <v>16152</v>
      </c>
      <c r="L167" s="14" t="s">
        <v>12030</v>
      </c>
      <c r="M167" s="14" t="s">
        <v>9158</v>
      </c>
      <c r="N167" s="14" t="s">
        <v>9158</v>
      </c>
      <c r="O167" s="14" t="s">
        <v>9158</v>
      </c>
      <c r="P167" s="14" t="s">
        <v>9158</v>
      </c>
      <c r="Q167" s="14" t="s">
        <v>9158</v>
      </c>
      <c r="S167" s="14" t="s">
        <v>18101</v>
      </c>
    </row>
    <row r="168" spans="1:19">
      <c r="A168" s="14">
        <v>99393</v>
      </c>
      <c r="B168" s="14" t="s">
        <v>0</v>
      </c>
      <c r="C168" s="14" t="s">
        <v>47</v>
      </c>
      <c r="D168" s="14" t="s">
        <v>18097</v>
      </c>
      <c r="E168" s="15" t="str">
        <f>HYPERLINK("https://stat100.ameba.jp/tnk47/ratio20/illustrations/card/ill_99393_jimutorekishimojin03.jpg?202110-5-RELEASE-marathon-556xxx", "■")</f>
        <v>■</v>
      </c>
      <c r="F168" s="14" t="s">
        <v>18096</v>
      </c>
      <c r="G168" s="14">
        <v>117182</v>
      </c>
      <c r="H168" s="14">
        <v>108912</v>
      </c>
      <c r="I168" s="14">
        <v>30</v>
      </c>
      <c r="J168" s="14" t="s">
        <v>38</v>
      </c>
      <c r="K168" s="14" t="s">
        <v>18095</v>
      </c>
      <c r="L168" s="14" t="s">
        <v>16136</v>
      </c>
      <c r="M168" s="14" t="s">
        <v>9158</v>
      </c>
      <c r="N168" s="14" t="s">
        <v>9158</v>
      </c>
      <c r="O168" s="14" t="s">
        <v>9158</v>
      </c>
      <c r="P168" s="14" t="s">
        <v>9158</v>
      </c>
      <c r="Q168" s="14" t="s">
        <v>9158</v>
      </c>
      <c r="S168" s="14" t="s">
        <v>18102</v>
      </c>
    </row>
    <row r="169" spans="1:19">
      <c r="A169" s="14">
        <v>99333</v>
      </c>
      <c r="B169" s="14" t="s">
        <v>0</v>
      </c>
      <c r="C169" s="14" t="s">
        <v>41</v>
      </c>
      <c r="D169" s="14" t="s">
        <v>18100</v>
      </c>
      <c r="E169" s="15" t="str">
        <f>HYPERLINK("https://stat100.ameba.jp/tnk47/ratio20/illustrations/card/ill_99333_kyoseinodenebu03.jpg?202110-5-RELEASE-marathon-556xxx", "■")</f>
        <v>■</v>
      </c>
      <c r="F169" s="14" t="s">
        <v>18099</v>
      </c>
      <c r="G169" s="14">
        <v>151116</v>
      </c>
      <c r="H169" s="14">
        <v>85014</v>
      </c>
      <c r="I169" s="14">
        <v>30</v>
      </c>
      <c r="J169" s="14" t="s">
        <v>44</v>
      </c>
      <c r="K169" s="14" t="s">
        <v>18098</v>
      </c>
      <c r="L169" s="14" t="s">
        <v>13641</v>
      </c>
      <c r="M169" s="14" t="s">
        <v>9158</v>
      </c>
      <c r="N169" s="14" t="s">
        <v>9158</v>
      </c>
      <c r="O169" s="14" t="s">
        <v>9158</v>
      </c>
      <c r="P169" s="14" t="s">
        <v>9158</v>
      </c>
      <c r="Q169" s="14" t="s">
        <v>9158</v>
      </c>
      <c r="S169" s="14" t="s">
        <v>18103</v>
      </c>
    </row>
    <row r="170" spans="1:19">
      <c r="A170" s="14">
        <v>92763</v>
      </c>
      <c r="B170" s="14" t="s">
        <v>15</v>
      </c>
      <c r="C170" s="14" t="s">
        <v>101</v>
      </c>
      <c r="D170" s="14" t="s">
        <v>18042</v>
      </c>
      <c r="E170" s="15" t="str">
        <f>HYPERLINK("https://stat100.ameba.jp/tnk47/ratio20/illustrations/card/ill_92763_shizuokaodenchan03.jpg?202110-5-RELEASE-marathon-556xxx", "■")</f>
        <v>■</v>
      </c>
      <c r="F170" s="14" t="s">
        <v>18047</v>
      </c>
      <c r="G170" s="14">
        <v>72586</v>
      </c>
      <c r="H170" s="14">
        <v>80028</v>
      </c>
      <c r="I170" s="14">
        <v>27</v>
      </c>
      <c r="J170" s="14" t="s">
        <v>104</v>
      </c>
      <c r="K170" s="14" t="s">
        <v>18046</v>
      </c>
      <c r="L170" s="14" t="s">
        <v>5225</v>
      </c>
      <c r="M170" s="14" t="s">
        <v>9158</v>
      </c>
      <c r="N170" s="14" t="s">
        <v>9158</v>
      </c>
      <c r="O170" s="14" t="s">
        <v>9158</v>
      </c>
      <c r="P170" s="14" t="s">
        <v>9158</v>
      </c>
      <c r="Q170" s="14" t="s">
        <v>9158</v>
      </c>
      <c r="S170" s="14" t="s">
        <v>18066</v>
      </c>
    </row>
    <row r="171" spans="1:19">
      <c r="A171" s="14">
        <v>99153</v>
      </c>
      <c r="B171" s="14" t="s">
        <v>15</v>
      </c>
      <c r="C171" s="14" t="s">
        <v>14</v>
      </c>
      <c r="D171" s="14" t="s">
        <v>18043</v>
      </c>
      <c r="E171" s="15" t="str">
        <f>HYPERLINK("https://stat100.ameba.jp/tnk47/ratio20/illustrations/card/ill_99153_erosoku03.jpg?202110-5-RELEASE-marathon-556xxx", "■")</f>
        <v>■</v>
      </c>
      <c r="F171" s="14" t="s">
        <v>18049</v>
      </c>
      <c r="G171" s="14">
        <v>80028</v>
      </c>
      <c r="H171" s="14">
        <v>72586</v>
      </c>
      <c r="I171" s="14">
        <v>27</v>
      </c>
      <c r="J171" s="14" t="s">
        <v>26</v>
      </c>
      <c r="K171" s="14" t="s">
        <v>18048</v>
      </c>
      <c r="L171" s="14" t="s">
        <v>924</v>
      </c>
      <c r="M171" s="14" t="s">
        <v>9158</v>
      </c>
      <c r="N171" s="14" t="s">
        <v>9158</v>
      </c>
      <c r="O171" s="14" t="s">
        <v>9158</v>
      </c>
      <c r="P171" s="14" t="s">
        <v>9158</v>
      </c>
      <c r="Q171" s="14" t="s">
        <v>9158</v>
      </c>
      <c r="S171" s="14" t="s">
        <v>18067</v>
      </c>
    </row>
    <row r="172" spans="1:19">
      <c r="A172" s="14">
        <v>98513</v>
      </c>
      <c r="B172" s="14" t="s">
        <v>15</v>
      </c>
      <c r="C172" s="14" t="s">
        <v>96</v>
      </c>
      <c r="D172" s="14" t="s">
        <v>18044</v>
      </c>
      <c r="E172" s="15" t="str">
        <f>HYPERLINK("https://stat100.ameba.jp/tnk47/ratio20/illustrations/card/ill_98513_bareisonokamitsuyuko03.jpg?202110-5-RELEASE-marathon-556xxx", "■")</f>
        <v>■</v>
      </c>
      <c r="F172" s="14" t="s">
        <v>18050</v>
      </c>
      <c r="G172" s="14">
        <v>80028</v>
      </c>
      <c r="H172" s="14">
        <v>72586</v>
      </c>
      <c r="I172" s="14">
        <v>27</v>
      </c>
      <c r="J172" s="14" t="s">
        <v>16</v>
      </c>
      <c r="K172" s="14" t="s">
        <v>99</v>
      </c>
      <c r="L172" s="14" t="s">
        <v>8207</v>
      </c>
      <c r="M172" s="14" t="s">
        <v>9158</v>
      </c>
      <c r="N172" s="14" t="s">
        <v>9158</v>
      </c>
      <c r="O172" s="14" t="s">
        <v>9158</v>
      </c>
      <c r="P172" s="14" t="s">
        <v>9158</v>
      </c>
      <c r="Q172" s="14" t="s">
        <v>9158</v>
      </c>
      <c r="S172" s="14" t="s">
        <v>18068</v>
      </c>
    </row>
    <row r="174" spans="1:19">
      <c r="A174" s="14" t="s">
        <v>3916</v>
      </c>
    </row>
    <row r="175" spans="1:19">
      <c r="A175" s="14">
        <v>112253</v>
      </c>
      <c r="B175" s="14" t="s">
        <v>17924</v>
      </c>
    </row>
    <row r="176" spans="1:19">
      <c r="A176" s="14">
        <v>76103</v>
      </c>
      <c r="B176" s="14" t="s">
        <v>334</v>
      </c>
      <c r="C176" s="14" t="s">
        <v>154</v>
      </c>
      <c r="D176" s="19" t="s">
        <v>570</v>
      </c>
      <c r="E176" s="15" t="str">
        <f>HYPERLINK("https://stat100.ameba.jp/tnk47/ratio20/illustrations/card/ill_76103_shibuaji03.jpg?202110-5-RELEASE-marathon-556xxx", "■")</f>
        <v>■</v>
      </c>
      <c r="F176" s="14" t="s">
        <v>1122</v>
      </c>
      <c r="G176" s="14">
        <v>129392</v>
      </c>
      <c r="H176" s="14">
        <v>120308</v>
      </c>
      <c r="I176" s="14">
        <v>30</v>
      </c>
      <c r="J176" s="14" t="s">
        <v>143</v>
      </c>
      <c r="K176" s="14" t="s">
        <v>1123</v>
      </c>
      <c r="L176" s="14" t="s">
        <v>1124</v>
      </c>
      <c r="M176" s="14" t="s">
        <v>9864</v>
      </c>
      <c r="N176" s="14" t="s">
        <v>9158</v>
      </c>
      <c r="O176" s="14" t="s">
        <v>9158</v>
      </c>
      <c r="P176" s="14" t="s">
        <v>9158</v>
      </c>
      <c r="Q176" s="14" t="s">
        <v>9158</v>
      </c>
    </row>
    <row r="177" spans="1:17">
      <c r="A177" s="14">
        <v>76113</v>
      </c>
      <c r="B177" s="14" t="s">
        <v>334</v>
      </c>
      <c r="C177" s="14" t="s">
        <v>158</v>
      </c>
      <c r="D177" s="19" t="s">
        <v>10268</v>
      </c>
      <c r="E177" s="15" t="str">
        <f>HYPERLINK("https://stat100.ameba.jp/tnk47/ratio20/illustrations/card/ill_76113_jannudaruku03.jpg?202110-5-RELEASE-marathon-556xxx", "■")</f>
        <v>■</v>
      </c>
      <c r="F177" s="14" t="s">
        <v>1126</v>
      </c>
      <c r="G177" s="14">
        <v>129392</v>
      </c>
      <c r="H177" s="14">
        <v>120308</v>
      </c>
      <c r="I177" s="14">
        <v>30</v>
      </c>
      <c r="J177" s="14" t="s">
        <v>10</v>
      </c>
      <c r="K177" s="14" t="s">
        <v>1127</v>
      </c>
      <c r="L177" s="14" t="s">
        <v>1128</v>
      </c>
      <c r="M177" s="14" t="s">
        <v>9158</v>
      </c>
      <c r="N177" s="14" t="s">
        <v>9158</v>
      </c>
      <c r="O177" s="14" t="s">
        <v>9158</v>
      </c>
      <c r="P177" s="14" t="s">
        <v>9158</v>
      </c>
      <c r="Q177" s="14" t="s">
        <v>9158</v>
      </c>
    </row>
    <row r="178" spans="1:17">
      <c r="A178" s="14">
        <v>63323</v>
      </c>
      <c r="B178" s="14" t="s">
        <v>0</v>
      </c>
      <c r="C178" s="14" t="s">
        <v>200</v>
      </c>
      <c r="D178" s="19" t="s">
        <v>10269</v>
      </c>
      <c r="E178" s="15" t="str">
        <f>HYPERLINK("https://stat100.ameba.jp/tnk47/ratio20/illustrations/card/ill_63323_ajisaikushinadahime03.jpg?202110-5-RELEASE-marathon-556xxx", "■")</f>
        <v>■</v>
      </c>
      <c r="F178" s="14" t="s">
        <v>3583</v>
      </c>
      <c r="G178" s="14">
        <v>113762</v>
      </c>
      <c r="H178" s="14">
        <v>122366</v>
      </c>
      <c r="I178" s="14">
        <v>30</v>
      </c>
      <c r="J178" s="14" t="s">
        <v>44</v>
      </c>
      <c r="K178" s="14" t="s">
        <v>3584</v>
      </c>
      <c r="L178" s="14" t="s">
        <v>2400</v>
      </c>
      <c r="M178" s="14" t="s">
        <v>9158</v>
      </c>
      <c r="N178" s="14" t="s">
        <v>9158</v>
      </c>
      <c r="O178" s="14" t="s">
        <v>9158</v>
      </c>
      <c r="P178" s="14" t="s">
        <v>9158</v>
      </c>
      <c r="Q178" s="14" t="s">
        <v>9158</v>
      </c>
    </row>
    <row r="179" spans="1:17">
      <c r="A179" s="14">
        <v>59863</v>
      </c>
      <c r="B179" s="14" t="s">
        <v>334</v>
      </c>
      <c r="C179" s="14" t="s">
        <v>165</v>
      </c>
      <c r="D179" s="19" t="s">
        <v>318</v>
      </c>
      <c r="E179" s="15" t="str">
        <f>HYPERLINK("https://stat100.ameba.jp/tnk47/ratio20/illustrations/card/ill_59863_yoseiichimokuren03.jpg?202110-5-RELEASE-marathon-556xxx", "■")</f>
        <v>■</v>
      </c>
      <c r="F179" s="14" t="s">
        <v>319</v>
      </c>
      <c r="G179" s="14">
        <v>124996</v>
      </c>
      <c r="H179" s="14">
        <v>116244</v>
      </c>
      <c r="I179" s="14">
        <v>30</v>
      </c>
      <c r="J179" s="14" t="s">
        <v>320</v>
      </c>
      <c r="K179" s="14" t="s">
        <v>321</v>
      </c>
      <c r="L179" s="14" t="s">
        <v>322</v>
      </c>
      <c r="M179" s="14" t="s">
        <v>9158</v>
      </c>
      <c r="N179" s="14" t="s">
        <v>9158</v>
      </c>
      <c r="O179" s="14" t="s">
        <v>9158</v>
      </c>
      <c r="P179" s="14" t="s">
        <v>9158</v>
      </c>
      <c r="Q179" s="14" t="s">
        <v>9158</v>
      </c>
    </row>
    <row r="180" spans="1:17">
      <c r="A180" s="14">
        <v>51823</v>
      </c>
      <c r="B180" s="14" t="s">
        <v>15</v>
      </c>
      <c r="C180" s="14" t="s">
        <v>101</v>
      </c>
      <c r="D180" s="19" t="s">
        <v>10587</v>
      </c>
      <c r="E180" s="15" t="str">
        <f>HYPERLINK("https://stat100.ameba.jp/tnk47/ratio20/illustrations/card/ill_51823_jukimatsu03.jpg?202110-5-RELEASE-marathon-556xxx", "■")</f>
        <v>■</v>
      </c>
      <c r="F180" s="14" t="s">
        <v>6742</v>
      </c>
      <c r="G180" s="14">
        <v>67210</v>
      </c>
      <c r="H180" s="14">
        <v>74100</v>
      </c>
      <c r="I180" s="14">
        <v>25</v>
      </c>
      <c r="J180" s="14" t="s">
        <v>77</v>
      </c>
      <c r="K180" s="14" t="s">
        <v>6743</v>
      </c>
      <c r="L180" s="14" t="s">
        <v>6744</v>
      </c>
      <c r="M180" s="14" t="s">
        <v>9158</v>
      </c>
      <c r="N180" s="14" t="s">
        <v>9158</v>
      </c>
      <c r="O180" s="14" t="s">
        <v>9158</v>
      </c>
      <c r="P180" s="14" t="s">
        <v>9158</v>
      </c>
      <c r="Q180" s="14" t="s">
        <v>9158</v>
      </c>
    </row>
    <row r="181" spans="1:17">
      <c r="A181" s="14">
        <v>51773</v>
      </c>
      <c r="B181" s="14" t="s">
        <v>15</v>
      </c>
      <c r="C181" s="14" t="s">
        <v>205</v>
      </c>
      <c r="D181" s="19" t="s">
        <v>10588</v>
      </c>
      <c r="E181" s="15" t="str">
        <f>HYPERLINK("https://stat100.ameba.jp/tnk47/ratio20/illustrations/card/ill_51773_kawaasobikanekomisuzu03.jpg?202110-5-RELEASE-marathon-556xxx", "■")</f>
        <v>■</v>
      </c>
      <c r="F181" s="14" t="s">
        <v>6747</v>
      </c>
      <c r="G181" s="14">
        <v>74100</v>
      </c>
      <c r="H181" s="14">
        <v>67210</v>
      </c>
      <c r="I181" s="14">
        <v>25</v>
      </c>
      <c r="J181" s="14" t="s">
        <v>10</v>
      </c>
      <c r="K181" s="14" t="s">
        <v>6746</v>
      </c>
      <c r="L181" s="14" t="s">
        <v>6745</v>
      </c>
      <c r="M181" s="14" t="s">
        <v>9158</v>
      </c>
      <c r="N181" s="14" t="s">
        <v>9158</v>
      </c>
      <c r="O181" s="14" t="s">
        <v>9158</v>
      </c>
      <c r="P181" s="14" t="s">
        <v>9158</v>
      </c>
      <c r="Q181" s="14" t="s">
        <v>9158</v>
      </c>
    </row>
    <row r="182" spans="1:17">
      <c r="A182" s="14">
        <v>51733</v>
      </c>
      <c r="B182" s="14" t="s">
        <v>15</v>
      </c>
      <c r="C182" s="14" t="s">
        <v>185</v>
      </c>
      <c r="D182" s="19" t="s">
        <v>10589</v>
      </c>
      <c r="E182" s="15" t="str">
        <f>HYPERLINK("https://stat100.ameba.jp/tnk47/ratio20/illustrations/card/ill_51733_ekusoshisutopoiyampe03.jpg?202110-5-RELEASE-marathon-556xxx", "■")</f>
        <v>■</v>
      </c>
      <c r="F182" s="14" t="s">
        <v>6750</v>
      </c>
      <c r="G182" s="14">
        <v>67210</v>
      </c>
      <c r="H182" s="14">
        <v>74100</v>
      </c>
      <c r="I182" s="14">
        <v>25</v>
      </c>
      <c r="J182" s="14" t="s">
        <v>274</v>
      </c>
      <c r="K182" s="14" t="s">
        <v>6749</v>
      </c>
      <c r="L182" s="14" t="s">
        <v>6748</v>
      </c>
      <c r="M182" s="14" t="s">
        <v>9158</v>
      </c>
      <c r="N182" s="14" t="s">
        <v>9158</v>
      </c>
      <c r="O182" s="14" t="s">
        <v>9158</v>
      </c>
      <c r="P182" s="14" t="s">
        <v>9158</v>
      </c>
      <c r="Q182" s="14" t="s">
        <v>9158</v>
      </c>
    </row>
    <row r="183" spans="1:17">
      <c r="A183" s="14">
        <v>55743</v>
      </c>
      <c r="B183" s="14" t="s">
        <v>15</v>
      </c>
      <c r="C183" s="14" t="s">
        <v>96</v>
      </c>
      <c r="D183" s="19" t="s">
        <v>10590</v>
      </c>
      <c r="E183" s="15" t="str">
        <f>HYPERLINK("https://stat100.ameba.jp/tnk47/ratio20/illustrations/card/ill_55743_nankoume03.jpg?202110-5-RELEASE-marathon-556xxx", "■")</f>
        <v>■</v>
      </c>
      <c r="F183" s="14" t="s">
        <v>4308</v>
      </c>
      <c r="G183" s="14">
        <v>67210</v>
      </c>
      <c r="H183" s="14">
        <v>74100</v>
      </c>
      <c r="I183" s="14">
        <v>25</v>
      </c>
      <c r="J183" s="14" t="s">
        <v>216</v>
      </c>
      <c r="K183" s="14" t="s">
        <v>4310</v>
      </c>
      <c r="L183" s="14" t="s">
        <v>4311</v>
      </c>
      <c r="M183" s="14" t="s">
        <v>9158</v>
      </c>
      <c r="N183" s="14" t="s">
        <v>9158</v>
      </c>
      <c r="O183" s="14" t="s">
        <v>9158</v>
      </c>
      <c r="P183" s="14" t="s">
        <v>9158</v>
      </c>
      <c r="Q183" s="14" t="s">
        <v>9158</v>
      </c>
    </row>
    <row r="185" spans="1:17">
      <c r="A185" s="14" t="s">
        <v>18104</v>
      </c>
    </row>
    <row r="186" spans="1:17">
      <c r="A186" s="14">
        <v>241112</v>
      </c>
      <c r="B186" s="14" t="s">
        <v>7325</v>
      </c>
    </row>
    <row r="187" spans="1:17">
      <c r="A187" s="14">
        <v>241118</v>
      </c>
      <c r="B187" s="14" t="s">
        <v>7647</v>
      </c>
    </row>
    <row r="188" spans="1:17">
      <c r="A188" s="14" t="s">
        <v>17940</v>
      </c>
      <c r="B188" s="7" t="s">
        <v>52</v>
      </c>
      <c r="C188" s="14" t="s">
        <v>202</v>
      </c>
      <c r="D188" s="18" t="s">
        <v>17941</v>
      </c>
      <c r="E188" s="15" t="str">
        <f>HYPERLINK("https://stat100.ameba.jp/tnk47/ratio20/illustrations/card/ill_201033_0_haroinresshaarisu03.jpg?202110-5-RELEASE-marathon-556xxx", "■")</f>
        <v>■</v>
      </c>
      <c r="F188" s="14" t="s">
        <v>17939</v>
      </c>
      <c r="G188" s="14">
        <v>308246</v>
      </c>
      <c r="H188" s="14">
        <v>278622</v>
      </c>
      <c r="I188" s="7">
        <v>30</v>
      </c>
      <c r="J188" s="14" t="s">
        <v>38</v>
      </c>
      <c r="K188" s="14" t="s">
        <v>17938</v>
      </c>
      <c r="L188" s="14" t="s">
        <v>17937</v>
      </c>
      <c r="M188" s="14" t="s">
        <v>9158</v>
      </c>
      <c r="N188" s="14" t="s">
        <v>9158</v>
      </c>
      <c r="O188" s="7" t="s">
        <v>17936</v>
      </c>
      <c r="P188" s="7" t="s">
        <v>17935</v>
      </c>
      <c r="Q188" s="7">
        <v>1</v>
      </c>
    </row>
    <row r="189" spans="1:17">
      <c r="A189" s="14">
        <v>201193</v>
      </c>
      <c r="B189" s="14" t="s">
        <v>0</v>
      </c>
      <c r="C189" s="14" t="s">
        <v>107</v>
      </c>
      <c r="D189" s="14" t="s">
        <v>18108</v>
      </c>
      <c r="E189" s="15" t="str">
        <f>HYPERLINK("https://stat100.ameba.jp/tnk47/ratio20/illustrations/card/ill_201193_romiromi03.jpg?202110-5-RELEASE-marathon-556xxx", "■")</f>
        <v>■</v>
      </c>
      <c r="F189" s="14" t="s">
        <v>18107</v>
      </c>
      <c r="G189" s="14">
        <v>131742</v>
      </c>
      <c r="H189" s="14">
        <v>141676</v>
      </c>
      <c r="I189" s="7">
        <v>30</v>
      </c>
      <c r="J189" s="14" t="s">
        <v>73</v>
      </c>
      <c r="K189" s="14" t="s">
        <v>18106</v>
      </c>
      <c r="L189" s="14" t="s">
        <v>12269</v>
      </c>
      <c r="M189" s="14" t="s">
        <v>9158</v>
      </c>
      <c r="N189" s="14" t="s">
        <v>9158</v>
      </c>
      <c r="O189" s="14" t="s">
        <v>9158</v>
      </c>
      <c r="P189" s="14" t="s">
        <v>9158</v>
      </c>
      <c r="Q189" s="14" t="s">
        <v>9158</v>
      </c>
    </row>
    <row r="190" spans="1:17">
      <c r="A190" s="14">
        <v>201203</v>
      </c>
      <c r="B190" s="14" t="s">
        <v>334</v>
      </c>
      <c r="C190" s="14" t="s">
        <v>23</v>
      </c>
      <c r="D190" s="14" t="s">
        <v>18110</v>
      </c>
      <c r="E190" s="15" t="str">
        <f>HYPERLINK("https://stat100.ameba.jp/tnk47/ratio20/illustrations/card/ill_201203_hyoketsunonikusutopatororu03.jpg?202110-5-RELEASE-marathon-556xxx", "■")</f>
        <v>■</v>
      </c>
      <c r="F190" s="14" t="s">
        <v>18109</v>
      </c>
      <c r="G190" s="14">
        <v>178342</v>
      </c>
      <c r="H190" s="14">
        <v>165824</v>
      </c>
      <c r="I190" s="7">
        <v>30</v>
      </c>
      <c r="J190" s="14" t="s">
        <v>143</v>
      </c>
      <c r="K190" s="14" t="s">
        <v>1260</v>
      </c>
      <c r="L190" s="14" t="s">
        <v>16154</v>
      </c>
      <c r="M190" s="14" t="s">
        <v>9158</v>
      </c>
      <c r="N190" s="14" t="s">
        <v>9158</v>
      </c>
      <c r="O190" s="14" t="s">
        <v>9158</v>
      </c>
      <c r="P190" s="14" t="s">
        <v>9158</v>
      </c>
      <c r="Q190" s="14" t="s">
        <v>9158</v>
      </c>
    </row>
    <row r="191" spans="1:17">
      <c r="A191" s="14">
        <v>201213</v>
      </c>
      <c r="B191" s="14" t="s">
        <v>15</v>
      </c>
      <c r="C191" s="14" t="s">
        <v>101</v>
      </c>
      <c r="D191" s="14" t="s">
        <v>18113</v>
      </c>
      <c r="E191" s="15" t="str">
        <f>HYPERLINK("https://stat100.ameba.jp/tnk47/ratio20/illustrations/card/ill_201213_hamahime03.jpg?202110-5-RELEASE-marathon-556xxx", "■")</f>
        <v>■</v>
      </c>
      <c r="F191" s="14" t="s">
        <v>18112</v>
      </c>
      <c r="G191" s="14">
        <v>88920</v>
      </c>
      <c r="H191" s="14">
        <v>80652</v>
      </c>
      <c r="I191" s="7">
        <v>30</v>
      </c>
      <c r="J191" s="14" t="s">
        <v>73</v>
      </c>
      <c r="K191" s="14" t="s">
        <v>18111</v>
      </c>
      <c r="L191" s="14" t="s">
        <v>3835</v>
      </c>
      <c r="M191" s="14" t="s">
        <v>9158</v>
      </c>
      <c r="N191" s="14" t="s">
        <v>9158</v>
      </c>
      <c r="O191" s="14" t="s">
        <v>9158</v>
      </c>
      <c r="P191" s="14" t="s">
        <v>9158</v>
      </c>
      <c r="Q191" s="14" t="s">
        <v>9158</v>
      </c>
    </row>
    <row r="192" spans="1:17">
      <c r="A192" s="14">
        <v>201223</v>
      </c>
      <c r="B192" s="14" t="s">
        <v>22</v>
      </c>
      <c r="C192" s="14" t="s">
        <v>96</v>
      </c>
      <c r="D192" s="14" t="s">
        <v>18116</v>
      </c>
      <c r="E192" s="15" t="str">
        <f>HYPERLINK("https://stat100.ameba.jp/tnk47/ratio20/illustrations/card/ill_201223_yotoonikirimaru03.jpg?202110-5-RELEASE-marathon-556xxx", "■")</f>
        <v>■</v>
      </c>
      <c r="F192" s="14" t="s">
        <v>18115</v>
      </c>
      <c r="G192" s="14">
        <v>51864</v>
      </c>
      <c r="H192" s="14">
        <v>62376</v>
      </c>
      <c r="I192" s="7">
        <v>30</v>
      </c>
      <c r="J192" s="14" t="s">
        <v>73</v>
      </c>
      <c r="K192" s="14" t="s">
        <v>18114</v>
      </c>
      <c r="L192" s="14" t="s">
        <v>5881</v>
      </c>
      <c r="M192" s="14" t="s">
        <v>9158</v>
      </c>
      <c r="N192" s="14" t="s">
        <v>9158</v>
      </c>
      <c r="O192" s="14" t="s">
        <v>9158</v>
      </c>
      <c r="P192" s="14" t="s">
        <v>9158</v>
      </c>
      <c r="Q192" s="14" t="s">
        <v>9158</v>
      </c>
    </row>
    <row r="193" spans="1:18">
      <c r="A193" s="14">
        <v>201233</v>
      </c>
      <c r="B193" s="14" t="s">
        <v>22</v>
      </c>
      <c r="C193" s="14" t="s">
        <v>1</v>
      </c>
      <c r="D193" s="14" t="s">
        <v>18119</v>
      </c>
      <c r="E193" s="15" t="str">
        <f>HYPERLINK("https://stat100.ameba.jp/tnk47/ratio20/illustrations/card/ill_201233_orochinomusha03.jpg?202110-5-RELEASE-marathon-556xxx", "■")</f>
        <v>■</v>
      </c>
      <c r="F193" s="14" t="s">
        <v>18118</v>
      </c>
      <c r="G193" s="14">
        <v>62376</v>
      </c>
      <c r="H193" s="14">
        <v>51864</v>
      </c>
      <c r="I193" s="7">
        <v>30</v>
      </c>
      <c r="J193" s="14" t="s">
        <v>143</v>
      </c>
      <c r="K193" s="14" t="s">
        <v>18117</v>
      </c>
      <c r="L193" s="14" t="s">
        <v>4461</v>
      </c>
      <c r="M193" s="14" t="s">
        <v>9158</v>
      </c>
      <c r="N193" s="14" t="s">
        <v>9158</v>
      </c>
      <c r="O193" s="14" t="s">
        <v>9158</v>
      </c>
      <c r="P193" s="14" t="s">
        <v>9158</v>
      </c>
      <c r="Q193" s="14" t="s">
        <v>9158</v>
      </c>
    </row>
    <row r="195" spans="1:18">
      <c r="A195" s="14" t="s">
        <v>3905</v>
      </c>
    </row>
    <row r="196" spans="1:18">
      <c r="A196" s="14">
        <v>241143</v>
      </c>
      <c r="B196" s="14" t="s">
        <v>18105</v>
      </c>
    </row>
    <row r="197" spans="1:18">
      <c r="A197" s="14" t="s">
        <v>5719</v>
      </c>
      <c r="B197" s="14" t="s">
        <v>52</v>
      </c>
      <c r="C197" s="14" t="s">
        <v>165</v>
      </c>
      <c r="D197" s="19" t="s">
        <v>10379</v>
      </c>
      <c r="E197" s="15" t="str">
        <f>HYPERLINK("https://stat100.ameba.jp/tnk47/ratio20/illustrations/card/ill_54523_0_yonshunennionohime03.jpg?202110-5-RELEASE-marathon-556xxx", "■")</f>
        <v>■</v>
      </c>
      <c r="F197" s="14" t="s">
        <v>1773</v>
      </c>
      <c r="G197" s="14">
        <v>122776</v>
      </c>
      <c r="H197" s="14">
        <v>138212</v>
      </c>
      <c r="I197" s="14">
        <v>22</v>
      </c>
      <c r="J197" s="14" t="s">
        <v>38</v>
      </c>
      <c r="K197" s="14" t="s">
        <v>1774</v>
      </c>
      <c r="L197" s="14" t="s">
        <v>1775</v>
      </c>
      <c r="M197" s="14" t="s">
        <v>9158</v>
      </c>
      <c r="N197" s="14" t="s">
        <v>9158</v>
      </c>
      <c r="O197" s="19" t="s">
        <v>10094</v>
      </c>
      <c r="P197" s="14" t="s">
        <v>13168</v>
      </c>
      <c r="Q197" s="14">
        <v>1</v>
      </c>
    </row>
    <row r="198" spans="1:18">
      <c r="A198" s="14" t="s">
        <v>5615</v>
      </c>
      <c r="B198" s="14" t="s">
        <v>330</v>
      </c>
      <c r="C198" s="14" t="s">
        <v>206</v>
      </c>
      <c r="D198" s="19" t="s">
        <v>2814</v>
      </c>
      <c r="E198" s="15" t="str">
        <f>HYPERLINK("https://stat100.ameba.jp/tnk47/ratio20/illustrations/card/ill_57733_0_shogatsunisenjunanaamakusashiro03.jpg?202110-5-RELEASE-marathon-556xxx", "■")</f>
        <v>■</v>
      </c>
      <c r="F198" s="14" t="s">
        <v>1016</v>
      </c>
      <c r="G198" s="14">
        <v>122776</v>
      </c>
      <c r="H198" s="14">
        <v>138212</v>
      </c>
      <c r="I198" s="14">
        <v>22</v>
      </c>
      <c r="J198" s="14" t="s">
        <v>10</v>
      </c>
      <c r="K198" s="14" t="s">
        <v>1017</v>
      </c>
      <c r="L198" s="14" t="s">
        <v>1018</v>
      </c>
      <c r="M198" s="14" t="s">
        <v>9158</v>
      </c>
      <c r="N198" s="14" t="s">
        <v>9158</v>
      </c>
      <c r="O198" s="19" t="s">
        <v>10077</v>
      </c>
      <c r="P198" s="14" t="s">
        <v>3062</v>
      </c>
      <c r="Q198" s="14">
        <v>1</v>
      </c>
    </row>
    <row r="199" spans="1:18">
      <c r="A199" s="9" t="s">
        <v>5612</v>
      </c>
      <c r="B199" s="14" t="s">
        <v>330</v>
      </c>
      <c r="C199" s="14" t="s">
        <v>165</v>
      </c>
      <c r="D199" s="14" t="s">
        <v>789</v>
      </c>
      <c r="E199" s="15" t="str">
        <f>HYPERLINK("https://stat100.ameba.jp/tnk47/ratio20/illustrations/card/ill_49193_0_onmyoudouabenoseimei03.jpg?202110-5-RELEASE-marathon-556xxx", "■")</f>
        <v>■</v>
      </c>
      <c r="F199" s="14" t="s">
        <v>790</v>
      </c>
      <c r="G199" s="14">
        <v>122776</v>
      </c>
      <c r="H199" s="14">
        <v>138212</v>
      </c>
      <c r="I199" s="14">
        <v>22</v>
      </c>
      <c r="J199" s="14" t="s">
        <v>351</v>
      </c>
      <c r="K199" s="14" t="s">
        <v>791</v>
      </c>
      <c r="L199" s="14" t="s">
        <v>792</v>
      </c>
      <c r="M199" s="14" t="s">
        <v>9158</v>
      </c>
      <c r="N199" s="14" t="s">
        <v>9158</v>
      </c>
      <c r="O199" s="14" t="s">
        <v>9158</v>
      </c>
      <c r="P199" s="14" t="s">
        <v>9158</v>
      </c>
      <c r="Q199" s="14" t="s">
        <v>9158</v>
      </c>
    </row>
    <row r="200" spans="1:18">
      <c r="A200" s="14">
        <v>90713</v>
      </c>
      <c r="B200" s="14" t="s">
        <v>0</v>
      </c>
      <c r="C200" s="14" t="s">
        <v>23</v>
      </c>
      <c r="D200" s="14" t="s">
        <v>14349</v>
      </c>
      <c r="E200" s="15" t="str">
        <f>HYPERLINK("https://stat100.ameba.jp/tnk47/ratio20/illustrations/card/ill_90713_hamabenotosu03.jpg?202110-5-RELEASE-marathon-556xxx", "■")</f>
        <v>■</v>
      </c>
      <c r="F200" s="14" t="s">
        <v>14348</v>
      </c>
      <c r="G200" s="14">
        <v>81410</v>
      </c>
      <c r="H200" s="14">
        <v>144684</v>
      </c>
      <c r="I200" s="7">
        <v>30</v>
      </c>
      <c r="J200" s="14" t="s">
        <v>77</v>
      </c>
      <c r="K200" s="14" t="s">
        <v>14347</v>
      </c>
      <c r="L200" s="14" t="s">
        <v>14346</v>
      </c>
      <c r="M200" s="14" t="s">
        <v>9158</v>
      </c>
      <c r="N200" s="14" t="s">
        <v>9158</v>
      </c>
      <c r="O200" s="14" t="s">
        <v>9158</v>
      </c>
      <c r="P200" s="14" t="s">
        <v>9158</v>
      </c>
      <c r="Q200" s="14" t="s">
        <v>9158</v>
      </c>
    </row>
    <row r="201" spans="1:18">
      <c r="A201" s="14">
        <v>92003</v>
      </c>
      <c r="B201" s="14" t="s">
        <v>0</v>
      </c>
      <c r="C201" s="14" t="s">
        <v>14</v>
      </c>
      <c r="D201" s="14" t="s">
        <v>14904</v>
      </c>
      <c r="E201" s="15" t="str">
        <f>HYPERLINK("https://stat100.ameba.jp/tnk47/ratio20/illustrations/card/ill_92003_hibikiwataruneiroseiseshiria03.jpg?202110-5-RELEASE-marathon-556xxx", "■")</f>
        <v>■</v>
      </c>
      <c r="F201" s="14" t="s">
        <v>14903</v>
      </c>
      <c r="G201" s="14">
        <v>85014</v>
      </c>
      <c r="H201" s="14">
        <v>151116</v>
      </c>
      <c r="I201" s="7">
        <v>30</v>
      </c>
      <c r="J201" s="14" t="s">
        <v>10</v>
      </c>
      <c r="K201" s="14" t="s">
        <v>14902</v>
      </c>
      <c r="L201" s="14" t="s">
        <v>14901</v>
      </c>
      <c r="M201" s="14" t="s">
        <v>9158</v>
      </c>
      <c r="N201" s="14" t="s">
        <v>9158</v>
      </c>
      <c r="O201" s="14" t="s">
        <v>9158</v>
      </c>
      <c r="P201" s="14" t="s">
        <v>9158</v>
      </c>
      <c r="Q201" s="14" t="s">
        <v>9158</v>
      </c>
    </row>
    <row r="202" spans="1:18">
      <c r="A202" s="14">
        <v>88713</v>
      </c>
      <c r="B202" s="14" t="s">
        <v>334</v>
      </c>
      <c r="C202" s="14" t="s">
        <v>1</v>
      </c>
      <c r="D202" s="14" t="s">
        <v>12352</v>
      </c>
      <c r="E202" s="15" t="str">
        <f>HYPERLINK("https://stat100.ameba.jp/tnk47/ratio20/illustrations/card/ill_88713_pammatsurifuigunattsu03.jpg?202110-5-RELEASE-marathon-556xxx", "■")</f>
        <v>■</v>
      </c>
      <c r="F202" s="14" t="s">
        <v>12354</v>
      </c>
      <c r="G202" s="14">
        <v>123914</v>
      </c>
      <c r="H202" s="14">
        <v>220250</v>
      </c>
      <c r="I202" s="7">
        <v>30</v>
      </c>
      <c r="J202" s="14" t="s">
        <v>104</v>
      </c>
      <c r="K202" s="14" t="s">
        <v>12355</v>
      </c>
      <c r="L202" s="14" t="s">
        <v>12356</v>
      </c>
      <c r="M202" s="14" t="s">
        <v>9158</v>
      </c>
      <c r="N202" s="14" t="s">
        <v>9158</v>
      </c>
      <c r="O202" s="14" t="s">
        <v>9158</v>
      </c>
      <c r="P202" s="14" t="s">
        <v>9158</v>
      </c>
      <c r="Q202" s="14" t="s">
        <v>9158</v>
      </c>
    </row>
    <row r="204" spans="1:18">
      <c r="A204" s="14" t="s">
        <v>18017</v>
      </c>
    </row>
    <row r="205" spans="1:18">
      <c r="A205" s="14">
        <v>112275</v>
      </c>
      <c r="B205" s="14" t="s">
        <v>7374</v>
      </c>
    </row>
    <row r="206" spans="1:18">
      <c r="A206" s="14">
        <v>201245</v>
      </c>
      <c r="B206" s="14" t="s">
        <v>0</v>
      </c>
      <c r="C206" s="14" t="s">
        <v>202</v>
      </c>
      <c r="D206" s="18" t="s">
        <v>18021</v>
      </c>
      <c r="E206" s="15" t="str">
        <f>HYPERLINK("https://stat100.ameba.jp/tnk47/ratio20/illustrations/card/ill_201245_hanakammurisomeiyu05.jpg?202110-5-RELEASE-marathon-556xxx", "■")</f>
        <v>■</v>
      </c>
      <c r="F206" s="14" t="s">
        <v>18020</v>
      </c>
      <c r="G206" s="14">
        <v>141040</v>
      </c>
      <c r="H206" s="14">
        <v>102116</v>
      </c>
      <c r="I206" s="14">
        <v>30</v>
      </c>
      <c r="J206" s="14" t="s">
        <v>26</v>
      </c>
      <c r="K206" s="14" t="s">
        <v>18019</v>
      </c>
      <c r="L206" s="14" t="s">
        <v>17329</v>
      </c>
      <c r="M206" s="14" t="s">
        <v>9158</v>
      </c>
      <c r="N206" s="14" t="s">
        <v>9158</v>
      </c>
      <c r="O206" s="14" t="s">
        <v>9158</v>
      </c>
      <c r="P206" s="14" t="s">
        <v>9158</v>
      </c>
      <c r="Q206" s="14" t="s">
        <v>9158</v>
      </c>
      <c r="R206" s="14" t="s">
        <v>174</v>
      </c>
    </row>
    <row r="207" spans="1:18">
      <c r="A207" s="14">
        <v>201243</v>
      </c>
      <c r="B207" s="14" t="s">
        <v>15</v>
      </c>
      <c r="C207" s="14" t="s">
        <v>203</v>
      </c>
      <c r="D207" s="18" t="s">
        <v>18021</v>
      </c>
      <c r="E207" s="15" t="str">
        <f>HYPERLINK("https://stat100.ameba.jp/tnk47/ratio20/illustrations/card/ill_201243_hanakammurisomeiyu03.jpg?202110-5-RELEASE-marathon-556xxx", "■")</f>
        <v>■</v>
      </c>
      <c r="F207" s="14" t="s">
        <v>18020</v>
      </c>
      <c r="G207" s="14">
        <v>103904</v>
      </c>
      <c r="H207" s="14">
        <v>75234</v>
      </c>
      <c r="I207" s="7">
        <v>30</v>
      </c>
      <c r="J207" s="14" t="s">
        <v>26</v>
      </c>
      <c r="K207" s="14" t="s">
        <v>18019</v>
      </c>
      <c r="L207" s="14" t="s">
        <v>18022</v>
      </c>
      <c r="M207" s="14" t="s">
        <v>9158</v>
      </c>
      <c r="N207" s="14" t="s">
        <v>9158</v>
      </c>
      <c r="O207" s="14" t="s">
        <v>9158</v>
      </c>
      <c r="P207" s="14" t="s">
        <v>9158</v>
      </c>
      <c r="Q207" s="14" t="s">
        <v>9158</v>
      </c>
      <c r="R207" s="14" t="s">
        <v>175</v>
      </c>
    </row>
    <row r="208" spans="1:18">
      <c r="A208" s="14">
        <v>201241</v>
      </c>
      <c r="B208" s="14" t="s">
        <v>15</v>
      </c>
      <c r="C208" s="14" t="s">
        <v>203</v>
      </c>
      <c r="D208" s="18" t="s">
        <v>18021</v>
      </c>
      <c r="E208" s="15" t="str">
        <f>HYPERLINK("https://stat100.ameba.jp/tnk47/ratio20/illustrations/card/ill_201241_hanakammurisomeiyu01.jpg?202110-5-RELEASE-marathon-556xxx", "■")</f>
        <v>■</v>
      </c>
      <c r="F208" s="14" t="s">
        <v>18020</v>
      </c>
      <c r="G208" s="14">
        <v>66090</v>
      </c>
      <c r="H208" s="14">
        <v>47850</v>
      </c>
      <c r="I208" s="7">
        <v>30</v>
      </c>
      <c r="J208" s="14" t="s">
        <v>26</v>
      </c>
      <c r="K208" s="14" t="s">
        <v>18019</v>
      </c>
      <c r="L208" s="14" t="s">
        <v>18023</v>
      </c>
      <c r="M208" s="14" t="s">
        <v>9158</v>
      </c>
      <c r="N208" s="14" t="s">
        <v>9158</v>
      </c>
      <c r="O208" s="14" t="s">
        <v>9158</v>
      </c>
      <c r="P208" s="14" t="s">
        <v>9158</v>
      </c>
      <c r="Q208" s="14" t="s">
        <v>9158</v>
      </c>
      <c r="R208" s="14" t="s">
        <v>176</v>
      </c>
    </row>
    <row r="210" spans="1:17">
      <c r="A210" s="14" t="s">
        <v>3911</v>
      </c>
    </row>
    <row r="211" spans="1:17">
      <c r="A211" s="14">
        <v>112265</v>
      </c>
      <c r="B211" s="14" t="s">
        <v>18018</v>
      </c>
    </row>
    <row r="212" spans="1:17">
      <c r="A212" s="14">
        <v>112275</v>
      </c>
      <c r="B212" s="14" t="s">
        <v>15721</v>
      </c>
    </row>
    <row r="213" spans="1:17">
      <c r="A213" s="14" t="s">
        <v>17390</v>
      </c>
      <c r="B213" s="7" t="s">
        <v>52</v>
      </c>
      <c r="C213" s="14" t="s">
        <v>202</v>
      </c>
      <c r="D213" s="18" t="s">
        <v>17389</v>
      </c>
      <c r="E213" s="15" t="str">
        <f>HYPERLINK("https://stat100.ameba.jp/tnk47/ratio20/illustrations/card/ill_98393_0_yuembiyorikingyonota03.jpg?202110-5-RELEASE-marathon-556xxx", "■")</f>
        <v>■</v>
      </c>
      <c r="F213" s="14" t="s">
        <v>17388</v>
      </c>
      <c r="G213" s="14">
        <v>321786</v>
      </c>
      <c r="H213" s="14">
        <v>290844</v>
      </c>
      <c r="I213" s="7">
        <v>30</v>
      </c>
      <c r="J213" s="14" t="s">
        <v>38</v>
      </c>
      <c r="K213" s="14" t="s">
        <v>17387</v>
      </c>
      <c r="L213" s="14" t="s">
        <v>17386</v>
      </c>
      <c r="M213" s="14" t="s">
        <v>9158</v>
      </c>
      <c r="N213" s="14" t="s">
        <v>9158</v>
      </c>
      <c r="O213" s="7" t="s">
        <v>17385</v>
      </c>
      <c r="P213" s="7" t="s">
        <v>17384</v>
      </c>
      <c r="Q213" s="7">
        <v>1</v>
      </c>
    </row>
    <row r="214" spans="1:17">
      <c r="A214" s="14" t="s">
        <v>16084</v>
      </c>
      <c r="B214" s="7" t="s">
        <v>52</v>
      </c>
      <c r="C214" s="14" t="s">
        <v>202</v>
      </c>
      <c r="D214" s="18" t="s">
        <v>16083</v>
      </c>
      <c r="E214" s="15" t="str">
        <f>HYPERLINK("https://stat100.ameba.jp/tnk47/ratio20/illustrations/card/ill_95653_0_barentaindefukuhime03.jpg?202110-5-RELEASE-marathon-556xxx", "■")</f>
        <v>■</v>
      </c>
      <c r="F214" s="14" t="s">
        <v>16082</v>
      </c>
      <c r="G214" s="14">
        <v>345656</v>
      </c>
      <c r="H214" s="14">
        <v>282816</v>
      </c>
      <c r="I214" s="7">
        <v>30</v>
      </c>
      <c r="J214" s="14" t="s">
        <v>77</v>
      </c>
      <c r="K214" s="14" t="s">
        <v>16081</v>
      </c>
      <c r="L214" s="14" t="s">
        <v>16080</v>
      </c>
      <c r="M214" s="14" t="s">
        <v>9158</v>
      </c>
      <c r="N214" s="14" t="s">
        <v>9158</v>
      </c>
      <c r="O214" s="7" t="s">
        <v>16086</v>
      </c>
      <c r="P214" s="7" t="s">
        <v>16085</v>
      </c>
      <c r="Q214" s="7">
        <v>1</v>
      </c>
    </row>
    <row r="215" spans="1:17">
      <c r="A215" s="14" t="s">
        <v>5608</v>
      </c>
      <c r="B215" s="14" t="s">
        <v>52</v>
      </c>
      <c r="C215" s="14" t="s">
        <v>96</v>
      </c>
      <c r="D215" s="19" t="s">
        <v>634</v>
      </c>
      <c r="E215" s="15" t="str">
        <f>HYPERLINK("https://stat100.ameba.jp/tnk47/ratio20/illustrations/card/ill_40963_0_makami03.jpg?202110-5-RELEASE-marathon-556xxx", "■")</f>
        <v>■</v>
      </c>
      <c r="F215" s="14" t="s">
        <v>2038</v>
      </c>
      <c r="G215" s="14">
        <v>175560</v>
      </c>
      <c r="H215" s="14">
        <v>164424</v>
      </c>
      <c r="I215" s="7">
        <v>30</v>
      </c>
      <c r="J215" s="14" t="s">
        <v>44</v>
      </c>
      <c r="K215" s="14" t="s">
        <v>2039</v>
      </c>
      <c r="L215" s="14" t="s">
        <v>2040</v>
      </c>
      <c r="M215" s="14" t="s">
        <v>9158</v>
      </c>
      <c r="N215" s="14" t="s">
        <v>9158</v>
      </c>
      <c r="O215" s="14" t="s">
        <v>9158</v>
      </c>
      <c r="P215" s="14" t="s">
        <v>9158</v>
      </c>
      <c r="Q215" s="14" t="s">
        <v>9158</v>
      </c>
    </row>
    <row r="216" spans="1:17">
      <c r="A216" s="14">
        <v>80173</v>
      </c>
      <c r="B216" s="14" t="s">
        <v>334</v>
      </c>
      <c r="C216" s="14" t="s">
        <v>47</v>
      </c>
      <c r="D216" s="20" t="s">
        <v>10390</v>
      </c>
      <c r="E216" s="15" t="str">
        <f>HYPERLINK("https://stat100.ameba.jp/tnk47/ratio20/illustrations/card/ill_80173_jusomedeia03.jpg?202110-5-RELEASE-marathon-556xxx", "■")</f>
        <v>■</v>
      </c>
      <c r="F216" s="14" t="s">
        <v>3914</v>
      </c>
      <c r="G216" s="14">
        <v>114846</v>
      </c>
      <c r="H216" s="14">
        <v>158574</v>
      </c>
      <c r="I216" s="7">
        <v>30</v>
      </c>
      <c r="J216" s="14" t="s">
        <v>73</v>
      </c>
      <c r="K216" s="14" t="s">
        <v>3915</v>
      </c>
      <c r="L216" s="14" t="s">
        <v>1033</v>
      </c>
      <c r="M216" s="14" t="s">
        <v>9158</v>
      </c>
      <c r="N216" s="14" t="s">
        <v>9158</v>
      </c>
      <c r="O216" s="19" t="s">
        <v>10074</v>
      </c>
      <c r="P216" s="14" t="s">
        <v>3592</v>
      </c>
      <c r="Q216" s="14">
        <v>1</v>
      </c>
    </row>
    <row r="217" spans="1:17">
      <c r="A217" s="9">
        <v>71323</v>
      </c>
      <c r="B217" s="14" t="s">
        <v>0</v>
      </c>
      <c r="C217" s="14" t="s">
        <v>154</v>
      </c>
      <c r="D217" s="14" t="s">
        <v>1878</v>
      </c>
      <c r="E217" s="15" t="str">
        <f>HYPERLINK("https://stat100.ameba.jp/tnk47/ratio20/illustrations/card/ill_71323_kodanobu03.jpg?202110-5-RELEASE-marathon-556xxx", "■")</f>
        <v>■</v>
      </c>
      <c r="F217" s="14" t="s">
        <v>1879</v>
      </c>
      <c r="G217" s="14">
        <v>150000</v>
      </c>
      <c r="H217" s="14">
        <v>139470</v>
      </c>
      <c r="I217" s="7">
        <v>30</v>
      </c>
      <c r="J217" s="14" t="s">
        <v>16</v>
      </c>
      <c r="K217" s="14" t="s">
        <v>1880</v>
      </c>
      <c r="L217" s="14" t="s">
        <v>1881</v>
      </c>
      <c r="M217" s="14" t="s">
        <v>9158</v>
      </c>
      <c r="N217" s="14" t="s">
        <v>9158</v>
      </c>
      <c r="O217" s="17" t="s">
        <v>10055</v>
      </c>
      <c r="P217" s="14" t="s">
        <v>13124</v>
      </c>
      <c r="Q217" s="14">
        <v>1</v>
      </c>
    </row>
    <row r="218" spans="1:17">
      <c r="A218" s="14">
        <v>76793</v>
      </c>
      <c r="B218" s="14" t="s">
        <v>334</v>
      </c>
      <c r="C218" s="14" t="s">
        <v>268</v>
      </c>
      <c r="D218" s="20" t="s">
        <v>425</v>
      </c>
      <c r="E218" s="15" t="str">
        <f>HYPERLINK("https://stat100.ameba.jp/tnk47/ratio20/illustrations/card/ill_76793_monsutatamatebako03.jpg?202110-5-RELEASE-marathon-556xxx", "■")</f>
        <v>■</v>
      </c>
      <c r="F218" s="14" t="s">
        <v>426</v>
      </c>
      <c r="G218" s="14">
        <v>136154</v>
      </c>
      <c r="H218" s="14">
        <v>98646</v>
      </c>
      <c r="I218" s="14">
        <v>30</v>
      </c>
      <c r="J218" s="14" t="s">
        <v>274</v>
      </c>
      <c r="K218" s="14" t="s">
        <v>427</v>
      </c>
      <c r="L218" s="14" t="s">
        <v>428</v>
      </c>
      <c r="M218" s="14" t="s">
        <v>9158</v>
      </c>
      <c r="N218" s="14" t="s">
        <v>9158</v>
      </c>
      <c r="O218" s="19" t="s">
        <v>3037</v>
      </c>
      <c r="P218" s="14" t="s">
        <v>13128</v>
      </c>
      <c r="Q218" s="14">
        <v>1</v>
      </c>
    </row>
    <row r="219" spans="1:17">
      <c r="A219" s="9">
        <v>85363</v>
      </c>
      <c r="B219" s="9" t="s">
        <v>0</v>
      </c>
      <c r="C219" s="9" t="s">
        <v>158</v>
      </c>
      <c r="D219" s="19" t="s">
        <v>10708</v>
      </c>
      <c r="E219" s="15" t="str">
        <f>HYPERLINK("https://stat100.ameba.jp/tnk47/ratio20/illustrations/card/ill_85363_sukarunetaisa03.jpg?202110-5-RELEASE-marathon-556xxx", "■")</f>
        <v>■</v>
      </c>
      <c r="F219" s="9" t="s">
        <v>7506</v>
      </c>
      <c r="G219" s="9">
        <v>144572</v>
      </c>
      <c r="H219" s="9">
        <v>199594</v>
      </c>
      <c r="I219" s="14">
        <v>30</v>
      </c>
      <c r="J219" s="9" t="s">
        <v>194</v>
      </c>
      <c r="K219" s="9" t="s">
        <v>7504</v>
      </c>
      <c r="L219" s="9" t="s">
        <v>1148</v>
      </c>
      <c r="M219" s="14" t="s">
        <v>9864</v>
      </c>
      <c r="N219" s="14" t="s">
        <v>9158</v>
      </c>
      <c r="O219" s="19" t="s">
        <v>10106</v>
      </c>
      <c r="P219" s="14" t="s">
        <v>3330</v>
      </c>
      <c r="Q219" s="14">
        <v>2</v>
      </c>
    </row>
    <row r="220" spans="1:17">
      <c r="A220" s="7">
        <v>85653</v>
      </c>
      <c r="B220" s="7" t="s">
        <v>0</v>
      </c>
      <c r="C220" s="14" t="s">
        <v>158</v>
      </c>
      <c r="D220" s="20" t="s">
        <v>10846</v>
      </c>
      <c r="E220" s="15" t="str">
        <f>HYPERLINK("https://stat100.ameba.jp/tnk47/ratio20/illustrations/card/ill_85653_onashiefumizuno03.jpg?202110-5-RELEASE-marathon-556xxx", "■")</f>
        <v>■</v>
      </c>
      <c r="F220" s="7" t="s">
        <v>8587</v>
      </c>
      <c r="G220" s="14">
        <v>114846</v>
      </c>
      <c r="H220" s="14">
        <v>158574</v>
      </c>
      <c r="I220" s="14">
        <v>30</v>
      </c>
      <c r="J220" s="7" t="s">
        <v>216</v>
      </c>
      <c r="K220" s="7" t="s">
        <v>8586</v>
      </c>
      <c r="L220" s="7" t="s">
        <v>131</v>
      </c>
      <c r="M220" s="14" t="s">
        <v>9158</v>
      </c>
      <c r="N220" s="14" t="s">
        <v>9158</v>
      </c>
      <c r="O220" s="19" t="s">
        <v>4074</v>
      </c>
      <c r="P220" s="14" t="s">
        <v>3462</v>
      </c>
      <c r="Q220" s="14">
        <v>1</v>
      </c>
    </row>
    <row r="221" spans="1:17">
      <c r="A221" s="14">
        <v>60173</v>
      </c>
      <c r="B221" s="14" t="s">
        <v>0</v>
      </c>
      <c r="C221" s="14" t="s">
        <v>41</v>
      </c>
      <c r="D221" s="19" t="s">
        <v>10231</v>
      </c>
      <c r="E221" s="15" t="str">
        <f>HYPERLINK("https://stat100.ameba.jp/tnk47/ratio20/illustrations/card/ill_60173_kugutsushi03.jpg?202110-5-RELEASE-marathon-556xxx", "■")</f>
        <v>■</v>
      </c>
      <c r="F221" s="14" t="s">
        <v>4282</v>
      </c>
      <c r="G221" s="14">
        <v>110884</v>
      </c>
      <c r="H221" s="14">
        <v>153096</v>
      </c>
      <c r="I221" s="14">
        <v>30</v>
      </c>
      <c r="J221" s="14" t="s">
        <v>38</v>
      </c>
      <c r="K221" s="14" t="s">
        <v>4283</v>
      </c>
      <c r="L221" s="14" t="s">
        <v>2714</v>
      </c>
      <c r="M221" s="14" t="s">
        <v>9158</v>
      </c>
      <c r="N221" s="14" t="s">
        <v>9158</v>
      </c>
      <c r="O221" s="19" t="s">
        <v>10113</v>
      </c>
      <c r="P221" s="14" t="s">
        <v>4285</v>
      </c>
      <c r="Q221" s="14">
        <v>1</v>
      </c>
    </row>
    <row r="223" spans="1:17">
      <c r="A223" s="14" t="s">
        <v>6191</v>
      </c>
    </row>
    <row r="224" spans="1:17">
      <c r="A224" s="14">
        <v>112304</v>
      </c>
      <c r="B224" s="14" t="s">
        <v>7377</v>
      </c>
    </row>
    <row r="225" spans="1:17">
      <c r="A225" s="9" t="s">
        <v>5606</v>
      </c>
      <c r="B225" s="14" t="s">
        <v>52</v>
      </c>
      <c r="C225" s="14" t="s">
        <v>206</v>
      </c>
      <c r="D225" s="14" t="s">
        <v>1011</v>
      </c>
      <c r="E225" s="15" t="str">
        <f>HYPERLINK("https://stat100.ameba.jp/tnk47/ratio20/illustrations/card/ill_72233_0_koinoboriryugujin03.jpg?202110-5-RELEASE-marathon-556xxx", "■")</f>
        <v>■</v>
      </c>
      <c r="F225" s="14" t="s">
        <v>1012</v>
      </c>
      <c r="G225" s="14">
        <v>177111</v>
      </c>
      <c r="H225" s="14">
        <v>190501</v>
      </c>
      <c r="I225" s="14">
        <v>27</v>
      </c>
      <c r="J225" s="14" t="s">
        <v>44</v>
      </c>
      <c r="K225" s="14" t="s">
        <v>1013</v>
      </c>
      <c r="L225" s="14" t="s">
        <v>1014</v>
      </c>
      <c r="M225" s="14" t="s">
        <v>9158</v>
      </c>
      <c r="N225" s="14" t="s">
        <v>9158</v>
      </c>
      <c r="O225" s="9" t="s">
        <v>3419</v>
      </c>
      <c r="P225" s="14" t="s">
        <v>3420</v>
      </c>
      <c r="Q225" s="14">
        <v>2</v>
      </c>
    </row>
    <row r="226" spans="1:17">
      <c r="A226" s="14" t="s">
        <v>5822</v>
      </c>
      <c r="B226" s="14" t="s">
        <v>330</v>
      </c>
      <c r="C226" s="14" t="s">
        <v>307</v>
      </c>
      <c r="D226" s="19" t="s">
        <v>306</v>
      </c>
      <c r="E226" s="15" t="str">
        <f>HYPERLINK("https://stat100.ameba.jp/tnk47/ratio20/illustrations/card/ill_71403_0_ohanamisanadayukimura03.jpg?202110-5-RELEASE-marathon-556xxx", "■")</f>
        <v>■</v>
      </c>
      <c r="F226" s="14" t="s">
        <v>309</v>
      </c>
      <c r="G226" s="14">
        <v>252030</v>
      </c>
      <c r="H226" s="14">
        <v>234350</v>
      </c>
      <c r="I226" s="14">
        <v>27</v>
      </c>
      <c r="J226" s="14" t="s">
        <v>310</v>
      </c>
      <c r="K226" s="14" t="s">
        <v>311</v>
      </c>
      <c r="L226" s="14" t="s">
        <v>312</v>
      </c>
      <c r="M226" s="14" t="s">
        <v>9158</v>
      </c>
      <c r="N226" s="14" t="s">
        <v>9158</v>
      </c>
      <c r="O226" s="6" t="s">
        <v>10060</v>
      </c>
      <c r="P226" s="14" t="s">
        <v>3418</v>
      </c>
      <c r="Q226" s="14">
        <v>2</v>
      </c>
    </row>
    <row r="227" spans="1:17">
      <c r="A227" s="14" t="s">
        <v>5897</v>
      </c>
      <c r="B227" s="14" t="s">
        <v>52</v>
      </c>
      <c r="C227" s="14" t="s">
        <v>23</v>
      </c>
      <c r="D227" s="19" t="s">
        <v>277</v>
      </c>
      <c r="E227" s="15" t="str">
        <f>HYPERLINK("https://stat100.ameba.jp/tnk47/ratio20/illustrations/card/ill_40913_0_reigyokudensetsufusehime03.jpg?202110-5-RELEASE-marathon-556xxx", "■")</f>
        <v>■</v>
      </c>
      <c r="F227" s="14" t="s">
        <v>955</v>
      </c>
      <c r="G227" s="14">
        <v>147980</v>
      </c>
      <c r="H227" s="14">
        <v>158004</v>
      </c>
      <c r="I227" s="14">
        <v>27</v>
      </c>
      <c r="J227" s="14" t="s">
        <v>38</v>
      </c>
      <c r="K227" s="14" t="s">
        <v>956</v>
      </c>
      <c r="L227" s="14" t="s">
        <v>957</v>
      </c>
      <c r="M227" s="14" t="s">
        <v>9158</v>
      </c>
      <c r="N227" s="14" t="s">
        <v>9158</v>
      </c>
      <c r="O227" s="14" t="s">
        <v>9158</v>
      </c>
      <c r="P227" s="14" t="s">
        <v>9158</v>
      </c>
      <c r="Q227" s="14" t="s">
        <v>9158</v>
      </c>
    </row>
    <row r="228" spans="1:17">
      <c r="A228" s="14">
        <v>201193</v>
      </c>
      <c r="B228" s="14" t="s">
        <v>0</v>
      </c>
      <c r="C228" s="14" t="s">
        <v>107</v>
      </c>
      <c r="D228" s="14" t="s">
        <v>18108</v>
      </c>
      <c r="E228" s="15" t="str">
        <f>HYPERLINK("https://stat100.ameba.jp/tnk47/ratio20/illustrations/card/ill_201193_romiromi03.jpg?202110-5-RELEASE-marathon-556xxx", "■")</f>
        <v>■</v>
      </c>
      <c r="F228" s="14" t="s">
        <v>18107</v>
      </c>
      <c r="G228" s="14">
        <v>122960</v>
      </c>
      <c r="H228" s="14">
        <v>132230</v>
      </c>
      <c r="I228" s="7">
        <v>28</v>
      </c>
      <c r="J228" s="14" t="s">
        <v>73</v>
      </c>
      <c r="K228" s="14" t="s">
        <v>18106</v>
      </c>
      <c r="L228" s="14" t="s">
        <v>12269</v>
      </c>
      <c r="M228" s="14" t="s">
        <v>9158</v>
      </c>
      <c r="N228" s="14" t="s">
        <v>9158</v>
      </c>
      <c r="O228" s="14" t="s">
        <v>9158</v>
      </c>
      <c r="P228" s="14" t="s">
        <v>9158</v>
      </c>
      <c r="Q228" s="14" t="s">
        <v>9158</v>
      </c>
    </row>
    <row r="229" spans="1:17">
      <c r="A229" s="14">
        <v>201213</v>
      </c>
      <c r="B229" s="14" t="s">
        <v>15</v>
      </c>
      <c r="C229" s="14" t="s">
        <v>101</v>
      </c>
      <c r="D229" s="14" t="s">
        <v>18113</v>
      </c>
      <c r="E229" s="15" t="str">
        <f>HYPERLINK("https://stat100.ameba.jp/tnk47/ratio20/illustrations/card/ill_201213_hamahime03.jpg?202110-5-RELEASE-marathon-556xxx", "■")</f>
        <v>■</v>
      </c>
      <c r="F229" s="14" t="s">
        <v>18112</v>
      </c>
      <c r="G229" s="14">
        <v>80028</v>
      </c>
      <c r="H229" s="14">
        <v>72586</v>
      </c>
      <c r="I229" s="14">
        <v>27</v>
      </c>
      <c r="J229" s="14" t="s">
        <v>73</v>
      </c>
      <c r="K229" s="14" t="s">
        <v>18111</v>
      </c>
      <c r="L229" s="14" t="s">
        <v>3835</v>
      </c>
      <c r="M229" s="14" t="s">
        <v>9158</v>
      </c>
      <c r="N229" s="14" t="s">
        <v>9158</v>
      </c>
      <c r="O229" s="14" t="s">
        <v>9158</v>
      </c>
      <c r="P229" s="14" t="s">
        <v>9158</v>
      </c>
      <c r="Q229" s="14" t="s">
        <v>9158</v>
      </c>
    </row>
    <row r="230" spans="1:17">
      <c r="A230" s="14">
        <v>201223</v>
      </c>
      <c r="B230" s="14" t="s">
        <v>22</v>
      </c>
      <c r="C230" s="14" t="s">
        <v>96</v>
      </c>
      <c r="D230" s="14" t="s">
        <v>18116</v>
      </c>
      <c r="E230" s="15" t="str">
        <f>HYPERLINK("https://stat100.ameba.jp/tnk47/ratio20/illustrations/card/ill_201223_yotoonikirimaru03.jpg?202110-5-RELEASE-marathon-556xxx", "■")</f>
        <v>■</v>
      </c>
      <c r="F230" s="14" t="s">
        <v>18115</v>
      </c>
      <c r="G230" s="14">
        <v>46676</v>
      </c>
      <c r="H230" s="14">
        <v>56138</v>
      </c>
      <c r="I230" s="14">
        <v>27</v>
      </c>
      <c r="J230" s="14" t="s">
        <v>73</v>
      </c>
      <c r="K230" s="14" t="s">
        <v>18114</v>
      </c>
      <c r="L230" s="14" t="s">
        <v>5881</v>
      </c>
      <c r="M230" s="14" t="s">
        <v>9158</v>
      </c>
      <c r="N230" s="14" t="s">
        <v>9158</v>
      </c>
      <c r="O230" s="14" t="s">
        <v>9158</v>
      </c>
      <c r="P230" s="14" t="s">
        <v>9158</v>
      </c>
      <c r="Q230" s="14" t="s">
        <v>9158</v>
      </c>
    </row>
    <row r="231" spans="1:17">
      <c r="A231" s="14">
        <v>201233</v>
      </c>
      <c r="B231" s="14" t="s">
        <v>22</v>
      </c>
      <c r="C231" s="14" t="s">
        <v>1</v>
      </c>
      <c r="D231" s="14" t="s">
        <v>18119</v>
      </c>
      <c r="E231" s="15" t="str">
        <f>HYPERLINK("https://stat100.ameba.jp/tnk47/ratio20/illustrations/card/ill_201233_orochinomusha03.jpg?202110-5-RELEASE-marathon-556xxx", "■")</f>
        <v>■</v>
      </c>
      <c r="F231" s="14" t="s">
        <v>18118</v>
      </c>
      <c r="G231" s="14">
        <v>56138</v>
      </c>
      <c r="H231" s="14">
        <v>46676</v>
      </c>
      <c r="I231" s="14">
        <v>27</v>
      </c>
      <c r="J231" s="14" t="s">
        <v>143</v>
      </c>
      <c r="K231" s="14" t="s">
        <v>18117</v>
      </c>
      <c r="L231" s="14" t="s">
        <v>4461</v>
      </c>
      <c r="M231" s="14" t="s">
        <v>9158</v>
      </c>
      <c r="N231" s="14" t="s">
        <v>9158</v>
      </c>
      <c r="O231" s="14" t="s">
        <v>9158</v>
      </c>
      <c r="P231" s="14" t="s">
        <v>9158</v>
      </c>
      <c r="Q231" s="14" t="s">
        <v>9158</v>
      </c>
    </row>
    <row r="233" spans="1:17">
      <c r="A233" s="14" t="s">
        <v>4065</v>
      </c>
    </row>
    <row r="234" spans="1:17">
      <c r="A234" s="14">
        <v>112291</v>
      </c>
      <c r="B234" s="14" t="s">
        <v>15175</v>
      </c>
    </row>
    <row r="235" spans="1:17">
      <c r="A235" s="9" t="s">
        <v>6905</v>
      </c>
      <c r="B235" s="14" t="s">
        <v>330</v>
      </c>
      <c r="C235" s="14" t="s">
        <v>35</v>
      </c>
      <c r="D235" s="14" t="s">
        <v>4161</v>
      </c>
      <c r="E235" s="15" t="str">
        <f>HYPERLINK("https://stat100.ameba.jp/tnk47/ratio20/illustrations/card/ill_80623_0_ohanamigurampingutominushihime03.jpg?202110-5-RELEASE-marathon-556xxx", "■")</f>
        <v>■</v>
      </c>
      <c r="F235" s="14" t="s">
        <v>4162</v>
      </c>
      <c r="G235" s="14">
        <v>349540</v>
      </c>
      <c r="H235" s="14">
        <v>315944</v>
      </c>
      <c r="I235" s="14">
        <v>29</v>
      </c>
      <c r="J235" s="14" t="s">
        <v>44</v>
      </c>
      <c r="K235" s="14" t="s">
        <v>4163</v>
      </c>
      <c r="L235" s="14" t="s">
        <v>4164</v>
      </c>
      <c r="M235" s="14" t="s">
        <v>9158</v>
      </c>
      <c r="N235" s="14" t="s">
        <v>9158</v>
      </c>
      <c r="O235" s="9" t="s">
        <v>4165</v>
      </c>
      <c r="P235" s="14" t="s">
        <v>4166</v>
      </c>
      <c r="Q235" s="14">
        <v>1</v>
      </c>
    </row>
    <row r="236" spans="1:17">
      <c r="A236" s="14">
        <v>97643</v>
      </c>
      <c r="B236" s="14" t="s">
        <v>0</v>
      </c>
      <c r="C236" s="14" t="s">
        <v>14</v>
      </c>
      <c r="D236" s="18" t="s">
        <v>17425</v>
      </c>
      <c r="E236" s="15" t="str">
        <f>HYPERLINK("https://stat100.ameba.jp/tnk47/ratio20/illustrations/card/ill_97643_shisutamatsudairateru03.jpg?202110-5-RELEASE-marathon-556xxx", "■")</f>
        <v>■</v>
      </c>
      <c r="F236" s="14" t="s">
        <v>17424</v>
      </c>
      <c r="G236" s="14">
        <v>123002</v>
      </c>
      <c r="H236" s="14">
        <v>114362</v>
      </c>
      <c r="I236" s="14">
        <v>27</v>
      </c>
      <c r="J236" s="14" t="s">
        <v>77</v>
      </c>
      <c r="K236" s="14" t="s">
        <v>17423</v>
      </c>
      <c r="L236" s="14" t="s">
        <v>17422</v>
      </c>
      <c r="M236" s="14" t="s">
        <v>9158</v>
      </c>
      <c r="N236" s="14" t="s">
        <v>9158</v>
      </c>
      <c r="O236" s="7" t="s">
        <v>3609</v>
      </c>
      <c r="P236" s="7" t="s">
        <v>3610</v>
      </c>
      <c r="Q236" s="7">
        <v>1</v>
      </c>
    </row>
    <row r="237" spans="1:17">
      <c r="A237" s="9">
        <v>72923</v>
      </c>
      <c r="B237" s="14" t="s">
        <v>0</v>
      </c>
      <c r="C237" s="14" t="s">
        <v>206</v>
      </c>
      <c r="D237" s="14" t="s">
        <v>1836</v>
      </c>
      <c r="E237" s="15" t="str">
        <f>HYPERLINK("https://stat100.ameba.jp/tnk47/ratio20/illustrations/card/ill_72923_amenohanayomemyorinni03.jpg?202110-5-RELEASE-marathon-556xxx", "■")</f>
        <v>■</v>
      </c>
      <c r="F237" s="14" t="s">
        <v>1837</v>
      </c>
      <c r="G237" s="14">
        <v>149240</v>
      </c>
      <c r="H237" s="14">
        <v>160507</v>
      </c>
      <c r="I237" s="14">
        <v>27</v>
      </c>
      <c r="J237" s="14" t="s">
        <v>194</v>
      </c>
      <c r="K237" s="14" t="s">
        <v>1838</v>
      </c>
      <c r="L237" s="14" t="s">
        <v>13160</v>
      </c>
      <c r="M237" s="14" t="s">
        <v>9158</v>
      </c>
      <c r="N237" s="14" t="s">
        <v>9158</v>
      </c>
      <c r="O237" s="9" t="s">
        <v>2752</v>
      </c>
      <c r="P237" s="14" t="s">
        <v>13123</v>
      </c>
      <c r="Q237" s="14">
        <v>1</v>
      </c>
    </row>
    <row r="238" spans="1:17">
      <c r="A238" s="14">
        <v>67993</v>
      </c>
      <c r="B238" s="14" t="s">
        <v>334</v>
      </c>
      <c r="C238" s="14" t="s">
        <v>205</v>
      </c>
      <c r="D238" s="6" t="s">
        <v>2546</v>
      </c>
      <c r="E238" s="15" t="str">
        <f>HYPERLINK("https://stat100.ameba.jp/tnk47/ratio20/illustrations/card/ill_67993_kurisumasupateikanekomisuzu03.jpg?202110-5-RELEASE-marathon-556xxx", "■")</f>
        <v>■</v>
      </c>
      <c r="F238" s="14" t="s">
        <v>1286</v>
      </c>
      <c r="G238" s="14">
        <v>105465</v>
      </c>
      <c r="H238" s="14">
        <v>98019</v>
      </c>
      <c r="I238" s="14">
        <v>27</v>
      </c>
      <c r="J238" s="14" t="s">
        <v>10</v>
      </c>
      <c r="K238" s="14" t="s">
        <v>2547</v>
      </c>
      <c r="L238" s="14" t="s">
        <v>2548</v>
      </c>
      <c r="M238" s="14" t="s">
        <v>9158</v>
      </c>
      <c r="N238" s="14" t="s">
        <v>9158</v>
      </c>
      <c r="O238" s="6" t="s">
        <v>10025</v>
      </c>
      <c r="P238" s="14" t="s">
        <v>3701</v>
      </c>
      <c r="Q238" s="14">
        <v>1</v>
      </c>
    </row>
    <row r="240" spans="1:17">
      <c r="A240" s="14" t="s">
        <v>3785</v>
      </c>
    </row>
    <row r="241" spans="1:19">
      <c r="A241" s="14">
        <v>241193</v>
      </c>
      <c r="B241" s="14" t="s">
        <v>18120</v>
      </c>
    </row>
    <row r="242" spans="1:19">
      <c r="A242" s="14" t="s">
        <v>5601</v>
      </c>
      <c r="B242" s="14" t="s">
        <v>330</v>
      </c>
      <c r="C242" s="14" t="s">
        <v>35</v>
      </c>
      <c r="D242" s="20" t="s">
        <v>10318</v>
      </c>
      <c r="E242" s="15" t="str">
        <f>HYPERLINK("https://stat100.ameba.jp/tnk47/ratio20/illustrations/card/ill_82423_0_bikinigarukishi03.jpg?202110-5-RELEASE-marathon-556xxx", "■")</f>
        <v>■</v>
      </c>
      <c r="F242" s="14" t="s">
        <v>5391</v>
      </c>
      <c r="G242" s="14">
        <v>266382</v>
      </c>
      <c r="H242" s="14">
        <v>240760</v>
      </c>
      <c r="I242" s="14">
        <v>22</v>
      </c>
      <c r="J242" s="14" t="s">
        <v>77</v>
      </c>
      <c r="K242" s="14" t="s">
        <v>5392</v>
      </c>
      <c r="L242" s="14" t="s">
        <v>5393</v>
      </c>
      <c r="M242" s="14" t="s">
        <v>9158</v>
      </c>
      <c r="N242" s="14" t="s">
        <v>9158</v>
      </c>
      <c r="O242" s="19" t="s">
        <v>10069</v>
      </c>
      <c r="P242" s="14" t="s">
        <v>5394</v>
      </c>
      <c r="Q242" s="14">
        <v>1</v>
      </c>
    </row>
    <row r="243" spans="1:19">
      <c r="A243" s="14" t="s">
        <v>5804</v>
      </c>
      <c r="B243" s="14" t="s">
        <v>52</v>
      </c>
      <c r="C243" s="14" t="s">
        <v>14</v>
      </c>
      <c r="D243" s="19" t="s">
        <v>3195</v>
      </c>
      <c r="E243" s="15" t="str">
        <f>HYPERLINK("https://stat100.ameba.jp/tnk47/ratio20/illustrations/card/ill_75393_0_resukuinotsukisamaniittausagi03.jpg?202110-5-RELEASE-marathon-556xxx", "■")</f>
        <v>■</v>
      </c>
      <c r="F243" s="14" t="s">
        <v>3248</v>
      </c>
      <c r="G243" s="14">
        <v>250588</v>
      </c>
      <c r="H243" s="14">
        <v>232980</v>
      </c>
      <c r="I243" s="14">
        <v>22</v>
      </c>
      <c r="J243" s="14" t="s">
        <v>26</v>
      </c>
      <c r="K243" s="14" t="s">
        <v>3249</v>
      </c>
      <c r="L243" s="14" t="s">
        <v>3250</v>
      </c>
      <c r="M243" s="14" t="s">
        <v>9158</v>
      </c>
      <c r="N243" s="14" t="s">
        <v>9158</v>
      </c>
      <c r="O243" s="6" t="s">
        <v>10051</v>
      </c>
      <c r="P243" s="14" t="s">
        <v>3251</v>
      </c>
      <c r="Q243" s="14">
        <v>2</v>
      </c>
    </row>
    <row r="244" spans="1:19">
      <c r="A244" s="9" t="s">
        <v>5820</v>
      </c>
      <c r="B244" s="14" t="s">
        <v>330</v>
      </c>
      <c r="C244" s="14" t="s">
        <v>200</v>
      </c>
      <c r="D244" s="14" t="s">
        <v>630</v>
      </c>
      <c r="E244" s="15" t="str">
        <f>HYPERLINK("https://stat100.ameba.jp/tnk47/ratio20/illustrations/card/ill_48283_0_kyuubitamamonomae03.jpg?202110-5-RELEASE-marathon-556xxx", "■")</f>
        <v>■</v>
      </c>
      <c r="F244" s="14" t="s">
        <v>631</v>
      </c>
      <c r="G244" s="14">
        <v>138212</v>
      </c>
      <c r="H244" s="14">
        <v>122776</v>
      </c>
      <c r="I244" s="14">
        <v>22</v>
      </c>
      <c r="J244" s="14" t="s">
        <v>320</v>
      </c>
      <c r="K244" s="14" t="s">
        <v>632</v>
      </c>
      <c r="L244" s="14" t="s">
        <v>633</v>
      </c>
      <c r="M244" s="14" t="s">
        <v>9158</v>
      </c>
      <c r="N244" s="14" t="s">
        <v>9158</v>
      </c>
      <c r="O244" s="14" t="s">
        <v>9158</v>
      </c>
      <c r="P244" s="14" t="s">
        <v>9158</v>
      </c>
      <c r="Q244" s="14" t="s">
        <v>9158</v>
      </c>
    </row>
    <row r="245" spans="1:19">
      <c r="A245" s="14">
        <v>90023</v>
      </c>
      <c r="B245" s="14" t="s">
        <v>0</v>
      </c>
      <c r="C245" s="14" t="s">
        <v>1</v>
      </c>
      <c r="D245" s="14" t="s">
        <v>13990</v>
      </c>
      <c r="E245" s="15" t="str">
        <f>HYPERLINK("https://stat100.ameba.jp/tnk47/ratio20/illustrations/card/ill_90023_buiranzuamadeia03.jpg?202110-5-RELEASE-marathon-556xxx", "■")</f>
        <v>■</v>
      </c>
      <c r="F245" s="14" t="s">
        <v>13989</v>
      </c>
      <c r="G245" s="14">
        <v>220250</v>
      </c>
      <c r="H245" s="14">
        <v>123914</v>
      </c>
      <c r="I245" s="7">
        <v>30</v>
      </c>
      <c r="J245" s="14" t="s">
        <v>143</v>
      </c>
      <c r="K245" s="14" t="s">
        <v>13988</v>
      </c>
      <c r="L245" s="14" t="s">
        <v>12153</v>
      </c>
      <c r="M245" s="14" t="s">
        <v>9158</v>
      </c>
      <c r="N245" s="14" t="s">
        <v>9158</v>
      </c>
      <c r="O245" s="14" t="s">
        <v>9158</v>
      </c>
      <c r="P245" s="14" t="s">
        <v>9158</v>
      </c>
      <c r="Q245" s="14" t="s">
        <v>9158</v>
      </c>
    </row>
    <row r="246" spans="1:19">
      <c r="A246" s="14">
        <v>89383</v>
      </c>
      <c r="B246" s="14" t="s">
        <v>0</v>
      </c>
      <c r="C246" s="14" t="s">
        <v>14</v>
      </c>
      <c r="D246" s="14" t="s">
        <v>12897</v>
      </c>
      <c r="E246" s="15" t="str">
        <f>HYPERLINK("https://stat100.ameba.jp/tnk47/ratio20/illustrations/card/ill_89383_minaraimajozaui03.jpg?202110-5-RELEASE-marathon-556xxx", "■")</f>
        <v>■</v>
      </c>
      <c r="F246" s="14" t="s">
        <v>12899</v>
      </c>
      <c r="G246" s="14">
        <v>220250</v>
      </c>
      <c r="H246" s="14">
        <v>123914</v>
      </c>
      <c r="I246" s="7">
        <v>30</v>
      </c>
      <c r="J246" s="14" t="s">
        <v>16</v>
      </c>
      <c r="K246" s="14" t="s">
        <v>12901</v>
      </c>
      <c r="L246" s="14" t="s">
        <v>12902</v>
      </c>
      <c r="M246" s="14" t="s">
        <v>9158</v>
      </c>
      <c r="N246" s="14" t="s">
        <v>9158</v>
      </c>
      <c r="O246" s="14" t="s">
        <v>9158</v>
      </c>
      <c r="P246" s="14" t="s">
        <v>9158</v>
      </c>
      <c r="Q246" s="14" t="s">
        <v>9158</v>
      </c>
    </row>
    <row r="247" spans="1:19">
      <c r="A247" s="14">
        <v>96693</v>
      </c>
      <c r="B247" s="14" t="s">
        <v>0</v>
      </c>
      <c r="C247" s="14" t="s">
        <v>101</v>
      </c>
      <c r="D247" s="14" t="s">
        <v>16907</v>
      </c>
      <c r="E247" s="15" t="str">
        <f>HYPERLINK("https://stat100.ameba.jp/tnk47/ratio20/illustrations/card/ill_96693_gurimuhirudo03.jpg?202110-5-RELEASE-marathon-556xxx", "■")</f>
        <v>■</v>
      </c>
      <c r="F247" s="14" t="s">
        <v>16906</v>
      </c>
      <c r="G247" s="14">
        <v>144684</v>
      </c>
      <c r="H247" s="14">
        <v>81410</v>
      </c>
      <c r="I247" s="7">
        <v>30</v>
      </c>
      <c r="J247" s="14" t="s">
        <v>73</v>
      </c>
      <c r="K247" s="14" t="s">
        <v>16905</v>
      </c>
      <c r="L247" s="14" t="s">
        <v>16191</v>
      </c>
      <c r="M247" s="14" t="s">
        <v>9158</v>
      </c>
      <c r="N247" s="14" t="s">
        <v>9158</v>
      </c>
      <c r="O247" s="14" t="s">
        <v>9158</v>
      </c>
      <c r="P247" s="14" t="s">
        <v>9158</v>
      </c>
      <c r="Q247" s="14" t="s">
        <v>9158</v>
      </c>
    </row>
    <row r="249" spans="1:19">
      <c r="A249" s="14" t="s">
        <v>4012</v>
      </c>
    </row>
    <row r="250" spans="1:19">
      <c r="A250" s="14">
        <v>241213</v>
      </c>
      <c r="B250" s="14" t="s">
        <v>18045</v>
      </c>
    </row>
    <row r="251" spans="1:19">
      <c r="A251" s="9" t="s">
        <v>5787</v>
      </c>
      <c r="B251" s="14" t="s">
        <v>330</v>
      </c>
      <c r="C251" s="14" t="s">
        <v>270</v>
      </c>
      <c r="D251" s="14" t="s">
        <v>1101</v>
      </c>
      <c r="E251" s="15" t="str">
        <f>HYPERLINK("https://stat100.ameba.jp/tnk47/ratio20/illustrations/card/ill_76303_0_haroinkaguya03.jpg?202110-5-RELEASE-marathon-556xxx", "■")</f>
        <v>■</v>
      </c>
      <c r="F251" s="14" t="s">
        <v>332</v>
      </c>
      <c r="G251" s="14">
        <v>321315</v>
      </c>
      <c r="H251" s="14">
        <v>298717</v>
      </c>
      <c r="I251" s="14">
        <v>27</v>
      </c>
      <c r="J251" s="14" t="s">
        <v>274</v>
      </c>
      <c r="K251" s="14" t="s">
        <v>333</v>
      </c>
      <c r="L251" s="14" t="s">
        <v>276</v>
      </c>
      <c r="M251" s="14" t="s">
        <v>9158</v>
      </c>
      <c r="N251" s="14" t="s">
        <v>9158</v>
      </c>
      <c r="O251" s="9" t="s">
        <v>2723</v>
      </c>
      <c r="P251" s="14" t="s">
        <v>2724</v>
      </c>
      <c r="Q251" s="14">
        <v>1</v>
      </c>
    </row>
    <row r="252" spans="1:19">
      <c r="A252" s="14" t="s">
        <v>6598</v>
      </c>
      <c r="B252" s="14" t="s">
        <v>330</v>
      </c>
      <c r="C252" s="14" t="s">
        <v>35</v>
      </c>
      <c r="D252" s="19" t="s">
        <v>10555</v>
      </c>
      <c r="E252" s="15" t="str">
        <f>HYPERLINK("https://stat100.ameba.jp/tnk47/ratio20/illustrations/card/ill_83553_0_kajuenamoronagu03.jpg?202110-5-RELEASE-marathon-556xxx", "■")</f>
        <v>■</v>
      </c>
      <c r="F252" s="14" t="s">
        <v>6597</v>
      </c>
      <c r="G252" s="14">
        <v>284219</v>
      </c>
      <c r="H252" s="14">
        <v>314478</v>
      </c>
      <c r="I252" s="14">
        <v>27</v>
      </c>
      <c r="J252" s="14" t="s">
        <v>44</v>
      </c>
      <c r="K252" s="14" t="s">
        <v>6595</v>
      </c>
      <c r="L252" s="14" t="s">
        <v>6594</v>
      </c>
      <c r="M252" s="14" t="s">
        <v>9158</v>
      </c>
      <c r="N252" s="14" t="s">
        <v>9158</v>
      </c>
      <c r="O252" s="19" t="s">
        <v>10125</v>
      </c>
      <c r="P252" s="14" t="s">
        <v>6599</v>
      </c>
      <c r="Q252" s="14">
        <v>1</v>
      </c>
    </row>
    <row r="253" spans="1:19">
      <c r="A253" s="14" t="s">
        <v>6132</v>
      </c>
      <c r="B253" s="14" t="s">
        <v>52</v>
      </c>
      <c r="C253" s="14" t="s">
        <v>205</v>
      </c>
      <c r="D253" s="19" t="s">
        <v>702</v>
      </c>
      <c r="E253" s="15" t="str">
        <f>HYPERLINK("https://stat100.ameba.jp/tnk47/ratio20/illustrations/card/ill_50693_0_hanamizugimimuratsuru03.jpg?202110-5-RELEASE-marathon-556xxx", "■")</f>
        <v>■</v>
      </c>
      <c r="F253" s="14" t="s">
        <v>2282</v>
      </c>
      <c r="G253" s="14">
        <v>150680</v>
      </c>
      <c r="H253" s="14">
        <v>169624</v>
      </c>
      <c r="I253" s="14">
        <v>27</v>
      </c>
      <c r="J253" s="14" t="s">
        <v>143</v>
      </c>
      <c r="K253" s="14" t="s">
        <v>2283</v>
      </c>
      <c r="L253" s="14" t="s">
        <v>2284</v>
      </c>
      <c r="M253" s="14" t="s">
        <v>9158</v>
      </c>
      <c r="N253" s="14" t="s">
        <v>9158</v>
      </c>
      <c r="O253" s="14" t="s">
        <v>9158</v>
      </c>
      <c r="P253" s="14" t="s">
        <v>9158</v>
      </c>
      <c r="Q253" s="14" t="s">
        <v>9158</v>
      </c>
    </row>
    <row r="254" spans="1:19">
      <c r="A254" s="14">
        <v>90673</v>
      </c>
      <c r="B254" s="14" t="s">
        <v>0</v>
      </c>
      <c r="C254" s="14" t="s">
        <v>41</v>
      </c>
      <c r="D254" s="14" t="s">
        <v>18053</v>
      </c>
      <c r="E254" s="15" t="str">
        <f>HYPERLINK("https://stat100.ameba.jp/tnk47/ratio20/illustrations/card/ill_90673_hamabeagetokon03.jpg?202110-5-RELEASE-marathon-556xxx", "■")</f>
        <v>■</v>
      </c>
      <c r="F254" s="14" t="s">
        <v>18052</v>
      </c>
      <c r="G254" s="14">
        <v>131742</v>
      </c>
      <c r="H254" s="14">
        <v>141676</v>
      </c>
      <c r="I254" s="14">
        <v>30</v>
      </c>
      <c r="J254" s="14" t="s">
        <v>104</v>
      </c>
      <c r="K254" s="14" t="s">
        <v>18051</v>
      </c>
      <c r="L254" s="14" t="s">
        <v>14546</v>
      </c>
      <c r="M254" s="14" t="s">
        <v>9158</v>
      </c>
      <c r="N254" s="14" t="s">
        <v>9158</v>
      </c>
      <c r="O254" s="14" t="s">
        <v>9158</v>
      </c>
      <c r="P254" s="14" t="s">
        <v>9158</v>
      </c>
      <c r="Q254" s="14" t="s">
        <v>9158</v>
      </c>
      <c r="S254" s="14" t="s">
        <v>18069</v>
      </c>
    </row>
    <row r="255" spans="1:19">
      <c r="A255" s="14">
        <v>90923</v>
      </c>
      <c r="B255" s="14" t="s">
        <v>0</v>
      </c>
      <c r="C255" s="14" t="s">
        <v>35</v>
      </c>
      <c r="D255" s="14" t="s">
        <v>16333</v>
      </c>
      <c r="E255" s="15" t="str">
        <f>HYPERLINK("https://stat100.ameba.jp/tnk47/ratio20/illustrations/card/ill_90923_mizugiaidorusuikotenno03.jpg?202110-5-RELEASE-marathon-556xxx", "■")</f>
        <v>■</v>
      </c>
      <c r="F255" s="14" t="s">
        <v>16332</v>
      </c>
      <c r="G255" s="14">
        <v>113984</v>
      </c>
      <c r="H255" s="14">
        <v>122628</v>
      </c>
      <c r="I255" s="14">
        <v>30</v>
      </c>
      <c r="J255" s="14" t="s">
        <v>10</v>
      </c>
      <c r="K255" s="14" t="s">
        <v>16331</v>
      </c>
      <c r="L255" s="14" t="s">
        <v>1977</v>
      </c>
      <c r="M255" s="14" t="s">
        <v>9158</v>
      </c>
      <c r="N255" s="14" t="s">
        <v>9158</v>
      </c>
      <c r="O255" s="14" t="s">
        <v>9158</v>
      </c>
      <c r="P255" s="14" t="s">
        <v>9158</v>
      </c>
      <c r="Q255" s="14" t="s">
        <v>9158</v>
      </c>
      <c r="S255" s="14" t="s">
        <v>18070</v>
      </c>
    </row>
    <row r="256" spans="1:19">
      <c r="A256" s="14">
        <v>89823</v>
      </c>
      <c r="B256" s="14" t="s">
        <v>0</v>
      </c>
      <c r="C256" s="14" t="s">
        <v>47</v>
      </c>
      <c r="D256" s="14" t="s">
        <v>16846</v>
      </c>
      <c r="E256" s="15" t="str">
        <f>HYPERLINK("https://stat100.ameba.jp/tnk47/ratio20/illustrations/card/ill_89823_yojutsukitsunetsuki03.jpg?202110-5-RELEASE-marathon-556xxx", "■")</f>
        <v>■</v>
      </c>
      <c r="F256" s="14" t="s">
        <v>16845</v>
      </c>
      <c r="G256" s="14">
        <v>121646</v>
      </c>
      <c r="H256" s="14">
        <v>113154</v>
      </c>
      <c r="I256" s="14">
        <v>30</v>
      </c>
      <c r="J256" s="14" t="s">
        <v>73</v>
      </c>
      <c r="K256" s="14" t="s">
        <v>16844</v>
      </c>
      <c r="L256" s="14" t="s">
        <v>16843</v>
      </c>
      <c r="M256" s="14" t="s">
        <v>9158</v>
      </c>
      <c r="N256" s="14" t="s">
        <v>9158</v>
      </c>
      <c r="O256" s="14" t="s">
        <v>9158</v>
      </c>
      <c r="P256" s="14" t="s">
        <v>9158</v>
      </c>
      <c r="Q256" s="14" t="s">
        <v>9158</v>
      </c>
      <c r="S256" s="14" t="s">
        <v>18071</v>
      </c>
    </row>
    <row r="257" spans="1:19">
      <c r="A257" s="14">
        <v>92763</v>
      </c>
      <c r="B257" s="14" t="s">
        <v>15</v>
      </c>
      <c r="C257" s="14" t="s">
        <v>101</v>
      </c>
      <c r="D257" s="14" t="s">
        <v>18042</v>
      </c>
      <c r="E257" s="15" t="str">
        <f>HYPERLINK("https://stat100.ameba.jp/tnk47/ratio20/illustrations/card/ill_92763_shizuokaodenchan03.jpg?202110-5-RELEASE-marathon-556xxx", "■")</f>
        <v>■</v>
      </c>
      <c r="F257" s="14" t="s">
        <v>18047</v>
      </c>
      <c r="G257" s="14">
        <v>72586</v>
      </c>
      <c r="H257" s="14">
        <v>80028</v>
      </c>
      <c r="I257" s="14">
        <v>27</v>
      </c>
      <c r="J257" s="14" t="s">
        <v>104</v>
      </c>
      <c r="K257" s="14" t="s">
        <v>18046</v>
      </c>
      <c r="L257" s="14" t="s">
        <v>5225</v>
      </c>
      <c r="M257" s="14" t="s">
        <v>9158</v>
      </c>
      <c r="N257" s="14" t="s">
        <v>9158</v>
      </c>
      <c r="O257" s="14" t="s">
        <v>9158</v>
      </c>
      <c r="P257" s="14" t="s">
        <v>9158</v>
      </c>
      <c r="Q257" s="14" t="s">
        <v>9158</v>
      </c>
      <c r="S257" s="14" t="s">
        <v>18066</v>
      </c>
    </row>
    <row r="258" spans="1:19">
      <c r="A258" s="14">
        <v>99153</v>
      </c>
      <c r="B258" s="14" t="s">
        <v>15</v>
      </c>
      <c r="C258" s="14" t="s">
        <v>14</v>
      </c>
      <c r="D258" s="14" t="s">
        <v>18043</v>
      </c>
      <c r="E258" s="15" t="str">
        <f>HYPERLINK("https://stat100.ameba.jp/tnk47/ratio20/illustrations/card/ill_99153_erosoku03.jpg?202110-5-RELEASE-marathon-556xxx", "■")</f>
        <v>■</v>
      </c>
      <c r="F258" s="14" t="s">
        <v>18049</v>
      </c>
      <c r="G258" s="14">
        <v>80028</v>
      </c>
      <c r="H258" s="14">
        <v>72586</v>
      </c>
      <c r="I258" s="14">
        <v>27</v>
      </c>
      <c r="J258" s="14" t="s">
        <v>26</v>
      </c>
      <c r="K258" s="14" t="s">
        <v>18048</v>
      </c>
      <c r="L258" s="14" t="s">
        <v>924</v>
      </c>
      <c r="M258" s="14" t="s">
        <v>9158</v>
      </c>
      <c r="N258" s="14" t="s">
        <v>9158</v>
      </c>
      <c r="O258" s="14" t="s">
        <v>9158</v>
      </c>
      <c r="P258" s="14" t="s">
        <v>9158</v>
      </c>
      <c r="Q258" s="14" t="s">
        <v>9158</v>
      </c>
      <c r="S258" s="14" t="s">
        <v>18067</v>
      </c>
    </row>
    <row r="259" spans="1:19">
      <c r="A259" s="14">
        <v>98513</v>
      </c>
      <c r="B259" s="14" t="s">
        <v>15</v>
      </c>
      <c r="C259" s="14" t="s">
        <v>96</v>
      </c>
      <c r="D259" s="14" t="s">
        <v>18044</v>
      </c>
      <c r="E259" s="15" t="str">
        <f>HYPERLINK("https://stat100.ameba.jp/tnk47/ratio20/illustrations/card/ill_98513_bareisonokamitsuyuko03.jpg?202110-5-RELEASE-marathon-556xxx", "■")</f>
        <v>■</v>
      </c>
      <c r="F259" s="14" t="s">
        <v>18050</v>
      </c>
      <c r="G259" s="14">
        <v>80028</v>
      </c>
      <c r="H259" s="14">
        <v>72586</v>
      </c>
      <c r="I259" s="14">
        <v>27</v>
      </c>
      <c r="J259" s="14" t="s">
        <v>16</v>
      </c>
      <c r="K259" s="14" t="s">
        <v>99</v>
      </c>
      <c r="L259" s="14" t="s">
        <v>8207</v>
      </c>
      <c r="M259" s="14" t="s">
        <v>9158</v>
      </c>
      <c r="N259" s="14" t="s">
        <v>9158</v>
      </c>
      <c r="O259" s="14" t="s">
        <v>9158</v>
      </c>
      <c r="P259" s="14" t="s">
        <v>9158</v>
      </c>
      <c r="Q259" s="14" t="s">
        <v>9158</v>
      </c>
      <c r="S259" s="14" t="s">
        <v>18068</v>
      </c>
    </row>
    <row r="261" spans="1:19">
      <c r="A261" s="14" t="s">
        <v>13327</v>
      </c>
    </row>
    <row r="262" spans="1:19">
      <c r="A262" s="14">
        <v>112350</v>
      </c>
      <c r="B262" s="14" t="s">
        <v>17923</v>
      </c>
    </row>
    <row r="263" spans="1:19">
      <c r="A263" s="14">
        <v>99513</v>
      </c>
      <c r="B263" s="14" t="s">
        <v>334</v>
      </c>
      <c r="C263" s="14" t="s">
        <v>14</v>
      </c>
      <c r="D263" s="14" t="s">
        <v>17094</v>
      </c>
      <c r="E263" s="15" t="str">
        <f>HYPERLINK("https://stat100.ameba.jp/tnk47/ratio20/illustrations/card/ill_99513_aberute03.jpg?202110-5-RELEASE-marathon-556xxx", "■")</f>
        <v>■</v>
      </c>
      <c r="F263" s="14" t="s">
        <v>17093</v>
      </c>
      <c r="G263" s="14">
        <v>137316</v>
      </c>
      <c r="H263" s="14">
        <v>147692</v>
      </c>
      <c r="I263" s="14">
        <v>30</v>
      </c>
      <c r="J263" s="14" t="s">
        <v>26</v>
      </c>
      <c r="K263" s="14" t="s">
        <v>17092</v>
      </c>
      <c r="L263" s="14" t="s">
        <v>17091</v>
      </c>
      <c r="M263" s="14" t="s">
        <v>2138</v>
      </c>
      <c r="N263" s="14" t="s">
        <v>2139</v>
      </c>
      <c r="O263" s="14" t="s">
        <v>9158</v>
      </c>
      <c r="P263" s="14" t="s">
        <v>9158</v>
      </c>
      <c r="Q263" s="14" t="s">
        <v>9158</v>
      </c>
      <c r="R263" s="14" t="s">
        <v>14748</v>
      </c>
    </row>
    <row r="264" spans="1:19">
      <c r="A264" s="14">
        <v>99512</v>
      </c>
      <c r="B264" s="14" t="s">
        <v>334</v>
      </c>
      <c r="C264" s="14" t="s">
        <v>14</v>
      </c>
      <c r="D264" s="14" t="s">
        <v>17094</v>
      </c>
      <c r="E264" s="15" t="str">
        <f>HYPERLINK("https://stat100.ameba.jp/tnk47/ratio20/illustrations/card/ill_99512_aberute02.jpg?202110-5-RELEASE-marathon-556xxx", "■")</f>
        <v>■</v>
      </c>
      <c r="F264" s="14" t="s">
        <v>17093</v>
      </c>
      <c r="G264" s="14">
        <v>113730</v>
      </c>
      <c r="H264" s="14">
        <v>123462</v>
      </c>
      <c r="I264" s="14">
        <v>30</v>
      </c>
      <c r="J264" s="14" t="s">
        <v>26</v>
      </c>
      <c r="K264" s="14" t="s">
        <v>17092</v>
      </c>
      <c r="L264" s="14" t="s">
        <v>17095</v>
      </c>
      <c r="M264" s="14" t="s">
        <v>13270</v>
      </c>
      <c r="N264" s="14" t="s">
        <v>13271</v>
      </c>
      <c r="O264" s="14" t="s">
        <v>9158</v>
      </c>
      <c r="P264" s="14" t="s">
        <v>9158</v>
      </c>
      <c r="Q264" s="14" t="s">
        <v>9158</v>
      </c>
      <c r="R264" s="14" t="s">
        <v>14748</v>
      </c>
    </row>
    <row r="265" spans="1:19">
      <c r="A265" s="14">
        <v>99511</v>
      </c>
      <c r="B265" s="14" t="s">
        <v>334</v>
      </c>
      <c r="C265" s="14" t="s">
        <v>14</v>
      </c>
      <c r="D265" s="14" t="s">
        <v>17094</v>
      </c>
      <c r="E265" s="15" t="str">
        <f>HYPERLINK("https://stat100.ameba.jp/tnk47/ratio20/illustrations/card/ill_99511_aberute01.jpg?202110-5-RELEASE-marathon-556xxx", "■")</f>
        <v>■</v>
      </c>
      <c r="F265" s="14" t="s">
        <v>17093</v>
      </c>
      <c r="G265" s="14">
        <v>87750</v>
      </c>
      <c r="H265" s="14">
        <v>94260</v>
      </c>
      <c r="I265" s="14">
        <v>30</v>
      </c>
      <c r="J265" s="14" t="s">
        <v>26</v>
      </c>
      <c r="K265" s="14" t="s">
        <v>17092</v>
      </c>
      <c r="L265" s="14" t="s">
        <v>17096</v>
      </c>
      <c r="M265" s="14" t="s">
        <v>13270</v>
      </c>
      <c r="N265" s="14" t="s">
        <v>13271</v>
      </c>
      <c r="O265" s="14" t="s">
        <v>9158</v>
      </c>
      <c r="P265" s="14" t="s">
        <v>9158</v>
      </c>
      <c r="Q265" s="14" t="s">
        <v>9158</v>
      </c>
      <c r="R265" s="14" t="s">
        <v>14748</v>
      </c>
    </row>
    <row r="266" spans="1:19">
      <c r="A266" s="14">
        <v>99523</v>
      </c>
      <c r="B266" s="14" t="s">
        <v>334</v>
      </c>
      <c r="C266" s="14" t="s">
        <v>23</v>
      </c>
      <c r="D266" s="14" t="s">
        <v>17100</v>
      </c>
      <c r="E266" s="15" t="str">
        <f>HYPERLINK("https://stat100.ameba.jp/tnk47/ratio20/illustrations/card/ill_99523_arukumasshu03.jpg?202110-5-RELEASE-marathon-556xxx", "■")</f>
        <v>■</v>
      </c>
      <c r="F266" s="14" t="s">
        <v>17099</v>
      </c>
      <c r="G266" s="14">
        <v>137316</v>
      </c>
      <c r="H266" s="14">
        <v>147692</v>
      </c>
      <c r="I266" s="14">
        <v>30</v>
      </c>
      <c r="J266" s="14" t="s">
        <v>104</v>
      </c>
      <c r="K266" s="14" t="s">
        <v>17098</v>
      </c>
      <c r="L266" s="14" t="s">
        <v>17097</v>
      </c>
      <c r="M266" s="14" t="s">
        <v>2138</v>
      </c>
      <c r="N266" s="14" t="s">
        <v>2139</v>
      </c>
      <c r="O266" s="14" t="s">
        <v>9158</v>
      </c>
      <c r="P266" s="14" t="s">
        <v>9158</v>
      </c>
      <c r="Q266" s="14" t="s">
        <v>9158</v>
      </c>
      <c r="R266" s="14" t="s">
        <v>14748</v>
      </c>
    </row>
    <row r="267" spans="1:19">
      <c r="A267" s="14">
        <v>99533</v>
      </c>
      <c r="B267" s="14" t="s">
        <v>334</v>
      </c>
      <c r="C267" s="14" t="s">
        <v>101</v>
      </c>
      <c r="D267" s="14" t="s">
        <v>17104</v>
      </c>
      <c r="E267" s="15" t="str">
        <f>HYPERLINK("https://stat100.ameba.jp/tnk47/ratio20/illustrations/card/ill_99533_zahhaku03.jpg?202110-5-RELEASE-marathon-556xxx", "■")</f>
        <v>■</v>
      </c>
      <c r="F267" s="14" t="s">
        <v>17103</v>
      </c>
      <c r="G267" s="14">
        <v>147692</v>
      </c>
      <c r="H267" s="14">
        <v>137316</v>
      </c>
      <c r="I267" s="14">
        <v>30</v>
      </c>
      <c r="J267" s="14" t="s">
        <v>73</v>
      </c>
      <c r="K267" s="14" t="s">
        <v>17102</v>
      </c>
      <c r="L267" s="14" t="s">
        <v>17101</v>
      </c>
      <c r="M267" s="14" t="s">
        <v>2138</v>
      </c>
      <c r="N267" s="14" t="s">
        <v>2139</v>
      </c>
      <c r="O267" s="14" t="s">
        <v>9158</v>
      </c>
      <c r="P267" s="14" t="s">
        <v>9158</v>
      </c>
      <c r="Q267" s="14" t="s">
        <v>9158</v>
      </c>
      <c r="R267" s="14" t="s">
        <v>14748</v>
      </c>
    </row>
    <row r="268" spans="1:19">
      <c r="A268" s="14">
        <v>99543</v>
      </c>
      <c r="B268" s="14" t="s">
        <v>334</v>
      </c>
      <c r="C268" s="14" t="s">
        <v>96</v>
      </c>
      <c r="D268" s="14" t="s">
        <v>17108</v>
      </c>
      <c r="E268" s="15" t="str">
        <f>HYPERLINK("https://stat100.ameba.jp/tnk47/ratio20/illustrations/card/ill_99543_bega03.jpg?202110-5-RELEASE-marathon-556xxx", "■")</f>
        <v>■</v>
      </c>
      <c r="F268" s="14" t="s">
        <v>17107</v>
      </c>
      <c r="G268" s="14">
        <v>147692</v>
      </c>
      <c r="H268" s="14">
        <v>137316</v>
      </c>
      <c r="I268" s="14">
        <v>30</v>
      </c>
      <c r="J268" s="14" t="s">
        <v>44</v>
      </c>
      <c r="K268" s="14" t="s">
        <v>17106</v>
      </c>
      <c r="L268" s="14" t="s">
        <v>17105</v>
      </c>
      <c r="M268" s="14" t="s">
        <v>2138</v>
      </c>
      <c r="N268" s="14" t="s">
        <v>2139</v>
      </c>
      <c r="O268" s="14" t="s">
        <v>9158</v>
      </c>
      <c r="P268" s="14" t="s">
        <v>9158</v>
      </c>
      <c r="Q268" s="14" t="s">
        <v>9158</v>
      </c>
      <c r="R268" s="14" t="s">
        <v>14748</v>
      </c>
    </row>
    <row r="269" spans="1:19">
      <c r="A269" s="14">
        <v>99553</v>
      </c>
      <c r="B269" s="14" t="s">
        <v>334</v>
      </c>
      <c r="C269" s="14" t="s">
        <v>1</v>
      </c>
      <c r="D269" s="14" t="s">
        <v>17112</v>
      </c>
      <c r="E269" s="15" t="str">
        <f>HYPERLINK("https://stat100.ameba.jp/tnk47/ratio20/illustrations/card/ill_99553_shupigeru03.jpg?202110-5-RELEASE-marathon-556xxx", "■")</f>
        <v>■</v>
      </c>
      <c r="F269" s="14" t="s">
        <v>17111</v>
      </c>
      <c r="G269" s="14">
        <v>147692</v>
      </c>
      <c r="H269" s="14">
        <v>137316</v>
      </c>
      <c r="I269" s="14">
        <v>30</v>
      </c>
      <c r="J269" s="14" t="s">
        <v>77</v>
      </c>
      <c r="K269" s="14" t="s">
        <v>17110</v>
      </c>
      <c r="L269" s="14" t="s">
        <v>17109</v>
      </c>
      <c r="M269" s="14" t="s">
        <v>2138</v>
      </c>
      <c r="N269" s="14" t="s">
        <v>2139</v>
      </c>
      <c r="O269" s="14" t="s">
        <v>9158</v>
      </c>
      <c r="P269" s="14" t="s">
        <v>9158</v>
      </c>
      <c r="Q269" s="14" t="s">
        <v>9158</v>
      </c>
      <c r="R269" s="14" t="s">
        <v>14748</v>
      </c>
    </row>
    <row r="270" spans="1:19">
      <c r="A270" s="14">
        <v>99563</v>
      </c>
      <c r="B270" s="14" t="s">
        <v>334</v>
      </c>
      <c r="C270" s="14" t="s">
        <v>107</v>
      </c>
      <c r="D270" s="14" t="s">
        <v>17116</v>
      </c>
      <c r="E270" s="15" t="str">
        <f>HYPERLINK("https://stat100.ameba.jp/tnk47/ratio20/illustrations/card/ill_99563_senkinokishiryunnu03.jpg?202110-5-RELEASE-marathon-556xxx", "■")</f>
        <v>■</v>
      </c>
      <c r="F270" s="14" t="s">
        <v>17115</v>
      </c>
      <c r="G270" s="14">
        <v>137316</v>
      </c>
      <c r="H270" s="14">
        <v>147692</v>
      </c>
      <c r="I270" s="14">
        <v>30</v>
      </c>
      <c r="J270" s="14" t="s">
        <v>143</v>
      </c>
      <c r="K270" s="14" t="s">
        <v>17114</v>
      </c>
      <c r="L270" s="14" t="s">
        <v>17113</v>
      </c>
      <c r="M270" s="14" t="s">
        <v>2138</v>
      </c>
      <c r="N270" s="14" t="s">
        <v>2139</v>
      </c>
      <c r="O270" s="14" t="s">
        <v>9158</v>
      </c>
      <c r="P270" s="14" t="s">
        <v>9158</v>
      </c>
      <c r="Q270" s="14" t="s">
        <v>9158</v>
      </c>
      <c r="R270" s="14" t="s">
        <v>14748</v>
      </c>
    </row>
    <row r="272" spans="1:19">
      <c r="A272" s="14" t="s">
        <v>6191</v>
      </c>
    </row>
    <row r="273" spans="1:17">
      <c r="A273" s="14">
        <v>112327</v>
      </c>
      <c r="B273" s="14" t="s">
        <v>7393</v>
      </c>
    </row>
    <row r="274" spans="1:17">
      <c r="A274" s="9" t="s">
        <v>5642</v>
      </c>
      <c r="B274" s="14" t="s">
        <v>330</v>
      </c>
      <c r="C274" s="14" t="s">
        <v>185</v>
      </c>
      <c r="D274" s="14" t="s">
        <v>3086</v>
      </c>
      <c r="E274" s="15" t="str">
        <f>HYPERLINK("https://stat100.ameba.jp/tnk47/ratio20/illustrations/card/ill_69593_0_setsubunyukionna03.jpg?202110-5-RELEASE-marathon-556xxx", "■")</f>
        <v>■</v>
      </c>
      <c r="F274" s="14" t="s">
        <v>3087</v>
      </c>
      <c r="G274" s="14">
        <v>192866</v>
      </c>
      <c r="H274" s="14">
        <v>207449</v>
      </c>
      <c r="I274" s="14">
        <v>27</v>
      </c>
      <c r="J274" s="14" t="s">
        <v>320</v>
      </c>
      <c r="K274" s="14" t="s">
        <v>3088</v>
      </c>
      <c r="L274" s="14" t="s">
        <v>3089</v>
      </c>
      <c r="M274" s="14" t="s">
        <v>9158</v>
      </c>
      <c r="N274" s="14" t="s">
        <v>9158</v>
      </c>
      <c r="O274" s="7" t="s">
        <v>3090</v>
      </c>
      <c r="P274" s="14" t="s">
        <v>3091</v>
      </c>
      <c r="Q274" s="14">
        <v>2</v>
      </c>
    </row>
    <row r="275" spans="1:17">
      <c r="A275" s="14" t="s">
        <v>7789</v>
      </c>
      <c r="B275" s="14" t="s">
        <v>52</v>
      </c>
      <c r="C275" s="14" t="s">
        <v>202</v>
      </c>
      <c r="D275" s="19" t="s">
        <v>10741</v>
      </c>
      <c r="E275" s="15" t="str">
        <f>HYPERLINK("https://stat100.ameba.jp/tnk47/ratio20/illustrations/card/ill_84923_0_onsengainansosatomihakkenden03.jpg?202110-5-RELEASE-marathon-556xxx", "■")</f>
        <v>■</v>
      </c>
      <c r="F275" s="14" t="s">
        <v>7792</v>
      </c>
      <c r="G275" s="14">
        <v>311915</v>
      </c>
      <c r="H275" s="14">
        <v>345111</v>
      </c>
      <c r="I275" s="14">
        <v>27</v>
      </c>
      <c r="J275" s="14" t="s">
        <v>155</v>
      </c>
      <c r="K275" s="14" t="s">
        <v>7791</v>
      </c>
      <c r="L275" s="14" t="s">
        <v>7790</v>
      </c>
      <c r="M275" s="14" t="s">
        <v>9158</v>
      </c>
      <c r="N275" s="14" t="s">
        <v>9158</v>
      </c>
      <c r="O275" s="19" t="s">
        <v>10131</v>
      </c>
      <c r="P275" s="14" t="s">
        <v>7793</v>
      </c>
      <c r="Q275" s="14">
        <v>0</v>
      </c>
    </row>
    <row r="276" spans="1:17">
      <c r="A276" s="14" t="s">
        <v>5616</v>
      </c>
      <c r="B276" s="14" t="s">
        <v>52</v>
      </c>
      <c r="C276" s="14" t="s">
        <v>14</v>
      </c>
      <c r="D276" s="19" t="s">
        <v>638</v>
      </c>
      <c r="E276" s="15" t="str">
        <f>HYPERLINK("https://stat100.ameba.jp/tnk47/ratio20/illustrations/card/ill_44253_0_dokuganryudatemasamune03.jpg?202110-5-RELEASE-marathon-556xxx", "■")</f>
        <v>■</v>
      </c>
      <c r="F276" s="14" t="s">
        <v>1181</v>
      </c>
      <c r="G276" s="14">
        <v>147980</v>
      </c>
      <c r="H276" s="14">
        <v>158004</v>
      </c>
      <c r="I276" s="14">
        <v>27</v>
      </c>
      <c r="J276" s="14" t="s">
        <v>143</v>
      </c>
      <c r="K276" s="14" t="s">
        <v>1182</v>
      </c>
      <c r="L276" s="14" t="s">
        <v>1183</v>
      </c>
      <c r="M276" s="14" t="s">
        <v>9158</v>
      </c>
      <c r="N276" s="14" t="s">
        <v>9158</v>
      </c>
      <c r="O276" s="14" t="s">
        <v>9158</v>
      </c>
      <c r="P276" s="14" t="s">
        <v>9158</v>
      </c>
      <c r="Q276" s="14" t="s">
        <v>9158</v>
      </c>
    </row>
    <row r="277" spans="1:17">
      <c r="A277" s="14">
        <v>201203</v>
      </c>
      <c r="B277" s="14" t="s">
        <v>334</v>
      </c>
      <c r="C277" s="14" t="s">
        <v>23</v>
      </c>
      <c r="D277" s="14" t="s">
        <v>18110</v>
      </c>
      <c r="E277" s="15" t="str">
        <f>HYPERLINK("https://stat100.ameba.jp/tnk47/ratio20/illustrations/card/ill_201203_hyoketsunonikusutopatororu03.jpg?202110-5-RELEASE-marathon-556xxx", "■")</f>
        <v>■</v>
      </c>
      <c r="F277" s="14" t="s">
        <v>18109</v>
      </c>
      <c r="G277" s="14">
        <v>166452</v>
      </c>
      <c r="H277" s="14">
        <v>154768</v>
      </c>
      <c r="I277" s="7">
        <v>28</v>
      </c>
      <c r="J277" s="14" t="s">
        <v>143</v>
      </c>
      <c r="K277" s="14" t="s">
        <v>1260</v>
      </c>
      <c r="L277" s="14" t="s">
        <v>16154</v>
      </c>
      <c r="M277" s="14" t="s">
        <v>9158</v>
      </c>
      <c r="N277" s="14" t="s">
        <v>9158</v>
      </c>
      <c r="O277" s="14" t="s">
        <v>9158</v>
      </c>
      <c r="P277" s="14" t="s">
        <v>9158</v>
      </c>
      <c r="Q277" s="14" t="s">
        <v>9158</v>
      </c>
    </row>
    <row r="278" spans="1:17">
      <c r="A278" s="14">
        <v>201213</v>
      </c>
      <c r="B278" s="14" t="s">
        <v>15</v>
      </c>
      <c r="C278" s="14" t="s">
        <v>101</v>
      </c>
      <c r="D278" s="14" t="s">
        <v>18113</v>
      </c>
      <c r="E278" s="15" t="str">
        <f>HYPERLINK("https://stat100.ameba.jp/tnk47/ratio20/illustrations/card/ill_201213_hamahime03.jpg?202110-5-RELEASE-marathon-556xxx", "■")</f>
        <v>■</v>
      </c>
      <c r="F278" s="14" t="s">
        <v>18112</v>
      </c>
      <c r="G278" s="14">
        <v>80028</v>
      </c>
      <c r="H278" s="14">
        <v>72586</v>
      </c>
      <c r="I278" s="14">
        <v>27</v>
      </c>
      <c r="J278" s="14" t="s">
        <v>73</v>
      </c>
      <c r="K278" s="14" t="s">
        <v>18111</v>
      </c>
      <c r="L278" s="14" t="s">
        <v>3835</v>
      </c>
      <c r="M278" s="14" t="s">
        <v>9158</v>
      </c>
      <c r="N278" s="14" t="s">
        <v>9158</v>
      </c>
      <c r="O278" s="14" t="s">
        <v>9158</v>
      </c>
      <c r="P278" s="14" t="s">
        <v>9158</v>
      </c>
      <c r="Q278" s="14" t="s">
        <v>9158</v>
      </c>
    </row>
    <row r="279" spans="1:17">
      <c r="A279" s="14">
        <v>201223</v>
      </c>
      <c r="B279" s="14" t="s">
        <v>22</v>
      </c>
      <c r="C279" s="14" t="s">
        <v>96</v>
      </c>
      <c r="D279" s="14" t="s">
        <v>18116</v>
      </c>
      <c r="E279" s="15" t="str">
        <f>HYPERLINK("https://stat100.ameba.jp/tnk47/ratio20/illustrations/card/ill_201223_yotoonikirimaru03.jpg?202110-5-RELEASE-marathon-556xxx", "■")</f>
        <v>■</v>
      </c>
      <c r="F279" s="14" t="s">
        <v>18115</v>
      </c>
      <c r="G279" s="14">
        <v>46676</v>
      </c>
      <c r="H279" s="14">
        <v>56138</v>
      </c>
      <c r="I279" s="14">
        <v>27</v>
      </c>
      <c r="J279" s="14" t="s">
        <v>73</v>
      </c>
      <c r="K279" s="14" t="s">
        <v>18114</v>
      </c>
      <c r="L279" s="14" t="s">
        <v>5881</v>
      </c>
      <c r="M279" s="14" t="s">
        <v>9158</v>
      </c>
      <c r="N279" s="14" t="s">
        <v>9158</v>
      </c>
      <c r="O279" s="14" t="s">
        <v>9158</v>
      </c>
      <c r="P279" s="14" t="s">
        <v>9158</v>
      </c>
      <c r="Q279" s="14" t="s">
        <v>9158</v>
      </c>
    </row>
    <row r="280" spans="1:17">
      <c r="A280" s="14">
        <v>201233</v>
      </c>
      <c r="B280" s="14" t="s">
        <v>22</v>
      </c>
      <c r="C280" s="14" t="s">
        <v>1</v>
      </c>
      <c r="D280" s="14" t="s">
        <v>18119</v>
      </c>
      <c r="E280" s="15" t="str">
        <f>HYPERLINK("https://stat100.ameba.jp/tnk47/ratio20/illustrations/card/ill_201233_orochinomusha03.jpg?202110-5-RELEASE-marathon-556xxx", "■")</f>
        <v>■</v>
      </c>
      <c r="F280" s="14" t="s">
        <v>18118</v>
      </c>
      <c r="G280" s="14">
        <v>56138</v>
      </c>
      <c r="H280" s="14">
        <v>46676</v>
      </c>
      <c r="I280" s="14">
        <v>27</v>
      </c>
      <c r="J280" s="14" t="s">
        <v>143</v>
      </c>
      <c r="K280" s="14" t="s">
        <v>18117</v>
      </c>
      <c r="L280" s="14" t="s">
        <v>4461</v>
      </c>
      <c r="M280" s="14" t="s">
        <v>9158</v>
      </c>
      <c r="N280" s="14" t="s">
        <v>9158</v>
      </c>
      <c r="O280" s="14" t="s">
        <v>9158</v>
      </c>
      <c r="P280" s="14" t="s">
        <v>9158</v>
      </c>
      <c r="Q280" s="14" t="s">
        <v>9158</v>
      </c>
    </row>
    <row r="282" spans="1:17">
      <c r="A282" s="14" t="s">
        <v>3844</v>
      </c>
    </row>
    <row r="283" spans="1:17">
      <c r="A283" s="14">
        <v>112369</v>
      </c>
      <c r="B283" s="14" t="s">
        <v>18154</v>
      </c>
    </row>
    <row r="284" spans="1:17">
      <c r="A284" s="14" t="s">
        <v>14533</v>
      </c>
      <c r="B284" s="7" t="s">
        <v>52</v>
      </c>
      <c r="C284" s="14" t="s">
        <v>202</v>
      </c>
      <c r="D284" s="18" t="s">
        <v>14532</v>
      </c>
      <c r="E284" s="15" t="str">
        <f>HYPERLINK("https://stat100.ameba.jp/tnk47/ratio20/illustrations/card/ill_91703_0_ninjashugyohanakosan03.jpg?202110-5-RELEASE-marathon-556xxx", "■")</f>
        <v>■</v>
      </c>
      <c r="F284" s="14" t="s">
        <v>14534</v>
      </c>
      <c r="G284" s="14">
        <v>292832</v>
      </c>
      <c r="H284" s="14">
        <v>324004</v>
      </c>
      <c r="I284" s="7">
        <v>28</v>
      </c>
      <c r="J284" s="14" t="s">
        <v>77</v>
      </c>
      <c r="K284" s="14" t="s">
        <v>14536</v>
      </c>
      <c r="L284" s="14" t="s">
        <v>14535</v>
      </c>
      <c r="M284" s="14" t="s">
        <v>9158</v>
      </c>
      <c r="N284" s="14" t="s">
        <v>9158</v>
      </c>
      <c r="O284" s="6" t="s">
        <v>14539</v>
      </c>
      <c r="P284" s="7" t="s">
        <v>14538</v>
      </c>
      <c r="Q284" s="7">
        <v>1</v>
      </c>
    </row>
    <row r="285" spans="1:17">
      <c r="A285" s="14">
        <v>94973</v>
      </c>
      <c r="B285" s="14" t="s">
        <v>0</v>
      </c>
      <c r="C285" s="14" t="s">
        <v>107</v>
      </c>
      <c r="D285" s="18" t="s">
        <v>15868</v>
      </c>
      <c r="E285" s="15" t="str">
        <f>HYPERLINK("https://stat100.ameba.jp/tnk47/ratio20/illustrations/card/ill_94973_shinshunnisennijuichimiyamotomusashi03.jpg?202110-5-RELEASE-marathon-556xxx", "■")</f>
        <v>■</v>
      </c>
      <c r="F285" s="14" t="s">
        <v>15867</v>
      </c>
      <c r="G285" s="14">
        <v>141676</v>
      </c>
      <c r="H285" s="14">
        <v>131742</v>
      </c>
      <c r="I285" s="14">
        <v>30</v>
      </c>
      <c r="J285" s="14" t="s">
        <v>143</v>
      </c>
      <c r="K285" s="14" t="s">
        <v>15866</v>
      </c>
      <c r="L285" s="14" t="s">
        <v>13460</v>
      </c>
      <c r="M285" s="14" t="s">
        <v>9158</v>
      </c>
      <c r="N285" s="14" t="s">
        <v>9158</v>
      </c>
      <c r="O285" s="6" t="s">
        <v>3244</v>
      </c>
      <c r="P285" s="7" t="s">
        <v>3245</v>
      </c>
      <c r="Q285" s="7">
        <v>1</v>
      </c>
    </row>
    <row r="286" spans="1:17">
      <c r="A286" s="9">
        <v>71343</v>
      </c>
      <c r="B286" s="14" t="s">
        <v>334</v>
      </c>
      <c r="C286" s="14" t="s">
        <v>185</v>
      </c>
      <c r="D286" s="14" t="s">
        <v>186</v>
      </c>
      <c r="E286" s="15" t="str">
        <f>HYPERLINK("https://stat100.ameba.jp/tnk47/ratio20/illustrations/card/ill_71343_ohanamimatehime03.jpg?202110-5-RELEASE-marathon-556xxx", "■")</f>
        <v>■</v>
      </c>
      <c r="F286" s="14" t="s">
        <v>536</v>
      </c>
      <c r="G286" s="14">
        <v>108912</v>
      </c>
      <c r="H286" s="14">
        <v>117182</v>
      </c>
      <c r="I286" s="14">
        <v>30</v>
      </c>
      <c r="J286" s="14" t="s">
        <v>187</v>
      </c>
      <c r="K286" s="14" t="s">
        <v>188</v>
      </c>
      <c r="L286" s="14" t="s">
        <v>13132</v>
      </c>
      <c r="M286" s="14" t="s">
        <v>9158</v>
      </c>
      <c r="N286" s="14" t="s">
        <v>9158</v>
      </c>
      <c r="O286" s="9" t="s">
        <v>2717</v>
      </c>
      <c r="P286" s="14" t="s">
        <v>13123</v>
      </c>
      <c r="Q286" s="14">
        <v>1</v>
      </c>
    </row>
    <row r="287" spans="1:17">
      <c r="A287" s="14">
        <v>63853</v>
      </c>
      <c r="B287" s="14" t="s">
        <v>334</v>
      </c>
      <c r="C287" s="14" t="s">
        <v>200</v>
      </c>
      <c r="D287" s="20" t="s">
        <v>10284</v>
      </c>
      <c r="E287" s="15" t="str">
        <f>HYPERLINK("https://stat100.ameba.jp/tnk47/ratio20/illustrations/card/ill_63853_daikokaijidainansosatomihakkenden03.jpg?202110-5-RELEASE-marathon-556xxx", "■")</f>
        <v>■</v>
      </c>
      <c r="F287" s="14" t="s">
        <v>941</v>
      </c>
      <c r="G287" s="14">
        <v>127070</v>
      </c>
      <c r="H287" s="14">
        <v>136910</v>
      </c>
      <c r="I287" s="14">
        <v>30</v>
      </c>
      <c r="J287" s="14" t="s">
        <v>155</v>
      </c>
      <c r="K287" s="14" t="s">
        <v>942</v>
      </c>
      <c r="L287" s="14" t="s">
        <v>13149</v>
      </c>
      <c r="M287" s="14" t="s">
        <v>9158</v>
      </c>
      <c r="N287" s="14" t="s">
        <v>9158</v>
      </c>
      <c r="O287" s="19" t="s">
        <v>10121</v>
      </c>
      <c r="P287" s="14" t="s">
        <v>3330</v>
      </c>
      <c r="Q287" s="14">
        <v>1</v>
      </c>
    </row>
    <row r="289" spans="1:17">
      <c r="A289" s="14" t="s">
        <v>3916</v>
      </c>
    </row>
    <row r="290" spans="1:17">
      <c r="A290" s="14">
        <v>112403</v>
      </c>
      <c r="B290" s="14" t="s">
        <v>15178</v>
      </c>
    </row>
    <row r="291" spans="1:17">
      <c r="A291" s="14">
        <v>71743</v>
      </c>
      <c r="B291" s="14" t="s">
        <v>334</v>
      </c>
      <c r="C291" s="14" t="s">
        <v>154</v>
      </c>
      <c r="D291" s="19" t="s">
        <v>17902</v>
      </c>
      <c r="E291" s="15" t="str">
        <f>HYPERLINK("https://stat100.ameba.jp/tnk47/ratio20/illustrations/card/ill_71743_goraiko03.jpg?202110-5-RELEASE-marathon-556xxx", "■")</f>
        <v>■</v>
      </c>
      <c r="F291" s="14" t="s">
        <v>17901</v>
      </c>
      <c r="G291" s="14">
        <v>120308</v>
      </c>
      <c r="H291" s="14">
        <v>129392</v>
      </c>
      <c r="I291" s="14">
        <v>30</v>
      </c>
      <c r="J291" s="14" t="s">
        <v>44</v>
      </c>
      <c r="K291" s="14" t="s">
        <v>17900</v>
      </c>
      <c r="L291" s="14" t="s">
        <v>17899</v>
      </c>
      <c r="M291" s="14" t="s">
        <v>9864</v>
      </c>
      <c r="N291" s="14" t="s">
        <v>9158</v>
      </c>
      <c r="O291" s="14" t="s">
        <v>9158</v>
      </c>
      <c r="P291" s="14" t="s">
        <v>9158</v>
      </c>
    </row>
    <row r="292" spans="1:17">
      <c r="A292" s="14">
        <v>56003</v>
      </c>
      <c r="B292" s="14" t="s">
        <v>334</v>
      </c>
      <c r="C292" s="14" t="s">
        <v>158</v>
      </c>
      <c r="D292" s="19" t="s">
        <v>17906</v>
      </c>
      <c r="E292" s="15" t="str">
        <f>HYPERLINK("https://stat100.ameba.jp/tnk47/ratio20/illustrations/card/ill_56003_sogomasaharu03.jpg?202110-5-RELEASE-marathon-556xxx", "■")</f>
        <v>■</v>
      </c>
      <c r="F292" s="14" t="s">
        <v>17905</v>
      </c>
      <c r="G292" s="14">
        <v>120308</v>
      </c>
      <c r="H292" s="14">
        <v>129392</v>
      </c>
      <c r="I292" s="14">
        <v>30</v>
      </c>
      <c r="J292" s="14" t="s">
        <v>143</v>
      </c>
      <c r="K292" s="14" t="s">
        <v>17904</v>
      </c>
      <c r="L292" s="14" t="s">
        <v>17903</v>
      </c>
      <c r="M292" s="14" t="s">
        <v>9158</v>
      </c>
      <c r="N292" s="14" t="s">
        <v>9158</v>
      </c>
      <c r="O292" s="14" t="s">
        <v>9158</v>
      </c>
      <c r="P292" s="14" t="s">
        <v>9158</v>
      </c>
    </row>
    <row r="293" spans="1:17">
      <c r="A293" s="14">
        <v>90113</v>
      </c>
      <c r="B293" s="14" t="s">
        <v>0</v>
      </c>
      <c r="C293" s="14" t="s">
        <v>23</v>
      </c>
      <c r="D293" s="14" t="s">
        <v>14052</v>
      </c>
      <c r="E293" s="15" t="str">
        <f>HYPERLINK("https://stat100.ameba.jp/tnk47/ratio20/illustrations/card/ill_90113_hotarumatsuribenzaiten03.jpg?202110-5-RELEASE-marathon-556xxx", "■")</f>
        <v>■</v>
      </c>
      <c r="F293" s="14" t="s">
        <v>14051</v>
      </c>
      <c r="G293" s="14">
        <v>113762</v>
      </c>
      <c r="H293" s="14">
        <v>122366</v>
      </c>
      <c r="I293" s="14">
        <v>30</v>
      </c>
      <c r="J293" s="14" t="s">
        <v>44</v>
      </c>
      <c r="K293" s="14" t="s">
        <v>14050</v>
      </c>
      <c r="L293" s="14" t="s">
        <v>14049</v>
      </c>
      <c r="M293" s="14" t="s">
        <v>9158</v>
      </c>
      <c r="N293" s="14" t="s">
        <v>9158</v>
      </c>
      <c r="O293" s="14" t="s">
        <v>9158</v>
      </c>
      <c r="P293" s="14" t="s">
        <v>9158</v>
      </c>
      <c r="Q293" s="14" t="s">
        <v>9158</v>
      </c>
    </row>
    <row r="294" spans="1:17">
      <c r="A294" s="14">
        <v>94343</v>
      </c>
      <c r="B294" s="14" t="s">
        <v>0</v>
      </c>
      <c r="C294" s="14" t="s">
        <v>96</v>
      </c>
      <c r="D294" s="14" t="s">
        <v>16634</v>
      </c>
      <c r="E294" s="15" t="str">
        <f>HYPERLINK("https://stat100.ameba.jp/tnk47/ratio20/illustrations/card/ill_94343_santabutaikasuganokami03.jpg?202110-5-RELEASE-marathon-556xxx", "■")</f>
        <v>■</v>
      </c>
      <c r="F294" s="14" t="s">
        <v>16633</v>
      </c>
      <c r="G294" s="14">
        <v>113762</v>
      </c>
      <c r="H294" s="14">
        <v>122366</v>
      </c>
      <c r="I294" s="14">
        <v>30</v>
      </c>
      <c r="J294" s="14" t="s">
        <v>44</v>
      </c>
      <c r="K294" s="14" t="s">
        <v>16632</v>
      </c>
      <c r="L294" s="14" t="s">
        <v>16631</v>
      </c>
      <c r="M294" s="14" t="s">
        <v>9158</v>
      </c>
      <c r="N294" s="14" t="s">
        <v>9158</v>
      </c>
      <c r="O294" s="14" t="s">
        <v>9158</v>
      </c>
      <c r="P294" s="14" t="s">
        <v>9158</v>
      </c>
      <c r="Q294" s="14" t="s">
        <v>9158</v>
      </c>
    </row>
    <row r="295" spans="1:17">
      <c r="A295" s="14">
        <v>30313</v>
      </c>
      <c r="B295" s="14" t="s">
        <v>15</v>
      </c>
      <c r="C295" s="14" t="s">
        <v>14</v>
      </c>
      <c r="D295" s="19" t="s">
        <v>17907</v>
      </c>
      <c r="E295" s="15" t="str">
        <f>HYPERLINK("https://stat100.ameba.jp/tnk47/ratio20/illustrations/card/ill_30313_makaihowaitochokochan03.jpg?202110-5-RELEASE-marathon-556xxx", "■")</f>
        <v>■</v>
      </c>
      <c r="F295" s="14" t="s">
        <v>17910</v>
      </c>
      <c r="G295" s="14">
        <v>72860</v>
      </c>
      <c r="H295" s="14">
        <v>68450</v>
      </c>
      <c r="I295" s="14">
        <v>25</v>
      </c>
      <c r="J295" s="14" t="s">
        <v>104</v>
      </c>
      <c r="K295" s="14" t="s">
        <v>17909</v>
      </c>
      <c r="L295" s="14" t="s">
        <v>17908</v>
      </c>
      <c r="M295" s="14" t="s">
        <v>9158</v>
      </c>
      <c r="N295" s="14" t="s">
        <v>9158</v>
      </c>
      <c r="O295" s="14" t="s">
        <v>9158</v>
      </c>
      <c r="P295" s="14" t="s">
        <v>9158</v>
      </c>
    </row>
    <row r="296" spans="1:17">
      <c r="A296" s="14">
        <v>30353</v>
      </c>
      <c r="B296" s="14" t="s">
        <v>15</v>
      </c>
      <c r="C296" s="14" t="s">
        <v>1</v>
      </c>
      <c r="D296" s="19" t="s">
        <v>17914</v>
      </c>
      <c r="E296" s="15" t="str">
        <f>HYPERLINK("https://stat100.ameba.jp/tnk47/ratio20/illustrations/card/ill_30353_makaikojin03.jpg?202110-5-RELEASE-marathon-556xxx", "■")</f>
        <v>■</v>
      </c>
      <c r="F296" s="14" t="s">
        <v>17913</v>
      </c>
      <c r="G296" s="14">
        <v>68450</v>
      </c>
      <c r="H296" s="14">
        <v>72860</v>
      </c>
      <c r="I296" s="14">
        <v>25</v>
      </c>
      <c r="J296" s="14" t="s">
        <v>38</v>
      </c>
      <c r="K296" s="14" t="s">
        <v>17912</v>
      </c>
      <c r="L296" s="14" t="s">
        <v>17911</v>
      </c>
      <c r="M296" s="14" t="s">
        <v>9158</v>
      </c>
      <c r="N296" s="14" t="s">
        <v>9158</v>
      </c>
      <c r="O296" s="14" t="s">
        <v>9158</v>
      </c>
      <c r="P296" s="14" t="s">
        <v>9158</v>
      </c>
    </row>
    <row r="297" spans="1:17">
      <c r="A297" s="14">
        <v>30333</v>
      </c>
      <c r="B297" s="14" t="s">
        <v>15</v>
      </c>
      <c r="C297" s="14" t="s">
        <v>101</v>
      </c>
      <c r="D297" s="19" t="s">
        <v>17918</v>
      </c>
      <c r="E297" s="15" t="str">
        <f>HYPERLINK("https://stat100.ameba.jp/tnk47/ratio20/illustrations/card/ill_30333_makaiikedasen03.jpg?202110-5-RELEASE-marathon-556xxx", "■")</f>
        <v>■</v>
      </c>
      <c r="F297" s="14" t="s">
        <v>17917</v>
      </c>
      <c r="G297" s="14">
        <v>72860</v>
      </c>
      <c r="H297" s="14">
        <v>68450</v>
      </c>
      <c r="I297" s="14">
        <v>25</v>
      </c>
      <c r="J297" s="14" t="s">
        <v>143</v>
      </c>
      <c r="K297" s="14" t="s">
        <v>17916</v>
      </c>
      <c r="L297" s="14" t="s">
        <v>17915</v>
      </c>
      <c r="M297" s="14" t="s">
        <v>9158</v>
      </c>
      <c r="N297" s="14" t="s">
        <v>9158</v>
      </c>
      <c r="O297" s="14" t="s">
        <v>9158</v>
      </c>
      <c r="P297" s="14" t="s">
        <v>9158</v>
      </c>
    </row>
    <row r="298" spans="1:17">
      <c r="A298" s="14">
        <v>30363</v>
      </c>
      <c r="B298" s="14" t="s">
        <v>15</v>
      </c>
      <c r="C298" s="14" t="s">
        <v>107</v>
      </c>
      <c r="D298" s="19" t="s">
        <v>17922</v>
      </c>
      <c r="E298" s="15" t="str">
        <f>HYPERLINK("https://stat100.ameba.jp/tnk47/ratio20/illustrations/card/ill_30363_makaiosabi03.jpg?202110-5-RELEASE-marathon-556xxx", "■")</f>
        <v>■</v>
      </c>
      <c r="F298" s="14" t="s">
        <v>17921</v>
      </c>
      <c r="G298" s="14">
        <v>74100</v>
      </c>
      <c r="H298" s="14">
        <v>67210</v>
      </c>
      <c r="I298" s="14">
        <v>25</v>
      </c>
      <c r="J298" s="14" t="s">
        <v>73</v>
      </c>
      <c r="K298" s="14" t="s">
        <v>17920</v>
      </c>
      <c r="L298" s="14" t="s">
        <v>17919</v>
      </c>
      <c r="M298" s="14" t="s">
        <v>9158</v>
      </c>
      <c r="N298" s="14" t="s">
        <v>9158</v>
      </c>
      <c r="O298" s="14" t="s">
        <v>9158</v>
      </c>
      <c r="P298" s="14" t="s">
        <v>9158</v>
      </c>
    </row>
    <row r="339" spans="1:19">
      <c r="A339" s="14" t="s">
        <v>18126</v>
      </c>
    </row>
    <row r="340" spans="1:19">
      <c r="A340" s="14">
        <v>241304</v>
      </c>
      <c r="B340" s="14" t="s">
        <v>7455</v>
      </c>
    </row>
    <row r="341" spans="1:19">
      <c r="A341" s="14">
        <v>201315</v>
      </c>
      <c r="B341" s="14" t="s">
        <v>0</v>
      </c>
      <c r="C341" s="14" t="s">
        <v>202</v>
      </c>
      <c r="D341" s="18" t="s">
        <v>18130</v>
      </c>
      <c r="E341" s="15" t="str">
        <f>HYPERLINK("https://stat100.ameba.jp/tnk47/ratio20/illustrations/card/ill_201315_hyupunosu05.jpg?202110-5-RELEASE-marathon-556xxxx", "■")</f>
        <v>■</v>
      </c>
      <c r="F341" s="14" t="s">
        <v>18129</v>
      </c>
      <c r="G341" s="14">
        <v>170572</v>
      </c>
      <c r="H341" s="14">
        <v>123520</v>
      </c>
      <c r="I341" s="14">
        <v>30</v>
      </c>
      <c r="J341" s="14" t="s">
        <v>73</v>
      </c>
      <c r="K341" s="14" t="s">
        <v>18128</v>
      </c>
      <c r="L341" s="14" t="s">
        <v>15126</v>
      </c>
      <c r="M341" s="14" t="s">
        <v>9158</v>
      </c>
      <c r="N341" s="14" t="s">
        <v>9158</v>
      </c>
      <c r="O341" s="14" t="s">
        <v>9158</v>
      </c>
      <c r="P341" s="14" t="s">
        <v>9158</v>
      </c>
      <c r="Q341" s="14" t="s">
        <v>9158</v>
      </c>
      <c r="R341" s="14" t="s">
        <v>174</v>
      </c>
    </row>
    <row r="342" spans="1:19">
      <c r="A342" s="14">
        <v>201313</v>
      </c>
      <c r="B342" s="14" t="s">
        <v>15</v>
      </c>
      <c r="C342" s="14" t="s">
        <v>18127</v>
      </c>
      <c r="D342" s="18" t="s">
        <v>18130</v>
      </c>
      <c r="E342" s="15" t="str">
        <f>HYPERLINK("https://stat100.ameba.jp/tnk47/ratio20/illustrations/card/ill_201313_hyupunosu03.jpg?202110-5-RELEASE-marathon-556xxxx", "■")</f>
        <v>■</v>
      </c>
      <c r="F342" s="14" t="s">
        <v>18129</v>
      </c>
      <c r="G342" s="14">
        <v>125688</v>
      </c>
      <c r="H342" s="14">
        <v>91008</v>
      </c>
      <c r="I342" s="14">
        <v>30</v>
      </c>
      <c r="J342" s="14" t="s">
        <v>73</v>
      </c>
      <c r="K342" s="14" t="s">
        <v>18128</v>
      </c>
      <c r="L342" s="14" t="s">
        <v>15987</v>
      </c>
      <c r="M342" s="14" t="s">
        <v>9158</v>
      </c>
      <c r="N342" s="14" t="s">
        <v>9158</v>
      </c>
      <c r="O342" s="14" t="s">
        <v>9158</v>
      </c>
      <c r="P342" s="14" t="s">
        <v>9158</v>
      </c>
      <c r="Q342" s="14" t="s">
        <v>9158</v>
      </c>
      <c r="R342" s="14" t="s">
        <v>175</v>
      </c>
    </row>
    <row r="343" spans="1:19">
      <c r="A343" s="14">
        <v>201311</v>
      </c>
      <c r="B343" s="14" t="s">
        <v>15</v>
      </c>
      <c r="C343" s="14" t="s">
        <v>18127</v>
      </c>
      <c r="D343" s="18" t="s">
        <v>18130</v>
      </c>
      <c r="E343" s="15" t="str">
        <f>HYPERLINK("https://stat100.ameba.jp/tnk47/ratio20/illustrations/card/ill_201311_hyupunosu01.jpg?202110-5-RELEASE-marathon-556xxxx", "■")</f>
        <v>■</v>
      </c>
      <c r="F343" s="14" t="s">
        <v>18129</v>
      </c>
      <c r="G343" s="14">
        <v>79950</v>
      </c>
      <c r="H343" s="14">
        <v>57900</v>
      </c>
      <c r="I343" s="14">
        <v>30</v>
      </c>
      <c r="J343" s="14" t="s">
        <v>73</v>
      </c>
      <c r="K343" s="14" t="s">
        <v>18128</v>
      </c>
      <c r="L343" s="14" t="s">
        <v>18131</v>
      </c>
      <c r="M343" s="14" t="s">
        <v>9158</v>
      </c>
      <c r="N343" s="14" t="s">
        <v>9158</v>
      </c>
      <c r="O343" s="14" t="s">
        <v>9158</v>
      </c>
      <c r="P343" s="14" t="s">
        <v>9158</v>
      </c>
      <c r="Q343" s="14" t="s">
        <v>9158</v>
      </c>
      <c r="R343" s="14" t="s">
        <v>176</v>
      </c>
    </row>
    <row r="345" spans="1:19">
      <c r="A345" s="14" t="s">
        <v>18124</v>
      </c>
    </row>
    <row r="346" spans="1:19">
      <c r="A346" s="14">
        <v>112472</v>
      </c>
      <c r="B346" s="14" t="s">
        <v>18125</v>
      </c>
    </row>
    <row r="347" spans="1:19">
      <c r="A347" s="14">
        <v>68283</v>
      </c>
      <c r="B347" s="14" t="s">
        <v>0</v>
      </c>
      <c r="C347" s="14" t="s">
        <v>18127</v>
      </c>
      <c r="D347" s="14" t="s">
        <v>4810</v>
      </c>
      <c r="E347" s="15" t="str">
        <f>HYPERLINK("https://stat100.ameba.jp/tnk47/ratio20/illustrations/card/ill_68283_shurambonenkaikitaharasatoko03.jpg?202110-5-RELEASE-marathon-556xxxx", "■")</f>
        <v>■</v>
      </c>
      <c r="F347" s="14" t="s">
        <v>4811</v>
      </c>
      <c r="G347" s="14">
        <v>117182</v>
      </c>
      <c r="H347" s="14">
        <v>108912</v>
      </c>
      <c r="I347" s="14">
        <v>30</v>
      </c>
      <c r="J347" s="14" t="s">
        <v>10</v>
      </c>
      <c r="K347" s="14" t="s">
        <v>4812</v>
      </c>
      <c r="L347" s="14" t="s">
        <v>4813</v>
      </c>
      <c r="M347" s="14" t="s">
        <v>9158</v>
      </c>
      <c r="N347" s="14" t="s">
        <v>9158</v>
      </c>
      <c r="O347" s="14" t="s">
        <v>9158</v>
      </c>
      <c r="P347" s="14" t="s">
        <v>9158</v>
      </c>
      <c r="Q347" s="14" t="s">
        <v>9158</v>
      </c>
      <c r="S347" s="14" t="s">
        <v>11772</v>
      </c>
    </row>
    <row r="348" spans="1:19">
      <c r="A348" s="14">
        <v>81493</v>
      </c>
      <c r="B348" s="14" t="s">
        <v>0</v>
      </c>
      <c r="C348" s="14" t="s">
        <v>107</v>
      </c>
      <c r="D348" s="14" t="s">
        <v>4773</v>
      </c>
      <c r="E348" s="15" t="str">
        <f>HYPERLINK("https://stat100.ameba.jp/tnk47/ratio20/illustrations/card/ill_81493_puchidebiruraikirimaru03.jpg?202110-5-RELEASE-marathon-556xxxx", "■")</f>
        <v>■</v>
      </c>
      <c r="F348" s="14" t="s">
        <v>4774</v>
      </c>
      <c r="G348" s="14">
        <v>165824</v>
      </c>
      <c r="H348" s="14">
        <v>178342</v>
      </c>
      <c r="I348" s="14">
        <v>30</v>
      </c>
      <c r="J348" s="14" t="s">
        <v>44</v>
      </c>
      <c r="K348" s="14" t="s">
        <v>4775</v>
      </c>
      <c r="L348" s="14" t="s">
        <v>4800</v>
      </c>
      <c r="M348" s="14" t="s">
        <v>9158</v>
      </c>
      <c r="N348" s="14" t="s">
        <v>9158</v>
      </c>
      <c r="O348" s="14" t="s">
        <v>9158</v>
      </c>
      <c r="P348" s="14" t="s">
        <v>9158</v>
      </c>
      <c r="Q348" s="14" t="s">
        <v>9158</v>
      </c>
    </row>
    <row r="349" spans="1:19">
      <c r="A349" s="14">
        <v>80823</v>
      </c>
      <c r="B349" s="14" t="s">
        <v>0</v>
      </c>
      <c r="C349" s="14" t="s">
        <v>96</v>
      </c>
      <c r="D349" s="14" t="s">
        <v>4267</v>
      </c>
      <c r="E349" s="15" t="str">
        <f>HYPERLINK("https://stat100.ameba.jp/tnk47/ratio20/illustrations/card/ill_80823_utatanekitanokata03.jpg?202110-5-RELEASE-marathon-556xxxx", "■")</f>
        <v>■</v>
      </c>
      <c r="F349" s="14" t="s">
        <v>4268</v>
      </c>
      <c r="G349" s="14">
        <v>165824</v>
      </c>
      <c r="H349" s="14">
        <v>178342</v>
      </c>
      <c r="I349" s="14">
        <v>30</v>
      </c>
      <c r="J349" s="14" t="s">
        <v>143</v>
      </c>
      <c r="K349" s="14" t="s">
        <v>4269</v>
      </c>
      <c r="L349" s="14" t="s">
        <v>1148</v>
      </c>
      <c r="M349" s="14" t="s">
        <v>9158</v>
      </c>
      <c r="N349" s="14" t="s">
        <v>9158</v>
      </c>
      <c r="O349" s="14" t="s">
        <v>9158</v>
      </c>
      <c r="P349" s="14" t="s">
        <v>9158</v>
      </c>
      <c r="Q349" s="14" t="s">
        <v>9158</v>
      </c>
    </row>
    <row r="350" spans="1:19">
      <c r="A350" s="14">
        <v>92373</v>
      </c>
      <c r="B350" s="14" t="s">
        <v>15</v>
      </c>
      <c r="C350" s="14" t="s">
        <v>23</v>
      </c>
      <c r="D350" s="14" t="s">
        <v>15026</v>
      </c>
      <c r="E350" s="15" t="str">
        <f>HYPERLINK("https://stat100.ameba.jp/tnk47/ratio20/illustrations/card/ill_92373_haroinshimaryu03.jpg?202110-5-RELEASE-marathon-556xxxx", "■")</f>
        <v>■</v>
      </c>
      <c r="F350" s="14" t="s">
        <v>15030</v>
      </c>
      <c r="G350" s="14">
        <v>53768</v>
      </c>
      <c r="H350" s="14">
        <v>59280</v>
      </c>
      <c r="I350" s="14">
        <v>20</v>
      </c>
      <c r="J350" s="14" t="s">
        <v>10</v>
      </c>
      <c r="K350" s="14" t="s">
        <v>15028</v>
      </c>
      <c r="L350" s="14" t="s">
        <v>2146</v>
      </c>
      <c r="M350" s="14" t="s">
        <v>9158</v>
      </c>
      <c r="N350" s="14" t="s">
        <v>9158</v>
      </c>
      <c r="O350" s="14" t="s">
        <v>9158</v>
      </c>
      <c r="P350" s="14" t="s">
        <v>9158</v>
      </c>
      <c r="Q350" s="14" t="s">
        <v>9158</v>
      </c>
    </row>
    <row r="351" spans="1:19">
      <c r="A351" s="14">
        <v>84263</v>
      </c>
      <c r="B351" s="14" t="s">
        <v>15</v>
      </c>
      <c r="C351" s="14" t="s">
        <v>101</v>
      </c>
      <c r="D351" s="14" t="s">
        <v>18132</v>
      </c>
      <c r="E351" s="15" t="str">
        <f>HYPERLINK("https://stat100.ameba.jp/tnk47/ratio20/illustrations/card/ill_84263_isotengu03.jpg?202110-5-RELEASE-marathon-556xxxx", "■")</f>
        <v>■</v>
      </c>
      <c r="F351" s="14" t="s">
        <v>7247</v>
      </c>
      <c r="G351" s="14">
        <v>53768</v>
      </c>
      <c r="H351" s="14">
        <v>59280</v>
      </c>
      <c r="I351" s="14">
        <v>20</v>
      </c>
      <c r="J351" s="14" t="s">
        <v>73</v>
      </c>
      <c r="K351" s="14" t="s">
        <v>7245</v>
      </c>
      <c r="L351" s="14" t="s">
        <v>1706</v>
      </c>
      <c r="M351" s="14" t="s">
        <v>9158</v>
      </c>
      <c r="N351" s="14" t="s">
        <v>9158</v>
      </c>
      <c r="O351" s="14" t="s">
        <v>9158</v>
      </c>
      <c r="P351" s="14" t="s">
        <v>9158</v>
      </c>
      <c r="Q351" s="14" t="s">
        <v>9158</v>
      </c>
    </row>
    <row r="352" spans="1:19">
      <c r="A352" s="14">
        <v>91673</v>
      </c>
      <c r="B352" s="14" t="s">
        <v>15</v>
      </c>
      <c r="C352" s="14" t="s">
        <v>14</v>
      </c>
      <c r="D352" s="14" t="s">
        <v>14561</v>
      </c>
      <c r="E352" s="15" t="str">
        <f>HYPERLINK("https://stat100.ameba.jp/tnk47/ratio20/illustrations/card/ill_91673_shinobimamiyarinzo03.jpg?202110-5-RELEASE-marathon-556xxxx", "■")</f>
        <v>■</v>
      </c>
      <c r="F352" s="14" t="s">
        <v>14560</v>
      </c>
      <c r="G352" s="14">
        <v>59280</v>
      </c>
      <c r="H352" s="14">
        <v>53768</v>
      </c>
      <c r="I352" s="14">
        <v>20</v>
      </c>
      <c r="J352" s="14" t="s">
        <v>16</v>
      </c>
      <c r="K352" s="14" t="s">
        <v>14558</v>
      </c>
      <c r="L352" s="14" t="s">
        <v>2462</v>
      </c>
      <c r="M352" s="14" t="s">
        <v>9158</v>
      </c>
      <c r="N352" s="14" t="s">
        <v>9158</v>
      </c>
      <c r="O352" s="14" t="s">
        <v>9158</v>
      </c>
      <c r="P352" s="14" t="s">
        <v>9158</v>
      </c>
      <c r="Q352" s="14" t="s">
        <v>9158</v>
      </c>
    </row>
    <row r="354" spans="1:17">
      <c r="A354" s="14" t="s">
        <v>18121</v>
      </c>
    </row>
    <row r="355" spans="1:17">
      <c r="A355" s="14">
        <v>112488</v>
      </c>
      <c r="B355" s="14" t="s">
        <v>18122</v>
      </c>
    </row>
    <row r="356" spans="1:17">
      <c r="A356" s="14">
        <v>112516</v>
      </c>
      <c r="B356" s="14" t="s">
        <v>18123</v>
      </c>
    </row>
    <row r="357" spans="1:17">
      <c r="A357" s="14" t="s">
        <v>18138</v>
      </c>
      <c r="B357" s="14" t="s">
        <v>117</v>
      </c>
      <c r="C357" s="14" t="s">
        <v>202</v>
      </c>
      <c r="D357" s="14" t="s">
        <v>18139</v>
      </c>
      <c r="E357" s="15" t="str">
        <f>HYPERLINK("https://stat100.ameba.jp/tnk47/ratio20/illustrations/card/ill_201323_0_oenseikatai03.jpg?202110-5-RELEASE-marathon-556xxxx", "■")</f>
        <v>■</v>
      </c>
      <c r="F357" s="14" t="s">
        <v>18137</v>
      </c>
      <c r="G357" s="14">
        <v>402783</v>
      </c>
      <c r="H357" s="14">
        <v>374439</v>
      </c>
      <c r="I357" s="14">
        <v>33</v>
      </c>
      <c r="J357" s="14" t="s">
        <v>73</v>
      </c>
      <c r="K357" s="14" t="s">
        <v>18136</v>
      </c>
      <c r="L357" s="14" t="s">
        <v>18135</v>
      </c>
      <c r="M357" s="14" t="s">
        <v>9158</v>
      </c>
      <c r="N357" s="14" t="s">
        <v>9158</v>
      </c>
      <c r="O357" s="14" t="s">
        <v>18134</v>
      </c>
      <c r="P357" s="14" t="s">
        <v>18133</v>
      </c>
      <c r="Q357" s="14">
        <v>1</v>
      </c>
    </row>
    <row r="358" spans="1:17">
      <c r="A358" s="14">
        <v>90633</v>
      </c>
      <c r="B358" s="14" t="s">
        <v>0</v>
      </c>
      <c r="C358" t="s">
        <v>14</v>
      </c>
      <c r="D358" s="14" t="s">
        <v>14242</v>
      </c>
      <c r="E358" s="15" t="str">
        <f>HYPERLINK("https://stat100.ameba.jp/tnk47/ratio20/illustrations/card/ill_90633_tamayohime03.jpg?202110-5-RELEASE-marathon-556xxxx", "■")</f>
        <v>■</v>
      </c>
      <c r="F358" s="14" t="s">
        <v>14241</v>
      </c>
      <c r="G358" s="14">
        <v>108912</v>
      </c>
      <c r="H358" s="14">
        <v>117182</v>
      </c>
      <c r="I358" s="14">
        <v>30</v>
      </c>
      <c r="J358" s="14" t="s">
        <v>77</v>
      </c>
      <c r="K358" s="14" t="s">
        <v>14239</v>
      </c>
      <c r="L358" s="14" t="s">
        <v>12139</v>
      </c>
      <c r="M358" s="14" t="s">
        <v>9158</v>
      </c>
      <c r="N358" s="14" t="s">
        <v>9158</v>
      </c>
      <c r="O358" s="14" t="s">
        <v>9158</v>
      </c>
      <c r="P358" s="14" t="s">
        <v>9158</v>
      </c>
      <c r="Q358" s="14" t="s">
        <v>9158</v>
      </c>
    </row>
    <row r="359" spans="1:17">
      <c r="A359" s="14">
        <v>96423</v>
      </c>
      <c r="B359" s="14" t="s">
        <v>0</v>
      </c>
      <c r="C359" s="14" t="s">
        <v>23</v>
      </c>
      <c r="D359" s="14" t="s">
        <v>16791</v>
      </c>
      <c r="E359" s="15" t="str">
        <f>HYPERLINK("https://stat100.ameba.jp/tnk47/ratio20/illustrations/card/ill_96423_ohinasamaakibameido03.jpg?202110-5-RELEASE-marathon-556xxxx", "■")</f>
        <v>■</v>
      </c>
      <c r="F359" s="14" t="s">
        <v>16790</v>
      </c>
      <c r="G359" s="14">
        <v>108912</v>
      </c>
      <c r="H359" s="14">
        <v>117182</v>
      </c>
      <c r="I359" s="14">
        <v>30</v>
      </c>
      <c r="J359" s="14" t="s">
        <v>26</v>
      </c>
      <c r="K359" s="14" t="s">
        <v>16789</v>
      </c>
      <c r="L359" s="14" t="s">
        <v>16788</v>
      </c>
      <c r="M359" s="14" t="s">
        <v>9158</v>
      </c>
      <c r="N359" s="14" t="s">
        <v>9158</v>
      </c>
      <c r="O359" s="14" t="s">
        <v>9158</v>
      </c>
      <c r="P359" s="14" t="s">
        <v>9158</v>
      </c>
      <c r="Q359" s="14" t="s">
        <v>9158</v>
      </c>
    </row>
    <row r="360" spans="1:17">
      <c r="A360" s="14">
        <v>93903</v>
      </c>
      <c r="B360" s="14" t="s">
        <v>0</v>
      </c>
      <c r="C360" s="14" t="s">
        <v>101</v>
      </c>
      <c r="D360" s="14" t="s">
        <v>15635</v>
      </c>
      <c r="E360" s="15" t="str">
        <f>HYPERLINK("https://stat100.ameba.jp/tnk47/ratio20/illustrations/card/ill_93903_kobonoarujiiperu03.jpg?202110-5-RELEASE-marathon-556xxxx", "■")</f>
        <v>■</v>
      </c>
      <c r="F360" s="14" t="s">
        <v>15634</v>
      </c>
      <c r="G360" s="14">
        <v>178342</v>
      </c>
      <c r="H360" s="14">
        <v>165824</v>
      </c>
      <c r="I360" s="14">
        <v>30</v>
      </c>
      <c r="J360" s="14" t="s">
        <v>10</v>
      </c>
      <c r="K360" s="14" t="s">
        <v>15632</v>
      </c>
      <c r="L360" s="14" t="s">
        <v>13407</v>
      </c>
      <c r="M360" s="14" t="s">
        <v>9158</v>
      </c>
      <c r="N360" s="14" t="s">
        <v>9158</v>
      </c>
      <c r="O360" s="14" t="s">
        <v>9158</v>
      </c>
      <c r="P360" s="14" t="s">
        <v>9158</v>
      </c>
      <c r="Q360" s="14" t="s">
        <v>9158</v>
      </c>
    </row>
    <row r="361" spans="1:17">
      <c r="A361" s="14">
        <v>96563</v>
      </c>
      <c r="B361" s="14" t="s">
        <v>0</v>
      </c>
      <c r="C361" s="14" t="s">
        <v>96</v>
      </c>
      <c r="D361" s="14" t="s">
        <v>16829</v>
      </c>
      <c r="E361" s="15" t="str">
        <f>HYPERLINK("https://stat100.ameba.jp/tnk47/ratio20/illustrations/card/ill_96563_junihitoe03.jpg?202110-5-RELEASE-marathon-556xxxx", "■")</f>
        <v>■</v>
      </c>
      <c r="F361" s="14" t="s">
        <v>16828</v>
      </c>
      <c r="G361" s="14">
        <v>122366</v>
      </c>
      <c r="H361" s="14">
        <v>113762</v>
      </c>
      <c r="I361" s="14">
        <v>30</v>
      </c>
      <c r="J361" s="14" t="s">
        <v>38</v>
      </c>
      <c r="K361" s="14" t="s">
        <v>16827</v>
      </c>
      <c r="L361" s="14" t="s">
        <v>13427</v>
      </c>
      <c r="M361" s="14" t="s">
        <v>9158</v>
      </c>
      <c r="N361" s="14" t="s">
        <v>9158</v>
      </c>
      <c r="O361" s="14" t="s">
        <v>9158</v>
      </c>
      <c r="P361" s="14" t="s">
        <v>9158</v>
      </c>
      <c r="Q361" s="14" t="s">
        <v>9158</v>
      </c>
    </row>
    <row r="362" spans="1:17">
      <c r="A362" s="14">
        <v>95423</v>
      </c>
      <c r="B362" s="14" t="s">
        <v>0</v>
      </c>
      <c r="C362" s="14" t="s">
        <v>1</v>
      </c>
      <c r="D362" s="14" t="s">
        <v>16029</v>
      </c>
      <c r="E362" s="15" t="str">
        <f>HYPERLINK("https://stat100.ameba.jp/tnk47/ratio20/illustrations/card/ill_95423_hyojotsuriyureigasa03.jpg?202110-5-RELEASE-marathon-556xxxx", "■")</f>
        <v>■</v>
      </c>
      <c r="F362" s="14" t="s">
        <v>16025</v>
      </c>
      <c r="G362" s="14">
        <v>113762</v>
      </c>
      <c r="H362" s="14">
        <v>122366</v>
      </c>
      <c r="I362" s="14">
        <v>30</v>
      </c>
      <c r="J362" s="14" t="s">
        <v>73</v>
      </c>
      <c r="K362" s="14" t="s">
        <v>16023</v>
      </c>
      <c r="L362" s="14" t="s">
        <v>16022</v>
      </c>
      <c r="M362" s="14" t="s">
        <v>9158</v>
      </c>
      <c r="N362" s="14" t="s">
        <v>9158</v>
      </c>
      <c r="O362" s="14" t="s">
        <v>9158</v>
      </c>
      <c r="P362" s="14" t="s">
        <v>9158</v>
      </c>
      <c r="Q362" s="14" t="s">
        <v>9158</v>
      </c>
    </row>
    <row r="363" spans="1:17">
      <c r="A363" s="14">
        <v>94713</v>
      </c>
      <c r="B363" s="14" t="s">
        <v>0</v>
      </c>
      <c r="C363" s="14" t="s">
        <v>107</v>
      </c>
      <c r="D363" s="14" t="s">
        <v>16659</v>
      </c>
      <c r="E363" s="15" t="str">
        <f>HYPERLINK("https://stat100.ameba.jp/tnk47/ratio20/illustrations/card/ill_94713_shirokitsunenooshibai03.jpg?202110-5-RELEASE-marathon-556xxxx", "■")</f>
        <v>■</v>
      </c>
      <c r="F363" s="14" t="s">
        <v>16658</v>
      </c>
      <c r="G363" s="14">
        <v>136668</v>
      </c>
      <c r="H363" s="14">
        <v>127070</v>
      </c>
      <c r="I363" s="14">
        <v>30</v>
      </c>
      <c r="J363" s="14" t="s">
        <v>38</v>
      </c>
      <c r="K363" s="14" t="s">
        <v>8524</v>
      </c>
      <c r="L363" s="14" t="s">
        <v>12715</v>
      </c>
      <c r="M363" s="14" t="s">
        <v>9158</v>
      </c>
      <c r="N363" s="14" t="s">
        <v>9158</v>
      </c>
      <c r="O363" s="9" t="s">
        <v>9158</v>
      </c>
      <c r="P363" s="14" t="s">
        <v>9158</v>
      </c>
      <c r="Q363" s="14" t="s">
        <v>9158</v>
      </c>
    </row>
    <row r="365" spans="1:17">
      <c r="A365" s="14" t="s">
        <v>1711</v>
      </c>
      <c r="I365" s="7"/>
    </row>
    <row r="366" spans="1:17">
      <c r="A366" s="14">
        <v>112449</v>
      </c>
      <c r="B366" s="14" t="s">
        <v>7495</v>
      </c>
    </row>
    <row r="367" spans="1:17">
      <c r="A367" s="14" t="s">
        <v>5901</v>
      </c>
      <c r="B367" s="14" t="s">
        <v>52</v>
      </c>
      <c r="C367" s="14" t="s">
        <v>101</v>
      </c>
      <c r="D367" s="19" t="s">
        <v>1426</v>
      </c>
      <c r="E367" s="15" t="str">
        <f>HYPERLINK("https://stat100.ameba.jp/tnk47/ratio20/illustrations/card/ill_64953_0_yukatatokugawayoshinobu03.jpg?202110-5-RELEASE-marathon-556xxxx", "■")</f>
        <v>■</v>
      </c>
      <c r="F367" s="14" t="s">
        <v>2090</v>
      </c>
      <c r="G367" s="14">
        <v>168210</v>
      </c>
      <c r="H367" s="14">
        <v>180906</v>
      </c>
      <c r="I367" s="14">
        <v>27</v>
      </c>
      <c r="J367" s="14" t="s">
        <v>10</v>
      </c>
      <c r="K367" s="14" t="s">
        <v>2091</v>
      </c>
      <c r="L367" s="14" t="s">
        <v>2092</v>
      </c>
      <c r="M367" s="14" t="s">
        <v>9158</v>
      </c>
      <c r="N367" s="14" t="s">
        <v>9158</v>
      </c>
      <c r="O367" s="19" t="s">
        <v>2889</v>
      </c>
      <c r="P367" s="14" t="s">
        <v>2890</v>
      </c>
      <c r="Q367" s="14">
        <v>1</v>
      </c>
    </row>
    <row r="368" spans="1:17">
      <c r="A368" s="14" t="s">
        <v>5607</v>
      </c>
      <c r="B368" s="14" t="s">
        <v>330</v>
      </c>
      <c r="C368" s="14" t="s">
        <v>200</v>
      </c>
      <c r="D368" s="19" t="s">
        <v>421</v>
      </c>
      <c r="E368" s="15" t="str">
        <f>HYPERLINK("https://stat100.ameba.jp/tnk47/ratio20/illustrations/card/ill_58853_0_setsubumpanikkuhiratsukaraicho03.jpg?202110-5-RELEASE-marathon-556xxxx", "■")</f>
        <v>■</v>
      </c>
      <c r="F368" s="14" t="s">
        <v>1040</v>
      </c>
      <c r="G368" s="14">
        <v>169624</v>
      </c>
      <c r="H368" s="14">
        <v>150680</v>
      </c>
      <c r="I368" s="14">
        <v>27</v>
      </c>
      <c r="J368" s="14" t="s">
        <v>16</v>
      </c>
      <c r="K368" s="14" t="s">
        <v>1041</v>
      </c>
      <c r="L368" s="14" t="s">
        <v>1042</v>
      </c>
      <c r="M368" s="14" t="s">
        <v>9158</v>
      </c>
      <c r="N368" s="14" t="s">
        <v>9158</v>
      </c>
      <c r="O368" s="19" t="s">
        <v>10075</v>
      </c>
      <c r="P368" s="14" t="s">
        <v>2870</v>
      </c>
      <c r="Q368" s="14">
        <v>1</v>
      </c>
    </row>
    <row r="369" spans="1:18">
      <c r="A369" s="14" t="s">
        <v>5627</v>
      </c>
      <c r="B369" s="14" t="s">
        <v>330</v>
      </c>
      <c r="C369" s="14" t="s">
        <v>191</v>
      </c>
      <c r="D369" s="19" t="s">
        <v>393</v>
      </c>
      <c r="E369" s="15" t="str">
        <f>HYPERLINK("https://stat100.ameba.jp/tnk47/ratio20/illustrations/card/ill_46283_0_odanobunaga03.jpg?202110-5-RELEASE-marathon-556xxxx", "■")</f>
        <v>■</v>
      </c>
      <c r="F369" s="14" t="s">
        <v>1073</v>
      </c>
      <c r="G369" s="14">
        <v>147980</v>
      </c>
      <c r="H369" s="14">
        <v>158004</v>
      </c>
      <c r="I369" s="14">
        <v>27</v>
      </c>
      <c r="J369" s="14" t="s">
        <v>143</v>
      </c>
      <c r="K369" s="14" t="s">
        <v>1074</v>
      </c>
      <c r="L369" s="14" t="s">
        <v>1075</v>
      </c>
      <c r="M369" s="14" t="s">
        <v>9158</v>
      </c>
      <c r="N369" s="14" t="s">
        <v>9158</v>
      </c>
      <c r="O369" s="14" t="s">
        <v>9158</v>
      </c>
      <c r="P369" s="14" t="s">
        <v>9158</v>
      </c>
      <c r="Q369" s="14" t="s">
        <v>9158</v>
      </c>
    </row>
    <row r="370" spans="1:18">
      <c r="A370" s="14">
        <v>201263</v>
      </c>
      <c r="B370" s="14" t="s">
        <v>0</v>
      </c>
      <c r="C370" s="14" t="s">
        <v>14</v>
      </c>
      <c r="D370" s="14" t="s">
        <v>18144</v>
      </c>
      <c r="E370" s="15" t="str">
        <f>HYPERLINK("https://stat100.ameba.jp/tnk47/ratio20/illustrations/card/ill_201263_chikoshakushirudora03.jpg?202110-5-RELEASE-marathon-556xxxx", "■")</f>
        <v>■</v>
      </c>
      <c r="F370" s="14" t="s">
        <v>18143</v>
      </c>
      <c r="G370" s="14">
        <v>118598</v>
      </c>
      <c r="H370" s="14">
        <v>127556</v>
      </c>
      <c r="I370" s="14">
        <v>28</v>
      </c>
      <c r="J370" s="14" t="s">
        <v>16</v>
      </c>
      <c r="K370" s="14" t="s">
        <v>18142</v>
      </c>
      <c r="L370" s="14" t="s">
        <v>18141</v>
      </c>
      <c r="M370" s="14" t="s">
        <v>9158</v>
      </c>
      <c r="N370" s="14" t="s">
        <v>9158</v>
      </c>
      <c r="O370" s="14" t="s">
        <v>9158</v>
      </c>
      <c r="P370" s="14" t="s">
        <v>9158</v>
      </c>
      <c r="Q370" s="14" t="s">
        <v>9158</v>
      </c>
    </row>
    <row r="371" spans="1:18">
      <c r="A371" s="14">
        <v>201283</v>
      </c>
      <c r="B371" s="14" t="s">
        <v>15</v>
      </c>
      <c r="C371" s="14" t="s">
        <v>101</v>
      </c>
      <c r="D371" s="14" t="s">
        <v>18147</v>
      </c>
      <c r="E371" s="15" t="str">
        <f>HYPERLINK("https://stat100.ameba.jp/tnk47/ratio20/illustrations/card/ill_201283_torawarehimeotsuyanokata03.jpg?202110-5-RELEASE-marathon-556xxxx", "■")</f>
        <v>■</v>
      </c>
      <c r="F371" s="14" t="s">
        <v>18146</v>
      </c>
      <c r="G371" s="14">
        <v>72586</v>
      </c>
      <c r="H371" s="14">
        <v>80028</v>
      </c>
      <c r="I371" s="14">
        <v>27</v>
      </c>
      <c r="J371" s="14" t="s">
        <v>77</v>
      </c>
      <c r="K371" s="14" t="s">
        <v>18145</v>
      </c>
      <c r="L371" s="14" t="s">
        <v>973</v>
      </c>
      <c r="M371" s="14" t="s">
        <v>9158</v>
      </c>
      <c r="N371" s="14" t="s">
        <v>9158</v>
      </c>
      <c r="O371" s="14" t="s">
        <v>9158</v>
      </c>
      <c r="P371" s="14" t="s">
        <v>9158</v>
      </c>
      <c r="Q371" s="14" t="s">
        <v>9158</v>
      </c>
    </row>
    <row r="372" spans="1:18">
      <c r="A372" s="14">
        <v>201293</v>
      </c>
      <c r="B372" s="14" t="s">
        <v>22</v>
      </c>
      <c r="C372" s="14" t="s">
        <v>3743</v>
      </c>
      <c r="D372" s="14" t="s">
        <v>18150</v>
      </c>
      <c r="E372" s="15" t="str">
        <f>HYPERLINK("https://stat100.ameba.jp/tnk47/ratio20/illustrations/card/ill_201293_fuumakotarou03.jpg?202110-5-RELEASE-marathon-556xxxx", "■")</f>
        <v>■</v>
      </c>
      <c r="F372" s="14" t="s">
        <v>18149</v>
      </c>
      <c r="G372" s="14">
        <v>56138</v>
      </c>
      <c r="H372" s="14">
        <v>46676</v>
      </c>
      <c r="I372" s="14">
        <v>27</v>
      </c>
      <c r="J372" s="14" t="s">
        <v>16</v>
      </c>
      <c r="K372" s="14" t="s">
        <v>18148</v>
      </c>
      <c r="L372" s="14" t="s">
        <v>1115</v>
      </c>
      <c r="M372" s="14" t="s">
        <v>9158</v>
      </c>
      <c r="N372" s="14" t="s">
        <v>9158</v>
      </c>
      <c r="O372" s="14" t="s">
        <v>9158</v>
      </c>
      <c r="P372" s="14" t="s">
        <v>9158</v>
      </c>
      <c r="Q372" s="14" t="s">
        <v>9158</v>
      </c>
    </row>
    <row r="373" spans="1:18">
      <c r="A373" s="14">
        <v>201303</v>
      </c>
      <c r="B373" s="14" t="s">
        <v>22</v>
      </c>
      <c r="C373" s="14" t="s">
        <v>12613</v>
      </c>
      <c r="D373" s="14" t="s">
        <v>18153</v>
      </c>
      <c r="E373" s="15" t="str">
        <f>HYPERLINK("https://stat100.ameba.jp/tnk47/ratio20/illustrations/card/ill_201303_kurodakannbee03.jpg?202110-5-RELEASE-marathon-556xxxx", "■")</f>
        <v>■</v>
      </c>
      <c r="F373" s="14" t="s">
        <v>18152</v>
      </c>
      <c r="G373" s="14">
        <v>46676</v>
      </c>
      <c r="H373" s="14">
        <v>56138</v>
      </c>
      <c r="I373" s="14">
        <v>27</v>
      </c>
      <c r="J373" s="14" t="s">
        <v>143</v>
      </c>
      <c r="K373" s="14" t="s">
        <v>18151</v>
      </c>
      <c r="L373" s="14" t="s">
        <v>3403</v>
      </c>
      <c r="M373" s="14" t="s">
        <v>9158</v>
      </c>
      <c r="N373" s="14" t="s">
        <v>9158</v>
      </c>
      <c r="O373" s="14" t="s">
        <v>9158</v>
      </c>
      <c r="P373" s="14" t="s">
        <v>9158</v>
      </c>
      <c r="Q373" s="14" t="s">
        <v>9158</v>
      </c>
    </row>
    <row r="375" spans="1:18">
      <c r="A375" s="14" t="s">
        <v>3844</v>
      </c>
    </row>
    <row r="376" spans="1:18">
      <c r="A376" s="14">
        <v>112427</v>
      </c>
      <c r="B376" s="14" t="s">
        <v>18140</v>
      </c>
    </row>
    <row r="377" spans="1:18">
      <c r="A377" s="14" t="s">
        <v>14997</v>
      </c>
      <c r="B377" s="7" t="s">
        <v>52</v>
      </c>
      <c r="C377" s="14" t="s">
        <v>202</v>
      </c>
      <c r="D377" s="18" t="s">
        <v>14996</v>
      </c>
      <c r="E377" s="15" t="str">
        <f>HYPERLINK("https://stat100.ameba.jp/tnk47/ratio20/illustrations/card/ill_92403_0_haroimmochizukichiyome03.jpg?202110-5-RELEASE-marathon-556xxxx", "■")</f>
        <v>■</v>
      </c>
      <c r="F377" s="14" t="s">
        <v>15003</v>
      </c>
      <c r="G377" s="14">
        <v>339272</v>
      </c>
      <c r="H377" s="14">
        <v>277564</v>
      </c>
      <c r="I377" s="7">
        <v>28</v>
      </c>
      <c r="J377" s="14" t="s">
        <v>16</v>
      </c>
      <c r="K377" s="14" t="s">
        <v>15001</v>
      </c>
      <c r="L377" s="14" t="s">
        <v>15000</v>
      </c>
      <c r="M377" s="14" t="s">
        <v>9158</v>
      </c>
      <c r="N377" s="14" t="s">
        <v>9158</v>
      </c>
      <c r="O377" s="6" t="s">
        <v>14998</v>
      </c>
      <c r="P377" s="7" t="s">
        <v>14999</v>
      </c>
      <c r="Q377" s="7">
        <v>1</v>
      </c>
    </row>
    <row r="378" spans="1:18">
      <c r="A378" s="9">
        <v>81143</v>
      </c>
      <c r="B378" s="14" t="s">
        <v>334</v>
      </c>
      <c r="C378" s="14" t="s">
        <v>205</v>
      </c>
      <c r="D378" s="14" t="s">
        <v>4516</v>
      </c>
      <c r="E378" s="15" t="str">
        <f>HYPERLINK("https://stat100.ameba.jp/tnk47/ratio20/illustrations/card/ill_81143_shinryokunokisetsumerompan03.jpg?202110-5-RELEASE-marathon-556xxxx", "■")</f>
        <v>■</v>
      </c>
      <c r="F378" s="14" t="s">
        <v>4517</v>
      </c>
      <c r="G378" s="14">
        <v>141676</v>
      </c>
      <c r="H378" s="14">
        <v>131742</v>
      </c>
      <c r="I378" s="14">
        <v>30</v>
      </c>
      <c r="J378" s="14" t="s">
        <v>104</v>
      </c>
      <c r="K378" s="14" t="s">
        <v>4518</v>
      </c>
      <c r="L378" s="14" t="s">
        <v>3489</v>
      </c>
      <c r="M378" s="14" t="s">
        <v>9158</v>
      </c>
      <c r="N378" s="14" t="s">
        <v>9158</v>
      </c>
      <c r="O378" s="9" t="s">
        <v>3609</v>
      </c>
      <c r="P378" s="14" t="s">
        <v>3610</v>
      </c>
      <c r="Q378" s="14">
        <v>1</v>
      </c>
    </row>
    <row r="379" spans="1:18">
      <c r="A379" s="14">
        <v>89653</v>
      </c>
      <c r="B379" s="14" t="s">
        <v>0</v>
      </c>
      <c r="C379" s="14" t="s">
        <v>101</v>
      </c>
      <c r="D379" s="18" t="s">
        <v>13090</v>
      </c>
      <c r="E379" s="15" t="str">
        <f>HYPERLINK("https://stat100.ameba.jp/tnk47/ratio20/illustrations/card/ill_89653_jumburaidochakkariozonichan03.jpg?202110-5-RELEASE-marathon-556xxxx", "■")</f>
        <v>■</v>
      </c>
      <c r="F379" s="14" t="s">
        <v>13091</v>
      </c>
      <c r="G379" s="14">
        <v>141676</v>
      </c>
      <c r="H379" s="14">
        <v>131742</v>
      </c>
      <c r="I379" s="14">
        <v>30</v>
      </c>
      <c r="J379" s="14" t="s">
        <v>104</v>
      </c>
      <c r="K379" s="14" t="s">
        <v>13092</v>
      </c>
      <c r="L379" s="14" t="s">
        <v>13093</v>
      </c>
      <c r="M379" s="14" t="s">
        <v>9158</v>
      </c>
      <c r="N379" s="14" t="s">
        <v>9158</v>
      </c>
      <c r="O379" s="6" t="s">
        <v>4583</v>
      </c>
      <c r="P379" s="7" t="s">
        <v>4584</v>
      </c>
      <c r="Q379" s="7">
        <v>1</v>
      </c>
    </row>
    <row r="380" spans="1:18">
      <c r="A380" s="14">
        <v>80573</v>
      </c>
      <c r="B380" s="14" t="s">
        <v>334</v>
      </c>
      <c r="C380" s="14" t="s">
        <v>165</v>
      </c>
      <c r="D380" s="20" t="s">
        <v>10301</v>
      </c>
      <c r="E380" s="15" t="str">
        <f>HYPERLINK("https://stat100.ameba.jp/tnk47/ratio20/illustrations/card/ill_80573_ohanamigurampingusotorihime03.jpg?202110-5-RELEASE-marathon-556xxxx", "■")</f>
        <v>■</v>
      </c>
      <c r="F380" s="14" t="s">
        <v>4176</v>
      </c>
      <c r="G380" s="14">
        <v>136910</v>
      </c>
      <c r="H380" s="14">
        <v>127070</v>
      </c>
      <c r="I380" s="14">
        <v>30</v>
      </c>
      <c r="J380" s="14" t="s">
        <v>38</v>
      </c>
      <c r="K380" s="14" t="s">
        <v>4177</v>
      </c>
      <c r="L380" s="14" t="s">
        <v>4178</v>
      </c>
      <c r="M380" s="14" t="s">
        <v>9158</v>
      </c>
      <c r="N380" s="14" t="s">
        <v>9158</v>
      </c>
      <c r="O380" s="19" t="s">
        <v>10119</v>
      </c>
      <c r="P380" s="14" t="s">
        <v>3662</v>
      </c>
      <c r="Q380" s="14">
        <v>1</v>
      </c>
    </row>
    <row r="382" spans="1:18">
      <c r="A382" s="14" t="s">
        <v>13327</v>
      </c>
    </row>
    <row r="383" spans="1:18">
      <c r="A383" s="14">
        <v>112430</v>
      </c>
      <c r="B383" s="14" t="s">
        <v>17898</v>
      </c>
    </row>
    <row r="384" spans="1:18">
      <c r="A384" s="14">
        <v>97493</v>
      </c>
      <c r="B384" s="14" t="s">
        <v>0</v>
      </c>
      <c r="C384" s="14" t="s">
        <v>335</v>
      </c>
      <c r="D384" s="14" t="s">
        <v>16764</v>
      </c>
      <c r="E384" s="15" t="str">
        <f>HYPERLINK("https://stat100.ameba.jp/tnk47/ratio20/illustrations/card/ill_97493_saiseinoshinkansopudeto03.jpg?202110-5-RELEASE-marathon-556xxxx", "■")</f>
        <v>■</v>
      </c>
      <c r="F384" s="14" t="s">
        <v>16763</v>
      </c>
      <c r="G384" s="14">
        <v>137316</v>
      </c>
      <c r="H384" s="14">
        <v>147692</v>
      </c>
      <c r="I384" s="14">
        <v>30</v>
      </c>
      <c r="J384" s="14" t="s">
        <v>38</v>
      </c>
      <c r="K384" s="14" t="s">
        <v>16762</v>
      </c>
      <c r="L384" s="14" t="s">
        <v>16761</v>
      </c>
      <c r="M384" s="14" t="s">
        <v>2138</v>
      </c>
      <c r="N384" s="14" t="s">
        <v>2139</v>
      </c>
      <c r="O384" s="14" t="s">
        <v>9158</v>
      </c>
      <c r="P384" s="14" t="s">
        <v>9158</v>
      </c>
      <c r="Q384" s="14" t="s">
        <v>9158</v>
      </c>
      <c r="R384" s="14" t="s">
        <v>14748</v>
      </c>
    </row>
    <row r="385" spans="1:18">
      <c r="A385" s="14">
        <v>97492</v>
      </c>
      <c r="B385" s="14" t="s">
        <v>0</v>
      </c>
      <c r="C385" s="14" t="s">
        <v>335</v>
      </c>
      <c r="D385" s="14" t="s">
        <v>16764</v>
      </c>
      <c r="E385" s="15" t="str">
        <f>HYPERLINK("https://stat100.ameba.jp/tnk47/ratio20/illustrations/card/ill_97492_saiseinoshinkansopudeto02.jpg?202110-5-RELEASE-marathon-556xxxx", "■")</f>
        <v>■</v>
      </c>
      <c r="F385" s="14" t="s">
        <v>16763</v>
      </c>
      <c r="G385" s="14">
        <v>113730</v>
      </c>
      <c r="H385" s="14">
        <v>123462</v>
      </c>
      <c r="I385" s="14">
        <v>30</v>
      </c>
      <c r="J385" s="14" t="s">
        <v>38</v>
      </c>
      <c r="K385" s="14" t="s">
        <v>16762</v>
      </c>
      <c r="L385" s="14" t="s">
        <v>16765</v>
      </c>
      <c r="M385" s="14" t="s">
        <v>13270</v>
      </c>
      <c r="N385" s="14" t="s">
        <v>13271</v>
      </c>
      <c r="O385" s="14" t="s">
        <v>9158</v>
      </c>
      <c r="P385" s="14" t="s">
        <v>9158</v>
      </c>
      <c r="Q385" s="14" t="s">
        <v>9158</v>
      </c>
      <c r="R385" s="14" t="s">
        <v>14748</v>
      </c>
    </row>
    <row r="386" spans="1:18">
      <c r="A386" s="14">
        <v>97491</v>
      </c>
      <c r="B386" s="14" t="s">
        <v>0</v>
      </c>
      <c r="C386" s="14" t="s">
        <v>335</v>
      </c>
      <c r="D386" s="14" t="s">
        <v>16764</v>
      </c>
      <c r="E386" s="15" t="str">
        <f>HYPERLINK("https://stat100.ameba.jp/tnk47/ratio20/illustrations/card/ill_97491_saiseinoshinkansopudeto01.jpg?202110-5-RELEASE-marathon-556xxxx", "■")</f>
        <v>■</v>
      </c>
      <c r="F386" s="14" t="s">
        <v>16763</v>
      </c>
      <c r="G386" s="14">
        <v>87750</v>
      </c>
      <c r="H386" s="14">
        <v>94260</v>
      </c>
      <c r="I386" s="14">
        <v>30</v>
      </c>
      <c r="J386" s="14" t="s">
        <v>38</v>
      </c>
      <c r="K386" s="14" t="s">
        <v>16762</v>
      </c>
      <c r="L386" s="14" t="s">
        <v>16766</v>
      </c>
      <c r="M386" s="14" t="s">
        <v>13270</v>
      </c>
      <c r="N386" s="14" t="s">
        <v>13271</v>
      </c>
      <c r="O386" s="14" t="s">
        <v>9158</v>
      </c>
      <c r="P386" s="14" t="s">
        <v>9158</v>
      </c>
      <c r="Q386" s="14" t="s">
        <v>9158</v>
      </c>
      <c r="R386" s="14" t="s">
        <v>14748</v>
      </c>
    </row>
    <row r="387" spans="1:18">
      <c r="A387" s="14">
        <v>97503</v>
      </c>
      <c r="B387" s="14" t="s">
        <v>0</v>
      </c>
      <c r="C387" s="14" t="s">
        <v>200</v>
      </c>
      <c r="D387" s="14" t="s">
        <v>16770</v>
      </c>
      <c r="E387" s="15" t="str">
        <f>HYPERLINK("https://stat100.ameba.jp/tnk47/ratio20/illustrations/card/ill_97503_kokeinodein03.jpg?202110-5-RELEASE-marathon-556xxxx", "■")</f>
        <v>■</v>
      </c>
      <c r="F387" s="14" t="s">
        <v>16769</v>
      </c>
      <c r="G387" s="14">
        <v>147692</v>
      </c>
      <c r="H387" s="14">
        <v>137316</v>
      </c>
      <c r="I387" s="14">
        <v>30</v>
      </c>
      <c r="J387" s="14" t="s">
        <v>143</v>
      </c>
      <c r="K387" s="14" t="s">
        <v>16768</v>
      </c>
      <c r="L387" s="14" t="s">
        <v>16767</v>
      </c>
      <c r="M387" s="14" t="s">
        <v>2138</v>
      </c>
      <c r="N387" s="14" t="s">
        <v>2139</v>
      </c>
      <c r="O387" s="14" t="s">
        <v>9158</v>
      </c>
      <c r="P387" s="14" t="s">
        <v>9158</v>
      </c>
      <c r="Q387" s="14" t="s">
        <v>9158</v>
      </c>
      <c r="R387" s="14" t="s">
        <v>14748</v>
      </c>
    </row>
    <row r="388" spans="1:18">
      <c r="A388" s="14">
        <v>97513</v>
      </c>
      <c r="B388" s="14" t="s">
        <v>0</v>
      </c>
      <c r="C388" s="14" t="s">
        <v>307</v>
      </c>
      <c r="D388" s="14" t="s">
        <v>16774</v>
      </c>
      <c r="E388" s="15" t="str">
        <f>HYPERLINK("https://stat100.ameba.jp/tnk47/ratio20/illustrations/card/ill_97513_yusuteiteia03.jpg?202110-5-RELEASE-marathon-556xxxx", "■")</f>
        <v>■</v>
      </c>
      <c r="F388" s="14" t="s">
        <v>16773</v>
      </c>
      <c r="G388" s="14">
        <v>137316</v>
      </c>
      <c r="H388" s="14">
        <v>147692</v>
      </c>
      <c r="I388" s="14">
        <v>30</v>
      </c>
      <c r="J388" s="14" t="s">
        <v>44</v>
      </c>
      <c r="K388" s="14" t="s">
        <v>16772</v>
      </c>
      <c r="L388" s="14" t="s">
        <v>16771</v>
      </c>
      <c r="M388" s="14" t="s">
        <v>2138</v>
      </c>
      <c r="N388" s="14" t="s">
        <v>2139</v>
      </c>
      <c r="O388" s="14" t="s">
        <v>9158</v>
      </c>
      <c r="P388" s="14" t="s">
        <v>9158</v>
      </c>
      <c r="Q388" s="14" t="s">
        <v>9158</v>
      </c>
      <c r="R388" s="14" t="s">
        <v>14748</v>
      </c>
    </row>
    <row r="389" spans="1:18">
      <c r="A389" s="14">
        <v>97523</v>
      </c>
      <c r="B389" s="14" t="s">
        <v>0</v>
      </c>
      <c r="C389" s="14" t="s">
        <v>165</v>
      </c>
      <c r="D389" s="14" t="s">
        <v>16778</v>
      </c>
      <c r="E389" s="15" t="str">
        <f>HYPERLINK("https://stat100.ameba.jp/tnk47/ratio20/illustrations/card/ill_97523_karyua03.jpg?202110-5-RELEASE-marathon-556xxxx", "■")</f>
        <v>■</v>
      </c>
      <c r="F389" s="14" t="s">
        <v>16777</v>
      </c>
      <c r="G389" s="14">
        <v>137316</v>
      </c>
      <c r="H389" s="14">
        <v>147692</v>
      </c>
      <c r="I389" s="14">
        <v>30</v>
      </c>
      <c r="J389" s="14" t="s">
        <v>26</v>
      </c>
      <c r="K389" s="14" t="s">
        <v>16776</v>
      </c>
      <c r="L389" s="14" t="s">
        <v>16775</v>
      </c>
      <c r="M389" s="14" t="s">
        <v>2138</v>
      </c>
      <c r="N389" s="14" t="s">
        <v>2139</v>
      </c>
      <c r="O389" s="14" t="s">
        <v>9158</v>
      </c>
      <c r="P389" s="14" t="s">
        <v>9158</v>
      </c>
      <c r="Q389" s="14" t="s">
        <v>9158</v>
      </c>
      <c r="R389" s="14" t="s">
        <v>14748</v>
      </c>
    </row>
    <row r="390" spans="1:18">
      <c r="A390" s="14">
        <v>97533</v>
      </c>
      <c r="B390" s="14" t="s">
        <v>0</v>
      </c>
      <c r="C390" s="9" t="s">
        <v>205</v>
      </c>
      <c r="D390" s="14" t="s">
        <v>16782</v>
      </c>
      <c r="E390" s="15" t="str">
        <f>HYPERLINK("https://stat100.ameba.jp/tnk47/ratio20/illustrations/card/ill_97533_pariakaka03.jpg?202110-5-RELEASE-marathon-556xxxx", "■")</f>
        <v>■</v>
      </c>
      <c r="F390" s="14" t="s">
        <v>16781</v>
      </c>
      <c r="G390" s="14">
        <v>137316</v>
      </c>
      <c r="H390" s="14">
        <v>147692</v>
      </c>
      <c r="I390" s="14">
        <v>30</v>
      </c>
      <c r="J390" s="14" t="s">
        <v>10</v>
      </c>
      <c r="K390" s="14" t="s">
        <v>16780</v>
      </c>
      <c r="L390" s="14" t="s">
        <v>16779</v>
      </c>
      <c r="M390" s="14" t="s">
        <v>2138</v>
      </c>
      <c r="N390" s="14" t="s">
        <v>2139</v>
      </c>
      <c r="O390" s="14" t="s">
        <v>9158</v>
      </c>
      <c r="P390" s="14" t="s">
        <v>9158</v>
      </c>
      <c r="Q390" s="14" t="s">
        <v>9158</v>
      </c>
      <c r="R390" s="14" t="s">
        <v>14748</v>
      </c>
    </row>
    <row r="391" spans="1:18">
      <c r="A391" s="14">
        <v>97543</v>
      </c>
      <c r="B391" s="14" t="s">
        <v>0</v>
      </c>
      <c r="C391" s="14" t="s">
        <v>206</v>
      </c>
      <c r="D391" s="14" t="s">
        <v>16786</v>
      </c>
      <c r="E391" s="15" t="str">
        <f>HYPERLINK("https://stat100.ameba.jp/tnk47/ratio20/illustrations/card/ill_97543_kuroimorinohekuse03.jpg?202110-5-RELEASE-marathon-556xxxx", "■")</f>
        <v>■</v>
      </c>
      <c r="F391" s="14" t="s">
        <v>16785</v>
      </c>
      <c r="G391" s="14">
        <v>147692</v>
      </c>
      <c r="H391" s="14">
        <v>137316</v>
      </c>
      <c r="I391" s="14">
        <v>30</v>
      </c>
      <c r="J391" s="14" t="s">
        <v>16</v>
      </c>
      <c r="K391" s="14" t="s">
        <v>16784</v>
      </c>
      <c r="L391" s="14" t="s">
        <v>16783</v>
      </c>
      <c r="M391" s="14" t="s">
        <v>2138</v>
      </c>
      <c r="N391" s="14" t="s">
        <v>2139</v>
      </c>
      <c r="O391" s="14" t="s">
        <v>9158</v>
      </c>
      <c r="P391" s="14" t="s">
        <v>9158</v>
      </c>
      <c r="Q391" s="14" t="s">
        <v>9158</v>
      </c>
      <c r="R391" s="14" t="s">
        <v>14748</v>
      </c>
    </row>
    <row r="393" spans="1:18">
      <c r="A393" s="14" t="s">
        <v>4065</v>
      </c>
    </row>
    <row r="394" spans="1:18">
      <c r="A394" s="14">
        <v>112526</v>
      </c>
      <c r="B394" s="14" t="s">
        <v>15245</v>
      </c>
    </row>
    <row r="395" spans="1:18">
      <c r="A395" s="14" t="s">
        <v>5891</v>
      </c>
      <c r="B395" s="14" t="s">
        <v>330</v>
      </c>
      <c r="C395" s="14" t="s">
        <v>202</v>
      </c>
      <c r="D395" s="20" t="s">
        <v>1371</v>
      </c>
      <c r="E395" s="15" t="str">
        <f>HYPERLINK("https://stat100.ameba.jp/tnk47/ratio20/illustrations/card/ill_77173_0_yukemuritomoegozen03.jpg?202110-5-RELEASE-marathon-556xxxx", "■")</f>
        <v>■</v>
      </c>
      <c r="F395" s="14" t="s">
        <v>1372</v>
      </c>
      <c r="G395" s="14">
        <v>280684</v>
      </c>
      <c r="H395" s="14">
        <v>310558</v>
      </c>
      <c r="I395" s="14">
        <v>28</v>
      </c>
      <c r="J395" s="14" t="s">
        <v>310</v>
      </c>
      <c r="K395" s="14" t="s">
        <v>1373</v>
      </c>
      <c r="L395" s="14" t="s">
        <v>1374</v>
      </c>
      <c r="M395" s="14" t="s">
        <v>9158</v>
      </c>
      <c r="N395" s="14" t="s">
        <v>9158</v>
      </c>
      <c r="O395" s="19" t="s">
        <v>4067</v>
      </c>
      <c r="P395" s="14" t="s">
        <v>3879</v>
      </c>
      <c r="Q395" s="14">
        <v>2</v>
      </c>
    </row>
    <row r="396" spans="1:18">
      <c r="A396" s="14">
        <v>56443</v>
      </c>
      <c r="B396" s="14" t="s">
        <v>0</v>
      </c>
      <c r="C396" s="14" t="s">
        <v>205</v>
      </c>
      <c r="D396" s="20" t="s">
        <v>10314</v>
      </c>
      <c r="E396" s="15" t="str">
        <f>HYPERLINK("https://stat100.ameba.jp/tnk47/ratio20/illustrations/card/ill_56443_poppukurisumasuizumonokuni03.jpg?202110-5-RELEASE-marathon-556xxxx", "■")</f>
        <v>■</v>
      </c>
      <c r="F396" s="14" t="s">
        <v>1151</v>
      </c>
      <c r="G396" s="14">
        <v>96756</v>
      </c>
      <c r="H396" s="14">
        <v>104068</v>
      </c>
      <c r="I396" s="14">
        <v>27</v>
      </c>
      <c r="J396" s="14" t="s">
        <v>10</v>
      </c>
      <c r="K396" s="14" t="s">
        <v>1152</v>
      </c>
      <c r="L396" s="14" t="s">
        <v>1153</v>
      </c>
      <c r="M396" s="14" t="s">
        <v>9864</v>
      </c>
      <c r="N396" s="14" t="s">
        <v>9158</v>
      </c>
      <c r="O396" s="19" t="s">
        <v>10119</v>
      </c>
      <c r="P396" s="14" t="s">
        <v>3662</v>
      </c>
      <c r="Q396" s="14">
        <v>1</v>
      </c>
    </row>
    <row r="397" spans="1:18">
      <c r="A397" s="14">
        <v>81743</v>
      </c>
      <c r="B397" s="14" t="s">
        <v>334</v>
      </c>
      <c r="C397" s="14" t="s">
        <v>107</v>
      </c>
      <c r="D397" s="19" t="s">
        <v>10171</v>
      </c>
      <c r="E397" s="15" t="str">
        <f>HYPERLINK("https://stat100.ameba.jp/tnk47/ratio20/illustrations/card/ill_81743_denshagarusakyogabashinohebi03.jpg?202110-5-RELEASE-marathon-556xxxx", "■")</f>
        <v>■</v>
      </c>
      <c r="F397" s="14" t="s">
        <v>4853</v>
      </c>
      <c r="G397" s="14">
        <v>123220</v>
      </c>
      <c r="H397" s="14">
        <v>114362</v>
      </c>
      <c r="I397" s="14">
        <v>27</v>
      </c>
      <c r="J397" s="14" t="s">
        <v>38</v>
      </c>
      <c r="K397" s="14" t="s">
        <v>4855</v>
      </c>
      <c r="L397" s="14" t="s">
        <v>4856</v>
      </c>
      <c r="M397" s="14" t="s">
        <v>9158</v>
      </c>
      <c r="N397" s="14" t="s">
        <v>9158</v>
      </c>
      <c r="O397" s="19" t="s">
        <v>10091</v>
      </c>
      <c r="P397" s="14" t="s">
        <v>3670</v>
      </c>
      <c r="Q397" s="14">
        <v>1</v>
      </c>
    </row>
    <row r="398" spans="1:18">
      <c r="A398" s="14">
        <v>82903</v>
      </c>
      <c r="B398" s="14" t="s">
        <v>334</v>
      </c>
      <c r="C398" s="14" t="s">
        <v>185</v>
      </c>
      <c r="D398" s="19" t="s">
        <v>10439</v>
      </c>
      <c r="E398" s="15" t="str">
        <f>HYPERLINK("https://stat100.ameba.jp/tnk47/ratio20/illustrations/card/ill_82903_yukatamatsurisonobehideo03.jpg?202110-5-RELEASE-marathon-556xxxx", "■")</f>
        <v>■</v>
      </c>
      <c r="F398" s="14" t="s">
        <v>5970</v>
      </c>
      <c r="G398" s="14">
        <v>105465</v>
      </c>
      <c r="H398" s="14">
        <v>98019</v>
      </c>
      <c r="I398" s="14">
        <v>27</v>
      </c>
      <c r="J398" s="14" t="s">
        <v>10</v>
      </c>
      <c r="K398" s="14" t="s">
        <v>5972</v>
      </c>
      <c r="L398" s="14" t="s">
        <v>5973</v>
      </c>
      <c r="M398" s="14" t="s">
        <v>9158</v>
      </c>
      <c r="N398" s="14" t="s">
        <v>9158</v>
      </c>
      <c r="O398" s="19" t="s">
        <v>10102</v>
      </c>
      <c r="P398" s="14" t="s">
        <v>3672</v>
      </c>
      <c r="Q398" s="14">
        <v>1</v>
      </c>
    </row>
    <row r="400" spans="1:18">
      <c r="A400" s="14" t="s">
        <v>3911</v>
      </c>
    </row>
    <row r="401" spans="1:17">
      <c r="A401" s="14">
        <v>112377</v>
      </c>
      <c r="B401" s="14" t="s">
        <v>18155</v>
      </c>
    </row>
    <row r="402" spans="1:17">
      <c r="A402" s="14">
        <v>112387</v>
      </c>
      <c r="B402" s="14" t="s">
        <v>15721</v>
      </c>
    </row>
    <row r="403" spans="1:17">
      <c r="A403" s="14" t="s">
        <v>17383</v>
      </c>
      <c r="B403" s="7" t="s">
        <v>52</v>
      </c>
      <c r="C403" s="14" t="s">
        <v>202</v>
      </c>
      <c r="D403" s="18" t="s">
        <v>17382</v>
      </c>
      <c r="E403" s="15" t="str">
        <f>HYPERLINK("https://stat100.ameba.jp/tnk47/ratio20/illustrations/card/ill_97703_0_shisutatachibanaginchiyo03.jpg?202110-5-RELEASE-marathon-556xxxx", "■")</f>
        <v>■</v>
      </c>
      <c r="F403" s="14" t="s">
        <v>17381</v>
      </c>
      <c r="G403" s="14">
        <v>286280</v>
      </c>
      <c r="H403" s="14">
        <v>316780</v>
      </c>
      <c r="I403" s="7">
        <v>30</v>
      </c>
      <c r="J403" s="14" t="s">
        <v>77</v>
      </c>
      <c r="K403" s="14" t="s">
        <v>17380</v>
      </c>
      <c r="L403" s="14" t="s">
        <v>17268</v>
      </c>
      <c r="M403" s="14" t="s">
        <v>9158</v>
      </c>
      <c r="N403" s="14" t="s">
        <v>9158</v>
      </c>
      <c r="O403" s="7" t="s">
        <v>17379</v>
      </c>
      <c r="P403" s="7" t="s">
        <v>17378</v>
      </c>
      <c r="Q403" s="7">
        <v>1</v>
      </c>
    </row>
    <row r="404" spans="1:17">
      <c r="A404" s="9" t="s">
        <v>9891</v>
      </c>
      <c r="B404" s="7" t="s">
        <v>52</v>
      </c>
      <c r="C404" s="9" t="s">
        <v>202</v>
      </c>
      <c r="D404" s="6" t="s">
        <v>9978</v>
      </c>
      <c r="E404" s="15" t="str">
        <f>HYPERLINK("https://stat100.ameba.jp/tnk47/ratio20/illustrations/card/ill_87643_0_oendanotohime03.jpg?202110-5-RELEASE-marathon-556xxxx", "■")</f>
        <v>■</v>
      </c>
      <c r="F404" s="14" t="s">
        <v>9928</v>
      </c>
      <c r="G404" s="9">
        <v>312396</v>
      </c>
      <c r="H404" s="9">
        <v>381788</v>
      </c>
      <c r="I404" s="7">
        <v>30</v>
      </c>
      <c r="J404" s="9" t="s">
        <v>155</v>
      </c>
      <c r="K404" s="14" t="s">
        <v>9932</v>
      </c>
      <c r="L404" s="14" t="s">
        <v>9933</v>
      </c>
      <c r="M404" s="14" t="s">
        <v>9158</v>
      </c>
      <c r="N404" s="14" t="s">
        <v>9158</v>
      </c>
      <c r="O404" s="6" t="s">
        <v>9989</v>
      </c>
      <c r="P404" s="7" t="s">
        <v>9944</v>
      </c>
      <c r="Q404" s="7">
        <v>1</v>
      </c>
    </row>
    <row r="405" spans="1:17">
      <c r="A405" s="14" t="s">
        <v>5721</v>
      </c>
      <c r="B405" s="14" t="s">
        <v>52</v>
      </c>
      <c r="C405" s="14" t="s">
        <v>1</v>
      </c>
      <c r="D405" s="19" t="s">
        <v>513</v>
      </c>
      <c r="E405" s="15" t="str">
        <f>HYPERLINK("https://stat100.ameba.jp/tnk47/ratio20/illustrations/card/ill_44283_0_izumonokuni03.jpg?202110-5-RELEASE-marathon-556xxxx", "■")</f>
        <v>■</v>
      </c>
      <c r="F405" s="14" t="s">
        <v>1716</v>
      </c>
      <c r="G405" s="14">
        <v>175560</v>
      </c>
      <c r="H405" s="14">
        <v>164424</v>
      </c>
      <c r="I405" s="7">
        <v>30</v>
      </c>
      <c r="J405" s="14" t="s">
        <v>16</v>
      </c>
      <c r="K405" s="14" t="s">
        <v>2254</v>
      </c>
      <c r="L405" s="14" t="s">
        <v>1718</v>
      </c>
      <c r="M405" s="14" t="s">
        <v>9158</v>
      </c>
      <c r="N405" s="14" t="s">
        <v>9158</v>
      </c>
      <c r="O405" s="14" t="s">
        <v>9158</v>
      </c>
      <c r="P405" s="14" t="s">
        <v>9158</v>
      </c>
      <c r="Q405" s="14" t="s">
        <v>9158</v>
      </c>
    </row>
    <row r="406" spans="1:17">
      <c r="A406" s="14">
        <v>77673</v>
      </c>
      <c r="B406" s="14" t="s">
        <v>334</v>
      </c>
      <c r="C406" s="14" t="s">
        <v>158</v>
      </c>
      <c r="D406" s="19" t="s">
        <v>10270</v>
      </c>
      <c r="E406" s="15" t="str">
        <f>HYPERLINK("https://stat100.ameba.jp/tnk47/ratio20/illustrations/card/ill_77673_ryunochoji03.jpg?202110-5-RELEASE-marathon-556xxxx", "■")</f>
        <v>■</v>
      </c>
      <c r="F406" s="14" t="s">
        <v>1777</v>
      </c>
      <c r="G406" s="14">
        <v>139892</v>
      </c>
      <c r="H406" s="14">
        <v>101348</v>
      </c>
      <c r="I406" s="7">
        <v>30</v>
      </c>
      <c r="J406" s="14" t="s">
        <v>73</v>
      </c>
      <c r="K406" s="14" t="s">
        <v>1778</v>
      </c>
      <c r="L406" s="14" t="s">
        <v>1779</v>
      </c>
      <c r="M406" s="14" t="s">
        <v>9158</v>
      </c>
      <c r="N406" s="14" t="s">
        <v>9158</v>
      </c>
      <c r="O406" s="19" t="s">
        <v>10090</v>
      </c>
      <c r="P406" s="14" t="s">
        <v>3460</v>
      </c>
      <c r="Q406" s="14">
        <v>1</v>
      </c>
    </row>
    <row r="407" spans="1:17">
      <c r="A407" s="14">
        <v>78143</v>
      </c>
      <c r="B407" s="14" t="s">
        <v>334</v>
      </c>
      <c r="C407" s="14" t="s">
        <v>203</v>
      </c>
      <c r="D407" s="19" t="s">
        <v>10285</v>
      </c>
      <c r="E407" s="15" t="str">
        <f>HYPERLINK("https://stat100.ameba.jp/tnk47/ratio20/illustrations/card/ill_78143_kanibarukuin03.jpg?202110-5-RELEASE-marathon-556xxxx", "■")</f>
        <v>■</v>
      </c>
      <c r="F407" s="14" t="s">
        <v>2687</v>
      </c>
      <c r="G407" s="14">
        <v>110780</v>
      </c>
      <c r="H407" s="14">
        <v>152958</v>
      </c>
      <c r="I407" s="7">
        <v>30</v>
      </c>
      <c r="J407" s="14" t="s">
        <v>26</v>
      </c>
      <c r="K407" s="14" t="s">
        <v>2688</v>
      </c>
      <c r="L407" s="14" t="s">
        <v>2137</v>
      </c>
      <c r="M407" s="14" t="s">
        <v>9158</v>
      </c>
      <c r="N407" s="14" t="s">
        <v>9158</v>
      </c>
      <c r="O407" s="19" t="s">
        <v>10103</v>
      </c>
      <c r="P407" s="14" t="s">
        <v>3897</v>
      </c>
      <c r="Q407" s="14">
        <v>1</v>
      </c>
    </row>
    <row r="408" spans="1:17">
      <c r="A408" s="9">
        <v>85363</v>
      </c>
      <c r="B408" s="9" t="s">
        <v>0</v>
      </c>
      <c r="C408" s="9" t="s">
        <v>158</v>
      </c>
      <c r="D408" s="19" t="s">
        <v>10708</v>
      </c>
      <c r="E408" s="15" t="str">
        <f>HYPERLINK("https://stat100.ameba.jp/tnk47/ratio20/illustrations/card/ill_85363_sukarunetaisa03.jpg?202110-5-RELEASE-marathon-556xxxx", "■")</f>
        <v>■</v>
      </c>
      <c r="F408" s="9" t="s">
        <v>7506</v>
      </c>
      <c r="G408" s="9">
        <v>144572</v>
      </c>
      <c r="H408" s="9">
        <v>199594</v>
      </c>
      <c r="I408" s="7">
        <v>30</v>
      </c>
      <c r="J408" s="9" t="s">
        <v>194</v>
      </c>
      <c r="K408" s="9" t="s">
        <v>7504</v>
      </c>
      <c r="L408" s="9" t="s">
        <v>1148</v>
      </c>
      <c r="M408" s="14" t="s">
        <v>9864</v>
      </c>
      <c r="N408" s="14" t="s">
        <v>9158</v>
      </c>
      <c r="O408" s="19" t="s">
        <v>10106</v>
      </c>
      <c r="P408" s="14" t="s">
        <v>3330</v>
      </c>
      <c r="Q408" s="14">
        <v>2</v>
      </c>
    </row>
    <row r="409" spans="1:17">
      <c r="A409" s="14">
        <v>78133</v>
      </c>
      <c r="B409" s="14" t="s">
        <v>0</v>
      </c>
      <c r="C409" s="14" t="s">
        <v>154</v>
      </c>
      <c r="D409" s="20" t="s">
        <v>10313</v>
      </c>
      <c r="E409" s="15" t="str">
        <f>HYPERLINK("https://stat100.ameba.jp/tnk47/ratio20/illustrations/card/ill_78133_akazukin03.jpg?202110-5-RELEASE-marathon-556xxxx", "■")</f>
        <v>■</v>
      </c>
      <c r="F409" s="14" t="s">
        <v>2202</v>
      </c>
      <c r="G409" s="14">
        <v>110884</v>
      </c>
      <c r="H409" s="14">
        <v>153096</v>
      </c>
      <c r="I409" s="7">
        <v>30</v>
      </c>
      <c r="J409" s="14" t="s">
        <v>38</v>
      </c>
      <c r="K409" s="14" t="s">
        <v>2203</v>
      </c>
      <c r="L409" s="14" t="s">
        <v>2204</v>
      </c>
      <c r="M409" s="14" t="s">
        <v>9158</v>
      </c>
      <c r="N409" s="14" t="s">
        <v>9158</v>
      </c>
      <c r="O409" s="19" t="s">
        <v>2917</v>
      </c>
      <c r="P409" s="14" t="s">
        <v>3531</v>
      </c>
      <c r="Q409" s="14">
        <v>1</v>
      </c>
    </row>
    <row r="410" spans="1:17">
      <c r="A410" s="14">
        <v>78123</v>
      </c>
      <c r="B410" s="14" t="s">
        <v>334</v>
      </c>
      <c r="C410" s="14" t="s">
        <v>209</v>
      </c>
      <c r="D410" s="6" t="s">
        <v>10010</v>
      </c>
      <c r="E410" s="15" t="str">
        <f>HYPERLINK("https://stat100.ameba.jp/tnk47/ratio20/illustrations/card/ill_78123_madannoteirusorushieru03.jpg?202110-5-RELEASE-marathon-556xxxx", "■")</f>
        <v>■</v>
      </c>
      <c r="F410" s="14" t="s">
        <v>3024</v>
      </c>
      <c r="G410" s="14">
        <v>199594</v>
      </c>
      <c r="H410" s="14">
        <v>144572</v>
      </c>
      <c r="I410" s="7">
        <v>30</v>
      </c>
      <c r="J410" s="14" t="s">
        <v>310</v>
      </c>
      <c r="K410" s="14" t="s">
        <v>3025</v>
      </c>
      <c r="L410" s="14" t="s">
        <v>443</v>
      </c>
      <c r="M410" s="14" t="s">
        <v>9158</v>
      </c>
      <c r="N410" s="14" t="s">
        <v>9158</v>
      </c>
      <c r="O410" s="17" t="s">
        <v>3414</v>
      </c>
      <c r="P410" s="14" t="s">
        <v>13122</v>
      </c>
      <c r="Q410" s="14">
        <v>1</v>
      </c>
    </row>
    <row r="411" spans="1:17">
      <c r="A411" s="9">
        <v>54713</v>
      </c>
      <c r="B411" s="14" t="s">
        <v>334</v>
      </c>
      <c r="C411" s="14" t="s">
        <v>264</v>
      </c>
      <c r="D411" s="14" t="s">
        <v>4369</v>
      </c>
      <c r="E411" s="15" t="str">
        <f>HYPERLINK("https://stat100.ameba.jp/tnk47/ratio20/illustrations/card/ill_54713_okashiononokomachi03.jpg?202110-5-RELEASE-marathon-556xxxx", "■")</f>
        <v>■</v>
      </c>
      <c r="F411" s="14" t="s">
        <v>4370</v>
      </c>
      <c r="G411" s="14">
        <v>115632</v>
      </c>
      <c r="H411" s="14">
        <v>107508</v>
      </c>
      <c r="I411" s="7">
        <v>30</v>
      </c>
      <c r="J411" s="14" t="s">
        <v>10</v>
      </c>
      <c r="K411" s="14" t="s">
        <v>4371</v>
      </c>
      <c r="L411" s="14" t="s">
        <v>4372</v>
      </c>
      <c r="M411" s="14" t="s">
        <v>9158</v>
      </c>
      <c r="N411" s="14" t="s">
        <v>9158</v>
      </c>
      <c r="O411" s="9" t="s">
        <v>4373</v>
      </c>
      <c r="P411" s="14" t="s">
        <v>4374</v>
      </c>
      <c r="Q411" s="14">
        <v>1</v>
      </c>
    </row>
    <row r="413" spans="1:17">
      <c r="A413" s="14" t="s">
        <v>3916</v>
      </c>
    </row>
    <row r="414" spans="1:17">
      <c r="A414" s="14">
        <v>112531</v>
      </c>
      <c r="B414" s="14" t="s">
        <v>15249</v>
      </c>
    </row>
    <row r="415" spans="1:17">
      <c r="A415" s="14">
        <v>71013</v>
      </c>
      <c r="B415" s="14" t="s">
        <v>334</v>
      </c>
      <c r="C415" s="14" t="s">
        <v>154</v>
      </c>
      <c r="D415" s="19" t="s">
        <v>837</v>
      </c>
      <c r="E415" s="15" t="str">
        <f>HYPERLINK("https://stat100.ameba.jp/tnk47/ratio20/illustrations/card/ill_71013_fujutsushisarashina03.jpg?202110-5-RELEASE-marathon-556xxxx", "■")</f>
        <v>■</v>
      </c>
      <c r="F415" s="14" t="s">
        <v>838</v>
      </c>
      <c r="G415" s="14">
        <v>120308</v>
      </c>
      <c r="H415" s="14">
        <v>129392</v>
      </c>
      <c r="I415" s="14">
        <v>30</v>
      </c>
      <c r="J415" s="14" t="s">
        <v>155</v>
      </c>
      <c r="K415" s="14" t="s">
        <v>1231</v>
      </c>
      <c r="L415" s="14" t="s">
        <v>13152</v>
      </c>
      <c r="M415" s="14" t="s">
        <v>9864</v>
      </c>
      <c r="N415" s="14" t="s">
        <v>9158</v>
      </c>
      <c r="O415" s="14" t="s">
        <v>9158</v>
      </c>
      <c r="P415" s="14" t="s">
        <v>9158</v>
      </c>
    </row>
    <row r="416" spans="1:17">
      <c r="A416" s="14">
        <v>71023</v>
      </c>
      <c r="B416" s="14" t="s">
        <v>334</v>
      </c>
      <c r="C416" s="14" t="s">
        <v>158</v>
      </c>
      <c r="D416" s="19" t="s">
        <v>841</v>
      </c>
      <c r="E416" s="15" t="str">
        <f>HYPERLINK("https://stat100.ameba.jp/tnk47/ratio20/illustrations/card/ill_71023_ommyojiiroha03.jpg?202110-5-RELEASE-marathon-556xxxx", "■")</f>
        <v>■</v>
      </c>
      <c r="F416" s="14" t="s">
        <v>842</v>
      </c>
      <c r="G416" s="14">
        <v>120308</v>
      </c>
      <c r="H416" s="14">
        <v>129392</v>
      </c>
      <c r="I416" s="14">
        <v>30</v>
      </c>
      <c r="J416" s="14" t="s">
        <v>159</v>
      </c>
      <c r="K416" s="14" t="s">
        <v>1232</v>
      </c>
      <c r="L416" s="14" t="s">
        <v>1233</v>
      </c>
      <c r="M416" s="14" t="s">
        <v>9158</v>
      </c>
      <c r="N416" s="14" t="s">
        <v>9158</v>
      </c>
      <c r="O416" s="14" t="s">
        <v>9158</v>
      </c>
      <c r="P416" s="14" t="s">
        <v>9158</v>
      </c>
    </row>
    <row r="417" spans="1:16">
      <c r="A417" s="14">
        <v>66053</v>
      </c>
      <c r="B417" s="14" t="s">
        <v>334</v>
      </c>
      <c r="C417" s="14" t="s">
        <v>205</v>
      </c>
      <c r="D417" s="19" t="s">
        <v>3046</v>
      </c>
      <c r="E417" s="15" t="str">
        <f>HYPERLINK("https://stat100.ameba.jp/tnk47/ratio20/illustrations/card/ill_66053_serebukushiyatamanokami03.jpg?202110-5-RELEASE-marathon-556xxxx", "■")</f>
        <v>■</v>
      </c>
      <c r="F417" s="14" t="s">
        <v>2265</v>
      </c>
      <c r="G417" s="14">
        <v>122366</v>
      </c>
      <c r="H417" s="14">
        <v>113762</v>
      </c>
      <c r="I417" s="14">
        <v>30</v>
      </c>
      <c r="J417" s="14" t="s">
        <v>44</v>
      </c>
      <c r="K417" s="14" t="s">
        <v>2266</v>
      </c>
      <c r="L417" s="14" t="s">
        <v>1860</v>
      </c>
      <c r="M417" s="14" t="s">
        <v>9158</v>
      </c>
      <c r="N417" s="14" t="s">
        <v>9158</v>
      </c>
      <c r="O417" s="14" t="s">
        <v>9158</v>
      </c>
      <c r="P417" s="14" t="s">
        <v>9158</v>
      </c>
    </row>
    <row r="418" spans="1:16">
      <c r="A418" s="14">
        <v>65923</v>
      </c>
      <c r="B418" s="14" t="s">
        <v>334</v>
      </c>
      <c r="C418" s="14" t="s">
        <v>185</v>
      </c>
      <c r="D418" s="19" t="s">
        <v>10204</v>
      </c>
      <c r="E418" s="15" t="str">
        <f>HYPERLINK("https://stat100.ameba.jp/tnk47/ratio20/illustrations/card/ill_65923_arabianginko03.jpg?202110-5-RELEASE-marathon-556xxxx", "■")</f>
        <v>■</v>
      </c>
      <c r="F418" s="14" t="s">
        <v>4978</v>
      </c>
      <c r="G418" s="14">
        <v>124996</v>
      </c>
      <c r="H418" s="14">
        <v>116244</v>
      </c>
      <c r="I418" s="14">
        <v>30</v>
      </c>
      <c r="J418" s="14" t="s">
        <v>182</v>
      </c>
      <c r="K418" s="14" t="s">
        <v>3679</v>
      </c>
      <c r="L418" s="14" t="s">
        <v>13188</v>
      </c>
      <c r="M418" s="14" t="s">
        <v>9158</v>
      </c>
      <c r="N418" s="14" t="s">
        <v>9158</v>
      </c>
      <c r="O418" s="14" t="s">
        <v>9158</v>
      </c>
      <c r="P418" s="14" t="s">
        <v>9158</v>
      </c>
    </row>
    <row r="419" spans="1:16">
      <c r="A419" s="14">
        <v>52863</v>
      </c>
      <c r="B419" s="14" t="s">
        <v>15</v>
      </c>
      <c r="C419" s="14" t="s">
        <v>191</v>
      </c>
      <c r="D419" s="19" t="s">
        <v>10516</v>
      </c>
      <c r="E419" s="15" t="str">
        <f>HYPERLINK("https://stat100.ameba.jp/tnk47/ratio20/illustrations/card/ill_52863_andoroidokingyonota03.jpg?202110-5-RELEASE-marathon-556xxxx", "■")</f>
        <v>■</v>
      </c>
      <c r="F419" s="14" t="s">
        <v>6409</v>
      </c>
      <c r="G419" s="14">
        <v>67210</v>
      </c>
      <c r="H419" s="14">
        <v>74100</v>
      </c>
      <c r="I419" s="14">
        <v>25</v>
      </c>
      <c r="J419" s="14" t="s">
        <v>38</v>
      </c>
      <c r="K419" s="14" t="s">
        <v>6407</v>
      </c>
      <c r="L419" s="14" t="s">
        <v>6406</v>
      </c>
      <c r="M419" s="14" t="s">
        <v>9158</v>
      </c>
      <c r="N419" s="14" t="s">
        <v>9158</v>
      </c>
      <c r="O419" s="14" t="s">
        <v>9158</v>
      </c>
      <c r="P419" s="14" t="s">
        <v>9158</v>
      </c>
    </row>
    <row r="420" spans="1:16">
      <c r="A420" s="14">
        <v>51593</v>
      </c>
      <c r="B420" s="14" t="s">
        <v>15</v>
      </c>
      <c r="C420" s="14" t="s">
        <v>200</v>
      </c>
      <c r="D420" s="19" t="s">
        <v>10517</v>
      </c>
      <c r="E420" s="15" t="str">
        <f>HYPERLINK("https://stat100.ameba.jp/tnk47/ratio20/illustrations/card/ill_51593_kishuhondatadakatsu03.jpg?202110-5-RELEASE-marathon-556xxxx", "■")</f>
        <v>■</v>
      </c>
      <c r="F420" s="14" t="s">
        <v>6413</v>
      </c>
      <c r="G420" s="14">
        <v>67210</v>
      </c>
      <c r="H420" s="14">
        <v>74100</v>
      </c>
      <c r="I420" s="14">
        <v>25</v>
      </c>
      <c r="J420" s="14" t="s">
        <v>143</v>
      </c>
      <c r="K420" s="14" t="s">
        <v>6411</v>
      </c>
      <c r="L420" s="14" t="s">
        <v>6410</v>
      </c>
      <c r="M420" s="14" t="s">
        <v>9158</v>
      </c>
      <c r="N420" s="14" t="s">
        <v>9158</v>
      </c>
      <c r="O420" s="14" t="s">
        <v>9158</v>
      </c>
      <c r="P420" s="14" t="s">
        <v>9158</v>
      </c>
    </row>
    <row r="421" spans="1:16">
      <c r="A421" s="14">
        <v>55403</v>
      </c>
      <c r="B421" s="14" t="s">
        <v>15</v>
      </c>
      <c r="C421" s="14" t="s">
        <v>165</v>
      </c>
      <c r="D421" s="19" t="s">
        <v>10518</v>
      </c>
      <c r="E421" s="15" t="str">
        <f>HYPERLINK("https://stat100.ameba.jp/tnk47/ratio20/illustrations/card/ill_55403_undokaikyogokumaria03.jpg?202110-5-RELEASE-marathon-556xxxx", "■")</f>
        <v>■</v>
      </c>
      <c r="F421" s="14" t="s">
        <v>6417</v>
      </c>
      <c r="G421" s="14">
        <v>74100</v>
      </c>
      <c r="H421" s="14">
        <v>67210</v>
      </c>
      <c r="I421" s="14">
        <v>25</v>
      </c>
      <c r="J421" s="14" t="s">
        <v>77</v>
      </c>
      <c r="K421" s="14" t="s">
        <v>6415</v>
      </c>
      <c r="L421" s="14" t="s">
        <v>6414</v>
      </c>
      <c r="M421" s="14" t="s">
        <v>9158</v>
      </c>
      <c r="N421" s="14" t="s">
        <v>9158</v>
      </c>
      <c r="O421" s="14" t="s">
        <v>9158</v>
      </c>
      <c r="P421" s="14" t="s">
        <v>9158</v>
      </c>
    </row>
    <row r="422" spans="1:16">
      <c r="A422" s="14">
        <v>52973</v>
      </c>
      <c r="B422" s="14" t="s">
        <v>15</v>
      </c>
      <c r="C422" s="14" t="s">
        <v>206</v>
      </c>
      <c r="D422" s="19" t="s">
        <v>10519</v>
      </c>
      <c r="E422" s="15" t="str">
        <f>HYPERLINK("https://stat100.ameba.jp/tnk47/ratio20/illustrations/card/ill_55403_undokaikyogokumaria03.jpg?202110-5-RELEASE-marathon-556xxxx", "■")</f>
        <v>■</v>
      </c>
      <c r="F422" s="14" t="s">
        <v>6421</v>
      </c>
      <c r="G422" s="14">
        <v>74100</v>
      </c>
      <c r="H422" s="14">
        <v>67210</v>
      </c>
      <c r="I422" s="14">
        <v>25</v>
      </c>
      <c r="J422" s="14" t="s">
        <v>44</v>
      </c>
      <c r="K422" s="14" t="s">
        <v>6419</v>
      </c>
      <c r="L422" s="14" t="s">
        <v>6418</v>
      </c>
      <c r="M422" s="14" t="s">
        <v>9158</v>
      </c>
      <c r="N422" s="14" t="s">
        <v>9158</v>
      </c>
      <c r="O422" s="14" t="s">
        <v>9158</v>
      </c>
      <c r="P422" s="14" t="s">
        <v>9158</v>
      </c>
    </row>
    <row r="484" spans="1:18">
      <c r="A484" s="14" t="s">
        <v>13327</v>
      </c>
    </row>
    <row r="485" spans="1:18">
      <c r="A485" s="14">
        <v>112580</v>
      </c>
      <c r="B485" s="14" t="s">
        <v>17897</v>
      </c>
    </row>
    <row r="486" spans="1:18">
      <c r="A486" s="14">
        <v>83973</v>
      </c>
      <c r="B486" s="14" t="s">
        <v>334</v>
      </c>
      <c r="C486" s="14" t="s">
        <v>14</v>
      </c>
      <c r="D486" s="19" t="s">
        <v>10570</v>
      </c>
      <c r="E486" s="15" t="str">
        <f>HYPERLINK("https://stat100.ameba.jp/tnk47/ratio20/illustrations/card/ill_83973_nekokishiirurosu03.jpg?202111-i_prefecture_active_user", "■")</f>
        <v>■</v>
      </c>
      <c r="F486" s="14" t="s">
        <v>6706</v>
      </c>
      <c r="G486" s="14">
        <v>147692</v>
      </c>
      <c r="H486" s="14">
        <v>137316</v>
      </c>
      <c r="I486" s="14">
        <v>30</v>
      </c>
      <c r="J486" s="14" t="s">
        <v>229</v>
      </c>
      <c r="K486" s="14" t="s">
        <v>6707</v>
      </c>
      <c r="L486" s="14" t="s">
        <v>13202</v>
      </c>
      <c r="M486" s="14" t="s">
        <v>13130</v>
      </c>
      <c r="N486" s="14" t="s">
        <v>343</v>
      </c>
      <c r="O486" s="14" t="s">
        <v>9158</v>
      </c>
      <c r="P486" s="14" t="s">
        <v>9158</v>
      </c>
      <c r="Q486" s="14" t="s">
        <v>9158</v>
      </c>
      <c r="R486" s="14" t="s">
        <v>14748</v>
      </c>
    </row>
    <row r="487" spans="1:18">
      <c r="A487" s="14">
        <v>83972</v>
      </c>
      <c r="B487" s="14" t="s">
        <v>334</v>
      </c>
      <c r="C487" s="14" t="s">
        <v>14</v>
      </c>
      <c r="D487" s="19" t="s">
        <v>10570</v>
      </c>
      <c r="E487" s="15" t="str">
        <f>HYPERLINK("https://stat100.ameba.jp/tnk47/ratio20/illustrations/card/ill_83972_nekokishiirurosu02.jpg?202111-i_prefecture_active_user", "■")</f>
        <v>■</v>
      </c>
      <c r="F487" s="14" t="s">
        <v>6706</v>
      </c>
      <c r="G487" s="14">
        <v>123462</v>
      </c>
      <c r="H487" s="14">
        <v>113730</v>
      </c>
      <c r="I487" s="14">
        <v>30</v>
      </c>
      <c r="J487" s="14" t="s">
        <v>229</v>
      </c>
      <c r="K487" s="14" t="s">
        <v>6707</v>
      </c>
      <c r="L487" s="14" t="s">
        <v>13201</v>
      </c>
      <c r="M487" s="14" t="s">
        <v>13131</v>
      </c>
      <c r="N487" s="14" t="s">
        <v>251</v>
      </c>
      <c r="O487" s="14" t="s">
        <v>9158</v>
      </c>
      <c r="P487" s="14" t="s">
        <v>9158</v>
      </c>
      <c r="Q487" s="14" t="s">
        <v>9158</v>
      </c>
      <c r="R487" s="14" t="s">
        <v>14748</v>
      </c>
    </row>
    <row r="488" spans="1:18">
      <c r="A488" s="14">
        <v>83971</v>
      </c>
      <c r="B488" s="14" t="s">
        <v>0</v>
      </c>
      <c r="C488" s="14" t="s">
        <v>14</v>
      </c>
      <c r="D488" s="19" t="s">
        <v>10570</v>
      </c>
      <c r="E488" s="15" t="str">
        <f>HYPERLINK("https://stat100.ameba.jp/tnk47/ratio20/illustrations/card/ill_83971_nekokishiirurosu01.jpg?202111-i_prefecture_active_user", "■")</f>
        <v>■</v>
      </c>
      <c r="F488" s="14" t="s">
        <v>6706</v>
      </c>
      <c r="G488" s="14">
        <v>94260</v>
      </c>
      <c r="H488" s="14">
        <v>87750</v>
      </c>
      <c r="I488" s="14">
        <v>30</v>
      </c>
      <c r="J488" s="14" t="s">
        <v>229</v>
      </c>
      <c r="K488" s="14" t="s">
        <v>6707</v>
      </c>
      <c r="L488" s="14" t="s">
        <v>13201</v>
      </c>
      <c r="M488" s="14" t="s">
        <v>13131</v>
      </c>
      <c r="N488" s="14" t="s">
        <v>251</v>
      </c>
      <c r="O488" s="14" t="s">
        <v>9158</v>
      </c>
      <c r="P488" s="14" t="s">
        <v>9158</v>
      </c>
      <c r="Q488" s="14" t="s">
        <v>9158</v>
      </c>
      <c r="R488" s="14" t="s">
        <v>14748</v>
      </c>
    </row>
    <row r="489" spans="1:18">
      <c r="A489" s="14">
        <v>83983</v>
      </c>
      <c r="B489" s="14" t="s">
        <v>334</v>
      </c>
      <c r="C489" s="14" t="s">
        <v>23</v>
      </c>
      <c r="D489" s="19" t="s">
        <v>10571</v>
      </c>
      <c r="E489" s="15" t="str">
        <f>HYPERLINK("https://stat100.ameba.jp/tnk47/ratio20/illustrations/card/ill_83983_ryujinsui03.jpg?202111-i_prefecture_active_user", "■")</f>
        <v>■</v>
      </c>
      <c r="F489" s="14" t="s">
        <v>6708</v>
      </c>
      <c r="G489" s="14">
        <v>137316</v>
      </c>
      <c r="H489" s="14">
        <v>147692</v>
      </c>
      <c r="I489" s="14">
        <v>30</v>
      </c>
      <c r="J489" s="14" t="s">
        <v>169</v>
      </c>
      <c r="K489" s="14" t="s">
        <v>6710</v>
      </c>
      <c r="L489" s="14" t="s">
        <v>6721</v>
      </c>
      <c r="M489" s="14" t="s">
        <v>13130</v>
      </c>
      <c r="N489" s="14" t="s">
        <v>343</v>
      </c>
      <c r="O489" s="14" t="s">
        <v>9158</v>
      </c>
      <c r="P489" s="14" t="s">
        <v>9158</v>
      </c>
      <c r="Q489" s="14" t="s">
        <v>9158</v>
      </c>
      <c r="R489" s="14" t="s">
        <v>14748</v>
      </c>
    </row>
    <row r="490" spans="1:18">
      <c r="A490" s="14">
        <v>83993</v>
      </c>
      <c r="B490" s="14" t="s">
        <v>334</v>
      </c>
      <c r="C490" s="14" t="s">
        <v>101</v>
      </c>
      <c r="D490" s="19" t="s">
        <v>10572</v>
      </c>
      <c r="E490" s="15" t="str">
        <f>HYPERLINK("https://stat100.ameba.jp/tnk47/ratio20/illustrations/card/ill_83993_enjieruzuranotamagochan03.jpg?202111-i_prefecture_active_user", "■")</f>
        <v>■</v>
      </c>
      <c r="F490" s="14" t="s">
        <v>6722</v>
      </c>
      <c r="G490" s="14">
        <v>137316</v>
      </c>
      <c r="H490" s="14">
        <v>147692</v>
      </c>
      <c r="I490" s="14">
        <v>30</v>
      </c>
      <c r="J490" s="14" t="s">
        <v>216</v>
      </c>
      <c r="K490" s="14" t="s">
        <v>6723</v>
      </c>
      <c r="L490" s="14" t="s">
        <v>6724</v>
      </c>
      <c r="M490" s="14" t="s">
        <v>13130</v>
      </c>
      <c r="N490" s="14" t="s">
        <v>343</v>
      </c>
      <c r="O490" s="14" t="s">
        <v>9158</v>
      </c>
      <c r="P490" s="14" t="s">
        <v>9158</v>
      </c>
      <c r="Q490" s="14" t="s">
        <v>9158</v>
      </c>
      <c r="R490" s="14" t="s">
        <v>14748</v>
      </c>
    </row>
    <row r="491" spans="1:18">
      <c r="A491" s="14">
        <v>84003</v>
      </c>
      <c r="B491" s="14" t="s">
        <v>0</v>
      </c>
      <c r="C491" s="14" t="s">
        <v>96</v>
      </c>
      <c r="D491" s="19" t="s">
        <v>10573</v>
      </c>
      <c r="E491" s="15" t="str">
        <f>HYPERLINK("https://stat100.ameba.jp/tnk47/ratio20/illustrations/card/ill_84003_sukoropendora03.jpg?202111-i_prefecture_active_user", "■")</f>
        <v>■</v>
      </c>
      <c r="F491" s="14" t="s">
        <v>6725</v>
      </c>
      <c r="G491" s="14">
        <v>147692</v>
      </c>
      <c r="H491" s="14">
        <v>137316</v>
      </c>
      <c r="I491" s="14">
        <v>30</v>
      </c>
      <c r="J491" s="14" t="s">
        <v>182</v>
      </c>
      <c r="K491" s="14" t="s">
        <v>6727</v>
      </c>
      <c r="L491" s="14" t="s">
        <v>6728</v>
      </c>
      <c r="M491" s="14" t="s">
        <v>13130</v>
      </c>
      <c r="N491" s="14" t="s">
        <v>343</v>
      </c>
      <c r="O491" s="14" t="s">
        <v>9158</v>
      </c>
      <c r="P491" s="14" t="s">
        <v>9158</v>
      </c>
      <c r="Q491" s="14" t="s">
        <v>9158</v>
      </c>
      <c r="R491" s="14" t="s">
        <v>14748</v>
      </c>
    </row>
    <row r="492" spans="1:18">
      <c r="A492" s="14">
        <v>84013</v>
      </c>
      <c r="B492" s="14" t="s">
        <v>334</v>
      </c>
      <c r="C492" s="14" t="s">
        <v>205</v>
      </c>
      <c r="D492" s="19" t="s">
        <v>10574</v>
      </c>
      <c r="E492" s="15" t="str">
        <f>HYPERLINK("https://stat100.ameba.jp/tnk47/ratio20/illustrations/card/ill_84013_neikiddo03.jpg?202111-i_prefecture_active_user", "■")</f>
        <v>■</v>
      </c>
      <c r="F492" s="14" t="s">
        <v>6729</v>
      </c>
      <c r="G492" s="14">
        <v>137316</v>
      </c>
      <c r="H492" s="14">
        <v>147692</v>
      </c>
      <c r="I492" s="14">
        <v>30</v>
      </c>
      <c r="J492" s="14" t="s">
        <v>194</v>
      </c>
      <c r="K492" s="14" t="s">
        <v>6731</v>
      </c>
      <c r="L492" s="14" t="s">
        <v>6732</v>
      </c>
      <c r="M492" s="14" t="s">
        <v>13130</v>
      </c>
      <c r="N492" s="14" t="s">
        <v>343</v>
      </c>
      <c r="O492" s="14" t="s">
        <v>9158</v>
      </c>
      <c r="P492" s="14" t="s">
        <v>9158</v>
      </c>
      <c r="Q492" s="14" t="s">
        <v>9158</v>
      </c>
      <c r="R492" s="14" t="s">
        <v>14748</v>
      </c>
    </row>
    <row r="493" spans="1:18">
      <c r="A493" s="14">
        <v>76763</v>
      </c>
      <c r="B493" s="14" t="s">
        <v>334</v>
      </c>
      <c r="C493" s="14" t="s">
        <v>107</v>
      </c>
      <c r="D493" s="19" t="s">
        <v>10575</v>
      </c>
      <c r="E493" s="15" t="str">
        <f>HYPERLINK("https://stat100.ameba.jp/tnk47/ratio20/illustrations/card/ill_76763_monsutanabeshimakeiginni03.jpg?202111-i_prefecture_active_user", "■")</f>
        <v>■</v>
      </c>
      <c r="F493" s="14" t="s">
        <v>6733</v>
      </c>
      <c r="G493" s="14">
        <v>147692</v>
      </c>
      <c r="H493" s="14">
        <v>137316</v>
      </c>
      <c r="I493" s="14">
        <v>30</v>
      </c>
      <c r="J493" s="14" t="s">
        <v>187</v>
      </c>
      <c r="K493" s="14" t="s">
        <v>6735</v>
      </c>
      <c r="L493" s="14" t="s">
        <v>6736</v>
      </c>
      <c r="M493" s="14" t="s">
        <v>13130</v>
      </c>
      <c r="N493" s="14" t="s">
        <v>343</v>
      </c>
      <c r="O493" s="14" t="s">
        <v>9158</v>
      </c>
      <c r="P493" s="14" t="s">
        <v>9158</v>
      </c>
      <c r="Q493" s="14" t="s">
        <v>9158</v>
      </c>
      <c r="R493" s="14" t="s">
        <v>14748</v>
      </c>
    </row>
    <row r="513" spans="1:17">
      <c r="A513" s="14" t="s">
        <v>3916</v>
      </c>
    </row>
    <row r="514" spans="1:17">
      <c r="A514" s="14">
        <v>112602</v>
      </c>
      <c r="B514" s="14" t="s">
        <v>17896</v>
      </c>
    </row>
    <row r="515" spans="1:17">
      <c r="A515" s="9">
        <v>60363</v>
      </c>
      <c r="B515" s="14" t="s">
        <v>0</v>
      </c>
      <c r="C515" s="14" t="s">
        <v>209</v>
      </c>
      <c r="D515" s="14" t="s">
        <v>3918</v>
      </c>
      <c r="E515" s="15" t="str">
        <f>HYPERLINK("https://stat100.ameba.jp/tnk47/ratio20/illustrations/card/ill_60363_shirakaba03.jpg?202111-i_prefecture_active_userxx", "■")</f>
        <v>■</v>
      </c>
      <c r="F515" s="14" t="s">
        <v>3919</v>
      </c>
      <c r="G515" s="14">
        <v>120308</v>
      </c>
      <c r="H515" s="14">
        <v>129392</v>
      </c>
      <c r="I515" s="14">
        <v>30</v>
      </c>
      <c r="J515" s="14" t="s">
        <v>26</v>
      </c>
      <c r="K515" s="14" t="s">
        <v>3920</v>
      </c>
      <c r="L515" s="14" t="s">
        <v>3921</v>
      </c>
      <c r="M515" s="14" t="s">
        <v>9158</v>
      </c>
      <c r="N515" s="14" t="s">
        <v>9158</v>
      </c>
      <c r="O515" s="14" t="s">
        <v>9158</v>
      </c>
      <c r="P515" s="14" t="s">
        <v>9158</v>
      </c>
      <c r="Q515" s="14" t="s">
        <v>9158</v>
      </c>
    </row>
    <row r="516" spans="1:17">
      <c r="A516" s="9">
        <v>59413</v>
      </c>
      <c r="B516" s="14" t="s">
        <v>334</v>
      </c>
      <c r="C516" s="14" t="s">
        <v>158</v>
      </c>
      <c r="D516" s="14" t="s">
        <v>3922</v>
      </c>
      <c r="E516" s="15" t="str">
        <f>HYPERLINK("https://stat100.ameba.jp/tnk47/ratio20/illustrations/card/ill_59413_otogosahime03.jpg?202111-i_prefecture_active_userxx", "■")</f>
        <v>■</v>
      </c>
      <c r="F516" s="14" t="s">
        <v>3923</v>
      </c>
      <c r="G516" s="14">
        <v>120308</v>
      </c>
      <c r="H516" s="14">
        <v>129392</v>
      </c>
      <c r="I516" s="14">
        <v>30</v>
      </c>
      <c r="J516" s="14" t="s">
        <v>38</v>
      </c>
      <c r="K516" s="14" t="s">
        <v>3924</v>
      </c>
      <c r="L516" s="14" t="s">
        <v>3925</v>
      </c>
      <c r="M516" s="14" t="s">
        <v>9158</v>
      </c>
      <c r="N516" s="14" t="s">
        <v>9158</v>
      </c>
      <c r="O516" s="14" t="s">
        <v>9158</v>
      </c>
      <c r="P516" s="14" t="s">
        <v>9158</v>
      </c>
      <c r="Q516" s="14" t="s">
        <v>9158</v>
      </c>
    </row>
    <row r="517" spans="1:17">
      <c r="A517" s="14">
        <v>76483</v>
      </c>
      <c r="B517" s="14" t="s">
        <v>334</v>
      </c>
      <c r="C517" s="14" t="s">
        <v>307</v>
      </c>
      <c r="D517" s="20" t="s">
        <v>589</v>
      </c>
      <c r="E517" s="15" t="str">
        <f>HYPERLINK("https://stat100.ameba.jp/tnk47/ratio20/illustrations/card/ill_76483_yukemurimizuhanome03.jpg?202111-i_prefecture_active_userxx", "■")</f>
        <v>■</v>
      </c>
      <c r="F517" s="14" t="s">
        <v>590</v>
      </c>
      <c r="G517" s="14">
        <v>122366</v>
      </c>
      <c r="H517" s="14">
        <v>113762</v>
      </c>
      <c r="I517" s="14">
        <v>30</v>
      </c>
      <c r="J517" s="14" t="s">
        <v>401</v>
      </c>
      <c r="K517" s="14" t="s">
        <v>591</v>
      </c>
      <c r="L517" s="14" t="s">
        <v>592</v>
      </c>
      <c r="M517" s="14" t="s">
        <v>9158</v>
      </c>
      <c r="N517" s="14" t="s">
        <v>9158</v>
      </c>
      <c r="O517" s="14" t="s">
        <v>9158</v>
      </c>
      <c r="P517" s="14" t="s">
        <v>9158</v>
      </c>
      <c r="Q517" s="14" t="s">
        <v>9158</v>
      </c>
    </row>
    <row r="518" spans="1:17">
      <c r="A518" s="14">
        <v>70023</v>
      </c>
      <c r="B518" s="14" t="s">
        <v>334</v>
      </c>
      <c r="C518" s="14" t="s">
        <v>344</v>
      </c>
      <c r="D518" s="20" t="s">
        <v>10230</v>
      </c>
      <c r="E518" s="15" t="str">
        <f>HYPERLINK("https://stat100.ameba.jp/tnk47/ratio20/illustrations/card/ill_70023_yukinoukokunabeshimanobakeneko03.jpg?202111-i_prefecture_active_userxx", "■")</f>
        <v>■</v>
      </c>
      <c r="F518" s="14" t="s">
        <v>769</v>
      </c>
      <c r="G518" s="14">
        <v>116244</v>
      </c>
      <c r="H518" s="14">
        <v>124996</v>
      </c>
      <c r="I518" s="14">
        <v>30</v>
      </c>
      <c r="J518" s="14" t="s">
        <v>320</v>
      </c>
      <c r="K518" s="14" t="s">
        <v>770</v>
      </c>
      <c r="L518" s="14" t="s">
        <v>771</v>
      </c>
      <c r="M518" s="14" t="s">
        <v>9158</v>
      </c>
      <c r="N518" s="14" t="s">
        <v>9158</v>
      </c>
      <c r="O518" s="14" t="s">
        <v>9158</v>
      </c>
      <c r="P518" s="14" t="s">
        <v>9158</v>
      </c>
      <c r="Q518" s="14" t="s">
        <v>9158</v>
      </c>
    </row>
    <row r="519" spans="1:17">
      <c r="A519" s="14">
        <v>52733</v>
      </c>
      <c r="B519" s="14" t="s">
        <v>15</v>
      </c>
      <c r="C519" s="14" t="s">
        <v>185</v>
      </c>
      <c r="D519" s="20" t="s">
        <v>10491</v>
      </c>
      <c r="E519" s="15" t="str">
        <f>HYPERLINK("https://stat100.ameba.jp/tnk47/ratio20/illustrations/card/ill_52733_sekkinambutsuruhime03.jpg?202111-i_prefecture_active_userxx", "■")</f>
        <v>■</v>
      </c>
      <c r="F519" s="14" t="s">
        <v>6246</v>
      </c>
      <c r="G519" s="14">
        <v>67210</v>
      </c>
      <c r="H519" s="14">
        <v>74100</v>
      </c>
      <c r="I519" s="14">
        <v>25</v>
      </c>
      <c r="J519" s="14" t="s">
        <v>77</v>
      </c>
      <c r="K519" s="14" t="s">
        <v>6248</v>
      </c>
      <c r="L519" s="14" t="s">
        <v>6249</v>
      </c>
      <c r="M519" s="14" t="s">
        <v>9158</v>
      </c>
      <c r="N519" s="14" t="s">
        <v>9158</v>
      </c>
      <c r="O519" s="14" t="s">
        <v>9158</v>
      </c>
      <c r="P519" s="14" t="s">
        <v>9158</v>
      </c>
      <c r="Q519" s="14" t="s">
        <v>9158</v>
      </c>
    </row>
    <row r="520" spans="1:17">
      <c r="A520" s="14">
        <v>54003</v>
      </c>
      <c r="B520" s="14" t="s">
        <v>15</v>
      </c>
      <c r="C520" s="14" t="s">
        <v>200</v>
      </c>
      <c r="D520" s="20" t="s">
        <v>10492</v>
      </c>
      <c r="E520" s="15" t="str">
        <f>HYPERLINK("https://stat100.ameba.jp/tnk47/ratio20/illustrations/card/ill_54003_seiryumegurihiguchiichiyo03.jpg?202111-i_prefecture_active_userxx", "■")</f>
        <v>■</v>
      </c>
      <c r="F520" s="14" t="s">
        <v>6250</v>
      </c>
      <c r="G520" s="14">
        <v>74100</v>
      </c>
      <c r="H520" s="14">
        <v>67210</v>
      </c>
      <c r="I520" s="14">
        <v>25</v>
      </c>
      <c r="J520" s="14" t="s">
        <v>10</v>
      </c>
      <c r="K520" s="14" t="s">
        <v>6252</v>
      </c>
      <c r="L520" s="14" t="s">
        <v>6253</v>
      </c>
      <c r="M520" s="14" t="s">
        <v>9158</v>
      </c>
      <c r="N520" s="14" t="s">
        <v>9158</v>
      </c>
      <c r="O520" s="14" t="s">
        <v>9158</v>
      </c>
      <c r="P520" s="14" t="s">
        <v>9158</v>
      </c>
      <c r="Q520" s="14" t="s">
        <v>9158</v>
      </c>
    </row>
    <row r="521" spans="1:17">
      <c r="A521" s="14">
        <v>51833</v>
      </c>
      <c r="B521" s="14" t="s">
        <v>15</v>
      </c>
      <c r="C521" s="14" t="s">
        <v>205</v>
      </c>
      <c r="D521" s="20" t="s">
        <v>10493</v>
      </c>
      <c r="E521" s="15" t="str">
        <f>HYPERLINK("https://stat100.ameba.jp/tnk47/ratio20/illustrations/card/ill_51833_jukimakitsuhikonomikoto03.jpg?202111-i_prefecture_active_userxx", "■")</f>
        <v>■</v>
      </c>
      <c r="F521" s="14" t="s">
        <v>6254</v>
      </c>
      <c r="G521" s="14">
        <v>74100</v>
      </c>
      <c r="H521" s="14">
        <v>67210</v>
      </c>
      <c r="I521" s="14">
        <v>25</v>
      </c>
      <c r="J521" s="14" t="s">
        <v>44</v>
      </c>
      <c r="K521" s="14" t="s">
        <v>6257</v>
      </c>
      <c r="L521" s="14" t="s">
        <v>6256</v>
      </c>
      <c r="M521" s="14" t="s">
        <v>9158</v>
      </c>
      <c r="N521" s="14" t="s">
        <v>9158</v>
      </c>
      <c r="O521" s="14" t="s">
        <v>9158</v>
      </c>
      <c r="P521" s="14" t="s">
        <v>9158</v>
      </c>
      <c r="Q521" s="14" t="s">
        <v>9158</v>
      </c>
    </row>
    <row r="522" spans="1:17">
      <c r="A522" s="14">
        <v>53203</v>
      </c>
      <c r="B522" s="14" t="s">
        <v>15</v>
      </c>
      <c r="C522" s="14" t="s">
        <v>165</v>
      </c>
      <c r="D522" s="20" t="s">
        <v>10494</v>
      </c>
      <c r="E522" s="15" t="str">
        <f>HYPERLINK("https://stat100.ameba.jp/tnk47/ratio20/illustrations/card/ill_53203_buruhawaichan03.jpg?202111-i_prefecture_active_userxx", "■")</f>
        <v>■</v>
      </c>
      <c r="F522" s="14" t="s">
        <v>6258</v>
      </c>
      <c r="G522" s="14">
        <v>67210</v>
      </c>
      <c r="H522" s="14">
        <v>74100</v>
      </c>
      <c r="I522" s="14">
        <v>25</v>
      </c>
      <c r="J522" s="14" t="s">
        <v>104</v>
      </c>
      <c r="K522" s="14" t="s">
        <v>6261</v>
      </c>
      <c r="L522" s="14" t="s">
        <v>6260</v>
      </c>
      <c r="M522" s="14" t="s">
        <v>9158</v>
      </c>
      <c r="N522" s="14" t="s">
        <v>9158</v>
      </c>
      <c r="O522" s="14" t="s">
        <v>9158</v>
      </c>
      <c r="P522" s="14" t="s">
        <v>9158</v>
      </c>
      <c r="Q522" s="14" t="s">
        <v>9158</v>
      </c>
    </row>
    <row r="524" spans="1:17">
      <c r="I524" s="9"/>
    </row>
    <row r="526" spans="1:17">
      <c r="I526" s="9"/>
    </row>
    <row r="553" spans="1:17">
      <c r="A553" s="14" t="s">
        <v>4065</v>
      </c>
    </row>
    <row r="554" spans="1:17">
      <c r="A554" s="14">
        <v>112645</v>
      </c>
      <c r="B554" s="14" t="s">
        <v>18073</v>
      </c>
    </row>
    <row r="555" spans="1:17">
      <c r="A555" s="14" t="s">
        <v>15240</v>
      </c>
      <c r="B555" s="14" t="s">
        <v>117</v>
      </c>
      <c r="C555" s="14" t="s">
        <v>35</v>
      </c>
      <c r="D555" s="14" t="s">
        <v>15242</v>
      </c>
      <c r="E555" s="15" t="str">
        <f>HYPERLINK("https://stat100.ameba.jp/tnk47/ratio20/illustrations/card/ill_93503_0_reimeisammaki03.jpg?202111-i_prefecture_active_userxx", "■")</f>
        <v>■</v>
      </c>
      <c r="F555" s="14" t="s">
        <v>15239</v>
      </c>
      <c r="G555" s="14">
        <v>326473</v>
      </c>
      <c r="H555" s="14">
        <v>351140</v>
      </c>
      <c r="I555" s="14">
        <v>29</v>
      </c>
      <c r="J555" s="14" t="s">
        <v>44</v>
      </c>
      <c r="K555" s="14" t="s">
        <v>15238</v>
      </c>
      <c r="L555" s="14" t="s">
        <v>15237</v>
      </c>
      <c r="M555" s="14" t="s">
        <v>9158</v>
      </c>
      <c r="N555" s="14" t="s">
        <v>9158</v>
      </c>
      <c r="O555" s="14" t="s">
        <v>15577</v>
      </c>
      <c r="P555" s="14" t="s">
        <v>5968</v>
      </c>
      <c r="Q555" s="14">
        <v>1</v>
      </c>
    </row>
    <row r="556" spans="1:17">
      <c r="A556" s="14">
        <v>86223</v>
      </c>
      <c r="B556" s="14" t="s">
        <v>0</v>
      </c>
      <c r="C556" s="14" t="s">
        <v>191</v>
      </c>
      <c r="D556" s="20" t="s">
        <v>10881</v>
      </c>
      <c r="E556" s="15" t="str">
        <f>HYPERLINK("https://stat100.ameba.jp/tnk47/ratio20/illustrations/card/ill_86223_oshogatsumiyoshino03.jpg?202111-i_prefecture_active_userxx", "■")</f>
        <v>■</v>
      </c>
      <c r="F556" s="14" t="s">
        <v>8871</v>
      </c>
      <c r="G556" s="14">
        <v>98019</v>
      </c>
      <c r="H556" s="14">
        <v>105465</v>
      </c>
      <c r="I556" s="14">
        <v>27</v>
      </c>
      <c r="J556" s="14" t="s">
        <v>187</v>
      </c>
      <c r="K556" s="14" t="s">
        <v>8845</v>
      </c>
      <c r="L556" s="14" t="s">
        <v>13212</v>
      </c>
      <c r="M556" s="14" t="s">
        <v>9158</v>
      </c>
      <c r="N556" s="14" t="s">
        <v>9158</v>
      </c>
      <c r="O556" s="19" t="s">
        <v>10119</v>
      </c>
      <c r="P556" s="14" t="s">
        <v>3662</v>
      </c>
      <c r="Q556" s="14">
        <v>1</v>
      </c>
    </row>
    <row r="557" spans="1:17">
      <c r="A557" s="14">
        <v>58803</v>
      </c>
      <c r="B557" s="14" t="s">
        <v>0</v>
      </c>
      <c r="C557" s="14" t="s">
        <v>205</v>
      </c>
      <c r="D557" s="19" t="s">
        <v>10210</v>
      </c>
      <c r="E557" s="15" t="str">
        <f>HYPERLINK("https://stat100.ameba.jp/tnk47/ratio20/illustrations/card/ill_58803_setsubumpanikkumimuratsuru03.jpg?202111-i_prefecture_active_userxx", "■")</f>
        <v>■</v>
      </c>
      <c r="F557" s="14" t="s">
        <v>2028</v>
      </c>
      <c r="G557" s="14">
        <v>160055</v>
      </c>
      <c r="H557" s="14">
        <v>96756</v>
      </c>
      <c r="I557" s="14">
        <v>27</v>
      </c>
      <c r="J557" s="14" t="s">
        <v>194</v>
      </c>
      <c r="K557" s="14" t="s">
        <v>2029</v>
      </c>
      <c r="L557" s="14" t="s">
        <v>13171</v>
      </c>
      <c r="M557" s="14" t="s">
        <v>9158</v>
      </c>
      <c r="N557" s="14" t="s">
        <v>9158</v>
      </c>
      <c r="O557" s="19" t="s">
        <v>10092</v>
      </c>
      <c r="P557" s="14" t="s">
        <v>3704</v>
      </c>
      <c r="Q557" s="14">
        <v>1</v>
      </c>
    </row>
    <row r="558" spans="1:17">
      <c r="A558" s="14">
        <v>84153</v>
      </c>
      <c r="B558" s="14" t="s">
        <v>0</v>
      </c>
      <c r="C558" s="14" t="s">
        <v>165</v>
      </c>
      <c r="D558" s="20" t="s">
        <v>14065</v>
      </c>
      <c r="E558" s="15" t="str">
        <f>HYPERLINK("https://stat100.ameba.jp/tnk47/ratio20/illustrations/card/ill_84153_tarottotoyotomihideyori03.jpg?202111-i_prefecture_active_userxx", "■")</f>
        <v>■</v>
      </c>
      <c r="F558" s="14" t="s">
        <v>7155</v>
      </c>
      <c r="G558" s="14">
        <v>160507</v>
      </c>
      <c r="H558" s="14">
        <v>149240</v>
      </c>
      <c r="I558" s="14">
        <v>27</v>
      </c>
      <c r="J558" s="14" t="s">
        <v>143</v>
      </c>
      <c r="K558" s="14" t="s">
        <v>7156</v>
      </c>
      <c r="L558" s="14" t="s">
        <v>145</v>
      </c>
      <c r="M558" s="14" t="s">
        <v>9158</v>
      </c>
      <c r="N558" s="14" t="s">
        <v>9158</v>
      </c>
      <c r="O558" s="19" t="s">
        <v>10090</v>
      </c>
      <c r="P558" s="14" t="s">
        <v>3460</v>
      </c>
      <c r="Q558" s="14">
        <v>1</v>
      </c>
    </row>
    <row r="560" spans="1:17">
      <c r="A560" s="14" t="s">
        <v>4012</v>
      </c>
    </row>
    <row r="561" spans="1:19">
      <c r="A561" s="14">
        <v>241452</v>
      </c>
      <c r="B561" s="14" t="s">
        <v>18072</v>
      </c>
    </row>
    <row r="562" spans="1:19">
      <c r="A562" s="9" t="s">
        <v>5787</v>
      </c>
      <c r="B562" s="14" t="s">
        <v>330</v>
      </c>
      <c r="C562" s="14" t="s">
        <v>270</v>
      </c>
      <c r="D562" s="14" t="s">
        <v>1101</v>
      </c>
      <c r="E562" s="15" t="str">
        <f>HYPERLINK("https://stat100.ameba.jp/tnk47/ratio20/illustrations/card/ill_76303_0_haroinkaguya03.jpg?202111-i_prefecture_active_userxx", "■")</f>
        <v>■</v>
      </c>
      <c r="F562" s="14" t="s">
        <v>332</v>
      </c>
      <c r="G562" s="14">
        <v>321315</v>
      </c>
      <c r="H562" s="14">
        <v>298717</v>
      </c>
      <c r="I562" s="14">
        <v>27</v>
      </c>
      <c r="J562" s="14" t="s">
        <v>274</v>
      </c>
      <c r="K562" s="14" t="s">
        <v>333</v>
      </c>
      <c r="L562" s="14" t="s">
        <v>276</v>
      </c>
      <c r="M562" s="14" t="s">
        <v>9158</v>
      </c>
      <c r="N562" s="14" t="s">
        <v>9158</v>
      </c>
      <c r="O562" s="9" t="s">
        <v>2723</v>
      </c>
      <c r="P562" s="14" t="s">
        <v>2724</v>
      </c>
      <c r="Q562" s="14">
        <v>1</v>
      </c>
    </row>
    <row r="563" spans="1:19">
      <c r="A563" s="14" t="s">
        <v>6598</v>
      </c>
      <c r="B563" s="14" t="s">
        <v>330</v>
      </c>
      <c r="C563" s="14" t="s">
        <v>35</v>
      </c>
      <c r="D563" s="19" t="s">
        <v>10555</v>
      </c>
      <c r="E563" s="15" t="str">
        <f>HYPERLINK("https://stat100.ameba.jp/tnk47/ratio20/illustrations/card/ill_83553_0_kajuenamoronagu03.jpg?202111-i_prefecture_active_userxx", "■")</f>
        <v>■</v>
      </c>
      <c r="F563" s="14" t="s">
        <v>6597</v>
      </c>
      <c r="G563" s="14">
        <v>284219</v>
      </c>
      <c r="H563" s="14">
        <v>314478</v>
      </c>
      <c r="I563" s="14">
        <v>27</v>
      </c>
      <c r="J563" s="14" t="s">
        <v>44</v>
      </c>
      <c r="K563" s="14" t="s">
        <v>6595</v>
      </c>
      <c r="L563" s="14" t="s">
        <v>6594</v>
      </c>
      <c r="M563" s="14" t="s">
        <v>9158</v>
      </c>
      <c r="N563" s="14" t="s">
        <v>9158</v>
      </c>
      <c r="O563" s="19" t="s">
        <v>10125</v>
      </c>
      <c r="P563" s="14" t="s">
        <v>6599</v>
      </c>
      <c r="Q563" s="14">
        <v>1</v>
      </c>
    </row>
    <row r="564" spans="1:19">
      <c r="A564" s="14" t="s">
        <v>6132</v>
      </c>
      <c r="B564" s="14" t="s">
        <v>52</v>
      </c>
      <c r="C564" s="14" t="s">
        <v>205</v>
      </c>
      <c r="D564" s="19" t="s">
        <v>702</v>
      </c>
      <c r="E564" s="15" t="str">
        <f>HYPERLINK("https://stat100.ameba.jp/tnk47/ratio20/illustrations/card/ill_50693_0_hanamizugimimuratsuru03.jpg?202111-i_prefecture_active_userxx", "■")</f>
        <v>■</v>
      </c>
      <c r="F564" s="14" t="s">
        <v>2282</v>
      </c>
      <c r="G564" s="14">
        <v>150680</v>
      </c>
      <c r="H564" s="14">
        <v>169624</v>
      </c>
      <c r="I564" s="14">
        <v>27</v>
      </c>
      <c r="J564" s="14" t="s">
        <v>143</v>
      </c>
      <c r="K564" s="14" t="s">
        <v>2283</v>
      </c>
      <c r="L564" s="14" t="s">
        <v>2284</v>
      </c>
      <c r="M564" s="14" t="s">
        <v>9158</v>
      </c>
      <c r="N564" s="14" t="s">
        <v>9158</v>
      </c>
      <c r="O564" s="14" t="s">
        <v>9158</v>
      </c>
      <c r="P564" s="14" t="s">
        <v>9158</v>
      </c>
      <c r="Q564" s="14" t="s">
        <v>9158</v>
      </c>
    </row>
    <row r="565" spans="1:19">
      <c r="A565" s="14">
        <v>88213</v>
      </c>
      <c r="B565" s="14" t="s">
        <v>0</v>
      </c>
      <c r="C565" s="14" t="s">
        <v>35</v>
      </c>
      <c r="D565" s="14" t="s">
        <v>15967</v>
      </c>
      <c r="E565" s="15" t="str">
        <f>HYPERLINK("https://stat100.ameba.jp/tnk47/ratio20/illustrations/card/ill_88213_puroresuhokkaidogyunyuchan03.jpg?202111-i_prefecture_active_userxx", "■")</f>
        <v>■</v>
      </c>
      <c r="F565" s="14" t="s">
        <v>15966</v>
      </c>
      <c r="G565" s="14">
        <v>137858</v>
      </c>
      <c r="H565" s="14">
        <v>148272</v>
      </c>
      <c r="I565" s="14">
        <v>30</v>
      </c>
      <c r="J565" s="14" t="s">
        <v>104</v>
      </c>
      <c r="K565" s="14" t="s">
        <v>15964</v>
      </c>
      <c r="L565" s="14" t="s">
        <v>14546</v>
      </c>
      <c r="M565" s="14" t="s">
        <v>9158</v>
      </c>
      <c r="N565" s="14" t="s">
        <v>9158</v>
      </c>
      <c r="O565" s="14" t="s">
        <v>9158</v>
      </c>
      <c r="P565" s="14" t="s">
        <v>9158</v>
      </c>
      <c r="Q565" s="14" t="s">
        <v>9158</v>
      </c>
      <c r="S565" s="14" t="s">
        <v>18080</v>
      </c>
    </row>
    <row r="566" spans="1:19">
      <c r="A566" s="14">
        <v>90053</v>
      </c>
      <c r="B566" s="14" t="s">
        <v>0</v>
      </c>
      <c r="C566" s="14" t="s">
        <v>41</v>
      </c>
      <c r="D566" s="14" t="s">
        <v>18079</v>
      </c>
      <c r="E566" s="15" t="str">
        <f>HYPERLINK("https://stat100.ameba.jp/tnk47/ratio20/illustrations/card/ill_90053_hotarumatsuriishiifudeko03.jpg?202111-i_prefecture_active_userxx", "■")</f>
        <v>■</v>
      </c>
      <c r="F566" s="14" t="s">
        <v>18078</v>
      </c>
      <c r="G566" s="14">
        <v>108912</v>
      </c>
      <c r="H566" s="14">
        <v>117182</v>
      </c>
      <c r="I566" s="14">
        <v>30</v>
      </c>
      <c r="J566" s="14" t="s">
        <v>10</v>
      </c>
      <c r="K566" s="14" t="s">
        <v>18077</v>
      </c>
      <c r="L566" s="14" t="s">
        <v>1977</v>
      </c>
      <c r="M566" s="14" t="s">
        <v>9158</v>
      </c>
      <c r="N566" s="14" t="s">
        <v>9158</v>
      </c>
      <c r="O566" s="14" t="s">
        <v>9158</v>
      </c>
      <c r="P566" s="14" t="s">
        <v>9158</v>
      </c>
      <c r="Q566" s="14" t="s">
        <v>9158</v>
      </c>
      <c r="S566" s="14" t="s">
        <v>18081</v>
      </c>
    </row>
    <row r="567" spans="1:19">
      <c r="A567" s="14">
        <v>89993</v>
      </c>
      <c r="B567" s="14" t="s">
        <v>0</v>
      </c>
      <c r="C567" s="14" t="s">
        <v>47</v>
      </c>
      <c r="D567" s="14" t="s">
        <v>18076</v>
      </c>
      <c r="E567" s="15" t="str">
        <f>HYPERLINK("https://stat100.ameba.jp/tnk47/ratio20/illustrations/card/ill_89993_buiranzubuarirenko03.jpg?202111-i_prefecture_active_userxx", "■")</f>
        <v>■</v>
      </c>
      <c r="F567" s="14" t="s">
        <v>18075</v>
      </c>
      <c r="G567" s="14">
        <v>117182</v>
      </c>
      <c r="H567" s="14">
        <v>108912</v>
      </c>
      <c r="I567" s="14">
        <v>30</v>
      </c>
      <c r="J567" s="14" t="s">
        <v>77</v>
      </c>
      <c r="K567" s="14" t="s">
        <v>18074</v>
      </c>
      <c r="L567" s="14" t="s">
        <v>12081</v>
      </c>
      <c r="M567" s="14" t="s">
        <v>9158</v>
      </c>
      <c r="N567" s="14" t="s">
        <v>9158</v>
      </c>
      <c r="O567" s="14" t="s">
        <v>9158</v>
      </c>
      <c r="P567" s="14" t="s">
        <v>9158</v>
      </c>
      <c r="Q567" s="14" t="s">
        <v>9158</v>
      </c>
      <c r="S567" s="14" t="s">
        <v>18082</v>
      </c>
    </row>
    <row r="568" spans="1:19">
      <c r="A568" s="14">
        <v>92763</v>
      </c>
      <c r="B568" s="14" t="s">
        <v>15</v>
      </c>
      <c r="C568" s="14" t="s">
        <v>101</v>
      </c>
      <c r="D568" s="14" t="s">
        <v>18042</v>
      </c>
      <c r="E568" s="15" t="str">
        <f>HYPERLINK("https://stat100.ameba.jp/tnk47/ratio20/illustrations/card/ill_92763_shizuokaodenchan03.jpg?202111-i_prefecture_active_userxx", "■")</f>
        <v>■</v>
      </c>
      <c r="F568" s="14" t="s">
        <v>18047</v>
      </c>
      <c r="G568" s="14">
        <v>72586</v>
      </c>
      <c r="H568" s="14">
        <v>80028</v>
      </c>
      <c r="I568" s="14">
        <v>27</v>
      </c>
      <c r="J568" s="14" t="s">
        <v>104</v>
      </c>
      <c r="K568" s="14" t="s">
        <v>18046</v>
      </c>
      <c r="L568" s="14" t="s">
        <v>5225</v>
      </c>
      <c r="M568" s="14" t="s">
        <v>9158</v>
      </c>
      <c r="N568" s="14" t="s">
        <v>9158</v>
      </c>
      <c r="O568" s="14" t="s">
        <v>9158</v>
      </c>
      <c r="P568" s="14" t="s">
        <v>9158</v>
      </c>
      <c r="Q568" s="14" t="s">
        <v>9158</v>
      </c>
      <c r="S568" s="14" t="s">
        <v>18066</v>
      </c>
    </row>
    <row r="569" spans="1:19">
      <c r="A569" s="14">
        <v>99153</v>
      </c>
      <c r="B569" s="14" t="s">
        <v>15</v>
      </c>
      <c r="C569" s="14" t="s">
        <v>14</v>
      </c>
      <c r="D569" s="14" t="s">
        <v>18043</v>
      </c>
      <c r="E569" s="15" t="str">
        <f>HYPERLINK("https://stat100.ameba.jp/tnk47/ratio20/illustrations/card/ill_99153_erosoku03.jpg?202111-i_prefecture_active_userxx", "■")</f>
        <v>■</v>
      </c>
      <c r="F569" s="14" t="s">
        <v>18049</v>
      </c>
      <c r="G569" s="14">
        <v>80028</v>
      </c>
      <c r="H569" s="14">
        <v>72586</v>
      </c>
      <c r="I569" s="14">
        <v>27</v>
      </c>
      <c r="J569" s="14" t="s">
        <v>26</v>
      </c>
      <c r="K569" s="14" t="s">
        <v>18048</v>
      </c>
      <c r="L569" s="14" t="s">
        <v>924</v>
      </c>
      <c r="M569" s="14" t="s">
        <v>9158</v>
      </c>
      <c r="N569" s="14" t="s">
        <v>9158</v>
      </c>
      <c r="O569" s="14" t="s">
        <v>9158</v>
      </c>
      <c r="P569" s="14" t="s">
        <v>9158</v>
      </c>
      <c r="Q569" s="14" t="s">
        <v>9158</v>
      </c>
      <c r="S569" s="14" t="s">
        <v>18067</v>
      </c>
    </row>
    <row r="570" spans="1:19">
      <c r="A570" s="14">
        <v>98513</v>
      </c>
      <c r="B570" s="14" t="s">
        <v>15</v>
      </c>
      <c r="C570" s="14" t="s">
        <v>96</v>
      </c>
      <c r="D570" s="14" t="s">
        <v>18044</v>
      </c>
      <c r="E570" s="15" t="str">
        <f>HYPERLINK("https://stat100.ameba.jp/tnk47/ratio20/illustrations/card/ill_98513_bareisonokamitsuyuko03.jpg?202111-i_prefecture_active_userxx", "■")</f>
        <v>■</v>
      </c>
      <c r="F570" s="14" t="s">
        <v>18050</v>
      </c>
      <c r="G570" s="14">
        <v>80028</v>
      </c>
      <c r="H570" s="14">
        <v>72586</v>
      </c>
      <c r="I570" s="14">
        <v>27</v>
      </c>
      <c r="J570" s="14" t="s">
        <v>16</v>
      </c>
      <c r="K570" s="14" t="s">
        <v>99</v>
      </c>
      <c r="L570" s="14" t="s">
        <v>8207</v>
      </c>
      <c r="M570" s="14" t="s">
        <v>9158</v>
      </c>
      <c r="N570" s="14" t="s">
        <v>9158</v>
      </c>
      <c r="O570" s="14" t="s">
        <v>9158</v>
      </c>
      <c r="P570" s="14" t="s">
        <v>9158</v>
      </c>
      <c r="Q570" s="14" t="s">
        <v>9158</v>
      </c>
      <c r="S570" s="14" t="s">
        <v>18068</v>
      </c>
    </row>
    <row r="592" spans="1:1">
      <c r="A592" s="14" t="s">
        <v>18420</v>
      </c>
    </row>
    <row r="593" spans="1:17">
      <c r="A593" s="14">
        <v>241540</v>
      </c>
      <c r="B593" s="14" t="s">
        <v>7645</v>
      </c>
    </row>
    <row r="594" spans="1:17">
      <c r="A594" s="14">
        <v>241546</v>
      </c>
      <c r="B594" s="14" t="s">
        <v>7644</v>
      </c>
    </row>
    <row r="595" spans="1:17">
      <c r="A595" s="14" t="s">
        <v>17940</v>
      </c>
      <c r="B595" s="7" t="s">
        <v>52</v>
      </c>
      <c r="C595" s="14" t="s">
        <v>202</v>
      </c>
      <c r="D595" s="18" t="s">
        <v>17941</v>
      </c>
      <c r="E595" s="15" t="str">
        <f>HYPERLINK("https://stat100.ameba.jp/tnk47/ratio20/illustrations/card/ill_201033_0_haroinresshaarisu03.jpg?202111-i_prefecture_active_userxx", "■")</f>
        <v>■</v>
      </c>
      <c r="F595" s="14" t="s">
        <v>17939</v>
      </c>
      <c r="G595" s="14">
        <v>308246</v>
      </c>
      <c r="H595" s="14">
        <v>278622</v>
      </c>
      <c r="I595" s="7">
        <v>30</v>
      </c>
      <c r="J595" s="14" t="s">
        <v>38</v>
      </c>
      <c r="K595" s="14" t="s">
        <v>17938</v>
      </c>
      <c r="L595" s="14" t="s">
        <v>17937</v>
      </c>
      <c r="M595" s="14" t="s">
        <v>9158</v>
      </c>
      <c r="N595" s="14" t="s">
        <v>9158</v>
      </c>
      <c r="O595" s="7" t="s">
        <v>17936</v>
      </c>
      <c r="P595" s="7" t="s">
        <v>17935</v>
      </c>
      <c r="Q595" s="7">
        <v>1</v>
      </c>
    </row>
    <row r="596" spans="1:17">
      <c r="A596" s="14">
        <v>201453</v>
      </c>
      <c r="B596" s="14" t="s">
        <v>0</v>
      </c>
      <c r="C596" s="14" t="s">
        <v>96</v>
      </c>
      <c r="D596" s="14" t="s">
        <v>18424</v>
      </c>
      <c r="E596" s="15" t="str">
        <f>HYPERLINK("https://stat100.ameba.jp/tnk47/ratio20/illustrations/card/ill_201453_seijonikoru03.jpg?202111-i_prefecture_active_userxx", "■")</f>
        <v>■</v>
      </c>
      <c r="F596" s="14" t="s">
        <v>18423</v>
      </c>
      <c r="G596" s="14">
        <v>141676</v>
      </c>
      <c r="H596" s="14">
        <v>131742</v>
      </c>
      <c r="I596" s="14">
        <v>30</v>
      </c>
      <c r="J596" s="14" t="s">
        <v>143</v>
      </c>
      <c r="K596" s="14" t="s">
        <v>18422</v>
      </c>
      <c r="L596" s="14" t="s">
        <v>13460</v>
      </c>
      <c r="M596" s="14" t="s">
        <v>9158</v>
      </c>
      <c r="N596" s="14" t="s">
        <v>9158</v>
      </c>
      <c r="O596" s="14" t="s">
        <v>9158</v>
      </c>
      <c r="P596" s="14" t="s">
        <v>9158</v>
      </c>
      <c r="Q596" s="14" t="s">
        <v>9158</v>
      </c>
    </row>
    <row r="597" spans="1:17">
      <c r="A597" s="14">
        <v>201463</v>
      </c>
      <c r="B597" s="14" t="s">
        <v>0</v>
      </c>
      <c r="C597" s="14" t="s">
        <v>14</v>
      </c>
      <c r="D597" s="14" t="s">
        <v>18429</v>
      </c>
      <c r="E597" s="15" t="str">
        <f>HYPERLINK("https://stat100.ameba.jp/tnk47/ratio20/illustrations/card/ill_201463_haroinapefuchikamui03.jpg?202111-i_prefecture_active_userxx", "■")</f>
        <v>■</v>
      </c>
      <c r="F597" s="14" t="s">
        <v>18425</v>
      </c>
      <c r="G597" s="14">
        <v>165824</v>
      </c>
      <c r="H597" s="14">
        <v>178342</v>
      </c>
      <c r="I597" s="7">
        <v>30</v>
      </c>
      <c r="J597" s="14" t="s">
        <v>44</v>
      </c>
      <c r="K597" s="14" t="s">
        <v>7532</v>
      </c>
      <c r="L597" s="14" t="s">
        <v>17349</v>
      </c>
      <c r="M597" s="14" t="s">
        <v>9158</v>
      </c>
      <c r="N597" s="14" t="s">
        <v>9158</v>
      </c>
      <c r="O597" s="14" t="s">
        <v>9158</v>
      </c>
      <c r="P597" s="14" t="s">
        <v>9158</v>
      </c>
      <c r="Q597" s="14" t="s">
        <v>9158</v>
      </c>
    </row>
    <row r="598" spans="1:17">
      <c r="A598" s="14">
        <v>201473</v>
      </c>
      <c r="B598" s="14" t="s">
        <v>15</v>
      </c>
      <c r="C598" s="14" t="s">
        <v>101</v>
      </c>
      <c r="D598" s="14" t="s">
        <v>18428</v>
      </c>
      <c r="E598" s="15" t="str">
        <f>HYPERLINK("https://stat100.ameba.jp/tnk47/ratio20/illustrations/card/ill_201473_pampukinaisukurimu03.jpg?202111-i_prefecture_active_userxx", "■")</f>
        <v>■</v>
      </c>
      <c r="F598" s="14" t="s">
        <v>18427</v>
      </c>
      <c r="G598" s="14">
        <v>80652</v>
      </c>
      <c r="H598" s="14">
        <v>88920</v>
      </c>
      <c r="I598" s="14">
        <v>30</v>
      </c>
      <c r="J598" s="14" t="s">
        <v>104</v>
      </c>
      <c r="K598" s="14" t="s">
        <v>18426</v>
      </c>
      <c r="L598" s="14" t="s">
        <v>1757</v>
      </c>
      <c r="M598" s="14" t="s">
        <v>9158</v>
      </c>
      <c r="N598" s="14" t="s">
        <v>9158</v>
      </c>
      <c r="O598" s="14" t="s">
        <v>9158</v>
      </c>
      <c r="P598" s="14" t="s">
        <v>9158</v>
      </c>
      <c r="Q598" s="14" t="s">
        <v>9158</v>
      </c>
    </row>
    <row r="599" spans="1:17">
      <c r="A599" s="14">
        <v>201483</v>
      </c>
      <c r="B599" s="14" t="s">
        <v>22</v>
      </c>
      <c r="C599" s="14" t="s">
        <v>107</v>
      </c>
      <c r="D599" s="14" t="s">
        <v>18432</v>
      </c>
      <c r="E599" s="15" t="str">
        <f>HYPERLINK("https://stat100.ameba.jp/tnk47/ratio20/illustrations/card/ill_201483_erubaaito03.jpg?202111-i_prefecture_active_userxx", "■")</f>
        <v>■</v>
      </c>
      <c r="F599" s="14" t="s">
        <v>18431</v>
      </c>
      <c r="G599" s="14">
        <v>62376</v>
      </c>
      <c r="H599" s="14">
        <v>51864</v>
      </c>
      <c r="I599" s="7">
        <v>30</v>
      </c>
      <c r="J599" s="14" t="s">
        <v>26</v>
      </c>
      <c r="K599" s="14" t="s">
        <v>18430</v>
      </c>
      <c r="L599" s="14" t="s">
        <v>2635</v>
      </c>
      <c r="M599" s="14" t="s">
        <v>9158</v>
      </c>
      <c r="N599" s="14" t="s">
        <v>9158</v>
      </c>
      <c r="O599" s="14" t="s">
        <v>9158</v>
      </c>
      <c r="P599" s="14" t="s">
        <v>9158</v>
      </c>
      <c r="Q599" s="14" t="s">
        <v>9158</v>
      </c>
    </row>
    <row r="600" spans="1:17">
      <c r="A600" s="14">
        <v>201493</v>
      </c>
      <c r="B600" s="14" t="s">
        <v>22</v>
      </c>
      <c r="C600" s="14" t="s">
        <v>23</v>
      </c>
      <c r="D600" s="14" t="s">
        <v>18435</v>
      </c>
      <c r="E600" s="15" t="str">
        <f>HYPERLINK("https://stat100.ameba.jp/tnk47/ratio20/illustrations/card/ill_201493_ikefukuro03.jpg?202111-i_prefecture_active_userxx", "■")</f>
        <v>■</v>
      </c>
      <c r="F600" s="14" t="s">
        <v>18434</v>
      </c>
      <c r="G600" s="14">
        <v>51864</v>
      </c>
      <c r="H600" s="14">
        <v>62376</v>
      </c>
      <c r="I600" s="14">
        <v>30</v>
      </c>
      <c r="J600" s="14" t="s">
        <v>26</v>
      </c>
      <c r="K600" s="14" t="s">
        <v>18433</v>
      </c>
      <c r="L600" s="14" t="s">
        <v>28</v>
      </c>
      <c r="M600" s="14" t="s">
        <v>9158</v>
      </c>
      <c r="N600" s="14" t="s">
        <v>9158</v>
      </c>
      <c r="O600" s="14" t="s">
        <v>9158</v>
      </c>
      <c r="P600" s="14" t="s">
        <v>9158</v>
      </c>
      <c r="Q600" s="14" t="s">
        <v>9158</v>
      </c>
    </row>
    <row r="602" spans="1:17">
      <c r="A602" s="14" t="s">
        <v>3785</v>
      </c>
    </row>
    <row r="603" spans="1:17">
      <c r="A603" s="14">
        <v>241572</v>
      </c>
      <c r="B603" s="14" t="s">
        <v>18421</v>
      </c>
    </row>
    <row r="604" spans="1:17">
      <c r="A604" s="14" t="s">
        <v>5601</v>
      </c>
      <c r="B604" s="14" t="s">
        <v>330</v>
      </c>
      <c r="C604" s="14" t="s">
        <v>35</v>
      </c>
      <c r="D604" s="20" t="s">
        <v>10318</v>
      </c>
      <c r="E604" s="15" t="str">
        <f>HYPERLINK("https://stat100.ameba.jp/tnk47/ratio20/illustrations/card/ill_82423_0_bikinigarukishi03.jpg?202111-i_prefecture_active_userxx", "■")</f>
        <v>■</v>
      </c>
      <c r="F604" s="14" t="s">
        <v>5391</v>
      </c>
      <c r="G604" s="14">
        <v>266382</v>
      </c>
      <c r="H604" s="14">
        <v>240760</v>
      </c>
      <c r="I604" s="14">
        <v>22</v>
      </c>
      <c r="J604" s="14" t="s">
        <v>77</v>
      </c>
      <c r="K604" s="14" t="s">
        <v>5392</v>
      </c>
      <c r="L604" s="14" t="s">
        <v>5393</v>
      </c>
      <c r="M604" s="14" t="s">
        <v>9158</v>
      </c>
      <c r="N604" s="14" t="s">
        <v>9158</v>
      </c>
      <c r="O604" s="19" t="s">
        <v>10069</v>
      </c>
      <c r="P604" s="14" t="s">
        <v>5394</v>
      </c>
      <c r="Q604" s="14">
        <v>1</v>
      </c>
    </row>
    <row r="605" spans="1:17">
      <c r="A605" s="14" t="s">
        <v>5804</v>
      </c>
      <c r="B605" s="14" t="s">
        <v>52</v>
      </c>
      <c r="C605" s="14" t="s">
        <v>14</v>
      </c>
      <c r="D605" s="19" t="s">
        <v>3195</v>
      </c>
      <c r="E605" s="15" t="str">
        <f>HYPERLINK("https://stat100.ameba.jp/tnk47/ratio20/illustrations/card/ill_75393_0_resukuinotsukisamaniittausagi03.jpg?202111-i_prefecture_active_userxx", "■")</f>
        <v>■</v>
      </c>
      <c r="F605" s="14" t="s">
        <v>3248</v>
      </c>
      <c r="G605" s="14">
        <v>250588</v>
      </c>
      <c r="H605" s="14">
        <v>232980</v>
      </c>
      <c r="I605" s="14">
        <v>22</v>
      </c>
      <c r="J605" s="14" t="s">
        <v>26</v>
      </c>
      <c r="K605" s="14" t="s">
        <v>3249</v>
      </c>
      <c r="L605" s="14" t="s">
        <v>3250</v>
      </c>
      <c r="M605" s="14" t="s">
        <v>9158</v>
      </c>
      <c r="N605" s="14" t="s">
        <v>9158</v>
      </c>
      <c r="O605" s="6" t="s">
        <v>10051</v>
      </c>
      <c r="P605" s="14" t="s">
        <v>3251</v>
      </c>
      <c r="Q605" s="14">
        <v>2</v>
      </c>
    </row>
    <row r="606" spans="1:17">
      <c r="A606" s="9" t="s">
        <v>5820</v>
      </c>
      <c r="B606" s="14" t="s">
        <v>330</v>
      </c>
      <c r="C606" s="14" t="s">
        <v>200</v>
      </c>
      <c r="D606" s="14" t="s">
        <v>630</v>
      </c>
      <c r="E606" s="15" t="str">
        <f>HYPERLINK("https://stat100.ameba.jp/tnk47/ratio20/illustrations/card/ill_48283_0_kyuubitamamonomae03.jpg?202111-i_prefecture_active_userxx", "■")</f>
        <v>■</v>
      </c>
      <c r="F606" s="14" t="s">
        <v>631</v>
      </c>
      <c r="G606" s="14">
        <v>138212</v>
      </c>
      <c r="H606" s="14">
        <v>122776</v>
      </c>
      <c r="I606" s="14">
        <v>22</v>
      </c>
      <c r="J606" s="14" t="s">
        <v>320</v>
      </c>
      <c r="K606" s="14" t="s">
        <v>632</v>
      </c>
      <c r="L606" s="14" t="s">
        <v>633</v>
      </c>
      <c r="M606" s="14" t="s">
        <v>9158</v>
      </c>
      <c r="N606" s="14" t="s">
        <v>9158</v>
      </c>
      <c r="O606" s="14" t="s">
        <v>9158</v>
      </c>
      <c r="P606" s="14" t="s">
        <v>9158</v>
      </c>
      <c r="Q606" s="14" t="s">
        <v>9158</v>
      </c>
    </row>
    <row r="607" spans="1:17">
      <c r="A607" s="14">
        <v>94613</v>
      </c>
      <c r="B607" s="14" t="s">
        <v>0</v>
      </c>
      <c r="C607" s="14" t="s">
        <v>1</v>
      </c>
      <c r="D607" s="14" t="s">
        <v>16475</v>
      </c>
      <c r="E607" s="15" t="str">
        <f>HYPERLINK("https://stat100.ameba.jp/tnk47/ratio20/illustrations/card/ill_94613_tenshitoakumaazurairu03.jpg?202111-i_prefecture_active_userxx", "■")</f>
        <v>■</v>
      </c>
      <c r="F607" s="14" t="s">
        <v>16474</v>
      </c>
      <c r="G607" s="14">
        <v>220250</v>
      </c>
      <c r="H607" s="14">
        <v>123914</v>
      </c>
      <c r="I607" s="14">
        <v>30</v>
      </c>
      <c r="J607" s="14" t="s">
        <v>73</v>
      </c>
      <c r="K607" s="14" t="s">
        <v>16473</v>
      </c>
      <c r="L607" s="14" t="s">
        <v>16278</v>
      </c>
      <c r="M607" s="14" t="s">
        <v>9158</v>
      </c>
      <c r="N607" s="14" t="s">
        <v>9158</v>
      </c>
      <c r="O607" s="14" t="s">
        <v>9158</v>
      </c>
      <c r="P607" s="14" t="s">
        <v>9158</v>
      </c>
      <c r="Q607" s="14" t="s">
        <v>9158</v>
      </c>
    </row>
    <row r="608" spans="1:17">
      <c r="A608" s="14">
        <v>96693</v>
      </c>
      <c r="B608" s="14" t="s">
        <v>0</v>
      </c>
      <c r="C608" s="14" t="s">
        <v>101</v>
      </c>
      <c r="D608" s="14" t="s">
        <v>16907</v>
      </c>
      <c r="E608" s="15" t="str">
        <f>HYPERLINK("https://stat100.ameba.jp/tnk47/ratio20/illustrations/card/ill_96693_gurimuhirudo03.jpg?202111-i_prefecture_active_userxx", "■")</f>
        <v>■</v>
      </c>
      <c r="F608" s="14" t="s">
        <v>16906</v>
      </c>
      <c r="G608" s="14">
        <v>144684</v>
      </c>
      <c r="H608" s="14">
        <v>81410</v>
      </c>
      <c r="I608" s="7">
        <v>30</v>
      </c>
      <c r="J608" s="14" t="s">
        <v>73</v>
      </c>
      <c r="K608" s="14" t="s">
        <v>16905</v>
      </c>
      <c r="L608" s="14" t="s">
        <v>16191</v>
      </c>
      <c r="M608" s="14" t="s">
        <v>9158</v>
      </c>
      <c r="N608" s="14" t="s">
        <v>9158</v>
      </c>
      <c r="O608" s="14" t="s">
        <v>9158</v>
      </c>
      <c r="P608" s="14" t="s">
        <v>9158</v>
      </c>
      <c r="Q608" s="14" t="s">
        <v>9158</v>
      </c>
    </row>
    <row r="609" spans="1:17">
      <c r="A609" s="14">
        <v>95973</v>
      </c>
      <c r="B609" s="14" t="s">
        <v>0</v>
      </c>
      <c r="C609" s="14" t="s">
        <v>14</v>
      </c>
      <c r="D609" s="14" t="s">
        <v>16537</v>
      </c>
      <c r="E609" s="15" t="str">
        <f>HYPERLINK("https://stat100.ameba.jp/tnk47/ratio20/illustrations/card/ill_95973_ummeizarabazu03.jpg?202111-i_prefecture_active_userxx", "■")</f>
        <v>■</v>
      </c>
      <c r="F609" s="14" t="s">
        <v>16536</v>
      </c>
      <c r="G609" s="14">
        <v>150254</v>
      </c>
      <c r="H609" s="14">
        <v>84546</v>
      </c>
      <c r="I609" s="7">
        <v>30</v>
      </c>
      <c r="J609" s="14" t="s">
        <v>38</v>
      </c>
      <c r="K609" s="14" t="s">
        <v>16535</v>
      </c>
      <c r="L609" s="14" t="s">
        <v>16534</v>
      </c>
      <c r="M609" s="14" t="s">
        <v>9158</v>
      </c>
      <c r="N609" s="14" t="s">
        <v>9158</v>
      </c>
      <c r="O609" s="14" t="s">
        <v>9158</v>
      </c>
      <c r="P609" s="14" t="s">
        <v>9158</v>
      </c>
      <c r="Q609" s="14" t="s">
        <v>9158</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DBC8D-0A96-43DA-A37B-B28DDB4CECE8}">
  <dimension ref="A1:S609"/>
  <sheetViews>
    <sheetView zoomScale="55" zoomScaleNormal="55" workbookViewId="0">
      <pane ySplit="1" topLeftCell="A220" activePane="bottomLeft" state="frozen"/>
      <selection activeCell="A231" sqref="A231:Q231"/>
      <selection pane="bottomLeft" activeCell="A233" sqref="A233:Q233"/>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18156</v>
      </c>
    </row>
    <row r="4" spans="1:19">
      <c r="A4" s="14">
        <v>312491</v>
      </c>
      <c r="B4" s="14" t="s">
        <v>15438</v>
      </c>
    </row>
    <row r="5" spans="1:19">
      <c r="A5" s="14">
        <v>312540</v>
      </c>
      <c r="B5" s="14" t="s">
        <v>15439</v>
      </c>
    </row>
    <row r="6" spans="1:19">
      <c r="A6" s="14" t="s">
        <v>18163</v>
      </c>
      <c r="B6" s="7" t="s">
        <v>52</v>
      </c>
      <c r="C6" s="14" t="s">
        <v>202</v>
      </c>
      <c r="D6" s="18" t="s">
        <v>18162</v>
      </c>
      <c r="E6" s="15" t="str">
        <f>HYPERLINK("https://stat100.ameba.jp/tnk47/ratio20/illustrations/card/ill_201663_0_mafuiahokkaidogyunyuchan03.jpg?202111-5-RELEASE-marathon-561xxx", "■")</f>
        <v>■</v>
      </c>
      <c r="F6" s="14" t="s">
        <v>18161</v>
      </c>
      <c r="G6" s="14">
        <v>308114</v>
      </c>
      <c r="H6" s="14">
        <v>376566</v>
      </c>
      <c r="I6" s="7">
        <v>35</v>
      </c>
      <c r="J6" s="14" t="s">
        <v>104</v>
      </c>
      <c r="K6" s="14" t="s">
        <v>18160</v>
      </c>
      <c r="L6" s="14" t="s">
        <v>18159</v>
      </c>
      <c r="M6" s="14" t="s">
        <v>9158</v>
      </c>
      <c r="N6" s="14" t="s">
        <v>9158</v>
      </c>
      <c r="O6" s="7" t="s">
        <v>18158</v>
      </c>
      <c r="P6" s="7" t="s">
        <v>18157</v>
      </c>
      <c r="Q6" s="7">
        <v>1</v>
      </c>
    </row>
    <row r="7" spans="1:19">
      <c r="A7" s="14">
        <v>201603</v>
      </c>
      <c r="B7" s="14" t="s">
        <v>0</v>
      </c>
      <c r="C7" s="14" t="s">
        <v>14</v>
      </c>
      <c r="D7" s="18" t="s">
        <v>18167</v>
      </c>
      <c r="E7" s="15" t="str">
        <f>HYPERLINK("https://stat100.ameba.jp/tnk47/ratio20/illustrations/card/ill_201603_mafuiaonamihime03.jpg?202111-5-RELEASE-marathon-561xxx", "■")</f>
        <v>■</v>
      </c>
      <c r="F7" s="14" t="s">
        <v>18166</v>
      </c>
      <c r="G7" s="14">
        <v>108912</v>
      </c>
      <c r="H7" s="14">
        <v>117182</v>
      </c>
      <c r="I7" s="14">
        <v>30</v>
      </c>
      <c r="J7" s="14" t="s">
        <v>143</v>
      </c>
      <c r="K7" s="14" t="s">
        <v>18165</v>
      </c>
      <c r="L7" s="14" t="s">
        <v>18164</v>
      </c>
      <c r="M7" s="14" t="s">
        <v>9158</v>
      </c>
      <c r="N7" s="14" t="s">
        <v>9158</v>
      </c>
      <c r="O7" s="7" t="s">
        <v>4284</v>
      </c>
      <c r="P7" s="7" t="s">
        <v>4285</v>
      </c>
      <c r="Q7" s="7">
        <v>1</v>
      </c>
    </row>
    <row r="8" spans="1:19">
      <c r="A8" s="14">
        <v>201613</v>
      </c>
      <c r="B8" s="14" t="s">
        <v>0</v>
      </c>
      <c r="C8" s="14" t="s">
        <v>101</v>
      </c>
      <c r="D8" s="14" t="s">
        <v>18174</v>
      </c>
      <c r="E8" s="15" t="str">
        <f>HYPERLINK("https://stat100.ameba.jp/tnk47/ratio20/illustrations/card/ill_201613_mafuiahimetsuruichimonji03.jpg?202111-5-RELEASE-marathon-561xxx", "■")</f>
        <v>■</v>
      </c>
      <c r="F8" s="14" t="s">
        <v>18170</v>
      </c>
      <c r="G8" s="14">
        <v>178342</v>
      </c>
      <c r="H8" s="14">
        <v>165824</v>
      </c>
      <c r="I8" s="14">
        <v>30</v>
      </c>
      <c r="J8" s="14" t="s">
        <v>44</v>
      </c>
      <c r="K8" s="14" t="s">
        <v>18169</v>
      </c>
      <c r="L8" s="14" t="s">
        <v>18168</v>
      </c>
      <c r="M8" s="14" t="s">
        <v>2138</v>
      </c>
      <c r="N8" s="14" t="s">
        <v>2139</v>
      </c>
      <c r="O8" s="14" t="s">
        <v>9158</v>
      </c>
      <c r="P8" s="14" t="s">
        <v>9158</v>
      </c>
      <c r="Q8" s="14" t="s">
        <v>9158</v>
      </c>
      <c r="R8" s="14" t="s">
        <v>13120</v>
      </c>
    </row>
    <row r="9" spans="1:19">
      <c r="A9" s="14">
        <v>201623</v>
      </c>
      <c r="B9" s="14" t="s">
        <v>0</v>
      </c>
      <c r="C9" s="14" t="s">
        <v>107</v>
      </c>
      <c r="D9" s="18" t="s">
        <v>18173</v>
      </c>
      <c r="E9" s="15" t="str">
        <f>HYPERLINK("https://stat100.ameba.jp/tnk47/ratio20/illustrations/card/ill_201623_mafuiahinohikarichan03.jpg?202111-5-RELEASE-marathon-561xxx", "■")</f>
        <v>■</v>
      </c>
      <c r="F9" s="14" t="s">
        <v>18172</v>
      </c>
      <c r="G9" s="14">
        <v>131742</v>
      </c>
      <c r="H9" s="14">
        <v>141676</v>
      </c>
      <c r="I9" s="14">
        <v>30</v>
      </c>
      <c r="J9" s="14" t="s">
        <v>104</v>
      </c>
      <c r="K9" s="14" t="s">
        <v>18171</v>
      </c>
      <c r="L9" s="14" t="s">
        <v>14546</v>
      </c>
      <c r="M9" s="14" t="s">
        <v>2138</v>
      </c>
      <c r="N9" s="14" t="s">
        <v>2139</v>
      </c>
      <c r="O9" s="14" t="s">
        <v>9158</v>
      </c>
      <c r="P9" s="14" t="s">
        <v>9158</v>
      </c>
      <c r="Q9" s="14" t="s">
        <v>9158</v>
      </c>
      <c r="R9" s="14" t="s">
        <v>13120</v>
      </c>
    </row>
    <row r="10" spans="1:19">
      <c r="A10" s="14">
        <v>201633</v>
      </c>
      <c r="B10" s="14" t="s">
        <v>15</v>
      </c>
      <c r="C10" s="14" t="s">
        <v>23</v>
      </c>
      <c r="D10" s="18" t="s">
        <v>18177</v>
      </c>
      <c r="E10" s="15" t="str">
        <f>HYPERLINK("https://stat100.ameba.jp/tnk47/ratio20/illustrations/card/ill_201633_yoasobioginoginko03.jpg?202111-5-RELEASE-marathon-561xxx", "■")</f>
        <v>■</v>
      </c>
      <c r="F10" s="14" t="s">
        <v>18176</v>
      </c>
      <c r="G10" s="7">
        <v>88920</v>
      </c>
      <c r="H10" s="7">
        <v>80652</v>
      </c>
      <c r="I10" s="7">
        <v>30</v>
      </c>
      <c r="J10" s="14" t="s">
        <v>16</v>
      </c>
      <c r="K10" s="7" t="s">
        <v>18175</v>
      </c>
      <c r="L10" s="7" t="s">
        <v>2462</v>
      </c>
      <c r="M10" s="14" t="s">
        <v>9158</v>
      </c>
      <c r="N10" s="14" t="s">
        <v>9158</v>
      </c>
      <c r="O10" s="14" t="s">
        <v>9158</v>
      </c>
      <c r="P10" s="14" t="s">
        <v>9158</v>
      </c>
      <c r="Q10" s="14" t="s">
        <v>9158</v>
      </c>
    </row>
    <row r="11" spans="1:19">
      <c r="A11" s="14">
        <v>201643</v>
      </c>
      <c r="B11" s="14" t="s">
        <v>15</v>
      </c>
      <c r="C11" s="14" t="s">
        <v>1</v>
      </c>
      <c r="D11" s="18" t="s">
        <v>18180</v>
      </c>
      <c r="E11" s="15" t="str">
        <f>HYPERLINK("https://stat100.ameba.jp/tnk47/ratio20/illustrations/card/ill_201643_kurabugohime03.jpg?202111-5-RELEASE-marathon-561xxx", "■")</f>
        <v>■</v>
      </c>
      <c r="F11" s="14" t="s">
        <v>18179</v>
      </c>
      <c r="G11" s="7">
        <v>80652</v>
      </c>
      <c r="H11" s="7">
        <v>88920</v>
      </c>
      <c r="I11" s="7">
        <v>30</v>
      </c>
      <c r="J11" s="14" t="s">
        <v>77</v>
      </c>
      <c r="K11" s="7" t="s">
        <v>18178</v>
      </c>
      <c r="L11" s="7" t="s">
        <v>3730</v>
      </c>
      <c r="M11" s="14" t="s">
        <v>9158</v>
      </c>
      <c r="N11" s="14" t="s">
        <v>9158</v>
      </c>
      <c r="O11" s="14" t="s">
        <v>9158</v>
      </c>
      <c r="P11" s="14" t="s">
        <v>9158</v>
      </c>
      <c r="Q11" s="14" t="s">
        <v>9158</v>
      </c>
    </row>
    <row r="12" spans="1:19">
      <c r="A12" s="14">
        <v>201653</v>
      </c>
      <c r="B12" s="14" t="s">
        <v>15</v>
      </c>
      <c r="C12" s="14" t="s">
        <v>96</v>
      </c>
      <c r="D12" s="18" t="s">
        <v>18183</v>
      </c>
      <c r="E12" s="15" t="str">
        <f>HYPERLINK("https://stat100.ameba.jp/tnk47/ratio20/illustrations/card/ill_201653_gokuhimesenhime03.jpg?202111-5-RELEASE-marathon-561xxx", "■")</f>
        <v>■</v>
      </c>
      <c r="F12" s="14" t="s">
        <v>18182</v>
      </c>
      <c r="G12" s="7">
        <v>88920</v>
      </c>
      <c r="H12" s="7">
        <v>80652</v>
      </c>
      <c r="I12" s="7">
        <v>30</v>
      </c>
      <c r="J12" s="14" t="s">
        <v>77</v>
      </c>
      <c r="K12" s="7" t="s">
        <v>18181</v>
      </c>
      <c r="L12" s="7" t="s">
        <v>3501</v>
      </c>
      <c r="M12" s="14" t="s">
        <v>9158</v>
      </c>
      <c r="N12" s="14" t="s">
        <v>9158</v>
      </c>
      <c r="O12" s="14" t="s">
        <v>9158</v>
      </c>
      <c r="P12" s="14" t="s">
        <v>9158</v>
      </c>
      <c r="Q12" s="14" t="s">
        <v>9158</v>
      </c>
    </row>
    <row r="13" spans="1:19">
      <c r="A13" s="14">
        <v>201703</v>
      </c>
      <c r="B13" s="14" t="s">
        <v>22</v>
      </c>
      <c r="C13" s="14" t="s">
        <v>14</v>
      </c>
      <c r="D13" s="18" t="s">
        <v>18184</v>
      </c>
      <c r="E13" s="15" t="str">
        <f>HYPERLINK("https://stat100.ameba.jp/tnk47/ratio20/illustrations/card/ill_201703_kurabujorogumo03.jpg?202111-5-RELEASE-marathon-561xxx", "■")</f>
        <v>■</v>
      </c>
      <c r="F13" s="14" t="s">
        <v>18190</v>
      </c>
      <c r="G13" s="14">
        <v>46676</v>
      </c>
      <c r="H13" s="14">
        <v>56138</v>
      </c>
      <c r="I13" s="7">
        <v>27</v>
      </c>
      <c r="J13" s="14" t="s">
        <v>73</v>
      </c>
      <c r="K13" s="7" t="s">
        <v>18191</v>
      </c>
      <c r="L13" s="7" t="s">
        <v>15469</v>
      </c>
      <c r="M13" s="14" t="s">
        <v>9158</v>
      </c>
      <c r="N13" s="14" t="s">
        <v>9158</v>
      </c>
      <c r="O13" s="14" t="s">
        <v>9158</v>
      </c>
      <c r="P13" s="14" t="s">
        <v>9158</v>
      </c>
      <c r="Q13" s="14" t="s">
        <v>9158</v>
      </c>
    </row>
    <row r="14" spans="1:19">
      <c r="A14" s="14">
        <v>201683</v>
      </c>
      <c r="B14" s="14" t="s">
        <v>22</v>
      </c>
      <c r="C14" s="14" t="s">
        <v>23</v>
      </c>
      <c r="D14" s="18" t="s">
        <v>18185</v>
      </c>
      <c r="E14" s="15" t="str">
        <f>HYPERLINK("https://stat100.ameba.jp/tnk47/ratio20/illustrations/card/ill_201683_hozukiichi03.jpg?202111-5-RELEASE-marathon-561xxx", "■")</f>
        <v>■</v>
      </c>
      <c r="F14" s="14" t="s">
        <v>18192</v>
      </c>
      <c r="G14" s="14">
        <v>46676</v>
      </c>
      <c r="H14" s="14">
        <v>56138</v>
      </c>
      <c r="I14" s="7">
        <v>27</v>
      </c>
      <c r="J14" s="14" t="s">
        <v>26</v>
      </c>
      <c r="K14" s="7" t="s">
        <v>18193</v>
      </c>
      <c r="L14" s="7" t="s">
        <v>5415</v>
      </c>
      <c r="M14" s="14" t="s">
        <v>9158</v>
      </c>
      <c r="N14" s="14" t="s">
        <v>9158</v>
      </c>
      <c r="O14" s="14" t="s">
        <v>9158</v>
      </c>
      <c r="P14" s="14" t="s">
        <v>9158</v>
      </c>
      <c r="Q14" s="14" t="s">
        <v>9158</v>
      </c>
    </row>
    <row r="15" spans="1:19">
      <c r="A15" s="14">
        <v>201673</v>
      </c>
      <c r="B15" s="14" t="s">
        <v>22</v>
      </c>
      <c r="C15" s="14" t="s">
        <v>1</v>
      </c>
      <c r="D15" s="18" t="s">
        <v>18186</v>
      </c>
      <c r="E15" s="15" t="str">
        <f>HYPERLINK("https://stat100.ameba.jp/tnk47/ratio20/illustrations/card/ill_201673_iwasakiyatarou03.jpg?202111-5-RELEASE-marathon-561xxx", "■")</f>
        <v>■</v>
      </c>
      <c r="F15" s="14" t="s">
        <v>18201</v>
      </c>
      <c r="G15" s="14">
        <v>56138</v>
      </c>
      <c r="H15" s="14">
        <v>46676</v>
      </c>
      <c r="I15" s="7">
        <v>27</v>
      </c>
      <c r="J15" s="14" t="s">
        <v>16</v>
      </c>
      <c r="K15" s="7" t="s">
        <v>18202</v>
      </c>
      <c r="L15" s="7" t="s">
        <v>4198</v>
      </c>
      <c r="M15" s="14" t="s">
        <v>9158</v>
      </c>
      <c r="N15" s="14" t="s">
        <v>9158</v>
      </c>
      <c r="O15" s="14" t="s">
        <v>9158</v>
      </c>
      <c r="P15" s="14" t="s">
        <v>9158</v>
      </c>
      <c r="Q15" s="14" t="s">
        <v>9158</v>
      </c>
    </row>
    <row r="16" spans="1:19">
      <c r="A16" s="14">
        <v>201693</v>
      </c>
      <c r="B16" s="14" t="s">
        <v>22</v>
      </c>
      <c r="C16" s="14" t="s">
        <v>107</v>
      </c>
      <c r="D16" s="18" t="s">
        <v>18187</v>
      </c>
      <c r="E16" s="15" t="str">
        <f>HYPERLINK("https://stat100.ameba.jp/tnk47/ratio20/illustrations/card/ill_201693_torawarehimekunihime03.jpg?202111-5-RELEASE-marathon-561xxx", "■")</f>
        <v>■</v>
      </c>
      <c r="F16" s="14" t="s">
        <v>18189</v>
      </c>
      <c r="G16" s="14">
        <v>56138</v>
      </c>
      <c r="H16" s="14">
        <v>46676</v>
      </c>
      <c r="I16" s="7">
        <v>27</v>
      </c>
      <c r="J16" s="14" t="s">
        <v>77</v>
      </c>
      <c r="K16" s="7" t="s">
        <v>18188</v>
      </c>
      <c r="L16" s="7" t="s">
        <v>7808</v>
      </c>
      <c r="M16" s="14" t="s">
        <v>9158</v>
      </c>
      <c r="N16" s="14" t="s">
        <v>9158</v>
      </c>
      <c r="O16" s="14" t="s">
        <v>9158</v>
      </c>
      <c r="P16" s="14" t="s">
        <v>9158</v>
      </c>
      <c r="Q16" s="14" t="s">
        <v>9158</v>
      </c>
    </row>
    <row r="17" spans="1:18">
      <c r="D17" s="7"/>
    </row>
    <row r="18" spans="1:18">
      <c r="A18" s="14" t="s">
        <v>18228</v>
      </c>
      <c r="D18" s="7"/>
    </row>
    <row r="19" spans="1:18">
      <c r="A19" s="14">
        <v>241631</v>
      </c>
      <c r="B19" s="14" t="s">
        <v>7814</v>
      </c>
      <c r="D19" s="7"/>
    </row>
    <row r="20" spans="1:18">
      <c r="A20" s="14">
        <v>201715</v>
      </c>
      <c r="B20" s="14" t="s">
        <v>0</v>
      </c>
      <c r="C20" s="14" t="s">
        <v>202</v>
      </c>
      <c r="D20" s="18" t="s">
        <v>18197</v>
      </c>
      <c r="E20" s="15" t="str">
        <f>HYPERLINK("https://stat100.ameba.jp/tnk47/ratio20/illustrations/card/ill_201715_mafuiahorikoshisoen05.jpg?202111-5-RELEASE-marathon-561xxxxxxx", "■")</f>
        <v>■</v>
      </c>
      <c r="F20" s="14" t="s">
        <v>18196</v>
      </c>
      <c r="G20" s="14">
        <v>129682</v>
      </c>
      <c r="H20" s="14">
        <v>179098</v>
      </c>
      <c r="I20" s="14">
        <v>30</v>
      </c>
      <c r="J20" s="14" t="s">
        <v>173</v>
      </c>
      <c r="K20" s="14" t="s">
        <v>18195</v>
      </c>
      <c r="L20" s="14" t="s">
        <v>18194</v>
      </c>
      <c r="M20" s="14" t="s">
        <v>9158</v>
      </c>
      <c r="N20" s="14" t="s">
        <v>9158</v>
      </c>
      <c r="O20" s="14" t="s">
        <v>9158</v>
      </c>
      <c r="P20" s="14" t="s">
        <v>9158</v>
      </c>
      <c r="Q20" s="14" t="s">
        <v>9158</v>
      </c>
      <c r="R20" s="14" t="s">
        <v>174</v>
      </c>
    </row>
    <row r="21" spans="1:18">
      <c r="A21" s="14">
        <v>201713</v>
      </c>
      <c r="B21" s="14" t="s">
        <v>15</v>
      </c>
      <c r="C21" s="14" t="s">
        <v>209</v>
      </c>
      <c r="D21" s="18" t="s">
        <v>18197</v>
      </c>
      <c r="E21" s="15" t="str">
        <f>HYPERLINK("https://stat100.ameba.jp/tnk47/ratio20/illustrations/card/ill_201713_mafuiahorikoshisoen03.jpg?202111-5-RELEASE-marathon-561xxxxxxx", "■")</f>
        <v>■</v>
      </c>
      <c r="F21" s="14" t="s">
        <v>18196</v>
      </c>
      <c r="G21" s="14">
        <v>95544</v>
      </c>
      <c r="H21" s="14">
        <v>131954</v>
      </c>
      <c r="I21" s="7">
        <v>30</v>
      </c>
      <c r="J21" s="14" t="s">
        <v>173</v>
      </c>
      <c r="K21" s="14" t="s">
        <v>18195</v>
      </c>
      <c r="L21" s="14" t="s">
        <v>18198</v>
      </c>
      <c r="M21" s="14" t="s">
        <v>9158</v>
      </c>
      <c r="N21" s="14" t="s">
        <v>9158</v>
      </c>
      <c r="O21" s="14" t="s">
        <v>9158</v>
      </c>
      <c r="P21" s="14" t="s">
        <v>9158</v>
      </c>
      <c r="Q21" s="14" t="s">
        <v>9158</v>
      </c>
      <c r="R21" s="14" t="s">
        <v>175</v>
      </c>
    </row>
    <row r="22" spans="1:18">
      <c r="A22" s="14">
        <v>201711</v>
      </c>
      <c r="B22" s="14" t="s">
        <v>15</v>
      </c>
      <c r="C22" s="14" t="s">
        <v>209</v>
      </c>
      <c r="D22" s="18" t="s">
        <v>18197</v>
      </c>
      <c r="E22" s="15" t="str">
        <f>HYPERLINK("https://stat100.ameba.jp/tnk47/ratio20/illustrations/card/ill_201711_mafuiahorikoshisoen01.jpg?202111-5-RELEASE-marathon-561xxxxxxx", "■")</f>
        <v>■</v>
      </c>
      <c r="F22" s="14" t="s">
        <v>18196</v>
      </c>
      <c r="G22" s="14">
        <v>60780</v>
      </c>
      <c r="H22" s="14">
        <v>83940</v>
      </c>
      <c r="I22" s="7">
        <v>30</v>
      </c>
      <c r="J22" s="14" t="s">
        <v>173</v>
      </c>
      <c r="K22" s="14" t="s">
        <v>18195</v>
      </c>
      <c r="L22" s="14" t="s">
        <v>18199</v>
      </c>
      <c r="M22" s="14" t="s">
        <v>9158</v>
      </c>
      <c r="N22" s="14" t="s">
        <v>9158</v>
      </c>
      <c r="O22" s="14" t="s">
        <v>9158</v>
      </c>
      <c r="P22" s="14" t="s">
        <v>9158</v>
      </c>
      <c r="Q22" s="14" t="s">
        <v>9158</v>
      </c>
      <c r="R22" s="14" t="s">
        <v>176</v>
      </c>
    </row>
    <row r="24" spans="1:18">
      <c r="A24" s="14" t="s">
        <v>13431</v>
      </c>
    </row>
    <row r="25" spans="1:18">
      <c r="A25" s="14">
        <v>112825</v>
      </c>
      <c r="B25" s="14" t="s">
        <v>18200</v>
      </c>
    </row>
    <row r="26" spans="1:18">
      <c r="A26" s="14" t="s">
        <v>17555</v>
      </c>
      <c r="B26" s="14" t="s">
        <v>52</v>
      </c>
      <c r="C26" s="14" t="s">
        <v>35</v>
      </c>
      <c r="D26" s="14" t="s">
        <v>17554</v>
      </c>
      <c r="E26" s="15" t="str">
        <f>HYPERLINK("https://stat100.ameba.jp/tnk47/ratio20/illustrations/card/ill_99723_0_natsuyomatsurisuzaku03.jpg?202111-5-RELEASE-marathon-561xxxxxxx", "■")</f>
        <v>■</v>
      </c>
      <c r="F26" s="14" t="s">
        <v>17553</v>
      </c>
      <c r="G26" s="14">
        <v>325712</v>
      </c>
      <c r="H26" s="14">
        <v>266496</v>
      </c>
      <c r="I26" s="7">
        <v>29</v>
      </c>
      <c r="J26" s="14" t="s">
        <v>44</v>
      </c>
      <c r="K26" s="14" t="s">
        <v>17552</v>
      </c>
      <c r="L26" s="14" t="s">
        <v>17551</v>
      </c>
      <c r="M26" s="14" t="s">
        <v>9158</v>
      </c>
      <c r="N26" s="14" t="s">
        <v>9158</v>
      </c>
      <c r="O26" s="14" t="s">
        <v>17550</v>
      </c>
      <c r="P26" s="14" t="s">
        <v>17549</v>
      </c>
      <c r="Q26" s="14">
        <v>1</v>
      </c>
    </row>
    <row r="27" spans="1:18">
      <c r="A27" s="14" t="s">
        <v>17390</v>
      </c>
      <c r="B27" s="7" t="s">
        <v>52</v>
      </c>
      <c r="C27" s="14" t="s">
        <v>202</v>
      </c>
      <c r="D27" s="18" t="s">
        <v>17389</v>
      </c>
      <c r="E27" s="15" t="str">
        <f>HYPERLINK("https://stat100.ameba.jp/tnk47/ratio20/illustrations/card/ill_98393_0_yuembiyorikingyonota03.jpg?202111-5-RELEASE-marathon-561xxxxxxx", "■")</f>
        <v>■</v>
      </c>
      <c r="F27" s="14" t="s">
        <v>17388</v>
      </c>
      <c r="G27" s="14">
        <v>311059</v>
      </c>
      <c r="H27" s="14">
        <v>281149</v>
      </c>
      <c r="I27" s="7">
        <v>29</v>
      </c>
      <c r="J27" s="14" t="s">
        <v>38</v>
      </c>
      <c r="K27" s="14" t="s">
        <v>17387</v>
      </c>
      <c r="L27" s="14" t="s">
        <v>17386</v>
      </c>
      <c r="M27" s="14" t="s">
        <v>9158</v>
      </c>
      <c r="N27" s="14" t="s">
        <v>9158</v>
      </c>
      <c r="O27" s="7" t="s">
        <v>17385</v>
      </c>
      <c r="P27" s="7" t="s">
        <v>17384</v>
      </c>
      <c r="Q27" s="7">
        <v>1</v>
      </c>
    </row>
    <row r="28" spans="1:18">
      <c r="A28" s="14" t="s">
        <v>17272</v>
      </c>
      <c r="B28" s="7" t="s">
        <v>52</v>
      </c>
      <c r="C28" s="14" t="s">
        <v>202</v>
      </c>
      <c r="D28" s="18" t="s">
        <v>17271</v>
      </c>
      <c r="E28" s="15" t="str">
        <f>HYPERLINK("https://stat100.ameba.jp/tnk47/ratio20/illustrations/card/ill_99033_0_uminoiehangakugozen03.jpg?202111-5-RELEASE-marathon-561xxxxxxx", "■")</f>
        <v>■</v>
      </c>
      <c r="F28" s="14" t="s">
        <v>17270</v>
      </c>
      <c r="G28" s="14">
        <v>266496</v>
      </c>
      <c r="H28" s="14">
        <v>325712</v>
      </c>
      <c r="I28" s="14">
        <v>29</v>
      </c>
      <c r="J28" s="14" t="s">
        <v>143</v>
      </c>
      <c r="K28" s="14" t="s">
        <v>17269</v>
      </c>
      <c r="L28" s="14" t="s">
        <v>17268</v>
      </c>
      <c r="M28" s="14" t="s">
        <v>9158</v>
      </c>
      <c r="N28" s="14" t="s">
        <v>9158</v>
      </c>
      <c r="O28" s="7" t="s">
        <v>17267</v>
      </c>
      <c r="P28" s="7" t="s">
        <v>17266</v>
      </c>
      <c r="Q28" s="7">
        <v>1</v>
      </c>
    </row>
    <row r="29" spans="1:18">
      <c r="A29" s="14" t="s">
        <v>16989</v>
      </c>
      <c r="B29" s="7" t="s">
        <v>52</v>
      </c>
      <c r="C29" s="14" t="s">
        <v>202</v>
      </c>
      <c r="D29" s="18" t="s">
        <v>16988</v>
      </c>
      <c r="E29" s="15" t="str">
        <f>HYPERLINK("https://stat100.ameba.jp/tnk47/ratio20/illustrations/card/ill_97013_0_kanokaishiranui03.jpg?202111-5-RELEASE-marathon-561xxxxxxx", "■")</f>
        <v>■</v>
      </c>
      <c r="F29" s="14" t="s">
        <v>16987</v>
      </c>
      <c r="G29" s="14">
        <v>306220</v>
      </c>
      <c r="H29" s="14">
        <v>276738</v>
      </c>
      <c r="I29" s="7">
        <v>29</v>
      </c>
      <c r="J29" s="14" t="s">
        <v>73</v>
      </c>
      <c r="K29" s="14" t="s">
        <v>16986</v>
      </c>
      <c r="L29" s="14" t="s">
        <v>16985</v>
      </c>
      <c r="M29" s="14" t="s">
        <v>9158</v>
      </c>
      <c r="N29" s="14" t="s">
        <v>9158</v>
      </c>
      <c r="O29" s="7" t="s">
        <v>16990</v>
      </c>
      <c r="P29" s="7" t="s">
        <v>16991</v>
      </c>
      <c r="Q29" s="7">
        <v>1</v>
      </c>
    </row>
    <row r="30" spans="1:18">
      <c r="A30" s="14" t="s">
        <v>15831</v>
      </c>
      <c r="B30" s="7" t="s">
        <v>52</v>
      </c>
      <c r="C30" s="14" t="s">
        <v>202</v>
      </c>
      <c r="D30" s="18" t="s">
        <v>15825</v>
      </c>
      <c r="E30" s="15" t="str">
        <f>HYPERLINK("https://stat100.ameba.jp/tnk47/ratio20/illustrations/card/ill_94293_0_kurisumasupurezentofukudahideko03.jpg?202111-5-RELEASE-marathon-561xxxxxxx", "■")</f>
        <v>■</v>
      </c>
      <c r="F30" s="14" t="s">
        <v>15830</v>
      </c>
      <c r="G30" s="14">
        <v>319106</v>
      </c>
      <c r="H30" s="14">
        <v>288416</v>
      </c>
      <c r="I30" s="7">
        <v>29</v>
      </c>
      <c r="J30" s="14" t="s">
        <v>16</v>
      </c>
      <c r="K30" s="14" t="s">
        <v>15829</v>
      </c>
      <c r="L30" s="14" t="s">
        <v>15828</v>
      </c>
      <c r="M30" s="14" t="s">
        <v>9158</v>
      </c>
      <c r="N30" s="14" t="s">
        <v>9158</v>
      </c>
      <c r="O30" s="6" t="s">
        <v>15827</v>
      </c>
      <c r="P30" s="7" t="s">
        <v>15826</v>
      </c>
      <c r="Q30" s="7">
        <v>1</v>
      </c>
    </row>
    <row r="31" spans="1:18">
      <c r="A31" s="14">
        <v>88303</v>
      </c>
      <c r="B31" s="14" t="s">
        <v>0</v>
      </c>
      <c r="C31" s="14" t="s">
        <v>185</v>
      </c>
      <c r="D31" s="18" t="s">
        <v>12023</v>
      </c>
      <c r="E31" s="15" t="str">
        <f>HYPERLINK("https://stat100.ameba.jp/tnk47/ratio20/illustrations/card/ill_88303_hanamihijikatatoshizo03.jpg?202111-5-RELEASE-marathon-561xxxxxxx", "■")</f>
        <v>■</v>
      </c>
      <c r="F31" s="14" t="s">
        <v>12024</v>
      </c>
      <c r="G31" s="14">
        <v>165824</v>
      </c>
      <c r="H31" s="14">
        <v>178342</v>
      </c>
      <c r="I31" s="14">
        <v>30</v>
      </c>
      <c r="J31" s="14" t="s">
        <v>143</v>
      </c>
      <c r="K31" s="14" t="s">
        <v>12025</v>
      </c>
      <c r="L31" s="14" t="s">
        <v>12026</v>
      </c>
      <c r="M31" s="14" t="s">
        <v>2138</v>
      </c>
      <c r="N31" s="14" t="s">
        <v>2139</v>
      </c>
      <c r="O31" s="14" t="s">
        <v>9158</v>
      </c>
      <c r="P31" s="14" t="s">
        <v>9158</v>
      </c>
      <c r="Q31" s="14" t="s">
        <v>9158</v>
      </c>
      <c r="R31" s="14" t="s">
        <v>13120</v>
      </c>
    </row>
    <row r="32" spans="1:18">
      <c r="A32" s="14">
        <v>95813</v>
      </c>
      <c r="B32" s="14" t="s">
        <v>0</v>
      </c>
      <c r="C32" s="14" t="s">
        <v>23</v>
      </c>
      <c r="D32" s="14" t="s">
        <v>16139</v>
      </c>
      <c r="E32" s="15" t="str">
        <f>HYPERLINK("https://stat100.ameba.jp/tnk47/ratio20/illustrations/card/ill_95813_kirin03.jpg?202111-5-RELEASE-marathon-561xxxxxxx", "■")</f>
        <v>■</v>
      </c>
      <c r="F32" s="14" t="s">
        <v>16138</v>
      </c>
      <c r="G32" s="14">
        <v>117182</v>
      </c>
      <c r="H32" s="14">
        <v>108912</v>
      </c>
      <c r="I32" s="14">
        <v>30</v>
      </c>
      <c r="J32" s="14" t="s">
        <v>38</v>
      </c>
      <c r="K32" s="14" t="s">
        <v>16137</v>
      </c>
      <c r="L32" s="14" t="s">
        <v>16136</v>
      </c>
      <c r="M32" s="14" t="s">
        <v>9158</v>
      </c>
      <c r="N32" s="14" t="s">
        <v>9158</v>
      </c>
      <c r="O32" s="14" t="s">
        <v>9158</v>
      </c>
      <c r="P32" s="14" t="s">
        <v>9158</v>
      </c>
      <c r="Q32" s="14" t="s">
        <v>9158</v>
      </c>
    </row>
    <row r="33" spans="1:18">
      <c r="A33" s="14">
        <v>88313</v>
      </c>
      <c r="B33" s="14" t="s">
        <v>0</v>
      </c>
      <c r="C33" s="14" t="s">
        <v>191</v>
      </c>
      <c r="D33" s="18" t="s">
        <v>12027</v>
      </c>
      <c r="E33" s="15" t="str">
        <f>HYPERLINK("https://stat100.ameba.jp/tnk47/ratio20/illustrations/card/ill_88313_hanamikukurihimenokami03.jpg?202111-5-RELEASE-marathon-561xxxxxxx", "■")</f>
        <v>■</v>
      </c>
      <c r="F33" s="14" t="s">
        <v>12028</v>
      </c>
      <c r="G33" s="14">
        <v>122366</v>
      </c>
      <c r="H33" s="14">
        <v>113762</v>
      </c>
      <c r="I33" s="14">
        <v>30</v>
      </c>
      <c r="J33" s="14" t="s">
        <v>44</v>
      </c>
      <c r="K33" s="14" t="s">
        <v>12029</v>
      </c>
      <c r="L33" s="14" t="s">
        <v>12030</v>
      </c>
      <c r="M33" s="14" t="s">
        <v>2138</v>
      </c>
      <c r="N33" s="14" t="s">
        <v>2139</v>
      </c>
      <c r="O33" s="14" t="s">
        <v>9158</v>
      </c>
      <c r="P33" s="14" t="s">
        <v>9158</v>
      </c>
      <c r="Q33" s="14" t="s">
        <v>9158</v>
      </c>
      <c r="R33" s="14" t="s">
        <v>13120</v>
      </c>
    </row>
    <row r="34" spans="1:18">
      <c r="A34" s="14">
        <v>93633</v>
      </c>
      <c r="B34" s="14" t="s">
        <v>0</v>
      </c>
      <c r="C34" s="14" t="s">
        <v>96</v>
      </c>
      <c r="D34" s="18" t="s">
        <v>15453</v>
      </c>
      <c r="E34" s="15" t="str">
        <f>HYPERLINK("https://stat100.ameba.jp/tnk47/ratio20/illustrations/card/ill_93633_yukemurionsenkaguya03.jpg?202111-5-RELEASE-marathon-561xxxxxxx", "■")</f>
        <v>■</v>
      </c>
      <c r="F34" s="14" t="s">
        <v>15452</v>
      </c>
      <c r="G34" s="14">
        <v>113154</v>
      </c>
      <c r="H34" s="14">
        <v>121646</v>
      </c>
      <c r="I34" s="14">
        <v>30</v>
      </c>
      <c r="J34" s="14" t="s">
        <v>38</v>
      </c>
      <c r="K34" s="14" t="s">
        <v>15451</v>
      </c>
      <c r="L34" s="14" t="s">
        <v>15450</v>
      </c>
      <c r="M34" s="14" t="s">
        <v>2138</v>
      </c>
      <c r="N34" s="14" t="s">
        <v>2139</v>
      </c>
      <c r="O34" s="14" t="s">
        <v>9158</v>
      </c>
      <c r="P34" s="14" t="s">
        <v>9158</v>
      </c>
      <c r="Q34" s="14" t="s">
        <v>9158</v>
      </c>
      <c r="R34" s="14" t="s">
        <v>13120</v>
      </c>
    </row>
    <row r="35" spans="1:18">
      <c r="A35" s="14">
        <v>93743</v>
      </c>
      <c r="B35" s="14" t="s">
        <v>0</v>
      </c>
      <c r="C35" s="14" t="s">
        <v>1</v>
      </c>
      <c r="D35" s="14" t="s">
        <v>15531</v>
      </c>
      <c r="E35" s="15" t="str">
        <f>HYPERLINK("https://stat100.ameba.jp/tnk47/ratio20/illustrations/card/ill_93743_bampaiahantakamiyoame03.jpg?202111-5-RELEASE-marathon-561xxxxxxx", "■")</f>
        <v>■</v>
      </c>
      <c r="F35" s="14" t="s">
        <v>15530</v>
      </c>
      <c r="G35" s="14">
        <v>165824</v>
      </c>
      <c r="H35" s="14">
        <v>178342</v>
      </c>
      <c r="I35" s="14">
        <v>30</v>
      </c>
      <c r="J35" s="14" t="s">
        <v>104</v>
      </c>
      <c r="K35" s="14" t="s">
        <v>15528</v>
      </c>
      <c r="L35" s="14" t="s">
        <v>12356</v>
      </c>
      <c r="M35" s="14" t="s">
        <v>9158</v>
      </c>
      <c r="N35" s="14" t="s">
        <v>9158</v>
      </c>
      <c r="O35" s="14" t="s">
        <v>9158</v>
      </c>
      <c r="P35" s="14" t="s">
        <v>9158</v>
      </c>
      <c r="Q35" s="14" t="s">
        <v>9864</v>
      </c>
    </row>
    <row r="36" spans="1:18">
      <c r="A36" s="14">
        <v>96623</v>
      </c>
      <c r="B36" s="14" t="s">
        <v>0</v>
      </c>
      <c r="C36" s="14" t="s">
        <v>107</v>
      </c>
      <c r="D36" s="14" t="s">
        <v>16809</v>
      </c>
      <c r="E36" s="15" t="str">
        <f>HYPERLINK("https://stat100.ameba.jp/tnk47/ratio20/illustrations/card/ill_96623_andoroidootomosorin03.jpg?202111-5-RELEASE-marathon-561xxxxxxx", "■")</f>
        <v>■</v>
      </c>
      <c r="F36" s="14" t="s">
        <v>16808</v>
      </c>
      <c r="G36" s="14">
        <v>108912</v>
      </c>
      <c r="H36" s="14">
        <v>117182</v>
      </c>
      <c r="I36" s="14">
        <v>30</v>
      </c>
      <c r="J36" s="14" t="s">
        <v>143</v>
      </c>
      <c r="K36" s="14" t="s">
        <v>8293</v>
      </c>
      <c r="L36" s="14" t="s">
        <v>14552</v>
      </c>
      <c r="M36" s="14" t="s">
        <v>9158</v>
      </c>
      <c r="N36" s="14" t="s">
        <v>9158</v>
      </c>
      <c r="O36" s="14" t="s">
        <v>9158</v>
      </c>
      <c r="P36" s="14" t="s">
        <v>9158</v>
      </c>
      <c r="Q36" s="14" t="s">
        <v>9158</v>
      </c>
    </row>
    <row r="38" spans="1:18">
      <c r="A38" s="14" t="s">
        <v>4065</v>
      </c>
    </row>
    <row r="39" spans="1:18">
      <c r="A39" s="14">
        <v>112836</v>
      </c>
      <c r="B39" s="14" t="s">
        <v>7835</v>
      </c>
    </row>
    <row r="40" spans="1:18">
      <c r="A40" s="9" t="s">
        <v>9325</v>
      </c>
      <c r="B40" s="7" t="s">
        <v>52</v>
      </c>
      <c r="C40" s="9" t="s">
        <v>202</v>
      </c>
      <c r="D40" s="19" t="s">
        <v>10947</v>
      </c>
      <c r="E40" s="15" t="str">
        <f>HYPERLINK("https://stat100.ameba.jp/tnk47/ratio20/illustrations/card/ill_86893_0_chokonohisukeban03.jpg?202111-5-RELEASE-marathon-561xxxxxxx", "■")</f>
        <v>■</v>
      </c>
      <c r="F40" s="14" t="s">
        <v>9332</v>
      </c>
      <c r="G40" s="9">
        <v>377781</v>
      </c>
      <c r="H40" s="9">
        <v>341419</v>
      </c>
      <c r="I40" s="7">
        <v>29</v>
      </c>
      <c r="J40" s="9" t="s">
        <v>187</v>
      </c>
      <c r="K40" s="14" t="s">
        <v>9330</v>
      </c>
      <c r="L40" s="14" t="s">
        <v>9331</v>
      </c>
      <c r="M40" s="14" t="s">
        <v>9158</v>
      </c>
      <c r="N40" s="14" t="s">
        <v>9158</v>
      </c>
      <c r="O40" s="19" t="s">
        <v>10136</v>
      </c>
      <c r="P40" s="7" t="s">
        <v>9324</v>
      </c>
      <c r="Q40" s="7">
        <v>1</v>
      </c>
    </row>
    <row r="41" spans="1:18">
      <c r="A41" s="18">
        <v>99673</v>
      </c>
      <c r="B41" s="14" t="s">
        <v>0</v>
      </c>
      <c r="C41" s="14" t="s">
        <v>96</v>
      </c>
      <c r="D41" s="14" t="s">
        <v>17574</v>
      </c>
      <c r="E41" s="15" t="str">
        <f>HYPERLINK("https://stat100.ameba.jp/tnk47/ratio20/illustrations/card/ill_99673_natsuyomatsuriominokane03.jpg?202111-5-RELEASE-marathon-561xxxxxxx", "■")</f>
        <v>■</v>
      </c>
      <c r="F41" s="14" t="s">
        <v>17573</v>
      </c>
      <c r="G41" s="14">
        <v>109481</v>
      </c>
      <c r="H41" s="14">
        <v>101837</v>
      </c>
      <c r="I41" s="14">
        <v>27</v>
      </c>
      <c r="J41" s="14" t="s">
        <v>10</v>
      </c>
      <c r="K41" s="14" t="s">
        <v>17572</v>
      </c>
      <c r="L41" s="14" t="s">
        <v>17571</v>
      </c>
      <c r="M41" s="14" t="s">
        <v>9158</v>
      </c>
      <c r="N41" s="14" t="s">
        <v>9158</v>
      </c>
      <c r="O41" s="7" t="s">
        <v>3490</v>
      </c>
      <c r="P41" s="7" t="s">
        <v>3491</v>
      </c>
      <c r="Q41" s="7">
        <v>1</v>
      </c>
    </row>
    <row r="42" spans="1:18">
      <c r="A42" s="14">
        <v>58803</v>
      </c>
      <c r="B42" s="14" t="s">
        <v>0</v>
      </c>
      <c r="C42" s="14" t="s">
        <v>205</v>
      </c>
      <c r="D42" s="19" t="s">
        <v>10210</v>
      </c>
      <c r="E42" s="15" t="str">
        <f>HYPERLINK("https://stat100.ameba.jp/tnk47/ratio20/illustrations/card/ill_58803_setsubumpanikkumimuratsuru03.jpg?202111-5-RELEASE-marathon-561xxxxxxx", "■")</f>
        <v>■</v>
      </c>
      <c r="F42" s="14" t="s">
        <v>2028</v>
      </c>
      <c r="G42" s="14">
        <v>160055</v>
      </c>
      <c r="H42" s="14">
        <v>96756</v>
      </c>
      <c r="I42" s="14">
        <v>27</v>
      </c>
      <c r="J42" s="14" t="s">
        <v>194</v>
      </c>
      <c r="K42" s="14" t="s">
        <v>2029</v>
      </c>
      <c r="L42" s="14" t="s">
        <v>13171</v>
      </c>
      <c r="M42" s="14" t="s">
        <v>9158</v>
      </c>
      <c r="N42" s="14" t="s">
        <v>9158</v>
      </c>
      <c r="O42" s="19" t="s">
        <v>10092</v>
      </c>
      <c r="P42" s="14" t="s">
        <v>3704</v>
      </c>
      <c r="Q42" s="14">
        <v>1</v>
      </c>
    </row>
    <row r="43" spans="1:18">
      <c r="A43" s="14">
        <v>96323</v>
      </c>
      <c r="B43" s="14" t="s">
        <v>0</v>
      </c>
      <c r="C43" s="14" t="s">
        <v>101</v>
      </c>
      <c r="D43" s="18" t="s">
        <v>16726</v>
      </c>
      <c r="E43" s="15" t="str">
        <f>HYPERLINK("https://stat100.ameba.jp/tnk47/ratio20/illustrations/card/ill_96323_ohinasamakubiwakomorichan03.jpg?202111-5-RELEASE-marathon-561xxxxxxx", "■")</f>
        <v>■</v>
      </c>
      <c r="F43" s="14" t="s">
        <v>16725</v>
      </c>
      <c r="G43" s="14">
        <v>118568</v>
      </c>
      <c r="H43" s="14">
        <v>127507</v>
      </c>
      <c r="I43" s="14">
        <v>27</v>
      </c>
      <c r="J43" s="14" t="s">
        <v>26</v>
      </c>
      <c r="K43" s="14" t="s">
        <v>16724</v>
      </c>
      <c r="L43" s="14" t="s">
        <v>15061</v>
      </c>
      <c r="M43" s="14" t="s">
        <v>9158</v>
      </c>
      <c r="N43" s="14" t="s">
        <v>9158</v>
      </c>
      <c r="O43" s="7" t="s">
        <v>3461</v>
      </c>
      <c r="P43" s="7" t="s">
        <v>3462</v>
      </c>
      <c r="Q43" s="7">
        <v>1</v>
      </c>
    </row>
    <row r="45" spans="1:18">
      <c r="A45" s="14" t="s">
        <v>4012</v>
      </c>
    </row>
    <row r="46" spans="1:18">
      <c r="A46" s="14">
        <v>241658</v>
      </c>
      <c r="B46" s="14" t="s">
        <v>18203</v>
      </c>
    </row>
    <row r="47" spans="1:18">
      <c r="A47" s="14" t="s">
        <v>5620</v>
      </c>
      <c r="B47" s="14" t="s">
        <v>52</v>
      </c>
      <c r="C47" s="14" t="s">
        <v>344</v>
      </c>
      <c r="D47" s="19" t="s">
        <v>669</v>
      </c>
      <c r="E47" s="15" t="str">
        <f>HYPERLINK("https://stat100.ameba.jp/tnk47/ratio20/illustrations/card/ill_67173_0_yukemuriawamorichan03.jpg?202111-5-RELEASE-marathon-561xxxxxxx", "■")</f>
        <v>■</v>
      </c>
      <c r="F47" s="14" t="s">
        <v>2043</v>
      </c>
      <c r="G47" s="14">
        <v>215134</v>
      </c>
      <c r="H47" s="14">
        <v>200008</v>
      </c>
      <c r="I47" s="14">
        <v>28</v>
      </c>
      <c r="J47" s="14" t="s">
        <v>104</v>
      </c>
      <c r="K47" s="14" t="s">
        <v>2044</v>
      </c>
      <c r="L47" s="14" t="s">
        <v>2045</v>
      </c>
      <c r="M47" s="14" t="s">
        <v>9158</v>
      </c>
      <c r="N47" s="14" t="s">
        <v>9158</v>
      </c>
      <c r="O47" s="19" t="s">
        <v>10087</v>
      </c>
      <c r="P47" s="14" t="s">
        <v>3455</v>
      </c>
      <c r="Q47" s="14">
        <v>1</v>
      </c>
    </row>
    <row r="48" spans="1:18">
      <c r="A48" s="14" t="s">
        <v>5650</v>
      </c>
      <c r="B48" s="14" t="s">
        <v>52</v>
      </c>
      <c r="C48" s="14" t="s">
        <v>23</v>
      </c>
      <c r="D48" s="20" t="s">
        <v>809</v>
      </c>
      <c r="E48" s="15" t="str">
        <f>HYPERLINK("https://stat100.ameba.jp/tnk47/ratio20/illustrations/card/ill_68033_0_kurisumasupateikandamyojin03.jpg?202111-5-RELEASE-marathon-561xxxxxxx", "■")</f>
        <v>■</v>
      </c>
      <c r="F48" s="14" t="s">
        <v>1871</v>
      </c>
      <c r="G48" s="14">
        <v>178026</v>
      </c>
      <c r="H48" s="14">
        <v>191502</v>
      </c>
      <c r="I48" s="14">
        <v>28</v>
      </c>
      <c r="J48" s="14" t="s">
        <v>44</v>
      </c>
      <c r="K48" s="14" t="s">
        <v>1872</v>
      </c>
      <c r="L48" s="14" t="s">
        <v>1873</v>
      </c>
      <c r="M48" s="14" t="s">
        <v>9158</v>
      </c>
      <c r="N48" s="14" t="s">
        <v>9158</v>
      </c>
      <c r="O48" s="19" t="s">
        <v>2997</v>
      </c>
      <c r="P48" s="14" t="s">
        <v>3483</v>
      </c>
      <c r="Q48" s="14">
        <v>2</v>
      </c>
    </row>
    <row r="49" spans="1:19">
      <c r="A49" s="14" t="s">
        <v>5622</v>
      </c>
      <c r="B49" s="14" t="s">
        <v>330</v>
      </c>
      <c r="C49" s="14" t="s">
        <v>335</v>
      </c>
      <c r="D49" s="19" t="s">
        <v>1043</v>
      </c>
      <c r="E49" s="15" t="str">
        <f>HYPERLINK("https://stat100.ameba.jp/tnk47/ratio20/illustrations/card/ill_49953_0_yushamarihime03.jpg?202111-5-RELEASE-marathon-561xxxxxxx", "■")</f>
        <v>■</v>
      </c>
      <c r="F49" s="14" t="s">
        <v>510</v>
      </c>
      <c r="G49" s="14">
        <v>175906</v>
      </c>
      <c r="H49" s="14">
        <v>156262</v>
      </c>
      <c r="I49" s="14">
        <v>28</v>
      </c>
      <c r="J49" s="14" t="s">
        <v>315</v>
      </c>
      <c r="K49" s="14" t="s">
        <v>511</v>
      </c>
      <c r="L49" s="14" t="s">
        <v>512</v>
      </c>
      <c r="M49" s="14" t="s">
        <v>9158</v>
      </c>
      <c r="N49" s="14" t="s">
        <v>9158</v>
      </c>
      <c r="O49" s="14" t="s">
        <v>9158</v>
      </c>
      <c r="P49" s="14" t="s">
        <v>9158</v>
      </c>
      <c r="Q49" s="14" t="s">
        <v>9158</v>
      </c>
    </row>
    <row r="50" spans="1:19">
      <c r="A50" s="14">
        <v>99573</v>
      </c>
      <c r="B50" s="14" t="s">
        <v>0</v>
      </c>
      <c r="C50" s="14" t="s">
        <v>35</v>
      </c>
      <c r="D50" s="14" t="s">
        <v>18207</v>
      </c>
      <c r="E50" s="15" t="str">
        <f>HYPERLINK("https://stat100.ameba.jp/tnk47/ratio20/illustrations/card/ill_99573_hanabishimagatamachan03.jpg?202111-5-RELEASE-marathon-561xxxxxxx", "■")</f>
        <v>■</v>
      </c>
      <c r="F50" s="14" t="s">
        <v>18206</v>
      </c>
      <c r="G50" s="14">
        <v>143042</v>
      </c>
      <c r="H50" s="14">
        <v>132968</v>
      </c>
      <c r="I50" s="14">
        <v>30</v>
      </c>
      <c r="J50" s="14" t="s">
        <v>26</v>
      </c>
      <c r="K50" s="14" t="s">
        <v>18210</v>
      </c>
      <c r="L50" s="14" t="s">
        <v>18205</v>
      </c>
      <c r="M50" s="14" t="s">
        <v>9158</v>
      </c>
      <c r="N50" s="14" t="s">
        <v>9158</v>
      </c>
      <c r="O50" s="14" t="s">
        <v>9158</v>
      </c>
      <c r="P50" s="14" t="s">
        <v>9158</v>
      </c>
      <c r="Q50" s="14" t="s">
        <v>9158</v>
      </c>
      <c r="S50" s="14" t="s">
        <v>18225</v>
      </c>
    </row>
    <row r="51" spans="1:19">
      <c r="A51" s="14">
        <v>99823</v>
      </c>
      <c r="B51" s="14" t="s">
        <v>0</v>
      </c>
      <c r="C51" s="14" t="s">
        <v>47</v>
      </c>
      <c r="D51" s="14" t="s">
        <v>18212</v>
      </c>
      <c r="E51" s="15" t="str">
        <f>HYPERLINK("https://stat100.ameba.jp/tnk47/ratio20/illustrations/card/ill_99823_natsuyasumikokona03.jpg?202111-5-RELEASE-marathon-561xxxxxxx", "■")</f>
        <v>■</v>
      </c>
      <c r="F51" s="14" t="s">
        <v>18211</v>
      </c>
      <c r="G51" s="14">
        <v>136668</v>
      </c>
      <c r="H51" s="14">
        <v>127070</v>
      </c>
      <c r="I51" s="14">
        <v>30</v>
      </c>
      <c r="J51" s="14" t="s">
        <v>104</v>
      </c>
      <c r="K51" s="14" t="s">
        <v>18209</v>
      </c>
      <c r="L51" s="14" t="s">
        <v>18208</v>
      </c>
      <c r="M51" s="14" t="s">
        <v>9158</v>
      </c>
      <c r="N51" s="14" t="s">
        <v>9158</v>
      </c>
      <c r="O51" s="14" t="s">
        <v>9158</v>
      </c>
      <c r="P51" s="14" t="s">
        <v>9158</v>
      </c>
      <c r="Q51" s="14" t="s">
        <v>9158</v>
      </c>
      <c r="S51" s="14" t="s">
        <v>18226</v>
      </c>
    </row>
    <row r="52" spans="1:19">
      <c r="A52" s="14">
        <v>99943</v>
      </c>
      <c r="B52" s="14" t="s">
        <v>0</v>
      </c>
      <c r="C52" s="14" t="s">
        <v>41</v>
      </c>
      <c r="D52" s="14" t="s">
        <v>18214</v>
      </c>
      <c r="E52" s="15" t="str">
        <f>HYPERLINK("https://stat100.ameba.jp/tnk47/ratio20/illustrations/card/ill_99943_baikingumameido03.jpg?202111-5-RELEASE-marathon-561xxxxxxx", "■")</f>
        <v>■</v>
      </c>
      <c r="F52" s="14" t="s">
        <v>18215</v>
      </c>
      <c r="G52" s="14">
        <v>141676</v>
      </c>
      <c r="H52" s="14">
        <v>131742</v>
      </c>
      <c r="I52" s="14">
        <v>30</v>
      </c>
      <c r="J52" s="14" t="s">
        <v>143</v>
      </c>
      <c r="K52" s="14" t="s">
        <v>18213</v>
      </c>
      <c r="L52" s="14" t="s">
        <v>13460</v>
      </c>
      <c r="M52" s="14" t="s">
        <v>9158</v>
      </c>
      <c r="N52" s="14" t="s">
        <v>9158</v>
      </c>
      <c r="O52" s="14" t="s">
        <v>9158</v>
      </c>
      <c r="P52" s="14" t="s">
        <v>9158</v>
      </c>
      <c r="Q52" s="14" t="s">
        <v>9158</v>
      </c>
      <c r="S52" s="14" t="s">
        <v>18227</v>
      </c>
    </row>
    <row r="53" spans="1:19">
      <c r="A53" s="14">
        <v>99583</v>
      </c>
      <c r="B53" s="14" t="s">
        <v>15</v>
      </c>
      <c r="C53" s="14" t="s">
        <v>23</v>
      </c>
      <c r="D53" s="14" t="s">
        <v>18218</v>
      </c>
      <c r="E53" s="15" t="str">
        <f>HYPERLINK("https://stat100.ameba.jp/tnk47/ratio20/illustrations/card/ill_99583_kasabokochan03.jpg?202111-5-RELEASE-marathon-561xxxxxxx", "■")</f>
        <v>■</v>
      </c>
      <c r="F53" s="14" t="s">
        <v>18217</v>
      </c>
      <c r="G53" s="14">
        <v>75274</v>
      </c>
      <c r="H53" s="14">
        <v>82992</v>
      </c>
      <c r="I53" s="14">
        <v>28</v>
      </c>
      <c r="J53" s="14" t="s">
        <v>26</v>
      </c>
      <c r="K53" s="14" t="s">
        <v>18216</v>
      </c>
      <c r="L53" s="14" t="s">
        <v>14307</v>
      </c>
      <c r="M53" s="14" t="s">
        <v>9158</v>
      </c>
      <c r="N53" s="14" t="s">
        <v>9158</v>
      </c>
      <c r="O53" s="14" t="s">
        <v>9158</v>
      </c>
      <c r="P53" s="14" t="s">
        <v>9158</v>
      </c>
      <c r="Q53" s="14" t="s">
        <v>9158</v>
      </c>
      <c r="S53" s="14" t="s">
        <v>18225</v>
      </c>
    </row>
    <row r="54" spans="1:19">
      <c r="A54" s="14">
        <v>89843</v>
      </c>
      <c r="B54" s="14" t="s">
        <v>15</v>
      </c>
      <c r="C54" s="14" t="s">
        <v>107</v>
      </c>
      <c r="D54" s="14" t="s">
        <v>18220</v>
      </c>
      <c r="E54" s="15" t="str">
        <f>HYPERLINK("https://stat100.ameba.jp/tnk47/ratio20/illustrations/card/ill_89843_yojutsumamedanuki03.jpg?202111-5-RELEASE-marathon-561xxxxxxx", "■")</f>
        <v>■</v>
      </c>
      <c r="F54" s="14" t="s">
        <v>18221</v>
      </c>
      <c r="G54" s="14">
        <v>75274</v>
      </c>
      <c r="H54" s="14">
        <v>82992</v>
      </c>
      <c r="I54" s="14">
        <v>28</v>
      </c>
      <c r="J54" s="14" t="s">
        <v>73</v>
      </c>
      <c r="K54" s="14" t="s">
        <v>18219</v>
      </c>
      <c r="L54" s="14" t="s">
        <v>17200</v>
      </c>
      <c r="M54" s="14" t="s">
        <v>9158</v>
      </c>
      <c r="N54" s="14" t="s">
        <v>9158</v>
      </c>
      <c r="O54" s="14" t="s">
        <v>9158</v>
      </c>
      <c r="P54" s="14" t="s">
        <v>9158</v>
      </c>
      <c r="Q54" s="14" t="s">
        <v>9158</v>
      </c>
      <c r="S54" s="14" t="s">
        <v>18071</v>
      </c>
    </row>
    <row r="55" spans="1:19">
      <c r="A55" s="14">
        <v>90753</v>
      </c>
      <c r="B55" s="14" t="s">
        <v>15</v>
      </c>
      <c r="C55" s="14" t="s">
        <v>1</v>
      </c>
      <c r="D55" s="14" t="s">
        <v>18224</v>
      </c>
      <c r="E55" s="15" t="str">
        <f>HYPERLINK("https://stat100.ameba.jp/tnk47/ratio20/illustrations/card/ill_90753_remonhanichan03.jpg?202111-5-RELEASE-marathon-561xxxxxxx", "■")</f>
        <v>■</v>
      </c>
      <c r="F55" s="14" t="s">
        <v>18223</v>
      </c>
      <c r="G55" s="14">
        <v>75274</v>
      </c>
      <c r="H55" s="14">
        <v>82992</v>
      </c>
      <c r="I55" s="14">
        <v>28</v>
      </c>
      <c r="J55" s="14" t="s">
        <v>104</v>
      </c>
      <c r="K55" s="14" t="s">
        <v>18222</v>
      </c>
      <c r="L55" s="14" t="s">
        <v>13966</v>
      </c>
      <c r="M55" s="14" t="s">
        <v>9158</v>
      </c>
      <c r="N55" s="14" t="s">
        <v>9158</v>
      </c>
      <c r="O55" s="14" t="s">
        <v>9158</v>
      </c>
      <c r="P55" s="14" t="s">
        <v>9158</v>
      </c>
      <c r="Q55" s="14" t="s">
        <v>9158</v>
      </c>
      <c r="S55" s="14" t="s">
        <v>16901</v>
      </c>
    </row>
    <row r="57" spans="1:19">
      <c r="A57" s="14" t="s">
        <v>3911</v>
      </c>
    </row>
    <row r="58" spans="1:19">
      <c r="A58" s="14">
        <v>112841</v>
      </c>
      <c r="B58" s="14" t="s">
        <v>18204</v>
      </c>
    </row>
    <row r="59" spans="1:19">
      <c r="A59" s="14">
        <v>112851</v>
      </c>
      <c r="B59" s="14" t="s">
        <v>15721</v>
      </c>
    </row>
    <row r="60" spans="1:19">
      <c r="A60" s="14" t="s">
        <v>17555</v>
      </c>
      <c r="B60" s="7" t="s">
        <v>52</v>
      </c>
      <c r="C60" s="14" t="s">
        <v>202</v>
      </c>
      <c r="D60" s="18" t="s">
        <v>17554</v>
      </c>
      <c r="E60" s="15" t="str">
        <f>HYPERLINK("https://stat100.ameba.jp/tnk47/ratio20/illustrations/card/ill_99723_0_natsuyomatsurisuzaku03.jpg?202111-5-RELEASE-marathon-561xxxxxxx", "■")</f>
        <v>■</v>
      </c>
      <c r="F60" s="14" t="s">
        <v>17553</v>
      </c>
      <c r="G60" s="14">
        <v>336944</v>
      </c>
      <c r="H60" s="14">
        <v>275684</v>
      </c>
      <c r="I60" s="7">
        <v>30</v>
      </c>
      <c r="J60" s="14" t="s">
        <v>44</v>
      </c>
      <c r="K60" s="14" t="s">
        <v>17552</v>
      </c>
      <c r="L60" s="14" t="s">
        <v>17551</v>
      </c>
      <c r="M60" s="14" t="s">
        <v>9158</v>
      </c>
      <c r="N60" s="14" t="s">
        <v>9158</v>
      </c>
      <c r="O60" s="14" t="s">
        <v>17550</v>
      </c>
      <c r="P60" s="7" t="s">
        <v>17549</v>
      </c>
      <c r="Q60" s="7">
        <v>1</v>
      </c>
    </row>
    <row r="61" spans="1:19">
      <c r="A61" s="14" t="s">
        <v>12532</v>
      </c>
      <c r="B61" s="7" t="s">
        <v>52</v>
      </c>
      <c r="C61" s="14" t="s">
        <v>202</v>
      </c>
      <c r="D61" s="18" t="s">
        <v>12528</v>
      </c>
      <c r="E61" s="15" t="str">
        <f>HYPERLINK("https://stat100.ameba.jp/tnk47/ratio20/illustrations/card/ill_89073_0_efuwanresuyokohamaserachan03.jpg?202111-5-RELEASE-marathon-561xxxxxxx", "■")</f>
        <v>■</v>
      </c>
      <c r="F61" s="14" t="s">
        <v>12529</v>
      </c>
      <c r="G61" s="14">
        <v>329998</v>
      </c>
      <c r="H61" s="14">
        <v>365126</v>
      </c>
      <c r="I61" s="7">
        <v>30</v>
      </c>
      <c r="J61" s="14" t="s">
        <v>229</v>
      </c>
      <c r="K61" s="14" t="s">
        <v>12530</v>
      </c>
      <c r="L61" s="14" t="s">
        <v>12531</v>
      </c>
      <c r="M61" s="14" t="s">
        <v>9158</v>
      </c>
      <c r="N61" s="14" t="s">
        <v>9158</v>
      </c>
      <c r="O61" s="6" t="s">
        <v>12533</v>
      </c>
      <c r="P61" s="7" t="s">
        <v>12534</v>
      </c>
      <c r="Q61" s="7">
        <v>1</v>
      </c>
    </row>
    <row r="62" spans="1:19">
      <c r="A62" s="14" t="s">
        <v>5830</v>
      </c>
      <c r="B62" s="14" t="s">
        <v>330</v>
      </c>
      <c r="C62" s="14" t="s">
        <v>191</v>
      </c>
      <c r="D62" s="19" t="s">
        <v>793</v>
      </c>
      <c r="E62" s="15" t="str">
        <f>HYPERLINK("https://stat100.ameba.jp/tnk47/ratio20/illustrations/card/ill_39933_0_reihiiinaotora03.jpg?202111-5-RELEASE-marathon-561xxxxxxx", "■")</f>
        <v>■</v>
      </c>
      <c r="F62" s="14" t="s">
        <v>794</v>
      </c>
      <c r="G62" s="14">
        <v>164424</v>
      </c>
      <c r="H62" s="14">
        <v>175560</v>
      </c>
      <c r="I62" s="7">
        <v>30</v>
      </c>
      <c r="J62" s="14" t="s">
        <v>315</v>
      </c>
      <c r="K62" s="14" t="s">
        <v>795</v>
      </c>
      <c r="L62" s="14" t="s">
        <v>796</v>
      </c>
      <c r="M62" s="14" t="s">
        <v>9158</v>
      </c>
      <c r="N62" s="14" t="s">
        <v>9158</v>
      </c>
      <c r="O62" s="14" t="s">
        <v>9158</v>
      </c>
      <c r="P62" s="14" t="s">
        <v>9158</v>
      </c>
      <c r="Q62" s="14" t="s">
        <v>9158</v>
      </c>
    </row>
    <row r="63" spans="1:19">
      <c r="A63" s="14">
        <v>81023</v>
      </c>
      <c r="B63" s="14" t="s">
        <v>334</v>
      </c>
      <c r="C63" s="14" t="s">
        <v>41</v>
      </c>
      <c r="D63" s="19" t="s">
        <v>10274</v>
      </c>
      <c r="E63" s="15" t="str">
        <f>HYPERLINK("https://stat100.ameba.jp/tnk47/ratio20/illustrations/card/ill_81023_momonokenki03.jpg?202111-5-RELEASE-marathon-561xxxxxxx", "■")</f>
        <v>■</v>
      </c>
      <c r="F63" s="14" t="s">
        <v>4088</v>
      </c>
      <c r="G63" s="14">
        <v>158574</v>
      </c>
      <c r="H63" s="14">
        <v>114846</v>
      </c>
      <c r="I63" s="7">
        <v>30</v>
      </c>
      <c r="J63" s="14" t="s">
        <v>143</v>
      </c>
      <c r="K63" s="14" t="s">
        <v>4089</v>
      </c>
      <c r="L63" s="14" t="s">
        <v>2049</v>
      </c>
      <c r="M63" s="14" t="s">
        <v>9158</v>
      </c>
      <c r="N63" s="14" t="s">
        <v>9158</v>
      </c>
      <c r="O63" s="19" t="s">
        <v>10096</v>
      </c>
      <c r="P63" s="14" t="s">
        <v>3245</v>
      </c>
      <c r="Q63" s="14">
        <v>1</v>
      </c>
    </row>
    <row r="64" spans="1:19">
      <c r="A64" s="9">
        <v>73103</v>
      </c>
      <c r="B64" s="14" t="s">
        <v>334</v>
      </c>
      <c r="C64" s="14" t="s">
        <v>41</v>
      </c>
      <c r="D64" s="14" t="s">
        <v>2105</v>
      </c>
      <c r="E64" s="15" t="str">
        <f>HYPERLINK("https://stat100.ameba.jp/tnk47/ratio20/illustrations/card/ill_73103_nominookata03.jpg?202111-5-RELEASE-marathon-561xxxxxxx", "■")</f>
        <v>■</v>
      </c>
      <c r="F64" s="14" t="s">
        <v>2106</v>
      </c>
      <c r="G64" s="14">
        <v>94982</v>
      </c>
      <c r="H64" s="14">
        <v>131112</v>
      </c>
      <c r="I64" s="7">
        <v>30</v>
      </c>
      <c r="J64" s="14" t="s">
        <v>77</v>
      </c>
      <c r="K64" s="14" t="s">
        <v>2107</v>
      </c>
      <c r="L64" s="14" t="s">
        <v>969</v>
      </c>
      <c r="M64" s="14" t="s">
        <v>9158</v>
      </c>
      <c r="N64" s="14" t="s">
        <v>9158</v>
      </c>
      <c r="O64" s="9" t="s">
        <v>2717</v>
      </c>
      <c r="P64" s="14" t="s">
        <v>13173</v>
      </c>
      <c r="Q64" s="14">
        <v>1</v>
      </c>
    </row>
    <row r="65" spans="1:17">
      <c r="A65" s="14">
        <v>63273</v>
      </c>
      <c r="B65" s="14" t="s">
        <v>334</v>
      </c>
      <c r="C65" s="14" t="s">
        <v>158</v>
      </c>
      <c r="D65" s="19" t="s">
        <v>828</v>
      </c>
      <c r="E65" s="15" t="str">
        <f>HYPERLINK("https://stat100.ameba.jp/tnk47/ratio20/illustrations/card/ill_63273_tsukushimai03.jpg?202111-5-RELEASE-marathon-561xxxxxxx", "■")</f>
        <v>■</v>
      </c>
      <c r="F65" s="14" t="s">
        <v>1211</v>
      </c>
      <c r="G65" s="14">
        <v>153096</v>
      </c>
      <c r="H65" s="14">
        <v>110884</v>
      </c>
      <c r="I65" s="7">
        <v>30</v>
      </c>
      <c r="J65" s="14" t="s">
        <v>38</v>
      </c>
      <c r="K65" s="14" t="s">
        <v>1212</v>
      </c>
      <c r="L65" s="14" t="s">
        <v>1213</v>
      </c>
      <c r="M65" s="14" t="s">
        <v>9158</v>
      </c>
      <c r="N65" s="14" t="s">
        <v>9158</v>
      </c>
      <c r="O65" s="19" t="s">
        <v>10110</v>
      </c>
      <c r="P65" s="14" t="s">
        <v>13128</v>
      </c>
      <c r="Q65" s="14">
        <v>1</v>
      </c>
    </row>
    <row r="66" spans="1:17">
      <c r="A66" s="14">
        <v>58743</v>
      </c>
      <c r="B66" s="14" t="s">
        <v>334</v>
      </c>
      <c r="C66" s="14" t="s">
        <v>209</v>
      </c>
      <c r="D66" s="20" t="s">
        <v>10273</v>
      </c>
      <c r="E66" s="15" t="str">
        <f>HYPERLINK("https://stat100.ameba.jp/tnk47/ratio20/illustrations/card/ill_58743_enkirienoki03.jpg?202111-5-RELEASE-marathon-561xxxxxxx", "■")</f>
        <v>■</v>
      </c>
      <c r="F66" s="14" t="s">
        <v>2550</v>
      </c>
      <c r="G66" s="14">
        <v>90782</v>
      </c>
      <c r="H66" s="14">
        <v>123812</v>
      </c>
      <c r="I66" s="7">
        <v>30</v>
      </c>
      <c r="J66" s="14" t="s">
        <v>44</v>
      </c>
      <c r="K66" s="14" t="s">
        <v>2551</v>
      </c>
      <c r="L66" s="14" t="s">
        <v>95</v>
      </c>
      <c r="M66" s="14" t="s">
        <v>9158</v>
      </c>
      <c r="N66" s="14" t="s">
        <v>9158</v>
      </c>
      <c r="O66" s="19" t="s">
        <v>10091</v>
      </c>
      <c r="P66" s="14" t="s">
        <v>3670</v>
      </c>
      <c r="Q66" s="14">
        <v>1</v>
      </c>
    </row>
    <row r="67" spans="1:17">
      <c r="A67" s="9">
        <v>73913</v>
      </c>
      <c r="B67" s="14" t="s">
        <v>334</v>
      </c>
      <c r="C67" s="14" t="s">
        <v>154</v>
      </c>
      <c r="D67" s="14" t="s">
        <v>1206</v>
      </c>
      <c r="E67" s="15" t="str">
        <f>HYPERLINK("https://stat100.ameba.jp/tnk47/ratio20/illustrations/card/ill_73913_atsutajingu03.jpg?202111-5-RELEASE-marathon-561xxxxxxx", "■")</f>
        <v>■</v>
      </c>
      <c r="F67" s="14" t="s">
        <v>1207</v>
      </c>
      <c r="G67" s="14">
        <v>99186</v>
      </c>
      <c r="H67" s="14">
        <v>136944</v>
      </c>
      <c r="I67" s="7">
        <v>30</v>
      </c>
      <c r="J67" s="14" t="s">
        <v>44</v>
      </c>
      <c r="K67" s="14" t="s">
        <v>1208</v>
      </c>
      <c r="L67" s="14" t="s">
        <v>1209</v>
      </c>
      <c r="M67" s="14" t="s">
        <v>9158</v>
      </c>
      <c r="N67" s="14" t="s">
        <v>9158</v>
      </c>
      <c r="O67" s="17" t="s">
        <v>10053</v>
      </c>
      <c r="P67" s="14" t="s">
        <v>2822</v>
      </c>
      <c r="Q67" s="14">
        <v>1</v>
      </c>
    </row>
    <row r="68" spans="1:17">
      <c r="A68" s="14">
        <v>70363</v>
      </c>
      <c r="B68" s="14" t="s">
        <v>334</v>
      </c>
      <c r="C68" s="14" t="s">
        <v>209</v>
      </c>
      <c r="D68" s="20" t="s">
        <v>10266</v>
      </c>
      <c r="E68" s="15" t="str">
        <f>HYPERLINK("https://stat100.ameba.jp/tnk47/ratio20/illustrations/card/ill_70363_hokushimmyokembosatsu03.jpg?202111-5-RELEASE-marathon-561xxxxxxx", "■")</f>
        <v>■</v>
      </c>
      <c r="F68" s="14" t="s">
        <v>2502</v>
      </c>
      <c r="G68" s="14">
        <v>199594</v>
      </c>
      <c r="H68" s="14">
        <v>144572</v>
      </c>
      <c r="I68" s="7">
        <v>30</v>
      </c>
      <c r="J68" s="14" t="s">
        <v>44</v>
      </c>
      <c r="K68" s="14" t="s">
        <v>2503</v>
      </c>
      <c r="L68" s="14" t="s">
        <v>2504</v>
      </c>
      <c r="M68" s="14" t="s">
        <v>9158</v>
      </c>
      <c r="N68" s="14" t="s">
        <v>9158</v>
      </c>
      <c r="O68" s="19" t="s">
        <v>10114</v>
      </c>
      <c r="P68" s="14" t="s">
        <v>3658</v>
      </c>
      <c r="Q68" s="14">
        <v>1</v>
      </c>
    </row>
    <row r="70" spans="1:17">
      <c r="A70" s="14" t="s">
        <v>18229</v>
      </c>
    </row>
    <row r="71" spans="1:17">
      <c r="A71" s="14">
        <v>241697</v>
      </c>
      <c r="B71" s="14" t="s">
        <v>7845</v>
      </c>
    </row>
    <row r="72" spans="1:17">
      <c r="A72" s="14">
        <v>241703</v>
      </c>
      <c r="B72" s="14" t="s">
        <v>7846</v>
      </c>
      <c r="I72" s="7"/>
    </row>
    <row r="73" spans="1:17">
      <c r="A73" s="14" t="s">
        <v>18163</v>
      </c>
      <c r="B73" s="7" t="s">
        <v>52</v>
      </c>
      <c r="C73" s="14" t="s">
        <v>202</v>
      </c>
      <c r="D73" s="18" t="s">
        <v>18162</v>
      </c>
      <c r="E73" s="15" t="str">
        <f>HYPERLINK("https://stat100.ameba.jp/tnk47/ratio20/illustrations/card/ill_201663_0_mafuiahokkaidogyunyuchan03.jpg?202111-5-RELEASE-marathon-561xxxxxxx", "■")</f>
        <v>■</v>
      </c>
      <c r="F73" s="14" t="s">
        <v>18161</v>
      </c>
      <c r="G73" s="14">
        <v>264098</v>
      </c>
      <c r="H73" s="14">
        <v>322770</v>
      </c>
      <c r="I73" s="7">
        <v>30</v>
      </c>
      <c r="J73" s="14" t="s">
        <v>104</v>
      </c>
      <c r="K73" s="14" t="s">
        <v>18160</v>
      </c>
      <c r="L73" s="14" t="s">
        <v>18159</v>
      </c>
      <c r="M73" s="14" t="s">
        <v>9158</v>
      </c>
      <c r="N73" s="14" t="s">
        <v>9158</v>
      </c>
      <c r="O73" s="7" t="s">
        <v>18158</v>
      </c>
      <c r="P73" s="7" t="s">
        <v>18157</v>
      </c>
      <c r="Q73" s="7">
        <v>1</v>
      </c>
    </row>
    <row r="74" spans="1:17">
      <c r="A74" s="14">
        <v>201723</v>
      </c>
      <c r="B74" s="14" t="s">
        <v>0</v>
      </c>
      <c r="C74" s="14" t="s">
        <v>96</v>
      </c>
      <c r="D74" s="14" t="s">
        <v>18234</v>
      </c>
      <c r="E74" s="15" t="str">
        <f>HYPERLINK("https://stat100.ameba.jp/tnk47/ratio20/illustrations/card/ill_201723_mafuiaharimanoinabinooiratsume03.jpg?202111-5-RELEASE-marathon-561xxxxxxx", "■")</f>
        <v>■</v>
      </c>
      <c r="F74" s="14" t="s">
        <v>18233</v>
      </c>
      <c r="G74" s="14">
        <v>127070</v>
      </c>
      <c r="H74" s="14">
        <v>136668</v>
      </c>
      <c r="I74" s="14">
        <v>30</v>
      </c>
      <c r="J74" s="14" t="s">
        <v>44</v>
      </c>
      <c r="K74" s="14" t="s">
        <v>18232</v>
      </c>
      <c r="L74" s="14" t="s">
        <v>7160</v>
      </c>
      <c r="M74" s="14" t="s">
        <v>9158</v>
      </c>
      <c r="N74" s="14" t="s">
        <v>9158</v>
      </c>
      <c r="O74" s="14" t="s">
        <v>9158</v>
      </c>
      <c r="P74" s="14" t="s">
        <v>9158</v>
      </c>
      <c r="Q74" s="14" t="s">
        <v>9158</v>
      </c>
    </row>
    <row r="75" spans="1:17">
      <c r="A75" s="14">
        <v>201733</v>
      </c>
      <c r="B75" s="14" t="s">
        <v>15</v>
      </c>
      <c r="C75" s="14" t="s">
        <v>1</v>
      </c>
      <c r="D75" s="14" t="s">
        <v>18236</v>
      </c>
      <c r="E75" s="15" t="str">
        <f>HYPERLINK("https://stat100.ameba.jp/tnk47/ratio20/illustrations/card/ill_201733_gokuhimegoryunotsubone03.jpg?202111-5-RELEASE-marathon-561xxxxxxx", "■")</f>
        <v>■</v>
      </c>
      <c r="F75" s="14" t="s">
        <v>18235</v>
      </c>
      <c r="G75" s="14">
        <v>88920</v>
      </c>
      <c r="H75" s="14">
        <v>80652</v>
      </c>
      <c r="I75" s="14">
        <v>30</v>
      </c>
      <c r="J75" s="14" t="s">
        <v>77</v>
      </c>
      <c r="K75" s="14" t="s">
        <v>12253</v>
      </c>
      <c r="L75" s="14" t="s">
        <v>932</v>
      </c>
      <c r="M75" s="14" t="s">
        <v>9158</v>
      </c>
      <c r="N75" s="14" t="s">
        <v>9158</v>
      </c>
      <c r="O75" s="14" t="s">
        <v>9158</v>
      </c>
      <c r="P75" s="14" t="s">
        <v>9158</v>
      </c>
      <c r="Q75" s="14" t="s">
        <v>9158</v>
      </c>
    </row>
    <row r="76" spans="1:17">
      <c r="A76" s="14">
        <v>201743</v>
      </c>
      <c r="B76" s="14" t="s">
        <v>22</v>
      </c>
      <c r="C76" s="14" t="s">
        <v>107</v>
      </c>
      <c r="D76" s="14" t="s">
        <v>18239</v>
      </c>
      <c r="E76" s="15" t="str">
        <f>HYPERLINK("https://stat100.ameba.jp/tnk47/ratio20/illustrations/card/ill_201743_kurabubidorozaikuchan03.jpg?202111-5-RELEASE-marathon-561xxxxxxx", "■")</f>
        <v>■</v>
      </c>
      <c r="F76" s="14" t="s">
        <v>18238</v>
      </c>
      <c r="G76" s="14">
        <v>51864</v>
      </c>
      <c r="H76" s="14">
        <v>62376</v>
      </c>
      <c r="I76" s="14">
        <v>30</v>
      </c>
      <c r="J76" s="14" t="s">
        <v>26</v>
      </c>
      <c r="K76" s="14" t="s">
        <v>18237</v>
      </c>
      <c r="L76" s="14" t="s">
        <v>28</v>
      </c>
      <c r="M76" s="14" t="s">
        <v>9158</v>
      </c>
      <c r="N76" s="14" t="s">
        <v>9158</v>
      </c>
      <c r="O76" s="14" t="s">
        <v>9158</v>
      </c>
      <c r="P76" s="14" t="s">
        <v>9158</v>
      </c>
      <c r="Q76" s="14" t="s">
        <v>9158</v>
      </c>
    </row>
    <row r="77" spans="1:17">
      <c r="A77" s="14">
        <v>201753</v>
      </c>
      <c r="B77" s="14" t="s">
        <v>22</v>
      </c>
      <c r="C77" s="14" t="s">
        <v>23</v>
      </c>
      <c r="D77" s="14" t="s">
        <v>18242</v>
      </c>
      <c r="E77" s="15" t="str">
        <f>HYPERLINK("https://stat100.ameba.jp/tnk47/ratio20/illustrations/card/ill_201753_utsunomiyakunitsuna03.jpg?202111-5-RELEASE-marathon-561xxxxxxx", "■")</f>
        <v>■</v>
      </c>
      <c r="F77" s="14" t="s">
        <v>18241</v>
      </c>
      <c r="G77" s="14">
        <v>62376</v>
      </c>
      <c r="H77" s="14">
        <v>51864</v>
      </c>
      <c r="I77" s="14">
        <v>30</v>
      </c>
      <c r="J77" s="14" t="s">
        <v>143</v>
      </c>
      <c r="K77" s="14" t="s">
        <v>18240</v>
      </c>
      <c r="L77" s="14" t="s">
        <v>4461</v>
      </c>
      <c r="M77" s="14" t="s">
        <v>9158</v>
      </c>
      <c r="N77" s="14" t="s">
        <v>9158</v>
      </c>
      <c r="O77" s="14" t="s">
        <v>9158</v>
      </c>
      <c r="P77" s="14" t="s">
        <v>9158</v>
      </c>
      <c r="Q77" s="14" t="s">
        <v>9158</v>
      </c>
    </row>
    <row r="79" spans="1:17">
      <c r="A79" s="14" t="s">
        <v>3905</v>
      </c>
    </row>
    <row r="80" spans="1:17">
      <c r="A80" s="14">
        <v>241677</v>
      </c>
      <c r="B80" s="14" t="s">
        <v>18230</v>
      </c>
    </row>
    <row r="81" spans="1:17">
      <c r="A81" s="9" t="s">
        <v>5614</v>
      </c>
      <c r="B81" s="14" t="s">
        <v>52</v>
      </c>
      <c r="C81" s="14" t="s">
        <v>205</v>
      </c>
      <c r="D81" s="14" t="s">
        <v>947</v>
      </c>
      <c r="E81" s="15" t="str">
        <f>HYPERLINK("https://stat100.ameba.jp/tnk47/ratio20/illustrations/card/ill_56223_0_onsempanikkugohime03.jpg?202111-5-RELEASE-marathon-561xxxxxxx", "■")</f>
        <v>■</v>
      </c>
      <c r="F81" s="14" t="s">
        <v>948</v>
      </c>
      <c r="G81" s="14">
        <v>122776</v>
      </c>
      <c r="H81" s="14">
        <v>138212</v>
      </c>
      <c r="I81" s="14">
        <v>22</v>
      </c>
      <c r="J81" s="14" t="s">
        <v>77</v>
      </c>
      <c r="K81" s="14" t="s">
        <v>949</v>
      </c>
      <c r="L81" s="14" t="s">
        <v>950</v>
      </c>
      <c r="M81" s="14" t="s">
        <v>9158</v>
      </c>
      <c r="N81" s="14" t="s">
        <v>9158</v>
      </c>
      <c r="O81" s="9" t="s">
        <v>3021</v>
      </c>
      <c r="P81" s="14" t="s">
        <v>2890</v>
      </c>
      <c r="Q81" s="14">
        <v>1</v>
      </c>
    </row>
    <row r="82" spans="1:17">
      <c r="A82" s="9" t="s">
        <v>5606</v>
      </c>
      <c r="B82" s="14" t="s">
        <v>52</v>
      </c>
      <c r="C82" s="14" t="s">
        <v>206</v>
      </c>
      <c r="D82" s="14" t="s">
        <v>1011</v>
      </c>
      <c r="E82" s="15" t="str">
        <f>HYPERLINK("https://stat100.ameba.jp/tnk47/ratio20/illustrations/card/ill_72233_0_koinoboriryugujin03.jpg?202111-5-RELEASE-marathon-561xxxxxxx", "■")</f>
        <v>■</v>
      </c>
      <c r="F82" s="14" t="s">
        <v>1012</v>
      </c>
      <c r="G82" s="14">
        <v>144312</v>
      </c>
      <c r="H82" s="14">
        <v>155224</v>
      </c>
      <c r="I82" s="14">
        <v>22</v>
      </c>
      <c r="J82" s="14" t="s">
        <v>44</v>
      </c>
      <c r="K82" s="14" t="s">
        <v>1013</v>
      </c>
      <c r="L82" s="14" t="s">
        <v>1014</v>
      </c>
      <c r="M82" s="14" t="s">
        <v>9158</v>
      </c>
      <c r="N82" s="14" t="s">
        <v>9158</v>
      </c>
      <c r="O82" s="9" t="s">
        <v>3419</v>
      </c>
      <c r="P82" s="14" t="s">
        <v>3420</v>
      </c>
      <c r="Q82" s="14">
        <v>2</v>
      </c>
    </row>
    <row r="83" spans="1:17">
      <c r="A83" s="14" t="s">
        <v>9473</v>
      </c>
      <c r="B83" s="14" t="s">
        <v>330</v>
      </c>
      <c r="C83" s="14" t="s">
        <v>191</v>
      </c>
      <c r="D83" s="19" t="s">
        <v>393</v>
      </c>
      <c r="E83" s="15" t="str">
        <f>HYPERLINK("https://stat100.ameba.jp/tnk47/ratio20/illustrations/card/ill_46283_0_odanobunaga03.jpg?202111-5-RELEASE-marathon-561xxxxxxx", "■")</f>
        <v>■</v>
      </c>
      <c r="F83" s="14" t="s">
        <v>1073</v>
      </c>
      <c r="G83" s="14">
        <v>120576</v>
      </c>
      <c r="H83" s="14">
        <v>128744</v>
      </c>
      <c r="I83" s="14">
        <v>22</v>
      </c>
      <c r="J83" s="14" t="s">
        <v>143</v>
      </c>
      <c r="K83" s="14" t="s">
        <v>1074</v>
      </c>
      <c r="L83" s="14" t="s">
        <v>1075</v>
      </c>
      <c r="M83" s="14" t="s">
        <v>9158</v>
      </c>
      <c r="N83" s="14" t="s">
        <v>9158</v>
      </c>
      <c r="O83" s="9" t="s">
        <v>9158</v>
      </c>
      <c r="P83" s="14" t="s">
        <v>9158</v>
      </c>
      <c r="Q83" s="14" t="s">
        <v>9158</v>
      </c>
    </row>
    <row r="84" spans="1:17">
      <c r="A84" s="14">
        <v>200063</v>
      </c>
      <c r="B84" s="14" t="s">
        <v>0</v>
      </c>
      <c r="C84" s="14" t="s">
        <v>23</v>
      </c>
      <c r="D84" s="14" t="s">
        <v>18245</v>
      </c>
      <c r="E84" s="15" t="str">
        <f>HYPERLINK("https://stat100.ameba.jp/tnk47/ratio20/illustrations/card/ill_200063_masenririanta03.jpg?202111-5-RELEASE-marathon-561xxxxxxx", "■")</f>
        <v>■</v>
      </c>
      <c r="F84" s="14" t="s">
        <v>18244</v>
      </c>
      <c r="G84" s="14">
        <v>123914</v>
      </c>
      <c r="H84" s="14">
        <v>220250</v>
      </c>
      <c r="I84" s="14">
        <v>30</v>
      </c>
      <c r="J84" s="14" t="s">
        <v>73</v>
      </c>
      <c r="K84" s="14" t="s">
        <v>18243</v>
      </c>
      <c r="L84" s="14" t="s">
        <v>16158</v>
      </c>
      <c r="M84" s="14" t="s">
        <v>9158</v>
      </c>
      <c r="N84" s="14" t="s">
        <v>9158</v>
      </c>
      <c r="O84" s="14" t="s">
        <v>9158</v>
      </c>
      <c r="P84" s="14" t="s">
        <v>9158</v>
      </c>
      <c r="Q84" s="14" t="s">
        <v>9158</v>
      </c>
    </row>
    <row r="85" spans="1:17">
      <c r="A85" s="14">
        <v>94623</v>
      </c>
      <c r="B85" s="14" t="s">
        <v>0</v>
      </c>
      <c r="C85" s="14" t="s">
        <v>14</v>
      </c>
      <c r="D85" s="14" t="s">
        <v>16463</v>
      </c>
      <c r="E85" s="15" t="str">
        <f>HYPERLINK("https://stat100.ameba.jp/tnk47/ratio20/illustrations/card/ill_94623_tenshitoakumadaitenshiarumatei03.jpg?202111-5-RELEASE-marathon-561xxxxxxx", "■")</f>
        <v>■</v>
      </c>
      <c r="F85" s="14" t="s">
        <v>16462</v>
      </c>
      <c r="G85" s="14">
        <v>123914</v>
      </c>
      <c r="H85" s="14">
        <v>220250</v>
      </c>
      <c r="I85" s="14">
        <v>30</v>
      </c>
      <c r="J85" s="14" t="s">
        <v>143</v>
      </c>
      <c r="K85" s="14" t="s">
        <v>16461</v>
      </c>
      <c r="L85" s="14" t="s">
        <v>12361</v>
      </c>
      <c r="M85" s="14" t="s">
        <v>9158</v>
      </c>
      <c r="N85" s="14" t="s">
        <v>9158</v>
      </c>
      <c r="O85" s="14" t="s">
        <v>9158</v>
      </c>
      <c r="P85" s="14" t="s">
        <v>9158</v>
      </c>
      <c r="Q85" s="14" t="s">
        <v>9158</v>
      </c>
    </row>
    <row r="86" spans="1:17">
      <c r="A86" s="14">
        <v>98053</v>
      </c>
      <c r="B86" s="14" t="s">
        <v>0</v>
      </c>
      <c r="C86" s="14" t="s">
        <v>1</v>
      </c>
      <c r="D86" s="14" t="s">
        <v>17358</v>
      </c>
      <c r="E86" s="15" t="str">
        <f>HYPERLINK("https://stat100.ameba.jp/tnk47/ratio20/illustrations/card/ill_98053_topazuhime03.jpg?202111-5-RELEASE-marathon-561xxxxxxx", "■")</f>
        <v>■</v>
      </c>
      <c r="F86" s="14" t="s">
        <v>17357</v>
      </c>
      <c r="G86" s="14">
        <v>94974</v>
      </c>
      <c r="H86" s="14">
        <v>168764</v>
      </c>
      <c r="I86" s="14">
        <v>30</v>
      </c>
      <c r="J86" s="14" t="s">
        <v>77</v>
      </c>
      <c r="K86" s="14" t="s">
        <v>17356</v>
      </c>
      <c r="L86" s="14" t="s">
        <v>17355</v>
      </c>
      <c r="M86" s="14" t="s">
        <v>9158</v>
      </c>
      <c r="N86" s="14" t="s">
        <v>9158</v>
      </c>
      <c r="O86" s="14" t="s">
        <v>9158</v>
      </c>
      <c r="P86" s="14" t="s">
        <v>9158</v>
      </c>
      <c r="Q86" s="14" t="s">
        <v>9158</v>
      </c>
    </row>
    <row r="88" spans="1:17">
      <c r="A88" s="14" t="s">
        <v>3916</v>
      </c>
    </row>
    <row r="89" spans="1:17">
      <c r="A89" s="14">
        <v>112872</v>
      </c>
      <c r="B89" s="14" t="s">
        <v>18231</v>
      </c>
    </row>
    <row r="90" spans="1:17">
      <c r="A90" s="14">
        <v>202813</v>
      </c>
      <c r="B90" s="14" t="s">
        <v>0</v>
      </c>
      <c r="C90" s="14" t="s">
        <v>47</v>
      </c>
      <c r="D90" s="14" t="s">
        <v>18249</v>
      </c>
      <c r="E90" s="15" t="str">
        <f>HYPERLINK("https://stat100.ameba.jp/tnk47/ratio20/illustrations/card/ill_202813_aryumetto03.jpg?202111-5-RELEASE-marathon-561xxxxxxx", "■")</f>
        <v>■</v>
      </c>
      <c r="F90" s="14" t="s">
        <v>18248</v>
      </c>
      <c r="G90" s="14">
        <v>129392</v>
      </c>
      <c r="H90" s="14">
        <v>120308</v>
      </c>
      <c r="I90" s="14">
        <v>30</v>
      </c>
      <c r="J90" s="14" t="s">
        <v>16</v>
      </c>
      <c r="K90" s="14" t="s">
        <v>18247</v>
      </c>
      <c r="L90" s="14" t="s">
        <v>18246</v>
      </c>
      <c r="M90" s="14" t="s">
        <v>9864</v>
      </c>
      <c r="N90" s="14" t="s">
        <v>9158</v>
      </c>
      <c r="O90" s="14" t="s">
        <v>9158</v>
      </c>
      <c r="P90" s="14" t="s">
        <v>9158</v>
      </c>
      <c r="Q90" s="14" t="s">
        <v>9158</v>
      </c>
    </row>
    <row r="91" spans="1:17">
      <c r="A91" s="14">
        <v>202823</v>
      </c>
      <c r="B91" s="14" t="s">
        <v>0</v>
      </c>
      <c r="C91" s="14" t="s">
        <v>41</v>
      </c>
      <c r="D91" s="14" t="s">
        <v>18253</v>
      </c>
      <c r="E91" s="15" t="str">
        <f>HYPERLINK("https://stat100.ameba.jp/tnk47/ratio20/illustrations/card/ill_202823_fuerurisunaito03.jpg?202111-5-RELEASE-marathon-561xxxxxxx", "■")</f>
        <v>■</v>
      </c>
      <c r="F91" s="14" t="s">
        <v>18252</v>
      </c>
      <c r="G91" s="14">
        <v>129392</v>
      </c>
      <c r="H91" s="14">
        <v>120308</v>
      </c>
      <c r="I91" s="14">
        <v>30</v>
      </c>
      <c r="J91" s="14" t="s">
        <v>26</v>
      </c>
      <c r="K91" s="14" t="s">
        <v>18251</v>
      </c>
      <c r="L91" s="14" t="s">
        <v>18250</v>
      </c>
      <c r="M91" s="14" t="s">
        <v>9864</v>
      </c>
      <c r="N91" s="14" t="s">
        <v>9158</v>
      </c>
      <c r="O91" s="14" t="s">
        <v>9158</v>
      </c>
      <c r="P91" s="14" t="s">
        <v>9158</v>
      </c>
      <c r="Q91" s="14" t="s">
        <v>9158</v>
      </c>
    </row>
    <row r="92" spans="1:17">
      <c r="A92" s="14">
        <v>89473</v>
      </c>
      <c r="B92" s="14" t="s">
        <v>0</v>
      </c>
      <c r="C92" s="14" t="s">
        <v>14</v>
      </c>
      <c r="D92" s="14" t="s">
        <v>12991</v>
      </c>
      <c r="E92" s="15" t="str">
        <f>HYPERLINK("https://stat100.ameba.jp/tnk47/ratio20/illustrations/card/ill_89473_resshanotabikasajizo03.jpg?202111-5-RELEASE-marathon-561xxxxxxx", "■")</f>
        <v>■</v>
      </c>
      <c r="F92" s="14" t="s">
        <v>12995</v>
      </c>
      <c r="G92" s="14">
        <v>122366</v>
      </c>
      <c r="H92" s="14">
        <v>113762</v>
      </c>
      <c r="I92" s="14">
        <v>30</v>
      </c>
      <c r="J92" s="14" t="s">
        <v>38</v>
      </c>
      <c r="K92" s="14" t="s">
        <v>12997</v>
      </c>
      <c r="L92" s="14" t="s">
        <v>12998</v>
      </c>
      <c r="M92" s="14" t="s">
        <v>9158</v>
      </c>
      <c r="N92" s="14" t="s">
        <v>9158</v>
      </c>
      <c r="O92" s="14" t="s">
        <v>9158</v>
      </c>
      <c r="P92" s="14" t="s">
        <v>9158</v>
      </c>
      <c r="Q92" s="14" t="s">
        <v>9158</v>
      </c>
    </row>
    <row r="93" spans="1:17">
      <c r="A93" s="14">
        <v>89943</v>
      </c>
      <c r="B93" s="14" t="s">
        <v>0</v>
      </c>
      <c r="C93" s="14" t="s">
        <v>107</v>
      </c>
      <c r="D93" s="14" t="s">
        <v>13809</v>
      </c>
      <c r="E93" s="15" t="str">
        <f>HYPERLINK("https://stat100.ameba.jp/tnk47/ratio20/illustrations/card/ill_89943_erementarumururu03.jpg?202111-5-RELEASE-marathon-561xxxxxxx", "■")</f>
        <v>■</v>
      </c>
      <c r="F93" s="14" t="s">
        <v>13811</v>
      </c>
      <c r="G93" s="14">
        <v>113762</v>
      </c>
      <c r="H93" s="14">
        <v>122366</v>
      </c>
      <c r="I93" s="14">
        <v>30</v>
      </c>
      <c r="J93" s="14" t="s">
        <v>44</v>
      </c>
      <c r="K93" s="14" t="s">
        <v>13813</v>
      </c>
      <c r="L93" s="14" t="s">
        <v>13812</v>
      </c>
      <c r="M93" s="14" t="s">
        <v>9158</v>
      </c>
      <c r="N93" s="14" t="s">
        <v>9158</v>
      </c>
      <c r="O93" s="14" t="s">
        <v>9158</v>
      </c>
      <c r="P93" s="14" t="s">
        <v>9158</v>
      </c>
      <c r="Q93" s="14" t="s">
        <v>9158</v>
      </c>
    </row>
    <row r="94" spans="1:17">
      <c r="A94" s="14">
        <v>51913</v>
      </c>
      <c r="B94" s="14" t="s">
        <v>15</v>
      </c>
      <c r="C94" s="14" t="s">
        <v>191</v>
      </c>
      <c r="D94" s="19" t="s">
        <v>10538</v>
      </c>
      <c r="E94" s="15" t="str">
        <f>HYPERLINK("https://stat100.ameba.jp/tnk47/ratio20/illustrations/card/ill_51913_kemonomizugihamahime03.jpg?202111-5-RELEASE-marathon-561xxxxxxx", "■")</f>
        <v>■</v>
      </c>
      <c r="F94" s="14" t="s">
        <v>6501</v>
      </c>
      <c r="G94" s="14">
        <v>67210</v>
      </c>
      <c r="H94" s="14">
        <v>74100</v>
      </c>
      <c r="I94" s="14">
        <v>25</v>
      </c>
      <c r="J94" s="14" t="s">
        <v>182</v>
      </c>
      <c r="K94" s="14" t="s">
        <v>6500</v>
      </c>
      <c r="L94" s="14" t="s">
        <v>6499</v>
      </c>
      <c r="M94" s="14" t="s">
        <v>9158</v>
      </c>
      <c r="N94" s="14" t="s">
        <v>9158</v>
      </c>
      <c r="O94" s="14" t="s">
        <v>9158</v>
      </c>
      <c r="P94" s="14" t="s">
        <v>9158</v>
      </c>
      <c r="Q94" s="14" t="s">
        <v>9158</v>
      </c>
    </row>
    <row r="95" spans="1:17">
      <c r="A95" s="14">
        <v>54003</v>
      </c>
      <c r="B95" s="14" t="s">
        <v>15</v>
      </c>
      <c r="C95" s="14" t="s">
        <v>200</v>
      </c>
      <c r="D95" s="20" t="s">
        <v>10492</v>
      </c>
      <c r="E95" s="15" t="str">
        <f>HYPERLINK("https://stat100.ameba.jp/tnk47/ratio20/illustrations/card/ill_54003_seiryumegurihiguchiichiyo03.jpg?202111-5-RELEASE-marathon-561xxxxxxx", "■")</f>
        <v>■</v>
      </c>
      <c r="F95" s="14" t="s">
        <v>6250</v>
      </c>
      <c r="G95" s="14">
        <v>74100</v>
      </c>
      <c r="H95" s="14">
        <v>67210</v>
      </c>
      <c r="I95" s="14">
        <v>25</v>
      </c>
      <c r="J95" s="14" t="s">
        <v>10</v>
      </c>
      <c r="K95" s="14" t="s">
        <v>6252</v>
      </c>
      <c r="L95" s="14" t="s">
        <v>6253</v>
      </c>
      <c r="M95" s="14" t="s">
        <v>9158</v>
      </c>
      <c r="N95" s="14" t="s">
        <v>9158</v>
      </c>
      <c r="O95" s="14" t="s">
        <v>9158</v>
      </c>
      <c r="P95" s="14" t="s">
        <v>9158</v>
      </c>
      <c r="Q95" s="14" t="s">
        <v>9158</v>
      </c>
    </row>
    <row r="96" spans="1:17">
      <c r="A96" s="14">
        <v>51833</v>
      </c>
      <c r="B96" s="14" t="s">
        <v>15</v>
      </c>
      <c r="C96" s="14" t="s">
        <v>205</v>
      </c>
      <c r="D96" s="20" t="s">
        <v>10493</v>
      </c>
      <c r="E96" s="15" t="str">
        <f>HYPERLINK("https://stat100.ameba.jp/tnk47/ratio20/illustrations/card/ill_51833_jukimakitsuhikonomikoto03.jpg?202111-5-RELEASE-marathon-561xxxxxxx", "■")</f>
        <v>■</v>
      </c>
      <c r="F96" s="14" t="s">
        <v>6254</v>
      </c>
      <c r="G96" s="14">
        <v>74100</v>
      </c>
      <c r="H96" s="14">
        <v>67210</v>
      </c>
      <c r="I96" s="14">
        <v>25</v>
      </c>
      <c r="J96" s="14" t="s">
        <v>44</v>
      </c>
      <c r="K96" s="14" t="s">
        <v>6257</v>
      </c>
      <c r="L96" s="14" t="s">
        <v>6256</v>
      </c>
      <c r="M96" s="14" t="s">
        <v>9158</v>
      </c>
      <c r="N96" s="14" t="s">
        <v>9158</v>
      </c>
      <c r="O96" s="14" t="s">
        <v>9158</v>
      </c>
      <c r="P96" s="14" t="s">
        <v>9158</v>
      </c>
      <c r="Q96" s="14" t="s">
        <v>9158</v>
      </c>
    </row>
    <row r="97" spans="1:17">
      <c r="A97" s="14">
        <v>53203</v>
      </c>
      <c r="B97" s="14" t="s">
        <v>15</v>
      </c>
      <c r="C97" s="14" t="s">
        <v>165</v>
      </c>
      <c r="D97" s="20" t="s">
        <v>10494</v>
      </c>
      <c r="E97" s="15" t="str">
        <f>HYPERLINK("https://stat100.ameba.jp/tnk47/ratio20/illustrations/card/ill_53203_buruhawaichan03.jpg?202109-5-RELEASE-marathon-551", "■")</f>
        <v>■</v>
      </c>
      <c r="F97" s="14" t="s">
        <v>6258</v>
      </c>
      <c r="G97" s="14">
        <v>67210</v>
      </c>
      <c r="H97" s="14">
        <v>74100</v>
      </c>
      <c r="I97" s="14">
        <v>25</v>
      </c>
      <c r="J97" s="14" t="s">
        <v>104</v>
      </c>
      <c r="K97" s="14" t="s">
        <v>6261</v>
      </c>
      <c r="L97" s="14" t="s">
        <v>6260</v>
      </c>
      <c r="M97" s="14" t="s">
        <v>9158</v>
      </c>
      <c r="N97" s="14" t="s">
        <v>9158</v>
      </c>
      <c r="O97" s="14" t="s">
        <v>9158</v>
      </c>
      <c r="P97" s="14" t="s">
        <v>9158</v>
      </c>
      <c r="Q97" s="14" t="s">
        <v>9158</v>
      </c>
    </row>
    <row r="99" spans="1:17">
      <c r="A99" s="14" t="s">
        <v>180</v>
      </c>
    </row>
    <row r="100" spans="1:17">
      <c r="A100" s="14">
        <v>112894</v>
      </c>
      <c r="B100" s="14" t="s">
        <v>7866</v>
      </c>
    </row>
    <row r="101" spans="1:17">
      <c r="A101" s="9" t="s">
        <v>5642</v>
      </c>
      <c r="B101" s="14" t="s">
        <v>330</v>
      </c>
      <c r="C101" s="14" t="s">
        <v>185</v>
      </c>
      <c r="D101" s="14" t="s">
        <v>3086</v>
      </c>
      <c r="E101" s="15" t="str">
        <f>HYPERLINK("https://stat100.ameba.jp/tnk47/ratio20/illustrations/card/ill_69593_0_setsubunyukionna03.jpg?202111-5-RELEASE-marathon-561xxxxxxxxxx", "■")</f>
        <v>■</v>
      </c>
      <c r="F101" s="14" t="s">
        <v>3087</v>
      </c>
      <c r="G101" s="14">
        <v>192866</v>
      </c>
      <c r="H101" s="14">
        <v>207449</v>
      </c>
      <c r="I101" s="14">
        <v>27</v>
      </c>
      <c r="J101" s="14" t="s">
        <v>320</v>
      </c>
      <c r="K101" s="14" t="s">
        <v>3088</v>
      </c>
      <c r="L101" s="14" t="s">
        <v>3089</v>
      </c>
      <c r="M101" s="14" t="s">
        <v>9158</v>
      </c>
      <c r="N101" s="14" t="s">
        <v>9158</v>
      </c>
      <c r="O101" s="7" t="s">
        <v>3090</v>
      </c>
      <c r="P101" s="14" t="s">
        <v>3091</v>
      </c>
      <c r="Q101" s="14">
        <v>2</v>
      </c>
    </row>
    <row r="102" spans="1:17">
      <c r="A102" s="14" t="s">
        <v>5848</v>
      </c>
      <c r="B102" s="14" t="s">
        <v>52</v>
      </c>
      <c r="C102" s="14" t="s">
        <v>200</v>
      </c>
      <c r="D102" s="20" t="s">
        <v>3160</v>
      </c>
      <c r="E102" s="15" t="str">
        <f>HYPERLINK("https://stat100.ameba.jp/tnk47/ratio20/illustrations/card/ill_72963_0_amenohanayomehiguchiichiyo03.jpg?202111-5-RELEASE-marathon-561xxxxxxxxxx", "■")</f>
        <v>■</v>
      </c>
      <c r="F102" s="14" t="s">
        <v>1139</v>
      </c>
      <c r="G102" s="14">
        <v>180906</v>
      </c>
      <c r="H102" s="14">
        <v>168210</v>
      </c>
      <c r="I102" s="14">
        <v>27</v>
      </c>
      <c r="J102" s="14" t="s">
        <v>10</v>
      </c>
      <c r="K102" s="14" t="s">
        <v>1140</v>
      </c>
      <c r="L102" s="14" t="s">
        <v>1141</v>
      </c>
      <c r="M102" s="14" t="s">
        <v>9158</v>
      </c>
      <c r="N102" s="14" t="s">
        <v>9158</v>
      </c>
      <c r="O102" s="19" t="s">
        <v>3162</v>
      </c>
      <c r="P102" s="14" t="s">
        <v>3410</v>
      </c>
      <c r="Q102" s="14">
        <v>1</v>
      </c>
    </row>
    <row r="103" spans="1:17">
      <c r="A103" s="14" t="s">
        <v>5625</v>
      </c>
      <c r="B103" s="14" t="s">
        <v>330</v>
      </c>
      <c r="C103" s="14" t="s">
        <v>200</v>
      </c>
      <c r="D103" s="19" t="s">
        <v>630</v>
      </c>
      <c r="E103" s="15" t="str">
        <f>HYPERLINK("https://stat100.ameba.jp/tnk47/ratio20/illustrations/card/ill_48283_0_kyuubitamamonomae03.jpg?202111-5-RELEASE-marathon-561xxxxxxxxxx", "■")</f>
        <v>■</v>
      </c>
      <c r="F103" s="14" t="s">
        <v>631</v>
      </c>
      <c r="G103" s="14">
        <v>169624</v>
      </c>
      <c r="H103" s="14">
        <v>150680</v>
      </c>
      <c r="I103" s="14">
        <v>27</v>
      </c>
      <c r="J103" s="14" t="s">
        <v>320</v>
      </c>
      <c r="K103" s="14" t="s">
        <v>632</v>
      </c>
      <c r="L103" s="14" t="s">
        <v>633</v>
      </c>
      <c r="M103" s="14" t="s">
        <v>9158</v>
      </c>
      <c r="N103" s="14" t="s">
        <v>9158</v>
      </c>
      <c r="O103" s="14" t="s">
        <v>9158</v>
      </c>
      <c r="P103" s="14" t="s">
        <v>9158</v>
      </c>
      <c r="Q103" s="14" t="s">
        <v>9158</v>
      </c>
    </row>
    <row r="104" spans="1:17">
      <c r="A104" s="14">
        <v>201723</v>
      </c>
      <c r="B104" s="14" t="s">
        <v>0</v>
      </c>
      <c r="C104" s="14" t="s">
        <v>96</v>
      </c>
      <c r="D104" s="14" t="s">
        <v>18234</v>
      </c>
      <c r="E104" s="15" t="str">
        <f>HYPERLINK("https://stat100.ameba.jp/tnk47/ratio20/illustrations/card/ill_201723_mafuiaharimanoinabinooiratsume03.jpg?202111-5-RELEASE-marathon-561xxxxxxxxxx", "■")</f>
        <v>■</v>
      </c>
      <c r="F104" s="14" t="s">
        <v>18233</v>
      </c>
      <c r="G104" s="14">
        <v>118598</v>
      </c>
      <c r="H104" s="14">
        <v>127556</v>
      </c>
      <c r="I104" s="14">
        <v>28</v>
      </c>
      <c r="J104" s="14" t="s">
        <v>44</v>
      </c>
      <c r="K104" s="14" t="s">
        <v>18232</v>
      </c>
      <c r="L104" s="14" t="s">
        <v>7160</v>
      </c>
      <c r="M104" s="14" t="s">
        <v>9158</v>
      </c>
      <c r="N104" s="14" t="s">
        <v>9158</v>
      </c>
      <c r="O104" s="14" t="s">
        <v>9158</v>
      </c>
      <c r="P104" s="14" t="s">
        <v>9158</v>
      </c>
      <c r="Q104" s="14" t="s">
        <v>9158</v>
      </c>
    </row>
    <row r="105" spans="1:17">
      <c r="A105" s="14">
        <v>201733</v>
      </c>
      <c r="B105" s="14" t="s">
        <v>15</v>
      </c>
      <c r="C105" s="14" t="s">
        <v>1</v>
      </c>
      <c r="D105" s="14" t="s">
        <v>18236</v>
      </c>
      <c r="E105" s="15" t="str">
        <f>HYPERLINK("https://stat100.ameba.jp/tnk47/ratio20/illustrations/card/ill_201733_gokuhimegoryunotsubone03.jpg?202111-5-RELEASE-marathon-561xxxxxxxxxx", "■")</f>
        <v>■</v>
      </c>
      <c r="F105" s="14" t="s">
        <v>18235</v>
      </c>
      <c r="G105" s="14">
        <v>80028</v>
      </c>
      <c r="H105" s="14">
        <v>72586</v>
      </c>
      <c r="I105" s="14">
        <v>27</v>
      </c>
      <c r="J105" s="14" t="s">
        <v>77</v>
      </c>
      <c r="K105" s="14" t="s">
        <v>12253</v>
      </c>
      <c r="L105" s="14" t="s">
        <v>932</v>
      </c>
    </row>
    <row r="106" spans="1:17">
      <c r="A106" s="14">
        <v>201743</v>
      </c>
      <c r="B106" s="14" t="s">
        <v>22</v>
      </c>
      <c r="C106" s="14" t="s">
        <v>107</v>
      </c>
      <c r="D106" s="14" t="s">
        <v>18239</v>
      </c>
      <c r="E106" s="15" t="str">
        <f>HYPERLINK("https://stat100.ameba.jp/tnk47/ratio20/illustrations/card/ill_201743_kurabubidorozaikuchan03.jpg?202111-5-RELEASE-marathon-561xxxxxxxxxx", "■")</f>
        <v>■</v>
      </c>
      <c r="F106" s="14" t="s">
        <v>18238</v>
      </c>
      <c r="G106" s="14">
        <v>46676</v>
      </c>
      <c r="H106" s="14">
        <v>56138</v>
      </c>
      <c r="I106" s="14">
        <v>27</v>
      </c>
      <c r="J106" s="14" t="s">
        <v>26</v>
      </c>
      <c r="K106" s="14" t="s">
        <v>18237</v>
      </c>
      <c r="L106" s="14" t="s">
        <v>28</v>
      </c>
    </row>
    <row r="107" spans="1:17">
      <c r="A107" s="14">
        <v>201753</v>
      </c>
      <c r="B107" s="14" t="s">
        <v>22</v>
      </c>
      <c r="C107" s="14" t="s">
        <v>23</v>
      </c>
      <c r="D107" s="14" t="s">
        <v>18242</v>
      </c>
      <c r="E107" s="15" t="str">
        <f>HYPERLINK("https://stat100.ameba.jp/tnk47/ratio20/illustrations/card/ill_201753_utsunomiyakunitsuna03.jpg?202111-5-RELEASE-marathon-561xxxxxxxxxx", "■")</f>
        <v>■</v>
      </c>
      <c r="F107" s="14" t="s">
        <v>18241</v>
      </c>
      <c r="G107" s="14">
        <v>56138</v>
      </c>
      <c r="H107" s="14">
        <v>46676</v>
      </c>
      <c r="I107" s="14">
        <v>27</v>
      </c>
      <c r="J107" s="14" t="s">
        <v>143</v>
      </c>
      <c r="K107" s="14" t="s">
        <v>18240</v>
      </c>
      <c r="L107" s="14" t="s">
        <v>4461</v>
      </c>
    </row>
    <row r="109" spans="1:17">
      <c r="A109" s="14" t="s">
        <v>12630</v>
      </c>
    </row>
    <row r="110" spans="1:17">
      <c r="A110" s="14">
        <v>241726</v>
      </c>
      <c r="B110" s="14" t="s">
        <v>18254</v>
      </c>
    </row>
    <row r="111" spans="1:17">
      <c r="A111" s="14">
        <v>241736</v>
      </c>
      <c r="B111" s="14" t="s">
        <v>15725</v>
      </c>
    </row>
    <row r="112" spans="1:17">
      <c r="A112" s="9" t="s">
        <v>18086</v>
      </c>
    </row>
    <row r="113" spans="1:17">
      <c r="A113" s="14" t="s">
        <v>13435</v>
      </c>
      <c r="B113" s="7" t="s">
        <v>52</v>
      </c>
      <c r="C113" s="14" t="s">
        <v>202</v>
      </c>
      <c r="D113" s="18" t="s">
        <v>13434</v>
      </c>
      <c r="E113" s="15" t="str">
        <f>HYPERLINK("https://stat100.ameba.jp/tnk47/ratio20/illustrations/card/ill_91073_0_mizugiaidorusarukanigassen03.jpg?202111-5-RELEASE-marathon-561xxxxxxxxxx", "■")</f>
        <v>■</v>
      </c>
      <c r="F113" s="14" t="s">
        <v>13436</v>
      </c>
      <c r="G113" s="14">
        <v>347148</v>
      </c>
      <c r="H113" s="14">
        <v>313748</v>
      </c>
      <c r="I113" s="14">
        <v>30</v>
      </c>
      <c r="J113" s="14" t="s">
        <v>38</v>
      </c>
      <c r="K113" s="14" t="s">
        <v>13437</v>
      </c>
      <c r="L113" s="14" t="s">
        <v>13438</v>
      </c>
      <c r="M113" s="14" t="s">
        <v>9158</v>
      </c>
      <c r="N113" s="14" t="s">
        <v>9158</v>
      </c>
      <c r="O113" s="6" t="s">
        <v>13439</v>
      </c>
      <c r="P113" s="7" t="s">
        <v>13440</v>
      </c>
      <c r="Q113" s="7">
        <v>1</v>
      </c>
    </row>
    <row r="114" spans="1:17">
      <c r="A114" s="14" t="s">
        <v>13086</v>
      </c>
      <c r="B114" s="7" t="s">
        <v>52</v>
      </c>
      <c r="C114" s="14" t="s">
        <v>202</v>
      </c>
      <c r="D114" s="18" t="s">
        <v>13084</v>
      </c>
      <c r="E114" s="15" t="str">
        <f>HYPERLINK("https://stat100.ameba.jp/tnk47/ratio20/illustrations/card/ill_89703_0_jumburaidohimiko03.jpg?202111-5-RELEASE-marathon-561xxxxxxxxxx", "■")</f>
        <v>■</v>
      </c>
      <c r="F114" s="14" t="s">
        <v>13085</v>
      </c>
      <c r="G114" s="14">
        <v>382328</v>
      </c>
      <c r="H114" s="14">
        <v>312796</v>
      </c>
      <c r="I114" s="7">
        <v>30</v>
      </c>
      <c r="J114" s="14" t="s">
        <v>10</v>
      </c>
      <c r="K114" s="14" t="s">
        <v>13087</v>
      </c>
      <c r="L114" s="14" t="s">
        <v>12016</v>
      </c>
      <c r="M114" s="14" t="s">
        <v>9158</v>
      </c>
      <c r="N114" s="14" t="s">
        <v>9158</v>
      </c>
      <c r="O114" s="6" t="s">
        <v>13088</v>
      </c>
      <c r="P114" s="7" t="s">
        <v>13089</v>
      </c>
      <c r="Q114" s="7">
        <v>1</v>
      </c>
    </row>
    <row r="115" spans="1:17">
      <c r="A115" s="14" t="s">
        <v>7789</v>
      </c>
      <c r="B115" s="14" t="s">
        <v>52</v>
      </c>
      <c r="C115" s="14" t="s">
        <v>202</v>
      </c>
      <c r="D115" s="19" t="s">
        <v>10741</v>
      </c>
      <c r="E115" s="15" t="str">
        <f>HYPERLINK("https://stat100.ameba.jp/tnk47/ratio20/illustrations/card/ill_84923_0_onsengainansosatomihakkenden03.jpg?202111-5-RELEASE-marathon-561xxxxxxxxxx", "■")</f>
        <v>■</v>
      </c>
      <c r="F115" s="14" t="s">
        <v>7792</v>
      </c>
      <c r="G115" s="14">
        <v>346574</v>
      </c>
      <c r="H115" s="14">
        <v>383456</v>
      </c>
      <c r="I115" s="7">
        <v>30</v>
      </c>
      <c r="J115" s="14" t="s">
        <v>155</v>
      </c>
      <c r="K115" s="14" t="s">
        <v>7791</v>
      </c>
      <c r="L115" s="14" t="s">
        <v>7790</v>
      </c>
      <c r="M115" s="14" t="s">
        <v>9158</v>
      </c>
      <c r="N115" s="14" t="s">
        <v>9158</v>
      </c>
      <c r="O115" s="19" t="s">
        <v>10131</v>
      </c>
      <c r="P115" s="14" t="s">
        <v>7793</v>
      </c>
      <c r="Q115" s="14">
        <v>0</v>
      </c>
    </row>
    <row r="116" spans="1:17">
      <c r="A116" s="14">
        <v>99453</v>
      </c>
      <c r="B116" s="14" t="s">
        <v>0</v>
      </c>
      <c r="C116" s="14" t="s">
        <v>14</v>
      </c>
      <c r="D116" s="14" t="s">
        <v>17328</v>
      </c>
      <c r="E116" s="15" t="str">
        <f>HYPERLINK("https://stat100.ameba.jp/tnk47/ratio20/illustrations/card/ill_99453_jimutoreaioisamanosoden03.jpg?202111-5-RELEASE-marathon-561xxxxxxxxxx", "■")</f>
        <v>■</v>
      </c>
      <c r="F116" s="14" t="s">
        <v>17327</v>
      </c>
      <c r="G116" s="14">
        <v>131742</v>
      </c>
      <c r="H116" s="14">
        <v>141676</v>
      </c>
      <c r="I116" s="7">
        <v>30</v>
      </c>
      <c r="J116" s="14" t="s">
        <v>38</v>
      </c>
      <c r="K116" s="14" t="s">
        <v>17326</v>
      </c>
      <c r="L116" s="14" t="s">
        <v>16889</v>
      </c>
      <c r="M116" s="14" t="s">
        <v>9158</v>
      </c>
      <c r="N116" s="14" t="s">
        <v>9158</v>
      </c>
      <c r="O116" s="14" t="s">
        <v>9158</v>
      </c>
      <c r="P116" s="14" t="s">
        <v>9158</v>
      </c>
      <c r="Q116" s="14" t="s">
        <v>9158</v>
      </c>
    </row>
    <row r="117" spans="1:17">
      <c r="A117" s="14">
        <v>99963</v>
      </c>
      <c r="B117" s="14" t="s">
        <v>0</v>
      </c>
      <c r="C117" s="14" t="s">
        <v>101</v>
      </c>
      <c r="D117" s="14" t="s">
        <v>18257</v>
      </c>
      <c r="E117" s="15" t="str">
        <f>HYPERLINK("https://stat100.ameba.jp/tnk47/ratio20/illustrations/card/ill_99963_daikokaijidaimochizukichiyome03.jpg?202111-5-RELEASE-marathon-561xxxxxxxxxx", "■")</f>
        <v>■</v>
      </c>
      <c r="F117" s="14" t="s">
        <v>18256</v>
      </c>
      <c r="G117" s="14">
        <v>136668</v>
      </c>
      <c r="H117" s="14">
        <v>127070</v>
      </c>
      <c r="I117" s="7">
        <v>30</v>
      </c>
      <c r="J117" s="14" t="s">
        <v>16</v>
      </c>
      <c r="K117" s="14" t="s">
        <v>11020</v>
      </c>
      <c r="L117" s="14" t="s">
        <v>7794</v>
      </c>
      <c r="M117" s="14" t="s">
        <v>9158</v>
      </c>
      <c r="N117" s="14" t="s">
        <v>9158</v>
      </c>
      <c r="O117" s="14" t="s">
        <v>9158</v>
      </c>
      <c r="P117" s="14" t="s">
        <v>9158</v>
      </c>
      <c r="Q117" s="14" t="s">
        <v>9158</v>
      </c>
    </row>
    <row r="118" spans="1:17">
      <c r="A118" s="14">
        <v>99463</v>
      </c>
      <c r="B118" s="14" t="s">
        <v>0</v>
      </c>
      <c r="C118" s="14" t="s">
        <v>23</v>
      </c>
      <c r="D118" s="14" t="s">
        <v>17332</v>
      </c>
      <c r="E118" s="15" t="str">
        <f>HYPERLINK("https://stat100.ameba.jp/tnk47/ratio20/illustrations/card/ill_99463_ameyokochan03.jpg?202111-5-RELEASE-marathon-561xxxxxxxxxx", "■")</f>
        <v>■</v>
      </c>
      <c r="F118" s="14" t="s">
        <v>17331</v>
      </c>
      <c r="G118" s="14">
        <v>117182</v>
      </c>
      <c r="H118" s="14">
        <v>108912</v>
      </c>
      <c r="I118" s="7">
        <v>30</v>
      </c>
      <c r="J118" s="14" t="s">
        <v>26</v>
      </c>
      <c r="K118" s="14" t="s">
        <v>17330</v>
      </c>
      <c r="L118" s="14" t="s">
        <v>17329</v>
      </c>
      <c r="M118" s="14" t="s">
        <v>9158</v>
      </c>
      <c r="N118" s="14" t="s">
        <v>9158</v>
      </c>
      <c r="O118" s="14" t="s">
        <v>9158</v>
      </c>
      <c r="P118" s="14" t="s">
        <v>9158</v>
      </c>
      <c r="Q118" s="14" t="s">
        <v>9158</v>
      </c>
    </row>
    <row r="119" spans="1:17">
      <c r="A119" s="14">
        <v>200153</v>
      </c>
      <c r="B119" s="14" t="s">
        <v>0</v>
      </c>
      <c r="C119" s="14" t="s">
        <v>96</v>
      </c>
      <c r="D119" s="14" t="s">
        <v>17694</v>
      </c>
      <c r="E119" s="15" t="str">
        <f>HYPERLINK("https://stat100.ameba.jp/tnk47/ratio20/illustrations/card/ill_200153_fuisshingukoshikibunonaishi03.jpg?202111-5-RELEASE-marathon-561xxxxxxxxxx", "■")</f>
        <v>■</v>
      </c>
      <c r="F119" s="14" t="s">
        <v>17693</v>
      </c>
      <c r="G119" s="14">
        <v>178342</v>
      </c>
      <c r="H119" s="14">
        <v>165824</v>
      </c>
      <c r="I119" s="14">
        <v>30</v>
      </c>
      <c r="J119" s="14" t="s">
        <v>16</v>
      </c>
      <c r="K119" s="14" t="s">
        <v>5663</v>
      </c>
      <c r="L119" s="14" t="s">
        <v>17692</v>
      </c>
      <c r="M119" s="14" t="s">
        <v>9158</v>
      </c>
      <c r="N119" s="14" t="s">
        <v>9158</v>
      </c>
      <c r="O119" s="14" t="s">
        <v>9158</v>
      </c>
      <c r="P119" s="14" t="s">
        <v>9158</v>
      </c>
      <c r="Q119" s="14" t="s">
        <v>9158</v>
      </c>
    </row>
    <row r="120" spans="1:17">
      <c r="A120" s="14">
        <v>98813</v>
      </c>
      <c r="B120" s="14" t="s">
        <v>0</v>
      </c>
      <c r="C120" s="14" t="s">
        <v>1</v>
      </c>
      <c r="D120" s="14" t="s">
        <v>18261</v>
      </c>
      <c r="E120" s="15" t="str">
        <f>HYPERLINK("https://stat100.ameba.jp/tnk47/ratio20/illustrations/card/ill_98813_ikokunoyataimimuratsuru03.jpg?202111-5-RELEASE-marathon-561xxxxxxxxxx", "■")</f>
        <v>■</v>
      </c>
      <c r="F120" s="14" t="s">
        <v>18260</v>
      </c>
      <c r="G120" s="14">
        <v>136668</v>
      </c>
      <c r="H120" s="14">
        <v>127070</v>
      </c>
      <c r="I120" s="14">
        <v>30</v>
      </c>
      <c r="J120" s="14" t="s">
        <v>143</v>
      </c>
      <c r="K120" s="14" t="s">
        <v>18259</v>
      </c>
      <c r="L120" s="14" t="s">
        <v>18258</v>
      </c>
      <c r="M120" s="14" t="s">
        <v>9158</v>
      </c>
      <c r="N120" s="14" t="s">
        <v>9158</v>
      </c>
      <c r="O120" s="14" t="s">
        <v>9158</v>
      </c>
      <c r="P120" s="14" t="s">
        <v>9158</v>
      </c>
      <c r="Q120" s="14" t="s">
        <v>9158</v>
      </c>
    </row>
    <row r="121" spans="1:17">
      <c r="A121" s="14">
        <v>98823</v>
      </c>
      <c r="B121" s="14" t="s">
        <v>0</v>
      </c>
      <c r="C121" s="14" t="s">
        <v>107</v>
      </c>
      <c r="D121" s="14" t="s">
        <v>18264</v>
      </c>
      <c r="E121" s="15" t="str">
        <f>HYPERLINK("https://stat100.ameba.jp/tnk47/ratio20/illustrations/card/ill_98823_shishirianraisu03.jpg?202111-5-RELEASE-marathon-561xxxxxxxxxx", "■")</f>
        <v>■</v>
      </c>
      <c r="F121" s="14" t="s">
        <v>18263</v>
      </c>
      <c r="G121" s="14">
        <v>108912</v>
      </c>
      <c r="H121" s="14">
        <v>117182</v>
      </c>
      <c r="I121" s="14">
        <v>30</v>
      </c>
      <c r="J121" s="14" t="s">
        <v>104</v>
      </c>
      <c r="K121" s="14" t="s">
        <v>7568</v>
      </c>
      <c r="L121" s="14" t="s">
        <v>18262</v>
      </c>
      <c r="M121" s="14" t="s">
        <v>9158</v>
      </c>
      <c r="N121" s="14" t="s">
        <v>9158</v>
      </c>
      <c r="O121" s="14" t="s">
        <v>9158</v>
      </c>
      <c r="P121" s="14" t="s">
        <v>9158</v>
      </c>
      <c r="Q121" s="14" t="s">
        <v>9158</v>
      </c>
    </row>
    <row r="123" spans="1:17">
      <c r="A123" s="14" t="s">
        <v>3785</v>
      </c>
    </row>
    <row r="124" spans="1:17">
      <c r="A124" s="14">
        <v>241747</v>
      </c>
      <c r="B124" s="14" t="s">
        <v>18255</v>
      </c>
    </row>
    <row r="125" spans="1:17">
      <c r="A125" s="14" t="s">
        <v>7150</v>
      </c>
      <c r="B125" s="14" t="s">
        <v>52</v>
      </c>
      <c r="C125" s="14" t="s">
        <v>202</v>
      </c>
      <c r="D125" s="19" t="s">
        <v>10656</v>
      </c>
      <c r="E125" s="15" t="str">
        <f>HYPERLINK("https://stat100.ameba.jp/tnk47/ratio20/illustrations/card/ill_84203_0_tarottofujiwaranoshoshi03.jpg?202111-5-RELEASE-marathon-561xxxxxxxxxx", "■")</f>
        <v>■</v>
      </c>
      <c r="F125" s="14" t="s">
        <v>7153</v>
      </c>
      <c r="G125" s="14">
        <v>323812</v>
      </c>
      <c r="H125" s="14">
        <v>292680</v>
      </c>
      <c r="I125" s="14">
        <v>22</v>
      </c>
      <c r="J125" s="14" t="s">
        <v>10</v>
      </c>
      <c r="K125" s="14" t="s">
        <v>7152</v>
      </c>
      <c r="L125" s="14" t="s">
        <v>7151</v>
      </c>
      <c r="M125" s="14" t="s">
        <v>9158</v>
      </c>
      <c r="N125" s="14" t="s">
        <v>9158</v>
      </c>
      <c r="O125" s="19" t="s">
        <v>10128</v>
      </c>
      <c r="P125" s="14" t="s">
        <v>7154</v>
      </c>
      <c r="Q125" s="14">
        <v>1</v>
      </c>
    </row>
    <row r="126" spans="1:17">
      <c r="A126" s="14" t="s">
        <v>5778</v>
      </c>
      <c r="B126" s="14" t="s">
        <v>330</v>
      </c>
      <c r="C126" s="14" t="s">
        <v>205</v>
      </c>
      <c r="D126" s="19" t="s">
        <v>272</v>
      </c>
      <c r="E126" s="15" t="str">
        <f>HYPERLINK("https://stat100.ameba.jp/tnk47/ratio20/illustrations/card/ill_68783_0_gantammomotaro03.jpg?202111-5-RELEASE-marathon-561xxxxxxxxxx", "■")</f>
        <v>■</v>
      </c>
      <c r="F126" s="14" t="s">
        <v>273</v>
      </c>
      <c r="G126" s="14">
        <v>150466</v>
      </c>
      <c r="H126" s="14">
        <v>139878</v>
      </c>
      <c r="I126" s="14">
        <v>22</v>
      </c>
      <c r="J126" s="14" t="s">
        <v>274</v>
      </c>
      <c r="K126" s="14" t="s">
        <v>275</v>
      </c>
      <c r="L126" s="14" t="s">
        <v>276</v>
      </c>
      <c r="M126" s="14" t="s">
        <v>9158</v>
      </c>
      <c r="N126" s="14" t="s">
        <v>9158</v>
      </c>
      <c r="O126" s="6" t="s">
        <v>9992</v>
      </c>
      <c r="P126" s="14" t="s">
        <v>3451</v>
      </c>
      <c r="Q126" s="14">
        <v>1</v>
      </c>
    </row>
    <row r="127" spans="1:17">
      <c r="A127" s="9" t="s">
        <v>5721</v>
      </c>
      <c r="B127" s="14" t="s">
        <v>52</v>
      </c>
      <c r="C127" s="14" t="s">
        <v>1</v>
      </c>
      <c r="D127" s="14" t="s">
        <v>2253</v>
      </c>
      <c r="E127" s="15" t="str">
        <f>HYPERLINK("https://stat100.ameba.jp/tnk47/ratio20/illustrations/card/ill_44283_0_izumonokuni03.jpg?202111-5-RELEASE-marathon-561xxxxxxxxxx", "■")</f>
        <v>■</v>
      </c>
      <c r="F127" s="14" t="s">
        <v>1716</v>
      </c>
      <c r="G127" s="14">
        <v>128744</v>
      </c>
      <c r="H127" s="14">
        <v>120576</v>
      </c>
      <c r="I127" s="14">
        <v>22</v>
      </c>
      <c r="J127" s="14" t="s">
        <v>16</v>
      </c>
      <c r="K127" s="14" t="s">
        <v>2254</v>
      </c>
      <c r="L127" s="14" t="s">
        <v>1718</v>
      </c>
      <c r="M127" s="14" t="s">
        <v>9158</v>
      </c>
      <c r="N127" s="14" t="s">
        <v>9158</v>
      </c>
      <c r="O127" s="14" t="s">
        <v>9158</v>
      </c>
      <c r="P127" s="14" t="s">
        <v>9158</v>
      </c>
      <c r="Q127" s="14" t="s">
        <v>9158</v>
      </c>
    </row>
    <row r="128" spans="1:17">
      <c r="A128" s="14">
        <v>200053</v>
      </c>
      <c r="B128" s="14" t="s">
        <v>0</v>
      </c>
      <c r="C128" s="14" t="s">
        <v>107</v>
      </c>
      <c r="D128" s="14" t="s">
        <v>18267</v>
      </c>
      <c r="E128" s="15" t="str">
        <f>HYPERLINK("https://stat100.ameba.jp/tnk47/ratio20/illustrations/card/ill_200053_bibido03.jpg?202111-5-RELEASE-marathon-561xxxxxxxxxx", "■")</f>
        <v>■</v>
      </c>
      <c r="F128" s="14" t="s">
        <v>18266</v>
      </c>
      <c r="G128" s="14">
        <v>174982</v>
      </c>
      <c r="H128" s="14">
        <v>98436</v>
      </c>
      <c r="I128" s="14">
        <v>30</v>
      </c>
      <c r="J128" s="14" t="s">
        <v>38</v>
      </c>
      <c r="K128" s="14" t="s">
        <v>18265</v>
      </c>
      <c r="L128" s="14" t="s">
        <v>17148</v>
      </c>
      <c r="M128" s="14" t="s">
        <v>9158</v>
      </c>
      <c r="N128" s="14" t="s">
        <v>9158</v>
      </c>
      <c r="O128" s="14" t="s">
        <v>9158</v>
      </c>
      <c r="P128" s="14" t="s">
        <v>9158</v>
      </c>
      <c r="Q128" s="14" t="s">
        <v>9158</v>
      </c>
    </row>
    <row r="129" spans="1:17">
      <c r="A129" s="14">
        <v>90703</v>
      </c>
      <c r="B129" s="14" t="s">
        <v>0</v>
      </c>
      <c r="C129" s="14" t="s">
        <v>96</v>
      </c>
      <c r="D129" s="14" t="s">
        <v>14337</v>
      </c>
      <c r="E129" s="15" t="str">
        <f>HYPERLINK("https://stat100.ameba.jp/tnk47/ratio20/illustrations/card/ill_90703_hamabeamupitorite03.jpg?202111-5-RELEASE-marathon-561xxxxxxxxxx", "■")</f>
        <v>■</v>
      </c>
      <c r="F129" s="14" t="s">
        <v>14336</v>
      </c>
      <c r="G129" s="14">
        <v>151116</v>
      </c>
      <c r="H129" s="14">
        <v>85014</v>
      </c>
      <c r="I129" s="14">
        <v>30</v>
      </c>
      <c r="J129" s="14" t="s">
        <v>44</v>
      </c>
      <c r="K129" s="14" t="s">
        <v>14335</v>
      </c>
      <c r="L129" s="14" t="s">
        <v>14334</v>
      </c>
      <c r="M129" s="14" t="s">
        <v>9158</v>
      </c>
      <c r="N129" s="14" t="s">
        <v>9158</v>
      </c>
      <c r="O129" s="14" t="s">
        <v>9158</v>
      </c>
      <c r="P129" s="14" t="s">
        <v>9158</v>
      </c>
      <c r="Q129" s="14" t="s">
        <v>9158</v>
      </c>
    </row>
    <row r="130" spans="1:17">
      <c r="A130" s="14">
        <v>90013</v>
      </c>
      <c r="B130" s="14" t="s">
        <v>0</v>
      </c>
      <c r="C130" s="14" t="s">
        <v>23</v>
      </c>
      <c r="D130" s="14" t="s">
        <v>13981</v>
      </c>
      <c r="E130" s="15" t="str">
        <f>HYPERLINK("https://stat100.ameba.jp/tnk47/ratio20/illustrations/card/ill_90013_buiranzumarisondemonia03.jpg?202111-5-RELEASE-marathon-561xxxxxxxxxx", "■")</f>
        <v>■</v>
      </c>
      <c r="F130" s="14" t="s">
        <v>13982</v>
      </c>
      <c r="G130" s="14">
        <v>174982</v>
      </c>
      <c r="H130" s="14">
        <v>98436</v>
      </c>
      <c r="I130" s="14">
        <v>30</v>
      </c>
      <c r="J130" s="14" t="s">
        <v>26</v>
      </c>
      <c r="K130" s="14" t="s">
        <v>13983</v>
      </c>
      <c r="L130" s="14" t="s">
        <v>2388</v>
      </c>
      <c r="M130" s="14" t="s">
        <v>9158</v>
      </c>
      <c r="N130" s="14" t="s">
        <v>9158</v>
      </c>
      <c r="O130" s="14" t="s">
        <v>9158</v>
      </c>
      <c r="P130" s="14" t="s">
        <v>9158</v>
      </c>
      <c r="Q130" s="14" t="s">
        <v>9158</v>
      </c>
    </row>
    <row r="132" spans="1:17">
      <c r="A132" s="14" t="s">
        <v>4065</v>
      </c>
    </row>
    <row r="133" spans="1:17">
      <c r="A133" s="14">
        <v>112867</v>
      </c>
      <c r="B133" s="14" t="s">
        <v>15554</v>
      </c>
    </row>
    <row r="134" spans="1:17">
      <c r="A134" s="7" t="s">
        <v>8437</v>
      </c>
      <c r="B134" s="7" t="s">
        <v>52</v>
      </c>
      <c r="C134" s="7" t="s">
        <v>202</v>
      </c>
      <c r="D134" s="20" t="s">
        <v>10806</v>
      </c>
      <c r="E134" s="15" t="str">
        <f>HYPERLINK("https://stat100.ameba.jp/tnk47/ratio20/illustrations/card/ill_85523_0_seitankuronikurukusumotoine03.jpg?202111-5-RELEASE-marathon-561xxxxxxxxxx", "■")</f>
        <v>■</v>
      </c>
      <c r="F134" s="7" t="s">
        <v>8440</v>
      </c>
      <c r="G134" s="7">
        <v>351319</v>
      </c>
      <c r="H134" s="7">
        <v>317540</v>
      </c>
      <c r="I134" s="7">
        <v>29</v>
      </c>
      <c r="J134" s="14" t="s">
        <v>77</v>
      </c>
      <c r="K134" s="7" t="s">
        <v>8446</v>
      </c>
      <c r="L134" s="7" t="s">
        <v>8439</v>
      </c>
      <c r="M134" s="14" t="s">
        <v>9158</v>
      </c>
      <c r="N134" s="14" t="s">
        <v>9158</v>
      </c>
      <c r="O134" s="19" t="s">
        <v>10133</v>
      </c>
      <c r="P134" s="7" t="s">
        <v>8441</v>
      </c>
      <c r="Q134" s="7">
        <v>1</v>
      </c>
    </row>
    <row r="135" spans="1:17">
      <c r="A135" s="9">
        <v>86833</v>
      </c>
      <c r="B135" s="14" t="s">
        <v>0</v>
      </c>
      <c r="C135" s="9" t="s">
        <v>185</v>
      </c>
      <c r="D135" s="19" t="s">
        <v>12619</v>
      </c>
      <c r="E135" s="15" t="str">
        <f>HYPERLINK("https://stat100.ameba.jp/tnk47/ratio20/illustrations/card/ill_86833_chokonohidosankochan03.jpg?202111-5-RELEASE-marathon-561xxxxxxxxxx", "■")</f>
        <v>■</v>
      </c>
      <c r="F135" s="9" t="s">
        <v>9335</v>
      </c>
      <c r="G135" s="9">
        <v>101837</v>
      </c>
      <c r="H135" s="9">
        <v>109481</v>
      </c>
      <c r="I135" s="14">
        <v>27</v>
      </c>
      <c r="J135" s="9" t="s">
        <v>229</v>
      </c>
      <c r="K135" s="9" t="s">
        <v>9334</v>
      </c>
      <c r="L135" s="9" t="s">
        <v>9333</v>
      </c>
      <c r="M135" s="14" t="s">
        <v>9158</v>
      </c>
      <c r="N135" s="14" t="s">
        <v>9158</v>
      </c>
      <c r="O135" s="19" t="s">
        <v>2752</v>
      </c>
      <c r="P135" s="14" t="s">
        <v>13123</v>
      </c>
      <c r="Q135" s="14">
        <v>1</v>
      </c>
    </row>
    <row r="136" spans="1:17">
      <c r="A136" s="14">
        <v>81743</v>
      </c>
      <c r="B136" s="14" t="s">
        <v>334</v>
      </c>
      <c r="C136" s="14" t="s">
        <v>107</v>
      </c>
      <c r="D136" s="19" t="s">
        <v>10171</v>
      </c>
      <c r="E136" s="15" t="str">
        <f>HYPERLINK("https://stat100.ameba.jp/tnk47/ratio20/illustrations/card/ill_81743_denshagarusakyogabashinohebi03.jpg?202111-5-RELEASE-marathon-561xxxxxxxxxx", "■")</f>
        <v>■</v>
      </c>
      <c r="F136" s="14" t="s">
        <v>4853</v>
      </c>
      <c r="G136" s="14">
        <v>123220</v>
      </c>
      <c r="H136" s="14">
        <v>114362</v>
      </c>
      <c r="I136" s="14">
        <v>27</v>
      </c>
      <c r="J136" s="14" t="s">
        <v>38</v>
      </c>
      <c r="K136" s="14" t="s">
        <v>4855</v>
      </c>
      <c r="L136" s="14" t="s">
        <v>4856</v>
      </c>
      <c r="M136" s="14" t="s">
        <v>9158</v>
      </c>
      <c r="N136" s="14" t="s">
        <v>9158</v>
      </c>
      <c r="O136" s="19" t="s">
        <v>10091</v>
      </c>
      <c r="P136" s="14" t="s">
        <v>3670</v>
      </c>
      <c r="Q136" s="14">
        <v>1</v>
      </c>
    </row>
    <row r="137" spans="1:17">
      <c r="A137" s="14">
        <v>63853</v>
      </c>
      <c r="B137" s="14" t="s">
        <v>334</v>
      </c>
      <c r="C137" s="14" t="s">
        <v>200</v>
      </c>
      <c r="D137" s="20" t="s">
        <v>10284</v>
      </c>
      <c r="E137" s="15" t="str">
        <f>HYPERLINK("https://stat100.ameba.jp/tnk47/ratio20/illustrations/card/ill_63853_daikokaijidainansosatomihakkenden03.jpg?202111-5-RELEASE-marathon-561xxxxxxxxxx", "■")</f>
        <v>■</v>
      </c>
      <c r="F137" s="14" t="s">
        <v>941</v>
      </c>
      <c r="G137" s="14">
        <v>114362</v>
      </c>
      <c r="H137" s="14">
        <v>123220</v>
      </c>
      <c r="I137" s="14">
        <v>27</v>
      </c>
      <c r="J137" s="14" t="s">
        <v>155</v>
      </c>
      <c r="K137" s="14" t="s">
        <v>942</v>
      </c>
      <c r="L137" s="14" t="s">
        <v>13149</v>
      </c>
      <c r="M137" s="14" t="s">
        <v>9158</v>
      </c>
      <c r="N137" s="14" t="s">
        <v>9158</v>
      </c>
      <c r="O137" s="19" t="s">
        <v>10121</v>
      </c>
      <c r="P137" s="14" t="s">
        <v>3330</v>
      </c>
      <c r="Q137" s="14">
        <v>1</v>
      </c>
    </row>
    <row r="139" spans="1:17">
      <c r="A139" s="14" t="s">
        <v>3844</v>
      </c>
    </row>
    <row r="140" spans="1:17">
      <c r="A140" s="14">
        <v>112917</v>
      </c>
      <c r="B140" s="14" t="s">
        <v>7870</v>
      </c>
    </row>
    <row r="141" spans="1:17">
      <c r="A141" s="14" t="s">
        <v>15807</v>
      </c>
      <c r="B141" s="14" t="s">
        <v>52</v>
      </c>
      <c r="C141" s="14" t="s">
        <v>35</v>
      </c>
      <c r="D141" s="14" t="s">
        <v>15808</v>
      </c>
      <c r="E141" s="15" t="str">
        <f>HYPERLINK("https://stat100.ameba.jp/tnk47/ratio20/illustrations/card/ill_95013_0_shinshunnisennijuichiayakashi03.jpg?202111-5-RELEASE-marathon-561xxxxxxxxxx", "■")</f>
        <v>■</v>
      </c>
      <c r="F141" s="14" t="s">
        <v>15806</v>
      </c>
      <c r="G141" s="14">
        <v>278470</v>
      </c>
      <c r="H141" s="14">
        <v>308104</v>
      </c>
      <c r="I141" s="14">
        <v>28</v>
      </c>
      <c r="J141" s="14" t="s">
        <v>73</v>
      </c>
      <c r="K141" s="14" t="s">
        <v>15805</v>
      </c>
      <c r="L141" s="14" t="s">
        <v>15804</v>
      </c>
      <c r="M141" s="14" t="s">
        <v>9158</v>
      </c>
      <c r="N141" s="14" t="s">
        <v>9158</v>
      </c>
      <c r="O141" s="14" t="s">
        <v>15802</v>
      </c>
      <c r="P141" s="14" t="s">
        <v>15803</v>
      </c>
      <c r="Q141" s="14">
        <v>0</v>
      </c>
    </row>
    <row r="142" spans="1:17">
      <c r="A142" s="14">
        <v>85483</v>
      </c>
      <c r="B142" s="14" t="s">
        <v>0</v>
      </c>
      <c r="C142" s="14" t="s">
        <v>206</v>
      </c>
      <c r="D142" s="20" t="s">
        <v>10807</v>
      </c>
      <c r="E142" s="15" t="str">
        <f>HYPERLINK("https://stat100.ameba.jp/tnk47/ratio20/illustrations/card/ill_85483_seitankuronikururirimu03.jpg?202111-5-RELEASE-marathon-561xxxxxxxxxx", "■")</f>
        <v>■</v>
      </c>
      <c r="F142" s="14" t="s">
        <v>8445</v>
      </c>
      <c r="G142" s="14">
        <v>124996</v>
      </c>
      <c r="H142" s="14">
        <v>116244</v>
      </c>
      <c r="I142" s="14">
        <v>30</v>
      </c>
      <c r="J142" s="14" t="s">
        <v>182</v>
      </c>
      <c r="K142" s="14" t="s">
        <v>8444</v>
      </c>
      <c r="L142" s="14" t="s">
        <v>2308</v>
      </c>
      <c r="M142" s="14" t="s">
        <v>9158</v>
      </c>
      <c r="N142" s="14" t="s">
        <v>9158</v>
      </c>
      <c r="O142" s="19" t="s">
        <v>10086</v>
      </c>
      <c r="P142" s="14" t="s">
        <v>3701</v>
      </c>
      <c r="Q142" s="14">
        <v>1</v>
      </c>
    </row>
    <row r="143" spans="1:17">
      <c r="A143" s="14">
        <v>79963</v>
      </c>
      <c r="B143" s="14" t="s">
        <v>0</v>
      </c>
      <c r="C143" s="14" t="s">
        <v>200</v>
      </c>
      <c r="D143" s="20" t="s">
        <v>10477</v>
      </c>
      <c r="E143" s="15" t="str">
        <f>HYPERLINK("https://stat100.ameba.jp/tnk47/ratio20/illustrations/card/ill_79963_hinamatsurirakko03.jpg?202111-5-RELEASE-marathon-561xxxxxxxxxx", "■")</f>
        <v>■</v>
      </c>
      <c r="F143" s="14" t="s">
        <v>3715</v>
      </c>
      <c r="G143" s="14">
        <v>136668</v>
      </c>
      <c r="H143" s="14">
        <v>127070</v>
      </c>
      <c r="I143" s="14">
        <v>30</v>
      </c>
      <c r="J143" s="14" t="s">
        <v>26</v>
      </c>
      <c r="K143" s="14" t="s">
        <v>3716</v>
      </c>
      <c r="L143" s="14" t="s">
        <v>1086</v>
      </c>
      <c r="M143" s="14" t="s">
        <v>9158</v>
      </c>
      <c r="N143" s="14" t="s">
        <v>9158</v>
      </c>
      <c r="O143" s="19" t="s">
        <v>10090</v>
      </c>
      <c r="P143" s="14" t="s">
        <v>3460</v>
      </c>
      <c r="Q143" s="14">
        <v>1</v>
      </c>
    </row>
    <row r="144" spans="1:17">
      <c r="A144" s="9">
        <v>64893</v>
      </c>
      <c r="B144" s="14" t="s">
        <v>334</v>
      </c>
      <c r="C144" s="14" t="s">
        <v>185</v>
      </c>
      <c r="D144" s="14" t="s">
        <v>1288</v>
      </c>
      <c r="E144" s="15" t="str">
        <f>HYPERLINK("https://stat100.ameba.jp/tnk47/ratio20/illustrations/card/ill_64893_yukataonamihime03.jpg?202111-5-RELEASE-marathon-561xxxxxxxxxx", "■")</f>
        <v>■</v>
      </c>
      <c r="F144" s="14" t="s">
        <v>1289</v>
      </c>
      <c r="G144" s="14">
        <v>178342</v>
      </c>
      <c r="H144" s="14">
        <v>165824</v>
      </c>
      <c r="I144" s="14">
        <v>30</v>
      </c>
      <c r="J144" s="14" t="s">
        <v>194</v>
      </c>
      <c r="K144" s="14" t="s">
        <v>1290</v>
      </c>
      <c r="L144" s="14" t="s">
        <v>13155</v>
      </c>
      <c r="M144" s="14" t="s">
        <v>9158</v>
      </c>
      <c r="N144" s="14" t="s">
        <v>9158</v>
      </c>
      <c r="O144" s="9" t="s">
        <v>3854</v>
      </c>
      <c r="P144" s="14" t="s">
        <v>13124</v>
      </c>
      <c r="Q144" s="14">
        <v>1</v>
      </c>
    </row>
    <row r="146" spans="1:18">
      <c r="A146" s="14" t="s">
        <v>13327</v>
      </c>
    </row>
    <row r="147" spans="1:18">
      <c r="A147" s="14">
        <v>112920</v>
      </c>
      <c r="B147" s="14" t="s">
        <v>18307</v>
      </c>
    </row>
    <row r="148" spans="1:18">
      <c r="A148" s="14">
        <v>92173</v>
      </c>
      <c r="B148" s="14" t="s">
        <v>0</v>
      </c>
      <c r="C148" s="14" t="s">
        <v>335</v>
      </c>
      <c r="D148" s="14" t="s">
        <v>14616</v>
      </c>
      <c r="E148" s="15" t="str">
        <f>HYPERLINK("https://stat100.ameba.jp/tnk47/ratio20/illustrations/card/ill_92173_atorasu03.jpg?202111-5-RELEASE-marathon-561xxxxxxxxxx", "■")</f>
        <v>■</v>
      </c>
      <c r="F148" s="14" t="s">
        <v>14617</v>
      </c>
      <c r="G148" s="14">
        <v>147692</v>
      </c>
      <c r="H148" s="14">
        <v>137316</v>
      </c>
      <c r="I148" s="14">
        <v>30</v>
      </c>
      <c r="J148" s="14" t="s">
        <v>77</v>
      </c>
      <c r="K148" s="14" t="s">
        <v>14619</v>
      </c>
      <c r="L148" s="14" t="s">
        <v>14618</v>
      </c>
      <c r="M148" s="14" t="s">
        <v>2138</v>
      </c>
      <c r="N148" s="14" t="s">
        <v>2139</v>
      </c>
      <c r="O148" s="14" t="s">
        <v>9158</v>
      </c>
      <c r="P148" s="14" t="s">
        <v>9158</v>
      </c>
      <c r="Q148" s="14" t="s">
        <v>9158</v>
      </c>
      <c r="R148" s="14" t="s">
        <v>14748</v>
      </c>
    </row>
    <row r="149" spans="1:18">
      <c r="A149" s="14">
        <v>92172</v>
      </c>
      <c r="B149" s="14" t="s">
        <v>0</v>
      </c>
      <c r="C149" s="14" t="s">
        <v>335</v>
      </c>
      <c r="D149" s="14" t="s">
        <v>14616</v>
      </c>
      <c r="E149" s="15" t="str">
        <f>HYPERLINK("https://stat100.ameba.jp/tnk47/ratio20/illustrations/card/ill_92172_atorasu02.jpg?202111-5-RELEASE-marathon-561xxxxxxxxxx", "■")</f>
        <v>■</v>
      </c>
      <c r="F149" s="14" t="s">
        <v>14617</v>
      </c>
      <c r="G149" s="14">
        <v>123462</v>
      </c>
      <c r="H149" s="14">
        <v>113730</v>
      </c>
      <c r="I149" s="14">
        <v>30</v>
      </c>
      <c r="J149" s="14" t="s">
        <v>77</v>
      </c>
      <c r="K149" s="14" t="s">
        <v>14619</v>
      </c>
      <c r="L149" s="14" t="s">
        <v>14618</v>
      </c>
      <c r="M149" s="14" t="s">
        <v>13270</v>
      </c>
      <c r="N149" s="14" t="s">
        <v>13271</v>
      </c>
      <c r="O149" s="14" t="s">
        <v>9158</v>
      </c>
      <c r="P149" s="14" t="s">
        <v>9158</v>
      </c>
      <c r="Q149" s="14" t="s">
        <v>9158</v>
      </c>
      <c r="R149" s="14" t="s">
        <v>14748</v>
      </c>
    </row>
    <row r="150" spans="1:18">
      <c r="A150" s="14">
        <v>92171</v>
      </c>
      <c r="B150" s="14" t="s">
        <v>0</v>
      </c>
      <c r="C150" s="14" t="s">
        <v>335</v>
      </c>
      <c r="D150" s="14" t="s">
        <v>14616</v>
      </c>
      <c r="E150" s="15" t="str">
        <f>HYPERLINK("https://stat100.ameba.jp/tnk47/ratio20/illustrations/card/ill_92171_atorasu01.jpg?202111-5-RELEASE-marathon-561xxxxxxxxxx", "■")</f>
        <v>■</v>
      </c>
      <c r="F150" s="14" t="s">
        <v>14617</v>
      </c>
      <c r="G150" s="14">
        <v>94260</v>
      </c>
      <c r="H150" s="14">
        <v>87750</v>
      </c>
      <c r="I150" s="14">
        <v>30</v>
      </c>
      <c r="J150" s="14" t="s">
        <v>77</v>
      </c>
      <c r="K150" s="14" t="s">
        <v>14619</v>
      </c>
      <c r="L150" s="14" t="s">
        <v>14618</v>
      </c>
      <c r="M150" s="14" t="s">
        <v>13270</v>
      </c>
      <c r="N150" s="14" t="s">
        <v>13271</v>
      </c>
      <c r="O150" s="14" t="s">
        <v>9158</v>
      </c>
      <c r="P150" s="14" t="s">
        <v>9158</v>
      </c>
      <c r="Q150" s="14" t="s">
        <v>9158</v>
      </c>
      <c r="R150" s="14" t="s">
        <v>14748</v>
      </c>
    </row>
    <row r="151" spans="1:18">
      <c r="A151" s="14">
        <v>92183</v>
      </c>
      <c r="B151" s="14" t="s">
        <v>0</v>
      </c>
      <c r="C151" s="14" t="s">
        <v>200</v>
      </c>
      <c r="D151" s="14" t="s">
        <v>14624</v>
      </c>
      <c r="E151" s="15" t="str">
        <f>HYPERLINK("https://stat100.ameba.jp/tnk47/ratio20/illustrations/card/ill_92183_shokorafue03.jpg?202111-5-RELEASE-marathon-561xxxxxxxxxx", "■")</f>
        <v>■</v>
      </c>
      <c r="F151" s="14" t="s">
        <v>14623</v>
      </c>
      <c r="G151" s="14">
        <v>147692</v>
      </c>
      <c r="H151" s="14">
        <v>137316</v>
      </c>
      <c r="I151" s="14">
        <v>30</v>
      </c>
      <c r="J151" s="14" t="s">
        <v>104</v>
      </c>
      <c r="K151" s="14" t="s">
        <v>14621</v>
      </c>
      <c r="L151" s="14" t="s">
        <v>14620</v>
      </c>
      <c r="M151" s="14" t="s">
        <v>2138</v>
      </c>
      <c r="N151" s="14" t="s">
        <v>2139</v>
      </c>
      <c r="O151" s="14" t="s">
        <v>9158</v>
      </c>
      <c r="P151" s="14" t="s">
        <v>9158</v>
      </c>
      <c r="Q151" s="14" t="s">
        <v>9158</v>
      </c>
      <c r="R151" s="14" t="s">
        <v>14748</v>
      </c>
    </row>
    <row r="152" spans="1:18">
      <c r="A152" s="14">
        <v>92193</v>
      </c>
      <c r="B152" s="14" t="s">
        <v>0</v>
      </c>
      <c r="C152" s="14" t="s">
        <v>307</v>
      </c>
      <c r="D152" s="14" t="s">
        <v>14629</v>
      </c>
      <c r="E152" s="15" t="str">
        <f>HYPERLINK("https://stat100.ameba.jp/tnk47/ratio20/illustrations/card/ill_92193_kerubu03.jpg?202111-5-RELEASE-marathon-561xxxxxxxxxx", "■")</f>
        <v>■</v>
      </c>
      <c r="F152" s="14" t="s">
        <v>14628</v>
      </c>
      <c r="G152" s="14">
        <v>147692</v>
      </c>
      <c r="H152" s="14">
        <v>137316</v>
      </c>
      <c r="I152" s="14">
        <v>30</v>
      </c>
      <c r="J152" s="14" t="s">
        <v>44</v>
      </c>
      <c r="K152" s="14" t="s">
        <v>14626</v>
      </c>
      <c r="L152" s="14" t="s">
        <v>14625</v>
      </c>
      <c r="M152" s="14" t="s">
        <v>2138</v>
      </c>
      <c r="N152" s="14" t="s">
        <v>2139</v>
      </c>
      <c r="O152" s="14" t="s">
        <v>9158</v>
      </c>
      <c r="P152" s="14" t="s">
        <v>9158</v>
      </c>
      <c r="Q152" s="14" t="s">
        <v>9158</v>
      </c>
      <c r="R152" s="14" t="s">
        <v>14748</v>
      </c>
    </row>
    <row r="153" spans="1:18">
      <c r="A153" s="14">
        <v>92203</v>
      </c>
      <c r="B153" s="14" t="s">
        <v>0</v>
      </c>
      <c r="C153" s="14" t="s">
        <v>165</v>
      </c>
      <c r="D153" s="14" t="s">
        <v>14634</v>
      </c>
      <c r="E153" s="15" t="str">
        <f>HYPERLINK("https://stat100.ameba.jp/tnk47/ratio20/illustrations/card/ill_92203_tarazetotoreda03.jpg?202111-5-RELEASE-marathon-561xxxxxxxxxx", "■")</f>
        <v>■</v>
      </c>
      <c r="F153" s="14" t="s">
        <v>14633</v>
      </c>
      <c r="G153" s="14">
        <v>137316</v>
      </c>
      <c r="H153" s="14">
        <v>147692</v>
      </c>
      <c r="I153" s="14">
        <v>30</v>
      </c>
      <c r="J153" s="14" t="s">
        <v>73</v>
      </c>
      <c r="K153" s="14" t="s">
        <v>14631</v>
      </c>
      <c r="L153" s="14" t="s">
        <v>14630</v>
      </c>
      <c r="M153" s="14" t="s">
        <v>2138</v>
      </c>
      <c r="N153" s="14" t="s">
        <v>2139</v>
      </c>
      <c r="O153" s="14" t="s">
        <v>9158</v>
      </c>
      <c r="P153" s="14" t="s">
        <v>9158</v>
      </c>
      <c r="Q153" s="14" t="s">
        <v>9158</v>
      </c>
      <c r="R153" s="14" t="s">
        <v>14748</v>
      </c>
    </row>
    <row r="154" spans="1:18">
      <c r="A154" s="14">
        <v>92213</v>
      </c>
      <c r="B154" s="14" t="s">
        <v>0</v>
      </c>
      <c r="C154" s="9" t="s">
        <v>205</v>
      </c>
      <c r="D154" s="14" t="s">
        <v>14639</v>
      </c>
      <c r="E154" s="15" t="str">
        <f>HYPERLINK("https://stat100.ameba.jp/tnk47/ratio20/illustrations/card/ill_92213_pushikopompoi03.jpg?202111-5-RELEASE-marathon-561xxxxxxxxxx", "■")</f>
        <v>■</v>
      </c>
      <c r="F154" s="14" t="s">
        <v>14638</v>
      </c>
      <c r="G154" s="14">
        <v>137316</v>
      </c>
      <c r="H154" s="14">
        <v>147692</v>
      </c>
      <c r="I154" s="14">
        <v>30</v>
      </c>
      <c r="J154" s="14" t="s">
        <v>38</v>
      </c>
      <c r="K154" s="14" t="s">
        <v>14636</v>
      </c>
      <c r="L154" s="14" t="s">
        <v>14635</v>
      </c>
      <c r="M154" s="14" t="s">
        <v>2138</v>
      </c>
      <c r="N154" s="14" t="s">
        <v>2139</v>
      </c>
      <c r="O154" s="14" t="s">
        <v>9158</v>
      </c>
      <c r="P154" s="14" t="s">
        <v>9158</v>
      </c>
      <c r="Q154" s="14" t="s">
        <v>9158</v>
      </c>
      <c r="R154" s="14" t="s">
        <v>14748</v>
      </c>
    </row>
    <row r="155" spans="1:18">
      <c r="A155" s="14">
        <v>92223</v>
      </c>
      <c r="B155" s="14" t="s">
        <v>0</v>
      </c>
      <c r="C155" s="14" t="s">
        <v>206</v>
      </c>
      <c r="D155" s="14" t="s">
        <v>14644</v>
      </c>
      <c r="E155" s="15" t="str">
        <f>HYPERLINK("https://stat100.ameba.jp/tnk47/ratio20/illustrations/card/ill_92223_sanfuraua03.jpg?202111-5-RELEASE-marathon-561xxxxxxxxxx", "■")</f>
        <v>■</v>
      </c>
      <c r="F155" s="14" t="s">
        <v>14643</v>
      </c>
      <c r="G155" s="14">
        <v>137316</v>
      </c>
      <c r="H155" s="14">
        <v>147692</v>
      </c>
      <c r="I155" s="14">
        <v>30</v>
      </c>
      <c r="J155" s="14" t="s">
        <v>26</v>
      </c>
      <c r="K155" s="14" t="s">
        <v>14641</v>
      </c>
      <c r="L155" s="14" t="s">
        <v>14640</v>
      </c>
      <c r="M155" s="14" t="s">
        <v>2138</v>
      </c>
      <c r="N155" s="14" t="s">
        <v>2139</v>
      </c>
      <c r="O155" s="14" t="s">
        <v>9158</v>
      </c>
      <c r="P155" s="14" t="s">
        <v>9158</v>
      </c>
      <c r="Q155" s="14" t="s">
        <v>9158</v>
      </c>
      <c r="R155" s="14" t="s">
        <v>14748</v>
      </c>
    </row>
    <row r="157" spans="1:18">
      <c r="A157" s="14" t="s">
        <v>4012</v>
      </c>
    </row>
    <row r="158" spans="1:18">
      <c r="A158" s="14">
        <v>241767</v>
      </c>
      <c r="B158" s="14" t="s">
        <v>18350</v>
      </c>
    </row>
    <row r="159" spans="1:18">
      <c r="A159" s="14" t="s">
        <v>5620</v>
      </c>
      <c r="B159" s="14" t="s">
        <v>52</v>
      </c>
      <c r="C159" s="14" t="s">
        <v>344</v>
      </c>
      <c r="D159" s="19" t="s">
        <v>669</v>
      </c>
      <c r="E159" s="15" t="str">
        <f>HYPERLINK("https://stat100.ameba.jp/tnk47/ratio20/illustrations/card/ill_67173_0_yukemuriawamorichan03.jpg?202111-5-RELEASE-marathon-561xxxxxxxxxx", "■")</f>
        <v>■</v>
      </c>
      <c r="F159" s="14" t="s">
        <v>2043</v>
      </c>
      <c r="G159" s="14">
        <v>215134</v>
      </c>
      <c r="H159" s="14">
        <v>200008</v>
      </c>
      <c r="I159" s="14">
        <v>28</v>
      </c>
      <c r="J159" s="14" t="s">
        <v>104</v>
      </c>
      <c r="K159" s="14" t="s">
        <v>2044</v>
      </c>
      <c r="L159" s="14" t="s">
        <v>2045</v>
      </c>
      <c r="M159" s="14" t="s">
        <v>9158</v>
      </c>
      <c r="N159" s="14" t="s">
        <v>9158</v>
      </c>
      <c r="O159" s="19" t="s">
        <v>10087</v>
      </c>
      <c r="P159" s="14" t="s">
        <v>3455</v>
      </c>
      <c r="Q159" s="14">
        <v>1</v>
      </c>
    </row>
    <row r="160" spans="1:18">
      <c r="A160" s="14" t="s">
        <v>5650</v>
      </c>
      <c r="B160" s="14" t="s">
        <v>52</v>
      </c>
      <c r="C160" s="14" t="s">
        <v>23</v>
      </c>
      <c r="D160" s="20" t="s">
        <v>809</v>
      </c>
      <c r="E160" s="15" t="str">
        <f>HYPERLINK("https://stat100.ameba.jp/tnk47/ratio20/illustrations/card/ill_68033_0_kurisumasupateikandamyojin03.jpg?202111-5-RELEASE-marathon-561xxxxxxxxxx", "■")</f>
        <v>■</v>
      </c>
      <c r="F160" s="14" t="s">
        <v>1871</v>
      </c>
      <c r="G160" s="14">
        <v>178026</v>
      </c>
      <c r="H160" s="14">
        <v>191502</v>
      </c>
      <c r="I160" s="14">
        <v>28</v>
      </c>
      <c r="J160" s="14" t="s">
        <v>44</v>
      </c>
      <c r="K160" s="14" t="s">
        <v>1872</v>
      </c>
      <c r="L160" s="14" t="s">
        <v>1873</v>
      </c>
      <c r="M160" s="14" t="s">
        <v>9158</v>
      </c>
      <c r="N160" s="14" t="s">
        <v>9158</v>
      </c>
      <c r="O160" s="19" t="s">
        <v>2997</v>
      </c>
      <c r="P160" s="14" t="s">
        <v>3483</v>
      </c>
      <c r="Q160" s="14">
        <v>2</v>
      </c>
    </row>
    <row r="161" spans="1:19">
      <c r="A161" s="14" t="s">
        <v>5622</v>
      </c>
      <c r="B161" s="14" t="s">
        <v>330</v>
      </c>
      <c r="C161" s="14" t="s">
        <v>335</v>
      </c>
      <c r="D161" s="19" t="s">
        <v>1043</v>
      </c>
      <c r="E161" s="15" t="str">
        <f>HYPERLINK("https://stat100.ameba.jp/tnk47/ratio20/illustrations/card/ill_49953_0_yushamarihime03.jpg?202111-5-RELEASE-marathon-561xxxxxxxxxx", "■")</f>
        <v>■</v>
      </c>
      <c r="F161" s="14" t="s">
        <v>510</v>
      </c>
      <c r="G161" s="14">
        <v>175906</v>
      </c>
      <c r="H161" s="14">
        <v>156262</v>
      </c>
      <c r="I161" s="14">
        <v>28</v>
      </c>
      <c r="J161" s="14" t="s">
        <v>315</v>
      </c>
      <c r="K161" s="14" t="s">
        <v>511</v>
      </c>
      <c r="L161" s="14" t="s">
        <v>512</v>
      </c>
      <c r="M161" s="14" t="s">
        <v>9158</v>
      </c>
      <c r="N161" s="14" t="s">
        <v>9158</v>
      </c>
      <c r="O161" s="14" t="s">
        <v>9158</v>
      </c>
      <c r="P161" s="14" t="s">
        <v>9158</v>
      </c>
      <c r="Q161" s="14" t="s">
        <v>9158</v>
      </c>
    </row>
    <row r="162" spans="1:19">
      <c r="A162" s="14">
        <v>200023</v>
      </c>
      <c r="B162" s="14" t="s">
        <v>0</v>
      </c>
      <c r="C162" s="14" t="s">
        <v>47</v>
      </c>
      <c r="D162" s="14" t="s">
        <v>18354</v>
      </c>
      <c r="E162" s="15" t="str">
        <f>HYPERLINK("https://stat100.ameba.jp/tnk47/ratio20/illustrations/card/ill_200023_noryosaisagiri03.jpg?202111-5-RELEASE-marathon-561xxxxxxxxxx", "■")</f>
        <v>■</v>
      </c>
      <c r="F162" s="14" t="s">
        <v>18353</v>
      </c>
      <c r="G162" s="14">
        <v>178342</v>
      </c>
      <c r="H162" s="14">
        <v>165824</v>
      </c>
      <c r="I162" s="14">
        <v>30</v>
      </c>
      <c r="J162" s="14" t="s">
        <v>10</v>
      </c>
      <c r="K162" s="14" t="s">
        <v>18352</v>
      </c>
      <c r="L162" s="14" t="s">
        <v>18060</v>
      </c>
      <c r="M162" s="14" t="s">
        <v>9158</v>
      </c>
      <c r="N162" s="14" t="s">
        <v>9158</v>
      </c>
      <c r="O162" s="14" t="s">
        <v>9158</v>
      </c>
      <c r="P162" s="14" t="s">
        <v>9158</v>
      </c>
      <c r="Q162" s="14" t="s">
        <v>9158</v>
      </c>
      <c r="S162" s="14" t="s">
        <v>18362</v>
      </c>
    </row>
    <row r="163" spans="1:19">
      <c r="A163" s="14">
        <v>200083</v>
      </c>
      <c r="B163" s="14" t="s">
        <v>0</v>
      </c>
      <c r="C163" s="14" t="s">
        <v>41</v>
      </c>
      <c r="D163" s="14" t="s">
        <v>18358</v>
      </c>
      <c r="E163" s="15" t="str">
        <f>HYPERLINK("https://stat100.ameba.jp/tnk47/ratio20/illustrations/card/ill_200083_bakansuanri03.jpg?202111-5-RELEASE-marathon-561xxxxxxxxxx", "■")</f>
        <v>■</v>
      </c>
      <c r="F163" s="14" t="s">
        <v>18357</v>
      </c>
      <c r="G163" s="14">
        <v>117182</v>
      </c>
      <c r="H163" s="14">
        <v>108912</v>
      </c>
      <c r="I163" s="14">
        <v>30</v>
      </c>
      <c r="J163" s="14" t="s">
        <v>16</v>
      </c>
      <c r="K163" s="14" t="s">
        <v>18356</v>
      </c>
      <c r="L163" s="14" t="s">
        <v>18355</v>
      </c>
      <c r="M163" s="14" t="s">
        <v>9158</v>
      </c>
      <c r="N163" s="14" t="s">
        <v>9158</v>
      </c>
      <c r="O163" s="14" t="s">
        <v>9158</v>
      </c>
      <c r="P163" s="14" t="s">
        <v>9158</v>
      </c>
      <c r="Q163" s="14" t="s">
        <v>9158</v>
      </c>
      <c r="S163" s="14" t="s">
        <v>18364</v>
      </c>
    </row>
    <row r="164" spans="1:19">
      <c r="A164" s="14">
        <v>97553</v>
      </c>
      <c r="B164" s="14" t="s">
        <v>0</v>
      </c>
      <c r="C164" s="14" t="s">
        <v>35</v>
      </c>
      <c r="D164" s="14" t="s">
        <v>18361</v>
      </c>
      <c r="E164" s="15" t="str">
        <f>HYPERLINK("https://stat100.ameba.jp/tnk47/ratio20/illustrations/card/ill_97553_shisutahannarideru03.jpg?202111-5-RELEASE-marathon-561xxxxxxxxxx", "■")</f>
        <v>■</v>
      </c>
      <c r="F164" s="14" t="s">
        <v>18360</v>
      </c>
      <c r="G164" s="14">
        <v>148272</v>
      </c>
      <c r="H164" s="14">
        <v>137858</v>
      </c>
      <c r="I164" s="14">
        <v>30</v>
      </c>
      <c r="J164" s="14" t="s">
        <v>10</v>
      </c>
      <c r="K164" s="14" t="s">
        <v>18359</v>
      </c>
      <c r="L164" s="14" t="s">
        <v>16347</v>
      </c>
      <c r="M164" s="14" t="s">
        <v>9158</v>
      </c>
      <c r="N164" s="14" t="s">
        <v>9158</v>
      </c>
      <c r="O164" s="14" t="s">
        <v>9158</v>
      </c>
      <c r="P164" s="14" t="s">
        <v>9158</v>
      </c>
      <c r="Q164" s="14" t="s">
        <v>9158</v>
      </c>
      <c r="S164" s="14" t="s">
        <v>18363</v>
      </c>
    </row>
    <row r="165" spans="1:19">
      <c r="A165" s="14">
        <v>99583</v>
      </c>
      <c r="B165" s="14" t="s">
        <v>15</v>
      </c>
      <c r="C165" s="14" t="s">
        <v>23</v>
      </c>
      <c r="D165" s="14" t="s">
        <v>18218</v>
      </c>
      <c r="E165" s="15" t="str">
        <f>HYPERLINK("https://stat100.ameba.jp/tnk47/ratio20/illustrations/card/ill_99583_kasabokochan03.jpg?202111-5-RELEASE-marathon-561xxxxxxxxxx", "■")</f>
        <v>■</v>
      </c>
      <c r="F165" s="14" t="s">
        <v>18217</v>
      </c>
      <c r="G165" s="14">
        <v>75274</v>
      </c>
      <c r="H165" s="14">
        <v>82992</v>
      </c>
      <c r="I165" s="14">
        <v>28</v>
      </c>
      <c r="J165" s="14" t="s">
        <v>26</v>
      </c>
      <c r="K165" s="14" t="s">
        <v>18216</v>
      </c>
      <c r="L165" s="14" t="s">
        <v>14307</v>
      </c>
      <c r="M165" s="14" t="s">
        <v>9158</v>
      </c>
      <c r="N165" s="14" t="s">
        <v>9158</v>
      </c>
      <c r="O165" s="14" t="s">
        <v>9158</v>
      </c>
      <c r="P165" s="14" t="s">
        <v>9158</v>
      </c>
      <c r="Q165" s="14" t="s">
        <v>9158</v>
      </c>
      <c r="S165" s="14" t="s">
        <v>18225</v>
      </c>
    </row>
    <row r="166" spans="1:19">
      <c r="A166" s="14">
        <v>89843</v>
      </c>
      <c r="B166" s="14" t="s">
        <v>15</v>
      </c>
      <c r="C166" s="14" t="s">
        <v>107</v>
      </c>
      <c r="D166" s="14" t="s">
        <v>18220</v>
      </c>
      <c r="E166" s="15" t="str">
        <f>HYPERLINK("https://stat100.ameba.jp/tnk47/ratio20/illustrations/card/ill_89843_yojutsumamedanuki03.jpg?202111-5-RELEASE-marathon-561xxxxxxxxxx", "■")</f>
        <v>■</v>
      </c>
      <c r="F166" s="14" t="s">
        <v>18221</v>
      </c>
      <c r="G166" s="14">
        <v>75274</v>
      </c>
      <c r="H166" s="14">
        <v>82992</v>
      </c>
      <c r="I166" s="14">
        <v>28</v>
      </c>
      <c r="J166" s="14" t="s">
        <v>73</v>
      </c>
      <c r="K166" s="14" t="s">
        <v>18219</v>
      </c>
      <c r="L166" s="14" t="s">
        <v>17200</v>
      </c>
      <c r="M166" s="14" t="s">
        <v>9158</v>
      </c>
      <c r="N166" s="14" t="s">
        <v>9158</v>
      </c>
      <c r="O166" s="14" t="s">
        <v>9158</v>
      </c>
      <c r="P166" s="14" t="s">
        <v>9158</v>
      </c>
      <c r="Q166" s="14" t="s">
        <v>9158</v>
      </c>
      <c r="S166" s="14" t="s">
        <v>18071</v>
      </c>
    </row>
    <row r="167" spans="1:19">
      <c r="A167" s="14">
        <v>90753</v>
      </c>
      <c r="B167" s="14" t="s">
        <v>15</v>
      </c>
      <c r="C167" s="14" t="s">
        <v>1</v>
      </c>
      <c r="D167" s="14" t="s">
        <v>18224</v>
      </c>
      <c r="E167" s="15" t="str">
        <f>HYPERLINK("https://stat100.ameba.jp/tnk47/ratio20/illustrations/card/ill_90753_remonhanichan03.jpg?202111-5-RELEASE-marathon-561xxxxxxxxxx", "■")</f>
        <v>■</v>
      </c>
      <c r="F167" s="14" t="s">
        <v>18223</v>
      </c>
      <c r="G167" s="14">
        <v>75274</v>
      </c>
      <c r="H167" s="14">
        <v>82992</v>
      </c>
      <c r="I167" s="14">
        <v>28</v>
      </c>
      <c r="J167" s="14" t="s">
        <v>104</v>
      </c>
      <c r="K167" s="14" t="s">
        <v>18222</v>
      </c>
      <c r="L167" s="14" t="s">
        <v>13966</v>
      </c>
      <c r="M167" s="14" t="s">
        <v>9158</v>
      </c>
      <c r="N167" s="14" t="s">
        <v>9158</v>
      </c>
      <c r="O167" s="14" t="s">
        <v>9158</v>
      </c>
      <c r="P167" s="14" t="s">
        <v>9158</v>
      </c>
      <c r="Q167" s="14" t="s">
        <v>9158</v>
      </c>
      <c r="S167" s="14" t="s">
        <v>16901</v>
      </c>
    </row>
    <row r="169" spans="1:19">
      <c r="A169" s="14" t="s">
        <v>3916</v>
      </c>
    </row>
    <row r="170" spans="1:19">
      <c r="A170" s="14">
        <v>112940</v>
      </c>
      <c r="B170" s="14" t="s">
        <v>18351</v>
      </c>
    </row>
    <row r="171" spans="1:19">
      <c r="A171" s="14">
        <v>62203</v>
      </c>
      <c r="B171" s="14" t="s">
        <v>334</v>
      </c>
      <c r="C171" s="14" t="s">
        <v>154</v>
      </c>
      <c r="D171" s="20" t="s">
        <v>2260</v>
      </c>
      <c r="E171" s="15" t="str">
        <f>HYPERLINK("https://stat100.ameba.jp/tnk47/ratio20/illustrations/card/ill_62203_keishoimmasahime03.jpg?202111-5-RELEASE-marathon-561xxxxxxxxxx", "■")</f>
        <v>■</v>
      </c>
      <c r="F171" s="14" t="s">
        <v>2261</v>
      </c>
      <c r="G171" s="14">
        <v>120308</v>
      </c>
      <c r="H171" s="14">
        <v>129392</v>
      </c>
      <c r="I171" s="14">
        <v>30</v>
      </c>
      <c r="J171" s="14" t="s">
        <v>77</v>
      </c>
      <c r="K171" s="14" t="s">
        <v>2262</v>
      </c>
      <c r="L171" s="14" t="s">
        <v>2263</v>
      </c>
      <c r="M171" s="14" t="s">
        <v>9158</v>
      </c>
      <c r="N171" s="14" t="s">
        <v>9158</v>
      </c>
      <c r="O171" s="14" t="s">
        <v>9158</v>
      </c>
      <c r="P171" s="14" t="s">
        <v>9158</v>
      </c>
      <c r="Q171" s="14" t="s">
        <v>9158</v>
      </c>
    </row>
    <row r="172" spans="1:19">
      <c r="A172" s="14">
        <v>69723</v>
      </c>
      <c r="B172" s="14" t="s">
        <v>334</v>
      </c>
      <c r="C172" s="14" t="s">
        <v>158</v>
      </c>
      <c r="D172" s="20" t="s">
        <v>3042</v>
      </c>
      <c r="E172" s="15" t="str">
        <f>HYPERLINK("https://stat100.ameba.jp/tnk47/ratio20/illustrations/card/ill_69723_nakaurajurian03.jpg?202111-5-RELEASE-marathon-561xxxxxxxxxx", "■")</f>
        <v>■</v>
      </c>
      <c r="F172" s="14" t="s">
        <v>2257</v>
      </c>
      <c r="G172" s="14">
        <v>120308</v>
      </c>
      <c r="H172" s="14">
        <v>129392</v>
      </c>
      <c r="I172" s="14">
        <v>30</v>
      </c>
      <c r="J172" s="14" t="s">
        <v>173</v>
      </c>
      <c r="K172" s="14" t="s">
        <v>2258</v>
      </c>
      <c r="L172" s="14" t="s">
        <v>2259</v>
      </c>
      <c r="M172" s="14" t="s">
        <v>9158</v>
      </c>
      <c r="N172" s="14" t="s">
        <v>9158</v>
      </c>
      <c r="O172" s="14" t="s">
        <v>9158</v>
      </c>
      <c r="P172" s="14" t="s">
        <v>9158</v>
      </c>
      <c r="Q172" s="14" t="s">
        <v>9158</v>
      </c>
    </row>
    <row r="173" spans="1:19">
      <c r="A173" s="14">
        <v>62153</v>
      </c>
      <c r="B173" s="14" t="s">
        <v>334</v>
      </c>
      <c r="C173" s="14" t="s">
        <v>1</v>
      </c>
      <c r="D173" s="20" t="s">
        <v>16317</v>
      </c>
      <c r="E173" s="15" t="str">
        <f>HYPERLINK("https://stat100.ameba.jp/tnk47/ratio20/illustrations/card/ill_62153_obentonekodanuki03.jpg?202111-5-RELEASE-marathon-561xxxxxxxxxx", "■")</f>
        <v>■</v>
      </c>
      <c r="F173" s="14" t="s">
        <v>16318</v>
      </c>
      <c r="G173" s="14">
        <v>124996</v>
      </c>
      <c r="H173" s="14">
        <v>116244</v>
      </c>
      <c r="I173" s="14">
        <v>30</v>
      </c>
      <c r="J173" s="14" t="s">
        <v>73</v>
      </c>
      <c r="K173" s="14" t="s">
        <v>12212</v>
      </c>
      <c r="L173" s="14" t="s">
        <v>16319</v>
      </c>
      <c r="M173" s="14" t="s">
        <v>9158</v>
      </c>
      <c r="N173" s="14" t="s">
        <v>9158</v>
      </c>
      <c r="O173" s="14" t="s">
        <v>9158</v>
      </c>
      <c r="P173" s="14" t="s">
        <v>9158</v>
      </c>
      <c r="Q173" s="14" t="s">
        <v>9158</v>
      </c>
    </row>
    <row r="174" spans="1:19">
      <c r="A174" s="14">
        <v>65173</v>
      </c>
      <c r="B174" s="14" t="s">
        <v>334</v>
      </c>
      <c r="C174" s="14" t="s">
        <v>101</v>
      </c>
      <c r="D174" s="20" t="s">
        <v>16320</v>
      </c>
      <c r="E174" s="15" t="str">
        <f>HYPERLINK("https://stat100.ameba.jp/tnk47/ratio20/illustrations/card/ill_65173_kimodameshihorahamahime03.jpg?202111-5-RELEASE-marathon-561xxxxxxxxxx", "■")</f>
        <v>■</v>
      </c>
      <c r="F174" s="14" t="s">
        <v>3565</v>
      </c>
      <c r="G174" s="14">
        <v>116244</v>
      </c>
      <c r="H174" s="14">
        <v>124996</v>
      </c>
      <c r="I174" s="14">
        <v>30</v>
      </c>
      <c r="J174" s="14" t="s">
        <v>73</v>
      </c>
      <c r="K174" s="14" t="s">
        <v>16321</v>
      </c>
      <c r="L174" s="14" t="s">
        <v>16322</v>
      </c>
      <c r="M174" s="14" t="s">
        <v>9158</v>
      </c>
      <c r="N174" s="14" t="s">
        <v>9158</v>
      </c>
      <c r="O174" s="14" t="s">
        <v>9158</v>
      </c>
      <c r="P174" s="14" t="s">
        <v>9158</v>
      </c>
      <c r="Q174" s="14" t="s">
        <v>9158</v>
      </c>
    </row>
    <row r="175" spans="1:19">
      <c r="A175" s="14">
        <v>51923</v>
      </c>
      <c r="B175" s="14" t="s">
        <v>15</v>
      </c>
      <c r="C175" s="14" t="s">
        <v>165</v>
      </c>
      <c r="D175" s="20" t="s">
        <v>15362</v>
      </c>
      <c r="E175" s="15" t="str">
        <f>HYPERLINK("https://stat100.ameba.jp/tnk47/ratio20/illustrations/card/ill_51923_kemonomizugikokyu03.jpg?202111-5-RELEASE-marathon-561xxxxxxxxxx", "■")</f>
        <v>■</v>
      </c>
      <c r="F175" s="14" t="s">
        <v>15367</v>
      </c>
      <c r="G175" s="14">
        <v>74100</v>
      </c>
      <c r="H175" s="14">
        <v>67210</v>
      </c>
      <c r="I175" s="14">
        <v>25</v>
      </c>
      <c r="J175" s="14" t="s">
        <v>38</v>
      </c>
      <c r="K175" s="14" t="s">
        <v>15365</v>
      </c>
      <c r="L175" s="14" t="s">
        <v>15364</v>
      </c>
      <c r="M175" s="14" t="s">
        <v>9158</v>
      </c>
      <c r="N175" s="14" t="s">
        <v>9158</v>
      </c>
      <c r="O175" s="14" t="s">
        <v>9158</v>
      </c>
      <c r="P175" s="14" t="s">
        <v>9158</v>
      </c>
      <c r="Q175" s="14" t="s">
        <v>9158</v>
      </c>
    </row>
    <row r="176" spans="1:19">
      <c r="A176" s="14">
        <v>52963</v>
      </c>
      <c r="B176" s="14" t="s">
        <v>15</v>
      </c>
      <c r="C176" s="14" t="s">
        <v>101</v>
      </c>
      <c r="D176" s="20" t="s">
        <v>102</v>
      </c>
      <c r="E176" s="15" t="str">
        <f>HYPERLINK("https://stat100.ameba.jp/tnk47/ratio20/illustrations/card/ill_52963_torampumomochan03.jpg?202111-5-RELEASE-marathon-561xxxxxxxxxx", "■")</f>
        <v>■</v>
      </c>
      <c r="F176" s="14" t="s">
        <v>103</v>
      </c>
      <c r="G176" s="14">
        <v>67210</v>
      </c>
      <c r="H176" s="14">
        <v>74100</v>
      </c>
      <c r="I176" s="14">
        <v>25</v>
      </c>
      <c r="J176" s="14" t="s">
        <v>104</v>
      </c>
      <c r="K176" s="14" t="s">
        <v>105</v>
      </c>
      <c r="L176" s="14" t="s">
        <v>106</v>
      </c>
      <c r="M176" s="14" t="s">
        <v>9158</v>
      </c>
      <c r="N176" s="14" t="s">
        <v>9158</v>
      </c>
      <c r="O176" s="14" t="s">
        <v>9158</v>
      </c>
      <c r="P176" s="14" t="s">
        <v>9158</v>
      </c>
      <c r="Q176" s="14" t="s">
        <v>9158</v>
      </c>
    </row>
    <row r="177" spans="1:17">
      <c r="A177" s="14">
        <v>51383</v>
      </c>
      <c r="B177" s="14" t="s">
        <v>15</v>
      </c>
      <c r="C177" s="14" t="s">
        <v>1</v>
      </c>
      <c r="D177" s="20" t="s">
        <v>15363</v>
      </c>
      <c r="E177" s="15" t="str">
        <f>HYPERLINK("https://stat100.ameba.jp/tnk47/ratio20/illustrations/card/ill_51383_ozashikikyogokuichiko03.jpg?202111-5-RELEASE-marathon-561xxxxxxxxxx", "■")</f>
        <v>■</v>
      </c>
      <c r="F177" s="14" t="s">
        <v>15371</v>
      </c>
      <c r="G177" s="14">
        <v>74100</v>
      </c>
      <c r="H177" s="14">
        <v>67210</v>
      </c>
      <c r="I177" s="14">
        <v>25</v>
      </c>
      <c r="J177" s="14" t="s">
        <v>16</v>
      </c>
      <c r="K177" s="14" t="s">
        <v>15369</v>
      </c>
      <c r="L177" s="14" t="s">
        <v>15368</v>
      </c>
      <c r="M177" s="14" t="s">
        <v>9158</v>
      </c>
      <c r="N177" s="14" t="s">
        <v>9158</v>
      </c>
      <c r="O177" s="14" t="s">
        <v>9158</v>
      </c>
      <c r="P177" s="14" t="s">
        <v>9158</v>
      </c>
      <c r="Q177" s="14" t="s">
        <v>9158</v>
      </c>
    </row>
    <row r="178" spans="1:17">
      <c r="A178" s="14">
        <v>51903</v>
      </c>
      <c r="B178" s="14" t="s">
        <v>15</v>
      </c>
      <c r="C178" s="14" t="s">
        <v>14</v>
      </c>
      <c r="D178" s="20" t="s">
        <v>16323</v>
      </c>
      <c r="E178" s="15" t="str">
        <f>HYPERLINK("https://stat100.ameba.jp/tnk47/ratio20/illustrations/card/ill_51903_kemonomizugiringochan03.jpg?202111-5-RELEASE-marathon-561xxxxxxxxxx", "■")</f>
        <v>■</v>
      </c>
      <c r="F178" s="14" t="s">
        <v>16324</v>
      </c>
      <c r="G178" s="14">
        <v>74100</v>
      </c>
      <c r="H178" s="14">
        <v>67210</v>
      </c>
      <c r="I178" s="14">
        <v>25</v>
      </c>
      <c r="J178" s="14" t="s">
        <v>104</v>
      </c>
      <c r="K178" s="14" t="s">
        <v>16325</v>
      </c>
      <c r="L178" s="14" t="s">
        <v>16326</v>
      </c>
      <c r="M178" s="14" t="s">
        <v>9158</v>
      </c>
      <c r="N178" s="14" t="s">
        <v>9158</v>
      </c>
      <c r="O178" s="14" t="s">
        <v>9158</v>
      </c>
      <c r="P178" s="14" t="s">
        <v>9158</v>
      </c>
      <c r="Q178" s="14" t="s">
        <v>9158</v>
      </c>
    </row>
    <row r="180" spans="1:17">
      <c r="A180" s="14" t="s">
        <v>18365</v>
      </c>
    </row>
    <row r="181" spans="1:17">
      <c r="A181" s="14">
        <v>241786</v>
      </c>
      <c r="B181" s="14" t="s">
        <v>7885</v>
      </c>
    </row>
    <row r="182" spans="1:17">
      <c r="A182" s="14">
        <v>241792</v>
      </c>
      <c r="B182" s="14" t="s">
        <v>7884</v>
      </c>
    </row>
    <row r="183" spans="1:17">
      <c r="A183" s="14" t="s">
        <v>18163</v>
      </c>
      <c r="B183" s="7" t="s">
        <v>52</v>
      </c>
      <c r="C183" s="14" t="s">
        <v>202</v>
      </c>
      <c r="D183" s="18" t="s">
        <v>18162</v>
      </c>
      <c r="E183" s="15" t="str">
        <f>HYPERLINK("https://stat100.ameba.jp/tnk47/ratio20/illustrations/card/ill_201663_0_mafuiahokkaidogyunyuchan03.jpg?202111-5-RELEASE-marathon-561xxxxxxxxxx", "■")</f>
        <v>■</v>
      </c>
      <c r="F183" s="14" t="s">
        <v>18161</v>
      </c>
      <c r="G183" s="14">
        <v>264098</v>
      </c>
      <c r="H183" s="14">
        <v>322770</v>
      </c>
      <c r="I183" s="7">
        <v>30</v>
      </c>
      <c r="J183" s="14" t="s">
        <v>104</v>
      </c>
      <c r="K183" s="14" t="s">
        <v>18160</v>
      </c>
      <c r="L183" s="14" t="s">
        <v>18159</v>
      </c>
      <c r="M183" s="14" t="s">
        <v>9158</v>
      </c>
      <c r="N183" s="14" t="s">
        <v>9158</v>
      </c>
      <c r="O183" s="7" t="s">
        <v>18158</v>
      </c>
      <c r="P183" s="7" t="s">
        <v>18157</v>
      </c>
      <c r="Q183" s="7">
        <v>1</v>
      </c>
    </row>
    <row r="184" spans="1:17">
      <c r="A184" s="14">
        <v>201823</v>
      </c>
      <c r="B184" s="14" t="s">
        <v>0</v>
      </c>
      <c r="C184" s="14" t="s">
        <v>14</v>
      </c>
      <c r="D184" s="14" t="s">
        <v>18369</v>
      </c>
      <c r="E184" s="15" t="str">
        <f>HYPERLINK("https://stat100.ameba.jp/tnk47/ratio20/illustrations/card/ill_201823_hosonofurora03.jpg?202111-5-RELEASE-marathon-561xxxxxxxxxx", "■")</f>
        <v>■</v>
      </c>
      <c r="F184" s="14" t="s">
        <v>18368</v>
      </c>
      <c r="G184" s="14">
        <v>108912</v>
      </c>
      <c r="H184" s="14">
        <v>117182</v>
      </c>
      <c r="I184" s="7">
        <v>30</v>
      </c>
      <c r="J184" s="14" t="s">
        <v>10</v>
      </c>
      <c r="K184" s="14" t="s">
        <v>18367</v>
      </c>
      <c r="L184" s="14" t="s">
        <v>1977</v>
      </c>
      <c r="M184" s="14" t="s">
        <v>9158</v>
      </c>
      <c r="N184" s="14" t="s">
        <v>9158</v>
      </c>
      <c r="O184" s="14" t="s">
        <v>9158</v>
      </c>
      <c r="P184" s="14" t="s">
        <v>9158</v>
      </c>
      <c r="Q184" s="14" t="s">
        <v>9158</v>
      </c>
    </row>
    <row r="185" spans="1:17">
      <c r="A185" s="14">
        <v>201833</v>
      </c>
      <c r="B185" s="14" t="s">
        <v>0</v>
      </c>
      <c r="C185" s="14" t="s">
        <v>101</v>
      </c>
      <c r="D185" s="14" t="s">
        <v>18371</v>
      </c>
      <c r="E185" s="15" t="str">
        <f>HYPERLINK("https://stat100.ameba.jp/tnk47/ratio20/illustrations/card/ill_201833_kitsunenoyomeiri03.jpg?202111-5-RELEASE-marathon-561xxxxxxxxxx", "■")</f>
        <v>■</v>
      </c>
      <c r="F185" s="14" t="s">
        <v>18370</v>
      </c>
      <c r="G185" s="14">
        <v>113762</v>
      </c>
      <c r="H185" s="14">
        <v>122366</v>
      </c>
      <c r="I185" s="7">
        <v>30</v>
      </c>
      <c r="J185" s="14" t="s">
        <v>38</v>
      </c>
      <c r="K185" s="14" t="s">
        <v>8547</v>
      </c>
      <c r="L185" s="14" t="s">
        <v>15487</v>
      </c>
      <c r="M185" s="14" t="s">
        <v>9158</v>
      </c>
      <c r="N185" s="14" t="s">
        <v>9158</v>
      </c>
      <c r="O185" s="14" t="s">
        <v>9158</v>
      </c>
      <c r="P185" s="14" t="s">
        <v>9158</v>
      </c>
      <c r="Q185" s="14" t="s">
        <v>9158</v>
      </c>
    </row>
    <row r="186" spans="1:17">
      <c r="A186" s="14">
        <v>201843</v>
      </c>
      <c r="B186" s="14" t="s">
        <v>15</v>
      </c>
      <c r="C186" s="14" t="s">
        <v>107</v>
      </c>
      <c r="D186" s="14" t="s">
        <v>18373</v>
      </c>
      <c r="E186" s="15" t="str">
        <f>HYPERLINK("https://stat100.ameba.jp/tnk47/ratio20/illustrations/card/ill_201843_machinushurauyasame03.jpg?202111-5-RELEASE-marathon-561xxxxxxxxxx", "■")</f>
        <v>■</v>
      </c>
      <c r="F186" s="14" t="s">
        <v>18372</v>
      </c>
      <c r="G186" s="14">
        <v>88920</v>
      </c>
      <c r="H186" s="14">
        <v>80652</v>
      </c>
      <c r="I186" s="7">
        <v>30</v>
      </c>
      <c r="J186" s="14" t="s">
        <v>44</v>
      </c>
      <c r="K186" s="14" t="s">
        <v>17888</v>
      </c>
      <c r="L186" s="14" t="s">
        <v>3271</v>
      </c>
      <c r="M186" s="14" t="s">
        <v>9158</v>
      </c>
      <c r="N186" s="14" t="s">
        <v>9158</v>
      </c>
      <c r="O186" s="14" t="s">
        <v>9158</v>
      </c>
      <c r="P186" s="14" t="s">
        <v>9158</v>
      </c>
      <c r="Q186" s="14" t="s">
        <v>9158</v>
      </c>
    </row>
    <row r="187" spans="1:17">
      <c r="A187" s="14">
        <v>201853</v>
      </c>
      <c r="B187" s="14" t="s">
        <v>22</v>
      </c>
      <c r="C187" s="14" t="s">
        <v>14048</v>
      </c>
      <c r="D187" s="14" t="s">
        <v>18376</v>
      </c>
      <c r="E187" s="15" t="str">
        <f>HYPERLINK("https://stat100.ameba.jp/tnk47/ratio20/illustrations/card/ill_201853_moriougai03.jpg?202111-5-RELEASE-marathon-561xxxxxxxxxx", "■")</f>
        <v>■</v>
      </c>
      <c r="F187" s="14" t="s">
        <v>18375</v>
      </c>
      <c r="G187" s="14">
        <v>51864</v>
      </c>
      <c r="H187" s="14">
        <v>62376</v>
      </c>
      <c r="I187" s="7">
        <v>30</v>
      </c>
      <c r="J187" s="14" t="s">
        <v>16</v>
      </c>
      <c r="K187" s="14" t="s">
        <v>18374</v>
      </c>
      <c r="L187" s="14" t="s">
        <v>6675</v>
      </c>
      <c r="M187" s="14" t="s">
        <v>9158</v>
      </c>
      <c r="N187" s="14" t="s">
        <v>9158</v>
      </c>
      <c r="O187" s="14" t="s">
        <v>9158</v>
      </c>
      <c r="P187" s="14" t="s">
        <v>9158</v>
      </c>
      <c r="Q187" s="14" t="s">
        <v>9158</v>
      </c>
    </row>
    <row r="188" spans="1:17">
      <c r="A188" s="14">
        <v>201863</v>
      </c>
      <c r="B188" s="14" t="s">
        <v>22</v>
      </c>
      <c r="C188" s="14" t="s">
        <v>23</v>
      </c>
      <c r="D188" s="14" t="s">
        <v>18379</v>
      </c>
      <c r="E188" s="15" t="str">
        <f>HYPERLINK("https://stat100.ameba.jp/tnk47/ratio20/illustrations/card/ill_201863_ashikagaujihime03.jpg?202111-5-RELEASE-marathon-561xxxxxxxxxx", "■")</f>
        <v>■</v>
      </c>
      <c r="F188" s="14" t="s">
        <v>18378</v>
      </c>
      <c r="G188" s="14">
        <v>62376</v>
      </c>
      <c r="H188" s="14">
        <v>51864</v>
      </c>
      <c r="I188" s="7">
        <v>30</v>
      </c>
      <c r="J188" s="14" t="s">
        <v>77</v>
      </c>
      <c r="K188" s="14" t="s">
        <v>18377</v>
      </c>
      <c r="L188" s="14" t="s">
        <v>1732</v>
      </c>
      <c r="M188" s="14" t="s">
        <v>9158</v>
      </c>
      <c r="N188" s="14" t="s">
        <v>9158</v>
      </c>
      <c r="O188" s="14" t="s">
        <v>9158</v>
      </c>
      <c r="P188" s="14" t="s">
        <v>9158</v>
      </c>
      <c r="Q188" s="14" t="s">
        <v>9158</v>
      </c>
    </row>
    <row r="190" spans="1:17">
      <c r="A190" s="14" t="s">
        <v>3905</v>
      </c>
    </row>
    <row r="191" spans="1:17">
      <c r="A191" s="14">
        <v>241817</v>
      </c>
      <c r="B191" s="14" t="s">
        <v>18366</v>
      </c>
    </row>
    <row r="192" spans="1:17">
      <c r="A192" s="9" t="s">
        <v>5614</v>
      </c>
      <c r="B192" s="14" t="s">
        <v>52</v>
      </c>
      <c r="C192" s="14" t="s">
        <v>205</v>
      </c>
      <c r="D192" s="14" t="s">
        <v>947</v>
      </c>
      <c r="E192" s="15" t="str">
        <f>HYPERLINK("https://stat100.ameba.jp/tnk47/ratio20/illustrations/card/ill_56223_0_onsempanikkugohime03.jpg?202111-5-RELEASE-marathon-561xxxxxxxxxx", "■")</f>
        <v>■</v>
      </c>
      <c r="F192" s="14" t="s">
        <v>948</v>
      </c>
      <c r="G192" s="14">
        <v>122776</v>
      </c>
      <c r="H192" s="14">
        <v>138212</v>
      </c>
      <c r="I192" s="14">
        <v>22</v>
      </c>
      <c r="J192" s="14" t="s">
        <v>77</v>
      </c>
      <c r="K192" s="14" t="s">
        <v>949</v>
      </c>
      <c r="L192" s="14" t="s">
        <v>950</v>
      </c>
      <c r="M192" s="14" t="s">
        <v>9158</v>
      </c>
      <c r="N192" s="14" t="s">
        <v>9158</v>
      </c>
      <c r="O192" s="9" t="s">
        <v>3021</v>
      </c>
      <c r="P192" s="14" t="s">
        <v>2890</v>
      </c>
      <c r="Q192" s="14">
        <v>1</v>
      </c>
    </row>
    <row r="193" spans="1:18">
      <c r="A193" s="9" t="s">
        <v>5606</v>
      </c>
      <c r="B193" s="14" t="s">
        <v>52</v>
      </c>
      <c r="C193" s="14" t="s">
        <v>206</v>
      </c>
      <c r="D193" s="14" t="s">
        <v>1011</v>
      </c>
      <c r="E193" s="15" t="str">
        <f>HYPERLINK("https://stat100.ameba.jp/tnk47/ratio20/illustrations/card/ill_72233_0_koinoboriryugujin03.jpg?202111-5-RELEASE-marathon-561xxxxxxxxxx", "■")</f>
        <v>■</v>
      </c>
      <c r="F193" s="14" t="s">
        <v>1012</v>
      </c>
      <c r="G193" s="14">
        <v>144312</v>
      </c>
      <c r="H193" s="14">
        <v>155224</v>
      </c>
      <c r="I193" s="14">
        <v>22</v>
      </c>
      <c r="J193" s="14" t="s">
        <v>44</v>
      </c>
      <c r="K193" s="14" t="s">
        <v>1013</v>
      </c>
      <c r="L193" s="14" t="s">
        <v>1014</v>
      </c>
      <c r="M193" s="14" t="s">
        <v>9158</v>
      </c>
      <c r="N193" s="14" t="s">
        <v>9158</v>
      </c>
      <c r="O193" s="9" t="s">
        <v>3419</v>
      </c>
      <c r="P193" s="14" t="s">
        <v>3420</v>
      </c>
      <c r="Q193" s="14">
        <v>2</v>
      </c>
    </row>
    <row r="194" spans="1:18">
      <c r="A194" s="14" t="s">
        <v>9473</v>
      </c>
      <c r="B194" s="14" t="s">
        <v>330</v>
      </c>
      <c r="C194" s="14" t="s">
        <v>191</v>
      </c>
      <c r="D194" s="19" t="s">
        <v>393</v>
      </c>
      <c r="E194" s="15" t="str">
        <f>HYPERLINK("https://stat100.ameba.jp/tnk47/ratio20/illustrations/card/ill_46283_0_odanobunaga03.jpg?202111-5-RELEASE-marathon-561xxxxxxxxxx", "■")</f>
        <v>■</v>
      </c>
      <c r="F194" s="14" t="s">
        <v>1073</v>
      </c>
      <c r="G194" s="14">
        <v>120576</v>
      </c>
      <c r="H194" s="14">
        <v>128744</v>
      </c>
      <c r="I194" s="14">
        <v>22</v>
      </c>
      <c r="J194" s="14" t="s">
        <v>143</v>
      </c>
      <c r="K194" s="14" t="s">
        <v>1074</v>
      </c>
      <c r="L194" s="14" t="s">
        <v>1075</v>
      </c>
      <c r="M194" s="14" t="s">
        <v>9158</v>
      </c>
      <c r="N194" s="14" t="s">
        <v>9158</v>
      </c>
      <c r="O194" s="9" t="s">
        <v>9158</v>
      </c>
      <c r="P194" s="14" t="s">
        <v>9158</v>
      </c>
      <c r="Q194" s="14" t="s">
        <v>9158</v>
      </c>
    </row>
    <row r="195" spans="1:18">
      <c r="A195" s="14">
        <v>90723</v>
      </c>
      <c r="B195" s="14" t="s">
        <v>0</v>
      </c>
      <c r="C195" s="14" t="s">
        <v>107</v>
      </c>
      <c r="D195" s="14" t="s">
        <v>14356</v>
      </c>
      <c r="E195" s="15" t="str">
        <f>HYPERLINK("https://stat100.ameba.jp/tnk47/ratio20/illustrations/card/ill_90723_hamabeyadokari03.jpg?202111-5-RELEASE-marathon-561xxxxxxxxxx", "■")</f>
        <v>■</v>
      </c>
      <c r="F195" s="14" t="s">
        <v>14355</v>
      </c>
      <c r="G195" s="14">
        <v>123914</v>
      </c>
      <c r="H195" s="14">
        <v>220250</v>
      </c>
      <c r="I195" s="7">
        <v>30</v>
      </c>
      <c r="J195" s="14" t="s">
        <v>104</v>
      </c>
      <c r="K195" s="14" t="s">
        <v>14353</v>
      </c>
      <c r="L195" s="14" t="s">
        <v>12356</v>
      </c>
      <c r="M195" s="14" t="s">
        <v>9158</v>
      </c>
      <c r="N195" s="14" t="s">
        <v>9158</v>
      </c>
      <c r="O195" s="14" t="s">
        <v>9158</v>
      </c>
      <c r="P195" s="14" t="s">
        <v>9158</v>
      </c>
      <c r="Q195" s="14" t="s">
        <v>9158</v>
      </c>
    </row>
    <row r="196" spans="1:18">
      <c r="A196" s="14">
        <v>94013</v>
      </c>
      <c r="B196" s="14" t="s">
        <v>0</v>
      </c>
      <c r="C196" s="14" t="s">
        <v>96</v>
      </c>
      <c r="D196" s="14" t="s">
        <v>16501</v>
      </c>
      <c r="E196" s="15" t="str">
        <f>HYPERLINK("https://stat100.ameba.jp/tnk47/ratio20/illustrations/card/ill_94013_fuantazumu03.jpg?202111-5-RELEASE-marathon-561xxxxxxxxxx", "■")</f>
        <v>■</v>
      </c>
      <c r="F196" s="14" t="s">
        <v>16500</v>
      </c>
      <c r="G196" s="14">
        <v>81410</v>
      </c>
      <c r="H196" s="14">
        <v>144684</v>
      </c>
      <c r="I196" s="7">
        <v>30</v>
      </c>
      <c r="J196" s="14" t="s">
        <v>77</v>
      </c>
      <c r="K196" s="14" t="s">
        <v>16499</v>
      </c>
      <c r="L196" s="14" t="s">
        <v>12139</v>
      </c>
      <c r="M196" s="14" t="s">
        <v>9158</v>
      </c>
      <c r="N196" s="14" t="s">
        <v>9158</v>
      </c>
      <c r="O196" s="14" t="s">
        <v>9158</v>
      </c>
      <c r="P196" s="14" t="s">
        <v>9158</v>
      </c>
      <c r="Q196" s="14" t="s">
        <v>9158</v>
      </c>
    </row>
    <row r="197" spans="1:18">
      <c r="A197" s="14">
        <v>92033</v>
      </c>
      <c r="B197" s="14" t="s">
        <v>0</v>
      </c>
      <c r="C197" s="14" t="s">
        <v>307</v>
      </c>
      <c r="D197" s="14" t="s">
        <v>14909</v>
      </c>
      <c r="E197" s="15" t="str">
        <f>HYPERLINK("https://stat100.ameba.jp/tnk47/ratio20/illustrations/card/ill_92033_utatanedorumausu03.jpg?202111-5-RELEASE-marathon-561xxxxxxxxxx", "■")</f>
        <v>■</v>
      </c>
      <c r="F197" s="14" t="s">
        <v>14908</v>
      </c>
      <c r="G197" s="14">
        <v>123914</v>
      </c>
      <c r="H197" s="14">
        <v>220250</v>
      </c>
      <c r="I197" s="7">
        <v>30</v>
      </c>
      <c r="J197" s="14" t="s">
        <v>104</v>
      </c>
      <c r="K197" s="14" t="s">
        <v>14907</v>
      </c>
      <c r="L197" s="14" t="s">
        <v>12356</v>
      </c>
      <c r="M197" s="14" t="s">
        <v>9158</v>
      </c>
      <c r="N197" s="14" t="s">
        <v>9158</v>
      </c>
      <c r="O197" s="14" t="s">
        <v>9158</v>
      </c>
      <c r="P197" s="14" t="s">
        <v>9158</v>
      </c>
      <c r="Q197" s="14" t="s">
        <v>9158</v>
      </c>
    </row>
    <row r="199" spans="1:18">
      <c r="A199" s="14" t="s">
        <v>18383</v>
      </c>
    </row>
    <row r="200" spans="1:18">
      <c r="A200" s="14">
        <v>241837</v>
      </c>
      <c r="B200" s="14" t="s">
        <v>7916</v>
      </c>
    </row>
    <row r="201" spans="1:18">
      <c r="A201" s="14">
        <v>201875</v>
      </c>
      <c r="B201" s="14" t="s">
        <v>0</v>
      </c>
      <c r="C201" s="14" t="s">
        <v>202</v>
      </c>
      <c r="D201" s="18" t="s">
        <v>18388</v>
      </c>
      <c r="E201" s="15" t="str">
        <f>HYPERLINK("https://stat100.ameba.jp/tnk47/ratio20/illustrations/card/ill_201875_makyowaizumira05.jpg?202111-5-RELEASE-marathon-561xxxxxxxxxxxxxxxxx", "■")</f>
        <v>■</v>
      </c>
      <c r="F201" s="14" t="s">
        <v>18387</v>
      </c>
      <c r="G201" s="14">
        <v>102116</v>
      </c>
      <c r="H201" s="14">
        <v>141040</v>
      </c>
      <c r="I201" s="14">
        <v>30</v>
      </c>
      <c r="J201" s="14" t="s">
        <v>104</v>
      </c>
      <c r="K201" s="14" t="s">
        <v>18386</v>
      </c>
      <c r="L201" s="14" t="s">
        <v>18385</v>
      </c>
      <c r="M201" s="14" t="s">
        <v>9158</v>
      </c>
      <c r="N201" s="14" t="s">
        <v>9158</v>
      </c>
      <c r="O201" s="14" t="s">
        <v>9158</v>
      </c>
      <c r="P201" s="14" t="s">
        <v>9158</v>
      </c>
      <c r="Q201" s="14" t="s">
        <v>9158</v>
      </c>
      <c r="R201" s="14" t="s">
        <v>174</v>
      </c>
    </row>
    <row r="202" spans="1:18">
      <c r="A202" s="14">
        <v>201873</v>
      </c>
      <c r="B202" s="14" t="s">
        <v>15</v>
      </c>
      <c r="C202" s="14" t="s">
        <v>209</v>
      </c>
      <c r="D202" s="18" t="s">
        <v>18388</v>
      </c>
      <c r="E202" s="15" t="str">
        <f>HYPERLINK("https://stat100.ameba.jp/tnk47/ratio20/illustrations/card/ill_201873_makyowaizumira03.jpg?202111-5-RELEASE-marathon-561xxxxxxxxxxxxxxxxx", "■")</f>
        <v>■</v>
      </c>
      <c r="F202" s="14" t="s">
        <v>18387</v>
      </c>
      <c r="G202" s="14">
        <v>75234</v>
      </c>
      <c r="H202" s="14">
        <v>103904</v>
      </c>
      <c r="I202" s="7">
        <v>30</v>
      </c>
      <c r="J202" s="14" t="s">
        <v>104</v>
      </c>
      <c r="K202" s="14" t="s">
        <v>18386</v>
      </c>
      <c r="L202" s="14" t="s">
        <v>18389</v>
      </c>
      <c r="M202" s="14" t="s">
        <v>9158</v>
      </c>
      <c r="N202" s="14" t="s">
        <v>9158</v>
      </c>
      <c r="O202" s="14" t="s">
        <v>9158</v>
      </c>
      <c r="P202" s="14" t="s">
        <v>9158</v>
      </c>
      <c r="Q202" s="14" t="s">
        <v>9158</v>
      </c>
      <c r="R202" s="14" t="s">
        <v>175</v>
      </c>
    </row>
    <row r="203" spans="1:18">
      <c r="A203" s="14">
        <v>201871</v>
      </c>
      <c r="B203" s="14" t="s">
        <v>15</v>
      </c>
      <c r="C203" s="14" t="s">
        <v>209</v>
      </c>
      <c r="D203" s="18" t="s">
        <v>18388</v>
      </c>
      <c r="E203" s="15" t="str">
        <f>HYPERLINK("https://stat100.ameba.jp/tnk47/ratio20/illustrations/card/ill_201871_makyowaizumira01.jpg?202111-5-RELEASE-marathon-561xxxxxxxxxxxxxxxxx", "■")</f>
        <v>■</v>
      </c>
      <c r="F203" s="14" t="s">
        <v>18387</v>
      </c>
      <c r="G203" s="14">
        <v>47850</v>
      </c>
      <c r="H203" s="14">
        <v>66090</v>
      </c>
      <c r="I203" s="7">
        <v>30</v>
      </c>
      <c r="J203" s="14" t="s">
        <v>104</v>
      </c>
      <c r="K203" s="14" t="s">
        <v>18386</v>
      </c>
      <c r="L203" s="14" t="s">
        <v>18390</v>
      </c>
      <c r="M203" s="14" t="s">
        <v>9158</v>
      </c>
      <c r="N203" s="14" t="s">
        <v>9158</v>
      </c>
      <c r="O203" s="14" t="s">
        <v>9158</v>
      </c>
      <c r="P203" s="14" t="s">
        <v>9158</v>
      </c>
      <c r="Q203" s="14" t="s">
        <v>9158</v>
      </c>
      <c r="R203" s="14" t="s">
        <v>176</v>
      </c>
    </row>
    <row r="205" spans="1:18">
      <c r="A205" s="14" t="s">
        <v>3911</v>
      </c>
    </row>
    <row r="206" spans="1:18">
      <c r="A206" s="14">
        <v>112959</v>
      </c>
      <c r="B206" s="14" t="s">
        <v>18384</v>
      </c>
    </row>
    <row r="207" spans="1:18">
      <c r="A207" s="14">
        <v>112969</v>
      </c>
      <c r="B207" s="14" t="s">
        <v>15721</v>
      </c>
    </row>
    <row r="208" spans="1:18">
      <c r="A208" s="14" t="s">
        <v>17390</v>
      </c>
      <c r="B208" s="7" t="s">
        <v>52</v>
      </c>
      <c r="C208" s="14" t="s">
        <v>202</v>
      </c>
      <c r="D208" s="18" t="s">
        <v>17389</v>
      </c>
      <c r="E208" s="15" t="str">
        <f>HYPERLINK("https://stat100.ameba.jp/tnk47/ratio20/illustrations/card/ill_98393_0_yuembiyorikingyonota03.jpg?202111-5-RELEASE-marathon-561xxxxxxxxxxxxxxxxx", "■")</f>
        <v>■</v>
      </c>
      <c r="F208" s="14" t="s">
        <v>17388</v>
      </c>
      <c r="G208" s="14">
        <v>321786</v>
      </c>
      <c r="H208" s="14">
        <v>290844</v>
      </c>
      <c r="I208" s="7">
        <v>30</v>
      </c>
      <c r="J208" s="14" t="s">
        <v>38</v>
      </c>
      <c r="K208" s="14" t="s">
        <v>17387</v>
      </c>
      <c r="L208" s="14" t="s">
        <v>17386</v>
      </c>
      <c r="M208" s="14" t="s">
        <v>9158</v>
      </c>
      <c r="N208" s="14" t="s">
        <v>9158</v>
      </c>
      <c r="O208" s="7" t="s">
        <v>17385</v>
      </c>
      <c r="P208" s="7" t="s">
        <v>17384</v>
      </c>
      <c r="Q208" s="7">
        <v>1</v>
      </c>
    </row>
    <row r="209" spans="1:17">
      <c r="A209" s="14" t="s">
        <v>16084</v>
      </c>
      <c r="B209" s="7" t="s">
        <v>52</v>
      </c>
      <c r="C209" s="14" t="s">
        <v>202</v>
      </c>
      <c r="D209" s="18" t="s">
        <v>16083</v>
      </c>
      <c r="E209" s="15" t="str">
        <f>HYPERLINK("https://stat100.ameba.jp/tnk47/ratio20/illustrations/card/ill_95653_0_barentaindefukuhime03.jpg?202111-5-RELEASE-marathon-561xxxxxxxxxxxxxxxxx", "■")</f>
        <v>■</v>
      </c>
      <c r="F209" s="14" t="s">
        <v>16082</v>
      </c>
      <c r="G209" s="14">
        <v>345656</v>
      </c>
      <c r="H209" s="14">
        <v>282816</v>
      </c>
      <c r="I209" s="7">
        <v>30</v>
      </c>
      <c r="J209" s="14" t="s">
        <v>77</v>
      </c>
      <c r="K209" s="14" t="s">
        <v>16081</v>
      </c>
      <c r="L209" s="14" t="s">
        <v>16080</v>
      </c>
      <c r="M209" s="14" t="s">
        <v>9158</v>
      </c>
      <c r="N209" s="14" t="s">
        <v>9158</v>
      </c>
      <c r="O209" s="7" t="s">
        <v>16086</v>
      </c>
      <c r="P209" s="7" t="s">
        <v>16085</v>
      </c>
      <c r="Q209" s="7">
        <v>1</v>
      </c>
    </row>
    <row r="210" spans="1:17">
      <c r="A210" s="14" t="s">
        <v>5897</v>
      </c>
      <c r="B210" s="14" t="s">
        <v>52</v>
      </c>
      <c r="C210" s="14" t="s">
        <v>23</v>
      </c>
      <c r="D210" s="19" t="s">
        <v>277</v>
      </c>
      <c r="E210" s="15" t="str">
        <f>HYPERLINK("https://stat100.ameba.jp/tnk47/ratio20/illustrations/card/ill_40913_0_reigyokudensetsufusehime03.jpg?202111-5-RELEASE-marathon-561xxxxxxxxxxxxxxxxx", "■")</f>
        <v>■</v>
      </c>
      <c r="F210" s="14" t="s">
        <v>955</v>
      </c>
      <c r="G210" s="14">
        <v>164424</v>
      </c>
      <c r="H210" s="14">
        <v>175560</v>
      </c>
      <c r="I210" s="7">
        <v>30</v>
      </c>
      <c r="J210" s="14" t="s">
        <v>38</v>
      </c>
      <c r="K210" s="14" t="s">
        <v>956</v>
      </c>
      <c r="L210" s="14" t="s">
        <v>957</v>
      </c>
      <c r="M210" s="14" t="s">
        <v>9158</v>
      </c>
      <c r="N210" s="14" t="s">
        <v>9158</v>
      </c>
      <c r="O210" s="14" t="s">
        <v>9158</v>
      </c>
      <c r="P210" s="14" t="s">
        <v>9158</v>
      </c>
      <c r="Q210" s="14" t="s">
        <v>9158</v>
      </c>
    </row>
    <row r="211" spans="1:17">
      <c r="A211" s="14">
        <v>83393</v>
      </c>
      <c r="B211" s="14" t="s">
        <v>334</v>
      </c>
      <c r="C211" s="14" t="s">
        <v>209</v>
      </c>
      <c r="D211" s="19" t="s">
        <v>10381</v>
      </c>
      <c r="E211" s="15" t="str">
        <f>HYPERLINK("https://stat100.ameba.jp/tnk47/ratio20/illustrations/card/ill_83393_rito03.jpg?202111-5-RELEASE-marathon-561xxxxxxxxxxxxxxxxx", "■")</f>
        <v>■</v>
      </c>
      <c r="F211" s="14" t="s">
        <v>5735</v>
      </c>
      <c r="G211" s="14">
        <v>153096</v>
      </c>
      <c r="H211" s="14">
        <v>110884</v>
      </c>
      <c r="I211" s="7">
        <v>30</v>
      </c>
      <c r="J211" s="14" t="s">
        <v>38</v>
      </c>
      <c r="K211" s="14" t="s">
        <v>5738</v>
      </c>
      <c r="L211" s="14" t="s">
        <v>5400</v>
      </c>
      <c r="M211" s="14" t="s">
        <v>9158</v>
      </c>
      <c r="N211" s="14" t="s">
        <v>9158</v>
      </c>
      <c r="O211" s="19" t="s">
        <v>10098</v>
      </c>
      <c r="P211" s="14" t="s">
        <v>3491</v>
      </c>
      <c r="Q211" s="14">
        <v>1</v>
      </c>
    </row>
    <row r="212" spans="1:17">
      <c r="A212" s="14">
        <v>81903</v>
      </c>
      <c r="B212" s="14" t="s">
        <v>334</v>
      </c>
      <c r="C212" s="14" t="s">
        <v>47</v>
      </c>
      <c r="D212" s="20" t="s">
        <v>10200</v>
      </c>
      <c r="E212" s="15" t="str">
        <f>HYPERLINK("https://stat100.ameba.jp/tnk47/ratio20/illustrations/card/ill_81903_kiryuhimeiren03.jpg?202111-5-RELEASE-marathon-561xxxxxxxxxxxxxxxxx", "■")</f>
        <v>■</v>
      </c>
      <c r="F212" s="14" t="s">
        <v>4983</v>
      </c>
      <c r="G212" s="14">
        <v>99186</v>
      </c>
      <c r="H212" s="14">
        <v>136944</v>
      </c>
      <c r="I212" s="7">
        <v>30</v>
      </c>
      <c r="J212" s="14" t="s">
        <v>77</v>
      </c>
      <c r="K212" s="14" t="s">
        <v>4985</v>
      </c>
      <c r="L212" s="14" t="s">
        <v>4986</v>
      </c>
      <c r="M212" s="14" t="s">
        <v>9158</v>
      </c>
      <c r="N212" s="14" t="s">
        <v>9158</v>
      </c>
      <c r="O212" s="19" t="s">
        <v>10112</v>
      </c>
      <c r="P212" s="14" t="s">
        <v>13150</v>
      </c>
      <c r="Q212" s="14">
        <v>1</v>
      </c>
    </row>
    <row r="213" spans="1:17">
      <c r="A213" s="7">
        <v>85053</v>
      </c>
      <c r="B213" s="7" t="s">
        <v>0</v>
      </c>
      <c r="C213" s="7" t="s">
        <v>158</v>
      </c>
      <c r="D213" s="19" t="s">
        <v>10768</v>
      </c>
      <c r="E213" s="15" t="str">
        <f>HYPERLINK("https://stat100.ameba.jp/tnk47/ratio20/illustrations/card/ill_85053_heideirumu03.jpg?202111-5-RELEASE-marathon-561xxxxxxxxxxxxxxxxx", "■")</f>
        <v>■</v>
      </c>
      <c r="F213" s="7" t="s">
        <v>7969</v>
      </c>
      <c r="G213" s="14">
        <v>136944</v>
      </c>
      <c r="H213" s="14">
        <v>99186</v>
      </c>
      <c r="I213" s="7">
        <v>30</v>
      </c>
      <c r="J213" s="7" t="s">
        <v>169</v>
      </c>
      <c r="K213" s="7" t="s">
        <v>7968</v>
      </c>
      <c r="L213" s="7" t="s">
        <v>7967</v>
      </c>
      <c r="M213" s="14" t="s">
        <v>9158</v>
      </c>
      <c r="N213" s="14" t="s">
        <v>9158</v>
      </c>
      <c r="O213" s="19" t="s">
        <v>10085</v>
      </c>
      <c r="P213" s="7" t="s">
        <v>4374</v>
      </c>
      <c r="Q213" s="7">
        <v>1</v>
      </c>
    </row>
    <row r="214" spans="1:17">
      <c r="A214" s="14">
        <v>75893</v>
      </c>
      <c r="B214" s="14" t="s">
        <v>0</v>
      </c>
      <c r="C214" s="14" t="s">
        <v>158</v>
      </c>
      <c r="D214" s="19" t="s">
        <v>3095</v>
      </c>
      <c r="E214" s="15" t="str">
        <f>HYPERLINK("https://stat100.ameba.jp/tnk47/ratio20/illustrations/card/ill_75893_hamamatsutakuni03.jpg?202111-5-RELEASE-marathon-561xxxxxxxxxxxxxxxxx", "■")</f>
        <v>■</v>
      </c>
      <c r="F214" s="14" t="s">
        <v>3594</v>
      </c>
      <c r="G214" s="14">
        <v>136154</v>
      </c>
      <c r="H214" s="14">
        <v>98646</v>
      </c>
      <c r="I214" s="7">
        <v>30</v>
      </c>
      <c r="J214" s="14" t="s">
        <v>16</v>
      </c>
      <c r="K214" s="14" t="s">
        <v>3595</v>
      </c>
      <c r="L214" s="14" t="s">
        <v>920</v>
      </c>
      <c r="M214" s="14" t="s">
        <v>9158</v>
      </c>
      <c r="N214" s="14" t="s">
        <v>9158</v>
      </c>
      <c r="O214" s="19" t="s">
        <v>3037</v>
      </c>
      <c r="P214" s="14" t="s">
        <v>13128</v>
      </c>
      <c r="Q214" s="14">
        <v>1</v>
      </c>
    </row>
    <row r="215" spans="1:17">
      <c r="A215" s="14">
        <v>75053</v>
      </c>
      <c r="B215" s="14" t="s">
        <v>334</v>
      </c>
      <c r="C215" s="14" t="s">
        <v>47</v>
      </c>
      <c r="D215" s="19" t="s">
        <v>10366</v>
      </c>
      <c r="E215" s="15" t="str">
        <f>HYPERLINK("https://stat100.ameba.jp/tnk47/ratio20/illustrations/card/ill_75053_goshikinuma03.jpg?202111-5-RELEASE-marathon-561xxxxxxxxxxxxxxxxx", "■")</f>
        <v>■</v>
      </c>
      <c r="F215" s="14" t="s">
        <v>5644</v>
      </c>
      <c r="G215" s="14">
        <v>110780</v>
      </c>
      <c r="H215" s="14">
        <v>152958</v>
      </c>
      <c r="I215" s="7">
        <v>30</v>
      </c>
      <c r="J215" s="14" t="s">
        <v>26</v>
      </c>
      <c r="K215" s="14" t="s">
        <v>5646</v>
      </c>
      <c r="L215" s="14" t="s">
        <v>2137</v>
      </c>
      <c r="M215" s="14" t="s">
        <v>9158</v>
      </c>
      <c r="N215" s="14" t="s">
        <v>9158</v>
      </c>
      <c r="O215" s="19" t="s">
        <v>10093</v>
      </c>
      <c r="P215" s="14" t="s">
        <v>13145</v>
      </c>
      <c r="Q215" s="14">
        <v>1</v>
      </c>
    </row>
    <row r="216" spans="1:17">
      <c r="A216" s="14">
        <v>77683</v>
      </c>
      <c r="B216" s="14" t="s">
        <v>0</v>
      </c>
      <c r="C216" s="14" t="s">
        <v>203</v>
      </c>
      <c r="D216" s="20" t="s">
        <v>10220</v>
      </c>
      <c r="E216" s="15" t="str">
        <f>HYPERLINK("https://stat100.ameba.jp/tnk47/ratio20/illustrations/card/ill_77683_shukusainoujohoride03.jpg?202111-5-RELEASE-marathon-561xxxxxxxxxxxxxxxxx", "■")</f>
        <v>■</v>
      </c>
      <c r="F216" s="14" t="s">
        <v>1430</v>
      </c>
      <c r="G216" s="14">
        <v>131112</v>
      </c>
      <c r="H216" s="14">
        <v>94982</v>
      </c>
      <c r="I216" s="7">
        <v>30</v>
      </c>
      <c r="J216" s="14" t="s">
        <v>315</v>
      </c>
      <c r="K216" s="14" t="s">
        <v>1431</v>
      </c>
      <c r="L216" s="14" t="s">
        <v>1432</v>
      </c>
      <c r="M216" s="14" t="s">
        <v>9158</v>
      </c>
      <c r="N216" s="14" t="s">
        <v>9158</v>
      </c>
      <c r="O216" s="19" t="s">
        <v>10090</v>
      </c>
      <c r="P216" s="14" t="s">
        <v>3460</v>
      </c>
      <c r="Q216" s="14">
        <v>1</v>
      </c>
    </row>
    <row r="218" spans="1:17">
      <c r="A218" s="14" t="s">
        <v>6191</v>
      </c>
    </row>
    <row r="219" spans="1:17">
      <c r="A219" s="14">
        <v>112985</v>
      </c>
      <c r="B219" s="14" t="s">
        <v>7933</v>
      </c>
    </row>
    <row r="220" spans="1:17">
      <c r="A220" s="9" t="s">
        <v>6195</v>
      </c>
      <c r="B220" s="14" t="s">
        <v>52</v>
      </c>
      <c r="C220" s="14" t="s">
        <v>191</v>
      </c>
      <c r="D220" s="14" t="s">
        <v>1768</v>
      </c>
      <c r="E220" s="15" t="str">
        <f>HYPERLINK("https://stat100.ameba.jp/tnk47/ratio20/illustrations/card/ill_56493_0_poppukurisumasuikomakitsuno03.jpg?202111-5-RELEASE-marathon-561xxxxxxxxxxxxxxxxx", "■")</f>
        <v>■</v>
      </c>
      <c r="F220" s="14" t="s">
        <v>1769</v>
      </c>
      <c r="G220" s="14">
        <v>169624</v>
      </c>
      <c r="H220" s="14">
        <v>150680</v>
      </c>
      <c r="I220" s="14">
        <v>27</v>
      </c>
      <c r="J220" s="14" t="s">
        <v>77</v>
      </c>
      <c r="K220" s="14" t="s">
        <v>1770</v>
      </c>
      <c r="L220" s="14" t="s">
        <v>1771</v>
      </c>
      <c r="M220" s="14" t="s">
        <v>9158</v>
      </c>
      <c r="N220" s="14" t="s">
        <v>9158</v>
      </c>
      <c r="O220" s="9" t="s">
        <v>3893</v>
      </c>
      <c r="P220" s="14" t="s">
        <v>2724</v>
      </c>
      <c r="Q220" s="14">
        <v>1</v>
      </c>
    </row>
    <row r="221" spans="1:17">
      <c r="A221" s="14" t="s">
        <v>5617</v>
      </c>
      <c r="B221" s="14" t="s">
        <v>330</v>
      </c>
      <c r="C221" s="14" t="s">
        <v>308</v>
      </c>
      <c r="D221" s="19" t="s">
        <v>385</v>
      </c>
      <c r="E221" s="15" t="str">
        <f>HYPERLINK("https://stat100.ameba.jp/tnk47/ratio20/illustrations/card/ill_59673_0_oheyashutendoji03.jpg?202111-5-RELEASE-marathon-561xxxxxxxxxxxxxxxxx", "■")</f>
        <v>■</v>
      </c>
      <c r="F221" s="14" t="s">
        <v>386</v>
      </c>
      <c r="G221" s="14">
        <v>189983</v>
      </c>
      <c r="H221" s="14">
        <v>204345</v>
      </c>
      <c r="I221" s="14">
        <v>27</v>
      </c>
      <c r="J221" s="14" t="s">
        <v>320</v>
      </c>
      <c r="K221" s="14" t="s">
        <v>387</v>
      </c>
      <c r="L221" s="14" t="s">
        <v>388</v>
      </c>
      <c r="M221" s="14" t="s">
        <v>9158</v>
      </c>
      <c r="N221" s="14" t="s">
        <v>9158</v>
      </c>
      <c r="O221" s="19" t="s">
        <v>10078</v>
      </c>
      <c r="P221" s="14" t="s">
        <v>3022</v>
      </c>
      <c r="Q221" s="14">
        <v>1</v>
      </c>
    </row>
    <row r="222" spans="1:17">
      <c r="A222" s="9" t="s">
        <v>5612</v>
      </c>
      <c r="B222" s="14" t="s">
        <v>330</v>
      </c>
      <c r="C222" s="14" t="s">
        <v>165</v>
      </c>
      <c r="D222" s="14" t="s">
        <v>789</v>
      </c>
      <c r="E222" s="15" t="str">
        <f>HYPERLINK("https://stat100.ameba.jp/tnk47/ratio20/illustrations/card/ill_49193_0_onmyoudouabenoseimei03.jpg?202111-5-RELEASE-marathon-561xxxxxxxxxxxxxxxxx", "■")</f>
        <v>■</v>
      </c>
      <c r="F222" s="14" t="s">
        <v>790</v>
      </c>
      <c r="G222" s="14">
        <v>150680</v>
      </c>
      <c r="H222" s="14">
        <v>169624</v>
      </c>
      <c r="I222" s="14">
        <v>27</v>
      </c>
      <c r="J222" s="14" t="s">
        <v>351</v>
      </c>
      <c r="K222" s="14" t="s">
        <v>791</v>
      </c>
      <c r="L222" s="14" t="s">
        <v>792</v>
      </c>
      <c r="M222" s="14" t="s">
        <v>9158</v>
      </c>
      <c r="N222" s="14" t="s">
        <v>9158</v>
      </c>
      <c r="O222" s="14" t="s">
        <v>9158</v>
      </c>
      <c r="P222" s="14" t="s">
        <v>9158</v>
      </c>
      <c r="Q222" s="14" t="s">
        <v>9158</v>
      </c>
    </row>
    <row r="223" spans="1:17">
      <c r="A223" s="14">
        <v>201823</v>
      </c>
      <c r="B223" s="14" t="s">
        <v>0</v>
      </c>
      <c r="C223" s="14" t="s">
        <v>14</v>
      </c>
      <c r="D223" s="14" t="s">
        <v>18369</v>
      </c>
      <c r="E223" s="15" t="str">
        <f>HYPERLINK("https://stat100.ameba.jp/tnk47/ratio20/illustrations/card/ill_201823_hosonofurora03.jpg?202111-5-RELEASE-marathon-561xxxxxxxxxxxxxxxxx", "■")</f>
        <v>■</v>
      </c>
      <c r="F223" s="14" t="s">
        <v>18368</v>
      </c>
      <c r="G223" s="14">
        <v>101650</v>
      </c>
      <c r="H223" s="14">
        <v>109370</v>
      </c>
      <c r="I223" s="14">
        <v>28</v>
      </c>
      <c r="J223" s="14" t="s">
        <v>10</v>
      </c>
      <c r="K223" s="14" t="s">
        <v>18367</v>
      </c>
      <c r="L223" s="14" t="s">
        <v>1977</v>
      </c>
      <c r="M223" s="14" t="s">
        <v>9158</v>
      </c>
      <c r="N223" s="14" t="s">
        <v>9158</v>
      </c>
      <c r="O223" s="14" t="s">
        <v>9158</v>
      </c>
      <c r="P223" s="14" t="s">
        <v>9158</v>
      </c>
      <c r="Q223" s="14" t="s">
        <v>9158</v>
      </c>
    </row>
    <row r="224" spans="1:17">
      <c r="A224" s="14">
        <v>201843</v>
      </c>
      <c r="B224" s="14" t="s">
        <v>15</v>
      </c>
      <c r="C224" s="14" t="s">
        <v>107</v>
      </c>
      <c r="D224" s="14" t="s">
        <v>18373</v>
      </c>
      <c r="E224" s="15" t="str">
        <f>HYPERLINK("https://stat100.ameba.jp/tnk47/ratio20/illustrations/card/ill_201843_machinushurauyasame03.jpg?202111-5-RELEASE-marathon-561xxxxxxxxxxxxxxxxx", "■")</f>
        <v>■</v>
      </c>
      <c r="F224" s="14" t="s">
        <v>18372</v>
      </c>
      <c r="G224" s="14">
        <v>80028</v>
      </c>
      <c r="H224" s="14">
        <v>72586</v>
      </c>
      <c r="I224" s="14">
        <v>27</v>
      </c>
      <c r="J224" s="14" t="s">
        <v>44</v>
      </c>
      <c r="K224" s="14" t="s">
        <v>17888</v>
      </c>
      <c r="L224" s="14" t="s">
        <v>3271</v>
      </c>
      <c r="M224" s="14" t="s">
        <v>9158</v>
      </c>
      <c r="N224" s="14" t="s">
        <v>9158</v>
      </c>
      <c r="O224" s="14" t="s">
        <v>9158</v>
      </c>
      <c r="P224" s="14" t="s">
        <v>9158</v>
      </c>
      <c r="Q224" s="14" t="s">
        <v>9158</v>
      </c>
    </row>
    <row r="225" spans="1:17">
      <c r="A225" s="14">
        <v>201853</v>
      </c>
      <c r="B225" s="14" t="s">
        <v>22</v>
      </c>
      <c r="C225" s="14" t="s">
        <v>14048</v>
      </c>
      <c r="D225" s="14" t="s">
        <v>18376</v>
      </c>
      <c r="E225" s="15" t="str">
        <f>HYPERLINK("https://stat100.ameba.jp/tnk47/ratio20/illustrations/card/ill_201853_moriougai03.jpg?202111-5-RELEASE-marathon-561xxxxxxxxxxxxxxxxx", "■")</f>
        <v>■</v>
      </c>
      <c r="F225" s="14" t="s">
        <v>18375</v>
      </c>
      <c r="G225" s="14">
        <v>46676</v>
      </c>
      <c r="H225" s="14">
        <v>56138</v>
      </c>
      <c r="I225" s="14">
        <v>27</v>
      </c>
      <c r="J225" s="14" t="s">
        <v>16</v>
      </c>
      <c r="K225" s="14" t="s">
        <v>18374</v>
      </c>
      <c r="L225" s="14" t="s">
        <v>6675</v>
      </c>
      <c r="M225" s="14" t="s">
        <v>9158</v>
      </c>
      <c r="N225" s="14" t="s">
        <v>9158</v>
      </c>
      <c r="O225" s="14" t="s">
        <v>9158</v>
      </c>
      <c r="P225" s="14" t="s">
        <v>9158</v>
      </c>
      <c r="Q225" s="14" t="s">
        <v>9158</v>
      </c>
    </row>
    <row r="226" spans="1:17">
      <c r="A226" s="14">
        <v>201863</v>
      </c>
      <c r="B226" s="14" t="s">
        <v>22</v>
      </c>
      <c r="C226" s="14" t="s">
        <v>23</v>
      </c>
      <c r="D226" s="14" t="s">
        <v>18379</v>
      </c>
      <c r="E226" s="15" t="str">
        <f>HYPERLINK("https://stat100.ameba.jp/tnk47/ratio20/illustrations/card/ill_201863_ashikagaujihime03.jpg?202111-5-RELEASE-marathon-561xxxxxxxxxxxxxxxxx", "■")</f>
        <v>■</v>
      </c>
      <c r="F226" s="14" t="s">
        <v>18378</v>
      </c>
      <c r="G226" s="14">
        <v>56138</v>
      </c>
      <c r="H226" s="14">
        <v>46676</v>
      </c>
      <c r="I226" s="14">
        <v>27</v>
      </c>
      <c r="J226" s="14" t="s">
        <v>77</v>
      </c>
      <c r="K226" s="14" t="s">
        <v>18377</v>
      </c>
      <c r="L226" s="14" t="s">
        <v>1732</v>
      </c>
      <c r="M226" s="14" t="s">
        <v>9158</v>
      </c>
      <c r="N226" s="14" t="s">
        <v>9158</v>
      </c>
      <c r="O226" s="14" t="s">
        <v>9158</v>
      </c>
      <c r="P226" s="14" t="s">
        <v>9158</v>
      </c>
      <c r="Q226" s="14" t="s">
        <v>9158</v>
      </c>
    </row>
    <row r="228" spans="1:17">
      <c r="A228" s="14" t="s">
        <v>4065</v>
      </c>
      <c r="I228" s="7"/>
    </row>
    <row r="229" spans="1:17">
      <c r="A229" s="14">
        <v>113008</v>
      </c>
      <c r="B229" s="14" t="s">
        <v>15573</v>
      </c>
      <c r="I229" s="7"/>
    </row>
    <row r="230" spans="1:17">
      <c r="A230" s="9" t="s">
        <v>6905</v>
      </c>
      <c r="B230" s="14" t="s">
        <v>330</v>
      </c>
      <c r="C230" s="14" t="s">
        <v>35</v>
      </c>
      <c r="D230" s="14" t="s">
        <v>4161</v>
      </c>
      <c r="E230" s="15" t="str">
        <f>HYPERLINK("https://stat100.ameba.jp/tnk47/ratio20/illustrations/card/ill_80623_0_ohanamigurampingutominushihime03.jpg?202111-5-RELEASE-marathon-561xxxxxxxxxxxxxxxxx", "■")</f>
        <v>■</v>
      </c>
      <c r="F230" s="14" t="s">
        <v>4162</v>
      </c>
      <c r="G230" s="14">
        <v>325434</v>
      </c>
      <c r="H230" s="14">
        <v>294156</v>
      </c>
      <c r="I230" s="14">
        <v>27</v>
      </c>
      <c r="J230" s="14" t="s">
        <v>44</v>
      </c>
      <c r="K230" s="14" t="s">
        <v>4163</v>
      </c>
      <c r="L230" s="14" t="s">
        <v>4164</v>
      </c>
      <c r="M230" s="14" t="s">
        <v>9158</v>
      </c>
      <c r="N230" s="14" t="s">
        <v>9158</v>
      </c>
      <c r="O230" s="9" t="s">
        <v>4165</v>
      </c>
      <c r="P230" s="14" t="s">
        <v>4166</v>
      </c>
      <c r="Q230" s="14">
        <v>1</v>
      </c>
    </row>
    <row r="231" spans="1:17">
      <c r="A231" s="14">
        <v>96973</v>
      </c>
      <c r="B231" s="14" t="s">
        <v>0</v>
      </c>
      <c r="C231" s="14" t="s">
        <v>1</v>
      </c>
      <c r="D231" s="18" t="s">
        <v>16995</v>
      </c>
      <c r="E231" s="15" t="str">
        <f>HYPERLINK("https://stat100.ameba.jp/tnk47/ratio20/illustrations/card/ill_96973_kanokaiinugamitsukai03.jpg?202111-5-RELEASE-marathon-561xxxxxxxxxxxxxxxxx", "■")</f>
        <v>■</v>
      </c>
      <c r="F231" s="14" t="s">
        <v>16994</v>
      </c>
      <c r="G231" s="14">
        <v>160507</v>
      </c>
      <c r="H231" s="14">
        <v>149240</v>
      </c>
      <c r="I231" s="14">
        <v>27</v>
      </c>
      <c r="J231" s="14" t="s">
        <v>44</v>
      </c>
      <c r="K231" s="14" t="s">
        <v>16993</v>
      </c>
      <c r="L231" s="14" t="s">
        <v>16992</v>
      </c>
      <c r="M231" s="14" t="s">
        <v>9158</v>
      </c>
      <c r="N231" s="14" t="s">
        <v>9158</v>
      </c>
      <c r="O231" s="7" t="s">
        <v>10118</v>
      </c>
      <c r="P231" s="7" t="s">
        <v>3810</v>
      </c>
      <c r="Q231" s="7">
        <v>1</v>
      </c>
    </row>
    <row r="232" spans="1:17">
      <c r="A232" s="9">
        <v>87583</v>
      </c>
      <c r="B232" s="14" t="s">
        <v>0</v>
      </c>
      <c r="C232" s="9" t="s">
        <v>165</v>
      </c>
      <c r="D232" s="6" t="s">
        <v>9981</v>
      </c>
      <c r="E232" s="15" t="str">
        <f>HYPERLINK("https://stat100.ameba.jp/tnk47/ratio20/illustrations/card/ill_87583_oendanise03.jpg?202111-5-RELEASE-marathon-561xxxxxxxxxxxxxxxxx", "■")</f>
        <v>■</v>
      </c>
      <c r="F232" s="9" t="s">
        <v>9929</v>
      </c>
      <c r="G232" s="14">
        <v>109481</v>
      </c>
      <c r="H232" s="14">
        <v>101837</v>
      </c>
      <c r="I232" s="14">
        <v>27</v>
      </c>
      <c r="J232" s="9" t="s">
        <v>159</v>
      </c>
      <c r="K232" s="9" t="s">
        <v>9934</v>
      </c>
      <c r="L232" s="9" t="s">
        <v>9927</v>
      </c>
      <c r="M232" s="14" t="s">
        <v>9158</v>
      </c>
      <c r="N232" s="14" t="s">
        <v>9158</v>
      </c>
      <c r="O232" s="6" t="s">
        <v>4373</v>
      </c>
      <c r="P232" s="14" t="s">
        <v>4374</v>
      </c>
      <c r="Q232" s="14">
        <v>1</v>
      </c>
    </row>
    <row r="233" spans="1:17">
      <c r="A233" s="14">
        <v>69533</v>
      </c>
      <c r="B233" s="14" t="s">
        <v>0</v>
      </c>
      <c r="C233" s="14" t="s">
        <v>101</v>
      </c>
      <c r="D233" s="20" t="s">
        <v>10418</v>
      </c>
      <c r="E233" s="15" t="str">
        <f>HYPERLINK("https://stat100.ameba.jp/tnk47/ratio20/illustrations/card/ill_69533_setsubunodainokata03.jpg?202111-5-RELEASE-marathon-561xxxxxxxxxxxxxxxxx", "■")</f>
        <v>■</v>
      </c>
      <c r="F233" s="14" t="s">
        <v>138</v>
      </c>
      <c r="G233" s="14">
        <v>105465</v>
      </c>
      <c r="H233" s="14">
        <v>98019</v>
      </c>
      <c r="I233" s="14">
        <v>27</v>
      </c>
      <c r="J233" s="14" t="s">
        <v>10</v>
      </c>
      <c r="K233" s="14" t="s">
        <v>139</v>
      </c>
      <c r="L233" s="14" t="s">
        <v>140</v>
      </c>
      <c r="M233" s="14" t="s">
        <v>9158</v>
      </c>
      <c r="N233" s="14" t="s">
        <v>9158</v>
      </c>
      <c r="O233" s="19" t="s">
        <v>10082</v>
      </c>
      <c r="P233" s="14" t="s">
        <v>13124</v>
      </c>
      <c r="Q233" s="14">
        <v>1</v>
      </c>
    </row>
    <row r="235" spans="1:17">
      <c r="A235" s="14" t="s">
        <v>3785</v>
      </c>
    </row>
    <row r="236" spans="1:17">
      <c r="A236" s="14">
        <v>241867</v>
      </c>
      <c r="B236" s="14" t="s">
        <v>18399</v>
      </c>
    </row>
    <row r="237" spans="1:17">
      <c r="A237" s="14" t="s">
        <v>7150</v>
      </c>
      <c r="B237" s="14" t="s">
        <v>52</v>
      </c>
      <c r="C237" s="14" t="s">
        <v>202</v>
      </c>
      <c r="D237" s="19" t="s">
        <v>10656</v>
      </c>
      <c r="E237" s="15" t="str">
        <f>HYPERLINK("https://stat100.ameba.jp/tnk47/ratio20/illustrations/card/ill_84203_0_tarottofujiwaranoshoshi03.jpg?202111-5-RELEASE-marathon-561xxxxxxxxxxxxxxxxx", "■")</f>
        <v>■</v>
      </c>
      <c r="F237" s="14" t="s">
        <v>7153</v>
      </c>
      <c r="G237" s="14">
        <v>323812</v>
      </c>
      <c r="H237" s="14">
        <v>292680</v>
      </c>
      <c r="I237" s="14">
        <v>22</v>
      </c>
      <c r="J237" s="14" t="s">
        <v>10</v>
      </c>
      <c r="K237" s="14" t="s">
        <v>7152</v>
      </c>
      <c r="L237" s="14" t="s">
        <v>7151</v>
      </c>
      <c r="M237" s="14" t="s">
        <v>9158</v>
      </c>
      <c r="N237" s="14" t="s">
        <v>9158</v>
      </c>
      <c r="O237" s="19" t="s">
        <v>10128</v>
      </c>
      <c r="P237" s="14" t="s">
        <v>7154</v>
      </c>
      <c r="Q237" s="14">
        <v>1</v>
      </c>
    </row>
    <row r="238" spans="1:17">
      <c r="A238" s="14" t="s">
        <v>5778</v>
      </c>
      <c r="B238" s="14" t="s">
        <v>330</v>
      </c>
      <c r="C238" s="14" t="s">
        <v>205</v>
      </c>
      <c r="D238" s="19" t="s">
        <v>272</v>
      </c>
      <c r="E238" s="15" t="str">
        <f>HYPERLINK("https://stat100.ameba.jp/tnk47/ratio20/illustrations/card/ill_68783_0_gantammomotaro03.jpg?202111-5-RELEASE-marathon-561xxxxxxxxxxxxxxxxx", "■")</f>
        <v>■</v>
      </c>
      <c r="F238" s="14" t="s">
        <v>273</v>
      </c>
      <c r="G238" s="14">
        <v>150466</v>
      </c>
      <c r="H238" s="14">
        <v>139878</v>
      </c>
      <c r="I238" s="14">
        <v>22</v>
      </c>
      <c r="J238" s="14" t="s">
        <v>274</v>
      </c>
      <c r="K238" s="14" t="s">
        <v>275</v>
      </c>
      <c r="L238" s="14" t="s">
        <v>276</v>
      </c>
      <c r="M238" s="14" t="s">
        <v>9158</v>
      </c>
      <c r="N238" s="14" t="s">
        <v>9158</v>
      </c>
      <c r="O238" s="6" t="s">
        <v>9992</v>
      </c>
      <c r="P238" s="14" t="s">
        <v>3451</v>
      </c>
      <c r="Q238" s="14">
        <v>1</v>
      </c>
    </row>
    <row r="239" spans="1:17">
      <c r="A239" s="9" t="s">
        <v>5721</v>
      </c>
      <c r="B239" s="14" t="s">
        <v>52</v>
      </c>
      <c r="C239" s="14" t="s">
        <v>1</v>
      </c>
      <c r="D239" s="14" t="s">
        <v>2253</v>
      </c>
      <c r="E239" s="15" t="str">
        <f>HYPERLINK("https://stat100.ameba.jp/tnk47/ratio20/illustrations/card/ill_44283_0_izumonokuni03.jpg?202111-5-RELEASE-marathon-561xxxxxxxxxxxxxxxxx", "■")</f>
        <v>■</v>
      </c>
      <c r="F239" s="14" t="s">
        <v>1716</v>
      </c>
      <c r="G239" s="14">
        <v>128744</v>
      </c>
      <c r="H239" s="14">
        <v>120576</v>
      </c>
      <c r="I239" s="14">
        <v>22</v>
      </c>
      <c r="J239" s="14" t="s">
        <v>16</v>
      </c>
      <c r="K239" s="14" t="s">
        <v>2254</v>
      </c>
      <c r="L239" s="14" t="s">
        <v>1718</v>
      </c>
      <c r="M239" s="14" t="s">
        <v>9158</v>
      </c>
      <c r="N239" s="14" t="s">
        <v>9158</v>
      </c>
      <c r="O239" s="14" t="s">
        <v>9158</v>
      </c>
      <c r="P239" s="14" t="s">
        <v>9158</v>
      </c>
      <c r="Q239" s="14" t="s">
        <v>9158</v>
      </c>
    </row>
    <row r="240" spans="1:17">
      <c r="A240" s="14">
        <v>200043</v>
      </c>
      <c r="B240" s="14" t="s">
        <v>0</v>
      </c>
      <c r="C240" s="14" t="s">
        <v>14</v>
      </c>
      <c r="D240" s="14" t="s">
        <v>18402</v>
      </c>
      <c r="E240" s="15" t="str">
        <f>HYPERLINK("https://stat100.ameba.jp/tnk47/ratio20/illustrations/card/ill_200043_kaimaregyunesu03.jpg?202111-5-RELEASE-marathon-561xxxxxxxxxxxxxxxxx", "■")</f>
        <v>■</v>
      </c>
      <c r="F240" s="14" t="s">
        <v>18401</v>
      </c>
      <c r="G240" s="14">
        <v>168764</v>
      </c>
      <c r="H240" s="14">
        <v>94974</v>
      </c>
      <c r="I240" s="14">
        <v>30</v>
      </c>
      <c r="J240" s="14" t="s">
        <v>26</v>
      </c>
      <c r="K240" s="14" t="s">
        <v>18400</v>
      </c>
      <c r="L240" s="14" t="s">
        <v>12208</v>
      </c>
      <c r="M240" s="14" t="s">
        <v>9158</v>
      </c>
      <c r="N240" s="14" t="s">
        <v>9158</v>
      </c>
      <c r="O240" s="14" t="s">
        <v>9158</v>
      </c>
      <c r="P240" s="14" t="s">
        <v>9158</v>
      </c>
      <c r="Q240" s="14" t="s">
        <v>9158</v>
      </c>
    </row>
    <row r="241" spans="1:19">
      <c r="A241" s="14">
        <v>96703</v>
      </c>
      <c r="B241" s="14" t="s">
        <v>0</v>
      </c>
      <c r="C241" s="14" t="s">
        <v>1</v>
      </c>
      <c r="D241" s="14" t="s">
        <v>16912</v>
      </c>
      <c r="E241" s="15" t="str">
        <f>HYPERLINK("https://stat100.ameba.jp/tnk47/ratio20/illustrations/card/ill_96703_teienhatonokuin03.jpg?202111-5-RELEASE-marathon-561xxxxxxxxxxxxxxxxx", "■")</f>
        <v>■</v>
      </c>
      <c r="F241" s="14" t="s">
        <v>16911</v>
      </c>
      <c r="G241" s="14">
        <v>151116</v>
      </c>
      <c r="H241" s="14">
        <v>85014</v>
      </c>
      <c r="I241" s="14">
        <v>30</v>
      </c>
      <c r="J241" s="14" t="s">
        <v>38</v>
      </c>
      <c r="K241" s="14" t="s">
        <v>16910</v>
      </c>
      <c r="L241" s="14" t="s">
        <v>12998</v>
      </c>
      <c r="M241" s="14" t="s">
        <v>9158</v>
      </c>
      <c r="N241" s="14" t="s">
        <v>9158</v>
      </c>
      <c r="O241" s="14" t="s">
        <v>9158</v>
      </c>
      <c r="P241" s="14" t="s">
        <v>9158</v>
      </c>
      <c r="Q241" s="14" t="s">
        <v>9158</v>
      </c>
    </row>
    <row r="242" spans="1:19">
      <c r="A242" s="14">
        <v>90693</v>
      </c>
      <c r="B242" s="14" t="s">
        <v>0</v>
      </c>
      <c r="C242" s="14" t="s">
        <v>101</v>
      </c>
      <c r="D242" s="14" t="s">
        <v>14330</v>
      </c>
      <c r="E242" s="15" t="str">
        <f>HYPERLINK("https://stat100.ameba.jp/tnk47/ratio20/illustrations/card/ill_90693_hamabeshigaru03.jpg?202111-5-RELEASE-marathon-561xxxxxxxxxxxxxxxxx", "■")</f>
        <v>■</v>
      </c>
      <c r="F242" s="14" t="s">
        <v>14329</v>
      </c>
      <c r="G242" s="14">
        <v>144684</v>
      </c>
      <c r="H242" s="14">
        <v>81410</v>
      </c>
      <c r="I242" s="14">
        <v>30</v>
      </c>
      <c r="J242" s="14" t="s">
        <v>10</v>
      </c>
      <c r="K242" s="14" t="s">
        <v>14328</v>
      </c>
      <c r="L242" s="14" t="s">
        <v>12211</v>
      </c>
      <c r="M242" s="14" t="s">
        <v>9158</v>
      </c>
      <c r="N242" s="14" t="s">
        <v>9158</v>
      </c>
      <c r="O242" s="14" t="s">
        <v>9158</v>
      </c>
      <c r="P242" s="14" t="s">
        <v>9158</v>
      </c>
      <c r="Q242" s="14" t="s">
        <v>9158</v>
      </c>
    </row>
    <row r="244" spans="1:19">
      <c r="A244" s="14" t="s">
        <v>4012</v>
      </c>
      <c r="L244" s="14" t="s">
        <v>18413</v>
      </c>
    </row>
    <row r="245" spans="1:19">
      <c r="A245" s="14">
        <v>241887</v>
      </c>
      <c r="B245" s="14" t="s">
        <v>18403</v>
      </c>
    </row>
    <row r="246" spans="1:19">
      <c r="A246" s="14" t="s">
        <v>5620</v>
      </c>
      <c r="B246" s="14" t="s">
        <v>52</v>
      </c>
      <c r="C246" s="14" t="s">
        <v>344</v>
      </c>
      <c r="D246" s="19" t="s">
        <v>669</v>
      </c>
      <c r="E246" s="15" t="str">
        <f>HYPERLINK("https://stat100.ameba.jp/tnk47/ratio20/illustrations/card/ill_67173_0_yukemuriawamorichan03.jpg?202111-5-RELEASE-marathon-561xxxxxxxxxxxxxxxxxxxx", "■")</f>
        <v>■</v>
      </c>
      <c r="F246" s="14" t="s">
        <v>2043</v>
      </c>
      <c r="G246" s="14">
        <v>215134</v>
      </c>
      <c r="H246" s="14">
        <v>200008</v>
      </c>
      <c r="I246" s="14">
        <v>28</v>
      </c>
      <c r="J246" s="14" t="s">
        <v>104</v>
      </c>
      <c r="K246" s="14" t="s">
        <v>2044</v>
      </c>
      <c r="L246" s="14" t="s">
        <v>2045</v>
      </c>
      <c r="M246" s="14" t="s">
        <v>9158</v>
      </c>
      <c r="N246" s="14" t="s">
        <v>9158</v>
      </c>
      <c r="O246" s="19" t="s">
        <v>10087</v>
      </c>
      <c r="P246" s="14" t="s">
        <v>3455</v>
      </c>
      <c r="Q246" s="14">
        <v>1</v>
      </c>
    </row>
    <row r="247" spans="1:19">
      <c r="A247" s="14" t="s">
        <v>5650</v>
      </c>
      <c r="B247" s="14" t="s">
        <v>52</v>
      </c>
      <c r="C247" s="14" t="s">
        <v>23</v>
      </c>
      <c r="D247" s="20" t="s">
        <v>809</v>
      </c>
      <c r="E247" s="15" t="str">
        <f>HYPERLINK("https://stat100.ameba.jp/tnk47/ratio20/illustrations/card/ill_68033_0_kurisumasupateikandamyojin03.jpg?202111-5-RELEASE-marathon-561xxxxxxxxxxxxxxxxxxxx", "■")</f>
        <v>■</v>
      </c>
      <c r="F247" s="14" t="s">
        <v>1871</v>
      </c>
      <c r="G247" s="14">
        <v>178026</v>
      </c>
      <c r="H247" s="14">
        <v>191502</v>
      </c>
      <c r="I247" s="14">
        <v>28</v>
      </c>
      <c r="J247" s="14" t="s">
        <v>44</v>
      </c>
      <c r="K247" s="14" t="s">
        <v>1872</v>
      </c>
      <c r="L247" s="14" t="s">
        <v>1873</v>
      </c>
      <c r="M247" s="14" t="s">
        <v>9158</v>
      </c>
      <c r="N247" s="14" t="s">
        <v>9158</v>
      </c>
      <c r="O247" s="19" t="s">
        <v>2997</v>
      </c>
      <c r="P247" s="14" t="s">
        <v>3483</v>
      </c>
      <c r="Q247" s="14">
        <v>2</v>
      </c>
    </row>
    <row r="248" spans="1:19">
      <c r="A248" s="14" t="s">
        <v>5622</v>
      </c>
      <c r="B248" s="14" t="s">
        <v>330</v>
      </c>
      <c r="C248" s="14" t="s">
        <v>335</v>
      </c>
      <c r="D248" s="19" t="s">
        <v>1043</v>
      </c>
      <c r="E248" s="15" t="str">
        <f>HYPERLINK("https://stat100.ameba.jp/tnk47/ratio20/illustrations/card/ill_49953_0_yushamarihime03.jpg?202111-5-RELEASE-marathon-561xxxxxxxxxxxxxxxxxxxx", "■")</f>
        <v>■</v>
      </c>
      <c r="F248" s="14" t="s">
        <v>510</v>
      </c>
      <c r="G248" s="14">
        <v>175906</v>
      </c>
      <c r="H248" s="14">
        <v>156262</v>
      </c>
      <c r="I248" s="14">
        <v>28</v>
      </c>
      <c r="J248" s="14" t="s">
        <v>315</v>
      </c>
      <c r="K248" s="14" t="s">
        <v>511</v>
      </c>
      <c r="L248" s="14" t="s">
        <v>512</v>
      </c>
      <c r="M248" s="14" t="s">
        <v>9158</v>
      </c>
      <c r="N248" s="14" t="s">
        <v>9158</v>
      </c>
      <c r="O248" s="14" t="s">
        <v>9158</v>
      </c>
      <c r="P248" s="14" t="s">
        <v>9158</v>
      </c>
      <c r="Q248" s="14" t="s">
        <v>9158</v>
      </c>
    </row>
    <row r="249" spans="1:19">
      <c r="A249" s="14">
        <v>96673</v>
      </c>
      <c r="B249" s="14" t="s">
        <v>0</v>
      </c>
      <c r="C249" s="14" t="s">
        <v>41</v>
      </c>
      <c r="D249" s="14" t="s">
        <v>18408</v>
      </c>
      <c r="E249" s="15" t="str">
        <f>HYPERLINK("https://stat100.ameba.jp/tnk47/ratio20/illustrations/card/ill_96673_seireiyosenoronia03.jpg?202111-5-RELEASE-marathon-561xxxxxxxxxxxxxxxxxxxx", "■")</f>
        <v>■</v>
      </c>
      <c r="F249" s="14" t="s">
        <v>18407</v>
      </c>
      <c r="G249" s="14">
        <v>117182</v>
      </c>
      <c r="H249" s="14">
        <v>108912</v>
      </c>
      <c r="I249" s="14">
        <v>30</v>
      </c>
      <c r="J249" s="14" t="s">
        <v>77</v>
      </c>
      <c r="K249" s="14" t="s">
        <v>18406</v>
      </c>
      <c r="L249" s="14" t="s">
        <v>18405</v>
      </c>
      <c r="M249" s="14" t="s">
        <v>9158</v>
      </c>
      <c r="N249" s="14" t="s">
        <v>9158</v>
      </c>
      <c r="O249" s="14" t="s">
        <v>9158</v>
      </c>
      <c r="P249" s="14" t="s">
        <v>9158</v>
      </c>
      <c r="Q249" s="14" t="s">
        <v>9158</v>
      </c>
      <c r="S249" s="14" t="s">
        <v>18412</v>
      </c>
    </row>
    <row r="250" spans="1:19">
      <c r="A250" s="14">
        <v>92693</v>
      </c>
      <c r="B250" s="14" t="s">
        <v>0</v>
      </c>
      <c r="C250" s="14" t="s">
        <v>47</v>
      </c>
      <c r="D250" s="14" t="s">
        <v>18411</v>
      </c>
      <c r="E250" s="15" t="str">
        <f>HYPERLINK("https://stat100.ameba.jp/tnk47/ratio20/illustrations/card/ill_92693_ryunomajoeba03.jpg?202111-5-RELEASE-marathon-561xxxxxxxxxxxxxxxxxxxx", "■")</f>
        <v>■</v>
      </c>
      <c r="F250" s="14" t="s">
        <v>18410</v>
      </c>
      <c r="G250" s="14">
        <v>122366</v>
      </c>
      <c r="H250" s="14">
        <v>113762</v>
      </c>
      <c r="I250" s="14">
        <v>30</v>
      </c>
      <c r="J250" s="14" t="s">
        <v>44</v>
      </c>
      <c r="K250" s="14" t="s">
        <v>18409</v>
      </c>
      <c r="L250" s="14" t="s">
        <v>13641</v>
      </c>
      <c r="M250" s="14" t="s">
        <v>9158</v>
      </c>
      <c r="N250" s="14" t="s">
        <v>9158</v>
      </c>
      <c r="O250" s="14" t="s">
        <v>9158</v>
      </c>
      <c r="P250" s="14" t="s">
        <v>9158</v>
      </c>
      <c r="Q250" s="14" t="s">
        <v>9158</v>
      </c>
      <c r="S250" s="14" t="s">
        <v>18414</v>
      </c>
    </row>
    <row r="251" spans="1:19">
      <c r="A251" s="14">
        <v>92253</v>
      </c>
      <c r="B251" s="14" t="s">
        <v>0</v>
      </c>
      <c r="C251" s="14" t="s">
        <v>35</v>
      </c>
      <c r="D251" s="14" t="s">
        <v>17502</v>
      </c>
      <c r="E251" s="15" t="str">
        <f>HYPERLINK("https://stat100.ameba.jp/tnk47/ratio20/illustrations/card/ill_92253_kaitokaranochosenjoiganinja03.jpg?202111-5-RELEASE-marathon-561xxxxxxxxxxxxxxxxxxxx", "■")</f>
        <v>■</v>
      </c>
      <c r="F251" s="14" t="s">
        <v>17501</v>
      </c>
      <c r="G251" s="14">
        <v>118436</v>
      </c>
      <c r="H251" s="14">
        <v>127306</v>
      </c>
      <c r="I251" s="14">
        <v>30</v>
      </c>
      <c r="J251" s="14" t="s">
        <v>16</v>
      </c>
      <c r="K251" s="14" t="s">
        <v>17500</v>
      </c>
      <c r="L251" s="14" t="s">
        <v>17499</v>
      </c>
      <c r="M251" s="14" t="s">
        <v>9158</v>
      </c>
      <c r="N251" s="14" t="s">
        <v>9158</v>
      </c>
      <c r="O251" s="14" t="s">
        <v>9158</v>
      </c>
      <c r="P251" s="14" t="s">
        <v>9158</v>
      </c>
      <c r="Q251" s="14" t="s">
        <v>9158</v>
      </c>
      <c r="S251" s="14" t="s">
        <v>18415</v>
      </c>
    </row>
    <row r="252" spans="1:19">
      <c r="A252" s="14">
        <v>99583</v>
      </c>
      <c r="B252" s="14" t="s">
        <v>15</v>
      </c>
      <c r="C252" s="14" t="s">
        <v>23</v>
      </c>
      <c r="D252" s="14" t="s">
        <v>18218</v>
      </c>
      <c r="E252" s="15" t="str">
        <f>HYPERLINK("https://stat100.ameba.jp/tnk47/ratio20/illustrations/card/ill_99583_kasabokochan03.jpg?202111-5-RELEASE-marathon-561xxxxxxxxxxxxxxxxxxxx", "■")</f>
        <v>■</v>
      </c>
      <c r="F252" s="14" t="s">
        <v>18217</v>
      </c>
      <c r="G252" s="14">
        <v>75274</v>
      </c>
      <c r="H252" s="14">
        <v>82992</v>
      </c>
      <c r="I252" s="14">
        <v>28</v>
      </c>
      <c r="J252" s="14" t="s">
        <v>26</v>
      </c>
      <c r="K252" s="14" t="s">
        <v>18216</v>
      </c>
      <c r="L252" s="14" t="s">
        <v>14307</v>
      </c>
      <c r="M252" s="14" t="s">
        <v>9158</v>
      </c>
      <c r="N252" s="14" t="s">
        <v>9158</v>
      </c>
      <c r="O252" s="14" t="s">
        <v>9158</v>
      </c>
      <c r="P252" s="14" t="s">
        <v>9158</v>
      </c>
      <c r="Q252" s="14" t="s">
        <v>9158</v>
      </c>
      <c r="S252" s="14" t="s">
        <v>18225</v>
      </c>
    </row>
    <row r="253" spans="1:19">
      <c r="A253" s="14">
        <v>89843</v>
      </c>
      <c r="B253" s="14" t="s">
        <v>15</v>
      </c>
      <c r="C253" s="14" t="s">
        <v>107</v>
      </c>
      <c r="D253" s="14" t="s">
        <v>18220</v>
      </c>
      <c r="E253" s="15" t="str">
        <f>HYPERLINK("https://stat100.ameba.jp/tnk47/ratio20/illustrations/card/ill_89843_yojutsumamedanuki03.jpg?202111-5-RELEASE-marathon-561xxxxxxxxxxxxxxxxxxxx", "■")</f>
        <v>■</v>
      </c>
      <c r="F253" s="14" t="s">
        <v>18221</v>
      </c>
      <c r="G253" s="14">
        <v>75274</v>
      </c>
      <c r="H253" s="14">
        <v>82992</v>
      </c>
      <c r="I253" s="14">
        <v>28</v>
      </c>
      <c r="J253" s="14" t="s">
        <v>73</v>
      </c>
      <c r="K253" s="14" t="s">
        <v>18219</v>
      </c>
      <c r="L253" s="14" t="s">
        <v>17200</v>
      </c>
      <c r="M253" s="14" t="s">
        <v>9158</v>
      </c>
      <c r="N253" s="14" t="s">
        <v>9158</v>
      </c>
      <c r="O253" s="14" t="s">
        <v>9158</v>
      </c>
      <c r="P253" s="14" t="s">
        <v>9158</v>
      </c>
      <c r="Q253" s="14" t="s">
        <v>9158</v>
      </c>
      <c r="S253" s="14" t="s">
        <v>18071</v>
      </c>
    </row>
    <row r="254" spans="1:19">
      <c r="A254" s="14">
        <v>90753</v>
      </c>
      <c r="B254" s="14" t="s">
        <v>15</v>
      </c>
      <c r="C254" s="14" t="s">
        <v>1</v>
      </c>
      <c r="D254" s="14" t="s">
        <v>18224</v>
      </c>
      <c r="E254" s="15" t="str">
        <f>HYPERLINK("https://stat100.ameba.jp/tnk47/ratio20/illustrations/card/ill_90753_remonhanichan03.jpg?202111-5-RELEASE-marathon-561xxxxxxxxxxxxxxxxxxxx", "■")</f>
        <v>■</v>
      </c>
      <c r="F254" s="14" t="s">
        <v>18223</v>
      </c>
      <c r="G254" s="14">
        <v>75274</v>
      </c>
      <c r="H254" s="14">
        <v>82992</v>
      </c>
      <c r="I254" s="14">
        <v>28</v>
      </c>
      <c r="J254" s="14" t="s">
        <v>104</v>
      </c>
      <c r="K254" s="14" t="s">
        <v>18222</v>
      </c>
      <c r="L254" s="14" t="s">
        <v>13966</v>
      </c>
      <c r="M254" s="14" t="s">
        <v>9158</v>
      </c>
      <c r="N254" s="14" t="s">
        <v>9158</v>
      </c>
      <c r="O254" s="14" t="s">
        <v>9158</v>
      </c>
      <c r="P254" s="14" t="s">
        <v>9158</v>
      </c>
      <c r="Q254" s="14" t="s">
        <v>9158</v>
      </c>
      <c r="S254" s="14" t="s">
        <v>16901</v>
      </c>
    </row>
    <row r="256" spans="1:19">
      <c r="A256" s="14" t="s">
        <v>13327</v>
      </c>
    </row>
    <row r="257" spans="1:18">
      <c r="A257" s="14">
        <v>113013</v>
      </c>
      <c r="B257" s="14" t="s">
        <v>18404</v>
      </c>
    </row>
    <row r="258" spans="1:18">
      <c r="A258" s="14">
        <v>99513</v>
      </c>
      <c r="B258" s="14" t="s">
        <v>334</v>
      </c>
      <c r="C258" s="14" t="s">
        <v>14</v>
      </c>
      <c r="D258" s="14" t="s">
        <v>17094</v>
      </c>
      <c r="E258" s="15" t="str">
        <f>HYPERLINK("https://stat100.ameba.jp/tnk47/ratio20/illustrations/card/ill_99513_aberute03.jpg?202111-5-RELEASE-marathon-561xxxxxxxxxxxxxxxxxxxx", "■")</f>
        <v>■</v>
      </c>
      <c r="F258" s="14" t="s">
        <v>17093</v>
      </c>
      <c r="G258" s="14">
        <v>137316</v>
      </c>
      <c r="H258" s="14">
        <v>147692</v>
      </c>
      <c r="I258" s="14">
        <v>30</v>
      </c>
      <c r="J258" s="14" t="s">
        <v>26</v>
      </c>
      <c r="K258" s="14" t="s">
        <v>17092</v>
      </c>
      <c r="L258" s="14" t="s">
        <v>17091</v>
      </c>
      <c r="M258" s="14" t="s">
        <v>2138</v>
      </c>
      <c r="N258" s="14" t="s">
        <v>2139</v>
      </c>
      <c r="O258" s="14" t="s">
        <v>9158</v>
      </c>
      <c r="P258" s="14" t="s">
        <v>9158</v>
      </c>
      <c r="Q258" s="14" t="s">
        <v>9158</v>
      </c>
      <c r="R258" s="14" t="s">
        <v>14748</v>
      </c>
    </row>
    <row r="259" spans="1:18">
      <c r="A259" s="14">
        <v>99512</v>
      </c>
      <c r="B259" s="14" t="s">
        <v>334</v>
      </c>
      <c r="C259" s="14" t="s">
        <v>14</v>
      </c>
      <c r="D259" s="14" t="s">
        <v>17094</v>
      </c>
      <c r="E259" s="15" t="str">
        <f>HYPERLINK("https://stat100.ameba.jp/tnk47/ratio20/illustrations/card/ill_99512_aberute02.jpg?202111-5-RELEASE-marathon-561xxxxxxxxxxxxxxxxxxxx", "■")</f>
        <v>■</v>
      </c>
      <c r="F259" s="14" t="s">
        <v>17093</v>
      </c>
      <c r="G259" s="14">
        <v>113730</v>
      </c>
      <c r="H259" s="14">
        <v>123462</v>
      </c>
      <c r="I259" s="14">
        <v>30</v>
      </c>
      <c r="J259" s="14" t="s">
        <v>26</v>
      </c>
      <c r="K259" s="14" t="s">
        <v>17092</v>
      </c>
      <c r="L259" s="14" t="s">
        <v>17095</v>
      </c>
      <c r="M259" s="14" t="s">
        <v>13270</v>
      </c>
      <c r="N259" s="14" t="s">
        <v>13271</v>
      </c>
      <c r="O259" s="14" t="s">
        <v>9158</v>
      </c>
      <c r="P259" s="14" t="s">
        <v>9158</v>
      </c>
      <c r="Q259" s="14" t="s">
        <v>9158</v>
      </c>
      <c r="R259" s="14" t="s">
        <v>14748</v>
      </c>
    </row>
    <row r="260" spans="1:18">
      <c r="A260" s="14">
        <v>99511</v>
      </c>
      <c r="B260" s="14" t="s">
        <v>334</v>
      </c>
      <c r="C260" s="14" t="s">
        <v>14</v>
      </c>
      <c r="D260" s="14" t="s">
        <v>17094</v>
      </c>
      <c r="E260" s="15" t="str">
        <f>HYPERLINK("https://stat100.ameba.jp/tnk47/ratio20/illustrations/card/ill_99511_aberute01.jpg?202111-5-RELEASE-marathon-561xxxxxxxxxxxxxxxxxxxx", "■")</f>
        <v>■</v>
      </c>
      <c r="F260" s="14" t="s">
        <v>17093</v>
      </c>
      <c r="G260" s="14">
        <v>87750</v>
      </c>
      <c r="H260" s="14">
        <v>94260</v>
      </c>
      <c r="I260" s="14">
        <v>30</v>
      </c>
      <c r="J260" s="14" t="s">
        <v>26</v>
      </c>
      <c r="K260" s="14" t="s">
        <v>17092</v>
      </c>
      <c r="L260" s="14" t="s">
        <v>17096</v>
      </c>
      <c r="M260" s="14" t="s">
        <v>13270</v>
      </c>
      <c r="N260" s="14" t="s">
        <v>13271</v>
      </c>
      <c r="O260" s="14" t="s">
        <v>9158</v>
      </c>
      <c r="P260" s="14" t="s">
        <v>9158</v>
      </c>
      <c r="Q260" s="14" t="s">
        <v>9158</v>
      </c>
      <c r="R260" s="14" t="s">
        <v>14748</v>
      </c>
    </row>
    <row r="261" spans="1:18">
      <c r="A261" s="14">
        <v>99523</v>
      </c>
      <c r="B261" s="14" t="s">
        <v>334</v>
      </c>
      <c r="C261" s="14" t="s">
        <v>23</v>
      </c>
      <c r="D261" s="14" t="s">
        <v>17100</v>
      </c>
      <c r="E261" s="15" t="str">
        <f>HYPERLINK("https://stat100.ameba.jp/tnk47/ratio20/illustrations/card/ill_99523_arukumasshu03.jpg?202111-5-RELEASE-marathon-561xxxxxxxxxxxxxxxxxxxx", "■")</f>
        <v>■</v>
      </c>
      <c r="F261" s="14" t="s">
        <v>17099</v>
      </c>
      <c r="G261" s="14">
        <v>137316</v>
      </c>
      <c r="H261" s="14">
        <v>147692</v>
      </c>
      <c r="I261" s="14">
        <v>30</v>
      </c>
      <c r="J261" s="14" t="s">
        <v>104</v>
      </c>
      <c r="K261" s="14" t="s">
        <v>17098</v>
      </c>
      <c r="L261" s="14" t="s">
        <v>17097</v>
      </c>
      <c r="M261" s="14" t="s">
        <v>2138</v>
      </c>
      <c r="N261" s="14" t="s">
        <v>2139</v>
      </c>
      <c r="O261" s="14" t="s">
        <v>9158</v>
      </c>
      <c r="P261" s="14" t="s">
        <v>9158</v>
      </c>
      <c r="Q261" s="14" t="s">
        <v>9158</v>
      </c>
      <c r="R261" s="14" t="s">
        <v>14748</v>
      </c>
    </row>
    <row r="262" spans="1:18">
      <c r="A262" s="14">
        <v>99533</v>
      </c>
      <c r="B262" s="14" t="s">
        <v>334</v>
      </c>
      <c r="C262" s="14" t="s">
        <v>101</v>
      </c>
      <c r="D262" s="14" t="s">
        <v>17104</v>
      </c>
      <c r="E262" s="15" t="str">
        <f>HYPERLINK("https://stat100.ameba.jp/tnk47/ratio20/illustrations/card/ill_99533_zahhaku03.jpg?202111-5-RELEASE-marathon-561xxxxxxxxxxxxxxxxxxxx", "■")</f>
        <v>■</v>
      </c>
      <c r="F262" s="14" t="s">
        <v>17103</v>
      </c>
      <c r="G262" s="14">
        <v>147692</v>
      </c>
      <c r="H262" s="14">
        <v>137316</v>
      </c>
      <c r="I262" s="14">
        <v>30</v>
      </c>
      <c r="J262" s="14" t="s">
        <v>73</v>
      </c>
      <c r="K262" s="14" t="s">
        <v>17102</v>
      </c>
      <c r="L262" s="14" t="s">
        <v>17101</v>
      </c>
      <c r="M262" s="14" t="s">
        <v>2138</v>
      </c>
      <c r="N262" s="14" t="s">
        <v>2139</v>
      </c>
      <c r="O262" s="14" t="s">
        <v>9158</v>
      </c>
      <c r="P262" s="14" t="s">
        <v>9158</v>
      </c>
      <c r="Q262" s="14" t="s">
        <v>9158</v>
      </c>
      <c r="R262" s="14" t="s">
        <v>14748</v>
      </c>
    </row>
    <row r="263" spans="1:18">
      <c r="A263" s="14">
        <v>99543</v>
      </c>
      <c r="B263" s="14" t="s">
        <v>334</v>
      </c>
      <c r="C263" s="14" t="s">
        <v>96</v>
      </c>
      <c r="D263" s="14" t="s">
        <v>17108</v>
      </c>
      <c r="E263" s="15" t="str">
        <f>HYPERLINK("https://stat100.ameba.jp/tnk47/ratio20/illustrations/card/ill_99543_bega03.jpg?202111-5-RELEASE-marathon-561xxxxxxxxxxxxxxxxxxxx", "■")</f>
        <v>■</v>
      </c>
      <c r="F263" s="14" t="s">
        <v>17107</v>
      </c>
      <c r="G263" s="14">
        <v>147692</v>
      </c>
      <c r="H263" s="14">
        <v>137316</v>
      </c>
      <c r="I263" s="14">
        <v>30</v>
      </c>
      <c r="J263" s="14" t="s">
        <v>44</v>
      </c>
      <c r="K263" s="14" t="s">
        <v>17106</v>
      </c>
      <c r="L263" s="14" t="s">
        <v>17105</v>
      </c>
      <c r="M263" s="14" t="s">
        <v>2138</v>
      </c>
      <c r="N263" s="14" t="s">
        <v>2139</v>
      </c>
      <c r="O263" s="14" t="s">
        <v>9158</v>
      </c>
      <c r="P263" s="14" t="s">
        <v>9158</v>
      </c>
      <c r="Q263" s="14" t="s">
        <v>9158</v>
      </c>
      <c r="R263" s="14" t="s">
        <v>14748</v>
      </c>
    </row>
    <row r="264" spans="1:18">
      <c r="A264" s="14">
        <v>99553</v>
      </c>
      <c r="B264" s="14" t="s">
        <v>334</v>
      </c>
      <c r="C264" s="14" t="s">
        <v>1</v>
      </c>
      <c r="D264" s="14" t="s">
        <v>17112</v>
      </c>
      <c r="E264" s="15" t="str">
        <f>HYPERLINK("https://stat100.ameba.jp/tnk47/ratio20/illustrations/card/ill_99553_shupigeru03.jpg?202111-5-RELEASE-marathon-561xxxxxxxxxxxxxxxxxxxx", "■")</f>
        <v>■</v>
      </c>
      <c r="F264" s="14" t="s">
        <v>17111</v>
      </c>
      <c r="G264" s="14">
        <v>147692</v>
      </c>
      <c r="H264" s="14">
        <v>137316</v>
      </c>
      <c r="I264" s="14">
        <v>30</v>
      </c>
      <c r="J264" s="14" t="s">
        <v>77</v>
      </c>
      <c r="K264" s="14" t="s">
        <v>17110</v>
      </c>
      <c r="L264" s="14" t="s">
        <v>17109</v>
      </c>
      <c r="M264" s="14" t="s">
        <v>2138</v>
      </c>
      <c r="N264" s="14" t="s">
        <v>2139</v>
      </c>
      <c r="O264" s="14" t="s">
        <v>9158</v>
      </c>
      <c r="P264" s="14" t="s">
        <v>9158</v>
      </c>
      <c r="Q264" s="14" t="s">
        <v>9158</v>
      </c>
      <c r="R264" s="14" t="s">
        <v>14748</v>
      </c>
    </row>
    <row r="265" spans="1:18">
      <c r="A265" s="14">
        <v>99563</v>
      </c>
      <c r="B265" s="14" t="s">
        <v>334</v>
      </c>
      <c r="C265" s="14" t="s">
        <v>107</v>
      </c>
      <c r="D265" s="14" t="s">
        <v>17116</v>
      </c>
      <c r="E265" s="15" t="str">
        <f>HYPERLINK("https://stat100.ameba.jp/tnk47/ratio20/illustrations/card/ill_99563_senkinokishiryunnu03.jpg?202111-5-RELEASE-marathon-561xxxxxxxxxxxxxxxxxxxx", "■")</f>
        <v>■</v>
      </c>
      <c r="F265" s="14" t="s">
        <v>17115</v>
      </c>
      <c r="G265" s="14">
        <v>137316</v>
      </c>
      <c r="H265" s="14">
        <v>147692</v>
      </c>
      <c r="I265" s="14">
        <v>30</v>
      </c>
      <c r="J265" s="14" t="s">
        <v>143</v>
      </c>
      <c r="K265" s="14" t="s">
        <v>17114</v>
      </c>
      <c r="L265" s="14" t="s">
        <v>17113</v>
      </c>
      <c r="M265" s="14" t="s">
        <v>2138</v>
      </c>
      <c r="N265" s="14" t="s">
        <v>2139</v>
      </c>
      <c r="O265" s="14" t="s">
        <v>9158</v>
      </c>
      <c r="P265" s="14" t="s">
        <v>9158</v>
      </c>
      <c r="Q265" s="14" t="s">
        <v>9158</v>
      </c>
      <c r="R265" s="14" t="s">
        <v>14748</v>
      </c>
    </row>
    <row r="267" spans="1:18">
      <c r="A267" s="14" t="s">
        <v>6191</v>
      </c>
    </row>
    <row r="268" spans="1:18">
      <c r="A268" s="14">
        <v>113033</v>
      </c>
      <c r="B268" s="14" t="s">
        <v>7971</v>
      </c>
    </row>
    <row r="269" spans="1:18">
      <c r="A269" s="14" t="s">
        <v>6598</v>
      </c>
      <c r="B269" s="14" t="s">
        <v>330</v>
      </c>
      <c r="C269" s="14" t="s">
        <v>35</v>
      </c>
      <c r="D269" s="19" t="s">
        <v>10555</v>
      </c>
      <c r="E269" s="15" t="str">
        <f>HYPERLINK("https://stat100.ameba.jp/tnk47/ratio20/illustrations/card/ill_83553_0_kajuenamoronagu03.jpg?202111-5-RELEASE-marathon-561xxxxxxxxxxxxxxxxxxxxxxxx", "■")</f>
        <v>■</v>
      </c>
      <c r="F269" s="14" t="s">
        <v>6597</v>
      </c>
      <c r="G269" s="14">
        <v>284219</v>
      </c>
      <c r="H269" s="14">
        <v>314478</v>
      </c>
      <c r="I269" s="14">
        <v>27</v>
      </c>
      <c r="J269" s="14" t="s">
        <v>44</v>
      </c>
      <c r="K269" s="14" t="s">
        <v>6595</v>
      </c>
      <c r="L269" s="14" t="s">
        <v>6594</v>
      </c>
      <c r="M269" s="14" t="s">
        <v>9158</v>
      </c>
      <c r="N269" s="14" t="s">
        <v>9158</v>
      </c>
      <c r="O269" s="19" t="s">
        <v>10125</v>
      </c>
      <c r="P269" s="14" t="s">
        <v>6599</v>
      </c>
      <c r="Q269" s="14">
        <v>1</v>
      </c>
    </row>
    <row r="270" spans="1:18">
      <c r="A270" s="14" t="s">
        <v>6508</v>
      </c>
      <c r="B270" s="14" t="s">
        <v>330</v>
      </c>
      <c r="C270" s="14" t="s">
        <v>35</v>
      </c>
      <c r="D270" s="20" t="s">
        <v>10168</v>
      </c>
      <c r="E270" s="15" t="str">
        <f>HYPERLINK("https://stat100.ameba.jp/tnk47/ratio20/illustrations/card/ill_81783_0_denshagarukoteipenginchan03.jpg?202111-5-RELEASE-marathon-561xxxxxxxxxxxxxxxxxxxxxxxx", "■")</f>
        <v>■</v>
      </c>
      <c r="F270" s="14" t="s">
        <v>4834</v>
      </c>
      <c r="G270" s="14">
        <v>313989</v>
      </c>
      <c r="H270" s="14">
        <v>283765</v>
      </c>
      <c r="I270" s="14">
        <v>27</v>
      </c>
      <c r="J270" s="14" t="s">
        <v>26</v>
      </c>
      <c r="K270" s="14" t="s">
        <v>4836</v>
      </c>
      <c r="L270" s="14" t="s">
        <v>1783</v>
      </c>
      <c r="M270" s="14" t="s">
        <v>9158</v>
      </c>
      <c r="N270" s="14" t="s">
        <v>9158</v>
      </c>
      <c r="O270" s="19" t="s">
        <v>10124</v>
      </c>
      <c r="P270" s="14" t="s">
        <v>4838</v>
      </c>
      <c r="Q270" s="14">
        <v>1</v>
      </c>
    </row>
    <row r="271" spans="1:18">
      <c r="A271" s="14" t="s">
        <v>5608</v>
      </c>
      <c r="B271" s="14" t="s">
        <v>52</v>
      </c>
      <c r="C271" s="14" t="s">
        <v>96</v>
      </c>
      <c r="D271" s="19" t="s">
        <v>634</v>
      </c>
      <c r="E271" s="15" t="str">
        <f>HYPERLINK("https://stat100.ameba.jp/tnk47/ratio20/illustrations/card/ill_40963_0_makami03.jpg?202111-5-RELEASE-marathon-561xxxxxxxxxxxxxxxxxxxxxxxx", "■")</f>
        <v>■</v>
      </c>
      <c r="F271" s="14" t="s">
        <v>2038</v>
      </c>
      <c r="G271" s="14">
        <v>158004</v>
      </c>
      <c r="H271" s="14">
        <v>147980</v>
      </c>
      <c r="I271" s="14">
        <v>27</v>
      </c>
      <c r="J271" s="14" t="s">
        <v>44</v>
      </c>
      <c r="K271" s="14" t="s">
        <v>2039</v>
      </c>
      <c r="L271" s="14" t="s">
        <v>2040</v>
      </c>
      <c r="M271" s="14" t="s">
        <v>9158</v>
      </c>
      <c r="N271" s="14" t="s">
        <v>9158</v>
      </c>
      <c r="O271" s="14" t="s">
        <v>9158</v>
      </c>
      <c r="P271" s="14" t="s">
        <v>9158</v>
      </c>
      <c r="Q271" s="14" t="s">
        <v>9158</v>
      </c>
    </row>
    <row r="272" spans="1:18">
      <c r="A272" s="14">
        <v>201833</v>
      </c>
      <c r="B272" s="14" t="s">
        <v>0</v>
      </c>
      <c r="C272" s="14" t="s">
        <v>101</v>
      </c>
      <c r="D272" s="14" t="s">
        <v>18371</v>
      </c>
      <c r="E272" s="15" t="str">
        <f>HYPERLINK("https://stat100.ameba.jp/tnk47/ratio20/illustrations/card/ill_201833_kitsunenoyomeiri03.jpg?202111-5-RELEASE-marathon-561xxxxxxxxxxxxxxxxxxxxxxxx", "■")</f>
        <v>■</v>
      </c>
      <c r="F272" s="14" t="s">
        <v>18370</v>
      </c>
      <c r="G272" s="14">
        <v>106178</v>
      </c>
      <c r="H272" s="14">
        <v>114208</v>
      </c>
      <c r="I272" s="14">
        <v>28</v>
      </c>
      <c r="J272" s="14" t="s">
        <v>38</v>
      </c>
      <c r="K272" s="14" t="s">
        <v>8547</v>
      </c>
      <c r="L272" s="14" t="s">
        <v>15487</v>
      </c>
      <c r="M272" s="14" t="s">
        <v>9158</v>
      </c>
      <c r="N272" s="14" t="s">
        <v>9158</v>
      </c>
      <c r="O272" s="14" t="s">
        <v>9158</v>
      </c>
      <c r="P272" s="14" t="s">
        <v>9158</v>
      </c>
      <c r="Q272" s="14" t="s">
        <v>9158</v>
      </c>
    </row>
    <row r="273" spans="1:17">
      <c r="A273" s="14">
        <v>201843</v>
      </c>
      <c r="B273" s="14" t="s">
        <v>15</v>
      </c>
      <c r="C273" s="14" t="s">
        <v>107</v>
      </c>
      <c r="D273" s="14" t="s">
        <v>18373</v>
      </c>
      <c r="E273" s="15" t="str">
        <f>HYPERLINK("https://stat100.ameba.jp/tnk47/ratio20/illustrations/card/ill_201843_machinushurauyasame03.jpg?202111-5-RELEASE-marathon-561xxxxxxxxxxxxxxxxxxxxxxxx", "■")</f>
        <v>■</v>
      </c>
      <c r="F273" s="14" t="s">
        <v>18372</v>
      </c>
      <c r="G273" s="14">
        <v>80028</v>
      </c>
      <c r="H273" s="14">
        <v>72586</v>
      </c>
      <c r="I273" s="14">
        <v>27</v>
      </c>
      <c r="J273" s="14" t="s">
        <v>44</v>
      </c>
      <c r="K273" s="14" t="s">
        <v>17888</v>
      </c>
      <c r="L273" s="14" t="s">
        <v>3271</v>
      </c>
      <c r="M273" s="14" t="s">
        <v>9158</v>
      </c>
      <c r="N273" s="14" t="s">
        <v>9158</v>
      </c>
      <c r="O273" s="14" t="s">
        <v>9158</v>
      </c>
      <c r="P273" s="14" t="s">
        <v>9158</v>
      </c>
      <c r="Q273" s="14" t="s">
        <v>9158</v>
      </c>
    </row>
    <row r="274" spans="1:17">
      <c r="A274" s="14">
        <v>201853</v>
      </c>
      <c r="B274" s="14" t="s">
        <v>22</v>
      </c>
      <c r="C274" s="14" t="s">
        <v>14048</v>
      </c>
      <c r="D274" s="14" t="s">
        <v>18376</v>
      </c>
      <c r="E274" s="15" t="str">
        <f>HYPERLINK("https://stat100.ameba.jp/tnk47/ratio20/illustrations/card/ill_201853_moriougai03.jpg?202111-5-RELEASE-marathon-561xxxxxxxxxxxxxxxxxxxxxxxx", "■")</f>
        <v>■</v>
      </c>
      <c r="F274" s="14" t="s">
        <v>18375</v>
      </c>
      <c r="G274" s="14">
        <v>46676</v>
      </c>
      <c r="H274" s="14">
        <v>56138</v>
      </c>
      <c r="I274" s="14">
        <v>27</v>
      </c>
      <c r="J274" s="14" t="s">
        <v>16</v>
      </c>
      <c r="K274" s="14" t="s">
        <v>18374</v>
      </c>
      <c r="L274" s="14" t="s">
        <v>6675</v>
      </c>
      <c r="M274" s="14" t="s">
        <v>9158</v>
      </c>
      <c r="N274" s="14" t="s">
        <v>9158</v>
      </c>
      <c r="O274" s="14" t="s">
        <v>9158</v>
      </c>
      <c r="P274" s="14" t="s">
        <v>9158</v>
      </c>
      <c r="Q274" s="14" t="s">
        <v>9158</v>
      </c>
    </row>
    <row r="275" spans="1:17">
      <c r="A275" s="14">
        <v>201863</v>
      </c>
      <c r="B275" s="14" t="s">
        <v>22</v>
      </c>
      <c r="C275" s="14" t="s">
        <v>23</v>
      </c>
      <c r="D275" s="14" t="s">
        <v>18379</v>
      </c>
      <c r="E275" s="15" t="str">
        <f>HYPERLINK("https://stat100.ameba.jp/tnk47/ratio20/illustrations/card/ill_201863_ashikagaujihime03.jpg?202111-5-RELEASE-marathon-561xxxxxxxxxxxxxxxxxxxxxxxx", "■")</f>
        <v>■</v>
      </c>
      <c r="F275" s="14" t="s">
        <v>18378</v>
      </c>
      <c r="G275" s="14">
        <v>56138</v>
      </c>
      <c r="H275" s="14">
        <v>46676</v>
      </c>
      <c r="I275" s="14">
        <v>27</v>
      </c>
      <c r="J275" s="14" t="s">
        <v>77</v>
      </c>
      <c r="K275" s="14" t="s">
        <v>18377</v>
      </c>
      <c r="L275" s="14" t="s">
        <v>1732</v>
      </c>
      <c r="M275" s="14" t="s">
        <v>9158</v>
      </c>
      <c r="N275" s="14" t="s">
        <v>9158</v>
      </c>
      <c r="O275" s="14" t="s">
        <v>9158</v>
      </c>
      <c r="P275" s="14" t="s">
        <v>9158</v>
      </c>
      <c r="Q275" s="14" t="s">
        <v>9158</v>
      </c>
    </row>
    <row r="277" spans="1:17">
      <c r="A277" s="14" t="s">
        <v>3844</v>
      </c>
      <c r="I277" s="7"/>
    </row>
    <row r="278" spans="1:17">
      <c r="A278" s="14">
        <v>113056</v>
      </c>
      <c r="B278" s="14" t="s">
        <v>18416</v>
      </c>
    </row>
    <row r="279" spans="1:17">
      <c r="A279" s="14" t="s">
        <v>14533</v>
      </c>
      <c r="B279" s="7" t="s">
        <v>52</v>
      </c>
      <c r="C279" s="14" t="s">
        <v>202</v>
      </c>
      <c r="D279" s="18" t="s">
        <v>14532</v>
      </c>
      <c r="E279" s="15" t="str">
        <f>HYPERLINK("https://stat100.ameba.jp/tnk47/ratio20/illustrations/card/ill_91703_0_ninjashugyohanakosan03.jpg?202111-5-RELEASE-marathon-561xxxxxxxxxxxxxxxxxxxxxxxx", "■")</f>
        <v>■</v>
      </c>
      <c r="F279" s="14" t="s">
        <v>14534</v>
      </c>
      <c r="G279" s="14">
        <v>292832</v>
      </c>
      <c r="H279" s="14">
        <v>324004</v>
      </c>
      <c r="I279" s="7">
        <v>28</v>
      </c>
      <c r="J279" s="14" t="s">
        <v>77</v>
      </c>
      <c r="K279" s="14" t="s">
        <v>14536</v>
      </c>
      <c r="L279" s="14" t="s">
        <v>14535</v>
      </c>
      <c r="M279" s="14" t="s">
        <v>9158</v>
      </c>
      <c r="N279" s="14" t="s">
        <v>9158</v>
      </c>
      <c r="O279" s="6" t="s">
        <v>14539</v>
      </c>
      <c r="P279" s="7" t="s">
        <v>14538</v>
      </c>
      <c r="Q279" s="7">
        <v>1</v>
      </c>
    </row>
    <row r="280" spans="1:17">
      <c r="A280" s="14">
        <v>67993</v>
      </c>
      <c r="B280" s="14" t="s">
        <v>334</v>
      </c>
      <c r="C280" s="14" t="s">
        <v>205</v>
      </c>
      <c r="D280" s="6" t="s">
        <v>2546</v>
      </c>
      <c r="E280" s="15" t="str">
        <f>HYPERLINK("https://stat100.ameba.jp/tnk47/ratio20/illustrations/card/ill_67993_kurisumasupateikanekomisuzu03.jpg?202111-5-RELEASE-marathon-561xxxxxxxxxxxxxxxxxxxxxxxx", "■")</f>
        <v>■</v>
      </c>
      <c r="F280" s="14" t="s">
        <v>1286</v>
      </c>
      <c r="G280" s="14">
        <v>117182</v>
      </c>
      <c r="H280" s="14">
        <v>108912</v>
      </c>
      <c r="I280" s="14">
        <v>30</v>
      </c>
      <c r="J280" s="14" t="s">
        <v>10</v>
      </c>
      <c r="K280" s="14" t="s">
        <v>2547</v>
      </c>
      <c r="L280" s="14" t="s">
        <v>2548</v>
      </c>
      <c r="M280" s="14" t="s">
        <v>9158</v>
      </c>
      <c r="N280" s="14" t="s">
        <v>9158</v>
      </c>
      <c r="O280" s="6" t="s">
        <v>10025</v>
      </c>
      <c r="P280" s="14" t="s">
        <v>3701</v>
      </c>
      <c r="Q280" s="14">
        <v>1</v>
      </c>
    </row>
    <row r="281" spans="1:17">
      <c r="A281" s="14">
        <v>77123</v>
      </c>
      <c r="B281" s="14" t="s">
        <v>334</v>
      </c>
      <c r="C281" s="14" t="s">
        <v>191</v>
      </c>
      <c r="D281" s="20" t="s">
        <v>10424</v>
      </c>
      <c r="E281" s="15" t="str">
        <f>HYPERLINK("https://stat100.ameba.jp/tnk47/ratio20/illustrations/card/ill_77123_yukemuriizuna03.jpg?202111-5-RELEASE-marathon-561xxxxxxxxxxxxxxxxxxxxxxxx", "■")</f>
        <v>■</v>
      </c>
      <c r="F281" s="14" t="s">
        <v>1377</v>
      </c>
      <c r="G281" s="14">
        <v>124996</v>
      </c>
      <c r="H281" s="14">
        <v>116244</v>
      </c>
      <c r="I281" s="14">
        <v>30</v>
      </c>
      <c r="J281" s="14" t="s">
        <v>320</v>
      </c>
      <c r="K281" s="14" t="s">
        <v>1378</v>
      </c>
      <c r="L281" s="14" t="s">
        <v>1379</v>
      </c>
      <c r="M281" s="14" t="s">
        <v>9158</v>
      </c>
      <c r="N281" s="14" t="s">
        <v>9158</v>
      </c>
      <c r="O281" s="19" t="s">
        <v>2838</v>
      </c>
      <c r="P281" s="14" t="s">
        <v>3579</v>
      </c>
      <c r="Q281" s="14">
        <v>1</v>
      </c>
    </row>
    <row r="282" spans="1:17">
      <c r="A282" s="14">
        <v>91653</v>
      </c>
      <c r="B282" s="14" t="s">
        <v>0</v>
      </c>
      <c r="C282" s="14" t="s">
        <v>96</v>
      </c>
      <c r="D282" s="18" t="s">
        <v>14544</v>
      </c>
      <c r="E282" s="15" t="str">
        <f>HYPERLINK("https://stat100.ameba.jp/tnk47/ratio20/illustrations/card/ill_91653_ninjashugyosunakakemusume03.jpg?202111-5-RELEASE-marathon-561xxxxxxxxxxxxxxxxxxxxxxxx", "■")</f>
        <v>■</v>
      </c>
      <c r="F282" s="14" t="s">
        <v>14543</v>
      </c>
      <c r="G282" s="14">
        <v>117182</v>
      </c>
      <c r="H282" s="14">
        <v>108912</v>
      </c>
      <c r="I282" s="14">
        <v>30</v>
      </c>
      <c r="J282" s="14" t="s">
        <v>73</v>
      </c>
      <c r="K282" s="14" t="s">
        <v>14541</v>
      </c>
      <c r="L282" s="14" t="s">
        <v>12211</v>
      </c>
      <c r="M282" s="14" t="s">
        <v>9158</v>
      </c>
      <c r="N282" s="14" t="s">
        <v>9158</v>
      </c>
      <c r="O282" s="6" t="s">
        <v>10054</v>
      </c>
      <c r="P282" s="7" t="s">
        <v>3672</v>
      </c>
      <c r="Q282" s="7">
        <v>1</v>
      </c>
    </row>
    <row r="284" spans="1:17">
      <c r="A284" s="14" t="s">
        <v>3916</v>
      </c>
    </row>
    <row r="285" spans="1:17">
      <c r="A285" s="14">
        <v>113059</v>
      </c>
      <c r="B285" s="14" t="s">
        <v>15576</v>
      </c>
    </row>
    <row r="286" spans="1:17">
      <c r="A286" s="14">
        <v>76103</v>
      </c>
      <c r="B286" s="14" t="s">
        <v>334</v>
      </c>
      <c r="C286" s="14" t="s">
        <v>154</v>
      </c>
      <c r="D286" s="19" t="s">
        <v>570</v>
      </c>
      <c r="E286" s="15" t="str">
        <f>HYPERLINK("https://stat100.ameba.jp/tnk47/ratio20/illustrations/card/ill_76103_shibuaji03.jpg?202111-5-RELEASE-marathon-561xxxxxxxxxxxxxxxxxxxxxxxx", "■")</f>
        <v>■</v>
      </c>
      <c r="F286" s="14" t="s">
        <v>1122</v>
      </c>
      <c r="G286" s="14">
        <v>129392</v>
      </c>
      <c r="H286" s="14">
        <v>120308</v>
      </c>
      <c r="I286" s="14">
        <v>30</v>
      </c>
      <c r="J286" s="14" t="s">
        <v>143</v>
      </c>
      <c r="K286" s="14" t="s">
        <v>1123</v>
      </c>
      <c r="L286" s="14" t="s">
        <v>1124</v>
      </c>
      <c r="M286" s="14" t="s">
        <v>9864</v>
      </c>
      <c r="N286" s="14" t="s">
        <v>9158</v>
      </c>
      <c r="O286" s="14" t="s">
        <v>9158</v>
      </c>
      <c r="P286" s="14" t="s">
        <v>9158</v>
      </c>
      <c r="Q286" s="14" t="s">
        <v>9158</v>
      </c>
    </row>
    <row r="287" spans="1:17">
      <c r="A287" s="14">
        <v>76113</v>
      </c>
      <c r="B287" s="14" t="s">
        <v>334</v>
      </c>
      <c r="C287" s="14" t="s">
        <v>158</v>
      </c>
      <c r="D287" s="19" t="s">
        <v>10268</v>
      </c>
      <c r="E287" s="15" t="str">
        <f>HYPERLINK("https://stat100.ameba.jp/tnk47/ratio20/illustrations/card/ill_76113_jannudaruku03.jpg?202111-5-RELEASE-marathon-561xxxxxxxxxxxxxxxxxxxxxxxx", "■")</f>
        <v>■</v>
      </c>
      <c r="F287" s="14" t="s">
        <v>1126</v>
      </c>
      <c r="G287" s="14">
        <v>129392</v>
      </c>
      <c r="H287" s="14">
        <v>120308</v>
      </c>
      <c r="I287" s="14">
        <v>30</v>
      </c>
      <c r="J287" s="14" t="s">
        <v>10</v>
      </c>
      <c r="K287" s="14" t="s">
        <v>1127</v>
      </c>
      <c r="L287" s="14" t="s">
        <v>1128</v>
      </c>
      <c r="M287" s="14" t="s">
        <v>9158</v>
      </c>
      <c r="N287" s="14" t="s">
        <v>9158</v>
      </c>
      <c r="O287" s="14" t="s">
        <v>9158</v>
      </c>
      <c r="P287" s="14" t="s">
        <v>9158</v>
      </c>
      <c r="Q287" s="14" t="s">
        <v>9158</v>
      </c>
    </row>
    <row r="288" spans="1:17">
      <c r="A288" s="14">
        <v>63323</v>
      </c>
      <c r="B288" s="14" t="s">
        <v>0</v>
      </c>
      <c r="C288" s="14" t="s">
        <v>200</v>
      </c>
      <c r="D288" s="19" t="s">
        <v>10269</v>
      </c>
      <c r="E288" s="15" t="str">
        <f>HYPERLINK("https://stat100.ameba.jp/tnk47/ratio20/illustrations/card/ill_63323_ajisaikushinadahime03.jpg?202111-5-RELEASE-marathon-561xxxxxxxxxxxxxxxxxxxxxxxx", "■")</f>
        <v>■</v>
      </c>
      <c r="F288" s="14" t="s">
        <v>3583</v>
      </c>
      <c r="G288" s="14">
        <v>113762</v>
      </c>
      <c r="H288" s="14">
        <v>122366</v>
      </c>
      <c r="I288" s="14">
        <v>30</v>
      </c>
      <c r="J288" s="14" t="s">
        <v>44</v>
      </c>
      <c r="K288" s="14" t="s">
        <v>3584</v>
      </c>
      <c r="L288" s="14" t="s">
        <v>2400</v>
      </c>
      <c r="M288" s="14" t="s">
        <v>9158</v>
      </c>
      <c r="N288" s="14" t="s">
        <v>9158</v>
      </c>
      <c r="O288" s="14" t="s">
        <v>9158</v>
      </c>
      <c r="P288" s="14" t="s">
        <v>9158</v>
      </c>
      <c r="Q288" s="14" t="s">
        <v>9158</v>
      </c>
    </row>
    <row r="289" spans="1:17">
      <c r="A289" s="14">
        <v>59863</v>
      </c>
      <c r="B289" s="14" t="s">
        <v>334</v>
      </c>
      <c r="C289" s="14" t="s">
        <v>165</v>
      </c>
      <c r="D289" s="19" t="s">
        <v>318</v>
      </c>
      <c r="E289" s="15" t="str">
        <f>HYPERLINK("https://stat100.ameba.jp/tnk47/ratio20/illustrations/card/ill_59863_yoseiichimokuren03.jpg?202111-5-RELEASE-marathon-561xxxxxxxxxxxxxxxxxxxxxxxx", "■")</f>
        <v>■</v>
      </c>
      <c r="F289" s="14" t="s">
        <v>319</v>
      </c>
      <c r="G289" s="14">
        <v>124996</v>
      </c>
      <c r="H289" s="14">
        <v>116244</v>
      </c>
      <c r="I289" s="14">
        <v>30</v>
      </c>
      <c r="J289" s="14" t="s">
        <v>320</v>
      </c>
      <c r="K289" s="14" t="s">
        <v>321</v>
      </c>
      <c r="L289" s="14" t="s">
        <v>322</v>
      </c>
      <c r="M289" s="14" t="s">
        <v>9158</v>
      </c>
      <c r="N289" s="14" t="s">
        <v>9158</v>
      </c>
      <c r="O289" s="14" t="s">
        <v>9158</v>
      </c>
      <c r="P289" s="14" t="s">
        <v>9158</v>
      </c>
      <c r="Q289" s="14" t="s">
        <v>9158</v>
      </c>
    </row>
    <row r="290" spans="1:17">
      <c r="A290" s="14">
        <v>51823</v>
      </c>
      <c r="B290" s="14" t="s">
        <v>15</v>
      </c>
      <c r="C290" s="14" t="s">
        <v>101</v>
      </c>
      <c r="D290" s="19" t="s">
        <v>10587</v>
      </c>
      <c r="E290" s="15" t="str">
        <f>HYPERLINK("https://stat100.ameba.jp/tnk47/ratio20/illustrations/card/ill_51823_jukimatsu03.jpg?202111-5-RELEASE-marathon-561xxxxxxxxxxxxxxxxxxxxxxxx", "■")</f>
        <v>■</v>
      </c>
      <c r="F290" s="14" t="s">
        <v>6742</v>
      </c>
      <c r="G290" s="14">
        <v>67210</v>
      </c>
      <c r="H290" s="14">
        <v>74100</v>
      </c>
      <c r="I290" s="14">
        <v>25</v>
      </c>
      <c r="J290" s="14" t="s">
        <v>77</v>
      </c>
      <c r="K290" s="14" t="s">
        <v>6743</v>
      </c>
      <c r="L290" s="14" t="s">
        <v>6744</v>
      </c>
      <c r="M290" s="14" t="s">
        <v>9158</v>
      </c>
      <c r="N290" s="14" t="s">
        <v>9158</v>
      </c>
      <c r="O290" s="14" t="s">
        <v>9158</v>
      </c>
      <c r="P290" s="14" t="s">
        <v>9158</v>
      </c>
      <c r="Q290" s="14" t="s">
        <v>9158</v>
      </c>
    </row>
    <row r="291" spans="1:17">
      <c r="A291" s="14">
        <v>51773</v>
      </c>
      <c r="B291" s="14" t="s">
        <v>15</v>
      </c>
      <c r="C291" s="14" t="s">
        <v>205</v>
      </c>
      <c r="D291" s="19" t="s">
        <v>10588</v>
      </c>
      <c r="E291" s="15" t="str">
        <f>HYPERLINK("https://stat100.ameba.jp/tnk47/ratio20/illustrations/card/ill_51773_kawaasobikanekomisuzu03.jpg?202111-5-RELEASE-marathon-561xxxxxxxxxxxxxxxxxxxxxxxx", "■")</f>
        <v>■</v>
      </c>
      <c r="F291" s="14" t="s">
        <v>6747</v>
      </c>
      <c r="G291" s="14">
        <v>74100</v>
      </c>
      <c r="H291" s="14">
        <v>67210</v>
      </c>
      <c r="I291" s="14">
        <v>25</v>
      </c>
      <c r="J291" s="14" t="s">
        <v>10</v>
      </c>
      <c r="K291" s="14" t="s">
        <v>6746</v>
      </c>
      <c r="L291" s="14" t="s">
        <v>6745</v>
      </c>
      <c r="M291" s="14" t="s">
        <v>9158</v>
      </c>
      <c r="N291" s="14" t="s">
        <v>9158</v>
      </c>
      <c r="O291" s="14" t="s">
        <v>9158</v>
      </c>
      <c r="P291" s="14" t="s">
        <v>9158</v>
      </c>
      <c r="Q291" s="14" t="s">
        <v>9158</v>
      </c>
    </row>
    <row r="292" spans="1:17">
      <c r="A292" s="14">
        <v>51733</v>
      </c>
      <c r="B292" s="14" t="s">
        <v>15</v>
      </c>
      <c r="C292" s="14" t="s">
        <v>185</v>
      </c>
      <c r="D292" s="19" t="s">
        <v>10589</v>
      </c>
      <c r="E292" s="15" t="str">
        <f>HYPERLINK("https://stat100.ameba.jp/tnk47/ratio20/illustrations/card/ill_51733_ekusoshisutopoiyampe03.jpg?202111-5-RELEASE-marathon-561xxxxxxxxxxxxxxxxxxxxxxxx", "■")</f>
        <v>■</v>
      </c>
      <c r="F292" s="14" t="s">
        <v>6750</v>
      </c>
      <c r="G292" s="14">
        <v>67210</v>
      </c>
      <c r="H292" s="14">
        <v>74100</v>
      </c>
      <c r="I292" s="14">
        <v>25</v>
      </c>
      <c r="J292" s="14" t="s">
        <v>274</v>
      </c>
      <c r="K292" s="14" t="s">
        <v>6749</v>
      </c>
      <c r="L292" s="14" t="s">
        <v>6748</v>
      </c>
      <c r="M292" s="14" t="s">
        <v>9158</v>
      </c>
      <c r="N292" s="14" t="s">
        <v>9158</v>
      </c>
      <c r="O292" s="14" t="s">
        <v>9158</v>
      </c>
      <c r="P292" s="14" t="s">
        <v>9158</v>
      </c>
      <c r="Q292" s="14" t="s">
        <v>9158</v>
      </c>
    </row>
    <row r="293" spans="1:17">
      <c r="A293" s="14">
        <v>55743</v>
      </c>
      <c r="B293" s="14" t="s">
        <v>15</v>
      </c>
      <c r="C293" s="14" t="s">
        <v>96</v>
      </c>
      <c r="D293" s="19" t="s">
        <v>10590</v>
      </c>
      <c r="E293" s="15" t="str">
        <f>HYPERLINK("https://stat100.ameba.jp/tnk47/ratio20/illustrations/card/ill_55743_nankoume03.jpg?202111-5-RELEASE-marathon-561xxxxxxxxxxxxxxxxxxxxxxxx", "■")</f>
        <v>■</v>
      </c>
      <c r="F293" s="14" t="s">
        <v>4308</v>
      </c>
      <c r="G293" s="14">
        <v>67210</v>
      </c>
      <c r="H293" s="14">
        <v>74100</v>
      </c>
      <c r="I293" s="14">
        <v>25</v>
      </c>
      <c r="J293" s="14" t="s">
        <v>216</v>
      </c>
      <c r="K293" s="14" t="s">
        <v>4310</v>
      </c>
      <c r="L293" s="14" t="s">
        <v>4311</v>
      </c>
      <c r="M293" s="14" t="s">
        <v>9158</v>
      </c>
      <c r="N293" s="14" t="s">
        <v>9158</v>
      </c>
      <c r="O293" s="14" t="s">
        <v>9158</v>
      </c>
      <c r="P293" s="14" t="s">
        <v>9158</v>
      </c>
      <c r="Q293" s="14" t="s">
        <v>9158</v>
      </c>
    </row>
    <row r="592" spans="1:1">
      <c r="A592" s="14" t="s">
        <v>18436</v>
      </c>
    </row>
    <row r="593" spans="1:17">
      <c r="A593" s="14">
        <v>242212</v>
      </c>
      <c r="B593" s="14" t="s">
        <v>8255</v>
      </c>
    </row>
    <row r="594" spans="1:17">
      <c r="A594" s="14">
        <v>242218</v>
      </c>
      <c r="B594" s="14" t="s">
        <v>8254</v>
      </c>
    </row>
    <row r="595" spans="1:17">
      <c r="A595" s="14" t="s">
        <v>18163</v>
      </c>
      <c r="B595" s="7" t="s">
        <v>52</v>
      </c>
      <c r="C595" s="14" t="s">
        <v>202</v>
      </c>
      <c r="D595" s="18" t="s">
        <v>18162</v>
      </c>
      <c r="E595" s="15" t="str">
        <f>HYPERLINK("https://stat100.ameba.jp/tnk47/ratio20/illustrations/card/ill_201663_0_mafuiahokkaidogyunyuchan03.jpg?202112-6-RELEASE-conquest-e-566", "■")</f>
        <v>■</v>
      </c>
      <c r="F595" s="14" t="s">
        <v>18161</v>
      </c>
      <c r="G595" s="14">
        <v>264098</v>
      </c>
      <c r="H595" s="14">
        <v>322770</v>
      </c>
      <c r="I595" s="7">
        <v>30</v>
      </c>
      <c r="J595" s="14" t="s">
        <v>104</v>
      </c>
      <c r="K595" s="14" t="s">
        <v>18160</v>
      </c>
      <c r="L595" s="14" t="s">
        <v>18159</v>
      </c>
      <c r="M595" s="14" t="s">
        <v>9158</v>
      </c>
      <c r="N595" s="14" t="s">
        <v>9158</v>
      </c>
      <c r="O595" s="7" t="s">
        <v>18158</v>
      </c>
      <c r="P595" s="7" t="s">
        <v>18157</v>
      </c>
      <c r="Q595" s="7">
        <v>1</v>
      </c>
    </row>
    <row r="596" spans="1:17">
      <c r="A596" s="14">
        <v>202083</v>
      </c>
      <c r="B596" s="14" t="s">
        <v>0</v>
      </c>
      <c r="C596" s="14" t="s">
        <v>23</v>
      </c>
      <c r="D596" s="14" t="s">
        <v>18440</v>
      </c>
      <c r="E596" s="15" t="str">
        <f>HYPERLINK("https://stat100.ameba.jp/tnk47/ratio20/illustrations/card/ill_202083_akibarafueirunoto03.jpg?202112-6-RELEASE-conquest-e-566", "■")</f>
        <v>■</v>
      </c>
      <c r="F596" s="14" t="s">
        <v>18439</v>
      </c>
      <c r="G596" s="14">
        <v>131742</v>
      </c>
      <c r="H596" s="14">
        <v>141676</v>
      </c>
      <c r="I596" s="14">
        <v>30</v>
      </c>
      <c r="J596" s="14" t="s">
        <v>26</v>
      </c>
      <c r="K596" s="14" t="s">
        <v>18438</v>
      </c>
      <c r="L596" s="14" t="s">
        <v>12269</v>
      </c>
      <c r="M596" s="14" t="s">
        <v>9158</v>
      </c>
      <c r="N596" s="14" t="s">
        <v>9158</v>
      </c>
      <c r="O596" s="14" t="s">
        <v>9158</v>
      </c>
      <c r="P596" s="14" t="s">
        <v>9158</v>
      </c>
      <c r="Q596" s="14" t="s">
        <v>9158</v>
      </c>
    </row>
    <row r="597" spans="1:17">
      <c r="A597" s="14">
        <v>202093</v>
      </c>
      <c r="B597" s="14" t="s">
        <v>0</v>
      </c>
      <c r="C597" s="14" t="s">
        <v>101</v>
      </c>
      <c r="D597" s="14" t="s">
        <v>18443</v>
      </c>
      <c r="E597" s="15" t="str">
        <f>HYPERLINK("https://stat100.ameba.jp/tnk47/ratio20/illustrations/card/ill_202093_kinasanosatokijomomiji03.jpg?202112-6-RELEASE-conquest-e-566", "■")</f>
        <v>■</v>
      </c>
      <c r="F597" s="14" t="s">
        <v>18442</v>
      </c>
      <c r="G597" s="14">
        <v>136668</v>
      </c>
      <c r="H597" s="14">
        <v>127070</v>
      </c>
      <c r="I597" s="7">
        <v>30</v>
      </c>
      <c r="J597" s="14" t="s">
        <v>73</v>
      </c>
      <c r="K597" s="14" t="s">
        <v>13414</v>
      </c>
      <c r="L597" s="14" t="s">
        <v>18441</v>
      </c>
      <c r="M597" s="14" t="s">
        <v>9158</v>
      </c>
      <c r="N597" s="14" t="s">
        <v>9158</v>
      </c>
      <c r="O597" s="14" t="s">
        <v>9158</v>
      </c>
      <c r="P597" s="14" t="s">
        <v>9158</v>
      </c>
      <c r="Q597" s="14" t="s">
        <v>9158</v>
      </c>
    </row>
    <row r="598" spans="1:17">
      <c r="A598" s="14">
        <v>202103</v>
      </c>
      <c r="B598" s="14" t="s">
        <v>15</v>
      </c>
      <c r="C598" s="14" t="s">
        <v>96</v>
      </c>
      <c r="D598" s="14" t="s">
        <v>18446</v>
      </c>
      <c r="E598" s="15" t="str">
        <f>HYPERLINK("https://stat100.ameba.jp/tnk47/ratio20/illustrations/card/ill_202103_shikishinaishinno03.jpg?202112-6-RELEASE-conquest-e-566", "■")</f>
        <v>■</v>
      </c>
      <c r="F598" s="14" t="s">
        <v>18445</v>
      </c>
      <c r="G598" s="14">
        <v>88920</v>
      </c>
      <c r="H598" s="14">
        <v>80652</v>
      </c>
      <c r="I598" s="14">
        <v>30</v>
      </c>
      <c r="J598" s="14" t="s">
        <v>16</v>
      </c>
      <c r="K598" s="14" t="s">
        <v>18444</v>
      </c>
      <c r="L598" s="14" t="s">
        <v>21</v>
      </c>
      <c r="M598" s="14" t="s">
        <v>9158</v>
      </c>
      <c r="N598" s="14" t="s">
        <v>9158</v>
      </c>
      <c r="O598" s="14" t="s">
        <v>9158</v>
      </c>
      <c r="P598" s="14" t="s">
        <v>9158</v>
      </c>
      <c r="Q598" s="14" t="s">
        <v>9158</v>
      </c>
    </row>
    <row r="599" spans="1:17">
      <c r="A599" s="14">
        <v>202113</v>
      </c>
      <c r="B599" s="14" t="s">
        <v>22</v>
      </c>
      <c r="C599" s="14" t="s">
        <v>1</v>
      </c>
      <c r="D599" s="14" t="s">
        <v>18449</v>
      </c>
      <c r="E599" s="15" t="str">
        <f>HYPERLINK("https://stat100.ameba.jp/tnk47/ratio20/illustrations/card/ill_202113_sodatsusenkamomirutei03.jpg?202112-6-RELEASE-conquest-e-566", "■")</f>
        <v>■</v>
      </c>
      <c r="F599" s="14" t="s">
        <v>18448</v>
      </c>
      <c r="G599" s="14">
        <v>51864</v>
      </c>
      <c r="H599" s="14">
        <v>62376</v>
      </c>
      <c r="I599" s="7">
        <v>30</v>
      </c>
      <c r="J599" s="14" t="s">
        <v>104</v>
      </c>
      <c r="K599" s="14" t="s">
        <v>18447</v>
      </c>
      <c r="L599" s="14" t="s">
        <v>3839</v>
      </c>
      <c r="M599" s="14" t="s">
        <v>9158</v>
      </c>
      <c r="N599" s="14" t="s">
        <v>9158</v>
      </c>
      <c r="O599" s="14" t="s">
        <v>9158</v>
      </c>
      <c r="P599" s="14" t="s">
        <v>9158</v>
      </c>
      <c r="Q599" s="14" t="s">
        <v>9158</v>
      </c>
    </row>
    <row r="600" spans="1:17">
      <c r="A600" s="14">
        <v>202123</v>
      </c>
      <c r="B600" s="14" t="s">
        <v>22</v>
      </c>
      <c r="C600" s="14" t="s">
        <v>14</v>
      </c>
      <c r="D600" s="14" t="s">
        <v>18452</v>
      </c>
      <c r="E600" s="15" t="str">
        <f>HYPERLINK("https://stat100.ameba.jp/tnk47/ratio20/illustrations/card/ill_202123_katakurakita03.jpg?202112-6-RELEASE-conquest-e-566", "■")</f>
        <v>■</v>
      </c>
      <c r="F600" s="14" t="s">
        <v>18451</v>
      </c>
      <c r="G600" s="14">
        <v>62376</v>
      </c>
      <c r="H600" s="14">
        <v>51864</v>
      </c>
      <c r="I600" s="14">
        <v>30</v>
      </c>
      <c r="J600" s="14" t="s">
        <v>77</v>
      </c>
      <c r="K600" s="14" t="s">
        <v>18450</v>
      </c>
      <c r="L600" s="14" t="s">
        <v>1732</v>
      </c>
      <c r="M600" s="14" t="s">
        <v>9158</v>
      </c>
      <c r="N600" s="14" t="s">
        <v>9158</v>
      </c>
      <c r="O600" s="14" t="s">
        <v>9158</v>
      </c>
      <c r="P600" s="14" t="s">
        <v>9158</v>
      </c>
      <c r="Q600" s="14" t="s">
        <v>9158</v>
      </c>
    </row>
    <row r="602" spans="1:17">
      <c r="A602" s="14" t="s">
        <v>3785</v>
      </c>
    </row>
    <row r="603" spans="1:17">
      <c r="A603" s="14">
        <v>242243</v>
      </c>
      <c r="B603" s="14" t="s">
        <v>18437</v>
      </c>
    </row>
    <row r="604" spans="1:17">
      <c r="A604" s="14" t="s">
        <v>7150</v>
      </c>
      <c r="B604" s="14" t="s">
        <v>52</v>
      </c>
      <c r="C604" s="14" t="s">
        <v>202</v>
      </c>
      <c r="D604" s="19" t="s">
        <v>10656</v>
      </c>
      <c r="E604" s="15" t="str">
        <f>HYPERLINK("https://stat100.ameba.jp/tnk47/ratio20/illustrations/card/ill_84203_0_tarottofujiwaranoshoshi03.jpg?202112-6-RELEASE-conquest-e-566", "■")</f>
        <v>■</v>
      </c>
      <c r="F604" s="14" t="s">
        <v>7153</v>
      </c>
      <c r="G604" s="14">
        <v>323812</v>
      </c>
      <c r="H604" s="14">
        <v>292680</v>
      </c>
      <c r="I604" s="14">
        <v>22</v>
      </c>
      <c r="J604" s="14" t="s">
        <v>10</v>
      </c>
      <c r="K604" s="14" t="s">
        <v>7152</v>
      </c>
      <c r="L604" s="14" t="s">
        <v>7151</v>
      </c>
      <c r="M604" s="14" t="s">
        <v>9158</v>
      </c>
      <c r="N604" s="14" t="s">
        <v>9158</v>
      </c>
      <c r="O604" s="19" t="s">
        <v>10128</v>
      </c>
      <c r="P604" s="14" t="s">
        <v>7154</v>
      </c>
      <c r="Q604" s="14">
        <v>1</v>
      </c>
    </row>
    <row r="605" spans="1:17">
      <c r="A605" s="14" t="s">
        <v>5778</v>
      </c>
      <c r="B605" s="14" t="s">
        <v>330</v>
      </c>
      <c r="C605" s="14" t="s">
        <v>205</v>
      </c>
      <c r="D605" s="19" t="s">
        <v>272</v>
      </c>
      <c r="E605" s="15" t="str">
        <f>HYPERLINK("https://stat100.ameba.jp/tnk47/ratio20/illustrations/card/ill_68783_0_gantammomotaro03.jpg?202112-6-RELEASE-conquest-e-566", "■")</f>
        <v>■</v>
      </c>
      <c r="F605" s="14" t="s">
        <v>273</v>
      </c>
      <c r="G605" s="14">
        <v>150466</v>
      </c>
      <c r="H605" s="14">
        <v>139878</v>
      </c>
      <c r="I605" s="14">
        <v>22</v>
      </c>
      <c r="J605" s="14" t="s">
        <v>274</v>
      </c>
      <c r="K605" s="14" t="s">
        <v>275</v>
      </c>
      <c r="L605" s="14" t="s">
        <v>276</v>
      </c>
      <c r="M605" s="14" t="s">
        <v>9158</v>
      </c>
      <c r="N605" s="14" t="s">
        <v>9158</v>
      </c>
      <c r="O605" s="6" t="s">
        <v>9992</v>
      </c>
      <c r="P605" s="14" t="s">
        <v>3451</v>
      </c>
      <c r="Q605" s="14">
        <v>1</v>
      </c>
    </row>
    <row r="606" spans="1:17">
      <c r="A606" s="9" t="s">
        <v>5721</v>
      </c>
      <c r="B606" s="14" t="s">
        <v>52</v>
      </c>
      <c r="C606" s="14" t="s">
        <v>1</v>
      </c>
      <c r="D606" s="14" t="s">
        <v>2253</v>
      </c>
      <c r="E606" s="15" t="str">
        <f>HYPERLINK("https://stat100.ameba.jp/tnk47/ratio20/illustrations/card/ill_44283_0_izumonokuni03.jpg?202112-6-RELEASE-conquest-e-566", "■")</f>
        <v>■</v>
      </c>
      <c r="F606" s="14" t="s">
        <v>1716</v>
      </c>
      <c r="G606" s="14">
        <v>128744</v>
      </c>
      <c r="H606" s="14">
        <v>120576</v>
      </c>
      <c r="I606" s="14">
        <v>22</v>
      </c>
      <c r="J606" s="14" t="s">
        <v>16</v>
      </c>
      <c r="K606" s="14" t="s">
        <v>2254</v>
      </c>
      <c r="L606" s="14" t="s">
        <v>1718</v>
      </c>
      <c r="M606" s="14" t="s">
        <v>9158</v>
      </c>
      <c r="N606" s="14" t="s">
        <v>9158</v>
      </c>
      <c r="O606" s="14" t="s">
        <v>9158</v>
      </c>
      <c r="P606" s="14" t="s">
        <v>9158</v>
      </c>
      <c r="Q606" s="14" t="s">
        <v>9158</v>
      </c>
    </row>
    <row r="607" spans="1:17">
      <c r="A607" s="14">
        <v>98023</v>
      </c>
      <c r="B607" s="14" t="s">
        <v>0</v>
      </c>
      <c r="C607" s="14" t="s">
        <v>14</v>
      </c>
      <c r="D607" s="14" t="s">
        <v>17659</v>
      </c>
      <c r="E607" s="15" t="str">
        <f>HYPERLINK("https://stat100.ameba.jp/tnk47/ratio20/illustrations/card/ill_98023_bokujonomeria03.jpg?202112-6-RELEASE-conquest-e-566", "■")</f>
        <v>■</v>
      </c>
      <c r="F607" s="14" t="s">
        <v>17658</v>
      </c>
      <c r="G607" s="14">
        <v>174982</v>
      </c>
      <c r="H607" s="14">
        <v>98436</v>
      </c>
      <c r="I607" s="14">
        <v>30</v>
      </c>
      <c r="J607" s="14" t="s">
        <v>104</v>
      </c>
      <c r="K607" s="14" t="s">
        <v>17657</v>
      </c>
      <c r="L607" s="14" t="s">
        <v>13093</v>
      </c>
      <c r="M607" s="14" t="s">
        <v>9158</v>
      </c>
      <c r="N607" s="14" t="s">
        <v>9158</v>
      </c>
      <c r="O607" s="14" t="s">
        <v>9158</v>
      </c>
      <c r="P607" s="14" t="s">
        <v>9158</v>
      </c>
      <c r="Q607" s="14" t="s">
        <v>9158</v>
      </c>
    </row>
    <row r="608" spans="1:17">
      <c r="A608" s="14">
        <v>88703</v>
      </c>
      <c r="B608" s="14" t="s">
        <v>334</v>
      </c>
      <c r="C608" s="14" t="s">
        <v>101</v>
      </c>
      <c r="D608" s="14" t="s">
        <v>12342</v>
      </c>
      <c r="E608" s="15" t="str">
        <f>HYPERLINK("https://stat100.ameba.jp/tnk47/ratio20/illustrations/card/ill_88703_pammatsurirezumburedo03.jpg?202112-6-RELEASE-conquest-e-566", "■")</f>
        <v>■</v>
      </c>
      <c r="F608" s="14" t="s">
        <v>12343</v>
      </c>
      <c r="G608" s="14">
        <v>144684</v>
      </c>
      <c r="H608" s="14">
        <v>81410</v>
      </c>
      <c r="I608" s="14">
        <v>30</v>
      </c>
      <c r="J608" s="14" t="s">
        <v>77</v>
      </c>
      <c r="K608" s="14" t="s">
        <v>12346</v>
      </c>
      <c r="L608" s="14" t="s">
        <v>12081</v>
      </c>
      <c r="M608" s="14" t="s">
        <v>9158</v>
      </c>
      <c r="N608" s="14" t="s">
        <v>9158</v>
      </c>
      <c r="O608" s="14" t="s">
        <v>9158</v>
      </c>
      <c r="P608" s="14" t="s">
        <v>9158</v>
      </c>
      <c r="Q608" s="14" t="s">
        <v>9158</v>
      </c>
    </row>
    <row r="609" spans="1:17">
      <c r="A609" s="14">
        <v>98713</v>
      </c>
      <c r="B609" s="14" t="s">
        <v>0</v>
      </c>
      <c r="C609" s="14" t="s">
        <v>1</v>
      </c>
      <c r="D609" s="14" t="s">
        <v>18455</v>
      </c>
      <c r="E609" s="15" t="str">
        <f>HYPERLINK("https://stat100.ameba.jp/tnk47/ratio20/illustrations/card/ill_98713_senyahimeshaharazado03.jpg?202112-6-RELEASE-conquest-e-566", "■")</f>
        <v>■</v>
      </c>
      <c r="F609" s="14" t="s">
        <v>18454</v>
      </c>
      <c r="G609" s="14">
        <v>168764</v>
      </c>
      <c r="H609" s="14">
        <v>94974</v>
      </c>
      <c r="I609" s="7">
        <v>30</v>
      </c>
      <c r="J609" s="14" t="s">
        <v>77</v>
      </c>
      <c r="K609" s="14" t="s">
        <v>18453</v>
      </c>
      <c r="L609" s="14" t="s">
        <v>15809</v>
      </c>
      <c r="M609" s="14" t="s">
        <v>9158</v>
      </c>
      <c r="N609" s="14" t="s">
        <v>9158</v>
      </c>
      <c r="O609" s="14" t="s">
        <v>9158</v>
      </c>
      <c r="P609" s="14" t="s">
        <v>9158</v>
      </c>
      <c r="Q609" s="14" t="s">
        <v>9158</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1488B-0F08-4B02-A9B6-5D234DB3E389}">
  <dimension ref="A1:S566"/>
  <sheetViews>
    <sheetView zoomScale="55" zoomScaleNormal="55" workbookViewId="0">
      <pane ySplit="1" topLeftCell="A101" activePane="bottomLeft" state="frozen"/>
      <selection pane="bottomLeft" activeCell="D115" sqref="D115"/>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10161</v>
      </c>
      <c r="B3" s="14"/>
      <c r="C3" s="14"/>
      <c r="D3" s="14"/>
      <c r="F3" s="14"/>
      <c r="G3" s="14"/>
      <c r="H3" s="14"/>
      <c r="I3" s="14"/>
      <c r="J3" s="14"/>
      <c r="K3" s="14"/>
      <c r="L3" s="14"/>
      <c r="M3" s="14"/>
      <c r="N3" s="14"/>
      <c r="P3" s="14"/>
      <c r="Q3" s="14"/>
      <c r="R3" s="14"/>
    </row>
    <row r="4" spans="1:19">
      <c r="A4" s="9" t="s">
        <v>2125</v>
      </c>
      <c r="B4" s="14"/>
      <c r="C4" s="14"/>
      <c r="D4" s="14"/>
      <c r="F4" s="14"/>
      <c r="G4" s="14"/>
      <c r="H4" s="14"/>
      <c r="I4" s="14"/>
      <c r="J4" s="14"/>
      <c r="K4" s="14"/>
      <c r="L4" s="14"/>
      <c r="M4" s="14"/>
      <c r="N4" s="14"/>
      <c r="P4" s="14"/>
      <c r="Q4" s="14"/>
      <c r="R4" s="14"/>
    </row>
    <row r="5" spans="1:19">
      <c r="A5" s="9" t="s">
        <v>8319</v>
      </c>
      <c r="B5" s="14"/>
      <c r="C5" s="14"/>
      <c r="D5" s="14"/>
      <c r="F5" s="14"/>
      <c r="G5" s="14"/>
      <c r="H5" s="14"/>
      <c r="I5" s="14"/>
      <c r="J5" s="14"/>
      <c r="K5" s="14"/>
      <c r="L5" s="14"/>
      <c r="M5" s="14"/>
      <c r="N5" s="14"/>
      <c r="P5" s="14"/>
      <c r="Q5" s="14"/>
      <c r="R5" s="14"/>
    </row>
    <row r="6" spans="1:19">
      <c r="A6" s="9" t="s">
        <v>5843</v>
      </c>
      <c r="B6" s="14" t="s">
        <v>52</v>
      </c>
      <c r="C6" s="14" t="s">
        <v>202</v>
      </c>
      <c r="D6" s="14" t="s">
        <v>2126</v>
      </c>
      <c r="E6" s="15" t="str">
        <f>HYPERLINK("https://stat100.ameba.jp/tnk47/ratio20/illustrations/card/ill_77963_0_kurisumasudaisakusentakiyashahime03.jpg?201812-1-RELEASE-raid-382x", "■")</f>
        <v>■</v>
      </c>
      <c r="F6" s="14" t="s">
        <v>2127</v>
      </c>
      <c r="G6" s="14">
        <v>319308</v>
      </c>
      <c r="H6" s="14">
        <v>288586</v>
      </c>
      <c r="I6" s="14">
        <v>26</v>
      </c>
      <c r="J6" s="14" t="s">
        <v>77</v>
      </c>
      <c r="K6" s="14" t="s">
        <v>2128</v>
      </c>
      <c r="L6" s="14" t="s">
        <v>2129</v>
      </c>
      <c r="M6" s="14" t="s">
        <v>9158</v>
      </c>
      <c r="N6" s="14" t="s">
        <v>9158</v>
      </c>
      <c r="O6" s="9" t="s">
        <v>3588</v>
      </c>
      <c r="P6" s="14" t="s">
        <v>3589</v>
      </c>
      <c r="Q6" s="14">
        <v>2</v>
      </c>
      <c r="R6" s="14"/>
    </row>
    <row r="7" spans="1:19">
      <c r="A7" s="9">
        <v>77903</v>
      </c>
      <c r="B7" s="14" t="s">
        <v>0</v>
      </c>
      <c r="C7" s="14" t="s">
        <v>185</v>
      </c>
      <c r="D7" s="14" t="s">
        <v>2130</v>
      </c>
      <c r="E7" s="15" t="str">
        <f>HYPERLINK("https://stat100.ameba.jp/tnk47/ratio20/illustrations/card/ill_77903_kurisumasudaisakusendongurikorokoro03.jpg?201812-1-RELEASE-raid-382x", "■")</f>
        <v>■</v>
      </c>
      <c r="F7" s="14" t="s">
        <v>2131</v>
      </c>
      <c r="G7" s="14">
        <v>100400</v>
      </c>
      <c r="H7" s="14">
        <v>93184</v>
      </c>
      <c r="I7" s="14">
        <v>22</v>
      </c>
      <c r="J7" s="14" t="s">
        <v>38</v>
      </c>
      <c r="K7" s="14" t="s">
        <v>2132</v>
      </c>
      <c r="L7" s="14" t="s">
        <v>2133</v>
      </c>
      <c r="M7" s="14" t="s">
        <v>9158</v>
      </c>
      <c r="N7" s="14" t="s">
        <v>9158</v>
      </c>
      <c r="O7" s="17" t="s">
        <v>10057</v>
      </c>
      <c r="P7" s="14" t="s">
        <v>3460</v>
      </c>
      <c r="Q7" s="14">
        <v>1</v>
      </c>
      <c r="R7" s="14"/>
    </row>
    <row r="8" spans="1:19">
      <c r="A8" s="9">
        <v>77913</v>
      </c>
      <c r="B8" s="14" t="s">
        <v>0</v>
      </c>
      <c r="C8" s="14" t="s">
        <v>165</v>
      </c>
      <c r="D8" s="14" t="s">
        <v>2134</v>
      </c>
      <c r="E8" s="15" t="str">
        <f>HYPERLINK("https://stat100.ameba.jp/tnk47/ratio20/illustrations/card/ill_77913_kurisumasudaisakusenjaiantotasumaniankurabu03.jpg?201812-1-RELEASE-raid-382x", "■")</f>
        <v>■</v>
      </c>
      <c r="F8" s="14" t="s">
        <v>2135</v>
      </c>
      <c r="G8" s="14">
        <v>93184</v>
      </c>
      <c r="H8" s="14">
        <v>100224</v>
      </c>
      <c r="I8" s="14">
        <v>22</v>
      </c>
      <c r="J8" s="14" t="s">
        <v>26</v>
      </c>
      <c r="K8" s="14" t="s">
        <v>2136</v>
      </c>
      <c r="L8" s="14" t="s">
        <v>2137</v>
      </c>
      <c r="M8" s="14" t="s">
        <v>2138</v>
      </c>
      <c r="N8" s="14" t="s">
        <v>2139</v>
      </c>
      <c r="O8" s="14" t="s">
        <v>9158</v>
      </c>
      <c r="P8" s="14" t="s">
        <v>9158</v>
      </c>
      <c r="Q8" s="14" t="s">
        <v>9158</v>
      </c>
      <c r="R8" s="14" t="s">
        <v>13120</v>
      </c>
    </row>
    <row r="9" spans="1:19">
      <c r="A9" s="9">
        <v>77923</v>
      </c>
      <c r="B9" s="14" t="s">
        <v>0</v>
      </c>
      <c r="C9" s="14" t="s">
        <v>206</v>
      </c>
      <c r="D9" s="14" t="s">
        <v>2140</v>
      </c>
      <c r="E9" s="15" t="str">
        <f>HYPERLINK("https://stat100.ameba.jp/tnk47/ratio20/illustrations/card/ill_77923_kurisumasudaisakusemmomotofumiagari03.jpg?201812-1-RELEASE-raid-382x", "■")</f>
        <v>■</v>
      </c>
      <c r="F9" s="14" t="s">
        <v>2141</v>
      </c>
      <c r="G9" s="14">
        <v>79868</v>
      </c>
      <c r="H9" s="14">
        <v>85934</v>
      </c>
      <c r="I9" s="14">
        <v>22</v>
      </c>
      <c r="J9" s="14" t="s">
        <v>77</v>
      </c>
      <c r="K9" s="14" t="s">
        <v>2142</v>
      </c>
      <c r="L9" s="14" t="s">
        <v>969</v>
      </c>
      <c r="M9" s="14" t="s">
        <v>2138</v>
      </c>
      <c r="N9" s="14" t="s">
        <v>2139</v>
      </c>
      <c r="O9" s="14" t="s">
        <v>9158</v>
      </c>
      <c r="P9" s="14" t="s">
        <v>9158</v>
      </c>
      <c r="Q9" s="14" t="s">
        <v>9158</v>
      </c>
      <c r="R9" s="14" t="s">
        <v>13120</v>
      </c>
    </row>
    <row r="10" spans="1:19">
      <c r="A10" s="9">
        <v>77933</v>
      </c>
      <c r="B10" s="14" t="s">
        <v>15</v>
      </c>
      <c r="C10" s="14" t="s">
        <v>206</v>
      </c>
      <c r="D10" s="14" t="s">
        <v>2143</v>
      </c>
      <c r="E10" s="15" t="str">
        <f>HYPERLINK("https://stat100.ameba.jp/tnk47/ratio20/illustrations/card/ill_77933_moriarinori03.jpg?201812-1-RELEASE-raid-382x", "■")</f>
        <v>■</v>
      </c>
      <c r="F10" s="14" t="s">
        <v>2144</v>
      </c>
      <c r="G10" s="14">
        <v>56456</v>
      </c>
      <c r="H10" s="14">
        <v>62244</v>
      </c>
      <c r="I10" s="14">
        <v>21</v>
      </c>
      <c r="J10" s="14" t="s">
        <v>10</v>
      </c>
      <c r="K10" s="14" t="s">
        <v>2145</v>
      </c>
      <c r="L10" s="14" t="s">
        <v>2146</v>
      </c>
      <c r="M10" s="14" t="s">
        <v>9158</v>
      </c>
      <c r="N10" s="14" t="s">
        <v>9158</v>
      </c>
      <c r="O10" s="14" t="s">
        <v>9158</v>
      </c>
      <c r="P10" s="14" t="s">
        <v>9158</v>
      </c>
      <c r="Q10" s="14" t="s">
        <v>9158</v>
      </c>
      <c r="R10" s="14"/>
    </row>
    <row r="11" spans="1:19">
      <c r="A11" s="9">
        <v>77943</v>
      </c>
      <c r="B11" s="14" t="s">
        <v>15</v>
      </c>
      <c r="C11" s="14" t="s">
        <v>191</v>
      </c>
      <c r="D11" s="14" t="s">
        <v>2147</v>
      </c>
      <c r="E11" s="15" t="str">
        <f>HYPERLINK("https://stat100.ameba.jp/tnk47/ratio20/illustrations/card/ill_77943_shikkenken03.jpg?201812-1-RELEASE-raid-382x", "■")</f>
        <v>■</v>
      </c>
      <c r="F11" s="14" t="s">
        <v>2148</v>
      </c>
      <c r="G11" s="14">
        <v>62244</v>
      </c>
      <c r="H11" s="14">
        <v>62244</v>
      </c>
      <c r="I11" s="14">
        <v>21</v>
      </c>
      <c r="J11" s="14" t="s">
        <v>73</v>
      </c>
      <c r="K11" s="14" t="s">
        <v>2149</v>
      </c>
      <c r="L11" s="14" t="s">
        <v>2150</v>
      </c>
      <c r="M11" s="14" t="s">
        <v>9158</v>
      </c>
      <c r="N11" s="14" t="s">
        <v>9158</v>
      </c>
      <c r="O11" s="14" t="s">
        <v>9158</v>
      </c>
      <c r="P11" s="14" t="s">
        <v>9158</v>
      </c>
      <c r="Q11" s="14" t="s">
        <v>9158</v>
      </c>
      <c r="R11" s="14"/>
    </row>
    <row r="12" spans="1:19">
      <c r="A12" s="9">
        <v>77953</v>
      </c>
      <c r="B12" s="14" t="s">
        <v>15</v>
      </c>
      <c r="C12" s="14" t="s">
        <v>200</v>
      </c>
      <c r="D12" s="14" t="s">
        <v>2151</v>
      </c>
      <c r="E12" s="15" t="str">
        <f>HYPERLINK("https://stat100.ameba.jp/tnk47/ratio20/illustrations/card/ill_77953_momburanchan03.jpg?201812-1-RELEASE-raid-382x", "■")</f>
        <v>■</v>
      </c>
      <c r="F12" s="14" t="s">
        <v>2152</v>
      </c>
      <c r="G12" s="14">
        <v>56456</v>
      </c>
      <c r="H12" s="14">
        <v>62244</v>
      </c>
      <c r="I12" s="14">
        <v>21</v>
      </c>
      <c r="J12" s="14" t="s">
        <v>104</v>
      </c>
      <c r="K12" s="14" t="s">
        <v>2153</v>
      </c>
      <c r="L12" s="14" t="s">
        <v>2154</v>
      </c>
      <c r="M12" s="14" t="s">
        <v>9158</v>
      </c>
      <c r="N12" s="14" t="s">
        <v>9158</v>
      </c>
      <c r="O12" s="14" t="s">
        <v>9158</v>
      </c>
      <c r="P12" s="14" t="s">
        <v>9158</v>
      </c>
      <c r="Q12" s="14" t="s">
        <v>9158</v>
      </c>
      <c r="R12" s="14"/>
    </row>
    <row r="13" spans="1:19">
      <c r="A13" s="9">
        <v>77993</v>
      </c>
      <c r="B13" s="14" t="s">
        <v>22</v>
      </c>
      <c r="C13" s="14" t="s">
        <v>185</v>
      </c>
      <c r="D13" s="14" t="s">
        <v>2155</v>
      </c>
      <c r="E13" s="15" t="str">
        <f>HYPERLINK("https://stat100.ameba.jp/tnk47/ratio20/illustrations/card/ill_77993_ainusantaiwakoshimpu03.jpg?201812-1-RELEASE-raid-382x", "■")</f>
        <v>■</v>
      </c>
      <c r="F13" s="14" t="s">
        <v>2156</v>
      </c>
      <c r="G13" s="14">
        <v>34576</v>
      </c>
      <c r="H13" s="14">
        <v>41584</v>
      </c>
      <c r="I13" s="14">
        <v>20</v>
      </c>
      <c r="J13" s="14" t="s">
        <v>44</v>
      </c>
      <c r="K13" s="14" t="s">
        <v>2157</v>
      </c>
      <c r="L13" s="14" t="s">
        <v>2158</v>
      </c>
      <c r="M13" s="14" t="s">
        <v>9158</v>
      </c>
      <c r="N13" s="14" t="s">
        <v>9158</v>
      </c>
      <c r="O13" s="14" t="s">
        <v>9158</v>
      </c>
      <c r="P13" s="14" t="s">
        <v>9158</v>
      </c>
      <c r="Q13" s="14" t="s">
        <v>9158</v>
      </c>
      <c r="R13" s="14"/>
    </row>
    <row r="14" spans="1:19">
      <c r="A14" s="9">
        <v>78003</v>
      </c>
      <c r="B14" s="14" t="s">
        <v>22</v>
      </c>
      <c r="C14" s="14" t="s">
        <v>165</v>
      </c>
      <c r="D14" s="14" t="s">
        <v>2159</v>
      </c>
      <c r="E14" s="15" t="str">
        <f>HYPERLINK("https://stat100.ameba.jp/tnk47/ratio20/illustrations/card/ill_78003_kurisumasusokkusuchan03.jpg?201812-1-RELEASE-raid-382x", "■")</f>
        <v>■</v>
      </c>
      <c r="F14" s="14" t="s">
        <v>2160</v>
      </c>
      <c r="G14" s="14">
        <v>41584</v>
      </c>
      <c r="H14" s="14">
        <v>34576</v>
      </c>
      <c r="I14" s="14">
        <v>20</v>
      </c>
      <c r="J14" s="14" t="s">
        <v>26</v>
      </c>
      <c r="K14" s="14" t="s">
        <v>2161</v>
      </c>
      <c r="L14" s="14" t="s">
        <v>2162</v>
      </c>
      <c r="M14" s="14" t="s">
        <v>9158</v>
      </c>
      <c r="N14" s="14" t="s">
        <v>9158</v>
      </c>
      <c r="O14" s="14" t="s">
        <v>9158</v>
      </c>
      <c r="P14" s="14" t="s">
        <v>9158</v>
      </c>
      <c r="Q14" s="14" t="s">
        <v>9158</v>
      </c>
      <c r="R14" s="14"/>
    </row>
    <row r="15" spans="1:19">
      <c r="A15" s="9">
        <v>78013</v>
      </c>
      <c r="B15" s="14" t="s">
        <v>30</v>
      </c>
      <c r="C15" s="14" t="s">
        <v>2163</v>
      </c>
      <c r="D15" s="14" t="s">
        <v>2167</v>
      </c>
      <c r="E15" s="15" t="str">
        <f>HYPERLINK("https://stat100.ameba.jp/tnk47/ratio20/illustrations/card/ill_78013_itokoni03.jpg?201812-1-RELEASE-raid-382x", "■")</f>
        <v>■</v>
      </c>
      <c r="F15" s="14" t="s">
        <v>2168</v>
      </c>
      <c r="G15" s="14">
        <v>21144</v>
      </c>
      <c r="H15" s="14">
        <v>25176</v>
      </c>
      <c r="I15" s="14">
        <v>20</v>
      </c>
      <c r="J15" s="14" t="s">
        <v>104</v>
      </c>
      <c r="K15" s="14" t="s">
        <v>2169</v>
      </c>
      <c r="L15" s="10" t="s">
        <v>9160</v>
      </c>
      <c r="M15" s="14" t="s">
        <v>9158</v>
      </c>
      <c r="N15" s="14" t="s">
        <v>9158</v>
      </c>
      <c r="O15" s="14" t="s">
        <v>9158</v>
      </c>
      <c r="P15" s="14" t="s">
        <v>9158</v>
      </c>
      <c r="Q15" s="14" t="s">
        <v>9158</v>
      </c>
      <c r="R15" s="14"/>
    </row>
    <row r="16" spans="1:19">
      <c r="A16" s="9">
        <v>78023</v>
      </c>
      <c r="B16" s="14" t="s">
        <v>30</v>
      </c>
      <c r="C16" s="14" t="s">
        <v>201</v>
      </c>
      <c r="D16" s="14" t="s">
        <v>2164</v>
      </c>
      <c r="E16" s="15" t="str">
        <f>HYPERLINK("https://stat100.ameba.jp/tnk47/ratio20/illustrations/card/ill_78023_nihonkawauso03.jpg?201812-1-RELEASE-raid-382x", "■")</f>
        <v>■</v>
      </c>
      <c r="F16" s="14" t="s">
        <v>2165</v>
      </c>
      <c r="G16" s="14">
        <v>25176</v>
      </c>
      <c r="H16" s="14">
        <v>21144</v>
      </c>
      <c r="I16" s="14">
        <v>20</v>
      </c>
      <c r="J16" s="14" t="s">
        <v>26</v>
      </c>
      <c r="K16" s="14" t="s">
        <v>2166</v>
      </c>
      <c r="L16" s="12" t="s">
        <v>4205</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13335</v>
      </c>
      <c r="D18" s="14"/>
      <c r="F18" s="14"/>
      <c r="G18" s="14"/>
      <c r="H18" s="14"/>
      <c r="I18" s="14"/>
      <c r="J18" s="14"/>
      <c r="K18" s="14"/>
      <c r="L18" s="14"/>
      <c r="M18" s="14"/>
      <c r="N18" s="14"/>
      <c r="P18" s="14"/>
      <c r="Q18" s="14"/>
      <c r="R18" s="14"/>
    </row>
    <row r="19" spans="1:18">
      <c r="A19" s="14" t="s">
        <v>2170</v>
      </c>
      <c r="B19" s="14"/>
      <c r="C19" s="14"/>
      <c r="D19" s="14"/>
      <c r="F19" s="14"/>
      <c r="G19" s="14"/>
      <c r="H19" s="14"/>
      <c r="I19" s="14"/>
      <c r="J19" s="14"/>
      <c r="K19" s="14"/>
      <c r="L19" s="14"/>
      <c r="M19" s="14"/>
      <c r="N19" s="14"/>
      <c r="P19" s="14"/>
      <c r="Q19" s="14"/>
      <c r="R19" s="14"/>
    </row>
    <row r="20" spans="1:18">
      <c r="A20" s="9">
        <v>78075</v>
      </c>
      <c r="B20" s="14" t="s">
        <v>0</v>
      </c>
      <c r="C20" s="14" t="s">
        <v>202</v>
      </c>
      <c r="D20" s="14" t="s">
        <v>2171</v>
      </c>
      <c r="E20" s="15" t="str">
        <f>HYPERLINK("https://stat100.ameba.jp/tnk47/ratio20/illustrations/card/ill_78075_ryoribatorukanomitamanokami05.jpg?201812-1-RELEASE-raid-382x", "■")</f>
        <v>■</v>
      </c>
      <c r="F20" s="14" t="s">
        <v>2172</v>
      </c>
      <c r="G20" s="14">
        <v>92074</v>
      </c>
      <c r="H20" s="14">
        <v>127184</v>
      </c>
      <c r="I20" s="14">
        <v>22</v>
      </c>
      <c r="J20" s="14" t="s">
        <v>44</v>
      </c>
      <c r="K20" s="14" t="s">
        <v>2173</v>
      </c>
      <c r="L20" s="14" t="s">
        <v>2174</v>
      </c>
      <c r="M20" s="14" t="s">
        <v>9158</v>
      </c>
      <c r="N20" s="14" t="s">
        <v>9158</v>
      </c>
      <c r="O20" s="14" t="s">
        <v>9158</v>
      </c>
      <c r="P20" s="14" t="s">
        <v>9158</v>
      </c>
      <c r="Q20" s="14" t="s">
        <v>9158</v>
      </c>
      <c r="R20" s="14" t="s">
        <v>174</v>
      </c>
    </row>
    <row r="21" spans="1:18">
      <c r="A21" s="9">
        <v>78073</v>
      </c>
      <c r="B21" s="14" t="s">
        <v>15</v>
      </c>
      <c r="C21" s="14" t="s">
        <v>158</v>
      </c>
      <c r="D21" s="14" t="s">
        <v>2171</v>
      </c>
      <c r="E21" s="15" t="str">
        <f>HYPERLINK("https://stat100.ameba.jp/tnk47/ratio20/illustrations/card/ill_78073_ryoribatorukanomitamanokami03.jpg?201812-1-RELEASE-raid-382x", "■")</f>
        <v>■</v>
      </c>
      <c r="F21" s="14" t="s">
        <v>2172</v>
      </c>
      <c r="G21" s="14">
        <v>66544</v>
      </c>
      <c r="H21" s="14">
        <v>91900</v>
      </c>
      <c r="I21" s="14">
        <v>22</v>
      </c>
      <c r="J21" s="14" t="s">
        <v>44</v>
      </c>
      <c r="K21" s="14" t="s">
        <v>2173</v>
      </c>
      <c r="L21" s="14" t="s">
        <v>2175</v>
      </c>
      <c r="M21" s="14" t="s">
        <v>9158</v>
      </c>
      <c r="N21" s="14" t="s">
        <v>9158</v>
      </c>
      <c r="O21" s="14" t="s">
        <v>9158</v>
      </c>
      <c r="P21" s="14" t="s">
        <v>9158</v>
      </c>
      <c r="Q21" s="14" t="s">
        <v>9158</v>
      </c>
      <c r="R21" s="14" t="s">
        <v>175</v>
      </c>
    </row>
    <row r="22" spans="1:18">
      <c r="A22" s="9">
        <v>78071</v>
      </c>
      <c r="B22" s="14" t="s">
        <v>15</v>
      </c>
      <c r="C22" s="14" t="s">
        <v>158</v>
      </c>
      <c r="D22" s="14" t="s">
        <v>2171</v>
      </c>
      <c r="E22" s="15" t="str">
        <f>HYPERLINK("https://stat100.ameba.jp/tnk47/ratio20/illustrations/card/ill_78071_ryoribatorukanomitamanokami01.jpg?201812-1-RELEASE-raid-382x", "■")</f>
        <v>■</v>
      </c>
      <c r="F22" s="14" t="s">
        <v>2172</v>
      </c>
      <c r="G22" s="14">
        <v>38588</v>
      </c>
      <c r="H22" s="14">
        <v>53306</v>
      </c>
      <c r="I22" s="14">
        <v>22</v>
      </c>
      <c r="J22" s="14" t="s">
        <v>44</v>
      </c>
      <c r="K22" s="14" t="s">
        <v>2173</v>
      </c>
      <c r="L22" s="14" t="s">
        <v>2176</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177</v>
      </c>
      <c r="D24" s="14"/>
      <c r="F24" s="14"/>
      <c r="G24" s="14"/>
      <c r="H24" s="14"/>
      <c r="I24" s="14"/>
      <c r="J24" s="14"/>
      <c r="K24" s="14"/>
      <c r="L24" s="14"/>
      <c r="M24" s="14"/>
      <c r="N24" s="14"/>
      <c r="P24" s="14"/>
      <c r="Q24" s="14"/>
      <c r="R24" s="14"/>
    </row>
    <row r="25" spans="1:18">
      <c r="A25" s="14" t="s">
        <v>2177</v>
      </c>
      <c r="B25" s="14"/>
      <c r="C25" s="14"/>
      <c r="D25" s="14"/>
      <c r="F25" s="14"/>
      <c r="G25" s="14"/>
      <c r="H25" s="14"/>
      <c r="I25" s="14"/>
      <c r="J25" s="14"/>
      <c r="K25" s="14"/>
      <c r="L25" s="14"/>
      <c r="M25" s="14"/>
      <c r="N25" s="14"/>
      <c r="P25" s="14"/>
      <c r="Q25" s="14"/>
      <c r="R25" s="14"/>
    </row>
    <row r="26" spans="1:18">
      <c r="A26" s="9" t="s">
        <v>5822</v>
      </c>
      <c r="B26" s="14" t="s">
        <v>52</v>
      </c>
      <c r="C26" s="14" t="s">
        <v>191</v>
      </c>
      <c r="D26" s="14" t="s">
        <v>898</v>
      </c>
      <c r="E26" s="15" t="str">
        <f>HYPERLINK("https://stat100.ameba.jp/tnk47/ratio20/illustrations/card/ill_71403_0_ohanamisanadayukimura03.jpg?201812-1-RELEASE-raid-382x", "■")</f>
        <v>■</v>
      </c>
      <c r="F26" s="14" t="s">
        <v>899</v>
      </c>
      <c r="G26" s="14">
        <v>140016</v>
      </c>
      <c r="H26" s="14">
        <v>130194</v>
      </c>
      <c r="I26" s="14">
        <v>15</v>
      </c>
      <c r="J26" s="14" t="s">
        <v>143</v>
      </c>
      <c r="K26" s="14" t="s">
        <v>900</v>
      </c>
      <c r="L26" s="14" t="s">
        <v>901</v>
      </c>
      <c r="M26" s="14" t="s">
        <v>9158</v>
      </c>
      <c r="N26" s="14" t="s">
        <v>9158</v>
      </c>
      <c r="O26" s="17" t="s">
        <v>10060</v>
      </c>
      <c r="P26" s="14" t="s">
        <v>3418</v>
      </c>
      <c r="Q26" s="14">
        <v>2</v>
      </c>
      <c r="R26" s="14"/>
    </row>
    <row r="27" spans="1:18">
      <c r="A27" s="9" t="s">
        <v>5618</v>
      </c>
      <c r="B27" s="14" t="s">
        <v>52</v>
      </c>
      <c r="C27" s="14" t="s">
        <v>200</v>
      </c>
      <c r="D27" s="14" t="s">
        <v>83</v>
      </c>
      <c r="E27" s="15" t="str">
        <f>HYPERLINK("https://stat100.ameba.jp/tnk47/ratio20/illustrations/card/ill_63173_0_minazukikonakaiteruko03.jpg?201812-1-RELEASE-raid-382x", "■")</f>
        <v>■</v>
      </c>
      <c r="F27" s="14" t="s">
        <v>1188</v>
      </c>
      <c r="G27" s="14">
        <v>130194</v>
      </c>
      <c r="H27" s="14">
        <v>140016</v>
      </c>
      <c r="I27" s="14">
        <v>15</v>
      </c>
      <c r="J27" s="14" t="s">
        <v>143</v>
      </c>
      <c r="K27" s="14" t="s">
        <v>1189</v>
      </c>
      <c r="L27" s="14" t="s">
        <v>1190</v>
      </c>
      <c r="M27" s="14" t="s">
        <v>9158</v>
      </c>
      <c r="N27" s="14" t="s">
        <v>9158</v>
      </c>
      <c r="O27" s="9" t="s">
        <v>3328</v>
      </c>
      <c r="P27" s="14" t="s">
        <v>3329</v>
      </c>
      <c r="Q27" s="14">
        <v>1</v>
      </c>
      <c r="R27" s="14"/>
    </row>
    <row r="28" spans="1:18">
      <c r="A28" s="9" t="s">
        <v>5902</v>
      </c>
      <c r="B28" s="14" t="s">
        <v>52</v>
      </c>
      <c r="C28" s="14" t="s">
        <v>206</v>
      </c>
      <c r="D28" s="14" t="s">
        <v>905</v>
      </c>
      <c r="E28" s="15" t="str">
        <f>HYPERLINK("https://stat100.ameba.jp/tnk47/ratio20/illustrations/card/ill_40343_0_heshikirihasebekurodakambe03.jpg?201812-1-RELEASE-raid-382x", "■")</f>
        <v>■</v>
      </c>
      <c r="F28" s="14" t="s">
        <v>906</v>
      </c>
      <c r="G28" s="14">
        <v>87780</v>
      </c>
      <c r="H28" s="14">
        <v>82212</v>
      </c>
      <c r="I28" s="14">
        <v>15</v>
      </c>
      <c r="J28" s="14" t="s">
        <v>16</v>
      </c>
      <c r="K28" s="14" t="s">
        <v>907</v>
      </c>
      <c r="L28" s="14" t="s">
        <v>908</v>
      </c>
      <c r="M28" s="14" t="s">
        <v>9158</v>
      </c>
      <c r="N28" s="14" t="s">
        <v>9158</v>
      </c>
      <c r="O28" s="14" t="s">
        <v>9158</v>
      </c>
      <c r="P28" s="14" t="s">
        <v>9158</v>
      </c>
      <c r="Q28" s="14" t="s">
        <v>9158</v>
      </c>
      <c r="R28" s="14"/>
    </row>
    <row r="29" spans="1:18">
      <c r="A29" s="9">
        <v>79193</v>
      </c>
      <c r="B29" s="14" t="s">
        <v>0</v>
      </c>
      <c r="C29" s="14" t="s">
        <v>202</v>
      </c>
      <c r="D29" s="14" t="s">
        <v>2178</v>
      </c>
      <c r="E29" s="15" t="str">
        <f>HYPERLINK("https://stat100.ameba.jp/tnk47/ratio20/illustrations/card/ill_79193_seinarimiya％20kirari03.jpg?201812-1-RELEASE-raid-382x", "■")</f>
        <v>■</v>
      </c>
      <c r="F29" s="14" t="s">
        <v>2179</v>
      </c>
      <c r="G29" s="14">
        <v>129936</v>
      </c>
      <c r="H29" s="14">
        <v>73106</v>
      </c>
      <c r="I29" s="14">
        <v>22</v>
      </c>
      <c r="J29" s="14" t="s">
        <v>26</v>
      </c>
      <c r="K29" s="14" t="s">
        <v>2180</v>
      </c>
      <c r="L29" s="14" t="s">
        <v>2181</v>
      </c>
      <c r="M29" s="14" t="s">
        <v>9158</v>
      </c>
      <c r="N29" s="14" t="s">
        <v>9158</v>
      </c>
      <c r="O29" s="14" t="s">
        <v>9158</v>
      </c>
      <c r="P29" s="14" t="s">
        <v>9158</v>
      </c>
      <c r="Q29" s="14" t="s">
        <v>9158</v>
      </c>
      <c r="R29" s="14"/>
    </row>
    <row r="30" spans="1:18">
      <c r="A30" s="14">
        <v>79173</v>
      </c>
      <c r="B30" s="14" t="s">
        <v>0</v>
      </c>
      <c r="C30" s="14" t="s">
        <v>202</v>
      </c>
      <c r="D30" s="14" t="s">
        <v>2182</v>
      </c>
      <c r="E30" s="15" t="str">
        <f>HYPERLINK("https://stat100.ameba.jp/tnk47/ratio20/illustrations/card/ill_79173_seisamansabarozu03.jpg?201812-1-RELEASE-raid-382x", "■")</f>
        <v>■</v>
      </c>
      <c r="F30" s="14" t="s">
        <v>2183</v>
      </c>
      <c r="G30" s="14">
        <v>115676</v>
      </c>
      <c r="H30" s="14">
        <v>65088</v>
      </c>
      <c r="I30" s="14">
        <v>22</v>
      </c>
      <c r="J30" s="14" t="s">
        <v>16</v>
      </c>
      <c r="K30" s="14" t="s">
        <v>2184</v>
      </c>
      <c r="L30" s="14" t="s">
        <v>1149</v>
      </c>
      <c r="M30" s="14" t="s">
        <v>9158</v>
      </c>
      <c r="N30" s="14" t="s">
        <v>9158</v>
      </c>
      <c r="O30" s="14" t="s">
        <v>9158</v>
      </c>
      <c r="P30" s="14" t="s">
        <v>9158</v>
      </c>
      <c r="Q30" s="14" t="s">
        <v>9158</v>
      </c>
      <c r="R30" s="14"/>
    </row>
    <row r="31" spans="1:18">
      <c r="A31" s="14">
        <v>79183</v>
      </c>
      <c r="B31" s="14" t="s">
        <v>0</v>
      </c>
      <c r="C31" s="14" t="s">
        <v>202</v>
      </c>
      <c r="D31" s="14" t="s">
        <v>2185</v>
      </c>
      <c r="E31" s="15" t="str">
        <f>HYPERLINK("https://stat100.ameba.jp/tnk47/ratio20/illustrations/card/ill_79183_seiburijittorogan03.jpg?201812-1-RELEASE-raid-382x", "■")</f>
        <v>■</v>
      </c>
      <c r="F31" s="14" t="s">
        <v>2186</v>
      </c>
      <c r="G31" s="14">
        <v>111402</v>
      </c>
      <c r="H31" s="14">
        <v>62680</v>
      </c>
      <c r="I31" s="14">
        <v>22</v>
      </c>
      <c r="J31" s="14" t="s">
        <v>77</v>
      </c>
      <c r="K31" s="14" t="s">
        <v>2187</v>
      </c>
      <c r="L31" s="14" t="s">
        <v>76</v>
      </c>
      <c r="M31" s="14" t="s">
        <v>9158</v>
      </c>
      <c r="N31" s="14" t="s">
        <v>9158</v>
      </c>
      <c r="O31" s="14" t="s">
        <v>9158</v>
      </c>
      <c r="P31" s="14" t="s">
        <v>9158</v>
      </c>
      <c r="Q31" s="14" t="s">
        <v>9158</v>
      </c>
      <c r="R31" s="14"/>
    </row>
    <row r="32" spans="1:18">
      <c r="A32" s="14">
        <v>57723</v>
      </c>
      <c r="B32" s="14" t="s">
        <v>15</v>
      </c>
      <c r="C32" s="14" t="s">
        <v>206</v>
      </c>
      <c r="D32" s="14" t="s">
        <v>2188</v>
      </c>
      <c r="E32" s="15" t="str">
        <f>HYPERLINK("https://stat100.ameba.jp/tnk47/ratio20/illustrations/card/ill_57723_shogatsunisenjunanatamagusukuseiju03.jpg?201812-1-RELEASE-raid-382x", "■")</f>
        <v>■</v>
      </c>
      <c r="F32" s="14" t="s">
        <v>2189</v>
      </c>
      <c r="G32" s="14">
        <v>62244</v>
      </c>
      <c r="H32" s="14">
        <v>56456</v>
      </c>
      <c r="I32" s="14">
        <v>21</v>
      </c>
      <c r="J32" s="14" t="s">
        <v>16</v>
      </c>
      <c r="K32" s="14" t="s">
        <v>2190</v>
      </c>
      <c r="L32" s="14" t="s">
        <v>2191</v>
      </c>
      <c r="M32" s="14" t="s">
        <v>9158</v>
      </c>
      <c r="N32" s="14" t="s">
        <v>9158</v>
      </c>
      <c r="O32" s="14" t="s">
        <v>9158</v>
      </c>
      <c r="P32" s="14" t="s">
        <v>9158</v>
      </c>
      <c r="Q32" s="14" t="s">
        <v>9158</v>
      </c>
      <c r="R32" s="14"/>
    </row>
    <row r="33" spans="1:18">
      <c r="A33" s="14">
        <v>58823</v>
      </c>
      <c r="B33" s="14" t="s">
        <v>15</v>
      </c>
      <c r="C33" s="14" t="s">
        <v>185</v>
      </c>
      <c r="D33" s="14" t="s">
        <v>2192</v>
      </c>
      <c r="E33" s="15" t="str">
        <f>HYPERLINK("https://stat100.ameba.jp/tnk47/ratio20/illustrations/card/ill_58823_setsubumpanikkurepunkamui03.jpg?201812-1-RELEASE-raid-382x", "■")</f>
        <v>■</v>
      </c>
      <c r="F33" s="14" t="s">
        <v>2193</v>
      </c>
      <c r="G33" s="14">
        <v>62244</v>
      </c>
      <c r="H33" s="14">
        <v>56456</v>
      </c>
      <c r="I33" s="14">
        <v>21</v>
      </c>
      <c r="J33" s="14" t="s">
        <v>44</v>
      </c>
      <c r="K33" s="14" t="s">
        <v>2194</v>
      </c>
      <c r="L33" s="14" t="s">
        <v>2195</v>
      </c>
      <c r="M33" s="14" t="s">
        <v>9158</v>
      </c>
      <c r="N33" s="14" t="s">
        <v>9158</v>
      </c>
      <c r="O33" s="14" t="s">
        <v>9158</v>
      </c>
      <c r="P33" s="14" t="s">
        <v>9158</v>
      </c>
      <c r="Q33" s="14" t="s">
        <v>9158</v>
      </c>
      <c r="R33" s="14"/>
    </row>
    <row r="34" spans="1:18">
      <c r="A34" s="7">
        <v>61873</v>
      </c>
      <c r="B34" s="14" t="s">
        <v>15</v>
      </c>
      <c r="C34" s="14" t="s">
        <v>165</v>
      </c>
      <c r="D34" s="14" t="s">
        <v>2196</v>
      </c>
      <c r="E34" s="15" t="str">
        <f>HYPERLINK("https://stat100.ameba.jp/tnk47/ratio20/illustrations/card/ill_61873_onikirishunuregamidoji03.jpg?201812-1-RELEASE-raid-382x", "■")</f>
        <v>■</v>
      </c>
      <c r="F34" s="14" t="s">
        <v>2197</v>
      </c>
      <c r="G34" s="14">
        <v>62244</v>
      </c>
      <c r="H34" s="14">
        <v>56456</v>
      </c>
      <c r="I34" s="14">
        <v>21</v>
      </c>
      <c r="J34" s="14" t="s">
        <v>73</v>
      </c>
      <c r="K34" s="14" t="s">
        <v>2198</v>
      </c>
      <c r="L34" s="14" t="s">
        <v>2199</v>
      </c>
      <c r="M34" s="14" t="s">
        <v>9158</v>
      </c>
      <c r="N34" s="14" t="s">
        <v>9158</v>
      </c>
      <c r="O34" s="14" t="s">
        <v>9158</v>
      </c>
      <c r="P34" s="14" t="s">
        <v>9158</v>
      </c>
      <c r="Q34" s="14" t="s">
        <v>9158</v>
      </c>
      <c r="R34" s="14"/>
    </row>
    <row r="35" spans="1:18">
      <c r="A35" s="7"/>
      <c r="B35" s="14"/>
      <c r="C35" s="14"/>
      <c r="D35" s="14"/>
      <c r="F35" s="14"/>
      <c r="G35" s="14"/>
      <c r="H35" s="14"/>
      <c r="I35" s="14"/>
      <c r="J35" s="14"/>
      <c r="K35" s="14"/>
      <c r="L35" s="14"/>
      <c r="M35" s="14"/>
      <c r="N35" s="14"/>
      <c r="P35" s="14"/>
      <c r="Q35" s="14"/>
      <c r="R35" s="14"/>
    </row>
    <row r="36" spans="1:18">
      <c r="A36" s="14" t="s">
        <v>114</v>
      </c>
      <c r="D36" s="14"/>
      <c r="F36" s="14"/>
      <c r="G36" s="14"/>
      <c r="H36" s="14"/>
      <c r="I36" s="14"/>
      <c r="J36" s="14"/>
      <c r="K36" s="14"/>
      <c r="L36" s="14"/>
      <c r="M36" s="14"/>
      <c r="N36" s="14"/>
      <c r="P36" s="14"/>
      <c r="Q36" s="14"/>
      <c r="R36" s="14"/>
    </row>
    <row r="37" spans="1:18">
      <c r="A37" s="14" t="s">
        <v>2200</v>
      </c>
      <c r="B37" s="14"/>
      <c r="C37" s="14"/>
      <c r="D37" s="14"/>
      <c r="F37" s="14"/>
      <c r="G37" s="14"/>
      <c r="H37" s="14"/>
      <c r="I37" s="14"/>
      <c r="J37" s="14"/>
      <c r="K37" s="14"/>
      <c r="L37" s="14"/>
      <c r="M37" s="14"/>
      <c r="N37" s="14"/>
      <c r="P37" s="14"/>
      <c r="Q37" s="14"/>
      <c r="R37" s="14"/>
    </row>
    <row r="38" spans="1:18">
      <c r="A38" s="14" t="s">
        <v>5901</v>
      </c>
      <c r="B38" s="14" t="s">
        <v>52</v>
      </c>
      <c r="C38" s="14" t="s">
        <v>191</v>
      </c>
      <c r="D38" s="14" t="s">
        <v>2089</v>
      </c>
      <c r="E38" s="15" t="str">
        <f>HYPERLINK("https://stat100.ameba.jp/tnk47/ratio20/illustrations/card/ill_64953_0_yukatatokugawayoshinobu03.jpg?201812-2-RELEASE-unionbattle-383", "■")</f>
        <v>■</v>
      </c>
      <c r="F38" s="14" t="s">
        <v>2090</v>
      </c>
      <c r="G38" s="14">
        <v>105910</v>
      </c>
      <c r="H38" s="14">
        <v>105910</v>
      </c>
      <c r="I38" s="14">
        <v>17</v>
      </c>
      <c r="J38" s="14" t="s">
        <v>10</v>
      </c>
      <c r="K38" s="14" t="s">
        <v>2091</v>
      </c>
      <c r="L38" s="14" t="s">
        <v>2092</v>
      </c>
      <c r="M38" s="14" t="s">
        <v>9158</v>
      </c>
      <c r="N38" s="14" t="s">
        <v>9158</v>
      </c>
      <c r="O38" s="9" t="s">
        <v>2889</v>
      </c>
      <c r="P38" s="14" t="s">
        <v>2890</v>
      </c>
      <c r="Q38" s="14">
        <v>1</v>
      </c>
      <c r="R38" s="14"/>
    </row>
    <row r="39" spans="1:18">
      <c r="A39" s="14" t="s">
        <v>5620</v>
      </c>
      <c r="B39" s="14" t="s">
        <v>52</v>
      </c>
      <c r="C39" s="14" t="s">
        <v>206</v>
      </c>
      <c r="D39" s="14" t="s">
        <v>2042</v>
      </c>
      <c r="E39" s="15" t="str">
        <f>HYPERLINK("https://stat100.ameba.jp/tnk47/ratio20/illustrations/card/ill_67173_0_yukemuriawamorichan03.jpg?201812-2-RELEASE-unionbattle-383", "■")</f>
        <v>■</v>
      </c>
      <c r="F39" s="14" t="s">
        <v>2043</v>
      </c>
      <c r="G39" s="14">
        <v>130615</v>
      </c>
      <c r="H39" s="14">
        <v>121434</v>
      </c>
      <c r="I39" s="14">
        <v>17</v>
      </c>
      <c r="J39" s="14" t="s">
        <v>104</v>
      </c>
      <c r="K39" s="14" t="s">
        <v>2044</v>
      </c>
      <c r="L39" s="14" t="s">
        <v>2045</v>
      </c>
      <c r="M39" s="14" t="s">
        <v>9158</v>
      </c>
      <c r="N39" s="14" t="s">
        <v>9158</v>
      </c>
      <c r="O39" s="17" t="s">
        <v>10061</v>
      </c>
      <c r="P39" s="14" t="s">
        <v>3455</v>
      </c>
      <c r="Q39" s="14">
        <v>1</v>
      </c>
      <c r="R39" s="14"/>
    </row>
    <row r="40" spans="1:18">
      <c r="A40" s="9">
        <v>78133</v>
      </c>
      <c r="B40" s="14" t="s">
        <v>0</v>
      </c>
      <c r="C40" s="14" t="s">
        <v>154</v>
      </c>
      <c r="D40" s="14" t="s">
        <v>2201</v>
      </c>
      <c r="E40" s="15" t="str">
        <f>HYPERLINK("https://stat100.ameba.jp/tnk47/ratio20/illustrations/card/ill_78133_akazukin03.jpg?201812-2-RELEASE-unionbattle-383", "■")</f>
        <v>■</v>
      </c>
      <c r="F40" s="14" t="s">
        <v>2202</v>
      </c>
      <c r="G40" s="14">
        <v>88706</v>
      </c>
      <c r="H40" s="14">
        <v>122476</v>
      </c>
      <c r="I40" s="14">
        <v>24</v>
      </c>
      <c r="J40" s="14" t="s">
        <v>38</v>
      </c>
      <c r="K40" s="14" t="s">
        <v>2203</v>
      </c>
      <c r="L40" s="14" t="s">
        <v>2204</v>
      </c>
      <c r="M40" s="14" t="s">
        <v>9158</v>
      </c>
      <c r="N40" s="14" t="s">
        <v>9158</v>
      </c>
      <c r="O40" s="9" t="s">
        <v>3530</v>
      </c>
      <c r="P40" s="14" t="s">
        <v>3531</v>
      </c>
      <c r="Q40" s="14">
        <v>1</v>
      </c>
      <c r="R40" s="14"/>
    </row>
    <row r="41" spans="1:18">
      <c r="A41" s="9">
        <v>54833</v>
      </c>
      <c r="B41" s="14" t="s">
        <v>0</v>
      </c>
      <c r="C41" s="14" t="s">
        <v>263</v>
      </c>
      <c r="D41" s="14" t="s">
        <v>1023</v>
      </c>
      <c r="E41" s="15" t="str">
        <f>HYPERLINK("https://stat100.ameba.jp/tnk47/ratio20/illustrations/card/ill_54833_keramaburu03.jpg?201812-2-RELEASE-unionbattle-383", "■")</f>
        <v>■</v>
      </c>
      <c r="F41" s="14" t="s">
        <v>1024</v>
      </c>
      <c r="G41" s="14">
        <v>63547</v>
      </c>
      <c r="H41" s="14">
        <v>86668</v>
      </c>
      <c r="I41" s="14">
        <v>21</v>
      </c>
      <c r="J41" s="14" t="s">
        <v>26</v>
      </c>
      <c r="K41" s="14" t="s">
        <v>1025</v>
      </c>
      <c r="L41" s="14" t="s">
        <v>1026</v>
      </c>
      <c r="M41" s="14" t="s">
        <v>9158</v>
      </c>
      <c r="N41" s="14" t="s">
        <v>9158</v>
      </c>
      <c r="O41" s="14" t="s">
        <v>9158</v>
      </c>
      <c r="P41" s="14" t="s">
        <v>9158</v>
      </c>
      <c r="Q41" s="14" t="s">
        <v>9158</v>
      </c>
      <c r="R41" s="14"/>
    </row>
    <row r="42" spans="1:18">
      <c r="A42" s="9">
        <v>73093</v>
      </c>
      <c r="B42" s="14" t="s">
        <v>0</v>
      </c>
      <c r="C42" s="14" t="s">
        <v>209</v>
      </c>
      <c r="D42" s="14" t="s">
        <v>1027</v>
      </c>
      <c r="E42" s="15" t="str">
        <f>HYPERLINK("https://stat100.ameba.jp/tnk47/ratio20/illustrations/card/ill_73093_aisukurinchan03.jpg?201812-2-RELEASE-unionbattle-383", "■")</f>
        <v>■</v>
      </c>
      <c r="F42" s="14" t="s">
        <v>1027</v>
      </c>
      <c r="G42" s="14">
        <v>139716</v>
      </c>
      <c r="H42" s="14">
        <v>101199</v>
      </c>
      <c r="I42" s="14">
        <v>21</v>
      </c>
      <c r="J42" s="14" t="s">
        <v>104</v>
      </c>
      <c r="K42" s="14" t="s">
        <v>1028</v>
      </c>
      <c r="L42" s="14" t="s">
        <v>1029</v>
      </c>
      <c r="M42" s="14" t="s">
        <v>9158</v>
      </c>
      <c r="N42" s="14" t="s">
        <v>9158</v>
      </c>
      <c r="O42" s="9" t="s">
        <v>2741</v>
      </c>
      <c r="P42" s="14" t="s">
        <v>2742</v>
      </c>
      <c r="Q42" s="14">
        <v>1</v>
      </c>
      <c r="R42" s="14"/>
    </row>
    <row r="43" spans="1:18">
      <c r="A43" s="9">
        <v>72153</v>
      </c>
      <c r="B43" s="14" t="s">
        <v>0</v>
      </c>
      <c r="C43" s="14" t="s">
        <v>158</v>
      </c>
      <c r="D43" s="14" t="s">
        <v>1030</v>
      </c>
      <c r="E43" s="15" t="str">
        <f>HYPERLINK("https://stat100.ameba.jp/tnk47/ratio20/illustrations/card/ill_72153_bakki03.jpg?201812-2-RELEASE-unionbattle-383", "■")</f>
        <v>■</v>
      </c>
      <c r="F43" s="14" t="s">
        <v>1031</v>
      </c>
      <c r="G43" s="14">
        <v>80391</v>
      </c>
      <c r="H43" s="14">
        <v>111000</v>
      </c>
      <c r="I43" s="14">
        <v>21</v>
      </c>
      <c r="J43" s="14" t="s">
        <v>73</v>
      </c>
      <c r="K43" s="14" t="s">
        <v>1032</v>
      </c>
      <c r="L43" s="14" t="s">
        <v>1033</v>
      </c>
      <c r="M43" s="14" t="s">
        <v>9158</v>
      </c>
      <c r="N43" s="14" t="s">
        <v>9158</v>
      </c>
      <c r="O43" s="14" t="s">
        <v>9158</v>
      </c>
      <c r="P43" s="14" t="s">
        <v>9158</v>
      </c>
      <c r="Q43" s="14" t="s">
        <v>9158</v>
      </c>
      <c r="R43" s="14"/>
    </row>
    <row r="44" spans="1:18">
      <c r="A44" s="9">
        <v>66353</v>
      </c>
      <c r="B44" s="14" t="s">
        <v>0</v>
      </c>
      <c r="C44" s="14" t="s">
        <v>158</v>
      </c>
      <c r="D44" s="14" t="s">
        <v>141</v>
      </c>
      <c r="E44" s="15" t="str">
        <f>HYPERLINK("https://stat100.ameba.jp/tnk47/ratio20/illustrations/card/ill_66353_kajiwaranyudotoan03.jpg?201812-2-RELEASE-unionbattle-383", "■")</f>
        <v>■</v>
      </c>
      <c r="F44" s="14" t="s">
        <v>142</v>
      </c>
      <c r="G44" s="14">
        <v>139716</v>
      </c>
      <c r="H44" s="14">
        <v>101199</v>
      </c>
      <c r="I44" s="14">
        <v>21</v>
      </c>
      <c r="J44" s="14" t="s">
        <v>143</v>
      </c>
      <c r="K44" s="14" t="s">
        <v>144</v>
      </c>
      <c r="L44" s="14" t="s">
        <v>145</v>
      </c>
      <c r="M44" s="14" t="s">
        <v>9158</v>
      </c>
      <c r="N44" s="14" t="s">
        <v>9158</v>
      </c>
      <c r="O44" s="17" t="s">
        <v>10054</v>
      </c>
      <c r="P44" s="14" t="s">
        <v>3672</v>
      </c>
      <c r="Q44" s="14">
        <v>1</v>
      </c>
      <c r="R44" s="14"/>
    </row>
    <row r="45" spans="1:18">
      <c r="A45" s="9">
        <v>60183</v>
      </c>
      <c r="B45" s="14" t="s">
        <v>0</v>
      </c>
      <c r="C45" s="14" t="s">
        <v>154</v>
      </c>
      <c r="D45" s="14" t="s">
        <v>1034</v>
      </c>
      <c r="E45" s="15" t="str">
        <f>HYPERLINK("https://stat100.ameba.jp/tnk47/ratio20/illustrations/card/ill_60183_aizuyaichi03.jpg?201812-2-RELEASE-unionbattle-383", "■")</f>
        <v>■</v>
      </c>
      <c r="F45" s="14" t="s">
        <v>1035</v>
      </c>
      <c r="G45" s="14">
        <v>69051</v>
      </c>
      <c r="H45" s="14">
        <v>95307</v>
      </c>
      <c r="I45" s="14">
        <v>21</v>
      </c>
      <c r="J45" s="14" t="s">
        <v>16</v>
      </c>
      <c r="K45" s="14" t="s">
        <v>1036</v>
      </c>
      <c r="L45" s="14" t="s">
        <v>1037</v>
      </c>
      <c r="M45" s="14" t="s">
        <v>9158</v>
      </c>
      <c r="N45" s="14" t="s">
        <v>9158</v>
      </c>
      <c r="O45" s="14" t="s">
        <v>9158</v>
      </c>
      <c r="P45" s="14" t="s">
        <v>9158</v>
      </c>
      <c r="Q45" s="14" t="s">
        <v>9158</v>
      </c>
      <c r="R45" s="14"/>
    </row>
    <row r="46" spans="1:18">
      <c r="B46" s="14"/>
      <c r="C46" s="14"/>
      <c r="D46" s="14"/>
      <c r="F46" s="14"/>
      <c r="G46" s="14"/>
      <c r="H46" s="14"/>
      <c r="I46" s="14"/>
      <c r="J46" s="14"/>
      <c r="K46" s="14"/>
      <c r="L46" s="14"/>
      <c r="M46" s="14"/>
      <c r="N46" s="14"/>
      <c r="P46" s="14"/>
      <c r="Q46" s="14"/>
      <c r="R46" s="14"/>
    </row>
    <row r="47" spans="1:18">
      <c r="A47" s="14" t="s">
        <v>13326</v>
      </c>
      <c r="D47" s="14"/>
      <c r="F47" s="14"/>
      <c r="G47" s="14"/>
      <c r="H47" s="14"/>
      <c r="I47" s="14"/>
      <c r="J47" s="14"/>
      <c r="K47" s="14"/>
      <c r="L47" s="14"/>
      <c r="M47" s="14"/>
      <c r="N47" s="14"/>
      <c r="P47" s="14"/>
      <c r="Q47" s="14"/>
      <c r="R47" s="14"/>
    </row>
    <row r="48" spans="1:18">
      <c r="A48" s="14" t="s">
        <v>2205</v>
      </c>
      <c r="B48" s="14"/>
      <c r="C48" s="14"/>
      <c r="D48" s="14"/>
      <c r="F48" s="14"/>
      <c r="G48" s="14"/>
      <c r="H48" s="14"/>
      <c r="I48" s="14"/>
      <c r="J48" s="14"/>
      <c r="K48" s="14"/>
      <c r="L48" s="14"/>
      <c r="M48" s="14"/>
      <c r="N48" s="14"/>
      <c r="P48" s="14"/>
      <c r="Q48" s="14"/>
      <c r="R48" s="14"/>
    </row>
    <row r="49" spans="1:18">
      <c r="A49" s="9">
        <v>71873</v>
      </c>
      <c r="B49" s="14" t="s">
        <v>334</v>
      </c>
      <c r="C49" s="14" t="s">
        <v>185</v>
      </c>
      <c r="D49" s="14" t="s">
        <v>210</v>
      </c>
      <c r="E49" s="15" t="str">
        <f>HYPERLINK("https://stat100.ameba.jp/tnk47/ratio20/illustrations/card/ill_71873_akashita03.jpg?201812-2-RELEASE-unionbattle-383", "■")</f>
        <v>■</v>
      </c>
      <c r="F49" s="14" t="s">
        <v>691</v>
      </c>
      <c r="G49" s="14">
        <v>105715</v>
      </c>
      <c r="H49" s="14">
        <v>98285</v>
      </c>
      <c r="I49" s="14">
        <v>21</v>
      </c>
      <c r="J49" s="14" t="s">
        <v>182</v>
      </c>
      <c r="K49" s="14" t="s">
        <v>217</v>
      </c>
      <c r="L49" s="14" t="s">
        <v>13140</v>
      </c>
      <c r="M49" s="14" t="s">
        <v>13131</v>
      </c>
      <c r="N49" s="14" t="s">
        <v>251</v>
      </c>
      <c r="O49" s="14" t="s">
        <v>9158</v>
      </c>
      <c r="P49" s="14" t="s">
        <v>9158</v>
      </c>
      <c r="Q49" s="14" t="s">
        <v>9158</v>
      </c>
      <c r="R49" s="14"/>
    </row>
    <row r="50" spans="1:18">
      <c r="A50" s="9">
        <v>71872</v>
      </c>
      <c r="B50" s="14" t="s">
        <v>334</v>
      </c>
      <c r="C50" s="14" t="s">
        <v>185</v>
      </c>
      <c r="D50" s="14" t="s">
        <v>210</v>
      </c>
      <c r="E50" s="15" t="str">
        <f>HYPERLINK("https://stat100.ameba.jp/tnk47/ratio20/illustrations/card/ill_71872_akashita02.jpg?201812-2-RELEASE-unionbattle-383", "■")</f>
        <v>■</v>
      </c>
      <c r="F50" s="14" t="s">
        <v>691</v>
      </c>
      <c r="G50" s="14">
        <v>88317</v>
      </c>
      <c r="H50" s="14">
        <v>81400</v>
      </c>
      <c r="I50" s="14">
        <v>21</v>
      </c>
      <c r="J50" s="14" t="s">
        <v>182</v>
      </c>
      <c r="K50" s="14" t="s">
        <v>217</v>
      </c>
      <c r="L50" s="14" t="s">
        <v>13140</v>
      </c>
      <c r="M50" s="14" t="s">
        <v>13131</v>
      </c>
      <c r="N50" s="14" t="s">
        <v>251</v>
      </c>
      <c r="O50" s="14" t="s">
        <v>9158</v>
      </c>
      <c r="P50" s="14" t="s">
        <v>9158</v>
      </c>
      <c r="Q50" s="14" t="s">
        <v>9158</v>
      </c>
      <c r="R50" s="14"/>
    </row>
    <row r="51" spans="1:18">
      <c r="A51" s="9">
        <v>71871</v>
      </c>
      <c r="B51" s="14" t="s">
        <v>334</v>
      </c>
      <c r="C51" s="14" t="s">
        <v>185</v>
      </c>
      <c r="D51" s="14" t="s">
        <v>210</v>
      </c>
      <c r="E51" s="15" t="str">
        <f>HYPERLINK("https://stat100.ameba.jp/tnk47/ratio20/illustrations/card/ill_71871_akashita01.jpg?201812-2-RELEASE-unionbattle-383", "■")</f>
        <v>■</v>
      </c>
      <c r="F51" s="14" t="s">
        <v>691</v>
      </c>
      <c r="G51" s="14">
        <v>67473</v>
      </c>
      <c r="H51" s="14">
        <v>62811</v>
      </c>
      <c r="I51" s="14">
        <v>21</v>
      </c>
      <c r="J51" s="14" t="s">
        <v>182</v>
      </c>
      <c r="K51" s="14" t="s">
        <v>217</v>
      </c>
      <c r="L51" s="14" t="s">
        <v>13140</v>
      </c>
      <c r="M51" s="14" t="s">
        <v>13131</v>
      </c>
      <c r="N51" s="14" t="s">
        <v>251</v>
      </c>
      <c r="O51" s="14" t="s">
        <v>9158</v>
      </c>
      <c r="P51" s="14" t="s">
        <v>9158</v>
      </c>
      <c r="Q51" s="14" t="s">
        <v>9158</v>
      </c>
      <c r="R51" s="14"/>
    </row>
    <row r="52" spans="1:18">
      <c r="A52" s="9">
        <v>72693</v>
      </c>
      <c r="B52" s="14" t="s">
        <v>334</v>
      </c>
      <c r="C52" s="14" t="s">
        <v>200</v>
      </c>
      <c r="D52" s="14" t="s">
        <v>211</v>
      </c>
      <c r="E52" s="15" t="str">
        <f>HYPERLINK("https://stat100.ameba.jp/tnk47/ratio20/illustrations/card/ill_72693_sagarasozo03.jpg?201812-2-RELEASE-unionbattle-383", "■")</f>
        <v>■</v>
      </c>
      <c r="F52" s="14" t="s">
        <v>692</v>
      </c>
      <c r="G52" s="14">
        <v>98285</v>
      </c>
      <c r="H52" s="14">
        <v>105715</v>
      </c>
      <c r="I52" s="14">
        <v>21</v>
      </c>
      <c r="J52" s="14" t="s">
        <v>194</v>
      </c>
      <c r="K52" s="14" t="s">
        <v>218</v>
      </c>
      <c r="L52" s="14" t="s">
        <v>9892</v>
      </c>
      <c r="M52" s="14" t="s">
        <v>13131</v>
      </c>
      <c r="N52" s="14" t="s">
        <v>251</v>
      </c>
      <c r="O52" s="14" t="s">
        <v>9158</v>
      </c>
      <c r="P52" s="14" t="s">
        <v>9158</v>
      </c>
      <c r="Q52" s="14" t="s">
        <v>9158</v>
      </c>
      <c r="R52" s="14"/>
    </row>
    <row r="53" spans="1:18">
      <c r="A53" s="9">
        <v>72703</v>
      </c>
      <c r="B53" s="14" t="s">
        <v>334</v>
      </c>
      <c r="C53" s="14" t="s">
        <v>191</v>
      </c>
      <c r="D53" s="14" t="s">
        <v>212</v>
      </c>
      <c r="E53" s="15" t="str">
        <f>HYPERLINK("https://stat100.ameba.jp/tnk47/ratio20/illustrations/card/ill_72703_hayakawanoritsugu03.jpg?201812-2-RELEASE-unionbattle-383", "■")</f>
        <v>■</v>
      </c>
      <c r="F53" s="14" t="s">
        <v>693</v>
      </c>
      <c r="G53" s="14">
        <v>105715</v>
      </c>
      <c r="H53" s="14">
        <v>98285</v>
      </c>
      <c r="I53" s="14">
        <v>21</v>
      </c>
      <c r="J53" s="14" t="s">
        <v>173</v>
      </c>
      <c r="K53" s="14" t="s">
        <v>219</v>
      </c>
      <c r="L53" s="14" t="s">
        <v>9893</v>
      </c>
      <c r="M53" s="14" t="s">
        <v>13131</v>
      </c>
      <c r="N53" s="14" t="s">
        <v>251</v>
      </c>
      <c r="O53" s="14" t="s">
        <v>9158</v>
      </c>
      <c r="P53" s="14" t="s">
        <v>9158</v>
      </c>
      <c r="Q53" s="14" t="s">
        <v>9158</v>
      </c>
      <c r="R53" s="14"/>
    </row>
    <row r="54" spans="1:18">
      <c r="A54" s="9">
        <v>73523</v>
      </c>
      <c r="B54" s="14" t="s">
        <v>334</v>
      </c>
      <c r="C54" s="14" t="s">
        <v>165</v>
      </c>
      <c r="D54" s="14" t="s">
        <v>213</v>
      </c>
      <c r="E54" s="15" t="str">
        <f>HYPERLINK("https://stat100.ameba.jp/tnk47/ratio20/illustrations/card/ill_73523_marunomarudono03.jpg?201812-2-RELEASE-unionbattle-383", "■")</f>
        <v>■</v>
      </c>
      <c r="F54" s="14" t="s">
        <v>694</v>
      </c>
      <c r="G54" s="14">
        <v>98285</v>
      </c>
      <c r="H54" s="14">
        <v>105715</v>
      </c>
      <c r="I54" s="14">
        <v>21</v>
      </c>
      <c r="J54" s="14" t="s">
        <v>187</v>
      </c>
      <c r="K54" s="14" t="s">
        <v>220</v>
      </c>
      <c r="L54" s="14" t="s">
        <v>9894</v>
      </c>
      <c r="M54" s="14" t="s">
        <v>13131</v>
      </c>
      <c r="N54" s="14" t="s">
        <v>251</v>
      </c>
      <c r="O54" s="14" t="s">
        <v>9158</v>
      </c>
      <c r="P54" s="14" t="s">
        <v>9158</v>
      </c>
      <c r="Q54" s="14" t="s">
        <v>9158</v>
      </c>
      <c r="R54" s="14"/>
    </row>
    <row r="55" spans="1:18">
      <c r="A55" s="9">
        <v>72713</v>
      </c>
      <c r="B55" s="14" t="s">
        <v>334</v>
      </c>
      <c r="C55" s="14" t="s">
        <v>205</v>
      </c>
      <c r="D55" s="14" t="s">
        <v>214</v>
      </c>
      <c r="E55" s="15" t="str">
        <f>HYPERLINK("https://stat100.ameba.jp/tnk47/ratio20/illustrations/card/ill_72713_okamuzuminomikoto03.jpg?201812-2-RELEASE-unionbattle-383", "■")</f>
        <v>■</v>
      </c>
      <c r="F55" s="14" t="s">
        <v>695</v>
      </c>
      <c r="G55" s="14">
        <v>98285</v>
      </c>
      <c r="H55" s="14">
        <v>105715</v>
      </c>
      <c r="I55" s="14">
        <v>21</v>
      </c>
      <c r="J55" s="14" t="s">
        <v>169</v>
      </c>
      <c r="K55" s="14" t="s">
        <v>221</v>
      </c>
      <c r="L55" s="14" t="s">
        <v>9895</v>
      </c>
      <c r="M55" s="14" t="s">
        <v>13131</v>
      </c>
      <c r="N55" s="14" t="s">
        <v>251</v>
      </c>
      <c r="O55" s="14" t="s">
        <v>9158</v>
      </c>
      <c r="P55" s="14" t="s">
        <v>9158</v>
      </c>
      <c r="Q55" s="14" t="s">
        <v>9158</v>
      </c>
      <c r="R55" s="14"/>
    </row>
    <row r="56" spans="1:18">
      <c r="A56" s="9">
        <v>73533</v>
      </c>
      <c r="B56" s="14" t="s">
        <v>334</v>
      </c>
      <c r="C56" s="14" t="s">
        <v>206</v>
      </c>
      <c r="D56" s="14" t="s">
        <v>215</v>
      </c>
      <c r="E56" s="15" t="str">
        <f>HYPERLINK("https://stat100.ameba.jp/tnk47/ratio20/illustrations/card/ill_73533_agubutachan03.jpg?201812-2-RELEASE-unionbattle-383", "■")</f>
        <v>■</v>
      </c>
      <c r="F56" s="14" t="s">
        <v>696</v>
      </c>
      <c r="G56" s="14">
        <v>105715</v>
      </c>
      <c r="H56" s="14">
        <v>98285</v>
      </c>
      <c r="I56" s="14">
        <v>21</v>
      </c>
      <c r="J56" s="14" t="s">
        <v>216</v>
      </c>
      <c r="K56" s="14" t="s">
        <v>697</v>
      </c>
      <c r="L56" s="14" t="s">
        <v>9896</v>
      </c>
      <c r="M56" s="14" t="s">
        <v>13131</v>
      </c>
      <c r="N56" s="14" t="s">
        <v>251</v>
      </c>
      <c r="O56" s="14" t="s">
        <v>9158</v>
      </c>
      <c r="P56" s="14" t="s">
        <v>9158</v>
      </c>
      <c r="Q56" s="14" t="s">
        <v>9158</v>
      </c>
      <c r="R56" s="14"/>
    </row>
    <row r="57" spans="1:18">
      <c r="B57" s="14"/>
      <c r="C57" s="14"/>
      <c r="D57" s="14"/>
      <c r="F57" s="14"/>
      <c r="G57" s="14"/>
      <c r="H57" s="14"/>
      <c r="I57" s="14"/>
      <c r="J57" s="14"/>
      <c r="K57" s="14"/>
      <c r="L57" s="14"/>
      <c r="M57" s="14"/>
      <c r="N57" s="14"/>
      <c r="P57" s="14"/>
      <c r="Q57" s="14"/>
      <c r="R57" s="14"/>
    </row>
    <row r="58" spans="1:18">
      <c r="A58" s="14" t="s">
        <v>2206</v>
      </c>
      <c r="C58" s="14"/>
      <c r="D58" s="14"/>
      <c r="F58" s="14"/>
      <c r="G58" s="14"/>
      <c r="H58" s="14"/>
      <c r="I58" s="14"/>
      <c r="J58" s="14"/>
      <c r="K58" s="14"/>
      <c r="L58" s="14"/>
      <c r="M58" s="14"/>
      <c r="N58" s="14"/>
      <c r="P58" s="14"/>
      <c r="Q58" s="14"/>
      <c r="R58" s="14"/>
    </row>
    <row r="59" spans="1:18">
      <c r="A59" s="9" t="s">
        <v>8436</v>
      </c>
      <c r="C59" s="14"/>
      <c r="D59" s="14"/>
      <c r="F59" s="14"/>
      <c r="G59" s="14"/>
      <c r="H59" s="14"/>
      <c r="I59" s="14"/>
      <c r="J59" s="14"/>
      <c r="K59" s="14"/>
      <c r="L59" s="14"/>
      <c r="M59" s="14"/>
      <c r="N59" s="14"/>
      <c r="P59" s="14"/>
      <c r="Q59" s="14"/>
      <c r="R59" s="14"/>
    </row>
    <row r="60" spans="1:18">
      <c r="A60" s="9" t="s">
        <v>8435</v>
      </c>
      <c r="B60" s="14"/>
      <c r="C60" s="14"/>
      <c r="D60" s="14"/>
      <c r="F60" s="14"/>
      <c r="G60" s="14"/>
      <c r="H60" s="14"/>
      <c r="I60" s="14"/>
      <c r="J60" s="14"/>
      <c r="K60" s="14"/>
      <c r="L60" s="14"/>
      <c r="M60" s="14"/>
      <c r="N60" s="14"/>
      <c r="P60" s="14"/>
      <c r="Q60" s="14"/>
      <c r="R60" s="14"/>
    </row>
    <row r="61" spans="1:18">
      <c r="A61" s="9" t="s">
        <v>5843</v>
      </c>
      <c r="B61" s="14" t="s">
        <v>52</v>
      </c>
      <c r="C61" s="14" t="s">
        <v>202</v>
      </c>
      <c r="D61" s="14" t="s">
        <v>2126</v>
      </c>
      <c r="E61" s="15" t="str">
        <f>HYPERLINK("https://stat100.ameba.jp/tnk47/ratio20/illustrations/card/ill_77963_0_kurisumasudaisakusentakiyashahime03.jpg?201812-2-RELEASE-unionbattle-383", "■")</f>
        <v>■</v>
      </c>
      <c r="F61" s="14" t="s">
        <v>2127</v>
      </c>
      <c r="G61" s="14">
        <v>184216</v>
      </c>
      <c r="H61" s="14">
        <v>166491</v>
      </c>
      <c r="I61" s="14">
        <v>15</v>
      </c>
      <c r="J61" s="14" t="s">
        <v>77</v>
      </c>
      <c r="K61" s="14" t="s">
        <v>2128</v>
      </c>
      <c r="L61" s="14" t="s">
        <v>2129</v>
      </c>
      <c r="M61" s="14" t="s">
        <v>9158</v>
      </c>
      <c r="N61" s="14" t="s">
        <v>9158</v>
      </c>
      <c r="O61" s="9" t="s">
        <v>3588</v>
      </c>
      <c r="P61" s="14" t="s">
        <v>3589</v>
      </c>
      <c r="Q61" s="14">
        <v>2</v>
      </c>
      <c r="R61" s="14"/>
    </row>
    <row r="62" spans="1:18">
      <c r="A62" s="9">
        <v>78033</v>
      </c>
      <c r="B62" s="14" t="s">
        <v>0</v>
      </c>
      <c r="C62" s="14" t="s">
        <v>200</v>
      </c>
      <c r="D62" s="14" t="s">
        <v>2208</v>
      </c>
      <c r="E62" s="15" t="str">
        <f>HYPERLINK("https://stat100.ameba.jp/tnk47/ratio20/illustrations/card/ill_78033_bonenkaimyoombenzaiten03.jpg?201812-2-RELEASE-unionbattle-383", "■")</f>
        <v>■</v>
      </c>
      <c r="F62" s="14" t="s">
        <v>2209</v>
      </c>
      <c r="G62" s="14">
        <v>85657</v>
      </c>
      <c r="H62" s="14">
        <v>79634</v>
      </c>
      <c r="I62" s="14">
        <v>21</v>
      </c>
      <c r="J62" s="14" t="s">
        <v>44</v>
      </c>
      <c r="K62" s="14" t="s">
        <v>2210</v>
      </c>
      <c r="L62" s="14" t="s">
        <v>2211</v>
      </c>
      <c r="M62" s="14" t="s">
        <v>9158</v>
      </c>
      <c r="N62" s="14" t="s">
        <v>9158</v>
      </c>
      <c r="O62" s="14" t="s">
        <v>9158</v>
      </c>
      <c r="P62" s="14" t="s">
        <v>9158</v>
      </c>
      <c r="Q62" s="14" t="s">
        <v>9158</v>
      </c>
      <c r="R62" s="14"/>
    </row>
    <row r="63" spans="1:18">
      <c r="A63" s="9">
        <v>78043</v>
      </c>
      <c r="B63" s="14" t="s">
        <v>15</v>
      </c>
      <c r="C63" s="14" t="s">
        <v>165</v>
      </c>
      <c r="D63" s="14" t="s">
        <v>2212</v>
      </c>
      <c r="E63" s="15" t="str">
        <f>HYPERLINK("https://stat100.ameba.jp/tnk47/ratio20/illustrations/card/ill_78043_yushinaishinno03.jpg?201812-2-RELEASE-unionbattle-383", "■")</f>
        <v>■</v>
      </c>
      <c r="F63" s="14" t="s">
        <v>2213</v>
      </c>
      <c r="G63" s="14">
        <v>56456</v>
      </c>
      <c r="H63" s="14">
        <v>62244</v>
      </c>
      <c r="I63" s="14">
        <v>21</v>
      </c>
      <c r="J63" s="14" t="s">
        <v>16</v>
      </c>
      <c r="K63" s="14" t="s">
        <v>2214</v>
      </c>
      <c r="L63" s="14" t="s">
        <v>981</v>
      </c>
      <c r="M63" s="14" t="s">
        <v>9158</v>
      </c>
      <c r="N63" s="14" t="s">
        <v>9158</v>
      </c>
      <c r="O63" s="14" t="s">
        <v>9158</v>
      </c>
      <c r="P63" s="14" t="s">
        <v>9158</v>
      </c>
      <c r="Q63" s="14" t="s">
        <v>9158</v>
      </c>
      <c r="R63" s="14"/>
    </row>
    <row r="64" spans="1:18">
      <c r="A64" s="9">
        <v>78053</v>
      </c>
      <c r="B64" s="14" t="s">
        <v>22</v>
      </c>
      <c r="C64" s="14" t="s">
        <v>205</v>
      </c>
      <c r="D64" s="14" t="s">
        <v>2215</v>
      </c>
      <c r="E64" s="15" t="str">
        <f>HYPERLINK("https://stat100.ameba.jp/tnk47/ratio20/illustrations/card/ill_78053_suginookata03.jpg?201812-2-RELEASE-unionbattle-383", "■")</f>
        <v>■</v>
      </c>
      <c r="F64" s="14" t="s">
        <v>2216</v>
      </c>
      <c r="G64" s="14">
        <v>43662</v>
      </c>
      <c r="H64" s="14">
        <v>36304</v>
      </c>
      <c r="I64" s="14">
        <v>21</v>
      </c>
      <c r="J64" s="14" t="s">
        <v>77</v>
      </c>
      <c r="K64" s="14" t="s">
        <v>2217</v>
      </c>
      <c r="L64" s="14" t="s">
        <v>1732</v>
      </c>
      <c r="M64" s="14" t="s">
        <v>9158</v>
      </c>
      <c r="N64" s="14" t="s">
        <v>9158</v>
      </c>
      <c r="O64" s="14" t="s">
        <v>9158</v>
      </c>
      <c r="P64" s="14" t="s">
        <v>9158</v>
      </c>
      <c r="Q64" s="14" t="s">
        <v>9158</v>
      </c>
      <c r="R64" s="14"/>
    </row>
    <row r="65" spans="1:18">
      <c r="A65" s="9">
        <v>78063</v>
      </c>
      <c r="B65" s="14" t="s">
        <v>30</v>
      </c>
      <c r="C65" s="14" t="s">
        <v>2207</v>
      </c>
      <c r="D65" s="14" t="s">
        <v>2218</v>
      </c>
      <c r="E65" s="15" t="str">
        <f>HYPERLINK("https://stat100.ameba.jp/tnk47/ratio20/illustrations/card/ill_78063_seiyafurawaenchan03.jpg?201812-2-RELEASE-unionbattle-383", "■")</f>
        <v>■</v>
      </c>
      <c r="F65" s="14" t="s">
        <v>2219</v>
      </c>
      <c r="G65" s="14">
        <v>22200</v>
      </c>
      <c r="H65" s="14">
        <v>26434</v>
      </c>
      <c r="I65" s="14">
        <v>21</v>
      </c>
      <c r="J65" s="14" t="s">
        <v>26</v>
      </c>
      <c r="K65" s="14" t="s">
        <v>2220</v>
      </c>
      <c r="L65" s="14" t="s">
        <v>2221</v>
      </c>
      <c r="M65" s="14" t="s">
        <v>9158</v>
      </c>
      <c r="N65" s="14" t="s">
        <v>9158</v>
      </c>
      <c r="O65" s="14" t="s">
        <v>9158</v>
      </c>
      <c r="P65" s="14" t="s">
        <v>9158</v>
      </c>
      <c r="Q65" s="14" t="s">
        <v>9158</v>
      </c>
      <c r="R65" s="14"/>
    </row>
    <row r="66" spans="1:18">
      <c r="B66" s="14"/>
      <c r="C66" s="14"/>
      <c r="D66" s="14"/>
      <c r="F66" s="14"/>
      <c r="G66" s="14"/>
      <c r="H66" s="14"/>
      <c r="I66" s="14"/>
      <c r="J66" s="14"/>
      <c r="K66" s="14"/>
      <c r="L66" s="14"/>
      <c r="M66" s="14"/>
      <c r="N66" s="14"/>
      <c r="P66" s="14"/>
      <c r="Q66" s="14"/>
      <c r="R66" s="14"/>
    </row>
    <row r="67" spans="1:18">
      <c r="A67" s="14" t="s">
        <v>204</v>
      </c>
      <c r="D67" s="14"/>
      <c r="F67" s="14"/>
      <c r="G67" s="14"/>
      <c r="H67" s="14"/>
      <c r="I67" s="14"/>
      <c r="J67" s="14"/>
      <c r="K67" s="14"/>
      <c r="L67" s="14"/>
      <c r="M67" s="14"/>
      <c r="N67" s="14"/>
      <c r="P67" s="14"/>
      <c r="Q67" s="14"/>
      <c r="R67" s="14"/>
    </row>
    <row r="68" spans="1:18">
      <c r="A68" s="14" t="s">
        <v>2222</v>
      </c>
      <c r="B68" s="14"/>
      <c r="C68" s="14"/>
      <c r="D68" s="14"/>
      <c r="F68" s="14"/>
      <c r="G68" s="14"/>
      <c r="H68" s="14"/>
      <c r="I68" s="14"/>
      <c r="J68" s="14"/>
      <c r="K68" s="14"/>
      <c r="L68" s="14"/>
      <c r="M68" s="14"/>
      <c r="N68" s="14"/>
      <c r="P68" s="14"/>
      <c r="Q68" s="14"/>
      <c r="R68" s="14"/>
    </row>
    <row r="69" spans="1:18">
      <c r="A69" s="9" t="s">
        <v>5603</v>
      </c>
      <c r="B69" s="14" t="s">
        <v>52</v>
      </c>
      <c r="C69" s="14" t="s">
        <v>205</v>
      </c>
      <c r="D69" s="14" t="s">
        <v>1868</v>
      </c>
      <c r="E69" s="15" t="str">
        <f>HYPERLINK("https://stat100.ameba.jp/tnk47/ratio20/illustrations/card/ill_61893_0_onikirishumiyamotomusashi03.jpg?201812-2-RELEASE-unionbattle-383", "■")</f>
        <v>■</v>
      </c>
      <c r="F69" s="14" t="s">
        <v>1869</v>
      </c>
      <c r="G69" s="14">
        <v>140016</v>
      </c>
      <c r="H69" s="14">
        <v>130194</v>
      </c>
      <c r="I69" s="14">
        <v>15</v>
      </c>
      <c r="J69" s="14" t="s">
        <v>143</v>
      </c>
      <c r="K69" s="14" t="s">
        <v>1870</v>
      </c>
      <c r="L69" s="14" t="s">
        <v>901</v>
      </c>
      <c r="M69" s="14" t="s">
        <v>9158</v>
      </c>
      <c r="N69" s="14" t="s">
        <v>9158</v>
      </c>
      <c r="O69" s="9" t="s">
        <v>3252</v>
      </c>
      <c r="P69" s="14" t="s">
        <v>3253</v>
      </c>
      <c r="Q69" s="14">
        <v>1</v>
      </c>
      <c r="R69" s="14"/>
    </row>
    <row r="70" spans="1:18">
      <c r="A70" s="9" t="s">
        <v>5609</v>
      </c>
      <c r="B70" s="14" t="s">
        <v>52</v>
      </c>
      <c r="C70" s="14" t="s">
        <v>200</v>
      </c>
      <c r="D70" s="14" t="s">
        <v>56</v>
      </c>
      <c r="E70" s="15" t="str">
        <f>HYPERLINK("https://stat100.ameba.jp/tnk47/ratio20/illustrations/card/ill_53753_0_natsumatsuritokugawaieyasu03.jpg?201812-2-RELEASE-unionbattle-383", "■")</f>
        <v>■</v>
      </c>
      <c r="F70" s="14" t="s">
        <v>902</v>
      </c>
      <c r="G70" s="14">
        <v>94236</v>
      </c>
      <c r="H70" s="14">
        <v>83712</v>
      </c>
      <c r="I70" s="14">
        <v>15</v>
      </c>
      <c r="J70" s="14" t="s">
        <v>143</v>
      </c>
      <c r="K70" s="14" t="s">
        <v>903</v>
      </c>
      <c r="L70" s="14" t="s">
        <v>904</v>
      </c>
      <c r="M70" s="14" t="s">
        <v>9158</v>
      </c>
      <c r="N70" s="14" t="s">
        <v>9158</v>
      </c>
      <c r="O70" s="17" t="s">
        <v>10052</v>
      </c>
      <c r="P70" s="14" t="s">
        <v>13121</v>
      </c>
      <c r="Q70" s="14">
        <v>1</v>
      </c>
      <c r="R70" s="14"/>
    </row>
    <row r="71" spans="1:18">
      <c r="A71" s="9" t="s">
        <v>10139</v>
      </c>
      <c r="B71" s="14" t="s">
        <v>52</v>
      </c>
      <c r="C71" s="14" t="s">
        <v>206</v>
      </c>
      <c r="D71" s="14" t="s">
        <v>51</v>
      </c>
      <c r="E71" s="15" t="str">
        <f>HYPERLINK("https://stat100.ameba.jp/tnk47/ratio20/illustrations/card/ill_47263_0_oukyuuatsuhime03.jpg?201812-2-RELEASE-unionbattle-383", "■")</f>
        <v>■</v>
      </c>
      <c r="F71" s="14" t="s">
        <v>1178</v>
      </c>
      <c r="G71" s="14">
        <v>94236</v>
      </c>
      <c r="H71" s="14">
        <v>83712</v>
      </c>
      <c r="I71" s="14">
        <v>15</v>
      </c>
      <c r="J71" s="14" t="s">
        <v>77</v>
      </c>
      <c r="K71" s="14" t="s">
        <v>1179</v>
      </c>
      <c r="L71" s="14" t="s">
        <v>1180</v>
      </c>
      <c r="M71" s="14" t="s">
        <v>9158</v>
      </c>
      <c r="N71" s="14" t="s">
        <v>9158</v>
      </c>
      <c r="O71" s="14" t="s">
        <v>9158</v>
      </c>
      <c r="P71" s="14" t="s">
        <v>9158</v>
      </c>
      <c r="Q71" s="14" t="s">
        <v>9158</v>
      </c>
      <c r="R71" s="14"/>
    </row>
    <row r="72" spans="1:18">
      <c r="A72" s="9">
        <v>68383</v>
      </c>
      <c r="B72" s="14" t="s">
        <v>334</v>
      </c>
      <c r="C72" s="14" t="s">
        <v>206</v>
      </c>
      <c r="D72" s="14" t="s">
        <v>2223</v>
      </c>
      <c r="E72" s="15" t="str">
        <f>HYPERLINK("https://stat100.ameba.jp/tnk47/ratio20/illustrations/card/ill_68383_amudosukiasu03.jpg?201812-2-RELEASE-unionbattle-383", "■")</f>
        <v>■</v>
      </c>
      <c r="F72" s="14" t="s">
        <v>2224</v>
      </c>
      <c r="G72" s="14">
        <v>161516</v>
      </c>
      <c r="H72" s="14">
        <v>90870</v>
      </c>
      <c r="I72" s="14">
        <v>22</v>
      </c>
      <c r="J72" s="14" t="s">
        <v>73</v>
      </c>
      <c r="K72" s="14" t="s">
        <v>2225</v>
      </c>
      <c r="L72" s="14" t="s">
        <v>2226</v>
      </c>
      <c r="M72" s="14" t="s">
        <v>9158</v>
      </c>
      <c r="N72" s="14" t="s">
        <v>9158</v>
      </c>
      <c r="O72" s="14" t="s">
        <v>9158</v>
      </c>
      <c r="P72" s="14" t="s">
        <v>9158</v>
      </c>
      <c r="Q72" s="14" t="s">
        <v>9158</v>
      </c>
      <c r="R72" s="14"/>
    </row>
    <row r="73" spans="1:18">
      <c r="A73" s="9">
        <v>53033</v>
      </c>
      <c r="B73" s="14" t="s">
        <v>334</v>
      </c>
      <c r="C73" s="14" t="s">
        <v>205</v>
      </c>
      <c r="D73" s="14" t="s">
        <v>2227</v>
      </c>
      <c r="E73" s="15" t="str">
        <f>HYPERLINK("https://stat100.ameba.jp/tnk47/ratio20/illustrations/card/ill_53033_sogomasayasu03.jpg?201812-2-RELEASE-unionbattle-383", "■")</f>
        <v>■</v>
      </c>
      <c r="F73" s="14" t="s">
        <v>2228</v>
      </c>
      <c r="G73" s="14">
        <v>130416</v>
      </c>
      <c r="H73" s="14">
        <v>78838</v>
      </c>
      <c r="I73" s="14">
        <v>22</v>
      </c>
      <c r="J73" s="14" t="s">
        <v>143</v>
      </c>
      <c r="K73" s="14" t="s">
        <v>2229</v>
      </c>
      <c r="L73" s="14" t="s">
        <v>2230</v>
      </c>
      <c r="M73" s="14" t="s">
        <v>9158</v>
      </c>
      <c r="N73" s="14" t="s">
        <v>9158</v>
      </c>
      <c r="O73" s="14" t="s">
        <v>9158</v>
      </c>
      <c r="P73" s="14" t="s">
        <v>9158</v>
      </c>
      <c r="Q73" s="14" t="s">
        <v>9158</v>
      </c>
      <c r="R73" s="14"/>
    </row>
    <row r="74" spans="1:18">
      <c r="A74" s="9">
        <v>51103</v>
      </c>
      <c r="B74" s="14" t="s">
        <v>334</v>
      </c>
      <c r="C74" s="14" t="s">
        <v>200</v>
      </c>
      <c r="D74" s="14" t="s">
        <v>2231</v>
      </c>
      <c r="E74" s="15" t="str">
        <f>HYPERLINK("https://stat100.ameba.jp/tnk47/ratio20/illustrations/card/ill_51103_tankentaioginoginko03.jpg?201812-2-RELEASE-unionbattle-383", "■")</f>
        <v>■</v>
      </c>
      <c r="F74" s="14" t="s">
        <v>2232</v>
      </c>
      <c r="G74" s="14">
        <v>84796</v>
      </c>
      <c r="H74" s="14">
        <v>78838</v>
      </c>
      <c r="I74" s="14">
        <v>22</v>
      </c>
      <c r="J74" s="14" t="s">
        <v>16</v>
      </c>
      <c r="K74" s="14" t="s">
        <v>2233</v>
      </c>
      <c r="L74" s="14" t="s">
        <v>2234</v>
      </c>
      <c r="M74" s="14" t="s">
        <v>9158</v>
      </c>
      <c r="N74" s="14" t="s">
        <v>9158</v>
      </c>
      <c r="O74" s="14" t="s">
        <v>9158</v>
      </c>
      <c r="P74" s="14" t="s">
        <v>9158</v>
      </c>
      <c r="Q74" s="14" t="s">
        <v>9158</v>
      </c>
      <c r="R74" s="14"/>
    </row>
    <row r="75" spans="1:18">
      <c r="B75" s="14"/>
      <c r="C75" s="14"/>
      <c r="D75" s="14"/>
      <c r="F75" s="14"/>
      <c r="G75" s="14"/>
      <c r="H75" s="14"/>
      <c r="I75" s="14"/>
      <c r="J75" s="14"/>
      <c r="K75" s="14"/>
      <c r="L75" s="14"/>
      <c r="M75" s="14"/>
      <c r="N75" s="14"/>
      <c r="P75" s="14"/>
      <c r="Q75" s="14"/>
      <c r="R75" s="14"/>
    </row>
    <row r="76" spans="1:18">
      <c r="A76" s="14" t="s">
        <v>180</v>
      </c>
      <c r="D76" s="14"/>
      <c r="F76" s="14"/>
      <c r="G76" s="14"/>
      <c r="H76" s="14"/>
      <c r="I76" s="14"/>
      <c r="J76" s="14"/>
      <c r="K76" s="14"/>
      <c r="L76" s="14"/>
      <c r="M76" s="14"/>
      <c r="N76" s="14"/>
      <c r="P76" s="14"/>
      <c r="Q76" s="14"/>
      <c r="R76" s="14"/>
    </row>
    <row r="77" spans="1:18">
      <c r="A77" s="14" t="s">
        <v>2252</v>
      </c>
      <c r="B77" s="14"/>
      <c r="C77" s="14"/>
      <c r="D77" s="14"/>
      <c r="F77" s="14"/>
      <c r="G77" s="14"/>
      <c r="H77" s="14"/>
      <c r="I77" s="14"/>
      <c r="J77" s="14"/>
      <c r="K77" s="14"/>
      <c r="L77" s="14"/>
      <c r="M77" s="14"/>
      <c r="N77" s="14"/>
      <c r="P77" s="14"/>
      <c r="Q77" s="14"/>
      <c r="R77" s="14"/>
    </row>
    <row r="78" spans="1:18">
      <c r="A78" s="9" t="s">
        <v>5609</v>
      </c>
      <c r="B78" s="14" t="s">
        <v>52</v>
      </c>
      <c r="C78" s="14" t="s">
        <v>200</v>
      </c>
      <c r="D78" s="14" t="s">
        <v>56</v>
      </c>
      <c r="E78" s="15" t="str">
        <f>HYPERLINK("https://stat100.ameba.jp/tnk47/ratio20/illustrations/card/ill_53753_0_natsumatsuritokugawaieyasu03.jpg?201812-2-RELEASE-unionbattle-383", "■")</f>
        <v>■</v>
      </c>
      <c r="F78" s="14" t="s">
        <v>902</v>
      </c>
      <c r="G78" s="14">
        <v>131930</v>
      </c>
      <c r="H78" s="14">
        <v>117196</v>
      </c>
      <c r="I78" s="14">
        <v>21</v>
      </c>
      <c r="J78" s="14" t="s">
        <v>143</v>
      </c>
      <c r="K78" s="14" t="s">
        <v>903</v>
      </c>
      <c r="L78" s="14" t="s">
        <v>904</v>
      </c>
      <c r="M78" s="14" t="s">
        <v>9158</v>
      </c>
      <c r="N78" s="14" t="s">
        <v>9158</v>
      </c>
      <c r="O78" s="17" t="s">
        <v>10052</v>
      </c>
      <c r="P78" s="14" t="s">
        <v>13121</v>
      </c>
      <c r="Q78" s="14">
        <v>1</v>
      </c>
      <c r="R78" s="14"/>
    </row>
    <row r="79" spans="1:18">
      <c r="A79" s="9" t="s">
        <v>5721</v>
      </c>
      <c r="B79" s="14" t="s">
        <v>52</v>
      </c>
      <c r="C79" s="14" t="s">
        <v>205</v>
      </c>
      <c r="D79" s="14" t="s">
        <v>2253</v>
      </c>
      <c r="E79" s="15" t="str">
        <f>HYPERLINK("https://stat100.ameba.jp/tnk47/ratio20/illustrations/card/ill_44283_0_izumonokuni03.jpg?201812-2-RELEASE-unionbattle-383", "■")</f>
        <v>■</v>
      </c>
      <c r="F79" s="14" t="s">
        <v>1716</v>
      </c>
      <c r="G79" s="14">
        <v>122892</v>
      </c>
      <c r="H79" s="14">
        <v>115096</v>
      </c>
      <c r="I79" s="14">
        <v>21</v>
      </c>
      <c r="J79" s="14" t="s">
        <v>16</v>
      </c>
      <c r="K79" s="14" t="s">
        <v>2254</v>
      </c>
      <c r="L79" s="14" t="s">
        <v>1718</v>
      </c>
      <c r="M79" s="14" t="s">
        <v>9158</v>
      </c>
      <c r="N79" s="14" t="s">
        <v>9158</v>
      </c>
      <c r="O79" s="14" t="s">
        <v>9158</v>
      </c>
      <c r="P79" s="14" t="s">
        <v>9158</v>
      </c>
      <c r="Q79" s="14" t="s">
        <v>9158</v>
      </c>
      <c r="R79" s="14"/>
    </row>
    <row r="80" spans="1:18">
      <c r="A80" s="9" t="s">
        <v>5830</v>
      </c>
      <c r="B80" s="14" t="s">
        <v>52</v>
      </c>
      <c r="C80" s="14" t="s">
        <v>191</v>
      </c>
      <c r="D80" s="14" t="s">
        <v>1719</v>
      </c>
      <c r="E80" s="15" t="str">
        <f>HYPERLINK("https://stat100.ameba.jp/tnk47/ratio20/illustrations/card/ill_39933_0_reihiiinaotora03.jpg?201812-2-RELEASE-unionbattle-383", "■")</f>
        <v>■</v>
      </c>
      <c r="F80" s="14" t="s">
        <v>1720</v>
      </c>
      <c r="G80" s="14">
        <v>115096</v>
      </c>
      <c r="H80" s="14">
        <v>122892</v>
      </c>
      <c r="I80" s="14">
        <v>21</v>
      </c>
      <c r="J80" s="14" t="s">
        <v>77</v>
      </c>
      <c r="K80" s="14" t="s">
        <v>1721</v>
      </c>
      <c r="L80" s="14" t="s">
        <v>1722</v>
      </c>
      <c r="M80" s="14" t="s">
        <v>9158</v>
      </c>
      <c r="N80" s="14" t="s">
        <v>9158</v>
      </c>
      <c r="O80" s="14" t="s">
        <v>9158</v>
      </c>
      <c r="P80" s="14" t="s">
        <v>9158</v>
      </c>
      <c r="Q80" s="14" t="s">
        <v>9158</v>
      </c>
      <c r="R80" s="14"/>
    </row>
    <row r="81" spans="1:18">
      <c r="A81" s="9">
        <v>78033</v>
      </c>
      <c r="B81" s="14" t="s">
        <v>0</v>
      </c>
      <c r="C81" s="14" t="s">
        <v>200</v>
      </c>
      <c r="D81" s="14" t="s">
        <v>2208</v>
      </c>
      <c r="E81" s="15" t="str">
        <f>HYPERLINK("https://stat100.ameba.jp/tnk47/ratio20/illustrations/card/ill_78033_bonenkaimyoombenzaiten03.jpg?201812-2-RELEASE-unionbattle-383", "■")</f>
        <v>■</v>
      </c>
      <c r="F81" s="14" t="s">
        <v>2209</v>
      </c>
      <c r="G81" s="14">
        <v>85657</v>
      </c>
      <c r="H81" s="14">
        <v>79634</v>
      </c>
      <c r="I81" s="14">
        <v>21</v>
      </c>
      <c r="J81" s="14" t="s">
        <v>44</v>
      </c>
      <c r="K81" s="14" t="s">
        <v>2210</v>
      </c>
      <c r="L81" s="14" t="s">
        <v>2211</v>
      </c>
      <c r="M81" s="14" t="s">
        <v>9158</v>
      </c>
      <c r="N81" s="14" t="s">
        <v>9158</v>
      </c>
      <c r="O81" s="14" t="s">
        <v>9158</v>
      </c>
      <c r="P81" s="14" t="s">
        <v>9158</v>
      </c>
      <c r="Q81" s="14" t="s">
        <v>9158</v>
      </c>
      <c r="R81" s="14"/>
    </row>
    <row r="82" spans="1:18">
      <c r="A82" s="9">
        <v>78043</v>
      </c>
      <c r="B82" s="14" t="s">
        <v>15</v>
      </c>
      <c r="C82" s="14" t="s">
        <v>165</v>
      </c>
      <c r="D82" s="14" t="s">
        <v>2212</v>
      </c>
      <c r="E82" s="15" t="str">
        <f>HYPERLINK("https://stat100.ameba.jp/tnk47/ratio20/illustrations/card/ill_78043_yushinaishinno03.jpg?201812-2-RELEASE-unionbattle-383", "■")</f>
        <v>■</v>
      </c>
      <c r="F82" s="14" t="s">
        <v>2213</v>
      </c>
      <c r="G82" s="14">
        <v>48390</v>
      </c>
      <c r="H82" s="14">
        <v>53352</v>
      </c>
      <c r="I82" s="14">
        <v>18</v>
      </c>
      <c r="J82" s="14" t="s">
        <v>16</v>
      </c>
      <c r="K82" s="14" t="s">
        <v>2214</v>
      </c>
      <c r="L82" s="14" t="s">
        <v>981</v>
      </c>
      <c r="M82" s="14" t="s">
        <v>9158</v>
      </c>
      <c r="N82" s="14" t="s">
        <v>9158</v>
      </c>
      <c r="O82" s="14" t="s">
        <v>9158</v>
      </c>
      <c r="P82" s="14" t="s">
        <v>9158</v>
      </c>
      <c r="Q82" s="14" t="s">
        <v>9158</v>
      </c>
      <c r="R82" s="14"/>
    </row>
    <row r="83" spans="1:18">
      <c r="A83" s="9">
        <v>78053</v>
      </c>
      <c r="B83" s="14" t="s">
        <v>22</v>
      </c>
      <c r="C83" s="14" t="s">
        <v>205</v>
      </c>
      <c r="D83" s="14" t="s">
        <v>2215</v>
      </c>
      <c r="E83" s="15" t="str">
        <f>HYPERLINK("https://stat100.ameba.jp/tnk47/ratio20/illustrations/card/ill_78053_suginookata03.jpg?201812-2-RELEASE-unionbattle-383", "■")</f>
        <v>■</v>
      </c>
      <c r="F83" s="14" t="s">
        <v>2216</v>
      </c>
      <c r="G83" s="14">
        <v>33266</v>
      </c>
      <c r="H83" s="14">
        <v>27660</v>
      </c>
      <c r="I83" s="14">
        <v>16</v>
      </c>
      <c r="J83" s="14" t="s">
        <v>77</v>
      </c>
      <c r="K83" s="14" t="s">
        <v>2217</v>
      </c>
      <c r="L83" s="14" t="s">
        <v>1732</v>
      </c>
      <c r="M83" s="14" t="s">
        <v>9158</v>
      </c>
      <c r="N83" s="14" t="s">
        <v>9158</v>
      </c>
      <c r="O83" s="14" t="s">
        <v>9158</v>
      </c>
      <c r="P83" s="14" t="s">
        <v>9158</v>
      </c>
      <c r="Q83" s="14" t="s">
        <v>9158</v>
      </c>
      <c r="R83" s="14"/>
    </row>
    <row r="84" spans="1:18">
      <c r="A84" s="9">
        <v>78063</v>
      </c>
      <c r="B84" s="14" t="s">
        <v>30</v>
      </c>
      <c r="C84" s="14" t="s">
        <v>2207</v>
      </c>
      <c r="D84" s="14" t="s">
        <v>2218</v>
      </c>
      <c r="E84" s="15" t="str">
        <f>HYPERLINK("https://stat100.ameba.jp/tnk47/ratio20/illustrations/card/ill_78063_seiyafurawaenchan03.jpg?201812-2-RELEASE-unionbattle-383", "■")</f>
        <v>■</v>
      </c>
      <c r="F84" s="14" t="s">
        <v>2219</v>
      </c>
      <c r="G84" s="14">
        <v>16914</v>
      </c>
      <c r="H84" s="14">
        <v>20140</v>
      </c>
      <c r="I84" s="14">
        <v>16</v>
      </c>
      <c r="J84" s="14" t="s">
        <v>26</v>
      </c>
      <c r="K84" s="14" t="s">
        <v>2220</v>
      </c>
      <c r="L84" s="14" t="s">
        <v>2221</v>
      </c>
      <c r="M84" s="14" t="s">
        <v>9158</v>
      </c>
      <c r="N84" s="14" t="s">
        <v>9158</v>
      </c>
      <c r="O84" s="14" t="s">
        <v>9158</v>
      </c>
      <c r="P84" s="14" t="s">
        <v>9158</v>
      </c>
      <c r="Q84" s="14" t="s">
        <v>9158</v>
      </c>
      <c r="R84" s="14"/>
    </row>
    <row r="85" spans="1:18">
      <c r="B85" s="14"/>
      <c r="C85" s="14"/>
      <c r="D85" s="14"/>
      <c r="F85" s="14"/>
      <c r="G85" s="14"/>
      <c r="H85" s="14"/>
      <c r="I85" s="14"/>
      <c r="J85" s="14"/>
      <c r="K85" s="14"/>
      <c r="L85" s="14"/>
      <c r="M85" s="14"/>
      <c r="N85" s="14"/>
      <c r="P85" s="14"/>
      <c r="Q85" s="14"/>
      <c r="R85" s="14"/>
    </row>
    <row r="86" spans="1:18">
      <c r="A86" s="14" t="s">
        <v>132</v>
      </c>
      <c r="D86" s="14"/>
      <c r="F86" s="14"/>
      <c r="G86" s="14"/>
      <c r="H86" s="14"/>
      <c r="I86" s="14"/>
      <c r="J86" s="14"/>
      <c r="K86" s="14"/>
      <c r="L86" s="14"/>
      <c r="M86" s="14"/>
      <c r="N86" s="14"/>
      <c r="P86" s="14"/>
      <c r="Q86" s="14"/>
      <c r="R86" s="14"/>
    </row>
    <row r="87" spans="1:18">
      <c r="A87" s="14" t="s">
        <v>2235</v>
      </c>
      <c r="B87" s="14"/>
      <c r="C87" s="14"/>
      <c r="D87" s="14"/>
      <c r="F87" s="14"/>
      <c r="G87" s="14"/>
      <c r="H87" s="14"/>
      <c r="I87" s="14"/>
      <c r="J87" s="14"/>
      <c r="K87" s="14"/>
      <c r="L87" s="14"/>
      <c r="M87" s="14"/>
      <c r="N87" s="14"/>
      <c r="P87" s="14"/>
      <c r="Q87" s="14"/>
      <c r="R87" s="14"/>
    </row>
    <row r="88" spans="1:18">
      <c r="A88" s="9">
        <v>73865</v>
      </c>
      <c r="B88" s="14" t="s">
        <v>334</v>
      </c>
      <c r="C88" s="14" t="s">
        <v>202</v>
      </c>
      <c r="D88" s="14" t="s">
        <v>2236</v>
      </c>
      <c r="E88" s="15" t="str">
        <f>HYPERLINK("https://stat100.ameba.jp/tnk47/ratio20/illustrations/card/ill_73865_nyunaisuzume05.jpg?201812-2-RELEASE-unionbattle-383", "■")</f>
        <v>■</v>
      </c>
      <c r="F88" s="14" t="s">
        <v>2237</v>
      </c>
      <c r="G88" s="14">
        <v>47305</v>
      </c>
      <c r="H88" s="14">
        <v>65335</v>
      </c>
      <c r="I88" s="14">
        <v>21</v>
      </c>
      <c r="J88" s="14" t="s">
        <v>73</v>
      </c>
      <c r="K88" s="14" t="s">
        <v>2239</v>
      </c>
      <c r="L88" s="14" t="s">
        <v>2238</v>
      </c>
      <c r="M88" s="14" t="s">
        <v>9158</v>
      </c>
      <c r="N88" s="14" t="s">
        <v>9158</v>
      </c>
      <c r="O88" s="14" t="s">
        <v>9158</v>
      </c>
      <c r="P88" s="14" t="s">
        <v>9158</v>
      </c>
      <c r="Q88" s="14" t="s">
        <v>9158</v>
      </c>
      <c r="R88" s="14" t="s">
        <v>174</v>
      </c>
    </row>
    <row r="89" spans="1:18">
      <c r="A89" s="9">
        <v>73863</v>
      </c>
      <c r="B89" s="14" t="s">
        <v>15</v>
      </c>
      <c r="C89" s="14" t="s">
        <v>158</v>
      </c>
      <c r="D89" s="14" t="s">
        <v>2236</v>
      </c>
      <c r="E89" s="15" t="str">
        <f>HYPERLINK("https://stat100.ameba.jp/tnk47/ratio20/illustrations/card/ill_73863_nyunaisuzume03.jpg?201812-2-RELEASE-unionbattle-383", "■")</f>
        <v>■</v>
      </c>
      <c r="F89" s="14" t="s">
        <v>2237</v>
      </c>
      <c r="G89" s="14">
        <v>34186</v>
      </c>
      <c r="H89" s="14">
        <v>47256</v>
      </c>
      <c r="I89" s="14">
        <v>21</v>
      </c>
      <c r="J89" s="14" t="s">
        <v>73</v>
      </c>
      <c r="K89" s="14" t="s">
        <v>2239</v>
      </c>
      <c r="L89" s="14" t="s">
        <v>2240</v>
      </c>
      <c r="M89" s="14" t="s">
        <v>9158</v>
      </c>
      <c r="N89" s="14" t="s">
        <v>9158</v>
      </c>
      <c r="O89" s="14" t="s">
        <v>9158</v>
      </c>
      <c r="P89" s="14" t="s">
        <v>9158</v>
      </c>
      <c r="Q89" s="14" t="s">
        <v>9158</v>
      </c>
      <c r="R89" s="14" t="s">
        <v>175</v>
      </c>
    </row>
    <row r="90" spans="1:18">
      <c r="A90" s="9">
        <v>73861</v>
      </c>
      <c r="B90" s="14" t="s">
        <v>15</v>
      </c>
      <c r="C90" s="14" t="s">
        <v>158</v>
      </c>
      <c r="D90" s="14" t="s">
        <v>2236</v>
      </c>
      <c r="E90" s="15" t="str">
        <f>HYPERLINK("https://stat100.ameba.jp/tnk47/ratio20/illustrations/card/ill_73861_nyunaisuzume01.jpg?201812-2-RELEASE-unionbattle-383", "■")</f>
        <v>■</v>
      </c>
      <c r="F90" s="14" t="s">
        <v>2237</v>
      </c>
      <c r="G90" s="14">
        <v>19824</v>
      </c>
      <c r="H90" s="14">
        <v>27384</v>
      </c>
      <c r="I90" s="14">
        <v>21</v>
      </c>
      <c r="J90" s="14" t="s">
        <v>73</v>
      </c>
      <c r="K90" s="14" t="s">
        <v>2239</v>
      </c>
      <c r="L90" s="14" t="s">
        <v>2241</v>
      </c>
      <c r="M90" s="14" t="s">
        <v>9158</v>
      </c>
      <c r="N90" s="14" t="s">
        <v>9158</v>
      </c>
      <c r="O90" s="14" t="s">
        <v>9158</v>
      </c>
      <c r="P90" s="14" t="s">
        <v>9158</v>
      </c>
      <c r="Q90" s="14" t="s">
        <v>9158</v>
      </c>
      <c r="R90" s="14" t="s">
        <v>176</v>
      </c>
    </row>
    <row r="91" spans="1:18">
      <c r="A91" s="9">
        <v>67905</v>
      </c>
      <c r="B91" s="14" t="s">
        <v>334</v>
      </c>
      <c r="C91" s="14" t="s">
        <v>202</v>
      </c>
      <c r="D91" s="14" t="s">
        <v>2242</v>
      </c>
      <c r="E91" s="15" t="str">
        <f>HYPERLINK("https://stat100.ameba.jp/tnk47/ratio20/illustrations/card/ill_67905_yokoin05.jpg?201812-2-RELEASE-unionbattle-383", "■")</f>
        <v>■</v>
      </c>
      <c r="F91" s="14" t="s">
        <v>2243</v>
      </c>
      <c r="G91" s="14">
        <v>98728</v>
      </c>
      <c r="H91" s="14">
        <v>71481</v>
      </c>
      <c r="I91" s="14">
        <v>21</v>
      </c>
      <c r="J91" s="14" t="s">
        <v>77</v>
      </c>
      <c r="K91" s="14" t="s">
        <v>2244</v>
      </c>
      <c r="L91" s="14" t="s">
        <v>2245</v>
      </c>
      <c r="M91" s="14" t="s">
        <v>9158</v>
      </c>
      <c r="N91" s="14" t="s">
        <v>9158</v>
      </c>
      <c r="O91" s="14" t="s">
        <v>9158</v>
      </c>
      <c r="P91" s="14" t="s">
        <v>9158</v>
      </c>
      <c r="Q91" s="14" t="s">
        <v>9158</v>
      </c>
      <c r="R91" s="14" t="s">
        <v>174</v>
      </c>
    </row>
    <row r="92" spans="1:18">
      <c r="A92" s="9">
        <v>67903</v>
      </c>
      <c r="B92" s="14" t="s">
        <v>15</v>
      </c>
      <c r="C92" s="14" t="s">
        <v>158</v>
      </c>
      <c r="D92" s="14" t="s">
        <v>2242</v>
      </c>
      <c r="E92" s="15" t="str">
        <f>HYPERLINK("https://stat100.ameba.jp/tnk47/ratio20/illustrations/card/ill_67903_yokoin03.jpg?201812-2-RELEASE-unionbattle-383", "■")</f>
        <v>■</v>
      </c>
      <c r="F92" s="14" t="s">
        <v>2243</v>
      </c>
      <c r="G92" s="14">
        <v>72733</v>
      </c>
      <c r="H92" s="14">
        <v>52663</v>
      </c>
      <c r="I92" s="14">
        <v>21</v>
      </c>
      <c r="J92" s="14" t="s">
        <v>77</v>
      </c>
      <c r="K92" s="14" t="s">
        <v>2244</v>
      </c>
      <c r="L92" s="14" t="s">
        <v>2246</v>
      </c>
      <c r="M92" s="14" t="s">
        <v>9158</v>
      </c>
      <c r="N92" s="14" t="s">
        <v>9158</v>
      </c>
      <c r="O92" s="14" t="s">
        <v>9158</v>
      </c>
      <c r="P92" s="14" t="s">
        <v>9158</v>
      </c>
      <c r="Q92" s="14" t="s">
        <v>9158</v>
      </c>
      <c r="R92" s="14" t="s">
        <v>175</v>
      </c>
    </row>
    <row r="93" spans="1:18">
      <c r="A93" s="9">
        <v>67901</v>
      </c>
      <c r="B93" s="14" t="s">
        <v>15</v>
      </c>
      <c r="C93" s="14" t="s">
        <v>158</v>
      </c>
      <c r="D93" s="14" t="s">
        <v>2242</v>
      </c>
      <c r="E93" s="15" t="str">
        <f>HYPERLINK("https://stat100.ameba.jp/tnk47/ratio20/illustrations/card/ill_67901_yokoin01.jpg?201812-2-RELEASE-unionbattle-383", "■")</f>
        <v>■</v>
      </c>
      <c r="F93" s="14" t="s">
        <v>2243</v>
      </c>
      <c r="G93" s="14">
        <v>46263</v>
      </c>
      <c r="H93" s="14">
        <v>33495</v>
      </c>
      <c r="I93" s="14">
        <v>21</v>
      </c>
      <c r="J93" s="14" t="s">
        <v>77</v>
      </c>
      <c r="K93" s="14" t="s">
        <v>2244</v>
      </c>
      <c r="L93" s="14" t="s">
        <v>1817</v>
      </c>
      <c r="M93" s="14" t="s">
        <v>9158</v>
      </c>
      <c r="N93" s="14" t="s">
        <v>9158</v>
      </c>
      <c r="O93" s="14" t="s">
        <v>9158</v>
      </c>
      <c r="P93" s="14" t="s">
        <v>9158</v>
      </c>
      <c r="Q93" s="14" t="s">
        <v>9158</v>
      </c>
      <c r="R93" s="14" t="s">
        <v>176</v>
      </c>
    </row>
    <row r="94" spans="1:18">
      <c r="A94" s="9">
        <v>67915</v>
      </c>
      <c r="B94" s="14" t="s">
        <v>334</v>
      </c>
      <c r="C94" s="14" t="s">
        <v>202</v>
      </c>
      <c r="D94" s="14" t="s">
        <v>2247</v>
      </c>
      <c r="E94" s="15" t="str">
        <f>HYPERLINK("https://stat100.ameba.jp/tnk47/ratio20/illustrations/card/ill_67915_kyokuteibakin05.jpg?201812-2-RELEASE-unionbattle-383", "■")</f>
        <v>■</v>
      </c>
      <c r="F94" s="14" t="s">
        <v>2248</v>
      </c>
      <c r="G94" s="14">
        <v>102515</v>
      </c>
      <c r="H94" s="14">
        <v>74225</v>
      </c>
      <c r="I94" s="14">
        <v>21</v>
      </c>
      <c r="J94" s="14" t="s">
        <v>16</v>
      </c>
      <c r="K94" s="14" t="s">
        <v>2249</v>
      </c>
      <c r="L94" s="14" t="s">
        <v>2100</v>
      </c>
      <c r="M94" s="14" t="s">
        <v>9158</v>
      </c>
      <c r="N94" s="14" t="s">
        <v>9158</v>
      </c>
      <c r="O94" s="14" t="s">
        <v>9158</v>
      </c>
      <c r="P94" s="14" t="s">
        <v>9158</v>
      </c>
      <c r="Q94" s="14" t="s">
        <v>9158</v>
      </c>
      <c r="R94" s="14" t="s">
        <v>174</v>
      </c>
    </row>
    <row r="95" spans="1:18">
      <c r="A95" s="9">
        <v>67913</v>
      </c>
      <c r="B95" s="14" t="s">
        <v>15</v>
      </c>
      <c r="C95" s="14" t="s">
        <v>154</v>
      </c>
      <c r="D95" s="14" t="s">
        <v>2247</v>
      </c>
      <c r="E95" s="15" t="str">
        <f>HYPERLINK("https://stat100.ameba.jp/tnk47/ratio20/illustrations/card/ill_67913_kyokuteibakin03.jpg?201812-2-RELEASE-unionbattle-383", "■")</f>
        <v>■</v>
      </c>
      <c r="F95" s="14" t="s">
        <v>2248</v>
      </c>
      <c r="G95" s="14">
        <v>75530</v>
      </c>
      <c r="H95" s="14">
        <v>54681</v>
      </c>
      <c r="I95" s="14">
        <v>21</v>
      </c>
      <c r="J95" s="14" t="s">
        <v>16</v>
      </c>
      <c r="K95" s="14" t="s">
        <v>2249</v>
      </c>
      <c r="L95" s="14" t="s">
        <v>2250</v>
      </c>
      <c r="M95" s="14" t="s">
        <v>9158</v>
      </c>
      <c r="N95" s="14" t="s">
        <v>9158</v>
      </c>
      <c r="O95" s="14" t="s">
        <v>9158</v>
      </c>
      <c r="P95" s="14" t="s">
        <v>9158</v>
      </c>
      <c r="Q95" s="14" t="s">
        <v>9158</v>
      </c>
      <c r="R95" s="14" t="s">
        <v>175</v>
      </c>
    </row>
    <row r="96" spans="1:18">
      <c r="A96" s="9">
        <v>67911</v>
      </c>
      <c r="B96" s="14" t="s">
        <v>15</v>
      </c>
      <c r="C96" s="14" t="s">
        <v>209</v>
      </c>
      <c r="D96" s="14" t="s">
        <v>2247</v>
      </c>
      <c r="E96" s="15" t="str">
        <f>HYPERLINK("https://stat100.ameba.jp/tnk47/ratio20/illustrations/card/ill_67911_kyokuteibakin01.jpg?201812-2-RELEASE-unionbattle-383", "■")</f>
        <v>■</v>
      </c>
      <c r="F96" s="14" t="s">
        <v>2248</v>
      </c>
      <c r="G96" s="14">
        <v>48048</v>
      </c>
      <c r="H96" s="14">
        <v>34797</v>
      </c>
      <c r="I96" s="14">
        <v>21</v>
      </c>
      <c r="J96" s="14" t="s">
        <v>16</v>
      </c>
      <c r="K96" s="14" t="s">
        <v>2249</v>
      </c>
      <c r="L96" s="14" t="s">
        <v>2251</v>
      </c>
      <c r="M96" s="14" t="s">
        <v>9158</v>
      </c>
      <c r="N96" s="14" t="s">
        <v>9158</v>
      </c>
      <c r="O96" s="14" t="s">
        <v>9158</v>
      </c>
      <c r="P96" s="14" t="s">
        <v>9158</v>
      </c>
      <c r="Q96" s="14" t="s">
        <v>9158</v>
      </c>
      <c r="R96" s="14" t="s">
        <v>176</v>
      </c>
    </row>
    <row r="97" spans="1:18">
      <c r="B97" s="14"/>
      <c r="C97" s="14"/>
      <c r="D97" s="14"/>
      <c r="F97" s="14"/>
      <c r="G97" s="14"/>
      <c r="H97" s="14"/>
      <c r="I97" s="14"/>
      <c r="J97" s="14"/>
      <c r="K97" s="14"/>
      <c r="L97" s="14"/>
      <c r="M97" s="14"/>
      <c r="N97" s="14"/>
      <c r="P97" s="14"/>
      <c r="Q97" s="14"/>
      <c r="R97" s="14"/>
    </row>
    <row r="98" spans="1:18">
      <c r="A98" s="14" t="s">
        <v>135</v>
      </c>
      <c r="D98" s="14"/>
      <c r="F98" s="14"/>
      <c r="G98" s="14"/>
      <c r="H98" s="14"/>
      <c r="I98" s="14"/>
      <c r="J98" s="14"/>
      <c r="K98" s="14"/>
      <c r="L98" s="14"/>
      <c r="M98" s="14"/>
      <c r="N98" s="14"/>
      <c r="P98" s="14"/>
      <c r="Q98" s="14"/>
      <c r="R98" s="14"/>
    </row>
    <row r="99" spans="1:18">
      <c r="A99" s="14" t="s">
        <v>2271</v>
      </c>
      <c r="B99" s="14"/>
      <c r="C99" s="14"/>
      <c r="D99" s="14"/>
      <c r="F99" s="14"/>
      <c r="G99" s="14"/>
      <c r="H99" s="14"/>
      <c r="I99" s="14"/>
      <c r="J99" s="14"/>
      <c r="K99" s="14"/>
      <c r="L99" s="14"/>
      <c r="M99" s="14"/>
      <c r="N99" s="14"/>
      <c r="P99" s="14"/>
      <c r="Q99" s="14"/>
      <c r="R99" s="14"/>
    </row>
    <row r="100" spans="1:18">
      <c r="A100" s="9" t="s">
        <v>5778</v>
      </c>
      <c r="B100" s="14" t="s">
        <v>52</v>
      </c>
      <c r="C100" s="14" t="s">
        <v>205</v>
      </c>
      <c r="D100" s="14" t="s">
        <v>2272</v>
      </c>
      <c r="E100" s="15" t="str">
        <f>HYPERLINK("https://stat100.ameba.jp/tnk47/ratio20/illustrations/card/ill_68783_0_gantammomotaro03.jpg?201812-3-RELEASE-dice-e-384", "■")</f>
        <v>■</v>
      </c>
      <c r="F100" s="14" t="s">
        <v>2273</v>
      </c>
      <c r="G100" s="14">
        <v>157306</v>
      </c>
      <c r="H100" s="14">
        <v>146235</v>
      </c>
      <c r="I100" s="14">
        <v>23</v>
      </c>
      <c r="J100" s="14" t="s">
        <v>155</v>
      </c>
      <c r="K100" s="14" t="s">
        <v>2274</v>
      </c>
      <c r="L100" s="14" t="s">
        <v>13174</v>
      </c>
      <c r="M100" s="14" t="s">
        <v>9158</v>
      </c>
      <c r="N100" s="14" t="s">
        <v>9158</v>
      </c>
      <c r="O100" s="17" t="s">
        <v>9992</v>
      </c>
      <c r="P100" s="14" t="s">
        <v>3451</v>
      </c>
      <c r="Q100" s="14">
        <v>1</v>
      </c>
      <c r="R100" s="14"/>
    </row>
    <row r="101" spans="1:18">
      <c r="A101" s="9">
        <v>63273</v>
      </c>
      <c r="B101" s="14" t="s">
        <v>0</v>
      </c>
      <c r="C101" s="14" t="s">
        <v>158</v>
      </c>
      <c r="D101" s="14" t="s">
        <v>2275</v>
      </c>
      <c r="E101" s="15" t="str">
        <f>HYPERLINK("https://stat100.ameba.jp/tnk47/ratio20/illustrations/card/ill_63273_tsukushimai03.jpg?201812-3-RELEASE-dice-e-384", "■")</f>
        <v>■</v>
      </c>
      <c r="F101" s="14" t="s">
        <v>1211</v>
      </c>
      <c r="G101" s="14">
        <v>107166</v>
      </c>
      <c r="H101" s="14">
        <v>77618</v>
      </c>
      <c r="I101" s="14">
        <v>21</v>
      </c>
      <c r="J101" s="14" t="s">
        <v>155</v>
      </c>
      <c r="K101" s="14" t="s">
        <v>2276</v>
      </c>
      <c r="L101" s="14" t="s">
        <v>13175</v>
      </c>
      <c r="M101" s="14" t="s">
        <v>9158</v>
      </c>
      <c r="N101" s="14" t="s">
        <v>9158</v>
      </c>
      <c r="O101" s="9" t="s">
        <v>3642</v>
      </c>
      <c r="P101" s="14" t="s">
        <v>13128</v>
      </c>
      <c r="Q101" s="14">
        <v>1</v>
      </c>
      <c r="R101" s="14"/>
    </row>
    <row r="102" spans="1:18">
      <c r="A102" s="9">
        <v>69533</v>
      </c>
      <c r="B102" s="14" t="s">
        <v>0</v>
      </c>
      <c r="C102" s="14" t="s">
        <v>191</v>
      </c>
      <c r="D102" s="14" t="s">
        <v>1835</v>
      </c>
      <c r="E102" s="15" t="str">
        <f>HYPERLINK("https://stat100.ameba.jp/tnk47/ratio20/illustrations/card/ill_69533_setsubunodainokata03.jpg?201812-3-RELEASE-dice-e-384", "■")</f>
        <v>■</v>
      </c>
      <c r="F102" s="14" t="s">
        <v>138</v>
      </c>
      <c r="G102" s="14">
        <v>82027</v>
      </c>
      <c r="H102" s="14">
        <v>76237</v>
      </c>
      <c r="I102" s="14">
        <v>21</v>
      </c>
      <c r="J102" s="14" t="s">
        <v>173</v>
      </c>
      <c r="K102" s="14" t="s">
        <v>193</v>
      </c>
      <c r="L102" s="14" t="s">
        <v>13134</v>
      </c>
      <c r="M102" s="14" t="s">
        <v>9158</v>
      </c>
      <c r="N102" s="14" t="s">
        <v>9158</v>
      </c>
      <c r="O102" s="17" t="s">
        <v>10055</v>
      </c>
      <c r="P102" s="14" t="s">
        <v>13124</v>
      </c>
      <c r="Q102" s="14">
        <v>1</v>
      </c>
      <c r="R102" s="14"/>
    </row>
    <row r="103" spans="1:18">
      <c r="A103" s="9">
        <v>66143</v>
      </c>
      <c r="B103" s="14" t="s">
        <v>0</v>
      </c>
      <c r="C103" s="14" t="s">
        <v>202</v>
      </c>
      <c r="D103" s="14" t="s">
        <v>2277</v>
      </c>
      <c r="E103" s="15" t="str">
        <f>HYPERLINK("https://stat100.ameba.jp/tnk47/ratio20/illustrations/card/ill_66143_goshunenanibasarikekichan03.jpg?201812-3-RELEASE-dice-e-384", "■")</f>
        <v>■</v>
      </c>
      <c r="F103" s="14" t="s">
        <v>2278</v>
      </c>
      <c r="G103" s="14">
        <v>92220</v>
      </c>
      <c r="H103" s="14">
        <v>99173</v>
      </c>
      <c r="I103" s="14">
        <v>21</v>
      </c>
      <c r="J103" s="14" t="s">
        <v>216</v>
      </c>
      <c r="K103" s="14" t="s">
        <v>2279</v>
      </c>
      <c r="L103" s="14" t="s">
        <v>13176</v>
      </c>
      <c r="M103" s="14" t="s">
        <v>9158</v>
      </c>
      <c r="N103" s="14" t="s">
        <v>9158</v>
      </c>
      <c r="O103" s="9" t="s">
        <v>3577</v>
      </c>
      <c r="P103" s="14" t="s">
        <v>13177</v>
      </c>
      <c r="Q103" s="14">
        <v>1</v>
      </c>
      <c r="R103" s="14"/>
    </row>
    <row r="104" spans="1:18">
      <c r="B104" s="14"/>
      <c r="C104" s="14"/>
      <c r="D104" s="14"/>
      <c r="F104" s="14"/>
      <c r="G104" s="14"/>
      <c r="H104" s="14"/>
      <c r="I104" s="14"/>
      <c r="J104" s="14"/>
      <c r="K104" s="14"/>
      <c r="L104" s="14"/>
      <c r="M104" s="14"/>
      <c r="N104" s="14"/>
      <c r="P104" s="14"/>
      <c r="Q104" s="14"/>
      <c r="R104" s="14"/>
    </row>
    <row r="105" spans="1:18">
      <c r="A105" s="14" t="s">
        <v>195</v>
      </c>
      <c r="D105" s="14"/>
      <c r="F105" s="14"/>
      <c r="G105" s="14"/>
      <c r="H105" s="14"/>
      <c r="I105" s="14"/>
      <c r="J105" s="14"/>
      <c r="K105" s="14"/>
      <c r="L105" s="14"/>
      <c r="M105" s="14"/>
      <c r="N105" s="14"/>
      <c r="P105" s="14"/>
      <c r="Q105" s="14"/>
      <c r="R105" s="14"/>
    </row>
    <row r="106" spans="1:18">
      <c r="A106" s="14" t="s">
        <v>2255</v>
      </c>
      <c r="B106" s="14"/>
      <c r="C106" s="14"/>
      <c r="D106" s="14"/>
      <c r="F106" s="14"/>
      <c r="G106" s="14"/>
      <c r="H106" s="14"/>
      <c r="I106" s="14"/>
      <c r="J106" s="14"/>
      <c r="K106" s="14"/>
      <c r="L106" s="14"/>
      <c r="M106" s="14"/>
      <c r="N106" s="14"/>
      <c r="P106" s="14"/>
      <c r="Q106" s="14"/>
      <c r="R106" s="14"/>
    </row>
    <row r="107" spans="1:18">
      <c r="A107" s="9">
        <v>62203</v>
      </c>
      <c r="B107" s="14" t="s">
        <v>334</v>
      </c>
      <c r="C107" s="14" t="s">
        <v>154</v>
      </c>
      <c r="D107" s="14" t="s">
        <v>2260</v>
      </c>
      <c r="E107" s="15" t="str">
        <f>HYPERLINK("https://stat100.ameba.jp/tnk47/ratio20/illustrations/card/ill_62203_keishoimmasahime03.jpg?201812-3-RELEASE-dice-e-384x", "■")</f>
        <v>■</v>
      </c>
      <c r="F107" s="14" t="s">
        <v>2261</v>
      </c>
      <c r="G107" s="14">
        <v>84214</v>
      </c>
      <c r="H107" s="14">
        <v>90574</v>
      </c>
      <c r="I107" s="14">
        <v>21</v>
      </c>
      <c r="J107" s="14" t="s">
        <v>77</v>
      </c>
      <c r="K107" s="14" t="s">
        <v>2262</v>
      </c>
      <c r="L107" s="14" t="s">
        <v>2263</v>
      </c>
      <c r="M107" s="14" t="s">
        <v>9158</v>
      </c>
      <c r="N107" s="14" t="s">
        <v>9158</v>
      </c>
      <c r="O107" s="14" t="s">
        <v>9158</v>
      </c>
      <c r="P107" s="14" t="s">
        <v>9158</v>
      </c>
      <c r="Q107" s="14" t="s">
        <v>9158</v>
      </c>
      <c r="R107" s="14"/>
    </row>
    <row r="108" spans="1:18">
      <c r="A108" s="9">
        <v>69723</v>
      </c>
      <c r="B108" s="14" t="s">
        <v>334</v>
      </c>
      <c r="C108" s="14" t="s">
        <v>158</v>
      </c>
      <c r="D108" s="14" t="s">
        <v>2256</v>
      </c>
      <c r="E108" s="15" t="str">
        <f>HYPERLINK("https://stat100.ameba.jp/tnk47/ratio20/illustrations/card/ill_69723_nakaurajurian03.jpg?201812-3-RELEASE-dice-e-384x", "■")</f>
        <v>■</v>
      </c>
      <c r="F108" s="14" t="s">
        <v>2257</v>
      </c>
      <c r="G108" s="14">
        <v>84214</v>
      </c>
      <c r="H108" s="14">
        <v>90574</v>
      </c>
      <c r="I108" s="14">
        <v>21</v>
      </c>
      <c r="J108" s="14" t="s">
        <v>173</v>
      </c>
      <c r="K108" s="14" t="s">
        <v>2258</v>
      </c>
      <c r="L108" s="14" t="s">
        <v>2259</v>
      </c>
      <c r="M108" s="14" t="s">
        <v>9158</v>
      </c>
      <c r="N108" s="14" t="s">
        <v>9158</v>
      </c>
      <c r="O108" s="14" t="s">
        <v>9158</v>
      </c>
      <c r="P108" s="14" t="s">
        <v>9158</v>
      </c>
      <c r="Q108" s="14" t="s">
        <v>9158</v>
      </c>
      <c r="R108" s="14"/>
    </row>
    <row r="109" spans="1:18">
      <c r="A109" s="9">
        <v>66053</v>
      </c>
      <c r="B109" s="14" t="s">
        <v>334</v>
      </c>
      <c r="C109" s="14" t="s">
        <v>205</v>
      </c>
      <c r="D109" s="14" t="s">
        <v>2264</v>
      </c>
      <c r="E109" s="15" t="str">
        <f>HYPERLINK("https://stat100.ameba.jp/tnk47/ratio20/illustrations/card/ill_66053_serebukushiyatamanokami03.jpg?201812-3-RELEASE-dice-e-384x", "■")</f>
        <v>■</v>
      </c>
      <c r="F109" s="14" t="s">
        <v>2265</v>
      </c>
      <c r="G109" s="14">
        <v>85657</v>
      </c>
      <c r="H109" s="14">
        <v>79634</v>
      </c>
      <c r="I109" s="14">
        <v>21</v>
      </c>
      <c r="J109" s="14" t="s">
        <v>44</v>
      </c>
      <c r="K109" s="14" t="s">
        <v>2266</v>
      </c>
      <c r="L109" s="14" t="s">
        <v>1860</v>
      </c>
      <c r="M109" s="14" t="s">
        <v>9158</v>
      </c>
      <c r="N109" s="14" t="s">
        <v>9158</v>
      </c>
      <c r="O109" s="14" t="s">
        <v>9158</v>
      </c>
      <c r="P109" s="14" t="s">
        <v>9158</v>
      </c>
      <c r="Q109" s="14" t="s">
        <v>9158</v>
      </c>
      <c r="R109" s="14"/>
    </row>
    <row r="110" spans="1:18">
      <c r="A110" s="9">
        <v>42413</v>
      </c>
      <c r="B110" s="14" t="s">
        <v>334</v>
      </c>
      <c r="C110" s="14" t="s">
        <v>200</v>
      </c>
      <c r="D110" s="14" t="s">
        <v>2267</v>
      </c>
      <c r="E110" s="15" t="str">
        <f>HYPERLINK("https://stat100.ameba.jp/tnk47/ratio20/illustrations/card/ill_42413_temma03.jpg?201812-3-RELEASE-dice-e-384x", "■")</f>
        <v>■</v>
      </c>
      <c r="F110" s="14" t="s">
        <v>2268</v>
      </c>
      <c r="G110" s="14">
        <v>75254</v>
      </c>
      <c r="H110" s="14">
        <v>80942</v>
      </c>
      <c r="I110" s="14">
        <v>21</v>
      </c>
      <c r="J110" s="14" t="s">
        <v>44</v>
      </c>
      <c r="K110" s="14" t="s">
        <v>2269</v>
      </c>
      <c r="L110" s="14" t="s">
        <v>2270</v>
      </c>
      <c r="M110" s="14" t="s">
        <v>9158</v>
      </c>
      <c r="N110" s="14" t="s">
        <v>9158</v>
      </c>
      <c r="O110" s="14" t="s">
        <v>9158</v>
      </c>
      <c r="P110" s="14" t="s">
        <v>9158</v>
      </c>
      <c r="Q110" s="14" t="s">
        <v>9158</v>
      </c>
      <c r="R110" s="14"/>
    </row>
    <row r="111" spans="1:18">
      <c r="B111" s="14"/>
      <c r="C111" s="14"/>
      <c r="D111" s="14"/>
      <c r="F111" s="14"/>
      <c r="G111" s="14"/>
      <c r="H111" s="14"/>
      <c r="I111" s="14"/>
      <c r="J111" s="14"/>
      <c r="K111" s="14"/>
      <c r="L111" s="14"/>
      <c r="M111" s="14"/>
      <c r="N111" s="14"/>
      <c r="P111" s="14"/>
      <c r="Q111" s="14"/>
      <c r="R111" s="14"/>
    </row>
    <row r="112" spans="1:18">
      <c r="A112" s="14" t="s">
        <v>199</v>
      </c>
      <c r="D112" s="14"/>
      <c r="F112" s="14"/>
      <c r="G112" s="14"/>
      <c r="H112" s="14"/>
      <c r="I112" s="14"/>
      <c r="J112" s="14"/>
      <c r="K112" s="14"/>
      <c r="L112" s="14"/>
      <c r="M112" s="14"/>
      <c r="N112" s="14"/>
      <c r="P112" s="14"/>
      <c r="Q112" s="14"/>
      <c r="R112" s="14"/>
    </row>
    <row r="113" spans="1:18">
      <c r="A113" s="14" t="s">
        <v>2280</v>
      </c>
      <c r="B113" s="14"/>
      <c r="C113" s="14"/>
      <c r="D113" s="14"/>
      <c r="F113" s="14"/>
      <c r="G113" s="14"/>
      <c r="H113" s="14"/>
      <c r="I113" s="14"/>
      <c r="J113" s="14"/>
      <c r="K113" s="14"/>
      <c r="L113" s="14"/>
      <c r="M113" s="14"/>
      <c r="N113" s="14"/>
      <c r="P113" s="14"/>
      <c r="Q113" s="14"/>
      <c r="R113" s="14"/>
    </row>
    <row r="114" spans="1:18">
      <c r="A114" s="9" t="s">
        <v>5607</v>
      </c>
      <c r="B114" s="14" t="s">
        <v>52</v>
      </c>
      <c r="C114" s="14" t="s">
        <v>200</v>
      </c>
      <c r="D114" s="14" t="s">
        <v>1039</v>
      </c>
      <c r="E114" s="15" t="str">
        <f>HYPERLINK("https://stat100.ameba.jp/tnk47/ratio20/illustrations/card/ill_58853_0_setsubumpanikkuhiratsukaraicho03.jpg?201812-3-RELEASE-dice-e-384x", "■")</f>
        <v>■</v>
      </c>
      <c r="F114" s="14" t="s">
        <v>1040</v>
      </c>
      <c r="G114" s="14">
        <v>94236</v>
      </c>
      <c r="H114" s="14">
        <v>83712</v>
      </c>
      <c r="I114" s="14">
        <v>15</v>
      </c>
      <c r="J114" s="14" t="s">
        <v>16</v>
      </c>
      <c r="K114" s="14" t="s">
        <v>1041</v>
      </c>
      <c r="L114" s="14" t="s">
        <v>1042</v>
      </c>
      <c r="M114" s="14" t="s">
        <v>9158</v>
      </c>
      <c r="N114" s="14" t="s">
        <v>9158</v>
      </c>
      <c r="O114" s="17" t="s">
        <v>10059</v>
      </c>
      <c r="P114" s="14" t="s">
        <v>2870</v>
      </c>
      <c r="Q114" s="14">
        <v>1</v>
      </c>
      <c r="R114" s="14"/>
    </row>
    <row r="115" spans="1:18">
      <c r="A115" s="9" t="s">
        <v>5606</v>
      </c>
      <c r="B115" s="14" t="s">
        <v>52</v>
      </c>
      <c r="C115" s="14" t="s">
        <v>206</v>
      </c>
      <c r="D115" s="14" t="s">
        <v>1011</v>
      </c>
      <c r="E115" s="15" t="str">
        <f>HYPERLINK("https://stat100.ameba.jp/tnk47/ratio20/illustrations/card/ill_72233_0_koinoboriryugujin03.jpg?201812-3-RELEASE-dice-e-384x", "■")</f>
        <v>■</v>
      </c>
      <c r="F115" s="14" t="s">
        <v>1012</v>
      </c>
      <c r="G115" s="14">
        <v>98395</v>
      </c>
      <c r="H115" s="14">
        <v>105833</v>
      </c>
      <c r="I115" s="14">
        <v>15</v>
      </c>
      <c r="J115" s="14" t="s">
        <v>44</v>
      </c>
      <c r="K115" s="14" t="s">
        <v>1013</v>
      </c>
      <c r="L115" s="14" t="s">
        <v>1014</v>
      </c>
      <c r="M115" s="14" t="s">
        <v>9158</v>
      </c>
      <c r="N115" s="14" t="s">
        <v>9158</v>
      </c>
      <c r="O115" s="9" t="s">
        <v>2940</v>
      </c>
      <c r="P115" s="14" t="s">
        <v>2941</v>
      </c>
      <c r="Q115" s="14">
        <v>2</v>
      </c>
      <c r="R115" s="14"/>
    </row>
    <row r="116" spans="1:18">
      <c r="A116" s="9" t="s">
        <v>6132</v>
      </c>
      <c r="B116" s="14" t="s">
        <v>52</v>
      </c>
      <c r="C116" s="14" t="s">
        <v>205</v>
      </c>
      <c r="D116" s="14" t="s">
        <v>2281</v>
      </c>
      <c r="E116" s="15" t="str">
        <f>HYPERLINK("https://stat100.ameba.jp/tnk47/ratio20/illustrations/card/ill_50693_0_hanamizugimimuratsuru03.jpg?201812-3-RELEASE-dice-e-384x", "■")</f>
        <v>■</v>
      </c>
      <c r="F116" s="14" t="s">
        <v>2282</v>
      </c>
      <c r="G116" s="14">
        <v>83712</v>
      </c>
      <c r="H116" s="14">
        <v>94236</v>
      </c>
      <c r="I116" s="14">
        <v>15</v>
      </c>
      <c r="J116" s="14" t="s">
        <v>143</v>
      </c>
      <c r="K116" s="14" t="s">
        <v>2283</v>
      </c>
      <c r="L116" s="14" t="s">
        <v>2284</v>
      </c>
      <c r="M116" s="14" t="s">
        <v>9158</v>
      </c>
      <c r="N116" s="14" t="s">
        <v>9158</v>
      </c>
      <c r="O116" s="14" t="s">
        <v>9158</v>
      </c>
      <c r="P116" s="14" t="s">
        <v>9158</v>
      </c>
      <c r="Q116" s="14" t="s">
        <v>9158</v>
      </c>
      <c r="R116" s="14"/>
    </row>
    <row r="117" spans="1:18">
      <c r="A117" s="9">
        <v>54643</v>
      </c>
      <c r="B117" s="14" t="s">
        <v>0</v>
      </c>
      <c r="C117" s="14" t="s">
        <v>264</v>
      </c>
      <c r="D117" s="14" t="s">
        <v>2285</v>
      </c>
      <c r="E117" s="15" t="str">
        <f>HYPERLINK("https://stat100.ameba.jp/tnk47/ratio20/illustrations/card/ill_54643_shirokishihakutsuru03.jpg?201812-3-RELEASE-dice-e-384x", "■")</f>
        <v>■</v>
      </c>
      <c r="F117" s="14" t="s">
        <v>2286</v>
      </c>
      <c r="G117" s="14">
        <v>78838</v>
      </c>
      <c r="H117" s="14">
        <v>84796</v>
      </c>
      <c r="I117" s="14">
        <v>22</v>
      </c>
      <c r="J117" s="14" t="s">
        <v>38</v>
      </c>
      <c r="K117" s="14" t="s">
        <v>2287</v>
      </c>
      <c r="L117" s="14" t="s">
        <v>2288</v>
      </c>
      <c r="M117" s="14" t="s">
        <v>9158</v>
      </c>
      <c r="N117" s="14" t="s">
        <v>9158</v>
      </c>
      <c r="O117" s="14" t="s">
        <v>9158</v>
      </c>
      <c r="P117" s="14" t="s">
        <v>9158</v>
      </c>
      <c r="Q117" s="14" t="s">
        <v>9158</v>
      </c>
      <c r="R117" s="14"/>
    </row>
    <row r="118" spans="1:18">
      <c r="A118" s="9">
        <v>59103</v>
      </c>
      <c r="B118" s="14" t="s">
        <v>0</v>
      </c>
      <c r="C118" s="14" t="s">
        <v>203</v>
      </c>
      <c r="D118" s="14" t="s">
        <v>2289</v>
      </c>
      <c r="E118" s="15" t="str">
        <f>HYPERLINK("https://stat100.ameba.jp/tnk47/ratio20/illustrations/card/ill_59103_hananodayuamao03.jpg?201812-3-RELEASE-dice-e-384x", "■")</f>
        <v>■</v>
      </c>
      <c r="F118" s="14" t="s">
        <v>2290</v>
      </c>
      <c r="G118" s="14">
        <v>96610</v>
      </c>
      <c r="H118" s="14">
        <v>103896</v>
      </c>
      <c r="I118" s="14">
        <v>22</v>
      </c>
      <c r="J118" s="14" t="s">
        <v>104</v>
      </c>
      <c r="K118" s="14" t="s">
        <v>2291</v>
      </c>
      <c r="L118" s="14" t="s">
        <v>1079</v>
      </c>
      <c r="M118" s="14" t="s">
        <v>9158</v>
      </c>
      <c r="N118" s="14" t="s">
        <v>9158</v>
      </c>
      <c r="O118" s="14" t="s">
        <v>9158</v>
      </c>
      <c r="P118" s="14" t="s">
        <v>9158</v>
      </c>
      <c r="Q118" s="14" t="s">
        <v>9158</v>
      </c>
      <c r="R118" s="14"/>
    </row>
    <row r="119" spans="1:18">
      <c r="A119" s="9">
        <v>59613</v>
      </c>
      <c r="B119" s="14" t="s">
        <v>0</v>
      </c>
      <c r="C119" s="14" t="s">
        <v>185</v>
      </c>
      <c r="D119" s="14" t="s">
        <v>2292</v>
      </c>
      <c r="E119" s="15" t="str">
        <f>HYPERLINK("https://stat100.ameba.jp/tnk47/ratio20/illustrations/card/ill_59613_oheyadaria03.jpg?201812-3-RELEASE-dice-e-384x", "■")</f>
        <v>■</v>
      </c>
      <c r="F119" s="14" t="s">
        <v>2293</v>
      </c>
      <c r="G119" s="14">
        <v>93514</v>
      </c>
      <c r="H119" s="14">
        <v>86934</v>
      </c>
      <c r="I119" s="14">
        <v>22</v>
      </c>
      <c r="J119" s="14" t="s">
        <v>26</v>
      </c>
      <c r="K119" s="14" t="s">
        <v>2294</v>
      </c>
      <c r="L119" s="14" t="s">
        <v>2295</v>
      </c>
      <c r="M119" s="14" t="s">
        <v>9158</v>
      </c>
      <c r="N119" s="14" t="s">
        <v>9158</v>
      </c>
      <c r="O119" s="9" t="s">
        <v>3609</v>
      </c>
      <c r="P119" s="14" t="s">
        <v>3610</v>
      </c>
      <c r="Q119" s="14">
        <v>1</v>
      </c>
      <c r="R119" s="14"/>
    </row>
    <row r="120" spans="1:18">
      <c r="B120" s="14"/>
      <c r="C120" s="14"/>
      <c r="D120" s="14"/>
      <c r="F120" s="14"/>
      <c r="G120" s="14"/>
      <c r="H120" s="14"/>
      <c r="I120" s="14"/>
      <c r="J120" s="14"/>
      <c r="K120" s="14"/>
      <c r="L120" s="14"/>
      <c r="M120" s="14"/>
      <c r="N120" s="14"/>
      <c r="P120" s="14"/>
      <c r="Q120" s="14"/>
      <c r="R120" s="14"/>
    </row>
    <row r="121" spans="1:18">
      <c r="A121" s="14" t="s">
        <v>1357</v>
      </c>
      <c r="D121" s="14"/>
      <c r="F121" s="14"/>
      <c r="G121" s="14"/>
      <c r="H121" s="14"/>
      <c r="I121" s="14"/>
      <c r="J121" s="14"/>
      <c r="K121" s="14"/>
      <c r="L121" s="14"/>
      <c r="M121" s="14"/>
      <c r="N121" s="14"/>
      <c r="P121" s="14"/>
      <c r="Q121" s="14"/>
      <c r="R121" s="14"/>
    </row>
    <row r="122" spans="1:18">
      <c r="A122" s="14" t="s">
        <v>2296</v>
      </c>
      <c r="B122" s="14"/>
      <c r="C122" s="14"/>
      <c r="D122" s="14"/>
      <c r="F122" s="14"/>
      <c r="G122" s="14"/>
      <c r="H122" s="14"/>
      <c r="I122" s="14"/>
      <c r="J122" s="14"/>
      <c r="K122" s="14"/>
      <c r="L122" s="14"/>
      <c r="M122" s="14"/>
      <c r="N122" s="14"/>
      <c r="P122" s="14"/>
      <c r="Q122" s="14"/>
      <c r="R122" s="14"/>
    </row>
    <row r="123" spans="1:18">
      <c r="A123" s="9" t="s">
        <v>5734</v>
      </c>
      <c r="B123" s="14" t="s">
        <v>52</v>
      </c>
      <c r="C123" s="14" t="s">
        <v>202</v>
      </c>
      <c r="D123" s="14" t="s">
        <v>2297</v>
      </c>
      <c r="E123" s="15" t="str">
        <f>HYPERLINK("https://stat100.ameba.jp/tnk47/ratio20/illustrations/card/ill_74593_0_natsuyuenchikoshihikari03.jpg?201812-3-RELEASE-dice-e-384x", "■")</f>
        <v>■</v>
      </c>
      <c r="F123" s="14" t="s">
        <v>2298</v>
      </c>
      <c r="G123" s="14">
        <v>162496</v>
      </c>
      <c r="H123" s="14">
        <v>151067</v>
      </c>
      <c r="I123" s="14">
        <v>15</v>
      </c>
      <c r="J123" s="14" t="s">
        <v>104</v>
      </c>
      <c r="K123" s="14" t="s">
        <v>2299</v>
      </c>
      <c r="L123" s="14" t="s">
        <v>2300</v>
      </c>
      <c r="M123" s="14" t="s">
        <v>9158</v>
      </c>
      <c r="N123" s="14" t="s">
        <v>9158</v>
      </c>
      <c r="O123" s="9" t="s">
        <v>2731</v>
      </c>
      <c r="P123" s="14" t="s">
        <v>2732</v>
      </c>
      <c r="Q123" s="14">
        <v>1</v>
      </c>
      <c r="R123" s="14"/>
    </row>
    <row r="124" spans="1:18">
      <c r="A124" s="9" t="s">
        <v>5897</v>
      </c>
      <c r="B124" s="14" t="s">
        <v>52</v>
      </c>
      <c r="C124" s="14" t="s">
        <v>200</v>
      </c>
      <c r="D124" s="14" t="s">
        <v>53</v>
      </c>
      <c r="E124" s="15" t="str">
        <f>HYPERLINK("https://stat100.ameba.jp/tnk47/ratio20/illustrations/card/ill_40913_0_reigyokudensetsufusehime03.jpg?201812-3-RELEASE-dice-e-384x", "■")</f>
        <v>■</v>
      </c>
      <c r="F124" s="14" t="s">
        <v>955</v>
      </c>
      <c r="G124" s="14">
        <v>82212</v>
      </c>
      <c r="H124" s="14">
        <v>87780</v>
      </c>
      <c r="I124" s="14">
        <v>15</v>
      </c>
      <c r="J124" s="14" t="s">
        <v>38</v>
      </c>
      <c r="K124" s="14" t="s">
        <v>956</v>
      </c>
      <c r="L124" s="14" t="s">
        <v>957</v>
      </c>
      <c r="M124" s="14" t="s">
        <v>9158</v>
      </c>
      <c r="N124" s="14" t="s">
        <v>9158</v>
      </c>
      <c r="O124" s="14" t="s">
        <v>9158</v>
      </c>
      <c r="P124" s="14" t="s">
        <v>9158</v>
      </c>
      <c r="Q124" s="14" t="s">
        <v>9158</v>
      </c>
      <c r="R124" s="14"/>
    </row>
    <row r="125" spans="1:18">
      <c r="A125" s="9" t="s">
        <v>5612</v>
      </c>
      <c r="B125" s="14" t="s">
        <v>52</v>
      </c>
      <c r="C125" s="14" t="s">
        <v>165</v>
      </c>
      <c r="D125" s="14" t="s">
        <v>1895</v>
      </c>
      <c r="E125" s="15" t="str">
        <f>HYPERLINK("https://stat100.ameba.jp/tnk47/ratio20/illustrations/card/ill_49193_0_onmyoudouabenoseimei03.jpg?201812-3-RELEASE-dice-e-384x", "■")</f>
        <v>■</v>
      </c>
      <c r="F125" s="14" t="s">
        <v>1896</v>
      </c>
      <c r="G125" s="14">
        <v>83712</v>
      </c>
      <c r="H125" s="14">
        <v>94236</v>
      </c>
      <c r="I125" s="14">
        <v>15</v>
      </c>
      <c r="J125" s="14" t="s">
        <v>10</v>
      </c>
      <c r="K125" s="14" t="s">
        <v>1897</v>
      </c>
      <c r="L125" s="14" t="s">
        <v>1898</v>
      </c>
      <c r="M125" s="14" t="s">
        <v>9158</v>
      </c>
      <c r="N125" s="14" t="s">
        <v>9158</v>
      </c>
      <c r="O125" s="14" t="s">
        <v>9158</v>
      </c>
      <c r="P125" s="14" t="s">
        <v>9158</v>
      </c>
      <c r="Q125" s="14" t="s">
        <v>9158</v>
      </c>
      <c r="R125" s="14"/>
    </row>
    <row r="126" spans="1:18">
      <c r="A126" s="9">
        <v>75973</v>
      </c>
      <c r="B126" s="14" t="s">
        <v>0</v>
      </c>
      <c r="C126" s="14" t="s">
        <v>154</v>
      </c>
      <c r="D126" s="14" t="s">
        <v>2301</v>
      </c>
      <c r="E126" s="15" t="str">
        <f>HYPERLINK("https://stat100.ameba.jp/tnk47/ratio20/illustrations/card/ill_75973_hojonomegamifuriggu03.jpg?201812-3-RELEASE-dice-e-384x", "■")</f>
        <v>■</v>
      </c>
      <c r="F126" s="14" t="s">
        <v>2302</v>
      </c>
      <c r="G126" s="14">
        <v>90870</v>
      </c>
      <c r="H126" s="14">
        <v>161516</v>
      </c>
      <c r="I126" s="14">
        <v>22</v>
      </c>
      <c r="J126" s="14" t="s">
        <v>104</v>
      </c>
      <c r="K126" s="14" t="s">
        <v>2303</v>
      </c>
      <c r="L126" s="14" t="s">
        <v>2304</v>
      </c>
      <c r="M126" s="14" t="s">
        <v>9158</v>
      </c>
      <c r="N126" s="14" t="s">
        <v>9158</v>
      </c>
      <c r="O126" s="14" t="s">
        <v>9158</v>
      </c>
      <c r="P126" s="14" t="s">
        <v>9158</v>
      </c>
      <c r="Q126" s="14" t="s">
        <v>9158</v>
      </c>
      <c r="R126" s="14"/>
    </row>
    <row r="127" spans="1:18">
      <c r="A127" s="9">
        <v>75203</v>
      </c>
      <c r="B127" s="14" t="s">
        <v>0</v>
      </c>
      <c r="C127" s="14" t="s">
        <v>154</v>
      </c>
      <c r="D127" s="14" t="s">
        <v>990</v>
      </c>
      <c r="E127" s="15" t="str">
        <f>HYPERLINK("https://stat100.ameba.jp/tnk47/ratio20/illustrations/card/ill_75203_hisuitsuraratsukainoyama03.jpg?201812-3-RELEASE-dice-e-384x", "■")</f>
        <v>■</v>
      </c>
      <c r="F127" s="14" t="s">
        <v>991</v>
      </c>
      <c r="G127" s="14">
        <v>97778</v>
      </c>
      <c r="H127" s="14">
        <v>90918</v>
      </c>
      <c r="I127" s="14">
        <v>22</v>
      </c>
      <c r="J127" s="14" t="s">
        <v>38</v>
      </c>
      <c r="K127" s="14" t="s">
        <v>992</v>
      </c>
      <c r="L127" s="14" t="s">
        <v>993</v>
      </c>
      <c r="M127" s="14" t="s">
        <v>9158</v>
      </c>
      <c r="N127" s="14" t="s">
        <v>9158</v>
      </c>
      <c r="O127" s="14" t="s">
        <v>9158</v>
      </c>
      <c r="P127" s="14" t="s">
        <v>9158</v>
      </c>
      <c r="Q127" s="14" t="s">
        <v>9158</v>
      </c>
      <c r="R127" s="14"/>
    </row>
    <row r="128" spans="1:18">
      <c r="A128" s="9">
        <v>78103</v>
      </c>
      <c r="B128" s="14" t="s">
        <v>0</v>
      </c>
      <c r="C128" s="14" t="s">
        <v>154</v>
      </c>
      <c r="D128" s="14" t="s">
        <v>2305</v>
      </c>
      <c r="E128" s="15" t="str">
        <f>HYPERLINK("https://stat100.ameba.jp/tnk47/ratio20/illustrations/card/ill_78103_santaokokunaitomea03.jpg?201812-3-RELEASE-dice-e-384x", "■")</f>
        <v>■</v>
      </c>
      <c r="F128" s="14" t="s">
        <v>2306</v>
      </c>
      <c r="G128" s="14">
        <v>113198</v>
      </c>
      <c r="H128" s="14">
        <v>63710</v>
      </c>
      <c r="I128" s="14">
        <v>22</v>
      </c>
      <c r="J128" s="14" t="s">
        <v>73</v>
      </c>
      <c r="K128" s="14" t="s">
        <v>2307</v>
      </c>
      <c r="L128" s="14" t="s">
        <v>2308</v>
      </c>
      <c r="M128" s="14" t="s">
        <v>9158</v>
      </c>
      <c r="N128" s="14" t="s">
        <v>9158</v>
      </c>
      <c r="O128" s="14" t="s">
        <v>9158</v>
      </c>
      <c r="P128" s="14" t="s">
        <v>9158</v>
      </c>
      <c r="Q128" s="14" t="s">
        <v>9158</v>
      </c>
      <c r="R128" s="14"/>
    </row>
    <row r="129" spans="1:18">
      <c r="A129" s="9">
        <v>57853</v>
      </c>
      <c r="B129" s="14" t="s">
        <v>15</v>
      </c>
      <c r="C129" s="14" t="s">
        <v>200</v>
      </c>
      <c r="D129" s="14" t="s">
        <v>997</v>
      </c>
      <c r="E129" s="15" t="str">
        <f>HYPERLINK("https://stat100.ameba.jp/tnk47/ratio20/illustrations/card/ill_57853_otokuchuruakaiteruko03.jpg?201812-3-RELEASE-dice-e-384x", "■")</f>
        <v>■</v>
      </c>
      <c r="F129" s="14" t="s">
        <v>998</v>
      </c>
      <c r="G129" s="14">
        <v>56456</v>
      </c>
      <c r="H129" s="14">
        <v>62244</v>
      </c>
      <c r="I129" s="14">
        <v>21</v>
      </c>
      <c r="J129" s="14" t="s">
        <v>143</v>
      </c>
      <c r="K129" s="14" t="s">
        <v>999</v>
      </c>
      <c r="L129" s="14" t="s">
        <v>1000</v>
      </c>
      <c r="M129" s="14" t="s">
        <v>9158</v>
      </c>
      <c r="N129" s="14" t="s">
        <v>9158</v>
      </c>
      <c r="O129" s="14" t="s">
        <v>9158</v>
      </c>
      <c r="P129" s="14" t="s">
        <v>9158</v>
      </c>
      <c r="Q129" s="14" t="s">
        <v>9158</v>
      </c>
      <c r="R129" s="14"/>
    </row>
    <row r="130" spans="1:18">
      <c r="A130" s="9">
        <v>57913</v>
      </c>
      <c r="B130" s="14" t="s">
        <v>15</v>
      </c>
      <c r="C130" s="14" t="s">
        <v>165</v>
      </c>
      <c r="D130" s="14" t="s">
        <v>1001</v>
      </c>
      <c r="E130" s="15" t="str">
        <f>HYPERLINK("https://stat100.ameba.jp/tnk47/ratio20/illustrations/card/ill_57913_otokuchurusahohime03.jpg?201812-3-RELEASE-dice-e-384x", "■")</f>
        <v>■</v>
      </c>
      <c r="F130" s="14" t="s">
        <v>1002</v>
      </c>
      <c r="G130" s="14">
        <v>62244</v>
      </c>
      <c r="H130" s="14">
        <v>56456</v>
      </c>
      <c r="I130" s="14">
        <v>21</v>
      </c>
      <c r="J130" s="14" t="s">
        <v>44</v>
      </c>
      <c r="K130" s="14" t="s">
        <v>1003</v>
      </c>
      <c r="L130" s="14" t="s">
        <v>1004</v>
      </c>
      <c r="M130" s="14" t="s">
        <v>9158</v>
      </c>
      <c r="N130" s="14" t="s">
        <v>9158</v>
      </c>
      <c r="O130" s="14" t="s">
        <v>9158</v>
      </c>
      <c r="P130" s="14" t="s">
        <v>9158</v>
      </c>
      <c r="Q130" s="14" t="s">
        <v>9158</v>
      </c>
      <c r="R130" s="14"/>
    </row>
    <row r="131" spans="1:18">
      <c r="A131" s="9">
        <v>55433</v>
      </c>
      <c r="B131" s="14" t="s">
        <v>15</v>
      </c>
      <c r="C131" s="14" t="s">
        <v>191</v>
      </c>
      <c r="D131" s="14" t="s">
        <v>1005</v>
      </c>
      <c r="E131" s="15" t="str">
        <f>HYPERLINK("https://stat100.ameba.jp/tnk47/ratio20/illustrations/card/ill_55433_bunkasaiodainokata03.jpg?201812-3-RELEASE-dice-e-384x", "■")</f>
        <v>■</v>
      </c>
      <c r="F131" s="14" t="s">
        <v>1006</v>
      </c>
      <c r="G131" s="14">
        <v>62244</v>
      </c>
      <c r="H131" s="14">
        <v>56456</v>
      </c>
      <c r="I131" s="14">
        <v>21</v>
      </c>
      <c r="J131" s="14" t="s">
        <v>10</v>
      </c>
      <c r="K131" s="14" t="s">
        <v>1007</v>
      </c>
      <c r="L131" s="14" t="s">
        <v>1008</v>
      </c>
      <c r="M131" s="14" t="s">
        <v>9158</v>
      </c>
      <c r="N131" s="14" t="s">
        <v>9158</v>
      </c>
      <c r="O131" s="14" t="s">
        <v>9158</v>
      </c>
      <c r="P131" s="14" t="s">
        <v>9158</v>
      </c>
      <c r="Q131" s="14" t="s">
        <v>9158</v>
      </c>
      <c r="R131" s="14"/>
    </row>
    <row r="132" spans="1:18">
      <c r="B132" s="14"/>
      <c r="C132" s="14"/>
      <c r="D132" s="14"/>
      <c r="F132" s="14"/>
      <c r="G132" s="14"/>
      <c r="H132" s="14"/>
      <c r="I132" s="14"/>
      <c r="J132" s="14"/>
      <c r="K132" s="14"/>
      <c r="L132" s="14"/>
      <c r="M132" s="14"/>
      <c r="N132" s="14"/>
      <c r="P132" s="14"/>
      <c r="Q132" s="14"/>
      <c r="R132" s="14"/>
    </row>
    <row r="133" spans="1:18">
      <c r="A133" s="14" t="s">
        <v>2309</v>
      </c>
      <c r="C133" s="14"/>
      <c r="F133" s="14"/>
      <c r="G133" s="14"/>
      <c r="H133" s="14"/>
      <c r="I133" s="14"/>
      <c r="J133" s="14"/>
      <c r="K133" s="14"/>
      <c r="L133" s="14"/>
      <c r="M133" s="14"/>
      <c r="N133" s="14"/>
      <c r="P133" s="14"/>
      <c r="Q133" s="14"/>
      <c r="R133" s="14"/>
    </row>
    <row r="134" spans="1:18">
      <c r="A134" s="14" t="s">
        <v>2310</v>
      </c>
      <c r="C134" s="14"/>
      <c r="D134" s="14"/>
      <c r="F134" s="14"/>
      <c r="G134" s="14"/>
      <c r="H134" s="14"/>
      <c r="I134" s="14"/>
      <c r="J134" s="14"/>
      <c r="K134" s="14"/>
      <c r="L134" s="14"/>
      <c r="M134" s="14"/>
      <c r="N134" s="14"/>
      <c r="P134" s="14"/>
      <c r="Q134" s="14"/>
      <c r="R134" s="14"/>
    </row>
    <row r="135" spans="1:18">
      <c r="A135" s="9" t="s">
        <v>8485</v>
      </c>
      <c r="B135" s="14"/>
      <c r="C135" s="14"/>
      <c r="D135" s="14"/>
      <c r="F135" s="14"/>
      <c r="G135" s="14"/>
      <c r="H135" s="14"/>
      <c r="I135" s="14"/>
      <c r="J135" s="14"/>
      <c r="K135" s="14"/>
      <c r="L135" s="14"/>
      <c r="M135" s="14"/>
      <c r="N135" s="14"/>
      <c r="P135" s="14"/>
      <c r="Q135" s="14"/>
      <c r="R135" s="14"/>
    </row>
    <row r="136" spans="1:18">
      <c r="A136" s="9" t="s">
        <v>5843</v>
      </c>
      <c r="B136" s="14" t="s">
        <v>52</v>
      </c>
      <c r="C136" s="14" t="s">
        <v>202</v>
      </c>
      <c r="D136" s="14" t="s">
        <v>2126</v>
      </c>
      <c r="E136" s="15" t="str">
        <f>HYPERLINK("https://stat100.ameba.jp/tnk47/ratio20/illustrations/card/ill_77963_0_kurisumasudaisakusentakiyashahime03.jpg?201812-3-RELEASE-dice-e-384x", "■")</f>
        <v>■</v>
      </c>
      <c r="F136" s="14" t="s">
        <v>2127</v>
      </c>
      <c r="G136" s="14">
        <v>184216</v>
      </c>
      <c r="H136" s="14">
        <v>166491</v>
      </c>
      <c r="I136" s="14">
        <v>15</v>
      </c>
      <c r="J136" s="14" t="s">
        <v>77</v>
      </c>
      <c r="K136" s="14" t="s">
        <v>2128</v>
      </c>
      <c r="L136" s="14" t="s">
        <v>2129</v>
      </c>
      <c r="M136" s="14" t="s">
        <v>9158</v>
      </c>
      <c r="N136" s="14" t="s">
        <v>9158</v>
      </c>
      <c r="O136" s="9" t="s">
        <v>3588</v>
      </c>
      <c r="P136" s="14" t="s">
        <v>3589</v>
      </c>
      <c r="Q136" s="14">
        <v>2</v>
      </c>
      <c r="R136" s="14"/>
    </row>
    <row r="137" spans="1:18">
      <c r="A137" s="9">
        <v>78213</v>
      </c>
      <c r="B137" s="14" t="s">
        <v>0</v>
      </c>
      <c r="C137" s="14" t="s">
        <v>191</v>
      </c>
      <c r="D137" s="14" t="s">
        <v>2312</v>
      </c>
      <c r="E137" s="15" t="str">
        <f>HYPERLINK("https://stat100.ameba.jp/tnk47/ratio20/illustrations/card/ill_78213_otomarijoshikaitaiyakichan03.jpg?201812-3-RELEASE-dice-e-384x", "■")</f>
        <v>■</v>
      </c>
      <c r="F137" s="14" t="s">
        <v>2313</v>
      </c>
      <c r="G137" s="14">
        <v>124839</v>
      </c>
      <c r="H137" s="14">
        <v>116076</v>
      </c>
      <c r="I137" s="14">
        <v>21</v>
      </c>
      <c r="J137" s="14" t="s">
        <v>104</v>
      </c>
      <c r="K137" s="14" t="s">
        <v>2314</v>
      </c>
      <c r="L137" s="14" t="s">
        <v>1029</v>
      </c>
      <c r="M137" s="14" t="s">
        <v>9158</v>
      </c>
      <c r="N137" s="14" t="s">
        <v>9158</v>
      </c>
      <c r="O137" s="14" t="s">
        <v>9158</v>
      </c>
      <c r="P137" s="14" t="s">
        <v>9158</v>
      </c>
      <c r="Q137" s="14" t="s">
        <v>9158</v>
      </c>
      <c r="R137" s="14"/>
    </row>
    <row r="138" spans="1:18">
      <c r="A138" s="9">
        <v>78223</v>
      </c>
      <c r="B138" s="14" t="s">
        <v>15</v>
      </c>
      <c r="C138" s="14" t="s">
        <v>205</v>
      </c>
      <c r="D138" s="14" t="s">
        <v>2315</v>
      </c>
      <c r="E138" s="15" t="str">
        <f>HYPERLINK("https://stat100.ameba.jp/tnk47/ratio20/illustrations/card/ill_78223_kurenootometsubaki03.jpg?201812-3-RELEASE-dice-e-384x", "■")</f>
        <v>■</v>
      </c>
      <c r="F138" s="14" t="s">
        <v>2316</v>
      </c>
      <c r="G138" s="14">
        <v>56456</v>
      </c>
      <c r="H138" s="14">
        <v>62244</v>
      </c>
      <c r="I138" s="14">
        <v>21</v>
      </c>
      <c r="J138" s="14" t="s">
        <v>38</v>
      </c>
      <c r="K138" s="14" t="s">
        <v>2317</v>
      </c>
      <c r="L138" s="14" t="s">
        <v>1753</v>
      </c>
      <c r="M138" s="14" t="s">
        <v>9158</v>
      </c>
      <c r="N138" s="14" t="s">
        <v>9158</v>
      </c>
      <c r="O138" s="14" t="s">
        <v>9158</v>
      </c>
      <c r="P138" s="14" t="s">
        <v>9158</v>
      </c>
      <c r="Q138" s="14" t="s">
        <v>9158</v>
      </c>
      <c r="R138" s="14"/>
    </row>
    <row r="139" spans="1:18">
      <c r="A139" s="9">
        <v>78233</v>
      </c>
      <c r="B139" s="14" t="s">
        <v>22</v>
      </c>
      <c r="C139" s="14" t="s">
        <v>185</v>
      </c>
      <c r="D139" s="14" t="s">
        <v>2318</v>
      </c>
      <c r="E139" s="15" t="str">
        <f>HYPERLINK("https://stat100.ameba.jp/tnk47/ratio20/illustrations/card/ill_78233_senreiniijimayae03.jpg?201812-3-RELEASE-dice-e-384x", "■")</f>
        <v>■</v>
      </c>
      <c r="F139" s="14" t="s">
        <v>2319</v>
      </c>
      <c r="G139" s="14">
        <v>43662</v>
      </c>
      <c r="H139" s="14">
        <v>36304</v>
      </c>
      <c r="I139" s="14">
        <v>21</v>
      </c>
      <c r="J139" s="14" t="s">
        <v>10</v>
      </c>
      <c r="K139" s="14" t="s">
        <v>2320</v>
      </c>
      <c r="L139" s="14" t="s">
        <v>2321</v>
      </c>
      <c r="M139" s="14" t="s">
        <v>9158</v>
      </c>
      <c r="N139" s="14" t="s">
        <v>9158</v>
      </c>
      <c r="O139" s="14" t="s">
        <v>9158</v>
      </c>
      <c r="P139" s="14" t="s">
        <v>9158</v>
      </c>
      <c r="Q139" s="14" t="s">
        <v>9158</v>
      </c>
      <c r="R139" s="14"/>
    </row>
    <row r="140" spans="1:18">
      <c r="A140" s="9">
        <v>78243</v>
      </c>
      <c r="B140" s="14" t="s">
        <v>30</v>
      </c>
      <c r="C140" s="14" t="s">
        <v>2311</v>
      </c>
      <c r="D140" s="14" t="s">
        <v>2322</v>
      </c>
      <c r="E140" s="15" t="str">
        <f>HYPERLINK("https://stat100.ameba.jp/tnk47/ratio20/illustrations/card/ill_78243_kanna03.jpg?201812-3-RELEASE-dice-e-384x", "■")</f>
        <v>■</v>
      </c>
      <c r="F140" s="14" t="s">
        <v>2323</v>
      </c>
      <c r="G140" s="14">
        <v>22200</v>
      </c>
      <c r="H140" s="14">
        <v>26434</v>
      </c>
      <c r="I140" s="14">
        <v>21</v>
      </c>
      <c r="J140" s="14" t="s">
        <v>26</v>
      </c>
      <c r="K140" s="14" t="s">
        <v>2324</v>
      </c>
      <c r="L140" s="14" t="s">
        <v>2221</v>
      </c>
      <c r="M140" s="14" t="s">
        <v>9158</v>
      </c>
      <c r="N140" s="14" t="s">
        <v>9158</v>
      </c>
      <c r="O140" s="14" t="s">
        <v>9158</v>
      </c>
      <c r="P140" s="14" t="s">
        <v>9158</v>
      </c>
      <c r="Q140" s="14" t="s">
        <v>9158</v>
      </c>
      <c r="R140" s="14"/>
    </row>
    <row r="141" spans="1:18">
      <c r="B141" s="14"/>
      <c r="C141" s="14"/>
      <c r="D141" s="14"/>
      <c r="F141" s="14"/>
      <c r="G141" s="14"/>
      <c r="H141" s="14"/>
      <c r="I141" s="14"/>
      <c r="J141" s="14"/>
      <c r="K141" s="14"/>
      <c r="L141" s="14"/>
      <c r="M141" s="14"/>
      <c r="N141" s="14"/>
      <c r="P141" s="14"/>
      <c r="Q141" s="14"/>
      <c r="R141" s="14"/>
    </row>
    <row r="142" spans="1:18">
      <c r="A142" s="14" t="s">
        <v>13336</v>
      </c>
      <c r="D142" s="14"/>
      <c r="F142" s="14"/>
      <c r="G142" s="14"/>
      <c r="H142" s="14"/>
      <c r="I142" s="14"/>
      <c r="J142" s="14"/>
      <c r="K142" s="14"/>
      <c r="L142" s="14"/>
      <c r="M142" s="14"/>
      <c r="N142" s="14"/>
      <c r="P142" s="14"/>
      <c r="Q142" s="14"/>
      <c r="R142" s="14"/>
    </row>
    <row r="143" spans="1:18">
      <c r="A143" s="14" t="s">
        <v>2325</v>
      </c>
      <c r="B143" s="14"/>
      <c r="C143" s="14"/>
      <c r="D143" s="14"/>
      <c r="F143" s="14"/>
      <c r="G143" s="14"/>
      <c r="H143" s="14"/>
      <c r="I143" s="14"/>
      <c r="J143" s="14"/>
      <c r="K143" s="14"/>
      <c r="L143" s="14"/>
      <c r="M143" s="14"/>
      <c r="N143" s="14"/>
      <c r="P143" s="14"/>
      <c r="Q143" s="14"/>
      <c r="R143" s="14"/>
    </row>
    <row r="144" spans="1:18">
      <c r="A144" s="9">
        <v>78095</v>
      </c>
      <c r="B144" s="14" t="s">
        <v>0</v>
      </c>
      <c r="C144" s="14" t="s">
        <v>202</v>
      </c>
      <c r="D144" s="14" t="s">
        <v>2326</v>
      </c>
      <c r="E144" s="15" t="str">
        <f>HYPERLINK("https://stat100.ameba.jp/tnk47/ratio20/illustrations/card/ill_78095_ryoribatorunakanotakeko05.jpg?201812-3-RELEASE-dice-e-384x", "■")</f>
        <v>■</v>
      </c>
      <c r="F144" s="14" t="s">
        <v>2327</v>
      </c>
      <c r="G144" s="14">
        <v>113992</v>
      </c>
      <c r="H144" s="14">
        <v>157434</v>
      </c>
      <c r="I144" s="14">
        <v>22</v>
      </c>
      <c r="J144" s="14" t="s">
        <v>194</v>
      </c>
      <c r="K144" s="14" t="s">
        <v>2328</v>
      </c>
      <c r="L144" s="14" t="s">
        <v>2329</v>
      </c>
      <c r="M144" s="14" t="s">
        <v>9158</v>
      </c>
      <c r="N144" s="14" t="s">
        <v>9158</v>
      </c>
      <c r="O144" s="14" t="s">
        <v>9158</v>
      </c>
      <c r="P144" s="14" t="s">
        <v>9158</v>
      </c>
      <c r="Q144" s="14" t="s">
        <v>9158</v>
      </c>
      <c r="R144" s="14" t="s">
        <v>174</v>
      </c>
    </row>
    <row r="145" spans="1:18">
      <c r="A145" s="9">
        <v>78093</v>
      </c>
      <c r="B145" s="14" t="s">
        <v>15</v>
      </c>
      <c r="C145" s="14" t="s">
        <v>154</v>
      </c>
      <c r="D145" s="14" t="s">
        <v>2326</v>
      </c>
      <c r="E145" s="15" t="str">
        <f>HYPERLINK("https://stat100.ameba.jp/tnk47/ratio20/illustrations/card/ill_78093_ryoribatorunakanotakeko03.jpg?201812-3-RELEASE-dice-e-384x", "■")</f>
        <v>■</v>
      </c>
      <c r="F145" s="14" t="s">
        <v>2327</v>
      </c>
      <c r="G145" s="14">
        <v>83986</v>
      </c>
      <c r="H145" s="14">
        <v>115996</v>
      </c>
      <c r="I145" s="14">
        <v>22</v>
      </c>
      <c r="J145" s="14" t="s">
        <v>194</v>
      </c>
      <c r="K145" s="14" t="s">
        <v>2328</v>
      </c>
      <c r="L145" s="14" t="s">
        <v>2330</v>
      </c>
      <c r="M145" s="14" t="s">
        <v>9158</v>
      </c>
      <c r="N145" s="14" t="s">
        <v>9158</v>
      </c>
      <c r="O145" s="14" t="s">
        <v>9158</v>
      </c>
      <c r="P145" s="14" t="s">
        <v>9158</v>
      </c>
      <c r="Q145" s="14" t="s">
        <v>9158</v>
      </c>
      <c r="R145" s="14" t="s">
        <v>175</v>
      </c>
    </row>
    <row r="146" spans="1:18">
      <c r="A146" s="9">
        <v>78091</v>
      </c>
      <c r="B146" s="14" t="s">
        <v>15</v>
      </c>
      <c r="C146" s="14" t="s">
        <v>154</v>
      </c>
      <c r="D146" s="14" t="s">
        <v>2326</v>
      </c>
      <c r="E146" s="15" t="str">
        <f>HYPERLINK("https://stat100.ameba.jp/tnk47/ratio20/illustrations/card/ill_78091_ryoribatorunakanotakeko01.jpg?201812-3-RELEASE-dice-e-384x", "■")</f>
        <v>■</v>
      </c>
      <c r="F146" s="14" t="s">
        <v>2327</v>
      </c>
      <c r="G146" s="14">
        <v>53438</v>
      </c>
      <c r="H146" s="14">
        <v>73788</v>
      </c>
      <c r="I146" s="14">
        <v>22</v>
      </c>
      <c r="J146" s="14" t="s">
        <v>194</v>
      </c>
      <c r="K146" s="14" t="s">
        <v>2328</v>
      </c>
      <c r="L146" s="14" t="s">
        <v>2331</v>
      </c>
      <c r="M146" s="14" t="s">
        <v>9158</v>
      </c>
      <c r="N146" s="14" t="s">
        <v>9158</v>
      </c>
      <c r="O146" s="14" t="s">
        <v>9158</v>
      </c>
      <c r="P146" s="14" t="s">
        <v>9158</v>
      </c>
      <c r="Q146" s="14" t="s">
        <v>9158</v>
      </c>
      <c r="R146" s="14" t="s">
        <v>176</v>
      </c>
    </row>
    <row r="147" spans="1:18">
      <c r="B147" s="14"/>
      <c r="C147" s="14"/>
      <c r="D147" s="14"/>
      <c r="F147" s="14"/>
      <c r="G147" s="14"/>
      <c r="H147" s="14"/>
      <c r="I147" s="14"/>
      <c r="J147" s="14"/>
      <c r="K147" s="14"/>
      <c r="L147" s="14"/>
      <c r="M147" s="14"/>
      <c r="N147" s="14"/>
      <c r="P147" s="14"/>
      <c r="Q147" s="14"/>
      <c r="R147" s="14"/>
    </row>
    <row r="148" spans="1:18">
      <c r="A148" s="14" t="s">
        <v>177</v>
      </c>
      <c r="D148" s="14"/>
      <c r="F148" s="14"/>
      <c r="G148" s="14"/>
      <c r="H148" s="14"/>
      <c r="I148" s="14"/>
      <c r="J148" s="14"/>
      <c r="K148" s="14"/>
      <c r="L148" s="14"/>
      <c r="M148" s="14"/>
      <c r="N148" s="14"/>
      <c r="P148" s="14"/>
      <c r="Q148" s="14"/>
      <c r="R148" s="14"/>
    </row>
    <row r="149" spans="1:18">
      <c r="A149" s="14" t="s">
        <v>2332</v>
      </c>
      <c r="B149" s="14"/>
      <c r="C149" s="14"/>
      <c r="D149" s="14"/>
      <c r="F149" s="14"/>
      <c r="G149" s="14"/>
      <c r="H149" s="14"/>
      <c r="I149" s="14"/>
      <c r="J149" s="14"/>
      <c r="K149" s="14"/>
      <c r="L149" s="14"/>
      <c r="M149" s="14"/>
      <c r="N149" s="14"/>
      <c r="P149" s="14"/>
      <c r="Q149" s="14"/>
      <c r="R149" s="14"/>
    </row>
    <row r="150" spans="1:18">
      <c r="A150" s="9" t="s">
        <v>5822</v>
      </c>
      <c r="B150" s="14" t="s">
        <v>52</v>
      </c>
      <c r="C150" s="14" t="s">
        <v>191</v>
      </c>
      <c r="D150" s="14" t="s">
        <v>898</v>
      </c>
      <c r="E150" s="15" t="str">
        <f>HYPERLINK("https://stat100.ameba.jp/tnk47/ratio20/illustrations/card/ill_71403_0_ohanamisanadayukimura03.jpg?201812-3-RELEASE-dice-e-384x", "■")</f>
        <v>■</v>
      </c>
      <c r="F150" s="14" t="s">
        <v>899</v>
      </c>
      <c r="G150" s="14">
        <v>140016</v>
      </c>
      <c r="H150" s="14">
        <v>130194</v>
      </c>
      <c r="I150" s="14">
        <v>15</v>
      </c>
      <c r="J150" s="14" t="s">
        <v>143</v>
      </c>
      <c r="K150" s="14" t="s">
        <v>900</v>
      </c>
      <c r="L150" s="14" t="s">
        <v>901</v>
      </c>
      <c r="M150" s="14" t="s">
        <v>9158</v>
      </c>
      <c r="N150" s="14" t="s">
        <v>9158</v>
      </c>
      <c r="O150" s="17" t="s">
        <v>10060</v>
      </c>
      <c r="P150" s="14" t="s">
        <v>3418</v>
      </c>
      <c r="Q150" s="14">
        <v>2</v>
      </c>
      <c r="R150" s="14"/>
    </row>
    <row r="151" spans="1:18">
      <c r="A151" s="9" t="s">
        <v>5618</v>
      </c>
      <c r="B151" s="14" t="s">
        <v>52</v>
      </c>
      <c r="C151" s="14" t="s">
        <v>200</v>
      </c>
      <c r="D151" s="14" t="s">
        <v>83</v>
      </c>
      <c r="E151" s="15" t="str">
        <f>HYPERLINK("https://stat100.ameba.jp/tnk47/ratio20/illustrations/card/ill_63173_0_minazukikonakaiteruko03.jpg?201812-3-RELEASE-dice-e-384x", "■")</f>
        <v>■</v>
      </c>
      <c r="F151" s="14" t="s">
        <v>1188</v>
      </c>
      <c r="G151" s="14">
        <v>130194</v>
      </c>
      <c r="H151" s="14">
        <v>140016</v>
      </c>
      <c r="I151" s="14">
        <v>15</v>
      </c>
      <c r="J151" s="14" t="s">
        <v>143</v>
      </c>
      <c r="K151" s="14" t="s">
        <v>1189</v>
      </c>
      <c r="L151" s="14" t="s">
        <v>1190</v>
      </c>
      <c r="M151" s="14" t="s">
        <v>9158</v>
      </c>
      <c r="N151" s="14" t="s">
        <v>9158</v>
      </c>
      <c r="O151" s="9" t="s">
        <v>3328</v>
      </c>
      <c r="P151" s="14" t="s">
        <v>3329</v>
      </c>
      <c r="Q151" s="14">
        <v>1</v>
      </c>
      <c r="R151" s="14"/>
    </row>
    <row r="152" spans="1:18">
      <c r="A152" s="9" t="s">
        <v>5902</v>
      </c>
      <c r="B152" s="14" t="s">
        <v>52</v>
      </c>
      <c r="C152" s="14" t="s">
        <v>206</v>
      </c>
      <c r="D152" s="14" t="s">
        <v>905</v>
      </c>
      <c r="E152" s="15" t="str">
        <f>HYPERLINK("https://stat100.ameba.jp/tnk47/ratio20/illustrations/card/ill_40343_0_heshikirihasebekurodakambe03.jpg?201812-3-RELEASE-dice-e-384x", "■")</f>
        <v>■</v>
      </c>
      <c r="F152" s="14" t="s">
        <v>906</v>
      </c>
      <c r="G152" s="14">
        <v>87780</v>
      </c>
      <c r="H152" s="14">
        <v>82212</v>
      </c>
      <c r="I152" s="14">
        <v>15</v>
      </c>
      <c r="J152" s="14" t="s">
        <v>16</v>
      </c>
      <c r="K152" s="14" t="s">
        <v>907</v>
      </c>
      <c r="L152" s="14" t="s">
        <v>908</v>
      </c>
      <c r="M152" s="14" t="s">
        <v>9158</v>
      </c>
      <c r="N152" s="14" t="s">
        <v>9158</v>
      </c>
      <c r="O152" s="14" t="s">
        <v>9158</v>
      </c>
      <c r="P152" s="14" t="s">
        <v>9158</v>
      </c>
      <c r="Q152" s="14" t="s">
        <v>9158</v>
      </c>
      <c r="R152" s="14"/>
    </row>
    <row r="153" spans="1:18">
      <c r="A153" s="9">
        <v>74403</v>
      </c>
      <c r="B153" s="14" t="s">
        <v>0</v>
      </c>
      <c r="C153" s="14" t="s">
        <v>206</v>
      </c>
      <c r="D153" s="14" t="s">
        <v>2333</v>
      </c>
      <c r="E153" s="15" t="str">
        <f>HYPERLINK("https://stat100.ameba.jp/tnk47/ratio20/illustrations/card/ill_74403_tsurugiyu03.jpg?201812-3-RELEASE-dice-e-384x", "■")</f>
        <v>■</v>
      </c>
      <c r="F153" s="14" t="s">
        <v>2334</v>
      </c>
      <c r="G153" s="14">
        <v>91178</v>
      </c>
      <c r="H153" s="14">
        <v>84772</v>
      </c>
      <c r="I153" s="14">
        <v>22</v>
      </c>
      <c r="J153" s="14" t="s">
        <v>73</v>
      </c>
      <c r="K153" s="14" t="s">
        <v>2335</v>
      </c>
      <c r="L153" s="14" t="s">
        <v>2336</v>
      </c>
      <c r="M153" s="14" t="s">
        <v>9158</v>
      </c>
      <c r="N153" s="14" t="s">
        <v>9158</v>
      </c>
      <c r="O153" s="9" t="s">
        <v>14964</v>
      </c>
      <c r="P153" s="9" t="s">
        <v>14965</v>
      </c>
      <c r="Q153" s="9">
        <v>1</v>
      </c>
      <c r="R153" s="14"/>
    </row>
    <row r="154" spans="1:18">
      <c r="A154" s="9">
        <v>76943</v>
      </c>
      <c r="B154" s="14" t="s">
        <v>0</v>
      </c>
      <c r="C154" s="14" t="s">
        <v>205</v>
      </c>
      <c r="D154" s="14" t="s">
        <v>2337</v>
      </c>
      <c r="E154" s="15" t="str">
        <f>HYPERLINK("https://stat100.ameba.jp/tnk47/ratio20/illustrations/card/ill_76943_azemichikarin03.jpg?201812-3-RELEASE-dice-e-384x", "■")</f>
        <v>■</v>
      </c>
      <c r="F154" s="14" t="s">
        <v>2338</v>
      </c>
      <c r="G154" s="14">
        <v>86934</v>
      </c>
      <c r="H154" s="14">
        <v>93500</v>
      </c>
      <c r="I154" s="14">
        <v>22</v>
      </c>
      <c r="J154" s="14" t="s">
        <v>77</v>
      </c>
      <c r="K154" s="14" t="s">
        <v>2339</v>
      </c>
      <c r="L154" s="14" t="s">
        <v>2340</v>
      </c>
      <c r="M154" s="14" t="s">
        <v>9158</v>
      </c>
      <c r="N154" s="14" t="s">
        <v>9158</v>
      </c>
      <c r="O154" s="14" t="s">
        <v>9158</v>
      </c>
      <c r="P154" s="14" t="s">
        <v>9158</v>
      </c>
      <c r="Q154" s="14" t="s">
        <v>9158</v>
      </c>
      <c r="R154" s="14"/>
    </row>
    <row r="155" spans="1:18">
      <c r="A155" s="9">
        <v>77723</v>
      </c>
      <c r="B155" s="14" t="s">
        <v>0</v>
      </c>
      <c r="C155" s="14" t="s">
        <v>200</v>
      </c>
      <c r="D155" s="14" t="s">
        <v>2341</v>
      </c>
      <c r="E155" s="15" t="str">
        <f>HYPERLINK("https://stat100.ameba.jp/tnk47/ratio20/illustrations/card/ill_77723_yami03.jpg?201812-3-RELEASE-dice-e-384x", "■")</f>
        <v>■</v>
      </c>
      <c r="F155" s="14" t="s">
        <v>2342</v>
      </c>
      <c r="G155" s="14">
        <v>84560</v>
      </c>
      <c r="H155" s="14">
        <v>90932</v>
      </c>
      <c r="I155" s="14">
        <v>22</v>
      </c>
      <c r="J155" s="14" t="s">
        <v>44</v>
      </c>
      <c r="K155" s="14" t="s">
        <v>2343</v>
      </c>
      <c r="L155" s="14" t="s">
        <v>2344</v>
      </c>
      <c r="M155" s="14" t="s">
        <v>9158</v>
      </c>
      <c r="N155" s="14" t="s">
        <v>9158</v>
      </c>
      <c r="O155" s="14" t="s">
        <v>9158</v>
      </c>
      <c r="P155" s="14" t="s">
        <v>9158</v>
      </c>
      <c r="Q155" s="14" t="s">
        <v>9158</v>
      </c>
      <c r="R155" s="14"/>
    </row>
    <row r="156" spans="1:18">
      <c r="A156" s="9">
        <v>57723</v>
      </c>
      <c r="B156" s="14" t="s">
        <v>15</v>
      </c>
      <c r="C156" s="14" t="s">
        <v>206</v>
      </c>
      <c r="D156" s="14" t="s">
        <v>2188</v>
      </c>
      <c r="E156" s="15" t="str">
        <f>HYPERLINK("https://stat100.ameba.jp/tnk47/ratio20/illustrations/card/ill_57723_shogatsunisenjunanatamagusukuseiju03.jpg?201812-3-RELEASE-dice-e-384x", "■")</f>
        <v>■</v>
      </c>
      <c r="F156" s="14" t="s">
        <v>2189</v>
      </c>
      <c r="G156" s="14">
        <v>62244</v>
      </c>
      <c r="H156" s="14">
        <v>56456</v>
      </c>
      <c r="I156" s="14">
        <v>21</v>
      </c>
      <c r="J156" s="14" t="s">
        <v>16</v>
      </c>
      <c r="K156" s="14" t="s">
        <v>2190</v>
      </c>
      <c r="L156" s="14" t="s">
        <v>2191</v>
      </c>
      <c r="M156" s="14" t="s">
        <v>9158</v>
      </c>
      <c r="N156" s="14" t="s">
        <v>9158</v>
      </c>
      <c r="O156" s="14" t="s">
        <v>9158</v>
      </c>
      <c r="P156" s="14" t="s">
        <v>9158</v>
      </c>
      <c r="Q156" s="14" t="s">
        <v>9158</v>
      </c>
      <c r="R156" s="14"/>
    </row>
    <row r="157" spans="1:18">
      <c r="A157" s="9">
        <v>58823</v>
      </c>
      <c r="B157" s="14" t="s">
        <v>15</v>
      </c>
      <c r="C157" s="14" t="s">
        <v>185</v>
      </c>
      <c r="D157" s="14" t="s">
        <v>2192</v>
      </c>
      <c r="E157" s="15" t="str">
        <f>HYPERLINK("https://stat100.ameba.jp/tnk47/ratio20/illustrations/card/ill_58823_setsubumpanikkurepunkamui03.jpg?201812-3-RELEASE-dice-e-384x", "■")</f>
        <v>■</v>
      </c>
      <c r="F157" s="14" t="s">
        <v>2193</v>
      </c>
      <c r="G157" s="14">
        <v>62244</v>
      </c>
      <c r="H157" s="14">
        <v>56456</v>
      </c>
      <c r="I157" s="14">
        <v>21</v>
      </c>
      <c r="J157" s="14" t="s">
        <v>44</v>
      </c>
      <c r="K157" s="14" t="s">
        <v>2194</v>
      </c>
      <c r="L157" s="14" t="s">
        <v>2195</v>
      </c>
      <c r="M157" s="14" t="s">
        <v>9158</v>
      </c>
      <c r="N157" s="14" t="s">
        <v>9158</v>
      </c>
      <c r="O157" s="14" t="s">
        <v>9158</v>
      </c>
      <c r="P157" s="14" t="s">
        <v>9158</v>
      </c>
      <c r="Q157" s="14" t="s">
        <v>9158</v>
      </c>
      <c r="R157" s="14"/>
    </row>
    <row r="158" spans="1:18">
      <c r="A158" s="9">
        <v>61873</v>
      </c>
      <c r="B158" s="14" t="s">
        <v>15</v>
      </c>
      <c r="C158" s="14" t="s">
        <v>165</v>
      </c>
      <c r="D158" s="14" t="s">
        <v>2196</v>
      </c>
      <c r="E158" s="15" t="str">
        <f>HYPERLINK("https://stat100.ameba.jp/tnk47/ratio20/illustrations/card/ill_61873_onikirishunuregamidoji03.jpg?201812-3-RELEASE-dice-e-384x", "■")</f>
        <v>■</v>
      </c>
      <c r="F158" s="14" t="s">
        <v>2197</v>
      </c>
      <c r="G158" s="14">
        <v>62244</v>
      </c>
      <c r="H158" s="14">
        <v>56456</v>
      </c>
      <c r="I158" s="14">
        <v>21</v>
      </c>
      <c r="J158" s="14" t="s">
        <v>73</v>
      </c>
      <c r="K158" s="14" t="s">
        <v>2198</v>
      </c>
      <c r="L158" s="14" t="s">
        <v>2199</v>
      </c>
      <c r="M158" s="14" t="s">
        <v>9158</v>
      </c>
      <c r="N158" s="14" t="s">
        <v>9158</v>
      </c>
      <c r="O158" s="14" t="s">
        <v>9158</v>
      </c>
      <c r="P158" s="14" t="s">
        <v>9158</v>
      </c>
      <c r="Q158" s="14" t="s">
        <v>9158</v>
      </c>
      <c r="R158" s="14"/>
    </row>
    <row r="159" spans="1:18">
      <c r="B159" s="14"/>
      <c r="C159" s="14"/>
      <c r="D159" s="14"/>
      <c r="F159" s="14"/>
      <c r="G159" s="14"/>
      <c r="H159" s="14"/>
      <c r="I159" s="14"/>
      <c r="J159" s="14"/>
      <c r="K159" s="14"/>
      <c r="L159" s="14"/>
      <c r="M159" s="14"/>
      <c r="N159" s="14"/>
      <c r="P159" s="14"/>
      <c r="Q159" s="14"/>
      <c r="R159" s="14"/>
    </row>
    <row r="160" spans="1:18">
      <c r="A160" s="14" t="s">
        <v>207</v>
      </c>
      <c r="D160" s="14"/>
      <c r="F160" s="14"/>
      <c r="G160" s="14"/>
      <c r="H160" s="14"/>
      <c r="I160" s="14"/>
      <c r="J160" s="14"/>
      <c r="K160" s="14"/>
      <c r="L160" s="14"/>
      <c r="M160" s="14"/>
      <c r="N160" s="14"/>
      <c r="P160" s="14"/>
      <c r="Q160" s="14"/>
      <c r="R160" s="14"/>
    </row>
    <row r="161" spans="1:19">
      <c r="A161" s="14" t="s">
        <v>2345</v>
      </c>
      <c r="B161" s="14"/>
      <c r="C161" s="14"/>
      <c r="D161" s="14"/>
      <c r="F161" s="14"/>
      <c r="G161" s="14"/>
      <c r="H161" s="14"/>
      <c r="I161" s="14"/>
      <c r="J161" s="14"/>
      <c r="K161" s="14"/>
      <c r="L161" s="14"/>
      <c r="M161" s="14"/>
      <c r="N161" s="14"/>
      <c r="P161" s="14"/>
      <c r="Q161" s="14"/>
      <c r="R161" s="14"/>
    </row>
    <row r="162" spans="1:19">
      <c r="A162" s="9" t="s">
        <v>5611</v>
      </c>
      <c r="B162" s="14" t="s">
        <v>52</v>
      </c>
      <c r="C162" s="14" t="s">
        <v>185</v>
      </c>
      <c r="D162" s="14" t="s">
        <v>951</v>
      </c>
      <c r="E162" s="15" t="str">
        <f>HYPERLINK("https://stat100.ameba.jp/tnk47/ratio20/illustrations/card/ill_60633_0_harumaisentoin03.jpg?201812-3-RELEASE-dice-e-384x", "■")</f>
        <v>■</v>
      </c>
      <c r="F162" s="14" t="s">
        <v>952</v>
      </c>
      <c r="G162" s="14">
        <v>133519</v>
      </c>
      <c r="H162" s="14">
        <v>143626</v>
      </c>
      <c r="I162" s="14">
        <v>21</v>
      </c>
      <c r="J162" s="14" t="s">
        <v>38</v>
      </c>
      <c r="K162" s="14" t="s">
        <v>953</v>
      </c>
      <c r="L162" s="14" t="s">
        <v>954</v>
      </c>
      <c r="M162" s="14" t="s">
        <v>9158</v>
      </c>
      <c r="N162" s="14" t="s">
        <v>9158</v>
      </c>
      <c r="O162" s="9" t="s">
        <v>2888</v>
      </c>
      <c r="P162" s="14" t="s">
        <v>3144</v>
      </c>
      <c r="Q162" s="14">
        <v>1</v>
      </c>
      <c r="R162" s="14"/>
    </row>
    <row r="163" spans="1:19">
      <c r="A163" s="9" t="s">
        <v>5608</v>
      </c>
      <c r="B163" s="14" t="s">
        <v>52</v>
      </c>
      <c r="C163" s="14" t="s">
        <v>165</v>
      </c>
      <c r="D163" s="14" t="s">
        <v>2037</v>
      </c>
      <c r="E163" s="15" t="str">
        <f>HYPERLINK("https://stat100.ameba.jp/tnk47/ratio20/illustrations/card/ill_40963_0_makami03.jpg?201812-3-RELEASE-dice-e-384x", "■")</f>
        <v>■</v>
      </c>
      <c r="F163" s="14" t="s">
        <v>2038</v>
      </c>
      <c r="G163" s="14">
        <v>122892</v>
      </c>
      <c r="H163" s="14">
        <v>115096</v>
      </c>
      <c r="I163" s="14">
        <v>21</v>
      </c>
      <c r="J163" s="14" t="s">
        <v>44</v>
      </c>
      <c r="K163" s="14" t="s">
        <v>2039</v>
      </c>
      <c r="L163" s="14" t="s">
        <v>2040</v>
      </c>
      <c r="M163" s="14" t="s">
        <v>9158</v>
      </c>
      <c r="N163" s="14" t="s">
        <v>9158</v>
      </c>
      <c r="O163" s="14" t="s">
        <v>9158</v>
      </c>
      <c r="P163" s="14" t="s">
        <v>9158</v>
      </c>
      <c r="Q163" s="14" t="s">
        <v>9158</v>
      </c>
      <c r="R163" s="14"/>
    </row>
    <row r="164" spans="1:19">
      <c r="A164" s="9" t="s">
        <v>5820</v>
      </c>
      <c r="B164" s="14" t="s">
        <v>52</v>
      </c>
      <c r="C164" s="14" t="s">
        <v>200</v>
      </c>
      <c r="D164" s="14" t="s">
        <v>2346</v>
      </c>
      <c r="E164" s="15" t="str">
        <f>HYPERLINK("https://stat100.ameba.jp/tnk47/ratio20/illustrations/card/ill_48283_0_kyuubitamamonomae03.jpg?201812-3-RELEASE-dice-e-384x", "■")</f>
        <v>■</v>
      </c>
      <c r="F164" s="14" t="s">
        <v>2347</v>
      </c>
      <c r="G164" s="14">
        <v>131930</v>
      </c>
      <c r="H164" s="14">
        <v>117196</v>
      </c>
      <c r="I164" s="14">
        <v>21</v>
      </c>
      <c r="J164" s="14" t="s">
        <v>73</v>
      </c>
      <c r="K164" s="14" t="s">
        <v>2348</v>
      </c>
      <c r="L164" s="14" t="s">
        <v>2349</v>
      </c>
      <c r="M164" s="14" t="s">
        <v>9158</v>
      </c>
      <c r="N164" s="14" t="s">
        <v>9158</v>
      </c>
      <c r="O164" s="14" t="s">
        <v>9158</v>
      </c>
      <c r="P164" s="14" t="s">
        <v>9158</v>
      </c>
      <c r="Q164" s="14" t="s">
        <v>9158</v>
      </c>
      <c r="R164" s="14"/>
    </row>
    <row r="165" spans="1:19">
      <c r="A165" s="9">
        <v>78213</v>
      </c>
      <c r="B165" s="14" t="s">
        <v>0</v>
      </c>
      <c r="C165" s="14" t="s">
        <v>191</v>
      </c>
      <c r="D165" s="14" t="s">
        <v>2312</v>
      </c>
      <c r="E165" s="15" t="str">
        <f>HYPERLINK("https://stat100.ameba.jp/tnk47/ratio20/illustrations/card/ill_78213_otomarijoshikaitaiyakichan03.jpg?201812-3-RELEASE-dice-e-384x", "■")</f>
        <v>■</v>
      </c>
      <c r="F165" s="14" t="s">
        <v>2313</v>
      </c>
      <c r="G165" s="14">
        <v>124839</v>
      </c>
      <c r="H165" s="14">
        <v>116076</v>
      </c>
      <c r="I165" s="14">
        <v>21</v>
      </c>
      <c r="J165" s="14" t="s">
        <v>104</v>
      </c>
      <c r="K165" s="14" t="s">
        <v>2314</v>
      </c>
      <c r="L165" s="14" t="s">
        <v>1029</v>
      </c>
      <c r="M165" s="14" t="s">
        <v>9158</v>
      </c>
      <c r="N165" s="14" t="s">
        <v>9158</v>
      </c>
      <c r="O165" s="14" t="s">
        <v>9158</v>
      </c>
      <c r="P165" s="14" t="s">
        <v>9158</v>
      </c>
      <c r="Q165" s="14" t="s">
        <v>9158</v>
      </c>
      <c r="R165" s="14"/>
    </row>
    <row r="166" spans="1:19">
      <c r="A166" s="9">
        <v>78223</v>
      </c>
      <c r="B166" s="14" t="s">
        <v>15</v>
      </c>
      <c r="C166" s="14" t="s">
        <v>205</v>
      </c>
      <c r="D166" s="14" t="s">
        <v>2315</v>
      </c>
      <c r="E166" s="15" t="str">
        <f>HYPERLINK("https://stat100.ameba.jp/tnk47/ratio20/illustrations/card/ill_78223_kurenootometsubaki03.jpg?201812-3-RELEASE-dice-e-384x", "■")</f>
        <v>■</v>
      </c>
      <c r="F166" s="14" t="s">
        <v>2316</v>
      </c>
      <c r="G166" s="14">
        <v>48390</v>
      </c>
      <c r="H166" s="14">
        <v>53352</v>
      </c>
      <c r="I166" s="14">
        <v>18</v>
      </c>
      <c r="J166" s="14" t="s">
        <v>38</v>
      </c>
      <c r="K166" s="14" t="s">
        <v>2317</v>
      </c>
      <c r="L166" s="14" t="s">
        <v>1753</v>
      </c>
      <c r="M166" s="14" t="s">
        <v>9158</v>
      </c>
      <c r="N166" s="14" t="s">
        <v>9158</v>
      </c>
      <c r="O166" s="14" t="s">
        <v>9158</v>
      </c>
      <c r="P166" s="14" t="s">
        <v>9158</v>
      </c>
      <c r="Q166" s="14" t="s">
        <v>9158</v>
      </c>
      <c r="R166" s="14"/>
    </row>
    <row r="167" spans="1:19">
      <c r="A167" s="9">
        <v>78233</v>
      </c>
      <c r="B167" s="14" t="s">
        <v>22</v>
      </c>
      <c r="C167" s="14" t="s">
        <v>185</v>
      </c>
      <c r="D167" s="14" t="s">
        <v>2318</v>
      </c>
      <c r="E167" s="15" t="str">
        <f>HYPERLINK("https://stat100.ameba.jp/tnk47/ratio20/illustrations/card/ill_78233_senreiniijimayae03.jpg?201812-3-RELEASE-dice-e-384x", "■")</f>
        <v>■</v>
      </c>
      <c r="F167" s="14" t="s">
        <v>2319</v>
      </c>
      <c r="G167" s="14">
        <v>33266</v>
      </c>
      <c r="H167" s="14">
        <v>27660</v>
      </c>
      <c r="I167" s="14">
        <v>16</v>
      </c>
      <c r="J167" s="14" t="s">
        <v>10</v>
      </c>
      <c r="K167" s="14" t="s">
        <v>2320</v>
      </c>
      <c r="L167" s="14" t="s">
        <v>2321</v>
      </c>
      <c r="M167" s="14" t="s">
        <v>9158</v>
      </c>
      <c r="N167" s="14" t="s">
        <v>9158</v>
      </c>
      <c r="O167" s="14" t="s">
        <v>9158</v>
      </c>
      <c r="P167" s="14" t="s">
        <v>9158</v>
      </c>
      <c r="Q167" s="14" t="s">
        <v>9158</v>
      </c>
      <c r="R167" s="14"/>
    </row>
    <row r="168" spans="1:19">
      <c r="A168" s="9">
        <v>78243</v>
      </c>
      <c r="B168" s="14" t="s">
        <v>30</v>
      </c>
      <c r="C168" s="14" t="s">
        <v>2311</v>
      </c>
      <c r="D168" s="14" t="s">
        <v>2322</v>
      </c>
      <c r="E168" s="15" t="str">
        <f>HYPERLINK("https://stat100.ameba.jp/tnk47/ratio20/illustrations/card/ill_78243_kanna03.jpg?201812-3-RELEASE-dice-e-384x", "■")</f>
        <v>■</v>
      </c>
      <c r="F168" s="14" t="s">
        <v>2323</v>
      </c>
      <c r="G168" s="14">
        <v>16914</v>
      </c>
      <c r="H168" s="14">
        <v>20140</v>
      </c>
      <c r="I168" s="14">
        <v>16</v>
      </c>
      <c r="J168" s="14" t="s">
        <v>26</v>
      </c>
      <c r="K168" s="14" t="s">
        <v>2324</v>
      </c>
      <c r="L168" s="14" t="s">
        <v>2221</v>
      </c>
      <c r="M168" s="14" t="s">
        <v>9158</v>
      </c>
      <c r="N168" s="14" t="s">
        <v>9158</v>
      </c>
      <c r="O168" s="14" t="s">
        <v>9158</v>
      </c>
      <c r="P168" s="14" t="s">
        <v>9158</v>
      </c>
      <c r="Q168" s="14" t="s">
        <v>9158</v>
      </c>
      <c r="R168" s="14"/>
    </row>
    <row r="169" spans="1:19">
      <c r="B169" s="14"/>
      <c r="C169" s="14"/>
      <c r="D169" s="14"/>
      <c r="F169" s="14"/>
      <c r="G169" s="14"/>
      <c r="H169" s="14"/>
      <c r="I169" s="14"/>
      <c r="J169" s="14"/>
      <c r="K169" s="14"/>
      <c r="L169" s="14"/>
      <c r="M169" s="14"/>
      <c r="N169" s="14"/>
      <c r="P169" s="14"/>
      <c r="Q169" s="14"/>
      <c r="R169" s="14"/>
    </row>
    <row r="170" spans="1:19">
      <c r="A170" s="14" t="s">
        <v>208</v>
      </c>
      <c r="D170" s="14"/>
      <c r="F170" s="14"/>
      <c r="G170" s="14"/>
      <c r="H170" s="14"/>
      <c r="I170" s="14"/>
      <c r="J170" s="14"/>
      <c r="K170" s="14"/>
      <c r="L170" s="14"/>
      <c r="M170" s="14"/>
      <c r="N170" s="14"/>
      <c r="P170" s="14"/>
      <c r="Q170" s="14"/>
      <c r="R170" s="14"/>
    </row>
    <row r="171" spans="1:19">
      <c r="A171" s="14" t="s">
        <v>2350</v>
      </c>
      <c r="B171" s="14"/>
      <c r="C171" s="14"/>
      <c r="D171" s="14"/>
      <c r="F171" s="14"/>
      <c r="G171" s="14"/>
      <c r="H171" s="14"/>
      <c r="I171" s="14"/>
      <c r="J171" s="14"/>
      <c r="K171" s="14"/>
      <c r="L171" s="14"/>
      <c r="M171" s="14"/>
      <c r="N171" s="14"/>
      <c r="P171" s="14"/>
      <c r="Q171" s="14"/>
      <c r="R171" s="14"/>
    </row>
    <row r="172" spans="1:19">
      <c r="A172" s="9" t="s">
        <v>5617</v>
      </c>
      <c r="B172" s="14" t="s">
        <v>52</v>
      </c>
      <c r="C172" s="14" t="s">
        <v>165</v>
      </c>
      <c r="D172" s="14" t="s">
        <v>982</v>
      </c>
      <c r="E172" s="15" t="str">
        <f>HYPERLINK("https://stat100.ameba.jp/tnk47/ratio20/illustrations/card/ill_59673_0_oheyashutendoji03.jpg?201812-3-RELEASE-dice-e-384x", "■")</f>
        <v>■</v>
      </c>
      <c r="F172" s="14" t="s">
        <v>983</v>
      </c>
      <c r="G172" s="14">
        <v>105545</v>
      </c>
      <c r="H172" s="14">
        <v>113525</v>
      </c>
      <c r="I172" s="14">
        <v>15</v>
      </c>
      <c r="J172" s="14" t="s">
        <v>73</v>
      </c>
      <c r="K172" s="14" t="s">
        <v>984</v>
      </c>
      <c r="L172" s="14" t="s">
        <v>985</v>
      </c>
      <c r="M172" s="14" t="s">
        <v>9158</v>
      </c>
      <c r="N172" s="14" t="s">
        <v>9158</v>
      </c>
      <c r="O172" s="17" t="s">
        <v>10058</v>
      </c>
      <c r="P172" s="14" t="s">
        <v>3022</v>
      </c>
      <c r="Q172" s="14">
        <v>1</v>
      </c>
      <c r="R172" s="14"/>
    </row>
    <row r="173" spans="1:19">
      <c r="A173" s="9" t="s">
        <v>5614</v>
      </c>
      <c r="B173" s="14" t="s">
        <v>52</v>
      </c>
      <c r="C173" s="14" t="s">
        <v>205</v>
      </c>
      <c r="D173" s="14" t="s">
        <v>947</v>
      </c>
      <c r="E173" s="15" t="str">
        <f>HYPERLINK("https://stat100.ameba.jp/tnk47/ratio20/illustrations/card/ill_56223_0_onsempanikkugohime03.jpg?201812-3-RELEASE-dice-e-384x", "■")</f>
        <v>■</v>
      </c>
      <c r="F173" s="14" t="s">
        <v>948</v>
      </c>
      <c r="G173" s="14">
        <v>83712</v>
      </c>
      <c r="H173" s="14">
        <v>94236</v>
      </c>
      <c r="I173" s="14">
        <v>15</v>
      </c>
      <c r="J173" s="14" t="s">
        <v>77</v>
      </c>
      <c r="K173" s="14" t="s">
        <v>949</v>
      </c>
      <c r="L173" s="14" t="s">
        <v>950</v>
      </c>
      <c r="M173" s="14" t="s">
        <v>9158</v>
      </c>
      <c r="N173" s="14" t="s">
        <v>9158</v>
      </c>
      <c r="O173" s="9" t="s">
        <v>3021</v>
      </c>
      <c r="P173" s="14" t="s">
        <v>2890</v>
      </c>
      <c r="Q173" s="14">
        <v>1</v>
      </c>
      <c r="R173" s="14"/>
    </row>
    <row r="174" spans="1:19">
      <c r="A174" s="9" t="s">
        <v>5616</v>
      </c>
      <c r="B174" s="14" t="s">
        <v>52</v>
      </c>
      <c r="C174" s="14" t="s">
        <v>185</v>
      </c>
      <c r="D174" s="14" t="s">
        <v>54</v>
      </c>
      <c r="E174" s="15" t="str">
        <f>HYPERLINK("https://stat100.ameba.jp/tnk47/ratio20/illustrations/card/ill_44253_0_dokuganryudatemasamune03.jpg?201812-3-RELEASE-dice-e-384x", "■")</f>
        <v>■</v>
      </c>
      <c r="F174" s="14" t="s">
        <v>1181</v>
      </c>
      <c r="G174" s="14">
        <v>82212</v>
      </c>
      <c r="H174" s="14">
        <v>87780</v>
      </c>
      <c r="I174" s="14">
        <v>15</v>
      </c>
      <c r="J174" s="14" t="s">
        <v>143</v>
      </c>
      <c r="K174" s="14" t="s">
        <v>1182</v>
      </c>
      <c r="L174" s="14" t="s">
        <v>1183</v>
      </c>
      <c r="M174" s="14" t="s">
        <v>9158</v>
      </c>
      <c r="N174" s="14" t="s">
        <v>9158</v>
      </c>
      <c r="O174" s="14" t="s">
        <v>9158</v>
      </c>
      <c r="P174" s="14" t="s">
        <v>9158</v>
      </c>
      <c r="Q174" s="14" t="s">
        <v>9158</v>
      </c>
      <c r="R174" s="14"/>
    </row>
    <row r="175" spans="1:19">
      <c r="A175" s="9">
        <v>50723</v>
      </c>
      <c r="B175" s="14" t="s">
        <v>0</v>
      </c>
      <c r="C175" s="14" t="s">
        <v>263</v>
      </c>
      <c r="D175" s="14" t="s">
        <v>2351</v>
      </c>
      <c r="E175" s="15" t="str">
        <f>HYPERLINK("https://stat100.ameba.jp/tnk47/ratio20/illustrations/card/ill_50723_ichikishimahime03.jpg?201812-3-RELEASE-dice-e-384x", "■")</f>
        <v>■</v>
      </c>
      <c r="F175" s="14" t="s">
        <v>2352</v>
      </c>
      <c r="G175" s="14">
        <v>89002</v>
      </c>
      <c r="H175" s="14">
        <v>81038</v>
      </c>
      <c r="I175" s="14">
        <v>22</v>
      </c>
      <c r="J175" s="14" t="s">
        <v>44</v>
      </c>
      <c r="K175" s="14" t="s">
        <v>2353</v>
      </c>
      <c r="L175" s="14" t="s">
        <v>2354</v>
      </c>
      <c r="M175" s="14" t="s">
        <v>9158</v>
      </c>
      <c r="N175" s="14" t="s">
        <v>9158</v>
      </c>
      <c r="O175" s="14" t="s">
        <v>9158</v>
      </c>
      <c r="P175" s="14" t="s">
        <v>9158</v>
      </c>
      <c r="Q175" s="14" t="s">
        <v>9158</v>
      </c>
      <c r="S175" s="14" t="s">
        <v>12930</v>
      </c>
    </row>
    <row r="176" spans="1:19">
      <c r="A176" s="9">
        <v>49703</v>
      </c>
      <c r="B176" s="14" t="s">
        <v>0</v>
      </c>
      <c r="C176" s="14" t="s">
        <v>264</v>
      </c>
      <c r="D176" s="14" t="s">
        <v>2355</v>
      </c>
      <c r="E176" s="15" t="str">
        <f>HYPERLINK("https://stat100.ameba.jp/tnk47/ratio20/illustrations/card/ill_49703_rodobaikukitaharasatoko03.jpg?201812-3-RELEASE-dice-e-384x", "■")</f>
        <v>■</v>
      </c>
      <c r="F176" s="14" t="s">
        <v>2356</v>
      </c>
      <c r="G176" s="14">
        <v>84796</v>
      </c>
      <c r="H176" s="14">
        <v>78838</v>
      </c>
      <c r="I176" s="14">
        <v>22</v>
      </c>
      <c r="J176" s="14" t="s">
        <v>10</v>
      </c>
      <c r="K176" s="14" t="s">
        <v>2357</v>
      </c>
      <c r="L176" s="14" t="s">
        <v>2358</v>
      </c>
      <c r="M176" s="14" t="s">
        <v>9158</v>
      </c>
      <c r="N176" s="14" t="s">
        <v>9158</v>
      </c>
      <c r="O176" s="14" t="s">
        <v>9158</v>
      </c>
      <c r="P176" s="14" t="s">
        <v>9158</v>
      </c>
      <c r="Q176" s="14" t="s">
        <v>9158</v>
      </c>
      <c r="S176" s="14" t="s">
        <v>12930</v>
      </c>
    </row>
    <row r="177" spans="1:19">
      <c r="A177" s="9">
        <v>57943</v>
      </c>
      <c r="B177" s="14" t="s">
        <v>0</v>
      </c>
      <c r="C177" s="14" t="s">
        <v>154</v>
      </c>
      <c r="D177" s="14" t="s">
        <v>2359</v>
      </c>
      <c r="E177" s="15" t="str">
        <f>HYPERLINK("https://stat100.ameba.jp/tnk47/ratio20/illustrations/card/ill_57943_uranaishishirohebihime03.jpg?201812-3-RELEASE-dice-e-384x", "■")</f>
        <v>■</v>
      </c>
      <c r="F177" s="14" t="s">
        <v>2360</v>
      </c>
      <c r="G177" s="14">
        <v>78838</v>
      </c>
      <c r="H177" s="14">
        <v>84796</v>
      </c>
      <c r="I177" s="14">
        <v>22</v>
      </c>
      <c r="J177" s="14" t="s">
        <v>38</v>
      </c>
      <c r="K177" s="14" t="s">
        <v>2361</v>
      </c>
      <c r="L177" s="14" t="s">
        <v>2362</v>
      </c>
      <c r="M177" s="14" t="s">
        <v>9158</v>
      </c>
      <c r="N177" s="14" t="s">
        <v>9158</v>
      </c>
      <c r="O177" s="14" t="s">
        <v>9158</v>
      </c>
      <c r="P177" s="14" t="s">
        <v>9158</v>
      </c>
      <c r="Q177" s="14" t="s">
        <v>9158</v>
      </c>
      <c r="S177" s="14" t="s">
        <v>11737</v>
      </c>
    </row>
    <row r="178" spans="1:19">
      <c r="A178" s="9">
        <v>55793</v>
      </c>
      <c r="B178" s="14" t="s">
        <v>15</v>
      </c>
      <c r="C178" s="14" t="s">
        <v>206</v>
      </c>
      <c r="D178" s="14" t="s">
        <v>2363</v>
      </c>
      <c r="E178" s="15" t="str">
        <f>HYPERLINK("https://stat100.ameba.jp/tnk47/ratio20/illustrations/card/ill_55793_nahaotsunahikimatsuri03.jpg?201812-3-RELEASE-dice-e-384x", "■")</f>
        <v>■</v>
      </c>
      <c r="F178" s="14" t="s">
        <v>2364</v>
      </c>
      <c r="G178" s="14">
        <v>65208</v>
      </c>
      <c r="H178" s="14">
        <v>59144</v>
      </c>
      <c r="I178" s="14">
        <v>22</v>
      </c>
      <c r="J178" s="14" t="s">
        <v>38</v>
      </c>
      <c r="K178" s="14" t="s">
        <v>2365</v>
      </c>
      <c r="L178" s="14" t="s">
        <v>40</v>
      </c>
      <c r="M178" s="14" t="s">
        <v>9158</v>
      </c>
      <c r="N178" s="14" t="s">
        <v>9158</v>
      </c>
      <c r="O178" s="14" t="s">
        <v>9158</v>
      </c>
      <c r="P178" s="14" t="s">
        <v>9158</v>
      </c>
      <c r="Q178" s="14" t="s">
        <v>9158</v>
      </c>
      <c r="S178" s="14" t="s">
        <v>11736</v>
      </c>
    </row>
    <row r="179" spans="1:19">
      <c r="A179" s="9">
        <v>33353</v>
      </c>
      <c r="B179" s="14" t="s">
        <v>15</v>
      </c>
      <c r="C179" s="14" t="s">
        <v>206</v>
      </c>
      <c r="D179" s="14" t="s">
        <v>2366</v>
      </c>
      <c r="E179" s="15" t="str">
        <f>HYPERLINK("https://stat100.ameba.jp/tnk47/ratio20/illustrations/card/ill_33353_akakanaja03.jpg?201812-3-RELEASE-dice-e-384x", "■")</f>
        <v>■</v>
      </c>
      <c r="F179" s="14" t="s">
        <v>2367</v>
      </c>
      <c r="G179" s="14">
        <v>60236</v>
      </c>
      <c r="H179" s="14">
        <v>53116</v>
      </c>
      <c r="I179" s="14">
        <v>22</v>
      </c>
      <c r="J179" s="14" t="s">
        <v>73</v>
      </c>
      <c r="K179" s="14" t="s">
        <v>2368</v>
      </c>
      <c r="L179" s="14" t="s">
        <v>2369</v>
      </c>
      <c r="M179" s="14" t="s">
        <v>9158</v>
      </c>
      <c r="N179" s="14" t="s">
        <v>9158</v>
      </c>
      <c r="O179" s="14" t="s">
        <v>9158</v>
      </c>
      <c r="P179" s="14" t="s">
        <v>9158</v>
      </c>
      <c r="Q179" s="14" t="s">
        <v>9158</v>
      </c>
      <c r="S179" s="14" t="s">
        <v>12930</v>
      </c>
    </row>
    <row r="180" spans="1:19">
      <c r="A180" s="9">
        <v>55983</v>
      </c>
      <c r="B180" s="14" t="s">
        <v>15</v>
      </c>
      <c r="C180" s="14" t="s">
        <v>206</v>
      </c>
      <c r="D180" s="14" t="s">
        <v>2370</v>
      </c>
      <c r="E180" s="15" t="str">
        <f>HYPERLINK("https://stat100.ameba.jp/tnk47/ratio20/illustrations/card/ill_55983_koregusu03.jpg?201812-3-RELEASE-dice-e-384x", "■")</f>
        <v>■</v>
      </c>
      <c r="F180" s="14" t="s">
        <v>2371</v>
      </c>
      <c r="G180" s="14">
        <v>65208</v>
      </c>
      <c r="H180" s="14">
        <v>59144</v>
      </c>
      <c r="I180" s="14">
        <v>22</v>
      </c>
      <c r="J180" s="14" t="s">
        <v>104</v>
      </c>
      <c r="K180" s="14" t="s">
        <v>2372</v>
      </c>
      <c r="L180" s="14" t="s">
        <v>2373</v>
      </c>
      <c r="M180" s="14" t="s">
        <v>9158</v>
      </c>
      <c r="N180" s="14" t="s">
        <v>9158</v>
      </c>
      <c r="O180" s="14" t="s">
        <v>9158</v>
      </c>
      <c r="P180" s="14" t="s">
        <v>9158</v>
      </c>
      <c r="Q180" s="14" t="s">
        <v>9158</v>
      </c>
      <c r="S180" s="14" t="s">
        <v>12930</v>
      </c>
    </row>
    <row r="181" spans="1:19">
      <c r="B181" s="14"/>
      <c r="C181" s="14"/>
      <c r="D181" s="14"/>
      <c r="F181" s="14"/>
      <c r="G181" s="14"/>
      <c r="H181" s="14"/>
      <c r="I181" s="14"/>
      <c r="J181" s="14"/>
      <c r="K181" s="14"/>
      <c r="L181" s="14"/>
      <c r="M181" s="14"/>
      <c r="N181" s="14"/>
      <c r="P181" s="14"/>
      <c r="Q181" s="14"/>
      <c r="R181" s="14"/>
    </row>
    <row r="182" spans="1:19">
      <c r="A182" s="14" t="s">
        <v>195</v>
      </c>
      <c r="D182" s="14"/>
      <c r="F182" s="14"/>
      <c r="G182" s="14"/>
      <c r="H182" s="14"/>
      <c r="I182" s="14"/>
      <c r="J182" s="14"/>
      <c r="K182" s="14"/>
      <c r="L182" s="14"/>
      <c r="M182" s="14"/>
      <c r="N182" s="14"/>
      <c r="P182" s="14"/>
      <c r="Q182" s="14"/>
      <c r="R182" s="14"/>
    </row>
    <row r="183" spans="1:19">
      <c r="A183" s="14" t="s">
        <v>2374</v>
      </c>
      <c r="B183" s="14"/>
      <c r="C183" s="14"/>
      <c r="D183" s="14"/>
      <c r="F183" s="14"/>
      <c r="G183" s="14"/>
      <c r="H183" s="14"/>
      <c r="I183" s="14"/>
      <c r="J183" s="14"/>
      <c r="K183" s="14"/>
      <c r="L183" s="14"/>
      <c r="M183" s="14"/>
      <c r="N183" s="14"/>
      <c r="P183" s="14"/>
      <c r="Q183" s="14"/>
      <c r="R183" s="14"/>
    </row>
    <row r="184" spans="1:19">
      <c r="A184" s="9">
        <v>76103</v>
      </c>
      <c r="B184" s="14" t="s">
        <v>334</v>
      </c>
      <c r="C184" s="14" t="s">
        <v>154</v>
      </c>
      <c r="D184" s="14" t="s">
        <v>570</v>
      </c>
      <c r="E184" s="15" t="str">
        <f>HYPERLINK("https://stat100.ameba.jp/tnk47/ratio20/illustrations/card/ill_76103_shibuaji03.jpg?201812-3-RELEASE-dice-e-384x", "■")</f>
        <v>■</v>
      </c>
      <c r="F184" s="14" t="s">
        <v>571</v>
      </c>
      <c r="G184" s="14">
        <v>90574</v>
      </c>
      <c r="H184" s="14">
        <v>84214</v>
      </c>
      <c r="I184" s="14">
        <v>21</v>
      </c>
      <c r="J184" s="14" t="s">
        <v>194</v>
      </c>
      <c r="K184" s="14" t="s">
        <v>196</v>
      </c>
      <c r="L184" s="14" t="s">
        <v>13135</v>
      </c>
      <c r="M184" s="14" t="s">
        <v>9158</v>
      </c>
      <c r="N184" s="14" t="s">
        <v>9158</v>
      </c>
      <c r="O184" s="14" t="s">
        <v>9158</v>
      </c>
      <c r="P184" s="14" t="s">
        <v>9158</v>
      </c>
      <c r="Q184" s="14" t="s">
        <v>9158</v>
      </c>
      <c r="R184" s="14"/>
    </row>
    <row r="185" spans="1:19">
      <c r="A185" s="9">
        <v>76113</v>
      </c>
      <c r="B185" s="14" t="s">
        <v>334</v>
      </c>
      <c r="C185" s="14" t="s">
        <v>158</v>
      </c>
      <c r="D185" s="14" t="s">
        <v>197</v>
      </c>
      <c r="E185" s="15" t="str">
        <f>HYPERLINK("https://stat100.ameba.jp/tnk47/ratio20/illustrations/card/ill_76113_jannudaruku03.jpg?201812-3-RELEASE-dice-e-384x", "■")</f>
        <v>■</v>
      </c>
      <c r="F185" s="14" t="s">
        <v>572</v>
      </c>
      <c r="G185" s="14">
        <v>90574</v>
      </c>
      <c r="H185" s="14">
        <v>84214</v>
      </c>
      <c r="I185" s="14">
        <v>21</v>
      </c>
      <c r="J185" s="14" t="s">
        <v>173</v>
      </c>
      <c r="K185" s="14" t="s">
        <v>198</v>
      </c>
      <c r="L185" s="14" t="s">
        <v>13136</v>
      </c>
      <c r="M185" s="14" t="s">
        <v>9158</v>
      </c>
      <c r="N185" s="14" t="s">
        <v>9158</v>
      </c>
      <c r="O185" s="14" t="s">
        <v>9158</v>
      </c>
      <c r="P185" s="14" t="s">
        <v>9158</v>
      </c>
      <c r="Q185" s="14" t="s">
        <v>9158</v>
      </c>
      <c r="R185" s="14"/>
    </row>
    <row r="186" spans="1:19">
      <c r="A186" s="9">
        <v>60983</v>
      </c>
      <c r="B186" s="14" t="s">
        <v>334</v>
      </c>
      <c r="C186" s="14" t="s">
        <v>205</v>
      </c>
      <c r="D186" s="14" t="s">
        <v>1352</v>
      </c>
      <c r="E186" s="15" t="str">
        <f>HYPERLINK("https://stat100.ameba.jp/tnk47/ratio20/illustrations/card/ill_60983_majutsushitsurunongaeshi03.jpg?201812-3-RELEASE-dice-e-384x", "■")</f>
        <v>■</v>
      </c>
      <c r="F186" s="14" t="s">
        <v>1494</v>
      </c>
      <c r="G186" s="14">
        <v>95836</v>
      </c>
      <c r="H186" s="14">
        <v>88948</v>
      </c>
      <c r="I186" s="14">
        <v>21</v>
      </c>
      <c r="J186" s="14" t="s">
        <v>155</v>
      </c>
      <c r="K186" s="14" t="s">
        <v>1353</v>
      </c>
      <c r="L186" s="14" t="s">
        <v>13162</v>
      </c>
      <c r="M186" s="14" t="s">
        <v>9158</v>
      </c>
      <c r="N186" s="14" t="s">
        <v>9158</v>
      </c>
      <c r="O186" s="14" t="s">
        <v>9158</v>
      </c>
      <c r="P186" s="14" t="s">
        <v>9158</v>
      </c>
      <c r="Q186" s="14" t="s">
        <v>9158</v>
      </c>
      <c r="R186" s="14"/>
    </row>
    <row r="187" spans="1:19">
      <c r="A187" s="9">
        <v>59923</v>
      </c>
      <c r="B187" s="14" t="s">
        <v>334</v>
      </c>
      <c r="C187" s="14" t="s">
        <v>191</v>
      </c>
      <c r="D187" s="14" t="s">
        <v>1354</v>
      </c>
      <c r="E187" s="15" t="str">
        <f>HYPERLINK("https://stat100.ameba.jp/tnk47/ratio20/illustrations/card/ill_59923_yuseikuroyuridensetsu03.jpg?201812-3-RELEASE-dice-e-384x", "■")</f>
        <v>■</v>
      </c>
      <c r="F187" s="14" t="s">
        <v>1495</v>
      </c>
      <c r="G187" s="14">
        <v>95836</v>
      </c>
      <c r="H187" s="14">
        <v>88948</v>
      </c>
      <c r="I187" s="14">
        <v>21</v>
      </c>
      <c r="J187" s="14" t="s">
        <v>155</v>
      </c>
      <c r="K187" s="14" t="s">
        <v>1355</v>
      </c>
      <c r="L187" s="14" t="s">
        <v>13163</v>
      </c>
      <c r="M187" s="14" t="s">
        <v>9158</v>
      </c>
      <c r="N187" s="14" t="s">
        <v>9158</v>
      </c>
      <c r="O187" s="14" t="s">
        <v>9158</v>
      </c>
      <c r="P187" s="14" t="s">
        <v>9158</v>
      </c>
      <c r="Q187" s="14" t="s">
        <v>9158</v>
      </c>
      <c r="R187" s="14"/>
    </row>
    <row r="188" spans="1:19">
      <c r="B188" s="14"/>
      <c r="C188" s="14"/>
      <c r="D188" s="14"/>
      <c r="F188" s="14"/>
      <c r="G188" s="14"/>
      <c r="H188" s="14"/>
      <c r="I188" s="14"/>
      <c r="J188" s="14"/>
      <c r="K188" s="14"/>
      <c r="L188" s="14"/>
      <c r="M188" s="14"/>
      <c r="N188" s="14"/>
      <c r="P188" s="14"/>
      <c r="Q188" s="14"/>
      <c r="R188" s="14"/>
    </row>
    <row r="189" spans="1:19">
      <c r="A189" s="14" t="s">
        <v>1214</v>
      </c>
      <c r="D189" s="14"/>
      <c r="F189" s="14"/>
      <c r="G189" s="14"/>
      <c r="H189" s="14"/>
      <c r="I189" s="14"/>
      <c r="J189" s="14"/>
      <c r="K189" s="14"/>
      <c r="L189" s="14"/>
      <c r="M189" s="14"/>
      <c r="N189" s="14"/>
      <c r="P189" s="14"/>
      <c r="Q189" s="14"/>
      <c r="R189" s="14"/>
    </row>
    <row r="190" spans="1:19">
      <c r="A190" s="14" t="s">
        <v>2376</v>
      </c>
      <c r="B190" s="14"/>
      <c r="C190" s="14"/>
      <c r="D190" s="14"/>
      <c r="F190" s="14"/>
      <c r="G190" s="14"/>
      <c r="H190" s="14"/>
      <c r="I190" s="14"/>
      <c r="J190" s="14"/>
      <c r="K190" s="14"/>
      <c r="L190" s="14"/>
      <c r="M190" s="14"/>
      <c r="N190" s="14"/>
      <c r="P190" s="14"/>
      <c r="Q190" s="14"/>
      <c r="R190" s="14"/>
    </row>
    <row r="191" spans="1:19">
      <c r="A191" s="9">
        <v>76073</v>
      </c>
      <c r="B191" s="14" t="s">
        <v>334</v>
      </c>
      <c r="C191" s="14" t="s">
        <v>154</v>
      </c>
      <c r="D191" s="14" t="s">
        <v>1216</v>
      </c>
      <c r="E191" s="15" t="str">
        <f>HYPERLINK("https://stat100.ameba.jp/tnk47/ratio20/illustrations/card/ill_76073_kokidogatapatobatora03.jpg?201812-3-RELEASE-dice-e-384x", "■")</f>
        <v>■</v>
      </c>
      <c r="F191" s="14" t="s">
        <v>1217</v>
      </c>
      <c r="G191" s="14">
        <v>134446</v>
      </c>
      <c r="H191" s="14">
        <v>125008</v>
      </c>
      <c r="I191" s="14">
        <v>22</v>
      </c>
      <c r="J191" s="14" t="s">
        <v>143</v>
      </c>
      <c r="K191" s="14" t="s">
        <v>1218</v>
      </c>
      <c r="L191" s="14" t="s">
        <v>1219</v>
      </c>
      <c r="M191" s="14" t="s">
        <v>9158</v>
      </c>
      <c r="N191" s="14" t="s">
        <v>9158</v>
      </c>
      <c r="O191" s="14" t="s">
        <v>9158</v>
      </c>
      <c r="P191" s="14" t="s">
        <v>9158</v>
      </c>
      <c r="Q191" s="14" t="s">
        <v>9158</v>
      </c>
      <c r="R191" s="14"/>
    </row>
    <row r="192" spans="1:19">
      <c r="A192" s="9">
        <v>76083</v>
      </c>
      <c r="B192" s="14" t="s">
        <v>334</v>
      </c>
      <c r="C192" s="14" t="s">
        <v>158</v>
      </c>
      <c r="D192" s="14" t="s">
        <v>1220</v>
      </c>
      <c r="E192" s="15" t="str">
        <f>HYPERLINK("https://stat100.ameba.jp/tnk47/ratio20/illustrations/card/ill_76083_dokutamedeikku03.jpg?201812-3-RELEASE-dice-e-384x", "■")</f>
        <v>■</v>
      </c>
      <c r="F192" s="14" t="s">
        <v>1221</v>
      </c>
      <c r="G192" s="14">
        <v>96610</v>
      </c>
      <c r="H192" s="14">
        <v>103888</v>
      </c>
      <c r="I192" s="14">
        <v>22</v>
      </c>
      <c r="J192" s="14" t="s">
        <v>16</v>
      </c>
      <c r="K192" s="14" t="s">
        <v>1222</v>
      </c>
      <c r="L192" s="14" t="s">
        <v>1223</v>
      </c>
      <c r="M192" s="14" t="s">
        <v>9158</v>
      </c>
      <c r="N192" s="14" t="s">
        <v>9158</v>
      </c>
      <c r="O192" s="14" t="s">
        <v>9158</v>
      </c>
      <c r="P192" s="14" t="s">
        <v>9158</v>
      </c>
      <c r="Q192" s="14" t="s">
        <v>9158</v>
      </c>
      <c r="R192" s="14"/>
    </row>
    <row r="193" spans="1:18">
      <c r="A193" s="9">
        <v>76093</v>
      </c>
      <c r="B193" s="14" t="s">
        <v>334</v>
      </c>
      <c r="C193" s="14" t="s">
        <v>202</v>
      </c>
      <c r="D193" s="14" t="s">
        <v>1224</v>
      </c>
      <c r="E193" s="15" t="str">
        <f>HYPERLINK("https://stat100.ameba.jp/tnk47/ratio20/illustrations/card/ill_76093_fuaiafuaita03.jpg?201812-3-RELEASE-dice-e-384x", "■")</f>
        <v>■</v>
      </c>
      <c r="F193" s="14" t="s">
        <v>1225</v>
      </c>
      <c r="G193" s="14">
        <v>96610</v>
      </c>
      <c r="H193" s="14">
        <v>103888</v>
      </c>
      <c r="I193" s="14">
        <v>22</v>
      </c>
      <c r="J193" s="14" t="s">
        <v>10</v>
      </c>
      <c r="K193" s="14" t="s">
        <v>1226</v>
      </c>
      <c r="L193" s="14" t="s">
        <v>1227</v>
      </c>
      <c r="M193" s="14" t="s">
        <v>9158</v>
      </c>
      <c r="N193" s="14" t="s">
        <v>9158</v>
      </c>
      <c r="O193" s="14" t="s">
        <v>9158</v>
      </c>
      <c r="P193" s="14" t="s">
        <v>9158</v>
      </c>
      <c r="Q193" s="14" t="s">
        <v>9158</v>
      </c>
      <c r="R193" s="14"/>
    </row>
    <row r="194" spans="1:18">
      <c r="A194" s="9">
        <v>74413</v>
      </c>
      <c r="B194" s="14" t="s">
        <v>334</v>
      </c>
      <c r="C194" s="14" t="s">
        <v>202</v>
      </c>
      <c r="D194" s="14" t="s">
        <v>36</v>
      </c>
      <c r="E194" s="15" t="str">
        <f>HYPERLINK("https://stat100.ameba.jp/tnk47/ratio20/illustrations/card/ill_74413_mutekisenkanyamato03.jpg?201812-3-RELEASE-dice-e-384x", "■")</f>
        <v>■</v>
      </c>
      <c r="F194" s="14" t="s">
        <v>37</v>
      </c>
      <c r="G194" s="14">
        <v>129556</v>
      </c>
      <c r="H194" s="14">
        <v>120470</v>
      </c>
      <c r="I194" s="14">
        <v>22</v>
      </c>
      <c r="J194" s="14" t="s">
        <v>38</v>
      </c>
      <c r="K194" s="14" t="s">
        <v>39</v>
      </c>
      <c r="L194" s="14" t="s">
        <v>40</v>
      </c>
      <c r="M194" s="14" t="s">
        <v>9158</v>
      </c>
      <c r="N194" s="14" t="s">
        <v>9158</v>
      </c>
      <c r="O194" s="14" t="s">
        <v>9158</v>
      </c>
      <c r="P194" s="14" t="s">
        <v>9158</v>
      </c>
      <c r="Q194" s="14" t="s">
        <v>9158</v>
      </c>
      <c r="R194" s="14"/>
    </row>
    <row r="195" spans="1:18">
      <c r="A195" s="9">
        <v>74373</v>
      </c>
      <c r="B195" s="14" t="s">
        <v>334</v>
      </c>
      <c r="C195" s="14" t="s">
        <v>158</v>
      </c>
      <c r="D195" s="14" t="s">
        <v>42</v>
      </c>
      <c r="E195" s="15" t="str">
        <f>HYPERLINK("https://stat100.ameba.jp/tnk47/ratio20/illustrations/card/ill_74373_shirasaginomaihimejijou03.jpg?201812-3-RELEASE-dice-e-384x", "■")</f>
        <v>■</v>
      </c>
      <c r="F195" s="14" t="s">
        <v>43</v>
      </c>
      <c r="G195" s="14">
        <v>86778</v>
      </c>
      <c r="H195" s="14">
        <v>80708</v>
      </c>
      <c r="I195" s="14">
        <v>22</v>
      </c>
      <c r="J195" s="14" t="s">
        <v>44</v>
      </c>
      <c r="K195" s="14" t="s">
        <v>45</v>
      </c>
      <c r="L195" s="14" t="s">
        <v>46</v>
      </c>
      <c r="M195" s="14" t="s">
        <v>9158</v>
      </c>
      <c r="N195" s="14" t="s">
        <v>9158</v>
      </c>
      <c r="O195" s="14" t="s">
        <v>9158</v>
      </c>
      <c r="P195" s="14" t="s">
        <v>9158</v>
      </c>
      <c r="Q195" s="14" t="s">
        <v>9158</v>
      </c>
      <c r="R195" s="14"/>
    </row>
    <row r="196" spans="1:18">
      <c r="A196" s="9">
        <v>74363</v>
      </c>
      <c r="B196" s="14" t="s">
        <v>334</v>
      </c>
      <c r="C196" s="14" t="s">
        <v>154</v>
      </c>
      <c r="D196" s="14" t="s">
        <v>48</v>
      </c>
      <c r="E196" s="15" t="str">
        <f>HYPERLINK("https://stat100.ameba.jp/tnk47/ratio20/illustrations/card/ill_74363_gantorikuren03.jpg?201812-3-RELEASE-dice-e-384x", "■")</f>
        <v>■</v>
      </c>
      <c r="F196" s="14" t="s">
        <v>49</v>
      </c>
      <c r="G196" s="14">
        <v>82978</v>
      </c>
      <c r="H196" s="14">
        <v>89222</v>
      </c>
      <c r="I196" s="14">
        <v>22</v>
      </c>
      <c r="J196" s="14" t="s">
        <v>26</v>
      </c>
      <c r="K196" s="14" t="s">
        <v>50</v>
      </c>
      <c r="L196" s="14" t="s">
        <v>12</v>
      </c>
      <c r="M196" s="14" t="s">
        <v>9158</v>
      </c>
      <c r="N196" s="14" t="s">
        <v>9158</v>
      </c>
      <c r="O196" s="14" t="s">
        <v>9158</v>
      </c>
      <c r="P196" s="14" t="s">
        <v>9158</v>
      </c>
      <c r="Q196" s="14" t="s">
        <v>9158</v>
      </c>
      <c r="R196" s="14"/>
    </row>
    <row r="197" spans="1:18">
      <c r="B197" s="14"/>
      <c r="C197" s="14"/>
      <c r="D197" s="14"/>
      <c r="F197" s="14"/>
      <c r="G197" s="14"/>
      <c r="H197" s="14"/>
      <c r="I197" s="14"/>
      <c r="J197" s="14"/>
      <c r="K197" s="14"/>
      <c r="L197" s="14"/>
      <c r="M197" s="14"/>
      <c r="N197" s="14"/>
      <c r="P197" s="14"/>
      <c r="Q197" s="14"/>
      <c r="R197" s="14"/>
    </row>
    <row r="198" spans="1:18">
      <c r="A198" s="14" t="s">
        <v>13326</v>
      </c>
      <c r="D198" s="14"/>
      <c r="F198" s="14"/>
      <c r="G198" s="14"/>
      <c r="H198" s="14"/>
      <c r="I198" s="14"/>
      <c r="J198" s="14"/>
      <c r="K198" s="14"/>
      <c r="L198" s="14"/>
      <c r="M198" s="14"/>
      <c r="N198" s="14"/>
      <c r="P198" s="14"/>
      <c r="Q198" s="14"/>
      <c r="R198" s="14"/>
    </row>
    <row r="199" spans="1:18">
      <c r="A199" s="14" t="s">
        <v>2375</v>
      </c>
      <c r="B199" s="14"/>
      <c r="C199" s="14"/>
      <c r="D199" s="14"/>
      <c r="F199" s="14"/>
      <c r="G199" s="14"/>
      <c r="H199" s="14"/>
      <c r="I199" s="14"/>
      <c r="J199" s="14"/>
      <c r="K199" s="14"/>
      <c r="L199" s="14"/>
      <c r="M199" s="14"/>
      <c r="N199" s="14"/>
      <c r="P199" s="14"/>
      <c r="Q199" s="14"/>
      <c r="R199" s="14"/>
    </row>
    <row r="200" spans="1:18">
      <c r="A200" s="9">
        <v>70073</v>
      </c>
      <c r="B200" s="14" t="s">
        <v>334</v>
      </c>
      <c r="C200" s="14" t="s">
        <v>185</v>
      </c>
      <c r="D200" s="14" t="s">
        <v>859</v>
      </c>
      <c r="E200" s="15" t="str">
        <f>HYPERLINK("https://stat100.ameba.jp/tnk47/ratio20/illustrations/card/ill_70073_muhime03.jpg?201812-3-RELEASE-dice-e-384x", "■")</f>
        <v>■</v>
      </c>
      <c r="F200" s="14" t="s">
        <v>860</v>
      </c>
      <c r="G200" s="14">
        <v>96121</v>
      </c>
      <c r="H200" s="14">
        <v>103384</v>
      </c>
      <c r="I200" s="14">
        <v>21</v>
      </c>
      <c r="J200" s="14" t="s">
        <v>315</v>
      </c>
      <c r="K200" s="14" t="s">
        <v>861</v>
      </c>
      <c r="L200" s="14" t="s">
        <v>862</v>
      </c>
      <c r="M200" s="14" t="s">
        <v>250</v>
      </c>
      <c r="N200" s="14" t="s">
        <v>251</v>
      </c>
      <c r="O200" s="14" t="s">
        <v>9158</v>
      </c>
      <c r="P200" s="14" t="s">
        <v>9158</v>
      </c>
      <c r="Q200" s="14" t="s">
        <v>9158</v>
      </c>
      <c r="R200" s="14"/>
    </row>
    <row r="201" spans="1:18">
      <c r="A201" s="9">
        <v>70072</v>
      </c>
      <c r="B201" s="14" t="s">
        <v>334</v>
      </c>
      <c r="C201" s="14" t="s">
        <v>185</v>
      </c>
      <c r="D201" s="14" t="s">
        <v>859</v>
      </c>
      <c r="E201" s="15" t="str">
        <f>HYPERLINK("https://stat100.ameba.jp/tnk47/ratio20/illustrations/card/ill_70072_muhime02.jpg?201812-3-RELEASE-dice-e-384x", "■")</f>
        <v>■</v>
      </c>
      <c r="F201" s="14" t="s">
        <v>860</v>
      </c>
      <c r="G201" s="14">
        <v>79610</v>
      </c>
      <c r="H201" s="14">
        <v>86423</v>
      </c>
      <c r="I201" s="14">
        <v>21</v>
      </c>
      <c r="J201" s="14" t="s">
        <v>315</v>
      </c>
      <c r="K201" s="14" t="s">
        <v>861</v>
      </c>
      <c r="L201" s="14" t="s">
        <v>862</v>
      </c>
      <c r="M201" s="14" t="s">
        <v>250</v>
      </c>
      <c r="N201" s="14" t="s">
        <v>251</v>
      </c>
      <c r="O201" s="14" t="s">
        <v>9158</v>
      </c>
      <c r="P201" s="14" t="s">
        <v>9158</v>
      </c>
      <c r="Q201" s="14" t="s">
        <v>9158</v>
      </c>
      <c r="R201" s="14"/>
    </row>
    <row r="202" spans="1:18">
      <c r="A202" s="9">
        <v>70071</v>
      </c>
      <c r="B202" s="14" t="s">
        <v>334</v>
      </c>
      <c r="C202" s="14" t="s">
        <v>185</v>
      </c>
      <c r="D202" s="14" t="s">
        <v>859</v>
      </c>
      <c r="E202" s="15" t="str">
        <f>HYPERLINK("https://stat100.ameba.jp/tnk47/ratio20/illustrations/card/ill_70071_muhime01.jpg?201812-3-RELEASE-dice-e-384x", "■")</f>
        <v>■</v>
      </c>
      <c r="F202" s="14" t="s">
        <v>860</v>
      </c>
      <c r="G202" s="14">
        <v>61425</v>
      </c>
      <c r="H202" s="14">
        <v>65982</v>
      </c>
      <c r="I202" s="14">
        <v>21</v>
      </c>
      <c r="J202" s="14" t="s">
        <v>315</v>
      </c>
      <c r="K202" s="14" t="s">
        <v>861</v>
      </c>
      <c r="L202" s="14" t="s">
        <v>862</v>
      </c>
      <c r="M202" s="14" t="s">
        <v>250</v>
      </c>
      <c r="N202" s="14" t="s">
        <v>251</v>
      </c>
      <c r="O202" s="14" t="s">
        <v>9158</v>
      </c>
      <c r="P202" s="14" t="s">
        <v>9158</v>
      </c>
      <c r="Q202" s="14" t="s">
        <v>9158</v>
      </c>
      <c r="R202" s="14"/>
    </row>
    <row r="203" spans="1:18">
      <c r="A203" s="9">
        <v>70083</v>
      </c>
      <c r="B203" s="14" t="s">
        <v>334</v>
      </c>
      <c r="C203" s="14" t="s">
        <v>200</v>
      </c>
      <c r="D203" s="14" t="s">
        <v>252</v>
      </c>
      <c r="E203" s="15" t="str">
        <f>HYPERLINK("https://stat100.ameba.jp/tnk47/ratio20/illustrations/card/ill_70083_kimurakaishu03.jpg?201812-3-RELEASE-dice-e-384x", "■")</f>
        <v>■</v>
      </c>
      <c r="F203" s="14" t="s">
        <v>863</v>
      </c>
      <c r="G203" s="14">
        <v>103384</v>
      </c>
      <c r="H203" s="14">
        <v>96121</v>
      </c>
      <c r="I203" s="14">
        <v>21</v>
      </c>
      <c r="J203" s="14" t="s">
        <v>173</v>
      </c>
      <c r="K203" s="14" t="s">
        <v>257</v>
      </c>
      <c r="L203" s="14" t="s">
        <v>9897</v>
      </c>
      <c r="M203" s="14" t="s">
        <v>250</v>
      </c>
      <c r="N203" s="14" t="s">
        <v>251</v>
      </c>
      <c r="O203" s="14" t="s">
        <v>9158</v>
      </c>
      <c r="P203" s="14" t="s">
        <v>9158</v>
      </c>
      <c r="Q203" s="14" t="s">
        <v>9158</v>
      </c>
      <c r="R203" s="14"/>
    </row>
    <row r="204" spans="1:18">
      <c r="A204" s="9">
        <v>70923</v>
      </c>
      <c r="B204" s="14" t="s">
        <v>334</v>
      </c>
      <c r="C204" s="14" t="s">
        <v>191</v>
      </c>
      <c r="D204" s="14" t="s">
        <v>253</v>
      </c>
      <c r="E204" s="15" t="str">
        <f>HYPERLINK("https://stat100.ameba.jp/tnk47/ratio20/illustrations/card/ill_70923_hidawagyu03.jpg?201812-3-RELEASE-dice-e-384x", "■")</f>
        <v>■</v>
      </c>
      <c r="F204" s="14" t="s">
        <v>864</v>
      </c>
      <c r="G204" s="14">
        <v>103384</v>
      </c>
      <c r="H204" s="14">
        <v>96121</v>
      </c>
      <c r="I204" s="14">
        <v>21</v>
      </c>
      <c r="J204" s="14" t="s">
        <v>216</v>
      </c>
      <c r="K204" s="14" t="s">
        <v>258</v>
      </c>
      <c r="L204" s="14" t="s">
        <v>9898</v>
      </c>
      <c r="M204" s="14" t="s">
        <v>250</v>
      </c>
      <c r="N204" s="14" t="s">
        <v>251</v>
      </c>
      <c r="O204" s="14" t="s">
        <v>9158</v>
      </c>
      <c r="P204" s="14" t="s">
        <v>9158</v>
      </c>
      <c r="Q204" s="14" t="s">
        <v>9158</v>
      </c>
      <c r="R204" s="14"/>
    </row>
    <row r="205" spans="1:18">
      <c r="A205" s="9">
        <v>70093</v>
      </c>
      <c r="B205" s="14" t="s">
        <v>334</v>
      </c>
      <c r="C205" s="14" t="s">
        <v>308</v>
      </c>
      <c r="D205" s="14" t="s">
        <v>254</v>
      </c>
      <c r="E205" s="15" t="str">
        <f>HYPERLINK("https://stat100.ameba.jp/tnk47/ratio20/illustrations/card/ill_70093_sarutahikonookami03.jpg?201812-3-RELEASE-dice-e-384x", "■")</f>
        <v>■</v>
      </c>
      <c r="F205" s="14" t="s">
        <v>865</v>
      </c>
      <c r="G205" s="14">
        <v>96121</v>
      </c>
      <c r="H205" s="14">
        <v>103384</v>
      </c>
      <c r="I205" s="14">
        <v>21</v>
      </c>
      <c r="J205" s="14" t="s">
        <v>169</v>
      </c>
      <c r="K205" s="14" t="s">
        <v>259</v>
      </c>
      <c r="L205" s="14" t="s">
        <v>9899</v>
      </c>
      <c r="M205" s="14" t="s">
        <v>250</v>
      </c>
      <c r="N205" s="14" t="s">
        <v>251</v>
      </c>
      <c r="O205" s="14" t="s">
        <v>9158</v>
      </c>
      <c r="P205" s="14" t="s">
        <v>9158</v>
      </c>
      <c r="Q205" s="14" t="s">
        <v>9158</v>
      </c>
      <c r="R205" s="14"/>
    </row>
    <row r="206" spans="1:18">
      <c r="A206" s="9">
        <v>70933</v>
      </c>
      <c r="B206" s="14" t="s">
        <v>334</v>
      </c>
      <c r="C206" s="14" t="s">
        <v>267</v>
      </c>
      <c r="D206" s="14" t="s">
        <v>255</v>
      </c>
      <c r="E206" s="15" t="str">
        <f>HYPERLINK("https://stat100.ameba.jp/tnk47/ratio20/illustrations/card/ill_70933_zenigatasunae03.jpg?201812-3-RELEASE-dice-e-384x", "■")</f>
        <v>■</v>
      </c>
      <c r="F206" s="14" t="s">
        <v>866</v>
      </c>
      <c r="G206" s="14">
        <v>96121</v>
      </c>
      <c r="H206" s="14">
        <v>103384</v>
      </c>
      <c r="I206" s="14">
        <v>21</v>
      </c>
      <c r="J206" s="14" t="s">
        <v>229</v>
      </c>
      <c r="K206" s="14" t="s">
        <v>260</v>
      </c>
      <c r="L206" s="14" t="s">
        <v>9900</v>
      </c>
      <c r="M206" s="14" t="s">
        <v>250</v>
      </c>
      <c r="N206" s="14" t="s">
        <v>251</v>
      </c>
      <c r="O206" s="14" t="s">
        <v>9158</v>
      </c>
      <c r="P206" s="14" t="s">
        <v>9158</v>
      </c>
      <c r="Q206" s="14" t="s">
        <v>9158</v>
      </c>
      <c r="R206" s="14"/>
    </row>
    <row r="207" spans="1:18">
      <c r="A207" s="9">
        <v>70943</v>
      </c>
      <c r="B207" s="14" t="s">
        <v>334</v>
      </c>
      <c r="C207" s="14" t="s">
        <v>344</v>
      </c>
      <c r="D207" s="14" t="s">
        <v>256</v>
      </c>
      <c r="E207" s="15" t="str">
        <f>HYPERLINK("https://stat100.ameba.jp/tnk47/ratio20/illustrations/card/ill_70943_tengunokakuremino03.jpg?201812-3-RELEASE-dice-e-384x", "■")</f>
        <v>■</v>
      </c>
      <c r="F207" s="14" t="s">
        <v>867</v>
      </c>
      <c r="G207" s="14">
        <v>103384</v>
      </c>
      <c r="H207" s="14">
        <v>96121</v>
      </c>
      <c r="I207" s="14">
        <v>21</v>
      </c>
      <c r="J207" s="14" t="s">
        <v>155</v>
      </c>
      <c r="K207" s="14" t="s">
        <v>261</v>
      </c>
      <c r="L207" s="14" t="s">
        <v>9901</v>
      </c>
      <c r="M207" s="14" t="s">
        <v>250</v>
      </c>
      <c r="N207" s="14" t="s">
        <v>251</v>
      </c>
      <c r="O207" s="14" t="s">
        <v>9158</v>
      </c>
      <c r="P207" s="14" t="s">
        <v>9158</v>
      </c>
      <c r="Q207" s="14" t="s">
        <v>9158</v>
      </c>
      <c r="R207" s="14"/>
    </row>
    <row r="208" spans="1:18">
      <c r="B208" s="14"/>
      <c r="C208" s="14"/>
      <c r="D208" s="14"/>
      <c r="F208" s="14"/>
      <c r="G208" s="14"/>
      <c r="H208" s="14"/>
      <c r="I208" s="14"/>
      <c r="J208" s="14"/>
      <c r="K208" s="14"/>
      <c r="L208" s="14"/>
      <c r="M208" s="14"/>
      <c r="N208" s="14"/>
      <c r="P208" s="14"/>
      <c r="Q208" s="14"/>
      <c r="R208" s="14"/>
    </row>
    <row r="209" spans="1:18">
      <c r="A209" s="14" t="s">
        <v>222</v>
      </c>
      <c r="D209" s="14"/>
      <c r="F209" s="14"/>
      <c r="G209" s="14"/>
      <c r="H209" s="14"/>
      <c r="I209" s="14"/>
      <c r="J209" s="14"/>
      <c r="K209" s="14"/>
      <c r="L209" s="14"/>
      <c r="M209" s="14"/>
      <c r="N209" s="14"/>
      <c r="P209" s="14"/>
      <c r="Q209" s="14"/>
      <c r="R209" s="14"/>
    </row>
    <row r="210" spans="1:18">
      <c r="A210" s="14" t="s">
        <v>2377</v>
      </c>
      <c r="B210" s="14"/>
      <c r="C210" s="14"/>
      <c r="D210" s="14"/>
      <c r="F210" s="14"/>
      <c r="G210" s="14"/>
      <c r="H210" s="14"/>
      <c r="I210" s="14"/>
      <c r="J210" s="14"/>
      <c r="K210" s="14"/>
      <c r="L210" s="14"/>
      <c r="M210" s="14"/>
      <c r="N210" s="14"/>
      <c r="P210" s="14"/>
      <c r="Q210" s="14"/>
      <c r="R210" s="14"/>
    </row>
    <row r="211" spans="1:18">
      <c r="A211" s="9" t="s">
        <v>5611</v>
      </c>
      <c r="B211" s="14" t="s">
        <v>52</v>
      </c>
      <c r="C211" s="14" t="s">
        <v>185</v>
      </c>
      <c r="D211" s="14" t="s">
        <v>951</v>
      </c>
      <c r="E211" s="15" t="str">
        <f>HYPERLINK("https://stat100.ameba.jp/tnk47/ratio20/illustrations/card/ill_60633_0_harumaisentoin03.jpg?201812-4-RELEASE-guildbattle-385", "■")</f>
        <v>■</v>
      </c>
      <c r="F211" s="14" t="s">
        <v>952</v>
      </c>
      <c r="G211" s="14">
        <v>114446</v>
      </c>
      <c r="H211" s="14">
        <v>123108</v>
      </c>
      <c r="I211" s="14">
        <v>18</v>
      </c>
      <c r="J211" s="14" t="s">
        <v>38</v>
      </c>
      <c r="K211" s="14" t="s">
        <v>953</v>
      </c>
      <c r="L211" s="14" t="s">
        <v>954</v>
      </c>
      <c r="M211" s="14" t="s">
        <v>9158</v>
      </c>
      <c r="N211" s="14" t="s">
        <v>9158</v>
      </c>
      <c r="O211" s="9" t="s">
        <v>2888</v>
      </c>
      <c r="P211" s="14" t="s">
        <v>3144</v>
      </c>
      <c r="Q211" s="14">
        <v>1</v>
      </c>
      <c r="R211" s="14"/>
    </row>
    <row r="212" spans="1:18">
      <c r="A212" s="9" t="s">
        <v>5612</v>
      </c>
      <c r="B212" s="14" t="s">
        <v>52</v>
      </c>
      <c r="C212" s="14" t="s">
        <v>165</v>
      </c>
      <c r="D212" s="14" t="s">
        <v>1895</v>
      </c>
      <c r="E212" s="15" t="str">
        <f>HYPERLINK("https://stat100.ameba.jp/tnk47/ratio20/illustrations/card/ill_49193_0_onmyoudouabenoseimei03.jpg?201812-4-RELEASE-guildbattle-385", "■")</f>
        <v>■</v>
      </c>
      <c r="F212" s="14" t="s">
        <v>1896</v>
      </c>
      <c r="G212" s="14">
        <v>100454</v>
      </c>
      <c r="H212" s="14">
        <v>113082</v>
      </c>
      <c r="I212" s="14">
        <v>18</v>
      </c>
      <c r="J212" s="14" t="s">
        <v>10</v>
      </c>
      <c r="K212" s="14" t="s">
        <v>1897</v>
      </c>
      <c r="L212" s="14" t="s">
        <v>1898</v>
      </c>
      <c r="M212" s="14" t="s">
        <v>9158</v>
      </c>
      <c r="N212" s="14" t="s">
        <v>9158</v>
      </c>
      <c r="O212" s="14" t="s">
        <v>9158</v>
      </c>
      <c r="P212" s="14" t="s">
        <v>9158</v>
      </c>
      <c r="Q212" s="14" t="s">
        <v>9158</v>
      </c>
      <c r="R212" s="14"/>
    </row>
    <row r="213" spans="1:18">
      <c r="A213" s="9">
        <v>71901</v>
      </c>
      <c r="B213" s="14" t="s">
        <v>334</v>
      </c>
      <c r="C213" s="14" t="s">
        <v>209</v>
      </c>
      <c r="D213" s="14" t="s">
        <v>2378</v>
      </c>
      <c r="E213" s="15" t="str">
        <f>HYPERLINK("https://stat100.ameba.jp/tnk47/ratio20/illustrations/card/ill_71901_higashinohanafudaengi01.jpg?201812-4-RELEASE-guildbattle-385", "■")</f>
        <v>■</v>
      </c>
      <c r="F213" s="14" t="s">
        <v>2379</v>
      </c>
      <c r="G213" s="14">
        <v>48400</v>
      </c>
      <c r="H213" s="14">
        <v>44000</v>
      </c>
      <c r="I213" s="14">
        <v>22</v>
      </c>
      <c r="J213" s="14" t="s">
        <v>26</v>
      </c>
      <c r="K213" s="14" t="s">
        <v>2380</v>
      </c>
      <c r="L213" s="14" t="s">
        <v>2381</v>
      </c>
      <c r="M213" s="14" t="s">
        <v>9158</v>
      </c>
      <c r="N213" s="14" t="s">
        <v>9158</v>
      </c>
      <c r="O213" s="14" t="s">
        <v>9158</v>
      </c>
      <c r="P213" s="14" t="s">
        <v>9158</v>
      </c>
      <c r="Q213" s="14" t="s">
        <v>9158</v>
      </c>
      <c r="R213" s="14"/>
    </row>
    <row r="214" spans="1:18">
      <c r="A214" s="9">
        <v>71911</v>
      </c>
      <c r="B214" s="14" t="s">
        <v>334</v>
      </c>
      <c r="C214" s="14" t="s">
        <v>158</v>
      </c>
      <c r="D214" s="14" t="s">
        <v>2382</v>
      </c>
      <c r="E214" s="15" t="str">
        <f>HYPERLINK("https://stat100.ameba.jp/tnk47/ratio20/illustrations/card/ill_71911_nishinohanafudaengi01.jpg?201812-4-RELEASE-guildbattle-385", "■")</f>
        <v>■</v>
      </c>
      <c r="F214" s="14" t="s">
        <v>2383</v>
      </c>
      <c r="G214" s="14">
        <v>48400</v>
      </c>
      <c r="H214" s="14">
        <v>44000</v>
      </c>
      <c r="I214" s="14">
        <v>22</v>
      </c>
      <c r="J214" s="14" t="s">
        <v>26</v>
      </c>
      <c r="K214" s="14" t="s">
        <v>2384</v>
      </c>
      <c r="L214" s="14" t="s">
        <v>2381</v>
      </c>
      <c r="M214" s="14" t="s">
        <v>9158</v>
      </c>
      <c r="N214" s="14" t="s">
        <v>9158</v>
      </c>
      <c r="O214" s="14" t="s">
        <v>9158</v>
      </c>
      <c r="P214" s="14" t="s">
        <v>9158</v>
      </c>
      <c r="Q214" s="14" t="s">
        <v>9158</v>
      </c>
      <c r="R214" s="14"/>
    </row>
    <row r="215" spans="1:18">
      <c r="A215" s="9">
        <v>71923</v>
      </c>
      <c r="B215" s="14" t="s">
        <v>334</v>
      </c>
      <c r="C215" s="14" t="s">
        <v>202</v>
      </c>
      <c r="D215" s="14" t="s">
        <v>2385</v>
      </c>
      <c r="E215" s="15" t="str">
        <f>HYPERLINK("https://stat100.ameba.jp/tnk47/ratio20/illustrations/card/ill_71923_shikihanafudaengi03.jpg?201812-4-RELEASE-guildbattle-385", "■")</f>
        <v>■</v>
      </c>
      <c r="F215" s="14" t="s">
        <v>2386</v>
      </c>
      <c r="G215" s="14">
        <v>105118</v>
      </c>
      <c r="H215" s="14">
        <v>95682</v>
      </c>
      <c r="I215" s="14">
        <v>22</v>
      </c>
      <c r="J215" s="14" t="s">
        <v>26</v>
      </c>
      <c r="K215" s="14" t="s">
        <v>2387</v>
      </c>
      <c r="L215" s="14" t="s">
        <v>2388</v>
      </c>
      <c r="M215" s="14" t="s">
        <v>9158</v>
      </c>
      <c r="N215" s="14" t="s">
        <v>9158</v>
      </c>
      <c r="O215" s="14" t="s">
        <v>9158</v>
      </c>
      <c r="P215" s="14" t="s">
        <v>9158</v>
      </c>
      <c r="Q215" s="14" t="s">
        <v>9158</v>
      </c>
      <c r="R215" s="14"/>
    </row>
    <row r="216" spans="1:18">
      <c r="A216" s="9">
        <v>66901</v>
      </c>
      <c r="B216" s="14" t="s">
        <v>334</v>
      </c>
      <c r="C216" s="14" t="s">
        <v>154</v>
      </c>
      <c r="D216" s="14" t="s">
        <v>2389</v>
      </c>
      <c r="E216" s="15" t="str">
        <f>HYPERLINK("https://stat100.ameba.jp/tnk47/ratio20/illustrations/card/ill_66901_higashinoreichoengi01.jpg?201812-4-RELEASE-guildbattle-385", "■")</f>
        <v>■</v>
      </c>
      <c r="F216" s="14" t="s">
        <v>2390</v>
      </c>
      <c r="G216" s="14">
        <v>53306</v>
      </c>
      <c r="H216" s="14">
        <v>57266</v>
      </c>
      <c r="I216" s="14">
        <v>22</v>
      </c>
      <c r="J216" s="14" t="s">
        <v>44</v>
      </c>
      <c r="K216" s="14" t="s">
        <v>2391</v>
      </c>
      <c r="L216" s="14" t="s">
        <v>2392</v>
      </c>
      <c r="M216" s="14" t="s">
        <v>9158</v>
      </c>
      <c r="N216" s="14" t="s">
        <v>9158</v>
      </c>
      <c r="O216" s="14" t="s">
        <v>9158</v>
      </c>
      <c r="P216" s="14" t="s">
        <v>9158</v>
      </c>
      <c r="Q216" s="14" t="s">
        <v>9158</v>
      </c>
      <c r="R216" s="14"/>
    </row>
    <row r="217" spans="1:18">
      <c r="A217" s="9">
        <v>66911</v>
      </c>
      <c r="B217" s="14" t="s">
        <v>334</v>
      </c>
      <c r="C217" s="14" t="s">
        <v>158</v>
      </c>
      <c r="D217" s="14" t="s">
        <v>2393</v>
      </c>
      <c r="E217" s="15" t="str">
        <f>HYPERLINK("https://stat100.ameba.jp/tnk47/ratio20/illustrations/card/ill_66911_nishinoreichoengi01.jpg?201812-4-RELEASE-guildbattle-385", "■")</f>
        <v>■</v>
      </c>
      <c r="F217" s="14" t="s">
        <v>2394</v>
      </c>
      <c r="G217" s="14">
        <v>53306</v>
      </c>
      <c r="H217" s="14">
        <v>57266</v>
      </c>
      <c r="I217" s="14">
        <v>22</v>
      </c>
      <c r="J217" s="14" t="s">
        <v>44</v>
      </c>
      <c r="K217" s="14" t="s">
        <v>2395</v>
      </c>
      <c r="L217" s="14" t="s">
        <v>2396</v>
      </c>
      <c r="M217" s="14" t="s">
        <v>9158</v>
      </c>
      <c r="N217" s="14" t="s">
        <v>9158</v>
      </c>
      <c r="O217" s="14" t="s">
        <v>9158</v>
      </c>
      <c r="P217" s="14" t="s">
        <v>9158</v>
      </c>
      <c r="Q217" s="14" t="s">
        <v>9158</v>
      </c>
      <c r="R217" s="14"/>
    </row>
    <row r="218" spans="1:18">
      <c r="A218" s="9">
        <v>66923</v>
      </c>
      <c r="B218" s="14" t="s">
        <v>334</v>
      </c>
      <c r="C218" s="14" t="s">
        <v>202</v>
      </c>
      <c r="D218" s="14" t="s">
        <v>2397</v>
      </c>
      <c r="E218" s="15" t="str">
        <f>HYPERLINK("https://stat100.ameba.jp/tnk47/ratio20/illustrations/card/ill_66923_tembureichoengi03.jpg?201812-4-RELEASE-guildbattle-385", "■")</f>
        <v>■</v>
      </c>
      <c r="F218" s="14" t="s">
        <v>2398</v>
      </c>
      <c r="G218" s="14">
        <v>98810</v>
      </c>
      <c r="H218" s="14">
        <v>106122</v>
      </c>
      <c r="I218" s="14">
        <v>22</v>
      </c>
      <c r="J218" s="14" t="s">
        <v>44</v>
      </c>
      <c r="K218" s="14" t="s">
        <v>2399</v>
      </c>
      <c r="L218" s="14" t="s">
        <v>2400</v>
      </c>
      <c r="M218" s="14" t="s">
        <v>9158</v>
      </c>
      <c r="N218" s="14" t="s">
        <v>9158</v>
      </c>
      <c r="O218" s="14" t="s">
        <v>9158</v>
      </c>
      <c r="P218" s="14" t="s">
        <v>9158</v>
      </c>
      <c r="Q218" s="14" t="s">
        <v>9158</v>
      </c>
      <c r="R218" s="14"/>
    </row>
    <row r="219" spans="1:18">
      <c r="B219" s="14"/>
      <c r="C219" s="14"/>
      <c r="D219" s="14"/>
      <c r="F219" s="14"/>
      <c r="G219" s="14"/>
      <c r="H219" s="14"/>
      <c r="I219" s="14"/>
      <c r="J219" s="14"/>
      <c r="K219" s="14"/>
      <c r="L219" s="14"/>
      <c r="M219" s="14"/>
      <c r="N219" s="14"/>
      <c r="P219" s="14"/>
      <c r="Q219" s="14"/>
      <c r="R219" s="14"/>
    </row>
    <row r="220" spans="1:18">
      <c r="A220" s="14" t="s">
        <v>199</v>
      </c>
      <c r="D220" s="14"/>
      <c r="F220" s="14"/>
      <c r="G220" s="14"/>
      <c r="H220" s="14"/>
      <c r="I220" s="14"/>
      <c r="J220" s="14"/>
      <c r="K220" s="14"/>
      <c r="L220" s="14"/>
      <c r="M220" s="14"/>
      <c r="N220" s="14"/>
      <c r="P220" s="14"/>
      <c r="Q220" s="14"/>
      <c r="R220" s="14"/>
    </row>
    <row r="221" spans="1:18">
      <c r="A221" s="14" t="s">
        <v>2401</v>
      </c>
      <c r="B221" s="14"/>
      <c r="C221" s="14"/>
      <c r="D221" s="14"/>
      <c r="F221" s="14"/>
      <c r="G221" s="14"/>
      <c r="H221" s="14"/>
      <c r="I221" s="14"/>
      <c r="J221" s="14"/>
      <c r="K221" s="14"/>
      <c r="L221" s="14"/>
      <c r="M221" s="14"/>
      <c r="N221" s="14"/>
      <c r="P221" s="14"/>
      <c r="Q221" s="14"/>
      <c r="R221" s="14"/>
    </row>
    <row r="222" spans="1:18">
      <c r="A222" s="9" t="s">
        <v>5614</v>
      </c>
      <c r="B222" s="14" t="s">
        <v>52</v>
      </c>
      <c r="C222" s="14" t="s">
        <v>205</v>
      </c>
      <c r="D222" s="14" t="s">
        <v>947</v>
      </c>
      <c r="E222" s="15" t="str">
        <f>HYPERLINK("https://stat100.ameba.jp/tnk47/ratio20/illustrations/card/ill_56223_0_onsempanikkugohime03.jpg?201812-4-RELEASE-guildbattle-385", "■")</f>
        <v>■</v>
      </c>
      <c r="F222" s="14" t="s">
        <v>948</v>
      </c>
      <c r="G222" s="14">
        <v>83712</v>
      </c>
      <c r="H222" s="14">
        <v>83712</v>
      </c>
      <c r="I222" s="14">
        <v>15</v>
      </c>
      <c r="J222" s="14" t="s">
        <v>77</v>
      </c>
      <c r="K222" s="14" t="s">
        <v>949</v>
      </c>
      <c r="L222" s="14" t="s">
        <v>950</v>
      </c>
      <c r="M222" s="14" t="s">
        <v>9158</v>
      </c>
      <c r="N222" s="14" t="s">
        <v>9158</v>
      </c>
      <c r="O222" s="9" t="s">
        <v>3021</v>
      </c>
      <c r="P222" s="14" t="s">
        <v>2890</v>
      </c>
      <c r="Q222" s="14">
        <v>1</v>
      </c>
      <c r="R222" s="14"/>
    </row>
    <row r="223" spans="1:18">
      <c r="A223" s="9" t="s">
        <v>5724</v>
      </c>
      <c r="B223" s="14" t="s">
        <v>52</v>
      </c>
      <c r="C223" s="14" t="s">
        <v>185</v>
      </c>
      <c r="D223" s="14" t="s">
        <v>1242</v>
      </c>
      <c r="E223" s="15" t="str">
        <f>HYPERLINK("https://stat100.ameba.jp/tnk47/ratio20/illustrations/card/ill_66433_0_haroinfujishirogozen03.jpg?201812-4-RELEASE-guildbattle-385", "■")</f>
        <v>■</v>
      </c>
      <c r="F223" s="14" t="s">
        <v>1243</v>
      </c>
      <c r="G223" s="14">
        <v>91807</v>
      </c>
      <c r="H223" s="14">
        <v>98751</v>
      </c>
      <c r="I223" s="14">
        <v>15</v>
      </c>
      <c r="J223" s="14" t="s">
        <v>77</v>
      </c>
      <c r="K223" s="14" t="s">
        <v>1244</v>
      </c>
      <c r="L223" s="14" t="s">
        <v>1245</v>
      </c>
      <c r="M223" s="14" t="s">
        <v>9158</v>
      </c>
      <c r="N223" s="14" t="s">
        <v>9158</v>
      </c>
      <c r="O223" s="17" t="s">
        <v>10062</v>
      </c>
      <c r="P223" s="14" t="s">
        <v>3345</v>
      </c>
      <c r="Q223" s="14">
        <v>1</v>
      </c>
      <c r="R223" s="14"/>
    </row>
    <row r="224" spans="1:18">
      <c r="A224" s="9" t="s">
        <v>5897</v>
      </c>
      <c r="B224" s="14" t="s">
        <v>52</v>
      </c>
      <c r="C224" s="14" t="s">
        <v>200</v>
      </c>
      <c r="D224" s="14" t="s">
        <v>53</v>
      </c>
      <c r="E224" s="15" t="str">
        <f>HYPERLINK("https://stat100.ameba.jp/tnk47/ratio20/illustrations/card/ill_40913_0_reigyokudensetsufusehime03.jpg?201812-4-RELEASE-guildbattle-385", "■")</f>
        <v>■</v>
      </c>
      <c r="F224" s="14" t="s">
        <v>955</v>
      </c>
      <c r="G224" s="14">
        <v>82212</v>
      </c>
      <c r="H224" s="14">
        <v>87780</v>
      </c>
      <c r="I224" s="14">
        <v>15</v>
      </c>
      <c r="J224" s="14" t="s">
        <v>38</v>
      </c>
      <c r="K224" s="14" t="s">
        <v>956</v>
      </c>
      <c r="L224" s="14" t="s">
        <v>957</v>
      </c>
      <c r="M224" s="14" t="s">
        <v>9158</v>
      </c>
      <c r="N224" s="14" t="s">
        <v>9158</v>
      </c>
      <c r="O224" s="14" t="s">
        <v>9158</v>
      </c>
      <c r="P224" s="14" t="s">
        <v>9158</v>
      </c>
      <c r="Q224" s="14" t="s">
        <v>9158</v>
      </c>
      <c r="R224" s="14"/>
    </row>
    <row r="225" spans="1:18">
      <c r="A225" s="9">
        <v>68463</v>
      </c>
      <c r="B225" s="14" t="s">
        <v>334</v>
      </c>
      <c r="C225" s="14" t="s">
        <v>205</v>
      </c>
      <c r="D225" s="14" t="s">
        <v>2402</v>
      </c>
      <c r="E225" s="15" t="str">
        <f>HYPERLINK("https://stat100.ameba.jp/tnk47/ratio20/illustrations/card/ill_68463_sunogurabiashirubaakusechan03.jpg?201812-4-RELEASE-guildbattle-385", "■")</f>
        <v>■</v>
      </c>
      <c r="F225" s="14" t="s">
        <v>2403</v>
      </c>
      <c r="G225" s="14">
        <v>93514</v>
      </c>
      <c r="H225" s="14">
        <v>86934</v>
      </c>
      <c r="I225" s="14">
        <v>22</v>
      </c>
      <c r="J225" s="14" t="s">
        <v>26</v>
      </c>
      <c r="K225" s="14" t="s">
        <v>2404</v>
      </c>
      <c r="L225" s="14" t="s">
        <v>2405</v>
      </c>
      <c r="M225" s="14" t="s">
        <v>9158</v>
      </c>
      <c r="N225" s="14" t="s">
        <v>9158</v>
      </c>
      <c r="O225" s="14" t="s">
        <v>9158</v>
      </c>
      <c r="P225" s="14" t="s">
        <v>9158</v>
      </c>
      <c r="Q225" s="14" t="s">
        <v>9158</v>
      </c>
      <c r="R225" s="14"/>
    </row>
    <row r="226" spans="1:18">
      <c r="A226" s="9">
        <v>68993</v>
      </c>
      <c r="B226" s="14" t="s">
        <v>334</v>
      </c>
      <c r="C226" s="14" t="s">
        <v>206</v>
      </c>
      <c r="D226" s="14" t="s">
        <v>2406</v>
      </c>
      <c r="E226" s="15" t="str">
        <f>HYPERLINK("https://stat100.ameba.jp/tnk47/ratio20/illustrations/card/ill_68993_namahageyoriyorichan03.jpg?201812-4-RELEASE-guildbattle-385", "■")</f>
        <v>■</v>
      </c>
      <c r="F226" s="14" t="s">
        <v>2407</v>
      </c>
      <c r="G226" s="14">
        <v>103896</v>
      </c>
      <c r="H226" s="14">
        <v>96610</v>
      </c>
      <c r="I226" s="14">
        <v>22</v>
      </c>
      <c r="J226" s="14" t="s">
        <v>104</v>
      </c>
      <c r="K226" s="14" t="s">
        <v>2408</v>
      </c>
      <c r="L226" s="14" t="s">
        <v>2409</v>
      </c>
      <c r="M226" s="14" t="s">
        <v>9158</v>
      </c>
      <c r="N226" s="14" t="s">
        <v>9158</v>
      </c>
      <c r="O226" s="14" t="s">
        <v>9158</v>
      </c>
      <c r="P226" s="14" t="s">
        <v>9158</v>
      </c>
      <c r="Q226" s="14" t="s">
        <v>9158</v>
      </c>
      <c r="R226" s="14"/>
    </row>
    <row r="227" spans="1:18">
      <c r="A227" s="9">
        <v>75883</v>
      </c>
      <c r="B227" s="14" t="s">
        <v>334</v>
      </c>
      <c r="C227" s="14" t="s">
        <v>154</v>
      </c>
      <c r="D227" s="14" t="s">
        <v>2410</v>
      </c>
      <c r="E227" s="15" t="str">
        <f>HYPERLINK("https://stat100.ameba.jp/tnk47/ratio20/illustrations/card/ill_75883_kitajokagehiro03.jpg?201812-4-RELEASE-guildbattle-385", "■")</f>
        <v>■</v>
      </c>
      <c r="F227" s="14" t="s">
        <v>2411</v>
      </c>
      <c r="G227" s="14">
        <v>106018</v>
      </c>
      <c r="H227" s="14">
        <v>146368</v>
      </c>
      <c r="I227" s="14">
        <v>22</v>
      </c>
      <c r="J227" s="14" t="s">
        <v>143</v>
      </c>
      <c r="K227" s="14" t="s">
        <v>2412</v>
      </c>
      <c r="L227" s="14" t="s">
        <v>1148</v>
      </c>
      <c r="M227" s="14" t="s">
        <v>9158</v>
      </c>
      <c r="N227" s="14" t="s">
        <v>9158</v>
      </c>
      <c r="O227" s="9" t="s">
        <v>3641</v>
      </c>
      <c r="P227" s="14" t="s">
        <v>3330</v>
      </c>
      <c r="Q227" s="14">
        <v>2</v>
      </c>
      <c r="R227" s="14"/>
    </row>
    <row r="228" spans="1:18">
      <c r="B228" s="14"/>
      <c r="C228" s="14"/>
      <c r="D228" s="14"/>
      <c r="F228" s="14"/>
      <c r="G228" s="14"/>
      <c r="H228" s="14"/>
      <c r="I228" s="14"/>
      <c r="J228" s="14"/>
      <c r="K228" s="14"/>
      <c r="L228" s="14"/>
      <c r="M228" s="14"/>
      <c r="N228" s="14"/>
      <c r="P228" s="14"/>
      <c r="Q228" s="14"/>
      <c r="R228" s="14"/>
    </row>
    <row r="229" spans="1:18">
      <c r="A229" s="14" t="s">
        <v>2413</v>
      </c>
      <c r="C229" s="14"/>
      <c r="F229" s="14"/>
      <c r="G229" s="14"/>
      <c r="H229" s="14"/>
      <c r="I229" s="14"/>
      <c r="J229" s="14"/>
      <c r="K229" s="14"/>
      <c r="L229" s="14"/>
      <c r="M229" s="14"/>
      <c r="N229" s="14"/>
      <c r="P229" s="14"/>
      <c r="Q229" s="14"/>
      <c r="R229" s="14"/>
    </row>
    <row r="230" spans="1:18">
      <c r="A230" s="14" t="s">
        <v>2414</v>
      </c>
      <c r="C230" s="14"/>
      <c r="D230" s="14"/>
      <c r="F230" s="14"/>
      <c r="G230" s="14"/>
      <c r="H230" s="14"/>
      <c r="I230" s="14"/>
      <c r="J230" s="14"/>
      <c r="K230" s="14"/>
      <c r="L230" s="14"/>
      <c r="M230" s="14"/>
      <c r="N230" s="14"/>
      <c r="P230" s="14"/>
      <c r="Q230" s="14"/>
      <c r="R230" s="14"/>
    </row>
    <row r="231" spans="1:18">
      <c r="A231" s="9" t="s">
        <v>8609</v>
      </c>
      <c r="B231" s="14"/>
      <c r="C231" s="14"/>
      <c r="D231" s="14"/>
      <c r="F231" s="14"/>
      <c r="G231" s="14"/>
      <c r="H231" s="14"/>
      <c r="I231" s="14"/>
      <c r="J231" s="14"/>
      <c r="K231" s="14"/>
      <c r="L231" s="14"/>
      <c r="M231" s="14"/>
      <c r="N231" s="14"/>
      <c r="P231" s="14"/>
      <c r="Q231" s="14"/>
      <c r="R231" s="14"/>
    </row>
    <row r="232" spans="1:18">
      <c r="A232" s="9" t="s">
        <v>5843</v>
      </c>
      <c r="B232" s="14" t="s">
        <v>52</v>
      </c>
      <c r="C232" s="14" t="s">
        <v>202</v>
      </c>
      <c r="D232" s="14" t="s">
        <v>2126</v>
      </c>
      <c r="E232" s="15" t="str">
        <f>HYPERLINK("https://stat100.ameba.jp/tnk47/ratio20/illustrations/card/ill_77963_0_kurisumasudaisakusentakiyashahime03.jpg?201812-4-RELEASE-guildbattle-385", "■")</f>
        <v>■</v>
      </c>
      <c r="F232" s="14" t="s">
        <v>2127</v>
      </c>
      <c r="G232" s="14">
        <v>184216</v>
      </c>
      <c r="H232" s="14">
        <v>166491</v>
      </c>
      <c r="I232" s="14">
        <v>15</v>
      </c>
      <c r="J232" s="14" t="s">
        <v>77</v>
      </c>
      <c r="K232" s="14" t="s">
        <v>2128</v>
      </c>
      <c r="L232" s="14" t="s">
        <v>2129</v>
      </c>
      <c r="M232" s="14" t="s">
        <v>9158</v>
      </c>
      <c r="N232" s="14" t="s">
        <v>9158</v>
      </c>
      <c r="O232" s="9" t="s">
        <v>3588</v>
      </c>
      <c r="P232" s="14" t="s">
        <v>3589</v>
      </c>
      <c r="Q232" s="14">
        <v>2</v>
      </c>
      <c r="R232" s="14"/>
    </row>
    <row r="233" spans="1:18">
      <c r="A233" s="9">
        <v>78293</v>
      </c>
      <c r="B233" s="14" t="s">
        <v>334</v>
      </c>
      <c r="C233" s="14" t="s">
        <v>205</v>
      </c>
      <c r="D233" s="14" t="s">
        <v>2415</v>
      </c>
      <c r="E233" s="15" t="str">
        <f>HYPERLINK("https://stat100.ameba.jp/tnk47/ratio20/illustrations/card/ill_78293_yukinotaawaodori03.jpg?201812-4-RELEASE-guildbattle-385", "■")</f>
        <v>■</v>
      </c>
      <c r="F233" s="14" t="s">
        <v>2416</v>
      </c>
      <c r="G233" s="14">
        <v>88948</v>
      </c>
      <c r="H233" s="14">
        <v>95668</v>
      </c>
      <c r="I233" s="14">
        <v>21</v>
      </c>
      <c r="J233" s="14" t="s">
        <v>26</v>
      </c>
      <c r="K233" s="14" t="s">
        <v>2417</v>
      </c>
      <c r="L233" s="14" t="s">
        <v>2137</v>
      </c>
      <c r="M233" s="14" t="s">
        <v>9158</v>
      </c>
      <c r="N233" s="14" t="s">
        <v>9158</v>
      </c>
      <c r="O233" s="14" t="s">
        <v>9158</v>
      </c>
      <c r="P233" s="14" t="s">
        <v>9158</v>
      </c>
      <c r="Q233" s="14" t="s">
        <v>9158</v>
      </c>
      <c r="R233" s="14"/>
    </row>
    <row r="234" spans="1:18">
      <c r="A234" s="9">
        <v>78303</v>
      </c>
      <c r="B234" s="14" t="s">
        <v>15</v>
      </c>
      <c r="C234" s="14" t="s">
        <v>165</v>
      </c>
      <c r="D234" s="14" t="s">
        <v>2418</v>
      </c>
      <c r="E234" s="15" t="str">
        <f>HYPERLINK("https://stat100.ameba.jp/tnk47/ratio20/illustrations/card/ill_78303_kobewain03.jpg?201812-4-RELEASE-guildbattle-385", "■")</f>
        <v>■</v>
      </c>
      <c r="F234" s="14" t="s">
        <v>2419</v>
      </c>
      <c r="G234" s="14">
        <v>62244</v>
      </c>
      <c r="H234" s="14">
        <v>56456</v>
      </c>
      <c r="I234" s="14">
        <v>21</v>
      </c>
      <c r="J234" s="14" t="s">
        <v>104</v>
      </c>
      <c r="K234" s="14" t="s">
        <v>2420</v>
      </c>
      <c r="L234" s="14" t="s">
        <v>13178</v>
      </c>
      <c r="M234" s="14" t="s">
        <v>9158</v>
      </c>
      <c r="N234" s="14" t="s">
        <v>9158</v>
      </c>
      <c r="O234" s="14" t="s">
        <v>9158</v>
      </c>
      <c r="P234" s="14" t="s">
        <v>9158</v>
      </c>
      <c r="Q234" s="14" t="s">
        <v>9158</v>
      </c>
      <c r="R234" s="14"/>
    </row>
    <row r="235" spans="1:18">
      <c r="A235" s="9">
        <v>78313</v>
      </c>
      <c r="B235" s="14" t="s">
        <v>22</v>
      </c>
      <c r="C235" s="14" t="s">
        <v>185</v>
      </c>
      <c r="D235" s="14" t="s">
        <v>2421</v>
      </c>
      <c r="E235" s="15" t="str">
        <f>HYPERLINK("https://stat100.ameba.jp/tnk47/ratio20/illustrations/card/ill_78313_fuyunojinseishinni03.jpg?201812-4-RELEASE-guildbattle-385", "■")</f>
        <v>■</v>
      </c>
      <c r="F235" s="14" t="s">
        <v>2422</v>
      </c>
      <c r="G235" s="14">
        <v>36304</v>
      </c>
      <c r="H235" s="14">
        <v>43662</v>
      </c>
      <c r="I235" s="14">
        <v>21</v>
      </c>
      <c r="J235" s="14" t="s">
        <v>77</v>
      </c>
      <c r="K235" s="14" t="s">
        <v>2423</v>
      </c>
      <c r="L235" s="14" t="s">
        <v>2424</v>
      </c>
      <c r="M235" s="14" t="s">
        <v>9158</v>
      </c>
      <c r="N235" s="14" t="s">
        <v>9158</v>
      </c>
      <c r="O235" s="14" t="s">
        <v>9158</v>
      </c>
      <c r="P235" s="14" t="s">
        <v>9158</v>
      </c>
      <c r="Q235" s="14" t="s">
        <v>9158</v>
      </c>
      <c r="R235" s="14"/>
    </row>
    <row r="236" spans="1:18">
      <c r="A236" s="9">
        <v>78323</v>
      </c>
      <c r="B236" s="14" t="s">
        <v>30</v>
      </c>
      <c r="C236" s="14" t="s">
        <v>1331</v>
      </c>
      <c r="D236" s="14" t="s">
        <v>2425</v>
      </c>
      <c r="E236" s="15" t="str">
        <f>HYPERLINK("https://stat100.ameba.jp/tnk47/ratio20/illustrations/card/ill_78323_xmasyamanatoyokuni03.jpg?201812-4-RELEASE-guildbattle-385", "■")</f>
        <v>■</v>
      </c>
      <c r="F236" s="14" t="s">
        <v>2426</v>
      </c>
      <c r="G236" s="14">
        <v>26434</v>
      </c>
      <c r="H236" s="14">
        <v>22200</v>
      </c>
      <c r="I236" s="14">
        <v>21</v>
      </c>
      <c r="J236" s="14" t="s">
        <v>143</v>
      </c>
      <c r="K236" s="14" t="s">
        <v>2427</v>
      </c>
      <c r="L236" s="14" t="s">
        <v>2428</v>
      </c>
      <c r="M236" s="14" t="s">
        <v>9158</v>
      </c>
      <c r="N236" s="14" t="s">
        <v>9158</v>
      </c>
      <c r="O236" s="14" t="s">
        <v>9158</v>
      </c>
      <c r="P236" s="14" t="s">
        <v>9158</v>
      </c>
      <c r="Q236" s="14" t="s">
        <v>9158</v>
      </c>
      <c r="R236" s="14"/>
    </row>
    <row r="237" spans="1:18">
      <c r="B237" s="14"/>
      <c r="C237" s="14"/>
      <c r="D237" s="14"/>
      <c r="F237" s="14"/>
      <c r="G237" s="14"/>
      <c r="H237" s="14"/>
      <c r="I237" s="14"/>
      <c r="J237" s="14"/>
      <c r="K237" s="14"/>
      <c r="L237" s="14"/>
      <c r="M237" s="14"/>
      <c r="N237" s="14"/>
      <c r="P237" s="14"/>
      <c r="Q237" s="14"/>
      <c r="R237" s="14"/>
    </row>
    <row r="238" spans="1:18">
      <c r="A238" s="14" t="s">
        <v>223</v>
      </c>
      <c r="D238" s="14"/>
      <c r="F238" s="14"/>
      <c r="G238" s="14"/>
      <c r="H238" s="14"/>
      <c r="I238" s="14"/>
      <c r="J238" s="14"/>
      <c r="K238" s="14"/>
      <c r="L238" s="14"/>
      <c r="M238" s="14"/>
      <c r="N238" s="14"/>
      <c r="P238" s="14"/>
      <c r="Q238" s="14"/>
      <c r="R238" s="14"/>
    </row>
    <row r="239" spans="1:18">
      <c r="A239" s="14" t="s">
        <v>2429</v>
      </c>
      <c r="B239" s="14"/>
      <c r="C239" s="14"/>
      <c r="D239" s="14"/>
      <c r="F239" s="14"/>
      <c r="G239" s="14"/>
      <c r="H239" s="14"/>
      <c r="I239" s="14"/>
      <c r="J239" s="14"/>
      <c r="K239" s="14"/>
      <c r="L239" s="14"/>
      <c r="M239" s="14"/>
      <c r="N239" s="14"/>
      <c r="P239" s="14"/>
      <c r="Q239" s="14"/>
      <c r="R239" s="14"/>
    </row>
    <row r="240" spans="1:18">
      <c r="A240" s="9" t="s">
        <v>5642</v>
      </c>
      <c r="B240" s="14" t="s">
        <v>52</v>
      </c>
      <c r="C240" s="14" t="s">
        <v>185</v>
      </c>
      <c r="D240" s="14" t="s">
        <v>2430</v>
      </c>
      <c r="E240" s="15" t="str">
        <f>HYPERLINK("https://stat100.ameba.jp/tnk47/ratio20/illustrations/card/ill_69593_0_setsubunyukionna03.jpg?201812-4-RELEASE-guildbattle-385", "■")</f>
        <v>■</v>
      </c>
      <c r="F240" s="14" t="s">
        <v>2431</v>
      </c>
      <c r="G240" s="14">
        <v>121434</v>
      </c>
      <c r="H240" s="14">
        <v>130615</v>
      </c>
      <c r="I240" s="14">
        <v>17</v>
      </c>
      <c r="J240" s="14" t="s">
        <v>73</v>
      </c>
      <c r="K240" s="14" t="s">
        <v>2432</v>
      </c>
      <c r="L240" s="14" t="s">
        <v>2433</v>
      </c>
      <c r="M240" s="14" t="s">
        <v>9158</v>
      </c>
      <c r="N240" s="14" t="s">
        <v>9158</v>
      </c>
      <c r="O240" s="9" t="s">
        <v>3599</v>
      </c>
      <c r="P240" s="14" t="s">
        <v>3600</v>
      </c>
      <c r="Q240" s="14">
        <v>2</v>
      </c>
      <c r="R240" s="14"/>
    </row>
    <row r="241" spans="1:18">
      <c r="A241" s="9">
        <v>63283</v>
      </c>
      <c r="B241" s="14" t="s">
        <v>334</v>
      </c>
      <c r="C241" s="14" t="s">
        <v>154</v>
      </c>
      <c r="D241" s="14" t="s">
        <v>2434</v>
      </c>
      <c r="E241" s="15" t="str">
        <f>HYPERLINK("https://stat100.ameba.jp/tnk47/ratio20/illustrations/card/ill_63283_mizuyokanchan03.jpg?201812-4-RELEASE-guildbattle-385", "■")</f>
        <v>■</v>
      </c>
      <c r="F241" s="14" t="s">
        <v>2434</v>
      </c>
      <c r="G241" s="14">
        <v>89727</v>
      </c>
      <c r="H241" s="14">
        <v>83436</v>
      </c>
      <c r="I241" s="14">
        <v>19</v>
      </c>
      <c r="J241" s="14" t="s">
        <v>104</v>
      </c>
      <c r="K241" s="14" t="s">
        <v>2435</v>
      </c>
      <c r="L241" s="14" t="s">
        <v>1108</v>
      </c>
      <c r="M241" s="14" t="s">
        <v>9158</v>
      </c>
      <c r="N241" s="14" t="s">
        <v>9158</v>
      </c>
      <c r="O241" s="9" t="s">
        <v>3870</v>
      </c>
      <c r="P241" s="14" t="s">
        <v>3563</v>
      </c>
      <c r="Q241" s="14">
        <v>1</v>
      </c>
      <c r="R241" s="14"/>
    </row>
    <row r="242" spans="1:18">
      <c r="A242" s="9">
        <v>76803</v>
      </c>
      <c r="B242" s="14" t="s">
        <v>334</v>
      </c>
      <c r="C242" s="14" t="s">
        <v>202</v>
      </c>
      <c r="D242" s="14" t="s">
        <v>2436</v>
      </c>
      <c r="E242" s="15" t="str">
        <f>HYPERLINK("https://stat100.ameba.jp/tnk47/ratio20/illustrations/card/ill_76803_monsutakujirachan03.jpg?201812-4-RELEASE-guildbattle-385", "■")</f>
        <v>■</v>
      </c>
      <c r="F242" s="14" t="s">
        <v>2437</v>
      </c>
      <c r="G242" s="14">
        <v>126410</v>
      </c>
      <c r="H242" s="14">
        <v>91561</v>
      </c>
      <c r="I242" s="14">
        <v>19</v>
      </c>
      <c r="J242" s="14" t="s">
        <v>104</v>
      </c>
      <c r="K242" s="14" t="s">
        <v>2438</v>
      </c>
      <c r="L242" s="14" t="s">
        <v>1029</v>
      </c>
      <c r="M242" s="14" t="s">
        <v>9158</v>
      </c>
      <c r="N242" s="14" t="s">
        <v>9158</v>
      </c>
      <c r="O242" s="9" t="s">
        <v>3165</v>
      </c>
      <c r="P242" s="14" t="s">
        <v>13139</v>
      </c>
      <c r="Q242" s="14">
        <v>1</v>
      </c>
      <c r="R242" s="14"/>
    </row>
    <row r="243" spans="1:18">
      <c r="A243" s="9">
        <v>58803</v>
      </c>
      <c r="B243" s="14" t="s">
        <v>334</v>
      </c>
      <c r="C243" s="14" t="s">
        <v>205</v>
      </c>
      <c r="D243" s="14" t="s">
        <v>2439</v>
      </c>
      <c r="E243" s="15" t="str">
        <f>HYPERLINK("https://stat100.ameba.jp/tnk47/ratio20/illustrations/card/ill_58803_setsubumpanikkumimuratsuru03.jpg?201812-4-RELEASE-guildbattle-385", "■")</f>
        <v>■</v>
      </c>
      <c r="F243" s="14" t="s">
        <v>2028</v>
      </c>
      <c r="G243" s="14">
        <v>112631</v>
      </c>
      <c r="H243" s="14">
        <v>68088</v>
      </c>
      <c r="I243" s="14">
        <v>19</v>
      </c>
      <c r="J243" s="14" t="s">
        <v>143</v>
      </c>
      <c r="K243" s="14" t="s">
        <v>2440</v>
      </c>
      <c r="L243" s="14" t="s">
        <v>901</v>
      </c>
      <c r="M243" s="14" t="s">
        <v>9158</v>
      </c>
      <c r="N243" s="14" t="s">
        <v>9158</v>
      </c>
      <c r="O243" s="9" t="s">
        <v>3703</v>
      </c>
      <c r="P243" s="14" t="s">
        <v>3704</v>
      </c>
      <c r="Q243" s="14">
        <v>1</v>
      </c>
      <c r="R243" s="14"/>
    </row>
    <row r="244" spans="1:18">
      <c r="B244" s="14"/>
      <c r="C244" s="14"/>
      <c r="D244" s="14"/>
      <c r="F244" s="14"/>
      <c r="G244" s="14"/>
      <c r="H244" s="14"/>
      <c r="I244" s="14"/>
      <c r="J244" s="14"/>
      <c r="K244" s="14"/>
      <c r="L244" s="14"/>
      <c r="M244" s="14"/>
      <c r="N244" s="14"/>
      <c r="P244" s="14"/>
      <c r="Q244" s="14"/>
      <c r="R244" s="14"/>
    </row>
    <row r="245" spans="1:18">
      <c r="A245" s="14" t="s">
        <v>13337</v>
      </c>
      <c r="D245" s="14"/>
      <c r="F245" s="14"/>
      <c r="G245" s="14"/>
      <c r="H245" s="14"/>
      <c r="I245" s="14"/>
      <c r="J245" s="14"/>
      <c r="K245" s="14"/>
      <c r="L245" s="14"/>
      <c r="M245" s="14"/>
      <c r="N245" s="14"/>
      <c r="P245" s="14"/>
      <c r="Q245" s="14"/>
      <c r="R245" s="14"/>
    </row>
    <row r="246" spans="1:18">
      <c r="A246" s="14" t="s">
        <v>2441</v>
      </c>
      <c r="B246" s="14"/>
      <c r="C246" s="14"/>
      <c r="D246" s="14"/>
      <c r="F246" s="14"/>
      <c r="G246" s="14"/>
      <c r="H246" s="14"/>
      <c r="I246" s="14"/>
      <c r="J246" s="14"/>
      <c r="K246" s="14"/>
      <c r="L246" s="14"/>
      <c r="M246" s="14"/>
      <c r="N246" s="14"/>
      <c r="P246" s="14"/>
      <c r="Q246" s="14"/>
      <c r="R246" s="14"/>
    </row>
    <row r="247" spans="1:18">
      <c r="A247" s="9">
        <v>79215</v>
      </c>
      <c r="B247" s="14" t="s">
        <v>334</v>
      </c>
      <c r="C247" s="14" t="s">
        <v>202</v>
      </c>
      <c r="D247" s="14" t="s">
        <v>2442</v>
      </c>
      <c r="E247" s="15" t="str">
        <f>HYPERLINK("https://stat100.ameba.jp/tnk47/ratio20/illustrations/card/ill_79215_jizainoimpu05.jpg?201812-4-RELEASE-guildbattle-385", "■")</f>
        <v>■</v>
      </c>
      <c r="F247" s="14" t="s">
        <v>2443</v>
      </c>
      <c r="G247" s="14">
        <v>68446</v>
      </c>
      <c r="H247" s="14">
        <v>49558</v>
      </c>
      <c r="I247" s="14">
        <v>22</v>
      </c>
      <c r="J247" s="14" t="s">
        <v>73</v>
      </c>
      <c r="K247" s="14" t="s">
        <v>2444</v>
      </c>
      <c r="L247" s="14" t="s">
        <v>2445</v>
      </c>
      <c r="M247" s="14" t="s">
        <v>9158</v>
      </c>
      <c r="N247" s="14" t="s">
        <v>9158</v>
      </c>
      <c r="O247" s="14" t="s">
        <v>9158</v>
      </c>
      <c r="P247" s="14" t="s">
        <v>9158</v>
      </c>
      <c r="Q247" s="14" t="s">
        <v>9158</v>
      </c>
      <c r="R247" s="14" t="s">
        <v>174</v>
      </c>
    </row>
    <row r="248" spans="1:18">
      <c r="A248" s="9">
        <v>79213</v>
      </c>
      <c r="B248" s="14" t="s">
        <v>15</v>
      </c>
      <c r="C248" s="14" t="s">
        <v>158</v>
      </c>
      <c r="D248" s="14" t="s">
        <v>2442</v>
      </c>
      <c r="E248" s="15" t="str">
        <f>HYPERLINK("https://stat100.ameba.jp/tnk47/ratio20/illustrations/card/ill_79213_jizainoimpu03.jpg?201812-4-RELEASE-guildbattle-385", "■")</f>
        <v>■</v>
      </c>
      <c r="F248" s="14" t="s">
        <v>2443</v>
      </c>
      <c r="G248" s="14">
        <v>49506</v>
      </c>
      <c r="H248" s="14">
        <v>35814</v>
      </c>
      <c r="I248" s="14">
        <v>22</v>
      </c>
      <c r="J248" s="14" t="s">
        <v>73</v>
      </c>
      <c r="K248" s="14" t="s">
        <v>2444</v>
      </c>
      <c r="L248" s="14" t="s">
        <v>2446</v>
      </c>
      <c r="M248" s="14" t="s">
        <v>9158</v>
      </c>
      <c r="N248" s="14" t="s">
        <v>9158</v>
      </c>
      <c r="O248" s="14" t="s">
        <v>9158</v>
      </c>
      <c r="P248" s="14" t="s">
        <v>9158</v>
      </c>
      <c r="Q248" s="14" t="s">
        <v>9158</v>
      </c>
      <c r="R248" s="14" t="s">
        <v>175</v>
      </c>
    </row>
    <row r="249" spans="1:18">
      <c r="A249" s="9">
        <v>79211</v>
      </c>
      <c r="B249" s="14" t="s">
        <v>15</v>
      </c>
      <c r="C249" s="14" t="s">
        <v>158</v>
      </c>
      <c r="D249" s="14" t="s">
        <v>2442</v>
      </c>
      <c r="E249" s="15" t="str">
        <f>HYPERLINK("https://stat100.ameba.jp/tnk47/ratio20/illustrations/card/ill_79211_jizainoimpu01.jpg?201812-4-RELEASE-guildbattle-385", "■")</f>
        <v>■</v>
      </c>
      <c r="F249" s="14" t="s">
        <v>2443</v>
      </c>
      <c r="G249" s="14">
        <v>28688</v>
      </c>
      <c r="H249" s="14">
        <v>20768</v>
      </c>
      <c r="I249" s="14">
        <v>22</v>
      </c>
      <c r="J249" s="14" t="s">
        <v>73</v>
      </c>
      <c r="K249" s="14" t="s">
        <v>2444</v>
      </c>
      <c r="L249" s="14" t="s">
        <v>2447</v>
      </c>
      <c r="M249" s="14" t="s">
        <v>9158</v>
      </c>
      <c r="N249" s="14" t="s">
        <v>9158</v>
      </c>
      <c r="O249" s="14" t="s">
        <v>9158</v>
      </c>
      <c r="P249" s="14" t="s">
        <v>9158</v>
      </c>
      <c r="Q249" s="14" t="s">
        <v>9158</v>
      </c>
      <c r="R249" s="14" t="s">
        <v>176</v>
      </c>
    </row>
    <row r="250" spans="1:18">
      <c r="B250" s="14"/>
      <c r="C250" s="14"/>
      <c r="D250" s="14"/>
      <c r="F250" s="14"/>
      <c r="G250" s="14"/>
      <c r="H250" s="14"/>
      <c r="I250" s="14"/>
      <c r="J250" s="14"/>
      <c r="K250" s="14"/>
      <c r="L250" s="14"/>
      <c r="M250" s="14"/>
      <c r="N250" s="14"/>
      <c r="P250" s="14"/>
      <c r="Q250" s="14"/>
      <c r="R250" s="14"/>
    </row>
    <row r="251" spans="1:18">
      <c r="A251" s="14" t="s">
        <v>10164</v>
      </c>
      <c r="C251" s="14"/>
      <c r="D251" s="14"/>
      <c r="F251" s="14"/>
      <c r="G251" s="14"/>
      <c r="H251" s="14"/>
      <c r="I251" s="14"/>
      <c r="J251" s="14"/>
      <c r="K251" s="14"/>
      <c r="L251" s="14"/>
      <c r="M251" s="14"/>
      <c r="N251" s="14"/>
      <c r="P251" s="14"/>
      <c r="Q251" s="14"/>
      <c r="R251" s="14"/>
    </row>
    <row r="252" spans="1:18">
      <c r="A252" s="9" t="s">
        <v>2448</v>
      </c>
      <c r="B252" s="14"/>
      <c r="C252" s="14"/>
      <c r="D252" s="14"/>
      <c r="F252" s="14"/>
      <c r="G252" s="14"/>
      <c r="H252" s="14"/>
      <c r="I252" s="14"/>
      <c r="J252" s="14"/>
      <c r="K252" s="14"/>
      <c r="L252" s="14"/>
      <c r="M252" s="14"/>
      <c r="N252" s="14"/>
      <c r="P252" s="14"/>
      <c r="Q252" s="14"/>
      <c r="R252" s="14"/>
    </row>
    <row r="253" spans="1:18">
      <c r="A253" s="9">
        <v>61983</v>
      </c>
      <c r="B253" s="14" t="s">
        <v>334</v>
      </c>
      <c r="C253" s="14" t="s">
        <v>165</v>
      </c>
      <c r="D253" s="14" t="s">
        <v>2449</v>
      </c>
      <c r="E253" s="15" t="str">
        <f>HYPERLINK("https://stat100.ameba.jp/tnk47/ratio20/illustrations/card/ill_61983_koinoborihinotomiko03.jpg?201812-4-RELEASE-guildbattle-385", "■")</f>
        <v>■</v>
      </c>
      <c r="F253" s="14" t="s">
        <v>2450</v>
      </c>
      <c r="G253" s="14">
        <v>82027</v>
      </c>
      <c r="H253" s="14">
        <v>76237</v>
      </c>
      <c r="I253" s="14">
        <v>21</v>
      </c>
      <c r="J253" s="14" t="s">
        <v>77</v>
      </c>
      <c r="K253" s="14" t="s">
        <v>2451</v>
      </c>
      <c r="L253" s="14" t="s">
        <v>76</v>
      </c>
      <c r="M253" s="14" t="s">
        <v>9158</v>
      </c>
      <c r="N253" s="14" t="s">
        <v>9158</v>
      </c>
      <c r="O253" s="14" t="s">
        <v>9158</v>
      </c>
      <c r="P253" s="14" t="s">
        <v>9158</v>
      </c>
      <c r="Q253" s="14" t="s">
        <v>9158</v>
      </c>
      <c r="R253" s="14"/>
    </row>
    <row r="254" spans="1:18">
      <c r="A254" s="9">
        <v>59273</v>
      </c>
      <c r="B254" s="14" t="s">
        <v>334</v>
      </c>
      <c r="C254" s="14" t="s">
        <v>154</v>
      </c>
      <c r="D254" s="14" t="s">
        <v>1890</v>
      </c>
      <c r="E254" s="15" t="str">
        <f>HYPERLINK("https://stat100.ameba.jp/tnk47/ratio20/illustrations/card/ill_59273_shirayukihimeononokomachi03.jpg?201812-4-RELEASE-guildbattle-385", "■")</f>
        <v>■</v>
      </c>
      <c r="F254" s="14" t="s">
        <v>1891</v>
      </c>
      <c r="G254" s="14">
        <v>80942</v>
      </c>
      <c r="H254" s="14">
        <v>75254</v>
      </c>
      <c r="I254" s="14">
        <v>21</v>
      </c>
      <c r="J254" s="14" t="s">
        <v>10</v>
      </c>
      <c r="K254" s="14" t="s">
        <v>1892</v>
      </c>
      <c r="L254" s="14" t="s">
        <v>1893</v>
      </c>
      <c r="M254" s="14" t="s">
        <v>9158</v>
      </c>
      <c r="N254" s="14" t="s">
        <v>9158</v>
      </c>
      <c r="O254" s="14" t="s">
        <v>9158</v>
      </c>
      <c r="P254" s="14" t="s">
        <v>9158</v>
      </c>
      <c r="Q254" s="14" t="s">
        <v>9158</v>
      </c>
      <c r="R254" s="14"/>
    </row>
    <row r="255" spans="1:18">
      <c r="A255" s="9">
        <v>59103</v>
      </c>
      <c r="B255" s="14" t="s">
        <v>334</v>
      </c>
      <c r="C255" s="14" t="s">
        <v>158</v>
      </c>
      <c r="D255" s="14" t="s">
        <v>2289</v>
      </c>
      <c r="E255" s="15" t="str">
        <f>HYPERLINK("https://stat100.ameba.jp/tnk47/ratio20/illustrations/card/ill_59103_hananodayuamao03.jpg?201812-4-RELEASE-guildbattle-385", "■")</f>
        <v>■</v>
      </c>
      <c r="F255" s="14" t="s">
        <v>2290</v>
      </c>
      <c r="G255" s="14">
        <v>92220</v>
      </c>
      <c r="H255" s="14">
        <v>99173</v>
      </c>
      <c r="I255" s="14">
        <v>21</v>
      </c>
      <c r="J255" s="14" t="s">
        <v>104</v>
      </c>
      <c r="K255" s="14" t="s">
        <v>2291</v>
      </c>
      <c r="L255" s="14" t="s">
        <v>1079</v>
      </c>
      <c r="M255" s="14" t="s">
        <v>9158</v>
      </c>
      <c r="N255" s="14" t="s">
        <v>9158</v>
      </c>
      <c r="O255" s="14" t="s">
        <v>9158</v>
      </c>
      <c r="P255" s="14" t="s">
        <v>9158</v>
      </c>
      <c r="Q255" s="14" t="s">
        <v>9158</v>
      </c>
      <c r="R255" s="14"/>
    </row>
    <row r="256" spans="1:18">
      <c r="A256" s="9">
        <v>52643</v>
      </c>
      <c r="B256" s="14" t="s">
        <v>15</v>
      </c>
      <c r="C256" s="14" t="s">
        <v>206</v>
      </c>
      <c r="D256" s="14" t="s">
        <v>2452</v>
      </c>
      <c r="E256" s="15" t="str">
        <f>HYPERLINK("https://stat100.ameba.jp/tnk47/ratio20/illustrations/card/ill_52643_sengokumibirakishimazuyoshihiro03.jpg?201812-4-RELEASE-guildbattle-385", "■")</f>
        <v>■</v>
      </c>
      <c r="F256" s="14" t="s">
        <v>2453</v>
      </c>
      <c r="G256" s="14">
        <v>51078</v>
      </c>
      <c r="H256" s="14">
        <v>56316</v>
      </c>
      <c r="I256" s="14">
        <v>19</v>
      </c>
      <c r="J256" s="14" t="s">
        <v>143</v>
      </c>
      <c r="K256" s="14" t="s">
        <v>2454</v>
      </c>
      <c r="L256" s="14" t="s">
        <v>2455</v>
      </c>
      <c r="M256" s="14" t="s">
        <v>9158</v>
      </c>
      <c r="N256" s="14" t="s">
        <v>9158</v>
      </c>
      <c r="O256" s="14" t="s">
        <v>9158</v>
      </c>
      <c r="P256" s="14" t="s">
        <v>9158</v>
      </c>
      <c r="Q256" s="14" t="s">
        <v>9158</v>
      </c>
      <c r="R256" s="14"/>
    </row>
    <row r="257" spans="1:18">
      <c r="A257" s="9">
        <v>65103</v>
      </c>
      <c r="B257" s="14" t="s">
        <v>15</v>
      </c>
      <c r="C257" s="14" t="s">
        <v>185</v>
      </c>
      <c r="D257" s="14" t="s">
        <v>2456</v>
      </c>
      <c r="E257" s="15" t="str">
        <f>HYPERLINK("https://stat100.ameba.jp/tnk47/ratio20/illustrations/card/ill_65103_kyusukumizutsuraraonna03.jpg?201812-4-RELEASE-guildbattle-385", "■")</f>
        <v>■</v>
      </c>
      <c r="F257" s="14" t="s">
        <v>2457</v>
      </c>
      <c r="G257" s="14">
        <v>51078</v>
      </c>
      <c r="H257" s="14">
        <v>56316</v>
      </c>
      <c r="I257" s="14">
        <v>19</v>
      </c>
      <c r="J257" s="14" t="s">
        <v>73</v>
      </c>
      <c r="K257" s="14" t="s">
        <v>2458</v>
      </c>
      <c r="L257" s="14" t="s">
        <v>1706</v>
      </c>
      <c r="M257" s="14" t="s">
        <v>9158</v>
      </c>
      <c r="N257" s="14" t="s">
        <v>9158</v>
      </c>
      <c r="O257" s="14" t="s">
        <v>9158</v>
      </c>
      <c r="P257" s="14" t="s">
        <v>9158</v>
      </c>
      <c r="Q257" s="14" t="s">
        <v>9158</v>
      </c>
      <c r="R257" s="14"/>
    </row>
    <row r="258" spans="1:18">
      <c r="A258" s="9">
        <v>67143</v>
      </c>
      <c r="B258" s="14" t="s">
        <v>15</v>
      </c>
      <c r="C258" s="14" t="s">
        <v>200</v>
      </c>
      <c r="D258" s="14" t="s">
        <v>2459</v>
      </c>
      <c r="E258" s="15" t="str">
        <f>HYPERLINK("https://stat100.ameba.jp/tnk47/ratio20/illustrations/card/ill_67143_yukemuritsubofurishi03.jpg?201812-4-RELEASE-guildbattle-385", "■")</f>
        <v>■</v>
      </c>
      <c r="F258" s="14" t="s">
        <v>2460</v>
      </c>
      <c r="G258" s="14">
        <v>56316</v>
      </c>
      <c r="H258" s="14">
        <v>51078</v>
      </c>
      <c r="I258" s="14">
        <v>19</v>
      </c>
      <c r="J258" s="14" t="s">
        <v>16</v>
      </c>
      <c r="K258" s="14" t="s">
        <v>2461</v>
      </c>
      <c r="L258" s="14" t="s">
        <v>2462</v>
      </c>
      <c r="M258" s="14" t="s">
        <v>9158</v>
      </c>
      <c r="N258" s="14" t="s">
        <v>9158</v>
      </c>
      <c r="O258" s="14" t="s">
        <v>9158</v>
      </c>
      <c r="P258" s="14" t="s">
        <v>9158</v>
      </c>
      <c r="Q258" s="14" t="s">
        <v>9158</v>
      </c>
      <c r="R258" s="14"/>
    </row>
    <row r="259" spans="1:18">
      <c r="B259" s="14"/>
      <c r="C259" s="14"/>
      <c r="D259" s="14"/>
      <c r="F259" s="14"/>
      <c r="G259" s="14"/>
      <c r="H259" s="14"/>
      <c r="I259" s="14"/>
      <c r="J259" s="14"/>
      <c r="K259" s="14"/>
      <c r="L259" s="14"/>
      <c r="M259" s="14"/>
      <c r="N259" s="14"/>
      <c r="P259" s="14"/>
      <c r="Q259" s="14"/>
      <c r="R259" s="14"/>
    </row>
    <row r="260" spans="1:18">
      <c r="A260" s="14" t="s">
        <v>1711</v>
      </c>
      <c r="D260" s="14"/>
      <c r="F260" s="14"/>
      <c r="G260" s="14"/>
      <c r="H260" s="14"/>
      <c r="I260" s="14"/>
      <c r="J260" s="14"/>
      <c r="K260" s="14"/>
      <c r="L260" s="14"/>
      <c r="M260" s="14"/>
      <c r="N260" s="14"/>
      <c r="P260" s="14"/>
      <c r="Q260" s="14"/>
      <c r="R260" s="14"/>
    </row>
    <row r="261" spans="1:18">
      <c r="A261" s="14" t="s">
        <v>2463</v>
      </c>
      <c r="B261" s="14"/>
      <c r="C261" s="14"/>
      <c r="D261" s="14"/>
      <c r="F261" s="14"/>
      <c r="G261" s="14"/>
      <c r="H261" s="14"/>
      <c r="I261" s="14"/>
      <c r="J261" s="14"/>
      <c r="K261" s="14"/>
      <c r="L261" s="14"/>
      <c r="M261" s="14"/>
      <c r="N261" s="14"/>
      <c r="P261" s="14"/>
      <c r="Q261" s="14"/>
      <c r="R261" s="14"/>
    </row>
    <row r="262" spans="1:18">
      <c r="A262" s="9" t="s">
        <v>5725</v>
      </c>
      <c r="B262" s="14" t="s">
        <v>52</v>
      </c>
      <c r="C262" s="14" t="s">
        <v>206</v>
      </c>
      <c r="D262" s="14" t="s">
        <v>55</v>
      </c>
      <c r="E262" s="15" t="str">
        <f>HYPERLINK("https://stat100.ameba.jp/tnk47/ratio20/illustrations/card/ill_52693_0_sengokumibirakiyanagiharabyakuren03.jpg?201812-4-RELEASE-guildbattle-385", "■")</f>
        <v>■</v>
      </c>
      <c r="F262" s="14" t="s">
        <v>1246</v>
      </c>
      <c r="G262" s="14">
        <v>117196</v>
      </c>
      <c r="H262" s="14">
        <v>131930</v>
      </c>
      <c r="I262" s="14">
        <v>21</v>
      </c>
      <c r="J262" s="14" t="s">
        <v>16</v>
      </c>
      <c r="K262" s="14" t="s">
        <v>1247</v>
      </c>
      <c r="L262" s="14" t="s">
        <v>1248</v>
      </c>
      <c r="M262" s="14" t="s">
        <v>9158</v>
      </c>
      <c r="N262" s="14" t="s">
        <v>9158</v>
      </c>
      <c r="O262" s="9" t="s">
        <v>3303</v>
      </c>
      <c r="P262" s="14" t="s">
        <v>3304</v>
      </c>
      <c r="Q262" s="14">
        <v>1</v>
      </c>
      <c r="R262" s="14"/>
    </row>
    <row r="263" spans="1:18">
      <c r="A263" s="9" t="s">
        <v>5897</v>
      </c>
      <c r="B263" s="14" t="s">
        <v>52</v>
      </c>
      <c r="C263" s="14" t="s">
        <v>200</v>
      </c>
      <c r="D263" s="14" t="s">
        <v>53</v>
      </c>
      <c r="E263" s="15" t="str">
        <f>HYPERLINK("https://stat100.ameba.jp/tnk47/ratio20/illustrations/card/ill_40913_0_reigyokudensetsufusehime03.jpg?201812-4-RELEASE-guildbattle-385", "■")</f>
        <v>■</v>
      </c>
      <c r="F263" s="14" t="s">
        <v>955</v>
      </c>
      <c r="G263" s="14">
        <v>115096</v>
      </c>
      <c r="H263" s="14">
        <v>122892</v>
      </c>
      <c r="I263" s="14">
        <v>21</v>
      </c>
      <c r="J263" s="14" t="s">
        <v>38</v>
      </c>
      <c r="K263" s="14" t="s">
        <v>956</v>
      </c>
      <c r="L263" s="14" t="s">
        <v>957</v>
      </c>
      <c r="M263" s="14" t="s">
        <v>9158</v>
      </c>
      <c r="N263" s="14" t="s">
        <v>9158</v>
      </c>
      <c r="O263" s="14" t="s">
        <v>9158</v>
      </c>
      <c r="P263" s="14" t="s">
        <v>9158</v>
      </c>
      <c r="Q263" s="14" t="s">
        <v>9158</v>
      </c>
      <c r="R263" s="14"/>
    </row>
    <row r="264" spans="1:18">
      <c r="A264" s="9" t="s">
        <v>5721</v>
      </c>
      <c r="B264" s="14" t="s">
        <v>52</v>
      </c>
      <c r="C264" s="14" t="s">
        <v>205</v>
      </c>
      <c r="D264" s="14" t="s">
        <v>2253</v>
      </c>
      <c r="E264" s="15" t="str">
        <f>HYPERLINK("https://stat100.ameba.jp/tnk47/ratio20/illustrations/card/ill_44283_0_izumonokuni03.jpg?201812-4-RELEASE-guildbattle-385", "■")</f>
        <v>■</v>
      </c>
      <c r="F264" s="14" t="s">
        <v>1716</v>
      </c>
      <c r="G264" s="14">
        <v>122892</v>
      </c>
      <c r="H264" s="14">
        <v>115096</v>
      </c>
      <c r="I264" s="14">
        <v>21</v>
      </c>
      <c r="J264" s="14" t="s">
        <v>16</v>
      </c>
      <c r="K264" s="14" t="s">
        <v>2254</v>
      </c>
      <c r="L264" s="14" t="s">
        <v>1718</v>
      </c>
      <c r="M264" s="14" t="s">
        <v>9158</v>
      </c>
      <c r="N264" s="14" t="s">
        <v>9158</v>
      </c>
      <c r="O264" s="14" t="s">
        <v>9158</v>
      </c>
      <c r="P264" s="14" t="s">
        <v>9158</v>
      </c>
      <c r="Q264" s="14" t="s">
        <v>9158</v>
      </c>
      <c r="R264" s="14"/>
    </row>
    <row r="265" spans="1:18">
      <c r="A265" s="9">
        <v>78293</v>
      </c>
      <c r="B265" s="14" t="s">
        <v>334</v>
      </c>
      <c r="C265" s="14" t="s">
        <v>205</v>
      </c>
      <c r="D265" s="14" t="s">
        <v>2415</v>
      </c>
      <c r="E265" s="15" t="str">
        <f>HYPERLINK("https://stat100.ameba.jp/tnk47/ratio20/illustrations/card/ill_78293_yukinotaawaodori03.jpg?201812-4-RELEASE-guildbattle-385", "■")</f>
        <v>■</v>
      </c>
      <c r="F265" s="14" t="s">
        <v>2416</v>
      </c>
      <c r="G265" s="14">
        <v>88948</v>
      </c>
      <c r="H265" s="14">
        <v>95668</v>
      </c>
      <c r="I265" s="14">
        <v>21</v>
      </c>
      <c r="J265" s="14" t="s">
        <v>26</v>
      </c>
      <c r="K265" s="14" t="s">
        <v>2417</v>
      </c>
      <c r="L265" s="14" t="s">
        <v>2137</v>
      </c>
      <c r="M265" s="14" t="s">
        <v>9158</v>
      </c>
      <c r="N265" s="14" t="s">
        <v>9158</v>
      </c>
      <c r="O265" s="14" t="s">
        <v>9158</v>
      </c>
      <c r="P265" s="14" t="s">
        <v>9158</v>
      </c>
      <c r="Q265" s="14" t="s">
        <v>9158</v>
      </c>
      <c r="R265" s="14"/>
    </row>
    <row r="266" spans="1:18">
      <c r="A266" s="9">
        <v>78303</v>
      </c>
      <c r="B266" s="14" t="s">
        <v>15</v>
      </c>
      <c r="C266" s="14" t="s">
        <v>165</v>
      </c>
      <c r="D266" s="14" t="s">
        <v>2418</v>
      </c>
      <c r="E266" s="15" t="str">
        <f>HYPERLINK("https://stat100.ameba.jp/tnk47/ratio20/illustrations/card/ill_78303_kobewain03.jpg?201812-4-RELEASE-guildbattle-385", "■")</f>
        <v>■</v>
      </c>
      <c r="F266" s="14" t="s">
        <v>2419</v>
      </c>
      <c r="G266" s="14">
        <v>53352</v>
      </c>
      <c r="H266" s="14">
        <v>48390</v>
      </c>
      <c r="I266" s="14">
        <v>18</v>
      </c>
      <c r="J266" s="14" t="s">
        <v>104</v>
      </c>
      <c r="K266" s="14" t="s">
        <v>2420</v>
      </c>
      <c r="L266" s="14" t="s">
        <v>13178</v>
      </c>
      <c r="M266" s="14" t="s">
        <v>9158</v>
      </c>
      <c r="N266" s="14" t="s">
        <v>9158</v>
      </c>
      <c r="O266" s="14" t="s">
        <v>9158</v>
      </c>
      <c r="P266" s="14" t="s">
        <v>9158</v>
      </c>
      <c r="Q266" s="14" t="s">
        <v>9158</v>
      </c>
      <c r="R266" s="14"/>
    </row>
    <row r="267" spans="1:18">
      <c r="A267" s="9">
        <v>78313</v>
      </c>
      <c r="B267" s="14" t="s">
        <v>22</v>
      </c>
      <c r="C267" s="14" t="s">
        <v>185</v>
      </c>
      <c r="D267" s="14" t="s">
        <v>2421</v>
      </c>
      <c r="E267" s="15" t="str">
        <f>HYPERLINK("https://stat100.ameba.jp/tnk47/ratio20/illustrations/card/ill_78313_fuyunojinseishinni03.jpg?201812-4-RELEASE-guildbattle-385", "■")</f>
        <v>■</v>
      </c>
      <c r="F267" s="14" t="s">
        <v>2422</v>
      </c>
      <c r="G267" s="14">
        <v>27660</v>
      </c>
      <c r="H267" s="14">
        <v>33266</v>
      </c>
      <c r="I267" s="14">
        <v>16</v>
      </c>
      <c r="J267" s="14" t="s">
        <v>77</v>
      </c>
      <c r="K267" s="14" t="s">
        <v>2423</v>
      </c>
      <c r="L267" s="14" t="s">
        <v>2424</v>
      </c>
      <c r="M267" s="14" t="s">
        <v>9158</v>
      </c>
      <c r="N267" s="14" t="s">
        <v>9158</v>
      </c>
      <c r="O267" s="14" t="s">
        <v>9158</v>
      </c>
      <c r="P267" s="14" t="s">
        <v>9158</v>
      </c>
      <c r="Q267" s="14" t="s">
        <v>9158</v>
      </c>
      <c r="R267" s="14"/>
    </row>
    <row r="268" spans="1:18">
      <c r="A268" s="9">
        <v>78323</v>
      </c>
      <c r="B268" s="14" t="s">
        <v>30</v>
      </c>
      <c r="C268" s="14" t="s">
        <v>1331</v>
      </c>
      <c r="D268" s="14" t="s">
        <v>2425</v>
      </c>
      <c r="E268" s="15" t="str">
        <f>HYPERLINK("https://stat100.ameba.jp/tnk47/ratio20/illustrations/card/ill_78323_xmasyamanatoyokuni03.jpg?201812-4-RELEASE-guildbattle-385", "■")</f>
        <v>■</v>
      </c>
      <c r="F268" s="14" t="s">
        <v>2426</v>
      </c>
      <c r="G268" s="14">
        <v>20140</v>
      </c>
      <c r="H268" s="14">
        <v>16914</v>
      </c>
      <c r="I268" s="14">
        <v>16</v>
      </c>
      <c r="J268" s="14" t="s">
        <v>143</v>
      </c>
      <c r="K268" s="14" t="s">
        <v>2427</v>
      </c>
      <c r="L268" s="14" t="s">
        <v>2428</v>
      </c>
      <c r="M268" s="14" t="s">
        <v>9158</v>
      </c>
      <c r="N268" s="14" t="s">
        <v>9158</v>
      </c>
      <c r="O268" s="14" t="s">
        <v>9158</v>
      </c>
      <c r="P268" s="14" t="s">
        <v>9158</v>
      </c>
      <c r="Q268" s="14" t="s">
        <v>9158</v>
      </c>
      <c r="R268" s="14"/>
    </row>
    <row r="269" spans="1:18">
      <c r="B269" s="14"/>
      <c r="C269" s="14"/>
      <c r="D269" s="14"/>
      <c r="F269" s="14"/>
      <c r="G269" s="14"/>
      <c r="H269" s="14"/>
      <c r="I269" s="14"/>
      <c r="J269" s="14"/>
      <c r="K269" s="14"/>
      <c r="L269" s="14"/>
      <c r="M269" s="14"/>
      <c r="N269" s="14"/>
      <c r="P269" s="14"/>
      <c r="Q269" s="14"/>
      <c r="R269" s="14"/>
    </row>
    <row r="270" spans="1:18">
      <c r="A270" s="14" t="s">
        <v>115</v>
      </c>
      <c r="D270" s="14"/>
      <c r="F270" s="14"/>
      <c r="G270" s="14"/>
      <c r="H270" s="14"/>
      <c r="I270" s="14"/>
      <c r="J270" s="14"/>
      <c r="K270" s="14"/>
      <c r="L270" s="14"/>
      <c r="M270" s="14"/>
      <c r="N270" s="14"/>
      <c r="P270" s="14"/>
      <c r="Q270" s="14"/>
      <c r="R270" s="14"/>
    </row>
    <row r="271" spans="1:18">
      <c r="A271" s="14" t="s">
        <v>2464</v>
      </c>
      <c r="B271" s="14"/>
      <c r="C271" s="14"/>
      <c r="D271" s="14"/>
      <c r="F271" s="14"/>
      <c r="G271" s="14"/>
      <c r="H271" s="14"/>
      <c r="I271" s="14"/>
      <c r="J271" s="14"/>
      <c r="K271" s="14"/>
      <c r="L271" s="14"/>
      <c r="M271" s="14"/>
      <c r="N271" s="14"/>
      <c r="P271" s="14"/>
      <c r="Q271" s="14"/>
      <c r="R271" s="14"/>
    </row>
    <row r="272" spans="1:18">
      <c r="A272" s="9" t="s">
        <v>5611</v>
      </c>
      <c r="B272" s="14" t="s">
        <v>52</v>
      </c>
      <c r="C272" s="14" t="s">
        <v>185</v>
      </c>
      <c r="D272" s="14" t="s">
        <v>951</v>
      </c>
      <c r="E272" s="15" t="str">
        <f>HYPERLINK("https://stat100.ameba.jp/tnk47/ratio20/illustrations/card/ill_60633_0_harumaisentoin03.jpg?201812-4-RELEASE-guildbattle-385", "■")</f>
        <v>■</v>
      </c>
      <c r="F272" s="14" t="s">
        <v>952</v>
      </c>
      <c r="G272" s="14">
        <v>95371</v>
      </c>
      <c r="H272" s="14">
        <v>102590</v>
      </c>
      <c r="I272" s="14">
        <v>15</v>
      </c>
      <c r="J272" s="14" t="s">
        <v>38</v>
      </c>
      <c r="K272" s="14" t="s">
        <v>953</v>
      </c>
      <c r="L272" s="14" t="s">
        <v>954</v>
      </c>
      <c r="M272" s="14" t="s">
        <v>9158</v>
      </c>
      <c r="N272" s="14" t="s">
        <v>9158</v>
      </c>
      <c r="O272" s="9" t="s">
        <v>2888</v>
      </c>
      <c r="P272" s="14" t="s">
        <v>3144</v>
      </c>
      <c r="Q272" s="14">
        <v>1</v>
      </c>
      <c r="R272" s="14"/>
    </row>
    <row r="273" spans="1:18">
      <c r="A273" s="9" t="s">
        <v>5725</v>
      </c>
      <c r="B273" s="14" t="s">
        <v>52</v>
      </c>
      <c r="C273" s="14" t="s">
        <v>206</v>
      </c>
      <c r="D273" s="14" t="s">
        <v>55</v>
      </c>
      <c r="E273" s="15" t="str">
        <f>HYPERLINK("https://stat100.ameba.jp/tnk47/ratio20/illustrations/card/ill_52693_0_sengokumibirakiyanagiharabyakuren03.jpg?201812-4-RELEASE-guildbattle-385", "■")</f>
        <v>■</v>
      </c>
      <c r="F273" s="14" t="s">
        <v>1246</v>
      </c>
      <c r="G273" s="14">
        <v>83712</v>
      </c>
      <c r="H273" s="14">
        <v>94236</v>
      </c>
      <c r="I273" s="14">
        <v>15</v>
      </c>
      <c r="J273" s="14" t="s">
        <v>16</v>
      </c>
      <c r="K273" s="14" t="s">
        <v>1247</v>
      </c>
      <c r="L273" s="14" t="s">
        <v>1248</v>
      </c>
      <c r="M273" s="14" t="s">
        <v>9158</v>
      </c>
      <c r="N273" s="14" t="s">
        <v>9158</v>
      </c>
      <c r="O273" s="9" t="s">
        <v>3303</v>
      </c>
      <c r="P273" s="14" t="s">
        <v>3304</v>
      </c>
      <c r="Q273" s="14">
        <v>1</v>
      </c>
      <c r="R273" s="14"/>
    </row>
    <row r="274" spans="1:18">
      <c r="A274" s="9" t="s">
        <v>5897</v>
      </c>
      <c r="B274" s="14" t="s">
        <v>52</v>
      </c>
      <c r="C274" s="14" t="s">
        <v>200</v>
      </c>
      <c r="D274" s="14" t="s">
        <v>53</v>
      </c>
      <c r="E274" s="15" t="str">
        <f>HYPERLINK("https://stat100.ameba.jp/tnk47/ratio20/illustrations/card/ill_40913_0_reigyokudensetsufusehime03.jpg?201812-4-RELEASE-guildbattle-385", "■")</f>
        <v>■</v>
      </c>
      <c r="F274" s="14" t="s">
        <v>955</v>
      </c>
      <c r="G274" s="14">
        <v>82212</v>
      </c>
      <c r="H274" s="14">
        <v>87780</v>
      </c>
      <c r="I274" s="14">
        <v>15</v>
      </c>
      <c r="J274" s="14" t="s">
        <v>38</v>
      </c>
      <c r="K274" s="14" t="s">
        <v>956</v>
      </c>
      <c r="L274" s="14" t="s">
        <v>957</v>
      </c>
      <c r="M274" s="14" t="s">
        <v>9158</v>
      </c>
      <c r="N274" s="14" t="s">
        <v>9158</v>
      </c>
      <c r="O274" s="14" t="s">
        <v>9158</v>
      </c>
      <c r="P274" s="14" t="s">
        <v>9158</v>
      </c>
      <c r="Q274" s="14" t="s">
        <v>9158</v>
      </c>
      <c r="R274" s="14"/>
    </row>
    <row r="275" spans="1:18">
      <c r="A275" s="9">
        <v>70803</v>
      </c>
      <c r="B275" s="14" t="s">
        <v>334</v>
      </c>
      <c r="C275" s="14" t="s">
        <v>165</v>
      </c>
      <c r="D275" s="14" t="s">
        <v>2465</v>
      </c>
      <c r="E275" s="15" t="str">
        <f>HYPERLINK("https://stat100.ameba.jp/tnk47/ratio20/illustrations/card/ill_70803_awabichan03.jpg?201812-4-RELEASE-guildbattle-385", "■")</f>
        <v>■</v>
      </c>
      <c r="F275" s="14" t="s">
        <v>2465</v>
      </c>
      <c r="G275" s="14">
        <v>62000</v>
      </c>
      <c r="H275" s="14">
        <v>110186</v>
      </c>
      <c r="I275" s="14">
        <v>22</v>
      </c>
      <c r="J275" s="14" t="s">
        <v>104</v>
      </c>
      <c r="K275" s="14" t="s">
        <v>2466</v>
      </c>
      <c r="L275" s="14" t="s">
        <v>1924</v>
      </c>
      <c r="M275" s="14" t="s">
        <v>9158</v>
      </c>
      <c r="N275" s="14" t="s">
        <v>9158</v>
      </c>
      <c r="O275" s="14" t="s">
        <v>9158</v>
      </c>
      <c r="P275" s="14" t="s">
        <v>9158</v>
      </c>
      <c r="Q275" s="14" t="s">
        <v>9158</v>
      </c>
      <c r="R275" s="14"/>
    </row>
    <row r="276" spans="1:18">
      <c r="A276" s="9">
        <v>59433</v>
      </c>
      <c r="B276" s="14" t="s">
        <v>334</v>
      </c>
      <c r="C276" s="14" t="s">
        <v>200</v>
      </c>
      <c r="D276" s="14" t="s">
        <v>88</v>
      </c>
      <c r="E276" s="15" t="str">
        <f>HYPERLINK("https://stat100.ameba.jp/tnk47/ratio20/illustrations/card/ill_59433_shotoin03.jpg?201812-4-RELEASE-guildbattle-385", "■")</f>
        <v>■</v>
      </c>
      <c r="F276" s="14" t="s">
        <v>89</v>
      </c>
      <c r="G276" s="14">
        <v>68622</v>
      </c>
      <c r="H276" s="14">
        <v>95452</v>
      </c>
      <c r="I276" s="14">
        <v>22</v>
      </c>
      <c r="J276" s="14" t="s">
        <v>77</v>
      </c>
      <c r="K276" s="14" t="s">
        <v>90</v>
      </c>
      <c r="L276" s="14" t="s">
        <v>91</v>
      </c>
      <c r="M276" s="14" t="s">
        <v>9158</v>
      </c>
      <c r="N276" s="14" t="s">
        <v>9158</v>
      </c>
      <c r="O276" s="14" t="s">
        <v>9158</v>
      </c>
      <c r="P276" s="14" t="s">
        <v>9158</v>
      </c>
      <c r="Q276" s="14" t="s">
        <v>9158</v>
      </c>
      <c r="R276" s="14"/>
    </row>
    <row r="277" spans="1:18">
      <c r="A277" s="9">
        <v>50943</v>
      </c>
      <c r="B277" s="14" t="s">
        <v>334</v>
      </c>
      <c r="C277" s="14" t="s">
        <v>264</v>
      </c>
      <c r="D277" s="14" t="s">
        <v>2467</v>
      </c>
      <c r="E277" s="15" t="str">
        <f>HYPERLINK("https://stat100.ameba.jp/tnk47/ratio20/illustrations/card/ill_50943_anakonda03.jpg?201812-4-RELEASE-guildbattle-385", "■")</f>
        <v>■</v>
      </c>
      <c r="F277" s="14" t="s">
        <v>2468</v>
      </c>
      <c r="G277" s="14">
        <v>78838</v>
      </c>
      <c r="H277" s="14">
        <v>84796</v>
      </c>
      <c r="I277" s="14">
        <v>22</v>
      </c>
      <c r="J277" s="14" t="s">
        <v>26</v>
      </c>
      <c r="K277" s="14" t="s">
        <v>2469</v>
      </c>
      <c r="L277" s="14" t="s">
        <v>2470</v>
      </c>
      <c r="M277" s="14" t="s">
        <v>9158</v>
      </c>
      <c r="N277" s="14" t="s">
        <v>9158</v>
      </c>
      <c r="O277" s="14" t="s">
        <v>9158</v>
      </c>
      <c r="P277" s="14" t="s">
        <v>9158</v>
      </c>
      <c r="Q277" s="14" t="s">
        <v>9158</v>
      </c>
      <c r="R277" s="14"/>
    </row>
    <row r="278" spans="1:18">
      <c r="A278" s="9">
        <v>44863</v>
      </c>
      <c r="B278" s="14" t="s">
        <v>15</v>
      </c>
      <c r="C278" s="14" t="s">
        <v>205</v>
      </c>
      <c r="D278" s="14" t="s">
        <v>2471</v>
      </c>
      <c r="E278" s="15" t="str">
        <f>HYPERLINK("https://stat100.ameba.jp/tnk47/ratio20/illustrations/card/ill_44863_nekodanuki03.jpg?201812-4-RELEASE-guildbattle-385", "■")</f>
        <v>■</v>
      </c>
      <c r="F278" s="14" t="s">
        <v>2472</v>
      </c>
      <c r="G278" s="14">
        <v>59144</v>
      </c>
      <c r="H278" s="14">
        <v>65208</v>
      </c>
      <c r="I278" s="14">
        <v>22</v>
      </c>
      <c r="J278" s="14" t="s">
        <v>73</v>
      </c>
      <c r="K278" s="14" t="s">
        <v>2473</v>
      </c>
      <c r="L278" s="14" t="s">
        <v>2474</v>
      </c>
      <c r="M278" s="14" t="s">
        <v>9158</v>
      </c>
      <c r="N278" s="14" t="s">
        <v>9158</v>
      </c>
      <c r="O278" s="14" t="s">
        <v>9158</v>
      </c>
      <c r="P278" s="14" t="s">
        <v>9158</v>
      </c>
      <c r="Q278" s="14" t="s">
        <v>9158</v>
      </c>
      <c r="R278" s="14"/>
    </row>
    <row r="279" spans="1:18">
      <c r="A279" s="9">
        <v>46963</v>
      </c>
      <c r="B279" s="14" t="s">
        <v>15</v>
      </c>
      <c r="C279" s="14" t="s">
        <v>191</v>
      </c>
      <c r="D279" s="14" t="s">
        <v>2475</v>
      </c>
      <c r="E279" s="15" t="str">
        <f>HYPERLINK("https://stat100.ameba.jp/tnk47/ratio20/illustrations/card/ill_46963_isekiasamanoookami03.jpg?201812-4-RELEASE-guildbattle-385", "■")</f>
        <v>■</v>
      </c>
      <c r="F279" s="14" t="s">
        <v>2476</v>
      </c>
      <c r="G279" s="14">
        <v>59144</v>
      </c>
      <c r="H279" s="14">
        <v>65208</v>
      </c>
      <c r="I279" s="14">
        <v>22</v>
      </c>
      <c r="J279" s="14" t="s">
        <v>44</v>
      </c>
      <c r="K279" s="14" t="s">
        <v>2477</v>
      </c>
      <c r="L279" s="14" t="s">
        <v>2478</v>
      </c>
      <c r="M279" s="14" t="s">
        <v>9158</v>
      </c>
      <c r="N279" s="14" t="s">
        <v>9158</v>
      </c>
      <c r="O279" s="14" t="s">
        <v>9158</v>
      </c>
      <c r="P279" s="14" t="s">
        <v>9158</v>
      </c>
      <c r="Q279" s="14" t="s">
        <v>9158</v>
      </c>
      <c r="R279" s="14"/>
    </row>
    <row r="280" spans="1:18">
      <c r="A280" s="9">
        <v>56593</v>
      </c>
      <c r="B280" s="14" t="s">
        <v>15</v>
      </c>
      <c r="C280" s="14" t="s">
        <v>185</v>
      </c>
      <c r="D280" s="14" t="s">
        <v>2479</v>
      </c>
      <c r="E280" s="15" t="str">
        <f>HYPERLINK("https://stat100.ameba.jp/tnk47/ratio20/illustrations/card/ill_56593_genjusodehagi03.jpg?201812-4-RELEASE-guildbattle-385", "■")</f>
        <v>■</v>
      </c>
      <c r="F280" s="14" t="s">
        <v>2480</v>
      </c>
      <c r="G280" s="14">
        <v>59144</v>
      </c>
      <c r="H280" s="14">
        <v>65208</v>
      </c>
      <c r="I280" s="14">
        <v>22</v>
      </c>
      <c r="J280" s="14" t="s">
        <v>38</v>
      </c>
      <c r="K280" s="14" t="s">
        <v>2481</v>
      </c>
      <c r="L280" s="14" t="s">
        <v>2482</v>
      </c>
      <c r="M280" s="14" t="s">
        <v>9158</v>
      </c>
      <c r="N280" s="14" t="s">
        <v>9158</v>
      </c>
      <c r="O280" s="14" t="s">
        <v>9158</v>
      </c>
      <c r="P280" s="14" t="s">
        <v>9158</v>
      </c>
      <c r="Q280" s="14" t="s">
        <v>9158</v>
      </c>
      <c r="R280" s="14"/>
    </row>
    <row r="281" spans="1:18">
      <c r="B281" s="14"/>
      <c r="C281" s="14"/>
      <c r="D281" s="14"/>
      <c r="F281" s="14"/>
      <c r="G281" s="14"/>
      <c r="H281" s="14"/>
      <c r="I281" s="14"/>
      <c r="J281" s="14"/>
      <c r="K281" s="14"/>
      <c r="L281" s="14"/>
      <c r="M281" s="14"/>
      <c r="N281" s="14"/>
      <c r="P281" s="14"/>
      <c r="Q281" s="14"/>
      <c r="R281" s="14"/>
    </row>
    <row r="282" spans="1:18">
      <c r="A282" s="14" t="s">
        <v>114</v>
      </c>
      <c r="D282" s="14"/>
      <c r="F282" s="14"/>
      <c r="G282" s="14"/>
      <c r="H282" s="14"/>
      <c r="I282" s="14"/>
      <c r="J282" s="14"/>
      <c r="K282" s="14"/>
      <c r="L282" s="14"/>
      <c r="M282" s="14"/>
      <c r="N282" s="14"/>
      <c r="P282" s="14"/>
      <c r="Q282" s="14"/>
      <c r="R282" s="14"/>
    </row>
    <row r="283" spans="1:18">
      <c r="A283" s="14" t="s">
        <v>2483</v>
      </c>
      <c r="C283" s="14"/>
      <c r="D283" s="14"/>
      <c r="F283" s="14"/>
      <c r="G283" s="14"/>
      <c r="H283" s="14"/>
      <c r="I283" s="14"/>
      <c r="J283" s="14"/>
      <c r="K283" s="14"/>
      <c r="L283" s="14"/>
      <c r="M283" s="14"/>
      <c r="N283" s="14"/>
      <c r="P283" s="14"/>
      <c r="Q283" s="14"/>
      <c r="R283" s="14"/>
    </row>
    <row r="284" spans="1:18">
      <c r="A284" s="9" t="s">
        <v>5614</v>
      </c>
      <c r="B284" s="14" t="s">
        <v>52</v>
      </c>
      <c r="C284" s="14" t="s">
        <v>205</v>
      </c>
      <c r="D284" s="14" t="s">
        <v>947</v>
      </c>
      <c r="E284" s="15" t="str">
        <f>HYPERLINK("https://stat100.ameba.jp/tnk47/ratio20/illustrations/card/ill_56223_0_onsempanikkugohime03.jpg?201812-4-RELEASE-guildbattle-385", "■")</f>
        <v>■</v>
      </c>
      <c r="F284" s="14" t="s">
        <v>948</v>
      </c>
      <c r="G284" s="14">
        <v>94872</v>
      </c>
      <c r="H284" s="14">
        <v>106800</v>
      </c>
      <c r="I284" s="14">
        <v>17</v>
      </c>
      <c r="J284" s="14" t="s">
        <v>77</v>
      </c>
      <c r="K284" s="14" t="s">
        <v>949</v>
      </c>
      <c r="L284" s="14" t="s">
        <v>950</v>
      </c>
      <c r="M284" s="14" t="s">
        <v>9158</v>
      </c>
      <c r="N284" s="14" t="s">
        <v>9158</v>
      </c>
      <c r="O284" s="9" t="s">
        <v>3021</v>
      </c>
      <c r="P284" s="14" t="s">
        <v>2890</v>
      </c>
      <c r="Q284" s="14">
        <v>1</v>
      </c>
      <c r="R284" s="14"/>
    </row>
    <row r="285" spans="1:18">
      <c r="A285" s="9" t="s">
        <v>5607</v>
      </c>
      <c r="B285" s="14" t="s">
        <v>52</v>
      </c>
      <c r="C285" s="14" t="s">
        <v>200</v>
      </c>
      <c r="D285" s="14" t="s">
        <v>1039</v>
      </c>
      <c r="E285" s="15" t="str">
        <f>HYPERLINK("https://stat100.ameba.jp/tnk47/ratio20/illustrations/card/ill_58853_0_setsubumpanikkuhiratsukaraicho03.jpg?201812-4-RELEASE-guildbattle-385", "■")</f>
        <v>■</v>
      </c>
      <c r="F285" s="14" t="s">
        <v>2485</v>
      </c>
      <c r="G285" s="14">
        <v>106800</v>
      </c>
      <c r="H285" s="14">
        <v>94872</v>
      </c>
      <c r="I285" s="14">
        <v>17</v>
      </c>
      <c r="J285" s="14" t="s">
        <v>16</v>
      </c>
      <c r="K285" s="14" t="s">
        <v>1041</v>
      </c>
      <c r="L285" s="14" t="s">
        <v>1042</v>
      </c>
      <c r="M285" s="14" t="s">
        <v>9158</v>
      </c>
      <c r="N285" s="14" t="s">
        <v>9158</v>
      </c>
      <c r="O285" s="17" t="s">
        <v>10059</v>
      </c>
      <c r="P285" s="14" t="s">
        <v>2870</v>
      </c>
      <c r="Q285" s="14">
        <v>1</v>
      </c>
      <c r="R285" s="14"/>
    </row>
    <row r="286" spans="1:18">
      <c r="A286" s="9">
        <v>67953</v>
      </c>
      <c r="B286" s="14" t="s">
        <v>334</v>
      </c>
      <c r="C286" s="14" t="s">
        <v>209</v>
      </c>
      <c r="D286" s="14" t="s">
        <v>2486</v>
      </c>
      <c r="E286" s="15" t="str">
        <f>HYPERLINK("https://stat100.ameba.jp/tnk47/ratio20/illustrations/card/ill_67953_kutaniyaki03.jpg?201812-4-RELEASE-guildbattle-385", "■")</f>
        <v>■</v>
      </c>
      <c r="F286" s="14" t="s">
        <v>2487</v>
      </c>
      <c r="G286" s="14">
        <v>78916</v>
      </c>
      <c r="H286" s="14">
        <v>108924</v>
      </c>
      <c r="I286" s="14">
        <v>24</v>
      </c>
      <c r="J286" s="14" t="s">
        <v>26</v>
      </c>
      <c r="K286" s="14" t="s">
        <v>2488</v>
      </c>
      <c r="L286" s="14" t="s">
        <v>2489</v>
      </c>
      <c r="M286" s="14" t="s">
        <v>9158</v>
      </c>
      <c r="N286" s="14" t="s">
        <v>9158</v>
      </c>
      <c r="O286" s="17" t="s">
        <v>10053</v>
      </c>
      <c r="P286" s="14" t="s">
        <v>3592</v>
      </c>
      <c r="Q286" s="14">
        <v>1</v>
      </c>
      <c r="R286" s="14"/>
    </row>
    <row r="287" spans="1:18">
      <c r="A287" s="9">
        <v>65623</v>
      </c>
      <c r="B287" s="14" t="s">
        <v>334</v>
      </c>
      <c r="C287" s="14" t="s">
        <v>209</v>
      </c>
      <c r="D287" s="14" t="s">
        <v>2490</v>
      </c>
      <c r="E287" s="15" t="str">
        <f>HYPERLINK("https://stat100.ameba.jp/tnk47/ratio20/illustrations/card/ill_65623_hosoyajudayu03.jpg?201812-4-RELEASE-guildbattle-385", "■")</f>
        <v>■</v>
      </c>
      <c r="F287" s="14" t="s">
        <v>2491</v>
      </c>
      <c r="G287" s="14">
        <v>139716</v>
      </c>
      <c r="H287" s="14">
        <v>101199</v>
      </c>
      <c r="I287" s="14">
        <v>21</v>
      </c>
      <c r="J287" s="14" t="s">
        <v>143</v>
      </c>
      <c r="K287" s="14" t="s">
        <v>2492</v>
      </c>
      <c r="L287" s="14" t="s">
        <v>145</v>
      </c>
      <c r="M287" s="14" t="s">
        <v>9158</v>
      </c>
      <c r="N287" s="14" t="s">
        <v>9158</v>
      </c>
      <c r="O287" s="14" t="s">
        <v>9158</v>
      </c>
      <c r="P287" s="14" t="s">
        <v>9158</v>
      </c>
      <c r="Q287" s="14" t="s">
        <v>9158</v>
      </c>
      <c r="R287" s="14"/>
    </row>
    <row r="288" spans="1:18">
      <c r="A288" s="9">
        <v>62043</v>
      </c>
      <c r="B288" s="14" t="s">
        <v>334</v>
      </c>
      <c r="C288" s="14" t="s">
        <v>203</v>
      </c>
      <c r="D288" s="14" t="s">
        <v>2493</v>
      </c>
      <c r="E288" s="15" t="str">
        <f>HYPERLINK("https://stat100.ameba.jp/tnk47/ratio20/illustrations/card/ill_62043_niutsuhimenookami03.jpg?201812-4-RELEASE-guildbattle-385", "■")</f>
        <v>■</v>
      </c>
      <c r="F288" s="14" t="s">
        <v>2022</v>
      </c>
      <c r="G288" s="14">
        <v>69430</v>
      </c>
      <c r="H288" s="14">
        <v>95859</v>
      </c>
      <c r="I288" s="14">
        <v>21</v>
      </c>
      <c r="J288" s="14" t="s">
        <v>44</v>
      </c>
      <c r="K288" s="14" t="s">
        <v>2494</v>
      </c>
      <c r="L288" s="14" t="s">
        <v>2086</v>
      </c>
      <c r="M288" s="14" t="s">
        <v>9158</v>
      </c>
      <c r="N288" s="14" t="s">
        <v>9158</v>
      </c>
      <c r="O288" s="9" t="s">
        <v>3452</v>
      </c>
      <c r="P288" s="14" t="s">
        <v>13145</v>
      </c>
      <c r="Q288" s="14">
        <v>1</v>
      </c>
      <c r="R288" s="14"/>
    </row>
    <row r="289" spans="1:18">
      <c r="A289" s="9">
        <v>57113</v>
      </c>
      <c r="B289" s="14" t="s">
        <v>334</v>
      </c>
      <c r="C289" s="14" t="s">
        <v>2484</v>
      </c>
      <c r="D289" s="14" t="s">
        <v>2495</v>
      </c>
      <c r="E289" s="15" t="str">
        <f>HYPERLINK("https://stat100.ameba.jp/tnk47/ratio20/illustrations/card/ill_57113_furenchitosuto03.jpg?201812-4-RELEASE-guildbattle-385", "■")</f>
        <v>■</v>
      </c>
      <c r="F289" s="14" t="s">
        <v>2496</v>
      </c>
      <c r="G289" s="14">
        <v>63547</v>
      </c>
      <c r="H289" s="14">
        <v>86668</v>
      </c>
      <c r="I289" s="14">
        <v>21</v>
      </c>
      <c r="J289" s="14" t="s">
        <v>104</v>
      </c>
      <c r="K289" s="14" t="s">
        <v>2497</v>
      </c>
      <c r="L289" s="14" t="s">
        <v>2498</v>
      </c>
      <c r="M289" s="14" t="s">
        <v>9158</v>
      </c>
      <c r="N289" s="14" t="s">
        <v>9158</v>
      </c>
      <c r="O289" s="14" t="s">
        <v>9158</v>
      </c>
      <c r="P289" s="14" t="s">
        <v>9158</v>
      </c>
      <c r="Q289" s="14" t="s">
        <v>9158</v>
      </c>
      <c r="R289" s="14"/>
    </row>
    <row r="290" spans="1:18">
      <c r="A290" s="9">
        <v>61433</v>
      </c>
      <c r="B290" s="14" t="s">
        <v>334</v>
      </c>
      <c r="C290" s="14" t="s">
        <v>200</v>
      </c>
      <c r="D290" s="14" t="s">
        <v>74</v>
      </c>
      <c r="E290" s="15" t="str">
        <f>HYPERLINK("https://stat100.ameba.jp/tnk47/ratio20/illustrations/card/ill_61433_isehime03.jpg?201812-4-RELEASE-guildbattle-385", "■")</f>
        <v>■</v>
      </c>
      <c r="F290" s="14" t="s">
        <v>78</v>
      </c>
      <c r="G290" s="14">
        <v>91779</v>
      </c>
      <c r="H290" s="14">
        <v>66487</v>
      </c>
      <c r="I290" s="14">
        <v>21</v>
      </c>
      <c r="J290" s="14" t="s">
        <v>77</v>
      </c>
      <c r="K290" s="14" t="s">
        <v>75</v>
      </c>
      <c r="L290" s="14" t="s">
        <v>76</v>
      </c>
      <c r="M290" s="14" t="s">
        <v>9158</v>
      </c>
      <c r="N290" s="14" t="s">
        <v>9158</v>
      </c>
      <c r="O290" s="9" t="s">
        <v>2717</v>
      </c>
      <c r="P290" s="14" t="s">
        <v>13123</v>
      </c>
      <c r="Q290" s="14">
        <v>1</v>
      </c>
      <c r="R290" s="14"/>
    </row>
    <row r="291" spans="1:18">
      <c r="A291" s="9">
        <v>65633</v>
      </c>
      <c r="B291" s="14" t="s">
        <v>334</v>
      </c>
      <c r="C291" s="14" t="s">
        <v>158</v>
      </c>
      <c r="D291" s="14" t="s">
        <v>69</v>
      </c>
      <c r="E291" s="15" t="str">
        <f>HYPERLINK("https://stat100.ameba.jp/tnk47/ratio20/illustrations/card/ill_65633_shinnoakugoro03.jpg?201812-4-RELEASE-guildbattle-385", "■")</f>
        <v>■</v>
      </c>
      <c r="F291" s="14" t="s">
        <v>70</v>
      </c>
      <c r="G291" s="14">
        <v>97925</v>
      </c>
      <c r="H291" s="14">
        <v>70942</v>
      </c>
      <c r="I291" s="14">
        <v>21</v>
      </c>
      <c r="J291" s="14" t="s">
        <v>73</v>
      </c>
      <c r="K291" s="14" t="s">
        <v>71</v>
      </c>
      <c r="L291" s="14" t="s">
        <v>72</v>
      </c>
      <c r="M291" s="14" t="s">
        <v>9158</v>
      </c>
      <c r="N291" s="14" t="s">
        <v>9158</v>
      </c>
      <c r="O291" s="14" t="s">
        <v>9158</v>
      </c>
      <c r="P291" s="14" t="s">
        <v>9158</v>
      </c>
      <c r="Q291" s="14" t="s">
        <v>9158</v>
      </c>
      <c r="R291" s="14"/>
    </row>
    <row r="292" spans="1:18">
      <c r="B292" s="14"/>
      <c r="C292" s="14"/>
      <c r="D292" s="14"/>
      <c r="F292" s="14"/>
      <c r="G292" s="14"/>
      <c r="H292" s="14"/>
      <c r="I292" s="14"/>
      <c r="J292" s="14"/>
      <c r="K292" s="14"/>
      <c r="L292" s="14"/>
      <c r="M292" s="14"/>
      <c r="N292" s="14"/>
      <c r="P292" s="14"/>
      <c r="Q292" s="14"/>
      <c r="R292" s="14"/>
    </row>
    <row r="293" spans="1:18">
      <c r="A293" s="14" t="s">
        <v>195</v>
      </c>
      <c r="D293" s="14"/>
      <c r="F293" s="14"/>
      <c r="G293" s="14"/>
      <c r="H293" s="14"/>
      <c r="I293" s="14"/>
      <c r="J293" s="14"/>
      <c r="K293" s="14"/>
      <c r="L293" s="14"/>
      <c r="M293" s="14"/>
      <c r="N293" s="14"/>
      <c r="P293" s="14"/>
      <c r="Q293" s="14"/>
      <c r="R293" s="14"/>
    </row>
    <row r="294" spans="1:18">
      <c r="A294" s="14" t="s">
        <v>2499</v>
      </c>
      <c r="B294" s="14"/>
      <c r="C294" s="14"/>
      <c r="D294" s="14"/>
      <c r="F294" s="14"/>
      <c r="G294" s="14"/>
      <c r="H294" s="14"/>
      <c r="I294" s="14"/>
      <c r="J294" s="14"/>
      <c r="K294" s="14"/>
      <c r="L294" s="14"/>
      <c r="M294" s="14"/>
      <c r="N294" s="14"/>
      <c r="P294" s="14"/>
      <c r="Q294" s="14"/>
      <c r="R294" s="14"/>
    </row>
    <row r="295" spans="1:18">
      <c r="A295" s="9">
        <v>71013</v>
      </c>
      <c r="B295" s="14" t="s">
        <v>334</v>
      </c>
      <c r="C295" s="14" t="s">
        <v>154</v>
      </c>
      <c r="D295" s="14" t="s">
        <v>1229</v>
      </c>
      <c r="E295" s="15" t="str">
        <f>HYPERLINK("https://stat100.ameba.jp/tnk47/ratio20/illustrations/card/ill_71013_fujutsushisarashina03.jpg?201812-5-RELEASE-marathon-386", "■")</f>
        <v>■</v>
      </c>
      <c r="F295" s="14" t="s">
        <v>838</v>
      </c>
      <c r="G295" s="14">
        <v>84214</v>
      </c>
      <c r="H295" s="14">
        <v>90574</v>
      </c>
      <c r="I295" s="14">
        <v>21</v>
      </c>
      <c r="J295" s="14" t="s">
        <v>155</v>
      </c>
      <c r="K295" s="14" t="s">
        <v>1231</v>
      </c>
      <c r="L295" s="14" t="s">
        <v>13152</v>
      </c>
      <c r="M295" s="14" t="s">
        <v>9158</v>
      </c>
      <c r="N295" s="14" t="s">
        <v>9158</v>
      </c>
      <c r="O295" s="14" t="s">
        <v>9158</v>
      </c>
      <c r="P295" s="14" t="s">
        <v>9158</v>
      </c>
      <c r="Q295" s="14" t="s">
        <v>9158</v>
      </c>
      <c r="R295" s="14"/>
    </row>
    <row r="296" spans="1:18">
      <c r="A296" s="9">
        <v>71023</v>
      </c>
      <c r="B296" s="14" t="s">
        <v>334</v>
      </c>
      <c r="C296" s="14" t="s">
        <v>158</v>
      </c>
      <c r="D296" s="14" t="s">
        <v>1230</v>
      </c>
      <c r="E296" s="15" t="str">
        <f>HYPERLINK("https://stat100.ameba.jp/tnk47/ratio20/illustrations/card/ill_71023_ommyojiiroha03.jpg?201812-5-RELEASE-marathon-386", "■")</f>
        <v>■</v>
      </c>
      <c r="F296" s="14" t="s">
        <v>842</v>
      </c>
      <c r="G296" s="14">
        <v>84214</v>
      </c>
      <c r="H296" s="14">
        <v>90574</v>
      </c>
      <c r="I296" s="14">
        <v>21</v>
      </c>
      <c r="J296" s="14" t="s">
        <v>159</v>
      </c>
      <c r="K296" s="14" t="s">
        <v>1232</v>
      </c>
      <c r="L296" s="14" t="s">
        <v>1233</v>
      </c>
      <c r="M296" s="14" t="s">
        <v>9158</v>
      </c>
      <c r="N296" s="14" t="s">
        <v>9158</v>
      </c>
      <c r="O296" s="14" t="s">
        <v>9158</v>
      </c>
      <c r="P296" s="14" t="s">
        <v>9158</v>
      </c>
      <c r="Q296" s="14" t="s">
        <v>9158</v>
      </c>
      <c r="R296" s="14"/>
    </row>
    <row r="297" spans="1:18">
      <c r="A297" s="9">
        <v>46063</v>
      </c>
      <c r="B297" s="14" t="s">
        <v>334</v>
      </c>
      <c r="C297" s="14" t="s">
        <v>165</v>
      </c>
      <c r="D297" s="14" t="s">
        <v>166</v>
      </c>
      <c r="E297" s="15" t="str">
        <f>HYPERLINK("https://stat100.ameba.jp/tnk47/ratio20/illustrations/card/ill_46063_kongorikishizo03.jpg?201812-5-RELEASE-marathon-386", "■")</f>
        <v>■</v>
      </c>
      <c r="F297" s="14" t="s">
        <v>167</v>
      </c>
      <c r="G297" s="14">
        <v>91114</v>
      </c>
      <c r="H297" s="14">
        <v>65502</v>
      </c>
      <c r="I297" s="14">
        <v>21</v>
      </c>
      <c r="J297" s="14" t="s">
        <v>169</v>
      </c>
      <c r="K297" s="14" t="s">
        <v>1234</v>
      </c>
      <c r="L297" s="14" t="s">
        <v>13126</v>
      </c>
      <c r="M297" s="14" t="s">
        <v>9158</v>
      </c>
      <c r="N297" s="14" t="s">
        <v>9158</v>
      </c>
      <c r="O297" s="14" t="s">
        <v>9158</v>
      </c>
      <c r="P297" s="14" t="s">
        <v>9158</v>
      </c>
      <c r="Q297" s="14" t="s">
        <v>9158</v>
      </c>
      <c r="R297" s="14"/>
    </row>
    <row r="298" spans="1:18">
      <c r="A298" s="9">
        <v>30303</v>
      </c>
      <c r="B298" s="14" t="s">
        <v>334</v>
      </c>
      <c r="C298" s="14" t="s">
        <v>203</v>
      </c>
      <c r="D298" s="14" t="s">
        <v>1235</v>
      </c>
      <c r="E298" s="15" t="str">
        <f>HYPERLINK("https://stat100.ameba.jp/tnk47/ratio20/illustrations/card/ill_30303_makaihimiko03.jpg?201812-5-RELEASE-marathon-386", "■")</f>
        <v>■</v>
      </c>
      <c r="F298" s="14" t="s">
        <v>171</v>
      </c>
      <c r="G298" s="14">
        <v>80942</v>
      </c>
      <c r="H298" s="14">
        <v>75254</v>
      </c>
      <c r="I298" s="14">
        <v>21</v>
      </c>
      <c r="J298" s="14" t="s">
        <v>173</v>
      </c>
      <c r="K298" s="14" t="s">
        <v>172</v>
      </c>
      <c r="L298" s="14" t="s">
        <v>13127</v>
      </c>
      <c r="M298" s="14" t="s">
        <v>9158</v>
      </c>
      <c r="N298" s="14" t="s">
        <v>9158</v>
      </c>
      <c r="O298" s="14" t="s">
        <v>9158</v>
      </c>
      <c r="P298" s="14" t="s">
        <v>9158</v>
      </c>
      <c r="Q298" s="14" t="s">
        <v>9158</v>
      </c>
      <c r="R298" s="14"/>
    </row>
    <row r="299" spans="1:18">
      <c r="B299" s="14"/>
      <c r="C299" s="14"/>
      <c r="D299" s="14"/>
      <c r="F299" s="14"/>
      <c r="G299" s="14"/>
      <c r="H299" s="14"/>
      <c r="I299" s="14"/>
      <c r="J299" s="14"/>
      <c r="K299" s="14"/>
      <c r="L299" s="14"/>
      <c r="M299" s="14"/>
      <c r="N299" s="14"/>
      <c r="P299" s="14"/>
      <c r="Q299" s="14"/>
      <c r="R299" s="14"/>
    </row>
    <row r="300" spans="1:18">
      <c r="A300" s="14" t="s">
        <v>223</v>
      </c>
      <c r="D300" s="14"/>
      <c r="F300" s="14"/>
      <c r="G300" s="14"/>
      <c r="H300" s="14"/>
      <c r="I300" s="14"/>
      <c r="J300" s="14"/>
      <c r="K300" s="14"/>
      <c r="L300" s="14"/>
      <c r="M300" s="14"/>
      <c r="N300" s="14"/>
      <c r="P300" s="14"/>
      <c r="Q300" s="14"/>
      <c r="R300" s="14"/>
    </row>
    <row r="301" spans="1:18">
      <c r="A301" s="14" t="s">
        <v>2500</v>
      </c>
      <c r="B301" s="14"/>
      <c r="C301" s="14"/>
      <c r="D301" s="14"/>
      <c r="F301" s="14"/>
      <c r="G301" s="14"/>
      <c r="H301" s="14"/>
      <c r="I301" s="14"/>
      <c r="J301" s="14"/>
      <c r="K301" s="14"/>
      <c r="L301" s="14"/>
      <c r="M301" s="14"/>
      <c r="N301" s="14"/>
      <c r="P301" s="14"/>
      <c r="Q301" s="14"/>
      <c r="R301" s="14"/>
    </row>
    <row r="302" spans="1:18">
      <c r="A302" s="9" t="s">
        <v>5734</v>
      </c>
      <c r="B302" s="14" t="s">
        <v>52</v>
      </c>
      <c r="C302" s="14" t="s">
        <v>202</v>
      </c>
      <c r="D302" s="14" t="s">
        <v>2297</v>
      </c>
      <c r="E302" s="15" t="str">
        <f>HYPERLINK("https://stat100.ameba.jp/tnk47/ratio20/illustrations/card/ill_74593_0_natsuyuenchikoshihikari03.jpg?201812-i_prefecture_active_user", "■")</f>
        <v>■</v>
      </c>
      <c r="F302" s="14" t="s">
        <v>2298</v>
      </c>
      <c r="G302" s="14">
        <v>184162</v>
      </c>
      <c r="H302" s="14">
        <v>171211</v>
      </c>
      <c r="I302" s="14">
        <v>17</v>
      </c>
      <c r="J302" s="14" t="s">
        <v>104</v>
      </c>
      <c r="K302" s="14" t="s">
        <v>2299</v>
      </c>
      <c r="L302" s="14" t="s">
        <v>2300</v>
      </c>
      <c r="M302" s="14" t="s">
        <v>9158</v>
      </c>
      <c r="N302" s="14" t="s">
        <v>9158</v>
      </c>
      <c r="O302" s="9" t="s">
        <v>2731</v>
      </c>
      <c r="P302" s="14" t="s">
        <v>2732</v>
      </c>
      <c r="Q302" s="14">
        <v>1</v>
      </c>
      <c r="R302" s="14"/>
    </row>
    <row r="303" spans="1:18">
      <c r="A303" s="9">
        <v>52083</v>
      </c>
      <c r="B303" s="14" t="s">
        <v>334</v>
      </c>
      <c r="C303" s="14" t="s">
        <v>203</v>
      </c>
      <c r="D303" s="14" t="s">
        <v>943</v>
      </c>
      <c r="E303" s="15" t="str">
        <f>HYPERLINK("https://stat100.ameba.jp/tnk47/ratio20/illustrations/card/ill_52083_berubetto03.jpg?201812-i_prefecture_active_user", "■")</f>
        <v>■</v>
      </c>
      <c r="F303" s="14" t="s">
        <v>944</v>
      </c>
      <c r="G303" s="14">
        <v>65466</v>
      </c>
      <c r="H303" s="14">
        <v>90377</v>
      </c>
      <c r="I303" s="14">
        <v>19</v>
      </c>
      <c r="J303" s="14" t="s">
        <v>26</v>
      </c>
      <c r="K303" s="14" t="s">
        <v>1864</v>
      </c>
      <c r="L303" s="14" t="s">
        <v>1865</v>
      </c>
      <c r="M303" s="14" t="s">
        <v>9158</v>
      </c>
      <c r="N303" s="14" t="s">
        <v>9158</v>
      </c>
      <c r="O303" s="9" t="s">
        <v>2917</v>
      </c>
      <c r="P303" s="14" t="s">
        <v>2918</v>
      </c>
      <c r="Q303" s="14">
        <v>1</v>
      </c>
      <c r="R303" s="14"/>
    </row>
    <row r="304" spans="1:18">
      <c r="A304" s="9">
        <v>70363</v>
      </c>
      <c r="B304" s="14" t="s">
        <v>334</v>
      </c>
      <c r="C304" s="14" t="s">
        <v>209</v>
      </c>
      <c r="D304" s="14" t="s">
        <v>2501</v>
      </c>
      <c r="E304" s="15" t="str">
        <f>HYPERLINK("https://stat100.ameba.jp/tnk47/ratio20/illustrations/card/ill_70363_hokushimmyokembosatsu03.jpg?201812-i_prefecture_active_user", "■")</f>
        <v>■</v>
      </c>
      <c r="F304" s="14" t="s">
        <v>2502</v>
      </c>
      <c r="G304" s="14">
        <v>126410</v>
      </c>
      <c r="H304" s="14">
        <v>91561</v>
      </c>
      <c r="I304" s="14">
        <v>19</v>
      </c>
      <c r="J304" s="14" t="s">
        <v>44</v>
      </c>
      <c r="K304" s="14" t="s">
        <v>2503</v>
      </c>
      <c r="L304" s="14" t="s">
        <v>2504</v>
      </c>
      <c r="M304" s="14" t="s">
        <v>9158</v>
      </c>
      <c r="N304" s="14" t="s">
        <v>9158</v>
      </c>
      <c r="O304" s="9" t="s">
        <v>3657</v>
      </c>
      <c r="P304" s="14" t="s">
        <v>3658</v>
      </c>
      <c r="Q304" s="14">
        <v>1</v>
      </c>
      <c r="R304" s="14"/>
    </row>
    <row r="305" spans="1:18">
      <c r="A305" s="9">
        <v>71343</v>
      </c>
      <c r="B305" s="14" t="s">
        <v>334</v>
      </c>
      <c r="C305" s="14" t="s">
        <v>185</v>
      </c>
      <c r="D305" s="14" t="s">
        <v>2505</v>
      </c>
      <c r="E305" s="15" t="str">
        <f>HYPERLINK("https://stat100.ameba.jp/tnk47/ratio20/illustrations/card/ill_71343_ohanamimatehime03.jpg?201812-i_prefecture_active_user", "■")</f>
        <v>■</v>
      </c>
      <c r="F305" s="14" t="s">
        <v>2506</v>
      </c>
      <c r="G305" s="14">
        <v>68977</v>
      </c>
      <c r="H305" s="14">
        <v>74215</v>
      </c>
      <c r="I305" s="14">
        <v>19</v>
      </c>
      <c r="J305" s="14" t="s">
        <v>77</v>
      </c>
      <c r="K305" s="14" t="s">
        <v>2507</v>
      </c>
      <c r="L305" s="14" t="s">
        <v>2508</v>
      </c>
      <c r="M305" s="14" t="s">
        <v>9158</v>
      </c>
      <c r="N305" s="14" t="s">
        <v>9158</v>
      </c>
      <c r="O305" s="9" t="s">
        <v>2717</v>
      </c>
      <c r="P305" s="14" t="s">
        <v>13123</v>
      </c>
      <c r="Q305" s="14">
        <v>1</v>
      </c>
      <c r="R305" s="14"/>
    </row>
    <row r="306" spans="1:18">
      <c r="B306" s="14"/>
      <c r="C306" s="14"/>
      <c r="D306" s="14"/>
      <c r="F306" s="14"/>
      <c r="G306" s="14"/>
      <c r="H306" s="14"/>
      <c r="I306" s="14"/>
      <c r="J306" s="14"/>
      <c r="K306" s="14"/>
      <c r="L306" s="14"/>
      <c r="M306" s="14"/>
      <c r="N306" s="14"/>
      <c r="P306" s="14"/>
      <c r="Q306" s="14"/>
      <c r="R306" s="14"/>
    </row>
    <row r="307" spans="1:18">
      <c r="A307" s="14" t="s">
        <v>13326</v>
      </c>
      <c r="D307" s="14"/>
      <c r="F307" s="14"/>
      <c r="G307" s="14"/>
      <c r="H307" s="14"/>
      <c r="I307" s="14"/>
      <c r="J307" s="14"/>
      <c r="K307" s="14"/>
      <c r="L307" s="14"/>
      <c r="M307" s="14"/>
      <c r="N307" s="14"/>
      <c r="P307" s="14"/>
      <c r="Q307" s="14"/>
      <c r="R307" s="14"/>
    </row>
    <row r="308" spans="1:18">
      <c r="A308" s="14" t="s">
        <v>2509</v>
      </c>
      <c r="C308" s="14"/>
      <c r="D308" s="14"/>
      <c r="F308" s="14"/>
      <c r="G308" s="14"/>
      <c r="H308" s="14"/>
      <c r="I308" s="14"/>
      <c r="J308" s="14"/>
      <c r="K308" s="14"/>
      <c r="L308" s="14"/>
      <c r="M308" s="14"/>
      <c r="N308" s="14"/>
      <c r="P308" s="14"/>
      <c r="Q308" s="14"/>
      <c r="R308" s="14"/>
    </row>
    <row r="309" spans="1:18">
      <c r="A309" s="9">
        <v>75113</v>
      </c>
      <c r="B309" s="14" t="s">
        <v>334</v>
      </c>
      <c r="C309" s="14" t="s">
        <v>335</v>
      </c>
      <c r="D309" s="14" t="s">
        <v>448</v>
      </c>
      <c r="E309" s="15" t="str">
        <f>HYPERLINK("https://stat100.ameba.jp/tnk47/ratio20/illustrations/card/ill_75113_hatahata03.jpg?201812-i_prefecture_active_user", "■")</f>
        <v>■</v>
      </c>
      <c r="F309" s="14" t="s">
        <v>449</v>
      </c>
      <c r="G309" s="14">
        <v>103384</v>
      </c>
      <c r="H309" s="14">
        <v>96121</v>
      </c>
      <c r="I309" s="14">
        <v>21</v>
      </c>
      <c r="J309" s="14" t="s">
        <v>283</v>
      </c>
      <c r="K309" s="14" t="s">
        <v>450</v>
      </c>
      <c r="L309" s="14" t="s">
        <v>13129</v>
      </c>
      <c r="M309" s="14" t="s">
        <v>13130</v>
      </c>
      <c r="N309" s="14" t="s">
        <v>343</v>
      </c>
      <c r="O309" s="14" t="s">
        <v>9158</v>
      </c>
      <c r="P309" s="14" t="s">
        <v>9158</v>
      </c>
      <c r="Q309" s="14" t="s">
        <v>9158</v>
      </c>
      <c r="R309" s="14" t="s">
        <v>14748</v>
      </c>
    </row>
    <row r="310" spans="1:18">
      <c r="A310" s="9">
        <v>75112</v>
      </c>
      <c r="B310" s="14" t="s">
        <v>334</v>
      </c>
      <c r="C310" s="14" t="s">
        <v>335</v>
      </c>
      <c r="D310" s="14" t="s">
        <v>448</v>
      </c>
      <c r="E310" s="15" t="str">
        <f>HYPERLINK("https://stat100.ameba.jp/tnk47/ratio20/illustrations/card/ill_75112_hatahata02.jpg?201812-i_prefecture_active_user", "■")</f>
        <v>■</v>
      </c>
      <c r="F310" s="14" t="s">
        <v>449</v>
      </c>
      <c r="G310" s="14">
        <v>86423</v>
      </c>
      <c r="H310" s="14">
        <v>79610</v>
      </c>
      <c r="I310" s="14">
        <v>21</v>
      </c>
      <c r="J310" s="14" t="s">
        <v>283</v>
      </c>
      <c r="K310" s="14" t="s">
        <v>450</v>
      </c>
      <c r="L310" s="14" t="s">
        <v>13129</v>
      </c>
      <c r="M310" s="14" t="s">
        <v>13131</v>
      </c>
      <c r="N310" s="14" t="s">
        <v>251</v>
      </c>
      <c r="O310" s="14" t="s">
        <v>9158</v>
      </c>
      <c r="P310" s="14" t="s">
        <v>9158</v>
      </c>
      <c r="Q310" s="14" t="s">
        <v>9158</v>
      </c>
      <c r="R310" s="14" t="s">
        <v>14748</v>
      </c>
    </row>
    <row r="311" spans="1:18">
      <c r="A311" s="9">
        <v>75111</v>
      </c>
      <c r="B311" s="14" t="s">
        <v>334</v>
      </c>
      <c r="C311" s="14" t="s">
        <v>335</v>
      </c>
      <c r="D311" s="14" t="s">
        <v>448</v>
      </c>
      <c r="E311" s="15" t="str">
        <f>HYPERLINK("https://stat100.ameba.jp/tnk47/ratio20/illustrations/card/ill_75111_hatahata03.jpg?201812-i_prefecture_active_user", "■")</f>
        <v>■</v>
      </c>
      <c r="F311" s="14" t="s">
        <v>449</v>
      </c>
      <c r="G311" s="14">
        <v>65982</v>
      </c>
      <c r="H311" s="14">
        <v>61425</v>
      </c>
      <c r="I311" s="14">
        <v>21</v>
      </c>
      <c r="J311" s="14" t="s">
        <v>283</v>
      </c>
      <c r="K311" s="14" t="s">
        <v>450</v>
      </c>
      <c r="L311" s="14" t="s">
        <v>13129</v>
      </c>
      <c r="M311" s="14" t="s">
        <v>13131</v>
      </c>
      <c r="N311" s="14" t="s">
        <v>251</v>
      </c>
      <c r="O311" s="14" t="s">
        <v>9158</v>
      </c>
      <c r="P311" s="14" t="s">
        <v>9158</v>
      </c>
      <c r="Q311" s="14" t="s">
        <v>9158</v>
      </c>
      <c r="R311" s="14" t="s">
        <v>14748</v>
      </c>
    </row>
    <row r="312" spans="1:18">
      <c r="A312" s="9">
        <v>75123</v>
      </c>
      <c r="B312" s="14" t="s">
        <v>334</v>
      </c>
      <c r="C312" s="14" t="s">
        <v>307</v>
      </c>
      <c r="D312" s="14" t="s">
        <v>10162</v>
      </c>
      <c r="E312" s="15" t="str">
        <f>HYPERLINK("https://stat100.ameba.jp/tnk47/ratio20/illustrations/card/ill_75123_nankintamasudare03.jpg?201812-i_prefecture_active_user", "■")</f>
        <v>■</v>
      </c>
      <c r="F312" s="14" t="s">
        <v>452</v>
      </c>
      <c r="G312" s="14">
        <v>96121</v>
      </c>
      <c r="H312" s="14">
        <v>103384</v>
      </c>
      <c r="I312" s="14">
        <v>21</v>
      </c>
      <c r="J312" s="14" t="s">
        <v>274</v>
      </c>
      <c r="K312" s="14" t="s">
        <v>453</v>
      </c>
      <c r="L312" s="14" t="s">
        <v>6711</v>
      </c>
      <c r="M312" s="14" t="s">
        <v>13130</v>
      </c>
      <c r="N312" s="14" t="s">
        <v>343</v>
      </c>
      <c r="O312" s="14" t="s">
        <v>9158</v>
      </c>
      <c r="P312" s="14" t="s">
        <v>9158</v>
      </c>
      <c r="Q312" s="14" t="s">
        <v>9158</v>
      </c>
      <c r="R312" s="14" t="s">
        <v>14748</v>
      </c>
    </row>
    <row r="313" spans="1:18">
      <c r="A313" s="9">
        <v>76013</v>
      </c>
      <c r="B313" s="14" t="s">
        <v>334</v>
      </c>
      <c r="C313" s="14" t="s">
        <v>344</v>
      </c>
      <c r="D313" s="14" t="s">
        <v>454</v>
      </c>
      <c r="E313" s="15" t="str">
        <f>HYPERLINK("https://stat100.ameba.jp/tnk47/ratio20/illustrations/card/ill_76013_miyakojima03.jpg?201812-i_prefecture_active_user", "■")</f>
        <v>■</v>
      </c>
      <c r="F313" s="14" t="s">
        <v>455</v>
      </c>
      <c r="G313" s="14">
        <v>103384</v>
      </c>
      <c r="H313" s="14">
        <v>96121</v>
      </c>
      <c r="I313" s="14">
        <v>21</v>
      </c>
      <c r="J313" s="14" t="s">
        <v>369</v>
      </c>
      <c r="K313" s="14" t="s">
        <v>456</v>
      </c>
      <c r="L313" s="14" t="s">
        <v>6712</v>
      </c>
      <c r="M313" s="14" t="s">
        <v>13130</v>
      </c>
      <c r="N313" s="14" t="s">
        <v>343</v>
      </c>
      <c r="O313" s="14" t="s">
        <v>9158</v>
      </c>
      <c r="P313" s="14" t="s">
        <v>9158</v>
      </c>
      <c r="Q313" s="14" t="s">
        <v>9158</v>
      </c>
      <c r="R313" s="14" t="s">
        <v>14748</v>
      </c>
    </row>
    <row r="314" spans="1:18">
      <c r="A314" s="9">
        <v>74333</v>
      </c>
      <c r="B314" s="14" t="s">
        <v>334</v>
      </c>
      <c r="C314" s="14" t="s">
        <v>271</v>
      </c>
      <c r="D314" s="14" t="s">
        <v>457</v>
      </c>
      <c r="E314" s="15" t="str">
        <f>HYPERLINK("https://stat100.ameba.jp/tnk47/ratio20/illustrations/card/ill_74333_iizukaigashichi03.jpg?201812-i_prefecture_active_user", "■")</f>
        <v>■</v>
      </c>
      <c r="F314" s="14" t="s">
        <v>458</v>
      </c>
      <c r="G314" s="14">
        <v>96121</v>
      </c>
      <c r="H314" s="14">
        <v>103384</v>
      </c>
      <c r="I314" s="14">
        <v>21</v>
      </c>
      <c r="J314" s="14" t="s">
        <v>414</v>
      </c>
      <c r="K314" s="14" t="s">
        <v>459</v>
      </c>
      <c r="L314" s="14" t="s">
        <v>6713</v>
      </c>
      <c r="M314" s="14" t="s">
        <v>13130</v>
      </c>
      <c r="N314" s="14" t="s">
        <v>343</v>
      </c>
      <c r="O314" s="14" t="s">
        <v>9158</v>
      </c>
      <c r="P314" s="14" t="s">
        <v>9158</v>
      </c>
      <c r="Q314" s="14" t="s">
        <v>9158</v>
      </c>
      <c r="R314" s="14" t="s">
        <v>14748</v>
      </c>
    </row>
    <row r="315" spans="1:18">
      <c r="A315" s="9">
        <v>74343</v>
      </c>
      <c r="B315" s="14" t="s">
        <v>334</v>
      </c>
      <c r="C315" s="14" t="s">
        <v>308</v>
      </c>
      <c r="D315" s="14" t="s">
        <v>460</v>
      </c>
      <c r="E315" s="15" t="str">
        <f>HYPERLINK("https://stat100.ameba.jp/tnk47/ratio20/illustrations/card/ill_74343_wadakoremasa03.jpg?201812-i_prefecture_active_user", "■")</f>
        <v>■</v>
      </c>
      <c r="F315" s="14" t="s">
        <v>461</v>
      </c>
      <c r="G315" s="14">
        <v>96121</v>
      </c>
      <c r="H315" s="14">
        <v>103384</v>
      </c>
      <c r="I315" s="14">
        <v>21</v>
      </c>
      <c r="J315" s="14" t="s">
        <v>310</v>
      </c>
      <c r="K315" s="14" t="s">
        <v>462</v>
      </c>
      <c r="L315" s="14" t="s">
        <v>6714</v>
      </c>
      <c r="M315" s="14" t="s">
        <v>13130</v>
      </c>
      <c r="N315" s="14" t="s">
        <v>343</v>
      </c>
      <c r="O315" s="14" t="s">
        <v>9158</v>
      </c>
      <c r="P315" s="14" t="s">
        <v>9158</v>
      </c>
      <c r="Q315" s="14" t="s">
        <v>9158</v>
      </c>
      <c r="R315" s="14" t="s">
        <v>14748</v>
      </c>
    </row>
    <row r="316" spans="1:18">
      <c r="A316" s="9">
        <v>74353</v>
      </c>
      <c r="B316" s="14" t="s">
        <v>334</v>
      </c>
      <c r="C316" s="14" t="s">
        <v>267</v>
      </c>
      <c r="D316" s="14" t="s">
        <v>463</v>
      </c>
      <c r="E316" s="15" t="str">
        <f>HYPERLINK("https://stat100.ameba.jp/tnk47/ratio20/illustrations/card/ill_74353_takechizuizan03.jpg?201812-i_prefecture_active_user", "■")</f>
        <v>■</v>
      </c>
      <c r="F316" s="14" t="s">
        <v>464</v>
      </c>
      <c r="G316" s="14">
        <v>103384</v>
      </c>
      <c r="H316" s="14">
        <v>96121</v>
      </c>
      <c r="I316" s="14">
        <v>21</v>
      </c>
      <c r="J316" s="14" t="s">
        <v>351</v>
      </c>
      <c r="K316" s="14" t="s">
        <v>465</v>
      </c>
      <c r="L316" s="14" t="s">
        <v>6715</v>
      </c>
      <c r="M316" s="14" t="s">
        <v>13130</v>
      </c>
      <c r="N316" s="14" t="s">
        <v>343</v>
      </c>
      <c r="O316" s="14" t="s">
        <v>9158</v>
      </c>
      <c r="P316" s="14" t="s">
        <v>9158</v>
      </c>
      <c r="Q316" s="14" t="s">
        <v>9158</v>
      </c>
      <c r="R316" s="14" t="s">
        <v>14748</v>
      </c>
    </row>
    <row r="317" spans="1:18">
      <c r="B317" s="14"/>
      <c r="C317" s="14"/>
      <c r="D317" s="14"/>
      <c r="F317" s="14"/>
      <c r="G317" s="14"/>
      <c r="H317" s="14"/>
      <c r="I317" s="14"/>
      <c r="J317" s="14"/>
      <c r="K317" s="14"/>
      <c r="L317" s="14"/>
      <c r="M317" s="14"/>
      <c r="N317" s="14"/>
      <c r="P317" s="14"/>
      <c r="Q317" s="14"/>
      <c r="R317" s="14"/>
    </row>
    <row r="318" spans="1:18">
      <c r="A318" s="14" t="s">
        <v>132</v>
      </c>
      <c r="D318" s="14"/>
      <c r="F318" s="14"/>
      <c r="G318" s="14"/>
      <c r="H318" s="14"/>
      <c r="I318" s="14"/>
      <c r="J318" s="14"/>
      <c r="K318" s="14"/>
      <c r="L318" s="14"/>
      <c r="M318" s="14"/>
      <c r="N318" s="14"/>
      <c r="P318" s="14"/>
      <c r="Q318" s="14"/>
      <c r="R318" s="14"/>
    </row>
    <row r="319" spans="1:18">
      <c r="A319" s="14" t="s">
        <v>2510</v>
      </c>
      <c r="B319" s="14"/>
      <c r="C319" s="14"/>
      <c r="D319" s="14"/>
      <c r="F319" s="14"/>
      <c r="G319" s="14"/>
      <c r="H319" s="14"/>
      <c r="I319" s="14"/>
      <c r="J319" s="14"/>
      <c r="K319" s="14"/>
      <c r="L319" s="14"/>
      <c r="M319" s="14"/>
      <c r="N319" s="14"/>
      <c r="P319" s="14"/>
      <c r="Q319" s="14"/>
      <c r="R319" s="14"/>
    </row>
    <row r="320" spans="1:18">
      <c r="A320" s="9">
        <v>73035</v>
      </c>
      <c r="B320" s="14" t="s">
        <v>0</v>
      </c>
      <c r="C320" s="14" t="s">
        <v>202</v>
      </c>
      <c r="D320" s="14" t="s">
        <v>2511</v>
      </c>
      <c r="E320" s="15" t="str">
        <f>HYPERLINK("https://stat100.ameba.jp/tnk47/ratio20/illustrations/card/ill_73035_biwako05.jpg?201812-X-RELEASE-GP-create-tablex", "■")</f>
        <v>■</v>
      </c>
      <c r="F320" s="14" t="s">
        <v>2512</v>
      </c>
      <c r="G320" s="14">
        <v>115636</v>
      </c>
      <c r="H320" s="14">
        <v>83723</v>
      </c>
      <c r="I320" s="14">
        <v>21</v>
      </c>
      <c r="J320" s="14" t="s">
        <v>26</v>
      </c>
      <c r="K320" s="14" t="s">
        <v>2513</v>
      </c>
      <c r="L320" s="14" t="s">
        <v>1325</v>
      </c>
      <c r="M320" s="14" t="s">
        <v>9158</v>
      </c>
      <c r="N320" s="14" t="s">
        <v>9158</v>
      </c>
      <c r="O320" s="14" t="s">
        <v>9158</v>
      </c>
      <c r="P320" s="14" t="s">
        <v>9158</v>
      </c>
      <c r="Q320" s="14" t="s">
        <v>9158</v>
      </c>
      <c r="R320" s="14" t="s">
        <v>174</v>
      </c>
    </row>
    <row r="321" spans="1:19">
      <c r="A321" s="9">
        <v>73033</v>
      </c>
      <c r="B321" s="14" t="s">
        <v>15</v>
      </c>
      <c r="C321" s="14" t="s">
        <v>158</v>
      </c>
      <c r="D321" s="14" t="s">
        <v>2511</v>
      </c>
      <c r="E321" s="15" t="str">
        <f>HYPERLINK("https://stat100.ameba.jp/tnk47/ratio20/illustrations/card/ill_73033_biwako03.jpg?201812-X-RELEASE-GP-create-tablex", "■")</f>
        <v>■</v>
      </c>
      <c r="F321" s="14" t="s">
        <v>2512</v>
      </c>
      <c r="G321" s="14">
        <v>83561</v>
      </c>
      <c r="H321" s="14">
        <v>60496</v>
      </c>
      <c r="I321" s="14">
        <v>21</v>
      </c>
      <c r="J321" s="14" t="s">
        <v>26</v>
      </c>
      <c r="K321" s="14" t="s">
        <v>2513</v>
      </c>
      <c r="L321" s="14" t="s">
        <v>1326</v>
      </c>
      <c r="M321" s="14" t="s">
        <v>9158</v>
      </c>
      <c r="N321" s="14" t="s">
        <v>9158</v>
      </c>
      <c r="O321" s="14" t="s">
        <v>9158</v>
      </c>
      <c r="P321" s="14" t="s">
        <v>9158</v>
      </c>
      <c r="Q321" s="14" t="s">
        <v>9158</v>
      </c>
      <c r="R321" s="14" t="s">
        <v>175</v>
      </c>
    </row>
    <row r="322" spans="1:19">
      <c r="A322" s="9">
        <v>73031</v>
      </c>
      <c r="B322" s="14" t="s">
        <v>15</v>
      </c>
      <c r="C322" s="14" t="s">
        <v>158</v>
      </c>
      <c r="D322" s="14" t="s">
        <v>2511</v>
      </c>
      <c r="E322" s="15" t="str">
        <f>HYPERLINK("https://stat100.ameba.jp/tnk47/ratio20/illustrations/card/ill_73031_biwako01.jpg?201812-X-RELEASE-GP-create-tablex", "■")</f>
        <v>■</v>
      </c>
      <c r="F322" s="14" t="s">
        <v>2512</v>
      </c>
      <c r="G322" s="14">
        <v>48468</v>
      </c>
      <c r="H322" s="14">
        <v>35091</v>
      </c>
      <c r="I322" s="14">
        <v>21</v>
      </c>
      <c r="J322" s="14" t="s">
        <v>26</v>
      </c>
      <c r="K322" s="14" t="s">
        <v>2513</v>
      </c>
      <c r="L322" s="14" t="s">
        <v>1327</v>
      </c>
      <c r="M322" s="14" t="s">
        <v>9158</v>
      </c>
      <c r="N322" s="14" t="s">
        <v>9158</v>
      </c>
      <c r="O322" s="14" t="s">
        <v>9158</v>
      </c>
      <c r="P322" s="14" t="s">
        <v>9158</v>
      </c>
      <c r="Q322" s="14" t="s">
        <v>9158</v>
      </c>
      <c r="R322" s="14" t="s">
        <v>176</v>
      </c>
    </row>
    <row r="323" spans="1:19">
      <c r="A323" s="9">
        <v>71275</v>
      </c>
      <c r="B323" s="14" t="s">
        <v>0</v>
      </c>
      <c r="C323" s="14" t="s">
        <v>202</v>
      </c>
      <c r="D323" s="14" t="s">
        <v>2514</v>
      </c>
      <c r="E323" s="15" t="str">
        <f>HYPERLINK("https://stat100.ameba.jp/tnk47/ratio20/illustrations/card/ill_71275_usagitokame05.jpg?201812-X-RELEASE-GP-create-tablex", "■")</f>
        <v>■</v>
      </c>
      <c r="F323" s="14" t="s">
        <v>2514</v>
      </c>
      <c r="G323" s="14">
        <v>83467</v>
      </c>
      <c r="H323" s="14">
        <v>115284</v>
      </c>
      <c r="I323" s="14">
        <v>21</v>
      </c>
      <c r="J323" s="14" t="s">
        <v>38</v>
      </c>
      <c r="K323" s="14" t="s">
        <v>2515</v>
      </c>
      <c r="L323" s="14" t="s">
        <v>2516</v>
      </c>
      <c r="M323" s="14" t="s">
        <v>9158</v>
      </c>
      <c r="N323" s="14" t="s">
        <v>9158</v>
      </c>
      <c r="O323" s="14" t="s">
        <v>9158</v>
      </c>
      <c r="P323" s="14" t="s">
        <v>9158</v>
      </c>
      <c r="Q323" s="14" t="s">
        <v>9158</v>
      </c>
      <c r="R323" s="14" t="s">
        <v>174</v>
      </c>
    </row>
    <row r="324" spans="1:19">
      <c r="A324" s="9">
        <v>71273</v>
      </c>
      <c r="B324" s="14" t="s">
        <v>15</v>
      </c>
      <c r="C324" s="14" t="s">
        <v>209</v>
      </c>
      <c r="D324" s="14" t="s">
        <v>2514</v>
      </c>
      <c r="E324" s="15" t="str">
        <f>HYPERLINK("https://stat100.ameba.jp/tnk47/ratio20/illustrations/card/ill_71273_usagitokame03.jpg?201812-X-RELEASE-GP-create-tablex", "■")</f>
        <v>■</v>
      </c>
      <c r="F324" s="14" t="s">
        <v>2514</v>
      </c>
      <c r="G324" s="14">
        <v>61489</v>
      </c>
      <c r="H324" s="14">
        <v>84933</v>
      </c>
      <c r="I324" s="14">
        <v>21</v>
      </c>
      <c r="J324" s="14" t="s">
        <v>38</v>
      </c>
      <c r="K324" s="14" t="s">
        <v>2515</v>
      </c>
      <c r="L324" s="14" t="s">
        <v>2517</v>
      </c>
      <c r="M324" s="14" t="s">
        <v>9158</v>
      </c>
      <c r="N324" s="14" t="s">
        <v>9158</v>
      </c>
      <c r="O324" s="14" t="s">
        <v>9158</v>
      </c>
      <c r="P324" s="14" t="s">
        <v>9158</v>
      </c>
      <c r="Q324" s="14" t="s">
        <v>9158</v>
      </c>
      <c r="R324" s="14" t="s">
        <v>175</v>
      </c>
    </row>
    <row r="325" spans="1:19">
      <c r="A325" s="9">
        <v>71271</v>
      </c>
      <c r="B325" s="14" t="s">
        <v>15</v>
      </c>
      <c r="C325" s="14" t="s">
        <v>209</v>
      </c>
      <c r="D325" s="14" t="s">
        <v>2514</v>
      </c>
      <c r="E325" s="15" t="str">
        <f>HYPERLINK("https://stat100.ameba.jp/tnk47/ratio20/illustrations/card/ill_71271_usagitokame01.jpg?201812-X-RELEASE-GP-create-tablex", "■")</f>
        <v>■</v>
      </c>
      <c r="F325" s="14" t="s">
        <v>2514</v>
      </c>
      <c r="G325" s="14">
        <v>39123</v>
      </c>
      <c r="H325" s="14">
        <v>54033</v>
      </c>
      <c r="I325" s="14">
        <v>21</v>
      </c>
      <c r="J325" s="14" t="s">
        <v>38</v>
      </c>
      <c r="K325" s="14" t="s">
        <v>2515</v>
      </c>
      <c r="L325" s="14" t="s">
        <v>2518</v>
      </c>
      <c r="M325" s="14" t="s">
        <v>9158</v>
      </c>
      <c r="N325" s="14" t="s">
        <v>9158</v>
      </c>
      <c r="O325" s="14" t="s">
        <v>9158</v>
      </c>
      <c r="P325" s="14" t="s">
        <v>9158</v>
      </c>
      <c r="Q325" s="14" t="s">
        <v>9158</v>
      </c>
      <c r="R325" s="14" t="s">
        <v>176</v>
      </c>
    </row>
    <row r="326" spans="1:19">
      <c r="A326" s="9">
        <v>67895</v>
      </c>
      <c r="B326" s="14" t="s">
        <v>0</v>
      </c>
      <c r="C326" s="14" t="s">
        <v>202</v>
      </c>
      <c r="D326" s="14" t="s">
        <v>2519</v>
      </c>
      <c r="E326" s="15" t="str">
        <f>HYPERLINK("https://stat100.ameba.jp/tnk47/ratio20/illustrations/card/ill_67895_misonikomiudon05.jpg?201812-X-RELEASE-GP-create-tablex", "■")</f>
        <v>■</v>
      </c>
      <c r="F326" s="14" t="s">
        <v>2520</v>
      </c>
      <c r="G326" s="14">
        <v>90777</v>
      </c>
      <c r="H326" s="14">
        <v>125367</v>
      </c>
      <c r="I326" s="14">
        <v>21</v>
      </c>
      <c r="J326" s="14" t="s">
        <v>104</v>
      </c>
      <c r="K326" s="14" t="s">
        <v>2521</v>
      </c>
      <c r="L326" s="14" t="s">
        <v>2522</v>
      </c>
      <c r="M326" s="14" t="s">
        <v>9158</v>
      </c>
      <c r="N326" s="14" t="s">
        <v>9158</v>
      </c>
      <c r="O326" s="14" t="s">
        <v>9158</v>
      </c>
      <c r="P326" s="14" t="s">
        <v>9158</v>
      </c>
      <c r="Q326" s="14" t="s">
        <v>9158</v>
      </c>
      <c r="R326" s="14" t="s">
        <v>174</v>
      </c>
    </row>
    <row r="327" spans="1:19">
      <c r="A327" s="9">
        <v>67893</v>
      </c>
      <c r="B327" s="14" t="s">
        <v>15</v>
      </c>
      <c r="C327" s="14" t="s">
        <v>209</v>
      </c>
      <c r="D327" s="14" t="s">
        <v>2519</v>
      </c>
      <c r="E327" s="15" t="str">
        <f>HYPERLINK("https://stat100.ameba.jp/tnk47/ratio20/illustrations/card/ill_67893_misonikomiudon03.jpg?201812-X-RELEASE-GP-create-tablex", "■")</f>
        <v>■</v>
      </c>
      <c r="F327" s="14" t="s">
        <v>2520</v>
      </c>
      <c r="G327" s="14">
        <v>66881</v>
      </c>
      <c r="H327" s="14">
        <v>92368</v>
      </c>
      <c r="I327" s="14">
        <v>21</v>
      </c>
      <c r="J327" s="14" t="s">
        <v>104</v>
      </c>
      <c r="K327" s="14" t="s">
        <v>2521</v>
      </c>
      <c r="L327" s="14" t="s">
        <v>1757</v>
      </c>
      <c r="M327" s="14" t="s">
        <v>9158</v>
      </c>
      <c r="N327" s="14" t="s">
        <v>9158</v>
      </c>
      <c r="O327" s="14" t="s">
        <v>9158</v>
      </c>
      <c r="P327" s="14" t="s">
        <v>9158</v>
      </c>
      <c r="Q327" s="14" t="s">
        <v>9158</v>
      </c>
      <c r="R327" s="14" t="s">
        <v>175</v>
      </c>
    </row>
    <row r="328" spans="1:19">
      <c r="A328" s="9">
        <v>67891</v>
      </c>
      <c r="B328" s="14" t="s">
        <v>15</v>
      </c>
      <c r="C328" s="14" t="s">
        <v>209</v>
      </c>
      <c r="D328" s="14" t="s">
        <v>2519</v>
      </c>
      <c r="E328" s="15" t="str">
        <f>HYPERLINK("https://stat100.ameba.jp/tnk47/ratio20/illustrations/card/ill_67891_misonikomiudon01.jpg?201812-X-RELEASE-GP-create-tablex", "■")</f>
        <v>■</v>
      </c>
      <c r="F328" s="14" t="s">
        <v>2520</v>
      </c>
      <c r="G328" s="14">
        <v>42546</v>
      </c>
      <c r="H328" s="14">
        <v>58758</v>
      </c>
      <c r="I328" s="14">
        <v>21</v>
      </c>
      <c r="J328" s="14" t="s">
        <v>104</v>
      </c>
      <c r="K328" s="14" t="s">
        <v>2521</v>
      </c>
      <c r="L328" s="14" t="s">
        <v>2119</v>
      </c>
      <c r="M328" s="14" t="s">
        <v>9158</v>
      </c>
      <c r="N328" s="14" t="s">
        <v>9158</v>
      </c>
      <c r="O328" s="14" t="s">
        <v>9158</v>
      </c>
      <c r="P328" s="14" t="s">
        <v>9158</v>
      </c>
      <c r="Q328" s="14" t="s">
        <v>9158</v>
      </c>
      <c r="R328" s="14" t="s">
        <v>176</v>
      </c>
    </row>
    <row r="329" spans="1:19">
      <c r="B329" s="14"/>
      <c r="C329" s="14"/>
      <c r="D329" s="14"/>
      <c r="F329" s="14"/>
      <c r="G329" s="14"/>
      <c r="H329" s="14"/>
      <c r="I329" s="14"/>
      <c r="J329" s="14"/>
      <c r="K329" s="14"/>
      <c r="L329" s="14"/>
      <c r="M329" s="14"/>
      <c r="N329" s="14"/>
      <c r="P329" s="14"/>
      <c r="Q329" s="14"/>
      <c r="R329" s="14"/>
    </row>
    <row r="330" spans="1:19">
      <c r="A330" s="14" t="s">
        <v>208</v>
      </c>
      <c r="D330" s="14"/>
      <c r="F330" s="14"/>
      <c r="G330" s="14"/>
      <c r="H330" s="14"/>
      <c r="I330" s="14"/>
      <c r="J330" s="14"/>
      <c r="K330" s="14"/>
      <c r="L330" s="14"/>
      <c r="M330" s="14"/>
      <c r="N330" s="14"/>
      <c r="P330" s="14"/>
      <c r="Q330" s="14"/>
      <c r="R330" s="14"/>
    </row>
    <row r="331" spans="1:19">
      <c r="A331" s="14" t="s">
        <v>2523</v>
      </c>
      <c r="B331" s="14"/>
      <c r="C331" s="14"/>
      <c r="D331" s="14"/>
      <c r="F331" s="14"/>
      <c r="G331" s="14"/>
      <c r="H331" s="14"/>
      <c r="I331" s="14"/>
      <c r="J331" s="14"/>
      <c r="K331" s="14"/>
      <c r="L331" s="14"/>
      <c r="M331" s="14"/>
      <c r="N331" s="14"/>
      <c r="P331" s="14"/>
      <c r="Q331" s="14"/>
      <c r="R331" s="14"/>
    </row>
    <row r="332" spans="1:19">
      <c r="A332" s="9" t="s">
        <v>5617</v>
      </c>
      <c r="B332" s="14" t="s">
        <v>52</v>
      </c>
      <c r="C332" s="14" t="s">
        <v>165</v>
      </c>
      <c r="D332" s="14" t="s">
        <v>982</v>
      </c>
      <c r="E332" s="15" t="str">
        <f>HYPERLINK("https://stat100.ameba.jp/tnk47/ratio20/illustrations/card/ill_59673_0_oheyashutendoji03.jpg?201812-X-RELEASE-GP-create-tablex", "■")</f>
        <v>■</v>
      </c>
      <c r="F332" s="14" t="s">
        <v>983</v>
      </c>
      <c r="G332" s="14">
        <v>105545</v>
      </c>
      <c r="H332" s="14">
        <v>113525</v>
      </c>
      <c r="I332" s="14">
        <v>15</v>
      </c>
      <c r="J332" s="14" t="s">
        <v>73</v>
      </c>
      <c r="K332" s="14" t="s">
        <v>984</v>
      </c>
      <c r="L332" s="14" t="s">
        <v>985</v>
      </c>
      <c r="M332" s="14" t="s">
        <v>9158</v>
      </c>
      <c r="N332" s="14" t="s">
        <v>9158</v>
      </c>
      <c r="O332" s="17" t="s">
        <v>10058</v>
      </c>
      <c r="P332" s="14" t="s">
        <v>3022</v>
      </c>
      <c r="Q332" s="14">
        <v>1</v>
      </c>
      <c r="R332" s="14"/>
    </row>
    <row r="333" spans="1:19">
      <c r="A333" s="9" t="s">
        <v>5614</v>
      </c>
      <c r="B333" s="14" t="s">
        <v>52</v>
      </c>
      <c r="C333" s="14" t="s">
        <v>205</v>
      </c>
      <c r="D333" s="14" t="s">
        <v>947</v>
      </c>
      <c r="E333" s="15" t="str">
        <f>HYPERLINK("https://stat100.ameba.jp/tnk47/ratio20/illustrations/card/ill_56223_0_onsempanikkugohime03.jpg?201812-X-RELEASE-GP-create-tablex", "■")</f>
        <v>■</v>
      </c>
      <c r="F333" s="14" t="s">
        <v>948</v>
      </c>
      <c r="G333" s="14">
        <v>83712</v>
      </c>
      <c r="H333" s="14">
        <v>94236</v>
      </c>
      <c r="I333" s="14">
        <v>15</v>
      </c>
      <c r="J333" s="14" t="s">
        <v>77</v>
      </c>
      <c r="K333" s="14" t="s">
        <v>949</v>
      </c>
      <c r="L333" s="14" t="s">
        <v>950</v>
      </c>
      <c r="M333" s="14" t="s">
        <v>9158</v>
      </c>
      <c r="N333" s="14" t="s">
        <v>9158</v>
      </c>
      <c r="O333" s="9" t="s">
        <v>3021</v>
      </c>
      <c r="P333" s="14" t="s">
        <v>2890</v>
      </c>
      <c r="Q333" s="14">
        <v>1</v>
      </c>
      <c r="R333" s="14"/>
    </row>
    <row r="334" spans="1:19">
      <c r="A334" s="9" t="s">
        <v>5616</v>
      </c>
      <c r="B334" s="14" t="s">
        <v>52</v>
      </c>
      <c r="C334" s="14" t="s">
        <v>185</v>
      </c>
      <c r="D334" s="14" t="s">
        <v>54</v>
      </c>
      <c r="E334" s="15" t="str">
        <f>HYPERLINK("https://stat100.ameba.jp/tnk47/ratio20/illustrations/card/ill_44253_0_dokuganryudatemasamune03.jpg?201812-X-RELEASE-GP-create-tablex", "■")</f>
        <v>■</v>
      </c>
      <c r="F334" s="14" t="s">
        <v>1181</v>
      </c>
      <c r="G334" s="14">
        <v>82212</v>
      </c>
      <c r="H334" s="14">
        <v>87780</v>
      </c>
      <c r="I334" s="14">
        <v>15</v>
      </c>
      <c r="J334" s="14" t="s">
        <v>143</v>
      </c>
      <c r="K334" s="14" t="s">
        <v>1182</v>
      </c>
      <c r="L334" s="14" t="s">
        <v>1183</v>
      </c>
      <c r="M334" s="14" t="s">
        <v>9158</v>
      </c>
      <c r="N334" s="14" t="s">
        <v>9158</v>
      </c>
      <c r="O334" s="14" t="s">
        <v>9158</v>
      </c>
      <c r="P334" s="14" t="s">
        <v>9158</v>
      </c>
      <c r="Q334" s="14" t="s">
        <v>9158</v>
      </c>
      <c r="R334" s="14"/>
    </row>
    <row r="335" spans="1:19">
      <c r="A335" s="9">
        <v>45993</v>
      </c>
      <c r="B335" s="14" t="s">
        <v>334</v>
      </c>
      <c r="C335" s="14" t="s">
        <v>203</v>
      </c>
      <c r="D335" s="14" t="s">
        <v>2524</v>
      </c>
      <c r="E335" s="15" t="str">
        <f>HYPERLINK("https://stat100.ameba.jp/tnk47/ratio20/illustrations/card/ill_45993_kikuchikan03.jpg?201812-X-RELEASE-GP-create-tablex", "■")</f>
        <v>■</v>
      </c>
      <c r="F335" s="14" t="s">
        <v>2525</v>
      </c>
      <c r="G335" s="14">
        <v>84796</v>
      </c>
      <c r="H335" s="14">
        <v>78838</v>
      </c>
      <c r="I335" s="14">
        <v>22</v>
      </c>
      <c r="J335" s="14" t="s">
        <v>16</v>
      </c>
      <c r="K335" s="14" t="s">
        <v>2526</v>
      </c>
      <c r="L335" s="14" t="s">
        <v>2527</v>
      </c>
      <c r="M335" s="14" t="s">
        <v>9158</v>
      </c>
      <c r="N335" s="14" t="s">
        <v>9158</v>
      </c>
      <c r="O335" s="14" t="s">
        <v>9158</v>
      </c>
      <c r="P335" s="14" t="s">
        <v>9158</v>
      </c>
      <c r="Q335" s="14" t="s">
        <v>9158</v>
      </c>
      <c r="S335" s="14" t="s">
        <v>12933</v>
      </c>
    </row>
    <row r="336" spans="1:19">
      <c r="A336" s="9">
        <v>53883</v>
      </c>
      <c r="B336" s="14" t="s">
        <v>334</v>
      </c>
      <c r="C336" s="14" t="s">
        <v>2484</v>
      </c>
      <c r="D336" s="14" t="s">
        <v>2528</v>
      </c>
      <c r="E336" s="15" t="str">
        <f>HYPERLINK("https://stat100.ameba.jp/tnk47/ratio20/illustrations/card/ill_53883_obakeyashikikubiwakomorichan03.jpg?201812-X-RELEASE-GP-create-tablex", "■")</f>
        <v>■</v>
      </c>
      <c r="F336" s="14" t="s">
        <v>2529</v>
      </c>
      <c r="G336" s="14">
        <v>84796</v>
      </c>
      <c r="H336" s="14">
        <v>78838</v>
      </c>
      <c r="I336" s="14">
        <v>22</v>
      </c>
      <c r="J336" s="14" t="s">
        <v>26</v>
      </c>
      <c r="K336" s="14" t="s">
        <v>2530</v>
      </c>
      <c r="L336" s="14" t="s">
        <v>1694</v>
      </c>
      <c r="M336" s="14" t="s">
        <v>9158</v>
      </c>
      <c r="N336" s="14" t="s">
        <v>9158</v>
      </c>
      <c r="O336" s="14" t="s">
        <v>9158</v>
      </c>
      <c r="P336" s="14" t="s">
        <v>9158</v>
      </c>
      <c r="Q336" s="14" t="s">
        <v>9158</v>
      </c>
      <c r="S336" s="14" t="s">
        <v>11739</v>
      </c>
    </row>
    <row r="337" spans="1:19">
      <c r="A337" s="9">
        <v>60733</v>
      </c>
      <c r="B337" s="14" t="s">
        <v>334</v>
      </c>
      <c r="C337" s="14" t="s">
        <v>209</v>
      </c>
      <c r="D337" s="14" t="s">
        <v>2531</v>
      </c>
      <c r="E337" s="15" t="str">
        <f>HYPERLINK("https://stat100.ameba.jp/tnk47/ratio20/illustrations/card/ill_60733_dannoraminamotoyoshitsune03.jpg?201812-X-RELEASE-GP-create-tablex", "■")</f>
        <v>■</v>
      </c>
      <c r="F337" s="14" t="s">
        <v>2532</v>
      </c>
      <c r="G337" s="14">
        <v>130784</v>
      </c>
      <c r="H337" s="14">
        <v>121604</v>
      </c>
      <c r="I337" s="14">
        <v>22</v>
      </c>
      <c r="J337" s="14" t="s">
        <v>143</v>
      </c>
      <c r="K337" s="14" t="s">
        <v>2533</v>
      </c>
      <c r="L337" s="14" t="s">
        <v>145</v>
      </c>
      <c r="M337" s="14" t="s">
        <v>9158</v>
      </c>
      <c r="N337" s="14" t="s">
        <v>9158</v>
      </c>
      <c r="O337" s="14" t="s">
        <v>9158</v>
      </c>
      <c r="P337" s="14" t="s">
        <v>9158</v>
      </c>
      <c r="Q337" s="14" t="s">
        <v>9158</v>
      </c>
      <c r="S337" s="14" t="s">
        <v>11738</v>
      </c>
    </row>
    <row r="338" spans="1:19">
      <c r="A338" s="9">
        <v>55793</v>
      </c>
      <c r="B338" s="14" t="s">
        <v>15</v>
      </c>
      <c r="C338" s="14" t="s">
        <v>206</v>
      </c>
      <c r="D338" s="14" t="s">
        <v>2363</v>
      </c>
      <c r="E338" s="15" t="str">
        <f>HYPERLINK("https://stat100.ameba.jp/tnk47/ratio20/illustrations/card/ill_55793_nahaotsunahikimatsuri03.jpg?201812-X-RELEASE-GP-create-tablex", "■")</f>
        <v>■</v>
      </c>
      <c r="F338" s="14" t="s">
        <v>2364</v>
      </c>
      <c r="G338" s="14">
        <v>65208</v>
      </c>
      <c r="H338" s="14">
        <v>59144</v>
      </c>
      <c r="I338" s="14">
        <v>22</v>
      </c>
      <c r="J338" s="14" t="s">
        <v>38</v>
      </c>
      <c r="K338" s="14" t="s">
        <v>2365</v>
      </c>
      <c r="L338" s="14" t="s">
        <v>40</v>
      </c>
      <c r="M338" s="14" t="s">
        <v>9158</v>
      </c>
      <c r="N338" s="14" t="s">
        <v>9158</v>
      </c>
      <c r="O338" s="14" t="s">
        <v>9158</v>
      </c>
      <c r="P338" s="14" t="s">
        <v>9158</v>
      </c>
      <c r="Q338" s="14" t="s">
        <v>9158</v>
      </c>
      <c r="S338" s="14" t="s">
        <v>11736</v>
      </c>
    </row>
    <row r="339" spans="1:19">
      <c r="A339" s="9">
        <v>33353</v>
      </c>
      <c r="B339" s="14" t="s">
        <v>15</v>
      </c>
      <c r="C339" s="14" t="s">
        <v>206</v>
      </c>
      <c r="D339" s="14" t="s">
        <v>2366</v>
      </c>
      <c r="E339" s="15" t="str">
        <f>HYPERLINK("https://stat100.ameba.jp/tnk47/ratio20/illustrations/card/ill_33353_akakanaja03.jpg?201812-X-RELEASE-GP-create-tablex", "■")</f>
        <v>■</v>
      </c>
      <c r="F339" s="14" t="s">
        <v>2367</v>
      </c>
      <c r="G339" s="14">
        <v>60236</v>
      </c>
      <c r="H339" s="14">
        <v>53116</v>
      </c>
      <c r="I339" s="14">
        <v>22</v>
      </c>
      <c r="J339" s="14" t="s">
        <v>73</v>
      </c>
      <c r="K339" s="14" t="s">
        <v>2368</v>
      </c>
      <c r="L339" s="14" t="s">
        <v>2369</v>
      </c>
      <c r="M339" s="14" t="s">
        <v>9158</v>
      </c>
      <c r="N339" s="14" t="s">
        <v>9158</v>
      </c>
      <c r="O339" s="14" t="s">
        <v>9158</v>
      </c>
      <c r="P339" s="14" t="s">
        <v>9158</v>
      </c>
      <c r="Q339" s="14" t="s">
        <v>9158</v>
      </c>
      <c r="S339" s="14" t="s">
        <v>12930</v>
      </c>
    </row>
    <row r="340" spans="1:19">
      <c r="A340" s="9">
        <v>55983</v>
      </c>
      <c r="B340" s="14" t="s">
        <v>15</v>
      </c>
      <c r="C340" s="14" t="s">
        <v>206</v>
      </c>
      <c r="D340" s="14" t="s">
        <v>2370</v>
      </c>
      <c r="E340" s="15" t="str">
        <f>HYPERLINK("https://stat100.ameba.jp/tnk47/ratio20/illustrations/card/ill_55983_koregusu03.jpg?201812-X-RELEASE-GP-create-tablex", "■")</f>
        <v>■</v>
      </c>
      <c r="F340" s="14" t="s">
        <v>2371</v>
      </c>
      <c r="G340" s="14">
        <v>65208</v>
      </c>
      <c r="H340" s="14">
        <v>59144</v>
      </c>
      <c r="I340" s="14">
        <v>22</v>
      </c>
      <c r="J340" s="14" t="s">
        <v>104</v>
      </c>
      <c r="K340" s="14" t="s">
        <v>2372</v>
      </c>
      <c r="L340" s="14" t="s">
        <v>2373</v>
      </c>
      <c r="M340" s="14" t="s">
        <v>9158</v>
      </c>
      <c r="N340" s="14" t="s">
        <v>9158</v>
      </c>
      <c r="O340" s="14" t="s">
        <v>9158</v>
      </c>
      <c r="P340" s="14" t="s">
        <v>9158</v>
      </c>
      <c r="Q340" s="14" t="s">
        <v>9158</v>
      </c>
      <c r="S340" s="14" t="s">
        <v>12930</v>
      </c>
    </row>
    <row r="341" spans="1:19">
      <c r="B341" s="14"/>
      <c r="C341" s="14"/>
      <c r="D341" s="14"/>
      <c r="F341" s="14"/>
      <c r="G341" s="14"/>
      <c r="H341" s="14"/>
      <c r="I341" s="14"/>
      <c r="J341" s="14"/>
      <c r="K341" s="14"/>
      <c r="L341" s="14"/>
      <c r="M341" s="14"/>
      <c r="N341" s="14"/>
      <c r="P341" s="14"/>
      <c r="Q341" s="14"/>
      <c r="R341" s="14"/>
    </row>
    <row r="342" spans="1:19">
      <c r="A342" s="14" t="s">
        <v>199</v>
      </c>
      <c r="D342" s="14"/>
      <c r="F342" s="14"/>
      <c r="G342" s="14"/>
      <c r="H342" s="14"/>
      <c r="I342" s="14"/>
      <c r="J342" s="14"/>
      <c r="K342" s="14"/>
      <c r="L342" s="14"/>
      <c r="M342" s="14"/>
      <c r="N342" s="14"/>
      <c r="P342" s="14"/>
      <c r="Q342" s="14"/>
      <c r="R342" s="14"/>
    </row>
    <row r="343" spans="1:19">
      <c r="A343" s="14" t="s">
        <v>2534</v>
      </c>
      <c r="B343" s="14"/>
      <c r="C343" s="14"/>
      <c r="D343" s="14"/>
      <c r="F343" s="14"/>
      <c r="G343" s="14"/>
      <c r="H343" s="14"/>
      <c r="I343" s="14"/>
      <c r="J343" s="14"/>
      <c r="K343" s="14"/>
      <c r="L343" s="14"/>
      <c r="M343" s="14"/>
      <c r="N343" s="14"/>
      <c r="P343" s="14"/>
      <c r="Q343" s="14"/>
      <c r="R343" s="14"/>
    </row>
    <row r="344" spans="1:19">
      <c r="A344" s="9" t="s">
        <v>6195</v>
      </c>
      <c r="B344" s="14" t="s">
        <v>52</v>
      </c>
      <c r="C344" s="14" t="s">
        <v>191</v>
      </c>
      <c r="D344" s="14" t="s">
        <v>1768</v>
      </c>
      <c r="E344" s="15" t="str">
        <f>HYPERLINK("https://stat100.ameba.jp/tnk47/ratio20/illustrations/card/ill_56493_0_poppukurisumasuikomakitsuno03.jpg?201812-X-RELEASE-GP-create-tablex", "■")</f>
        <v>■</v>
      </c>
      <c r="F344" s="14" t="s">
        <v>1769</v>
      </c>
      <c r="G344" s="14">
        <v>94236</v>
      </c>
      <c r="H344" s="14">
        <v>83712</v>
      </c>
      <c r="I344" s="14">
        <v>15</v>
      </c>
      <c r="J344" s="14" t="s">
        <v>77</v>
      </c>
      <c r="K344" s="14" t="s">
        <v>1770</v>
      </c>
      <c r="L344" s="14" t="s">
        <v>1771</v>
      </c>
      <c r="M344" s="14" t="s">
        <v>9158</v>
      </c>
      <c r="N344" s="14" t="s">
        <v>9158</v>
      </c>
      <c r="O344" s="9" t="s">
        <v>3893</v>
      </c>
      <c r="P344" s="14" t="s">
        <v>2724</v>
      </c>
      <c r="Q344" s="14">
        <v>1</v>
      </c>
      <c r="R344" s="14"/>
    </row>
    <row r="345" spans="1:19">
      <c r="A345" s="9" t="s">
        <v>5603</v>
      </c>
      <c r="B345" s="14" t="s">
        <v>52</v>
      </c>
      <c r="C345" s="14" t="s">
        <v>205</v>
      </c>
      <c r="D345" s="14" t="s">
        <v>1868</v>
      </c>
      <c r="E345" s="15" t="str">
        <f>HYPERLINK("https://stat100.ameba.jp/tnk47/ratio20/illustrations/card/ill_61893_0_onikirishumiyamotomusashi03.jpg?201812-X-RELEASE-GP-create-tablex", "■")</f>
        <v>■</v>
      </c>
      <c r="F345" s="14" t="s">
        <v>1869</v>
      </c>
      <c r="G345" s="14">
        <v>140016</v>
      </c>
      <c r="H345" s="14">
        <v>130194</v>
      </c>
      <c r="I345" s="14">
        <v>15</v>
      </c>
      <c r="J345" s="14" t="s">
        <v>143</v>
      </c>
      <c r="K345" s="14" t="s">
        <v>1870</v>
      </c>
      <c r="L345" s="14" t="s">
        <v>901</v>
      </c>
      <c r="M345" s="14" t="s">
        <v>9158</v>
      </c>
      <c r="N345" s="14" t="s">
        <v>9158</v>
      </c>
      <c r="O345" s="9" t="s">
        <v>3252</v>
      </c>
      <c r="P345" s="14" t="s">
        <v>3253</v>
      </c>
      <c r="Q345" s="14">
        <v>1</v>
      </c>
      <c r="R345" s="14"/>
    </row>
    <row r="346" spans="1:19">
      <c r="A346" s="9" t="s">
        <v>5820</v>
      </c>
      <c r="B346" s="14" t="s">
        <v>52</v>
      </c>
      <c r="C346" s="14" t="s">
        <v>200</v>
      </c>
      <c r="D346" s="14" t="s">
        <v>2346</v>
      </c>
      <c r="E346" s="15" t="str">
        <f>HYPERLINK("https://stat100.ameba.jp/tnk47/ratio20/illustrations/card/ill_48283_0_kyuubitamamonomae03.jpg?201812-X-RELEASE-GP-create-tablex", "■")</f>
        <v>■</v>
      </c>
      <c r="F346" s="14" t="s">
        <v>2347</v>
      </c>
      <c r="G346" s="14">
        <v>94236</v>
      </c>
      <c r="H346" s="14">
        <v>83712</v>
      </c>
      <c r="I346" s="14">
        <v>15</v>
      </c>
      <c r="J346" s="14" t="s">
        <v>73</v>
      </c>
      <c r="K346" s="14" t="s">
        <v>2348</v>
      </c>
      <c r="L346" s="14" t="s">
        <v>2349</v>
      </c>
      <c r="M346" s="14" t="s">
        <v>9158</v>
      </c>
      <c r="N346" s="14" t="s">
        <v>9158</v>
      </c>
      <c r="O346" s="14" t="s">
        <v>9158</v>
      </c>
      <c r="P346" s="14" t="s">
        <v>9158</v>
      </c>
      <c r="Q346" s="14" t="s">
        <v>9158</v>
      </c>
      <c r="R346" s="14"/>
    </row>
    <row r="347" spans="1:19">
      <c r="A347" s="9">
        <v>62193</v>
      </c>
      <c r="B347" s="14" t="s">
        <v>334</v>
      </c>
      <c r="C347" s="14" t="s">
        <v>191</v>
      </c>
      <c r="D347" s="14" t="s">
        <v>966</v>
      </c>
      <c r="E347" s="15" t="str">
        <f>HYPERLINK("https://stat100.ameba.jp/tnk47/ratio20/illustrations/card/ill_62193_sakakibaramichiko03.jpg?201812-X-RELEASE-GP-create-tablex", "■")</f>
        <v>■</v>
      </c>
      <c r="F347" s="14" t="s">
        <v>967</v>
      </c>
      <c r="G347" s="14">
        <v>79868</v>
      </c>
      <c r="H347" s="14">
        <v>85934</v>
      </c>
      <c r="I347" s="14">
        <v>22</v>
      </c>
      <c r="J347" s="14" t="s">
        <v>77</v>
      </c>
      <c r="K347" s="14" t="s">
        <v>968</v>
      </c>
      <c r="L347" s="14" t="s">
        <v>969</v>
      </c>
      <c r="M347" s="14" t="s">
        <v>9158</v>
      </c>
      <c r="N347" s="14" t="s">
        <v>9158</v>
      </c>
      <c r="O347" s="14" t="s">
        <v>9158</v>
      </c>
      <c r="P347" s="14" t="s">
        <v>9158</v>
      </c>
      <c r="Q347" s="14" t="s">
        <v>9158</v>
      </c>
      <c r="R347" s="14"/>
    </row>
    <row r="348" spans="1:19">
      <c r="A348" s="9">
        <v>67463</v>
      </c>
      <c r="B348" s="14" t="s">
        <v>334</v>
      </c>
      <c r="C348" s="14" t="s">
        <v>205</v>
      </c>
      <c r="D348" s="14" t="s">
        <v>2535</v>
      </c>
      <c r="E348" s="15" t="str">
        <f>HYPERLINK("https://stat100.ameba.jp/tnk47/ratio20/illustrations/card/ill_67463_yoigokochiizumonokuni03.jpg?201812-X-RELEASE-GP-create-tablex", "■")</f>
        <v>■</v>
      </c>
      <c r="F348" s="14" t="s">
        <v>2536</v>
      </c>
      <c r="G348" s="14">
        <v>89208</v>
      </c>
      <c r="H348" s="14">
        <v>82978</v>
      </c>
      <c r="I348" s="14">
        <v>22</v>
      </c>
      <c r="J348" s="14" t="s">
        <v>16</v>
      </c>
      <c r="K348" s="14" t="s">
        <v>2537</v>
      </c>
      <c r="L348" s="14" t="s">
        <v>920</v>
      </c>
      <c r="M348" s="14" t="s">
        <v>9158</v>
      </c>
      <c r="N348" s="14" t="s">
        <v>9158</v>
      </c>
      <c r="O348" s="14" t="s">
        <v>9158</v>
      </c>
      <c r="P348" s="14" t="s">
        <v>9158</v>
      </c>
      <c r="Q348" s="14" t="s">
        <v>9158</v>
      </c>
      <c r="R348" s="14"/>
    </row>
    <row r="349" spans="1:19">
      <c r="A349" s="9">
        <v>72193</v>
      </c>
      <c r="B349" s="14" t="s">
        <v>334</v>
      </c>
      <c r="C349" s="14" t="s">
        <v>165</v>
      </c>
      <c r="D349" s="14" t="s">
        <v>2538</v>
      </c>
      <c r="E349" s="15" t="str">
        <f>HYPERLINK("https://stat100.ameba.jp/tnk47/ratio20/illustrations/card/ill_72193_koinoborikomyokogo03.jpg?201812-X-RELEASE-GP-create-tablex", "■")</f>
        <v>■</v>
      </c>
      <c r="F349" s="14" t="s">
        <v>2539</v>
      </c>
      <c r="G349" s="14">
        <v>85934</v>
      </c>
      <c r="H349" s="14">
        <v>79868</v>
      </c>
      <c r="I349" s="14">
        <v>22</v>
      </c>
      <c r="J349" s="14" t="s">
        <v>10</v>
      </c>
      <c r="K349" s="14" t="s">
        <v>2540</v>
      </c>
      <c r="L349" s="14" t="s">
        <v>60</v>
      </c>
      <c r="M349" s="14" t="s">
        <v>9158</v>
      </c>
      <c r="N349" s="14" t="s">
        <v>9158</v>
      </c>
      <c r="O349" s="17" t="s">
        <v>10057</v>
      </c>
      <c r="P349" s="14" t="s">
        <v>3460</v>
      </c>
      <c r="Q349" s="14">
        <v>1</v>
      </c>
      <c r="R349" s="14"/>
    </row>
    <row r="350" spans="1:19">
      <c r="B350" s="14"/>
      <c r="C350" s="14"/>
      <c r="D350" s="14"/>
      <c r="F350" s="14"/>
      <c r="G350" s="14"/>
      <c r="H350" s="14"/>
      <c r="I350" s="14"/>
      <c r="J350" s="14"/>
      <c r="K350" s="14"/>
      <c r="L350" s="14"/>
      <c r="M350" s="14"/>
      <c r="N350" s="14"/>
      <c r="P350" s="14"/>
      <c r="Q350" s="14"/>
      <c r="R350" s="14"/>
    </row>
    <row r="351" spans="1:19">
      <c r="A351" s="14" t="s">
        <v>135</v>
      </c>
      <c r="D351" s="14"/>
      <c r="F351" s="14"/>
      <c r="G351" s="14"/>
      <c r="H351" s="14"/>
      <c r="I351" s="14"/>
      <c r="J351" s="14"/>
      <c r="K351" s="14"/>
      <c r="L351" s="14"/>
      <c r="M351" s="14"/>
      <c r="N351" s="14"/>
      <c r="P351" s="14"/>
      <c r="Q351" s="14"/>
      <c r="R351" s="14"/>
    </row>
    <row r="352" spans="1:19">
      <c r="A352" s="14" t="s">
        <v>2541</v>
      </c>
      <c r="B352" s="14"/>
      <c r="C352" s="14"/>
      <c r="D352" s="14"/>
      <c r="F352" s="14"/>
      <c r="G352" s="14"/>
      <c r="H352" s="14"/>
      <c r="I352" s="14"/>
      <c r="J352" s="14"/>
      <c r="K352" s="14"/>
      <c r="L352" s="14"/>
      <c r="M352" s="14"/>
      <c r="N352" s="14"/>
      <c r="P352" s="14"/>
      <c r="Q352" s="14"/>
      <c r="R352" s="14"/>
    </row>
    <row r="353" spans="1:18">
      <c r="A353" s="9" t="s">
        <v>5623</v>
      </c>
      <c r="B353" s="14" t="s">
        <v>52</v>
      </c>
      <c r="C353" s="14" t="s">
        <v>165</v>
      </c>
      <c r="D353" s="14" t="s">
        <v>2542</v>
      </c>
      <c r="E353" s="15" t="str">
        <f>HYPERLINK("https://stat100.ameba.jp/tnk47/ratio20/illustrations/card/ill_65713_0_undokaionikirimaru03.jpg?201812-X-RELEASE-GP-create-tablex", "■")</f>
        <v>■</v>
      </c>
      <c r="F353" s="14" t="s">
        <v>2543</v>
      </c>
      <c r="G353" s="14">
        <v>174073</v>
      </c>
      <c r="H353" s="14">
        <v>161837</v>
      </c>
      <c r="I353" s="14">
        <v>23</v>
      </c>
      <c r="J353" s="14" t="s">
        <v>73</v>
      </c>
      <c r="K353" s="14" t="s">
        <v>2544</v>
      </c>
      <c r="L353" s="14" t="s">
        <v>2545</v>
      </c>
      <c r="M353" s="14" t="s">
        <v>9158</v>
      </c>
      <c r="N353" s="14" t="s">
        <v>9158</v>
      </c>
      <c r="O353" s="9" t="s">
        <v>2869</v>
      </c>
      <c r="P353" s="14" t="s">
        <v>2870</v>
      </c>
      <c r="Q353" s="14">
        <v>1</v>
      </c>
      <c r="R353" s="14"/>
    </row>
    <row r="354" spans="1:18">
      <c r="A354" s="9">
        <v>68723</v>
      </c>
      <c r="B354" s="14" t="s">
        <v>334</v>
      </c>
      <c r="C354" s="14" t="s">
        <v>185</v>
      </c>
      <c r="D354" s="14" t="s">
        <v>2076</v>
      </c>
      <c r="E354" s="15" t="str">
        <f>HYPERLINK("https://stat100.ameba.jp/tnk47/ratio20/illustrations/card/ill_68723_gantanfukuhime03.jpg?201812-X-RELEASE-GP-create-tablex", "■")</f>
        <v>■</v>
      </c>
      <c r="F354" s="14" t="s">
        <v>2077</v>
      </c>
      <c r="G354" s="14">
        <v>76237</v>
      </c>
      <c r="H354" s="14">
        <v>82027</v>
      </c>
      <c r="I354" s="14">
        <v>21</v>
      </c>
      <c r="J354" s="14" t="s">
        <v>77</v>
      </c>
      <c r="K354" s="14" t="s">
        <v>2078</v>
      </c>
      <c r="L354" s="14" t="s">
        <v>969</v>
      </c>
      <c r="M354" s="14" t="s">
        <v>9158</v>
      </c>
      <c r="N354" s="14" t="s">
        <v>9158</v>
      </c>
      <c r="O354" s="17" t="s">
        <v>10053</v>
      </c>
      <c r="P354" s="14" t="s">
        <v>3592</v>
      </c>
      <c r="Q354" s="14">
        <v>1</v>
      </c>
      <c r="R354" s="14"/>
    </row>
    <row r="355" spans="1:18">
      <c r="A355" s="9">
        <v>67993</v>
      </c>
      <c r="B355" s="14" t="s">
        <v>334</v>
      </c>
      <c r="C355" s="14" t="s">
        <v>205</v>
      </c>
      <c r="D355" s="14" t="s">
        <v>2546</v>
      </c>
      <c r="E355" s="15" t="str">
        <f>HYPERLINK("https://stat100.ameba.jp/tnk47/ratio20/illustrations/card/ill_67993_kurisumasupateikanekomisuzu03.jpg?201812-X-RELEASE-GP-create-tablex", "■")</f>
        <v>■</v>
      </c>
      <c r="F355" s="14" t="s">
        <v>1286</v>
      </c>
      <c r="G355" s="14">
        <v>82027</v>
      </c>
      <c r="H355" s="14">
        <v>76237</v>
      </c>
      <c r="I355" s="14">
        <v>21</v>
      </c>
      <c r="J355" s="14" t="s">
        <v>10</v>
      </c>
      <c r="K355" s="14" t="s">
        <v>2547</v>
      </c>
      <c r="L355" s="14" t="s">
        <v>2548</v>
      </c>
      <c r="M355" s="14" t="s">
        <v>9158</v>
      </c>
      <c r="N355" s="14" t="s">
        <v>9158</v>
      </c>
      <c r="O355" s="17" t="s">
        <v>10025</v>
      </c>
      <c r="P355" s="14" t="s">
        <v>3701</v>
      </c>
      <c r="Q355" s="14">
        <v>1</v>
      </c>
      <c r="R355" s="14"/>
    </row>
    <row r="356" spans="1:18">
      <c r="A356" s="9">
        <v>58743</v>
      </c>
      <c r="B356" s="14" t="s">
        <v>334</v>
      </c>
      <c r="C356" s="14" t="s">
        <v>209</v>
      </c>
      <c r="D356" s="14" t="s">
        <v>2549</v>
      </c>
      <c r="E356" s="15" t="str">
        <f>HYPERLINK("https://stat100.ameba.jp/tnk47/ratio20/illustrations/card/ill_58743_enkirienoki03.jpg?201812-X-RELEASE-GP-create-tablex", "■")</f>
        <v>■</v>
      </c>
      <c r="F356" s="14" t="s">
        <v>2550</v>
      </c>
      <c r="G356" s="14">
        <v>63547</v>
      </c>
      <c r="H356" s="14">
        <v>86668</v>
      </c>
      <c r="I356" s="14">
        <v>21</v>
      </c>
      <c r="J356" s="14" t="s">
        <v>44</v>
      </c>
      <c r="K356" s="14" t="s">
        <v>2551</v>
      </c>
      <c r="L356" s="14" t="s">
        <v>95</v>
      </c>
      <c r="M356" s="14" t="s">
        <v>9158</v>
      </c>
      <c r="N356" s="14" t="s">
        <v>9158</v>
      </c>
      <c r="O356" s="17" t="s">
        <v>10065</v>
      </c>
      <c r="P356" s="14" t="s">
        <v>3670</v>
      </c>
      <c r="Q356" s="14">
        <v>1</v>
      </c>
      <c r="R356" s="14"/>
    </row>
    <row r="357" spans="1:18">
      <c r="B357" s="14"/>
      <c r="C357" s="14"/>
      <c r="D357" s="14"/>
      <c r="F357" s="14"/>
      <c r="G357" s="14"/>
      <c r="H357" s="14"/>
      <c r="I357" s="14"/>
      <c r="J357" s="14"/>
      <c r="K357" s="14"/>
      <c r="L357" s="14"/>
      <c r="M357" s="14"/>
      <c r="N357" s="14"/>
      <c r="P357" s="14"/>
      <c r="Q357" s="14"/>
      <c r="R357" s="14"/>
    </row>
    <row r="358" spans="1:18">
      <c r="A358" s="14" t="s">
        <v>11507</v>
      </c>
      <c r="D358" s="14"/>
      <c r="F358" s="14"/>
      <c r="G358" s="14"/>
      <c r="H358" s="14"/>
      <c r="I358" s="14"/>
      <c r="J358" s="14"/>
      <c r="K358" s="14"/>
      <c r="L358" s="14"/>
      <c r="M358" s="14"/>
      <c r="N358" s="14"/>
      <c r="P358" s="14"/>
      <c r="Q358" s="14"/>
      <c r="R358" s="14"/>
    </row>
    <row r="359" spans="1:18">
      <c r="A359" s="14" t="s">
        <v>2552</v>
      </c>
      <c r="B359" s="14"/>
      <c r="C359" s="14"/>
      <c r="D359" s="14"/>
      <c r="F359" s="14"/>
      <c r="G359" s="14"/>
      <c r="H359" s="14"/>
      <c r="I359" s="14"/>
      <c r="J359" s="14"/>
      <c r="K359" s="14"/>
      <c r="L359" s="14"/>
      <c r="M359" s="14"/>
      <c r="N359" s="14"/>
      <c r="P359" s="14"/>
      <c r="Q359" s="14"/>
      <c r="R359" s="14"/>
    </row>
    <row r="360" spans="1:18">
      <c r="A360" s="9" t="s">
        <v>5822</v>
      </c>
      <c r="B360" s="14" t="s">
        <v>52</v>
      </c>
      <c r="C360" s="14" t="s">
        <v>191</v>
      </c>
      <c r="D360" s="14" t="s">
        <v>898</v>
      </c>
      <c r="E360" s="15" t="str">
        <f>HYPERLINK("https://stat100.ameba.jp/tnk47/ratio20/illustrations/card/ill_71403_0_ohanamisanadayukimura03.jpg?201812-X-RELEASE-GP-create-tablex", "■")</f>
        <v>■</v>
      </c>
      <c r="F360" s="14" t="s">
        <v>899</v>
      </c>
      <c r="G360" s="14">
        <v>140016</v>
      </c>
      <c r="H360" s="14">
        <v>130194</v>
      </c>
      <c r="I360" s="14">
        <v>15</v>
      </c>
      <c r="J360" s="14" t="s">
        <v>143</v>
      </c>
      <c r="K360" s="14" t="s">
        <v>900</v>
      </c>
      <c r="L360" s="14" t="s">
        <v>901</v>
      </c>
      <c r="M360" s="14" t="s">
        <v>9158</v>
      </c>
      <c r="N360" s="14" t="s">
        <v>9158</v>
      </c>
      <c r="O360" s="17" t="s">
        <v>10060</v>
      </c>
      <c r="P360" s="14" t="s">
        <v>3418</v>
      </c>
      <c r="Q360" s="14">
        <v>2</v>
      </c>
      <c r="R360" s="14"/>
    </row>
    <row r="361" spans="1:18">
      <c r="A361" s="9" t="s">
        <v>5609</v>
      </c>
      <c r="B361" s="14" t="s">
        <v>52</v>
      </c>
      <c r="C361" s="14" t="s">
        <v>200</v>
      </c>
      <c r="D361" s="14" t="s">
        <v>56</v>
      </c>
      <c r="E361" s="15" t="str">
        <f>HYPERLINK("https://stat100.ameba.jp/tnk47/ratio20/illustrations/card/ill_53753_0_natsumatsuritokugawaieyasu03.jpg?201812-X-RELEASE-GP-create-tablex", "■")</f>
        <v>■</v>
      </c>
      <c r="F361" s="14" t="s">
        <v>902</v>
      </c>
      <c r="G361" s="14">
        <v>94236</v>
      </c>
      <c r="H361" s="14">
        <v>83712</v>
      </c>
      <c r="I361" s="14">
        <v>15</v>
      </c>
      <c r="J361" s="14" t="s">
        <v>143</v>
      </c>
      <c r="K361" s="14" t="s">
        <v>903</v>
      </c>
      <c r="L361" s="14" t="s">
        <v>904</v>
      </c>
      <c r="M361" s="14" t="s">
        <v>9158</v>
      </c>
      <c r="N361" s="14" t="s">
        <v>9158</v>
      </c>
      <c r="O361" s="17" t="s">
        <v>10052</v>
      </c>
      <c r="P361" s="14" t="s">
        <v>13121</v>
      </c>
      <c r="Q361" s="14">
        <v>1</v>
      </c>
      <c r="R361" s="14"/>
    </row>
    <row r="362" spans="1:18">
      <c r="A362" s="9" t="s">
        <v>5902</v>
      </c>
      <c r="B362" s="14" t="s">
        <v>52</v>
      </c>
      <c r="C362" s="14" t="s">
        <v>206</v>
      </c>
      <c r="D362" s="14" t="s">
        <v>905</v>
      </c>
      <c r="E362" s="15" t="str">
        <f>HYPERLINK("https://stat100.ameba.jp/tnk47/ratio20/illustrations/card/ill_40343_0_heshikirihasebekurodakambe03.jpg?201812-X-RELEASE-GP-create-tablex", "■")</f>
        <v>■</v>
      </c>
      <c r="F362" s="14" t="s">
        <v>906</v>
      </c>
      <c r="G362" s="14">
        <v>87780</v>
      </c>
      <c r="H362" s="14">
        <v>82212</v>
      </c>
      <c r="I362" s="14">
        <v>15</v>
      </c>
      <c r="J362" s="14" t="s">
        <v>16</v>
      </c>
      <c r="K362" s="14" t="s">
        <v>907</v>
      </c>
      <c r="L362" s="14" t="s">
        <v>908</v>
      </c>
      <c r="M362" s="14" t="s">
        <v>9158</v>
      </c>
      <c r="N362" s="14" t="s">
        <v>9158</v>
      </c>
      <c r="O362" s="14" t="s">
        <v>9158</v>
      </c>
      <c r="P362" s="14" t="s">
        <v>9158</v>
      </c>
      <c r="Q362" s="14" t="s">
        <v>9158</v>
      </c>
      <c r="R362" s="14"/>
    </row>
    <row r="363" spans="1:18">
      <c r="A363" s="9">
        <v>78453</v>
      </c>
      <c r="B363" s="14" t="s">
        <v>334</v>
      </c>
      <c r="C363" s="14" t="s">
        <v>165</v>
      </c>
      <c r="D363" s="14" t="s">
        <v>2554</v>
      </c>
      <c r="E363" s="15" t="str">
        <f>HYPERLINK("https://stat100.ameba.jp/tnk47/ratio20/illustrations/card/ill_78453_dobutsunoshimahashihime03.jpg?201812-X-RELEASE-GP-create-tablex", "■")</f>
        <v>■</v>
      </c>
      <c r="F363" s="14" t="s">
        <v>2555</v>
      </c>
      <c r="G363" s="14">
        <v>123870</v>
      </c>
      <c r="H363" s="14">
        <v>69714</v>
      </c>
      <c r="I363" s="14">
        <v>22</v>
      </c>
      <c r="J363" s="14" t="s">
        <v>38</v>
      </c>
      <c r="K363" s="14" t="s">
        <v>2556</v>
      </c>
      <c r="L363" s="14" t="s">
        <v>2557</v>
      </c>
      <c r="M363" s="14" t="s">
        <v>9158</v>
      </c>
      <c r="N363" s="14" t="s">
        <v>9158</v>
      </c>
      <c r="O363" s="14" t="s">
        <v>9158</v>
      </c>
      <c r="P363" s="14" t="s">
        <v>9158</v>
      </c>
      <c r="Q363" s="14" t="s">
        <v>9158</v>
      </c>
      <c r="R363" s="14"/>
    </row>
    <row r="364" spans="1:18">
      <c r="B364" s="14" t="s">
        <v>0</v>
      </c>
      <c r="C364" s="14"/>
      <c r="D364" s="14"/>
      <c r="F364" s="14"/>
      <c r="G364" s="14"/>
      <c r="H364" s="14"/>
      <c r="I364" s="14">
        <v>19</v>
      </c>
      <c r="J364" s="14"/>
      <c r="K364" s="14"/>
      <c r="L364" s="14"/>
      <c r="M364" s="14" t="s">
        <v>9158</v>
      </c>
      <c r="N364" s="14" t="s">
        <v>9158</v>
      </c>
      <c r="O364" s="14" t="s">
        <v>9158</v>
      </c>
      <c r="P364" s="14" t="s">
        <v>9158</v>
      </c>
      <c r="Q364" s="14" t="s">
        <v>9158</v>
      </c>
      <c r="R364" s="14"/>
    </row>
    <row r="365" spans="1:18">
      <c r="A365" s="9">
        <v>56523</v>
      </c>
      <c r="B365" s="14" t="s">
        <v>334</v>
      </c>
      <c r="C365" s="14" t="s">
        <v>2484</v>
      </c>
      <c r="D365" s="14" t="s">
        <v>2562</v>
      </c>
      <c r="E365" s="15" t="str">
        <f>HYPERLINK("https://stat100.ameba.jp/tnk47/ratio20/illustrations/card/ill_56523_rappinguotometsubaki03.jpg?201812-X-RELEASE-GP-create-tablex", "■")</f>
        <v>■</v>
      </c>
      <c r="F365" s="14" t="s">
        <v>2563</v>
      </c>
      <c r="G365" s="14">
        <v>73232</v>
      </c>
      <c r="H365" s="14">
        <v>68088</v>
      </c>
      <c r="I365" s="14">
        <v>19</v>
      </c>
      <c r="J365" s="14" t="s">
        <v>26</v>
      </c>
      <c r="K365" s="14" t="s">
        <v>2564</v>
      </c>
      <c r="L365" s="14" t="s">
        <v>2565</v>
      </c>
      <c r="M365" s="14" t="s">
        <v>9158</v>
      </c>
      <c r="N365" s="14" t="s">
        <v>9158</v>
      </c>
      <c r="O365" s="14" t="s">
        <v>9158</v>
      </c>
      <c r="P365" s="14" t="s">
        <v>9158</v>
      </c>
      <c r="Q365" s="14" t="s">
        <v>9158</v>
      </c>
      <c r="R365" s="14"/>
    </row>
    <row r="366" spans="1:18">
      <c r="A366" s="9">
        <v>67293</v>
      </c>
      <c r="B366" s="14" t="s">
        <v>15</v>
      </c>
      <c r="C366" s="14" t="s">
        <v>185</v>
      </c>
      <c r="D366" s="14" t="s">
        <v>921</v>
      </c>
      <c r="E366" s="15" t="str">
        <f>HYPERLINK("https://stat100.ameba.jp/tnk47/ratio20/illustrations/card/ill_67293_hokkyokuguma03.jpg?201812-X-RELEASE-GP-create-tablex", "■")</f>
        <v>■</v>
      </c>
      <c r="F366" s="14" t="s">
        <v>922</v>
      </c>
      <c r="G366" s="14">
        <v>65208</v>
      </c>
      <c r="H366" s="14">
        <v>59144</v>
      </c>
      <c r="I366" s="14">
        <v>22</v>
      </c>
      <c r="J366" s="14" t="s">
        <v>26</v>
      </c>
      <c r="K366" s="14" t="s">
        <v>923</v>
      </c>
      <c r="L366" s="14" t="s">
        <v>924</v>
      </c>
      <c r="M366" s="14" t="s">
        <v>9158</v>
      </c>
      <c r="N366" s="14" t="s">
        <v>9158</v>
      </c>
      <c r="O366" s="14" t="s">
        <v>9158</v>
      </c>
      <c r="P366" s="14" t="s">
        <v>9158</v>
      </c>
      <c r="Q366" s="14" t="s">
        <v>9158</v>
      </c>
      <c r="R366" s="14"/>
    </row>
    <row r="367" spans="1:18">
      <c r="A367" s="9">
        <v>67343</v>
      </c>
      <c r="B367" s="14" t="s">
        <v>15</v>
      </c>
      <c r="C367" s="14" t="s">
        <v>200</v>
      </c>
      <c r="D367" s="14" t="s">
        <v>925</v>
      </c>
      <c r="E367" s="15" t="str">
        <f>HYPERLINK("https://stat100.ameba.jp/tnk47/ratio20/illustrations/card/ill_67343_taishabuchan03.jpg?201812-X-RELEASE-GP-create-tablex", "■")</f>
        <v>■</v>
      </c>
      <c r="F367" s="14" t="s">
        <v>926</v>
      </c>
      <c r="G367" s="14">
        <v>56496</v>
      </c>
      <c r="H367" s="14">
        <v>51248</v>
      </c>
      <c r="I367" s="14">
        <v>22</v>
      </c>
      <c r="J367" s="14" t="s">
        <v>104</v>
      </c>
      <c r="K367" s="14" t="s">
        <v>927</v>
      </c>
      <c r="L367" s="14" t="s">
        <v>928</v>
      </c>
      <c r="M367" s="14" t="s">
        <v>9158</v>
      </c>
      <c r="N367" s="14" t="s">
        <v>9158</v>
      </c>
      <c r="O367" s="14" t="s">
        <v>9158</v>
      </c>
      <c r="P367" s="14" t="s">
        <v>9158</v>
      </c>
      <c r="Q367" s="14" t="s">
        <v>9158</v>
      </c>
      <c r="R367" s="14"/>
    </row>
    <row r="368" spans="1:18">
      <c r="A368" s="9">
        <v>66873</v>
      </c>
      <c r="B368" s="14" t="s">
        <v>15</v>
      </c>
      <c r="C368" s="14" t="s">
        <v>191</v>
      </c>
      <c r="D368" s="14" t="s">
        <v>929</v>
      </c>
      <c r="E368" s="15" t="str">
        <f>HYPERLINK("https://stat100.ameba.jp/tnk47/ratio20/illustrations/card/ill_66873_haikaramomijinishigorinotsubone03.jpg?201812-X-RELEASE-GP-create-tablex", "■")</f>
        <v>■</v>
      </c>
      <c r="F368" s="14" t="s">
        <v>930</v>
      </c>
      <c r="G368" s="14">
        <v>65208</v>
      </c>
      <c r="H368" s="14">
        <v>59144</v>
      </c>
      <c r="I368" s="14">
        <v>22</v>
      </c>
      <c r="J368" s="14" t="s">
        <v>77</v>
      </c>
      <c r="K368" s="14" t="s">
        <v>931</v>
      </c>
      <c r="L368" s="14" t="s">
        <v>932</v>
      </c>
      <c r="M368" s="14" t="s">
        <v>9158</v>
      </c>
      <c r="N368" s="14" t="s">
        <v>9158</v>
      </c>
      <c r="O368" s="14" t="s">
        <v>9158</v>
      </c>
      <c r="P368" s="14" t="s">
        <v>9158</v>
      </c>
      <c r="Q368" s="14" t="s">
        <v>9158</v>
      </c>
      <c r="R368" s="14"/>
    </row>
    <row r="369" spans="1:18">
      <c r="B369" s="14"/>
      <c r="C369" s="14"/>
      <c r="D369" s="14"/>
      <c r="F369" s="14"/>
      <c r="G369" s="14"/>
      <c r="H369" s="14"/>
      <c r="I369" s="14"/>
      <c r="J369" s="14"/>
      <c r="K369" s="14"/>
      <c r="L369" s="14"/>
      <c r="M369" s="14"/>
      <c r="N369" s="14"/>
      <c r="P369" s="14"/>
      <c r="Q369" s="14"/>
      <c r="R369" s="14"/>
    </row>
    <row r="370" spans="1:18">
      <c r="A370" s="14" t="s">
        <v>11954</v>
      </c>
      <c r="D370" s="14"/>
      <c r="F370" s="14"/>
      <c r="G370" s="14"/>
      <c r="H370" s="14"/>
      <c r="I370" s="14"/>
      <c r="J370" s="14"/>
      <c r="K370" s="14"/>
      <c r="L370" s="14"/>
      <c r="M370" s="14"/>
      <c r="N370" s="14"/>
      <c r="P370" s="14"/>
      <c r="Q370" s="14"/>
      <c r="R370" s="14"/>
    </row>
    <row r="371" spans="1:18">
      <c r="A371" s="14" t="s">
        <v>2566</v>
      </c>
      <c r="B371" s="14"/>
      <c r="C371" s="14"/>
      <c r="D371" s="14"/>
      <c r="F371" s="14"/>
      <c r="G371" s="14"/>
      <c r="H371" s="14"/>
      <c r="I371" s="14"/>
      <c r="J371" s="14"/>
      <c r="K371" s="14"/>
      <c r="L371" s="14"/>
      <c r="M371" s="14"/>
      <c r="N371" s="14"/>
      <c r="P371" s="14"/>
      <c r="Q371" s="14"/>
      <c r="R371" s="14"/>
    </row>
    <row r="372" spans="1:18">
      <c r="A372" s="9" t="s">
        <v>5620</v>
      </c>
      <c r="B372" s="14" t="s">
        <v>52</v>
      </c>
      <c r="C372" s="14" t="s">
        <v>206</v>
      </c>
      <c r="D372" s="14" t="s">
        <v>2042</v>
      </c>
      <c r="E372" s="15" t="str">
        <f>HYPERLINK("https://stat100.ameba.jp/tnk47/ratio20/illustrations/card/ill_67173_0_yukemuriawamorichan03.jpg?201812-X-RELEASE-GP-create-tablex", "■")</f>
        <v>■</v>
      </c>
      <c r="F372" s="14" t="s">
        <v>2043</v>
      </c>
      <c r="G372" s="14">
        <v>138300</v>
      </c>
      <c r="H372" s="14">
        <v>128576</v>
      </c>
      <c r="I372" s="14">
        <v>18</v>
      </c>
      <c r="J372" s="14" t="s">
        <v>104</v>
      </c>
      <c r="K372" s="14" t="s">
        <v>2044</v>
      </c>
      <c r="L372" s="14" t="s">
        <v>2045</v>
      </c>
      <c r="M372" s="14" t="s">
        <v>9158</v>
      </c>
      <c r="N372" s="14" t="s">
        <v>9158</v>
      </c>
      <c r="O372" s="17" t="s">
        <v>10061</v>
      </c>
      <c r="P372" s="14" t="s">
        <v>3455</v>
      </c>
      <c r="Q372" s="14">
        <v>1</v>
      </c>
      <c r="R372" s="14"/>
    </row>
    <row r="373" spans="1:18">
      <c r="A373" s="9" t="s">
        <v>9620</v>
      </c>
      <c r="B373" s="14" t="s">
        <v>52</v>
      </c>
      <c r="C373" s="14" t="s">
        <v>185</v>
      </c>
      <c r="D373" s="14" t="s">
        <v>1043</v>
      </c>
      <c r="E373" s="15" t="str">
        <f>HYPERLINK("https://stat100.ameba.jp/tnk47/ratio20/illustrations/card/ill_49951_0_yushamarihime01.jpg?201812-X-RELEASE-GP-create-tablex", "■")</f>
        <v>■</v>
      </c>
      <c r="F373" s="14" t="s">
        <v>1044</v>
      </c>
      <c r="G373" s="14">
        <v>81900</v>
      </c>
      <c r="H373" s="14">
        <v>79560</v>
      </c>
      <c r="I373" s="14">
        <v>18</v>
      </c>
      <c r="J373" s="14" t="s">
        <v>77</v>
      </c>
      <c r="K373" s="14" t="s">
        <v>1045</v>
      </c>
      <c r="L373" s="14" t="s">
        <v>2567</v>
      </c>
      <c r="M373" s="14" t="s">
        <v>9158</v>
      </c>
      <c r="N373" s="14" t="s">
        <v>9158</v>
      </c>
      <c r="O373" s="14" t="s">
        <v>9158</v>
      </c>
      <c r="P373" s="14" t="s">
        <v>9158</v>
      </c>
      <c r="Q373" s="14" t="s">
        <v>9158</v>
      </c>
      <c r="R373" s="14" t="s">
        <v>176</v>
      </c>
    </row>
    <row r="374" spans="1:18">
      <c r="A374" s="9">
        <v>70981</v>
      </c>
      <c r="B374" s="14" t="s">
        <v>334</v>
      </c>
      <c r="C374" s="14" t="s">
        <v>154</v>
      </c>
      <c r="D374" s="14" t="s">
        <v>2568</v>
      </c>
      <c r="E374" s="15" t="str">
        <f>HYPERLINK("https://stat100.ameba.jp/tnk47/ratio20/illustrations/card/ill_70981_higashinogokuhimengi01.jpg?201812-X-RELEASE-GP-create-tablex", "■")</f>
        <v>■</v>
      </c>
      <c r="F374" s="14" t="s">
        <v>2569</v>
      </c>
      <c r="G374" s="14">
        <v>51040</v>
      </c>
      <c r="H374" s="14">
        <v>56100</v>
      </c>
      <c r="I374" s="14">
        <v>22</v>
      </c>
      <c r="J374" s="14" t="s">
        <v>77</v>
      </c>
      <c r="K374" s="14" t="s">
        <v>2570</v>
      </c>
      <c r="L374" s="14" t="s">
        <v>2571</v>
      </c>
      <c r="M374" s="14" t="s">
        <v>9158</v>
      </c>
      <c r="N374" s="14" t="s">
        <v>9158</v>
      </c>
      <c r="O374" s="14" t="s">
        <v>9158</v>
      </c>
      <c r="P374" s="14" t="s">
        <v>9158</v>
      </c>
      <c r="Q374" s="14" t="s">
        <v>9158</v>
      </c>
      <c r="R374" s="14"/>
    </row>
    <row r="375" spans="1:18">
      <c r="A375" s="9">
        <v>70991</v>
      </c>
      <c r="B375" s="14" t="s">
        <v>334</v>
      </c>
      <c r="C375" s="14" t="s">
        <v>158</v>
      </c>
      <c r="D375" s="14" t="s">
        <v>2572</v>
      </c>
      <c r="E375" s="15" t="str">
        <f>HYPERLINK("https://stat100.ameba.jp/tnk47/ratio20/illustrations/card/ill_70991_nishinogokuhimengi01.jpg?201812-X-RELEASE-GP-create-tablex", "■")</f>
        <v>■</v>
      </c>
      <c r="F375" s="14" t="s">
        <v>2573</v>
      </c>
      <c r="G375" s="14">
        <v>51040</v>
      </c>
      <c r="H375" s="14">
        <v>56100</v>
      </c>
      <c r="I375" s="14">
        <v>22</v>
      </c>
      <c r="J375" s="14" t="s">
        <v>77</v>
      </c>
      <c r="K375" s="14" t="s">
        <v>2574</v>
      </c>
      <c r="L375" s="14" t="s">
        <v>2571</v>
      </c>
      <c r="M375" s="14" t="s">
        <v>9158</v>
      </c>
      <c r="N375" s="14" t="s">
        <v>9158</v>
      </c>
      <c r="O375" s="14" t="s">
        <v>9158</v>
      </c>
      <c r="P375" s="14" t="s">
        <v>9158</v>
      </c>
      <c r="Q375" s="14" t="s">
        <v>9158</v>
      </c>
      <c r="R375" s="14"/>
    </row>
    <row r="376" spans="1:18">
      <c r="A376" s="9">
        <v>71003</v>
      </c>
      <c r="B376" s="14" t="s">
        <v>334</v>
      </c>
      <c r="C376" s="14" t="s">
        <v>202</v>
      </c>
      <c r="D376" s="14" t="s">
        <v>2575</v>
      </c>
      <c r="E376" s="15" t="str">
        <f>HYPERLINK("https://stat100.ameba.jp/tnk47/ratio20/illustrations/card/ill_71003_retsujitsugokuhimengi03.jpg?201812-X-RELEASE-GP-create-tablex", "■")</f>
        <v>■</v>
      </c>
      <c r="F376" s="14" t="s">
        <v>2576</v>
      </c>
      <c r="G376" s="14">
        <v>90940</v>
      </c>
      <c r="H376" s="14">
        <v>97418</v>
      </c>
      <c r="I376" s="14">
        <v>22</v>
      </c>
      <c r="J376" s="14" t="s">
        <v>77</v>
      </c>
      <c r="K376" s="14" t="s">
        <v>2577</v>
      </c>
      <c r="L376" s="14" t="s">
        <v>2578</v>
      </c>
      <c r="M376" s="14" t="s">
        <v>9158</v>
      </c>
      <c r="N376" s="14" t="s">
        <v>9158</v>
      </c>
      <c r="O376" s="14" t="s">
        <v>9158</v>
      </c>
      <c r="P376" s="14" t="s">
        <v>9158</v>
      </c>
      <c r="Q376" s="14" t="s">
        <v>9158</v>
      </c>
      <c r="R376" s="14"/>
    </row>
    <row r="377" spans="1:18">
      <c r="A377" s="9">
        <v>60531</v>
      </c>
      <c r="B377" s="14" t="s">
        <v>334</v>
      </c>
      <c r="C377" s="14" t="s">
        <v>154</v>
      </c>
      <c r="D377" s="14" t="s">
        <v>2579</v>
      </c>
      <c r="E377" s="15" t="str">
        <f>HYPERLINK("https://stat100.ameba.jp/tnk47/ratio20/illustrations/card/ill_60531_higashinodomburimeshiengi01.jpg?201812-X-RELEASE-GP-create-tablex", "■")</f>
        <v>■</v>
      </c>
      <c r="F377" s="14" t="s">
        <v>2580</v>
      </c>
      <c r="G377" s="14">
        <v>54120</v>
      </c>
      <c r="H377" s="14">
        <v>50380</v>
      </c>
      <c r="I377" s="14">
        <v>22</v>
      </c>
      <c r="J377" s="14" t="s">
        <v>104</v>
      </c>
      <c r="K377" s="14" t="s">
        <v>2581</v>
      </c>
      <c r="L377" s="14" t="s">
        <v>2582</v>
      </c>
      <c r="M377" s="14" t="s">
        <v>9158</v>
      </c>
      <c r="N377" s="14" t="s">
        <v>9158</v>
      </c>
      <c r="O377" s="14" t="s">
        <v>9158</v>
      </c>
      <c r="P377" s="14" t="s">
        <v>9158</v>
      </c>
      <c r="Q377" s="14" t="s">
        <v>9158</v>
      </c>
      <c r="R377" s="14"/>
    </row>
    <row r="378" spans="1:18">
      <c r="A378" s="9">
        <v>60541</v>
      </c>
      <c r="B378" s="14" t="s">
        <v>334</v>
      </c>
      <c r="C378" s="14" t="s">
        <v>158</v>
      </c>
      <c r="D378" s="14" t="s">
        <v>2583</v>
      </c>
      <c r="E378" s="15" t="str">
        <f>HYPERLINK("https://stat100.ameba.jp/tnk47/ratio20/illustrations/card/ill_60541_nishinodomburimeshiengi01.jpg?201812-X-RELEASE-GP-create-tablex", "■")</f>
        <v>■</v>
      </c>
      <c r="F378" s="14" t="s">
        <v>2584</v>
      </c>
      <c r="G378" s="14">
        <v>54120</v>
      </c>
      <c r="H378" s="14">
        <v>50380</v>
      </c>
      <c r="I378" s="14">
        <v>22</v>
      </c>
      <c r="J378" s="14" t="s">
        <v>104</v>
      </c>
      <c r="K378" s="14" t="s">
        <v>2585</v>
      </c>
      <c r="L378" s="14" t="s">
        <v>2582</v>
      </c>
      <c r="M378" s="14" t="s">
        <v>9158</v>
      </c>
      <c r="N378" s="14" t="s">
        <v>9158</v>
      </c>
      <c r="O378" s="14" t="s">
        <v>9158</v>
      </c>
      <c r="P378" s="14" t="s">
        <v>9158</v>
      </c>
      <c r="Q378" s="14" t="s">
        <v>9158</v>
      </c>
      <c r="R378" s="14"/>
    </row>
    <row r="379" spans="1:18">
      <c r="A379" s="9">
        <v>60553</v>
      </c>
      <c r="B379" s="14" t="s">
        <v>334</v>
      </c>
      <c r="C379" s="14" t="s">
        <v>202</v>
      </c>
      <c r="D379" s="14" t="s">
        <v>2586</v>
      </c>
      <c r="E379" s="15" t="str">
        <f>HYPERLINK("https://stat100.ameba.jp/tnk47/ratio20/illustrations/card/ill_60553_bimidomburimeshiengi03.jpg?201812-X-RELEASE-GP-create-tablex", "■")</f>
        <v>■</v>
      </c>
      <c r="F379" s="14" t="s">
        <v>2587</v>
      </c>
      <c r="G379" s="14">
        <v>100488</v>
      </c>
      <c r="H379" s="14">
        <v>93456</v>
      </c>
      <c r="I379" s="14">
        <v>22</v>
      </c>
      <c r="J379" s="14" t="s">
        <v>104</v>
      </c>
      <c r="K379" s="14" t="s">
        <v>2588</v>
      </c>
      <c r="L379" s="14" t="s">
        <v>2589</v>
      </c>
      <c r="M379" s="14" t="s">
        <v>9158</v>
      </c>
      <c r="N379" s="14" t="s">
        <v>9158</v>
      </c>
      <c r="O379" s="14" t="s">
        <v>9158</v>
      </c>
      <c r="P379" s="14" t="s">
        <v>9158</v>
      </c>
      <c r="Q379" s="14" t="s">
        <v>9158</v>
      </c>
      <c r="R379" s="14"/>
    </row>
    <row r="380" spans="1:18">
      <c r="B380" s="14"/>
      <c r="C380" s="14"/>
      <c r="D380" s="14"/>
      <c r="F380" s="14"/>
      <c r="G380" s="14"/>
      <c r="H380" s="14"/>
      <c r="I380" s="14"/>
      <c r="J380" s="14"/>
      <c r="K380" s="14"/>
      <c r="L380" s="14"/>
      <c r="M380" s="14"/>
      <c r="N380" s="14"/>
      <c r="P380" s="14"/>
      <c r="Q380" s="14"/>
      <c r="R380" s="14"/>
    </row>
    <row r="381" spans="1:18">
      <c r="A381" s="14" t="s">
        <v>946</v>
      </c>
      <c r="D381" s="14"/>
      <c r="F381" s="14"/>
      <c r="G381" s="14"/>
      <c r="H381" s="14"/>
      <c r="I381" s="14"/>
      <c r="J381" s="14"/>
      <c r="K381" s="14"/>
      <c r="L381" s="14"/>
      <c r="M381" s="14"/>
      <c r="N381" s="14"/>
      <c r="P381" s="14"/>
      <c r="Q381" s="14"/>
      <c r="R381" s="14"/>
    </row>
    <row r="382" spans="1:18">
      <c r="A382" s="14" t="s">
        <v>2590</v>
      </c>
      <c r="B382" s="14"/>
      <c r="C382" s="14"/>
      <c r="D382" s="14"/>
      <c r="F382" s="14"/>
      <c r="G382" s="14"/>
      <c r="H382" s="14"/>
      <c r="I382" s="14"/>
      <c r="J382" s="14"/>
      <c r="K382" s="14"/>
      <c r="L382" s="14"/>
      <c r="M382" s="14"/>
      <c r="N382" s="14"/>
      <c r="P382" s="14"/>
      <c r="Q382" s="14"/>
      <c r="R382" s="14"/>
    </row>
    <row r="383" spans="1:18">
      <c r="A383" s="9" t="s">
        <v>5614</v>
      </c>
      <c r="B383" s="14" t="s">
        <v>52</v>
      </c>
      <c r="C383" s="14" t="s">
        <v>205</v>
      </c>
      <c r="D383" s="14" t="s">
        <v>947</v>
      </c>
      <c r="E383" s="15" t="str">
        <f>HYPERLINK("https://stat100.ameba.jp/tnk47/ratio20/illustrations/card/ill_56223_0_onsempanikkugohime03.jpg?201812-X-RELEASE-GP-create-tablex", "■")</f>
        <v>■</v>
      </c>
      <c r="F383" s="14" t="s">
        <v>948</v>
      </c>
      <c r="G383" s="14">
        <v>83712</v>
      </c>
      <c r="H383" s="14">
        <v>94236</v>
      </c>
      <c r="I383" s="14">
        <v>15</v>
      </c>
      <c r="J383" s="14" t="s">
        <v>77</v>
      </c>
      <c r="K383" s="14" t="s">
        <v>949</v>
      </c>
      <c r="L383" s="14" t="s">
        <v>950</v>
      </c>
      <c r="M383" s="14" t="s">
        <v>9158</v>
      </c>
      <c r="N383" s="14" t="s">
        <v>9158</v>
      </c>
      <c r="O383" s="9" t="s">
        <v>3021</v>
      </c>
      <c r="P383" s="14" t="s">
        <v>2890</v>
      </c>
      <c r="Q383" s="14">
        <v>1</v>
      </c>
      <c r="R383" s="14"/>
    </row>
    <row r="384" spans="1:18">
      <c r="A384" s="9" t="s">
        <v>5611</v>
      </c>
      <c r="B384" s="14" t="s">
        <v>52</v>
      </c>
      <c r="C384" s="14" t="s">
        <v>185</v>
      </c>
      <c r="D384" s="14" t="s">
        <v>951</v>
      </c>
      <c r="E384" s="15" t="str">
        <f>HYPERLINK("https://stat100.ameba.jp/tnk47/ratio20/illustrations/card/ill_60633_0_harumaisentoin03.jpg?201812-X-RELEASE-GP-create-tablex", "■")</f>
        <v>■</v>
      </c>
      <c r="F384" s="14" t="s">
        <v>952</v>
      </c>
      <c r="G384" s="14">
        <v>95371</v>
      </c>
      <c r="H384" s="14">
        <v>102590</v>
      </c>
      <c r="I384" s="14">
        <v>15</v>
      </c>
      <c r="J384" s="14" t="s">
        <v>38</v>
      </c>
      <c r="K384" s="14" t="s">
        <v>953</v>
      </c>
      <c r="L384" s="14" t="s">
        <v>954</v>
      </c>
      <c r="M384" s="14" t="s">
        <v>9158</v>
      </c>
      <c r="N384" s="14" t="s">
        <v>9158</v>
      </c>
      <c r="O384" s="9" t="s">
        <v>2888</v>
      </c>
      <c r="P384" s="14" t="s">
        <v>3144</v>
      </c>
      <c r="Q384" s="14">
        <v>1</v>
      </c>
      <c r="R384" s="14"/>
    </row>
    <row r="385" spans="1:18">
      <c r="A385" s="9" t="s">
        <v>5897</v>
      </c>
      <c r="B385" s="14" t="s">
        <v>52</v>
      </c>
      <c r="C385" s="14" t="s">
        <v>200</v>
      </c>
      <c r="D385" s="14" t="s">
        <v>53</v>
      </c>
      <c r="E385" s="15" t="str">
        <f>HYPERLINK("https://stat100.ameba.jp/tnk47/ratio20/illustrations/card/ill_40913_0_reigyokudensetsufusehime03.jpg?201812-X-RELEASE-GP-create-tablex", "■")</f>
        <v>■</v>
      </c>
      <c r="F385" s="14" t="s">
        <v>955</v>
      </c>
      <c r="G385" s="14">
        <v>82212</v>
      </c>
      <c r="H385" s="14">
        <v>87780</v>
      </c>
      <c r="I385" s="14">
        <v>15</v>
      </c>
      <c r="J385" s="14" t="s">
        <v>38</v>
      </c>
      <c r="K385" s="14" t="s">
        <v>38</v>
      </c>
      <c r="L385" s="14" t="s">
        <v>957</v>
      </c>
      <c r="M385" s="14" t="s">
        <v>9158</v>
      </c>
      <c r="N385" s="14" t="s">
        <v>9158</v>
      </c>
      <c r="O385" s="14" t="s">
        <v>9158</v>
      </c>
      <c r="P385" s="14" t="s">
        <v>9158</v>
      </c>
      <c r="Q385" s="14" t="s">
        <v>9158</v>
      </c>
      <c r="R385" s="14"/>
    </row>
    <row r="386" spans="1:18">
      <c r="A386" s="9">
        <v>78463</v>
      </c>
      <c r="B386" s="14" t="s">
        <v>334</v>
      </c>
      <c r="C386" s="14" t="s">
        <v>191</v>
      </c>
      <c r="D386" s="14" t="s">
        <v>2591</v>
      </c>
      <c r="E386" s="15" t="str">
        <f>HYPERLINK("https://stat100.ameba.jp/tnk47/ratio20/illustrations/card/ill_78463_dobutsunoshimatakuhatachijihime03.jpg?201812-X-RELEASE-GP-create-tablex", "■")</f>
        <v>■</v>
      </c>
      <c r="F386" s="14" t="s">
        <v>2592</v>
      </c>
      <c r="G386" s="14">
        <v>62342</v>
      </c>
      <c r="H386" s="14">
        <v>110818</v>
      </c>
      <c r="I386" s="14">
        <v>22</v>
      </c>
      <c r="J386" s="14" t="s">
        <v>44</v>
      </c>
      <c r="K386" s="14" t="s">
        <v>2593</v>
      </c>
      <c r="L386" s="14" t="s">
        <v>1209</v>
      </c>
      <c r="M386" s="14" t="s">
        <v>9158</v>
      </c>
      <c r="N386" s="14" t="s">
        <v>9158</v>
      </c>
      <c r="O386" s="14" t="s">
        <v>9158</v>
      </c>
      <c r="P386" s="14" t="s">
        <v>9158</v>
      </c>
      <c r="Q386" s="14" t="s">
        <v>9158</v>
      </c>
      <c r="R386" s="14"/>
    </row>
    <row r="387" spans="1:18">
      <c r="A387" s="9">
        <v>58283</v>
      </c>
      <c r="B387" s="14" t="s">
        <v>334</v>
      </c>
      <c r="C387" s="14" t="s">
        <v>165</v>
      </c>
      <c r="D387" s="14" t="s">
        <v>2594</v>
      </c>
      <c r="E387" s="15" t="str">
        <f>HYPERLINK("https://stat100.ameba.jp/tnk47/ratio20/illustrations/card/ill_58283_kyomai03.jpg?201812-X-RELEASE-GP-create-tablex", "■")</f>
        <v>■</v>
      </c>
      <c r="F387" s="14" t="s">
        <v>2595</v>
      </c>
      <c r="G387" s="14">
        <v>59264</v>
      </c>
      <c r="H387" s="14">
        <v>82436</v>
      </c>
      <c r="I387" s="14">
        <v>19</v>
      </c>
      <c r="J387" s="14" t="s">
        <v>26</v>
      </c>
      <c r="K387" s="14" t="s">
        <v>2596</v>
      </c>
      <c r="L387" s="14" t="s">
        <v>2597</v>
      </c>
      <c r="M387" s="14" t="s">
        <v>9158</v>
      </c>
      <c r="N387" s="14" t="s">
        <v>9158</v>
      </c>
      <c r="O387" s="14" t="s">
        <v>9158</v>
      </c>
      <c r="P387" s="14" t="s">
        <v>9158</v>
      </c>
      <c r="Q387" s="14" t="s">
        <v>9158</v>
      </c>
      <c r="R387" s="14"/>
    </row>
    <row r="388" spans="1:18">
      <c r="A388" s="9">
        <v>71693</v>
      </c>
      <c r="B388" s="14" t="s">
        <v>334</v>
      </c>
      <c r="C388" s="14" t="s">
        <v>200</v>
      </c>
      <c r="D388" s="14" t="s">
        <v>2598</v>
      </c>
      <c r="E388" s="15" t="str">
        <f>HYPERLINK("https://stat100.ameba.jp/tnk47/ratio20/illustrations/card/ill_71693_shokugyotaikenakaiteruko03.jpg?201812-X-RELEASE-GP-create-tablex", "■")</f>
        <v>■</v>
      </c>
      <c r="F388" s="14" t="s">
        <v>2599</v>
      </c>
      <c r="G388" s="14">
        <v>105020</v>
      </c>
      <c r="H388" s="14">
        <v>112949</v>
      </c>
      <c r="I388" s="14">
        <v>19</v>
      </c>
      <c r="J388" s="14" t="s">
        <v>143</v>
      </c>
      <c r="K388" s="14" t="s">
        <v>2600</v>
      </c>
      <c r="L388" s="14" t="s">
        <v>1148</v>
      </c>
      <c r="M388" s="14" t="s">
        <v>9158</v>
      </c>
      <c r="N388" s="14" t="s">
        <v>9158</v>
      </c>
      <c r="O388" s="14" t="s">
        <v>9158</v>
      </c>
      <c r="P388" s="14" t="s">
        <v>9158</v>
      </c>
      <c r="Q388" s="14" t="s">
        <v>9158</v>
      </c>
      <c r="R388" s="14"/>
    </row>
    <row r="389" spans="1:18">
      <c r="A389" s="9">
        <v>67393</v>
      </c>
      <c r="B389" s="14" t="s">
        <v>15</v>
      </c>
      <c r="C389" s="14" t="s">
        <v>206</v>
      </c>
      <c r="D389" s="14" t="s">
        <v>970</v>
      </c>
      <c r="E389" s="15" t="str">
        <f>HYPERLINK("https://stat100.ameba.jp/tnk47/ratio20/illustrations/card/ill_67393_jobaamahime03.jpg?201812-X-RELEASE-GP-create-tablex", "■")</f>
        <v>■</v>
      </c>
      <c r="F389" s="14" t="s">
        <v>971</v>
      </c>
      <c r="G389" s="14">
        <v>59144</v>
      </c>
      <c r="H389" s="14">
        <v>65208</v>
      </c>
      <c r="I389" s="14">
        <v>22</v>
      </c>
      <c r="J389" s="14" t="s">
        <v>77</v>
      </c>
      <c r="K389" s="14" t="s">
        <v>972</v>
      </c>
      <c r="L389" s="14" t="s">
        <v>973</v>
      </c>
      <c r="M389" s="14" t="s">
        <v>9158</v>
      </c>
      <c r="N389" s="14" t="s">
        <v>9158</v>
      </c>
      <c r="O389" s="14" t="s">
        <v>9158</v>
      </c>
      <c r="P389" s="14" t="s">
        <v>9158</v>
      </c>
      <c r="Q389" s="14" t="s">
        <v>9158</v>
      </c>
      <c r="R389" s="14"/>
    </row>
    <row r="390" spans="1:18">
      <c r="A390" s="9">
        <v>60863</v>
      </c>
      <c r="B390" s="14" t="s">
        <v>15</v>
      </c>
      <c r="C390" s="14" t="s">
        <v>205</v>
      </c>
      <c r="D390" s="14" t="s">
        <v>974</v>
      </c>
      <c r="E390" s="15" t="str">
        <f>HYPERLINK("https://stat100.ameba.jp/tnk47/ratio20/illustrations/card/ill_60863_hieinihonrisuchan03.jpg?201812-X-RELEASE-GP-create-tablex", "■")</f>
        <v>■</v>
      </c>
      <c r="F390" s="14" t="s">
        <v>975</v>
      </c>
      <c r="G390" s="14">
        <v>59144</v>
      </c>
      <c r="H390" s="14">
        <v>65208</v>
      </c>
      <c r="I390" s="14">
        <v>22</v>
      </c>
      <c r="J390" s="14" t="s">
        <v>26</v>
      </c>
      <c r="K390" s="14" t="s">
        <v>976</v>
      </c>
      <c r="L390" s="14" t="s">
        <v>977</v>
      </c>
      <c r="M390" s="14" t="s">
        <v>9158</v>
      </c>
      <c r="N390" s="14" t="s">
        <v>9158</v>
      </c>
      <c r="O390" s="14" t="s">
        <v>9158</v>
      </c>
      <c r="P390" s="14" t="s">
        <v>9158</v>
      </c>
      <c r="Q390" s="14" t="s">
        <v>9158</v>
      </c>
      <c r="R390" s="14"/>
    </row>
    <row r="391" spans="1:18">
      <c r="A391" s="9">
        <v>60993</v>
      </c>
      <c r="B391" s="14" t="s">
        <v>15</v>
      </c>
      <c r="C391" s="14" t="s">
        <v>191</v>
      </c>
      <c r="D391" s="14" t="s">
        <v>978</v>
      </c>
      <c r="E391" s="15" t="str">
        <f>HYPERLINK("https://stat100.ameba.jp/tnk47/ratio20/illustrations/card/ill_60993_majutsushijukeini03.jpg?201812-X-RELEASE-GP-create-tablex", "■")</f>
        <v>■</v>
      </c>
      <c r="F391" s="14" t="s">
        <v>979</v>
      </c>
      <c r="G391" s="14">
        <v>59144</v>
      </c>
      <c r="H391" s="14">
        <v>65208</v>
      </c>
      <c r="I391" s="14">
        <v>22</v>
      </c>
      <c r="J391" s="14" t="s">
        <v>16</v>
      </c>
      <c r="K391" s="14" t="s">
        <v>980</v>
      </c>
      <c r="L391" s="14" t="s">
        <v>981</v>
      </c>
      <c r="M391" s="14" t="s">
        <v>9158</v>
      </c>
      <c r="N391" s="14" t="s">
        <v>9158</v>
      </c>
      <c r="O391" s="14" t="s">
        <v>9158</v>
      </c>
      <c r="P391" s="14" t="s">
        <v>9158</v>
      </c>
      <c r="Q391" s="14" t="s">
        <v>9158</v>
      </c>
      <c r="R391" s="14"/>
    </row>
    <row r="392" spans="1:18">
      <c r="B392" s="14"/>
      <c r="C392" s="14"/>
      <c r="D392" s="14"/>
      <c r="F392" s="14"/>
      <c r="G392" s="14"/>
      <c r="H392" s="14"/>
      <c r="I392" s="14"/>
      <c r="J392" s="14"/>
      <c r="K392" s="14"/>
      <c r="L392" s="14"/>
      <c r="M392" s="14"/>
      <c r="N392" s="14"/>
      <c r="P392" s="14"/>
      <c r="Q392" s="14"/>
      <c r="R392" s="14"/>
    </row>
    <row r="393" spans="1:18">
      <c r="A393" s="14" t="s">
        <v>1357</v>
      </c>
      <c r="D393" s="14"/>
      <c r="F393" s="14"/>
      <c r="G393" s="14"/>
      <c r="H393" s="14"/>
      <c r="I393" s="14"/>
      <c r="J393" s="14"/>
      <c r="K393" s="14"/>
      <c r="L393" s="14"/>
      <c r="M393" s="14"/>
      <c r="N393" s="14"/>
      <c r="P393" s="14"/>
      <c r="Q393" s="14"/>
      <c r="R393" s="14"/>
    </row>
    <row r="394" spans="1:18">
      <c r="A394" s="14" t="s">
        <v>2606</v>
      </c>
      <c r="B394" s="14"/>
      <c r="C394" s="14"/>
      <c r="D394" s="14"/>
      <c r="F394" s="14"/>
      <c r="G394" s="14"/>
      <c r="H394" s="14"/>
      <c r="I394" s="14"/>
      <c r="J394" s="14"/>
      <c r="K394" s="14"/>
      <c r="L394" s="14"/>
      <c r="M394" s="14"/>
      <c r="N394" s="14"/>
      <c r="P394" s="14"/>
      <c r="Q394" s="14"/>
      <c r="R394" s="14"/>
    </row>
    <row r="395" spans="1:18">
      <c r="A395" s="9" t="s">
        <v>5734</v>
      </c>
      <c r="B395" s="14" t="s">
        <v>52</v>
      </c>
      <c r="C395" s="14" t="s">
        <v>202</v>
      </c>
      <c r="D395" s="14" t="s">
        <v>2297</v>
      </c>
      <c r="E395" s="15" t="str">
        <f>HYPERLINK("https://stat100.ameba.jp/tnk47/ratio20/illustrations/card/ill_74593_0_natsuyuenchikoshihikari03.jpg?201812-X-RELEASE-GP-create-tablex", "■")</f>
        <v>■</v>
      </c>
      <c r="F395" s="14" t="s">
        <v>2298</v>
      </c>
      <c r="G395" s="14">
        <v>162496</v>
      </c>
      <c r="H395" s="14">
        <v>151067</v>
      </c>
      <c r="I395" s="14">
        <v>15</v>
      </c>
      <c r="J395" s="14" t="s">
        <v>104</v>
      </c>
      <c r="K395" s="14" t="s">
        <v>2299</v>
      </c>
      <c r="L395" s="14" t="s">
        <v>2300</v>
      </c>
      <c r="M395" s="14" t="s">
        <v>9158</v>
      </c>
      <c r="N395" s="14" t="s">
        <v>9158</v>
      </c>
      <c r="O395" s="9" t="s">
        <v>2731</v>
      </c>
      <c r="P395" s="14" t="s">
        <v>2732</v>
      </c>
      <c r="Q395" s="14">
        <v>1</v>
      </c>
      <c r="R395" s="14"/>
    </row>
    <row r="396" spans="1:18">
      <c r="A396" s="9" t="s">
        <v>5897</v>
      </c>
      <c r="B396" s="14" t="s">
        <v>52</v>
      </c>
      <c r="C396" s="14" t="s">
        <v>200</v>
      </c>
      <c r="D396" s="14" t="s">
        <v>53</v>
      </c>
      <c r="E396" s="15" t="str">
        <f>HYPERLINK("https://stat100.ameba.jp/tnk47/ratio20/illustrations/card/ill_40913_0_reigyokudensetsufusehime03.jpg?201812-X-RELEASE-GP-create-tablex", "■")</f>
        <v>■</v>
      </c>
      <c r="F396" s="14" t="s">
        <v>955</v>
      </c>
      <c r="G396" s="14">
        <v>82212</v>
      </c>
      <c r="H396" s="14">
        <v>87780</v>
      </c>
      <c r="I396" s="14">
        <v>15</v>
      </c>
      <c r="J396" s="14" t="s">
        <v>38</v>
      </c>
      <c r="K396" s="14" t="s">
        <v>956</v>
      </c>
      <c r="L396" s="14" t="s">
        <v>957</v>
      </c>
      <c r="M396" s="14" t="s">
        <v>9158</v>
      </c>
      <c r="N396" s="14" t="s">
        <v>9158</v>
      </c>
      <c r="O396" s="14" t="s">
        <v>9158</v>
      </c>
      <c r="P396" s="14" t="s">
        <v>9158</v>
      </c>
      <c r="Q396" s="14" t="s">
        <v>9158</v>
      </c>
      <c r="R396" s="14"/>
    </row>
    <row r="397" spans="1:18">
      <c r="A397" s="9" t="s">
        <v>5612</v>
      </c>
      <c r="B397" s="14" t="s">
        <v>52</v>
      </c>
      <c r="C397" s="14" t="s">
        <v>165</v>
      </c>
      <c r="D397" s="14" t="s">
        <v>1895</v>
      </c>
      <c r="E397" s="15" t="str">
        <f>HYPERLINK("https://stat100.ameba.jp/tnk47/ratio20/illustrations/card/ill_49193_0_onmyoudouabenoseimei03.jpg?201812-X-RELEASE-GP-create-tablex", "■")</f>
        <v>■</v>
      </c>
      <c r="F397" s="14" t="s">
        <v>1896</v>
      </c>
      <c r="G397" s="14">
        <v>83712</v>
      </c>
      <c r="H397" s="14">
        <v>94236</v>
      </c>
      <c r="I397" s="14">
        <v>15</v>
      </c>
      <c r="J397" s="14" t="s">
        <v>10</v>
      </c>
      <c r="K397" s="14" t="s">
        <v>1897</v>
      </c>
      <c r="L397" s="14" t="s">
        <v>1898</v>
      </c>
      <c r="M397" s="14" t="s">
        <v>9158</v>
      </c>
      <c r="N397" s="14" t="s">
        <v>9158</v>
      </c>
      <c r="O397" s="14" t="s">
        <v>9158</v>
      </c>
      <c r="P397" s="14" t="s">
        <v>9158</v>
      </c>
      <c r="Q397" s="14" t="s">
        <v>9158</v>
      </c>
      <c r="R397" s="14"/>
    </row>
    <row r="398" spans="1:18">
      <c r="A398" s="9">
        <v>77753</v>
      </c>
      <c r="B398" s="14" t="s">
        <v>334</v>
      </c>
      <c r="C398" s="14" t="s">
        <v>203</v>
      </c>
      <c r="D398" s="14" t="s">
        <v>994</v>
      </c>
      <c r="E398" s="15" t="str">
        <f>HYPERLINK("https://stat100.ameba.jp/tnk47/ratio20/illustrations/card/ill_77753_sekiennotorisu03.jpg?201812-X-RELEASE-GP-create-tablex", "■")</f>
        <v>■</v>
      </c>
      <c r="F398" s="14" t="s">
        <v>995</v>
      </c>
      <c r="G398" s="14">
        <v>161516</v>
      </c>
      <c r="H398" s="14">
        <v>90870</v>
      </c>
      <c r="I398" s="14">
        <v>22</v>
      </c>
      <c r="J398" s="14" t="s">
        <v>143</v>
      </c>
      <c r="K398" s="14" t="s">
        <v>996</v>
      </c>
      <c r="L398" s="14" t="s">
        <v>145</v>
      </c>
      <c r="M398" s="14" t="s">
        <v>9158</v>
      </c>
      <c r="N398" s="14" t="s">
        <v>9158</v>
      </c>
      <c r="O398" s="14" t="s">
        <v>9158</v>
      </c>
      <c r="P398" s="14" t="s">
        <v>9158</v>
      </c>
      <c r="Q398" s="14" t="s">
        <v>9158</v>
      </c>
      <c r="R398" s="14"/>
    </row>
    <row r="399" spans="1:18">
      <c r="A399" s="9">
        <v>76873</v>
      </c>
      <c r="B399" s="14" t="s">
        <v>334</v>
      </c>
      <c r="C399" s="14" t="s">
        <v>209</v>
      </c>
      <c r="D399" s="14" t="s">
        <v>1939</v>
      </c>
      <c r="E399" s="15" t="str">
        <f>HYPERLINK("https://stat100.ameba.jp/tnk47/ratio20/illustrations/card/ill_76873_torerokamomiro03.jpg?201812-X-RELEASE-GP-create-tablex", "■")</f>
        <v>■</v>
      </c>
      <c r="F399" s="14" t="s">
        <v>1940</v>
      </c>
      <c r="G399" s="14">
        <v>161516</v>
      </c>
      <c r="H399" s="14">
        <v>90870</v>
      </c>
      <c r="I399" s="14">
        <v>22</v>
      </c>
      <c r="J399" s="14" t="s">
        <v>10</v>
      </c>
      <c r="K399" s="14" t="s">
        <v>1941</v>
      </c>
      <c r="L399" s="14" t="s">
        <v>1942</v>
      </c>
      <c r="M399" s="14" t="s">
        <v>9158</v>
      </c>
      <c r="N399" s="14" t="s">
        <v>9158</v>
      </c>
      <c r="O399" s="14" t="s">
        <v>9158</v>
      </c>
      <c r="P399" s="14" t="s">
        <v>9158</v>
      </c>
      <c r="Q399" s="14" t="s">
        <v>9158</v>
      </c>
      <c r="R399" s="14"/>
    </row>
    <row r="400" spans="1:18">
      <c r="A400" s="9">
        <v>78113</v>
      </c>
      <c r="B400" s="14" t="s">
        <v>334</v>
      </c>
      <c r="C400" s="14" t="s">
        <v>158</v>
      </c>
      <c r="D400" s="14" t="s">
        <v>2602</v>
      </c>
      <c r="E400" s="15" t="str">
        <f>HYPERLINK("https://stat100.ameba.jp/tnk47/ratio20/illustrations/card/ill_78113_santaokokusantakuin03.jpg?201812-X-RELEASE-GP-create-tablex", "■")</f>
        <v>■</v>
      </c>
      <c r="F400" s="14" t="s">
        <v>2603</v>
      </c>
      <c r="G400" s="14">
        <v>84560</v>
      </c>
      <c r="H400" s="14">
        <v>90934</v>
      </c>
      <c r="I400" s="14">
        <v>22</v>
      </c>
      <c r="J400" s="14" t="s">
        <v>44</v>
      </c>
      <c r="K400" s="14" t="s">
        <v>2604</v>
      </c>
      <c r="L400" s="14" t="s">
        <v>2605</v>
      </c>
      <c r="M400" s="14" t="s">
        <v>9158</v>
      </c>
      <c r="N400" s="14" t="s">
        <v>9158</v>
      </c>
      <c r="O400" s="14" t="s">
        <v>9158</v>
      </c>
      <c r="P400" s="14" t="s">
        <v>9158</v>
      </c>
      <c r="Q400" s="14" t="s">
        <v>9158</v>
      </c>
      <c r="R400" s="14"/>
    </row>
    <row r="401" spans="1:18">
      <c r="A401" s="9">
        <v>57853</v>
      </c>
      <c r="B401" s="14" t="s">
        <v>15</v>
      </c>
      <c r="C401" s="14" t="s">
        <v>200</v>
      </c>
      <c r="D401" s="14" t="s">
        <v>997</v>
      </c>
      <c r="E401" s="15" t="str">
        <f>HYPERLINK("https://stat100.ameba.jp/tnk47/ratio20/illustrations/card/ill_57853_otokuchuruakaiteruko03.jpg?201812-X-RELEASE-GP-create-tablex", "■")</f>
        <v>■</v>
      </c>
      <c r="F401" s="14" t="s">
        <v>998</v>
      </c>
      <c r="G401" s="14">
        <v>56456</v>
      </c>
      <c r="H401" s="14">
        <v>62244</v>
      </c>
      <c r="I401" s="14">
        <v>21</v>
      </c>
      <c r="J401" s="14" t="s">
        <v>143</v>
      </c>
      <c r="K401" s="14" t="s">
        <v>999</v>
      </c>
      <c r="L401" s="14" t="s">
        <v>1000</v>
      </c>
      <c r="M401" s="14" t="s">
        <v>9158</v>
      </c>
      <c r="N401" s="14" t="s">
        <v>9158</v>
      </c>
      <c r="O401" s="14" t="s">
        <v>9158</v>
      </c>
      <c r="P401" s="14" t="s">
        <v>9158</v>
      </c>
      <c r="Q401" s="14" t="s">
        <v>9158</v>
      </c>
      <c r="R401" s="14"/>
    </row>
    <row r="402" spans="1:18">
      <c r="A402" s="9">
        <v>57913</v>
      </c>
      <c r="B402" s="14" t="s">
        <v>15</v>
      </c>
      <c r="C402" s="14" t="s">
        <v>165</v>
      </c>
      <c r="D402" s="14" t="s">
        <v>1001</v>
      </c>
      <c r="E402" s="15" t="str">
        <f>HYPERLINK("https://stat100.ameba.jp/tnk47/ratio20/illustrations/card/ill_57913_otokuchurusahohime03.jpg?201812-X-RELEASE-GP-create-tablex", "■")</f>
        <v>■</v>
      </c>
      <c r="F402" s="14" t="s">
        <v>1002</v>
      </c>
      <c r="G402" s="14">
        <v>62244</v>
      </c>
      <c r="H402" s="14">
        <v>56456</v>
      </c>
      <c r="I402" s="14">
        <v>21</v>
      </c>
      <c r="J402" s="14" t="s">
        <v>44</v>
      </c>
      <c r="K402" s="14" t="s">
        <v>1003</v>
      </c>
      <c r="L402" s="14" t="s">
        <v>1004</v>
      </c>
      <c r="M402" s="14" t="s">
        <v>9158</v>
      </c>
      <c r="N402" s="14" t="s">
        <v>9158</v>
      </c>
      <c r="O402" s="14" t="s">
        <v>9158</v>
      </c>
      <c r="P402" s="14" t="s">
        <v>9158</v>
      </c>
      <c r="Q402" s="14" t="s">
        <v>9158</v>
      </c>
      <c r="R402" s="14"/>
    </row>
    <row r="403" spans="1:18">
      <c r="A403" s="9">
        <v>55433</v>
      </c>
      <c r="B403" s="14" t="s">
        <v>15</v>
      </c>
      <c r="C403" s="14" t="s">
        <v>191</v>
      </c>
      <c r="D403" s="14" t="s">
        <v>1005</v>
      </c>
      <c r="E403" s="15" t="str">
        <f>HYPERLINK("https://stat100.ameba.jp/tnk47/ratio20/illustrations/card/ill_55433_bunkasaiodainokata03.jpg?201812-X-RELEASE-GP-create-tablex", "■")</f>
        <v>■</v>
      </c>
      <c r="F403" s="14" t="s">
        <v>1006</v>
      </c>
      <c r="G403" s="14">
        <v>62244</v>
      </c>
      <c r="H403" s="14">
        <v>56456</v>
      </c>
      <c r="I403" s="14">
        <v>21</v>
      </c>
      <c r="J403" s="14" t="s">
        <v>10</v>
      </c>
      <c r="K403" s="14" t="s">
        <v>1007</v>
      </c>
      <c r="L403" s="14" t="s">
        <v>1008</v>
      </c>
      <c r="M403" s="14" t="s">
        <v>9158</v>
      </c>
      <c r="N403" s="14" t="s">
        <v>9158</v>
      </c>
      <c r="O403" s="14" t="s">
        <v>9158</v>
      </c>
      <c r="P403" s="14" t="s">
        <v>9158</v>
      </c>
      <c r="Q403" s="14" t="s">
        <v>9158</v>
      </c>
      <c r="R403" s="14"/>
    </row>
    <row r="404" spans="1:18">
      <c r="B404" s="14"/>
      <c r="C404" s="14"/>
      <c r="D404" s="14"/>
      <c r="F404" s="14"/>
      <c r="G404" s="14"/>
      <c r="H404" s="14"/>
      <c r="I404" s="14"/>
      <c r="J404" s="14"/>
      <c r="K404" s="14"/>
      <c r="L404" s="14"/>
      <c r="M404" s="14"/>
      <c r="N404" s="14"/>
      <c r="P404" s="14"/>
      <c r="Q404" s="14"/>
      <c r="R404" s="14"/>
    </row>
    <row r="405" spans="1:18">
      <c r="A405" s="14" t="s">
        <v>114</v>
      </c>
      <c r="D405" s="14"/>
      <c r="F405" s="14"/>
      <c r="G405" s="14"/>
      <c r="H405" s="14"/>
      <c r="I405" s="14"/>
      <c r="J405" s="14"/>
      <c r="K405" s="14"/>
      <c r="L405" s="14"/>
      <c r="M405" s="14"/>
      <c r="N405" s="14"/>
      <c r="P405" s="14"/>
      <c r="Q405" s="14"/>
      <c r="R405" s="14"/>
    </row>
    <row r="406" spans="1:18">
      <c r="A406" s="14" t="s">
        <v>2607</v>
      </c>
      <c r="B406" s="14"/>
      <c r="C406" s="14"/>
      <c r="D406" s="14"/>
      <c r="F406" s="14"/>
      <c r="G406" s="14"/>
      <c r="H406" s="14"/>
      <c r="I406" s="14"/>
      <c r="J406" s="14"/>
      <c r="K406" s="14"/>
      <c r="L406" s="14"/>
      <c r="M406" s="14"/>
      <c r="N406" s="14"/>
      <c r="P406" s="14"/>
      <c r="Q406" s="14"/>
      <c r="R406" s="14"/>
    </row>
    <row r="407" spans="1:18">
      <c r="A407" s="9" t="s">
        <v>5724</v>
      </c>
      <c r="B407" s="14" t="s">
        <v>52</v>
      </c>
      <c r="C407" s="14" t="s">
        <v>185</v>
      </c>
      <c r="D407" s="14" t="s">
        <v>1242</v>
      </c>
      <c r="E407" s="15" t="str">
        <f>HYPERLINK("https://stat100.ameba.jp/tnk47/ratio20/illustrations/card/ill_66433_0_haroinfujishirogozen03.jpg?201812-X-RELEASE-GP-insert-battleleague", "■")</f>
        <v>■</v>
      </c>
      <c r="F407" s="14" t="s">
        <v>1243</v>
      </c>
      <c r="G407" s="14">
        <v>104049</v>
      </c>
      <c r="H407" s="14">
        <v>111917</v>
      </c>
      <c r="I407" s="14">
        <v>17</v>
      </c>
      <c r="J407" s="14" t="s">
        <v>77</v>
      </c>
      <c r="K407" s="14" t="s">
        <v>1244</v>
      </c>
      <c r="L407" s="14" t="s">
        <v>1245</v>
      </c>
      <c r="M407" s="14" t="s">
        <v>9158</v>
      </c>
      <c r="N407" s="14" t="s">
        <v>9158</v>
      </c>
      <c r="O407" s="17" t="s">
        <v>10062</v>
      </c>
      <c r="P407" s="14" t="s">
        <v>3345</v>
      </c>
      <c r="Q407" s="14">
        <v>1</v>
      </c>
      <c r="R407" s="14"/>
    </row>
    <row r="408" spans="1:18">
      <c r="A408" s="9" t="s">
        <v>5848</v>
      </c>
      <c r="B408" s="14" t="s">
        <v>52</v>
      </c>
      <c r="C408" s="14" t="s">
        <v>200</v>
      </c>
      <c r="D408" s="14" t="s">
        <v>1138</v>
      </c>
      <c r="E408" s="15" t="str">
        <f>HYPERLINK("https://stat100.ameba.jp/tnk47/ratio20/illustrations/card/ill_72963_0_amenohanayomehiguchiichiyo03.jpg?201812-X-RELEASE-GP-insert-battleleague", "■")</f>
        <v>■</v>
      </c>
      <c r="F408" s="14" t="s">
        <v>1139</v>
      </c>
      <c r="G408" s="14">
        <v>113904</v>
      </c>
      <c r="H408" s="14">
        <v>105910</v>
      </c>
      <c r="I408" s="14">
        <v>17</v>
      </c>
      <c r="J408" s="14" t="s">
        <v>10</v>
      </c>
      <c r="K408" s="14" t="s">
        <v>1140</v>
      </c>
      <c r="L408" s="14" t="s">
        <v>1141</v>
      </c>
      <c r="M408" s="14" t="s">
        <v>9158</v>
      </c>
      <c r="N408" s="14" t="s">
        <v>9158</v>
      </c>
      <c r="O408" s="9" t="s">
        <v>3162</v>
      </c>
      <c r="P408" s="14" t="s">
        <v>3163</v>
      </c>
      <c r="Q408" s="14">
        <v>1</v>
      </c>
      <c r="R408" s="14"/>
    </row>
    <row r="409" spans="1:18">
      <c r="A409" s="9">
        <v>75093</v>
      </c>
      <c r="B409" s="14" t="s">
        <v>334</v>
      </c>
      <c r="C409" s="14" t="s">
        <v>158</v>
      </c>
      <c r="D409" s="14" t="s">
        <v>2613</v>
      </c>
      <c r="E409" s="15" t="str">
        <f>HYPERLINK("https://stat100.ameba.jp/tnk47/ratio20/illustrations/card/ill_75093_hangonko03.jpg?201812-X-RELEASE-GP-insert-battleleague", "■")</f>
        <v>■</v>
      </c>
      <c r="F409" s="14" t="s">
        <v>2614</v>
      </c>
      <c r="G409" s="14">
        <v>126858</v>
      </c>
      <c r="H409" s="14">
        <v>91876</v>
      </c>
      <c r="I409" s="14">
        <v>24</v>
      </c>
      <c r="J409" s="14" t="s">
        <v>44</v>
      </c>
      <c r="K409" s="14" t="s">
        <v>2615</v>
      </c>
      <c r="L409" s="14" t="s">
        <v>1108</v>
      </c>
      <c r="M409" s="14" t="s">
        <v>9158</v>
      </c>
      <c r="N409" s="14" t="s">
        <v>9158</v>
      </c>
      <c r="O409" s="17" t="s">
        <v>3414</v>
      </c>
      <c r="P409" s="14" t="s">
        <v>13122</v>
      </c>
      <c r="Q409" s="14">
        <v>1</v>
      </c>
      <c r="R409" s="14"/>
    </row>
    <row r="410" spans="1:18">
      <c r="A410" s="9">
        <v>71333</v>
      </c>
      <c r="B410" s="14" t="s">
        <v>334</v>
      </c>
      <c r="C410" s="14" t="s">
        <v>203</v>
      </c>
      <c r="D410" s="14" t="s">
        <v>57</v>
      </c>
      <c r="E410" s="15" t="str">
        <f>HYPERLINK("https://stat100.ameba.jp/tnk47/ratio20/illustrations/card/ill_71333_fujiwaranokamatari03.jpg?201812-X-RELEASE-GP-insert-battleleague", "■")</f>
        <v>■</v>
      </c>
      <c r="F410" s="14" t="s">
        <v>58</v>
      </c>
      <c r="G410" s="14">
        <v>91779</v>
      </c>
      <c r="H410" s="14">
        <v>66487</v>
      </c>
      <c r="I410" s="14">
        <v>21</v>
      </c>
      <c r="J410" s="14" t="s">
        <v>10</v>
      </c>
      <c r="K410" s="14" t="s">
        <v>59</v>
      </c>
      <c r="L410" s="14" t="s">
        <v>60</v>
      </c>
      <c r="M410" s="14" t="s">
        <v>9158</v>
      </c>
      <c r="N410" s="14" t="s">
        <v>9158</v>
      </c>
      <c r="O410" s="9" t="s">
        <v>3490</v>
      </c>
      <c r="P410" s="14" t="s">
        <v>3491</v>
      </c>
      <c r="Q410" s="14">
        <v>1</v>
      </c>
      <c r="R410" s="14"/>
    </row>
    <row r="411" spans="1:18">
      <c r="A411" s="9">
        <v>76783</v>
      </c>
      <c r="B411" s="14" t="s">
        <v>334</v>
      </c>
      <c r="C411" s="14" t="s">
        <v>203</v>
      </c>
      <c r="D411" s="14" t="s">
        <v>1191</v>
      </c>
      <c r="E411" s="15" t="str">
        <f>HYPERLINK("https://stat100.ameba.jp/tnk47/ratio20/illustrations/card/ill_76783_monsutaakashirejina03.jpg?201812-X-RELEASE-GP-insert-battleleague", "■")</f>
        <v>■</v>
      </c>
      <c r="F411" s="14" t="s">
        <v>1192</v>
      </c>
      <c r="G411" s="14">
        <v>66487</v>
      </c>
      <c r="H411" s="14">
        <v>91779</v>
      </c>
      <c r="I411" s="14">
        <v>21</v>
      </c>
      <c r="J411" s="14" t="s">
        <v>10</v>
      </c>
      <c r="K411" s="14" t="s">
        <v>1193</v>
      </c>
      <c r="L411" s="14" t="s">
        <v>1194</v>
      </c>
      <c r="M411" s="14" t="s">
        <v>9158</v>
      </c>
      <c r="N411" s="14" t="s">
        <v>9158</v>
      </c>
      <c r="O411" s="9" t="s">
        <v>2717</v>
      </c>
      <c r="P411" s="14" t="s">
        <v>13123</v>
      </c>
      <c r="Q411" s="14">
        <v>1</v>
      </c>
      <c r="R411" s="14"/>
    </row>
    <row r="412" spans="1:18">
      <c r="A412" s="9">
        <v>57113</v>
      </c>
      <c r="B412" s="14" t="s">
        <v>334</v>
      </c>
      <c r="C412" s="14" t="s">
        <v>2484</v>
      </c>
      <c r="D412" s="14" t="s">
        <v>2495</v>
      </c>
      <c r="E412" s="15" t="str">
        <f>HYPERLINK("https://stat100.ameba.jp/tnk47/ratio20/illustrations/card/ill_57113_furenchitosuto03.jpg?201812-X-RELEASE-GP-insert-battleleague", "■")</f>
        <v>■</v>
      </c>
      <c r="F412" s="14" t="s">
        <v>2496</v>
      </c>
      <c r="G412" s="14">
        <v>63547</v>
      </c>
      <c r="H412" s="14">
        <v>86668</v>
      </c>
      <c r="I412" s="14">
        <v>21</v>
      </c>
      <c r="J412" s="14" t="s">
        <v>104</v>
      </c>
      <c r="K412" s="14" t="s">
        <v>2497</v>
      </c>
      <c r="L412" s="14" t="s">
        <v>2498</v>
      </c>
      <c r="M412" s="14" t="s">
        <v>9158</v>
      </c>
      <c r="N412" s="14" t="s">
        <v>9158</v>
      </c>
      <c r="O412" s="14" t="s">
        <v>9158</v>
      </c>
      <c r="P412" s="14" t="s">
        <v>9158</v>
      </c>
      <c r="Q412" s="14" t="s">
        <v>9158</v>
      </c>
      <c r="R412" s="14"/>
    </row>
    <row r="413" spans="1:18">
      <c r="A413" s="9">
        <v>70373</v>
      </c>
      <c r="B413" s="14" t="s">
        <v>334</v>
      </c>
      <c r="C413" s="14" t="s">
        <v>209</v>
      </c>
      <c r="D413" s="14" t="s">
        <v>2616</v>
      </c>
      <c r="E413" s="15" t="str">
        <f>HYPERLINK("https://stat100.ameba.jp/tnk47/ratio20/illustrations/card/ill_70373_amanoyasukage03.jpg?201812-X-RELEASE-GP-insert-battleleague", "■")</f>
        <v>■</v>
      </c>
      <c r="F413" s="14" t="s">
        <v>2617</v>
      </c>
      <c r="G413" s="14">
        <v>108478</v>
      </c>
      <c r="H413" s="14">
        <v>108478</v>
      </c>
      <c r="I413" s="14">
        <v>21</v>
      </c>
      <c r="J413" s="14" t="s">
        <v>143</v>
      </c>
      <c r="K413" s="14" t="s">
        <v>2618</v>
      </c>
      <c r="L413" s="14" t="s">
        <v>2619</v>
      </c>
      <c r="M413" s="14" t="s">
        <v>9158</v>
      </c>
      <c r="N413" s="14" t="s">
        <v>9158</v>
      </c>
      <c r="O413" s="9" t="s">
        <v>4145</v>
      </c>
      <c r="P413" s="14" t="s">
        <v>4146</v>
      </c>
      <c r="Q413" s="14">
        <v>1</v>
      </c>
      <c r="R413" s="14"/>
    </row>
    <row r="414" spans="1:18">
      <c r="A414" s="9">
        <v>65633</v>
      </c>
      <c r="B414" s="14" t="s">
        <v>334</v>
      </c>
      <c r="C414" s="14" t="s">
        <v>203</v>
      </c>
      <c r="D414" s="14" t="s">
        <v>69</v>
      </c>
      <c r="E414" s="15" t="str">
        <f>HYPERLINK("https://stat100.ameba.jp/tnk47/ratio20/illustrations/card/ill_65633_shinnoakugoro03.jpg?201812-X-RELEASE-GP-insert-battleleague", "■")</f>
        <v>■</v>
      </c>
      <c r="F414" s="14" t="s">
        <v>70</v>
      </c>
      <c r="G414" s="14">
        <v>97925</v>
      </c>
      <c r="H414" s="14">
        <v>70942</v>
      </c>
      <c r="I414" s="14">
        <v>21</v>
      </c>
      <c r="J414" s="14" t="s">
        <v>73</v>
      </c>
      <c r="K414" s="14" t="s">
        <v>71</v>
      </c>
      <c r="L414" s="14" t="s">
        <v>72</v>
      </c>
      <c r="M414" s="14" t="s">
        <v>9158</v>
      </c>
      <c r="N414" s="14" t="s">
        <v>9158</v>
      </c>
      <c r="O414" s="14" t="s">
        <v>9158</v>
      </c>
      <c r="P414" s="14" t="s">
        <v>9158</v>
      </c>
      <c r="Q414" s="14" t="s">
        <v>9158</v>
      </c>
      <c r="R414" s="14"/>
    </row>
    <row r="415" spans="1:18">
      <c r="B415" s="14"/>
      <c r="C415" s="14"/>
      <c r="D415" s="14"/>
      <c r="F415" s="14"/>
      <c r="G415" s="14"/>
      <c r="H415" s="14"/>
      <c r="I415" s="14"/>
      <c r="J415" s="14"/>
      <c r="K415" s="14"/>
      <c r="L415" s="14"/>
      <c r="M415" s="14"/>
      <c r="N415" s="14"/>
      <c r="P415" s="14"/>
      <c r="Q415" s="14"/>
      <c r="R415" s="14"/>
    </row>
    <row r="416" spans="1:18">
      <c r="A416" s="14" t="s">
        <v>2608</v>
      </c>
      <c r="D416" s="14"/>
      <c r="F416" s="14"/>
      <c r="G416" s="14"/>
      <c r="H416" s="14"/>
      <c r="I416" s="14"/>
      <c r="J416" s="14"/>
      <c r="K416" s="14"/>
      <c r="L416" s="14"/>
      <c r="M416" s="14"/>
      <c r="N416" s="14"/>
      <c r="P416" s="14"/>
      <c r="Q416" s="14"/>
      <c r="R416" s="14"/>
    </row>
    <row r="417" spans="1:18">
      <c r="A417" s="14" t="s">
        <v>2609</v>
      </c>
      <c r="B417" s="14"/>
      <c r="C417" s="14"/>
      <c r="D417" s="14"/>
      <c r="F417" s="14"/>
      <c r="G417" s="14"/>
      <c r="H417" s="14"/>
      <c r="I417" s="14"/>
      <c r="J417" s="14"/>
      <c r="K417" s="14"/>
      <c r="L417" s="14"/>
      <c r="M417" s="14"/>
      <c r="N417" s="14"/>
      <c r="P417" s="14"/>
      <c r="Q417" s="14"/>
      <c r="R417" s="14"/>
    </row>
    <row r="418" spans="1:18">
      <c r="A418" s="9" t="s">
        <v>5843</v>
      </c>
      <c r="B418" s="14" t="s">
        <v>52</v>
      </c>
      <c r="C418" s="14" t="s">
        <v>202</v>
      </c>
      <c r="D418" s="14" t="s">
        <v>2126</v>
      </c>
      <c r="E418" s="15" t="str">
        <f>HYPERLINK("https://stat100.ameba.jp/tnk47/ratio20/illustrations/card/ill_77963_0_kurisumasudaisakusentakiyashahime03.jpg?201812-X-RELEASE-GP-insert-battleleague", "■")</f>
        <v>■</v>
      </c>
      <c r="F418" s="14" t="s">
        <v>2127</v>
      </c>
      <c r="G418" s="14">
        <v>221060</v>
      </c>
      <c r="H418" s="14">
        <v>199790</v>
      </c>
      <c r="I418" s="14">
        <v>18</v>
      </c>
      <c r="J418" s="14" t="s">
        <v>77</v>
      </c>
      <c r="K418" s="14" t="s">
        <v>2128</v>
      </c>
      <c r="L418" s="14" t="s">
        <v>2129</v>
      </c>
      <c r="M418" s="14" t="s">
        <v>9158</v>
      </c>
      <c r="N418" s="14" t="s">
        <v>9158</v>
      </c>
      <c r="O418" s="9" t="s">
        <v>3588</v>
      </c>
      <c r="P418" s="14" t="s">
        <v>3589</v>
      </c>
      <c r="Q418" s="14">
        <v>2</v>
      </c>
      <c r="R418" s="14"/>
    </row>
    <row r="419" spans="1:18">
      <c r="A419" s="9">
        <v>79203</v>
      </c>
      <c r="B419" s="14" t="s">
        <v>0</v>
      </c>
      <c r="C419" s="14" t="s">
        <v>202</v>
      </c>
      <c r="D419" s="14" t="s">
        <v>2620</v>
      </c>
      <c r="E419" s="15" t="str">
        <f>HYPERLINK("https://stat100.ameba.jp/tnk47/ratio20/illustrations/card/ill_79203_santaokokuredeisanta03.jpg?201812-X-RELEASE-GP-insert-battleleague", "■")</f>
        <v>■</v>
      </c>
      <c r="F419" s="14" t="s">
        <v>2621</v>
      </c>
      <c r="G419" s="14">
        <v>93346</v>
      </c>
      <c r="H419" s="14">
        <v>86784</v>
      </c>
      <c r="I419" s="14">
        <v>21</v>
      </c>
      <c r="J419" s="14" t="s">
        <v>38</v>
      </c>
      <c r="K419" s="14" t="s">
        <v>2622</v>
      </c>
      <c r="L419" s="14" t="s">
        <v>2623</v>
      </c>
      <c r="M419" s="14" t="s">
        <v>9158</v>
      </c>
      <c r="N419" s="14" t="s">
        <v>9158</v>
      </c>
      <c r="O419" s="17" t="s">
        <v>10025</v>
      </c>
      <c r="P419" s="14" t="s">
        <v>3701</v>
      </c>
      <c r="Q419" s="14">
        <v>1</v>
      </c>
      <c r="R419" s="14"/>
    </row>
    <row r="420" spans="1:18">
      <c r="A420" s="9">
        <v>46803</v>
      </c>
      <c r="B420" s="14" t="s">
        <v>0</v>
      </c>
      <c r="C420" s="14" t="s">
        <v>2610</v>
      </c>
      <c r="D420" s="14" t="s">
        <v>2624</v>
      </c>
      <c r="E420" s="15" t="str">
        <f>HYPERLINK("https://stat100.ameba.jp/tnk47/ratio20/illustrations/card/ill_46803_seiyadoroboumerii03.jpg?201812-X-RELEASE-GP-insert-battleleague", "■")</f>
        <v>■</v>
      </c>
      <c r="F420" s="14" t="s">
        <v>2625</v>
      </c>
      <c r="G420" s="14">
        <v>71672</v>
      </c>
      <c r="H420" s="14">
        <v>77088</v>
      </c>
      <c r="I420" s="14">
        <v>20</v>
      </c>
      <c r="J420" s="14" t="s">
        <v>77</v>
      </c>
      <c r="K420" s="14" t="s">
        <v>2626</v>
      </c>
      <c r="L420" s="14" t="s">
        <v>2627</v>
      </c>
      <c r="M420" s="14" t="s">
        <v>9158</v>
      </c>
      <c r="N420" s="14" t="s">
        <v>9158</v>
      </c>
      <c r="O420" s="14" t="s">
        <v>9158</v>
      </c>
      <c r="P420" s="14" t="s">
        <v>9158</v>
      </c>
      <c r="Q420" s="14" t="s">
        <v>9158</v>
      </c>
      <c r="R420" s="14"/>
    </row>
    <row r="421" spans="1:18">
      <c r="A421" s="9">
        <v>60453</v>
      </c>
      <c r="B421" s="14" t="s">
        <v>0</v>
      </c>
      <c r="C421" s="14" t="s">
        <v>2611</v>
      </c>
      <c r="D421" s="14" t="s">
        <v>2628</v>
      </c>
      <c r="E421" s="15" t="str">
        <f>HYPERLINK("https://stat100.ameba.jp/tnk47/ratio20/illustrations/card/ill_60453_kitanomachinonieve03.jpg?201812-X-RELEASE-GP-insert-battleleague", "■")</f>
        <v>■</v>
      </c>
      <c r="F421" s="14" t="s">
        <v>2629</v>
      </c>
      <c r="G421" s="14">
        <v>86608</v>
      </c>
      <c r="H421" s="14">
        <v>62552</v>
      </c>
      <c r="I421" s="14">
        <v>20</v>
      </c>
      <c r="J421" s="14" t="s">
        <v>38</v>
      </c>
      <c r="K421" s="14" t="s">
        <v>2630</v>
      </c>
      <c r="L421" s="14" t="s">
        <v>2631</v>
      </c>
      <c r="M421" s="14" t="s">
        <v>9158</v>
      </c>
      <c r="N421" s="14" t="s">
        <v>9158</v>
      </c>
      <c r="O421" s="14" t="s">
        <v>9158</v>
      </c>
      <c r="P421" s="14" t="s">
        <v>9158</v>
      </c>
      <c r="Q421" s="14" t="s">
        <v>9158</v>
      </c>
      <c r="R421" s="14" t="s">
        <v>12962</v>
      </c>
    </row>
    <row r="422" spans="1:18">
      <c r="A422" s="9">
        <v>59481</v>
      </c>
      <c r="B422" s="14" t="s">
        <v>15</v>
      </c>
      <c r="C422" s="14" t="s">
        <v>2611</v>
      </c>
      <c r="D422" s="14" t="s">
        <v>2632</v>
      </c>
      <c r="E422" s="15" t="str">
        <f>HYPERLINK("https://stat100.ameba.jp/tnk47/ratio20/illustrations/card/ill_59481_kakedashisantatokuronorudorufu01.jpg?201812-X-RELEASE-GP-insert-battleleague", "■")</f>
        <v>■</v>
      </c>
      <c r="F422" s="14" t="s">
        <v>2633</v>
      </c>
      <c r="G422" s="14">
        <v>38000</v>
      </c>
      <c r="H422" s="14">
        <v>34200</v>
      </c>
      <c r="I422" s="14">
        <v>20</v>
      </c>
      <c r="J422" s="14" t="s">
        <v>26</v>
      </c>
      <c r="K422" s="14" t="s">
        <v>2634</v>
      </c>
      <c r="L422" s="14" t="s">
        <v>2635</v>
      </c>
      <c r="M422" s="14" t="s">
        <v>9158</v>
      </c>
      <c r="N422" s="14" t="s">
        <v>9158</v>
      </c>
      <c r="O422" s="14" t="s">
        <v>9158</v>
      </c>
      <c r="P422" s="14" t="s">
        <v>9158</v>
      </c>
      <c r="Q422" s="14" t="s">
        <v>9158</v>
      </c>
      <c r="R422" s="14" t="s">
        <v>2612</v>
      </c>
    </row>
    <row r="423" spans="1:18">
      <c r="A423" s="9">
        <v>59491</v>
      </c>
      <c r="B423" s="14" t="s">
        <v>15</v>
      </c>
      <c r="C423" s="14" t="s">
        <v>2611</v>
      </c>
      <c r="D423" s="14" t="s">
        <v>2636</v>
      </c>
      <c r="E423" s="15" t="str">
        <f>HYPERLINK("https://stat100.ameba.jp/tnk47/ratio20/illustrations/card/ill_59491_minaraisantatoakanorudorufu01.jpg?201812-X-RELEASE-GP-insert-battleleague", "■")</f>
        <v>■</v>
      </c>
      <c r="F423" s="14" t="s">
        <v>2637</v>
      </c>
      <c r="G423" s="14">
        <v>38000</v>
      </c>
      <c r="H423" s="14">
        <v>34200</v>
      </c>
      <c r="I423" s="14">
        <v>20</v>
      </c>
      <c r="J423" s="14" t="s">
        <v>26</v>
      </c>
      <c r="K423" s="14" t="s">
        <v>2638</v>
      </c>
      <c r="L423" s="14" t="s">
        <v>2635</v>
      </c>
      <c r="M423" s="14" t="s">
        <v>9158</v>
      </c>
      <c r="N423" s="14" t="s">
        <v>9158</v>
      </c>
      <c r="O423" s="14" t="s">
        <v>9158</v>
      </c>
      <c r="P423" s="14" t="s">
        <v>9158</v>
      </c>
      <c r="Q423" s="14" t="s">
        <v>9158</v>
      </c>
      <c r="R423" s="14" t="s">
        <v>2612</v>
      </c>
    </row>
    <row r="424" spans="1:18">
      <c r="B424" s="14"/>
      <c r="C424" s="14"/>
      <c r="D424" s="14"/>
      <c r="F424" s="14"/>
      <c r="G424" s="14"/>
      <c r="H424" s="14"/>
      <c r="I424" s="14"/>
      <c r="J424" s="14"/>
      <c r="K424" s="14"/>
      <c r="L424" s="14"/>
      <c r="M424" s="14"/>
      <c r="N424" s="14"/>
      <c r="P424" s="14"/>
      <c r="Q424" s="14"/>
      <c r="R424" s="14"/>
    </row>
    <row r="425" spans="1:18">
      <c r="A425" s="14" t="s">
        <v>177</v>
      </c>
      <c r="D425" s="14"/>
      <c r="F425" s="14"/>
      <c r="G425" s="14"/>
      <c r="H425" s="14"/>
      <c r="I425" s="14"/>
      <c r="J425" s="14"/>
      <c r="K425" s="14"/>
      <c r="L425" s="14"/>
      <c r="M425" s="14"/>
      <c r="N425" s="14"/>
      <c r="P425" s="14"/>
      <c r="Q425" s="14"/>
      <c r="R425" s="14"/>
    </row>
    <row r="426" spans="1:18">
      <c r="A426" s="14" t="s">
        <v>2639</v>
      </c>
      <c r="B426" s="14"/>
      <c r="C426" s="14"/>
      <c r="D426" s="14"/>
      <c r="F426" s="14"/>
      <c r="G426" s="14"/>
      <c r="H426" s="14"/>
      <c r="I426" s="14"/>
      <c r="J426" s="14"/>
      <c r="K426" s="14"/>
      <c r="L426" s="14"/>
      <c r="M426" s="14"/>
      <c r="N426" s="14"/>
      <c r="P426" s="14"/>
      <c r="Q426" s="14"/>
      <c r="R426" s="14"/>
    </row>
    <row r="427" spans="1:18">
      <c r="A427" s="9" t="s">
        <v>5822</v>
      </c>
      <c r="B427" s="14" t="s">
        <v>52</v>
      </c>
      <c r="C427" s="14" t="s">
        <v>191</v>
      </c>
      <c r="D427" s="14" t="s">
        <v>898</v>
      </c>
      <c r="E427" s="15" t="str">
        <f>HYPERLINK("https://stat100.ameba.jp/tnk47/ratio20/illustrations/card/ill_71403_0_ohanamisanadayukimura03.jpg?201812-X-RELEASE-GP-insert-battleleague", "■")</f>
        <v>■</v>
      </c>
      <c r="F427" s="14" t="s">
        <v>899</v>
      </c>
      <c r="G427" s="14">
        <v>140016</v>
      </c>
      <c r="H427" s="14">
        <v>130194</v>
      </c>
      <c r="I427" s="14">
        <v>15</v>
      </c>
      <c r="J427" s="14" t="s">
        <v>143</v>
      </c>
      <c r="K427" s="14" t="s">
        <v>900</v>
      </c>
      <c r="L427" s="14" t="s">
        <v>901</v>
      </c>
      <c r="M427" s="14" t="s">
        <v>9158</v>
      </c>
      <c r="N427" s="14" t="s">
        <v>9158</v>
      </c>
      <c r="O427" s="17" t="s">
        <v>10060</v>
      </c>
      <c r="P427" s="14" t="s">
        <v>3418</v>
      </c>
      <c r="Q427" s="14">
        <v>2</v>
      </c>
      <c r="R427" s="14"/>
    </row>
    <row r="428" spans="1:18">
      <c r="A428" s="9" t="s">
        <v>5618</v>
      </c>
      <c r="B428" s="14" t="s">
        <v>52</v>
      </c>
      <c r="C428" s="14" t="s">
        <v>200</v>
      </c>
      <c r="D428" s="14" t="s">
        <v>83</v>
      </c>
      <c r="E428" s="15" t="str">
        <f>HYPERLINK("https://stat100.ameba.jp/tnk47/ratio20/illustrations/card/ill_63173_0_minazukikonakaiteruko03.jpg?201812-X-RELEASE-GP-insert-battleleague", "■")</f>
        <v>■</v>
      </c>
      <c r="F428" s="14" t="s">
        <v>1188</v>
      </c>
      <c r="G428" s="14">
        <v>130194</v>
      </c>
      <c r="H428" s="14">
        <v>140016</v>
      </c>
      <c r="I428" s="14">
        <v>15</v>
      </c>
      <c r="J428" s="14" t="s">
        <v>143</v>
      </c>
      <c r="K428" s="14" t="s">
        <v>1189</v>
      </c>
      <c r="L428" s="14" t="s">
        <v>1190</v>
      </c>
      <c r="M428" s="14" t="s">
        <v>9158</v>
      </c>
      <c r="N428" s="14" t="s">
        <v>9158</v>
      </c>
      <c r="O428" s="9" t="s">
        <v>3328</v>
      </c>
      <c r="P428" s="14" t="s">
        <v>3329</v>
      </c>
      <c r="Q428" s="14">
        <v>1</v>
      </c>
      <c r="R428" s="14"/>
    </row>
    <row r="429" spans="1:18">
      <c r="A429" s="9" t="s">
        <v>5902</v>
      </c>
      <c r="B429" s="14" t="s">
        <v>52</v>
      </c>
      <c r="C429" s="14" t="s">
        <v>206</v>
      </c>
      <c r="D429" s="14" t="s">
        <v>905</v>
      </c>
      <c r="E429" s="15" t="str">
        <f>HYPERLINK("https://stat100.ameba.jp/tnk47/ratio20/illustrations/card/ill_40343_0_heshikirihasebekurodakambe03.jpg?201812-X-RELEASE-GP-insert-battleleague", "■")</f>
        <v>■</v>
      </c>
      <c r="F429" s="14" t="s">
        <v>906</v>
      </c>
      <c r="G429" s="14">
        <v>87780</v>
      </c>
      <c r="H429" s="14">
        <v>82212</v>
      </c>
      <c r="I429" s="14">
        <v>15</v>
      </c>
      <c r="J429" s="14" t="s">
        <v>16</v>
      </c>
      <c r="K429" s="14" t="s">
        <v>907</v>
      </c>
      <c r="L429" s="14" t="s">
        <v>908</v>
      </c>
      <c r="M429" s="14" t="s">
        <v>9158</v>
      </c>
      <c r="N429" s="14" t="s">
        <v>9158</v>
      </c>
      <c r="O429" s="14" t="s">
        <v>9158</v>
      </c>
      <c r="P429" s="14" t="s">
        <v>9158</v>
      </c>
      <c r="Q429" s="14" t="s">
        <v>9158</v>
      </c>
      <c r="R429" s="14"/>
    </row>
    <row r="430" spans="1:18">
      <c r="A430" s="9">
        <v>76923</v>
      </c>
      <c r="B430" s="14" t="s">
        <v>0</v>
      </c>
      <c r="C430" s="14" t="s">
        <v>206</v>
      </c>
      <c r="D430" s="14" t="s">
        <v>2640</v>
      </c>
      <c r="E430" s="15" t="str">
        <f>HYPERLINK("https://stat100.ameba.jp/tnk47/ratio20/illustrations/card/ill_76923_amamorikuzuha03.jpg?201812-X-RELEASE-GP-insert-battleleague", "■")</f>
        <v>■</v>
      </c>
      <c r="F430" s="14" t="s">
        <v>2641</v>
      </c>
      <c r="G430" s="14">
        <v>117332</v>
      </c>
      <c r="H430" s="14">
        <v>109104</v>
      </c>
      <c r="I430" s="14">
        <v>22</v>
      </c>
      <c r="J430" s="14" t="s">
        <v>16</v>
      </c>
      <c r="K430" s="14" t="s">
        <v>2642</v>
      </c>
      <c r="L430" s="14" t="s">
        <v>2462</v>
      </c>
      <c r="M430" s="14" t="s">
        <v>9158</v>
      </c>
      <c r="N430" s="14" t="s">
        <v>9158</v>
      </c>
      <c r="O430" s="9" t="s">
        <v>3374</v>
      </c>
      <c r="P430" s="14" t="s">
        <v>3375</v>
      </c>
      <c r="Q430" s="14">
        <v>1</v>
      </c>
      <c r="R430" s="14"/>
    </row>
    <row r="431" spans="1:18">
      <c r="A431" s="9">
        <v>77713</v>
      </c>
      <c r="B431" s="14" t="s">
        <v>0</v>
      </c>
      <c r="C431" s="14" t="s">
        <v>165</v>
      </c>
      <c r="D431" s="14" t="s">
        <v>2643</v>
      </c>
      <c r="E431" s="15" t="str">
        <f>HYPERLINK("https://stat100.ameba.jp/tnk47/ratio20/illustrations/card/ill_77713_himeragiyukikaze03.jpg?201812-X-RELEASE-GP-insert-battleleague", "■")</f>
        <v>■</v>
      </c>
      <c r="F431" s="14" t="s">
        <v>2643</v>
      </c>
      <c r="G431" s="14">
        <v>81888</v>
      </c>
      <c r="H431" s="14">
        <v>76152</v>
      </c>
      <c r="I431" s="14">
        <v>22</v>
      </c>
      <c r="J431" s="14" t="s">
        <v>10</v>
      </c>
      <c r="K431" s="14" t="s">
        <v>2644</v>
      </c>
      <c r="L431" s="14" t="s">
        <v>2645</v>
      </c>
      <c r="M431" s="14" t="s">
        <v>9158</v>
      </c>
      <c r="N431" s="14" t="s">
        <v>9158</v>
      </c>
      <c r="O431" s="9" t="s">
        <v>3414</v>
      </c>
      <c r="P431" s="14" t="s">
        <v>13122</v>
      </c>
      <c r="Q431" s="14">
        <v>1</v>
      </c>
      <c r="R431" s="14"/>
    </row>
    <row r="432" spans="1:18">
      <c r="A432" s="9">
        <v>73593</v>
      </c>
      <c r="B432" s="14" t="s">
        <v>0</v>
      </c>
      <c r="C432" s="14" t="s">
        <v>191</v>
      </c>
      <c r="D432" s="14" t="s">
        <v>2646</v>
      </c>
      <c r="E432" s="15" t="str">
        <f>HYPERLINK("https://stat100.ameba.jp/tnk47/ratio20/illustrations/card/ill_73593_shingaekasuka03.jpg?201812-X-RELEASE-GP-insert-battleleague", "■")</f>
        <v>■</v>
      </c>
      <c r="F432" s="14" t="s">
        <v>2647</v>
      </c>
      <c r="G432" s="14">
        <v>93500</v>
      </c>
      <c r="H432" s="14">
        <v>86934</v>
      </c>
      <c r="I432" s="14">
        <v>22</v>
      </c>
      <c r="J432" s="14" t="s">
        <v>77</v>
      </c>
      <c r="K432" s="14" t="s">
        <v>2648</v>
      </c>
      <c r="L432" s="14" t="s">
        <v>2649</v>
      </c>
      <c r="M432" s="14" t="s">
        <v>9158</v>
      </c>
      <c r="N432" s="14" t="s">
        <v>9158</v>
      </c>
      <c r="O432" s="14" t="s">
        <v>9158</v>
      </c>
      <c r="P432" s="14" t="s">
        <v>9158</v>
      </c>
      <c r="Q432" s="14" t="s">
        <v>9158</v>
      </c>
      <c r="R432" s="14"/>
    </row>
    <row r="433" spans="1:19">
      <c r="A433" s="9">
        <v>57723</v>
      </c>
      <c r="B433" s="14" t="s">
        <v>15</v>
      </c>
      <c r="C433" s="14" t="s">
        <v>206</v>
      </c>
      <c r="D433" s="14" t="s">
        <v>2188</v>
      </c>
      <c r="E433" s="15" t="str">
        <f>HYPERLINK("https://stat100.ameba.jp/tnk47/ratio20/illustrations/card/ill_57723_shogatsunisenjunanatamagusukuseiju03.jpg?201812-X-RELEASE-GP-insert-battleleague", "■")</f>
        <v>■</v>
      </c>
      <c r="F433" s="14" t="s">
        <v>2189</v>
      </c>
      <c r="G433" s="14">
        <v>62244</v>
      </c>
      <c r="H433" s="14">
        <v>56456</v>
      </c>
      <c r="I433" s="14">
        <v>21</v>
      </c>
      <c r="J433" s="14" t="s">
        <v>16</v>
      </c>
      <c r="K433" s="14" t="s">
        <v>2190</v>
      </c>
      <c r="L433" s="14" t="s">
        <v>2191</v>
      </c>
      <c r="M433" s="14" t="s">
        <v>9158</v>
      </c>
      <c r="N433" s="14" t="s">
        <v>9158</v>
      </c>
      <c r="O433" s="14" t="s">
        <v>9158</v>
      </c>
      <c r="P433" s="14" t="s">
        <v>9158</v>
      </c>
      <c r="Q433" s="14" t="s">
        <v>9158</v>
      </c>
      <c r="R433" s="14"/>
    </row>
    <row r="434" spans="1:19">
      <c r="A434" s="9">
        <v>58823</v>
      </c>
      <c r="B434" s="14" t="s">
        <v>15</v>
      </c>
      <c r="C434" s="14" t="s">
        <v>185</v>
      </c>
      <c r="D434" s="14" t="s">
        <v>2192</v>
      </c>
      <c r="E434" s="15" t="str">
        <f>HYPERLINK("https://stat100.ameba.jp/tnk47/ratio20/illustrations/card/ill_58823_setsubumpanikkurepunkamui03.jpg?201812-X-RELEASE-GP-insert-battleleague", "■")</f>
        <v>■</v>
      </c>
      <c r="F434" s="14" t="s">
        <v>2193</v>
      </c>
      <c r="G434" s="14">
        <v>62244</v>
      </c>
      <c r="H434" s="14">
        <v>56456</v>
      </c>
      <c r="I434" s="14">
        <v>21</v>
      </c>
      <c r="J434" s="14" t="s">
        <v>44</v>
      </c>
      <c r="K434" s="14" t="s">
        <v>2194</v>
      </c>
      <c r="L434" s="14" t="s">
        <v>2195</v>
      </c>
      <c r="M434" s="14" t="s">
        <v>9158</v>
      </c>
      <c r="N434" s="14" t="s">
        <v>9158</v>
      </c>
      <c r="O434" s="14" t="s">
        <v>9158</v>
      </c>
      <c r="P434" s="14" t="s">
        <v>9158</v>
      </c>
      <c r="Q434" s="14" t="s">
        <v>9158</v>
      </c>
      <c r="R434" s="14"/>
    </row>
    <row r="435" spans="1:19">
      <c r="A435" s="9">
        <v>61873</v>
      </c>
      <c r="B435" s="14" t="s">
        <v>15</v>
      </c>
      <c r="C435" s="14" t="s">
        <v>165</v>
      </c>
      <c r="D435" s="14" t="s">
        <v>2196</v>
      </c>
      <c r="E435" s="15" t="str">
        <f>HYPERLINK("https://stat100.ameba.jp/tnk47/ratio20/illustrations/card/ill_61873_onikirishunuregamidoji03.jpg?201812-X-RELEASE-GP-insert-battleleague", "■")</f>
        <v>■</v>
      </c>
      <c r="F435" s="14" t="s">
        <v>2197</v>
      </c>
      <c r="G435" s="14">
        <v>62244</v>
      </c>
      <c r="H435" s="14">
        <v>56456</v>
      </c>
      <c r="I435" s="14">
        <v>21</v>
      </c>
      <c r="J435" s="14" t="s">
        <v>73</v>
      </c>
      <c r="K435" s="14" t="s">
        <v>2198</v>
      </c>
      <c r="L435" s="14" t="s">
        <v>2199</v>
      </c>
      <c r="M435" s="14" t="s">
        <v>9158</v>
      </c>
      <c r="N435" s="14" t="s">
        <v>9158</v>
      </c>
      <c r="O435" s="14" t="s">
        <v>9158</v>
      </c>
      <c r="P435" s="14" t="s">
        <v>9158</v>
      </c>
      <c r="Q435" s="14" t="s">
        <v>9158</v>
      </c>
      <c r="R435" s="14"/>
    </row>
    <row r="436" spans="1:19">
      <c r="B436" s="14"/>
      <c r="C436" s="14"/>
      <c r="D436" s="14"/>
      <c r="F436" s="14"/>
      <c r="G436" s="14"/>
      <c r="H436" s="14"/>
      <c r="I436" s="14"/>
      <c r="J436" s="14"/>
      <c r="K436" s="14"/>
      <c r="L436" s="14"/>
      <c r="M436" s="14"/>
      <c r="N436" s="14"/>
      <c r="P436" s="14"/>
      <c r="Q436" s="14"/>
      <c r="R436" s="14"/>
    </row>
    <row r="437" spans="1:19">
      <c r="A437" s="14" t="s">
        <v>208</v>
      </c>
      <c r="D437" s="14"/>
      <c r="F437" s="14"/>
      <c r="G437" s="14"/>
      <c r="H437" s="14"/>
      <c r="I437" s="14"/>
      <c r="J437" s="14"/>
      <c r="K437" s="14"/>
      <c r="L437" s="14"/>
      <c r="M437" s="14"/>
      <c r="N437" s="14"/>
      <c r="P437" s="14"/>
      <c r="Q437" s="14"/>
      <c r="R437" s="14"/>
    </row>
    <row r="438" spans="1:19">
      <c r="A438" s="14" t="s">
        <v>2650</v>
      </c>
      <c r="B438" s="14"/>
      <c r="C438" s="14"/>
      <c r="D438" s="14"/>
      <c r="F438" s="14"/>
      <c r="G438" s="14"/>
      <c r="H438" s="14"/>
      <c r="I438" s="14"/>
      <c r="J438" s="14"/>
      <c r="K438" s="14"/>
      <c r="L438" s="14"/>
      <c r="M438" s="14"/>
      <c r="N438" s="14"/>
      <c r="P438" s="14"/>
      <c r="Q438" s="14"/>
      <c r="R438" s="14"/>
    </row>
    <row r="439" spans="1:19">
      <c r="A439" s="9" t="s">
        <v>5617</v>
      </c>
      <c r="B439" s="14" t="s">
        <v>52</v>
      </c>
      <c r="C439" s="14" t="s">
        <v>165</v>
      </c>
      <c r="D439" s="14" t="s">
        <v>982</v>
      </c>
      <c r="E439" s="15" t="str">
        <f>HYPERLINK("https://stat100.ameba.jp/tnk47/ratio20/illustrations/card/ill_59673_0_oheyashutendoji03.jpg?201812-X-RELEASE-GP-insert-battleleague", "■")</f>
        <v>■</v>
      </c>
      <c r="F439" s="14" t="s">
        <v>983</v>
      </c>
      <c r="G439" s="14">
        <v>105545</v>
      </c>
      <c r="H439" s="14">
        <v>113525</v>
      </c>
      <c r="I439" s="14">
        <v>15</v>
      </c>
      <c r="J439" s="14" t="s">
        <v>73</v>
      </c>
      <c r="K439" s="14" t="s">
        <v>984</v>
      </c>
      <c r="L439" s="14" t="s">
        <v>985</v>
      </c>
      <c r="M439" s="14" t="s">
        <v>9158</v>
      </c>
      <c r="N439" s="14" t="s">
        <v>9158</v>
      </c>
      <c r="O439" s="17" t="s">
        <v>10058</v>
      </c>
      <c r="P439" s="14" t="s">
        <v>3022</v>
      </c>
      <c r="Q439" s="14">
        <v>1</v>
      </c>
      <c r="R439" s="14"/>
    </row>
    <row r="440" spans="1:19">
      <c r="A440" s="9" t="s">
        <v>5614</v>
      </c>
      <c r="B440" s="14" t="s">
        <v>52</v>
      </c>
      <c r="C440" s="14" t="s">
        <v>205</v>
      </c>
      <c r="D440" s="14" t="s">
        <v>947</v>
      </c>
      <c r="E440" s="15" t="str">
        <f>HYPERLINK("https://stat100.ameba.jp/tnk47/ratio20/illustrations/card/ill_56223_0_onsempanikkugohime03.jpg?201812-X-RELEASE-GP-insert-battleleague", "■")</f>
        <v>■</v>
      </c>
      <c r="F440" s="14" t="s">
        <v>948</v>
      </c>
      <c r="G440" s="14">
        <v>83712</v>
      </c>
      <c r="H440" s="14">
        <v>94236</v>
      </c>
      <c r="I440" s="14">
        <v>15</v>
      </c>
      <c r="J440" s="14" t="s">
        <v>77</v>
      </c>
      <c r="K440" s="14" t="s">
        <v>949</v>
      </c>
      <c r="L440" s="14" t="s">
        <v>950</v>
      </c>
      <c r="M440" s="14" t="s">
        <v>9158</v>
      </c>
      <c r="N440" s="14" t="s">
        <v>9158</v>
      </c>
      <c r="O440" s="9" t="s">
        <v>3021</v>
      </c>
      <c r="P440" s="14" t="s">
        <v>2890</v>
      </c>
      <c r="Q440" s="14">
        <v>1</v>
      </c>
      <c r="R440" s="14"/>
    </row>
    <row r="441" spans="1:19">
      <c r="A441" s="9" t="s">
        <v>5616</v>
      </c>
      <c r="B441" s="14" t="s">
        <v>52</v>
      </c>
      <c r="C441" s="14" t="s">
        <v>185</v>
      </c>
      <c r="D441" s="14" t="s">
        <v>54</v>
      </c>
      <c r="E441" s="15" t="str">
        <f>HYPERLINK("https://stat100.ameba.jp/tnk47/ratio20/illustrations/card/ill_44253_0_dokuganryudatemasamune03.jpg?201812-X-RELEASE-GP-insert-battleleague", "■")</f>
        <v>■</v>
      </c>
      <c r="F441" s="14" t="s">
        <v>1181</v>
      </c>
      <c r="G441" s="14">
        <v>82212</v>
      </c>
      <c r="H441" s="14">
        <v>87780</v>
      </c>
      <c r="I441" s="14">
        <v>15</v>
      </c>
      <c r="J441" s="14" t="s">
        <v>143</v>
      </c>
      <c r="K441" s="14" t="s">
        <v>1182</v>
      </c>
      <c r="L441" s="14" t="s">
        <v>1183</v>
      </c>
      <c r="M441" s="14" t="s">
        <v>9158</v>
      </c>
      <c r="N441" s="14" t="s">
        <v>9158</v>
      </c>
      <c r="O441" s="14" t="s">
        <v>9158</v>
      </c>
      <c r="P441" s="14" t="s">
        <v>9158</v>
      </c>
      <c r="Q441" s="14" t="s">
        <v>9158</v>
      </c>
      <c r="R441" s="14"/>
    </row>
    <row r="442" spans="1:19">
      <c r="A442" s="9">
        <v>47593</v>
      </c>
      <c r="B442" s="14" t="s">
        <v>0</v>
      </c>
      <c r="C442" s="14" t="s">
        <v>2651</v>
      </c>
      <c r="D442" s="14" t="s">
        <v>2652</v>
      </c>
      <c r="E442" s="15" t="str">
        <f>HYPERLINK("https://stat100.ameba.jp/tnk47/ratio20/illustrations/card/ill_47593_kyupiddoshichiseiken03.jpg?201812-X-RELEASE-GP-insert-battleleague", "■")</f>
        <v>■</v>
      </c>
      <c r="F442" s="14" t="s">
        <v>2653</v>
      </c>
      <c r="G442" s="14">
        <v>78838</v>
      </c>
      <c r="H442" s="14">
        <v>84796</v>
      </c>
      <c r="I442" s="14">
        <v>22</v>
      </c>
      <c r="J442" s="14" t="s">
        <v>44</v>
      </c>
      <c r="K442" s="14" t="s">
        <v>2654</v>
      </c>
      <c r="L442" s="14" t="s">
        <v>2655</v>
      </c>
      <c r="M442" s="14" t="s">
        <v>9158</v>
      </c>
      <c r="N442" s="14" t="s">
        <v>9158</v>
      </c>
      <c r="O442" s="14" t="s">
        <v>9158</v>
      </c>
      <c r="P442" s="14" t="s">
        <v>9158</v>
      </c>
      <c r="Q442" s="14" t="s">
        <v>9158</v>
      </c>
      <c r="S442" s="14" t="s">
        <v>12930</v>
      </c>
    </row>
    <row r="443" spans="1:19">
      <c r="A443" s="9">
        <v>56633</v>
      </c>
      <c r="B443" s="14" t="s">
        <v>0</v>
      </c>
      <c r="C443" s="14" t="s">
        <v>2484</v>
      </c>
      <c r="D443" s="14" t="s">
        <v>2656</v>
      </c>
      <c r="E443" s="15" t="str">
        <f>HYPERLINK("https://stat100.ameba.jp/tnk47/ratio20/illustrations/card/ill_56633_irumineshonichijomikako03.jpg?201812-X-RELEASE-GP-insert-battleleague", "■")</f>
        <v>■</v>
      </c>
      <c r="F443" s="14" t="s">
        <v>2657</v>
      </c>
      <c r="G443" s="14">
        <v>84796</v>
      </c>
      <c r="H443" s="14">
        <v>78838</v>
      </c>
      <c r="I443" s="14">
        <v>22</v>
      </c>
      <c r="J443" s="14" t="s">
        <v>10</v>
      </c>
      <c r="K443" s="14" t="s">
        <v>2658</v>
      </c>
      <c r="L443" s="14" t="s">
        <v>2659</v>
      </c>
      <c r="M443" s="14" t="s">
        <v>9158</v>
      </c>
      <c r="N443" s="14" t="s">
        <v>9158</v>
      </c>
      <c r="O443" s="14" t="s">
        <v>9158</v>
      </c>
      <c r="P443" s="14" t="s">
        <v>9158</v>
      </c>
      <c r="Q443" s="14" t="s">
        <v>9158</v>
      </c>
      <c r="S443" s="14" t="s">
        <v>11740</v>
      </c>
    </row>
    <row r="444" spans="1:19">
      <c r="A444" s="9">
        <v>45513</v>
      </c>
      <c r="B444" s="14" t="s">
        <v>0</v>
      </c>
      <c r="C444" s="14" t="s">
        <v>2651</v>
      </c>
      <c r="D444" s="14" t="s">
        <v>2660</v>
      </c>
      <c r="E444" s="15" t="str">
        <f>HYPERLINK("https://stat100.ameba.jp/tnk47/ratio20/illustrations/card/ill_45513_yagamihime03.jpg?201812-X-RELEASE-GP-insert-battleleague", "■")</f>
        <v>■</v>
      </c>
      <c r="F444" s="14" t="s">
        <v>2661</v>
      </c>
      <c r="G444" s="14">
        <v>89002</v>
      </c>
      <c r="H444" s="14">
        <v>81038</v>
      </c>
      <c r="I444" s="14">
        <v>22</v>
      </c>
      <c r="J444" s="14" t="s">
        <v>38</v>
      </c>
      <c r="K444" s="14" t="s">
        <v>2662</v>
      </c>
      <c r="L444" s="14" t="s">
        <v>2663</v>
      </c>
      <c r="M444" s="14" t="s">
        <v>9158</v>
      </c>
      <c r="N444" s="14" t="s">
        <v>9158</v>
      </c>
      <c r="O444" s="14" t="s">
        <v>9158</v>
      </c>
      <c r="P444" s="14" t="s">
        <v>9158</v>
      </c>
      <c r="Q444" s="14" t="s">
        <v>9158</v>
      </c>
      <c r="S444" s="14" t="s">
        <v>12930</v>
      </c>
    </row>
    <row r="445" spans="1:19">
      <c r="A445" s="9">
        <v>55793</v>
      </c>
      <c r="B445" s="14" t="s">
        <v>15</v>
      </c>
      <c r="C445" s="14" t="s">
        <v>206</v>
      </c>
      <c r="D445" s="14" t="s">
        <v>2363</v>
      </c>
      <c r="E445" s="15" t="str">
        <f>HYPERLINK("https://stat100.ameba.jp/tnk47/ratio20/illustrations/card/ill_55793_nahaotsunahikimatsuri03.jpg?201812-X-RELEASE-GP-insert-battleleague", "■")</f>
        <v>■</v>
      </c>
      <c r="F445" s="14" t="s">
        <v>2364</v>
      </c>
      <c r="G445" s="14">
        <v>65208</v>
      </c>
      <c r="H445" s="14">
        <v>59144</v>
      </c>
      <c r="I445" s="14">
        <v>22</v>
      </c>
      <c r="J445" s="14" t="s">
        <v>38</v>
      </c>
      <c r="K445" s="14" t="s">
        <v>2365</v>
      </c>
      <c r="L445" s="14" t="s">
        <v>40</v>
      </c>
      <c r="M445" s="14" t="s">
        <v>9158</v>
      </c>
      <c r="N445" s="14" t="s">
        <v>9158</v>
      </c>
      <c r="O445" s="14" t="s">
        <v>9158</v>
      </c>
      <c r="P445" s="14" t="s">
        <v>9158</v>
      </c>
      <c r="Q445" s="14" t="s">
        <v>9158</v>
      </c>
      <c r="S445" s="14" t="s">
        <v>11736</v>
      </c>
    </row>
    <row r="446" spans="1:19">
      <c r="A446" s="9">
        <v>33353</v>
      </c>
      <c r="B446" s="14" t="s">
        <v>15</v>
      </c>
      <c r="C446" s="14" t="s">
        <v>206</v>
      </c>
      <c r="D446" s="14" t="s">
        <v>2366</v>
      </c>
      <c r="E446" s="15" t="str">
        <f>HYPERLINK("https://stat100.ameba.jp/tnk47/ratio20/illustrations/card/ill_33353_akakanaja03.jpg?201812-X-RELEASE-GP-insert-battleleague", "■")</f>
        <v>■</v>
      </c>
      <c r="F446" s="14" t="s">
        <v>2367</v>
      </c>
      <c r="G446" s="14">
        <v>60236</v>
      </c>
      <c r="H446" s="14">
        <v>53116</v>
      </c>
      <c r="I446" s="14">
        <v>22</v>
      </c>
      <c r="J446" s="14" t="s">
        <v>73</v>
      </c>
      <c r="K446" s="14" t="s">
        <v>2368</v>
      </c>
      <c r="L446" s="14" t="s">
        <v>2369</v>
      </c>
      <c r="M446" s="14" t="s">
        <v>9158</v>
      </c>
      <c r="N446" s="14" t="s">
        <v>9158</v>
      </c>
      <c r="O446" s="14" t="s">
        <v>9158</v>
      </c>
      <c r="P446" s="14" t="s">
        <v>9158</v>
      </c>
      <c r="Q446" s="14" t="s">
        <v>9158</v>
      </c>
      <c r="S446" s="14" t="s">
        <v>12930</v>
      </c>
    </row>
    <row r="447" spans="1:19">
      <c r="A447" s="9">
        <v>55983</v>
      </c>
      <c r="B447" s="14" t="s">
        <v>15</v>
      </c>
      <c r="C447" s="14" t="s">
        <v>206</v>
      </c>
      <c r="D447" s="14" t="s">
        <v>2370</v>
      </c>
      <c r="E447" s="15" t="str">
        <f>HYPERLINK("https://stat100.ameba.jp/tnk47/ratio20/illustrations/card/ill_55983_koregusu03.jpg?201812-X-RELEASE-GP-insert-battleleague", "■")</f>
        <v>■</v>
      </c>
      <c r="F447" s="14" t="s">
        <v>2371</v>
      </c>
      <c r="G447" s="14">
        <v>65208</v>
      </c>
      <c r="H447" s="14">
        <v>59144</v>
      </c>
      <c r="I447" s="14">
        <v>22</v>
      </c>
      <c r="J447" s="14" t="s">
        <v>104</v>
      </c>
      <c r="K447" s="14" t="s">
        <v>2372</v>
      </c>
      <c r="L447" s="14" t="s">
        <v>2373</v>
      </c>
      <c r="M447" s="14" t="s">
        <v>9158</v>
      </c>
      <c r="N447" s="14" t="s">
        <v>9158</v>
      </c>
      <c r="O447" s="14" t="s">
        <v>9158</v>
      </c>
      <c r="P447" s="14" t="s">
        <v>9158</v>
      </c>
      <c r="Q447" s="14" t="s">
        <v>9158</v>
      </c>
      <c r="S447" s="14" t="s">
        <v>12930</v>
      </c>
    </row>
    <row r="448" spans="1:19">
      <c r="B448" s="14"/>
      <c r="C448" s="14"/>
      <c r="D448" s="14"/>
      <c r="F448" s="14"/>
      <c r="G448" s="14"/>
      <c r="H448" s="14"/>
      <c r="I448" s="14"/>
      <c r="J448" s="14"/>
      <c r="K448" s="14"/>
      <c r="L448" s="14"/>
      <c r="M448" s="14"/>
      <c r="N448" s="14"/>
      <c r="P448" s="14"/>
      <c r="Q448" s="14"/>
      <c r="R448" s="14"/>
    </row>
    <row r="449" spans="1:18">
      <c r="A449" s="14" t="s">
        <v>2664</v>
      </c>
      <c r="D449" s="14"/>
      <c r="F449" s="14"/>
      <c r="G449" s="14"/>
      <c r="H449" s="14"/>
      <c r="I449" s="14"/>
      <c r="J449" s="14"/>
      <c r="K449" s="14"/>
      <c r="L449" s="14"/>
      <c r="M449" s="14"/>
      <c r="N449" s="14"/>
      <c r="P449" s="14"/>
      <c r="Q449" s="14"/>
      <c r="R449" s="14"/>
    </row>
    <row r="450" spans="1:18">
      <c r="A450" s="14" t="s">
        <v>9426</v>
      </c>
      <c r="D450" s="14"/>
      <c r="F450" s="14"/>
      <c r="G450" s="14"/>
      <c r="H450" s="14"/>
      <c r="I450" s="14"/>
      <c r="J450" s="14"/>
      <c r="K450" s="14"/>
      <c r="L450" s="14"/>
      <c r="M450" s="14"/>
      <c r="N450" s="14"/>
      <c r="P450" s="14"/>
      <c r="Q450" s="14"/>
      <c r="R450" s="14"/>
    </row>
    <row r="451" spans="1:18">
      <c r="A451" s="14" t="s">
        <v>9427</v>
      </c>
      <c r="B451" s="14"/>
      <c r="C451" s="14"/>
      <c r="D451" s="14"/>
      <c r="F451" s="14"/>
      <c r="G451" s="14"/>
      <c r="H451" s="14"/>
      <c r="I451" s="14"/>
      <c r="J451" s="14"/>
      <c r="K451" s="14"/>
      <c r="L451" s="14"/>
      <c r="M451" s="14"/>
      <c r="N451" s="14"/>
      <c r="P451" s="14"/>
      <c r="Q451" s="14"/>
      <c r="R451" s="14"/>
    </row>
    <row r="452" spans="1:18">
      <c r="A452" s="9" t="s">
        <v>5843</v>
      </c>
      <c r="B452" s="14" t="s">
        <v>52</v>
      </c>
      <c r="C452" s="14" t="s">
        <v>202</v>
      </c>
      <c r="D452" s="14" t="s">
        <v>2126</v>
      </c>
      <c r="E452" s="15" t="str">
        <f>HYPERLINK("https://stat100.ameba.jp/tnk47/ratio20/illustrations/card/ill_77963_0_kurisumasudaisakusentakiyashahime03.jpg?201812-X-RELEASE-GP-insert-battleleague", "■")</f>
        <v>■</v>
      </c>
      <c r="F452" s="14" t="s">
        <v>2127</v>
      </c>
      <c r="G452" s="14">
        <v>184216</v>
      </c>
      <c r="H452" s="14">
        <v>166491</v>
      </c>
      <c r="I452" s="14">
        <v>15</v>
      </c>
      <c r="J452" s="14" t="s">
        <v>77</v>
      </c>
      <c r="K452" s="14" t="s">
        <v>2128</v>
      </c>
      <c r="L452" s="14" t="s">
        <v>2129</v>
      </c>
      <c r="M452" s="14" t="s">
        <v>9158</v>
      </c>
      <c r="N452" s="14" t="s">
        <v>9158</v>
      </c>
      <c r="O452" s="9" t="s">
        <v>3588</v>
      </c>
      <c r="P452" s="14" t="s">
        <v>3589</v>
      </c>
      <c r="Q452" s="14">
        <v>2</v>
      </c>
      <c r="R452" s="14"/>
    </row>
    <row r="453" spans="1:18">
      <c r="A453" s="9">
        <v>78393</v>
      </c>
      <c r="B453" s="14" t="s">
        <v>0</v>
      </c>
      <c r="C453" s="14" t="s">
        <v>200</v>
      </c>
      <c r="D453" s="14" t="s">
        <v>2665</v>
      </c>
      <c r="E453" s="15" t="str">
        <f>HYPERLINK("https://stat100.ameba.jp/tnk47/ratio20/illustrations/card/ill_78393_nemmatsuosojichibaeijiro03.jpg?201812-X-RELEASE-GP-insert-battleleague", "■")</f>
        <v>■</v>
      </c>
      <c r="F453" s="14" t="s">
        <v>2666</v>
      </c>
      <c r="G453" s="14">
        <v>124839</v>
      </c>
      <c r="H453" s="14">
        <v>116076</v>
      </c>
      <c r="I453" s="14">
        <v>21</v>
      </c>
      <c r="J453" s="14" t="s">
        <v>143</v>
      </c>
      <c r="K453" s="14" t="s">
        <v>2667</v>
      </c>
      <c r="L453" s="14" t="s">
        <v>145</v>
      </c>
      <c r="M453" s="14" t="s">
        <v>9158</v>
      </c>
      <c r="N453" s="14" t="s">
        <v>9158</v>
      </c>
      <c r="O453" s="14" t="s">
        <v>9158</v>
      </c>
      <c r="P453" s="14" t="s">
        <v>9158</v>
      </c>
      <c r="Q453" s="14" t="s">
        <v>9158</v>
      </c>
      <c r="R453" s="14"/>
    </row>
    <row r="454" spans="1:18">
      <c r="A454" s="9">
        <v>78403</v>
      </c>
      <c r="B454" s="14" t="s">
        <v>15</v>
      </c>
      <c r="C454" s="14" t="s">
        <v>205</v>
      </c>
      <c r="D454" s="14" t="s">
        <v>2668</v>
      </c>
      <c r="E454" s="15" t="str">
        <f>HYPERLINK("https://stat100.ameba.jp/tnk47/ratio20/illustrations/card/ill_78403_izumotaisha03.jpg?201812-X-RELEASE-GP-insert-battleleague", "■")</f>
        <v>■</v>
      </c>
      <c r="F454" s="14" t="s">
        <v>2669</v>
      </c>
      <c r="G454" s="14">
        <v>56456</v>
      </c>
      <c r="H454" s="14">
        <v>62244</v>
      </c>
      <c r="I454" s="14">
        <v>21</v>
      </c>
      <c r="J454" s="14" t="s">
        <v>26</v>
      </c>
      <c r="K454" s="14" t="s">
        <v>2670</v>
      </c>
      <c r="L454" s="14" t="s">
        <v>977</v>
      </c>
      <c r="M454" s="14" t="s">
        <v>9158</v>
      </c>
      <c r="N454" s="14" t="s">
        <v>9158</v>
      </c>
      <c r="O454" s="14" t="s">
        <v>9158</v>
      </c>
      <c r="P454" s="14" t="s">
        <v>9158</v>
      </c>
      <c r="Q454" s="14" t="s">
        <v>9158</v>
      </c>
      <c r="R454" s="14"/>
    </row>
    <row r="455" spans="1:18">
      <c r="A455" s="9">
        <v>78413</v>
      </c>
      <c r="B455" s="14" t="s">
        <v>22</v>
      </c>
      <c r="C455" s="14" t="s">
        <v>191</v>
      </c>
      <c r="D455" s="14" t="s">
        <v>2671</v>
      </c>
      <c r="E455" s="15" t="str">
        <f>HYPERLINK("https://stat100.ameba.jp/tnk47/ratio20/illustrations/card/ill_78413_notamochichan03.jpg?201812-X-RELEASE-GP-insert-battleleague", "■")</f>
        <v>■</v>
      </c>
      <c r="F455" s="14" t="s">
        <v>2672</v>
      </c>
      <c r="G455" s="14">
        <v>43662</v>
      </c>
      <c r="H455" s="14">
        <v>36304</v>
      </c>
      <c r="I455" s="14">
        <v>21</v>
      </c>
      <c r="J455" s="14" t="s">
        <v>104</v>
      </c>
      <c r="K455" s="14" t="s">
        <v>2673</v>
      </c>
      <c r="L455" s="14" t="s">
        <v>2674</v>
      </c>
      <c r="M455" s="14" t="s">
        <v>9158</v>
      </c>
      <c r="N455" s="14" t="s">
        <v>9158</v>
      </c>
      <c r="O455" s="14" t="s">
        <v>9158</v>
      </c>
      <c r="P455" s="14" t="s">
        <v>9158</v>
      </c>
      <c r="Q455" s="14" t="s">
        <v>9158</v>
      </c>
      <c r="R455" s="14"/>
    </row>
    <row r="456" spans="1:18">
      <c r="A456" s="9">
        <v>78423</v>
      </c>
      <c r="B456" s="14" t="s">
        <v>30</v>
      </c>
      <c r="C456" s="14" t="s">
        <v>2001</v>
      </c>
      <c r="D456" s="14" t="s">
        <v>2675</v>
      </c>
      <c r="E456" s="15" t="str">
        <f>HYPERLINK("https://stat100.ameba.jp/tnk47/ratio20/illustrations/card/ill_78423_xmasirohahime03.jpg?201812-X-RELEASE-GP-insert-battleleague", "■")</f>
        <v>■</v>
      </c>
      <c r="F456" s="14" t="s">
        <v>2676</v>
      </c>
      <c r="G456" s="14">
        <v>22200</v>
      </c>
      <c r="H456" s="14">
        <v>26434</v>
      </c>
      <c r="I456" s="14">
        <v>21</v>
      </c>
      <c r="J456" s="14" t="s">
        <v>77</v>
      </c>
      <c r="K456" s="14" t="s">
        <v>2677</v>
      </c>
      <c r="L456" s="14" t="s">
        <v>1736</v>
      </c>
      <c r="M456" s="14" t="s">
        <v>9158</v>
      </c>
      <c r="N456" s="14" t="s">
        <v>9158</v>
      </c>
      <c r="O456" s="14" t="s">
        <v>9158</v>
      </c>
      <c r="P456" s="14" t="s">
        <v>9158</v>
      </c>
      <c r="Q456" s="14" t="s">
        <v>9158</v>
      </c>
      <c r="R456" s="14"/>
    </row>
    <row r="457" spans="1:18">
      <c r="B457" s="14"/>
      <c r="C457" s="14"/>
      <c r="D457" s="14"/>
      <c r="F457" s="14"/>
      <c r="G457" s="14"/>
      <c r="H457" s="14"/>
      <c r="I457" s="14"/>
      <c r="J457" s="14"/>
      <c r="K457" s="14"/>
      <c r="L457" s="14"/>
      <c r="M457" s="14"/>
      <c r="N457" s="14"/>
      <c r="P457" s="14"/>
      <c r="Q457" s="14"/>
      <c r="R457" s="14"/>
    </row>
    <row r="458" spans="1:18">
      <c r="A458" s="14" t="s">
        <v>195</v>
      </c>
      <c r="D458" s="14"/>
      <c r="F458" s="14"/>
      <c r="G458" s="14"/>
      <c r="H458" s="14"/>
      <c r="I458" s="14"/>
      <c r="J458" s="14"/>
      <c r="K458" s="14"/>
      <c r="L458" s="14"/>
      <c r="M458" s="14"/>
      <c r="N458" s="14"/>
      <c r="P458" s="14"/>
      <c r="Q458" s="14"/>
      <c r="R458" s="14"/>
    </row>
    <row r="459" spans="1:18">
      <c r="A459" s="14" t="s">
        <v>2678</v>
      </c>
      <c r="B459" s="14"/>
      <c r="C459" s="14"/>
      <c r="D459" s="14"/>
      <c r="F459" s="14"/>
      <c r="G459" s="14"/>
      <c r="H459" s="14"/>
      <c r="I459" s="14"/>
      <c r="J459" s="14"/>
      <c r="K459" s="14"/>
      <c r="L459" s="14"/>
      <c r="M459" s="14"/>
      <c r="N459" s="14"/>
      <c r="P459" s="14"/>
      <c r="Q459" s="14"/>
      <c r="R459" s="14"/>
    </row>
    <row r="460" spans="1:18">
      <c r="A460" s="9">
        <v>65363</v>
      </c>
      <c r="B460" s="14" t="s">
        <v>0</v>
      </c>
      <c r="C460" s="14" t="s">
        <v>154</v>
      </c>
      <c r="D460" s="14" t="s">
        <v>1589</v>
      </c>
      <c r="E460" s="15" t="str">
        <f>HYPERLINK("https://stat100.ameba.jp/tnk47/ratio20/illustrations/card/ill_65363_yukihimemomijihime03.jpg?201901-1-RELEASE-raid-387", "■")</f>
        <v>■</v>
      </c>
      <c r="F460" s="14" t="s">
        <v>1590</v>
      </c>
      <c r="G460" s="14">
        <v>90574</v>
      </c>
      <c r="H460" s="14">
        <v>84214</v>
      </c>
      <c r="I460" s="14">
        <v>21</v>
      </c>
      <c r="J460" s="14" t="s">
        <v>274</v>
      </c>
      <c r="K460" s="14" t="s">
        <v>1591</v>
      </c>
      <c r="L460" s="14" t="s">
        <v>1592</v>
      </c>
      <c r="M460" s="14" t="s">
        <v>9158</v>
      </c>
      <c r="N460" s="14" t="s">
        <v>9158</v>
      </c>
      <c r="O460" s="14" t="s">
        <v>9158</v>
      </c>
      <c r="P460" s="14" t="s">
        <v>9158</v>
      </c>
      <c r="Q460" s="14" t="s">
        <v>9158</v>
      </c>
      <c r="R460" s="14"/>
    </row>
    <row r="461" spans="1:18">
      <c r="A461" s="9">
        <v>65373</v>
      </c>
      <c r="B461" s="14" t="s">
        <v>0</v>
      </c>
      <c r="C461" s="14" t="s">
        <v>158</v>
      </c>
      <c r="D461" s="14" t="s">
        <v>1593</v>
      </c>
      <c r="E461" s="15" t="str">
        <f>HYPERLINK("https://stat100.ameba.jp/tnk47/ratio20/illustrations/card/ill_65373_kotetsu03.jpg?201901-1-RELEASE-raid-387", "■")</f>
        <v>■</v>
      </c>
      <c r="F461" s="14" t="s">
        <v>1594</v>
      </c>
      <c r="G461" s="14">
        <v>90574</v>
      </c>
      <c r="H461" s="14">
        <v>84214</v>
      </c>
      <c r="I461" s="14">
        <v>21</v>
      </c>
      <c r="J461" s="14" t="s">
        <v>414</v>
      </c>
      <c r="K461" s="14" t="s">
        <v>1595</v>
      </c>
      <c r="L461" s="14" t="s">
        <v>1596</v>
      </c>
      <c r="M461" s="14" t="s">
        <v>9158</v>
      </c>
      <c r="N461" s="14" t="s">
        <v>9158</v>
      </c>
      <c r="O461" s="14" t="s">
        <v>9158</v>
      </c>
      <c r="P461" s="14" t="s">
        <v>9158</v>
      </c>
      <c r="Q461" s="14" t="s">
        <v>9158</v>
      </c>
      <c r="R461" s="14"/>
    </row>
    <row r="462" spans="1:18">
      <c r="A462" s="9">
        <v>46063</v>
      </c>
      <c r="B462" s="14" t="s">
        <v>0</v>
      </c>
      <c r="C462" s="14" t="s">
        <v>165</v>
      </c>
      <c r="D462" s="14" t="s">
        <v>845</v>
      </c>
      <c r="E462" s="15" t="str">
        <f>HYPERLINK("https://stat100.ameba.jp/tnk47/ratio20/illustrations/card/ill_46063_kongorikishizo03.jpg?201901-1-RELEASE-raid-387", "■")</f>
        <v>■</v>
      </c>
      <c r="F462" s="14" t="s">
        <v>846</v>
      </c>
      <c r="G462" s="14">
        <v>91114</v>
      </c>
      <c r="H462" s="14">
        <v>65502</v>
      </c>
      <c r="I462" s="14">
        <v>21</v>
      </c>
      <c r="J462" s="14" t="s">
        <v>401</v>
      </c>
      <c r="K462" s="14" t="s">
        <v>847</v>
      </c>
      <c r="L462" s="14" t="s">
        <v>848</v>
      </c>
      <c r="M462" s="14" t="s">
        <v>9158</v>
      </c>
      <c r="N462" s="14" t="s">
        <v>9158</v>
      </c>
      <c r="O462" s="14" t="s">
        <v>9158</v>
      </c>
      <c r="P462" s="14" t="s">
        <v>9158</v>
      </c>
      <c r="Q462" s="14" t="s">
        <v>9158</v>
      </c>
      <c r="R462" s="14"/>
    </row>
    <row r="463" spans="1:18">
      <c r="A463" s="9">
        <v>30603</v>
      </c>
      <c r="B463" s="14" t="s">
        <v>0</v>
      </c>
      <c r="C463" s="14" t="s">
        <v>154</v>
      </c>
      <c r="D463" s="14" t="s">
        <v>1597</v>
      </c>
      <c r="E463" s="15" t="str">
        <f>HYPERLINK("https://stat100.ameba.jp/tnk47/ratio20/illustrations/card/ill_30603_haroinnekogami03.jpg?201901-1-RELEASE-raid-387", "■")</f>
        <v>■</v>
      </c>
      <c r="F463" s="14" t="s">
        <v>1598</v>
      </c>
      <c r="G463" s="14">
        <v>80942</v>
      </c>
      <c r="H463" s="14">
        <v>75254</v>
      </c>
      <c r="I463" s="14">
        <v>21</v>
      </c>
      <c r="J463" s="14" t="s">
        <v>320</v>
      </c>
      <c r="K463" s="14" t="s">
        <v>1599</v>
      </c>
      <c r="L463" s="14" t="s">
        <v>1600</v>
      </c>
      <c r="M463" s="14" t="s">
        <v>9158</v>
      </c>
      <c r="N463" s="14" t="s">
        <v>9158</v>
      </c>
      <c r="O463" s="14" t="s">
        <v>9158</v>
      </c>
      <c r="P463" s="14" t="s">
        <v>9158</v>
      </c>
      <c r="Q463" s="14" t="s">
        <v>9158</v>
      </c>
      <c r="R463" s="14"/>
    </row>
    <row r="464" spans="1:18">
      <c r="B464" s="14"/>
      <c r="C464" s="14"/>
      <c r="D464" s="14"/>
      <c r="F464" s="14"/>
      <c r="G464" s="14"/>
      <c r="H464" s="14"/>
      <c r="I464" s="14"/>
      <c r="J464" s="14"/>
      <c r="K464" s="14"/>
      <c r="L464" s="14"/>
      <c r="M464" s="14"/>
      <c r="N464" s="14"/>
      <c r="P464" s="14"/>
      <c r="Q464" s="14"/>
      <c r="R464" s="14"/>
    </row>
    <row r="465" spans="1:18">
      <c r="A465" s="14" t="s">
        <v>135</v>
      </c>
      <c r="D465" s="14"/>
      <c r="F465" s="14"/>
      <c r="G465" s="14"/>
      <c r="H465" s="14"/>
      <c r="I465" s="14"/>
      <c r="J465" s="14"/>
      <c r="K465" s="14"/>
      <c r="L465" s="14"/>
      <c r="M465" s="14"/>
      <c r="N465" s="14"/>
      <c r="P465" s="14"/>
      <c r="Q465" s="14"/>
      <c r="R465" s="14"/>
    </row>
    <row r="466" spans="1:18">
      <c r="A466" s="14" t="s">
        <v>2679</v>
      </c>
      <c r="B466" s="14"/>
      <c r="C466" s="14"/>
      <c r="D466" s="14"/>
      <c r="F466" s="14"/>
      <c r="G466" s="14"/>
      <c r="H466" s="14"/>
      <c r="I466" s="14"/>
      <c r="J466" s="14"/>
      <c r="K466" s="14"/>
      <c r="L466" s="14"/>
      <c r="M466" s="14"/>
      <c r="N466" s="14"/>
      <c r="P466" s="14"/>
      <c r="Q466" s="14"/>
      <c r="R466" s="14"/>
    </row>
    <row r="467" spans="1:18">
      <c r="A467" s="9" t="s">
        <v>5607</v>
      </c>
      <c r="B467" s="14" t="s">
        <v>52</v>
      </c>
      <c r="C467" s="14" t="s">
        <v>200</v>
      </c>
      <c r="D467" s="14" t="s">
        <v>2680</v>
      </c>
      <c r="E467" s="15" t="str">
        <f>HYPERLINK("https://stat100.ameba.jp/tnk47/ratio20/illustrations/card/ill_58853_0_setsubumpanikkuhiratsukaraicho03.jpg?201901-1-RELEASE-raid-387", "■")</f>
        <v>■</v>
      </c>
      <c r="F467" s="14" t="s">
        <v>1040</v>
      </c>
      <c r="G467" s="14">
        <v>144494</v>
      </c>
      <c r="H467" s="14">
        <v>128358</v>
      </c>
      <c r="I467" s="14">
        <v>23</v>
      </c>
      <c r="J467" s="14" t="s">
        <v>159</v>
      </c>
      <c r="K467" s="14" t="s">
        <v>2681</v>
      </c>
      <c r="L467" s="14" t="s">
        <v>13179</v>
      </c>
      <c r="M467" s="14" t="s">
        <v>9158</v>
      </c>
      <c r="N467" s="14" t="s">
        <v>9158</v>
      </c>
      <c r="O467" s="17" t="s">
        <v>10059</v>
      </c>
      <c r="P467" s="14" t="s">
        <v>2870</v>
      </c>
      <c r="Q467" s="14">
        <v>1</v>
      </c>
      <c r="R467" s="14"/>
    </row>
    <row r="468" spans="1:18">
      <c r="A468" s="9">
        <v>67103</v>
      </c>
      <c r="B468" s="14" t="s">
        <v>0</v>
      </c>
      <c r="C468" s="14" t="s">
        <v>154</v>
      </c>
      <c r="D468" s="14" t="s">
        <v>1282</v>
      </c>
      <c r="E468" s="15" t="str">
        <f>HYPERLINK("https://stat100.ameba.jp/tnk47/ratio20/illustrations/card/ill_67103_ankonabe03.jpg?201901-1-RELEASE-raid-387", "■")</f>
        <v>■</v>
      </c>
      <c r="F468" s="14" t="s">
        <v>1283</v>
      </c>
      <c r="G468" s="14">
        <v>80391</v>
      </c>
      <c r="H468" s="14">
        <v>111000</v>
      </c>
      <c r="I468" s="14">
        <v>21</v>
      </c>
      <c r="J468" s="14" t="s">
        <v>216</v>
      </c>
      <c r="K468" s="14" t="s">
        <v>1284</v>
      </c>
      <c r="L468" s="14" t="s">
        <v>13153</v>
      </c>
      <c r="M468" s="14" t="s">
        <v>9158</v>
      </c>
      <c r="N468" s="14" t="s">
        <v>9158</v>
      </c>
      <c r="O468" s="9" t="s">
        <v>3461</v>
      </c>
      <c r="P468" s="14" t="s">
        <v>3462</v>
      </c>
      <c r="Q468" s="14">
        <v>1</v>
      </c>
      <c r="R468" s="14"/>
    </row>
    <row r="469" spans="1:18">
      <c r="A469" s="9">
        <v>60763</v>
      </c>
      <c r="B469" s="14" t="s">
        <v>0</v>
      </c>
      <c r="C469" s="14" t="s">
        <v>158</v>
      </c>
      <c r="D469" s="14" t="s">
        <v>1348</v>
      </c>
      <c r="E469" s="15" t="str">
        <f>HYPERLINK("https://stat100.ameba.jp/tnk47/ratio20/illustrations/card/ill_60763_fujiwarakagekiyo03.jpg?201901-1-RELEASE-raid-387", "■")</f>
        <v>■</v>
      </c>
      <c r="F469" s="14" t="s">
        <v>1146</v>
      </c>
      <c r="G469" s="14">
        <v>101199</v>
      </c>
      <c r="H469" s="14">
        <v>139716</v>
      </c>
      <c r="I469" s="14">
        <v>21</v>
      </c>
      <c r="J469" s="14" t="s">
        <v>194</v>
      </c>
      <c r="K469" s="14" t="s">
        <v>1349</v>
      </c>
      <c r="L469" s="14" t="s">
        <v>13160</v>
      </c>
      <c r="M469" s="14" t="s">
        <v>9158</v>
      </c>
      <c r="N469" s="14" t="s">
        <v>9158</v>
      </c>
      <c r="O469" s="17" t="s">
        <v>10064</v>
      </c>
      <c r="P469" s="14" t="s">
        <v>13150</v>
      </c>
      <c r="Q469" s="14">
        <v>1</v>
      </c>
      <c r="R469" s="14"/>
    </row>
    <row r="470" spans="1:18">
      <c r="A470" s="9">
        <v>59613</v>
      </c>
      <c r="B470" s="14" t="s">
        <v>0</v>
      </c>
      <c r="C470" s="14" t="s">
        <v>185</v>
      </c>
      <c r="D470" s="14" t="s">
        <v>2682</v>
      </c>
      <c r="E470" s="15" t="str">
        <f>HYPERLINK("https://stat100.ameba.jp/tnk47/ratio20/illustrations/card/ill_59613_oheyadaria03.jpg?201901-1-RELEASE-raid-387", "■")</f>
        <v>■</v>
      </c>
      <c r="F470" s="14" t="s">
        <v>2293</v>
      </c>
      <c r="G470" s="14">
        <v>89264</v>
      </c>
      <c r="H470" s="14">
        <v>82983</v>
      </c>
      <c r="I470" s="14">
        <v>21</v>
      </c>
      <c r="J470" s="14" t="s">
        <v>229</v>
      </c>
      <c r="K470" s="14" t="s">
        <v>2683</v>
      </c>
      <c r="L470" s="14" t="s">
        <v>13180</v>
      </c>
      <c r="M470" s="14" t="s">
        <v>9158</v>
      </c>
      <c r="N470" s="14" t="s">
        <v>9158</v>
      </c>
      <c r="O470" s="9" t="s">
        <v>3609</v>
      </c>
      <c r="P470" s="14" t="s">
        <v>3610</v>
      </c>
      <c r="Q470" s="14">
        <v>1</v>
      </c>
      <c r="R470" s="14"/>
    </row>
    <row r="471" spans="1:18">
      <c r="B471" s="14"/>
      <c r="C471" s="14"/>
      <c r="D471" s="14"/>
      <c r="F471" s="14"/>
      <c r="G471" s="14"/>
      <c r="H471" s="14"/>
      <c r="I471" s="14"/>
      <c r="J471" s="14"/>
      <c r="K471" s="14"/>
      <c r="L471" s="14"/>
      <c r="M471" s="14"/>
      <c r="N471" s="14"/>
      <c r="P471" s="14"/>
      <c r="Q471" s="14"/>
      <c r="R471" s="14"/>
    </row>
    <row r="472" spans="1:18">
      <c r="A472" s="14" t="s">
        <v>13326</v>
      </c>
      <c r="D472" s="14"/>
      <c r="F472" s="14"/>
      <c r="G472" s="14"/>
      <c r="H472" s="14"/>
      <c r="I472" s="14"/>
      <c r="J472" s="14"/>
      <c r="K472" s="14"/>
      <c r="L472" s="14"/>
      <c r="M472" s="14"/>
      <c r="N472" s="14"/>
      <c r="P472" s="14"/>
      <c r="Q472" s="14"/>
      <c r="R472" s="14"/>
    </row>
    <row r="473" spans="1:18">
      <c r="A473" s="14" t="s">
        <v>2684</v>
      </c>
      <c r="B473" s="14"/>
      <c r="C473" s="14"/>
      <c r="D473" s="14"/>
      <c r="F473" s="14"/>
      <c r="G473" s="14"/>
      <c r="H473" s="14"/>
      <c r="I473" s="14"/>
      <c r="J473" s="14"/>
      <c r="K473" s="14"/>
      <c r="L473" s="14"/>
      <c r="M473" s="14"/>
      <c r="N473" s="14"/>
      <c r="P473" s="14"/>
      <c r="Q473" s="14"/>
      <c r="R473" s="14"/>
    </row>
    <row r="474" spans="1:18">
      <c r="A474" s="9">
        <v>66113</v>
      </c>
      <c r="B474" s="14" t="s">
        <v>334</v>
      </c>
      <c r="C474" s="14" t="s">
        <v>185</v>
      </c>
      <c r="D474" s="14" t="s">
        <v>1292</v>
      </c>
      <c r="E474" s="15" t="str">
        <f>HYPERLINK("https://stat100.ameba.jp/tnk47/ratio20/illustrations/card/ill_66113_shirarikahime03.jpg?201901-1-RELEASE-raid-387", "■")</f>
        <v>■</v>
      </c>
      <c r="F474" s="14" t="s">
        <v>1293</v>
      </c>
      <c r="G474" s="14">
        <v>103384</v>
      </c>
      <c r="H474" s="14">
        <v>96121</v>
      </c>
      <c r="I474" s="14">
        <v>21</v>
      </c>
      <c r="J474" s="14" t="s">
        <v>274</v>
      </c>
      <c r="K474" s="14" t="s">
        <v>1304</v>
      </c>
      <c r="L474" s="2" t="s">
        <v>9908</v>
      </c>
      <c r="M474" s="14" t="s">
        <v>13151</v>
      </c>
      <c r="N474" s="14" t="s">
        <v>251</v>
      </c>
      <c r="O474" s="14" t="s">
        <v>9158</v>
      </c>
      <c r="P474" s="14" t="s">
        <v>9158</v>
      </c>
      <c r="Q474" s="14" t="s">
        <v>9158</v>
      </c>
      <c r="R474" s="14" t="s">
        <v>14858</v>
      </c>
    </row>
    <row r="475" spans="1:18">
      <c r="A475" s="9">
        <v>66112</v>
      </c>
      <c r="B475" s="14" t="s">
        <v>334</v>
      </c>
      <c r="C475" s="14" t="s">
        <v>185</v>
      </c>
      <c r="D475" s="14" t="s">
        <v>1292</v>
      </c>
      <c r="E475" s="15" t="str">
        <f>HYPERLINK("https://stat100.ameba.jp/tnk47/ratio20/illustrations/card/ill_66112_shirarikahime02.jpg?201901-1-RELEASE-raid-387", "■")</f>
        <v>■</v>
      </c>
      <c r="F475" s="14" t="s">
        <v>1293</v>
      </c>
      <c r="G475" s="14">
        <v>86423</v>
      </c>
      <c r="H475" s="14">
        <v>79610</v>
      </c>
      <c r="I475" s="14">
        <v>21</v>
      </c>
      <c r="J475" s="14" t="s">
        <v>274</v>
      </c>
      <c r="K475" s="14" t="s">
        <v>1304</v>
      </c>
      <c r="L475" s="2" t="s">
        <v>9908</v>
      </c>
      <c r="M475" s="14" t="s">
        <v>13156</v>
      </c>
      <c r="N475" s="14" t="s">
        <v>1310</v>
      </c>
      <c r="O475" s="14" t="s">
        <v>9158</v>
      </c>
      <c r="P475" s="14" t="s">
        <v>9158</v>
      </c>
      <c r="Q475" s="14" t="s">
        <v>9158</v>
      </c>
      <c r="R475" s="14" t="s">
        <v>14858</v>
      </c>
    </row>
    <row r="476" spans="1:18">
      <c r="A476" s="9">
        <v>66111</v>
      </c>
      <c r="B476" s="14" t="s">
        <v>334</v>
      </c>
      <c r="C476" s="14" t="s">
        <v>185</v>
      </c>
      <c r="D476" s="14" t="s">
        <v>1292</v>
      </c>
      <c r="E476" s="15" t="str">
        <f>HYPERLINK("https://stat100.ameba.jp/tnk47/ratio20/illustrations/card/ill_66111_shirarikahime01.jpg?201901-1-RELEASE-raid-387", "■")</f>
        <v>■</v>
      </c>
      <c r="F476" s="14" t="s">
        <v>1293</v>
      </c>
      <c r="G476" s="14">
        <v>65982</v>
      </c>
      <c r="H476" s="14">
        <v>61425</v>
      </c>
      <c r="I476" s="14">
        <v>21</v>
      </c>
      <c r="J476" s="14" t="s">
        <v>274</v>
      </c>
      <c r="K476" s="14" t="s">
        <v>1304</v>
      </c>
      <c r="L476" s="2" t="s">
        <v>9908</v>
      </c>
      <c r="M476" s="14" t="s">
        <v>13156</v>
      </c>
      <c r="N476" s="14" t="s">
        <v>1310</v>
      </c>
      <c r="O476" s="14" t="s">
        <v>9158</v>
      </c>
      <c r="P476" s="14" t="s">
        <v>9158</v>
      </c>
      <c r="Q476" s="14" t="s">
        <v>9158</v>
      </c>
      <c r="R476" s="14" t="s">
        <v>14858</v>
      </c>
    </row>
    <row r="477" spans="1:18">
      <c r="A477" s="9">
        <v>65383</v>
      </c>
      <c r="B477" s="14" t="s">
        <v>334</v>
      </c>
      <c r="C477" s="14" t="s">
        <v>200</v>
      </c>
      <c r="D477" s="14" t="s">
        <v>1294</v>
      </c>
      <c r="E477" s="15" t="str">
        <f>HYPERLINK("https://stat100.ameba.jp/tnk47/ratio20/illustrations/card/ill_65383_aogashimachan03.jpg?201901-1-RELEASE-raid-387", "■")</f>
        <v>■</v>
      </c>
      <c r="F477" s="14" t="s">
        <v>1295</v>
      </c>
      <c r="G477" s="14">
        <v>96121</v>
      </c>
      <c r="H477" s="14">
        <v>103384</v>
      </c>
      <c r="I477" s="14">
        <v>21</v>
      </c>
      <c r="J477" s="14" t="s">
        <v>369</v>
      </c>
      <c r="K477" s="14" t="s">
        <v>1305</v>
      </c>
      <c r="L477" s="2" t="s">
        <v>9909</v>
      </c>
      <c r="M477" s="14" t="s">
        <v>13151</v>
      </c>
      <c r="N477" s="14" t="s">
        <v>251</v>
      </c>
      <c r="O477" s="14" t="s">
        <v>9158</v>
      </c>
      <c r="P477" s="14" t="s">
        <v>9158</v>
      </c>
      <c r="Q477" s="14" t="s">
        <v>9158</v>
      </c>
      <c r="R477" s="14" t="s">
        <v>14858</v>
      </c>
    </row>
    <row r="478" spans="1:18">
      <c r="A478" s="9">
        <v>66123</v>
      </c>
      <c r="B478" s="14" t="s">
        <v>334</v>
      </c>
      <c r="C478" s="14" t="s">
        <v>191</v>
      </c>
      <c r="D478" s="14" t="s">
        <v>1296</v>
      </c>
      <c r="E478" s="15" t="str">
        <f>HYPERLINK("https://stat100.ameba.jp/tnk47/ratio20/illustrations/card/ill_66123_taikemmoninnohorikawa03.jpg?201901-1-RELEASE-raid-387", "■")</f>
        <v>■</v>
      </c>
      <c r="F478" s="14" t="s">
        <v>1297</v>
      </c>
      <c r="G478" s="14">
        <v>103384</v>
      </c>
      <c r="H478" s="14">
        <v>96121</v>
      </c>
      <c r="I478" s="14">
        <v>21</v>
      </c>
      <c r="J478" s="14" t="s">
        <v>414</v>
      </c>
      <c r="K478" s="14" t="s">
        <v>1306</v>
      </c>
      <c r="L478" s="2" t="s">
        <v>9910</v>
      </c>
      <c r="M478" s="14" t="s">
        <v>13151</v>
      </c>
      <c r="N478" s="14" t="s">
        <v>251</v>
      </c>
      <c r="O478" s="14" t="s">
        <v>9158</v>
      </c>
      <c r="P478" s="14" t="s">
        <v>9158</v>
      </c>
      <c r="Q478" s="14" t="s">
        <v>9158</v>
      </c>
      <c r="R478" s="14" t="s">
        <v>14858</v>
      </c>
    </row>
    <row r="479" spans="1:18">
      <c r="A479" s="9">
        <v>66133</v>
      </c>
      <c r="B479" s="14" t="s">
        <v>334</v>
      </c>
      <c r="C479" s="14" t="s">
        <v>165</v>
      </c>
      <c r="D479" s="14" t="s">
        <v>1298</v>
      </c>
      <c r="E479" s="15" t="str">
        <f>HYPERLINK("https://stat100.ameba.jp/tnk47/ratio20/illustrations/card/ill_66133_iinaosuke03.jpg?201901-1-RELEASE-raid-387", "■")</f>
        <v>■</v>
      </c>
      <c r="F479" s="14" t="s">
        <v>1299</v>
      </c>
      <c r="G479" s="14">
        <v>96121</v>
      </c>
      <c r="H479" s="14">
        <v>103384</v>
      </c>
      <c r="I479" s="14">
        <v>21</v>
      </c>
      <c r="J479" s="14" t="s">
        <v>351</v>
      </c>
      <c r="K479" s="14" t="s">
        <v>1307</v>
      </c>
      <c r="L479" s="2" t="s">
        <v>9911</v>
      </c>
      <c r="M479" s="14" t="s">
        <v>13151</v>
      </c>
      <c r="N479" s="14" t="s">
        <v>251</v>
      </c>
      <c r="O479" s="14" t="s">
        <v>9158</v>
      </c>
      <c r="P479" s="14" t="s">
        <v>9158</v>
      </c>
      <c r="Q479" s="14" t="s">
        <v>9158</v>
      </c>
      <c r="R479" s="14" t="s">
        <v>14858</v>
      </c>
    </row>
    <row r="480" spans="1:18">
      <c r="A480" s="9">
        <v>65393</v>
      </c>
      <c r="B480" s="14" t="s">
        <v>334</v>
      </c>
      <c r="C480" s="14" t="s">
        <v>205</v>
      </c>
      <c r="D480" s="14" t="s">
        <v>1300</v>
      </c>
      <c r="E480" s="15" t="str">
        <f>HYPERLINK("https://stat100.ameba.jp/tnk47/ratio20/illustrations/card/ill_65393_motochikafujin03.jpg?201901-1-RELEASE-raid-387", "■")</f>
        <v>■</v>
      </c>
      <c r="F480" s="14" t="s">
        <v>1301</v>
      </c>
      <c r="G480" s="14">
        <v>96121</v>
      </c>
      <c r="H480" s="14">
        <v>103384</v>
      </c>
      <c r="I480" s="14">
        <v>21</v>
      </c>
      <c r="J480" s="14" t="s">
        <v>315</v>
      </c>
      <c r="K480" s="14" t="s">
        <v>1308</v>
      </c>
      <c r="L480" s="2" t="s">
        <v>9912</v>
      </c>
      <c r="M480" s="14" t="s">
        <v>13151</v>
      </c>
      <c r="N480" s="14" t="s">
        <v>251</v>
      </c>
      <c r="O480" s="14" t="s">
        <v>9158</v>
      </c>
      <c r="P480" s="14" t="s">
        <v>9158</v>
      </c>
      <c r="Q480" s="14" t="s">
        <v>9158</v>
      </c>
      <c r="R480" s="14" t="s">
        <v>14858</v>
      </c>
    </row>
    <row r="481" spans="1:18">
      <c r="A481" s="9">
        <v>65403</v>
      </c>
      <c r="B481" s="14" t="s">
        <v>334</v>
      </c>
      <c r="C481" s="14" t="s">
        <v>206</v>
      </c>
      <c r="D481" s="14" t="s">
        <v>1302</v>
      </c>
      <c r="E481" s="15" t="str">
        <f>HYPERLINK("https://stat100.ameba.jp/tnk47/ratio20/illustrations/card/ill_65403_amenokoyanenomikoto03.jpg?201901-1-RELEASE-raid-387", "■")</f>
        <v>■</v>
      </c>
      <c r="F481" s="14" t="s">
        <v>1303</v>
      </c>
      <c r="G481" s="14">
        <v>103384</v>
      </c>
      <c r="H481" s="14">
        <v>96121</v>
      </c>
      <c r="I481" s="14">
        <v>21</v>
      </c>
      <c r="J481" s="14" t="s">
        <v>401</v>
      </c>
      <c r="K481" s="14" t="s">
        <v>1309</v>
      </c>
      <c r="L481" s="2" t="s">
        <v>9913</v>
      </c>
      <c r="M481" s="14" t="s">
        <v>13151</v>
      </c>
      <c r="N481" s="14" t="s">
        <v>251</v>
      </c>
      <c r="O481" s="14" t="s">
        <v>9158</v>
      </c>
      <c r="P481" s="14" t="s">
        <v>9158</v>
      </c>
      <c r="Q481" s="14" t="s">
        <v>9158</v>
      </c>
      <c r="R481" s="14" t="s">
        <v>14858</v>
      </c>
    </row>
    <row r="482" spans="1:18">
      <c r="B482" s="14"/>
      <c r="C482" s="14"/>
      <c r="D482" s="14"/>
      <c r="F482" s="14"/>
      <c r="G482" s="14"/>
      <c r="H482" s="14"/>
      <c r="I482" s="14"/>
      <c r="J482" s="14"/>
      <c r="K482" s="14"/>
      <c r="L482" s="14"/>
      <c r="M482" s="14"/>
      <c r="N482" s="14"/>
      <c r="P482" s="14"/>
      <c r="Q482" s="14"/>
      <c r="R482" s="14"/>
    </row>
    <row r="483" spans="1:18">
      <c r="A483" s="14" t="s">
        <v>8798</v>
      </c>
      <c r="D483" s="14"/>
      <c r="F483" s="14"/>
      <c r="G483" s="14"/>
      <c r="H483" s="14"/>
      <c r="I483" s="14"/>
      <c r="J483" s="14"/>
      <c r="K483" s="14"/>
      <c r="L483" s="14"/>
      <c r="M483" s="14"/>
      <c r="N483" s="14"/>
      <c r="P483" s="14"/>
      <c r="Q483" s="14"/>
      <c r="R483" s="14"/>
    </row>
    <row r="484" spans="1:18">
      <c r="A484" s="14" t="s">
        <v>2685</v>
      </c>
      <c r="B484" s="14"/>
      <c r="C484" s="14"/>
      <c r="D484" s="14"/>
      <c r="F484" s="14"/>
      <c r="G484" s="14"/>
      <c r="H484" s="14"/>
      <c r="I484" s="14"/>
      <c r="J484" s="14"/>
      <c r="K484" s="14"/>
      <c r="L484" s="14"/>
      <c r="M484" s="14"/>
      <c r="N484" s="14"/>
      <c r="P484" s="14"/>
      <c r="Q484" s="14"/>
      <c r="R484" s="14"/>
    </row>
    <row r="485" spans="1:18">
      <c r="B485" s="14" t="s">
        <v>330</v>
      </c>
      <c r="C485" s="14"/>
      <c r="D485" s="14"/>
      <c r="E485" s="15" t="str">
        <f>HYPERLINK("", "■")</f>
        <v>■</v>
      </c>
      <c r="F485" s="14"/>
      <c r="G485" s="14"/>
      <c r="H485" s="14"/>
      <c r="I485" s="14">
        <v>21</v>
      </c>
      <c r="J485" s="14"/>
      <c r="K485" s="14"/>
      <c r="L485" s="14"/>
      <c r="M485" s="14" t="s">
        <v>9158</v>
      </c>
      <c r="N485" s="14" t="s">
        <v>9158</v>
      </c>
      <c r="O485" s="14" t="s">
        <v>9158</v>
      </c>
      <c r="P485" s="14" t="s">
        <v>9158</v>
      </c>
      <c r="Q485" s="14" t="s">
        <v>9158</v>
      </c>
      <c r="R485" s="14"/>
    </row>
    <row r="486" spans="1:18">
      <c r="B486" s="14" t="s">
        <v>330</v>
      </c>
      <c r="C486" s="14"/>
      <c r="D486" s="14"/>
      <c r="E486" s="15" t="str">
        <f t="shared" ref="E486:E487" si="0">HYPERLINK("", "■")</f>
        <v>■</v>
      </c>
      <c r="F486" s="14"/>
      <c r="G486" s="14"/>
      <c r="H486" s="14"/>
      <c r="I486" s="14">
        <v>21</v>
      </c>
      <c r="J486" s="14"/>
      <c r="K486" s="14"/>
      <c r="L486" s="14"/>
      <c r="M486" s="14" t="s">
        <v>9158</v>
      </c>
      <c r="N486" s="14" t="s">
        <v>9158</v>
      </c>
      <c r="O486" s="14" t="s">
        <v>9158</v>
      </c>
      <c r="P486" s="14" t="s">
        <v>9158</v>
      </c>
      <c r="Q486" s="14" t="s">
        <v>9158</v>
      </c>
      <c r="R486" s="14"/>
    </row>
    <row r="487" spans="1:18">
      <c r="B487" s="14" t="s">
        <v>330</v>
      </c>
      <c r="C487" s="14"/>
      <c r="D487" s="14"/>
      <c r="E487" s="15" t="str">
        <f t="shared" si="0"/>
        <v>■</v>
      </c>
      <c r="F487" s="14"/>
      <c r="G487" s="14"/>
      <c r="H487" s="14"/>
      <c r="I487" s="14">
        <v>21</v>
      </c>
      <c r="J487" s="14"/>
      <c r="K487" s="14"/>
      <c r="L487" s="14"/>
      <c r="M487" s="14" t="s">
        <v>9158</v>
      </c>
      <c r="N487" s="14" t="s">
        <v>9158</v>
      </c>
      <c r="O487" s="14" t="s">
        <v>9158</v>
      </c>
      <c r="P487" s="14" t="s">
        <v>9158</v>
      </c>
      <c r="Q487" s="14" t="s">
        <v>9158</v>
      </c>
      <c r="R487" s="14"/>
    </row>
    <row r="488" spans="1:18">
      <c r="A488" s="9">
        <v>78393</v>
      </c>
      <c r="B488" s="14" t="s">
        <v>334</v>
      </c>
      <c r="C488" s="14" t="s">
        <v>200</v>
      </c>
      <c r="D488" s="14" t="s">
        <v>2665</v>
      </c>
      <c r="E488" s="15" t="str">
        <f>HYPERLINK("https://stat100.ameba.jp/tnk47/ratio20/illustrations/card/ill_78393_nemmatsuosojichibaeijiro03.jpg?201901-2-RELEASE-unionbattle-388xx", "■")</f>
        <v>■</v>
      </c>
      <c r="F488" s="14" t="s">
        <v>2666</v>
      </c>
      <c r="G488" s="14">
        <v>124839</v>
      </c>
      <c r="H488" s="14">
        <v>116076</v>
      </c>
      <c r="I488" s="14">
        <v>21</v>
      </c>
      <c r="J488" s="14" t="s">
        <v>143</v>
      </c>
      <c r="K488" s="14" t="s">
        <v>2667</v>
      </c>
      <c r="L488" s="14" t="s">
        <v>145</v>
      </c>
      <c r="M488" s="14" t="s">
        <v>9158</v>
      </c>
      <c r="N488" s="14" t="s">
        <v>9158</v>
      </c>
      <c r="O488" s="14" t="s">
        <v>9158</v>
      </c>
      <c r="P488" s="14" t="s">
        <v>9158</v>
      </c>
      <c r="Q488" s="14" t="s">
        <v>9158</v>
      </c>
      <c r="R488" s="14"/>
    </row>
    <row r="489" spans="1:18">
      <c r="A489" s="9">
        <v>78403</v>
      </c>
      <c r="B489" s="14" t="s">
        <v>15</v>
      </c>
      <c r="C489" s="14" t="s">
        <v>205</v>
      </c>
      <c r="D489" s="14" t="s">
        <v>2668</v>
      </c>
      <c r="E489" s="15" t="str">
        <f>HYPERLINK("https://stat100.ameba.jp/tnk47/ratio20/illustrations/card/ill_78403_izumotaisha03.jpg?201901-2-RELEASE-unionbattle-388xx", "■")</f>
        <v>■</v>
      </c>
      <c r="F489" s="14" t="s">
        <v>2669</v>
      </c>
      <c r="G489" s="14">
        <v>48390</v>
      </c>
      <c r="H489" s="14">
        <v>53352</v>
      </c>
      <c r="I489" s="14">
        <v>18</v>
      </c>
      <c r="J489" s="14" t="s">
        <v>26</v>
      </c>
      <c r="K489" s="14" t="s">
        <v>2670</v>
      </c>
      <c r="L489" s="14" t="s">
        <v>977</v>
      </c>
      <c r="M489" s="14" t="s">
        <v>9158</v>
      </c>
      <c r="N489" s="14" t="s">
        <v>9158</v>
      </c>
      <c r="O489" s="14" t="s">
        <v>9158</v>
      </c>
      <c r="P489" s="14" t="s">
        <v>9158</v>
      </c>
      <c r="Q489" s="14" t="s">
        <v>9158</v>
      </c>
      <c r="R489" s="14"/>
    </row>
    <row r="490" spans="1:18">
      <c r="A490" s="9">
        <v>78413</v>
      </c>
      <c r="B490" s="14" t="s">
        <v>22</v>
      </c>
      <c r="C490" s="14" t="s">
        <v>191</v>
      </c>
      <c r="D490" s="14" t="s">
        <v>2671</v>
      </c>
      <c r="E490" s="15" t="str">
        <f>HYPERLINK("https://stat100.ameba.jp/tnk47/ratio20/illustrations/card/ill_78413_notamochichan03.jpg?201901-2-RELEASE-unionbattle-388xx", "■")</f>
        <v>■</v>
      </c>
      <c r="F490" s="14" t="s">
        <v>2672</v>
      </c>
      <c r="G490" s="14">
        <v>33266</v>
      </c>
      <c r="H490" s="14">
        <v>27660</v>
      </c>
      <c r="I490" s="14">
        <v>16</v>
      </c>
      <c r="J490" s="14" t="s">
        <v>104</v>
      </c>
      <c r="K490" s="14" t="s">
        <v>2673</v>
      </c>
      <c r="L490" s="14" t="s">
        <v>2674</v>
      </c>
      <c r="M490" s="14" t="s">
        <v>9158</v>
      </c>
      <c r="N490" s="14" t="s">
        <v>9158</v>
      </c>
      <c r="O490" s="14" t="s">
        <v>9158</v>
      </c>
      <c r="P490" s="14" t="s">
        <v>9158</v>
      </c>
      <c r="Q490" s="14" t="s">
        <v>9158</v>
      </c>
      <c r="R490" s="14"/>
    </row>
    <row r="491" spans="1:18">
      <c r="A491" s="9">
        <v>78423</v>
      </c>
      <c r="B491" s="14" t="s">
        <v>30</v>
      </c>
      <c r="C491" s="14" t="s">
        <v>2001</v>
      </c>
      <c r="D491" s="14" t="s">
        <v>2675</v>
      </c>
      <c r="E491" s="15" t="str">
        <f>HYPERLINK("https://stat100.ameba.jp/tnk47/ratio20/illustrations/card/ill_78423_xmasirohahime03.jpg?201901-2-RELEASE-unionbattle-388xx", "■")</f>
        <v>■</v>
      </c>
      <c r="F491" s="14" t="s">
        <v>2676</v>
      </c>
      <c r="G491" s="14">
        <v>16914</v>
      </c>
      <c r="H491" s="14">
        <v>20140</v>
      </c>
      <c r="I491" s="14">
        <v>16</v>
      </c>
      <c r="J491" s="14" t="s">
        <v>77</v>
      </c>
      <c r="K491" s="14" t="s">
        <v>2677</v>
      </c>
      <c r="L491" s="14" t="s">
        <v>1736</v>
      </c>
      <c r="M491" s="14" t="s">
        <v>9158</v>
      </c>
      <c r="N491" s="14" t="s">
        <v>9158</v>
      </c>
      <c r="O491" s="14" t="s">
        <v>9158</v>
      </c>
      <c r="P491" s="14" t="s">
        <v>9158</v>
      </c>
      <c r="Q491" s="14" t="s">
        <v>9158</v>
      </c>
      <c r="R491" s="14"/>
    </row>
    <row r="492" spans="1:18">
      <c r="B492" s="14"/>
      <c r="C492" s="14"/>
      <c r="D492" s="14"/>
      <c r="F492" s="14"/>
      <c r="G492" s="14"/>
      <c r="H492" s="14"/>
      <c r="I492" s="14"/>
      <c r="J492" s="14"/>
      <c r="K492" s="14"/>
      <c r="L492" s="14"/>
      <c r="M492" s="14"/>
      <c r="N492" s="14"/>
      <c r="P492" s="14"/>
      <c r="Q492" s="14"/>
      <c r="R492" s="14"/>
    </row>
    <row r="493" spans="1:18">
      <c r="A493" s="14" t="s">
        <v>114</v>
      </c>
      <c r="D493" s="14"/>
      <c r="F493" s="14"/>
      <c r="G493" s="14"/>
      <c r="H493" s="14"/>
      <c r="I493" s="14"/>
      <c r="J493" s="14"/>
      <c r="K493" s="14"/>
      <c r="L493" s="14"/>
      <c r="M493" s="14"/>
      <c r="N493" s="14"/>
      <c r="P493" s="14"/>
      <c r="Q493" s="14"/>
      <c r="R493" s="14"/>
    </row>
    <row r="494" spans="1:18">
      <c r="A494" s="14" t="s">
        <v>2689</v>
      </c>
      <c r="B494" s="14"/>
      <c r="C494" s="14"/>
      <c r="D494" s="14"/>
      <c r="F494" s="14"/>
      <c r="G494" s="14"/>
      <c r="H494" s="14"/>
      <c r="I494" s="14"/>
      <c r="J494" s="14"/>
      <c r="K494" s="14"/>
      <c r="L494" s="14"/>
      <c r="M494" s="14"/>
      <c r="N494" s="14"/>
      <c r="P494" s="14"/>
      <c r="Q494" s="14"/>
      <c r="R494" s="14"/>
    </row>
    <row r="495" spans="1:18">
      <c r="A495" s="9" t="s">
        <v>5899</v>
      </c>
      <c r="B495" s="14" t="s">
        <v>330</v>
      </c>
      <c r="C495" s="14" t="s">
        <v>205</v>
      </c>
      <c r="D495" s="14" t="s">
        <v>1185</v>
      </c>
      <c r="E495" s="15" t="str">
        <f>HYPERLINK("https://stat100.ameba.jp/tnk47/ratio20/illustrations/card/ill_73773_0_umibirakiinugamigyobu03.jpg?201901-2-RELEASE-unionbattle-388xx", "■")</f>
        <v>■</v>
      </c>
      <c r="F495" s="14" t="s">
        <v>935</v>
      </c>
      <c r="G495" s="14">
        <v>147514</v>
      </c>
      <c r="H495" s="14">
        <v>158667</v>
      </c>
      <c r="I495" s="14">
        <v>17</v>
      </c>
      <c r="J495" s="14" t="s">
        <v>73</v>
      </c>
      <c r="K495" s="14" t="s">
        <v>1186</v>
      </c>
      <c r="L495" s="14" t="s">
        <v>1187</v>
      </c>
      <c r="M495" s="14" t="s">
        <v>9158</v>
      </c>
      <c r="N495" s="14" t="s">
        <v>9158</v>
      </c>
      <c r="O495" s="9" t="s">
        <v>2978</v>
      </c>
      <c r="P495" s="14" t="s">
        <v>2979</v>
      </c>
      <c r="Q495" s="14">
        <v>2</v>
      </c>
      <c r="R495" s="14"/>
    </row>
    <row r="496" spans="1:18">
      <c r="A496" s="9" t="s">
        <v>5618</v>
      </c>
      <c r="B496" s="14" t="s">
        <v>330</v>
      </c>
      <c r="C496" s="14" t="s">
        <v>200</v>
      </c>
      <c r="D496" s="14" t="s">
        <v>83</v>
      </c>
      <c r="E496" s="15" t="str">
        <f>HYPERLINK("https://stat100.ameba.jp/tnk47/ratio20/illustrations/card/ill_63173_0_minazukikonakaiteruko03.jpg?201901-2-RELEASE-unionbattle-388xx", "■")</f>
        <v>■</v>
      </c>
      <c r="F496" s="14" t="s">
        <v>1188</v>
      </c>
      <c r="G496" s="14">
        <v>147552</v>
      </c>
      <c r="H496" s="14">
        <v>158684</v>
      </c>
      <c r="I496" s="14">
        <v>17</v>
      </c>
      <c r="J496" s="14" t="s">
        <v>143</v>
      </c>
      <c r="K496" s="14" t="s">
        <v>1189</v>
      </c>
      <c r="L496" s="14" t="s">
        <v>1190</v>
      </c>
      <c r="M496" s="14" t="s">
        <v>9158</v>
      </c>
      <c r="N496" s="14" t="s">
        <v>9158</v>
      </c>
      <c r="O496" s="9" t="s">
        <v>3328</v>
      </c>
      <c r="P496" s="14" t="s">
        <v>3329</v>
      </c>
      <c r="Q496" s="14">
        <v>1</v>
      </c>
      <c r="R496" s="14"/>
    </row>
    <row r="497" spans="1:18">
      <c r="A497" s="9">
        <v>78143</v>
      </c>
      <c r="B497" s="14" t="s">
        <v>334</v>
      </c>
      <c r="C497" s="14" t="s">
        <v>203</v>
      </c>
      <c r="D497" s="14" t="s">
        <v>2686</v>
      </c>
      <c r="E497" s="15" t="str">
        <f>HYPERLINK("https://stat100.ameba.jp/tnk47/ratio20/illustrations/card/ill_78143_kanibarukuin03.jpg?201901-2-RELEASE-unionbattle-388xx", "■")</f>
        <v>■</v>
      </c>
      <c r="F497" s="14" t="s">
        <v>2687</v>
      </c>
      <c r="G497" s="14">
        <v>88624</v>
      </c>
      <c r="H497" s="14">
        <v>122366</v>
      </c>
      <c r="I497" s="14">
        <v>24</v>
      </c>
      <c r="J497" s="14" t="s">
        <v>26</v>
      </c>
      <c r="K497" s="14" t="s">
        <v>2688</v>
      </c>
      <c r="L497" s="14" t="s">
        <v>2137</v>
      </c>
      <c r="M497" s="14" t="s">
        <v>9158</v>
      </c>
      <c r="N497" s="14" t="s">
        <v>9158</v>
      </c>
      <c r="O497" s="9" t="s">
        <v>3896</v>
      </c>
      <c r="P497" s="14" t="s">
        <v>3897</v>
      </c>
      <c r="Q497" s="14">
        <v>1</v>
      </c>
      <c r="R497" s="14"/>
    </row>
    <row r="498" spans="1:18">
      <c r="A498" s="9">
        <v>65623</v>
      </c>
      <c r="B498" s="14" t="s">
        <v>334</v>
      </c>
      <c r="C498" s="14" t="s">
        <v>209</v>
      </c>
      <c r="D498" s="14" t="s">
        <v>2490</v>
      </c>
      <c r="E498" s="15" t="str">
        <f>HYPERLINK("https://stat100.ameba.jp/tnk47/ratio20/illustrations/card/ill_65623_hosoyajudayu03.jpg?201901-2-RELEASE-unionbattle-388xx", "■")</f>
        <v>■</v>
      </c>
      <c r="F498" s="14" t="s">
        <v>2491</v>
      </c>
      <c r="G498" s="14">
        <v>139716</v>
      </c>
      <c r="H498" s="14">
        <v>101199</v>
      </c>
      <c r="I498" s="14">
        <v>21</v>
      </c>
      <c r="J498" s="14" t="s">
        <v>143</v>
      </c>
      <c r="K498" s="14" t="s">
        <v>2492</v>
      </c>
      <c r="L498" s="14" t="s">
        <v>145</v>
      </c>
      <c r="M498" s="14" t="s">
        <v>9158</v>
      </c>
      <c r="N498" s="14" t="s">
        <v>9158</v>
      </c>
      <c r="O498" s="14" t="s">
        <v>9158</v>
      </c>
      <c r="P498" s="14" t="s">
        <v>9158</v>
      </c>
      <c r="Q498" s="14" t="s">
        <v>9158</v>
      </c>
      <c r="R498" s="14"/>
    </row>
    <row r="499" spans="1:18">
      <c r="A499" s="9">
        <v>62043</v>
      </c>
      <c r="B499" s="14" t="s">
        <v>334</v>
      </c>
      <c r="C499" s="14" t="s">
        <v>203</v>
      </c>
      <c r="D499" s="14" t="s">
        <v>2493</v>
      </c>
      <c r="E499" s="15" t="str">
        <f>HYPERLINK("https://stat100.ameba.jp/tnk47/ratio20/illustrations/card/ill_62043_niutsuhimenookami03.jpg?201901-2-RELEASE-unionbattle-388xx", "■")</f>
        <v>■</v>
      </c>
      <c r="F499" s="14" t="s">
        <v>2022</v>
      </c>
      <c r="G499" s="14">
        <v>69430</v>
      </c>
      <c r="H499" s="14">
        <v>95859</v>
      </c>
      <c r="I499" s="14">
        <v>21</v>
      </c>
      <c r="J499" s="14" t="s">
        <v>44</v>
      </c>
      <c r="K499" s="14" t="s">
        <v>2494</v>
      </c>
      <c r="L499" s="14" t="s">
        <v>2086</v>
      </c>
      <c r="M499" s="14" t="s">
        <v>9158</v>
      </c>
      <c r="N499" s="14" t="s">
        <v>9158</v>
      </c>
      <c r="O499" s="9" t="s">
        <v>3452</v>
      </c>
      <c r="P499" s="14" t="s">
        <v>13145</v>
      </c>
      <c r="Q499" s="14">
        <v>1</v>
      </c>
      <c r="R499" s="14"/>
    </row>
    <row r="500" spans="1:18">
      <c r="A500" s="9">
        <v>57113</v>
      </c>
      <c r="B500" s="14" t="s">
        <v>334</v>
      </c>
      <c r="C500" s="14" t="s">
        <v>262</v>
      </c>
      <c r="D500" s="14" t="s">
        <v>2495</v>
      </c>
      <c r="E500" s="15" t="str">
        <f>HYPERLINK("https://stat100.ameba.jp/tnk47/ratio20/illustrations/card/ill_57113_furenchitosuto03.jpg?201901-2-RELEASE-unionbattle-388xx", "■")</f>
        <v>■</v>
      </c>
      <c r="F500" s="14" t="s">
        <v>2496</v>
      </c>
      <c r="G500" s="14">
        <v>63547</v>
      </c>
      <c r="H500" s="14">
        <v>86668</v>
      </c>
      <c r="I500" s="14">
        <v>21</v>
      </c>
      <c r="J500" s="14" t="s">
        <v>104</v>
      </c>
      <c r="K500" s="14" t="s">
        <v>2497</v>
      </c>
      <c r="L500" s="14" t="s">
        <v>2498</v>
      </c>
      <c r="M500" s="14" t="s">
        <v>9158</v>
      </c>
      <c r="N500" s="14" t="s">
        <v>9158</v>
      </c>
      <c r="O500" s="14" t="s">
        <v>9158</v>
      </c>
      <c r="P500" s="14" t="s">
        <v>9158</v>
      </c>
      <c r="Q500" s="14" t="s">
        <v>9158</v>
      </c>
      <c r="R500" s="14"/>
    </row>
    <row r="501" spans="1:18">
      <c r="A501" s="9">
        <v>61433</v>
      </c>
      <c r="B501" s="14" t="s">
        <v>334</v>
      </c>
      <c r="C501" s="14" t="s">
        <v>200</v>
      </c>
      <c r="D501" s="14" t="s">
        <v>74</v>
      </c>
      <c r="E501" s="15" t="str">
        <f>HYPERLINK("https://stat100.ameba.jp/tnk47/ratio20/illustrations/card/ill_61433_isehime03.jpg?201901-2-RELEASE-unionbattle-388xx", "■")</f>
        <v>■</v>
      </c>
      <c r="F501" s="14" t="s">
        <v>78</v>
      </c>
      <c r="G501" s="14">
        <v>91779</v>
      </c>
      <c r="H501" s="14">
        <v>66487</v>
      </c>
      <c r="I501" s="14">
        <v>21</v>
      </c>
      <c r="J501" s="14" t="s">
        <v>77</v>
      </c>
      <c r="K501" s="14" t="s">
        <v>75</v>
      </c>
      <c r="L501" s="14" t="s">
        <v>76</v>
      </c>
      <c r="M501" s="14" t="s">
        <v>9158</v>
      </c>
      <c r="N501" s="14" t="s">
        <v>9158</v>
      </c>
      <c r="O501" s="9" t="s">
        <v>2717</v>
      </c>
      <c r="P501" s="14" t="s">
        <v>13123</v>
      </c>
      <c r="Q501" s="14">
        <v>1</v>
      </c>
      <c r="R501" s="14"/>
    </row>
    <row r="502" spans="1:18">
      <c r="A502" s="9">
        <v>65633</v>
      </c>
      <c r="B502" s="14" t="s">
        <v>334</v>
      </c>
      <c r="C502" s="14" t="s">
        <v>203</v>
      </c>
      <c r="D502" s="14" t="s">
        <v>69</v>
      </c>
      <c r="E502" s="15" t="str">
        <f>HYPERLINK("https://stat100.ameba.jp/tnk47/ratio20/illustrations/card/ill_65633_shinnoakugoro03.jpg?201901-2-RELEASE-unionbattle-388xx", "■")</f>
        <v>■</v>
      </c>
      <c r="F502" s="14" t="s">
        <v>70</v>
      </c>
      <c r="G502" s="14">
        <v>97925</v>
      </c>
      <c r="H502" s="14">
        <v>70942</v>
      </c>
      <c r="I502" s="14">
        <v>21</v>
      </c>
      <c r="J502" s="14" t="s">
        <v>73</v>
      </c>
      <c r="K502" s="14" t="s">
        <v>71</v>
      </c>
      <c r="L502" s="14" t="s">
        <v>72</v>
      </c>
      <c r="M502" s="14" t="s">
        <v>9158</v>
      </c>
      <c r="N502" s="14" t="s">
        <v>9158</v>
      </c>
      <c r="O502" s="14" t="s">
        <v>9158</v>
      </c>
      <c r="P502" s="14" t="s">
        <v>9158</v>
      </c>
      <c r="Q502" s="14" t="s">
        <v>9158</v>
      </c>
      <c r="R502" s="14"/>
    </row>
    <row r="503" spans="1:18">
      <c r="B503" s="14"/>
      <c r="C503" s="14"/>
      <c r="D503" s="14"/>
      <c r="F503" s="14"/>
      <c r="G503" s="14"/>
      <c r="H503" s="14"/>
      <c r="I503" s="14"/>
      <c r="J503" s="14"/>
      <c r="K503" s="14"/>
      <c r="L503" s="14"/>
      <c r="M503" s="14"/>
      <c r="N503" s="14"/>
      <c r="P503" s="14"/>
      <c r="Q503" s="14"/>
      <c r="R503" s="14"/>
    </row>
    <row r="504" spans="1:18">
      <c r="A504" s="14" t="s">
        <v>1214</v>
      </c>
      <c r="D504" s="14"/>
      <c r="F504" s="14"/>
      <c r="G504" s="14"/>
      <c r="H504" s="14"/>
      <c r="I504" s="14"/>
      <c r="J504" s="14"/>
      <c r="K504" s="14"/>
      <c r="L504" s="14"/>
      <c r="M504" s="14"/>
      <c r="N504" s="14"/>
      <c r="P504" s="14"/>
      <c r="Q504" s="14"/>
      <c r="R504" s="14"/>
    </row>
    <row r="505" spans="1:18">
      <c r="A505" s="14" t="s">
        <v>1215</v>
      </c>
      <c r="B505" s="14"/>
      <c r="C505" s="14"/>
      <c r="D505" s="14"/>
      <c r="F505" s="14"/>
      <c r="G505" s="14"/>
      <c r="H505" s="14"/>
      <c r="I505" s="14"/>
      <c r="J505" s="14"/>
      <c r="K505" s="14"/>
      <c r="L505" s="14"/>
      <c r="M505" s="14"/>
      <c r="N505" s="14"/>
      <c r="P505" s="14"/>
      <c r="Q505" s="14"/>
      <c r="R505" s="14"/>
    </row>
    <row r="506" spans="1:18">
      <c r="A506" s="9">
        <v>76073</v>
      </c>
      <c r="B506" s="14" t="s">
        <v>334</v>
      </c>
      <c r="C506" s="14" t="s">
        <v>154</v>
      </c>
      <c r="D506" s="14" t="s">
        <v>1216</v>
      </c>
      <c r="E506" s="15" t="str">
        <f>HYPERLINK("https://stat100.ameba.jp/tnk47/ratio20/illustrations/card/ill_76073_kokidogatapatobatora03.jpg?201901-3-RELEASE-dice-e-389", "■")</f>
        <v>■</v>
      </c>
      <c r="F506" s="14" t="s">
        <v>1217</v>
      </c>
      <c r="G506" s="14">
        <v>134446</v>
      </c>
      <c r="H506" s="14">
        <v>125008</v>
      </c>
      <c r="I506" s="14">
        <v>22</v>
      </c>
      <c r="J506" s="14" t="s">
        <v>143</v>
      </c>
      <c r="K506" s="14" t="s">
        <v>1218</v>
      </c>
      <c r="L506" s="14" t="s">
        <v>1219</v>
      </c>
      <c r="M506" s="14" t="s">
        <v>9158</v>
      </c>
      <c r="N506" s="14" t="s">
        <v>9158</v>
      </c>
      <c r="O506" s="14" t="s">
        <v>9158</v>
      </c>
      <c r="P506" s="14" t="s">
        <v>9158</v>
      </c>
      <c r="Q506" s="14" t="s">
        <v>9158</v>
      </c>
      <c r="R506" s="14"/>
    </row>
    <row r="507" spans="1:18">
      <c r="A507" s="9">
        <v>76083</v>
      </c>
      <c r="B507" s="14" t="s">
        <v>334</v>
      </c>
      <c r="C507" s="14" t="s">
        <v>158</v>
      </c>
      <c r="D507" s="14" t="s">
        <v>1220</v>
      </c>
      <c r="E507" s="15" t="str">
        <f>HYPERLINK("https://stat100.ameba.jp/tnk47/ratio20/illustrations/card/ill_76083_dokutamedeikku03.jpg?201901-3-RELEASE-dice-e-389", "■")</f>
        <v>■</v>
      </c>
      <c r="F507" s="14" t="s">
        <v>1221</v>
      </c>
      <c r="G507" s="14">
        <v>96610</v>
      </c>
      <c r="H507" s="14">
        <v>103888</v>
      </c>
      <c r="I507" s="14">
        <v>22</v>
      </c>
      <c r="J507" s="14" t="s">
        <v>16</v>
      </c>
      <c r="K507" s="14" t="s">
        <v>1222</v>
      </c>
      <c r="L507" s="14" t="s">
        <v>1223</v>
      </c>
      <c r="M507" s="14" t="s">
        <v>9158</v>
      </c>
      <c r="N507" s="14" t="s">
        <v>9158</v>
      </c>
      <c r="O507" s="14" t="s">
        <v>9158</v>
      </c>
      <c r="P507" s="14" t="s">
        <v>9158</v>
      </c>
      <c r="Q507" s="14" t="s">
        <v>9158</v>
      </c>
      <c r="R507" s="14"/>
    </row>
    <row r="508" spans="1:18">
      <c r="A508" s="9">
        <v>76093</v>
      </c>
      <c r="B508" s="14" t="s">
        <v>334</v>
      </c>
      <c r="C508" s="14" t="s">
        <v>202</v>
      </c>
      <c r="D508" s="14" t="s">
        <v>1224</v>
      </c>
      <c r="E508" s="15" t="str">
        <f>HYPERLINK("https://stat100.ameba.jp/tnk47/ratio20/illustrations/card/ill_76093_fuaiafuaita03.jpg?201901-3-RELEASE-dice-e-389", "■")</f>
        <v>■</v>
      </c>
      <c r="F508" s="14" t="s">
        <v>1225</v>
      </c>
      <c r="G508" s="14">
        <v>96610</v>
      </c>
      <c r="H508" s="14">
        <v>103888</v>
      </c>
      <c r="I508" s="14">
        <v>22</v>
      </c>
      <c r="J508" s="14" t="s">
        <v>10</v>
      </c>
      <c r="K508" s="14" t="s">
        <v>1226</v>
      </c>
      <c r="L508" s="14" t="s">
        <v>1227</v>
      </c>
      <c r="M508" s="14" t="s">
        <v>9158</v>
      </c>
      <c r="N508" s="14" t="s">
        <v>9158</v>
      </c>
      <c r="O508" s="14" t="s">
        <v>9158</v>
      </c>
      <c r="P508" s="14" t="s">
        <v>9158</v>
      </c>
      <c r="Q508" s="14" t="s">
        <v>9158</v>
      </c>
      <c r="R508" s="14"/>
    </row>
    <row r="509" spans="1:18">
      <c r="A509" s="9">
        <v>74413</v>
      </c>
      <c r="B509" s="14" t="s">
        <v>334</v>
      </c>
      <c r="C509" s="14" t="s">
        <v>202</v>
      </c>
      <c r="D509" s="14" t="s">
        <v>36</v>
      </c>
      <c r="E509" s="15" t="str">
        <f>HYPERLINK("https://stat100.ameba.jp/tnk47/ratio20/illustrations/card/ill_74413_mutekisenkanyamato03.jpg?201901-3-RELEASE-dice-e-389", "■")</f>
        <v>■</v>
      </c>
      <c r="F509" s="14" t="s">
        <v>37</v>
      </c>
      <c r="G509" s="14">
        <v>129556</v>
      </c>
      <c r="H509" s="14">
        <v>120470</v>
      </c>
      <c r="I509" s="14">
        <v>22</v>
      </c>
      <c r="J509" s="14" t="s">
        <v>38</v>
      </c>
      <c r="K509" s="14" t="s">
        <v>39</v>
      </c>
      <c r="L509" s="14" t="s">
        <v>40</v>
      </c>
      <c r="M509" s="14" t="s">
        <v>9158</v>
      </c>
      <c r="N509" s="14" t="s">
        <v>9158</v>
      </c>
      <c r="O509" s="14" t="s">
        <v>9158</v>
      </c>
      <c r="P509" s="14" t="s">
        <v>9158</v>
      </c>
      <c r="Q509" s="14" t="s">
        <v>9158</v>
      </c>
      <c r="R509" s="14"/>
    </row>
    <row r="510" spans="1:18">
      <c r="A510" s="9">
        <v>74373</v>
      </c>
      <c r="B510" s="14" t="s">
        <v>334</v>
      </c>
      <c r="C510" s="14" t="s">
        <v>203</v>
      </c>
      <c r="D510" s="14" t="s">
        <v>42</v>
      </c>
      <c r="E510" s="15" t="str">
        <f>HYPERLINK("https://stat100.ameba.jp/tnk47/ratio20/illustrations/card/ill_74373_shirasaginomaihimejijou03.jpg?201901-3-RELEASE-dice-e-389", "■")</f>
        <v>■</v>
      </c>
      <c r="F510" s="14" t="s">
        <v>43</v>
      </c>
      <c r="G510" s="14">
        <v>86778</v>
      </c>
      <c r="H510" s="14">
        <v>80708</v>
      </c>
      <c r="I510" s="14">
        <v>22</v>
      </c>
      <c r="J510" s="14" t="s">
        <v>44</v>
      </c>
      <c r="K510" s="14" t="s">
        <v>45</v>
      </c>
      <c r="L510" s="14" t="s">
        <v>46</v>
      </c>
      <c r="M510" s="14" t="s">
        <v>9158</v>
      </c>
      <c r="N510" s="14" t="s">
        <v>9158</v>
      </c>
      <c r="O510" s="14" t="s">
        <v>9158</v>
      </c>
      <c r="P510" s="14" t="s">
        <v>9158</v>
      </c>
      <c r="Q510" s="14" t="s">
        <v>9158</v>
      </c>
      <c r="R510" s="14"/>
    </row>
    <row r="511" spans="1:18">
      <c r="A511" s="9">
        <v>74363</v>
      </c>
      <c r="B511" s="14" t="s">
        <v>334</v>
      </c>
      <c r="C511" s="14" t="s">
        <v>209</v>
      </c>
      <c r="D511" s="14" t="s">
        <v>48</v>
      </c>
      <c r="E511" s="15" t="str">
        <f>HYPERLINK("https://stat100.ameba.jp/tnk47/ratio20/illustrations/card/ill_74363_gantorikuren03.jpg?201901-3-RELEASE-dice-e-389", "■")</f>
        <v>■</v>
      </c>
      <c r="F511" s="14" t="s">
        <v>49</v>
      </c>
      <c r="G511" s="14">
        <v>82978</v>
      </c>
      <c r="H511" s="14">
        <v>89222</v>
      </c>
      <c r="I511" s="14">
        <v>22</v>
      </c>
      <c r="J511" s="14" t="s">
        <v>26</v>
      </c>
      <c r="K511" s="14" t="s">
        <v>50</v>
      </c>
      <c r="L511" s="14" t="s">
        <v>12</v>
      </c>
      <c r="M511" s="14" t="s">
        <v>9158</v>
      </c>
      <c r="N511" s="14" t="s">
        <v>9158</v>
      </c>
      <c r="O511" s="14" t="s">
        <v>9158</v>
      </c>
      <c r="P511" s="14" t="s">
        <v>9158</v>
      </c>
      <c r="Q511" s="14" t="s">
        <v>9158</v>
      </c>
      <c r="R511" s="14"/>
    </row>
    <row r="512" spans="1:18">
      <c r="B512" s="14"/>
      <c r="C512" s="14"/>
      <c r="D512" s="14"/>
      <c r="F512" s="14"/>
      <c r="G512" s="14"/>
      <c r="H512" s="14"/>
      <c r="I512" s="14"/>
      <c r="J512" s="14"/>
      <c r="K512" s="14"/>
      <c r="L512" s="14"/>
      <c r="M512" s="14"/>
      <c r="N512" s="14"/>
      <c r="P512" s="14"/>
      <c r="Q512" s="14"/>
      <c r="R512" s="14"/>
    </row>
    <row r="513" spans="1:18">
      <c r="A513" s="14" t="s">
        <v>195</v>
      </c>
      <c r="D513" s="14"/>
      <c r="F513" s="14"/>
      <c r="G513" s="14"/>
      <c r="H513" s="14"/>
      <c r="I513" s="14"/>
      <c r="J513" s="14"/>
      <c r="K513" s="14"/>
      <c r="L513" s="14"/>
      <c r="M513" s="14"/>
      <c r="N513" s="14"/>
      <c r="P513" s="14"/>
      <c r="Q513" s="14"/>
      <c r="R513" s="14"/>
    </row>
    <row r="514" spans="1:18">
      <c r="A514" s="14" t="s">
        <v>1228</v>
      </c>
      <c r="B514" s="14"/>
      <c r="C514" s="14"/>
      <c r="D514" s="14"/>
      <c r="F514" s="14"/>
      <c r="G514" s="14"/>
      <c r="H514" s="14"/>
      <c r="I514" s="14"/>
      <c r="J514" s="14"/>
      <c r="K514" s="14"/>
      <c r="L514" s="14"/>
      <c r="M514" s="14"/>
      <c r="N514" s="14"/>
      <c r="P514" s="14"/>
      <c r="Q514" s="14"/>
      <c r="R514" s="14"/>
    </row>
    <row r="515" spans="1:18">
      <c r="A515" s="9">
        <v>71013</v>
      </c>
      <c r="B515" s="14" t="s">
        <v>334</v>
      </c>
      <c r="C515" s="14" t="s">
        <v>154</v>
      </c>
      <c r="D515" s="14" t="s">
        <v>1229</v>
      </c>
      <c r="E515" s="15" t="str">
        <f>HYPERLINK("https://stat100.ameba.jp/tnk47/ratio20/illustrations/card/ill_71013_fujutsushisarashina03.jpg?201901-3-RELEASE-dice-e-389", "■")</f>
        <v>■</v>
      </c>
      <c r="F515" s="14" t="s">
        <v>838</v>
      </c>
      <c r="G515" s="14">
        <v>84214</v>
      </c>
      <c r="H515" s="14">
        <v>90574</v>
      </c>
      <c r="I515" s="14">
        <v>21</v>
      </c>
      <c r="J515" s="14" t="s">
        <v>155</v>
      </c>
      <c r="K515" s="14" t="s">
        <v>1231</v>
      </c>
      <c r="L515" s="14" t="s">
        <v>13152</v>
      </c>
      <c r="M515" s="14" t="s">
        <v>9158</v>
      </c>
      <c r="N515" s="14" t="s">
        <v>9158</v>
      </c>
      <c r="O515" s="14" t="s">
        <v>9158</v>
      </c>
      <c r="P515" s="14" t="s">
        <v>9158</v>
      </c>
      <c r="Q515" s="14" t="s">
        <v>9158</v>
      </c>
      <c r="R515" s="14"/>
    </row>
    <row r="516" spans="1:18">
      <c r="A516" s="9">
        <v>71023</v>
      </c>
      <c r="B516" s="14" t="s">
        <v>334</v>
      </c>
      <c r="C516" s="14" t="s">
        <v>158</v>
      </c>
      <c r="D516" s="14" t="s">
        <v>1230</v>
      </c>
      <c r="E516" s="15" t="str">
        <f>HYPERLINK("https://stat100.ameba.jp/tnk47/ratio20/illustrations/card/ill_71023_ommyojiiroha03.jpg?201901-3-RELEASE-dice-e-389", "■")</f>
        <v>■</v>
      </c>
      <c r="F516" s="14" t="s">
        <v>842</v>
      </c>
      <c r="G516" s="14">
        <v>84214</v>
      </c>
      <c r="H516" s="14">
        <v>90574</v>
      </c>
      <c r="I516" s="14">
        <v>21</v>
      </c>
      <c r="J516" s="14" t="s">
        <v>159</v>
      </c>
      <c r="K516" s="14" t="s">
        <v>1232</v>
      </c>
      <c r="L516" s="14" t="s">
        <v>1233</v>
      </c>
      <c r="M516" s="14" t="s">
        <v>9158</v>
      </c>
      <c r="N516" s="14" t="s">
        <v>9158</v>
      </c>
      <c r="O516" s="14" t="s">
        <v>9158</v>
      </c>
      <c r="P516" s="14" t="s">
        <v>9158</v>
      </c>
      <c r="Q516" s="14" t="s">
        <v>9158</v>
      </c>
      <c r="R516" s="14"/>
    </row>
    <row r="517" spans="1:18">
      <c r="A517" s="9">
        <v>46063</v>
      </c>
      <c r="B517" s="14" t="s">
        <v>334</v>
      </c>
      <c r="C517" s="14" t="s">
        <v>165</v>
      </c>
      <c r="D517" s="14" t="s">
        <v>166</v>
      </c>
      <c r="E517" s="15" t="str">
        <f>HYPERLINK("https://stat100.ameba.jp/tnk47/ratio20/illustrations/card/ill_46063_kongorikishizo03.jpg?201901-3-RELEASE-dice-e-389", "■")</f>
        <v>■</v>
      </c>
      <c r="F517" s="14" t="s">
        <v>167</v>
      </c>
      <c r="G517" s="14">
        <v>91114</v>
      </c>
      <c r="H517" s="14">
        <v>65502</v>
      </c>
      <c r="I517" s="14">
        <v>21</v>
      </c>
      <c r="J517" s="14" t="s">
        <v>169</v>
      </c>
      <c r="K517" s="14" t="s">
        <v>1234</v>
      </c>
      <c r="L517" s="14" t="s">
        <v>13126</v>
      </c>
      <c r="M517" s="14" t="s">
        <v>9158</v>
      </c>
      <c r="N517" s="14" t="s">
        <v>9158</v>
      </c>
      <c r="O517" s="14" t="s">
        <v>9158</v>
      </c>
      <c r="P517" s="14" t="s">
        <v>9158</v>
      </c>
      <c r="Q517" s="14" t="s">
        <v>9158</v>
      </c>
      <c r="R517" s="14"/>
    </row>
    <row r="518" spans="1:18">
      <c r="A518" s="9">
        <v>30303</v>
      </c>
      <c r="B518" s="14" t="s">
        <v>334</v>
      </c>
      <c r="C518" s="14" t="s">
        <v>203</v>
      </c>
      <c r="D518" s="14" t="s">
        <v>1235</v>
      </c>
      <c r="E518" s="15" t="str">
        <f>HYPERLINK("https://stat100.ameba.jp/tnk47/ratio20/illustrations/card/ill_30303_makaihimiko03.jpg?201901-3-RELEASE-dice-e-389", "■")</f>
        <v>■</v>
      </c>
      <c r="F518" s="14" t="s">
        <v>171</v>
      </c>
      <c r="G518" s="14">
        <v>80942</v>
      </c>
      <c r="H518" s="14">
        <v>75254</v>
      </c>
      <c r="I518" s="14">
        <v>21</v>
      </c>
      <c r="J518" s="14" t="s">
        <v>173</v>
      </c>
      <c r="K518" s="14" t="s">
        <v>172</v>
      </c>
      <c r="L518" s="14" t="s">
        <v>13127</v>
      </c>
      <c r="M518" s="14" t="s">
        <v>9158</v>
      </c>
      <c r="N518" s="14" t="s">
        <v>9158</v>
      </c>
      <c r="O518" s="14" t="s">
        <v>9158</v>
      </c>
      <c r="P518" s="14" t="s">
        <v>9158</v>
      </c>
      <c r="Q518" s="14" t="s">
        <v>9158</v>
      </c>
      <c r="R518" s="14"/>
    </row>
    <row r="519" spans="1:18">
      <c r="B519" s="14"/>
      <c r="C519" s="14"/>
      <c r="D519" s="14"/>
      <c r="F519" s="14"/>
      <c r="G519" s="14"/>
      <c r="H519" s="14"/>
      <c r="I519" s="14"/>
      <c r="J519" s="14"/>
      <c r="K519" s="14"/>
      <c r="L519" s="14"/>
      <c r="M519" s="14"/>
      <c r="N519" s="14"/>
      <c r="P519" s="14"/>
      <c r="Q519" s="14"/>
      <c r="R519" s="14"/>
    </row>
    <row r="520" spans="1:18">
      <c r="A520" s="14" t="s">
        <v>135</v>
      </c>
      <c r="D520" s="14"/>
      <c r="F520" s="14"/>
      <c r="G520" s="14"/>
      <c r="H520" s="14"/>
      <c r="I520" s="14"/>
      <c r="J520" s="14"/>
      <c r="K520" s="14"/>
      <c r="L520" s="14"/>
      <c r="M520" s="14"/>
      <c r="N520" s="14"/>
      <c r="P520" s="14"/>
      <c r="Q520" s="14"/>
      <c r="R520" s="14"/>
    </row>
    <row r="521" spans="1:18">
      <c r="A521" s="14" t="s">
        <v>2690</v>
      </c>
      <c r="B521" s="14"/>
      <c r="C521" s="14"/>
      <c r="D521" s="14"/>
      <c r="F521" s="14"/>
      <c r="G521" s="14"/>
      <c r="H521" s="14"/>
      <c r="I521" s="14"/>
      <c r="J521" s="14"/>
      <c r="K521" s="14"/>
      <c r="L521" s="14"/>
      <c r="M521" s="14"/>
      <c r="N521" s="14"/>
      <c r="P521" s="14"/>
      <c r="Q521" s="14"/>
      <c r="R521" s="14"/>
    </row>
    <row r="522" spans="1:18">
      <c r="A522" s="9" t="s">
        <v>5650</v>
      </c>
      <c r="B522" s="14" t="s">
        <v>330</v>
      </c>
      <c r="C522" s="14" t="s">
        <v>200</v>
      </c>
      <c r="D522" s="14" t="s">
        <v>2691</v>
      </c>
      <c r="E522" s="15" t="str">
        <f>HYPERLINK("https://stat100.ameba.jp/tnk47/ratio20/illustrations/card/ill_68033_0_kurisumasupateikandamyojin03.jpg?201801-3-RELEASE-dice-e-389", "■")</f>
        <v>■</v>
      </c>
      <c r="F522" s="14" t="s">
        <v>1871</v>
      </c>
      <c r="G522" s="14">
        <v>146235</v>
      </c>
      <c r="H522" s="14">
        <v>157306</v>
      </c>
      <c r="I522" s="14">
        <v>23</v>
      </c>
      <c r="J522" s="14" t="s">
        <v>169</v>
      </c>
      <c r="K522" s="14" t="s">
        <v>2692</v>
      </c>
      <c r="L522" s="14" t="s">
        <v>13181</v>
      </c>
      <c r="M522" s="14" t="s">
        <v>9158</v>
      </c>
      <c r="N522" s="14" t="s">
        <v>9158</v>
      </c>
      <c r="O522" s="9" t="s">
        <v>3482</v>
      </c>
      <c r="P522" s="14" t="s">
        <v>3483</v>
      </c>
      <c r="Q522" s="14">
        <v>2</v>
      </c>
      <c r="R522" s="14"/>
    </row>
    <row r="523" spans="1:18">
      <c r="A523" s="9">
        <v>71323</v>
      </c>
      <c r="B523" s="14" t="s">
        <v>334</v>
      </c>
      <c r="C523" s="14" t="s">
        <v>154</v>
      </c>
      <c r="D523" s="14" t="s">
        <v>2693</v>
      </c>
      <c r="E523" s="15" t="str">
        <f>HYPERLINK("https://stat100.ameba.jp/tnk47/ratio20/illustrations/card/ill_71323_kodanobu03.jpg?201801-3-RELEASE-dice-e-389", "■")</f>
        <v>■</v>
      </c>
      <c r="F523" s="14" t="s">
        <v>1879</v>
      </c>
      <c r="G523" s="14">
        <v>105000</v>
      </c>
      <c r="H523" s="14">
        <v>97629</v>
      </c>
      <c r="I523" s="14">
        <v>21</v>
      </c>
      <c r="J523" s="14" t="s">
        <v>159</v>
      </c>
      <c r="K523" s="14" t="s">
        <v>2694</v>
      </c>
      <c r="L523" s="14" t="s">
        <v>13182</v>
      </c>
      <c r="M523" s="14" t="s">
        <v>9158</v>
      </c>
      <c r="N523" s="14" t="s">
        <v>9158</v>
      </c>
      <c r="O523" s="17" t="s">
        <v>10055</v>
      </c>
      <c r="P523" s="14" t="s">
        <v>13124</v>
      </c>
      <c r="Q523" s="14">
        <v>1</v>
      </c>
      <c r="R523" s="14"/>
    </row>
    <row r="524" spans="1:18">
      <c r="A524" s="9">
        <v>58343</v>
      </c>
      <c r="B524" s="14" t="s">
        <v>334</v>
      </c>
      <c r="C524" s="14" t="s">
        <v>154</v>
      </c>
      <c r="D524" s="14" t="s">
        <v>1792</v>
      </c>
      <c r="E524" s="15" t="str">
        <f>HYPERLINK("https://stat100.ameba.jp/tnk47/ratio20/illustrations/card/ill_58343_agemakidayu03.jpg?201801-3-RELEASE-dice-e-389", "■")</f>
        <v>■</v>
      </c>
      <c r="F524" s="14" t="s">
        <v>1793</v>
      </c>
      <c r="G524" s="14">
        <v>86668</v>
      </c>
      <c r="H524" s="14">
        <v>63547</v>
      </c>
      <c r="I524" s="14">
        <v>21</v>
      </c>
      <c r="J524" s="14" t="s">
        <v>38</v>
      </c>
      <c r="K524" s="14" t="s">
        <v>1794</v>
      </c>
      <c r="L524" s="14" t="s">
        <v>1795</v>
      </c>
      <c r="M524" s="14" t="s">
        <v>9158</v>
      </c>
      <c r="N524" s="14" t="s">
        <v>9158</v>
      </c>
      <c r="O524" s="9" t="s">
        <v>2912</v>
      </c>
      <c r="P524" s="14" t="s">
        <v>13122</v>
      </c>
      <c r="Q524" s="14">
        <v>1</v>
      </c>
      <c r="R524" s="14"/>
    </row>
    <row r="525" spans="1:18">
      <c r="A525" s="9">
        <v>56443</v>
      </c>
      <c r="B525" s="14" t="s">
        <v>334</v>
      </c>
      <c r="C525" s="14" t="s">
        <v>205</v>
      </c>
      <c r="D525" s="14" t="s">
        <v>1350</v>
      </c>
      <c r="E525" s="15" t="str">
        <f>HYPERLINK("https://stat100.ameba.jp/tnk47/ratio20/illustrations/card/ill_56443_poppukurisumasuizumonokuni03.jpg?201801-3-RELEASE-dice-e-389", "■")</f>
        <v>■</v>
      </c>
      <c r="F525" s="14" t="s">
        <v>1151</v>
      </c>
      <c r="G525" s="14">
        <v>75254</v>
      </c>
      <c r="H525" s="14">
        <v>80942</v>
      </c>
      <c r="I525" s="14">
        <v>21</v>
      </c>
      <c r="J525" s="14" t="s">
        <v>173</v>
      </c>
      <c r="K525" s="14" t="s">
        <v>1351</v>
      </c>
      <c r="L525" s="14" t="s">
        <v>13161</v>
      </c>
      <c r="M525" s="14" t="s">
        <v>9158</v>
      </c>
      <c r="N525" s="14" t="s">
        <v>9158</v>
      </c>
      <c r="O525" s="9" t="s">
        <v>3661</v>
      </c>
      <c r="P525" s="14" t="s">
        <v>3662</v>
      </c>
      <c r="Q525" s="14">
        <v>1</v>
      </c>
      <c r="R525" s="14"/>
    </row>
    <row r="526" spans="1:18">
      <c r="B526" s="14"/>
      <c r="C526" s="14"/>
      <c r="D526" s="14"/>
      <c r="F526" s="14"/>
      <c r="G526" s="14"/>
      <c r="H526" s="14"/>
      <c r="I526" s="14"/>
      <c r="J526" s="14"/>
      <c r="K526" s="14"/>
      <c r="L526" s="14"/>
      <c r="M526" s="14"/>
      <c r="N526" s="14"/>
      <c r="P526" s="14"/>
      <c r="Q526" s="14"/>
      <c r="R526" s="14"/>
    </row>
    <row r="527" spans="1:18">
      <c r="A527" s="14" t="s">
        <v>2695</v>
      </c>
      <c r="D527" s="14"/>
      <c r="F527" s="14"/>
      <c r="G527" s="14"/>
      <c r="H527" s="14"/>
      <c r="I527" s="14"/>
      <c r="J527" s="14"/>
      <c r="K527" s="14"/>
      <c r="L527" s="14"/>
      <c r="M527" s="14"/>
      <c r="N527" s="14"/>
      <c r="P527" s="14"/>
      <c r="Q527" s="14"/>
      <c r="R527" s="14"/>
    </row>
    <row r="528" spans="1:18">
      <c r="A528" s="14" t="s">
        <v>1257</v>
      </c>
      <c r="B528" s="14"/>
      <c r="C528" s="14"/>
      <c r="D528" s="14"/>
      <c r="F528" s="14"/>
      <c r="G528" s="14"/>
      <c r="H528" s="14"/>
      <c r="I528" s="14"/>
      <c r="J528" s="14"/>
      <c r="K528" s="14"/>
      <c r="L528" s="14"/>
      <c r="M528" s="14"/>
      <c r="N528" s="14"/>
      <c r="P528" s="14"/>
      <c r="Q528" s="14"/>
      <c r="R528" s="14"/>
    </row>
    <row r="529" spans="1:18">
      <c r="A529" s="9" t="s">
        <v>5901</v>
      </c>
      <c r="B529" s="14" t="s">
        <v>330</v>
      </c>
      <c r="C529" s="14" t="s">
        <v>191</v>
      </c>
      <c r="D529" s="14" t="s">
        <v>2089</v>
      </c>
      <c r="E529" s="15" t="str">
        <f>HYPERLINK("https://stat100.ameba.jp/tnk47/ratio20/illustrations/card/ill_64953_0_yukatatokugawayoshinobu03.jpg?201901-3-RELEASE-dice-e-389", "■")</f>
        <v>■</v>
      </c>
      <c r="F529" s="14" t="s">
        <v>2090</v>
      </c>
      <c r="G529" s="14">
        <v>93450</v>
      </c>
      <c r="H529" s="14">
        <v>100502</v>
      </c>
      <c r="I529" s="14">
        <v>15</v>
      </c>
      <c r="J529" s="14" t="s">
        <v>10</v>
      </c>
      <c r="K529" s="14" t="s">
        <v>2091</v>
      </c>
      <c r="L529" s="14" t="s">
        <v>2092</v>
      </c>
      <c r="M529" s="14" t="s">
        <v>9158</v>
      </c>
      <c r="N529" s="14" t="s">
        <v>9158</v>
      </c>
      <c r="O529" s="9" t="s">
        <v>2889</v>
      </c>
      <c r="P529" s="14" t="s">
        <v>2890</v>
      </c>
      <c r="Q529" s="14">
        <v>1</v>
      </c>
      <c r="R529" s="14"/>
    </row>
    <row r="530" spans="1:18">
      <c r="A530" s="9" t="s">
        <v>5602</v>
      </c>
      <c r="B530" s="14" t="s">
        <v>330</v>
      </c>
      <c r="C530" s="14" t="s">
        <v>185</v>
      </c>
      <c r="D530" s="14" t="s">
        <v>2093</v>
      </c>
      <c r="E530" s="15" t="str">
        <f>HYPERLINK("https://stat100.ameba.jp/tnk47/ratio20/illustrations/card/ill_55313_0_haroinononokomachi03.jpg?201901-3-RELEASE-dice-e-389", "■")</f>
        <v>■</v>
      </c>
      <c r="F530" s="14" t="s">
        <v>2094</v>
      </c>
      <c r="G530" s="14">
        <v>94236</v>
      </c>
      <c r="H530" s="14">
        <v>83712</v>
      </c>
      <c r="I530" s="14">
        <v>15</v>
      </c>
      <c r="J530" s="14" t="s">
        <v>10</v>
      </c>
      <c r="K530" s="14" t="s">
        <v>2095</v>
      </c>
      <c r="L530" s="14" t="s">
        <v>2096</v>
      </c>
      <c r="M530" s="14" t="s">
        <v>9158</v>
      </c>
      <c r="N530" s="14" t="s">
        <v>9158</v>
      </c>
      <c r="O530" s="9" t="s">
        <v>2733</v>
      </c>
      <c r="P530" s="14" t="s">
        <v>2734</v>
      </c>
      <c r="Q530" s="14">
        <v>1</v>
      </c>
      <c r="R530" s="14"/>
    </row>
    <row r="531" spans="1:18">
      <c r="A531" s="9" t="s">
        <v>5608</v>
      </c>
      <c r="B531" s="14" t="s">
        <v>330</v>
      </c>
      <c r="C531" s="14" t="s">
        <v>165</v>
      </c>
      <c r="D531" s="14" t="s">
        <v>2037</v>
      </c>
      <c r="E531" s="15" t="str">
        <f>HYPERLINK("https://stat100.ameba.jp/tnk47/ratio20/illustrations/card/ill_40963_0_makami03.jpg?201901-3-RELEASE-dice-e-389", "■")</f>
        <v>■</v>
      </c>
      <c r="F531" s="14" t="s">
        <v>2038</v>
      </c>
      <c r="G531" s="14">
        <v>87780</v>
      </c>
      <c r="H531" s="14">
        <v>82212</v>
      </c>
      <c r="I531" s="14">
        <v>15</v>
      </c>
      <c r="J531" s="14" t="s">
        <v>44</v>
      </c>
      <c r="K531" s="14" t="s">
        <v>2039</v>
      </c>
      <c r="L531" s="14" t="s">
        <v>2040</v>
      </c>
      <c r="M531" s="14" t="s">
        <v>9158</v>
      </c>
      <c r="N531" s="14" t="s">
        <v>9158</v>
      </c>
      <c r="O531" s="14" t="s">
        <v>9158</v>
      </c>
      <c r="P531" s="14" t="s">
        <v>9158</v>
      </c>
      <c r="Q531" s="14" t="s">
        <v>9158</v>
      </c>
      <c r="R531" s="14"/>
    </row>
    <row r="532" spans="1:18">
      <c r="A532" s="9">
        <v>56103</v>
      </c>
      <c r="B532" s="14" t="s">
        <v>334</v>
      </c>
      <c r="C532" s="14" t="s">
        <v>2651</v>
      </c>
      <c r="D532" s="14" t="s">
        <v>2696</v>
      </c>
      <c r="E532" s="15" t="str">
        <f>HYPERLINK("https://stat100.ameba.jp/tnk47/ratio20/illustrations/card/ill_56103_tenshitsuneyamagozen03.jpg?201901-3-RELEASE-dice-e-389", "■")</f>
        <v>■</v>
      </c>
      <c r="F532" s="14" t="s">
        <v>2697</v>
      </c>
      <c r="G532" s="14">
        <v>78838</v>
      </c>
      <c r="H532" s="14">
        <v>130416</v>
      </c>
      <c r="I532" s="14">
        <v>22</v>
      </c>
      <c r="J532" s="14" t="s">
        <v>143</v>
      </c>
      <c r="K532" s="14" t="s">
        <v>2698</v>
      </c>
      <c r="L532" s="14" t="s">
        <v>2699</v>
      </c>
      <c r="M532" s="14" t="s">
        <v>9158</v>
      </c>
      <c r="N532" s="14" t="s">
        <v>9158</v>
      </c>
      <c r="O532" s="14" t="s">
        <v>9158</v>
      </c>
      <c r="P532" s="14" t="s">
        <v>9158</v>
      </c>
      <c r="Q532" s="14" t="s">
        <v>9158</v>
      </c>
      <c r="R532" s="14"/>
    </row>
    <row r="533" spans="1:18">
      <c r="A533" s="9">
        <v>56583</v>
      </c>
      <c r="B533" s="14" t="s">
        <v>334</v>
      </c>
      <c r="C533" s="14" t="s">
        <v>2484</v>
      </c>
      <c r="D533" s="14" t="s">
        <v>2700</v>
      </c>
      <c r="E533" s="15" t="str">
        <f>HYPERLINK("https://stat100.ameba.jp/tnk47/ratio20/illustrations/card/ill_56583_genjufurutsubakinorei03.jpg?201901-3-RELEASE-dice-e-389", "■")</f>
        <v>■</v>
      </c>
      <c r="F533" s="14" t="s">
        <v>2701</v>
      </c>
      <c r="G533" s="14">
        <v>84796</v>
      </c>
      <c r="H533" s="14">
        <v>78838</v>
      </c>
      <c r="I533" s="14">
        <v>22</v>
      </c>
      <c r="J533" s="14" t="s">
        <v>73</v>
      </c>
      <c r="K533" s="14" t="s">
        <v>2702</v>
      </c>
      <c r="L533" s="14" t="s">
        <v>2703</v>
      </c>
      <c r="M533" s="14" t="s">
        <v>9158</v>
      </c>
      <c r="N533" s="14" t="s">
        <v>9158</v>
      </c>
      <c r="O533" s="14" t="s">
        <v>9158</v>
      </c>
      <c r="P533" s="14" t="s">
        <v>9158</v>
      </c>
      <c r="Q533" s="14" t="s">
        <v>9158</v>
      </c>
      <c r="R533" s="14"/>
    </row>
    <row r="534" spans="1:18">
      <c r="A534" s="9">
        <v>73913</v>
      </c>
      <c r="B534" s="14" t="s">
        <v>334</v>
      </c>
      <c r="C534" s="14" t="s">
        <v>209</v>
      </c>
      <c r="D534" s="14" t="s">
        <v>1206</v>
      </c>
      <c r="E534" s="15" t="str">
        <f>HYPERLINK("https://stat100.ameba.jp/tnk47/ratio20/illustrations/card/ill_73913_atsutajingu03.jpg?201901-3-RELEASE-dice-e-389", "■")</f>
        <v>■</v>
      </c>
      <c r="F534" s="14" t="s">
        <v>1207</v>
      </c>
      <c r="G534" s="14">
        <v>72736</v>
      </c>
      <c r="H534" s="14">
        <v>100424</v>
      </c>
      <c r="I534" s="14">
        <v>22</v>
      </c>
      <c r="J534" s="14" t="s">
        <v>44</v>
      </c>
      <c r="K534" s="14" t="s">
        <v>1208</v>
      </c>
      <c r="L534" s="14" t="s">
        <v>1209</v>
      </c>
      <c r="M534" s="14" t="s">
        <v>9158</v>
      </c>
      <c r="N534" s="14" t="s">
        <v>9158</v>
      </c>
      <c r="O534" s="17" t="s">
        <v>10053</v>
      </c>
      <c r="P534" s="14" t="s">
        <v>2822</v>
      </c>
      <c r="Q534" s="14">
        <v>1</v>
      </c>
      <c r="R534" s="14"/>
    </row>
    <row r="535" spans="1:18">
      <c r="B535" s="14"/>
      <c r="C535" s="14"/>
      <c r="D535" s="14"/>
      <c r="F535" s="14"/>
      <c r="G535" s="14"/>
      <c r="H535" s="14"/>
      <c r="I535" s="14"/>
      <c r="J535" s="14"/>
      <c r="K535" s="14"/>
      <c r="L535" s="14"/>
      <c r="M535" s="14"/>
      <c r="N535" s="14"/>
      <c r="P535" s="14"/>
      <c r="Q535" s="14"/>
      <c r="R535" s="14"/>
    </row>
    <row r="536" spans="1:18">
      <c r="A536" s="14" t="s">
        <v>2064</v>
      </c>
      <c r="D536" s="14"/>
      <c r="F536" s="14"/>
      <c r="G536" s="14"/>
      <c r="H536" s="14"/>
      <c r="I536" s="14"/>
      <c r="J536" s="14"/>
      <c r="K536" s="14"/>
      <c r="L536" s="14"/>
      <c r="M536" s="14"/>
      <c r="N536" s="14"/>
      <c r="P536" s="14"/>
      <c r="Q536" s="14"/>
      <c r="R536" s="14"/>
    </row>
    <row r="537" spans="1:18">
      <c r="A537" s="14" t="s">
        <v>2704</v>
      </c>
      <c r="C537" s="14"/>
      <c r="D537" s="14"/>
      <c r="F537" s="14"/>
      <c r="G537" s="14"/>
      <c r="H537" s="14"/>
      <c r="I537" s="14"/>
      <c r="J537" s="14"/>
      <c r="K537" s="14"/>
      <c r="L537" s="14"/>
      <c r="M537" s="14"/>
      <c r="N537" s="14"/>
      <c r="P537" s="14"/>
      <c r="Q537" s="14"/>
      <c r="R537" s="14"/>
    </row>
    <row r="538" spans="1:18">
      <c r="A538" s="9" t="s">
        <v>10163</v>
      </c>
      <c r="B538" s="14" t="s">
        <v>117</v>
      </c>
      <c r="C538" s="14" t="s">
        <v>202</v>
      </c>
      <c r="D538" s="14" t="s">
        <v>2705</v>
      </c>
      <c r="E538" s="15" t="str">
        <f>HYPERLINK("https://stat100.ameba.jp/tnk47/ratio20/illustrations/card/ill_72733_0_taishoromankiko03.jpg?201901-3-RELEASE-dice-e-389", "■")</f>
        <v>■</v>
      </c>
      <c r="F538" s="14" t="s">
        <v>2706</v>
      </c>
      <c r="G538" s="14">
        <v>100240</v>
      </c>
      <c r="H538" s="14">
        <v>93174</v>
      </c>
      <c r="I538" s="14">
        <v>28</v>
      </c>
      <c r="J538" s="14" t="s">
        <v>26</v>
      </c>
      <c r="K538" s="14" t="s">
        <v>2707</v>
      </c>
      <c r="L538" s="14" t="s">
        <v>2708</v>
      </c>
      <c r="M538" s="14" t="s">
        <v>9158</v>
      </c>
      <c r="N538" s="14" t="s">
        <v>9158</v>
      </c>
      <c r="O538" s="14" t="s">
        <v>9158</v>
      </c>
      <c r="P538" s="14" t="s">
        <v>9158</v>
      </c>
      <c r="Q538" s="14" t="s">
        <v>9158</v>
      </c>
      <c r="R538" s="14"/>
    </row>
    <row r="539" spans="1:18">
      <c r="A539" s="9" t="s">
        <v>5618</v>
      </c>
      <c r="B539" s="14" t="s">
        <v>52</v>
      </c>
      <c r="C539" s="14" t="s">
        <v>200</v>
      </c>
      <c r="D539" s="14" t="s">
        <v>83</v>
      </c>
      <c r="E539" s="15" t="str">
        <f>HYPERLINK("https://stat100.ameba.jp/tnk47/ratio20/illustrations/card/ill_63173_0_minazukikonakaiteruko03.jpg?201901-3-RELEASE-dice-e-389", "■")</f>
        <v>■</v>
      </c>
      <c r="F539" s="14" t="s">
        <v>1188</v>
      </c>
      <c r="G539" s="14">
        <v>164912</v>
      </c>
      <c r="H539" s="14">
        <v>177354</v>
      </c>
      <c r="I539" s="14">
        <v>19</v>
      </c>
      <c r="J539" s="14" t="s">
        <v>143</v>
      </c>
      <c r="K539" s="14" t="s">
        <v>1189</v>
      </c>
      <c r="L539" s="14" t="s">
        <v>1190</v>
      </c>
      <c r="M539" s="14" t="s">
        <v>9158</v>
      </c>
      <c r="N539" s="14" t="s">
        <v>9158</v>
      </c>
      <c r="O539" s="9" t="s">
        <v>3328</v>
      </c>
      <c r="P539" s="14" t="s">
        <v>3329</v>
      </c>
      <c r="Q539" s="14">
        <v>1</v>
      </c>
      <c r="R539" s="14"/>
    </row>
    <row r="540" spans="1:18">
      <c r="A540" s="9" t="s">
        <v>5608</v>
      </c>
      <c r="B540" s="14" t="s">
        <v>52</v>
      </c>
      <c r="C540" s="14" t="s">
        <v>165</v>
      </c>
      <c r="D540" s="14" t="s">
        <v>2037</v>
      </c>
      <c r="E540" s="15" t="str">
        <f>HYPERLINK("https://stat100.ameba.jp/tnk47/ratio20/illustrations/card/ill_40963_0_makami03.jpg?201901-3-RELEASE-dice-e-389", "■")</f>
        <v>■</v>
      </c>
      <c r="F540" s="14" t="s">
        <v>2038</v>
      </c>
      <c r="G540" s="14">
        <v>111188</v>
      </c>
      <c r="H540" s="14">
        <v>104134</v>
      </c>
      <c r="I540" s="14">
        <v>19</v>
      </c>
      <c r="J540" s="14" t="s">
        <v>44</v>
      </c>
      <c r="K540" s="14" t="s">
        <v>2039</v>
      </c>
      <c r="L540" s="14" t="s">
        <v>2040</v>
      </c>
      <c r="M540" s="14" t="s">
        <v>9158</v>
      </c>
      <c r="N540" s="14" t="s">
        <v>9158</v>
      </c>
      <c r="O540" s="14" t="s">
        <v>9158</v>
      </c>
      <c r="P540" s="14" t="s">
        <v>9158</v>
      </c>
      <c r="Q540" s="14" t="s">
        <v>9158</v>
      </c>
      <c r="R540" s="14"/>
    </row>
    <row r="541" spans="1:18">
      <c r="A541" s="9">
        <v>73893</v>
      </c>
      <c r="B541" s="14" t="s">
        <v>0</v>
      </c>
      <c r="C541" s="14" t="s">
        <v>158</v>
      </c>
      <c r="D541" s="14" t="s">
        <v>2061</v>
      </c>
      <c r="E541" s="15" t="str">
        <f>HYPERLINK("https://stat100.ameba.jp/tnk47/ratio20/illustrations/card/ill_73893_kurohachidaimyojintookami03.jpg?201901-3-RELEASE-dice-e-389", "■")</f>
        <v>■</v>
      </c>
      <c r="F541" s="14" t="s">
        <v>2062</v>
      </c>
      <c r="G541" s="14">
        <v>107166</v>
      </c>
      <c r="H541" s="14">
        <v>77618</v>
      </c>
      <c r="I541" s="14">
        <v>21</v>
      </c>
      <c r="J541" s="14" t="s">
        <v>38</v>
      </c>
      <c r="K541" s="14" t="s">
        <v>2063</v>
      </c>
      <c r="L541" s="14" t="s">
        <v>68</v>
      </c>
      <c r="M541" s="14" t="s">
        <v>9158</v>
      </c>
      <c r="N541" s="14" t="s">
        <v>9158</v>
      </c>
      <c r="O541" s="9" t="s">
        <v>3809</v>
      </c>
      <c r="P541" s="14" t="s">
        <v>3810</v>
      </c>
      <c r="Q541" s="14">
        <v>1</v>
      </c>
      <c r="R541" s="14"/>
    </row>
    <row r="542" spans="1:18">
      <c r="A542" s="9">
        <v>64023</v>
      </c>
      <c r="B542" s="14" t="s">
        <v>0</v>
      </c>
      <c r="C542" s="14" t="s">
        <v>154</v>
      </c>
      <c r="D542" s="14" t="s">
        <v>1784</v>
      </c>
      <c r="E542" s="15" t="str">
        <f>HYPERLINK("https://stat100.ameba.jp/tnk47/ratio20/illustrations/card/ill_64023_mojabune03.jpg?201901-3-RELEASE-dice-e-389", "■")</f>
        <v>■</v>
      </c>
      <c r="F542" s="14" t="s">
        <v>1785</v>
      </c>
      <c r="G542" s="14">
        <v>70942</v>
      </c>
      <c r="H542" s="14">
        <v>97925</v>
      </c>
      <c r="I542" s="14">
        <v>21</v>
      </c>
      <c r="J542" s="14" t="s">
        <v>73</v>
      </c>
      <c r="K542" s="14" t="s">
        <v>1786</v>
      </c>
      <c r="L542" s="14" t="s">
        <v>1787</v>
      </c>
      <c r="M542" s="14" t="s">
        <v>9158</v>
      </c>
      <c r="N542" s="14" t="s">
        <v>9158</v>
      </c>
      <c r="O542" s="14" t="s">
        <v>9158</v>
      </c>
      <c r="P542" s="14" t="s">
        <v>9158</v>
      </c>
      <c r="Q542" s="14" t="s">
        <v>9158</v>
      </c>
      <c r="R542" s="14"/>
    </row>
    <row r="543" spans="1:18">
      <c r="A543" s="9">
        <v>61353</v>
      </c>
      <c r="B543" s="14" t="s">
        <v>0</v>
      </c>
      <c r="C543" s="14" t="s">
        <v>158</v>
      </c>
      <c r="D543" s="14" t="s">
        <v>1199</v>
      </c>
      <c r="E543" s="15" t="str">
        <f>HYPERLINK("https://stat100.ameba.jp/tnk47/ratio20/illustrations/card/ill_61353_shinkidohimiko03.jpg?201901-3-RELEASE-dice-e-389", "■")</f>
        <v>■</v>
      </c>
      <c r="F543" s="14" t="s">
        <v>1200</v>
      </c>
      <c r="G543" s="14">
        <v>91779</v>
      </c>
      <c r="H543" s="14">
        <v>66487</v>
      </c>
      <c r="I543" s="14">
        <v>21</v>
      </c>
      <c r="J543" s="14" t="s">
        <v>10</v>
      </c>
      <c r="K543" s="14" t="s">
        <v>1201</v>
      </c>
      <c r="L543" s="14" t="s">
        <v>1202</v>
      </c>
      <c r="M543" s="14" t="s">
        <v>9158</v>
      </c>
      <c r="N543" s="14" t="s">
        <v>9158</v>
      </c>
      <c r="O543" s="14" t="s">
        <v>9158</v>
      </c>
      <c r="P543" s="14" t="s">
        <v>9158</v>
      </c>
      <c r="Q543" s="14" t="s">
        <v>9158</v>
      </c>
      <c r="R543" s="14"/>
    </row>
    <row r="544" spans="1:18">
      <c r="B544" s="14"/>
      <c r="C544" s="14"/>
      <c r="D544" s="14"/>
      <c r="F544" s="14"/>
      <c r="G544" s="14"/>
      <c r="H544" s="14"/>
      <c r="I544" s="14"/>
      <c r="J544" s="14"/>
      <c r="K544" s="14"/>
      <c r="L544" s="14"/>
      <c r="M544" s="14"/>
      <c r="N544" s="14"/>
      <c r="P544" s="14"/>
      <c r="Q544" s="14"/>
      <c r="R544" s="14"/>
    </row>
    <row r="545" spans="1:18">
      <c r="A545" s="14" t="s">
        <v>13326</v>
      </c>
      <c r="D545" s="14"/>
      <c r="F545" s="14"/>
      <c r="G545" s="14"/>
      <c r="H545" s="14"/>
      <c r="I545" s="14"/>
      <c r="J545" s="14"/>
      <c r="K545" s="14"/>
      <c r="L545" s="14"/>
      <c r="M545" s="14"/>
      <c r="N545" s="14"/>
      <c r="P545" s="14"/>
      <c r="Q545" s="14"/>
      <c r="R545" s="14"/>
    </row>
    <row r="546" spans="1:18">
      <c r="A546" s="14" t="s">
        <v>2709</v>
      </c>
      <c r="B546" s="14"/>
      <c r="C546" s="14"/>
      <c r="D546" s="14"/>
      <c r="F546" s="14"/>
      <c r="G546" s="14"/>
      <c r="H546" s="14"/>
      <c r="I546" s="14"/>
      <c r="J546" s="14"/>
      <c r="K546" s="14"/>
      <c r="L546" s="14"/>
      <c r="M546" s="14"/>
      <c r="N546" s="14"/>
      <c r="P546" s="14"/>
      <c r="Q546" s="14"/>
      <c r="R546" s="14"/>
    </row>
    <row r="547" spans="1:18">
      <c r="A547" s="9">
        <v>69293</v>
      </c>
      <c r="B547" s="14" t="s">
        <v>334</v>
      </c>
      <c r="C547" s="14" t="s">
        <v>185</v>
      </c>
      <c r="D547" s="14" t="s">
        <v>1155</v>
      </c>
      <c r="E547" s="15" t="str">
        <f>HYPERLINK("https://stat100.ameba.jp/tnk47/ratio20/illustrations/card/ill_69293_merukishiru03.jpg?201901-3-RELEASE-dice-e-389", "■")</f>
        <v>■</v>
      </c>
      <c r="F547" s="14" t="s">
        <v>1156</v>
      </c>
      <c r="G547" s="14">
        <v>103384</v>
      </c>
      <c r="H547" s="14">
        <v>96121</v>
      </c>
      <c r="I547" s="14">
        <v>21</v>
      </c>
      <c r="J547" s="14" t="s">
        <v>414</v>
      </c>
      <c r="K547" s="14" t="s">
        <v>1170</v>
      </c>
      <c r="L547" s="14" t="s">
        <v>9902</v>
      </c>
      <c r="M547" s="14" t="s">
        <v>13151</v>
      </c>
      <c r="N547" s="14" t="s">
        <v>251</v>
      </c>
      <c r="O547" s="14" t="s">
        <v>9158</v>
      </c>
      <c r="P547" s="14" t="s">
        <v>9158</v>
      </c>
      <c r="Q547" s="14" t="s">
        <v>9158</v>
      </c>
      <c r="R547" s="14"/>
    </row>
    <row r="548" spans="1:18">
      <c r="A548" s="9">
        <v>69292</v>
      </c>
      <c r="B548" s="14" t="s">
        <v>334</v>
      </c>
      <c r="C548" s="14" t="s">
        <v>185</v>
      </c>
      <c r="D548" s="14" t="s">
        <v>1155</v>
      </c>
      <c r="E548" s="15" t="str">
        <f>HYPERLINK("https://stat100.ameba.jp/tnk47/ratio20/illustrations/card/ill_69292_merukishiru02.jpg?201901-3-RELEASE-dice-e-389", "■")</f>
        <v>■</v>
      </c>
      <c r="F548" s="14" t="s">
        <v>1156</v>
      </c>
      <c r="G548" s="14">
        <v>86423</v>
      </c>
      <c r="H548" s="14">
        <v>79610</v>
      </c>
      <c r="I548" s="14">
        <v>21</v>
      </c>
      <c r="J548" s="14" t="s">
        <v>414</v>
      </c>
      <c r="K548" s="14" t="s">
        <v>1170</v>
      </c>
      <c r="L548" s="14" t="s">
        <v>9902</v>
      </c>
      <c r="M548" s="14" t="s">
        <v>13151</v>
      </c>
      <c r="N548" s="14" t="s">
        <v>251</v>
      </c>
      <c r="O548" s="14" t="s">
        <v>9158</v>
      </c>
      <c r="P548" s="14" t="s">
        <v>9158</v>
      </c>
      <c r="Q548" s="14" t="s">
        <v>9158</v>
      </c>
      <c r="R548" s="14"/>
    </row>
    <row r="549" spans="1:18">
      <c r="A549" s="9">
        <v>69291</v>
      </c>
      <c r="B549" s="14" t="s">
        <v>334</v>
      </c>
      <c r="C549" s="14" t="s">
        <v>185</v>
      </c>
      <c r="D549" s="14" t="s">
        <v>1155</v>
      </c>
      <c r="E549" s="15" t="str">
        <f>HYPERLINK("https://stat100.ameba.jp/tnk47/ratio20/illustrations/card/ill_69291_merukishiru01.jpg?201901-3-RELEASE-dice-e-389", "■")</f>
        <v>■</v>
      </c>
      <c r="F549" s="14" t="s">
        <v>1156</v>
      </c>
      <c r="G549" s="14">
        <v>65982</v>
      </c>
      <c r="H549" s="14">
        <v>61425</v>
      </c>
      <c r="I549" s="14">
        <v>21</v>
      </c>
      <c r="J549" s="14" t="s">
        <v>414</v>
      </c>
      <c r="K549" s="14" t="s">
        <v>1170</v>
      </c>
      <c r="L549" s="14" t="s">
        <v>9902</v>
      </c>
      <c r="M549" s="14" t="s">
        <v>13151</v>
      </c>
      <c r="N549" s="14" t="s">
        <v>251</v>
      </c>
      <c r="O549" s="14" t="s">
        <v>9158</v>
      </c>
      <c r="P549" s="14" t="s">
        <v>9158</v>
      </c>
      <c r="Q549" s="14" t="s">
        <v>9158</v>
      </c>
      <c r="R549" s="14"/>
    </row>
    <row r="550" spans="1:18">
      <c r="A550" s="9">
        <v>69303</v>
      </c>
      <c r="B550" s="14" t="s">
        <v>334</v>
      </c>
      <c r="C550" s="14" t="s">
        <v>200</v>
      </c>
      <c r="D550" s="14" t="s">
        <v>1157</v>
      </c>
      <c r="E550" s="15" t="str">
        <f>HYPERLINK("https://stat100.ameba.jp/tnk47/ratio20/illustrations/card/ill_69303_torumushaito03.jpg?201901-3-RELEASE-dice-e-389", "■")</f>
        <v>■</v>
      </c>
      <c r="F550" s="14" t="s">
        <v>1162</v>
      </c>
      <c r="G550" s="14">
        <v>103384</v>
      </c>
      <c r="H550" s="14">
        <v>96121</v>
      </c>
      <c r="I550" s="14">
        <v>21</v>
      </c>
      <c r="J550" s="14" t="s">
        <v>369</v>
      </c>
      <c r="K550" s="14" t="s">
        <v>1171</v>
      </c>
      <c r="L550" s="14" t="s">
        <v>9903</v>
      </c>
      <c r="M550" s="14" t="s">
        <v>13151</v>
      </c>
      <c r="N550" s="14" t="s">
        <v>251</v>
      </c>
      <c r="O550" s="14" t="s">
        <v>9158</v>
      </c>
      <c r="P550" s="14" t="s">
        <v>9158</v>
      </c>
      <c r="Q550" s="14" t="s">
        <v>9158</v>
      </c>
      <c r="R550" s="14"/>
    </row>
    <row r="551" spans="1:18">
      <c r="A551" s="9">
        <v>69313</v>
      </c>
      <c r="B551" s="14" t="s">
        <v>334</v>
      </c>
      <c r="C551" s="14" t="s">
        <v>191</v>
      </c>
      <c r="D551" s="14" t="s">
        <v>1158</v>
      </c>
      <c r="E551" s="15" t="str">
        <f>HYPERLINK("https://stat100.ameba.jp/tnk47/ratio20/illustrations/card/ill_69313_teishutoriya03.jpg?201901-3-RELEASE-dice-e-389", "■")</f>
        <v>■</v>
      </c>
      <c r="F551" s="14" t="s">
        <v>1163</v>
      </c>
      <c r="G551" s="14">
        <v>96121</v>
      </c>
      <c r="H551" s="14">
        <v>103384</v>
      </c>
      <c r="I551" s="14">
        <v>21</v>
      </c>
      <c r="J551" s="14" t="s">
        <v>401</v>
      </c>
      <c r="K551" s="14" t="s">
        <v>1172</v>
      </c>
      <c r="L551" s="14" t="s">
        <v>9904</v>
      </c>
      <c r="M551" s="14" t="s">
        <v>13151</v>
      </c>
      <c r="N551" s="14" t="s">
        <v>251</v>
      </c>
      <c r="O551" s="14" t="s">
        <v>9158</v>
      </c>
      <c r="P551" s="14" t="s">
        <v>9158</v>
      </c>
      <c r="Q551" s="14" t="s">
        <v>9158</v>
      </c>
      <c r="R551" s="14"/>
    </row>
    <row r="552" spans="1:18">
      <c r="A552" s="9">
        <v>69323</v>
      </c>
      <c r="B552" s="14" t="s">
        <v>334</v>
      </c>
      <c r="C552" s="14" t="s">
        <v>165</v>
      </c>
      <c r="D552" s="14" t="s">
        <v>1159</v>
      </c>
      <c r="E552" s="15" t="str">
        <f>HYPERLINK("https://stat100.ameba.jp/tnk47/ratio20/illustrations/card/ill_69323_fujitsubonomiya03.jpg?201901-3-RELEASE-dice-e-389", "■")</f>
        <v>■</v>
      </c>
      <c r="F552" s="14" t="s">
        <v>1164</v>
      </c>
      <c r="G552" s="14">
        <v>96121</v>
      </c>
      <c r="H552" s="14">
        <v>103384</v>
      </c>
      <c r="I552" s="14">
        <v>21</v>
      </c>
      <c r="J552" s="14" t="s">
        <v>1167</v>
      </c>
      <c r="K552" s="14" t="s">
        <v>1173</v>
      </c>
      <c r="L552" s="14" t="s">
        <v>9905</v>
      </c>
      <c r="M552" s="14" t="s">
        <v>13151</v>
      </c>
      <c r="N552" s="14" t="s">
        <v>251</v>
      </c>
      <c r="O552" s="14" t="s">
        <v>9158</v>
      </c>
      <c r="P552" s="14" t="s">
        <v>9158</v>
      </c>
      <c r="Q552" s="14" t="s">
        <v>9158</v>
      </c>
      <c r="R552" s="14"/>
    </row>
    <row r="553" spans="1:18">
      <c r="A553" s="9">
        <v>69333</v>
      </c>
      <c r="B553" s="14" t="s">
        <v>334</v>
      </c>
      <c r="C553" s="14" t="s">
        <v>205</v>
      </c>
      <c r="D553" s="14" t="s">
        <v>1160</v>
      </c>
      <c r="E553" s="15" t="str">
        <f>HYPERLINK("https://stat100.ameba.jp/tnk47/ratio20/illustrations/card/ill_69333_mefuisutofueresu03.jpg?201901-3-RELEASE-dice-e-389", "■")</f>
        <v>■</v>
      </c>
      <c r="F553" s="14" t="s">
        <v>1165</v>
      </c>
      <c r="G553" s="14">
        <v>103384</v>
      </c>
      <c r="H553" s="14">
        <v>96121</v>
      </c>
      <c r="I553" s="14">
        <v>21</v>
      </c>
      <c r="J553" s="14" t="s">
        <v>1168</v>
      </c>
      <c r="K553" s="14" t="s">
        <v>1174</v>
      </c>
      <c r="L553" s="14" t="s">
        <v>9906</v>
      </c>
      <c r="M553" s="14" t="s">
        <v>13151</v>
      </c>
      <c r="N553" s="14" t="s">
        <v>251</v>
      </c>
      <c r="O553" s="14" t="s">
        <v>9158</v>
      </c>
      <c r="P553" s="14" t="s">
        <v>9158</v>
      </c>
      <c r="Q553" s="14" t="s">
        <v>9158</v>
      </c>
      <c r="R553" s="14"/>
    </row>
    <row r="554" spans="1:18">
      <c r="A554" s="9">
        <v>69343</v>
      </c>
      <c r="B554" s="14" t="s">
        <v>334</v>
      </c>
      <c r="C554" s="14" t="s">
        <v>206</v>
      </c>
      <c r="D554" s="14" t="s">
        <v>1161</v>
      </c>
      <c r="E554" s="15" t="str">
        <f>HYPERLINK("https://stat100.ameba.jp/tnk47/ratio20/illustrations/card/ill_69343_teikinnofuire03.jpg?201901-3-RELEASE-dice-e-389", "■")</f>
        <v>■</v>
      </c>
      <c r="F554" s="14" t="s">
        <v>1166</v>
      </c>
      <c r="G554" s="14">
        <v>96121</v>
      </c>
      <c r="H554" s="14">
        <v>103384</v>
      </c>
      <c r="I554" s="14">
        <v>21</v>
      </c>
      <c r="J554" s="14" t="s">
        <v>1169</v>
      </c>
      <c r="K554" s="14" t="s">
        <v>1175</v>
      </c>
      <c r="L554" s="14" t="s">
        <v>9907</v>
      </c>
      <c r="M554" s="14" t="s">
        <v>13151</v>
      </c>
      <c r="N554" s="14" t="s">
        <v>251</v>
      </c>
      <c r="O554" s="14" t="s">
        <v>9158</v>
      </c>
      <c r="P554" s="14" t="s">
        <v>9158</v>
      </c>
      <c r="Q554" s="14" t="s">
        <v>9158</v>
      </c>
      <c r="R554" s="14"/>
    </row>
    <row r="555" spans="1:18">
      <c r="B555" s="14"/>
      <c r="C555" s="14"/>
      <c r="D555" s="14"/>
      <c r="F555" s="14"/>
      <c r="G555" s="14"/>
      <c r="H555" s="14"/>
      <c r="I555" s="14"/>
      <c r="J555" s="14"/>
      <c r="K555" s="14"/>
      <c r="L555" s="14"/>
      <c r="M555" s="14"/>
      <c r="N555" s="14"/>
      <c r="P555" s="14"/>
      <c r="Q555" s="14"/>
      <c r="R555" s="14"/>
    </row>
    <row r="556" spans="1:18">
      <c r="A556" s="14" t="s">
        <v>132</v>
      </c>
      <c r="D556" s="14"/>
      <c r="F556" s="14"/>
      <c r="G556" s="14"/>
      <c r="H556" s="14"/>
      <c r="I556" s="14"/>
      <c r="J556" s="14"/>
      <c r="K556" s="14"/>
      <c r="L556" s="14"/>
      <c r="M556" s="14"/>
      <c r="N556" s="14"/>
      <c r="P556" s="14"/>
      <c r="Q556" s="14"/>
      <c r="R556" s="14"/>
    </row>
    <row r="557" spans="1:18">
      <c r="A557" s="14" t="s">
        <v>2710</v>
      </c>
      <c r="B557" s="14"/>
      <c r="C557" s="14"/>
      <c r="D557" s="14"/>
      <c r="F557" s="14"/>
      <c r="G557" s="14"/>
      <c r="H557" s="14"/>
      <c r="I557" s="14"/>
      <c r="J557" s="14"/>
      <c r="K557" s="14"/>
      <c r="L557" s="14"/>
      <c r="M557" s="14"/>
      <c r="N557" s="14"/>
      <c r="P557" s="14"/>
      <c r="Q557" s="14"/>
      <c r="R557" s="14"/>
    </row>
    <row r="558" spans="1:18">
      <c r="A558" s="9">
        <v>58985</v>
      </c>
      <c r="B558" s="14" t="s">
        <v>0</v>
      </c>
      <c r="C558" s="14" t="s">
        <v>202</v>
      </c>
      <c r="D558" s="14" t="s">
        <v>151</v>
      </c>
      <c r="E558" s="15" t="str">
        <f>HYPERLINK("https://stat100.ameba.jp/tnk47/ratio20/illustrations/card/ill_58985_nanachanningyo05.jpg?201901-3-RELEASE-dice-e-389", "■")</f>
        <v>■</v>
      </c>
      <c r="F558" s="14" t="s">
        <v>1323</v>
      </c>
      <c r="G558" s="14">
        <v>115636</v>
      </c>
      <c r="H558" s="14">
        <v>83723</v>
      </c>
      <c r="I558" s="14">
        <v>21</v>
      </c>
      <c r="J558" s="14" t="s">
        <v>26</v>
      </c>
      <c r="K558" s="14" t="s">
        <v>1324</v>
      </c>
      <c r="L558" s="14" t="s">
        <v>1325</v>
      </c>
      <c r="M558" s="14" t="s">
        <v>9158</v>
      </c>
      <c r="N558" s="14" t="s">
        <v>9158</v>
      </c>
      <c r="O558" s="14" t="s">
        <v>9158</v>
      </c>
      <c r="P558" s="14" t="s">
        <v>9158</v>
      </c>
      <c r="Q558" s="14" t="s">
        <v>9158</v>
      </c>
      <c r="R558" s="14" t="s">
        <v>174</v>
      </c>
    </row>
    <row r="559" spans="1:18">
      <c r="A559" s="9">
        <v>58983</v>
      </c>
      <c r="B559" s="14" t="s">
        <v>15</v>
      </c>
      <c r="C559" s="14" t="s">
        <v>154</v>
      </c>
      <c r="D559" s="14" t="s">
        <v>151</v>
      </c>
      <c r="E559" s="15" t="str">
        <f>HYPERLINK("https://stat100.ameba.jp/tnk47/ratio20/illustrations/card/ill_58983_nanachanningyo03.jpg?201901-3-RELEASE-dice-e-389", "■")</f>
        <v>■</v>
      </c>
      <c r="F559" s="14" t="s">
        <v>1323</v>
      </c>
      <c r="G559" s="14">
        <v>83561</v>
      </c>
      <c r="H559" s="14">
        <v>60496</v>
      </c>
      <c r="I559" s="14">
        <v>21</v>
      </c>
      <c r="J559" s="14" t="s">
        <v>26</v>
      </c>
      <c r="K559" s="14" t="s">
        <v>1324</v>
      </c>
      <c r="L559" s="14" t="s">
        <v>1326</v>
      </c>
      <c r="M559" s="14" t="s">
        <v>9158</v>
      </c>
      <c r="N559" s="14" t="s">
        <v>9158</v>
      </c>
      <c r="O559" s="14" t="s">
        <v>9158</v>
      </c>
      <c r="P559" s="14" t="s">
        <v>9158</v>
      </c>
      <c r="Q559" s="14" t="s">
        <v>9158</v>
      </c>
      <c r="R559" s="14" t="s">
        <v>175</v>
      </c>
    </row>
    <row r="560" spans="1:18">
      <c r="A560" s="9">
        <v>58981</v>
      </c>
      <c r="B560" s="14" t="s">
        <v>15</v>
      </c>
      <c r="C560" s="14" t="s">
        <v>154</v>
      </c>
      <c r="D560" s="14" t="s">
        <v>151</v>
      </c>
      <c r="E560" s="15" t="str">
        <f>HYPERLINK("https://stat100.ameba.jp/tnk47/ratio20/illustrations/card/ill_58981_nanachanningyo01.jpg?201901-3-RELEASE-dice-e-389", "■")</f>
        <v>■</v>
      </c>
      <c r="F560" s="14" t="s">
        <v>1323</v>
      </c>
      <c r="G560" s="14">
        <v>48468</v>
      </c>
      <c r="H560" s="14">
        <v>35091</v>
      </c>
      <c r="I560" s="14">
        <v>21</v>
      </c>
      <c r="J560" s="14" t="s">
        <v>26</v>
      </c>
      <c r="K560" s="14" t="s">
        <v>1324</v>
      </c>
      <c r="L560" s="14" t="s">
        <v>1327</v>
      </c>
      <c r="M560" s="14" t="s">
        <v>9158</v>
      </c>
      <c r="N560" s="14" t="s">
        <v>9158</v>
      </c>
      <c r="O560" s="14" t="s">
        <v>9158</v>
      </c>
      <c r="P560" s="14" t="s">
        <v>9158</v>
      </c>
      <c r="Q560" s="14" t="s">
        <v>9158</v>
      </c>
      <c r="R560" s="14" t="s">
        <v>176</v>
      </c>
    </row>
    <row r="561" spans="1:18">
      <c r="A561" s="9">
        <v>68655</v>
      </c>
      <c r="B561" s="14" t="s">
        <v>0</v>
      </c>
      <c r="C561" s="14" t="s">
        <v>158</v>
      </c>
      <c r="D561" s="14" t="s">
        <v>1317</v>
      </c>
      <c r="E561" s="15" t="str">
        <f>HYPERLINK("https://stat100.ameba.jp/tnk47/ratio20/illustrations/card/ill_68655_hariharinabe05.jpg?201901-3-RELEASE-dice-e-389", "■")</f>
        <v>■</v>
      </c>
      <c r="F561" s="14" t="s">
        <v>1318</v>
      </c>
      <c r="G561" s="14">
        <v>105332</v>
      </c>
      <c r="H561" s="14">
        <v>76280</v>
      </c>
      <c r="I561" s="14">
        <v>21</v>
      </c>
      <c r="J561" s="14" t="s">
        <v>104</v>
      </c>
      <c r="K561" s="14" t="s">
        <v>1319</v>
      </c>
      <c r="L561" s="14" t="s">
        <v>1320</v>
      </c>
      <c r="M561" s="14" t="s">
        <v>9158</v>
      </c>
      <c r="N561" s="14" t="s">
        <v>9158</v>
      </c>
      <c r="O561" s="14" t="s">
        <v>9158</v>
      </c>
      <c r="P561" s="14" t="s">
        <v>9158</v>
      </c>
      <c r="Q561" s="14" t="s">
        <v>9158</v>
      </c>
      <c r="R561" s="14" t="s">
        <v>174</v>
      </c>
    </row>
    <row r="562" spans="1:18">
      <c r="A562" s="9">
        <v>68653</v>
      </c>
      <c r="B562" s="14" t="s">
        <v>15</v>
      </c>
      <c r="C562" s="14" t="s">
        <v>165</v>
      </c>
      <c r="D562" s="14" t="s">
        <v>1317</v>
      </c>
      <c r="E562" s="15" t="str">
        <f>HYPERLINK("https://stat100.ameba.jp/tnk47/ratio20/illustrations/card/ill_68653_hariharinabe03.jpg?201901-3-RELEASE-dice-e-389", "■")</f>
        <v>■</v>
      </c>
      <c r="F562" s="14" t="s">
        <v>1318</v>
      </c>
      <c r="G562" s="14">
        <v>77621</v>
      </c>
      <c r="H562" s="14">
        <v>56193</v>
      </c>
      <c r="I562" s="14">
        <v>21</v>
      </c>
      <c r="J562" s="14" t="s">
        <v>104</v>
      </c>
      <c r="K562" s="14" t="s">
        <v>1319</v>
      </c>
      <c r="L562" s="14" t="s">
        <v>1321</v>
      </c>
      <c r="M562" s="14" t="s">
        <v>9158</v>
      </c>
      <c r="N562" s="14" t="s">
        <v>9158</v>
      </c>
      <c r="O562" s="14" t="s">
        <v>9158</v>
      </c>
      <c r="P562" s="14" t="s">
        <v>9158</v>
      </c>
      <c r="Q562" s="14" t="s">
        <v>9158</v>
      </c>
      <c r="R562" s="14" t="s">
        <v>175</v>
      </c>
    </row>
    <row r="563" spans="1:18">
      <c r="A563" s="9">
        <v>68651</v>
      </c>
      <c r="B563" s="14" t="s">
        <v>15</v>
      </c>
      <c r="C563" s="14" t="s">
        <v>165</v>
      </c>
      <c r="D563" s="14" t="s">
        <v>1317</v>
      </c>
      <c r="E563" s="15" t="str">
        <f>HYPERLINK("https://stat100.ameba.jp/tnk47/ratio20/illustrations/card/ill_68651_hariharinabe01.jpg?201901-3-RELEASE-dice-e-389", "■")</f>
        <v>■</v>
      </c>
      <c r="F563" s="14" t="s">
        <v>1318</v>
      </c>
      <c r="G563" s="14">
        <v>49371</v>
      </c>
      <c r="H563" s="14">
        <v>35742</v>
      </c>
      <c r="I563" s="14">
        <v>21</v>
      </c>
      <c r="J563" s="14" t="s">
        <v>104</v>
      </c>
      <c r="K563" s="14" t="s">
        <v>1319</v>
      </c>
      <c r="L563" s="14" t="s">
        <v>1322</v>
      </c>
      <c r="M563" s="14" t="s">
        <v>9158</v>
      </c>
      <c r="N563" s="14" t="s">
        <v>9158</v>
      </c>
      <c r="O563" s="14" t="s">
        <v>9158</v>
      </c>
      <c r="P563" s="14" t="s">
        <v>9158</v>
      </c>
      <c r="Q563" s="14" t="s">
        <v>9158</v>
      </c>
      <c r="R563" s="14" t="s">
        <v>176</v>
      </c>
    </row>
    <row r="564" spans="1:18">
      <c r="A564" s="9">
        <v>68645</v>
      </c>
      <c r="B564" s="14" t="s">
        <v>0</v>
      </c>
      <c r="C564" s="14" t="s">
        <v>202</v>
      </c>
      <c r="D564" s="14" t="s">
        <v>2711</v>
      </c>
      <c r="E564" s="15" t="str">
        <f>HYPERLINK("https://stat100.ameba.jp/tnk47/ratio20/illustrations/card/ill_68645_miminashihoichi05.jpg?201901-3-RELEASE-dice-e-389", "■")</f>
        <v>■</v>
      </c>
      <c r="F564" s="14" t="s">
        <v>2712</v>
      </c>
      <c r="G564" s="14">
        <v>87631</v>
      </c>
      <c r="H564" s="14">
        <v>121049</v>
      </c>
      <c r="I564" s="14">
        <v>21</v>
      </c>
      <c r="J564" s="14" t="s">
        <v>38</v>
      </c>
      <c r="K564" s="14" t="s">
        <v>2713</v>
      </c>
      <c r="L564" s="14" t="s">
        <v>2714</v>
      </c>
      <c r="M564" s="14" t="s">
        <v>9158</v>
      </c>
      <c r="N564" s="14" t="s">
        <v>9158</v>
      </c>
      <c r="O564" s="14" t="s">
        <v>9158</v>
      </c>
      <c r="P564" s="14" t="s">
        <v>9158</v>
      </c>
      <c r="Q564" s="14" t="s">
        <v>9158</v>
      </c>
      <c r="R564" s="14" t="s">
        <v>174</v>
      </c>
    </row>
    <row r="565" spans="1:18">
      <c r="A565" s="9">
        <v>68643</v>
      </c>
      <c r="B565" s="14" t="s">
        <v>15</v>
      </c>
      <c r="C565" s="14" t="s">
        <v>158</v>
      </c>
      <c r="D565" s="14" t="s">
        <v>2711</v>
      </c>
      <c r="E565" s="15" t="str">
        <f>HYPERLINK("https://stat100.ameba.jp/tnk47/ratio20/illustrations/card/ill_68643_miminashihoichi03.jpg?201901-3-RELEASE-dice-e-389", "■")</f>
        <v>■</v>
      </c>
      <c r="F565" s="14" t="s">
        <v>2712</v>
      </c>
      <c r="G565" s="14">
        <v>64542</v>
      </c>
      <c r="H565" s="14">
        <v>89171</v>
      </c>
      <c r="I565" s="14">
        <v>21</v>
      </c>
      <c r="J565" s="14" t="s">
        <v>38</v>
      </c>
      <c r="K565" s="14" t="s">
        <v>2713</v>
      </c>
      <c r="L565" s="14" t="s">
        <v>2715</v>
      </c>
      <c r="M565" s="14" t="s">
        <v>9158</v>
      </c>
      <c r="N565" s="14" t="s">
        <v>9158</v>
      </c>
      <c r="O565" s="14" t="s">
        <v>9158</v>
      </c>
      <c r="P565" s="14" t="s">
        <v>9158</v>
      </c>
      <c r="Q565" s="14" t="s">
        <v>9158</v>
      </c>
      <c r="R565" s="14" t="s">
        <v>175</v>
      </c>
    </row>
    <row r="566" spans="1:18">
      <c r="A566" s="9">
        <v>68641</v>
      </c>
      <c r="B566" s="14" t="s">
        <v>15</v>
      </c>
      <c r="C566" s="14" t="s">
        <v>158</v>
      </c>
      <c r="D566" s="14" t="s">
        <v>2711</v>
      </c>
      <c r="E566" s="15" t="str">
        <f>HYPERLINK("https://stat100.ameba.jp/tnk47/ratio20/illustrations/card/ill_68641_miminashihoichi01.jpg?201901-3-RELEASE-dice-e-389", "■")</f>
        <v>■</v>
      </c>
      <c r="F566" s="14" t="s">
        <v>2712</v>
      </c>
      <c r="G566" s="14">
        <v>41076</v>
      </c>
      <c r="H566" s="14">
        <v>56721</v>
      </c>
      <c r="I566" s="14">
        <v>21</v>
      </c>
      <c r="J566" s="14" t="s">
        <v>38</v>
      </c>
      <c r="K566" s="14" t="s">
        <v>2713</v>
      </c>
      <c r="L566" s="14" t="s">
        <v>2716</v>
      </c>
      <c r="M566" s="14" t="s">
        <v>9158</v>
      </c>
      <c r="N566" s="14" t="s">
        <v>9158</v>
      </c>
      <c r="O566" s="14" t="s">
        <v>9158</v>
      </c>
      <c r="P566" s="14" t="s">
        <v>9158</v>
      </c>
      <c r="Q566" s="14" t="s">
        <v>9158</v>
      </c>
      <c r="R566" s="14" t="s">
        <v>176</v>
      </c>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8A66C-46DF-4CCE-B349-B4DE9DF0ED8B}">
  <dimension ref="A1:S36"/>
  <sheetViews>
    <sheetView zoomScale="55" zoomScaleNormal="55" workbookViewId="0">
      <pane ySplit="1" topLeftCell="A2" activePane="bottomLeft" state="frozen"/>
      <selection activeCell="D101" sqref="D101"/>
      <selection pane="bottomLeft" activeCell="D101" sqref="D101"/>
    </sheetView>
  </sheetViews>
  <sheetFormatPr defaultColWidth="8.9140625" defaultRowHeight="18"/>
  <cols>
    <col min="1" max="1" width="7.9140625" style="14" customWidth="1"/>
    <col min="2" max="2" width="3.9140625" style="14" customWidth="1"/>
    <col min="3" max="3" width="8.75" style="14" customWidth="1"/>
    <col min="4" max="4" width="25.75" style="14" customWidth="1"/>
    <col min="5" max="5" width="3.75" style="14" customWidth="1"/>
    <col min="6" max="6" width="8.9140625" style="14"/>
    <col min="7" max="8" width="7.08203125" style="14" customWidth="1"/>
    <col min="9" max="9" width="3.75" style="14" customWidth="1"/>
    <col min="10" max="10" width="5.4140625" style="14" customWidth="1"/>
    <col min="11" max="11" width="8.9140625" style="14"/>
    <col min="12" max="12" width="50.75" style="14" customWidth="1"/>
    <col min="13" max="16" width="8.9140625" style="14"/>
    <col min="17" max="17" width="3.9140625" style="14" customWidth="1"/>
    <col min="18" max="19" width="14.33203125" style="14" customWidth="1"/>
    <col min="20" max="16384" width="8.9140625" style="14"/>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9888</v>
      </c>
    </row>
    <row r="4" spans="1:19">
      <c r="B4" s="14" t="s">
        <v>15875</v>
      </c>
    </row>
    <row r="5" spans="1:19">
      <c r="B5" s="14" t="s">
        <v>15876</v>
      </c>
    </row>
    <row r="6" spans="1:19">
      <c r="B6" s="7" t="s">
        <v>52</v>
      </c>
      <c r="C6" s="14" t="s">
        <v>202</v>
      </c>
      <c r="D6" s="18"/>
      <c r="E6" s="15" t="str">
        <f>HYPERLINK("", "■")</f>
        <v>■</v>
      </c>
      <c r="I6" s="7">
        <v>35</v>
      </c>
      <c r="M6" s="14" t="s">
        <v>9158</v>
      </c>
      <c r="N6" s="14" t="s">
        <v>9158</v>
      </c>
      <c r="O6" s="7" t="s">
        <v>6596</v>
      </c>
      <c r="P6" s="7" t="s">
        <v>6596</v>
      </c>
      <c r="Q6" s="7" t="s">
        <v>6596</v>
      </c>
    </row>
    <row r="7" spans="1:19">
      <c r="B7" s="14" t="s">
        <v>0</v>
      </c>
      <c r="D7" s="18"/>
      <c r="E7" s="15" t="str">
        <f t="shared" ref="E7:E16" si="0">HYPERLINK("", "■")</f>
        <v>■</v>
      </c>
      <c r="I7" s="14">
        <v>30</v>
      </c>
      <c r="M7" s="14" t="s">
        <v>9158</v>
      </c>
      <c r="N7" s="14" t="s">
        <v>9158</v>
      </c>
      <c r="O7" s="7" t="s">
        <v>6596</v>
      </c>
      <c r="P7" s="7" t="s">
        <v>6596</v>
      </c>
      <c r="Q7" s="7" t="s">
        <v>6596</v>
      </c>
    </row>
    <row r="8" spans="1:19">
      <c r="B8" s="14" t="s">
        <v>0</v>
      </c>
      <c r="D8" s="18"/>
      <c r="E8" s="15" t="str">
        <f t="shared" si="0"/>
        <v>■</v>
      </c>
      <c r="I8" s="14">
        <v>30</v>
      </c>
      <c r="M8" s="14" t="s">
        <v>2138</v>
      </c>
      <c r="N8" s="14" t="s">
        <v>2139</v>
      </c>
      <c r="O8" s="14" t="s">
        <v>9158</v>
      </c>
      <c r="P8" s="14" t="s">
        <v>9158</v>
      </c>
      <c r="Q8" s="14" t="s">
        <v>9158</v>
      </c>
      <c r="R8" s="14" t="s">
        <v>13120</v>
      </c>
    </row>
    <row r="9" spans="1:19">
      <c r="B9" s="14" t="s">
        <v>0</v>
      </c>
      <c r="D9" s="18"/>
      <c r="E9" s="15" t="str">
        <f t="shared" si="0"/>
        <v>■</v>
      </c>
      <c r="I9" s="14">
        <v>30</v>
      </c>
      <c r="M9" s="14" t="s">
        <v>2138</v>
      </c>
      <c r="N9" s="14" t="s">
        <v>2139</v>
      </c>
      <c r="O9" s="14" t="s">
        <v>9158</v>
      </c>
      <c r="P9" s="14" t="s">
        <v>9158</v>
      </c>
      <c r="Q9" s="14" t="s">
        <v>9158</v>
      </c>
      <c r="R9" s="14" t="s">
        <v>13120</v>
      </c>
    </row>
    <row r="10" spans="1:19">
      <c r="B10" s="14" t="s">
        <v>15</v>
      </c>
      <c r="D10" s="18"/>
      <c r="E10" s="15" t="str">
        <f t="shared" si="0"/>
        <v>■</v>
      </c>
      <c r="G10" s="7"/>
      <c r="H10" s="7"/>
      <c r="I10" s="7">
        <v>30</v>
      </c>
      <c r="K10" s="7"/>
      <c r="L10" s="7"/>
      <c r="M10" s="14" t="s">
        <v>9158</v>
      </c>
      <c r="N10" s="14" t="s">
        <v>9158</v>
      </c>
      <c r="O10" s="14" t="s">
        <v>9158</v>
      </c>
      <c r="P10" s="14" t="s">
        <v>9158</v>
      </c>
      <c r="Q10" s="14" t="s">
        <v>9158</v>
      </c>
    </row>
    <row r="11" spans="1:19">
      <c r="B11" s="14" t="s">
        <v>15</v>
      </c>
      <c r="D11" s="18"/>
      <c r="E11" s="15" t="str">
        <f t="shared" si="0"/>
        <v>■</v>
      </c>
      <c r="G11" s="7"/>
      <c r="H11" s="7"/>
      <c r="I11" s="7">
        <v>30</v>
      </c>
      <c r="K11" s="7"/>
      <c r="L11" s="7"/>
      <c r="M11" s="14" t="s">
        <v>9158</v>
      </c>
      <c r="N11" s="14" t="s">
        <v>9158</v>
      </c>
      <c r="O11" s="14" t="s">
        <v>9158</v>
      </c>
      <c r="P11" s="14" t="s">
        <v>9158</v>
      </c>
      <c r="Q11" s="14" t="s">
        <v>9158</v>
      </c>
    </row>
    <row r="12" spans="1:19">
      <c r="B12" s="14" t="s">
        <v>15</v>
      </c>
      <c r="D12" s="18"/>
      <c r="E12" s="15" t="str">
        <f t="shared" si="0"/>
        <v>■</v>
      </c>
      <c r="G12" s="7"/>
      <c r="H12" s="7"/>
      <c r="I12" s="7">
        <v>30</v>
      </c>
      <c r="K12" s="7"/>
      <c r="L12" s="7"/>
      <c r="M12" s="14" t="s">
        <v>9158</v>
      </c>
      <c r="N12" s="14" t="s">
        <v>9158</v>
      </c>
      <c r="O12" s="14" t="s">
        <v>9158</v>
      </c>
      <c r="P12" s="14" t="s">
        <v>9158</v>
      </c>
      <c r="Q12" s="14" t="s">
        <v>9158</v>
      </c>
    </row>
    <row r="13" spans="1:19">
      <c r="B13" s="14" t="s">
        <v>22</v>
      </c>
      <c r="D13" s="18"/>
      <c r="E13" s="15" t="str">
        <f t="shared" si="0"/>
        <v>■</v>
      </c>
      <c r="G13" s="7"/>
      <c r="H13" s="7"/>
      <c r="I13" s="7">
        <v>27</v>
      </c>
      <c r="K13" s="7"/>
      <c r="L13" s="7"/>
      <c r="M13" s="14" t="s">
        <v>9158</v>
      </c>
      <c r="N13" s="14" t="s">
        <v>9158</v>
      </c>
      <c r="O13" s="14" t="s">
        <v>9158</v>
      </c>
      <c r="P13" s="14" t="s">
        <v>9158</v>
      </c>
      <c r="Q13" s="14" t="s">
        <v>9158</v>
      </c>
    </row>
    <row r="14" spans="1:19">
      <c r="B14" s="14" t="s">
        <v>22</v>
      </c>
      <c r="D14" s="18"/>
      <c r="E14" s="15" t="str">
        <f t="shared" si="0"/>
        <v>■</v>
      </c>
      <c r="G14" s="7"/>
      <c r="H14" s="7"/>
      <c r="I14" s="7">
        <v>27</v>
      </c>
      <c r="K14" s="7"/>
      <c r="L14" s="7"/>
      <c r="M14" s="14" t="s">
        <v>9158</v>
      </c>
      <c r="N14" s="14" t="s">
        <v>9158</v>
      </c>
      <c r="O14" s="14" t="s">
        <v>9158</v>
      </c>
      <c r="P14" s="14" t="s">
        <v>9158</v>
      </c>
      <c r="Q14" s="14" t="s">
        <v>9158</v>
      </c>
    </row>
    <row r="15" spans="1:19">
      <c r="B15" s="14" t="s">
        <v>22</v>
      </c>
      <c r="D15" s="18"/>
      <c r="E15" s="15" t="str">
        <f t="shared" si="0"/>
        <v>■</v>
      </c>
      <c r="G15" s="7"/>
      <c r="H15" s="7"/>
      <c r="I15" s="7">
        <v>27</v>
      </c>
      <c r="K15" s="7"/>
      <c r="L15" s="7"/>
      <c r="M15" s="14" t="s">
        <v>9158</v>
      </c>
      <c r="N15" s="14" t="s">
        <v>9158</v>
      </c>
      <c r="O15" s="14" t="s">
        <v>9158</v>
      </c>
      <c r="P15" s="14" t="s">
        <v>9158</v>
      </c>
      <c r="Q15" s="14" t="s">
        <v>9158</v>
      </c>
    </row>
    <row r="16" spans="1:19">
      <c r="B16" s="14" t="s">
        <v>22</v>
      </c>
      <c r="D16" s="18"/>
      <c r="E16" s="15" t="str">
        <f t="shared" si="0"/>
        <v>■</v>
      </c>
      <c r="G16" s="7"/>
      <c r="H16" s="7"/>
      <c r="I16" s="7">
        <v>27</v>
      </c>
      <c r="K16" s="7"/>
      <c r="L16" s="7"/>
      <c r="M16" s="14" t="s">
        <v>9158</v>
      </c>
      <c r="N16" s="14" t="s">
        <v>9158</v>
      </c>
      <c r="O16" s="14" t="s">
        <v>9158</v>
      </c>
      <c r="P16" s="14" t="s">
        <v>9158</v>
      </c>
      <c r="Q16" s="14" t="s">
        <v>9158</v>
      </c>
    </row>
    <row r="17" spans="1:18">
      <c r="D17" s="7"/>
    </row>
    <row r="18" spans="1:18">
      <c r="A18" s="14" t="s">
        <v>13388</v>
      </c>
      <c r="D18" s="7"/>
    </row>
    <row r="19" spans="1:18">
      <c r="D19" s="7"/>
    </row>
    <row r="20" spans="1:18">
      <c r="B20" s="14" t="s">
        <v>0</v>
      </c>
      <c r="C20" s="14" t="s">
        <v>202</v>
      </c>
      <c r="D20" s="18"/>
      <c r="E20" s="15" t="str">
        <f>HYPERLINK("", "■")</f>
        <v>■</v>
      </c>
      <c r="I20" s="14">
        <v>30</v>
      </c>
      <c r="M20" s="14" t="s">
        <v>9158</v>
      </c>
      <c r="N20" s="14" t="s">
        <v>9158</v>
      </c>
      <c r="O20" s="14" t="s">
        <v>9158</v>
      </c>
      <c r="P20" s="14" t="s">
        <v>9158</v>
      </c>
      <c r="Q20" s="14" t="s">
        <v>9158</v>
      </c>
      <c r="R20" s="14" t="s">
        <v>174</v>
      </c>
    </row>
    <row r="21" spans="1:18">
      <c r="B21" s="14" t="s">
        <v>15</v>
      </c>
      <c r="D21" s="18"/>
      <c r="E21" s="15" t="str">
        <f>HYPERLINK("", "■")</f>
        <v>■</v>
      </c>
      <c r="I21" s="7">
        <v>30</v>
      </c>
      <c r="M21" s="14" t="s">
        <v>9158</v>
      </c>
      <c r="N21" s="14" t="s">
        <v>9158</v>
      </c>
      <c r="O21" s="14" t="s">
        <v>9158</v>
      </c>
      <c r="P21" s="14" t="s">
        <v>9158</v>
      </c>
      <c r="Q21" s="14" t="s">
        <v>9158</v>
      </c>
      <c r="R21" s="14" t="s">
        <v>175</v>
      </c>
    </row>
    <row r="22" spans="1:18">
      <c r="B22" s="14" t="s">
        <v>15</v>
      </c>
      <c r="D22" s="18"/>
      <c r="E22" s="15" t="str">
        <f>HYPERLINK("", "■")</f>
        <v>■</v>
      </c>
      <c r="I22" s="7">
        <v>30</v>
      </c>
      <c r="M22" s="14" t="s">
        <v>9158</v>
      </c>
      <c r="N22" s="14" t="s">
        <v>9158</v>
      </c>
      <c r="O22" s="14" t="s">
        <v>9158</v>
      </c>
      <c r="P22" s="14" t="s">
        <v>9158</v>
      </c>
      <c r="Q22" s="14" t="s">
        <v>9158</v>
      </c>
      <c r="R22" s="14" t="s">
        <v>176</v>
      </c>
    </row>
    <row r="24" spans="1:18">
      <c r="A24" s="14" t="s">
        <v>13431</v>
      </c>
    </row>
    <row r="26" spans="1:18">
      <c r="B26" s="7" t="s">
        <v>52</v>
      </c>
      <c r="C26" s="14" t="s">
        <v>202</v>
      </c>
      <c r="D26" s="18"/>
      <c r="E26" s="15" t="str">
        <f t="shared" ref="E26:E36" si="1">HYPERLINK("", "■")</f>
        <v>■</v>
      </c>
      <c r="I26" s="7">
        <v>29</v>
      </c>
      <c r="M26" s="14" t="s">
        <v>9158</v>
      </c>
      <c r="N26" s="14" t="s">
        <v>9158</v>
      </c>
      <c r="O26" s="7" t="s">
        <v>6596</v>
      </c>
      <c r="P26" s="7" t="s">
        <v>6596</v>
      </c>
      <c r="Q26" s="7" t="s">
        <v>6596</v>
      </c>
    </row>
    <row r="27" spans="1:18">
      <c r="B27" s="7" t="s">
        <v>52</v>
      </c>
      <c r="C27" s="14" t="s">
        <v>202</v>
      </c>
      <c r="D27" s="18"/>
      <c r="E27" s="15" t="str">
        <f t="shared" si="1"/>
        <v>■</v>
      </c>
      <c r="I27" s="7">
        <v>29</v>
      </c>
      <c r="M27" s="14" t="s">
        <v>9158</v>
      </c>
      <c r="N27" s="14" t="s">
        <v>9158</v>
      </c>
      <c r="O27" s="7" t="s">
        <v>6596</v>
      </c>
      <c r="P27" s="7" t="s">
        <v>6596</v>
      </c>
      <c r="Q27" s="7" t="s">
        <v>6596</v>
      </c>
    </row>
    <row r="28" spans="1:18">
      <c r="B28" s="7" t="s">
        <v>52</v>
      </c>
      <c r="C28" s="14" t="s">
        <v>202</v>
      </c>
      <c r="D28" s="18"/>
      <c r="E28" s="15" t="str">
        <f t="shared" si="1"/>
        <v>■</v>
      </c>
      <c r="I28" s="7">
        <v>29</v>
      </c>
      <c r="M28" s="14" t="s">
        <v>9158</v>
      </c>
      <c r="N28" s="14" t="s">
        <v>9158</v>
      </c>
      <c r="O28" s="7" t="s">
        <v>6596</v>
      </c>
      <c r="P28" s="7" t="s">
        <v>6596</v>
      </c>
      <c r="Q28" s="7" t="s">
        <v>6596</v>
      </c>
    </row>
    <row r="29" spans="1:18">
      <c r="A29" s="7"/>
      <c r="B29" s="7" t="s">
        <v>52</v>
      </c>
      <c r="C29" s="7" t="s">
        <v>202</v>
      </c>
      <c r="D29" s="20"/>
      <c r="E29" s="15" t="str">
        <f t="shared" si="1"/>
        <v>■</v>
      </c>
      <c r="F29" s="7"/>
      <c r="G29" s="7"/>
      <c r="H29" s="7"/>
      <c r="I29" s="7">
        <v>29</v>
      </c>
      <c r="K29" s="7"/>
      <c r="L29" s="7"/>
      <c r="M29" s="14" t="s">
        <v>9158</v>
      </c>
      <c r="N29" s="14" t="s">
        <v>9158</v>
      </c>
      <c r="O29" s="7" t="s">
        <v>6596</v>
      </c>
      <c r="P29" s="7" t="s">
        <v>6596</v>
      </c>
      <c r="Q29" s="7" t="s">
        <v>6596</v>
      </c>
    </row>
    <row r="30" spans="1:18">
      <c r="B30" s="14" t="s">
        <v>330</v>
      </c>
      <c r="C30" s="14" t="s">
        <v>202</v>
      </c>
      <c r="D30" s="20"/>
      <c r="E30" s="15" t="str">
        <f t="shared" si="1"/>
        <v>■</v>
      </c>
      <c r="I30" s="14">
        <v>29</v>
      </c>
      <c r="M30" s="14" t="s">
        <v>9158</v>
      </c>
      <c r="N30" s="14" t="s">
        <v>9158</v>
      </c>
      <c r="O30" s="7" t="s">
        <v>6596</v>
      </c>
      <c r="P30" s="7" t="s">
        <v>6596</v>
      </c>
      <c r="Q30" s="7" t="s">
        <v>6596</v>
      </c>
    </row>
    <row r="31" spans="1:18">
      <c r="B31" s="14" t="s">
        <v>334</v>
      </c>
      <c r="C31" s="14" t="s">
        <v>185</v>
      </c>
      <c r="D31" s="19"/>
      <c r="E31" s="15" t="str">
        <f t="shared" si="1"/>
        <v>■</v>
      </c>
      <c r="I31" s="14">
        <v>30</v>
      </c>
      <c r="M31" s="14" t="s">
        <v>9158</v>
      </c>
      <c r="N31" s="14" t="s">
        <v>9158</v>
      </c>
      <c r="O31" s="14" t="s">
        <v>9158</v>
      </c>
      <c r="P31" s="14" t="s">
        <v>9158</v>
      </c>
      <c r="Q31" s="14" t="s">
        <v>9158</v>
      </c>
    </row>
    <row r="32" spans="1:18">
      <c r="A32" s="7"/>
      <c r="B32" s="14" t="s">
        <v>334</v>
      </c>
      <c r="C32" s="14" t="s">
        <v>200</v>
      </c>
      <c r="D32" s="20"/>
      <c r="E32" s="15" t="str">
        <f t="shared" si="1"/>
        <v>■</v>
      </c>
      <c r="I32" s="14">
        <v>30</v>
      </c>
      <c r="M32" s="14" t="s">
        <v>9158</v>
      </c>
      <c r="N32" s="14" t="s">
        <v>9158</v>
      </c>
      <c r="O32" s="14" t="s">
        <v>9158</v>
      </c>
      <c r="P32" s="14" t="s">
        <v>9158</v>
      </c>
      <c r="Q32" s="14" t="s">
        <v>9158</v>
      </c>
    </row>
    <row r="33" spans="1:17">
      <c r="A33" s="7"/>
      <c r="B33" s="14" t="s">
        <v>334</v>
      </c>
      <c r="C33" s="14" t="s">
        <v>191</v>
      </c>
      <c r="D33" s="20"/>
      <c r="E33" s="15" t="str">
        <f t="shared" si="1"/>
        <v>■</v>
      </c>
      <c r="I33" s="14">
        <v>30</v>
      </c>
      <c r="M33" s="14" t="s">
        <v>9158</v>
      </c>
      <c r="N33" s="14" t="s">
        <v>9158</v>
      </c>
      <c r="O33" s="14" t="s">
        <v>9158</v>
      </c>
      <c r="P33" s="14" t="s">
        <v>9158</v>
      </c>
      <c r="Q33" s="14" t="s">
        <v>9158</v>
      </c>
    </row>
    <row r="34" spans="1:17">
      <c r="A34" s="9"/>
      <c r="B34" s="14" t="s">
        <v>334</v>
      </c>
      <c r="C34" s="14" t="s">
        <v>165</v>
      </c>
      <c r="E34" s="15" t="str">
        <f t="shared" si="1"/>
        <v>■</v>
      </c>
      <c r="I34" s="14">
        <v>30</v>
      </c>
      <c r="M34" s="14" t="s">
        <v>9158</v>
      </c>
      <c r="N34" s="14" t="s">
        <v>9158</v>
      </c>
      <c r="O34" s="14" t="s">
        <v>9158</v>
      </c>
      <c r="P34" s="14" t="s">
        <v>9158</v>
      </c>
      <c r="Q34" s="14" t="s">
        <v>9158</v>
      </c>
    </row>
    <row r="35" spans="1:17">
      <c r="B35" s="14" t="s">
        <v>334</v>
      </c>
      <c r="C35" s="14" t="s">
        <v>1</v>
      </c>
      <c r="D35" s="19"/>
      <c r="E35" s="15" t="str">
        <f t="shared" si="1"/>
        <v>■</v>
      </c>
      <c r="I35" s="14">
        <v>30</v>
      </c>
      <c r="M35" s="14" t="s">
        <v>9158</v>
      </c>
      <c r="N35" s="14" t="s">
        <v>9158</v>
      </c>
      <c r="O35" s="14" t="s">
        <v>9158</v>
      </c>
      <c r="P35" s="14" t="s">
        <v>9158</v>
      </c>
      <c r="Q35" s="14" t="s">
        <v>9158</v>
      </c>
    </row>
    <row r="36" spans="1:17">
      <c r="A36" s="7"/>
      <c r="B36" s="14" t="s">
        <v>334</v>
      </c>
      <c r="C36" s="14" t="s">
        <v>206</v>
      </c>
      <c r="D36" s="20"/>
      <c r="E36" s="15" t="str">
        <f t="shared" si="1"/>
        <v>■</v>
      </c>
      <c r="I36" s="14">
        <v>30</v>
      </c>
      <c r="M36" s="14" t="s">
        <v>9158</v>
      </c>
      <c r="N36" s="14" t="s">
        <v>9158</v>
      </c>
      <c r="O36" s="14" t="s">
        <v>9158</v>
      </c>
      <c r="P36" s="14" t="s">
        <v>9158</v>
      </c>
      <c r="Q36" s="14" t="s">
        <v>9158</v>
      </c>
    </row>
  </sheetData>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69C76-BBD6-4337-86A8-A4A0EA89D715}">
  <dimension ref="A1:S49"/>
  <sheetViews>
    <sheetView tabSelected="1" zoomScale="55" zoomScaleNormal="55" workbookViewId="0">
      <pane ySplit="1" topLeftCell="A2" activePane="bottomLeft" state="frozen"/>
      <selection pane="bottomLeft" activeCell="D26" sqref="D26"/>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s="14" customFormat="1">
      <c r="A3" s="9">
        <v>24683</v>
      </c>
      <c r="B3" s="14" t="s">
        <v>15</v>
      </c>
      <c r="C3" s="14" t="s">
        <v>14</v>
      </c>
      <c r="D3" s="19" t="s">
        <v>12444</v>
      </c>
      <c r="E3" s="15" t="str">
        <f>HYPERLINK("https://stat100.ameba.jp/tnk47/ratio20/illustrations/card/ill_24683_mukashibanashiyukionna03.jpg", "■")</f>
        <v>■</v>
      </c>
      <c r="F3" s="14" t="s">
        <v>17801</v>
      </c>
      <c r="G3">
        <v>68450</v>
      </c>
      <c r="H3">
        <v>60360</v>
      </c>
      <c r="I3" s="9">
        <v>25</v>
      </c>
      <c r="J3" s="14" t="s">
        <v>73</v>
      </c>
      <c r="K3" s="14" t="s">
        <v>17802</v>
      </c>
      <c r="L3" s="14" t="s">
        <v>17803</v>
      </c>
      <c r="M3" s="14" t="s">
        <v>9158</v>
      </c>
      <c r="N3" s="14" t="s">
        <v>9158</v>
      </c>
      <c r="O3" s="14" t="s">
        <v>9158</v>
      </c>
      <c r="P3" s="14" t="s">
        <v>9158</v>
      </c>
      <c r="Q3" s="14" t="s">
        <v>9158</v>
      </c>
      <c r="R3" s="9" t="s">
        <v>18397</v>
      </c>
    </row>
    <row r="4" spans="1:19">
      <c r="A4" s="9">
        <v>29363</v>
      </c>
      <c r="B4" s="14" t="s">
        <v>15</v>
      </c>
      <c r="C4" s="14" t="s">
        <v>14</v>
      </c>
      <c r="D4" s="9" t="s">
        <v>12445</v>
      </c>
      <c r="E4" s="15" t="str">
        <f>HYPERLINK("https://stat100.ameba.jp/tnk47/ratio20/illustrations/card/ill_29363_hitomeborechan03.jpg", "■")</f>
        <v>■</v>
      </c>
      <c r="F4" s="9" t="s">
        <v>12445</v>
      </c>
      <c r="G4" s="14" t="s">
        <v>6596</v>
      </c>
      <c r="H4" s="14" t="s">
        <v>6596</v>
      </c>
      <c r="I4" s="9">
        <v>25</v>
      </c>
      <c r="J4" s="9" t="s">
        <v>104</v>
      </c>
      <c r="K4" s="9" t="s">
        <v>15133</v>
      </c>
      <c r="L4" s="9" t="s">
        <v>4233</v>
      </c>
      <c r="M4" s="14" t="s">
        <v>9158</v>
      </c>
      <c r="N4" s="14" t="s">
        <v>9158</v>
      </c>
      <c r="O4" s="14" t="s">
        <v>9158</v>
      </c>
      <c r="P4" s="14" t="s">
        <v>9158</v>
      </c>
      <c r="Q4" s="14" t="s">
        <v>9158</v>
      </c>
    </row>
    <row r="5" spans="1:19">
      <c r="A5" s="9">
        <v>32923</v>
      </c>
      <c r="B5" s="14" t="s">
        <v>15</v>
      </c>
      <c r="C5" s="14" t="s">
        <v>14</v>
      </c>
      <c r="D5" s="9" t="s">
        <v>12446</v>
      </c>
      <c r="E5" s="15" t="str">
        <f>HYPERLINK("https://stat100.ameba.jp/tnk47/ratio20/illustrations/card/ill_32923_hikeshimusume03.jpg", "■")</f>
        <v>■</v>
      </c>
      <c r="F5" s="9" t="s">
        <v>17807</v>
      </c>
      <c r="G5" s="14">
        <v>60360</v>
      </c>
      <c r="H5" s="14">
        <v>68450</v>
      </c>
      <c r="I5" s="9">
        <v>25</v>
      </c>
      <c r="J5" s="14" t="s">
        <v>73</v>
      </c>
      <c r="K5" s="9" t="s">
        <v>17808</v>
      </c>
      <c r="L5" s="9" t="s">
        <v>5881</v>
      </c>
      <c r="M5" s="14" t="s">
        <v>9158</v>
      </c>
      <c r="N5" s="14" t="s">
        <v>9158</v>
      </c>
      <c r="O5" s="14" t="s">
        <v>9158</v>
      </c>
      <c r="P5" s="14" t="s">
        <v>9158</v>
      </c>
      <c r="Q5" s="14" t="s">
        <v>9158</v>
      </c>
      <c r="R5" s="9" t="s">
        <v>18398</v>
      </c>
    </row>
    <row r="6" spans="1:19">
      <c r="A6" s="9">
        <v>33693</v>
      </c>
      <c r="B6" s="14" t="s">
        <v>15</v>
      </c>
      <c r="C6" s="14" t="s">
        <v>14</v>
      </c>
      <c r="D6" s="9" t="s">
        <v>12447</v>
      </c>
      <c r="E6" s="15" t="str">
        <f>HYPERLINK("https://stat100.ameba.jp/tnk47/ratio20/illustrations/card/ill_33693_sakurambokurepu03.jpg", "■")</f>
        <v>■</v>
      </c>
      <c r="F6" s="9" t="s">
        <v>17804</v>
      </c>
      <c r="G6" s="14" t="s">
        <v>6596</v>
      </c>
      <c r="H6" s="14" t="s">
        <v>6596</v>
      </c>
      <c r="I6" s="9">
        <v>25</v>
      </c>
      <c r="J6" s="9" t="s">
        <v>104</v>
      </c>
      <c r="K6" s="9" t="s">
        <v>17806</v>
      </c>
      <c r="L6" s="9" t="s">
        <v>17805</v>
      </c>
      <c r="M6" s="14" t="s">
        <v>9158</v>
      </c>
      <c r="N6" s="14" t="s">
        <v>9158</v>
      </c>
      <c r="O6" s="14" t="s">
        <v>9158</v>
      </c>
      <c r="P6" s="14" t="s">
        <v>9158</v>
      </c>
      <c r="Q6" s="14" t="s">
        <v>9158</v>
      </c>
    </row>
    <row r="7" spans="1:19">
      <c r="A7" s="9">
        <v>34023</v>
      </c>
      <c r="B7" s="14" t="s">
        <v>15</v>
      </c>
      <c r="C7" s="14" t="s">
        <v>14</v>
      </c>
      <c r="D7" s="9" t="s">
        <v>17662</v>
      </c>
      <c r="E7" s="15" t="str">
        <f>HYPERLINK("https://stat100.ameba.jp/tnk47/ratio20/illustrations/card/ill_34023_yukinoukokuhamagurihime03.jpg", "■")</f>
        <v>■</v>
      </c>
      <c r="F7" s="9" t="s">
        <v>17809</v>
      </c>
      <c r="G7" s="14">
        <v>60360</v>
      </c>
      <c r="H7" s="14">
        <v>68450</v>
      </c>
      <c r="I7" s="9">
        <v>25</v>
      </c>
      <c r="J7" s="9" t="s">
        <v>38</v>
      </c>
      <c r="K7" s="9" t="s">
        <v>17810</v>
      </c>
      <c r="L7" s="9" t="s">
        <v>17811</v>
      </c>
      <c r="M7" s="14" t="s">
        <v>9158</v>
      </c>
      <c r="N7" s="14" t="s">
        <v>9158</v>
      </c>
      <c r="O7" s="14" t="s">
        <v>9158</v>
      </c>
      <c r="P7" s="14" t="s">
        <v>9158</v>
      </c>
      <c r="Q7" s="14" t="s">
        <v>9158</v>
      </c>
      <c r="R7" s="9" t="s">
        <v>18396</v>
      </c>
    </row>
    <row r="8" spans="1:19">
      <c r="A8" s="9">
        <v>34553</v>
      </c>
      <c r="B8" s="14" t="s">
        <v>15</v>
      </c>
      <c r="C8" s="14" t="s">
        <v>14</v>
      </c>
      <c r="D8" s="9" t="s">
        <v>12448</v>
      </c>
      <c r="E8" s="15" t="str">
        <f>HYPERLINK("https://stat100.ameba.jp/tnk47/ratio20/illustrations/card/ill_34553_kadonohirohide03.jpg", "■")</f>
        <v>■</v>
      </c>
      <c r="F8" s="9" t="s">
        <v>17812</v>
      </c>
      <c r="G8" s="14">
        <v>68450</v>
      </c>
      <c r="H8" s="14">
        <v>60360</v>
      </c>
      <c r="I8" s="9">
        <v>25</v>
      </c>
      <c r="J8" s="9" t="s">
        <v>143</v>
      </c>
      <c r="K8" s="9" t="s">
        <v>17813</v>
      </c>
      <c r="L8" s="9" t="s">
        <v>17814</v>
      </c>
      <c r="M8" s="14" t="s">
        <v>9158</v>
      </c>
      <c r="N8" s="14" t="s">
        <v>9158</v>
      </c>
      <c r="O8" s="14" t="s">
        <v>9158</v>
      </c>
      <c r="P8" s="14" t="s">
        <v>9158</v>
      </c>
      <c r="Q8" s="14" t="s">
        <v>9158</v>
      </c>
      <c r="R8" s="9" t="s">
        <v>18397</v>
      </c>
    </row>
    <row r="9" spans="1:19">
      <c r="A9" s="9">
        <v>30983</v>
      </c>
      <c r="B9" s="14" t="s">
        <v>15</v>
      </c>
      <c r="C9" s="9" t="s">
        <v>23</v>
      </c>
      <c r="D9" s="9" t="s">
        <v>12449</v>
      </c>
      <c r="E9" s="15" t="str">
        <f>HYPERLINK("https://stat100.ameba.jp/tnk47/ratio20/illustrations/card/ill_30983_nakajimautako03.jpg", "■")</f>
        <v>■</v>
      </c>
      <c r="F9" s="9" t="s">
        <v>17815</v>
      </c>
      <c r="G9" s="14" t="s">
        <v>6596</v>
      </c>
      <c r="H9" s="14" t="s">
        <v>6596</v>
      </c>
      <c r="I9" s="9">
        <v>25</v>
      </c>
      <c r="J9" s="9" t="s">
        <v>10</v>
      </c>
      <c r="K9" s="9" t="s">
        <v>17816</v>
      </c>
      <c r="L9" s="9" t="s">
        <v>4228</v>
      </c>
      <c r="M9" s="14" t="s">
        <v>9158</v>
      </c>
      <c r="N9" s="14" t="s">
        <v>9158</v>
      </c>
      <c r="O9" s="14" t="s">
        <v>9158</v>
      </c>
      <c r="P9" s="14" t="s">
        <v>9158</v>
      </c>
      <c r="Q9" s="14" t="s">
        <v>9158</v>
      </c>
    </row>
    <row r="10" spans="1:19">
      <c r="A10" s="9">
        <v>35563</v>
      </c>
      <c r="B10" s="14" t="s">
        <v>15</v>
      </c>
      <c r="C10" s="9" t="s">
        <v>23</v>
      </c>
      <c r="D10" s="9" t="s">
        <v>12450</v>
      </c>
      <c r="E10" s="15" t="str">
        <f>HYPERLINK("https://stat100.ameba.jp/tnk47/ratio20/illustrations/card/ill_35563_ogasawarashoto03.jpg", "■")</f>
        <v>■</v>
      </c>
      <c r="F10" s="9" t="s">
        <v>17817</v>
      </c>
      <c r="G10" s="14" t="s">
        <v>6596</v>
      </c>
      <c r="H10" s="14" t="s">
        <v>6596</v>
      </c>
      <c r="I10" s="9">
        <v>25</v>
      </c>
      <c r="J10" s="9" t="s">
        <v>26</v>
      </c>
      <c r="K10" s="9" t="s">
        <v>17818</v>
      </c>
      <c r="L10" s="9" t="s">
        <v>17819</v>
      </c>
      <c r="M10" s="14" t="s">
        <v>9158</v>
      </c>
      <c r="N10" s="14" t="s">
        <v>9158</v>
      </c>
      <c r="O10" s="14" t="s">
        <v>9158</v>
      </c>
      <c r="P10" s="14" t="s">
        <v>9158</v>
      </c>
      <c r="Q10" s="14" t="s">
        <v>9158</v>
      </c>
    </row>
    <row r="11" spans="1:19">
      <c r="A11" s="9">
        <v>39753</v>
      </c>
      <c r="B11" s="14" t="s">
        <v>15</v>
      </c>
      <c r="C11" s="9" t="s">
        <v>23</v>
      </c>
      <c r="D11" s="9" t="s">
        <v>12451</v>
      </c>
      <c r="E11" s="15" t="str">
        <f>HYPERLINK("https://stat100.ameba.jp/tnk47/ratio20/illustrations/card/ill_39753_ran03.jpg", "■")</f>
        <v>■</v>
      </c>
      <c r="F11" s="9" t="s">
        <v>17823</v>
      </c>
      <c r="G11" s="14" t="s">
        <v>6596</v>
      </c>
      <c r="H11" s="14" t="s">
        <v>6596</v>
      </c>
      <c r="I11" s="9">
        <v>25</v>
      </c>
      <c r="J11" s="9" t="s">
        <v>44</v>
      </c>
      <c r="K11" s="9" t="s">
        <v>17824</v>
      </c>
      <c r="L11" s="9" t="s">
        <v>17825</v>
      </c>
      <c r="M11" s="14" t="s">
        <v>9158</v>
      </c>
      <c r="N11" s="14" t="s">
        <v>9158</v>
      </c>
      <c r="O11" s="14" t="s">
        <v>9158</v>
      </c>
      <c r="P11" s="14" t="s">
        <v>9158</v>
      </c>
      <c r="Q11" s="14" t="s">
        <v>9158</v>
      </c>
    </row>
    <row r="12" spans="1:19">
      <c r="A12" s="9">
        <v>39883</v>
      </c>
      <c r="B12" s="14" t="s">
        <v>15</v>
      </c>
      <c r="C12" s="9" t="s">
        <v>23</v>
      </c>
      <c r="D12" s="9" t="s">
        <v>12452</v>
      </c>
      <c r="E12" s="15" t="str">
        <f>HYPERLINK("https://stat100.ameba.jp/tnk47/ratio20/illustrations/card/ill_39883_onigawara03.jpg", "■")</f>
        <v>■</v>
      </c>
      <c r="F12" s="9" t="s">
        <v>17820</v>
      </c>
      <c r="G12" s="14" t="s">
        <v>6596</v>
      </c>
      <c r="H12" s="14" t="s">
        <v>6596</v>
      </c>
      <c r="I12" s="9">
        <v>25</v>
      </c>
      <c r="J12" s="9" t="s">
        <v>26</v>
      </c>
      <c r="K12" s="9" t="s">
        <v>17821</v>
      </c>
      <c r="L12" s="9" t="s">
        <v>17822</v>
      </c>
      <c r="M12" s="14" t="s">
        <v>9158</v>
      </c>
      <c r="N12" s="14" t="s">
        <v>9158</v>
      </c>
      <c r="O12" s="14" t="s">
        <v>9158</v>
      </c>
      <c r="P12" s="14" t="s">
        <v>9158</v>
      </c>
      <c r="Q12" s="14" t="s">
        <v>9158</v>
      </c>
    </row>
    <row r="13" spans="1:19">
      <c r="A13" s="9">
        <v>42553</v>
      </c>
      <c r="B13" s="14" t="s">
        <v>15</v>
      </c>
      <c r="C13" s="9" t="s">
        <v>23</v>
      </c>
      <c r="D13" s="9" t="s">
        <v>12453</v>
      </c>
      <c r="E13" s="15" t="str">
        <f>HYPERLINK("https://stat100.ameba.jp/tnk47/ratio20/illustrations/card/ill_42553_shojojinotanukibayashi03.jpg", "■")</f>
        <v>■</v>
      </c>
      <c r="F13" s="9" t="s">
        <v>17826</v>
      </c>
      <c r="G13" s="9">
        <v>74100</v>
      </c>
      <c r="H13" s="9">
        <v>67210</v>
      </c>
      <c r="I13" s="9">
        <v>25</v>
      </c>
      <c r="J13" s="9" t="s">
        <v>38</v>
      </c>
      <c r="K13" s="9" t="s">
        <v>17827</v>
      </c>
      <c r="L13" s="9" t="s">
        <v>17828</v>
      </c>
      <c r="M13" s="14" t="s">
        <v>9158</v>
      </c>
      <c r="N13" s="14" t="s">
        <v>9158</v>
      </c>
      <c r="O13" s="14" t="s">
        <v>9158</v>
      </c>
      <c r="P13" s="14" t="s">
        <v>9158</v>
      </c>
      <c r="Q13" s="14" t="s">
        <v>9158</v>
      </c>
      <c r="R13" s="9" t="s">
        <v>18418</v>
      </c>
    </row>
    <row r="14" spans="1:19">
      <c r="A14" s="9">
        <v>43673</v>
      </c>
      <c r="B14" s="14" t="s">
        <v>15</v>
      </c>
      <c r="C14" s="9" t="s">
        <v>23</v>
      </c>
      <c r="D14" s="9" t="s">
        <v>12454</v>
      </c>
      <c r="E14" s="15" t="str">
        <f>HYPERLINK("https://stat100.ameba.jp/tnk47/ratio20/illustrations/card/ill_43673_bimegamimyoombenzaiten03.jpg", "■")</f>
        <v>■</v>
      </c>
      <c r="F14" s="9" t="s">
        <v>16015</v>
      </c>
      <c r="G14" s="9">
        <v>74100</v>
      </c>
      <c r="H14" s="9">
        <v>67210</v>
      </c>
      <c r="I14" s="9">
        <v>25</v>
      </c>
      <c r="J14" s="9" t="s">
        <v>44</v>
      </c>
      <c r="K14" s="9" t="s">
        <v>16016</v>
      </c>
      <c r="L14" s="28" t="s">
        <v>17090</v>
      </c>
      <c r="M14" s="14" t="s">
        <v>9158</v>
      </c>
      <c r="N14" s="14" t="s">
        <v>9158</v>
      </c>
      <c r="O14" s="14" t="s">
        <v>9158</v>
      </c>
      <c r="P14" s="14" t="s">
        <v>9158</v>
      </c>
      <c r="Q14" s="14" t="s">
        <v>9158</v>
      </c>
      <c r="R14" s="9" t="s">
        <v>18418</v>
      </c>
    </row>
    <row r="15" spans="1:19">
      <c r="A15" s="9">
        <v>27013</v>
      </c>
      <c r="B15" s="14" t="s">
        <v>15</v>
      </c>
      <c r="C15" s="9" t="s">
        <v>101</v>
      </c>
      <c r="D15" s="9" t="s">
        <v>12455</v>
      </c>
      <c r="E15" s="15" t="str">
        <f>HYPERLINK("https://stat100.ameba.jp/tnk47/ratio20/illustrations/card/ill_27013_otokomatsurihashibahideyoshi03.jpg", "■")</f>
        <v>■</v>
      </c>
      <c r="F15" s="9" t="s">
        <v>17829</v>
      </c>
      <c r="G15" s="14" t="s">
        <v>6596</v>
      </c>
      <c r="H15" s="14" t="s">
        <v>6596</v>
      </c>
      <c r="I15" s="9">
        <v>25</v>
      </c>
      <c r="J15" s="9" t="s">
        <v>143</v>
      </c>
      <c r="K15" s="9" t="s">
        <v>6877</v>
      </c>
      <c r="L15" s="9" t="s">
        <v>17830</v>
      </c>
      <c r="M15" s="14" t="s">
        <v>9158</v>
      </c>
      <c r="N15" s="14" t="s">
        <v>9158</v>
      </c>
      <c r="O15" s="14" t="s">
        <v>9158</v>
      </c>
      <c r="P15" s="14" t="s">
        <v>9158</v>
      </c>
      <c r="Q15" s="14" t="s">
        <v>9158</v>
      </c>
    </row>
    <row r="16" spans="1:19">
      <c r="A16" s="9">
        <v>28533</v>
      </c>
      <c r="B16" s="14" t="s">
        <v>15</v>
      </c>
      <c r="C16" s="9" t="s">
        <v>101</v>
      </c>
      <c r="D16" s="9" t="s">
        <v>12456</v>
      </c>
      <c r="E16" s="15" t="str">
        <f>HYPERLINK("https://stat100.ameba.jp/tnk47/ratio20/illustrations/card/ill_28533_yushizumikomatsuhime03.jpg", "■")</f>
        <v>■</v>
      </c>
      <c r="F16" s="9" t="s">
        <v>17831</v>
      </c>
      <c r="G16">
        <v>68450</v>
      </c>
      <c r="H16">
        <v>60360</v>
      </c>
      <c r="I16" s="9">
        <v>25</v>
      </c>
      <c r="J16" s="9" t="s">
        <v>77</v>
      </c>
      <c r="K16" s="9" t="s">
        <v>17832</v>
      </c>
      <c r="L16" s="9" t="s">
        <v>17833</v>
      </c>
      <c r="M16" s="14" t="s">
        <v>9158</v>
      </c>
      <c r="N16" s="14" t="s">
        <v>9158</v>
      </c>
      <c r="O16" s="14" t="s">
        <v>9158</v>
      </c>
      <c r="P16" s="14" t="s">
        <v>9158</v>
      </c>
      <c r="Q16" s="14" t="s">
        <v>9158</v>
      </c>
      <c r="R16" s="9" t="s">
        <v>18397</v>
      </c>
    </row>
    <row r="17" spans="1:18">
      <c r="A17" s="9">
        <v>30723</v>
      </c>
      <c r="B17" s="14" t="s">
        <v>15</v>
      </c>
      <c r="C17" s="9" t="s">
        <v>101</v>
      </c>
      <c r="D17" s="9" t="s">
        <v>12457</v>
      </c>
      <c r="E17" s="15" t="str">
        <f>HYPERLINK("https://stat100.ameba.jp/tnk47/ratio20/illustrations/card/ill_30723_sakuraebi03.jpg", "■")</f>
        <v>■</v>
      </c>
      <c r="F17" s="9" t="s">
        <v>17837</v>
      </c>
      <c r="G17" s="14" t="s">
        <v>6596</v>
      </c>
      <c r="H17" s="14" t="s">
        <v>6596</v>
      </c>
      <c r="I17" s="9">
        <v>25</v>
      </c>
      <c r="J17" s="9" t="s">
        <v>104</v>
      </c>
      <c r="K17" s="9" t="s">
        <v>17839</v>
      </c>
      <c r="L17" s="9" t="s">
        <v>17838</v>
      </c>
      <c r="M17" s="14" t="s">
        <v>9158</v>
      </c>
      <c r="N17" s="14" t="s">
        <v>9158</v>
      </c>
      <c r="O17" s="14" t="s">
        <v>9158</v>
      </c>
      <c r="P17" s="14" t="s">
        <v>9158</v>
      </c>
      <c r="Q17" s="14" t="s">
        <v>9158</v>
      </c>
      <c r="R17" s="9" t="s">
        <v>18553</v>
      </c>
    </row>
    <row r="18" spans="1:18">
      <c r="A18" s="9">
        <v>32023</v>
      </c>
      <c r="B18" s="14" t="s">
        <v>15</v>
      </c>
      <c r="C18" s="9" t="s">
        <v>101</v>
      </c>
      <c r="D18" s="9" t="s">
        <v>12458</v>
      </c>
      <c r="E18" s="15" t="str">
        <f>HYPERLINK("https://stat100.ameba.jp/tnk47/ratio20/illustrations/card/ill_32023_dokutasugitagempaku03.jpg", "■")</f>
        <v>■</v>
      </c>
      <c r="F18" s="9" t="s">
        <v>17840</v>
      </c>
      <c r="G18" s="14" t="s">
        <v>6596</v>
      </c>
      <c r="H18" s="14" t="s">
        <v>6596</v>
      </c>
      <c r="I18" s="9">
        <v>25</v>
      </c>
      <c r="J18" s="9" t="s">
        <v>10</v>
      </c>
      <c r="K18" s="9" t="s">
        <v>17841</v>
      </c>
      <c r="L18" s="9" t="s">
        <v>4228</v>
      </c>
      <c r="M18" s="14" t="s">
        <v>9158</v>
      </c>
      <c r="N18" s="14" t="s">
        <v>9158</v>
      </c>
      <c r="O18" s="14" t="s">
        <v>9158</v>
      </c>
      <c r="P18" s="14" t="s">
        <v>9158</v>
      </c>
      <c r="Q18" s="14" t="s">
        <v>9158</v>
      </c>
    </row>
    <row r="19" spans="1:18">
      <c r="A19" s="9">
        <v>33753</v>
      </c>
      <c r="B19" s="14" t="s">
        <v>15</v>
      </c>
      <c r="C19" s="9" t="s">
        <v>101</v>
      </c>
      <c r="D19" s="9" t="s">
        <v>12459</v>
      </c>
      <c r="E19" s="15" t="str">
        <f>HYPERLINK("https://stat100.ameba.jp/tnk47/ratio20/illustrations/card/ill_33753_kaiinu03.jpg", "■")</f>
        <v>■</v>
      </c>
      <c r="F19" s="9" t="s">
        <v>17842</v>
      </c>
      <c r="G19" s="14" t="s">
        <v>6596</v>
      </c>
      <c r="H19" s="14" t="s">
        <v>6596</v>
      </c>
      <c r="I19" s="9">
        <v>25</v>
      </c>
      <c r="J19" s="9" t="s">
        <v>26</v>
      </c>
      <c r="K19" s="9" t="s">
        <v>1728</v>
      </c>
      <c r="L19" s="9" t="s">
        <v>17843</v>
      </c>
      <c r="M19" s="14" t="s">
        <v>9158</v>
      </c>
      <c r="N19" s="14" t="s">
        <v>9158</v>
      </c>
      <c r="O19" s="14" t="s">
        <v>9158</v>
      </c>
      <c r="P19" s="14" t="s">
        <v>9158</v>
      </c>
      <c r="Q19" s="14" t="s">
        <v>9158</v>
      </c>
      <c r="R19" s="9" t="s">
        <v>18418</v>
      </c>
    </row>
    <row r="20" spans="1:18">
      <c r="A20" s="9">
        <v>34473</v>
      </c>
      <c r="B20" s="14" t="s">
        <v>15</v>
      </c>
      <c r="C20" s="9" t="s">
        <v>101</v>
      </c>
      <c r="D20" s="9" t="s">
        <v>12460</v>
      </c>
      <c r="E20" s="15" t="str">
        <f>HYPERLINK("https://stat100.ameba.jp/tnk47/ratio20/illustrations/card/ill_34473_nagoyajo03.jpg", "■")</f>
        <v>■</v>
      </c>
      <c r="F20" s="9" t="s">
        <v>16013</v>
      </c>
      <c r="G20" s="9">
        <v>60360</v>
      </c>
      <c r="H20" s="9">
        <v>68450</v>
      </c>
      <c r="I20" s="9">
        <v>25</v>
      </c>
      <c r="J20" s="9" t="s">
        <v>26</v>
      </c>
      <c r="K20" s="9" t="s">
        <v>16014</v>
      </c>
      <c r="L20" s="28" t="s">
        <v>17087</v>
      </c>
      <c r="M20" s="14" t="s">
        <v>9158</v>
      </c>
      <c r="N20" s="14" t="s">
        <v>9158</v>
      </c>
      <c r="O20" s="14" t="s">
        <v>9158</v>
      </c>
      <c r="P20" s="14" t="s">
        <v>9158</v>
      </c>
      <c r="Q20" s="14" t="s">
        <v>9158</v>
      </c>
    </row>
    <row r="21" spans="1:18">
      <c r="A21" s="9">
        <v>34633</v>
      </c>
      <c r="B21" s="14" t="s">
        <v>15</v>
      </c>
      <c r="C21" s="9" t="s">
        <v>101</v>
      </c>
      <c r="D21" s="9" t="s">
        <v>12461</v>
      </c>
      <c r="E21" s="15" t="str">
        <f>HYPERLINK("https://stat100.ameba.jp/tnk47/ratio20/illustrations/card/ill_34633_kachikachiyama03.jpg", "■")</f>
        <v>■</v>
      </c>
      <c r="F21" s="9" t="s">
        <v>17844</v>
      </c>
      <c r="G21" s="14" t="s">
        <v>6596</v>
      </c>
      <c r="H21" s="14" t="s">
        <v>6596</v>
      </c>
      <c r="I21" s="9">
        <v>25</v>
      </c>
      <c r="J21" s="9" t="s">
        <v>38</v>
      </c>
      <c r="K21" s="9" t="s">
        <v>15493</v>
      </c>
      <c r="L21" s="9" t="s">
        <v>17845</v>
      </c>
      <c r="M21" s="14" t="s">
        <v>9158</v>
      </c>
      <c r="N21" s="14" t="s">
        <v>9158</v>
      </c>
      <c r="O21" s="14" t="s">
        <v>9158</v>
      </c>
      <c r="P21" s="14" t="s">
        <v>9158</v>
      </c>
      <c r="Q21" s="14" t="s">
        <v>9158</v>
      </c>
      <c r="R21" s="9" t="s">
        <v>17797</v>
      </c>
    </row>
    <row r="22" spans="1:18">
      <c r="A22" s="9">
        <v>39033</v>
      </c>
      <c r="B22" s="14" t="s">
        <v>15</v>
      </c>
      <c r="C22" s="9" t="s">
        <v>101</v>
      </c>
      <c r="D22" s="9" t="s">
        <v>12462</v>
      </c>
      <c r="E22" s="15" t="str">
        <f>HYPERLINK("https://stat100.ameba.jp/tnk47/ratio20/illustrations/card/ill_39033_odorikomatsu03.jpg", "■")</f>
        <v>■</v>
      </c>
      <c r="F22" s="9" t="s">
        <v>17834</v>
      </c>
      <c r="G22" s="14" t="s">
        <v>6596</v>
      </c>
      <c r="H22" s="14" t="s">
        <v>6596</v>
      </c>
      <c r="I22" s="9">
        <v>25</v>
      </c>
      <c r="J22" s="9" t="s">
        <v>77</v>
      </c>
      <c r="K22" s="9" t="s">
        <v>17835</v>
      </c>
      <c r="L22" s="9" t="s">
        <v>17836</v>
      </c>
      <c r="M22" s="14" t="s">
        <v>9158</v>
      </c>
      <c r="N22" s="14" t="s">
        <v>9158</v>
      </c>
      <c r="O22" s="14" t="s">
        <v>9158</v>
      </c>
      <c r="P22" s="14" t="s">
        <v>9158</v>
      </c>
      <c r="Q22" s="14" t="s">
        <v>9158</v>
      </c>
    </row>
    <row r="23" spans="1:18">
      <c r="A23" s="9">
        <v>41103</v>
      </c>
      <c r="B23" s="14" t="s">
        <v>15</v>
      </c>
      <c r="C23" s="9" t="s">
        <v>101</v>
      </c>
      <c r="D23" s="9" t="s">
        <v>12463</v>
      </c>
      <c r="E23" s="15" t="str">
        <f>HYPERLINK("https://stat100.ameba.jp/tnk47/ratio20/illustrations/card/ill_41103_kurobedamu03.jpg", "■")</f>
        <v>■</v>
      </c>
      <c r="F23" s="9" t="s">
        <v>17846</v>
      </c>
      <c r="G23" s="14" t="s">
        <v>6596</v>
      </c>
      <c r="H23" s="14" t="s">
        <v>6596</v>
      </c>
      <c r="I23" s="9">
        <v>25</v>
      </c>
      <c r="J23" s="9" t="s">
        <v>26</v>
      </c>
      <c r="K23" s="9" t="s">
        <v>17847</v>
      </c>
      <c r="L23" s="9" t="s">
        <v>17819</v>
      </c>
      <c r="M23" s="14" t="s">
        <v>9158</v>
      </c>
      <c r="N23" s="14" t="s">
        <v>9158</v>
      </c>
      <c r="O23" s="14" t="s">
        <v>9158</v>
      </c>
      <c r="P23" s="14" t="s">
        <v>9158</v>
      </c>
      <c r="Q23" s="14" t="s">
        <v>9158</v>
      </c>
      <c r="R23" s="9" t="s">
        <v>18418</v>
      </c>
    </row>
    <row r="24" spans="1:18">
      <c r="A24" s="9">
        <v>26263</v>
      </c>
      <c r="B24" s="14" t="s">
        <v>15</v>
      </c>
      <c r="C24" s="9" t="s">
        <v>96</v>
      </c>
      <c r="D24" s="9" t="s">
        <v>12464</v>
      </c>
      <c r="E24" s="15" t="str">
        <f>HYPERLINK("https://stat100.ameba.jp/tnk47/ratio20/illustrations/card/ill_26263_nishijinori03.jpg", "■")</f>
        <v>■</v>
      </c>
      <c r="F24" s="9" t="s">
        <v>17848</v>
      </c>
      <c r="G24" s="14" t="s">
        <v>6596</v>
      </c>
      <c r="H24" s="14" t="s">
        <v>6596</v>
      </c>
      <c r="I24" s="9">
        <v>25</v>
      </c>
      <c r="J24" s="9" t="s">
        <v>26</v>
      </c>
      <c r="K24" s="9" t="s">
        <v>17849</v>
      </c>
      <c r="L24" s="9" t="s">
        <v>17850</v>
      </c>
      <c r="M24" s="14" t="s">
        <v>9158</v>
      </c>
      <c r="N24" s="14" t="s">
        <v>9158</v>
      </c>
      <c r="O24" s="14" t="s">
        <v>9158</v>
      </c>
      <c r="P24" s="14" t="s">
        <v>9158</v>
      </c>
      <c r="Q24" s="14" t="s">
        <v>9158</v>
      </c>
    </row>
    <row r="25" spans="1:18">
      <c r="A25" s="9">
        <v>27083</v>
      </c>
      <c r="B25" s="14" t="s">
        <v>15</v>
      </c>
      <c r="C25" s="9" t="s">
        <v>96</v>
      </c>
      <c r="D25" s="9" t="s">
        <v>12465</v>
      </c>
      <c r="E25" s="15" t="str">
        <f>HYPERLINK("https://stat100.ameba.jp/tnk47/ratio20/illustrations/card/ill_27083_kachiwari03.jpg", "■")</f>
        <v>■</v>
      </c>
      <c r="F25" s="9" t="s">
        <v>12465</v>
      </c>
      <c r="G25" s="14" t="s">
        <v>6596</v>
      </c>
      <c r="H25" s="14" t="s">
        <v>6596</v>
      </c>
      <c r="I25" s="9">
        <v>25</v>
      </c>
      <c r="J25" s="9" t="s">
        <v>104</v>
      </c>
      <c r="K25" s="9" t="s">
        <v>17851</v>
      </c>
      <c r="L25" s="9" t="s">
        <v>17852</v>
      </c>
      <c r="M25" s="14" t="s">
        <v>9158</v>
      </c>
      <c r="N25" s="14" t="s">
        <v>9158</v>
      </c>
      <c r="O25" s="14" t="s">
        <v>9158</v>
      </c>
      <c r="P25" s="14" t="s">
        <v>9158</v>
      </c>
      <c r="Q25" s="14" t="s">
        <v>9158</v>
      </c>
      <c r="R25" s="9" t="s">
        <v>18396</v>
      </c>
    </row>
    <row r="26" spans="1:18">
      <c r="A26" s="9">
        <v>30273</v>
      </c>
      <c r="B26" s="14" t="s">
        <v>15</v>
      </c>
      <c r="C26" s="9" t="s">
        <v>96</v>
      </c>
      <c r="D26" s="9" t="s">
        <v>12466</v>
      </c>
      <c r="E26" s="15" t="str">
        <f>HYPERLINK("https://stat100.ameba.jp/tnk47/ratio20/illustrations/card/ill_30273_nionohime03.jpg", "■")</f>
        <v>■</v>
      </c>
      <c r="F26" s="9" t="s">
        <v>17853</v>
      </c>
      <c r="G26" s="14" t="s">
        <v>6596</v>
      </c>
      <c r="H26" s="14" t="s">
        <v>6596</v>
      </c>
      <c r="I26" s="9">
        <v>25</v>
      </c>
      <c r="J26" s="9" t="s">
        <v>38</v>
      </c>
      <c r="K26" s="9" t="s">
        <v>17854</v>
      </c>
      <c r="L26" s="9" t="s">
        <v>17855</v>
      </c>
      <c r="M26" s="14" t="s">
        <v>9158</v>
      </c>
      <c r="N26" s="14" t="s">
        <v>9158</v>
      </c>
      <c r="O26" s="14" t="s">
        <v>9158</v>
      </c>
      <c r="P26" s="14" t="s">
        <v>9158</v>
      </c>
      <c r="Q26" s="14" t="s">
        <v>9158</v>
      </c>
    </row>
    <row r="27" spans="1:18">
      <c r="A27" s="9">
        <v>34743</v>
      </c>
      <c r="B27" s="14" t="s">
        <v>15</v>
      </c>
      <c r="C27" s="9" t="s">
        <v>96</v>
      </c>
      <c r="D27" s="9" t="s">
        <v>12467</v>
      </c>
      <c r="E27" s="15" t="str">
        <f>HYPERLINK("https://stat100.ameba.jp/tnk47/ratio20/illustrations/card/ill_34743_nichirintennyo03.jpg", "■")</f>
        <v>■</v>
      </c>
      <c r="F27" s="9" t="s">
        <v>17858</v>
      </c>
      <c r="G27" s="14" t="s">
        <v>6596</v>
      </c>
      <c r="H27" s="14" t="s">
        <v>6596</v>
      </c>
      <c r="I27" s="9">
        <v>25</v>
      </c>
      <c r="J27" s="9" t="s">
        <v>44</v>
      </c>
      <c r="K27" s="9" t="s">
        <v>17859</v>
      </c>
      <c r="L27" s="9" t="s">
        <v>17860</v>
      </c>
      <c r="M27" s="14" t="s">
        <v>9158</v>
      </c>
      <c r="N27" s="14" t="s">
        <v>9158</v>
      </c>
      <c r="O27" s="14" t="s">
        <v>9158</v>
      </c>
      <c r="P27" s="14" t="s">
        <v>9158</v>
      </c>
      <c r="Q27" s="14" t="s">
        <v>9158</v>
      </c>
      <c r="R27" s="9" t="s">
        <v>18397</v>
      </c>
    </row>
    <row r="28" spans="1:18">
      <c r="A28" s="9">
        <v>36743</v>
      </c>
      <c r="B28" s="14" t="s">
        <v>15</v>
      </c>
      <c r="C28" s="9" t="s">
        <v>96</v>
      </c>
      <c r="D28" s="9" t="s">
        <v>12468</v>
      </c>
      <c r="E28" s="15" t="str">
        <f>HYPERLINK("https://stat100.ameba.jp/tnk47/ratio20/illustrations/card/ill_36743_odaigaharanohebionna03.jpg", "■")</f>
        <v>■</v>
      </c>
      <c r="F28" s="9" t="s">
        <v>17856</v>
      </c>
      <c r="G28" s="14" t="s">
        <v>6596</v>
      </c>
      <c r="H28" s="14" t="s">
        <v>6596</v>
      </c>
      <c r="I28" s="9">
        <v>25</v>
      </c>
      <c r="J28" s="9" t="s">
        <v>38</v>
      </c>
      <c r="K28" s="9" t="s">
        <v>17857</v>
      </c>
      <c r="L28" s="9" t="s">
        <v>1272</v>
      </c>
      <c r="M28" s="14" t="s">
        <v>9158</v>
      </c>
      <c r="N28" s="14" t="s">
        <v>9158</v>
      </c>
      <c r="O28" s="14" t="s">
        <v>9158</v>
      </c>
      <c r="P28" s="14" t="s">
        <v>9158</v>
      </c>
      <c r="Q28" s="14" t="s">
        <v>9158</v>
      </c>
    </row>
    <row r="29" spans="1:18">
      <c r="A29" s="9">
        <v>41233</v>
      </c>
      <c r="B29" s="14" t="s">
        <v>15</v>
      </c>
      <c r="C29" s="9" t="s">
        <v>96</v>
      </c>
      <c r="D29" s="9" t="s">
        <v>12469</v>
      </c>
      <c r="E29" s="15" t="str">
        <f>HYPERLINK("https://stat100.ameba.jp/tnk47/ratio20/illustrations/card/ill_41233_yosabuson03.jpg", "■")</f>
        <v>■</v>
      </c>
      <c r="F29" s="9" t="s">
        <v>17861</v>
      </c>
      <c r="G29" s="14" t="s">
        <v>6596</v>
      </c>
      <c r="H29" s="14" t="s">
        <v>6596</v>
      </c>
      <c r="I29" s="9">
        <v>25</v>
      </c>
      <c r="J29" s="9" t="s">
        <v>16</v>
      </c>
      <c r="K29" s="9" t="s">
        <v>17862</v>
      </c>
      <c r="L29" s="9" t="s">
        <v>9661</v>
      </c>
      <c r="M29" s="14" t="s">
        <v>9158</v>
      </c>
      <c r="N29" s="14" t="s">
        <v>9158</v>
      </c>
      <c r="O29" s="14" t="s">
        <v>9158</v>
      </c>
      <c r="P29" s="14" t="s">
        <v>9158</v>
      </c>
      <c r="Q29" s="14" t="s">
        <v>9158</v>
      </c>
      <c r="R29" s="9" t="s">
        <v>17797</v>
      </c>
    </row>
    <row r="30" spans="1:18">
      <c r="A30" s="9">
        <v>23203</v>
      </c>
      <c r="B30" s="14" t="s">
        <v>15</v>
      </c>
      <c r="C30" s="9" t="s">
        <v>1</v>
      </c>
      <c r="D30" s="9" t="s">
        <v>12470</v>
      </c>
      <c r="E30" s="15" t="str">
        <f>HYPERLINK("https://stat100.ameba.jp/tnk47/ratio20/illustrations/card/ill_23203_byakkoizunasaburotengu03.jpg", "■")</f>
        <v>■</v>
      </c>
      <c r="F30" s="9" t="s">
        <v>17863</v>
      </c>
      <c r="G30" s="14" t="s">
        <v>6596</v>
      </c>
      <c r="H30" s="14" t="s">
        <v>6596</v>
      </c>
      <c r="I30" s="9">
        <v>25</v>
      </c>
      <c r="J30" s="9" t="s">
        <v>44</v>
      </c>
      <c r="K30" s="9" t="s">
        <v>17864</v>
      </c>
      <c r="L30" s="9" t="s">
        <v>3694</v>
      </c>
      <c r="M30" s="14" t="s">
        <v>9158</v>
      </c>
      <c r="N30" s="14" t="s">
        <v>9158</v>
      </c>
      <c r="O30" s="14" t="s">
        <v>9158</v>
      </c>
      <c r="P30" s="14" t="s">
        <v>9158</v>
      </c>
      <c r="Q30" s="14" t="s">
        <v>9158</v>
      </c>
      <c r="R30" s="9" t="s">
        <v>18554</v>
      </c>
    </row>
    <row r="31" spans="1:18">
      <c r="A31" s="9">
        <v>28393</v>
      </c>
      <c r="B31" s="14" t="s">
        <v>15</v>
      </c>
      <c r="C31" s="9" t="s">
        <v>1</v>
      </c>
      <c r="D31" s="9" t="s">
        <v>12471</v>
      </c>
      <c r="E31" s="15" t="str">
        <f>HYPERLINK("https://stat100.ameba.jp/tnk47/ratio20/illustrations/card/ill_28393_goshikisomen03.jpg", "■")</f>
        <v>■</v>
      </c>
      <c r="F31" s="9" t="s">
        <v>17865</v>
      </c>
      <c r="G31" s="14" t="s">
        <v>6596</v>
      </c>
      <c r="H31" s="14" t="s">
        <v>6596</v>
      </c>
      <c r="I31" s="9">
        <v>25</v>
      </c>
      <c r="J31" s="9" t="s">
        <v>104</v>
      </c>
      <c r="K31" s="9" t="s">
        <v>17866</v>
      </c>
      <c r="L31" s="9" t="s">
        <v>17867</v>
      </c>
      <c r="M31" s="14" t="s">
        <v>9158</v>
      </c>
      <c r="N31" s="14" t="s">
        <v>9158</v>
      </c>
      <c r="O31" s="14" t="s">
        <v>9158</v>
      </c>
      <c r="P31" s="14" t="s">
        <v>9158</v>
      </c>
      <c r="Q31" s="14" t="s">
        <v>9158</v>
      </c>
    </row>
    <row r="32" spans="1:18">
      <c r="A32" s="9">
        <v>30553</v>
      </c>
      <c r="B32" s="14" t="s">
        <v>15</v>
      </c>
      <c r="C32" s="9" t="s">
        <v>1</v>
      </c>
      <c r="D32" s="9" t="s">
        <v>12472</v>
      </c>
      <c r="E32" s="15" t="str">
        <f>HYPERLINK("https://stat100.ameba.jp/tnk47/ratio20/illustrations/card/ill_30553_okesutoranekodanuki03.jpg", "■")</f>
        <v>■</v>
      </c>
      <c r="F32" s="9" t="s">
        <v>17873</v>
      </c>
      <c r="G32" s="14" t="s">
        <v>6596</v>
      </c>
      <c r="H32" s="14" t="s">
        <v>6596</v>
      </c>
      <c r="I32" s="9">
        <v>25</v>
      </c>
      <c r="J32" s="9" t="s">
        <v>73</v>
      </c>
      <c r="K32" s="9" t="s">
        <v>12876</v>
      </c>
      <c r="L32" s="9" t="s">
        <v>4503</v>
      </c>
      <c r="M32" s="14" t="s">
        <v>9158</v>
      </c>
      <c r="N32" s="14" t="s">
        <v>9158</v>
      </c>
      <c r="O32" s="14" t="s">
        <v>9158</v>
      </c>
      <c r="P32" s="14" t="s">
        <v>9158</v>
      </c>
      <c r="Q32" s="14" t="s">
        <v>9158</v>
      </c>
    </row>
    <row r="33" spans="1:18">
      <c r="A33" s="9">
        <v>31943</v>
      </c>
      <c r="B33" s="14" t="s">
        <v>15</v>
      </c>
      <c r="C33" s="9" t="s">
        <v>1</v>
      </c>
      <c r="D33" s="9" t="s">
        <v>12473</v>
      </c>
      <c r="E33" s="15" t="str">
        <f>HYPERLINK("https://stat100.ameba.jp/tnk47/ratio20/illustrations/card/ill_31943_momotarootomosanninshu03.jpg", "■")</f>
        <v>■</v>
      </c>
      <c r="F33" s="9" t="s">
        <v>17088</v>
      </c>
      <c r="G33" s="9">
        <v>68450</v>
      </c>
      <c r="H33" s="9">
        <v>60360</v>
      </c>
      <c r="I33" s="9">
        <v>25</v>
      </c>
      <c r="J33" s="9" t="s">
        <v>38</v>
      </c>
      <c r="K33" s="9" t="s">
        <v>17089</v>
      </c>
      <c r="L33" s="28" t="s">
        <v>7248</v>
      </c>
      <c r="M33" s="14" t="s">
        <v>9158</v>
      </c>
      <c r="N33" s="14" t="s">
        <v>9158</v>
      </c>
      <c r="O33" s="14" t="s">
        <v>9158</v>
      </c>
      <c r="P33" s="14" t="s">
        <v>9158</v>
      </c>
      <c r="Q33" s="14" t="s">
        <v>9158</v>
      </c>
    </row>
    <row r="34" spans="1:18">
      <c r="A34" s="9">
        <v>32513</v>
      </c>
      <c r="B34" s="14" t="s">
        <v>15</v>
      </c>
      <c r="C34" s="9" t="s">
        <v>1</v>
      </c>
      <c r="D34" s="9" t="s">
        <v>12474</v>
      </c>
      <c r="E34" s="15" t="str">
        <f>HYPERLINK("https://stat100.ameba.jp/tnk47/ratio20/illustrations/card/ill_32513_yoshidatoshimaro03.jpg", "■")</f>
        <v>■</v>
      </c>
      <c r="F34" s="9" t="s">
        <v>17874</v>
      </c>
      <c r="G34" s="14" t="s">
        <v>6596</v>
      </c>
      <c r="H34" s="14" t="s">
        <v>6596</v>
      </c>
      <c r="I34" s="9">
        <v>25</v>
      </c>
      <c r="J34" s="9" t="s">
        <v>10</v>
      </c>
      <c r="K34" s="9" t="s">
        <v>17875</v>
      </c>
      <c r="L34" s="9" t="s">
        <v>9347</v>
      </c>
      <c r="M34" s="14" t="s">
        <v>9158</v>
      </c>
      <c r="N34" s="14" t="s">
        <v>9158</v>
      </c>
      <c r="O34" s="14" t="s">
        <v>9158</v>
      </c>
      <c r="P34" s="14" t="s">
        <v>9158</v>
      </c>
      <c r="Q34" s="14" t="s">
        <v>9158</v>
      </c>
      <c r="R34" s="9" t="s">
        <v>18398</v>
      </c>
    </row>
    <row r="35" spans="1:18">
      <c r="A35" s="9">
        <v>33563</v>
      </c>
      <c r="B35" s="14" t="s">
        <v>15</v>
      </c>
      <c r="C35" s="9" t="s">
        <v>1</v>
      </c>
      <c r="D35" s="9" t="s">
        <v>12475</v>
      </c>
      <c r="E35" s="15" t="str">
        <f>HYPERLINK("https://stat100.ameba.jp/tnk47/ratio20/illustrations/card/ill_33563_itosokan03.jpg", "■")</f>
        <v>■</v>
      </c>
      <c r="F35" s="9" t="s">
        <v>16009</v>
      </c>
      <c r="G35" s="9">
        <v>68450</v>
      </c>
      <c r="H35" s="9">
        <v>60360</v>
      </c>
      <c r="I35" s="9">
        <v>25</v>
      </c>
      <c r="J35" s="9" t="s">
        <v>16</v>
      </c>
      <c r="K35" s="9" t="s">
        <v>16010</v>
      </c>
      <c r="L35" s="28" t="s">
        <v>17085</v>
      </c>
      <c r="M35" s="14" t="s">
        <v>9158</v>
      </c>
      <c r="N35" s="14" t="s">
        <v>9158</v>
      </c>
      <c r="O35" s="14" t="s">
        <v>9158</v>
      </c>
      <c r="P35" s="14" t="s">
        <v>9158</v>
      </c>
      <c r="Q35" s="14" t="s">
        <v>9158</v>
      </c>
    </row>
    <row r="36" spans="1:18">
      <c r="A36" s="9">
        <v>34323</v>
      </c>
      <c r="B36" s="14" t="s">
        <v>15</v>
      </c>
      <c r="C36" s="9" t="s">
        <v>1</v>
      </c>
      <c r="D36" s="9" t="s">
        <v>12476</v>
      </c>
      <c r="E36" s="15" t="str">
        <f>HYPERLINK("https://stat100.ameba.jp/tnk47/ratio20/illustrations/card/ill_34323_tokushimadon03.jpg", "■")</f>
        <v>■</v>
      </c>
      <c r="F36" s="9" t="s">
        <v>17868</v>
      </c>
      <c r="G36" s="14" t="s">
        <v>6596</v>
      </c>
      <c r="H36" s="14" t="s">
        <v>6596</v>
      </c>
      <c r="I36" s="9">
        <v>25</v>
      </c>
      <c r="J36" s="9" t="s">
        <v>104</v>
      </c>
      <c r="K36" s="9" t="s">
        <v>17869</v>
      </c>
      <c r="L36" s="9" t="s">
        <v>17870</v>
      </c>
      <c r="M36" s="14" t="s">
        <v>9158</v>
      </c>
      <c r="N36" s="14" t="s">
        <v>9158</v>
      </c>
      <c r="O36" s="14" t="s">
        <v>9158</v>
      </c>
      <c r="P36" s="14" t="s">
        <v>9158</v>
      </c>
      <c r="Q36" s="14" t="s">
        <v>9158</v>
      </c>
    </row>
    <row r="37" spans="1:18">
      <c r="A37" s="9">
        <v>35493</v>
      </c>
      <c r="B37" s="14" t="s">
        <v>15</v>
      </c>
      <c r="C37" s="9" t="s">
        <v>1</v>
      </c>
      <c r="D37" s="9" t="s">
        <v>12477</v>
      </c>
      <c r="E37" s="15" t="str">
        <f>HYPERLINK("https://stat100.ameba.jp/tnk47/ratio20/illustrations/card/ill_35493_miyajimenodammari03.jpg", "■")</f>
        <v>■</v>
      </c>
      <c r="F37" s="9" t="s">
        <v>17876</v>
      </c>
      <c r="G37" s="14" t="s">
        <v>6596</v>
      </c>
      <c r="H37" s="14" t="s">
        <v>6596</v>
      </c>
      <c r="I37" s="9">
        <v>25</v>
      </c>
      <c r="J37" s="9" t="s">
        <v>38</v>
      </c>
      <c r="K37" s="9" t="s">
        <v>17877</v>
      </c>
      <c r="L37" s="9" t="s">
        <v>17828</v>
      </c>
      <c r="M37" s="14" t="s">
        <v>9158</v>
      </c>
      <c r="N37" s="14" t="s">
        <v>9158</v>
      </c>
      <c r="O37" s="14" t="s">
        <v>9158</v>
      </c>
      <c r="P37" s="14" t="s">
        <v>9158</v>
      </c>
      <c r="Q37" s="14" t="s">
        <v>9158</v>
      </c>
    </row>
    <row r="38" spans="1:18">
      <c r="A38" s="9">
        <v>36363</v>
      </c>
      <c r="B38" s="14" t="s">
        <v>15</v>
      </c>
      <c r="C38" s="9" t="s">
        <v>1</v>
      </c>
      <c r="D38" s="9" t="s">
        <v>12478</v>
      </c>
      <c r="E38" s="15" t="str">
        <f>HYPERLINK("https://stat100.ameba.jp/tnk47/ratio20/illustrations/card/ill_36363_katsuo03.jpg", "■")</f>
        <v>■</v>
      </c>
      <c r="F38" s="9" t="s">
        <v>17871</v>
      </c>
      <c r="G38" s="14" t="s">
        <v>6596</v>
      </c>
      <c r="H38" s="14" t="s">
        <v>6596</v>
      </c>
      <c r="I38" s="9">
        <v>25</v>
      </c>
      <c r="J38" s="9" t="s">
        <v>104</v>
      </c>
      <c r="K38" s="9" t="s">
        <v>17872</v>
      </c>
      <c r="L38" s="9" t="s">
        <v>7020</v>
      </c>
      <c r="M38" s="14" t="s">
        <v>9158</v>
      </c>
      <c r="N38" s="14" t="s">
        <v>9158</v>
      </c>
      <c r="O38" s="14" t="s">
        <v>9158</v>
      </c>
      <c r="P38" s="14" t="s">
        <v>9158</v>
      </c>
      <c r="Q38" s="14" t="s">
        <v>9158</v>
      </c>
      <c r="R38" s="9" t="s">
        <v>18418</v>
      </c>
    </row>
    <row r="39" spans="1:18">
      <c r="A39" s="9">
        <v>23543</v>
      </c>
      <c r="B39" s="14" t="s">
        <v>15</v>
      </c>
      <c r="C39" s="9" t="s">
        <v>107</v>
      </c>
      <c r="D39" s="9" t="s">
        <v>12479</v>
      </c>
      <c r="E39" s="15" t="str">
        <f>HYPERLINK("https://stat100.ameba.jp/tnk47/ratio20/illustrations/card/ill_23543_fuyunojinshimazuyoshihiro03.jpg", "■")</f>
        <v>■</v>
      </c>
      <c r="F39" s="9" t="s">
        <v>17878</v>
      </c>
      <c r="G39" s="14" t="s">
        <v>6596</v>
      </c>
      <c r="H39" s="14" t="s">
        <v>6596</v>
      </c>
      <c r="I39" s="9">
        <v>25</v>
      </c>
      <c r="J39" s="9" t="s">
        <v>143</v>
      </c>
      <c r="K39" s="9" t="s">
        <v>17879</v>
      </c>
      <c r="L39" s="9" t="s">
        <v>17880</v>
      </c>
      <c r="M39" s="14" t="s">
        <v>9158</v>
      </c>
      <c r="N39" s="14" t="s">
        <v>9158</v>
      </c>
      <c r="O39" s="14" t="s">
        <v>9158</v>
      </c>
      <c r="P39" s="14" t="s">
        <v>9158</v>
      </c>
      <c r="Q39" s="14" t="s">
        <v>9158</v>
      </c>
      <c r="R39" s="9" t="s">
        <v>18397</v>
      </c>
    </row>
    <row r="40" spans="1:18">
      <c r="A40" s="9">
        <v>25683</v>
      </c>
      <c r="B40" s="14" t="s">
        <v>15</v>
      </c>
      <c r="C40" s="9" t="s">
        <v>107</v>
      </c>
      <c r="D40" s="9" t="s">
        <v>12480</v>
      </c>
      <c r="E40" s="15" t="str">
        <f>HYPERLINK("https://stat100.ameba.jp/tnk47/ratio20/illustrations/card/ill_25683_dobutsumijigokuchan03.jpg", "■")</f>
        <v>■</v>
      </c>
      <c r="F40" s="9" t="s">
        <v>17881</v>
      </c>
      <c r="G40" s="14" t="s">
        <v>6596</v>
      </c>
      <c r="H40" s="14" t="s">
        <v>6596</v>
      </c>
      <c r="I40" s="9">
        <v>25</v>
      </c>
      <c r="J40" s="9" t="s">
        <v>26</v>
      </c>
      <c r="K40" s="9" t="s">
        <v>17882</v>
      </c>
      <c r="L40" s="9" t="s">
        <v>5318</v>
      </c>
      <c r="M40" s="14" t="s">
        <v>9158</v>
      </c>
      <c r="N40" s="14" t="s">
        <v>9158</v>
      </c>
      <c r="O40" s="14" t="s">
        <v>9158</v>
      </c>
      <c r="P40" s="14" t="s">
        <v>9158</v>
      </c>
      <c r="Q40" s="14" t="s">
        <v>9158</v>
      </c>
      <c r="R40" s="9" t="s">
        <v>18418</v>
      </c>
    </row>
    <row r="41" spans="1:18">
      <c r="A41" s="9">
        <v>28513</v>
      </c>
      <c r="B41" s="14" t="s">
        <v>15</v>
      </c>
      <c r="C41" s="9" t="s">
        <v>107</v>
      </c>
      <c r="D41" s="9" t="s">
        <v>12481</v>
      </c>
      <c r="E41" s="15" t="str">
        <f>HYPERLINK("https://stat100.ameba.jp/tnk47/ratio20/illustrations/card/ill_28513_yushizumiamahime03.jpg", "■")</f>
        <v>■</v>
      </c>
      <c r="F41" s="9" t="s">
        <v>17883</v>
      </c>
      <c r="G41" s="14" t="s">
        <v>6596</v>
      </c>
      <c r="H41" s="14" t="s">
        <v>6596</v>
      </c>
      <c r="I41" s="9">
        <v>25</v>
      </c>
      <c r="J41" s="9" t="s">
        <v>77</v>
      </c>
      <c r="K41" s="9" t="s">
        <v>17884</v>
      </c>
      <c r="L41" s="9" t="s">
        <v>17885</v>
      </c>
      <c r="M41" s="14" t="s">
        <v>9158</v>
      </c>
      <c r="N41" s="14" t="s">
        <v>9158</v>
      </c>
      <c r="O41" s="14" t="s">
        <v>9158</v>
      </c>
      <c r="P41" s="14" t="s">
        <v>9158</v>
      </c>
      <c r="Q41" s="14" t="s">
        <v>9158</v>
      </c>
    </row>
    <row r="42" spans="1:18">
      <c r="A42" s="9">
        <v>29353</v>
      </c>
      <c r="B42" s="14" t="s">
        <v>15</v>
      </c>
      <c r="C42" s="9" t="s">
        <v>107</v>
      </c>
      <c r="D42" s="9" t="s">
        <v>12482</v>
      </c>
      <c r="E42" s="15" t="str">
        <f>HYPERLINK("https://stat100.ameba.jp/tnk47/ratio20/illustrations/card/ill_29353_hinohikarichan03.jpg", "■")</f>
        <v>■</v>
      </c>
      <c r="F42" s="9" t="s">
        <v>16011</v>
      </c>
      <c r="G42" s="9">
        <v>68450</v>
      </c>
      <c r="H42" s="9">
        <v>60360</v>
      </c>
      <c r="I42" s="9">
        <v>25</v>
      </c>
      <c r="J42" s="9" t="s">
        <v>104</v>
      </c>
      <c r="K42" s="9" t="s">
        <v>16012</v>
      </c>
      <c r="L42" s="28" t="s">
        <v>17086</v>
      </c>
      <c r="M42" s="14" t="s">
        <v>9158</v>
      </c>
      <c r="N42" s="14" t="s">
        <v>9158</v>
      </c>
      <c r="O42" s="14" t="s">
        <v>9158</v>
      </c>
      <c r="P42" s="14" t="s">
        <v>9158</v>
      </c>
      <c r="Q42" s="14" t="s">
        <v>9158</v>
      </c>
    </row>
    <row r="43" spans="1:18">
      <c r="A43" s="9">
        <v>32603</v>
      </c>
      <c r="B43" s="14" t="s">
        <v>15</v>
      </c>
      <c r="C43" s="9" t="s">
        <v>107</v>
      </c>
      <c r="D43" s="9" t="s">
        <v>12483</v>
      </c>
      <c r="E43" s="15" t="str">
        <f>HYPERLINK("https://stat100.ameba.jp/tnk47/ratio20/illustrations/card/ill_32603_chokoretokeki03.jpg", "■")</f>
        <v>■</v>
      </c>
      <c r="F43" s="9" t="s">
        <v>17886</v>
      </c>
      <c r="G43" s="14" t="s">
        <v>6596</v>
      </c>
      <c r="H43" s="14" t="s">
        <v>6596</v>
      </c>
      <c r="I43" s="9">
        <v>25</v>
      </c>
      <c r="J43" s="9" t="s">
        <v>104</v>
      </c>
      <c r="K43" s="9" t="s">
        <v>9341</v>
      </c>
      <c r="L43" s="9" t="s">
        <v>2674</v>
      </c>
      <c r="M43" s="14" t="s">
        <v>9158</v>
      </c>
      <c r="N43" s="14" t="s">
        <v>9158</v>
      </c>
      <c r="O43" s="14" t="s">
        <v>9158</v>
      </c>
      <c r="P43" s="14" t="s">
        <v>9158</v>
      </c>
      <c r="Q43" s="14" t="s">
        <v>9158</v>
      </c>
    </row>
    <row r="44" spans="1:18">
      <c r="A44" s="9">
        <v>34723</v>
      </c>
      <c r="B44" s="14" t="s">
        <v>15</v>
      </c>
      <c r="C44" s="9" t="s">
        <v>107</v>
      </c>
      <c r="D44" s="9" t="s">
        <v>12484</v>
      </c>
      <c r="E44" s="15" t="str">
        <f>HYPERLINK("https://stat100.ameba.jp/tnk47/ratio20/illustrations/card/ill_34723_machinushurauyasame03.jpg", "■")</f>
        <v>■</v>
      </c>
      <c r="F44" s="9" t="s">
        <v>17887</v>
      </c>
      <c r="G44" s="14" t="s">
        <v>6596</v>
      </c>
      <c r="H44" s="14" t="s">
        <v>6596</v>
      </c>
      <c r="I44" s="9">
        <v>25</v>
      </c>
      <c r="J44" s="9" t="s">
        <v>44</v>
      </c>
      <c r="K44" s="9" t="s">
        <v>17888</v>
      </c>
      <c r="L44" s="9" t="s">
        <v>17889</v>
      </c>
      <c r="M44" s="14" t="s">
        <v>9158</v>
      </c>
      <c r="N44" s="14" t="s">
        <v>9158</v>
      </c>
      <c r="O44" s="14" t="s">
        <v>9158</v>
      </c>
      <c r="P44" s="14" t="s">
        <v>9158</v>
      </c>
      <c r="Q44" s="14" t="s">
        <v>9158</v>
      </c>
    </row>
    <row r="45" spans="1:18">
      <c r="A45" s="9">
        <v>35433</v>
      </c>
      <c r="B45" s="14" t="s">
        <v>15</v>
      </c>
      <c r="C45" s="9" t="s">
        <v>107</v>
      </c>
      <c r="D45" s="9" t="s">
        <v>12485</v>
      </c>
      <c r="E45" s="15" t="str">
        <f>HYPERLINK("https://stat100.ameba.jp/tnk47/ratio20/illustrations/card/ill_35433_okumashigenobu03.jpg", "■")</f>
        <v>■</v>
      </c>
      <c r="F45" s="9" t="s">
        <v>17890</v>
      </c>
      <c r="G45" s="14" t="s">
        <v>6596</v>
      </c>
      <c r="H45" s="14" t="s">
        <v>6596</v>
      </c>
      <c r="I45" s="9">
        <v>25</v>
      </c>
      <c r="J45" s="9" t="s">
        <v>10</v>
      </c>
      <c r="K45" s="9" t="s">
        <v>17891</v>
      </c>
      <c r="L45" s="9" t="s">
        <v>17892</v>
      </c>
      <c r="M45" s="14" t="s">
        <v>9158</v>
      </c>
      <c r="N45" s="14" t="s">
        <v>9158</v>
      </c>
      <c r="O45" s="14" t="s">
        <v>9158</v>
      </c>
      <c r="P45" s="14" t="s">
        <v>9158</v>
      </c>
      <c r="Q45" s="14" t="s">
        <v>9158</v>
      </c>
      <c r="R45" s="9" t="s">
        <v>17797</v>
      </c>
    </row>
    <row r="46" spans="1:18">
      <c r="A46" s="9">
        <v>39823</v>
      </c>
      <c r="B46" s="14" t="s">
        <v>15</v>
      </c>
      <c r="C46" s="9" t="s">
        <v>107</v>
      </c>
      <c r="D46" s="9" t="s">
        <v>12486</v>
      </c>
      <c r="E46" s="15" t="str">
        <f>HYPERLINK("https://stat100.ameba.jp/tnk47/ratio20/illustrations/card/ill_39823_shakuhachi03.jpg", "■")</f>
        <v>■</v>
      </c>
      <c r="F46" s="9" t="s">
        <v>17893</v>
      </c>
      <c r="G46" s="14" t="s">
        <v>6596</v>
      </c>
      <c r="H46" s="14" t="s">
        <v>6596</v>
      </c>
      <c r="I46" s="9">
        <v>25</v>
      </c>
      <c r="J46" s="9" t="s">
        <v>38</v>
      </c>
      <c r="K46" s="9" t="s">
        <v>17894</v>
      </c>
      <c r="L46" s="9" t="s">
        <v>1702</v>
      </c>
      <c r="M46" s="14" t="s">
        <v>9158</v>
      </c>
      <c r="N46" s="14" t="s">
        <v>9158</v>
      </c>
      <c r="O46" s="14" t="s">
        <v>9158</v>
      </c>
      <c r="P46" s="14" t="s">
        <v>9158</v>
      </c>
      <c r="Q46" s="14" t="s">
        <v>9158</v>
      </c>
    </row>
    <row r="47" spans="1:18">
      <c r="A47" s="9">
        <v>27773</v>
      </c>
      <c r="B47" s="14" t="s">
        <v>15</v>
      </c>
      <c r="C47" s="9" t="s">
        <v>47</v>
      </c>
      <c r="D47" s="9" t="s">
        <v>12487</v>
      </c>
      <c r="E47" s="15" t="str">
        <f>HYPERLINK("https://stat100.ameba.jp/tnk47/ratio20/illustrations/card/ill_27773_gotoshimpei03.jpg", "■")</f>
        <v>■</v>
      </c>
      <c r="F47" s="9" t="s">
        <v>17798</v>
      </c>
      <c r="G47" s="9">
        <v>77330</v>
      </c>
      <c r="H47" s="9">
        <v>63830</v>
      </c>
      <c r="I47" s="9">
        <v>25</v>
      </c>
      <c r="J47" s="9" t="s">
        <v>16</v>
      </c>
      <c r="K47" s="9" t="s">
        <v>17799</v>
      </c>
      <c r="L47" s="9" t="s">
        <v>17800</v>
      </c>
      <c r="M47" s="14" t="s">
        <v>9158</v>
      </c>
      <c r="N47" s="14" t="s">
        <v>9158</v>
      </c>
      <c r="O47" s="14" t="s">
        <v>9158</v>
      </c>
      <c r="P47" s="14" t="s">
        <v>9158</v>
      </c>
      <c r="Q47" s="14" t="s">
        <v>9158</v>
      </c>
    </row>
    <row r="48" spans="1:18">
      <c r="A48" s="9">
        <v>30583</v>
      </c>
      <c r="B48" s="14" t="s">
        <v>15</v>
      </c>
      <c r="C48" s="9" t="s">
        <v>47</v>
      </c>
      <c r="D48" s="9" t="s">
        <v>12488</v>
      </c>
      <c r="E48" s="15" t="str">
        <f>HYPERLINK("https://stat100.ameba.jp/tnk47/ratio20/illustrations/card/ill_30583_tsukaharabokuden03.jpg", "■")</f>
        <v>■</v>
      </c>
      <c r="F48" s="9" t="s">
        <v>17794</v>
      </c>
      <c r="G48" s="9">
        <v>70870</v>
      </c>
      <c r="H48" s="9">
        <v>63830</v>
      </c>
      <c r="I48" s="9">
        <v>25</v>
      </c>
      <c r="J48" s="9" t="s">
        <v>143</v>
      </c>
      <c r="K48" s="9" t="s">
        <v>17793</v>
      </c>
      <c r="L48" s="9" t="s">
        <v>17795</v>
      </c>
      <c r="M48" s="14" t="s">
        <v>9158</v>
      </c>
      <c r="N48" s="14" t="s">
        <v>9158</v>
      </c>
      <c r="O48" s="14" t="s">
        <v>9158</v>
      </c>
      <c r="P48" s="14" t="s">
        <v>9158</v>
      </c>
      <c r="Q48" s="14" t="s">
        <v>9158</v>
      </c>
      <c r="R48" s="9" t="s">
        <v>17796</v>
      </c>
    </row>
    <row r="49" spans="1:18">
      <c r="A49" s="9">
        <v>27953</v>
      </c>
      <c r="B49" s="14" t="s">
        <v>15</v>
      </c>
      <c r="C49" s="9" t="s">
        <v>41</v>
      </c>
      <c r="D49" s="9" t="s">
        <v>12489</v>
      </c>
      <c r="E49" s="15" t="str">
        <f>HYPERLINK("https://stat100.ameba.jp/tnk47/ratio20/illustrations/card/ill_27953_tsudakazunaga03.jpg", "■")</f>
        <v>■</v>
      </c>
      <c r="F49" s="9" t="s">
        <v>17790</v>
      </c>
      <c r="G49" s="9">
        <v>67210</v>
      </c>
      <c r="H49" s="9">
        <v>74100</v>
      </c>
      <c r="I49" s="9">
        <v>25</v>
      </c>
      <c r="J49" s="9" t="s">
        <v>10</v>
      </c>
      <c r="K49" s="9" t="s">
        <v>17792</v>
      </c>
      <c r="L49" s="9" t="s">
        <v>17791</v>
      </c>
      <c r="M49" s="14" t="s">
        <v>9158</v>
      </c>
      <c r="N49" s="14" t="s">
        <v>9158</v>
      </c>
      <c r="O49" s="14" t="s">
        <v>9158</v>
      </c>
      <c r="P49" s="14" t="s">
        <v>9158</v>
      </c>
      <c r="Q49" s="14" t="s">
        <v>9158</v>
      </c>
      <c r="R49" s="9" t="s">
        <v>17797</v>
      </c>
    </row>
  </sheetData>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595D-C517-4765-917C-141C01D93177}">
  <dimension ref="A1:S8"/>
  <sheetViews>
    <sheetView zoomScale="55" zoomScaleNormal="55" workbookViewId="0">
      <pane ySplit="1" topLeftCell="A2" activePane="bottomLeft" state="frozen"/>
      <selection pane="bottomLeft"/>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s="14" customFormat="1">
      <c r="A3" s="9">
        <v>17583</v>
      </c>
      <c r="B3" s="14" t="s">
        <v>0</v>
      </c>
      <c r="C3" s="14" t="s">
        <v>14</v>
      </c>
      <c r="D3" s="19" t="s">
        <v>16929</v>
      </c>
      <c r="E3" s="15" t="str">
        <f>HYPERLINK("https://stat100.ameba.jp/tnk47/ratio20/illustrations/card/ill_17583_karyobinga03.jpg", "■")</f>
        <v>■</v>
      </c>
      <c r="F3" s="14" t="s">
        <v>16935</v>
      </c>
      <c r="J3" s="14" t="s">
        <v>44</v>
      </c>
      <c r="K3" s="14" t="s">
        <v>16936</v>
      </c>
      <c r="L3" s="27" t="s">
        <v>16937</v>
      </c>
      <c r="M3" s="14" t="s">
        <v>9158</v>
      </c>
      <c r="N3" s="14" t="s">
        <v>9158</v>
      </c>
      <c r="O3" s="14" t="s">
        <v>9158</v>
      </c>
      <c r="P3" s="14" t="s">
        <v>9158</v>
      </c>
      <c r="Q3" s="14" t="s">
        <v>9158</v>
      </c>
    </row>
    <row r="4" spans="1:19">
      <c r="A4" s="9">
        <v>12903</v>
      </c>
      <c r="B4" s="14" t="s">
        <v>0</v>
      </c>
      <c r="C4" s="14" t="s">
        <v>101</v>
      </c>
      <c r="D4" s="9" t="s">
        <v>16930</v>
      </c>
      <c r="E4" s="15" t="str">
        <f>HYPERLINK("https://stat100.ameba.jp/tnk47/ratio20/illustrations/card/ill_12903_tomoegozen03.jpg", "■")</f>
        <v>■</v>
      </c>
      <c r="J4" s="9" t="s">
        <v>143</v>
      </c>
      <c r="M4" s="14" t="s">
        <v>9158</v>
      </c>
      <c r="N4" s="14" t="s">
        <v>9158</v>
      </c>
      <c r="O4" s="14" t="s">
        <v>9158</v>
      </c>
      <c r="P4" s="14" t="s">
        <v>9158</v>
      </c>
      <c r="Q4" s="14" t="s">
        <v>9158</v>
      </c>
    </row>
    <row r="5" spans="1:19">
      <c r="A5" s="9">
        <v>22483</v>
      </c>
      <c r="B5" s="14" t="s">
        <v>0</v>
      </c>
      <c r="C5" s="14" t="s">
        <v>96</v>
      </c>
      <c r="D5" s="9" t="s">
        <v>16931</v>
      </c>
      <c r="E5" s="15" t="str">
        <f>HYPERLINK("https://stat100.ameba.jp/tnk47/ratio20/illustrations/card/ill_22483_gozannokuribidaimonji03.jpg", "■")</f>
        <v>■</v>
      </c>
      <c r="F5" s="9" t="s">
        <v>16947</v>
      </c>
      <c r="J5" s="14" t="s">
        <v>26</v>
      </c>
      <c r="K5" s="9" t="s">
        <v>16949</v>
      </c>
      <c r="L5" s="25" t="s">
        <v>16948</v>
      </c>
      <c r="M5" s="14" t="s">
        <v>9158</v>
      </c>
      <c r="N5" s="14" t="s">
        <v>9158</v>
      </c>
      <c r="O5" s="14" t="s">
        <v>9158</v>
      </c>
      <c r="P5" s="14" t="s">
        <v>9158</v>
      </c>
      <c r="Q5" s="14" t="s">
        <v>9158</v>
      </c>
    </row>
    <row r="6" spans="1:19">
      <c r="A6" s="9">
        <v>17593</v>
      </c>
      <c r="B6" s="14" t="s">
        <v>0</v>
      </c>
      <c r="C6" s="14" t="s">
        <v>1</v>
      </c>
      <c r="D6" s="9" t="s">
        <v>16932</v>
      </c>
      <c r="E6" s="15" t="str">
        <f>HYPERLINK("https://stat100.ameba.jp/tnk47/ratio20/illustrations/card/ill_17593_tennyohime03.jpg", "■")</f>
        <v>■</v>
      </c>
      <c r="F6" s="9" t="s">
        <v>16940</v>
      </c>
      <c r="J6" s="9" t="s">
        <v>38</v>
      </c>
      <c r="K6" s="9" t="s">
        <v>16938</v>
      </c>
      <c r="L6" s="9" t="s">
        <v>16939</v>
      </c>
      <c r="M6" s="14" t="s">
        <v>9158</v>
      </c>
      <c r="N6" s="14" t="s">
        <v>9158</v>
      </c>
      <c r="O6" s="14" t="s">
        <v>9158</v>
      </c>
      <c r="P6" s="14" t="s">
        <v>9158</v>
      </c>
      <c r="Q6" s="14" t="s">
        <v>9158</v>
      </c>
    </row>
    <row r="7" spans="1:19">
      <c r="A7" s="9">
        <v>27903</v>
      </c>
      <c r="B7" s="14" t="s">
        <v>0</v>
      </c>
      <c r="C7" s="14" t="s">
        <v>47</v>
      </c>
      <c r="D7" s="9" t="s">
        <v>16933</v>
      </c>
      <c r="E7" s="15" t="str">
        <f>HYPERLINK("https://stat100.ameba.jp/tnk47/ratio20/illustrations/card/ill_27903_nenekokappa03.jpg", "■")</f>
        <v>■</v>
      </c>
      <c r="F7" s="9" t="s">
        <v>16941</v>
      </c>
      <c r="J7" s="9" t="s">
        <v>73</v>
      </c>
      <c r="K7" s="9" t="s">
        <v>16942</v>
      </c>
      <c r="L7" s="25" t="s">
        <v>16943</v>
      </c>
      <c r="M7" s="14" t="s">
        <v>9158</v>
      </c>
      <c r="N7" s="14" t="s">
        <v>9158</v>
      </c>
      <c r="O7" s="14" t="s">
        <v>9158</v>
      </c>
      <c r="P7" s="14" t="s">
        <v>9158</v>
      </c>
      <c r="Q7" s="14" t="s">
        <v>9158</v>
      </c>
    </row>
    <row r="8" spans="1:19">
      <c r="A8" s="9">
        <v>26583</v>
      </c>
      <c r="B8" s="14" t="s">
        <v>0</v>
      </c>
      <c r="C8" s="14" t="s">
        <v>41</v>
      </c>
      <c r="D8" s="9" t="s">
        <v>16934</v>
      </c>
      <c r="E8" s="15" t="str">
        <f>HYPERLINK("https://stat100.ameba.jp/tnk47/ratio20/illustrations/card/ill_26583_setonairemon03.jpg", "■")</f>
        <v>■</v>
      </c>
      <c r="F8" s="9" t="s">
        <v>16944</v>
      </c>
      <c r="J8" s="9" t="s">
        <v>104</v>
      </c>
      <c r="K8" s="9" t="s">
        <v>16945</v>
      </c>
      <c r="L8" s="25" t="s">
        <v>16946</v>
      </c>
      <c r="M8" s="14" t="s">
        <v>9158</v>
      </c>
      <c r="N8" s="14" t="s">
        <v>9158</v>
      </c>
      <c r="O8" s="14" t="s">
        <v>9158</v>
      </c>
      <c r="P8" s="14" t="s">
        <v>9158</v>
      </c>
      <c r="Q8" s="14" t="s">
        <v>9158</v>
      </c>
    </row>
  </sheetData>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8049-DFA5-4589-93DE-45F28FCCFB9E}">
  <dimension ref="A1:S178"/>
  <sheetViews>
    <sheetView zoomScale="55" zoomScaleNormal="55" workbookViewId="0">
      <pane ySplit="1" topLeftCell="A2" activePane="bottomLeft" state="frozen"/>
      <selection pane="bottomLeft" activeCell="A31" sqref="A31:Q31"/>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ol min="7" max="8" width="7.08203125" style="9" customWidth="1"/>
    <col min="9" max="9" width="3.75" style="9" customWidth="1"/>
    <col min="10" max="10" width="5.4140625" style="9" customWidth="1"/>
    <col min="11" max="11" width="8.9140625" style="9"/>
    <col min="12" max="12" width="50.75" style="9" customWidth="1"/>
    <col min="13" max="16" width="8.9140625" style="9"/>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13401</v>
      </c>
    </row>
    <row r="4" spans="1:19" s="1" customFormat="1">
      <c r="A4" s="1" t="s">
        <v>5602</v>
      </c>
      <c r="B4" s="1" t="s">
        <v>52</v>
      </c>
      <c r="C4" s="1" t="s">
        <v>14</v>
      </c>
      <c r="D4" s="19" t="s">
        <v>813</v>
      </c>
      <c r="E4" s="15" t="str">
        <f>HYPERLINK("https://stat100.ameba.jp/tnk47/ratio20/illustrations/card/ill_55313_0_haroinononokomachi03.jpg", "■")</f>
        <v>■</v>
      </c>
      <c r="F4" s="1" t="s">
        <v>2094</v>
      </c>
      <c r="G4" s="1">
        <v>150776</v>
      </c>
      <c r="H4" s="1">
        <v>133938</v>
      </c>
      <c r="I4" s="1">
        <v>24</v>
      </c>
      <c r="J4" s="1" t="s">
        <v>10</v>
      </c>
      <c r="K4" s="1" t="s">
        <v>2095</v>
      </c>
      <c r="L4" s="1" t="s">
        <v>2096</v>
      </c>
      <c r="M4" s="1" t="s">
        <v>9158</v>
      </c>
      <c r="N4" s="1" t="s">
        <v>9158</v>
      </c>
      <c r="O4" s="19" t="s">
        <v>2733</v>
      </c>
      <c r="P4" s="1" t="s">
        <v>2734</v>
      </c>
      <c r="Q4" s="1">
        <v>1</v>
      </c>
    </row>
    <row r="5" spans="1:19" s="1" customFormat="1">
      <c r="A5" s="1" t="s">
        <v>5609</v>
      </c>
      <c r="B5" s="1" t="s">
        <v>52</v>
      </c>
      <c r="C5" s="1" t="s">
        <v>200</v>
      </c>
      <c r="D5" s="19" t="s">
        <v>389</v>
      </c>
      <c r="E5" s="15" t="str">
        <f>HYPERLINK("https://stat100.ameba.jp/tnk47/ratio20/illustrations/card/ill_53753_0_natsumatsuritokugawaieyasu03.jpg", "■")</f>
        <v>■</v>
      </c>
      <c r="F5" s="1" t="s">
        <v>902</v>
      </c>
      <c r="G5" s="1">
        <v>150776</v>
      </c>
      <c r="H5" s="1">
        <v>133938</v>
      </c>
      <c r="I5" s="1">
        <v>24</v>
      </c>
      <c r="J5" s="1" t="s">
        <v>194</v>
      </c>
      <c r="K5" s="1" t="s">
        <v>1714</v>
      </c>
      <c r="L5" s="1" t="s">
        <v>904</v>
      </c>
      <c r="M5" s="1" t="s">
        <v>9158</v>
      </c>
      <c r="N5" s="1" t="s">
        <v>9158</v>
      </c>
      <c r="O5" s="19" t="s">
        <v>10076</v>
      </c>
      <c r="P5" s="1" t="s">
        <v>13121</v>
      </c>
      <c r="Q5" s="1">
        <v>1</v>
      </c>
    </row>
    <row r="6" spans="1:19" s="1" customFormat="1">
      <c r="A6" s="1" t="s">
        <v>5621</v>
      </c>
      <c r="B6" s="1" t="s">
        <v>330</v>
      </c>
      <c r="C6" s="1" t="s">
        <v>191</v>
      </c>
      <c r="D6" s="19" t="s">
        <v>2871</v>
      </c>
      <c r="E6" s="15" t="str">
        <f>HYPERLINK("https://stat100.ameba.jp/tnk47/ratio20/illustrations/card/ill_51973_0_kemonomizugikuroyuridensetsu03.jpg", "■")</f>
        <v>■</v>
      </c>
      <c r="F6" s="1" t="s">
        <v>2034</v>
      </c>
      <c r="G6" s="1">
        <v>150776</v>
      </c>
      <c r="H6" s="1">
        <v>133938</v>
      </c>
      <c r="I6" s="1">
        <v>24</v>
      </c>
      <c r="J6" s="1" t="s">
        <v>38</v>
      </c>
      <c r="K6" s="1" t="s">
        <v>2035</v>
      </c>
      <c r="L6" s="1" t="s">
        <v>2036</v>
      </c>
      <c r="M6" s="1" t="s">
        <v>9158</v>
      </c>
      <c r="N6" s="1" t="s">
        <v>9158</v>
      </c>
      <c r="O6" s="19" t="s">
        <v>10088</v>
      </c>
      <c r="P6" s="1" t="s">
        <v>13172</v>
      </c>
      <c r="Q6" s="1">
        <v>1</v>
      </c>
    </row>
    <row r="7" spans="1:19" s="1" customFormat="1">
      <c r="A7" s="1" t="s">
        <v>5617</v>
      </c>
      <c r="B7" s="1" t="s">
        <v>330</v>
      </c>
      <c r="C7" s="1" t="s">
        <v>308</v>
      </c>
      <c r="D7" s="19" t="s">
        <v>385</v>
      </c>
      <c r="E7" s="15" t="str">
        <f>HYPERLINK("https://stat100.ameba.jp/tnk47/ratio20/illustrations/card/ill_59673_0_oheyashutendoji03.jpg", "■")</f>
        <v>■</v>
      </c>
      <c r="F7" s="1" t="s">
        <v>386</v>
      </c>
      <c r="G7" s="1">
        <v>168874</v>
      </c>
      <c r="H7" s="1">
        <v>181640</v>
      </c>
      <c r="I7" s="1">
        <v>24</v>
      </c>
      <c r="J7" s="1" t="s">
        <v>320</v>
      </c>
      <c r="K7" s="1" t="s">
        <v>387</v>
      </c>
      <c r="L7" s="1" t="s">
        <v>388</v>
      </c>
      <c r="M7" s="1" t="s">
        <v>9158</v>
      </c>
      <c r="N7" s="1" t="s">
        <v>9158</v>
      </c>
      <c r="O7" s="19" t="s">
        <v>10078</v>
      </c>
      <c r="P7" s="1" t="s">
        <v>3022</v>
      </c>
      <c r="Q7" s="1">
        <v>1</v>
      </c>
    </row>
    <row r="8" spans="1:19" s="1" customFormat="1">
      <c r="A8" s="1" t="s">
        <v>5614</v>
      </c>
      <c r="B8" s="1" t="s">
        <v>330</v>
      </c>
      <c r="C8" s="1" t="s">
        <v>267</v>
      </c>
      <c r="D8" s="19" t="s">
        <v>313</v>
      </c>
      <c r="E8" s="15" t="str">
        <f>HYPERLINK("https://stat100.ameba.jp/tnk47/ratio20/illustrations/card/ill_56223_0_onsempanikkugohime03.jpg", "■")</f>
        <v>■</v>
      </c>
      <c r="F8" s="1" t="s">
        <v>314</v>
      </c>
      <c r="G8" s="1">
        <v>133938</v>
      </c>
      <c r="H8" s="1">
        <v>150776</v>
      </c>
      <c r="I8" s="1">
        <v>24</v>
      </c>
      <c r="J8" s="1" t="s">
        <v>315</v>
      </c>
      <c r="K8" s="1" t="s">
        <v>316</v>
      </c>
      <c r="L8" s="1" t="s">
        <v>317</v>
      </c>
      <c r="M8" s="1" t="s">
        <v>9158</v>
      </c>
      <c r="N8" s="1" t="s">
        <v>9158</v>
      </c>
      <c r="O8" s="19" t="s">
        <v>3021</v>
      </c>
      <c r="P8" s="1" t="s">
        <v>2890</v>
      </c>
      <c r="Q8" s="1">
        <v>1</v>
      </c>
    </row>
    <row r="9" spans="1:19" s="1" customFormat="1">
      <c r="A9" s="1" t="s">
        <v>5725</v>
      </c>
      <c r="B9" s="1" t="s">
        <v>52</v>
      </c>
      <c r="C9" s="1" t="s">
        <v>107</v>
      </c>
      <c r="D9" s="19" t="s">
        <v>543</v>
      </c>
      <c r="E9" s="15" t="str">
        <f>HYPERLINK("https://stat100.ameba.jp/tnk47/ratio20/illustrations/card/ill_52693_0_sengokumibirakiyanagiharabyakuren03.jpg", "■")</f>
        <v>■</v>
      </c>
      <c r="F9" s="1" t="s">
        <v>1246</v>
      </c>
      <c r="G9" s="1">
        <v>133938</v>
      </c>
      <c r="H9" s="1">
        <v>150776</v>
      </c>
      <c r="I9" s="1">
        <v>24</v>
      </c>
      <c r="J9" s="1" t="s">
        <v>16</v>
      </c>
      <c r="K9" s="1" t="s">
        <v>1247</v>
      </c>
      <c r="L9" s="1" t="s">
        <v>1248</v>
      </c>
      <c r="M9" s="1" t="s">
        <v>9158</v>
      </c>
      <c r="N9" s="1" t="s">
        <v>9158</v>
      </c>
      <c r="O9" s="19" t="s">
        <v>2886</v>
      </c>
      <c r="P9" s="1" t="s">
        <v>3304</v>
      </c>
      <c r="Q9" s="1">
        <v>1</v>
      </c>
    </row>
    <row r="10" spans="1:19" s="1" customFormat="1">
      <c r="A10" s="1" t="s">
        <v>5610</v>
      </c>
      <c r="B10" s="1" t="s">
        <v>330</v>
      </c>
      <c r="C10" s="1" t="s">
        <v>185</v>
      </c>
      <c r="D10" s="19" t="s">
        <v>539</v>
      </c>
      <c r="E10" s="15" t="str">
        <f>HYPERLINK("https://stat100.ameba.jp/tnk47/ratio20/illustrations/card/ill_60633_0_harumaisentoin03.jpg", "■")</f>
        <v>■</v>
      </c>
      <c r="F10" s="1" t="s">
        <v>540</v>
      </c>
      <c r="G10" s="1">
        <v>152594</v>
      </c>
      <c r="H10" s="1">
        <v>164144</v>
      </c>
      <c r="I10" s="1">
        <v>24</v>
      </c>
      <c r="J10" s="1" t="s">
        <v>274</v>
      </c>
      <c r="K10" s="1" t="s">
        <v>541</v>
      </c>
      <c r="L10" s="1" t="s">
        <v>542</v>
      </c>
      <c r="M10" s="1" t="s">
        <v>9158</v>
      </c>
      <c r="N10" s="1" t="s">
        <v>9158</v>
      </c>
      <c r="O10" s="19" t="s">
        <v>2888</v>
      </c>
      <c r="P10" s="1" t="s">
        <v>3144</v>
      </c>
      <c r="Q10" s="1">
        <v>1</v>
      </c>
    </row>
    <row r="11" spans="1:19" s="1" customFormat="1">
      <c r="A11" s="1" t="s">
        <v>5618</v>
      </c>
      <c r="B11" s="1" t="s">
        <v>52</v>
      </c>
      <c r="C11" s="1" t="s">
        <v>23</v>
      </c>
      <c r="D11" s="19" t="s">
        <v>665</v>
      </c>
      <c r="E11" s="15" t="str">
        <f>HYPERLINK("https://stat100.ameba.jp/tnk47/ratio20/illustrations/card/ill_63173_0_minazukikonakaiteruko03.jpg", "■")</f>
        <v>■</v>
      </c>
      <c r="F11" s="1" t="s">
        <v>1188</v>
      </c>
      <c r="G11" s="1">
        <v>208310</v>
      </c>
      <c r="H11" s="1">
        <v>224026</v>
      </c>
      <c r="I11" s="1">
        <v>24</v>
      </c>
      <c r="J11" s="1" t="s">
        <v>143</v>
      </c>
      <c r="K11" s="1" t="s">
        <v>1189</v>
      </c>
      <c r="L11" s="1" t="s">
        <v>1190</v>
      </c>
      <c r="M11" s="1" t="s">
        <v>9158</v>
      </c>
      <c r="N11" s="1" t="s">
        <v>9158</v>
      </c>
      <c r="O11" s="19" t="s">
        <v>10079</v>
      </c>
      <c r="P11" s="1" t="s">
        <v>3329</v>
      </c>
      <c r="Q11" s="1">
        <v>1</v>
      </c>
    </row>
    <row r="12" spans="1:19" s="1" customFormat="1">
      <c r="A12" s="1" t="s">
        <v>5901</v>
      </c>
      <c r="B12" s="1" t="s">
        <v>52</v>
      </c>
      <c r="C12" s="1" t="s">
        <v>101</v>
      </c>
      <c r="D12" s="19" t="s">
        <v>1426</v>
      </c>
      <c r="E12" s="15" t="str">
        <f>HYPERLINK("https://stat100.ameba.jp/tnk47/ratio20/illustrations/card/ill_64953_0_yukatatokugawayoshinobu03.jpg", "■")</f>
        <v>■</v>
      </c>
      <c r="F12" s="1" t="s">
        <v>2090</v>
      </c>
      <c r="G12" s="1">
        <v>149520</v>
      </c>
      <c r="H12" s="1">
        <v>160804</v>
      </c>
      <c r="I12" s="1">
        <v>24</v>
      </c>
      <c r="J12" s="1" t="s">
        <v>10</v>
      </c>
      <c r="K12" s="1" t="s">
        <v>2091</v>
      </c>
      <c r="L12" s="1" t="s">
        <v>2092</v>
      </c>
      <c r="M12" s="1" t="s">
        <v>9158</v>
      </c>
      <c r="N12" s="1" t="s">
        <v>9158</v>
      </c>
      <c r="O12" s="19" t="s">
        <v>2889</v>
      </c>
      <c r="P12" s="1" t="s">
        <v>2890</v>
      </c>
      <c r="Q12" s="1">
        <v>1</v>
      </c>
    </row>
    <row r="13" spans="1:19" s="1" customFormat="1">
      <c r="A13" s="1" t="s">
        <v>5623</v>
      </c>
      <c r="B13" s="1" t="s">
        <v>330</v>
      </c>
      <c r="C13" s="1" t="s">
        <v>165</v>
      </c>
      <c r="D13" s="19" t="s">
        <v>3146</v>
      </c>
      <c r="E13" s="15" t="str">
        <f>HYPERLINK("https://stat100.ameba.jp/tnk47/ratio20/illustrations/card/ill_65713_0_undokaionikirimaru03.jpg", "■")</f>
        <v>■</v>
      </c>
      <c r="F13" s="1" t="s">
        <v>535</v>
      </c>
      <c r="G13" s="1">
        <v>181640</v>
      </c>
      <c r="H13" s="1">
        <v>168874</v>
      </c>
      <c r="I13" s="1">
        <v>24</v>
      </c>
      <c r="J13" s="1" t="s">
        <v>320</v>
      </c>
      <c r="K13" s="1" t="s">
        <v>3147</v>
      </c>
      <c r="L13" s="1" t="s">
        <v>3148</v>
      </c>
      <c r="M13" s="1" t="s">
        <v>9158</v>
      </c>
      <c r="N13" s="1" t="s">
        <v>9158</v>
      </c>
      <c r="O13" s="19" t="s">
        <v>2869</v>
      </c>
      <c r="P13" s="1" t="s">
        <v>2870</v>
      </c>
      <c r="Q13" s="1">
        <v>1</v>
      </c>
    </row>
    <row r="14" spans="1:19" s="1" customFormat="1">
      <c r="A14" s="1" t="s">
        <v>5778</v>
      </c>
      <c r="B14" s="1" t="s">
        <v>330</v>
      </c>
      <c r="C14" s="1" t="s">
        <v>205</v>
      </c>
      <c r="D14" s="19" t="s">
        <v>272</v>
      </c>
      <c r="E14" s="15" t="str">
        <f>HYPERLINK("https://stat100.ameba.jp/tnk47/ratio20/illustrations/card/ill_68783_0_gantammomotaro03.jpg", "■")</f>
        <v>■</v>
      </c>
      <c r="F14" s="1" t="s">
        <v>15558</v>
      </c>
      <c r="G14" s="1">
        <v>164144</v>
      </c>
      <c r="H14" s="1">
        <v>152594</v>
      </c>
      <c r="I14" s="1">
        <v>24</v>
      </c>
      <c r="J14" s="1" t="s">
        <v>274</v>
      </c>
      <c r="K14" s="1" t="s">
        <v>275</v>
      </c>
      <c r="L14" s="1" t="s">
        <v>276</v>
      </c>
      <c r="M14" s="1" t="s">
        <v>9158</v>
      </c>
      <c r="N14" s="1" t="s">
        <v>9158</v>
      </c>
      <c r="O14" s="19" t="s">
        <v>10099</v>
      </c>
      <c r="P14" s="1" t="s">
        <v>3085</v>
      </c>
      <c r="Q14" s="1">
        <v>1</v>
      </c>
    </row>
    <row r="15" spans="1:19" s="1" customFormat="1">
      <c r="A15" s="1" t="s">
        <v>5620</v>
      </c>
      <c r="B15" s="1" t="s">
        <v>52</v>
      </c>
      <c r="C15" s="1" t="s">
        <v>344</v>
      </c>
      <c r="D15" s="19" t="s">
        <v>669</v>
      </c>
      <c r="E15" s="15" t="str">
        <f>HYPERLINK("https://stat100.ameba.jp/tnk47/ratio20/illustrations/card/ill_67173_0_yukemuriawamorichan03.jpg", "■")</f>
        <v>■</v>
      </c>
      <c r="F15" s="1" t="s">
        <v>2043</v>
      </c>
      <c r="G15" s="1">
        <v>184400</v>
      </c>
      <c r="H15" s="1">
        <v>171436</v>
      </c>
      <c r="I15" s="1">
        <v>24</v>
      </c>
      <c r="J15" s="1" t="s">
        <v>104</v>
      </c>
      <c r="K15" s="1" t="s">
        <v>2044</v>
      </c>
      <c r="L15" s="1" t="s">
        <v>2045</v>
      </c>
      <c r="M15" s="1" t="s">
        <v>9158</v>
      </c>
      <c r="N15" s="1" t="s">
        <v>9158</v>
      </c>
      <c r="O15" s="19" t="s">
        <v>10087</v>
      </c>
      <c r="P15" s="1" t="s">
        <v>3455</v>
      </c>
      <c r="Q15" s="1">
        <v>1</v>
      </c>
    </row>
    <row r="16" spans="1:19" s="1" customFormat="1">
      <c r="A16" s="1" t="s">
        <v>5804</v>
      </c>
      <c r="B16" s="1" t="s">
        <v>52</v>
      </c>
      <c r="C16" s="1" t="s">
        <v>14</v>
      </c>
      <c r="D16" s="19" t="s">
        <v>3195</v>
      </c>
      <c r="E16" s="15" t="str">
        <f>HYPERLINK("https://stat100.ameba.jp/tnk47/ratio20/illustrations/card/ill_75393_0_resukuinotsukisamaniittausagi03.jpg", "■")</f>
        <v>■</v>
      </c>
      <c r="F16" s="1" t="s">
        <v>3248</v>
      </c>
      <c r="G16" s="1">
        <v>273368</v>
      </c>
      <c r="H16" s="1">
        <v>254160</v>
      </c>
      <c r="I16" s="1">
        <v>24</v>
      </c>
      <c r="J16" s="1" t="s">
        <v>26</v>
      </c>
      <c r="K16" s="1" t="s">
        <v>3249</v>
      </c>
      <c r="L16" s="1" t="s">
        <v>3250</v>
      </c>
      <c r="M16" s="1" t="s">
        <v>9158</v>
      </c>
      <c r="N16" s="1" t="s">
        <v>9158</v>
      </c>
      <c r="O16" s="19" t="s">
        <v>10101</v>
      </c>
      <c r="P16" s="1" t="s">
        <v>3251</v>
      </c>
      <c r="Q16" s="1">
        <v>2</v>
      </c>
    </row>
    <row r="17" spans="1:17" s="1" customFormat="1">
      <c r="A17" s="1" t="s">
        <v>6030</v>
      </c>
      <c r="B17" s="1" t="s">
        <v>52</v>
      </c>
      <c r="C17" s="1" t="s">
        <v>202</v>
      </c>
      <c r="D17" s="19" t="s">
        <v>10453</v>
      </c>
      <c r="E17" s="15" t="str">
        <f>HYPERLINK("https://stat100.ameba.jp/tnk47/ratio20/illustrations/card/ill_80023_0_hinamatsurikyogokumaria03.jpg", "■")</f>
        <v>■</v>
      </c>
      <c r="F17" s="1" t="s">
        <v>3709</v>
      </c>
      <c r="G17" s="1">
        <v>323430</v>
      </c>
      <c r="H17" s="1">
        <v>357888</v>
      </c>
      <c r="I17" s="1">
        <v>24</v>
      </c>
      <c r="J17" s="1" t="s">
        <v>26</v>
      </c>
      <c r="K17" s="1" t="s">
        <v>3710</v>
      </c>
      <c r="L17" s="1" t="s">
        <v>3711</v>
      </c>
      <c r="M17" s="1" t="s">
        <v>9158</v>
      </c>
      <c r="N17" s="1" t="s">
        <v>9158</v>
      </c>
      <c r="O17" s="19" t="s">
        <v>10116</v>
      </c>
      <c r="P17" s="1" t="s">
        <v>3713</v>
      </c>
      <c r="Q17" s="1">
        <v>1</v>
      </c>
    </row>
    <row r="18" spans="1:17" s="1" customFormat="1">
      <c r="A18" s="1" t="s">
        <v>6905</v>
      </c>
      <c r="B18" s="1" t="s">
        <v>330</v>
      </c>
      <c r="C18" s="1" t="s">
        <v>35</v>
      </c>
      <c r="D18" s="19" t="s">
        <v>10299</v>
      </c>
      <c r="E18" s="15" t="str">
        <f>HYPERLINK("https://stat100.ameba.jp/tnk47/ratio20/illustrations/card/ill_80623_0_ohanamigurampingutominushihime03.jpg", "■")</f>
        <v>■</v>
      </c>
      <c r="F18" s="1" t="s">
        <v>4162</v>
      </c>
      <c r="G18" s="1">
        <v>289274</v>
      </c>
      <c r="H18" s="1">
        <v>261472</v>
      </c>
      <c r="I18" s="1">
        <v>24</v>
      </c>
      <c r="J18" s="1" t="s">
        <v>44</v>
      </c>
      <c r="K18" s="1" t="s">
        <v>4163</v>
      </c>
      <c r="L18" s="1" t="s">
        <v>4164</v>
      </c>
      <c r="M18" s="1" t="s">
        <v>9158</v>
      </c>
      <c r="N18" s="1" t="s">
        <v>9158</v>
      </c>
      <c r="O18" s="19" t="s">
        <v>10126</v>
      </c>
      <c r="P18" s="1" t="s">
        <v>4166</v>
      </c>
      <c r="Q18" s="1">
        <v>1</v>
      </c>
    </row>
    <row r="19" spans="1:17" s="1" customFormat="1">
      <c r="A19" s="1" t="s">
        <v>5733</v>
      </c>
      <c r="B19" s="1" t="s">
        <v>330</v>
      </c>
      <c r="C19" s="1" t="s">
        <v>202</v>
      </c>
      <c r="D19" s="19" t="s">
        <v>2744</v>
      </c>
      <c r="E19" s="15" t="str">
        <f>HYPERLINK("https://stat100.ameba.jp/tnk47/ratio20/illustrations/card/ill_78693_0_kyupittokoinomikoto03.jpg", "■")</f>
        <v>■</v>
      </c>
      <c r="F19" s="1" t="s">
        <v>2745</v>
      </c>
      <c r="G19" s="1">
        <v>251516</v>
      </c>
      <c r="H19" s="1">
        <v>278294</v>
      </c>
      <c r="I19" s="1">
        <v>24</v>
      </c>
      <c r="J19" s="1" t="s">
        <v>274</v>
      </c>
      <c r="K19" s="1" t="s">
        <v>2746</v>
      </c>
      <c r="L19" s="1" t="s">
        <v>2747</v>
      </c>
      <c r="M19" s="1" t="s">
        <v>9158</v>
      </c>
      <c r="N19" s="1" t="s">
        <v>9158</v>
      </c>
      <c r="O19" s="19" t="s">
        <v>10097</v>
      </c>
      <c r="P19" s="1" t="s">
        <v>2748</v>
      </c>
      <c r="Q19" s="1">
        <v>1</v>
      </c>
    </row>
    <row r="20" spans="1:17" s="1" customFormat="1">
      <c r="A20" s="1" t="s">
        <v>5843</v>
      </c>
      <c r="B20" s="1" t="s">
        <v>52</v>
      </c>
      <c r="C20" s="1" t="s">
        <v>202</v>
      </c>
      <c r="D20" s="19" t="s">
        <v>10291</v>
      </c>
      <c r="E20" s="15" t="str">
        <f>HYPERLINK("https://stat100.ameba.jp/tnk47/ratio20/illustrations/card/ill_77963_0_kurisumasudaisakusentakiyashahime03.jpg", "■")</f>
        <v>■</v>
      </c>
      <c r="F20" s="1" t="s">
        <v>2127</v>
      </c>
      <c r="G20" s="1">
        <v>294746</v>
      </c>
      <c r="H20" s="1">
        <v>266388</v>
      </c>
      <c r="I20" s="1">
        <v>24</v>
      </c>
      <c r="J20" s="1" t="s">
        <v>77</v>
      </c>
      <c r="K20" s="1" t="s">
        <v>2128</v>
      </c>
      <c r="L20" s="1" t="s">
        <v>2129</v>
      </c>
      <c r="M20" s="1" t="s">
        <v>9158</v>
      </c>
      <c r="N20" s="1" t="s">
        <v>9158</v>
      </c>
      <c r="O20" s="19" t="s">
        <v>10107</v>
      </c>
      <c r="P20" s="1" t="s">
        <v>3589</v>
      </c>
      <c r="Q20" s="1">
        <v>2</v>
      </c>
    </row>
    <row r="21" spans="1:17" s="1" customFormat="1">
      <c r="A21" s="1" t="s">
        <v>5605</v>
      </c>
      <c r="B21" s="1" t="s">
        <v>52</v>
      </c>
      <c r="C21" s="1" t="s">
        <v>202</v>
      </c>
      <c r="D21" s="19" t="s">
        <v>10332</v>
      </c>
      <c r="E21" s="15" t="str">
        <f>HYPERLINK("https://stat100.ameba.jp/tnk47/ratio20/illustrations/card/ill_79373_0_hommeichokotennyohime03.jpg", "■")</f>
        <v>■</v>
      </c>
      <c r="F21" s="1" t="s">
        <v>3495</v>
      </c>
      <c r="G21" s="1">
        <v>296766</v>
      </c>
      <c r="H21" s="1">
        <v>268230</v>
      </c>
      <c r="I21" s="1">
        <v>24</v>
      </c>
      <c r="J21" s="1" t="s">
        <v>104</v>
      </c>
      <c r="K21" s="1" t="s">
        <v>3496</v>
      </c>
      <c r="L21" s="1" t="s">
        <v>3497</v>
      </c>
      <c r="M21" s="1" t="s">
        <v>9158</v>
      </c>
      <c r="N21" s="1" t="s">
        <v>9158</v>
      </c>
      <c r="O21" s="19" t="s">
        <v>10072</v>
      </c>
      <c r="P21" s="1" t="s">
        <v>3498</v>
      </c>
      <c r="Q21" s="1">
        <v>1</v>
      </c>
    </row>
    <row r="22" spans="1:17" s="1" customFormat="1">
      <c r="A22" s="1" t="s">
        <v>5616</v>
      </c>
      <c r="B22" s="1" t="s">
        <v>52</v>
      </c>
      <c r="C22" s="1" t="s">
        <v>14</v>
      </c>
      <c r="D22" s="19" t="s">
        <v>638</v>
      </c>
      <c r="E22" s="15" t="str">
        <f>HYPERLINK("https://stat100.ameba.jp/tnk47/ratio20/illustrations/card/ill_44253_0_dokuganryudatemasamune03.jpg", "■")</f>
        <v>■</v>
      </c>
      <c r="F22" s="1" t="s">
        <v>1181</v>
      </c>
      <c r="G22" s="1">
        <v>131538</v>
      </c>
      <c r="H22" s="1">
        <v>140448</v>
      </c>
      <c r="I22" s="1">
        <v>24</v>
      </c>
      <c r="J22" s="1" t="s">
        <v>143</v>
      </c>
      <c r="K22" s="1" t="s">
        <v>1182</v>
      </c>
      <c r="L22" s="1" t="s">
        <v>1183</v>
      </c>
      <c r="M22" s="1" t="s">
        <v>9158</v>
      </c>
      <c r="N22" s="1" t="s">
        <v>9158</v>
      </c>
      <c r="O22" s="1" t="s">
        <v>9158</v>
      </c>
      <c r="P22" s="1" t="s">
        <v>9158</v>
      </c>
      <c r="Q22" s="1" t="s">
        <v>9158</v>
      </c>
    </row>
    <row r="23" spans="1:17" s="1" customFormat="1">
      <c r="A23" s="1" t="s">
        <v>5897</v>
      </c>
      <c r="B23" s="1" t="s">
        <v>52</v>
      </c>
      <c r="C23" s="1" t="s">
        <v>23</v>
      </c>
      <c r="D23" s="19" t="s">
        <v>277</v>
      </c>
      <c r="E23" s="15" t="str">
        <f>HYPERLINK("https://stat100.ameba.jp/tnk47/ratio20/illustrations/card/ill_40913_0_reigyokudensetsufusehime03.jpg", "■")</f>
        <v>■</v>
      </c>
      <c r="F23" s="1" t="s">
        <v>955</v>
      </c>
      <c r="G23" s="1">
        <v>131538</v>
      </c>
      <c r="H23" s="1">
        <v>140448</v>
      </c>
      <c r="I23" s="1">
        <v>24</v>
      </c>
      <c r="J23" s="1" t="s">
        <v>38</v>
      </c>
      <c r="K23" s="1" t="s">
        <v>956</v>
      </c>
      <c r="L23" s="1" t="s">
        <v>957</v>
      </c>
      <c r="M23" s="1" t="s">
        <v>9158</v>
      </c>
      <c r="N23" s="1" t="s">
        <v>9158</v>
      </c>
      <c r="O23" s="1" t="s">
        <v>9158</v>
      </c>
      <c r="P23" s="1" t="s">
        <v>9158</v>
      </c>
      <c r="Q23" s="1" t="s">
        <v>9158</v>
      </c>
    </row>
    <row r="24" spans="1:17" s="1" customFormat="1">
      <c r="A24" s="1" t="s">
        <v>5830</v>
      </c>
      <c r="B24" s="1" t="s">
        <v>330</v>
      </c>
      <c r="C24" s="1" t="s">
        <v>191</v>
      </c>
      <c r="D24" s="19" t="s">
        <v>793</v>
      </c>
      <c r="E24" s="15" t="str">
        <f>HYPERLINK("https://stat100.ameba.jp/tnk47/ratio20/illustrations/card/ill_39933_0_reihiiinaotora03.jpg", "■")</f>
        <v>■</v>
      </c>
      <c r="F24" s="1" t="s">
        <v>794</v>
      </c>
      <c r="G24" s="1">
        <v>131538</v>
      </c>
      <c r="H24" s="1">
        <v>140448</v>
      </c>
      <c r="I24" s="1">
        <v>24</v>
      </c>
      <c r="J24" s="1" t="s">
        <v>315</v>
      </c>
      <c r="K24" s="1" t="s">
        <v>795</v>
      </c>
      <c r="L24" s="1" t="s">
        <v>796</v>
      </c>
      <c r="M24" s="1" t="s">
        <v>9158</v>
      </c>
      <c r="N24" s="1" t="s">
        <v>9158</v>
      </c>
      <c r="O24" s="1" t="s">
        <v>9158</v>
      </c>
      <c r="P24" s="1" t="s">
        <v>9158</v>
      </c>
      <c r="Q24" s="1" t="s">
        <v>9158</v>
      </c>
    </row>
    <row r="25" spans="1:17" s="1" customFormat="1">
      <c r="A25" s="1" t="s">
        <v>5608</v>
      </c>
      <c r="B25" s="1" t="s">
        <v>52</v>
      </c>
      <c r="C25" s="1" t="s">
        <v>96</v>
      </c>
      <c r="D25" s="19" t="s">
        <v>634</v>
      </c>
      <c r="E25" s="15" t="str">
        <f>HYPERLINK("https://stat100.ameba.jp/tnk47/ratio20/illustrations/card/ill_40963_0_makami03.jpg", "■")</f>
        <v>■</v>
      </c>
      <c r="F25" s="1" t="s">
        <v>2038</v>
      </c>
      <c r="G25" s="1">
        <v>140448</v>
      </c>
      <c r="H25" s="1">
        <v>131538</v>
      </c>
      <c r="I25" s="1">
        <v>24</v>
      </c>
      <c r="J25" s="1" t="s">
        <v>44</v>
      </c>
      <c r="K25" s="1" t="s">
        <v>2039</v>
      </c>
      <c r="L25" s="1" t="s">
        <v>2040</v>
      </c>
      <c r="M25" s="1" t="s">
        <v>9158</v>
      </c>
      <c r="N25" s="1" t="s">
        <v>9158</v>
      </c>
      <c r="O25" s="1" t="s">
        <v>9158</v>
      </c>
      <c r="P25" s="1" t="s">
        <v>9158</v>
      </c>
      <c r="Q25" s="1" t="s">
        <v>9158</v>
      </c>
    </row>
    <row r="26" spans="1:17" s="1" customFormat="1">
      <c r="A26" s="1" t="s">
        <v>5721</v>
      </c>
      <c r="B26" s="1" t="s">
        <v>52</v>
      </c>
      <c r="C26" s="1" t="s">
        <v>1</v>
      </c>
      <c r="D26" s="19" t="s">
        <v>513</v>
      </c>
      <c r="E26" s="15" t="str">
        <f>HYPERLINK("https://stat100.ameba.jp/tnk47/ratio20/illustrations/card/ill_44283_0_izumonokuni03.jpg", "■")</f>
        <v>■</v>
      </c>
      <c r="F26" s="1" t="s">
        <v>1716</v>
      </c>
      <c r="G26" s="1">
        <v>140448</v>
      </c>
      <c r="H26" s="1">
        <v>131538</v>
      </c>
      <c r="I26" s="1">
        <v>24</v>
      </c>
      <c r="J26" s="1" t="s">
        <v>16</v>
      </c>
      <c r="K26" s="1" t="s">
        <v>2254</v>
      </c>
      <c r="L26" s="1" t="s">
        <v>1718</v>
      </c>
      <c r="M26" s="1" t="s">
        <v>9158</v>
      </c>
      <c r="N26" s="1" t="s">
        <v>9158</v>
      </c>
      <c r="O26" s="1" t="s">
        <v>9158</v>
      </c>
      <c r="P26" s="1" t="s">
        <v>9158</v>
      </c>
      <c r="Q26" s="1" t="s">
        <v>9158</v>
      </c>
    </row>
    <row r="27" spans="1:17" s="1" customFormat="1">
      <c r="A27" s="1" t="s">
        <v>5902</v>
      </c>
      <c r="B27" s="1" t="s">
        <v>330</v>
      </c>
      <c r="C27" s="1" t="s">
        <v>206</v>
      </c>
      <c r="D27" s="19" t="s">
        <v>483</v>
      </c>
      <c r="E27" s="15" t="str">
        <f>HYPERLINK("https://stat100.ameba.jp/tnk47/ratio20/illustrations/card/ill_40343_0_heshikirihasebekurodakambe03.jpg", "■")</f>
        <v>■</v>
      </c>
      <c r="F27" s="1" t="s">
        <v>906</v>
      </c>
      <c r="G27" s="1">
        <v>140448</v>
      </c>
      <c r="H27" s="1">
        <v>131538</v>
      </c>
      <c r="I27" s="1">
        <v>24</v>
      </c>
      <c r="J27" s="1" t="s">
        <v>16</v>
      </c>
      <c r="K27" s="1" t="s">
        <v>907</v>
      </c>
      <c r="L27" s="1" t="s">
        <v>908</v>
      </c>
      <c r="M27" s="1" t="s">
        <v>9158</v>
      </c>
      <c r="N27" s="1" t="s">
        <v>9158</v>
      </c>
      <c r="O27" s="1" t="s">
        <v>9158</v>
      </c>
      <c r="P27" s="1" t="s">
        <v>9158</v>
      </c>
      <c r="Q27" s="1" t="s">
        <v>9158</v>
      </c>
    </row>
    <row r="28" spans="1:17" s="1" customFormat="1">
      <c r="A28" s="14" t="s">
        <v>5622</v>
      </c>
      <c r="B28" s="14" t="s">
        <v>330</v>
      </c>
      <c r="C28" s="14" t="s">
        <v>335</v>
      </c>
      <c r="D28" s="19" t="s">
        <v>12097</v>
      </c>
      <c r="E28" s="15" t="str">
        <f>HYPERLINK("https://stat100.ameba.jp/tnk47/ratio20/illustrations/card/ill_49953_0_yushamarihime03.jpg", "■")</f>
        <v>■</v>
      </c>
      <c r="F28" s="14" t="s">
        <v>510</v>
      </c>
      <c r="G28" s="14">
        <v>150776</v>
      </c>
      <c r="H28" s="14">
        <v>133938</v>
      </c>
      <c r="I28" s="14">
        <v>24</v>
      </c>
      <c r="J28" s="14" t="s">
        <v>315</v>
      </c>
      <c r="K28" s="14" t="s">
        <v>511</v>
      </c>
      <c r="L28" s="14" t="s">
        <v>512</v>
      </c>
      <c r="M28" s="14" t="s">
        <v>9158</v>
      </c>
      <c r="N28" s="14" t="s">
        <v>9158</v>
      </c>
      <c r="O28" s="14" t="s">
        <v>9158</v>
      </c>
      <c r="P28" s="14" t="s">
        <v>9158</v>
      </c>
      <c r="Q28" s="14" t="s">
        <v>9158</v>
      </c>
    </row>
    <row r="29" spans="1:17" s="1" customFormat="1">
      <c r="A29" s="1" t="s">
        <v>5625</v>
      </c>
      <c r="B29" s="1" t="s">
        <v>330</v>
      </c>
      <c r="C29" s="1" t="s">
        <v>200</v>
      </c>
      <c r="D29" s="19" t="s">
        <v>630</v>
      </c>
      <c r="E29" s="15" t="str">
        <f>HYPERLINK("https://stat100.ameba.jp/tnk47/ratio20/illustrations/card/ill_48283_0_kyuubitamamonomae03.jpg", "■")</f>
        <v>■</v>
      </c>
      <c r="F29" s="1" t="s">
        <v>631</v>
      </c>
      <c r="G29" s="1">
        <v>150776</v>
      </c>
      <c r="H29" s="1">
        <v>133938</v>
      </c>
      <c r="I29" s="1">
        <v>24</v>
      </c>
      <c r="J29" s="1" t="s">
        <v>320</v>
      </c>
      <c r="K29" s="1" t="s">
        <v>632</v>
      </c>
      <c r="L29" s="1" t="s">
        <v>633</v>
      </c>
      <c r="M29" s="1" t="s">
        <v>9158</v>
      </c>
      <c r="N29" s="1" t="s">
        <v>9158</v>
      </c>
      <c r="O29" s="1" t="s">
        <v>9158</v>
      </c>
      <c r="P29" s="1" t="s">
        <v>9158</v>
      </c>
      <c r="Q29" s="1" t="s">
        <v>9158</v>
      </c>
    </row>
    <row r="30" spans="1:17" s="1" customFormat="1">
      <c r="A30" s="1" t="s">
        <v>5627</v>
      </c>
      <c r="B30" s="1" t="s">
        <v>330</v>
      </c>
      <c r="C30" s="1" t="s">
        <v>191</v>
      </c>
      <c r="D30" s="19" t="s">
        <v>393</v>
      </c>
      <c r="E30" s="15" t="str">
        <f>HYPERLINK("https://stat100.ameba.jp/tnk47/ratio20/illustrations/card/ill_46283_0_odanobunaga03.jpg", "■")</f>
        <v>■</v>
      </c>
      <c r="F30" s="1" t="s">
        <v>1073</v>
      </c>
      <c r="G30" s="1">
        <v>131538</v>
      </c>
      <c r="H30" s="1">
        <v>140448</v>
      </c>
      <c r="I30" s="1">
        <v>24</v>
      </c>
      <c r="J30" s="1" t="s">
        <v>143</v>
      </c>
      <c r="K30" s="1" t="s">
        <v>1074</v>
      </c>
      <c r="L30" s="1" t="s">
        <v>1075</v>
      </c>
      <c r="M30" s="1" t="s">
        <v>9158</v>
      </c>
      <c r="N30" s="1" t="s">
        <v>9158</v>
      </c>
      <c r="O30" s="1" t="s">
        <v>9158</v>
      </c>
      <c r="P30" s="1" t="s">
        <v>9158</v>
      </c>
      <c r="Q30" s="1" t="s">
        <v>9158</v>
      </c>
    </row>
    <row r="31" spans="1:17" s="1" customFormat="1">
      <c r="A31" s="1" t="s">
        <v>5612</v>
      </c>
      <c r="B31" s="1" t="s">
        <v>52</v>
      </c>
      <c r="C31" s="1" t="s">
        <v>165</v>
      </c>
      <c r="D31" s="19" t="s">
        <v>789</v>
      </c>
      <c r="E31" s="15" t="str">
        <f>HYPERLINK("https://stat100.ameba.jp/tnk47/ratio20/illustrations/card/ill_49193_0_onmyoudouabenoseimei03.jpg", "■")</f>
        <v>■</v>
      </c>
      <c r="F31" s="1" t="s">
        <v>1896</v>
      </c>
      <c r="G31" s="1">
        <v>133938</v>
      </c>
      <c r="H31" s="1">
        <v>150776</v>
      </c>
      <c r="I31" s="1">
        <v>24</v>
      </c>
      <c r="J31" s="1" t="s">
        <v>10</v>
      </c>
      <c r="K31" s="1" t="s">
        <v>1897</v>
      </c>
      <c r="L31" s="1" t="s">
        <v>1898</v>
      </c>
      <c r="M31" s="1" t="s">
        <v>9158</v>
      </c>
      <c r="N31" s="1" t="s">
        <v>9158</v>
      </c>
      <c r="O31" s="1" t="s">
        <v>9158</v>
      </c>
      <c r="P31" s="1" t="s">
        <v>9158</v>
      </c>
      <c r="Q31" s="1" t="s">
        <v>9158</v>
      </c>
    </row>
    <row r="32" spans="1:17" s="1" customFormat="1">
      <c r="A32" s="1" t="s">
        <v>6132</v>
      </c>
      <c r="B32" s="1" t="s">
        <v>52</v>
      </c>
      <c r="C32" s="1" t="s">
        <v>205</v>
      </c>
      <c r="D32" s="19" t="s">
        <v>702</v>
      </c>
      <c r="E32" s="15" t="str">
        <f>HYPERLINK("https://stat100.ameba.jp/tnk47/ratio20/illustrations/card/ill_50693_0_hanamizugimimuratsuru03.jpg", "■")</f>
        <v>■</v>
      </c>
      <c r="F32" s="1" t="s">
        <v>2282</v>
      </c>
      <c r="G32" s="1">
        <v>133938</v>
      </c>
      <c r="H32" s="1">
        <v>150776</v>
      </c>
      <c r="I32" s="1">
        <v>24</v>
      </c>
      <c r="J32" s="1" t="s">
        <v>143</v>
      </c>
      <c r="K32" s="1" t="s">
        <v>2283</v>
      </c>
      <c r="L32" s="1" t="s">
        <v>2284</v>
      </c>
      <c r="M32" s="1" t="s">
        <v>9158</v>
      </c>
      <c r="N32" s="1" t="s">
        <v>9158</v>
      </c>
      <c r="O32" s="1" t="s">
        <v>9158</v>
      </c>
      <c r="P32" s="1" t="s">
        <v>9158</v>
      </c>
      <c r="Q32" s="1" t="s">
        <v>9158</v>
      </c>
    </row>
    <row r="33" spans="1:17" s="1" customFormat="1">
      <c r="A33" s="1" t="s">
        <v>5604</v>
      </c>
      <c r="B33" s="1" t="s">
        <v>330</v>
      </c>
      <c r="C33" s="1" t="s">
        <v>206</v>
      </c>
      <c r="D33" s="19" t="s">
        <v>614</v>
      </c>
      <c r="E33" s="15" t="str">
        <f>HYPERLINK("https://stat100.ameba.jp/tnk47/ratio20/illustrations/card/ill_47263_0_oukyuuatsuhime03.jpg", "■")</f>
        <v>■</v>
      </c>
      <c r="F33" s="1" t="s">
        <v>615</v>
      </c>
      <c r="G33" s="1">
        <v>150776</v>
      </c>
      <c r="H33" s="1">
        <v>133938</v>
      </c>
      <c r="I33" s="1">
        <v>24</v>
      </c>
      <c r="J33" s="1" t="s">
        <v>315</v>
      </c>
      <c r="K33" s="1" t="s">
        <v>616</v>
      </c>
      <c r="L33" s="1" t="s">
        <v>617</v>
      </c>
      <c r="M33" s="1" t="s">
        <v>9158</v>
      </c>
      <c r="N33" s="1" t="s">
        <v>9158</v>
      </c>
      <c r="O33" s="1" t="s">
        <v>9158</v>
      </c>
      <c r="P33" s="1" t="s">
        <v>9158</v>
      </c>
      <c r="Q33" s="1" t="s">
        <v>9158</v>
      </c>
    </row>
    <row r="34" spans="1:17" s="14" customFormat="1">
      <c r="D34" s="19"/>
      <c r="E34" s="15"/>
    </row>
    <row r="35" spans="1:17">
      <c r="A35" s="9" t="s">
        <v>12742</v>
      </c>
    </row>
    <row r="36" spans="1:17">
      <c r="A36" s="9" t="s">
        <v>16820</v>
      </c>
    </row>
    <row r="37" spans="1:17">
      <c r="A37" s="14" t="s">
        <v>5602</v>
      </c>
      <c r="B37" s="14" t="s">
        <v>52</v>
      </c>
      <c r="C37" s="14" t="s">
        <v>14</v>
      </c>
      <c r="D37" s="19" t="s">
        <v>813</v>
      </c>
      <c r="E37" s="15" t="str">
        <f>HYPERLINK("https://stat100.ameba.jp/tnk47/ratio20/illustrations/card/ill_55313_0_haroinononokomachi03.jpg", "■")</f>
        <v>■</v>
      </c>
      <c r="F37" s="14" t="s">
        <v>2094</v>
      </c>
      <c r="G37" s="14">
        <v>157060</v>
      </c>
      <c r="H37" s="14">
        <v>139520</v>
      </c>
      <c r="I37" s="14">
        <v>25</v>
      </c>
      <c r="J37" s="14" t="s">
        <v>10</v>
      </c>
      <c r="K37" s="14" t="s">
        <v>2095</v>
      </c>
      <c r="L37" s="14" t="s">
        <v>2096</v>
      </c>
      <c r="M37" s="14" t="s">
        <v>9158</v>
      </c>
      <c r="N37" s="14" t="s">
        <v>9158</v>
      </c>
      <c r="O37" s="19" t="s">
        <v>2733</v>
      </c>
      <c r="P37" s="14" t="s">
        <v>2734</v>
      </c>
      <c r="Q37" s="14">
        <v>1</v>
      </c>
    </row>
    <row r="38" spans="1:17">
      <c r="A38" s="14" t="s">
        <v>5609</v>
      </c>
      <c r="B38" s="14" t="s">
        <v>52</v>
      </c>
      <c r="C38" s="14" t="s">
        <v>200</v>
      </c>
      <c r="D38" s="19" t="s">
        <v>389</v>
      </c>
      <c r="E38" s="15" t="str">
        <f>HYPERLINK("https://stat100.ameba.jp/tnk47/ratio20/illustrations/card/ill_53753_0_natsumatsuritokugawaieyasu03.jpg", "■")</f>
        <v>■</v>
      </c>
      <c r="F38" s="14" t="s">
        <v>902</v>
      </c>
      <c r="G38" s="14">
        <v>157060</v>
      </c>
      <c r="H38" s="14">
        <v>139520</v>
      </c>
      <c r="I38" s="14">
        <v>25</v>
      </c>
      <c r="J38" s="14" t="s">
        <v>194</v>
      </c>
      <c r="K38" s="14" t="s">
        <v>1714</v>
      </c>
      <c r="L38" s="14" t="s">
        <v>904</v>
      </c>
      <c r="M38" s="14" t="s">
        <v>9158</v>
      </c>
      <c r="N38" s="14" t="s">
        <v>9158</v>
      </c>
      <c r="O38" s="19" t="s">
        <v>10076</v>
      </c>
      <c r="P38" s="14" t="s">
        <v>13121</v>
      </c>
      <c r="Q38" s="14">
        <v>1</v>
      </c>
    </row>
    <row r="39" spans="1:17">
      <c r="A39" s="14" t="s">
        <v>5621</v>
      </c>
      <c r="B39" s="14" t="s">
        <v>330</v>
      </c>
      <c r="C39" s="14" t="s">
        <v>191</v>
      </c>
      <c r="D39" s="19" t="s">
        <v>2871</v>
      </c>
      <c r="E39" s="15" t="str">
        <f>HYPERLINK("https://stat100.ameba.jp/tnk47/ratio20/illustrations/card/ill_51973_0_kemonomizugikuroyuridensetsu03.jpg", "■")</f>
        <v>■</v>
      </c>
      <c r="F39" s="14" t="s">
        <v>2034</v>
      </c>
      <c r="G39" s="14">
        <v>157060</v>
      </c>
      <c r="H39" s="14">
        <v>139520</v>
      </c>
      <c r="I39" s="14">
        <v>25</v>
      </c>
      <c r="J39" s="14" t="s">
        <v>38</v>
      </c>
      <c r="K39" s="14" t="s">
        <v>2035</v>
      </c>
      <c r="L39" s="14" t="s">
        <v>2036</v>
      </c>
      <c r="M39" s="14" t="s">
        <v>9158</v>
      </c>
      <c r="N39" s="14" t="s">
        <v>9158</v>
      </c>
      <c r="O39" s="19" t="s">
        <v>10088</v>
      </c>
      <c r="P39" s="14" t="s">
        <v>13172</v>
      </c>
      <c r="Q39" s="14">
        <v>1</v>
      </c>
    </row>
    <row r="40" spans="1:17">
      <c r="A40" s="14" t="s">
        <v>5617</v>
      </c>
      <c r="B40" s="14" t="s">
        <v>330</v>
      </c>
      <c r="C40" s="14" t="s">
        <v>308</v>
      </c>
      <c r="D40" s="19" t="s">
        <v>385</v>
      </c>
      <c r="E40" s="15" t="str">
        <f>HYPERLINK("https://stat100.ameba.jp/tnk47/ratio20/illustrations/card/ill_59673_0_oheyashutendoji03.jpg", "■")</f>
        <v>■</v>
      </c>
      <c r="F40" s="14" t="s">
        <v>386</v>
      </c>
      <c r="G40" s="14">
        <v>175911</v>
      </c>
      <c r="H40" s="14">
        <v>189209</v>
      </c>
      <c r="I40" s="14">
        <v>25</v>
      </c>
      <c r="J40" s="14" t="s">
        <v>320</v>
      </c>
      <c r="K40" s="14" t="s">
        <v>387</v>
      </c>
      <c r="L40" s="14" t="s">
        <v>388</v>
      </c>
      <c r="M40" s="14" t="s">
        <v>9158</v>
      </c>
      <c r="N40" s="14" t="s">
        <v>9158</v>
      </c>
      <c r="O40" s="19" t="s">
        <v>10078</v>
      </c>
      <c r="P40" s="14" t="s">
        <v>3022</v>
      </c>
      <c r="Q40" s="14">
        <v>1</v>
      </c>
    </row>
    <row r="41" spans="1:17">
      <c r="A41" s="14" t="s">
        <v>5614</v>
      </c>
      <c r="B41" s="14" t="s">
        <v>330</v>
      </c>
      <c r="C41" s="14" t="s">
        <v>267</v>
      </c>
      <c r="D41" s="19" t="s">
        <v>313</v>
      </c>
      <c r="E41" s="15" t="str">
        <f>HYPERLINK("https://stat100.ameba.jp/tnk47/ratio20/illustrations/card/ill_56223_0_onsempanikkugohime03.jpg", "■")</f>
        <v>■</v>
      </c>
      <c r="F41" s="14" t="s">
        <v>314</v>
      </c>
      <c r="G41" s="14">
        <v>139520</v>
      </c>
      <c r="H41" s="14">
        <v>157060</v>
      </c>
      <c r="I41" s="14">
        <v>25</v>
      </c>
      <c r="J41" s="14" t="s">
        <v>315</v>
      </c>
      <c r="K41" s="14" t="s">
        <v>316</v>
      </c>
      <c r="L41" s="14" t="s">
        <v>317</v>
      </c>
      <c r="M41" s="14" t="s">
        <v>9158</v>
      </c>
      <c r="N41" s="14" t="s">
        <v>9158</v>
      </c>
      <c r="O41" s="19" t="s">
        <v>3021</v>
      </c>
      <c r="P41" s="14" t="s">
        <v>2890</v>
      </c>
      <c r="Q41" s="14">
        <v>1</v>
      </c>
    </row>
    <row r="42" spans="1:17">
      <c r="A42" s="14" t="s">
        <v>5725</v>
      </c>
      <c r="B42" s="14" t="s">
        <v>52</v>
      </c>
      <c r="C42" s="14" t="s">
        <v>107</v>
      </c>
      <c r="D42" s="19" t="s">
        <v>543</v>
      </c>
      <c r="E42" s="15" t="str">
        <f>HYPERLINK("https://stat100.ameba.jp/tnk47/ratio20/illustrations/card/ill_52693_0_sengokumibirakiyanagiharabyakuren03.jpg", "■")</f>
        <v>■</v>
      </c>
      <c r="F42" s="14" t="s">
        <v>1246</v>
      </c>
      <c r="G42" s="14">
        <v>139520</v>
      </c>
      <c r="H42" s="14">
        <v>157060</v>
      </c>
      <c r="I42" s="14">
        <v>25</v>
      </c>
      <c r="J42" s="14" t="s">
        <v>16</v>
      </c>
      <c r="K42" s="14" t="s">
        <v>1247</v>
      </c>
      <c r="L42" s="14" t="s">
        <v>1248</v>
      </c>
      <c r="M42" s="14" t="s">
        <v>9158</v>
      </c>
      <c r="N42" s="14" t="s">
        <v>9158</v>
      </c>
      <c r="O42" s="19" t="s">
        <v>2886</v>
      </c>
      <c r="P42" s="14" t="s">
        <v>3304</v>
      </c>
      <c r="Q42" s="14">
        <v>1</v>
      </c>
    </row>
    <row r="43" spans="1:17">
      <c r="A43" s="14" t="s">
        <v>5610</v>
      </c>
      <c r="B43" s="14" t="s">
        <v>330</v>
      </c>
      <c r="C43" s="14" t="s">
        <v>185</v>
      </c>
      <c r="D43" s="19" t="s">
        <v>539</v>
      </c>
      <c r="E43" s="15" t="str">
        <f>HYPERLINK("https://stat100.ameba.jp/tnk47/ratio20/illustrations/card/ill_60633_0_harumaisentoin03.jpg", "■")</f>
        <v>■</v>
      </c>
      <c r="F43" s="14" t="s">
        <v>540</v>
      </c>
      <c r="G43" s="14">
        <v>158951</v>
      </c>
      <c r="H43" s="14">
        <v>170984</v>
      </c>
      <c r="I43" s="14">
        <v>25</v>
      </c>
      <c r="J43" s="14" t="s">
        <v>274</v>
      </c>
      <c r="K43" s="14" t="s">
        <v>541</v>
      </c>
      <c r="L43" s="14" t="s">
        <v>542</v>
      </c>
      <c r="M43" s="14" t="s">
        <v>9158</v>
      </c>
      <c r="N43" s="14" t="s">
        <v>9158</v>
      </c>
      <c r="O43" s="19" t="s">
        <v>2888</v>
      </c>
      <c r="P43" s="14" t="s">
        <v>3144</v>
      </c>
      <c r="Q43" s="14">
        <v>1</v>
      </c>
    </row>
    <row r="44" spans="1:17">
      <c r="A44" s="14" t="s">
        <v>5618</v>
      </c>
      <c r="B44" s="14" t="s">
        <v>52</v>
      </c>
      <c r="C44" s="14" t="s">
        <v>23</v>
      </c>
      <c r="D44" s="19" t="s">
        <v>665</v>
      </c>
      <c r="E44" s="15" t="str">
        <f>HYPERLINK("https://stat100.ameba.jp/tnk47/ratio20/illustrations/card/ill_63173_0_minazukikonakaiteruko03.jpg", "■")</f>
        <v>■</v>
      </c>
      <c r="F44" s="14" t="s">
        <v>1188</v>
      </c>
      <c r="G44" s="14">
        <v>216990</v>
      </c>
      <c r="H44" s="14">
        <v>233360</v>
      </c>
      <c r="I44" s="14">
        <v>25</v>
      </c>
      <c r="J44" s="14" t="s">
        <v>143</v>
      </c>
      <c r="K44" s="14" t="s">
        <v>1189</v>
      </c>
      <c r="L44" s="14" t="s">
        <v>1190</v>
      </c>
      <c r="M44" s="14" t="s">
        <v>9158</v>
      </c>
      <c r="N44" s="14" t="s">
        <v>9158</v>
      </c>
      <c r="O44" s="19" t="s">
        <v>10079</v>
      </c>
      <c r="P44" s="14" t="s">
        <v>3329</v>
      </c>
      <c r="Q44" s="14">
        <v>1</v>
      </c>
    </row>
    <row r="45" spans="1:17">
      <c r="A45" s="14" t="s">
        <v>5901</v>
      </c>
      <c r="B45" s="14" t="s">
        <v>52</v>
      </c>
      <c r="C45" s="14" t="s">
        <v>101</v>
      </c>
      <c r="D45" s="19" t="s">
        <v>1426</v>
      </c>
      <c r="E45" s="15" t="str">
        <f>HYPERLINK("https://stat100.ameba.jp/tnk47/ratio20/illustrations/card/ill_64953_0_yukatatokugawayoshinobu03.jpg", "■")</f>
        <v>■</v>
      </c>
      <c r="F45" s="14" t="s">
        <v>2090</v>
      </c>
      <c r="G45" s="14">
        <v>155750</v>
      </c>
      <c r="H45" s="14">
        <v>167506</v>
      </c>
      <c r="I45" s="14">
        <v>25</v>
      </c>
      <c r="J45" s="14" t="s">
        <v>10</v>
      </c>
      <c r="K45" s="14" t="s">
        <v>2091</v>
      </c>
      <c r="L45" s="14" t="s">
        <v>2092</v>
      </c>
      <c r="M45" s="14" t="s">
        <v>9158</v>
      </c>
      <c r="N45" s="14" t="s">
        <v>9158</v>
      </c>
      <c r="O45" s="19" t="s">
        <v>2889</v>
      </c>
      <c r="P45" s="14" t="s">
        <v>2890</v>
      </c>
      <c r="Q45" s="14">
        <v>1</v>
      </c>
    </row>
    <row r="46" spans="1:17">
      <c r="A46" s="14" t="s">
        <v>5623</v>
      </c>
      <c r="B46" s="14" t="s">
        <v>330</v>
      </c>
      <c r="C46" s="14" t="s">
        <v>165</v>
      </c>
      <c r="D46" s="19" t="s">
        <v>3146</v>
      </c>
      <c r="E46" s="15" t="str">
        <f>HYPERLINK("https://stat100.ameba.jp/tnk47/ratio20/illustrations/card/ill_65713_0_undokaionikirimaru03.jpg", "■")</f>
        <v>■</v>
      </c>
      <c r="F46" s="14" t="s">
        <v>535</v>
      </c>
      <c r="G46" s="14">
        <v>189209</v>
      </c>
      <c r="H46" s="14">
        <v>175911</v>
      </c>
      <c r="I46" s="14">
        <v>25</v>
      </c>
      <c r="J46" s="14" t="s">
        <v>320</v>
      </c>
      <c r="K46" s="14" t="s">
        <v>3147</v>
      </c>
      <c r="L46" s="14" t="s">
        <v>3148</v>
      </c>
      <c r="M46" s="14" t="s">
        <v>9158</v>
      </c>
      <c r="N46" s="14" t="s">
        <v>9158</v>
      </c>
      <c r="O46" s="19" t="s">
        <v>2869</v>
      </c>
      <c r="P46" s="14" t="s">
        <v>2870</v>
      </c>
      <c r="Q46" s="14">
        <v>1</v>
      </c>
    </row>
    <row r="47" spans="1:17">
      <c r="A47" s="14" t="s">
        <v>5778</v>
      </c>
      <c r="B47" s="14" t="s">
        <v>330</v>
      </c>
      <c r="C47" s="14" t="s">
        <v>205</v>
      </c>
      <c r="D47" s="19" t="s">
        <v>272</v>
      </c>
      <c r="E47" s="15" t="str">
        <f>HYPERLINK("https://stat100.ameba.jp/tnk47/ratio20/illustrations/card/ill_68783_0_gantammomotaro03.jpg", "■")</f>
        <v>■</v>
      </c>
      <c r="F47" s="14" t="s">
        <v>273</v>
      </c>
      <c r="G47" s="14">
        <v>170984</v>
      </c>
      <c r="H47" s="14">
        <v>158951</v>
      </c>
      <c r="I47" s="14">
        <v>25</v>
      </c>
      <c r="J47" s="14" t="s">
        <v>274</v>
      </c>
      <c r="K47" s="14" t="s">
        <v>275</v>
      </c>
      <c r="L47" s="14" t="s">
        <v>276</v>
      </c>
      <c r="M47" s="14" t="s">
        <v>9158</v>
      </c>
      <c r="N47" s="14" t="s">
        <v>9158</v>
      </c>
      <c r="O47" s="19" t="s">
        <v>10099</v>
      </c>
      <c r="P47" s="14" t="s">
        <v>3085</v>
      </c>
      <c r="Q47" s="14">
        <v>1</v>
      </c>
    </row>
    <row r="48" spans="1:17">
      <c r="A48" s="14" t="s">
        <v>5620</v>
      </c>
      <c r="B48" s="14" t="s">
        <v>52</v>
      </c>
      <c r="C48" s="14" t="s">
        <v>344</v>
      </c>
      <c r="D48" s="19" t="s">
        <v>669</v>
      </c>
      <c r="E48" s="15" t="str">
        <f>HYPERLINK("https://stat100.ameba.jp/tnk47/ratio20/illustrations/card/ill_67173_0_yukemuriawamorichan03.jpg", "■")</f>
        <v>■</v>
      </c>
      <c r="F48" s="14" t="s">
        <v>2043</v>
      </c>
      <c r="G48" s="14">
        <v>192083</v>
      </c>
      <c r="H48" s="14">
        <v>178578</v>
      </c>
      <c r="I48" s="14">
        <v>25</v>
      </c>
      <c r="J48" s="14" t="s">
        <v>104</v>
      </c>
      <c r="K48" s="14" t="s">
        <v>2044</v>
      </c>
      <c r="L48" s="14" t="s">
        <v>2045</v>
      </c>
      <c r="M48" s="14" t="s">
        <v>9158</v>
      </c>
      <c r="N48" s="14" t="s">
        <v>9158</v>
      </c>
      <c r="O48" s="19" t="s">
        <v>10087</v>
      </c>
      <c r="P48" s="14" t="s">
        <v>3455</v>
      </c>
      <c r="Q48" s="14">
        <v>1</v>
      </c>
    </row>
    <row r="49" spans="1:17">
      <c r="A49" s="14" t="s">
        <v>5804</v>
      </c>
      <c r="B49" s="14" t="s">
        <v>52</v>
      </c>
      <c r="C49" s="14" t="s">
        <v>14</v>
      </c>
      <c r="D49" s="19" t="s">
        <v>3195</v>
      </c>
      <c r="E49" s="15" t="str">
        <f>HYPERLINK("https://stat100.ameba.jp/tnk47/ratio20/illustrations/card/ill_75393_0_resukuinotsukisamaniittausagi03.jpg", "■")</f>
        <v>■</v>
      </c>
      <c r="F49" s="14" t="s">
        <v>3248</v>
      </c>
      <c r="G49" s="14">
        <v>284760</v>
      </c>
      <c r="H49" s="14">
        <v>264750</v>
      </c>
      <c r="I49" s="14">
        <v>25</v>
      </c>
      <c r="J49" s="14" t="s">
        <v>26</v>
      </c>
      <c r="K49" s="14" t="s">
        <v>3249</v>
      </c>
      <c r="L49" s="14" t="s">
        <v>3250</v>
      </c>
      <c r="M49" s="14" t="s">
        <v>9158</v>
      </c>
      <c r="N49" s="14" t="s">
        <v>9158</v>
      </c>
      <c r="O49" s="19" t="s">
        <v>10101</v>
      </c>
      <c r="P49" s="14" t="s">
        <v>3251</v>
      </c>
      <c r="Q49" s="14">
        <v>2</v>
      </c>
    </row>
    <row r="50" spans="1:17">
      <c r="A50" s="14" t="s">
        <v>6030</v>
      </c>
      <c r="B50" s="14" t="s">
        <v>52</v>
      </c>
      <c r="C50" s="14" t="s">
        <v>202</v>
      </c>
      <c r="D50" s="19" t="s">
        <v>10453</v>
      </c>
      <c r="E50" s="15" t="str">
        <f>HYPERLINK("https://stat100.ameba.jp/tnk47/ratio20/illustrations/card/ill_80023_0_hinamatsurikyogokumaria01.jpg", "■")</f>
        <v>■</v>
      </c>
      <c r="F50" s="14" t="s">
        <v>3709</v>
      </c>
      <c r="G50" s="14">
        <v>336906</v>
      </c>
      <c r="H50" s="14">
        <v>372801</v>
      </c>
      <c r="I50" s="14">
        <v>25</v>
      </c>
      <c r="J50" s="14" t="s">
        <v>26</v>
      </c>
      <c r="K50" s="14" t="s">
        <v>3710</v>
      </c>
      <c r="L50" s="14" t="s">
        <v>8799</v>
      </c>
      <c r="M50" s="14" t="s">
        <v>9158</v>
      </c>
      <c r="N50" s="14" t="s">
        <v>9158</v>
      </c>
      <c r="O50" s="19" t="s">
        <v>10116</v>
      </c>
      <c r="P50" s="14" t="s">
        <v>3713</v>
      </c>
      <c r="Q50" s="14">
        <v>1</v>
      </c>
    </row>
    <row r="51" spans="1:17">
      <c r="A51" s="14" t="s">
        <v>6905</v>
      </c>
      <c r="B51" s="14" t="s">
        <v>330</v>
      </c>
      <c r="C51" s="14" t="s">
        <v>35</v>
      </c>
      <c r="D51" s="19" t="s">
        <v>4161</v>
      </c>
      <c r="E51" s="15" t="str">
        <f>HYPERLINK("https://stat100.ameba.jp/tnk47/ratio20/illustrations/card/ill_80623_0_ohanamigurampingutominushihime03.jpg", "■")</f>
        <v>■</v>
      </c>
      <c r="F51" s="14" t="s">
        <v>4162</v>
      </c>
      <c r="G51" s="14">
        <v>301326</v>
      </c>
      <c r="H51" s="14">
        <v>272366</v>
      </c>
      <c r="I51" s="14">
        <v>25</v>
      </c>
      <c r="J51" s="14" t="s">
        <v>44</v>
      </c>
      <c r="K51" s="14" t="s">
        <v>4163</v>
      </c>
      <c r="L51" s="14" t="s">
        <v>4164</v>
      </c>
      <c r="M51" s="14" t="s">
        <v>9158</v>
      </c>
      <c r="N51" s="14" t="s">
        <v>9158</v>
      </c>
      <c r="O51" s="19" t="s">
        <v>10126</v>
      </c>
      <c r="P51" s="14" t="s">
        <v>4166</v>
      </c>
      <c r="Q51" s="14">
        <v>1</v>
      </c>
    </row>
    <row r="52" spans="1:17">
      <c r="A52" s="14" t="s">
        <v>5733</v>
      </c>
      <c r="B52" s="14" t="s">
        <v>330</v>
      </c>
      <c r="C52" s="14" t="s">
        <v>202</v>
      </c>
      <c r="D52" s="19" t="s">
        <v>2744</v>
      </c>
      <c r="E52" s="15" t="str">
        <f>HYPERLINK("https://stat100.ameba.jp/tnk47/ratio20/illustrations/card/ill_78693_0_kyupittokoinomikoto03.jpg", "■")</f>
        <v>■</v>
      </c>
      <c r="F52" s="14" t="s">
        <v>2745</v>
      </c>
      <c r="G52" s="14">
        <v>261996</v>
      </c>
      <c r="H52" s="14">
        <v>289889</v>
      </c>
      <c r="I52" s="14">
        <v>25</v>
      </c>
      <c r="J52" s="14" t="s">
        <v>274</v>
      </c>
      <c r="K52" s="14" t="s">
        <v>2746</v>
      </c>
      <c r="L52" s="14" t="s">
        <v>2747</v>
      </c>
      <c r="M52" s="14" t="s">
        <v>9158</v>
      </c>
      <c r="N52" s="14" t="s">
        <v>9158</v>
      </c>
      <c r="O52" s="19" t="s">
        <v>10097</v>
      </c>
      <c r="P52" s="14" t="s">
        <v>2748</v>
      </c>
      <c r="Q52" s="14">
        <v>1</v>
      </c>
    </row>
    <row r="53" spans="1:17">
      <c r="A53" s="14" t="s">
        <v>5843</v>
      </c>
      <c r="B53" s="14" t="s">
        <v>52</v>
      </c>
      <c r="C53" s="14" t="s">
        <v>202</v>
      </c>
      <c r="D53" s="19" t="s">
        <v>10291</v>
      </c>
      <c r="E53" s="15" t="str">
        <f>HYPERLINK("https://stat100.ameba.jp/tnk47/ratio20/illustrations/card/ill_77963_0_kurisumasudaisakusentakiyashahime03.jpg", "■")</f>
        <v>■</v>
      </c>
      <c r="F53" s="14" t="s">
        <v>2127</v>
      </c>
      <c r="G53" s="14">
        <v>307028</v>
      </c>
      <c r="H53" s="14">
        <v>277487</v>
      </c>
      <c r="I53" s="14">
        <v>25</v>
      </c>
      <c r="J53" s="14" t="s">
        <v>77</v>
      </c>
      <c r="K53" s="14" t="s">
        <v>2128</v>
      </c>
      <c r="L53" s="14" t="s">
        <v>2129</v>
      </c>
      <c r="M53" s="14" t="s">
        <v>9158</v>
      </c>
      <c r="N53" s="14" t="s">
        <v>9158</v>
      </c>
      <c r="O53" s="19" t="s">
        <v>10107</v>
      </c>
      <c r="P53" s="14" t="s">
        <v>3589</v>
      </c>
      <c r="Q53" s="14">
        <v>2</v>
      </c>
    </row>
    <row r="54" spans="1:17">
      <c r="A54" s="14" t="s">
        <v>5605</v>
      </c>
      <c r="B54" s="14" t="s">
        <v>52</v>
      </c>
      <c r="C54" s="14" t="s">
        <v>202</v>
      </c>
      <c r="D54" s="19" t="s">
        <v>10332</v>
      </c>
      <c r="E54" s="15" t="str">
        <f>HYPERLINK("https://stat100.ameba.jp/tnk47/ratio20/illustrations/card/ill_79373_0_hommeichokotennyohime03.jpg", "■")</f>
        <v>■</v>
      </c>
      <c r="F54" s="14" t="s">
        <v>3495</v>
      </c>
      <c r="G54" s="14">
        <v>309132</v>
      </c>
      <c r="H54" s="14">
        <v>279407</v>
      </c>
      <c r="I54" s="14">
        <v>25</v>
      </c>
      <c r="J54" s="14" t="s">
        <v>104</v>
      </c>
      <c r="K54" s="14" t="s">
        <v>3496</v>
      </c>
      <c r="L54" s="14" t="s">
        <v>3497</v>
      </c>
      <c r="M54" s="14" t="s">
        <v>9158</v>
      </c>
      <c r="N54" s="14" t="s">
        <v>9158</v>
      </c>
      <c r="O54" s="19" t="s">
        <v>10072</v>
      </c>
      <c r="P54" s="14" t="s">
        <v>3498</v>
      </c>
      <c r="Q54" s="14">
        <v>1</v>
      </c>
    </row>
    <row r="55" spans="1:17">
      <c r="A55" s="14" t="s">
        <v>5616</v>
      </c>
      <c r="B55" s="14" t="s">
        <v>52</v>
      </c>
      <c r="C55" s="14" t="s">
        <v>14</v>
      </c>
      <c r="D55" s="19" t="s">
        <v>638</v>
      </c>
      <c r="E55" s="15" t="str">
        <f>HYPERLINK("https://stat100.ameba.jp/tnk47/ratio20/illustrations/card/ill_44253_0_dokuganryudatemasamune03.jpg", "■")</f>
        <v>■</v>
      </c>
      <c r="F55" s="14" t="s">
        <v>1181</v>
      </c>
      <c r="G55" s="14">
        <v>137020</v>
      </c>
      <c r="H55" s="14">
        <v>146300</v>
      </c>
      <c r="I55" s="14">
        <v>25</v>
      </c>
      <c r="J55" s="14" t="s">
        <v>143</v>
      </c>
      <c r="K55" s="14" t="s">
        <v>1182</v>
      </c>
      <c r="L55" s="14" t="s">
        <v>1183</v>
      </c>
      <c r="M55" s="14" t="s">
        <v>9158</v>
      </c>
      <c r="N55" s="14" t="s">
        <v>9158</v>
      </c>
      <c r="O55" s="14" t="s">
        <v>9158</v>
      </c>
      <c r="P55" s="14" t="s">
        <v>9158</v>
      </c>
      <c r="Q55" s="14" t="s">
        <v>9158</v>
      </c>
    </row>
    <row r="56" spans="1:17">
      <c r="A56" s="14" t="s">
        <v>5897</v>
      </c>
      <c r="B56" s="14" t="s">
        <v>52</v>
      </c>
      <c r="C56" s="14" t="s">
        <v>23</v>
      </c>
      <c r="D56" s="19" t="s">
        <v>277</v>
      </c>
      <c r="E56" s="15" t="str">
        <f>HYPERLINK("https://stat100.ameba.jp/tnk47/ratio20/illustrations/card/ill_40913_0_reigyokudensetsufusehime03.jpg", "■")</f>
        <v>■</v>
      </c>
      <c r="F56" s="14" t="s">
        <v>955</v>
      </c>
      <c r="G56" s="14">
        <v>137020</v>
      </c>
      <c r="H56" s="14">
        <v>146300</v>
      </c>
      <c r="I56" s="14">
        <v>25</v>
      </c>
      <c r="J56" s="14" t="s">
        <v>38</v>
      </c>
      <c r="K56" s="14" t="s">
        <v>956</v>
      </c>
      <c r="L56" s="14" t="s">
        <v>957</v>
      </c>
      <c r="M56" s="14" t="s">
        <v>9158</v>
      </c>
      <c r="N56" s="14" t="s">
        <v>9158</v>
      </c>
      <c r="O56" s="14" t="s">
        <v>9158</v>
      </c>
      <c r="P56" s="14" t="s">
        <v>9158</v>
      </c>
      <c r="Q56" s="14" t="s">
        <v>9158</v>
      </c>
    </row>
    <row r="57" spans="1:17">
      <c r="A57" s="14" t="s">
        <v>5830</v>
      </c>
      <c r="B57" s="14" t="s">
        <v>330</v>
      </c>
      <c r="C57" s="14" t="s">
        <v>191</v>
      </c>
      <c r="D57" s="19" t="s">
        <v>793</v>
      </c>
      <c r="E57" s="15" t="str">
        <f>HYPERLINK("https://stat100.ameba.jp/tnk47/ratio20/illustrations/card/ill_39933_0_reihiiinaotora03.jpg", "■")</f>
        <v>■</v>
      </c>
      <c r="F57" s="14" t="s">
        <v>794</v>
      </c>
      <c r="G57" s="14">
        <v>137020</v>
      </c>
      <c r="H57" s="14">
        <v>146300</v>
      </c>
      <c r="I57" s="14">
        <v>25</v>
      </c>
      <c r="J57" s="14" t="s">
        <v>315</v>
      </c>
      <c r="K57" s="14" t="s">
        <v>795</v>
      </c>
      <c r="L57" s="14" t="s">
        <v>796</v>
      </c>
      <c r="M57" s="14" t="s">
        <v>9158</v>
      </c>
      <c r="N57" s="14" t="s">
        <v>9158</v>
      </c>
      <c r="O57" s="14" t="s">
        <v>9158</v>
      </c>
      <c r="P57" s="14" t="s">
        <v>9158</v>
      </c>
      <c r="Q57" s="14" t="s">
        <v>9158</v>
      </c>
    </row>
    <row r="58" spans="1:17">
      <c r="A58" s="14" t="s">
        <v>5608</v>
      </c>
      <c r="B58" s="14" t="s">
        <v>52</v>
      </c>
      <c r="C58" s="14" t="s">
        <v>96</v>
      </c>
      <c r="D58" s="19" t="s">
        <v>634</v>
      </c>
      <c r="E58" s="15" t="str">
        <f>HYPERLINK("https://stat100.ameba.jp/tnk47/ratio20/illustrations/card/ill_40963_0_makami03.jpg", "■")</f>
        <v>■</v>
      </c>
      <c r="F58" s="14" t="s">
        <v>2038</v>
      </c>
      <c r="G58" s="14">
        <v>146300</v>
      </c>
      <c r="H58" s="14">
        <v>137020</v>
      </c>
      <c r="I58" s="14">
        <v>25</v>
      </c>
      <c r="J58" s="14" t="s">
        <v>44</v>
      </c>
      <c r="K58" s="14" t="s">
        <v>2039</v>
      </c>
      <c r="L58" s="14" t="s">
        <v>2040</v>
      </c>
      <c r="M58" s="14" t="s">
        <v>9158</v>
      </c>
      <c r="N58" s="14" t="s">
        <v>9158</v>
      </c>
      <c r="O58" s="14" t="s">
        <v>9158</v>
      </c>
      <c r="P58" s="14" t="s">
        <v>9158</v>
      </c>
      <c r="Q58" s="14" t="s">
        <v>9158</v>
      </c>
    </row>
    <row r="59" spans="1:17">
      <c r="A59" s="14" t="s">
        <v>5721</v>
      </c>
      <c r="B59" s="14" t="s">
        <v>52</v>
      </c>
      <c r="C59" s="14" t="s">
        <v>1</v>
      </c>
      <c r="D59" s="19" t="s">
        <v>513</v>
      </c>
      <c r="E59" s="15" t="str">
        <f>HYPERLINK("https://stat100.ameba.jp/tnk47/ratio20/illustrations/card/ill_44283_0_izumonokuni03.jpg", "■")</f>
        <v>■</v>
      </c>
      <c r="F59" s="14" t="s">
        <v>1716</v>
      </c>
      <c r="G59" s="14">
        <v>146300</v>
      </c>
      <c r="H59" s="14">
        <v>137020</v>
      </c>
      <c r="I59" s="14">
        <v>25</v>
      </c>
      <c r="J59" s="14" t="s">
        <v>16</v>
      </c>
      <c r="K59" s="14" t="s">
        <v>2254</v>
      </c>
      <c r="L59" s="14" t="s">
        <v>1718</v>
      </c>
      <c r="M59" s="14" t="s">
        <v>9158</v>
      </c>
      <c r="N59" s="14" t="s">
        <v>9158</v>
      </c>
      <c r="O59" s="14" t="s">
        <v>9158</v>
      </c>
      <c r="P59" s="14" t="s">
        <v>9158</v>
      </c>
      <c r="Q59" s="14" t="s">
        <v>9158</v>
      </c>
    </row>
    <row r="60" spans="1:17">
      <c r="A60" s="14" t="s">
        <v>5902</v>
      </c>
      <c r="B60" s="14" t="s">
        <v>330</v>
      </c>
      <c r="C60" s="14" t="s">
        <v>206</v>
      </c>
      <c r="D60" s="19" t="s">
        <v>483</v>
      </c>
      <c r="E60" s="15" t="str">
        <f>HYPERLINK("https://stat100.ameba.jp/tnk47/ratio20/illustrations/card/ill_40343_0_heshikirihasebekurodakambe03.jpg", "■")</f>
        <v>■</v>
      </c>
      <c r="F60" s="14" t="s">
        <v>906</v>
      </c>
      <c r="G60" s="14">
        <v>146300</v>
      </c>
      <c r="H60" s="14">
        <v>137020</v>
      </c>
      <c r="I60" s="14">
        <v>25</v>
      </c>
      <c r="J60" s="14" t="s">
        <v>16</v>
      </c>
      <c r="K60" s="14" t="s">
        <v>907</v>
      </c>
      <c r="L60" s="14" t="s">
        <v>908</v>
      </c>
      <c r="M60" s="14" t="s">
        <v>9158</v>
      </c>
      <c r="N60" s="14" t="s">
        <v>9158</v>
      </c>
      <c r="O60" s="14" t="s">
        <v>9158</v>
      </c>
      <c r="P60" s="14" t="s">
        <v>9158</v>
      </c>
      <c r="Q60" s="14" t="s">
        <v>9158</v>
      </c>
    </row>
    <row r="61" spans="1:17">
      <c r="A61" s="14" t="s">
        <v>5622</v>
      </c>
      <c r="B61" s="14" t="s">
        <v>330</v>
      </c>
      <c r="C61" s="14" t="s">
        <v>335</v>
      </c>
      <c r="D61" s="19" t="s">
        <v>12097</v>
      </c>
      <c r="E61" s="15" t="str">
        <f>HYPERLINK("https://stat100.ameba.jp/tnk47/ratio20/illustrations/card/ill_49953_0_yushamarihime03.jpg", "■")</f>
        <v>■</v>
      </c>
      <c r="F61" s="14" t="s">
        <v>510</v>
      </c>
      <c r="G61" s="14">
        <v>157060</v>
      </c>
      <c r="H61" s="14">
        <v>139520</v>
      </c>
      <c r="I61" s="14">
        <v>25</v>
      </c>
      <c r="J61" s="14" t="s">
        <v>315</v>
      </c>
      <c r="K61" s="14" t="s">
        <v>511</v>
      </c>
      <c r="L61" s="14" t="s">
        <v>512</v>
      </c>
      <c r="M61" s="14" t="s">
        <v>9158</v>
      </c>
      <c r="N61" s="14" t="s">
        <v>9158</v>
      </c>
      <c r="O61" s="14" t="s">
        <v>9158</v>
      </c>
      <c r="P61" s="14" t="s">
        <v>9158</v>
      </c>
      <c r="Q61" s="14" t="s">
        <v>9158</v>
      </c>
    </row>
    <row r="62" spans="1:17">
      <c r="A62" s="14" t="s">
        <v>5625</v>
      </c>
      <c r="B62" s="14" t="s">
        <v>330</v>
      </c>
      <c r="C62" s="14" t="s">
        <v>200</v>
      </c>
      <c r="D62" s="19" t="s">
        <v>630</v>
      </c>
      <c r="E62" s="15" t="str">
        <f>HYPERLINK("https://stat100.ameba.jp/tnk47/ratio20/illustrations/card/ill_48283_0_kyuubitamamonomae03.jpg", "■")</f>
        <v>■</v>
      </c>
      <c r="F62" s="14" t="s">
        <v>631</v>
      </c>
      <c r="G62" s="14">
        <v>157060</v>
      </c>
      <c r="H62" s="14">
        <v>139520</v>
      </c>
      <c r="I62" s="14">
        <v>25</v>
      </c>
      <c r="J62" s="14" t="s">
        <v>320</v>
      </c>
      <c r="K62" s="14" t="s">
        <v>632</v>
      </c>
      <c r="L62" s="14" t="s">
        <v>633</v>
      </c>
      <c r="M62" s="14" t="s">
        <v>9158</v>
      </c>
      <c r="N62" s="14" t="s">
        <v>9158</v>
      </c>
      <c r="O62" s="14" t="s">
        <v>9158</v>
      </c>
      <c r="P62" s="14" t="s">
        <v>9158</v>
      </c>
      <c r="Q62" s="14" t="s">
        <v>9158</v>
      </c>
    </row>
    <row r="63" spans="1:17">
      <c r="A63" s="14" t="s">
        <v>5627</v>
      </c>
      <c r="B63" s="14" t="s">
        <v>330</v>
      </c>
      <c r="C63" s="14" t="s">
        <v>191</v>
      </c>
      <c r="D63" s="19" t="s">
        <v>393</v>
      </c>
      <c r="E63" s="15" t="str">
        <f>HYPERLINK("https://stat100.ameba.jp/tnk47/ratio20/illustrations/card/ill_46283_0_odanobunaga03.jpg", "■")</f>
        <v>■</v>
      </c>
      <c r="F63" s="14" t="s">
        <v>1073</v>
      </c>
      <c r="G63" s="14">
        <v>137020</v>
      </c>
      <c r="H63" s="14">
        <v>146300</v>
      </c>
      <c r="I63" s="14">
        <v>25</v>
      </c>
      <c r="J63" s="14" t="s">
        <v>143</v>
      </c>
      <c r="K63" s="14" t="s">
        <v>1074</v>
      </c>
      <c r="L63" s="14" t="s">
        <v>1075</v>
      </c>
      <c r="M63" s="14" t="s">
        <v>9158</v>
      </c>
      <c r="N63" s="14" t="s">
        <v>9158</v>
      </c>
      <c r="O63" s="14" t="s">
        <v>9158</v>
      </c>
      <c r="P63" s="14" t="s">
        <v>9158</v>
      </c>
      <c r="Q63" s="14" t="s">
        <v>9158</v>
      </c>
    </row>
    <row r="64" spans="1:17">
      <c r="A64" s="14" t="s">
        <v>5612</v>
      </c>
      <c r="B64" s="14" t="s">
        <v>52</v>
      </c>
      <c r="C64" s="14" t="s">
        <v>165</v>
      </c>
      <c r="D64" s="19" t="s">
        <v>789</v>
      </c>
      <c r="E64" s="15" t="str">
        <f>HYPERLINK("https://stat100.ameba.jp/tnk47/ratio20/illustrations/card/ill_49193_0_onmyoudouabenoseimei03.jpg", "■")</f>
        <v>■</v>
      </c>
      <c r="F64" s="14" t="s">
        <v>1896</v>
      </c>
      <c r="G64" s="14">
        <v>139520</v>
      </c>
      <c r="H64" s="14">
        <v>157060</v>
      </c>
      <c r="I64" s="14">
        <v>25</v>
      </c>
      <c r="J64" s="14" t="s">
        <v>10</v>
      </c>
      <c r="K64" s="14" t="s">
        <v>1897</v>
      </c>
      <c r="L64" s="14" t="s">
        <v>1898</v>
      </c>
      <c r="M64" s="14" t="s">
        <v>9158</v>
      </c>
      <c r="N64" s="14" t="s">
        <v>9158</v>
      </c>
      <c r="O64" s="14" t="s">
        <v>9158</v>
      </c>
      <c r="P64" s="14" t="s">
        <v>9158</v>
      </c>
      <c r="Q64" s="14" t="s">
        <v>9158</v>
      </c>
    </row>
    <row r="65" spans="1:18">
      <c r="A65" s="14" t="s">
        <v>6132</v>
      </c>
      <c r="B65" s="14" t="s">
        <v>52</v>
      </c>
      <c r="C65" s="14" t="s">
        <v>205</v>
      </c>
      <c r="D65" s="19" t="s">
        <v>702</v>
      </c>
      <c r="E65" s="15" t="str">
        <f>HYPERLINK("https://stat100.ameba.jp/tnk47/ratio20/illustrations/card/ill_50693_0_hanamizugimimuratsuru03.jpg", "■")</f>
        <v>■</v>
      </c>
      <c r="F65" s="14" t="s">
        <v>2282</v>
      </c>
      <c r="G65" s="14">
        <v>139520</v>
      </c>
      <c r="H65" s="14">
        <v>157060</v>
      </c>
      <c r="I65" s="14">
        <v>25</v>
      </c>
      <c r="J65" s="14" t="s">
        <v>143</v>
      </c>
      <c r="K65" s="14" t="s">
        <v>2283</v>
      </c>
      <c r="L65" s="14" t="s">
        <v>2284</v>
      </c>
      <c r="M65" s="14" t="s">
        <v>9158</v>
      </c>
      <c r="N65" s="14" t="s">
        <v>9158</v>
      </c>
      <c r="O65" s="14" t="s">
        <v>9158</v>
      </c>
      <c r="P65" s="14" t="s">
        <v>9158</v>
      </c>
      <c r="Q65" s="14" t="s">
        <v>9158</v>
      </c>
    </row>
    <row r="66" spans="1:18">
      <c r="A66" s="14" t="s">
        <v>5604</v>
      </c>
      <c r="B66" s="14" t="s">
        <v>330</v>
      </c>
      <c r="C66" s="14" t="s">
        <v>206</v>
      </c>
      <c r="D66" s="19" t="s">
        <v>614</v>
      </c>
      <c r="E66" s="15" t="str">
        <f>HYPERLINK("https://stat100.ameba.jp/tnk47/ratio20/illustrations/card/ill_47263_0_oukyuuatsuhime03.jpg", "■")</f>
        <v>■</v>
      </c>
      <c r="F66" s="14" t="s">
        <v>615</v>
      </c>
      <c r="G66" s="14">
        <v>157060</v>
      </c>
      <c r="H66" s="14">
        <v>139520</v>
      </c>
      <c r="I66" s="14">
        <v>25</v>
      </c>
      <c r="J66" s="14" t="s">
        <v>315</v>
      </c>
      <c r="K66" s="14" t="s">
        <v>616</v>
      </c>
      <c r="L66" s="14" t="s">
        <v>617</v>
      </c>
      <c r="M66" s="14" t="s">
        <v>9158</v>
      </c>
      <c r="N66" s="14" t="s">
        <v>9158</v>
      </c>
      <c r="O66" s="14" t="s">
        <v>9158</v>
      </c>
      <c r="P66" s="14" t="s">
        <v>9158</v>
      </c>
      <c r="Q66" s="14" t="s">
        <v>9158</v>
      </c>
    </row>
    <row r="68" spans="1:18">
      <c r="A68" s="9" t="s">
        <v>11913</v>
      </c>
    </row>
    <row r="69" spans="1:18">
      <c r="A69" s="9" t="s">
        <v>16821</v>
      </c>
    </row>
    <row r="70" spans="1:18">
      <c r="A70" s="9" t="s">
        <v>11914</v>
      </c>
    </row>
    <row r="71" spans="1:18">
      <c r="A71" s="14" t="s">
        <v>9597</v>
      </c>
      <c r="B71" s="14" t="s">
        <v>52</v>
      </c>
      <c r="C71" s="14" t="s">
        <v>14</v>
      </c>
      <c r="D71" s="19" t="s">
        <v>813</v>
      </c>
      <c r="E71" s="15" t="str">
        <f>HYPERLINK("https://stat100.ameba.jp/tnk47/ratio20/illustrations/card/ill_55311_0_haroinononokomachi01.jpg", "■")</f>
        <v>■</v>
      </c>
      <c r="F71" s="14" t="s">
        <v>2094</v>
      </c>
      <c r="G71" s="14">
        <v>113750</v>
      </c>
      <c r="H71" s="14">
        <v>110500</v>
      </c>
      <c r="I71" s="14">
        <v>25</v>
      </c>
      <c r="J71" s="14" t="s">
        <v>10</v>
      </c>
      <c r="K71" s="14" t="s">
        <v>2095</v>
      </c>
      <c r="L71" s="14"/>
      <c r="M71" s="14" t="s">
        <v>9158</v>
      </c>
      <c r="N71" s="14" t="s">
        <v>9158</v>
      </c>
      <c r="O71" s="19" t="s">
        <v>2733</v>
      </c>
      <c r="P71" s="14" t="s">
        <v>2734</v>
      </c>
      <c r="Q71" s="14">
        <v>1</v>
      </c>
      <c r="R71" s="14" t="s">
        <v>176</v>
      </c>
    </row>
    <row r="72" spans="1:18">
      <c r="A72" s="14" t="s">
        <v>9598</v>
      </c>
      <c r="B72" s="14" t="s">
        <v>52</v>
      </c>
      <c r="C72" s="14" t="s">
        <v>200</v>
      </c>
      <c r="D72" s="19" t="s">
        <v>389</v>
      </c>
      <c r="E72" s="15" t="str">
        <f>HYPERLINK("https://stat100.ameba.jp/tnk47/ratio20/illustrations/card/ill_53751_0_natsumatsuritokugawaieyasu01.jpg", "■")</f>
        <v>■</v>
      </c>
      <c r="F72" s="14" t="s">
        <v>902</v>
      </c>
      <c r="G72" s="14">
        <v>113750</v>
      </c>
      <c r="H72" s="14">
        <v>110500</v>
      </c>
      <c r="I72" s="14">
        <v>25</v>
      </c>
      <c r="J72" s="14" t="s">
        <v>194</v>
      </c>
      <c r="K72" s="14" t="s">
        <v>1714</v>
      </c>
      <c r="L72" s="14"/>
      <c r="M72" s="14" t="s">
        <v>9158</v>
      </c>
      <c r="N72" s="14" t="s">
        <v>9158</v>
      </c>
      <c r="O72" s="19" t="s">
        <v>10076</v>
      </c>
      <c r="P72" s="14" t="s">
        <v>13121</v>
      </c>
      <c r="Q72" s="14">
        <v>1</v>
      </c>
      <c r="R72" s="14" t="s">
        <v>176</v>
      </c>
    </row>
    <row r="73" spans="1:18">
      <c r="A73" s="14" t="s">
        <v>9599</v>
      </c>
      <c r="B73" s="14" t="s">
        <v>330</v>
      </c>
      <c r="C73" s="14" t="s">
        <v>191</v>
      </c>
      <c r="D73" s="19" t="s">
        <v>2871</v>
      </c>
      <c r="E73" s="15" t="str">
        <f>HYPERLINK("https://stat100.ameba.jp/tnk47/ratio20/illustrations/card/ill_51971_0_kemonomizugikuroyuridensetsu01.jpg", "■")</f>
        <v>■</v>
      </c>
      <c r="F73" s="14" t="s">
        <v>2034</v>
      </c>
      <c r="G73" s="14">
        <v>113750</v>
      </c>
      <c r="H73" s="14">
        <v>110500</v>
      </c>
      <c r="I73" s="14">
        <v>25</v>
      </c>
      <c r="J73" s="14" t="s">
        <v>38</v>
      </c>
      <c r="K73" s="14" t="s">
        <v>2035</v>
      </c>
      <c r="L73" s="14"/>
      <c r="M73" s="14" t="s">
        <v>9158</v>
      </c>
      <c r="N73" s="14" t="s">
        <v>9158</v>
      </c>
      <c r="O73" s="19" t="s">
        <v>10088</v>
      </c>
      <c r="P73" s="14" t="s">
        <v>13172</v>
      </c>
      <c r="Q73" s="14">
        <v>1</v>
      </c>
      <c r="R73" s="14" t="s">
        <v>176</v>
      </c>
    </row>
    <row r="74" spans="1:18">
      <c r="A74" s="14" t="s">
        <v>9600</v>
      </c>
      <c r="B74" s="14" t="s">
        <v>330</v>
      </c>
      <c r="C74" s="14" t="s">
        <v>308</v>
      </c>
      <c r="D74" s="19" t="s">
        <v>385</v>
      </c>
      <c r="E74" s="15" t="str">
        <f>HYPERLINK("https://stat100.ameba.jp/tnk47/ratio20/illustrations/card/ill_59671_0_oheyashutendoji01.jpg", "■")</f>
        <v>■</v>
      </c>
      <c r="F74" s="14" t="s">
        <v>386</v>
      </c>
      <c r="G74" s="14">
        <v>112400</v>
      </c>
      <c r="H74" s="14">
        <v>120750</v>
      </c>
      <c r="I74" s="14">
        <v>25</v>
      </c>
      <c r="J74" s="14" t="s">
        <v>320</v>
      </c>
      <c r="K74" s="14" t="s">
        <v>387</v>
      </c>
      <c r="L74" s="14"/>
      <c r="M74" s="14" t="s">
        <v>9158</v>
      </c>
      <c r="N74" s="14" t="s">
        <v>9158</v>
      </c>
      <c r="O74" s="19" t="s">
        <v>10078</v>
      </c>
      <c r="P74" s="14" t="s">
        <v>3022</v>
      </c>
      <c r="Q74" s="14">
        <v>1</v>
      </c>
      <c r="R74" s="14" t="s">
        <v>176</v>
      </c>
    </row>
    <row r="75" spans="1:18">
      <c r="A75" s="14" t="s">
        <v>9601</v>
      </c>
      <c r="B75" s="14" t="s">
        <v>330</v>
      </c>
      <c r="C75" s="14" t="s">
        <v>267</v>
      </c>
      <c r="D75" s="19" t="s">
        <v>313</v>
      </c>
      <c r="E75" s="15" t="str">
        <f>HYPERLINK("https://stat100.ameba.jp/tnk47/ratio20/illustrations/card/ill_56221_0_onsempanikkugohime01.jpg", "■")</f>
        <v>■</v>
      </c>
      <c r="F75" s="14" t="s">
        <v>314</v>
      </c>
      <c r="G75" s="14">
        <v>110500</v>
      </c>
      <c r="H75" s="14">
        <v>113750</v>
      </c>
      <c r="I75" s="14">
        <v>25</v>
      </c>
      <c r="J75" s="14" t="s">
        <v>315</v>
      </c>
      <c r="K75" s="14" t="s">
        <v>316</v>
      </c>
      <c r="L75" s="14"/>
      <c r="M75" s="14" t="s">
        <v>9158</v>
      </c>
      <c r="N75" s="14" t="s">
        <v>9158</v>
      </c>
      <c r="O75" s="19" t="s">
        <v>3021</v>
      </c>
      <c r="P75" s="14" t="s">
        <v>2890</v>
      </c>
      <c r="Q75" s="14">
        <v>1</v>
      </c>
      <c r="R75" s="14" t="s">
        <v>176</v>
      </c>
    </row>
    <row r="76" spans="1:18">
      <c r="A76" s="14" t="s">
        <v>9602</v>
      </c>
      <c r="B76" s="14" t="s">
        <v>52</v>
      </c>
      <c r="C76" s="14" t="s">
        <v>107</v>
      </c>
      <c r="D76" s="19" t="s">
        <v>543</v>
      </c>
      <c r="E76" s="15" t="str">
        <f>HYPERLINK("https://stat100.ameba.jp/tnk47/ratio20/illustrations/card/ill_52691_0_sengokumibirakiyanagiharabyakuren01.jpg", "■")</f>
        <v>■</v>
      </c>
      <c r="F76" s="14" t="s">
        <v>1246</v>
      </c>
      <c r="G76" s="14">
        <v>110500</v>
      </c>
      <c r="H76" s="14">
        <v>113750</v>
      </c>
      <c r="I76" s="14">
        <v>25</v>
      </c>
      <c r="J76" s="14" t="s">
        <v>16</v>
      </c>
      <c r="K76" s="14" t="s">
        <v>1247</v>
      </c>
      <c r="L76" s="14"/>
      <c r="M76" s="14" t="s">
        <v>9158</v>
      </c>
      <c r="N76" s="14" t="s">
        <v>9158</v>
      </c>
      <c r="O76" s="19" t="s">
        <v>2886</v>
      </c>
      <c r="P76" s="14" t="s">
        <v>3304</v>
      </c>
      <c r="Q76" s="14">
        <v>1</v>
      </c>
      <c r="R76" s="14" t="s">
        <v>176</v>
      </c>
    </row>
    <row r="77" spans="1:18">
      <c r="A77" s="14" t="s">
        <v>9603</v>
      </c>
      <c r="B77" s="14" t="s">
        <v>330</v>
      </c>
      <c r="C77" s="14" t="s">
        <v>185</v>
      </c>
      <c r="D77" s="19" t="s">
        <v>539</v>
      </c>
      <c r="E77" s="15" t="str">
        <f>HYPERLINK("https://stat100.ameba.jp/tnk47/ratio20/illustrations/card/ill_60631_0_harumaisentoin01.jpg", "■")</f>
        <v>■</v>
      </c>
      <c r="F77" s="14" t="s">
        <v>540</v>
      </c>
      <c r="G77" s="14">
        <v>101575</v>
      </c>
      <c r="H77" s="14">
        <v>109125</v>
      </c>
      <c r="I77" s="14">
        <v>25</v>
      </c>
      <c r="J77" s="14" t="s">
        <v>274</v>
      </c>
      <c r="K77" s="14" t="s">
        <v>541</v>
      </c>
      <c r="L77" s="14"/>
      <c r="M77" s="14" t="s">
        <v>9158</v>
      </c>
      <c r="N77" s="14" t="s">
        <v>9158</v>
      </c>
      <c r="O77" s="19" t="s">
        <v>2888</v>
      </c>
      <c r="P77" s="14" t="s">
        <v>3144</v>
      </c>
      <c r="Q77" s="14">
        <v>1</v>
      </c>
      <c r="R77" s="14" t="s">
        <v>176</v>
      </c>
    </row>
    <row r="78" spans="1:18">
      <c r="A78" s="14" t="s">
        <v>9604</v>
      </c>
      <c r="B78" s="14" t="s">
        <v>52</v>
      </c>
      <c r="C78" s="14" t="s">
        <v>23</v>
      </c>
      <c r="D78" s="19" t="s">
        <v>665</v>
      </c>
      <c r="E78" s="15" t="str">
        <f>HYPERLINK("https://stat100.ameba.jp/tnk47/ratio20/illustrations/card/ill_63171_0_minazukikonakaiteruko01.jpg", "■")</f>
        <v>■</v>
      </c>
      <c r="F78" s="14" t="s">
        <v>1188</v>
      </c>
      <c r="G78" s="14">
        <v>138650</v>
      </c>
      <c r="H78" s="14">
        <v>148925</v>
      </c>
      <c r="I78" s="14">
        <v>25</v>
      </c>
      <c r="J78" s="14" t="s">
        <v>143</v>
      </c>
      <c r="K78" s="14" t="s">
        <v>1189</v>
      </c>
      <c r="L78" s="14"/>
      <c r="M78" s="14" t="s">
        <v>9158</v>
      </c>
      <c r="N78" s="14" t="s">
        <v>9158</v>
      </c>
      <c r="O78" s="19" t="s">
        <v>10079</v>
      </c>
      <c r="P78" s="14" t="s">
        <v>3329</v>
      </c>
      <c r="Q78" s="14">
        <v>1</v>
      </c>
      <c r="R78" s="14" t="s">
        <v>176</v>
      </c>
    </row>
    <row r="79" spans="1:18">
      <c r="A79" s="14" t="s">
        <v>9605</v>
      </c>
      <c r="B79" s="14" t="s">
        <v>52</v>
      </c>
      <c r="C79" s="14" t="s">
        <v>101</v>
      </c>
      <c r="D79" s="19" t="s">
        <v>1426</v>
      </c>
      <c r="E79" s="15" t="str">
        <f>HYPERLINK("https://stat100.ameba.jp/tnk47/ratio20/illustrations/card/ill_64951_0_yukatatokugawayoshinobu01.jpg", "■")</f>
        <v>■</v>
      </c>
      <c r="F79" s="14" t="s">
        <v>2090</v>
      </c>
      <c r="G79" s="14">
        <v>99525</v>
      </c>
      <c r="H79" s="14">
        <v>106900</v>
      </c>
      <c r="I79" s="14">
        <v>25</v>
      </c>
      <c r="J79" s="14" t="s">
        <v>10</v>
      </c>
      <c r="K79" s="14" t="s">
        <v>2091</v>
      </c>
      <c r="L79" s="14"/>
      <c r="M79" s="14" t="s">
        <v>9158</v>
      </c>
      <c r="N79" s="14" t="s">
        <v>9158</v>
      </c>
      <c r="O79" s="19" t="s">
        <v>2889</v>
      </c>
      <c r="P79" s="14" t="s">
        <v>2890</v>
      </c>
      <c r="Q79" s="14">
        <v>1</v>
      </c>
      <c r="R79" s="14" t="s">
        <v>176</v>
      </c>
    </row>
    <row r="80" spans="1:18">
      <c r="A80" s="14" t="s">
        <v>9606</v>
      </c>
      <c r="B80" s="14" t="s">
        <v>330</v>
      </c>
      <c r="C80" s="14" t="s">
        <v>165</v>
      </c>
      <c r="D80" s="19" t="s">
        <v>3146</v>
      </c>
      <c r="E80" s="15" t="str">
        <f>HYPERLINK("https://stat100.ameba.jp/tnk47/ratio20/illustrations/card/ill_65711_0_undokaionikirimaru01.jpg", "■")</f>
        <v>■</v>
      </c>
      <c r="F80" s="14" t="s">
        <v>535</v>
      </c>
      <c r="G80" s="14">
        <v>120750</v>
      </c>
      <c r="H80" s="14">
        <v>112400</v>
      </c>
      <c r="I80" s="14">
        <v>25</v>
      </c>
      <c r="J80" s="14" t="s">
        <v>320</v>
      </c>
      <c r="K80" s="14" t="s">
        <v>3147</v>
      </c>
      <c r="L80" s="14"/>
      <c r="M80" s="14" t="s">
        <v>9158</v>
      </c>
      <c r="N80" s="14" t="s">
        <v>9158</v>
      </c>
      <c r="O80" s="19" t="s">
        <v>2869</v>
      </c>
      <c r="P80" s="14" t="s">
        <v>2870</v>
      </c>
      <c r="Q80" s="14">
        <v>1</v>
      </c>
      <c r="R80" s="14" t="s">
        <v>176</v>
      </c>
    </row>
    <row r="81" spans="1:18">
      <c r="A81" s="14" t="s">
        <v>9607</v>
      </c>
      <c r="B81" s="14" t="s">
        <v>330</v>
      </c>
      <c r="C81" s="14" t="s">
        <v>205</v>
      </c>
      <c r="D81" s="19" t="s">
        <v>272</v>
      </c>
      <c r="E81" s="15" t="str">
        <f>HYPERLINK("https://stat100.ameba.jp/tnk47/ratio20/illustrations/card/ill_68781_0_gantammomotaro01.jpg", "■")</f>
        <v>■</v>
      </c>
      <c r="F81" s="14" t="s">
        <v>273</v>
      </c>
      <c r="G81" s="14">
        <v>109125</v>
      </c>
      <c r="H81" s="14">
        <v>101575</v>
      </c>
      <c r="I81" s="14">
        <v>25</v>
      </c>
      <c r="J81" s="14" t="s">
        <v>274</v>
      </c>
      <c r="K81" s="14" t="s">
        <v>275</v>
      </c>
      <c r="L81" s="14"/>
      <c r="M81" s="14" t="s">
        <v>9158</v>
      </c>
      <c r="N81" s="14" t="s">
        <v>9158</v>
      </c>
      <c r="O81" s="19" t="s">
        <v>10099</v>
      </c>
      <c r="P81" s="14" t="s">
        <v>3085</v>
      </c>
      <c r="Q81" s="14">
        <v>1</v>
      </c>
      <c r="R81" s="14" t="s">
        <v>176</v>
      </c>
    </row>
    <row r="82" spans="1:18">
      <c r="A82" s="14" t="s">
        <v>9608</v>
      </c>
      <c r="B82" s="14" t="s">
        <v>52</v>
      </c>
      <c r="C82" s="14" t="s">
        <v>344</v>
      </c>
      <c r="D82" s="19" t="s">
        <v>669</v>
      </c>
      <c r="E82" s="15" t="str">
        <f>HYPERLINK("https://stat100.ameba.jp/tnk47/ratio20/illustrations/card/ill_67171_0_yukemuriawamorichan01.jpg", "■")</f>
        <v>■</v>
      </c>
      <c r="F82" s="14" t="s">
        <v>2043</v>
      </c>
      <c r="G82" s="14">
        <v>122600</v>
      </c>
      <c r="H82" s="14">
        <v>114125</v>
      </c>
      <c r="I82" s="14">
        <v>25</v>
      </c>
      <c r="J82" s="14" t="s">
        <v>104</v>
      </c>
      <c r="K82" s="14" t="s">
        <v>2044</v>
      </c>
      <c r="L82" s="14"/>
      <c r="M82" s="14" t="s">
        <v>9158</v>
      </c>
      <c r="N82" s="14" t="s">
        <v>9158</v>
      </c>
      <c r="O82" s="19" t="s">
        <v>10087</v>
      </c>
      <c r="P82" s="14" t="s">
        <v>3455</v>
      </c>
      <c r="Q82" s="14">
        <v>1</v>
      </c>
      <c r="R82" s="14" t="s">
        <v>176</v>
      </c>
    </row>
    <row r="83" spans="1:18">
      <c r="A83" s="14" t="s">
        <v>9609</v>
      </c>
      <c r="B83" s="14" t="s">
        <v>52</v>
      </c>
      <c r="C83" s="14" t="s">
        <v>14</v>
      </c>
      <c r="D83" s="19" t="s">
        <v>3195</v>
      </c>
      <c r="E83" s="15" t="str">
        <f>HYPERLINK("https://stat100.ameba.jp/tnk47/ratio20/illustrations/card/ill_75391_0_resukuinotsukisamaniittausagi01.jpg", "■")</f>
        <v>■</v>
      </c>
      <c r="F83" s="14" t="s">
        <v>3248</v>
      </c>
      <c r="G83" s="14">
        <v>181750</v>
      </c>
      <c r="H83" s="14">
        <v>169175</v>
      </c>
      <c r="I83" s="14">
        <v>25</v>
      </c>
      <c r="J83" s="14" t="s">
        <v>26</v>
      </c>
      <c r="K83" s="14" t="s">
        <v>3249</v>
      </c>
      <c r="L83" s="14"/>
      <c r="M83" s="14" t="s">
        <v>9158</v>
      </c>
      <c r="N83" s="14" t="s">
        <v>9158</v>
      </c>
      <c r="O83" s="19" t="s">
        <v>10101</v>
      </c>
      <c r="P83" s="14" t="s">
        <v>3251</v>
      </c>
      <c r="Q83" s="14">
        <v>2</v>
      </c>
      <c r="R83" s="14" t="s">
        <v>176</v>
      </c>
    </row>
    <row r="84" spans="1:18">
      <c r="A84" s="14" t="s">
        <v>9157</v>
      </c>
      <c r="B84" s="14" t="s">
        <v>52</v>
      </c>
      <c r="C84" s="14" t="s">
        <v>202</v>
      </c>
      <c r="D84" s="19" t="s">
        <v>10453</v>
      </c>
      <c r="E84" s="15" t="str">
        <f>HYPERLINK("https://stat100.ameba.jp/tnk47/ratio20/illustrations/card/ill_80021_0_hinamatsurikyogokumaria01.jpg", "■")</f>
        <v>■</v>
      </c>
      <c r="F84" s="14" t="s">
        <v>3709</v>
      </c>
      <c r="G84" s="14">
        <v>215300</v>
      </c>
      <c r="H84" s="14">
        <v>237925</v>
      </c>
      <c r="I84" s="14">
        <v>25</v>
      </c>
      <c r="J84" s="14" t="s">
        <v>26</v>
      </c>
      <c r="K84" s="14" t="s">
        <v>3710</v>
      </c>
      <c r="L84" s="14"/>
      <c r="M84" s="14" t="s">
        <v>9158</v>
      </c>
      <c r="N84" s="14" t="s">
        <v>9158</v>
      </c>
      <c r="O84" s="19" t="s">
        <v>10116</v>
      </c>
      <c r="P84" s="14" t="s">
        <v>3713</v>
      </c>
      <c r="Q84" s="14">
        <v>1</v>
      </c>
      <c r="R84" s="14" t="s">
        <v>176</v>
      </c>
    </row>
    <row r="85" spans="1:18">
      <c r="A85" s="14" t="s">
        <v>9610</v>
      </c>
      <c r="B85" s="14" t="s">
        <v>330</v>
      </c>
      <c r="C85" s="14" t="s">
        <v>35</v>
      </c>
      <c r="D85" s="19" t="s">
        <v>10299</v>
      </c>
      <c r="E85" s="15" t="str">
        <f>HYPERLINK("https://stat100.ameba.jp/tnk47/ratio20/illustrations/card/ill_80621_0_ohanamigurampingutominushihime01.jpg", "■")</f>
        <v>■</v>
      </c>
      <c r="F85" s="14" t="s">
        <v>4162</v>
      </c>
      <c r="G85" s="14">
        <v>192325</v>
      </c>
      <c r="H85" s="14">
        <v>174050</v>
      </c>
      <c r="I85" s="14">
        <v>25</v>
      </c>
      <c r="J85" s="14" t="s">
        <v>44</v>
      </c>
      <c r="K85" s="14" t="s">
        <v>4163</v>
      </c>
      <c r="L85" s="14"/>
      <c r="M85" s="14" t="s">
        <v>9158</v>
      </c>
      <c r="N85" s="14" t="s">
        <v>9158</v>
      </c>
      <c r="O85" s="19" t="s">
        <v>10126</v>
      </c>
      <c r="P85" s="14" t="s">
        <v>4166</v>
      </c>
      <c r="Q85" s="14">
        <v>1</v>
      </c>
      <c r="R85" s="14" t="s">
        <v>176</v>
      </c>
    </row>
    <row r="86" spans="1:18">
      <c r="A86" s="14" t="s">
        <v>9611</v>
      </c>
      <c r="B86" s="14" t="s">
        <v>330</v>
      </c>
      <c r="C86" s="14" t="s">
        <v>202</v>
      </c>
      <c r="D86" s="19" t="s">
        <v>2744</v>
      </c>
      <c r="E86" s="15" t="str">
        <f>HYPERLINK("https://stat100.ameba.jp/tnk47/ratio20/illustrations/card/ill_78691_0_kyupittokoinomikoto01.jpg", "■")</f>
        <v>■</v>
      </c>
      <c r="F86" s="14" t="s">
        <v>2745</v>
      </c>
      <c r="G86" s="14">
        <v>167425</v>
      </c>
      <c r="H86" s="14">
        <v>185025</v>
      </c>
      <c r="I86" s="14">
        <v>25</v>
      </c>
      <c r="J86" s="14" t="s">
        <v>274</v>
      </c>
      <c r="K86" s="14" t="s">
        <v>2746</v>
      </c>
      <c r="L86" s="14"/>
      <c r="M86" s="14" t="s">
        <v>9158</v>
      </c>
      <c r="N86" s="14" t="s">
        <v>9158</v>
      </c>
      <c r="O86" s="19" t="s">
        <v>10097</v>
      </c>
      <c r="P86" s="14" t="s">
        <v>2748</v>
      </c>
      <c r="Q86" s="14">
        <v>1</v>
      </c>
      <c r="R86" s="14" t="s">
        <v>176</v>
      </c>
    </row>
    <row r="87" spans="1:18">
      <c r="A87" s="14" t="s">
        <v>9612</v>
      </c>
      <c r="B87" s="14" t="s">
        <v>52</v>
      </c>
      <c r="C87" s="14" t="s">
        <v>202</v>
      </c>
      <c r="D87" s="19" t="s">
        <v>10291</v>
      </c>
      <c r="E87" s="15" t="str">
        <f>HYPERLINK("https://stat100.ameba.jp/tnk47/ratio20/illustrations/card/ill_77961_0_kurisumasudaisakusentakiyashahime01.jpg", "■")</f>
        <v>■</v>
      </c>
      <c r="F87" s="14" t="s">
        <v>2127</v>
      </c>
      <c r="G87" s="14">
        <v>195950</v>
      </c>
      <c r="H87" s="14">
        <v>177325</v>
      </c>
      <c r="I87" s="14">
        <v>25</v>
      </c>
      <c r="J87" s="14" t="s">
        <v>77</v>
      </c>
      <c r="K87" s="14" t="s">
        <v>2128</v>
      </c>
      <c r="L87" s="14"/>
      <c r="M87" s="14" t="s">
        <v>9158</v>
      </c>
      <c r="N87" s="14" t="s">
        <v>9158</v>
      </c>
      <c r="O87" s="19" t="s">
        <v>10107</v>
      </c>
      <c r="P87" s="14" t="s">
        <v>3589</v>
      </c>
      <c r="Q87" s="14">
        <v>2</v>
      </c>
      <c r="R87" s="14" t="s">
        <v>176</v>
      </c>
    </row>
    <row r="88" spans="1:18">
      <c r="A88" s="14" t="s">
        <v>9613</v>
      </c>
      <c r="B88" s="14" t="s">
        <v>52</v>
      </c>
      <c r="C88" s="14" t="s">
        <v>202</v>
      </c>
      <c r="D88" s="19" t="s">
        <v>10332</v>
      </c>
      <c r="E88" s="15" t="str">
        <f>HYPERLINK("https://stat100.ameba.jp/tnk47/ratio20/illustrations/card/ill_79371_0_hommeichokotennyohime01.jpg", "■")</f>
        <v>■</v>
      </c>
      <c r="F88" s="14" t="s">
        <v>3495</v>
      </c>
      <c r="G88" s="14">
        <v>197300</v>
      </c>
      <c r="H88" s="14">
        <v>178550</v>
      </c>
      <c r="I88" s="14">
        <v>25</v>
      </c>
      <c r="J88" s="14" t="s">
        <v>104</v>
      </c>
      <c r="K88" s="14" t="s">
        <v>3496</v>
      </c>
      <c r="L88" s="14"/>
      <c r="M88" s="14" t="s">
        <v>9158</v>
      </c>
      <c r="N88" s="14" t="s">
        <v>9158</v>
      </c>
      <c r="O88" s="19" t="s">
        <v>10072</v>
      </c>
      <c r="P88" s="14" t="s">
        <v>3498</v>
      </c>
      <c r="Q88" s="14">
        <v>1</v>
      </c>
      <c r="R88" s="14" t="s">
        <v>176</v>
      </c>
    </row>
    <row r="89" spans="1:18">
      <c r="A89" s="14" t="s">
        <v>9614</v>
      </c>
      <c r="B89" s="14" t="s">
        <v>52</v>
      </c>
      <c r="C89" s="14" t="s">
        <v>14</v>
      </c>
      <c r="D89" s="19" t="s">
        <v>638</v>
      </c>
      <c r="E89" s="15" t="str">
        <f>HYPERLINK("https://stat100.ameba.jp/tnk47/ratio20/illustrations/card/ill_44251_0_dokuganryudatemasamune01.jpg", "■")</f>
        <v>■</v>
      </c>
      <c r="F89" s="14" t="s">
        <v>1181</v>
      </c>
      <c r="G89" s="14">
        <v>110500</v>
      </c>
      <c r="H89" s="14">
        <v>113750</v>
      </c>
      <c r="I89" s="14">
        <v>25</v>
      </c>
      <c r="J89" s="14" t="s">
        <v>143</v>
      </c>
      <c r="K89" s="14" t="s">
        <v>1182</v>
      </c>
      <c r="L89" s="14"/>
      <c r="M89" s="14" t="s">
        <v>9158</v>
      </c>
      <c r="N89" s="14" t="s">
        <v>9158</v>
      </c>
      <c r="O89" s="14" t="s">
        <v>9158</v>
      </c>
      <c r="P89" s="14" t="s">
        <v>9158</v>
      </c>
      <c r="Q89" s="14" t="s">
        <v>9158</v>
      </c>
      <c r="R89" s="14" t="s">
        <v>176</v>
      </c>
    </row>
    <row r="90" spans="1:18">
      <c r="A90" s="14" t="s">
        <v>9615</v>
      </c>
      <c r="B90" s="14" t="s">
        <v>52</v>
      </c>
      <c r="C90" s="14" t="s">
        <v>23</v>
      </c>
      <c r="D90" s="19" t="s">
        <v>277</v>
      </c>
      <c r="E90" s="15" t="str">
        <f>HYPERLINK("https://stat100.ameba.jp/tnk47/ratio20/illustrations/card/ill_40911_0_reigyokudensetsufusehime01.jpg", "■")</f>
        <v>■</v>
      </c>
      <c r="F90" s="14" t="s">
        <v>955</v>
      </c>
      <c r="G90" s="14">
        <v>110500</v>
      </c>
      <c r="H90" s="14">
        <v>113750</v>
      </c>
      <c r="I90" s="14">
        <v>25</v>
      </c>
      <c r="J90" s="14" t="s">
        <v>38</v>
      </c>
      <c r="K90" s="14" t="s">
        <v>956</v>
      </c>
      <c r="L90" s="14"/>
      <c r="M90" s="14" t="s">
        <v>9158</v>
      </c>
      <c r="N90" s="14" t="s">
        <v>9158</v>
      </c>
      <c r="O90" s="14" t="s">
        <v>9158</v>
      </c>
      <c r="P90" s="14" t="s">
        <v>9158</v>
      </c>
      <c r="Q90" s="14" t="s">
        <v>9158</v>
      </c>
      <c r="R90" s="14" t="s">
        <v>176</v>
      </c>
    </row>
    <row r="91" spans="1:18">
      <c r="A91" s="14" t="s">
        <v>9616</v>
      </c>
      <c r="B91" s="14" t="s">
        <v>330</v>
      </c>
      <c r="C91" s="14" t="s">
        <v>191</v>
      </c>
      <c r="D91" s="19" t="s">
        <v>793</v>
      </c>
      <c r="E91" s="15" t="str">
        <f>HYPERLINK("https://stat100.ameba.jp/tnk47/ratio20/illustrations/card/ill_39931_0_reihiiinaotora01.jpg", "■")</f>
        <v>■</v>
      </c>
      <c r="F91" s="14" t="s">
        <v>794</v>
      </c>
      <c r="G91" s="14">
        <v>110500</v>
      </c>
      <c r="H91" s="14">
        <v>113750</v>
      </c>
      <c r="I91" s="14">
        <v>25</v>
      </c>
      <c r="J91" s="14" t="s">
        <v>315</v>
      </c>
      <c r="K91" s="14" t="s">
        <v>795</v>
      </c>
      <c r="L91" s="14"/>
      <c r="M91" s="14" t="s">
        <v>9158</v>
      </c>
      <c r="N91" s="14" t="s">
        <v>9158</v>
      </c>
      <c r="O91" s="14" t="s">
        <v>9158</v>
      </c>
      <c r="P91" s="14" t="s">
        <v>9158</v>
      </c>
      <c r="Q91" s="14" t="s">
        <v>9158</v>
      </c>
      <c r="R91" s="14" t="s">
        <v>176</v>
      </c>
    </row>
    <row r="92" spans="1:18">
      <c r="A92" s="14" t="s">
        <v>9617</v>
      </c>
      <c r="B92" s="14" t="s">
        <v>52</v>
      </c>
      <c r="C92" s="14" t="s">
        <v>96</v>
      </c>
      <c r="D92" s="19" t="s">
        <v>634</v>
      </c>
      <c r="E92" s="15" t="str">
        <f>HYPERLINK("https://stat100.ameba.jp/tnk47/ratio20/illustrations/card/ill_40961_0_makami01.jpg", "■")</f>
        <v>■</v>
      </c>
      <c r="F92" s="14" t="s">
        <v>2038</v>
      </c>
      <c r="G92" s="14">
        <v>113750</v>
      </c>
      <c r="H92" s="14">
        <v>110500</v>
      </c>
      <c r="I92" s="14">
        <v>25</v>
      </c>
      <c r="J92" s="14" t="s">
        <v>44</v>
      </c>
      <c r="K92" s="14" t="s">
        <v>2039</v>
      </c>
      <c r="L92" s="14"/>
      <c r="M92" s="14" t="s">
        <v>9158</v>
      </c>
      <c r="N92" s="14" t="s">
        <v>9158</v>
      </c>
      <c r="O92" s="14" t="s">
        <v>9158</v>
      </c>
      <c r="P92" s="14" t="s">
        <v>9158</v>
      </c>
      <c r="Q92" s="14" t="s">
        <v>9158</v>
      </c>
      <c r="R92" s="14" t="s">
        <v>176</v>
      </c>
    </row>
    <row r="93" spans="1:18">
      <c r="A93" s="14" t="s">
        <v>9618</v>
      </c>
      <c r="B93" s="14" t="s">
        <v>52</v>
      </c>
      <c r="C93" s="14" t="s">
        <v>1</v>
      </c>
      <c r="D93" s="19" t="s">
        <v>513</v>
      </c>
      <c r="E93" s="15" t="str">
        <f>HYPERLINK("https://stat100.ameba.jp/tnk47/ratio20/illustrations/card/ill_44281_0_izumonokuni01.jpg", "■")</f>
        <v>■</v>
      </c>
      <c r="F93" s="14" t="s">
        <v>1716</v>
      </c>
      <c r="G93" s="14">
        <v>113750</v>
      </c>
      <c r="H93" s="14">
        <v>110500</v>
      </c>
      <c r="I93" s="14">
        <v>25</v>
      </c>
      <c r="J93" s="14" t="s">
        <v>16</v>
      </c>
      <c r="K93" s="14" t="s">
        <v>2254</v>
      </c>
      <c r="L93" s="14"/>
      <c r="M93" s="14" t="s">
        <v>9158</v>
      </c>
      <c r="N93" s="14" t="s">
        <v>9158</v>
      </c>
      <c r="O93" s="14" t="s">
        <v>9158</v>
      </c>
      <c r="P93" s="14" t="s">
        <v>9158</v>
      </c>
      <c r="Q93" s="14" t="s">
        <v>9158</v>
      </c>
      <c r="R93" s="14" t="s">
        <v>176</v>
      </c>
    </row>
    <row r="94" spans="1:18">
      <c r="A94" s="14" t="s">
        <v>9619</v>
      </c>
      <c r="B94" s="14" t="s">
        <v>330</v>
      </c>
      <c r="C94" s="14" t="s">
        <v>206</v>
      </c>
      <c r="D94" s="19" t="s">
        <v>483</v>
      </c>
      <c r="E94" s="15" t="str">
        <f>HYPERLINK("https://stat100.ameba.jp/tnk47/ratio20/illustrations/card/ill_40341_0_heshikirihasebekurodakambe01.jpg", "■")</f>
        <v>■</v>
      </c>
      <c r="F94" s="14" t="s">
        <v>906</v>
      </c>
      <c r="G94" s="14">
        <v>113750</v>
      </c>
      <c r="H94" s="14">
        <v>110500</v>
      </c>
      <c r="I94" s="14">
        <v>25</v>
      </c>
      <c r="J94" s="14" t="s">
        <v>16</v>
      </c>
      <c r="K94" s="14" t="s">
        <v>907</v>
      </c>
      <c r="L94" s="14"/>
      <c r="M94" s="14" t="s">
        <v>9158</v>
      </c>
      <c r="N94" s="14" t="s">
        <v>9158</v>
      </c>
      <c r="O94" s="14" t="s">
        <v>9158</v>
      </c>
      <c r="P94" s="14" t="s">
        <v>9158</v>
      </c>
      <c r="Q94" s="14" t="s">
        <v>9158</v>
      </c>
      <c r="R94" s="14" t="s">
        <v>176</v>
      </c>
    </row>
    <row r="95" spans="1:18">
      <c r="A95" s="14" t="s">
        <v>9620</v>
      </c>
      <c r="B95" s="14" t="s">
        <v>330</v>
      </c>
      <c r="C95" s="14" t="s">
        <v>335</v>
      </c>
      <c r="D95" s="19" t="s">
        <v>509</v>
      </c>
      <c r="E95" s="15" t="str">
        <f>HYPERLINK("https://stat100.ameba.jp/tnk47/ratio20/illustrations/card/ill_49951_0_yushamarihime01.jpg", "■")</f>
        <v>■</v>
      </c>
      <c r="F95" s="14" t="s">
        <v>510</v>
      </c>
      <c r="G95" s="14">
        <v>113750</v>
      </c>
      <c r="H95" s="14">
        <v>110500</v>
      </c>
      <c r="I95" s="14">
        <v>25</v>
      </c>
      <c r="J95" s="14" t="s">
        <v>315</v>
      </c>
      <c r="K95" s="14" t="s">
        <v>511</v>
      </c>
      <c r="L95" s="14" t="s">
        <v>13024</v>
      </c>
      <c r="M95" s="14" t="s">
        <v>9158</v>
      </c>
      <c r="N95" s="14" t="s">
        <v>9158</v>
      </c>
      <c r="O95" s="14" t="s">
        <v>9158</v>
      </c>
      <c r="P95" s="14" t="s">
        <v>9158</v>
      </c>
      <c r="Q95" s="14" t="s">
        <v>9158</v>
      </c>
      <c r="R95" s="14" t="s">
        <v>176</v>
      </c>
    </row>
    <row r="96" spans="1:18">
      <c r="A96" s="14" t="s">
        <v>9621</v>
      </c>
      <c r="B96" s="14" t="s">
        <v>330</v>
      </c>
      <c r="C96" s="14" t="s">
        <v>200</v>
      </c>
      <c r="D96" s="19" t="s">
        <v>630</v>
      </c>
      <c r="E96" s="15" t="str">
        <f>HYPERLINK("https://stat100.ameba.jp/tnk47/ratio20/illustrations/card/ill_48281_0_kyuubitamamonomae01.jpg", "■")</f>
        <v>■</v>
      </c>
      <c r="F96" s="14" t="s">
        <v>631</v>
      </c>
      <c r="G96" s="14">
        <v>113750</v>
      </c>
      <c r="H96" s="14">
        <v>110500</v>
      </c>
      <c r="I96" s="14">
        <v>25</v>
      </c>
      <c r="J96" s="14" t="s">
        <v>320</v>
      </c>
      <c r="K96" s="14" t="s">
        <v>632</v>
      </c>
      <c r="L96" s="14"/>
      <c r="M96" s="14" t="s">
        <v>9158</v>
      </c>
      <c r="N96" s="14" t="s">
        <v>9158</v>
      </c>
      <c r="O96" s="14" t="s">
        <v>9158</v>
      </c>
      <c r="P96" s="14" t="s">
        <v>9158</v>
      </c>
      <c r="Q96" s="14" t="s">
        <v>9158</v>
      </c>
      <c r="R96" s="14" t="s">
        <v>176</v>
      </c>
    </row>
    <row r="97" spans="1:18">
      <c r="A97" s="14" t="s">
        <v>9622</v>
      </c>
      <c r="B97" s="14" t="s">
        <v>330</v>
      </c>
      <c r="C97" s="14" t="s">
        <v>191</v>
      </c>
      <c r="D97" s="19" t="s">
        <v>393</v>
      </c>
      <c r="E97" s="15" t="str">
        <f>HYPERLINK("https://stat100.ameba.jp/tnk47/ratio20/illustrations/card/ill_46281_0_odanobunaga01.jpg", "■")</f>
        <v>■</v>
      </c>
      <c r="F97" s="14" t="s">
        <v>1073</v>
      </c>
      <c r="G97" s="14">
        <v>110500</v>
      </c>
      <c r="H97" s="14">
        <v>113750</v>
      </c>
      <c r="I97" s="14">
        <v>25</v>
      </c>
      <c r="J97" s="14" t="s">
        <v>143</v>
      </c>
      <c r="K97" s="14" t="s">
        <v>1074</v>
      </c>
      <c r="L97" s="14"/>
      <c r="M97" s="14" t="s">
        <v>9158</v>
      </c>
      <c r="N97" s="14" t="s">
        <v>9158</v>
      </c>
      <c r="O97" s="14" t="s">
        <v>9158</v>
      </c>
      <c r="P97" s="14" t="s">
        <v>9158</v>
      </c>
      <c r="Q97" s="14" t="s">
        <v>9158</v>
      </c>
      <c r="R97" s="14" t="s">
        <v>176</v>
      </c>
    </row>
    <row r="98" spans="1:18">
      <c r="A98" s="14" t="s">
        <v>9623</v>
      </c>
      <c r="B98" s="14" t="s">
        <v>52</v>
      </c>
      <c r="C98" s="14" t="s">
        <v>165</v>
      </c>
      <c r="D98" s="19" t="s">
        <v>789</v>
      </c>
      <c r="E98" s="15" t="str">
        <f>HYPERLINK("https://stat100.ameba.jp/tnk47/ratio20/illustrations/card/ill_49191_0_onmyoudouabenoseimei01.jpg", "■")</f>
        <v>■</v>
      </c>
      <c r="F98" s="14" t="s">
        <v>1896</v>
      </c>
      <c r="G98" s="14">
        <v>110500</v>
      </c>
      <c r="H98" s="14">
        <v>113750</v>
      </c>
      <c r="I98" s="14">
        <v>25</v>
      </c>
      <c r="J98" s="14" t="s">
        <v>10</v>
      </c>
      <c r="K98" s="14" t="s">
        <v>1897</v>
      </c>
      <c r="L98" s="14"/>
      <c r="M98" s="14" t="s">
        <v>9158</v>
      </c>
      <c r="N98" s="14" t="s">
        <v>9158</v>
      </c>
      <c r="O98" s="14" t="s">
        <v>9158</v>
      </c>
      <c r="P98" s="14" t="s">
        <v>9158</v>
      </c>
      <c r="Q98" s="14" t="s">
        <v>9158</v>
      </c>
      <c r="R98" s="14" t="s">
        <v>176</v>
      </c>
    </row>
    <row r="99" spans="1:18">
      <c r="A99" s="14" t="s">
        <v>9624</v>
      </c>
      <c r="B99" s="14" t="s">
        <v>52</v>
      </c>
      <c r="C99" s="14" t="s">
        <v>205</v>
      </c>
      <c r="D99" s="19" t="s">
        <v>702</v>
      </c>
      <c r="E99" s="15" t="str">
        <f>HYPERLINK("https://stat100.ameba.jp/tnk47/ratio20/illustrations/card/ill_50691_0_hanamizugimimuratsuru01.jpg", "■")</f>
        <v>■</v>
      </c>
      <c r="F99" s="14" t="s">
        <v>2282</v>
      </c>
      <c r="G99" s="14">
        <v>110500</v>
      </c>
      <c r="H99" s="14">
        <v>113750</v>
      </c>
      <c r="I99" s="14">
        <v>25</v>
      </c>
      <c r="J99" s="14" t="s">
        <v>143</v>
      </c>
      <c r="K99" s="14" t="s">
        <v>2283</v>
      </c>
      <c r="L99" s="14" t="s">
        <v>13025</v>
      </c>
      <c r="M99" s="14" t="s">
        <v>9158</v>
      </c>
      <c r="N99" s="14" t="s">
        <v>9158</v>
      </c>
      <c r="O99" s="14" t="s">
        <v>9158</v>
      </c>
      <c r="P99" s="14" t="s">
        <v>9158</v>
      </c>
      <c r="Q99" s="14" t="s">
        <v>9158</v>
      </c>
      <c r="R99" s="14" t="s">
        <v>176</v>
      </c>
    </row>
    <row r="100" spans="1:18">
      <c r="A100" s="14" t="s">
        <v>9625</v>
      </c>
      <c r="B100" s="14" t="s">
        <v>330</v>
      </c>
      <c r="C100" s="14" t="s">
        <v>206</v>
      </c>
      <c r="D100" s="19" t="s">
        <v>614</v>
      </c>
      <c r="E100" s="15" t="str">
        <f>HYPERLINK("https://stat100.ameba.jp/tnk47/ratio20/illustrations/card/ill_47261_0_oukyuuatsuhime01.jpg", "■")</f>
        <v>■</v>
      </c>
      <c r="F100" s="14" t="s">
        <v>615</v>
      </c>
      <c r="G100" s="14">
        <v>113750</v>
      </c>
      <c r="H100" s="14">
        <v>110500</v>
      </c>
      <c r="I100" s="14">
        <v>25</v>
      </c>
      <c r="J100" s="14" t="s">
        <v>315</v>
      </c>
      <c r="K100" s="14" t="s">
        <v>616</v>
      </c>
      <c r="L100" s="14"/>
      <c r="M100" s="14" t="s">
        <v>9158</v>
      </c>
      <c r="N100" s="14" t="s">
        <v>9158</v>
      </c>
      <c r="O100" s="14" t="s">
        <v>9158</v>
      </c>
      <c r="P100" s="14" t="s">
        <v>9158</v>
      </c>
      <c r="Q100" s="14" t="s">
        <v>9158</v>
      </c>
      <c r="R100" s="14" t="s">
        <v>176</v>
      </c>
    </row>
    <row r="101" spans="1:18">
      <c r="A101" s="14"/>
      <c r="B101" s="14"/>
      <c r="C101" s="14"/>
      <c r="D101" s="19"/>
      <c r="E101" s="15"/>
      <c r="F101" s="14"/>
      <c r="G101" s="14"/>
      <c r="H101" s="14"/>
      <c r="I101" s="14"/>
      <c r="J101" s="14"/>
      <c r="K101" s="14"/>
      <c r="L101" s="14"/>
      <c r="M101" s="14"/>
      <c r="N101" s="14"/>
      <c r="O101" s="19"/>
      <c r="P101" s="14"/>
      <c r="Q101" s="14"/>
    </row>
    <row r="102" spans="1:18">
      <c r="A102" s="9" t="s">
        <v>11908</v>
      </c>
    </row>
    <row r="103" spans="1:18">
      <c r="A103" s="9" t="s">
        <v>11912</v>
      </c>
    </row>
    <row r="104" spans="1:18">
      <c r="A104" s="14" t="s">
        <v>5734</v>
      </c>
      <c r="B104" s="14" t="s">
        <v>330</v>
      </c>
      <c r="C104" s="14" t="s">
        <v>202</v>
      </c>
      <c r="D104" s="19" t="s">
        <v>2297</v>
      </c>
      <c r="E104" s="15" t="str">
        <f>HYPERLINK("https://stat100.ameba.jp/tnk47/ratio20/illustrations/card/ill_74593_0_natsuyuenchikoshihikari03.jpg", "■")</f>
        <v>■</v>
      </c>
      <c r="F104" s="14" t="s">
        <v>1498</v>
      </c>
      <c r="G104" s="14">
        <v>270828</v>
      </c>
      <c r="H104" s="14">
        <v>251781</v>
      </c>
      <c r="I104" s="14">
        <v>25</v>
      </c>
      <c r="J104" s="14" t="s">
        <v>283</v>
      </c>
      <c r="K104" s="14" t="s">
        <v>1499</v>
      </c>
      <c r="L104" s="14" t="s">
        <v>1500</v>
      </c>
      <c r="M104" s="14" t="s">
        <v>9158</v>
      </c>
      <c r="N104" s="14" t="s">
        <v>9158</v>
      </c>
      <c r="O104" s="19" t="s">
        <v>2731</v>
      </c>
      <c r="P104" s="14" t="s">
        <v>2732</v>
      </c>
      <c r="Q104" s="14">
        <v>1</v>
      </c>
    </row>
    <row r="106" spans="1:18">
      <c r="A106" s="9" t="s">
        <v>12161</v>
      </c>
    </row>
    <row r="107" spans="1:18">
      <c r="A107" s="9" t="s">
        <v>12632</v>
      </c>
    </row>
    <row r="108" spans="1:18">
      <c r="A108" s="9" t="s">
        <v>12400</v>
      </c>
    </row>
    <row r="109" spans="1:18">
      <c r="A109" s="9" t="s">
        <v>12401</v>
      </c>
    </row>
    <row r="110" spans="1:18">
      <c r="A110" s="9" t="s">
        <v>12402</v>
      </c>
    </row>
    <row r="111" spans="1:18">
      <c r="A111" s="9" t="s">
        <v>12633</v>
      </c>
    </row>
    <row r="112" spans="1:18">
      <c r="A112" s="9" t="s">
        <v>12634</v>
      </c>
    </row>
    <row r="113" spans="1:17">
      <c r="A113" s="9" t="s">
        <v>12165</v>
      </c>
    </row>
    <row r="114" spans="1:17">
      <c r="A114" s="9" t="s">
        <v>12636</v>
      </c>
    </row>
    <row r="115" spans="1:17">
      <c r="A115" s="9" t="s">
        <v>12635</v>
      </c>
    </row>
    <row r="116" spans="1:17">
      <c r="A116" s="14" t="s">
        <v>5616</v>
      </c>
      <c r="B116" s="14" t="s">
        <v>52</v>
      </c>
      <c r="C116" s="14" t="s">
        <v>14</v>
      </c>
      <c r="D116" s="19" t="s">
        <v>12162</v>
      </c>
      <c r="E116" s="15" t="str">
        <f>HYPERLINK("https://stat100.ameba.jp/tnk47/ratio20/illustrations/card/ill_44253_0_dokuganryudatemasamune03.jpg", "■")</f>
        <v>■</v>
      </c>
      <c r="F116" s="14" t="s">
        <v>1181</v>
      </c>
      <c r="G116" s="14">
        <v>126058</v>
      </c>
      <c r="H116" s="14">
        <v>134596</v>
      </c>
      <c r="I116" s="14">
        <v>23</v>
      </c>
      <c r="J116" s="14" t="s">
        <v>143</v>
      </c>
      <c r="K116" s="14" t="s">
        <v>1182</v>
      </c>
      <c r="L116" s="14" t="s">
        <v>1183</v>
      </c>
      <c r="M116" s="14" t="s">
        <v>9158</v>
      </c>
      <c r="N116" s="14" t="s">
        <v>9158</v>
      </c>
      <c r="O116" s="14" t="s">
        <v>9158</v>
      </c>
      <c r="P116" s="14" t="s">
        <v>9158</v>
      </c>
      <c r="Q116" s="14" t="s">
        <v>9158</v>
      </c>
    </row>
    <row r="117" spans="1:17">
      <c r="A117" s="14" t="s">
        <v>5897</v>
      </c>
      <c r="B117" s="14" t="s">
        <v>52</v>
      </c>
      <c r="C117" s="14" t="s">
        <v>23</v>
      </c>
      <c r="D117" s="19" t="s">
        <v>277</v>
      </c>
      <c r="E117" s="15" t="str">
        <f>HYPERLINK("https://stat100.ameba.jp/tnk47/ratio20/illustrations/card/ill_40913_0_reigyokudensetsufusehime03.jpg", "■")</f>
        <v>■</v>
      </c>
      <c r="F117" s="14" t="s">
        <v>955</v>
      </c>
      <c r="G117" s="14">
        <v>126058</v>
      </c>
      <c r="H117" s="14">
        <v>134596</v>
      </c>
      <c r="I117" s="14">
        <v>23</v>
      </c>
      <c r="J117" s="14" t="s">
        <v>38</v>
      </c>
      <c r="K117" s="14" t="s">
        <v>956</v>
      </c>
      <c r="L117" s="14" t="s">
        <v>957</v>
      </c>
      <c r="M117" s="14" t="s">
        <v>9158</v>
      </c>
      <c r="N117" s="14" t="s">
        <v>9158</v>
      </c>
      <c r="O117" s="14" t="s">
        <v>9158</v>
      </c>
      <c r="P117" s="14" t="s">
        <v>9158</v>
      </c>
      <c r="Q117" s="14" t="s">
        <v>9158</v>
      </c>
    </row>
    <row r="118" spans="1:17">
      <c r="A118" s="14" t="s">
        <v>5830</v>
      </c>
      <c r="B118" s="14" t="s">
        <v>330</v>
      </c>
      <c r="C118" s="14" t="s">
        <v>191</v>
      </c>
      <c r="D118" s="19" t="s">
        <v>793</v>
      </c>
      <c r="E118" s="15" t="str">
        <f>HYPERLINK("https://stat100.ameba.jp/tnk47/ratio20/illustrations/card/ill_39933_0_reihiiinaotora03.jpg", "■")</f>
        <v>■</v>
      </c>
      <c r="F118" s="14" t="s">
        <v>794</v>
      </c>
      <c r="G118" s="14">
        <v>126058</v>
      </c>
      <c r="H118" s="14">
        <v>134596</v>
      </c>
      <c r="I118" s="14">
        <v>23</v>
      </c>
      <c r="J118" s="14" t="s">
        <v>315</v>
      </c>
      <c r="K118" s="14" t="s">
        <v>795</v>
      </c>
      <c r="L118" s="14" t="s">
        <v>796</v>
      </c>
      <c r="M118" s="14" t="s">
        <v>9158</v>
      </c>
      <c r="N118" s="14" t="s">
        <v>9158</v>
      </c>
      <c r="O118" s="14" t="s">
        <v>9158</v>
      </c>
      <c r="P118" s="14" t="s">
        <v>9158</v>
      </c>
      <c r="Q118" s="14" t="s">
        <v>9158</v>
      </c>
    </row>
    <row r="119" spans="1:17">
      <c r="A119" s="14" t="s">
        <v>5608</v>
      </c>
      <c r="B119" s="14" t="s">
        <v>52</v>
      </c>
      <c r="C119" s="14" t="s">
        <v>96</v>
      </c>
      <c r="D119" s="19" t="s">
        <v>634</v>
      </c>
      <c r="E119" s="15" t="str">
        <f>HYPERLINK("https://stat100.ameba.jp/tnk47/ratio20/illustrations/card/ill_40963_0_makami03.jpg", "■")</f>
        <v>■</v>
      </c>
      <c r="F119" s="14" t="s">
        <v>2038</v>
      </c>
      <c r="G119" s="14">
        <v>134596</v>
      </c>
      <c r="H119" s="14">
        <v>126058</v>
      </c>
      <c r="I119" s="14">
        <v>23</v>
      </c>
      <c r="J119" s="14" t="s">
        <v>44</v>
      </c>
      <c r="K119" s="14" t="s">
        <v>2039</v>
      </c>
      <c r="L119" s="14" t="s">
        <v>2040</v>
      </c>
      <c r="M119" s="14" t="s">
        <v>9158</v>
      </c>
      <c r="N119" s="14" t="s">
        <v>9158</v>
      </c>
      <c r="O119" s="14" t="s">
        <v>9158</v>
      </c>
      <c r="P119" s="14" t="s">
        <v>9158</v>
      </c>
      <c r="Q119" s="14" t="s">
        <v>9158</v>
      </c>
    </row>
    <row r="120" spans="1:17">
      <c r="A120" s="14" t="s">
        <v>5721</v>
      </c>
      <c r="B120" s="14" t="s">
        <v>52</v>
      </c>
      <c r="C120" s="14" t="s">
        <v>1</v>
      </c>
      <c r="D120" s="19" t="s">
        <v>513</v>
      </c>
      <c r="E120" s="15" t="str">
        <f>HYPERLINK("https://stat100.ameba.jp/tnk47/ratio20/illustrations/card/ill_44283_0_izumonokuni03.jpg", "■")</f>
        <v>■</v>
      </c>
      <c r="F120" s="14" t="s">
        <v>1716</v>
      </c>
      <c r="G120" s="14">
        <v>134596</v>
      </c>
      <c r="H120" s="14">
        <v>126058</v>
      </c>
      <c r="I120" s="14">
        <v>23</v>
      </c>
      <c r="J120" s="14" t="s">
        <v>16</v>
      </c>
      <c r="K120" s="14" t="s">
        <v>2254</v>
      </c>
      <c r="L120" s="14" t="s">
        <v>1718</v>
      </c>
      <c r="M120" s="14" t="s">
        <v>9158</v>
      </c>
      <c r="N120" s="14" t="s">
        <v>9158</v>
      </c>
      <c r="O120" s="14" t="s">
        <v>9158</v>
      </c>
      <c r="P120" s="14" t="s">
        <v>9158</v>
      </c>
      <c r="Q120" s="14" t="s">
        <v>9158</v>
      </c>
    </row>
    <row r="121" spans="1:17">
      <c r="A121" s="14" t="s">
        <v>5902</v>
      </c>
      <c r="B121" s="14" t="s">
        <v>330</v>
      </c>
      <c r="C121" s="14" t="s">
        <v>206</v>
      </c>
      <c r="D121" s="19" t="s">
        <v>483</v>
      </c>
      <c r="E121" s="15" t="str">
        <f>HYPERLINK("https://stat100.ameba.jp/tnk47/ratio20/illustrations/card/ill_40343_0_heshikirihasebekurodakambe03.jpg", "■")</f>
        <v>■</v>
      </c>
      <c r="F121" s="14" t="s">
        <v>906</v>
      </c>
      <c r="G121" s="14">
        <v>134596</v>
      </c>
      <c r="H121" s="14">
        <v>126058</v>
      </c>
      <c r="I121" s="14">
        <v>23</v>
      </c>
      <c r="J121" s="14" t="s">
        <v>16</v>
      </c>
      <c r="K121" s="14" t="s">
        <v>907</v>
      </c>
      <c r="L121" s="14" t="s">
        <v>908</v>
      </c>
      <c r="M121" s="14" t="s">
        <v>9158</v>
      </c>
      <c r="N121" s="14" t="s">
        <v>9158</v>
      </c>
      <c r="O121" s="14" t="s">
        <v>9158</v>
      </c>
      <c r="P121" s="14" t="s">
        <v>9158</v>
      </c>
      <c r="Q121" s="14" t="s">
        <v>9158</v>
      </c>
    </row>
    <row r="122" spans="1:17">
      <c r="A122" s="14" t="s">
        <v>5622</v>
      </c>
      <c r="B122" s="14" t="s">
        <v>330</v>
      </c>
      <c r="C122" s="14" t="s">
        <v>335</v>
      </c>
      <c r="D122" s="19" t="s">
        <v>1043</v>
      </c>
      <c r="E122" s="15" t="str">
        <f>HYPERLINK("https://stat100.ameba.jp/tnk47/ratio20/illustrations/card/ill_49953_0_yushamarihime03.jpg", "■")</f>
        <v>■</v>
      </c>
      <c r="F122" s="14" t="s">
        <v>510</v>
      </c>
      <c r="G122" s="14">
        <v>144494</v>
      </c>
      <c r="H122" s="14">
        <v>128358</v>
      </c>
      <c r="I122" s="14">
        <v>23</v>
      </c>
      <c r="J122" s="14" t="s">
        <v>315</v>
      </c>
      <c r="K122" s="14" t="s">
        <v>511</v>
      </c>
      <c r="L122" s="14" t="s">
        <v>512</v>
      </c>
      <c r="M122" s="14" t="s">
        <v>9158</v>
      </c>
      <c r="N122" s="14" t="s">
        <v>9158</v>
      </c>
      <c r="O122" s="14" t="s">
        <v>9158</v>
      </c>
      <c r="P122" s="14" t="s">
        <v>9158</v>
      </c>
      <c r="Q122" s="14" t="s">
        <v>9158</v>
      </c>
    </row>
    <row r="123" spans="1:17">
      <c r="A123" s="14" t="s">
        <v>5625</v>
      </c>
      <c r="B123" s="14" t="s">
        <v>330</v>
      </c>
      <c r="C123" s="14" t="s">
        <v>200</v>
      </c>
      <c r="D123" s="19" t="s">
        <v>630</v>
      </c>
      <c r="E123" s="15" t="str">
        <f>HYPERLINK("https://stat100.ameba.jp/tnk47/ratio20/illustrations/card/ill_48283_0_kyuubitamamonomae03.jpg", "■")</f>
        <v>■</v>
      </c>
      <c r="F123" s="14" t="s">
        <v>631</v>
      </c>
      <c r="G123" s="14">
        <v>144494</v>
      </c>
      <c r="H123" s="14">
        <v>128358</v>
      </c>
      <c r="I123" s="14">
        <v>23</v>
      </c>
      <c r="J123" s="14" t="s">
        <v>320</v>
      </c>
      <c r="K123" s="14" t="s">
        <v>632</v>
      </c>
      <c r="L123" s="14" t="s">
        <v>633</v>
      </c>
      <c r="M123" s="14" t="s">
        <v>9158</v>
      </c>
      <c r="N123" s="14" t="s">
        <v>9158</v>
      </c>
      <c r="O123" s="14" t="s">
        <v>9158</v>
      </c>
      <c r="P123" s="14" t="s">
        <v>9158</v>
      </c>
      <c r="Q123" s="14" t="s">
        <v>9158</v>
      </c>
    </row>
    <row r="124" spans="1:17">
      <c r="A124" s="14" t="s">
        <v>5627</v>
      </c>
      <c r="B124" s="14" t="s">
        <v>330</v>
      </c>
      <c r="C124" s="14" t="s">
        <v>191</v>
      </c>
      <c r="D124" s="19" t="s">
        <v>393</v>
      </c>
      <c r="E124" s="15" t="str">
        <f>HYPERLINK("https://stat100.ameba.jp/tnk47/ratio20/illustrations/card/ill_46283_0_odanobunaga03.jpg", "■")</f>
        <v>■</v>
      </c>
      <c r="F124" s="14" t="s">
        <v>1073</v>
      </c>
      <c r="G124" s="14">
        <v>126058</v>
      </c>
      <c r="H124" s="14">
        <v>134596</v>
      </c>
      <c r="I124" s="14">
        <v>23</v>
      </c>
      <c r="J124" s="14" t="s">
        <v>143</v>
      </c>
      <c r="K124" s="14" t="s">
        <v>1074</v>
      </c>
      <c r="L124" s="14" t="s">
        <v>1075</v>
      </c>
      <c r="M124" s="14" t="s">
        <v>9158</v>
      </c>
      <c r="N124" s="14" t="s">
        <v>9158</v>
      </c>
      <c r="O124" s="14" t="s">
        <v>9158</v>
      </c>
      <c r="P124" s="14" t="s">
        <v>9158</v>
      </c>
      <c r="Q124" s="14" t="s">
        <v>9158</v>
      </c>
    </row>
    <row r="125" spans="1:17">
      <c r="A125" s="14" t="s">
        <v>5612</v>
      </c>
      <c r="B125" s="14" t="s">
        <v>52</v>
      </c>
      <c r="C125" s="14" t="s">
        <v>165</v>
      </c>
      <c r="D125" s="19" t="s">
        <v>789</v>
      </c>
      <c r="E125" s="15" t="str">
        <f>HYPERLINK("https://stat100.ameba.jp/tnk47/ratio20/illustrations/card/ill_49193_0_onmyoudouabenoseimei03.jpg", "■")</f>
        <v>■</v>
      </c>
      <c r="F125" s="14" t="s">
        <v>1896</v>
      </c>
      <c r="G125" s="14">
        <v>128358</v>
      </c>
      <c r="H125" s="14">
        <v>144494</v>
      </c>
      <c r="I125" s="14">
        <v>23</v>
      </c>
      <c r="J125" s="14" t="s">
        <v>10</v>
      </c>
      <c r="K125" s="14" t="s">
        <v>1897</v>
      </c>
      <c r="L125" s="14" t="s">
        <v>1898</v>
      </c>
      <c r="M125" s="14" t="s">
        <v>9158</v>
      </c>
      <c r="N125" s="14" t="s">
        <v>9158</v>
      </c>
      <c r="O125" s="14" t="s">
        <v>9158</v>
      </c>
      <c r="P125" s="14" t="s">
        <v>9158</v>
      </c>
      <c r="Q125" s="14" t="s">
        <v>9158</v>
      </c>
    </row>
    <row r="126" spans="1:17">
      <c r="A126" s="14" t="s">
        <v>6132</v>
      </c>
      <c r="B126" s="14" t="s">
        <v>52</v>
      </c>
      <c r="C126" s="14" t="s">
        <v>205</v>
      </c>
      <c r="D126" s="19" t="s">
        <v>702</v>
      </c>
      <c r="E126" s="15" t="str">
        <f>HYPERLINK("https://stat100.ameba.jp/tnk47/ratio20/illustrations/card/ill_50693_0_hanamizugimimuratsuru03.jpg", "■")</f>
        <v>■</v>
      </c>
      <c r="F126" s="14" t="s">
        <v>2282</v>
      </c>
      <c r="G126" s="14">
        <v>128358</v>
      </c>
      <c r="H126" s="14">
        <v>144494</v>
      </c>
      <c r="I126" s="14">
        <v>23</v>
      </c>
      <c r="J126" s="14" t="s">
        <v>143</v>
      </c>
      <c r="K126" s="14" t="s">
        <v>2283</v>
      </c>
      <c r="L126" s="14" t="s">
        <v>2284</v>
      </c>
      <c r="M126" s="14" t="s">
        <v>9158</v>
      </c>
      <c r="N126" s="14" t="s">
        <v>9158</v>
      </c>
      <c r="O126" s="14" t="s">
        <v>9158</v>
      </c>
      <c r="P126" s="14" t="s">
        <v>9158</v>
      </c>
      <c r="Q126" s="14" t="s">
        <v>9158</v>
      </c>
    </row>
    <row r="127" spans="1:17">
      <c r="A127" s="14" t="s">
        <v>5604</v>
      </c>
      <c r="B127" s="14" t="s">
        <v>330</v>
      </c>
      <c r="C127" s="14" t="s">
        <v>206</v>
      </c>
      <c r="D127" s="19" t="s">
        <v>614</v>
      </c>
      <c r="E127" s="15" t="str">
        <f>HYPERLINK("https://stat100.ameba.jp/tnk47/ratio20/illustrations/card/ill_47263_0_oukyuuatsuhime03.jpg", "■")</f>
        <v>■</v>
      </c>
      <c r="F127" s="14" t="s">
        <v>615</v>
      </c>
      <c r="G127" s="14">
        <v>144494</v>
      </c>
      <c r="H127" s="14">
        <v>128358</v>
      </c>
      <c r="I127" s="14">
        <v>23</v>
      </c>
      <c r="J127" s="14" t="s">
        <v>315</v>
      </c>
      <c r="K127" s="14" t="s">
        <v>616</v>
      </c>
      <c r="L127" s="14" t="s">
        <v>617</v>
      </c>
      <c r="M127" s="14" t="s">
        <v>9158</v>
      </c>
      <c r="N127" s="14" t="s">
        <v>9158</v>
      </c>
      <c r="O127" s="14" t="s">
        <v>9158</v>
      </c>
      <c r="P127" s="14" t="s">
        <v>9158</v>
      </c>
      <c r="Q127" s="14" t="s">
        <v>9158</v>
      </c>
    </row>
    <row r="128" spans="1:17">
      <c r="A128" s="14" t="s">
        <v>5602</v>
      </c>
      <c r="B128" s="14" t="s">
        <v>52</v>
      </c>
      <c r="C128" s="14" t="s">
        <v>14</v>
      </c>
      <c r="D128" s="19" t="s">
        <v>813</v>
      </c>
      <c r="E128" s="15" t="str">
        <f>HYPERLINK("https://stat100.ameba.jp/tnk47/ratio20/illustrations/card/ill_55313_0_haroinononokomachi03.jpg", "■")</f>
        <v>■</v>
      </c>
      <c r="F128" s="14" t="s">
        <v>2094</v>
      </c>
      <c r="G128" s="14">
        <v>144494</v>
      </c>
      <c r="H128" s="14">
        <v>128358</v>
      </c>
      <c r="I128" s="14">
        <v>23</v>
      </c>
      <c r="J128" s="14" t="s">
        <v>10</v>
      </c>
      <c r="K128" s="14" t="s">
        <v>2095</v>
      </c>
      <c r="L128" s="14" t="s">
        <v>2096</v>
      </c>
      <c r="M128" s="14" t="s">
        <v>9158</v>
      </c>
      <c r="N128" s="14" t="s">
        <v>9158</v>
      </c>
      <c r="O128" s="19" t="s">
        <v>2733</v>
      </c>
      <c r="P128" s="14" t="s">
        <v>2734</v>
      </c>
      <c r="Q128" s="14">
        <v>1</v>
      </c>
    </row>
    <row r="129" spans="1:17">
      <c r="A129" s="14" t="s">
        <v>5609</v>
      </c>
      <c r="B129" s="14" t="s">
        <v>52</v>
      </c>
      <c r="C129" s="14" t="s">
        <v>200</v>
      </c>
      <c r="D129" s="19" t="s">
        <v>389</v>
      </c>
      <c r="E129" s="15" t="str">
        <f>HYPERLINK("https://stat100.ameba.jp/tnk47/ratio20/illustrations/card/ill_53753_0_natsumatsuritokugawaieyasu03.jpg", "■")</f>
        <v>■</v>
      </c>
      <c r="F129" s="14" t="s">
        <v>902</v>
      </c>
      <c r="G129" s="14">
        <v>144494</v>
      </c>
      <c r="H129" s="14">
        <v>128358</v>
      </c>
      <c r="I129" s="14">
        <v>23</v>
      </c>
      <c r="J129" s="14" t="s">
        <v>194</v>
      </c>
      <c r="K129" s="14" t="s">
        <v>1714</v>
      </c>
      <c r="L129" s="14" t="s">
        <v>904</v>
      </c>
      <c r="M129" s="14" t="s">
        <v>9158</v>
      </c>
      <c r="N129" s="14" t="s">
        <v>9158</v>
      </c>
      <c r="O129" s="19" t="s">
        <v>10076</v>
      </c>
      <c r="P129" s="14" t="s">
        <v>13121</v>
      </c>
      <c r="Q129" s="14">
        <v>1</v>
      </c>
    </row>
    <row r="130" spans="1:17">
      <c r="A130" s="14" t="s">
        <v>5621</v>
      </c>
      <c r="B130" s="14" t="s">
        <v>330</v>
      </c>
      <c r="C130" s="14" t="s">
        <v>191</v>
      </c>
      <c r="D130" s="19" t="s">
        <v>2871</v>
      </c>
      <c r="E130" s="15" t="str">
        <f>HYPERLINK("https://stat100.ameba.jp/tnk47/ratio20/illustrations/card/ill_51973_0_kemonomizugikuroyuridensetsu03.jpg", "■")</f>
        <v>■</v>
      </c>
      <c r="F130" s="14" t="s">
        <v>2034</v>
      </c>
      <c r="G130" s="14">
        <v>144494</v>
      </c>
      <c r="H130" s="14">
        <v>128358</v>
      </c>
      <c r="I130" s="14">
        <v>23</v>
      </c>
      <c r="J130" s="14" t="s">
        <v>38</v>
      </c>
      <c r="K130" s="14" t="s">
        <v>2035</v>
      </c>
      <c r="L130" s="14" t="s">
        <v>2036</v>
      </c>
      <c r="M130" s="14" t="s">
        <v>9158</v>
      </c>
      <c r="N130" s="14" t="s">
        <v>9158</v>
      </c>
      <c r="O130" s="19" t="s">
        <v>10088</v>
      </c>
      <c r="P130" s="14" t="s">
        <v>13172</v>
      </c>
      <c r="Q130" s="14">
        <v>1</v>
      </c>
    </row>
    <row r="131" spans="1:17">
      <c r="A131" s="14" t="s">
        <v>5617</v>
      </c>
      <c r="B131" s="14" t="s">
        <v>330</v>
      </c>
      <c r="C131" s="14" t="s">
        <v>308</v>
      </c>
      <c r="D131" s="19" t="s">
        <v>385</v>
      </c>
      <c r="E131" s="15" t="str">
        <f>HYPERLINK("https://stat100.ameba.jp/tnk47/ratio20/illustrations/card/ill_59673_0_oheyashutendoji03.jpg", "■")</f>
        <v>■</v>
      </c>
      <c r="F131" s="14" t="s">
        <v>386</v>
      </c>
      <c r="G131" s="14">
        <v>161837</v>
      </c>
      <c r="H131" s="14">
        <v>174073</v>
      </c>
      <c r="I131" s="14">
        <v>23</v>
      </c>
      <c r="J131" s="14" t="s">
        <v>320</v>
      </c>
      <c r="K131" s="14" t="s">
        <v>387</v>
      </c>
      <c r="L131" s="14" t="s">
        <v>388</v>
      </c>
      <c r="M131" s="14" t="s">
        <v>9158</v>
      </c>
      <c r="N131" s="14" t="s">
        <v>9158</v>
      </c>
      <c r="O131" s="19" t="s">
        <v>10078</v>
      </c>
      <c r="P131" s="14" t="s">
        <v>3022</v>
      </c>
      <c r="Q131" s="14">
        <v>1</v>
      </c>
    </row>
    <row r="132" spans="1:17">
      <c r="A132" s="14" t="s">
        <v>5614</v>
      </c>
      <c r="B132" s="14" t="s">
        <v>330</v>
      </c>
      <c r="C132" s="14" t="s">
        <v>267</v>
      </c>
      <c r="D132" s="19" t="s">
        <v>313</v>
      </c>
      <c r="E132" s="15" t="str">
        <f>HYPERLINK("https://stat100.ameba.jp/tnk47/ratio20/illustrations/card/ill_56223_0_onsempanikkugohime03.jpg", "■")</f>
        <v>■</v>
      </c>
      <c r="F132" s="14" t="s">
        <v>314</v>
      </c>
      <c r="G132" s="14">
        <v>128358</v>
      </c>
      <c r="H132" s="14">
        <v>144494</v>
      </c>
      <c r="I132" s="14">
        <v>23</v>
      </c>
      <c r="J132" s="14" t="s">
        <v>315</v>
      </c>
      <c r="K132" s="14" t="s">
        <v>316</v>
      </c>
      <c r="L132" s="14" t="s">
        <v>317</v>
      </c>
      <c r="M132" s="14" t="s">
        <v>9158</v>
      </c>
      <c r="N132" s="14" t="s">
        <v>9158</v>
      </c>
      <c r="O132" s="19" t="s">
        <v>3021</v>
      </c>
      <c r="P132" s="14" t="s">
        <v>2890</v>
      </c>
      <c r="Q132" s="14">
        <v>1</v>
      </c>
    </row>
    <row r="133" spans="1:17">
      <c r="A133" s="14" t="s">
        <v>5725</v>
      </c>
      <c r="B133" s="14" t="s">
        <v>52</v>
      </c>
      <c r="C133" s="14" t="s">
        <v>107</v>
      </c>
      <c r="D133" s="19" t="s">
        <v>543</v>
      </c>
      <c r="E133" s="15" t="str">
        <f>HYPERLINK("https://stat100.ameba.jp/tnk47/ratio20/illustrations/card/ill_52693_0_sengokumibirakiyanagiharabyakuren03.jpg", "■")</f>
        <v>■</v>
      </c>
      <c r="F133" s="14" t="s">
        <v>1246</v>
      </c>
      <c r="G133" s="14">
        <v>128358</v>
      </c>
      <c r="H133" s="14">
        <v>144494</v>
      </c>
      <c r="I133" s="14">
        <v>23</v>
      </c>
      <c r="J133" s="14" t="s">
        <v>16</v>
      </c>
      <c r="K133" s="14" t="s">
        <v>1247</v>
      </c>
      <c r="L133" s="14" t="s">
        <v>1248</v>
      </c>
      <c r="M133" s="14" t="s">
        <v>9158</v>
      </c>
      <c r="N133" s="14" t="s">
        <v>9158</v>
      </c>
      <c r="O133" s="19" t="s">
        <v>2886</v>
      </c>
      <c r="P133" s="14" t="s">
        <v>3304</v>
      </c>
      <c r="Q133" s="14">
        <v>1</v>
      </c>
    </row>
    <row r="134" spans="1:17">
      <c r="A134" s="14" t="s">
        <v>5610</v>
      </c>
      <c r="B134" s="14" t="s">
        <v>330</v>
      </c>
      <c r="C134" s="14" t="s">
        <v>185</v>
      </c>
      <c r="D134" s="19" t="s">
        <v>951</v>
      </c>
      <c r="E134" s="15" t="str">
        <f>HYPERLINK("https://stat100.ameba.jp/tnk47/ratio20/illustrations/card/ill_60633_0_harumaisentoin03.jpg", "■")</f>
        <v>■</v>
      </c>
      <c r="F134" s="14" t="s">
        <v>540</v>
      </c>
      <c r="G134" s="14">
        <v>146235</v>
      </c>
      <c r="H134" s="14">
        <v>157306</v>
      </c>
      <c r="I134" s="14">
        <v>23</v>
      </c>
      <c r="J134" s="14" t="s">
        <v>274</v>
      </c>
      <c r="K134" s="14" t="s">
        <v>541</v>
      </c>
      <c r="L134" s="14" t="s">
        <v>542</v>
      </c>
      <c r="M134" s="14" t="s">
        <v>9158</v>
      </c>
      <c r="N134" s="14" t="s">
        <v>9158</v>
      </c>
      <c r="O134" s="19" t="s">
        <v>2888</v>
      </c>
      <c r="P134" s="14" t="s">
        <v>3144</v>
      </c>
      <c r="Q134" s="14">
        <v>1</v>
      </c>
    </row>
    <row r="135" spans="1:17">
      <c r="A135" s="14" t="s">
        <v>5618</v>
      </c>
      <c r="B135" s="14" t="s">
        <v>52</v>
      </c>
      <c r="C135" s="14" t="s">
        <v>23</v>
      </c>
      <c r="D135" s="19" t="s">
        <v>83</v>
      </c>
      <c r="E135" s="15" t="str">
        <f>HYPERLINK("https://stat100.ameba.jp/tnk47/ratio20/illustrations/card/ill_63173_0_minazukikonakaiteruko03.jpg", "■")</f>
        <v>■</v>
      </c>
      <c r="F135" s="14" t="s">
        <v>1188</v>
      </c>
      <c r="G135" s="14">
        <v>199630</v>
      </c>
      <c r="H135" s="14">
        <v>214692</v>
      </c>
      <c r="I135" s="14">
        <v>23</v>
      </c>
      <c r="J135" s="14" t="s">
        <v>143</v>
      </c>
      <c r="K135" s="14" t="s">
        <v>1189</v>
      </c>
      <c r="L135" s="14" t="s">
        <v>1190</v>
      </c>
      <c r="M135" s="14" t="s">
        <v>9158</v>
      </c>
      <c r="N135" s="14" t="s">
        <v>9158</v>
      </c>
      <c r="O135" s="19" t="s">
        <v>10079</v>
      </c>
      <c r="P135" s="14" t="s">
        <v>3329</v>
      </c>
      <c r="Q135" s="14">
        <v>1</v>
      </c>
    </row>
    <row r="136" spans="1:17">
      <c r="A136" s="14" t="s">
        <v>5901</v>
      </c>
      <c r="B136" s="14" t="s">
        <v>52</v>
      </c>
      <c r="C136" s="14" t="s">
        <v>101</v>
      </c>
      <c r="D136" s="19" t="s">
        <v>2089</v>
      </c>
      <c r="E136" s="15" t="str">
        <f>HYPERLINK("https://stat100.ameba.jp/tnk47/ratio20/illustrations/card/ill_64953_0_yukatatokugawayoshinobu03.jpg", "■")</f>
        <v>■</v>
      </c>
      <c r="F136" s="14" t="s">
        <v>2090</v>
      </c>
      <c r="G136" s="14">
        <v>143290</v>
      </c>
      <c r="H136" s="14">
        <v>154104</v>
      </c>
      <c r="I136" s="14">
        <v>23</v>
      </c>
      <c r="J136" s="14" t="s">
        <v>10</v>
      </c>
      <c r="K136" s="14" t="s">
        <v>2091</v>
      </c>
      <c r="L136" s="14" t="s">
        <v>2092</v>
      </c>
      <c r="M136" s="14" t="s">
        <v>9158</v>
      </c>
      <c r="N136" s="14" t="s">
        <v>9158</v>
      </c>
      <c r="O136" s="19" t="s">
        <v>2889</v>
      </c>
      <c r="P136" s="14" t="s">
        <v>2890</v>
      </c>
      <c r="Q136" s="14">
        <v>1</v>
      </c>
    </row>
    <row r="137" spans="1:17">
      <c r="A137" s="14" t="s">
        <v>5623</v>
      </c>
      <c r="B137" s="14" t="s">
        <v>330</v>
      </c>
      <c r="C137" s="14" t="s">
        <v>165</v>
      </c>
      <c r="D137" s="19" t="s">
        <v>2542</v>
      </c>
      <c r="E137" s="15" t="str">
        <f>HYPERLINK("https://stat100.ameba.jp/tnk47/ratio20/illustrations/card/ill_65713_0_undokaionikirimaru03.jpg", "■")</f>
        <v>■</v>
      </c>
      <c r="F137" s="14" t="s">
        <v>535</v>
      </c>
      <c r="G137" s="14">
        <v>174073</v>
      </c>
      <c r="H137" s="14">
        <v>161837</v>
      </c>
      <c r="I137" s="14">
        <v>23</v>
      </c>
      <c r="J137" s="14" t="s">
        <v>320</v>
      </c>
      <c r="K137" s="14" t="s">
        <v>3147</v>
      </c>
      <c r="L137" s="14" t="s">
        <v>3148</v>
      </c>
      <c r="M137" s="14" t="s">
        <v>9158</v>
      </c>
      <c r="N137" s="14" t="s">
        <v>9158</v>
      </c>
      <c r="O137" s="19" t="s">
        <v>2869</v>
      </c>
      <c r="P137" s="14" t="s">
        <v>2870</v>
      </c>
      <c r="Q137" s="14">
        <v>1</v>
      </c>
    </row>
    <row r="138" spans="1:17">
      <c r="A138" s="14" t="s">
        <v>5778</v>
      </c>
      <c r="B138" s="14" t="s">
        <v>330</v>
      </c>
      <c r="C138" s="14" t="s">
        <v>205</v>
      </c>
      <c r="D138" s="19" t="s">
        <v>3449</v>
      </c>
      <c r="E138" s="15" t="str">
        <f>HYPERLINK("https://stat100.ameba.jp/tnk47/ratio20/illustrations/card/ill_68783_0_gantammomotaro03.jpg", "■")</f>
        <v>■</v>
      </c>
      <c r="F138" s="14" t="s">
        <v>273</v>
      </c>
      <c r="G138" s="14">
        <v>157306</v>
      </c>
      <c r="H138" s="14">
        <v>146235</v>
      </c>
      <c r="I138" s="14">
        <v>23</v>
      </c>
      <c r="J138" s="14" t="s">
        <v>274</v>
      </c>
      <c r="K138" s="14" t="s">
        <v>275</v>
      </c>
      <c r="L138" s="14" t="s">
        <v>276</v>
      </c>
      <c r="M138" s="14" t="s">
        <v>9158</v>
      </c>
      <c r="N138" s="14" t="s">
        <v>9158</v>
      </c>
      <c r="O138" s="19" t="s">
        <v>10099</v>
      </c>
      <c r="P138" s="14" t="s">
        <v>3085</v>
      </c>
      <c r="Q138" s="14">
        <v>1</v>
      </c>
    </row>
    <row r="139" spans="1:17">
      <c r="A139" s="14" t="s">
        <v>5620</v>
      </c>
      <c r="B139" s="14" t="s">
        <v>52</v>
      </c>
      <c r="C139" s="14" t="s">
        <v>107</v>
      </c>
      <c r="D139" s="19" t="s">
        <v>2042</v>
      </c>
      <c r="E139" s="15" t="str">
        <f>HYPERLINK("https://stat100.ameba.jp/tnk47/ratio20/illustrations/card/ill_67173_0_yukemuriawamorichan03.jpg", "■")</f>
        <v>■</v>
      </c>
      <c r="F139" s="14" t="s">
        <v>2043</v>
      </c>
      <c r="G139" s="14">
        <v>176717</v>
      </c>
      <c r="H139" s="14">
        <v>164292</v>
      </c>
      <c r="I139" s="14">
        <v>23</v>
      </c>
      <c r="J139" s="14" t="s">
        <v>104</v>
      </c>
      <c r="K139" s="14" t="s">
        <v>2044</v>
      </c>
      <c r="L139" s="14" t="s">
        <v>2045</v>
      </c>
      <c r="M139" s="14" t="s">
        <v>9158</v>
      </c>
      <c r="N139" s="14" t="s">
        <v>9158</v>
      </c>
      <c r="O139" s="19" t="s">
        <v>10087</v>
      </c>
      <c r="P139" s="14" t="s">
        <v>3455</v>
      </c>
      <c r="Q139" s="14">
        <v>1</v>
      </c>
    </row>
    <row r="140" spans="1:17">
      <c r="A140" s="14" t="s">
        <v>5804</v>
      </c>
      <c r="B140" s="14" t="s">
        <v>52</v>
      </c>
      <c r="C140" s="14" t="s">
        <v>14</v>
      </c>
      <c r="D140" s="19" t="s">
        <v>3247</v>
      </c>
      <c r="E140" s="15" t="str">
        <f>HYPERLINK("https://stat100.ameba.jp/tnk47/ratio20/illustrations/card/ill_75393_0_resukuinotsukisamaniittausagi03.jpg", "■")</f>
        <v>■</v>
      </c>
      <c r="F140" s="14" t="s">
        <v>3248</v>
      </c>
      <c r="G140" s="14">
        <v>261978</v>
      </c>
      <c r="H140" s="14">
        <v>243570</v>
      </c>
      <c r="I140" s="14">
        <v>23</v>
      </c>
      <c r="J140" s="14" t="s">
        <v>26</v>
      </c>
      <c r="K140" s="14" t="s">
        <v>3249</v>
      </c>
      <c r="L140" s="14" t="s">
        <v>3250</v>
      </c>
      <c r="M140" s="14" t="s">
        <v>9158</v>
      </c>
      <c r="N140" s="14" t="s">
        <v>9158</v>
      </c>
      <c r="O140" s="19" t="s">
        <v>10101</v>
      </c>
      <c r="P140" s="14" t="s">
        <v>3251</v>
      </c>
      <c r="Q140" s="14">
        <v>2</v>
      </c>
    </row>
    <row r="141" spans="1:17">
      <c r="A141" s="14" t="s">
        <v>6030</v>
      </c>
      <c r="B141" s="14" t="s">
        <v>52</v>
      </c>
      <c r="C141" s="14" t="s">
        <v>202</v>
      </c>
      <c r="D141" s="19" t="s">
        <v>3708</v>
      </c>
      <c r="E141" s="15" t="str">
        <f>HYPERLINK("https://stat100.ameba.jp/tnk47/ratio20/illustrations/card/ill_80023_0_hinamatsurikyogokumaria01.jpg", "■")</f>
        <v>■</v>
      </c>
      <c r="F141" s="14" t="s">
        <v>3709</v>
      </c>
      <c r="G141" s="14">
        <v>309954</v>
      </c>
      <c r="H141" s="14">
        <v>342977</v>
      </c>
      <c r="I141" s="14">
        <v>23</v>
      </c>
      <c r="J141" s="14" t="s">
        <v>26</v>
      </c>
      <c r="K141" s="14" t="s">
        <v>3710</v>
      </c>
      <c r="L141" s="14" t="s">
        <v>8799</v>
      </c>
      <c r="M141" s="14" t="s">
        <v>9158</v>
      </c>
      <c r="N141" s="14" t="s">
        <v>9158</v>
      </c>
      <c r="O141" s="19" t="s">
        <v>10116</v>
      </c>
      <c r="P141" s="14" t="s">
        <v>3713</v>
      </c>
      <c r="Q141" s="14">
        <v>1</v>
      </c>
    </row>
    <row r="142" spans="1:17">
      <c r="A142" s="14" t="s">
        <v>6905</v>
      </c>
      <c r="B142" s="14" t="s">
        <v>330</v>
      </c>
      <c r="C142" s="14" t="s">
        <v>35</v>
      </c>
      <c r="D142" s="19" t="s">
        <v>4161</v>
      </c>
      <c r="E142" s="15" t="str">
        <f>HYPERLINK("https://stat100.ameba.jp/tnk47/ratio20/illustrations/card/ill_80623_0_ohanamigurampingutominushihime03.jpg", "■")</f>
        <v>■</v>
      </c>
      <c r="F142" s="14" t="s">
        <v>4162</v>
      </c>
      <c r="G142" s="14">
        <v>277220</v>
      </c>
      <c r="H142" s="14">
        <v>250576</v>
      </c>
      <c r="I142" s="14">
        <v>23</v>
      </c>
      <c r="J142" s="14" t="s">
        <v>44</v>
      </c>
      <c r="K142" s="14" t="s">
        <v>4163</v>
      </c>
      <c r="L142" s="14" t="s">
        <v>4164</v>
      </c>
      <c r="M142" s="14" t="s">
        <v>9158</v>
      </c>
      <c r="N142" s="14" t="s">
        <v>9158</v>
      </c>
      <c r="O142" s="19" t="s">
        <v>10126</v>
      </c>
      <c r="P142" s="14" t="s">
        <v>4166</v>
      </c>
      <c r="Q142" s="14">
        <v>1</v>
      </c>
    </row>
    <row r="143" spans="1:17">
      <c r="A143" s="14" t="s">
        <v>5733</v>
      </c>
      <c r="B143" s="14" t="s">
        <v>330</v>
      </c>
      <c r="C143" s="14" t="s">
        <v>202</v>
      </c>
      <c r="D143" s="19" t="s">
        <v>12163</v>
      </c>
      <c r="E143" s="15" t="str">
        <f>HYPERLINK("https://stat100.ameba.jp/tnk47/ratio20/illustrations/card/ill_78693_0_kyupittokoinomikoto03.jpg", "■")</f>
        <v>■</v>
      </c>
      <c r="F143" s="14" t="s">
        <v>2745</v>
      </c>
      <c r="G143" s="14">
        <v>241036</v>
      </c>
      <c r="H143" s="14">
        <v>266699</v>
      </c>
      <c r="I143" s="14">
        <v>23</v>
      </c>
      <c r="J143" s="14" t="s">
        <v>274</v>
      </c>
      <c r="K143" s="14" t="s">
        <v>2746</v>
      </c>
      <c r="L143" s="14" t="s">
        <v>2747</v>
      </c>
      <c r="M143" s="14" t="s">
        <v>9158</v>
      </c>
      <c r="N143" s="14" t="s">
        <v>9158</v>
      </c>
      <c r="O143" s="19" t="s">
        <v>10097</v>
      </c>
      <c r="P143" s="14" t="s">
        <v>2748</v>
      </c>
      <c r="Q143" s="14">
        <v>1</v>
      </c>
    </row>
    <row r="144" spans="1:17">
      <c r="A144" s="14" t="s">
        <v>5843</v>
      </c>
      <c r="B144" s="14" t="s">
        <v>52</v>
      </c>
      <c r="C144" s="14" t="s">
        <v>202</v>
      </c>
      <c r="D144" s="19" t="s">
        <v>2126</v>
      </c>
      <c r="E144" s="15" t="str">
        <f>HYPERLINK("https://stat100.ameba.jp/tnk47/ratio20/illustrations/card/ill_77963_0_kurisumasudaisakusentakiyashahime03.jpg", "■")</f>
        <v>■</v>
      </c>
      <c r="F144" s="14" t="s">
        <v>2127</v>
      </c>
      <c r="G144" s="14">
        <v>282464</v>
      </c>
      <c r="H144" s="14">
        <v>255287</v>
      </c>
      <c r="I144" s="14">
        <v>23</v>
      </c>
      <c r="J144" s="14" t="s">
        <v>77</v>
      </c>
      <c r="K144" s="14" t="s">
        <v>2128</v>
      </c>
      <c r="L144" s="14" t="s">
        <v>2129</v>
      </c>
      <c r="M144" s="14" t="s">
        <v>9158</v>
      </c>
      <c r="N144" s="14" t="s">
        <v>9158</v>
      </c>
      <c r="O144" s="19" t="s">
        <v>10107</v>
      </c>
      <c r="P144" s="14" t="s">
        <v>3589</v>
      </c>
      <c r="Q144" s="14">
        <v>2</v>
      </c>
    </row>
    <row r="145" spans="1:17">
      <c r="A145" s="14" t="s">
        <v>5605</v>
      </c>
      <c r="B145" s="14" t="s">
        <v>52</v>
      </c>
      <c r="C145" s="14" t="s">
        <v>202</v>
      </c>
      <c r="D145" s="19" t="s">
        <v>12164</v>
      </c>
      <c r="E145" s="15" t="str">
        <f>HYPERLINK("https://stat100.ameba.jp/tnk47/ratio20/illustrations/card/ill_79373_0_hommeichokotennyohime03.jpg", "■")</f>
        <v>■</v>
      </c>
      <c r="F145" s="14" t="s">
        <v>3495</v>
      </c>
      <c r="G145" s="14">
        <v>284400</v>
      </c>
      <c r="H145" s="14">
        <v>257053</v>
      </c>
      <c r="I145" s="14">
        <v>23</v>
      </c>
      <c r="J145" s="14" t="s">
        <v>104</v>
      </c>
      <c r="K145" s="14" t="s">
        <v>3496</v>
      </c>
      <c r="L145" s="14" t="s">
        <v>3497</v>
      </c>
      <c r="M145" s="14" t="s">
        <v>9158</v>
      </c>
      <c r="N145" s="14" t="s">
        <v>9158</v>
      </c>
      <c r="O145" s="19" t="s">
        <v>10072</v>
      </c>
      <c r="P145" s="14" t="s">
        <v>3498</v>
      </c>
      <c r="Q145" s="14">
        <v>1</v>
      </c>
    </row>
    <row r="147" spans="1:17">
      <c r="A147" s="9" t="s">
        <v>18086</v>
      </c>
    </row>
    <row r="148" spans="1:17">
      <c r="A148" s="9" t="s">
        <v>18087</v>
      </c>
    </row>
    <row r="149" spans="1:17">
      <c r="A149" s="14" t="s">
        <v>5602</v>
      </c>
      <c r="B149" s="14" t="s">
        <v>52</v>
      </c>
      <c r="C149" s="14" t="s">
        <v>14</v>
      </c>
      <c r="D149" s="19" t="s">
        <v>813</v>
      </c>
      <c r="E149" s="15" t="str">
        <f>HYPERLINK("https://stat100.ameba.jp/tnk47/ratio20/illustrations/card/ill_55313_0_haroinononokomachi03.jpg", "■")</f>
        <v>■</v>
      </c>
      <c r="F149" s="14" t="s">
        <v>2094</v>
      </c>
      <c r="G149" s="14">
        <v>163342</v>
      </c>
      <c r="H149" s="14">
        <v>145100</v>
      </c>
      <c r="I149" s="14">
        <v>26</v>
      </c>
      <c r="J149" s="14" t="s">
        <v>10</v>
      </c>
      <c r="K149" s="14" t="s">
        <v>2095</v>
      </c>
      <c r="L149" s="14" t="s">
        <v>2096</v>
      </c>
      <c r="M149" s="14" t="s">
        <v>9158</v>
      </c>
      <c r="N149" s="14" t="s">
        <v>9158</v>
      </c>
      <c r="O149" s="19" t="s">
        <v>2733</v>
      </c>
      <c r="P149" s="14" t="s">
        <v>2734</v>
      </c>
      <c r="Q149" s="14">
        <v>1</v>
      </c>
    </row>
    <row r="150" spans="1:17">
      <c r="A150" s="14" t="s">
        <v>5609</v>
      </c>
      <c r="B150" s="14" t="s">
        <v>52</v>
      </c>
      <c r="C150" s="14" t="s">
        <v>200</v>
      </c>
      <c r="D150" s="19" t="s">
        <v>389</v>
      </c>
      <c r="E150" s="15" t="str">
        <f>HYPERLINK("https://stat100.ameba.jp/tnk47/ratio20/illustrations/card/ill_53753_0_natsumatsuritokugawaieyasu03.jpg", "■")</f>
        <v>■</v>
      </c>
      <c r="F150" s="14" t="s">
        <v>902</v>
      </c>
      <c r="G150" s="14">
        <v>163342</v>
      </c>
      <c r="H150" s="14">
        <v>145100</v>
      </c>
      <c r="I150" s="14">
        <v>26</v>
      </c>
      <c r="J150" s="14" t="s">
        <v>194</v>
      </c>
      <c r="K150" s="14" t="s">
        <v>1714</v>
      </c>
      <c r="L150" s="14" t="s">
        <v>904</v>
      </c>
      <c r="M150" s="14" t="s">
        <v>9158</v>
      </c>
      <c r="N150" s="14" t="s">
        <v>9158</v>
      </c>
      <c r="O150" s="19" t="s">
        <v>10076</v>
      </c>
      <c r="P150" s="14" t="s">
        <v>13121</v>
      </c>
      <c r="Q150" s="14">
        <v>1</v>
      </c>
    </row>
    <row r="151" spans="1:17">
      <c r="A151" s="14" t="s">
        <v>5621</v>
      </c>
      <c r="B151" s="14" t="s">
        <v>330</v>
      </c>
      <c r="C151" s="14" t="s">
        <v>191</v>
      </c>
      <c r="D151" s="19" t="s">
        <v>2871</v>
      </c>
      <c r="E151" s="15" t="str">
        <f>HYPERLINK("https://stat100.ameba.jp/tnk47/ratio20/illustrations/card/ill_51973_0_kemonomizugikuroyuridensetsu03.jpg", "■")</f>
        <v>■</v>
      </c>
      <c r="F151" s="14" t="s">
        <v>2034</v>
      </c>
      <c r="G151" s="14">
        <v>163342</v>
      </c>
      <c r="H151" s="14">
        <v>145100</v>
      </c>
      <c r="I151" s="14">
        <v>26</v>
      </c>
      <c r="J151" s="14" t="s">
        <v>38</v>
      </c>
      <c r="K151" s="14" t="s">
        <v>2035</v>
      </c>
      <c r="L151" s="14" t="s">
        <v>2036</v>
      </c>
      <c r="M151" s="14" t="s">
        <v>9158</v>
      </c>
      <c r="N151" s="14" t="s">
        <v>9158</v>
      </c>
      <c r="O151" s="19" t="s">
        <v>10088</v>
      </c>
      <c r="P151" s="14" t="s">
        <v>13172</v>
      </c>
      <c r="Q151" s="14">
        <v>1</v>
      </c>
    </row>
    <row r="152" spans="1:17">
      <c r="A152" s="14" t="s">
        <v>5617</v>
      </c>
      <c r="B152" s="14" t="s">
        <v>330</v>
      </c>
      <c r="C152" s="14" t="s">
        <v>308</v>
      </c>
      <c r="D152" s="19" t="s">
        <v>385</v>
      </c>
      <c r="E152" s="15" t="str">
        <f>HYPERLINK("https://stat100.ameba.jp/tnk47/ratio20/illustrations/card/ill_59673_0_oheyashutendoji03.jpg", "■")</f>
        <v>■</v>
      </c>
      <c r="F152" s="14" t="s">
        <v>386</v>
      </c>
      <c r="G152" s="14">
        <v>182946</v>
      </c>
      <c r="H152" s="14">
        <v>196778</v>
      </c>
      <c r="I152" s="14">
        <v>26</v>
      </c>
      <c r="J152" s="14" t="s">
        <v>320</v>
      </c>
      <c r="K152" s="14" t="s">
        <v>387</v>
      </c>
      <c r="L152" s="14" t="s">
        <v>388</v>
      </c>
      <c r="M152" s="14" t="s">
        <v>9158</v>
      </c>
      <c r="N152" s="14" t="s">
        <v>9158</v>
      </c>
      <c r="O152" s="19" t="s">
        <v>10078</v>
      </c>
      <c r="P152" s="14" t="s">
        <v>3022</v>
      </c>
      <c r="Q152" s="14">
        <v>1</v>
      </c>
    </row>
    <row r="153" spans="1:17">
      <c r="A153" s="14" t="s">
        <v>5614</v>
      </c>
      <c r="B153" s="14" t="s">
        <v>330</v>
      </c>
      <c r="C153" s="14" t="s">
        <v>267</v>
      </c>
      <c r="D153" s="19" t="s">
        <v>313</v>
      </c>
      <c r="E153" s="15" t="str">
        <f>HYPERLINK("https://stat100.ameba.jp/tnk47/ratio20/illustrations/card/ill_56223_0_onsempanikkugohime03.jpg", "■")</f>
        <v>■</v>
      </c>
      <c r="F153" s="14" t="s">
        <v>314</v>
      </c>
      <c r="G153" s="14">
        <v>145100</v>
      </c>
      <c r="H153" s="14">
        <v>163342</v>
      </c>
      <c r="I153" s="14">
        <v>26</v>
      </c>
      <c r="J153" s="14" t="s">
        <v>315</v>
      </c>
      <c r="K153" s="14" t="s">
        <v>316</v>
      </c>
      <c r="L153" s="14" t="s">
        <v>317</v>
      </c>
      <c r="M153" s="14" t="s">
        <v>9158</v>
      </c>
      <c r="N153" s="14" t="s">
        <v>9158</v>
      </c>
      <c r="O153" s="19" t="s">
        <v>3021</v>
      </c>
      <c r="P153" s="14" t="s">
        <v>2890</v>
      </c>
      <c r="Q153" s="14">
        <v>1</v>
      </c>
    </row>
    <row r="154" spans="1:17">
      <c r="A154" s="14" t="s">
        <v>5725</v>
      </c>
      <c r="B154" s="14" t="s">
        <v>52</v>
      </c>
      <c r="C154" s="14" t="s">
        <v>107</v>
      </c>
      <c r="D154" s="19" t="s">
        <v>543</v>
      </c>
      <c r="E154" s="15" t="str">
        <f>HYPERLINK("https://stat100.ameba.jp/tnk47/ratio20/illustrations/card/ill_52693_0_sengokumibirakiyanagiharabyakuren03.jpg", "■")</f>
        <v>■</v>
      </c>
      <c r="F154" s="14" t="s">
        <v>1246</v>
      </c>
      <c r="G154" s="14">
        <v>145100</v>
      </c>
      <c r="H154" s="14">
        <v>163342</v>
      </c>
      <c r="I154" s="14">
        <v>26</v>
      </c>
      <c r="J154" s="14" t="s">
        <v>16</v>
      </c>
      <c r="K154" s="14" t="s">
        <v>1247</v>
      </c>
      <c r="L154" s="14" t="s">
        <v>1248</v>
      </c>
      <c r="M154" s="14" t="s">
        <v>9158</v>
      </c>
      <c r="N154" s="14" t="s">
        <v>9158</v>
      </c>
      <c r="O154" s="19" t="s">
        <v>2886</v>
      </c>
      <c r="P154" s="14" t="s">
        <v>3304</v>
      </c>
      <c r="Q154" s="14">
        <v>1</v>
      </c>
    </row>
    <row r="155" spans="1:17">
      <c r="A155" s="14" t="s">
        <v>5610</v>
      </c>
      <c r="B155" s="14" t="s">
        <v>330</v>
      </c>
      <c r="C155" s="14" t="s">
        <v>185</v>
      </c>
      <c r="D155" s="19" t="s">
        <v>539</v>
      </c>
      <c r="E155" s="15" t="str">
        <f>HYPERLINK("https://stat100.ameba.jp/tnk47/ratio20/illustrations/card/ill_60633_0_harumaisentoin03.jpg", "■")</f>
        <v>■</v>
      </c>
      <c r="F155" s="14" t="s">
        <v>540</v>
      </c>
      <c r="G155" s="14">
        <v>165310</v>
      </c>
      <c r="H155" s="14">
        <v>177824</v>
      </c>
      <c r="I155" s="14">
        <v>26</v>
      </c>
      <c r="J155" s="14" t="s">
        <v>274</v>
      </c>
      <c r="K155" s="14" t="s">
        <v>541</v>
      </c>
      <c r="L155" s="14" t="s">
        <v>542</v>
      </c>
      <c r="M155" s="14" t="s">
        <v>9158</v>
      </c>
      <c r="N155" s="14" t="s">
        <v>9158</v>
      </c>
      <c r="O155" s="19" t="s">
        <v>2888</v>
      </c>
      <c r="P155" s="14" t="s">
        <v>3144</v>
      </c>
      <c r="Q155" s="14">
        <v>1</v>
      </c>
    </row>
    <row r="156" spans="1:17">
      <c r="A156" s="14" t="s">
        <v>5618</v>
      </c>
      <c r="B156" s="14" t="s">
        <v>52</v>
      </c>
      <c r="C156" s="14" t="s">
        <v>23</v>
      </c>
      <c r="D156" s="19" t="s">
        <v>665</v>
      </c>
      <c r="E156" s="15" t="str">
        <f>HYPERLINK("https://stat100.ameba.jp/tnk47/ratio20/illustrations/card/ill_63173_0_minazukikonakaiteruko03.jpg", "■")</f>
        <v>■</v>
      </c>
      <c r="F156" s="14" t="s">
        <v>1188</v>
      </c>
      <c r="G156" s="14">
        <v>225670</v>
      </c>
      <c r="H156" s="14">
        <v>242696</v>
      </c>
      <c r="I156" s="14">
        <v>26</v>
      </c>
      <c r="J156" s="14" t="s">
        <v>143</v>
      </c>
      <c r="K156" s="14" t="s">
        <v>1189</v>
      </c>
      <c r="L156" s="14" t="s">
        <v>1190</v>
      </c>
      <c r="M156" s="14" t="s">
        <v>9158</v>
      </c>
      <c r="N156" s="14" t="s">
        <v>9158</v>
      </c>
      <c r="O156" s="19" t="s">
        <v>10079</v>
      </c>
      <c r="P156" s="14" t="s">
        <v>3329</v>
      </c>
      <c r="Q156" s="14">
        <v>1</v>
      </c>
    </row>
    <row r="157" spans="1:17">
      <c r="A157" s="14" t="s">
        <v>5901</v>
      </c>
      <c r="B157" s="14" t="s">
        <v>52</v>
      </c>
      <c r="C157" s="14" t="s">
        <v>101</v>
      </c>
      <c r="D157" s="19" t="s">
        <v>1426</v>
      </c>
      <c r="E157" s="15" t="str">
        <f>HYPERLINK("https://stat100.ameba.jp/tnk47/ratio20/illustrations/card/ill_64953_0_yukatatokugawayoshinobu03.jpg", "■")</f>
        <v>■</v>
      </c>
      <c r="F157" s="14" t="s">
        <v>2090</v>
      </c>
      <c r="G157" s="14">
        <v>161980</v>
      </c>
      <c r="H157" s="14">
        <v>174206</v>
      </c>
      <c r="I157" s="14">
        <v>26</v>
      </c>
      <c r="J157" s="14" t="s">
        <v>10</v>
      </c>
      <c r="K157" s="14" t="s">
        <v>2091</v>
      </c>
      <c r="L157" s="14" t="s">
        <v>2092</v>
      </c>
      <c r="M157" s="14" t="s">
        <v>9158</v>
      </c>
      <c r="N157" s="14" t="s">
        <v>9158</v>
      </c>
      <c r="O157" s="19" t="s">
        <v>2889</v>
      </c>
      <c r="P157" s="14" t="s">
        <v>2890</v>
      </c>
      <c r="Q157" s="14">
        <v>1</v>
      </c>
    </row>
    <row r="158" spans="1:17">
      <c r="A158" s="14" t="s">
        <v>5623</v>
      </c>
      <c r="B158" s="14" t="s">
        <v>330</v>
      </c>
      <c r="C158" s="14" t="s">
        <v>165</v>
      </c>
      <c r="D158" s="19" t="s">
        <v>3146</v>
      </c>
      <c r="E158" s="15" t="str">
        <f>HYPERLINK("https://stat100.ameba.jp/tnk47/ratio20/illustrations/card/ill_65713_0_undokaionikirimaru03.jpg", "■")</f>
        <v>■</v>
      </c>
      <c r="F158" s="14" t="s">
        <v>535</v>
      </c>
      <c r="G158" s="14">
        <v>196778</v>
      </c>
      <c r="H158" s="14">
        <v>182946</v>
      </c>
      <c r="I158" s="14">
        <v>26</v>
      </c>
      <c r="J158" s="14" t="s">
        <v>320</v>
      </c>
      <c r="K158" s="14" t="s">
        <v>3147</v>
      </c>
      <c r="L158" s="14" t="s">
        <v>3148</v>
      </c>
      <c r="M158" s="14" t="s">
        <v>9158</v>
      </c>
      <c r="N158" s="14" t="s">
        <v>9158</v>
      </c>
      <c r="O158" s="19" t="s">
        <v>2869</v>
      </c>
      <c r="P158" s="14" t="s">
        <v>2870</v>
      </c>
      <c r="Q158" s="14">
        <v>1</v>
      </c>
    </row>
    <row r="159" spans="1:17">
      <c r="A159" s="14" t="s">
        <v>5778</v>
      </c>
      <c r="B159" s="14" t="s">
        <v>330</v>
      </c>
      <c r="C159" s="14" t="s">
        <v>205</v>
      </c>
      <c r="D159" s="19" t="s">
        <v>272</v>
      </c>
      <c r="E159" s="15" t="str">
        <f>HYPERLINK("https://stat100.ameba.jp/tnk47/ratio20/illustrations/card/ill_68783_0_gantammomotaro03.jpg", "■")</f>
        <v>■</v>
      </c>
      <c r="F159" s="14" t="s">
        <v>273</v>
      </c>
      <c r="G159" s="14">
        <v>177824</v>
      </c>
      <c r="H159" s="14">
        <v>165310</v>
      </c>
      <c r="I159" s="14">
        <v>26</v>
      </c>
      <c r="J159" s="14" t="s">
        <v>274</v>
      </c>
      <c r="K159" s="14" t="s">
        <v>275</v>
      </c>
      <c r="L159" s="14" t="s">
        <v>276</v>
      </c>
      <c r="M159" s="14" t="s">
        <v>9158</v>
      </c>
      <c r="N159" s="14" t="s">
        <v>9158</v>
      </c>
      <c r="O159" s="19" t="s">
        <v>10099</v>
      </c>
      <c r="P159" s="14" t="s">
        <v>3085</v>
      </c>
      <c r="Q159" s="14">
        <v>1</v>
      </c>
    </row>
    <row r="160" spans="1:17">
      <c r="A160" s="14" t="s">
        <v>5620</v>
      </c>
      <c r="B160" s="14" t="s">
        <v>52</v>
      </c>
      <c r="C160" s="14" t="s">
        <v>344</v>
      </c>
      <c r="D160" s="19" t="s">
        <v>669</v>
      </c>
      <c r="E160" s="15" t="str">
        <f>HYPERLINK("https://stat100.ameba.jp/tnk47/ratio20/illustrations/card/ill_67173_0_yukemuriawamorichan03.jpg", "■")</f>
        <v>■</v>
      </c>
      <c r="F160" s="14" t="s">
        <v>2043</v>
      </c>
      <c r="G160" s="14">
        <v>199766</v>
      </c>
      <c r="H160" s="14">
        <v>185722</v>
      </c>
      <c r="I160" s="14">
        <v>26</v>
      </c>
      <c r="J160" s="14" t="s">
        <v>104</v>
      </c>
      <c r="K160" s="14" t="s">
        <v>2044</v>
      </c>
      <c r="L160" s="14" t="s">
        <v>2045</v>
      </c>
      <c r="M160" s="14" t="s">
        <v>9158</v>
      </c>
      <c r="N160" s="14" t="s">
        <v>9158</v>
      </c>
      <c r="O160" s="19" t="s">
        <v>10087</v>
      </c>
      <c r="P160" s="14" t="s">
        <v>3455</v>
      </c>
      <c r="Q160" s="14">
        <v>1</v>
      </c>
    </row>
    <row r="161" spans="1:17">
      <c r="A161" s="14" t="s">
        <v>5804</v>
      </c>
      <c r="B161" s="14" t="s">
        <v>52</v>
      </c>
      <c r="C161" s="14" t="s">
        <v>14</v>
      </c>
      <c r="D161" s="19" t="s">
        <v>3195</v>
      </c>
      <c r="E161" s="15" t="str">
        <f>HYPERLINK("https://stat100.ameba.jp/tnk47/ratio20/illustrations/card/ill_75393_0_resukuinotsukisamaniittausagi03.jpg", "■")</f>
        <v>■</v>
      </c>
      <c r="F161" s="14" t="s">
        <v>3248</v>
      </c>
      <c r="G161" s="14">
        <v>296150</v>
      </c>
      <c r="H161" s="14">
        <v>275342</v>
      </c>
      <c r="I161" s="14">
        <v>26</v>
      </c>
      <c r="J161" s="14" t="s">
        <v>26</v>
      </c>
      <c r="K161" s="14" t="s">
        <v>3249</v>
      </c>
      <c r="L161" s="14" t="s">
        <v>3250</v>
      </c>
      <c r="M161" s="14" t="s">
        <v>9158</v>
      </c>
      <c r="N161" s="14" t="s">
        <v>9158</v>
      </c>
      <c r="O161" s="19" t="s">
        <v>10101</v>
      </c>
      <c r="P161" s="14" t="s">
        <v>3251</v>
      </c>
      <c r="Q161" s="14">
        <v>2</v>
      </c>
    </row>
    <row r="162" spans="1:17">
      <c r="A162" s="14" t="s">
        <v>6030</v>
      </c>
      <c r="B162" s="14" t="s">
        <v>52</v>
      </c>
      <c r="C162" s="14" t="s">
        <v>202</v>
      </c>
      <c r="D162" s="19" t="s">
        <v>10453</v>
      </c>
      <c r="E162" s="15" t="str">
        <f>HYPERLINK("https://stat100.ameba.jp/tnk47/ratio20/illustrations/card/ill_80023_0_hinamatsurikyogokumaria01.jpg", "■")</f>
        <v>■</v>
      </c>
      <c r="F162" s="14" t="s">
        <v>3709</v>
      </c>
      <c r="G162" s="14">
        <v>350382</v>
      </c>
      <c r="H162" s="14">
        <v>387714</v>
      </c>
      <c r="I162" s="14">
        <v>26</v>
      </c>
      <c r="J162" s="14" t="s">
        <v>26</v>
      </c>
      <c r="K162" s="14" t="s">
        <v>3710</v>
      </c>
      <c r="L162" s="14" t="s">
        <v>8799</v>
      </c>
      <c r="M162" s="14" t="s">
        <v>9158</v>
      </c>
      <c r="N162" s="14" t="s">
        <v>9158</v>
      </c>
      <c r="O162" s="19" t="s">
        <v>10116</v>
      </c>
      <c r="P162" s="14" t="s">
        <v>3713</v>
      </c>
      <c r="Q162" s="14">
        <v>1</v>
      </c>
    </row>
    <row r="163" spans="1:17">
      <c r="A163" s="14" t="s">
        <v>6905</v>
      </c>
      <c r="B163" s="14" t="s">
        <v>330</v>
      </c>
      <c r="C163" s="14" t="s">
        <v>35</v>
      </c>
      <c r="D163" s="19" t="s">
        <v>4161</v>
      </c>
      <c r="E163" s="15" t="str">
        <f>HYPERLINK("https://stat100.ameba.jp/tnk47/ratio20/illustrations/card/ill_80623_0_ohanamigurampingutominushihime03.jpg", "■")</f>
        <v>■</v>
      </c>
      <c r="F163" s="14" t="s">
        <v>4162</v>
      </c>
      <c r="G163" s="14">
        <v>313380</v>
      </c>
      <c r="H163" s="14">
        <v>283260</v>
      </c>
      <c r="I163" s="14">
        <v>26</v>
      </c>
      <c r="J163" s="14" t="s">
        <v>44</v>
      </c>
      <c r="K163" s="14" t="s">
        <v>4163</v>
      </c>
      <c r="L163" s="14" t="s">
        <v>4164</v>
      </c>
      <c r="M163" s="14" t="s">
        <v>9158</v>
      </c>
      <c r="N163" s="14" t="s">
        <v>9158</v>
      </c>
      <c r="O163" s="19" t="s">
        <v>10126</v>
      </c>
      <c r="P163" s="14" t="s">
        <v>4166</v>
      </c>
      <c r="Q163" s="14">
        <v>1</v>
      </c>
    </row>
    <row r="164" spans="1:17">
      <c r="A164" s="14" t="s">
        <v>5733</v>
      </c>
      <c r="B164" s="14" t="s">
        <v>330</v>
      </c>
      <c r="C164" s="14" t="s">
        <v>202</v>
      </c>
      <c r="D164" s="19" t="s">
        <v>2744</v>
      </c>
      <c r="E164" s="15" t="str">
        <f>HYPERLINK("https://stat100.ameba.jp/tnk47/ratio20/illustrations/card/ill_78693_0_kyupittokoinomikoto03.jpg", "■")</f>
        <v>■</v>
      </c>
      <c r="F164" s="14" t="s">
        <v>2745</v>
      </c>
      <c r="G164" s="14">
        <v>272476</v>
      </c>
      <c r="H164" s="14">
        <v>301486</v>
      </c>
      <c r="I164" s="14">
        <v>26</v>
      </c>
      <c r="J164" s="14" t="s">
        <v>274</v>
      </c>
      <c r="K164" s="14" t="s">
        <v>2746</v>
      </c>
      <c r="L164" s="14" t="s">
        <v>2747</v>
      </c>
      <c r="M164" s="14" t="s">
        <v>9158</v>
      </c>
      <c r="N164" s="14" t="s">
        <v>9158</v>
      </c>
      <c r="O164" s="19" t="s">
        <v>10097</v>
      </c>
      <c r="P164" s="14" t="s">
        <v>2748</v>
      </c>
      <c r="Q164" s="14">
        <v>1</v>
      </c>
    </row>
    <row r="165" spans="1:17">
      <c r="A165" s="14" t="s">
        <v>5843</v>
      </c>
      <c r="B165" s="14" t="s">
        <v>52</v>
      </c>
      <c r="C165" s="14" t="s">
        <v>202</v>
      </c>
      <c r="D165" s="19" t="s">
        <v>10291</v>
      </c>
      <c r="E165" s="15" t="str">
        <f>HYPERLINK("https://stat100.ameba.jp/tnk47/ratio20/illustrations/card/ill_77963_0_kurisumasudaisakusentakiyashahime03.jpg", "■")</f>
        <v>■</v>
      </c>
      <c r="F165" s="14" t="s">
        <v>2127</v>
      </c>
      <c r="G165" s="14">
        <v>319308</v>
      </c>
      <c r="H165" s="14">
        <v>288586</v>
      </c>
      <c r="I165" s="14">
        <v>26</v>
      </c>
      <c r="J165" s="14" t="s">
        <v>77</v>
      </c>
      <c r="K165" s="14" t="s">
        <v>2128</v>
      </c>
      <c r="L165" s="14" t="s">
        <v>2129</v>
      </c>
      <c r="M165" s="14" t="s">
        <v>9158</v>
      </c>
      <c r="N165" s="14" t="s">
        <v>9158</v>
      </c>
      <c r="O165" s="19" t="s">
        <v>10107</v>
      </c>
      <c r="P165" s="14" t="s">
        <v>3589</v>
      </c>
      <c r="Q165" s="14">
        <v>2</v>
      </c>
    </row>
    <row r="166" spans="1:17">
      <c r="A166" s="14" t="s">
        <v>5605</v>
      </c>
      <c r="B166" s="14" t="s">
        <v>52</v>
      </c>
      <c r="C166" s="14" t="s">
        <v>202</v>
      </c>
      <c r="D166" s="19" t="s">
        <v>10332</v>
      </c>
      <c r="E166" s="15" t="str">
        <f>HYPERLINK("https://stat100.ameba.jp/tnk47/ratio20/illustrations/card/ill_79373_0_hommeichokotennyohime03.jpg", "■")</f>
        <v>■</v>
      </c>
      <c r="F166" s="14" t="s">
        <v>3495</v>
      </c>
      <c r="G166" s="14">
        <v>321496</v>
      </c>
      <c r="H166" s="14">
        <v>290582</v>
      </c>
      <c r="I166" s="14">
        <v>26</v>
      </c>
      <c r="J166" s="14" t="s">
        <v>104</v>
      </c>
      <c r="K166" s="14" t="s">
        <v>3496</v>
      </c>
      <c r="L166" s="14" t="s">
        <v>3497</v>
      </c>
      <c r="M166" s="14" t="s">
        <v>9158</v>
      </c>
      <c r="N166" s="14" t="s">
        <v>9158</v>
      </c>
      <c r="O166" s="19" t="s">
        <v>10072</v>
      </c>
      <c r="P166" s="14" t="s">
        <v>3498</v>
      </c>
      <c r="Q166" s="14">
        <v>1</v>
      </c>
    </row>
    <row r="167" spans="1:17">
      <c r="A167" s="14" t="s">
        <v>5616</v>
      </c>
      <c r="B167" s="14" t="s">
        <v>52</v>
      </c>
      <c r="C167" s="14" t="s">
        <v>14</v>
      </c>
      <c r="D167" s="19" t="s">
        <v>638</v>
      </c>
      <c r="E167" s="15" t="str">
        <f>HYPERLINK("https://stat100.ameba.jp/tnk47/ratio20/illustrations/card/ill_44253_0_dokuganryudatemasamune03.jpg", "■")</f>
        <v>■</v>
      </c>
      <c r="F167" s="14" t="s">
        <v>1181</v>
      </c>
      <c r="G167" s="14">
        <v>142500</v>
      </c>
      <c r="H167" s="14">
        <v>152152</v>
      </c>
      <c r="I167" s="14">
        <v>26</v>
      </c>
      <c r="J167" s="14" t="s">
        <v>143</v>
      </c>
      <c r="K167" s="14" t="s">
        <v>1182</v>
      </c>
      <c r="L167" s="14" t="s">
        <v>1183</v>
      </c>
      <c r="M167" s="14" t="s">
        <v>9158</v>
      </c>
      <c r="N167" s="14" t="s">
        <v>9158</v>
      </c>
      <c r="O167" s="14" t="s">
        <v>9158</v>
      </c>
      <c r="P167" s="14" t="s">
        <v>9158</v>
      </c>
      <c r="Q167" s="14" t="s">
        <v>9158</v>
      </c>
    </row>
    <row r="168" spans="1:17">
      <c r="A168" s="14" t="s">
        <v>5897</v>
      </c>
      <c r="B168" s="14" t="s">
        <v>52</v>
      </c>
      <c r="C168" s="14" t="s">
        <v>23</v>
      </c>
      <c r="D168" s="19" t="s">
        <v>277</v>
      </c>
      <c r="E168" s="15" t="str">
        <f>HYPERLINK("https://stat100.ameba.jp/tnk47/ratio20/illustrations/card/ill_40913_0_reigyokudensetsufusehime03.jpg", "■")</f>
        <v>■</v>
      </c>
      <c r="F168" s="14" t="s">
        <v>955</v>
      </c>
      <c r="G168" s="14">
        <v>142500</v>
      </c>
      <c r="H168" s="14">
        <v>152152</v>
      </c>
      <c r="I168" s="14">
        <v>26</v>
      </c>
      <c r="J168" s="14" t="s">
        <v>38</v>
      </c>
      <c r="K168" s="14" t="s">
        <v>956</v>
      </c>
      <c r="L168" s="14" t="s">
        <v>957</v>
      </c>
      <c r="M168" s="14" t="s">
        <v>9158</v>
      </c>
      <c r="N168" s="14" t="s">
        <v>9158</v>
      </c>
      <c r="O168" s="14" t="s">
        <v>9158</v>
      </c>
      <c r="P168" s="14" t="s">
        <v>9158</v>
      </c>
      <c r="Q168" s="14" t="s">
        <v>9158</v>
      </c>
    </row>
    <row r="169" spans="1:17">
      <c r="A169" s="14" t="s">
        <v>5830</v>
      </c>
      <c r="B169" s="14" t="s">
        <v>330</v>
      </c>
      <c r="C169" s="14" t="s">
        <v>191</v>
      </c>
      <c r="D169" s="19" t="s">
        <v>793</v>
      </c>
      <c r="E169" s="15" t="str">
        <f>HYPERLINK("https://stat100.ameba.jp/tnk47/ratio20/illustrations/card/ill_39933_0_reihiiinaotora03.jpg", "■")</f>
        <v>■</v>
      </c>
      <c r="F169" s="14" t="s">
        <v>794</v>
      </c>
      <c r="G169" s="14">
        <v>142500</v>
      </c>
      <c r="H169" s="14">
        <v>152152</v>
      </c>
      <c r="I169" s="14">
        <v>26</v>
      </c>
      <c r="J169" s="14" t="s">
        <v>315</v>
      </c>
      <c r="K169" s="14" t="s">
        <v>795</v>
      </c>
      <c r="L169" s="14" t="s">
        <v>796</v>
      </c>
      <c r="M169" s="14" t="s">
        <v>9158</v>
      </c>
      <c r="N169" s="14" t="s">
        <v>9158</v>
      </c>
      <c r="O169" s="14" t="s">
        <v>9158</v>
      </c>
      <c r="P169" s="14" t="s">
        <v>9158</v>
      </c>
      <c r="Q169" s="14" t="s">
        <v>9158</v>
      </c>
    </row>
    <row r="170" spans="1:17">
      <c r="A170" s="14" t="s">
        <v>5608</v>
      </c>
      <c r="B170" s="14" t="s">
        <v>52</v>
      </c>
      <c r="C170" s="14" t="s">
        <v>96</v>
      </c>
      <c r="D170" s="19" t="s">
        <v>634</v>
      </c>
      <c r="E170" s="15" t="str">
        <f>HYPERLINK("https://stat100.ameba.jp/tnk47/ratio20/illustrations/card/ill_40963_0_makami03.jpg", "■")</f>
        <v>■</v>
      </c>
      <c r="F170" s="14" t="s">
        <v>2038</v>
      </c>
      <c r="G170" s="14">
        <v>152152</v>
      </c>
      <c r="H170" s="14">
        <v>142500</v>
      </c>
      <c r="I170" s="14">
        <v>26</v>
      </c>
      <c r="J170" s="14" t="s">
        <v>44</v>
      </c>
      <c r="K170" s="14" t="s">
        <v>2039</v>
      </c>
      <c r="L170" s="14" t="s">
        <v>2040</v>
      </c>
      <c r="M170" s="14" t="s">
        <v>9158</v>
      </c>
      <c r="N170" s="14" t="s">
        <v>9158</v>
      </c>
      <c r="O170" s="14" t="s">
        <v>9158</v>
      </c>
      <c r="P170" s="14" t="s">
        <v>9158</v>
      </c>
      <c r="Q170" s="14" t="s">
        <v>9158</v>
      </c>
    </row>
    <row r="171" spans="1:17">
      <c r="A171" s="14" t="s">
        <v>5721</v>
      </c>
      <c r="B171" s="14" t="s">
        <v>52</v>
      </c>
      <c r="C171" s="14" t="s">
        <v>1</v>
      </c>
      <c r="D171" s="19" t="s">
        <v>513</v>
      </c>
      <c r="E171" s="15" t="str">
        <f>HYPERLINK("https://stat100.ameba.jp/tnk47/ratio20/illustrations/card/ill_44283_0_izumonokuni03.jpg", "■")</f>
        <v>■</v>
      </c>
      <c r="F171" s="14" t="s">
        <v>1716</v>
      </c>
      <c r="G171" s="14">
        <v>152152</v>
      </c>
      <c r="H171" s="14">
        <v>142500</v>
      </c>
      <c r="I171" s="14">
        <v>26</v>
      </c>
      <c r="J171" s="14" t="s">
        <v>16</v>
      </c>
      <c r="K171" s="14" t="s">
        <v>2254</v>
      </c>
      <c r="L171" s="14" t="s">
        <v>1718</v>
      </c>
      <c r="M171" s="14" t="s">
        <v>9158</v>
      </c>
      <c r="N171" s="14" t="s">
        <v>9158</v>
      </c>
      <c r="O171" s="14" t="s">
        <v>9158</v>
      </c>
      <c r="P171" s="14" t="s">
        <v>9158</v>
      </c>
      <c r="Q171" s="14" t="s">
        <v>9158</v>
      </c>
    </row>
    <row r="172" spans="1:17">
      <c r="A172" s="14" t="s">
        <v>5902</v>
      </c>
      <c r="B172" s="14" t="s">
        <v>330</v>
      </c>
      <c r="C172" s="14" t="s">
        <v>206</v>
      </c>
      <c r="D172" s="19" t="s">
        <v>483</v>
      </c>
      <c r="E172" s="15" t="str">
        <f>HYPERLINK("https://stat100.ameba.jp/tnk47/ratio20/illustrations/card/ill_40343_0_heshikirihasebekurodakambe03.jpg", "■")</f>
        <v>■</v>
      </c>
      <c r="F172" s="14" t="s">
        <v>906</v>
      </c>
      <c r="G172" s="14">
        <v>152152</v>
      </c>
      <c r="H172" s="14">
        <v>142500</v>
      </c>
      <c r="I172" s="14">
        <v>26</v>
      </c>
      <c r="J172" s="14" t="s">
        <v>16</v>
      </c>
      <c r="K172" s="14" t="s">
        <v>907</v>
      </c>
      <c r="L172" s="14" t="s">
        <v>908</v>
      </c>
      <c r="M172" s="14" t="s">
        <v>9158</v>
      </c>
      <c r="N172" s="14" t="s">
        <v>9158</v>
      </c>
      <c r="O172" s="14" t="s">
        <v>9158</v>
      </c>
      <c r="P172" s="14" t="s">
        <v>9158</v>
      </c>
      <c r="Q172" s="14" t="s">
        <v>9158</v>
      </c>
    </row>
    <row r="173" spans="1:17">
      <c r="A173" s="14" t="s">
        <v>5622</v>
      </c>
      <c r="B173" s="14" t="s">
        <v>330</v>
      </c>
      <c r="C173" s="14" t="s">
        <v>335</v>
      </c>
      <c r="D173" s="19" t="s">
        <v>1043</v>
      </c>
      <c r="E173" s="15" t="str">
        <f>HYPERLINK("https://stat100.ameba.jp/tnk47/ratio20/illustrations/card/ill_49953_0_yushamarihime03.jpg", "■")</f>
        <v>■</v>
      </c>
      <c r="F173" s="14" t="s">
        <v>510</v>
      </c>
      <c r="G173" s="14">
        <v>163342</v>
      </c>
      <c r="H173" s="14">
        <v>145100</v>
      </c>
      <c r="I173" s="14">
        <v>26</v>
      </c>
      <c r="J173" s="14" t="s">
        <v>315</v>
      </c>
      <c r="K173" s="14" t="s">
        <v>511</v>
      </c>
      <c r="L173" s="14" t="s">
        <v>512</v>
      </c>
      <c r="M173" s="14" t="s">
        <v>9158</v>
      </c>
      <c r="N173" s="14" t="s">
        <v>9158</v>
      </c>
      <c r="O173" s="14" t="s">
        <v>9158</v>
      </c>
      <c r="P173" s="14" t="s">
        <v>9158</v>
      </c>
      <c r="Q173" s="14" t="s">
        <v>9158</v>
      </c>
    </row>
    <row r="174" spans="1:17">
      <c r="A174" s="14" t="s">
        <v>5625</v>
      </c>
      <c r="B174" s="14" t="s">
        <v>330</v>
      </c>
      <c r="C174" s="14" t="s">
        <v>200</v>
      </c>
      <c r="D174" s="19" t="s">
        <v>630</v>
      </c>
      <c r="E174" s="15" t="str">
        <f>HYPERLINK("https://stat100.ameba.jp/tnk47/ratio20/illustrations/card/ill_48283_0_kyuubitamamonomae03.jpg", "■")</f>
        <v>■</v>
      </c>
      <c r="F174" s="14" t="s">
        <v>631</v>
      </c>
      <c r="G174" s="14">
        <v>163342</v>
      </c>
      <c r="H174" s="14">
        <v>145100</v>
      </c>
      <c r="I174" s="14">
        <v>26</v>
      </c>
      <c r="J174" s="14" t="s">
        <v>320</v>
      </c>
      <c r="K174" s="14" t="s">
        <v>632</v>
      </c>
      <c r="L174" s="14" t="s">
        <v>633</v>
      </c>
      <c r="M174" s="14" t="s">
        <v>9158</v>
      </c>
      <c r="N174" s="14" t="s">
        <v>9158</v>
      </c>
      <c r="O174" s="14" t="s">
        <v>9158</v>
      </c>
      <c r="P174" s="14" t="s">
        <v>9158</v>
      </c>
      <c r="Q174" s="14" t="s">
        <v>9158</v>
      </c>
    </row>
    <row r="175" spans="1:17">
      <c r="A175" s="14" t="s">
        <v>5627</v>
      </c>
      <c r="B175" s="14" t="s">
        <v>330</v>
      </c>
      <c r="C175" s="14" t="s">
        <v>191</v>
      </c>
      <c r="D175" s="19" t="s">
        <v>393</v>
      </c>
      <c r="E175" s="15" t="str">
        <f>HYPERLINK("https://stat100.ameba.jp/tnk47/ratio20/illustrations/card/ill_46283_0_odanobunaga03.jpg", "■")</f>
        <v>■</v>
      </c>
      <c r="F175" s="14" t="s">
        <v>1073</v>
      </c>
      <c r="G175" s="14">
        <v>142500</v>
      </c>
      <c r="H175" s="14">
        <v>152152</v>
      </c>
      <c r="I175" s="14">
        <v>26</v>
      </c>
      <c r="J175" s="14" t="s">
        <v>143</v>
      </c>
      <c r="K175" s="14" t="s">
        <v>1074</v>
      </c>
      <c r="L175" s="14" t="s">
        <v>1075</v>
      </c>
      <c r="M175" s="14" t="s">
        <v>9158</v>
      </c>
      <c r="N175" s="14" t="s">
        <v>9158</v>
      </c>
      <c r="O175" s="14" t="s">
        <v>9158</v>
      </c>
      <c r="P175" s="14" t="s">
        <v>9158</v>
      </c>
      <c r="Q175" s="14" t="s">
        <v>9158</v>
      </c>
    </row>
    <row r="176" spans="1:17">
      <c r="A176" s="14" t="s">
        <v>5612</v>
      </c>
      <c r="B176" s="14" t="s">
        <v>52</v>
      </c>
      <c r="C176" s="14" t="s">
        <v>165</v>
      </c>
      <c r="D176" s="19" t="s">
        <v>789</v>
      </c>
      <c r="E176" s="15" t="str">
        <f>HYPERLINK("https://stat100.ameba.jp/tnk47/ratio20/illustrations/card/ill_49193_0_onmyoudouabenoseimei03.jpg", "■")</f>
        <v>■</v>
      </c>
      <c r="F176" s="14" t="s">
        <v>1896</v>
      </c>
      <c r="G176" s="14">
        <v>145100</v>
      </c>
      <c r="H176" s="14">
        <v>163342</v>
      </c>
      <c r="I176" s="14">
        <v>26</v>
      </c>
      <c r="J176" s="14" t="s">
        <v>10</v>
      </c>
      <c r="K176" s="14" t="s">
        <v>1897</v>
      </c>
      <c r="L176" s="14" t="s">
        <v>1898</v>
      </c>
      <c r="M176" s="14" t="s">
        <v>9158</v>
      </c>
      <c r="N176" s="14" t="s">
        <v>9158</v>
      </c>
      <c r="O176" s="14" t="s">
        <v>9158</v>
      </c>
      <c r="P176" s="14" t="s">
        <v>9158</v>
      </c>
      <c r="Q176" s="14" t="s">
        <v>9158</v>
      </c>
    </row>
    <row r="177" spans="1:17">
      <c r="A177" s="14" t="s">
        <v>6132</v>
      </c>
      <c r="B177" s="14" t="s">
        <v>52</v>
      </c>
      <c r="C177" s="14" t="s">
        <v>205</v>
      </c>
      <c r="D177" s="19" t="s">
        <v>702</v>
      </c>
      <c r="E177" s="15" t="str">
        <f>HYPERLINK("https://stat100.ameba.jp/tnk47/ratio20/illustrations/card/ill_50693_0_hanamizugimimuratsuru03.jpg", "■")</f>
        <v>■</v>
      </c>
      <c r="F177" s="14" t="s">
        <v>2282</v>
      </c>
      <c r="G177" s="14">
        <v>145100</v>
      </c>
      <c r="H177" s="14">
        <v>163342</v>
      </c>
      <c r="I177" s="14">
        <v>26</v>
      </c>
      <c r="J177" s="14" t="s">
        <v>143</v>
      </c>
      <c r="K177" s="14" t="s">
        <v>2283</v>
      </c>
      <c r="L177" s="14" t="s">
        <v>2284</v>
      </c>
      <c r="M177" s="14" t="s">
        <v>9158</v>
      </c>
      <c r="N177" s="14" t="s">
        <v>9158</v>
      </c>
      <c r="O177" s="14" t="s">
        <v>9158</v>
      </c>
      <c r="P177" s="14" t="s">
        <v>9158</v>
      </c>
      <c r="Q177" s="14" t="s">
        <v>9158</v>
      </c>
    </row>
    <row r="178" spans="1:17">
      <c r="A178" s="14" t="s">
        <v>5604</v>
      </c>
      <c r="B178" s="14" t="s">
        <v>330</v>
      </c>
      <c r="C178" s="14" t="s">
        <v>206</v>
      </c>
      <c r="D178" s="19" t="s">
        <v>614</v>
      </c>
      <c r="E178" s="15" t="str">
        <f>HYPERLINK("https://stat100.ameba.jp/tnk47/ratio20/illustrations/card/ill_47263_0_oukyuuatsuhime03.jpg", "■")</f>
        <v>■</v>
      </c>
      <c r="F178" s="14" t="s">
        <v>615</v>
      </c>
      <c r="G178" s="14">
        <v>163342</v>
      </c>
      <c r="H178" s="14">
        <v>145100</v>
      </c>
      <c r="I178" s="14">
        <v>26</v>
      </c>
      <c r="J178" s="14" t="s">
        <v>315</v>
      </c>
      <c r="K178" s="14" t="s">
        <v>616</v>
      </c>
      <c r="L178" s="14" t="s">
        <v>617</v>
      </c>
      <c r="M178" s="14" t="s">
        <v>9158</v>
      </c>
      <c r="N178" s="14" t="s">
        <v>9158</v>
      </c>
      <c r="O178" s="14" t="s">
        <v>9158</v>
      </c>
      <c r="P178" s="14" t="s">
        <v>9158</v>
      </c>
      <c r="Q178" s="14" t="s">
        <v>9158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B856-7F5A-4511-BA82-0BDBCECE3E5E}">
  <dimension ref="A1:S556"/>
  <sheetViews>
    <sheetView zoomScale="55" zoomScaleNormal="55" workbookViewId="0">
      <pane ySplit="1" topLeftCell="A446" activePane="bottomLeft" state="frozen"/>
      <selection activeCell="A6" sqref="A6:Q6"/>
      <selection pane="bottomLeft" activeCell="D460" sqref="D460"/>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10166</v>
      </c>
      <c r="B3" s="14"/>
      <c r="C3" s="14"/>
      <c r="D3" s="14"/>
      <c r="F3" s="14"/>
      <c r="G3" s="14"/>
      <c r="H3" s="14"/>
      <c r="I3" s="14"/>
      <c r="J3" s="14"/>
      <c r="K3" s="14"/>
      <c r="L3" s="14"/>
      <c r="M3" s="14"/>
      <c r="N3" s="14"/>
      <c r="O3" s="14"/>
      <c r="P3" s="14"/>
      <c r="Q3" s="14"/>
      <c r="R3" s="14"/>
    </row>
    <row r="4" spans="1:19">
      <c r="A4" s="9" t="s">
        <v>10165</v>
      </c>
      <c r="B4" s="14"/>
      <c r="C4" s="14"/>
      <c r="D4" s="14"/>
      <c r="F4" s="14"/>
      <c r="G4" s="14"/>
      <c r="H4" s="14"/>
      <c r="I4" s="14"/>
      <c r="J4" s="14"/>
      <c r="K4" s="14"/>
      <c r="L4" s="14"/>
      <c r="M4" s="14"/>
      <c r="N4" s="14"/>
      <c r="O4" s="14"/>
      <c r="P4" s="14"/>
      <c r="Q4" s="14"/>
      <c r="R4" s="14"/>
    </row>
    <row r="5" spans="1:19">
      <c r="A5" s="9" t="s">
        <v>8831</v>
      </c>
      <c r="B5" s="14"/>
      <c r="C5" s="14"/>
      <c r="D5" s="14"/>
      <c r="F5" s="14"/>
      <c r="G5" s="14"/>
      <c r="H5" s="14"/>
      <c r="I5" s="14"/>
      <c r="J5" s="14"/>
      <c r="K5" s="14"/>
      <c r="L5" s="14"/>
      <c r="M5" s="14"/>
      <c r="N5" s="14"/>
      <c r="O5" s="14"/>
      <c r="P5" s="14"/>
      <c r="Q5" s="14"/>
      <c r="R5" s="14"/>
    </row>
    <row r="6" spans="1:19">
      <c r="A6" s="9" t="s">
        <v>5733</v>
      </c>
      <c r="B6" s="14" t="s">
        <v>330</v>
      </c>
      <c r="C6" s="14" t="s">
        <v>202</v>
      </c>
      <c r="D6" s="14" t="s">
        <v>2744</v>
      </c>
      <c r="E6" s="15" t="str">
        <f>HYPERLINK("https://stat100.ameba.jp/tnk47/ratio20/illustrations/card/ill_78693_0_kyupittokoinomikoto03.jpg?201901-3-RELEASE-dice-e-389", "■")</f>
        <v>■</v>
      </c>
      <c r="F6" s="14" t="s">
        <v>2745</v>
      </c>
      <c r="G6" s="14">
        <v>282956</v>
      </c>
      <c r="H6" s="14">
        <v>313081</v>
      </c>
      <c r="I6" s="14">
        <v>27</v>
      </c>
      <c r="J6" s="14" t="s">
        <v>274</v>
      </c>
      <c r="K6" s="14" t="s">
        <v>2746</v>
      </c>
      <c r="L6" s="14" t="s">
        <v>2747</v>
      </c>
      <c r="M6" s="14" t="s">
        <v>9158</v>
      </c>
      <c r="N6" s="14" t="s">
        <v>9158</v>
      </c>
      <c r="O6" s="18" t="s">
        <v>10067</v>
      </c>
      <c r="P6" s="14" t="s">
        <v>2748</v>
      </c>
      <c r="Q6" s="14">
        <v>1</v>
      </c>
      <c r="R6" s="14"/>
    </row>
    <row r="7" spans="1:19">
      <c r="A7" s="9">
        <v>78633</v>
      </c>
      <c r="B7" s="14" t="s">
        <v>334</v>
      </c>
      <c r="C7" s="14" t="s">
        <v>200</v>
      </c>
      <c r="D7" s="14" t="s">
        <v>2749</v>
      </c>
      <c r="E7" s="15" t="str">
        <f>HYPERLINK("https://stat100.ameba.jp/tnk47/ratio20/illustrations/card/ill_78633_geishunyuramyoinni03.jpg?201901-3-RELEASE-dice-e-389", "■")</f>
        <v>■</v>
      </c>
      <c r="F7" s="14" t="s">
        <v>2750</v>
      </c>
      <c r="G7" s="14">
        <v>83499</v>
      </c>
      <c r="H7" s="14">
        <v>89839</v>
      </c>
      <c r="I7" s="14">
        <v>23</v>
      </c>
      <c r="J7" s="14" t="s">
        <v>315</v>
      </c>
      <c r="K7" s="14" t="s">
        <v>2751</v>
      </c>
      <c r="L7" s="14" t="s">
        <v>608</v>
      </c>
      <c r="M7" s="14" t="s">
        <v>9158</v>
      </c>
      <c r="N7" s="14" t="s">
        <v>9158</v>
      </c>
      <c r="O7" s="7" t="s">
        <v>2752</v>
      </c>
      <c r="P7" s="14" t="s">
        <v>13123</v>
      </c>
      <c r="Q7" s="14">
        <v>1</v>
      </c>
      <c r="R7" s="14"/>
    </row>
    <row r="8" spans="1:19">
      <c r="A8" s="9">
        <v>78643</v>
      </c>
      <c r="B8" s="14" t="s">
        <v>334</v>
      </c>
      <c r="C8" s="14" t="s">
        <v>191</v>
      </c>
      <c r="D8" s="14" t="s">
        <v>9855</v>
      </c>
      <c r="E8" s="15" t="str">
        <f>HYPERLINK("https://stat100.ameba.jp/tnk47/ratio20/illustrations/card/ill_78643_geishunikumatsu03.jpg?201901-3-RELEASE-dice-e-389", "■")</f>
        <v>■</v>
      </c>
      <c r="F8" s="14" t="s">
        <v>2753</v>
      </c>
      <c r="G8" s="14">
        <v>93263</v>
      </c>
      <c r="H8" s="14">
        <v>86751</v>
      </c>
      <c r="I8" s="14">
        <v>23</v>
      </c>
      <c r="J8" s="14" t="s">
        <v>414</v>
      </c>
      <c r="K8" s="14" t="s">
        <v>2754</v>
      </c>
      <c r="L8" s="14" t="s">
        <v>1485</v>
      </c>
      <c r="M8" s="14" t="s">
        <v>11610</v>
      </c>
      <c r="N8" s="14" t="s">
        <v>343</v>
      </c>
      <c r="O8" s="14" t="s">
        <v>9158</v>
      </c>
      <c r="P8" s="14" t="s">
        <v>9158</v>
      </c>
      <c r="Q8" s="14" t="s">
        <v>9158</v>
      </c>
      <c r="R8" s="14" t="s">
        <v>13120</v>
      </c>
    </row>
    <row r="9" spans="1:19">
      <c r="A9" s="9">
        <v>78653</v>
      </c>
      <c r="B9" s="14" t="s">
        <v>334</v>
      </c>
      <c r="C9" s="14" t="s">
        <v>205</v>
      </c>
      <c r="D9" s="14" t="s">
        <v>9856</v>
      </c>
      <c r="E9" s="15" t="str">
        <f>HYPERLINK("https://stat100.ameba.jp/tnk47/ratio20/illustrations/card/ill_78653_geishumbakedanuki03.jpg?201901-3-RELEASE-dice-e-389", "■")</f>
        <v>■</v>
      </c>
      <c r="F9" s="14" t="s">
        <v>2755</v>
      </c>
      <c r="G9" s="14">
        <v>95830</v>
      </c>
      <c r="H9" s="14">
        <v>95830</v>
      </c>
      <c r="I9" s="14">
        <v>23</v>
      </c>
      <c r="J9" s="14" t="s">
        <v>320</v>
      </c>
      <c r="K9" s="14" t="s">
        <v>2756</v>
      </c>
      <c r="L9" s="14" t="s">
        <v>2757</v>
      </c>
      <c r="M9" s="14" t="s">
        <v>342</v>
      </c>
      <c r="N9" s="14" t="s">
        <v>343</v>
      </c>
      <c r="O9" s="14" t="s">
        <v>9158</v>
      </c>
      <c r="P9" s="14" t="s">
        <v>9158</v>
      </c>
      <c r="Q9" s="14" t="s">
        <v>9158</v>
      </c>
      <c r="R9" s="14" t="s">
        <v>13120</v>
      </c>
    </row>
    <row r="10" spans="1:19">
      <c r="A10" s="9">
        <v>78663</v>
      </c>
      <c r="B10" s="14" t="s">
        <v>348</v>
      </c>
      <c r="C10" s="14" t="s">
        <v>185</v>
      </c>
      <c r="D10" s="14" t="s">
        <v>2758</v>
      </c>
      <c r="E10" s="15" t="str">
        <f>HYPERLINK("https://stat100.ameba.jp/tnk47/ratio20/illustrations/card/ill_78663_fuyunojinnaoekanetsugu03.jpg?201901-3-RELEASE-dice-e-389", "■")</f>
        <v>■</v>
      </c>
      <c r="F10" s="14" t="s">
        <v>2759</v>
      </c>
      <c r="G10" s="14">
        <v>56456</v>
      </c>
      <c r="H10" s="14">
        <v>62244</v>
      </c>
      <c r="I10" s="14">
        <v>21</v>
      </c>
      <c r="J10" s="14" t="s">
        <v>310</v>
      </c>
      <c r="K10" s="14" t="s">
        <v>2760</v>
      </c>
      <c r="L10" s="14" t="s">
        <v>2761</v>
      </c>
      <c r="M10" s="14" t="s">
        <v>9158</v>
      </c>
      <c r="N10" s="14" t="s">
        <v>9158</v>
      </c>
      <c r="O10" s="14" t="s">
        <v>9158</v>
      </c>
      <c r="P10" s="14" t="s">
        <v>9158</v>
      </c>
      <c r="Q10" s="14" t="s">
        <v>9158</v>
      </c>
      <c r="R10" s="14"/>
    </row>
    <row r="11" spans="1:19">
      <c r="A11" s="9">
        <v>78673</v>
      </c>
      <c r="B11" s="14" t="s">
        <v>348</v>
      </c>
      <c r="C11" s="14" t="s">
        <v>206</v>
      </c>
      <c r="D11" s="14" t="s">
        <v>2762</v>
      </c>
      <c r="E11" s="15" t="str">
        <f>HYPERLINK("https://stat100.ameba.jp/tnk47/ratio20/illustrations/card/ill_78673_kinin03.jpg?201901-3-RELEASE-dice-e-389", "■")</f>
        <v>■</v>
      </c>
      <c r="F11" s="14" t="s">
        <v>2763</v>
      </c>
      <c r="G11" s="14">
        <v>62244</v>
      </c>
      <c r="H11" s="14">
        <v>62244</v>
      </c>
      <c r="I11" s="14">
        <v>21</v>
      </c>
      <c r="J11" s="14" t="s">
        <v>369</v>
      </c>
      <c r="K11" s="14" t="s">
        <v>2764</v>
      </c>
      <c r="L11" s="14" t="s">
        <v>2765</v>
      </c>
      <c r="M11" s="14" t="s">
        <v>9158</v>
      </c>
      <c r="N11" s="14" t="s">
        <v>9158</v>
      </c>
      <c r="O11" s="14" t="s">
        <v>9158</v>
      </c>
      <c r="P11" s="14" t="s">
        <v>9158</v>
      </c>
      <c r="Q11" s="14" t="s">
        <v>9158</v>
      </c>
      <c r="R11" s="14"/>
    </row>
    <row r="12" spans="1:19">
      <c r="A12" s="9">
        <v>78683</v>
      </c>
      <c r="B12" s="14" t="s">
        <v>348</v>
      </c>
      <c r="C12" s="14" t="s">
        <v>165</v>
      </c>
      <c r="D12" s="14" t="s">
        <v>2766</v>
      </c>
      <c r="E12" s="15" t="str">
        <f>HYPERLINK("https://stat100.ameba.jp/tnk47/ratio20/illustrations/card/ill_78683_furisodetakoyakichan03.jpg?201901-3-RELEASE-dice-e-389", "■")</f>
        <v>■</v>
      </c>
      <c r="F12" s="14" t="s">
        <v>2767</v>
      </c>
      <c r="G12" s="14">
        <v>62244</v>
      </c>
      <c r="H12" s="14">
        <v>56456</v>
      </c>
      <c r="I12" s="14">
        <v>21</v>
      </c>
      <c r="J12" s="14" t="s">
        <v>283</v>
      </c>
      <c r="K12" s="14" t="s">
        <v>2768</v>
      </c>
      <c r="L12" s="14" t="s">
        <v>2769</v>
      </c>
      <c r="M12" s="14" t="s">
        <v>9158</v>
      </c>
      <c r="N12" s="14" t="s">
        <v>9158</v>
      </c>
      <c r="O12" s="14" t="s">
        <v>9158</v>
      </c>
      <c r="P12" s="14" t="s">
        <v>9158</v>
      </c>
      <c r="Q12" s="14" t="s">
        <v>9158</v>
      </c>
      <c r="R12" s="14"/>
    </row>
    <row r="13" spans="1:19">
      <c r="A13" s="9">
        <v>78723</v>
      </c>
      <c r="B13" s="14" t="s">
        <v>362</v>
      </c>
      <c r="C13" s="14" t="s">
        <v>1100</v>
      </c>
      <c r="D13" s="14" t="s">
        <v>2770</v>
      </c>
      <c r="E13" s="15" t="str">
        <f>HYPERLINK("https://stat100.ameba.jp/tnk47/ratio20/illustrations/card/ill_78723_mannenhitsuchan03.jpg?201901-3-RELEASE-dice-e-389", "■")</f>
        <v>■</v>
      </c>
      <c r="F13" s="14" t="s">
        <v>2771</v>
      </c>
      <c r="G13" s="14">
        <v>43662</v>
      </c>
      <c r="H13" s="14">
        <v>43662</v>
      </c>
      <c r="I13" s="14">
        <v>21</v>
      </c>
      <c r="J13" s="14" t="s">
        <v>369</v>
      </c>
      <c r="K13" s="14" t="s">
        <v>2772</v>
      </c>
      <c r="L13" s="14" t="s">
        <v>371</v>
      </c>
      <c r="M13" s="14" t="s">
        <v>9158</v>
      </c>
      <c r="N13" s="14" t="s">
        <v>9158</v>
      </c>
      <c r="O13" s="14" t="s">
        <v>9158</v>
      </c>
      <c r="P13" s="14" t="s">
        <v>9158</v>
      </c>
      <c r="Q13" s="14" t="s">
        <v>9158</v>
      </c>
      <c r="R13" s="14"/>
    </row>
    <row r="14" spans="1:19">
      <c r="A14" s="9">
        <v>78733</v>
      </c>
      <c r="B14" s="14" t="s">
        <v>362</v>
      </c>
      <c r="C14" s="14" t="s">
        <v>206</v>
      </c>
      <c r="D14" s="14" t="s">
        <v>2773</v>
      </c>
      <c r="E14" s="15" t="str">
        <f>HYPERLINK("https://stat100.ameba.jp/tnk47/ratio20/illustrations/card/ill_78733_yukinoukokumatsurasayohimedensetsu03.jpg?201901-3-RELEASE-dice-e-389", "■")</f>
        <v>■</v>
      </c>
      <c r="F14" s="14" t="s">
        <v>2774</v>
      </c>
      <c r="G14" s="14">
        <v>36304</v>
      </c>
      <c r="H14" s="14">
        <v>43662</v>
      </c>
      <c r="I14" s="14">
        <v>21</v>
      </c>
      <c r="J14" s="14" t="s">
        <v>274</v>
      </c>
      <c r="K14" s="14" t="s">
        <v>2775</v>
      </c>
      <c r="L14" s="14" t="s">
        <v>366</v>
      </c>
      <c r="M14" s="14" t="s">
        <v>9158</v>
      </c>
      <c r="N14" s="14" t="s">
        <v>9158</v>
      </c>
      <c r="O14" s="14" t="s">
        <v>9158</v>
      </c>
      <c r="P14" s="14" t="s">
        <v>9158</v>
      </c>
      <c r="Q14" s="14" t="s">
        <v>9158</v>
      </c>
      <c r="R14" s="14"/>
    </row>
    <row r="15" spans="1:19">
      <c r="A15" s="9">
        <v>78743</v>
      </c>
      <c r="B15" s="14" t="s">
        <v>372</v>
      </c>
      <c r="C15" s="14" t="s">
        <v>1329</v>
      </c>
      <c r="D15" s="14" t="s">
        <v>2776</v>
      </c>
      <c r="E15" s="15" t="str">
        <f>HYPERLINK("https://stat100.ameba.jp/tnk47/ratio20/illustrations/card/ill_78743_kagamibirakinihonshuchan03.jpg?201901-3-RELEASE-dice-e-389", "■")</f>
        <v>■</v>
      </c>
      <c r="F15" s="14" t="s">
        <v>2777</v>
      </c>
      <c r="G15" s="14">
        <v>26434</v>
      </c>
      <c r="H15" s="14">
        <v>22200</v>
      </c>
      <c r="I15" s="14">
        <v>21</v>
      </c>
      <c r="J15" s="14" t="s">
        <v>283</v>
      </c>
      <c r="K15" s="14" t="s">
        <v>2778</v>
      </c>
      <c r="L15" s="10" t="s">
        <v>6592</v>
      </c>
      <c r="M15" s="14" t="s">
        <v>9158</v>
      </c>
      <c r="N15" s="14" t="s">
        <v>9158</v>
      </c>
      <c r="O15" s="14" t="s">
        <v>9158</v>
      </c>
      <c r="P15" s="14" t="s">
        <v>9158</v>
      </c>
      <c r="Q15" s="14" t="s">
        <v>9158</v>
      </c>
      <c r="R15" s="14"/>
    </row>
    <row r="16" spans="1:19">
      <c r="A16" s="9">
        <v>78753</v>
      </c>
      <c r="B16" s="14" t="s">
        <v>372</v>
      </c>
      <c r="C16" s="14" t="s">
        <v>2718</v>
      </c>
      <c r="D16" s="14" t="s">
        <v>2779</v>
      </c>
      <c r="E16" s="15" t="str">
        <f>HYPERLINK("https://stat100.ameba.jp/tnk47/ratio20/illustrations/card/ill_78753_togawahideyasu03.jpg?201901-3-RELEASE-dice-e-389", "■")</f>
        <v>■</v>
      </c>
      <c r="F16" s="14" t="s">
        <v>2780</v>
      </c>
      <c r="G16" s="14">
        <v>22200</v>
      </c>
      <c r="H16" s="14">
        <v>26434</v>
      </c>
      <c r="I16" s="14">
        <v>21</v>
      </c>
      <c r="J16" s="14" t="s">
        <v>310</v>
      </c>
      <c r="K16" s="14" t="s">
        <v>2781</v>
      </c>
      <c r="L16" s="10" t="s">
        <v>6014</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O17" s="7"/>
      <c r="P17" s="14"/>
      <c r="Q17" s="14"/>
      <c r="R17" s="14"/>
    </row>
    <row r="18" spans="1:18">
      <c r="A18" s="14" t="s">
        <v>13338</v>
      </c>
      <c r="D18" s="14"/>
      <c r="F18" s="14"/>
      <c r="G18" s="14"/>
      <c r="H18" s="14"/>
      <c r="I18" s="14"/>
      <c r="J18" s="14"/>
      <c r="K18" s="14"/>
      <c r="L18" s="14"/>
      <c r="M18" s="14"/>
      <c r="N18" s="14"/>
      <c r="O18" s="7"/>
      <c r="P18" s="14"/>
      <c r="Q18" s="14"/>
      <c r="R18" s="14"/>
    </row>
    <row r="19" spans="1:18">
      <c r="A19" s="14" t="s">
        <v>2782</v>
      </c>
      <c r="B19" s="14"/>
      <c r="C19" s="14"/>
      <c r="D19" s="14"/>
      <c r="F19" s="14"/>
      <c r="G19" s="14"/>
      <c r="H19" s="14"/>
      <c r="I19" s="14"/>
      <c r="J19" s="14"/>
      <c r="K19" s="14"/>
      <c r="L19" s="14"/>
      <c r="M19" s="14"/>
      <c r="N19" s="14"/>
      <c r="O19" s="7"/>
      <c r="P19" s="14"/>
      <c r="Q19" s="14"/>
      <c r="R19" s="14"/>
    </row>
    <row r="20" spans="1:18">
      <c r="A20" s="9">
        <v>78805</v>
      </c>
      <c r="B20" s="14" t="s">
        <v>334</v>
      </c>
      <c r="C20" s="14" t="s">
        <v>202</v>
      </c>
      <c r="D20" s="14" t="s">
        <v>2783</v>
      </c>
      <c r="E20" s="15" t="str">
        <f>HYPERLINK("https://stat100.ameba.jp/tnk47/ratio20/illustrations/card/ill_78805_waishatsuakaiteruko05.jpg?201901-3-RELEASE-dice-e-389", "■")</f>
        <v>■</v>
      </c>
      <c r="F20" s="14" t="s">
        <v>2784</v>
      </c>
      <c r="G20" s="14">
        <v>165280</v>
      </c>
      <c r="H20" s="14">
        <v>119682</v>
      </c>
      <c r="I20" s="14">
        <v>22</v>
      </c>
      <c r="J20" s="14" t="s">
        <v>310</v>
      </c>
      <c r="K20" s="14" t="s">
        <v>2785</v>
      </c>
      <c r="L20" s="14" t="s">
        <v>2786</v>
      </c>
      <c r="M20" s="14" t="s">
        <v>9158</v>
      </c>
      <c r="N20" s="14" t="s">
        <v>9158</v>
      </c>
      <c r="O20" s="14" t="s">
        <v>9158</v>
      </c>
      <c r="P20" s="14" t="s">
        <v>9158</v>
      </c>
      <c r="Q20" s="14" t="s">
        <v>9158</v>
      </c>
      <c r="R20" s="14" t="s">
        <v>174</v>
      </c>
    </row>
    <row r="21" spans="1:18">
      <c r="A21" s="9">
        <v>78803</v>
      </c>
      <c r="B21" s="14" t="s">
        <v>348</v>
      </c>
      <c r="C21" s="14" t="s">
        <v>209</v>
      </c>
      <c r="D21" s="14" t="s">
        <v>2783</v>
      </c>
      <c r="E21" s="15" t="str">
        <f>HYPERLINK("https://stat100.ameba.jp/tnk47/ratio20/illustrations/card/ill_78803_waishatsuakaiteruko03.jpg?201901-3-RELEASE-dice-e-389", "■")</f>
        <v>■</v>
      </c>
      <c r="F21" s="14" t="s">
        <v>2784</v>
      </c>
      <c r="G21" s="14">
        <v>121778</v>
      </c>
      <c r="H21" s="14">
        <v>88184</v>
      </c>
      <c r="I21" s="14">
        <v>22</v>
      </c>
      <c r="J21" s="14" t="s">
        <v>310</v>
      </c>
      <c r="K21" s="14" t="s">
        <v>2785</v>
      </c>
      <c r="L21" s="14" t="s">
        <v>2787</v>
      </c>
      <c r="M21" s="14" t="s">
        <v>9158</v>
      </c>
      <c r="N21" s="14" t="s">
        <v>9158</v>
      </c>
      <c r="O21" s="14" t="s">
        <v>9158</v>
      </c>
      <c r="P21" s="14" t="s">
        <v>9158</v>
      </c>
      <c r="Q21" s="14" t="s">
        <v>9158</v>
      </c>
      <c r="R21" s="14" t="s">
        <v>175</v>
      </c>
    </row>
    <row r="22" spans="1:18">
      <c r="A22" s="9">
        <v>78801</v>
      </c>
      <c r="B22" s="14" t="s">
        <v>348</v>
      </c>
      <c r="C22" s="14" t="s">
        <v>209</v>
      </c>
      <c r="D22" s="14" t="s">
        <v>2783</v>
      </c>
      <c r="E22" s="15" t="str">
        <f>HYPERLINK("https://stat100.ameba.jp/tnk47/ratio20/illustrations/card/ill_78801_waishatsuakaiteruko01.jpg?201901-3-RELEASE-dice-e-389", "■")</f>
        <v>■</v>
      </c>
      <c r="F22" s="14" t="s">
        <v>2784</v>
      </c>
      <c r="G22" s="14">
        <v>77462</v>
      </c>
      <c r="H22" s="14">
        <v>77462</v>
      </c>
      <c r="I22" s="14">
        <v>22</v>
      </c>
      <c r="J22" s="14" t="s">
        <v>310</v>
      </c>
      <c r="K22" s="14" t="s">
        <v>2785</v>
      </c>
      <c r="L22" s="14" t="s">
        <v>2788</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O23" s="7"/>
      <c r="P23" s="14"/>
      <c r="Q23" s="14"/>
      <c r="R23" s="14"/>
    </row>
    <row r="24" spans="1:18">
      <c r="A24" s="14" t="s">
        <v>177</v>
      </c>
      <c r="D24" s="14"/>
      <c r="F24" s="14"/>
      <c r="G24" s="14"/>
      <c r="H24" s="14"/>
      <c r="I24" s="14"/>
      <c r="J24" s="14"/>
      <c r="K24" s="14"/>
      <c r="L24" s="14"/>
      <c r="M24" s="14"/>
      <c r="N24" s="14"/>
      <c r="O24" s="7"/>
      <c r="P24" s="14"/>
      <c r="Q24" s="14"/>
      <c r="R24" s="14"/>
    </row>
    <row r="25" spans="1:18">
      <c r="A25" s="14" t="s">
        <v>2789</v>
      </c>
      <c r="B25" s="14"/>
      <c r="C25" s="14"/>
      <c r="D25" s="14"/>
      <c r="F25" s="14"/>
      <c r="G25" s="14"/>
      <c r="H25" s="14"/>
      <c r="I25" s="14"/>
      <c r="J25" s="14"/>
      <c r="K25" s="14"/>
      <c r="L25" s="14"/>
      <c r="M25" s="14"/>
      <c r="N25" s="14"/>
      <c r="O25" s="7"/>
      <c r="P25" s="14"/>
      <c r="Q25" s="14"/>
      <c r="R25" s="14"/>
    </row>
    <row r="26" spans="1:18">
      <c r="A26" s="9" t="s">
        <v>5822</v>
      </c>
      <c r="B26" s="14" t="s">
        <v>330</v>
      </c>
      <c r="C26" s="14" t="s">
        <v>191</v>
      </c>
      <c r="D26" s="14" t="s">
        <v>306</v>
      </c>
      <c r="E26" s="15" t="str">
        <f>HYPERLINK("https://stat100.ameba.jp/tnk47/ratio20/illustrations/card/ill_71403_0_ohanamisanadayukimura03.jpg?201901-3-RELEASE-dice-e-389", "■")</f>
        <v>■</v>
      </c>
      <c r="F26" s="14" t="s">
        <v>309</v>
      </c>
      <c r="G26" s="14">
        <v>140016</v>
      </c>
      <c r="H26" s="14">
        <v>130194</v>
      </c>
      <c r="I26" s="14">
        <v>15</v>
      </c>
      <c r="J26" s="14" t="s">
        <v>310</v>
      </c>
      <c r="K26" s="14" t="s">
        <v>311</v>
      </c>
      <c r="L26" s="14" t="s">
        <v>312</v>
      </c>
      <c r="M26" s="14" t="s">
        <v>9158</v>
      </c>
      <c r="N26" s="14" t="s">
        <v>9158</v>
      </c>
      <c r="O26" s="18" t="s">
        <v>10060</v>
      </c>
      <c r="P26" s="14" t="s">
        <v>3418</v>
      </c>
      <c r="Q26" s="14">
        <v>2</v>
      </c>
      <c r="R26" s="14"/>
    </row>
    <row r="27" spans="1:18">
      <c r="A27" s="9" t="s">
        <v>5618</v>
      </c>
      <c r="B27" s="14" t="s">
        <v>330</v>
      </c>
      <c r="C27" s="14" t="s">
        <v>200</v>
      </c>
      <c r="D27" s="14" t="s">
        <v>665</v>
      </c>
      <c r="E27" s="15" t="str">
        <f>HYPERLINK("https://stat100.ameba.jp/tnk47/ratio20/illustrations/card/ill_63173_0_minazukikonakaiteruko03.jpg?201901-3-RELEASE-dice-e-389", "■")</f>
        <v>■</v>
      </c>
      <c r="F27" s="14" t="s">
        <v>666</v>
      </c>
      <c r="G27" s="14">
        <v>130194</v>
      </c>
      <c r="H27" s="14">
        <v>140016</v>
      </c>
      <c r="I27" s="14">
        <v>15</v>
      </c>
      <c r="J27" s="14" t="s">
        <v>310</v>
      </c>
      <c r="K27" s="14" t="s">
        <v>667</v>
      </c>
      <c r="L27" s="14" t="s">
        <v>668</v>
      </c>
      <c r="M27" s="14" t="s">
        <v>9158</v>
      </c>
      <c r="N27" s="14" t="s">
        <v>9158</v>
      </c>
      <c r="O27" s="7" t="s">
        <v>3328</v>
      </c>
      <c r="P27" s="14" t="s">
        <v>3329</v>
      </c>
      <c r="Q27" s="14">
        <v>1</v>
      </c>
      <c r="R27" s="14"/>
    </row>
    <row r="28" spans="1:18">
      <c r="A28" s="9" t="s">
        <v>5902</v>
      </c>
      <c r="B28" s="14" t="s">
        <v>330</v>
      </c>
      <c r="C28" s="14" t="s">
        <v>206</v>
      </c>
      <c r="D28" s="14" t="s">
        <v>483</v>
      </c>
      <c r="E28" s="15" t="str">
        <f>HYPERLINK("https://stat100.ameba.jp/tnk47/ratio20/illustrations/card/ill_40343_0_heshikirihasebekurodakambe03.jpg?201901-3-RELEASE-dice-e-389", "■")</f>
        <v>■</v>
      </c>
      <c r="F28" s="14" t="s">
        <v>484</v>
      </c>
      <c r="G28" s="14">
        <v>87780</v>
      </c>
      <c r="H28" s="14">
        <v>82212</v>
      </c>
      <c r="I28" s="14">
        <v>15</v>
      </c>
      <c r="J28" s="14" t="s">
        <v>414</v>
      </c>
      <c r="K28" s="14" t="s">
        <v>485</v>
      </c>
      <c r="L28" s="14" t="s">
        <v>486</v>
      </c>
      <c r="M28" s="14" t="s">
        <v>9158</v>
      </c>
      <c r="N28" s="14" t="s">
        <v>9158</v>
      </c>
      <c r="O28" s="14" t="s">
        <v>9158</v>
      </c>
      <c r="P28" s="14" t="s">
        <v>9158</v>
      </c>
      <c r="Q28" s="14" t="s">
        <v>9158</v>
      </c>
      <c r="R28" s="14"/>
    </row>
    <row r="29" spans="1:18">
      <c r="A29" s="9">
        <v>79793</v>
      </c>
      <c r="B29" s="14" t="s">
        <v>334</v>
      </c>
      <c r="C29" s="14" t="s">
        <v>202</v>
      </c>
      <c r="D29" s="14" t="s">
        <v>12747</v>
      </c>
      <c r="E29" s="15" t="str">
        <f>HYPERLINK("https://stat100.ameba.jp/tnk47/ratio20/illustrations/card/ill_79793_kuresuteirureina03.jpg?201901-3-RELEASE-dice-e-389", "■")</f>
        <v>■</v>
      </c>
      <c r="F29" s="14" t="s">
        <v>2791</v>
      </c>
      <c r="G29" s="14">
        <v>75776</v>
      </c>
      <c r="H29" s="14">
        <v>134732</v>
      </c>
      <c r="I29" s="14">
        <v>22</v>
      </c>
      <c r="J29" s="14" t="s">
        <v>283</v>
      </c>
      <c r="K29" s="14" t="s">
        <v>2792</v>
      </c>
      <c r="L29" s="14" t="s">
        <v>2793</v>
      </c>
      <c r="M29" s="14" t="s">
        <v>9158</v>
      </c>
      <c r="N29" s="14" t="s">
        <v>9158</v>
      </c>
      <c r="O29" s="14" t="s">
        <v>9158</v>
      </c>
      <c r="P29" s="14" t="s">
        <v>9158</v>
      </c>
      <c r="Q29" s="14" t="s">
        <v>9158</v>
      </c>
      <c r="R29" s="14"/>
    </row>
    <row r="30" spans="1:18">
      <c r="A30" s="14">
        <v>79803</v>
      </c>
      <c r="B30" s="14" t="s">
        <v>334</v>
      </c>
      <c r="C30" s="14" t="s">
        <v>202</v>
      </c>
      <c r="D30" s="14" t="s">
        <v>2794</v>
      </c>
      <c r="E30" s="15" t="str">
        <f>HYPERLINK("https://stat100.ameba.jp/tnk47/ratio20/illustrations/card/ill_79803_oyamadaisane03.jpg?201901-3-RELEASE-dice-e-389", "■")</f>
        <v>■</v>
      </c>
      <c r="F30" s="14" t="s">
        <v>2795</v>
      </c>
      <c r="G30" s="14">
        <v>62686</v>
      </c>
      <c r="H30" s="14">
        <v>111406</v>
      </c>
      <c r="I30" s="14">
        <v>22</v>
      </c>
      <c r="J30" s="14" t="s">
        <v>351</v>
      </c>
      <c r="K30" s="14" t="s">
        <v>2796</v>
      </c>
      <c r="L30" s="14" t="s">
        <v>2797</v>
      </c>
      <c r="M30" s="14" t="s">
        <v>9158</v>
      </c>
      <c r="N30" s="14" t="s">
        <v>9158</v>
      </c>
      <c r="O30" s="14" t="s">
        <v>9158</v>
      </c>
      <c r="P30" s="14" t="s">
        <v>9158</v>
      </c>
      <c r="Q30" s="14" t="s">
        <v>9158</v>
      </c>
      <c r="R30" s="14"/>
    </row>
    <row r="31" spans="1:18">
      <c r="A31" s="14">
        <v>79813</v>
      </c>
      <c r="B31" s="14" t="s">
        <v>334</v>
      </c>
      <c r="C31" s="14" t="s">
        <v>202</v>
      </c>
      <c r="D31" s="14" t="s">
        <v>2798</v>
      </c>
      <c r="E31" s="15" t="str">
        <f>HYPERLINK("https://stat100.ameba.jp/tnk47/ratio20/illustrations/card/ill_79813_takarazukamarimo03.jpg?201901-3-RELEASE-dice-e-389", "■")</f>
        <v>■</v>
      </c>
      <c r="F31" s="14" t="s">
        <v>2799</v>
      </c>
      <c r="G31" s="14">
        <v>130052</v>
      </c>
      <c r="H31" s="14">
        <v>73178</v>
      </c>
      <c r="I31" s="14">
        <v>22</v>
      </c>
      <c r="J31" s="14" t="s">
        <v>274</v>
      </c>
      <c r="K31" s="14" t="s">
        <v>2800</v>
      </c>
      <c r="L31" s="14" t="s">
        <v>489</v>
      </c>
      <c r="M31" s="14" t="s">
        <v>9158</v>
      </c>
      <c r="N31" s="14" t="s">
        <v>9158</v>
      </c>
      <c r="O31" s="14" t="s">
        <v>9158</v>
      </c>
      <c r="P31" s="14" t="s">
        <v>9158</v>
      </c>
      <c r="Q31" s="14" t="s">
        <v>9158</v>
      </c>
      <c r="R31" s="14"/>
    </row>
    <row r="32" spans="1:18">
      <c r="A32" s="14">
        <v>57723</v>
      </c>
      <c r="B32" s="14" t="s">
        <v>348</v>
      </c>
      <c r="C32" s="14" t="s">
        <v>206</v>
      </c>
      <c r="D32" s="14" t="s">
        <v>2801</v>
      </c>
      <c r="E32" s="15" t="str">
        <f>HYPERLINK("https://stat100.ameba.jp/tnk47/ratio20/illustrations/card/ill_57723_shogatsunisenjunanatamagusukuseiju03.jpg?201901-3-RELEASE-dice-e-389", "■")</f>
        <v>■</v>
      </c>
      <c r="F32" s="14" t="s">
        <v>2802</v>
      </c>
      <c r="G32" s="14">
        <v>65208</v>
      </c>
      <c r="H32" s="14">
        <v>59144</v>
      </c>
      <c r="I32" s="14">
        <v>22</v>
      </c>
      <c r="J32" s="14" t="s">
        <v>414</v>
      </c>
      <c r="K32" s="14" t="s">
        <v>2803</v>
      </c>
      <c r="L32" s="14" t="s">
        <v>2804</v>
      </c>
      <c r="M32" s="14" t="s">
        <v>9158</v>
      </c>
      <c r="N32" s="14" t="s">
        <v>9158</v>
      </c>
      <c r="O32" s="14" t="s">
        <v>9158</v>
      </c>
      <c r="P32" s="14" t="s">
        <v>9158</v>
      </c>
      <c r="Q32" s="14" t="s">
        <v>9158</v>
      </c>
      <c r="R32" s="14"/>
    </row>
    <row r="33" spans="1:18">
      <c r="A33" s="14">
        <v>58823</v>
      </c>
      <c r="B33" s="14" t="s">
        <v>348</v>
      </c>
      <c r="C33" s="14" t="s">
        <v>185</v>
      </c>
      <c r="D33" s="14" t="s">
        <v>2805</v>
      </c>
      <c r="E33" s="15" t="str">
        <f>HYPERLINK("https://stat100.ameba.jp/tnk47/ratio20/illustrations/card/ill_58823_setsubumpanikkurepunkamui03.jpg?201901-3-RELEASE-dice-e-389", "■")</f>
        <v>■</v>
      </c>
      <c r="F33" s="14" t="s">
        <v>2806</v>
      </c>
      <c r="G33" s="14">
        <v>65208</v>
      </c>
      <c r="H33" s="14">
        <v>59144</v>
      </c>
      <c r="I33" s="14">
        <v>22</v>
      </c>
      <c r="J33" s="14" t="s">
        <v>401</v>
      </c>
      <c r="K33" s="14" t="s">
        <v>2807</v>
      </c>
      <c r="L33" s="14" t="s">
        <v>2808</v>
      </c>
      <c r="M33" s="14" t="s">
        <v>9158</v>
      </c>
      <c r="N33" s="14" t="s">
        <v>9158</v>
      </c>
      <c r="O33" s="14" t="s">
        <v>9158</v>
      </c>
      <c r="P33" s="14" t="s">
        <v>9158</v>
      </c>
      <c r="Q33" s="14" t="s">
        <v>9158</v>
      </c>
      <c r="R33" s="14"/>
    </row>
    <row r="34" spans="1:18">
      <c r="A34" s="7">
        <v>61873</v>
      </c>
      <c r="B34" s="14" t="s">
        <v>348</v>
      </c>
      <c r="C34" s="14" t="s">
        <v>165</v>
      </c>
      <c r="D34" s="14" t="s">
        <v>2809</v>
      </c>
      <c r="E34" s="15" t="str">
        <f>HYPERLINK("https://stat100.ameba.jp/tnk47/ratio20/illustrations/card/ill_61873_onikirishunuregamidoji03.jpg?201901-3-RELEASE-dice-e-389", "■")</f>
        <v>■</v>
      </c>
      <c r="F34" s="14" t="s">
        <v>2810</v>
      </c>
      <c r="G34" s="14">
        <v>65208</v>
      </c>
      <c r="H34" s="14">
        <v>59144</v>
      </c>
      <c r="I34" s="14">
        <v>22</v>
      </c>
      <c r="J34" s="14" t="s">
        <v>320</v>
      </c>
      <c r="K34" s="14" t="s">
        <v>2811</v>
      </c>
      <c r="L34" s="14" t="s">
        <v>2812</v>
      </c>
      <c r="M34" s="14" t="s">
        <v>9158</v>
      </c>
      <c r="N34" s="14" t="s">
        <v>9158</v>
      </c>
      <c r="O34" s="14" t="s">
        <v>9158</v>
      </c>
      <c r="P34" s="14" t="s">
        <v>9158</v>
      </c>
      <c r="Q34" s="14" t="s">
        <v>9158</v>
      </c>
      <c r="R34" s="14"/>
    </row>
    <row r="35" spans="1:18">
      <c r="A35" s="7"/>
      <c r="B35" s="14"/>
      <c r="C35" s="14"/>
      <c r="D35" s="14"/>
      <c r="F35" s="14"/>
      <c r="G35" s="14"/>
      <c r="H35" s="14"/>
      <c r="I35" s="14"/>
      <c r="J35" s="14"/>
      <c r="K35" s="14"/>
      <c r="L35" s="14"/>
      <c r="M35" s="14"/>
      <c r="N35" s="14"/>
      <c r="O35" s="7"/>
      <c r="P35" s="14"/>
      <c r="Q35" s="14"/>
      <c r="R35" s="14"/>
    </row>
    <row r="36" spans="1:18">
      <c r="A36" s="14" t="s">
        <v>114</v>
      </c>
      <c r="D36" s="14"/>
      <c r="F36" s="14"/>
      <c r="G36" s="14"/>
      <c r="H36" s="14"/>
      <c r="I36" s="14"/>
      <c r="J36" s="14"/>
      <c r="K36" s="14"/>
      <c r="L36" s="14"/>
      <c r="M36" s="14"/>
      <c r="N36" s="14"/>
      <c r="O36" s="7"/>
      <c r="P36" s="14"/>
      <c r="Q36" s="14"/>
      <c r="R36" s="14"/>
    </row>
    <row r="37" spans="1:18">
      <c r="A37" s="14" t="s">
        <v>2813</v>
      </c>
      <c r="B37" s="14"/>
      <c r="C37" s="14"/>
      <c r="D37" s="14"/>
      <c r="F37" s="14"/>
      <c r="G37" s="14"/>
      <c r="H37" s="14"/>
      <c r="I37" s="14"/>
      <c r="J37" s="14"/>
      <c r="K37" s="14"/>
      <c r="L37" s="14"/>
      <c r="M37" s="14"/>
      <c r="N37" s="14"/>
      <c r="O37" s="7"/>
      <c r="P37" s="14"/>
      <c r="Q37" s="14"/>
      <c r="R37" s="14"/>
    </row>
    <row r="38" spans="1:18">
      <c r="A38" s="14" t="s">
        <v>5615</v>
      </c>
      <c r="B38" s="14" t="s">
        <v>330</v>
      </c>
      <c r="C38" s="14" t="s">
        <v>206</v>
      </c>
      <c r="D38" s="14" t="s">
        <v>1015</v>
      </c>
      <c r="E38" s="15" t="str">
        <f>HYPERLINK("https://stat100.ameba.jp/tnk47/ratio20/illustrations/card/ill_57733_0_shogatsunisenjunanaamakusashiro03.jpg?201901-3-RELEASE-dice-e-389", "■")</f>
        <v>■</v>
      </c>
      <c r="F38" s="14" t="s">
        <v>2815</v>
      </c>
      <c r="G38" s="14">
        <v>117196</v>
      </c>
      <c r="H38" s="14">
        <v>117196</v>
      </c>
      <c r="I38" s="14">
        <v>21</v>
      </c>
      <c r="J38" s="14" t="s">
        <v>351</v>
      </c>
      <c r="K38" s="14" t="s">
        <v>2816</v>
      </c>
      <c r="L38" s="14" t="s">
        <v>2817</v>
      </c>
      <c r="M38" s="14" t="s">
        <v>9158</v>
      </c>
      <c r="N38" s="14" t="s">
        <v>9158</v>
      </c>
      <c r="O38" s="18" t="s">
        <v>10063</v>
      </c>
      <c r="P38" s="14" t="s">
        <v>3062</v>
      </c>
      <c r="Q38" s="14">
        <v>1</v>
      </c>
      <c r="R38" s="14"/>
    </row>
    <row r="39" spans="1:18">
      <c r="A39" s="14" t="s">
        <v>5820</v>
      </c>
      <c r="B39" s="14" t="s">
        <v>330</v>
      </c>
      <c r="C39" s="14" t="s">
        <v>200</v>
      </c>
      <c r="D39" s="14" t="s">
        <v>630</v>
      </c>
      <c r="E39" s="15" t="str">
        <f>HYPERLINK("https://stat100.ameba.jp/tnk47/ratio20/illustrations/card/ill_48283_0_kyuubitamamonomae03.jpg?201901-3-RELEASE-dice-e-389", "■")</f>
        <v>■</v>
      </c>
      <c r="F39" s="14" t="s">
        <v>631</v>
      </c>
      <c r="G39" s="14">
        <v>131930</v>
      </c>
      <c r="H39" s="14">
        <v>117196</v>
      </c>
      <c r="I39" s="14">
        <v>21</v>
      </c>
      <c r="J39" s="14" t="s">
        <v>320</v>
      </c>
      <c r="K39" s="14" t="s">
        <v>632</v>
      </c>
      <c r="L39" s="14" t="s">
        <v>633</v>
      </c>
      <c r="M39" s="14" t="s">
        <v>9158</v>
      </c>
      <c r="N39" s="14" t="s">
        <v>9158</v>
      </c>
      <c r="O39" s="14" t="s">
        <v>9158</v>
      </c>
      <c r="P39" s="14" t="s">
        <v>9158</v>
      </c>
      <c r="Q39" s="14" t="s">
        <v>9158</v>
      </c>
      <c r="R39" s="14"/>
    </row>
    <row r="40" spans="1:18">
      <c r="A40" s="9">
        <v>78873</v>
      </c>
      <c r="B40" s="14" t="s">
        <v>334</v>
      </c>
      <c r="C40" s="14" t="s">
        <v>209</v>
      </c>
      <c r="D40" s="14" t="s">
        <v>2818</v>
      </c>
      <c r="E40" s="15" t="str">
        <f>HYPERLINK("https://stat100.ameba.jp/tnk47/ratio20/illustrations/card/ill_78873_furutsutomato03.jpg?201901-3-RELEASE-dice-e-389", "■")</f>
        <v>■</v>
      </c>
      <c r="F40" s="14" t="s">
        <v>2819</v>
      </c>
      <c r="G40" s="14">
        <v>91876</v>
      </c>
      <c r="H40" s="14">
        <v>126858</v>
      </c>
      <c r="I40" s="14">
        <v>24</v>
      </c>
      <c r="J40" s="14" t="s">
        <v>283</v>
      </c>
      <c r="K40" s="14" t="s">
        <v>2820</v>
      </c>
      <c r="L40" s="14" t="s">
        <v>2821</v>
      </c>
      <c r="M40" s="14" t="s">
        <v>9158</v>
      </c>
      <c r="N40" s="14" t="s">
        <v>9158</v>
      </c>
      <c r="O40" s="18" t="s">
        <v>10053</v>
      </c>
      <c r="P40" s="14" t="s">
        <v>2822</v>
      </c>
      <c r="Q40" s="14">
        <v>1</v>
      </c>
      <c r="R40" s="14"/>
    </row>
    <row r="41" spans="1:18">
      <c r="A41" s="9">
        <v>71313</v>
      </c>
      <c r="B41" s="14" t="s">
        <v>334</v>
      </c>
      <c r="C41" s="14" t="s">
        <v>203</v>
      </c>
      <c r="D41" s="14" t="s">
        <v>2823</v>
      </c>
      <c r="E41" s="15" t="str">
        <f>HYPERLINK("https://stat100.ameba.jp/tnk47/ratio20/illustrations/card/ill_71313_kagewani03.jpg?201901-3-RELEASE-dice-e-389", "■")</f>
        <v>■</v>
      </c>
      <c r="F41" s="14" t="s">
        <v>2824</v>
      </c>
      <c r="G41" s="14">
        <v>77618</v>
      </c>
      <c r="H41" s="14">
        <v>107166</v>
      </c>
      <c r="I41" s="14">
        <v>21</v>
      </c>
      <c r="J41" s="14" t="s">
        <v>274</v>
      </c>
      <c r="K41" s="14" t="s">
        <v>2825</v>
      </c>
      <c r="L41" s="14" t="s">
        <v>2826</v>
      </c>
      <c r="M41" s="14" t="s">
        <v>9158</v>
      </c>
      <c r="N41" s="14" t="s">
        <v>9158</v>
      </c>
      <c r="O41" s="14" t="s">
        <v>9158</v>
      </c>
      <c r="P41" s="14" t="s">
        <v>9158</v>
      </c>
      <c r="Q41" s="14" t="s">
        <v>9158</v>
      </c>
      <c r="R41" s="14"/>
    </row>
    <row r="42" spans="1:18">
      <c r="A42" s="9">
        <v>49433</v>
      </c>
      <c r="B42" s="14" t="s">
        <v>334</v>
      </c>
      <c r="C42" s="14" t="s">
        <v>2484</v>
      </c>
      <c r="D42" s="14" t="s">
        <v>2827</v>
      </c>
      <c r="E42" s="15" t="str">
        <f>HYPERLINK("https://stat100.ameba.jp/tnk47/ratio20/illustrations/card/ill_49433_buruinparesu03.jpg?201901-3-RELEASE-dice-e-389", "■")</f>
        <v>■</v>
      </c>
      <c r="F42" s="14" t="s">
        <v>2828</v>
      </c>
      <c r="G42" s="14">
        <v>86668</v>
      </c>
      <c r="H42" s="14">
        <v>63547</v>
      </c>
      <c r="I42" s="14">
        <v>21</v>
      </c>
      <c r="J42" s="14" t="s">
        <v>369</v>
      </c>
      <c r="K42" s="14" t="s">
        <v>2829</v>
      </c>
      <c r="L42" s="14" t="s">
        <v>2830</v>
      </c>
      <c r="M42" s="14" t="s">
        <v>9158</v>
      </c>
      <c r="N42" s="14" t="s">
        <v>9158</v>
      </c>
      <c r="O42" s="14" t="s">
        <v>9158</v>
      </c>
      <c r="P42" s="14" t="s">
        <v>9158</v>
      </c>
      <c r="Q42" s="14" t="s">
        <v>9158</v>
      </c>
      <c r="R42" s="14"/>
    </row>
    <row r="43" spans="1:18">
      <c r="A43" s="9">
        <v>63263</v>
      </c>
      <c r="B43" s="14" t="s">
        <v>334</v>
      </c>
      <c r="C43" s="14" t="s">
        <v>209</v>
      </c>
      <c r="D43" s="14" t="s">
        <v>2831</v>
      </c>
      <c r="E43" s="15" t="str">
        <f>HYPERLINK("https://stat100.ameba.jp/tnk47/ratio20/illustrations/card/ill_63263_saionjikimmochi03.jpg?201901-3-RELEASE-dice-e-389", "■")</f>
        <v>■</v>
      </c>
      <c r="F43" s="14" t="s">
        <v>2832</v>
      </c>
      <c r="G43" s="14">
        <v>66487</v>
      </c>
      <c r="H43" s="14">
        <v>91779</v>
      </c>
      <c r="I43" s="14">
        <v>21</v>
      </c>
      <c r="J43" s="14" t="s">
        <v>351</v>
      </c>
      <c r="K43" s="14" t="s">
        <v>2833</v>
      </c>
      <c r="L43" s="14" t="s">
        <v>1625</v>
      </c>
      <c r="M43" s="14" t="s">
        <v>9158</v>
      </c>
      <c r="N43" s="14" t="s">
        <v>9158</v>
      </c>
      <c r="O43" s="14" t="s">
        <v>9158</v>
      </c>
      <c r="P43" s="14" t="s">
        <v>9158</v>
      </c>
      <c r="Q43" s="14" t="s">
        <v>9158</v>
      </c>
      <c r="R43" s="14"/>
    </row>
    <row r="44" spans="1:18">
      <c r="A44" s="9">
        <v>62473</v>
      </c>
      <c r="B44" s="14" t="s">
        <v>334</v>
      </c>
      <c r="C44" s="14" t="s">
        <v>203</v>
      </c>
      <c r="D44" s="14" t="s">
        <v>2834</v>
      </c>
      <c r="E44" s="15" t="str">
        <f>HYPERLINK("https://stat100.ameba.jp/tnk47/ratio20/illustrations/card/ill_62473_kokuriko03.jpg?201901-3-RELEASE-dice-e-389", "■")</f>
        <v>■</v>
      </c>
      <c r="F44" s="14" t="s">
        <v>2835</v>
      </c>
      <c r="G44" s="14">
        <v>95859</v>
      </c>
      <c r="H44" s="14">
        <v>69430</v>
      </c>
      <c r="I44" s="14">
        <v>21</v>
      </c>
      <c r="J44" s="14" t="s">
        <v>401</v>
      </c>
      <c r="K44" s="14" t="s">
        <v>2836</v>
      </c>
      <c r="L44" s="14" t="s">
        <v>2837</v>
      </c>
      <c r="M44" s="14" t="s">
        <v>9158</v>
      </c>
      <c r="N44" s="14" t="s">
        <v>9158</v>
      </c>
      <c r="O44" s="7" t="s">
        <v>2838</v>
      </c>
      <c r="P44" s="14" t="s">
        <v>2839</v>
      </c>
      <c r="Q44" s="14">
        <v>1</v>
      </c>
      <c r="R44" s="14"/>
    </row>
    <row r="45" spans="1:18">
      <c r="A45" s="9">
        <v>64873</v>
      </c>
      <c r="B45" s="14" t="s">
        <v>334</v>
      </c>
      <c r="C45" s="14" t="s">
        <v>203</v>
      </c>
      <c r="D45" s="14" t="s">
        <v>2840</v>
      </c>
      <c r="E45" s="15" t="str">
        <f>HYPERLINK("https://stat100.ameba.jp/tnk47/ratio20/illustrations/card/ill_64873_sessofujin03.jpg?201901-3-RELEASE-dice-e-389", "■")</f>
        <v>■</v>
      </c>
      <c r="F45" s="14" t="s">
        <v>2841</v>
      </c>
      <c r="G45" s="14">
        <v>66487</v>
      </c>
      <c r="H45" s="14">
        <v>91779</v>
      </c>
      <c r="I45" s="14">
        <v>21</v>
      </c>
      <c r="J45" s="14" t="s">
        <v>315</v>
      </c>
      <c r="K45" s="14" t="s">
        <v>2842</v>
      </c>
      <c r="L45" s="14" t="s">
        <v>2843</v>
      </c>
      <c r="M45" s="14" t="s">
        <v>9158</v>
      </c>
      <c r="N45" s="14" t="s">
        <v>9158</v>
      </c>
      <c r="O45" s="14" t="s">
        <v>9158</v>
      </c>
      <c r="P45" s="14" t="s">
        <v>9158</v>
      </c>
      <c r="Q45" s="14" t="s">
        <v>9158</v>
      </c>
      <c r="R45" s="14"/>
    </row>
    <row r="46" spans="1:18">
      <c r="B46" s="14"/>
      <c r="C46" s="14"/>
      <c r="D46" s="14"/>
      <c r="F46" s="14"/>
      <c r="G46" s="14"/>
      <c r="H46" s="14"/>
      <c r="I46" s="14"/>
      <c r="J46" s="14"/>
      <c r="K46" s="14"/>
      <c r="L46" s="14"/>
      <c r="M46" s="14"/>
      <c r="N46" s="14"/>
      <c r="O46" s="7"/>
      <c r="P46" s="14"/>
      <c r="Q46" s="14"/>
      <c r="R46" s="14"/>
    </row>
    <row r="47" spans="1:18">
      <c r="A47" s="14" t="s">
        <v>13326</v>
      </c>
      <c r="D47" s="14"/>
      <c r="F47" s="14"/>
      <c r="G47" s="14"/>
      <c r="H47" s="14"/>
      <c r="I47" s="14"/>
      <c r="J47" s="14"/>
      <c r="K47" s="14"/>
      <c r="L47" s="14"/>
      <c r="M47" s="14"/>
      <c r="N47" s="14"/>
      <c r="O47" s="7"/>
      <c r="P47" s="14"/>
      <c r="Q47" s="14"/>
      <c r="R47" s="14"/>
    </row>
    <row r="48" spans="1:18">
      <c r="A48" s="14" t="s">
        <v>2844</v>
      </c>
      <c r="B48" s="14"/>
      <c r="C48" s="14"/>
      <c r="D48" s="14"/>
      <c r="F48" s="14"/>
      <c r="G48" s="14"/>
      <c r="H48" s="14"/>
      <c r="I48" s="14"/>
      <c r="J48" s="14"/>
      <c r="K48" s="14"/>
      <c r="L48" s="14"/>
      <c r="M48" s="14"/>
      <c r="N48" s="14"/>
      <c r="O48" s="7"/>
      <c r="P48" s="14"/>
      <c r="Q48" s="14"/>
      <c r="R48" s="14"/>
    </row>
    <row r="49" spans="1:18">
      <c r="A49" s="9">
        <v>66113</v>
      </c>
      <c r="B49" s="14" t="s">
        <v>334</v>
      </c>
      <c r="C49" s="14" t="s">
        <v>185</v>
      </c>
      <c r="D49" s="14" t="s">
        <v>1292</v>
      </c>
      <c r="E49" s="15" t="str">
        <f>HYPERLINK("https://stat100.ameba.jp/tnk47/ratio20/illustrations/card/ill_66113_shirarikahime03.jpg?201901-3-RELEASE-dice-e-389", "■")</f>
        <v>■</v>
      </c>
      <c r="F49" s="14" t="s">
        <v>1293</v>
      </c>
      <c r="G49" s="14">
        <v>108306</v>
      </c>
      <c r="H49" s="14">
        <v>100698</v>
      </c>
      <c r="I49" s="14">
        <v>22</v>
      </c>
      <c r="J49" s="14" t="s">
        <v>274</v>
      </c>
      <c r="K49" s="14" t="s">
        <v>2845</v>
      </c>
      <c r="L49" s="14" t="s">
        <v>9908</v>
      </c>
      <c r="M49" s="14" t="s">
        <v>13151</v>
      </c>
      <c r="N49" s="14" t="s">
        <v>251</v>
      </c>
      <c r="O49" s="14" t="s">
        <v>9158</v>
      </c>
      <c r="P49" s="14" t="s">
        <v>9158</v>
      </c>
      <c r="Q49" s="14" t="s">
        <v>9158</v>
      </c>
      <c r="R49" s="14" t="s">
        <v>14858</v>
      </c>
    </row>
    <row r="50" spans="1:18">
      <c r="A50" s="9">
        <v>66112</v>
      </c>
      <c r="B50" s="14" t="s">
        <v>334</v>
      </c>
      <c r="C50" s="14" t="s">
        <v>185</v>
      </c>
      <c r="D50" s="14" t="s">
        <v>1292</v>
      </c>
      <c r="E50" s="15" t="str">
        <f>HYPERLINK("https://stat100.ameba.jp/tnk47/ratio20/illustrations/card/ill_66112_shirarikahime02.jpg?201901-3-RELEASE-dice-e-389", "■")</f>
        <v>■</v>
      </c>
      <c r="F50" s="14" t="s">
        <v>1293</v>
      </c>
      <c r="G50" s="14">
        <v>90538</v>
      </c>
      <c r="H50" s="14">
        <v>83402</v>
      </c>
      <c r="I50" s="14">
        <v>22</v>
      </c>
      <c r="J50" s="14" t="s">
        <v>274</v>
      </c>
      <c r="K50" s="14" t="s">
        <v>2845</v>
      </c>
      <c r="L50" s="14" t="s">
        <v>9908</v>
      </c>
      <c r="M50" s="14" t="s">
        <v>13156</v>
      </c>
      <c r="N50" s="14" t="s">
        <v>2846</v>
      </c>
      <c r="O50" s="14" t="s">
        <v>9158</v>
      </c>
      <c r="P50" s="14" t="s">
        <v>9158</v>
      </c>
      <c r="Q50" s="14" t="s">
        <v>9158</v>
      </c>
      <c r="R50" s="14" t="s">
        <v>14858</v>
      </c>
    </row>
    <row r="51" spans="1:18">
      <c r="A51" s="9">
        <v>66111</v>
      </c>
      <c r="B51" s="14" t="s">
        <v>334</v>
      </c>
      <c r="C51" s="14" t="s">
        <v>185</v>
      </c>
      <c r="D51" s="14" t="s">
        <v>1292</v>
      </c>
      <c r="E51" s="15" t="str">
        <f>HYPERLINK("https://stat100.ameba.jp/tnk47/ratio20/illustrations/card/ill_66111_shirarikahime01.jpg?201901-3-RELEASE-dice-e-389", "■")</f>
        <v>■</v>
      </c>
      <c r="F51" s="14" t="s">
        <v>1293</v>
      </c>
      <c r="G51" s="14">
        <v>69124</v>
      </c>
      <c r="H51" s="14">
        <v>64350</v>
      </c>
      <c r="I51" s="14">
        <v>22</v>
      </c>
      <c r="J51" s="14" t="s">
        <v>274</v>
      </c>
      <c r="K51" s="14" t="s">
        <v>2845</v>
      </c>
      <c r="L51" s="14" t="s">
        <v>9908</v>
      </c>
      <c r="M51" s="14" t="s">
        <v>13156</v>
      </c>
      <c r="N51" s="14" t="s">
        <v>2846</v>
      </c>
      <c r="O51" s="14" t="s">
        <v>9158</v>
      </c>
      <c r="P51" s="14" t="s">
        <v>9158</v>
      </c>
      <c r="Q51" s="14" t="s">
        <v>9158</v>
      </c>
      <c r="R51" s="14" t="s">
        <v>14858</v>
      </c>
    </row>
    <row r="52" spans="1:18">
      <c r="A52" s="9">
        <v>65383</v>
      </c>
      <c r="B52" s="14" t="s">
        <v>334</v>
      </c>
      <c r="C52" s="14" t="s">
        <v>200</v>
      </c>
      <c r="D52" s="14" t="s">
        <v>1294</v>
      </c>
      <c r="E52" s="15" t="str">
        <f>HYPERLINK("https://stat100.ameba.jp/tnk47/ratio20/illustrations/card/ill_65383_aogashimachan03.jpg?201901-3-RELEASE-dice-e-389", "■")</f>
        <v>■</v>
      </c>
      <c r="F52" s="14" t="s">
        <v>1295</v>
      </c>
      <c r="G52" s="14">
        <v>100698</v>
      </c>
      <c r="H52" s="14">
        <v>108306</v>
      </c>
      <c r="I52" s="14">
        <v>22</v>
      </c>
      <c r="J52" s="14" t="s">
        <v>369</v>
      </c>
      <c r="K52" s="14" t="s">
        <v>2847</v>
      </c>
      <c r="L52" s="14" t="s">
        <v>9909</v>
      </c>
      <c r="M52" s="14" t="s">
        <v>13151</v>
      </c>
      <c r="N52" s="14" t="s">
        <v>251</v>
      </c>
      <c r="O52" s="14" t="s">
        <v>9158</v>
      </c>
      <c r="P52" s="14" t="s">
        <v>9158</v>
      </c>
      <c r="Q52" s="14" t="s">
        <v>9158</v>
      </c>
      <c r="R52" s="14" t="s">
        <v>14858</v>
      </c>
    </row>
    <row r="53" spans="1:18">
      <c r="A53" s="9">
        <v>66123</v>
      </c>
      <c r="B53" s="14" t="s">
        <v>334</v>
      </c>
      <c r="C53" s="14" t="s">
        <v>191</v>
      </c>
      <c r="D53" s="14" t="s">
        <v>1296</v>
      </c>
      <c r="E53" s="15" t="str">
        <f>HYPERLINK("https://stat100.ameba.jp/tnk47/ratio20/illustrations/card/ill_66123_taikemmoninnohorikawa03.jpg?201901-3-RELEASE-dice-e-389", "■")</f>
        <v>■</v>
      </c>
      <c r="F53" s="14" t="s">
        <v>1297</v>
      </c>
      <c r="G53" s="14">
        <v>108306</v>
      </c>
      <c r="H53" s="14">
        <v>100698</v>
      </c>
      <c r="I53" s="14">
        <v>22</v>
      </c>
      <c r="J53" s="14" t="s">
        <v>414</v>
      </c>
      <c r="K53" s="14" t="s">
        <v>2848</v>
      </c>
      <c r="L53" s="14" t="s">
        <v>9910</v>
      </c>
      <c r="M53" s="14" t="s">
        <v>13151</v>
      </c>
      <c r="N53" s="14" t="s">
        <v>251</v>
      </c>
      <c r="O53" s="14" t="s">
        <v>9158</v>
      </c>
      <c r="P53" s="14" t="s">
        <v>9158</v>
      </c>
      <c r="Q53" s="14" t="s">
        <v>9158</v>
      </c>
      <c r="R53" s="14" t="s">
        <v>14858</v>
      </c>
    </row>
    <row r="54" spans="1:18">
      <c r="A54" s="9">
        <v>66133</v>
      </c>
      <c r="B54" s="14" t="s">
        <v>334</v>
      </c>
      <c r="C54" s="14" t="s">
        <v>165</v>
      </c>
      <c r="D54" s="14" t="s">
        <v>1298</v>
      </c>
      <c r="E54" s="15" t="str">
        <f>HYPERLINK("https://stat100.ameba.jp/tnk47/ratio20/illustrations/card/ill_66133_iinaosuke03.jpg?201901-3-RELEASE-dice-e-389", "■")</f>
        <v>■</v>
      </c>
      <c r="F54" s="14" t="s">
        <v>1299</v>
      </c>
      <c r="G54" s="14">
        <v>100698</v>
      </c>
      <c r="H54" s="14">
        <v>108306</v>
      </c>
      <c r="I54" s="14">
        <v>22</v>
      </c>
      <c r="J54" s="14" t="s">
        <v>351</v>
      </c>
      <c r="K54" s="14" t="s">
        <v>2849</v>
      </c>
      <c r="L54" s="14" t="s">
        <v>9911</v>
      </c>
      <c r="M54" s="14" t="s">
        <v>13151</v>
      </c>
      <c r="N54" s="14" t="s">
        <v>251</v>
      </c>
      <c r="O54" s="14" t="s">
        <v>9158</v>
      </c>
      <c r="P54" s="14" t="s">
        <v>9158</v>
      </c>
      <c r="Q54" s="14" t="s">
        <v>9158</v>
      </c>
      <c r="R54" s="14" t="s">
        <v>14858</v>
      </c>
    </row>
    <row r="55" spans="1:18">
      <c r="A55" s="9">
        <v>65393</v>
      </c>
      <c r="B55" s="14" t="s">
        <v>334</v>
      </c>
      <c r="C55" s="14" t="s">
        <v>205</v>
      </c>
      <c r="D55" s="14" t="s">
        <v>1300</v>
      </c>
      <c r="E55" s="15" t="str">
        <f>HYPERLINK("https://stat100.ameba.jp/tnk47/ratio20/illustrations/card/ill_65393_motochikafujin03.jpg?201901-3-RELEASE-dice-e-389", "■")</f>
        <v>■</v>
      </c>
      <c r="F55" s="14" t="s">
        <v>1301</v>
      </c>
      <c r="G55" s="14">
        <v>100698</v>
      </c>
      <c r="H55" s="14">
        <v>108306</v>
      </c>
      <c r="I55" s="14">
        <v>22</v>
      </c>
      <c r="J55" s="14" t="s">
        <v>315</v>
      </c>
      <c r="K55" s="14" t="s">
        <v>2850</v>
      </c>
      <c r="L55" s="14" t="s">
        <v>9912</v>
      </c>
      <c r="M55" s="14" t="s">
        <v>13151</v>
      </c>
      <c r="N55" s="14" t="s">
        <v>251</v>
      </c>
      <c r="O55" s="14" t="s">
        <v>9158</v>
      </c>
      <c r="P55" s="14" t="s">
        <v>9158</v>
      </c>
      <c r="Q55" s="14" t="s">
        <v>9158</v>
      </c>
      <c r="R55" s="14" t="s">
        <v>14858</v>
      </c>
    </row>
    <row r="56" spans="1:18">
      <c r="A56" s="9">
        <v>65403</v>
      </c>
      <c r="B56" s="14" t="s">
        <v>334</v>
      </c>
      <c r="C56" s="14" t="s">
        <v>206</v>
      </c>
      <c r="D56" s="14" t="s">
        <v>1302</v>
      </c>
      <c r="E56" s="15" t="str">
        <f>HYPERLINK("https://stat100.ameba.jp/tnk47/ratio20/illustrations/card/ill_65403_amenokoyanenomikoto03.jpg?201901-3-RELEASE-dice-e-389", "■")</f>
        <v>■</v>
      </c>
      <c r="F56" s="14" t="s">
        <v>1303</v>
      </c>
      <c r="G56" s="14">
        <v>108306</v>
      </c>
      <c r="H56" s="14">
        <v>100698</v>
      </c>
      <c r="I56" s="14">
        <v>22</v>
      </c>
      <c r="J56" s="14" t="s">
        <v>401</v>
      </c>
      <c r="K56" s="14" t="s">
        <v>2851</v>
      </c>
      <c r="L56" s="14" t="s">
        <v>9913</v>
      </c>
      <c r="M56" s="14" t="s">
        <v>13151</v>
      </c>
      <c r="N56" s="14" t="s">
        <v>251</v>
      </c>
      <c r="O56" s="14" t="s">
        <v>9158</v>
      </c>
      <c r="P56" s="14" t="s">
        <v>9158</v>
      </c>
      <c r="Q56" s="14" t="s">
        <v>9158</v>
      </c>
      <c r="R56" s="14" t="s">
        <v>14858</v>
      </c>
    </row>
    <row r="57" spans="1:18">
      <c r="B57" s="14"/>
      <c r="C57" s="14"/>
      <c r="D57" s="14"/>
      <c r="F57" s="14"/>
      <c r="G57" s="14"/>
      <c r="H57" s="14"/>
      <c r="I57" s="14"/>
      <c r="J57" s="14"/>
      <c r="K57" s="14"/>
      <c r="L57" s="14"/>
      <c r="M57" s="14"/>
      <c r="N57" s="14"/>
      <c r="O57" s="7"/>
      <c r="P57" s="14"/>
      <c r="Q57" s="14"/>
      <c r="R57" s="14"/>
    </row>
    <row r="58" spans="1:18">
      <c r="A58" s="14" t="s">
        <v>2719</v>
      </c>
      <c r="F58" s="14"/>
      <c r="G58" s="14"/>
      <c r="H58" s="14"/>
      <c r="I58" s="14"/>
      <c r="J58" s="14"/>
      <c r="K58" s="14"/>
      <c r="L58" s="14"/>
      <c r="M58" s="14"/>
      <c r="N58" s="14"/>
      <c r="O58" s="7"/>
      <c r="P58" s="14"/>
      <c r="Q58" s="14"/>
      <c r="R58" s="14"/>
    </row>
    <row r="59" spans="1:18">
      <c r="A59" s="14" t="s">
        <v>2852</v>
      </c>
      <c r="B59" s="14"/>
      <c r="C59" s="14"/>
      <c r="D59" s="14"/>
      <c r="F59" s="14"/>
      <c r="G59" s="14"/>
      <c r="H59" s="14"/>
      <c r="I59" s="14"/>
      <c r="J59" s="14"/>
      <c r="K59" s="14"/>
      <c r="L59" s="14"/>
      <c r="M59" s="14"/>
      <c r="N59" s="14"/>
      <c r="O59" s="7"/>
      <c r="P59" s="14"/>
      <c r="Q59" s="14"/>
      <c r="R59" s="14"/>
    </row>
    <row r="60" spans="1:18">
      <c r="A60" s="14" t="s">
        <v>8897</v>
      </c>
      <c r="B60" s="14"/>
      <c r="C60" s="14"/>
      <c r="D60" s="14"/>
      <c r="F60" s="14"/>
      <c r="G60" s="14"/>
      <c r="H60" s="14"/>
      <c r="I60" s="14"/>
      <c r="J60" s="14"/>
      <c r="K60" s="14"/>
      <c r="L60" s="14"/>
      <c r="M60" s="14"/>
      <c r="N60" s="14"/>
      <c r="O60" s="7"/>
      <c r="P60" s="14"/>
      <c r="Q60" s="14"/>
      <c r="R60" s="14"/>
    </row>
    <row r="61" spans="1:18">
      <c r="A61" s="9" t="s">
        <v>5733</v>
      </c>
      <c r="B61" s="14" t="s">
        <v>330</v>
      </c>
      <c r="C61" s="14" t="s">
        <v>202</v>
      </c>
      <c r="D61" s="14" t="s">
        <v>2744</v>
      </c>
      <c r="E61" s="15" t="str">
        <f>HYPERLINK("https://stat100.ameba.jp/tnk47/ratio20/illustrations/card/ill_78693_0_kyupittokoinomikoto03.jpg?201901-3-RELEASE-dice-e-389", "■")</f>
        <v>■</v>
      </c>
      <c r="F61" s="14" t="s">
        <v>2745</v>
      </c>
      <c r="G61" s="14">
        <v>157198</v>
      </c>
      <c r="H61" s="14">
        <v>173933</v>
      </c>
      <c r="I61" s="14">
        <v>15</v>
      </c>
      <c r="J61" s="14" t="s">
        <v>274</v>
      </c>
      <c r="K61" s="14" t="s">
        <v>2746</v>
      </c>
      <c r="L61" s="14" t="s">
        <v>2747</v>
      </c>
      <c r="M61" s="14" t="s">
        <v>9158</v>
      </c>
      <c r="N61" s="14" t="s">
        <v>9158</v>
      </c>
      <c r="O61" s="18" t="s">
        <v>10067</v>
      </c>
      <c r="P61" s="14" t="s">
        <v>2748</v>
      </c>
      <c r="Q61" s="14">
        <v>1</v>
      </c>
      <c r="R61" s="14"/>
    </row>
    <row r="62" spans="1:18">
      <c r="A62" s="9">
        <v>78763</v>
      </c>
      <c r="B62" s="14" t="s">
        <v>334</v>
      </c>
      <c r="C62" s="14" t="s">
        <v>205</v>
      </c>
      <c r="D62" s="14" t="s">
        <v>2853</v>
      </c>
      <c r="E62" s="15" t="str">
        <f>HYPERLINK("https://stat100.ameba.jp/tnk47/ratio20/illustrations/card/ill_78763_shichifukujinorochinomusha03.jpg?201901-3-RELEASE-dice-e-389", "■")</f>
        <v>■</v>
      </c>
      <c r="F62" s="14" t="s">
        <v>2854</v>
      </c>
      <c r="G62" s="14">
        <v>121604</v>
      </c>
      <c r="H62" s="14">
        <v>130784</v>
      </c>
      <c r="I62" s="14">
        <v>22</v>
      </c>
      <c r="J62" s="14" t="s">
        <v>310</v>
      </c>
      <c r="K62" s="14" t="s">
        <v>2855</v>
      </c>
      <c r="L62" s="14" t="s">
        <v>407</v>
      </c>
      <c r="M62" s="14" t="s">
        <v>9158</v>
      </c>
      <c r="N62" s="14" t="s">
        <v>9158</v>
      </c>
      <c r="O62" s="14" t="s">
        <v>9158</v>
      </c>
      <c r="P62" s="14" t="s">
        <v>9158</v>
      </c>
      <c r="Q62" s="14" t="s">
        <v>9158</v>
      </c>
      <c r="R62" s="14"/>
    </row>
    <row r="63" spans="1:18">
      <c r="A63" s="9">
        <v>78773</v>
      </c>
      <c r="B63" s="14" t="s">
        <v>348</v>
      </c>
      <c r="C63" s="14" t="s">
        <v>191</v>
      </c>
      <c r="D63" s="14" t="s">
        <v>2856</v>
      </c>
      <c r="E63" s="15" t="str">
        <f>HYPERLINK("https://stat100.ameba.jp/tnk47/ratio20/illustrations/card/ill_78773_hosokawagarasya03.jpg?201901-3-RELEASE-dice-e-389", "■")</f>
        <v>■</v>
      </c>
      <c r="F63" s="14" t="s">
        <v>2857</v>
      </c>
      <c r="G63" s="14">
        <v>65208</v>
      </c>
      <c r="H63" s="14">
        <v>59144</v>
      </c>
      <c r="I63" s="14">
        <v>22</v>
      </c>
      <c r="J63" s="14" t="s">
        <v>315</v>
      </c>
      <c r="K63" s="14" t="s">
        <v>2858</v>
      </c>
      <c r="L63" s="14" t="s">
        <v>2859</v>
      </c>
      <c r="M63" s="14" t="s">
        <v>9158</v>
      </c>
      <c r="N63" s="14" t="s">
        <v>9158</v>
      </c>
      <c r="O63" s="14" t="s">
        <v>9158</v>
      </c>
      <c r="P63" s="14" t="s">
        <v>9158</v>
      </c>
      <c r="Q63" s="14" t="s">
        <v>9158</v>
      </c>
      <c r="R63" s="14"/>
    </row>
    <row r="64" spans="1:18">
      <c r="A64" s="9">
        <v>78783</v>
      </c>
      <c r="B64" s="14" t="s">
        <v>362</v>
      </c>
      <c r="C64" s="14" t="s">
        <v>185</v>
      </c>
      <c r="D64" s="14" t="s">
        <v>2860</v>
      </c>
      <c r="E64" s="15" t="str">
        <f>HYPERLINK("https://stat100.ameba.jp/tnk47/ratio20/illustrations/card/ill_78783_aterui03.jpg?201901-3-RELEASE-dice-e-389", "■")</f>
        <v>■</v>
      </c>
      <c r="F64" s="14" t="s">
        <v>2861</v>
      </c>
      <c r="G64" s="14">
        <v>38032</v>
      </c>
      <c r="H64" s="14">
        <v>45742</v>
      </c>
      <c r="I64" s="14">
        <v>22</v>
      </c>
      <c r="J64" s="14" t="s">
        <v>351</v>
      </c>
      <c r="K64" s="14" t="s">
        <v>2862</v>
      </c>
      <c r="L64" s="14" t="s">
        <v>2863</v>
      </c>
      <c r="M64" s="14" t="s">
        <v>9158</v>
      </c>
      <c r="N64" s="14" t="s">
        <v>9158</v>
      </c>
      <c r="O64" s="14" t="s">
        <v>9158</v>
      </c>
      <c r="P64" s="14" t="s">
        <v>9158</v>
      </c>
      <c r="Q64" s="14" t="s">
        <v>9158</v>
      </c>
      <c r="R64" s="14"/>
    </row>
    <row r="65" spans="1:18">
      <c r="A65" s="9">
        <v>78793</v>
      </c>
      <c r="B65" s="14" t="s">
        <v>372</v>
      </c>
      <c r="C65" s="14" t="s">
        <v>2720</v>
      </c>
      <c r="D65" s="14" t="s">
        <v>2864</v>
      </c>
      <c r="E65" s="15" t="str">
        <f>HYPERLINK("https://stat100.ameba.jp/tnk47/ratio20/illustrations/card/ill_78793_ehoumakityan03.jpg?201901-3-RELEASE-dice-e-389", "■")</f>
        <v>■</v>
      </c>
      <c r="F65" s="14" t="s">
        <v>2865</v>
      </c>
      <c r="G65" s="14">
        <v>27692</v>
      </c>
      <c r="H65" s="14">
        <v>23258</v>
      </c>
      <c r="I65" s="14">
        <v>22</v>
      </c>
      <c r="J65" s="14" t="s">
        <v>283</v>
      </c>
      <c r="K65" s="14" t="s">
        <v>2866</v>
      </c>
      <c r="L65" s="14" t="s">
        <v>2867</v>
      </c>
      <c r="M65" s="14" t="s">
        <v>9158</v>
      </c>
      <c r="N65" s="14" t="s">
        <v>9158</v>
      </c>
      <c r="O65" s="14" t="s">
        <v>9158</v>
      </c>
      <c r="P65" s="14" t="s">
        <v>9158</v>
      </c>
      <c r="Q65" s="14" t="s">
        <v>9158</v>
      </c>
      <c r="R65" s="14"/>
    </row>
    <row r="66" spans="1:18">
      <c r="B66" s="14"/>
      <c r="C66" s="14"/>
      <c r="D66" s="14"/>
      <c r="F66" s="14"/>
      <c r="G66" s="14"/>
      <c r="H66" s="14"/>
      <c r="I66" s="14"/>
      <c r="J66" s="14"/>
      <c r="K66" s="14"/>
      <c r="L66" s="14"/>
      <c r="M66" s="14"/>
      <c r="N66" s="14"/>
      <c r="O66" s="7"/>
      <c r="P66" s="14"/>
      <c r="Q66" s="14"/>
      <c r="R66" s="14"/>
    </row>
    <row r="67" spans="1:18">
      <c r="A67" s="14" t="s">
        <v>204</v>
      </c>
      <c r="D67" s="14"/>
      <c r="F67" s="14"/>
      <c r="G67" s="14"/>
      <c r="H67" s="14"/>
      <c r="I67" s="14"/>
      <c r="J67" s="14"/>
      <c r="K67" s="14"/>
      <c r="L67" s="14"/>
      <c r="M67" s="14"/>
      <c r="N67" s="14"/>
      <c r="O67" s="7"/>
      <c r="P67" s="14"/>
      <c r="Q67" s="14"/>
      <c r="R67" s="14"/>
    </row>
    <row r="68" spans="1:18">
      <c r="A68" s="14" t="s">
        <v>2868</v>
      </c>
      <c r="B68" s="14"/>
      <c r="C68" s="14"/>
      <c r="D68" s="14"/>
      <c r="F68" s="14"/>
      <c r="G68" s="14"/>
      <c r="H68" s="14"/>
      <c r="I68" s="14"/>
      <c r="J68" s="14"/>
      <c r="K68" s="14"/>
      <c r="L68" s="14"/>
      <c r="M68" s="14"/>
      <c r="N68" s="14"/>
      <c r="O68" s="7"/>
      <c r="P68" s="14"/>
      <c r="Q68" s="14"/>
      <c r="R68" s="14"/>
    </row>
    <row r="69" spans="1:18">
      <c r="A69" s="9" t="s">
        <v>5623</v>
      </c>
      <c r="B69" s="14" t="s">
        <v>330</v>
      </c>
      <c r="C69" s="14" t="s">
        <v>165</v>
      </c>
      <c r="D69" s="14" t="s">
        <v>611</v>
      </c>
      <c r="E69" s="15" t="str">
        <f>HYPERLINK("https://stat100.ameba.jp/tnk47/ratio20/illustrations/card/ill_65713_0_undokaionikirimaru03.jpg?201901-3-RELEASE-dice-e-389", "■")</f>
        <v>■</v>
      </c>
      <c r="F69" s="14" t="s">
        <v>612</v>
      </c>
      <c r="G69" s="14">
        <v>140016</v>
      </c>
      <c r="H69" s="14">
        <v>130194</v>
      </c>
      <c r="I69" s="14">
        <v>15</v>
      </c>
      <c r="J69" s="14" t="s">
        <v>310</v>
      </c>
      <c r="K69" s="14" t="s">
        <v>613</v>
      </c>
      <c r="L69" s="14" t="s">
        <v>312</v>
      </c>
      <c r="M69" s="14" t="s">
        <v>9158</v>
      </c>
      <c r="N69" s="14" t="s">
        <v>9158</v>
      </c>
      <c r="O69" s="7" t="s">
        <v>3252</v>
      </c>
      <c r="P69" s="14" t="s">
        <v>3253</v>
      </c>
      <c r="Q69" s="14">
        <v>1</v>
      </c>
      <c r="R69" s="14"/>
    </row>
    <row r="70" spans="1:18">
      <c r="A70" s="9" t="s">
        <v>5621</v>
      </c>
      <c r="B70" s="14" t="s">
        <v>330</v>
      </c>
      <c r="C70" s="14" t="s">
        <v>191</v>
      </c>
      <c r="D70" s="14" t="s">
        <v>2033</v>
      </c>
      <c r="E70" s="15" t="str">
        <f>HYPERLINK("https://stat100.ameba.jp/tnk47/ratio20/illustrations/card/ill_51973_0_kemonomizugikuroyuridensetsu03.jpg?201901-3-RELEASE-dice-e-389", "■")</f>
        <v>■</v>
      </c>
      <c r="F70" s="14" t="s">
        <v>2872</v>
      </c>
      <c r="G70" s="14">
        <v>94236</v>
      </c>
      <c r="H70" s="14">
        <v>83712</v>
      </c>
      <c r="I70" s="14">
        <v>15</v>
      </c>
      <c r="J70" s="14" t="s">
        <v>274</v>
      </c>
      <c r="K70" s="14" t="s">
        <v>2873</v>
      </c>
      <c r="L70" s="14" t="s">
        <v>2874</v>
      </c>
      <c r="M70" s="14" t="s">
        <v>9158</v>
      </c>
      <c r="N70" s="14" t="s">
        <v>9158</v>
      </c>
      <c r="O70" s="18" t="s">
        <v>10066</v>
      </c>
      <c r="P70" s="14" t="s">
        <v>13172</v>
      </c>
      <c r="Q70" s="14">
        <v>1</v>
      </c>
      <c r="R70" s="14"/>
    </row>
    <row r="71" spans="1:18">
      <c r="A71" s="9" t="s">
        <v>5622</v>
      </c>
      <c r="B71" s="14" t="s">
        <v>330</v>
      </c>
      <c r="C71" s="14" t="s">
        <v>185</v>
      </c>
      <c r="D71" s="14" t="s">
        <v>509</v>
      </c>
      <c r="E71" s="15" t="str">
        <f>HYPERLINK("https://stat100.ameba.jp/tnk47/ratio20/illustrations/card/ill_49953_0_yushamarihime03.jpg?201901-3-RELEASE-dice-e-389", "■")</f>
        <v>■</v>
      </c>
      <c r="F71" s="14" t="s">
        <v>510</v>
      </c>
      <c r="G71" s="14">
        <v>94236</v>
      </c>
      <c r="H71" s="14">
        <v>83712</v>
      </c>
      <c r="I71" s="14">
        <v>15</v>
      </c>
      <c r="J71" s="14" t="s">
        <v>315</v>
      </c>
      <c r="K71" s="14" t="s">
        <v>511</v>
      </c>
      <c r="L71" s="14" t="s">
        <v>512</v>
      </c>
      <c r="M71" s="14" t="s">
        <v>9158</v>
      </c>
      <c r="N71" s="14" t="s">
        <v>9158</v>
      </c>
      <c r="O71" s="14" t="s">
        <v>9158</v>
      </c>
      <c r="P71" s="14" t="s">
        <v>9158</v>
      </c>
      <c r="Q71" s="14" t="s">
        <v>9158</v>
      </c>
      <c r="R71" s="14"/>
    </row>
    <row r="72" spans="1:18">
      <c r="A72" s="9">
        <v>73503</v>
      </c>
      <c r="B72" s="14" t="s">
        <v>334</v>
      </c>
      <c r="C72" s="14" t="s">
        <v>200</v>
      </c>
      <c r="D72" s="14" t="s">
        <v>2875</v>
      </c>
      <c r="E72" s="15" t="str">
        <f>HYPERLINK("https://stat100.ameba.jp/tnk47/ratio20/illustrations/card/ill_73503_nagashirahanokami03.jpg?201901-3-RELEASE-dice-e-389", "■")</f>
        <v>■</v>
      </c>
      <c r="F72" s="14" t="s">
        <v>2876</v>
      </c>
      <c r="G72" s="14">
        <v>110818</v>
      </c>
      <c r="H72" s="14">
        <v>62342</v>
      </c>
      <c r="I72" s="14">
        <v>22</v>
      </c>
      <c r="J72" s="14" t="s">
        <v>401</v>
      </c>
      <c r="K72" s="14" t="s">
        <v>2877</v>
      </c>
      <c r="L72" s="14" t="s">
        <v>2878</v>
      </c>
      <c r="M72" s="14" t="s">
        <v>9158</v>
      </c>
      <c r="N72" s="14" t="s">
        <v>9158</v>
      </c>
      <c r="O72" s="14" t="s">
        <v>9158</v>
      </c>
      <c r="P72" s="14" t="s">
        <v>9158</v>
      </c>
      <c r="Q72" s="14" t="s">
        <v>9158</v>
      </c>
      <c r="R72" s="14"/>
    </row>
    <row r="73" spans="1:18">
      <c r="A73" s="9">
        <v>62313</v>
      </c>
      <c r="B73" s="14" t="s">
        <v>334</v>
      </c>
      <c r="C73" s="14" t="s">
        <v>185</v>
      </c>
      <c r="D73" s="14" t="s">
        <v>2879</v>
      </c>
      <c r="E73" s="15" t="str">
        <f>HYPERLINK("https://stat100.ameba.jp/tnk47/ratio20/illustrations/card/ill_62313_mukadehime03.jpg?201901-3-RELEASE-dice-e-389", "■")</f>
        <v>■</v>
      </c>
      <c r="F73" s="14" t="s">
        <v>2880</v>
      </c>
      <c r="G73" s="14">
        <v>123870</v>
      </c>
      <c r="H73" s="14">
        <v>69714</v>
      </c>
      <c r="I73" s="14">
        <v>22</v>
      </c>
      <c r="J73" s="14" t="s">
        <v>274</v>
      </c>
      <c r="K73" s="14" t="s">
        <v>2881</v>
      </c>
      <c r="L73" s="14" t="s">
        <v>4380</v>
      </c>
      <c r="M73" s="14" t="s">
        <v>9158</v>
      </c>
      <c r="N73" s="14" t="s">
        <v>9158</v>
      </c>
      <c r="O73" s="14" t="s">
        <v>9158</v>
      </c>
      <c r="P73" s="14" t="s">
        <v>9158</v>
      </c>
      <c r="Q73" s="14" t="s">
        <v>9158</v>
      </c>
      <c r="R73" s="14"/>
    </row>
    <row r="74" spans="1:18">
      <c r="A74" s="9">
        <v>65013</v>
      </c>
      <c r="B74" s="14" t="s">
        <v>334</v>
      </c>
      <c r="C74" s="14" t="s">
        <v>165</v>
      </c>
      <c r="D74" s="14" t="s">
        <v>2882</v>
      </c>
      <c r="E74" s="15" t="str">
        <f>HYPERLINK("https://stat100.ameba.jp/tnk47/ratio20/illustrations/card/ill_65013_showaretoropoppushibanosonome03.jpg?201901-3-RELEASE-dice-e-389", "■")</f>
        <v>■</v>
      </c>
      <c r="F74" s="14" t="s">
        <v>2883</v>
      </c>
      <c r="G74" s="14">
        <v>85934</v>
      </c>
      <c r="H74" s="14">
        <v>79868</v>
      </c>
      <c r="I74" s="14">
        <v>22</v>
      </c>
      <c r="J74" s="14" t="s">
        <v>351</v>
      </c>
      <c r="K74" s="14" t="s">
        <v>2884</v>
      </c>
      <c r="L74" s="14" t="s">
        <v>1438</v>
      </c>
      <c r="M74" s="14" t="s">
        <v>9158</v>
      </c>
      <c r="N74" s="14" t="s">
        <v>9158</v>
      </c>
      <c r="O74" s="14" t="s">
        <v>9158</v>
      </c>
      <c r="P74" s="14" t="s">
        <v>9158</v>
      </c>
      <c r="Q74" s="14" t="s">
        <v>9158</v>
      </c>
      <c r="R74" s="14"/>
    </row>
    <row r="75" spans="1:18">
      <c r="B75" s="14"/>
      <c r="C75" s="14"/>
      <c r="D75" s="14"/>
      <c r="F75" s="14"/>
      <c r="G75" s="14"/>
      <c r="H75" s="14"/>
      <c r="I75" s="14"/>
      <c r="J75" s="14"/>
      <c r="K75" s="14"/>
      <c r="L75" s="14"/>
      <c r="M75" s="14"/>
      <c r="N75" s="14"/>
      <c r="O75" s="7"/>
      <c r="P75" s="14"/>
      <c r="Q75" s="14"/>
      <c r="R75" s="14"/>
    </row>
    <row r="76" spans="1:18">
      <c r="A76" s="14" t="s">
        <v>180</v>
      </c>
      <c r="D76" s="14"/>
      <c r="F76" s="14"/>
      <c r="G76" s="14"/>
      <c r="H76" s="14"/>
      <c r="I76" s="14"/>
      <c r="J76" s="14"/>
      <c r="K76" s="14"/>
      <c r="L76" s="14"/>
      <c r="M76" s="14"/>
      <c r="N76" s="14"/>
      <c r="O76" s="7"/>
      <c r="P76" s="14"/>
      <c r="Q76" s="14"/>
      <c r="R76" s="14"/>
    </row>
    <row r="77" spans="1:18">
      <c r="A77" s="14" t="s">
        <v>2885</v>
      </c>
      <c r="C77" s="14"/>
      <c r="D77" s="14"/>
      <c r="F77" s="14"/>
      <c r="G77" s="14"/>
      <c r="H77" s="14"/>
      <c r="I77" s="14"/>
      <c r="J77" s="14"/>
      <c r="K77" s="14"/>
      <c r="L77" s="14"/>
      <c r="M77" s="14"/>
      <c r="N77" s="14"/>
      <c r="O77" s="7"/>
      <c r="P77" s="14"/>
      <c r="Q77" s="14"/>
      <c r="R77" s="14"/>
    </row>
    <row r="78" spans="1:18">
      <c r="A78" s="9" t="s">
        <v>5725</v>
      </c>
      <c r="B78" s="14" t="s">
        <v>330</v>
      </c>
      <c r="C78" s="14" t="s">
        <v>206</v>
      </c>
      <c r="D78" s="14" t="s">
        <v>543</v>
      </c>
      <c r="E78" s="15" t="str">
        <f>HYPERLINK("https://stat100.ameba.jp/tnk47/ratio20/illustrations/card/ill_52693_0_sengokumibirakiyanagiharabyakuren03.jpg?201901-3-RELEASE-dice-e-389", "■")</f>
        <v>■</v>
      </c>
      <c r="F78" s="14" t="s">
        <v>544</v>
      </c>
      <c r="G78" s="14">
        <v>117196</v>
      </c>
      <c r="H78" s="14">
        <v>131930</v>
      </c>
      <c r="I78" s="14">
        <v>21</v>
      </c>
      <c r="J78" s="14" t="s">
        <v>414</v>
      </c>
      <c r="K78" s="14" t="s">
        <v>545</v>
      </c>
      <c r="L78" s="14" t="s">
        <v>546</v>
      </c>
      <c r="M78" s="14" t="s">
        <v>9158</v>
      </c>
      <c r="N78" s="14" t="s">
        <v>9158</v>
      </c>
      <c r="O78" s="7" t="s">
        <v>2886</v>
      </c>
      <c r="P78" s="14" t="s">
        <v>2734</v>
      </c>
      <c r="Q78" s="14">
        <v>1</v>
      </c>
      <c r="R78" s="14"/>
    </row>
    <row r="79" spans="1:18">
      <c r="A79" s="9" t="s">
        <v>5897</v>
      </c>
      <c r="B79" s="14" t="s">
        <v>330</v>
      </c>
      <c r="C79" s="14" t="s">
        <v>200</v>
      </c>
      <c r="D79" s="14" t="s">
        <v>277</v>
      </c>
      <c r="E79" s="15" t="str">
        <f>HYPERLINK("https://stat100.ameba.jp/tnk47/ratio20/illustrations/card/ill_40913_0_reigyokudensetsufusehime03.jpg?201901-3-RELEASE-dice-e-389", "■")</f>
        <v>■</v>
      </c>
      <c r="F79" s="14" t="s">
        <v>278</v>
      </c>
      <c r="G79" s="14">
        <v>115096</v>
      </c>
      <c r="H79" s="14">
        <v>122892</v>
      </c>
      <c r="I79" s="14">
        <v>21</v>
      </c>
      <c r="J79" s="14" t="s">
        <v>274</v>
      </c>
      <c r="K79" s="14" t="s">
        <v>279</v>
      </c>
      <c r="L79" s="14" t="s">
        <v>280</v>
      </c>
      <c r="M79" s="14" t="s">
        <v>9158</v>
      </c>
      <c r="N79" s="14" t="s">
        <v>9158</v>
      </c>
      <c r="O79" s="14" t="s">
        <v>9158</v>
      </c>
      <c r="P79" s="14" t="s">
        <v>9158</v>
      </c>
      <c r="Q79" s="14" t="s">
        <v>9158</v>
      </c>
      <c r="R79" s="14"/>
    </row>
    <row r="80" spans="1:18">
      <c r="A80" s="9" t="s">
        <v>5608</v>
      </c>
      <c r="B80" s="14" t="s">
        <v>330</v>
      </c>
      <c r="C80" s="14" t="s">
        <v>165</v>
      </c>
      <c r="D80" s="14" t="s">
        <v>634</v>
      </c>
      <c r="E80" s="15" t="str">
        <f>HYPERLINK("https://stat100.ameba.jp/tnk47/ratio20/illustrations/card/ill_40963_0_makami03.jpg?201901-3-RELEASE-dice-e-389", "■")</f>
        <v>■</v>
      </c>
      <c r="F80" s="14" t="s">
        <v>635</v>
      </c>
      <c r="G80" s="14">
        <v>122892</v>
      </c>
      <c r="H80" s="14">
        <v>115096</v>
      </c>
      <c r="I80" s="14">
        <v>21</v>
      </c>
      <c r="J80" s="14" t="s">
        <v>401</v>
      </c>
      <c r="K80" s="14" t="s">
        <v>636</v>
      </c>
      <c r="L80" s="14" t="s">
        <v>637</v>
      </c>
      <c r="M80" s="14" t="s">
        <v>9158</v>
      </c>
      <c r="N80" s="14" t="s">
        <v>9158</v>
      </c>
      <c r="O80" s="14" t="s">
        <v>9158</v>
      </c>
      <c r="P80" s="14" t="s">
        <v>9158</v>
      </c>
      <c r="Q80" s="14" t="s">
        <v>9158</v>
      </c>
      <c r="R80" s="14"/>
    </row>
    <row r="81" spans="1:18">
      <c r="A81" s="9">
        <v>78763</v>
      </c>
      <c r="B81" s="14" t="s">
        <v>334</v>
      </c>
      <c r="C81" s="14" t="s">
        <v>205</v>
      </c>
      <c r="D81" s="14" t="s">
        <v>2853</v>
      </c>
      <c r="E81" s="15" t="str">
        <f>HYPERLINK("https://stat100.ameba.jp/tnk47/ratio20/illustrations/card/ill_78763_shichifukujinorochinomusha03.jpg?201901-3-RELEASE-dice-e-389", "■")</f>
        <v>■</v>
      </c>
      <c r="F81" s="14" t="s">
        <v>2854</v>
      </c>
      <c r="G81" s="14">
        <v>116076</v>
      </c>
      <c r="H81" s="14">
        <v>124839</v>
      </c>
      <c r="I81" s="14">
        <v>21</v>
      </c>
      <c r="J81" s="14" t="s">
        <v>310</v>
      </c>
      <c r="K81" s="14" t="s">
        <v>2855</v>
      </c>
      <c r="L81" s="14" t="s">
        <v>407</v>
      </c>
      <c r="M81" s="14" t="s">
        <v>9158</v>
      </c>
      <c r="N81" s="14" t="s">
        <v>9158</v>
      </c>
      <c r="O81" s="14" t="s">
        <v>9158</v>
      </c>
      <c r="P81" s="14" t="s">
        <v>9158</v>
      </c>
      <c r="Q81" s="14" t="s">
        <v>9158</v>
      </c>
      <c r="R81" s="14"/>
    </row>
    <row r="82" spans="1:18">
      <c r="A82" s="9">
        <v>78773</v>
      </c>
      <c r="B82" s="14" t="s">
        <v>348</v>
      </c>
      <c r="C82" s="14" t="s">
        <v>191</v>
      </c>
      <c r="D82" s="14" t="s">
        <v>2856</v>
      </c>
      <c r="E82" s="15" t="str">
        <f>HYPERLINK("https://stat100.ameba.jp/tnk47/ratio20/illustrations/card/ill_78773_hosokawagarasya03.jpg?201901-3-RELEASE-dice-e-389", "■")</f>
        <v>■</v>
      </c>
      <c r="F82" s="14" t="s">
        <v>2857</v>
      </c>
      <c r="G82" s="14">
        <v>53352</v>
      </c>
      <c r="H82" s="14">
        <v>48390</v>
      </c>
      <c r="I82" s="14">
        <v>18</v>
      </c>
      <c r="J82" s="14" t="s">
        <v>315</v>
      </c>
      <c r="K82" s="14" t="s">
        <v>2858</v>
      </c>
      <c r="L82" s="14" t="s">
        <v>2859</v>
      </c>
      <c r="M82" s="14" t="s">
        <v>9158</v>
      </c>
      <c r="N82" s="14" t="s">
        <v>9158</v>
      </c>
      <c r="O82" s="14" t="s">
        <v>9158</v>
      </c>
      <c r="P82" s="14" t="s">
        <v>9158</v>
      </c>
      <c r="Q82" s="14" t="s">
        <v>9158</v>
      </c>
      <c r="R82" s="14"/>
    </row>
    <row r="83" spans="1:18">
      <c r="A83" s="9">
        <v>78783</v>
      </c>
      <c r="B83" s="14" t="s">
        <v>362</v>
      </c>
      <c r="C83" s="14" t="s">
        <v>185</v>
      </c>
      <c r="D83" s="14" t="s">
        <v>2860</v>
      </c>
      <c r="E83" s="15" t="str">
        <f>HYPERLINK("https://stat100.ameba.jp/tnk47/ratio20/illustrations/card/ill_78783_aterui03.jpg?201901-3-RELEASE-dice-e-389", "■")</f>
        <v>■</v>
      </c>
      <c r="F83" s="14" t="s">
        <v>2861</v>
      </c>
      <c r="G83" s="14">
        <v>29388</v>
      </c>
      <c r="H83" s="14">
        <v>35346</v>
      </c>
      <c r="I83" s="14">
        <v>17</v>
      </c>
      <c r="J83" s="14" t="s">
        <v>351</v>
      </c>
      <c r="K83" s="14" t="s">
        <v>2862</v>
      </c>
      <c r="L83" s="14" t="s">
        <v>2863</v>
      </c>
      <c r="M83" s="14" t="s">
        <v>9158</v>
      </c>
      <c r="N83" s="14" t="s">
        <v>9158</v>
      </c>
      <c r="O83" s="14" t="s">
        <v>9158</v>
      </c>
      <c r="P83" s="14" t="s">
        <v>9158</v>
      </c>
      <c r="Q83" s="14" t="s">
        <v>9158</v>
      </c>
      <c r="R83" s="14"/>
    </row>
    <row r="84" spans="1:18">
      <c r="A84" s="9">
        <v>78793</v>
      </c>
      <c r="B84" s="14" t="s">
        <v>372</v>
      </c>
      <c r="C84" s="14" t="s">
        <v>2720</v>
      </c>
      <c r="D84" s="14" t="s">
        <v>2864</v>
      </c>
      <c r="E84" s="15" t="str">
        <f>HYPERLINK("https://stat100.ameba.jp/tnk47/ratio20/illustrations/card/ill_78793_ehoumakityan03.jpg?201901-3-RELEASE-dice-e-389", "■")</f>
        <v>■</v>
      </c>
      <c r="F84" s="14" t="s">
        <v>2865</v>
      </c>
      <c r="G84" s="14">
        <v>20140</v>
      </c>
      <c r="H84" s="14">
        <v>16914</v>
      </c>
      <c r="I84" s="14">
        <v>16</v>
      </c>
      <c r="J84" s="14" t="s">
        <v>283</v>
      </c>
      <c r="K84" s="14" t="s">
        <v>2866</v>
      </c>
      <c r="L84" s="14" t="s">
        <v>2867</v>
      </c>
      <c r="M84" s="14" t="s">
        <v>9158</v>
      </c>
      <c r="N84" s="14" t="s">
        <v>9158</v>
      </c>
      <c r="O84" s="14" t="s">
        <v>9158</v>
      </c>
      <c r="P84" s="14" t="s">
        <v>9158</v>
      </c>
      <c r="Q84" s="14" t="s">
        <v>9158</v>
      </c>
      <c r="R84" s="14"/>
    </row>
    <row r="85" spans="1:18">
      <c r="B85" s="14"/>
      <c r="C85" s="14"/>
      <c r="D85" s="14"/>
      <c r="F85" s="14"/>
      <c r="G85" s="14"/>
      <c r="H85" s="14"/>
      <c r="I85" s="14"/>
      <c r="J85" s="14"/>
      <c r="K85" s="14"/>
      <c r="L85" s="14"/>
      <c r="M85" s="14"/>
      <c r="N85" s="14"/>
      <c r="O85" s="7"/>
      <c r="P85" s="14"/>
      <c r="Q85" s="14"/>
      <c r="R85" s="14"/>
    </row>
    <row r="86" spans="1:18">
      <c r="A86" s="14" t="s">
        <v>1357</v>
      </c>
      <c r="D86" s="14"/>
      <c r="F86" s="14"/>
      <c r="G86" s="14"/>
      <c r="H86" s="14"/>
      <c r="I86" s="14"/>
      <c r="J86" s="14"/>
      <c r="K86" s="14"/>
      <c r="L86" s="14"/>
      <c r="M86" s="14"/>
      <c r="N86" s="14"/>
      <c r="O86" s="7"/>
      <c r="P86" s="14"/>
      <c r="Q86" s="14"/>
      <c r="R86" s="14"/>
    </row>
    <row r="87" spans="1:18">
      <c r="A87" s="14" t="s">
        <v>2887</v>
      </c>
      <c r="B87" s="14"/>
      <c r="C87" s="14"/>
      <c r="D87" s="14"/>
      <c r="F87" s="14"/>
      <c r="G87" s="14"/>
      <c r="H87" s="14"/>
      <c r="I87" s="14"/>
      <c r="J87" s="14"/>
      <c r="K87" s="14"/>
      <c r="L87" s="14"/>
      <c r="M87" s="14"/>
      <c r="N87" s="14"/>
      <c r="O87" s="7"/>
      <c r="P87" s="14"/>
      <c r="Q87" s="14"/>
      <c r="R87" s="14"/>
    </row>
    <row r="88" spans="1:18">
      <c r="A88" s="9" t="s">
        <v>5611</v>
      </c>
      <c r="B88" s="14" t="s">
        <v>330</v>
      </c>
      <c r="C88" s="14" t="s">
        <v>185</v>
      </c>
      <c r="D88" s="14" t="s">
        <v>951</v>
      </c>
      <c r="E88" s="15" t="str">
        <f>HYPERLINK("https://stat100.ameba.jp/tnk47/ratio20/illustrations/card/ill_60633_0_harumaisentoin03.jpg?201901-3-RELEASE-dice-e-389", "■")</f>
        <v>■</v>
      </c>
      <c r="F88" s="14" t="s">
        <v>540</v>
      </c>
      <c r="G88" s="14">
        <v>95371</v>
      </c>
      <c r="H88" s="14">
        <v>102590</v>
      </c>
      <c r="I88" s="14">
        <v>15</v>
      </c>
      <c r="J88" s="14" t="s">
        <v>274</v>
      </c>
      <c r="K88" s="14" t="s">
        <v>541</v>
      </c>
      <c r="L88" s="14" t="s">
        <v>542</v>
      </c>
      <c r="M88" s="14" t="s">
        <v>9158</v>
      </c>
      <c r="N88" s="14" t="s">
        <v>9158</v>
      </c>
      <c r="O88" s="7" t="s">
        <v>2888</v>
      </c>
      <c r="P88" s="14" t="s">
        <v>3144</v>
      </c>
      <c r="Q88" s="14">
        <v>1</v>
      </c>
      <c r="R88" s="14"/>
    </row>
    <row r="89" spans="1:18">
      <c r="A89" s="9" t="s">
        <v>5901</v>
      </c>
      <c r="B89" s="14" t="s">
        <v>330</v>
      </c>
      <c r="C89" s="14" t="s">
        <v>307</v>
      </c>
      <c r="D89" s="14" t="s">
        <v>1426</v>
      </c>
      <c r="E89" s="15" t="str">
        <f>HYPERLINK("https://stat100.ameba.jp/tnk47/ratio20/illustrations/card/ill_64953_0_yukatatokugawayoshinobu03.jpg?201901-3-RELEASE-dice-e-389", "■")</f>
        <v>■</v>
      </c>
      <c r="F89" s="14" t="s">
        <v>1427</v>
      </c>
      <c r="G89" s="14">
        <v>93450</v>
      </c>
      <c r="H89" s="14">
        <v>100502</v>
      </c>
      <c r="I89" s="14">
        <v>15</v>
      </c>
      <c r="J89" s="14" t="s">
        <v>351</v>
      </c>
      <c r="K89" s="14" t="s">
        <v>1428</v>
      </c>
      <c r="L89" s="14" t="s">
        <v>1429</v>
      </c>
      <c r="M89" s="14" t="s">
        <v>9158</v>
      </c>
      <c r="N89" s="14" t="s">
        <v>9158</v>
      </c>
      <c r="O89" s="7" t="s">
        <v>2889</v>
      </c>
      <c r="P89" s="14" t="s">
        <v>2890</v>
      </c>
      <c r="Q89" s="14">
        <v>1</v>
      </c>
      <c r="R89" s="14"/>
    </row>
    <row r="90" spans="1:18">
      <c r="A90" s="9" t="s">
        <v>5721</v>
      </c>
      <c r="B90" s="14" t="s">
        <v>330</v>
      </c>
      <c r="C90" s="14" t="s">
        <v>205</v>
      </c>
      <c r="D90" s="14" t="s">
        <v>1715</v>
      </c>
      <c r="E90" s="15" t="str">
        <f>HYPERLINK("https://stat100.ameba.jp/tnk47/ratio20/illustrations/card/ill_44283_0_izumonokuni03.jpg?201901-3-RELEASE-dice-e-389", "■")</f>
        <v>■</v>
      </c>
      <c r="F90" s="14" t="s">
        <v>514</v>
      </c>
      <c r="G90" s="14">
        <v>87780</v>
      </c>
      <c r="H90" s="14">
        <v>82212</v>
      </c>
      <c r="I90" s="14">
        <v>15</v>
      </c>
      <c r="J90" s="14" t="s">
        <v>159</v>
      </c>
      <c r="K90" s="14" t="s">
        <v>1717</v>
      </c>
      <c r="L90" s="14" t="s">
        <v>516</v>
      </c>
      <c r="M90" s="14" t="s">
        <v>9158</v>
      </c>
      <c r="N90" s="14" t="s">
        <v>9158</v>
      </c>
      <c r="O90" s="14" t="s">
        <v>9158</v>
      </c>
      <c r="P90" s="14" t="s">
        <v>9158</v>
      </c>
      <c r="Q90" s="14" t="s">
        <v>9158</v>
      </c>
      <c r="R90" s="14"/>
    </row>
    <row r="91" spans="1:18">
      <c r="A91" s="9">
        <v>77743</v>
      </c>
      <c r="B91" s="14" t="s">
        <v>334</v>
      </c>
      <c r="C91" s="14" t="s">
        <v>158</v>
      </c>
      <c r="D91" s="14" t="s">
        <v>493</v>
      </c>
      <c r="E91" s="15" t="str">
        <f>HYPERLINK("https://stat100.ameba.jp/tnk47/ratio20/illustrations/card/ill_77743_kaerude03.jpg?201901-3-RELEASE-dice-e-389", "■")</f>
        <v>■</v>
      </c>
      <c r="F91" s="14" t="s">
        <v>494</v>
      </c>
      <c r="G91" s="14">
        <v>69648</v>
      </c>
      <c r="H91" s="14">
        <v>69648</v>
      </c>
      <c r="I91" s="14">
        <v>22</v>
      </c>
      <c r="J91" s="14" t="s">
        <v>369</v>
      </c>
      <c r="K91" s="14" t="s">
        <v>495</v>
      </c>
      <c r="L91" s="14" t="s">
        <v>496</v>
      </c>
      <c r="M91" s="14" t="s">
        <v>9158</v>
      </c>
      <c r="N91" s="14" t="s">
        <v>9158</v>
      </c>
      <c r="O91" s="14" t="s">
        <v>9158</v>
      </c>
      <c r="P91" s="14" t="s">
        <v>9158</v>
      </c>
      <c r="Q91" s="14" t="s">
        <v>9158</v>
      </c>
      <c r="R91" s="14"/>
    </row>
    <row r="92" spans="1:18">
      <c r="A92" s="9">
        <v>76963</v>
      </c>
      <c r="B92" s="14" t="s">
        <v>334</v>
      </c>
      <c r="C92" s="14" t="s">
        <v>154</v>
      </c>
      <c r="D92" s="14" t="s">
        <v>2891</v>
      </c>
      <c r="E92" s="15" t="str">
        <f>HYPERLINK("https://stat100.ameba.jp/tnk47/ratio20/illustrations/card/ill_76963_pavariaojo03.jpg?201901-3-RELEASE-dice-e-389", "■")</f>
        <v>■</v>
      </c>
      <c r="F92" s="14" t="s">
        <v>2892</v>
      </c>
      <c r="G92" s="14">
        <v>106100</v>
      </c>
      <c r="H92" s="14">
        <v>59700</v>
      </c>
      <c r="I92" s="14">
        <v>22</v>
      </c>
      <c r="J92" s="14" t="s">
        <v>315</v>
      </c>
      <c r="K92" s="14" t="s">
        <v>2893</v>
      </c>
      <c r="L92" s="14" t="s">
        <v>1432</v>
      </c>
      <c r="M92" s="14" t="s">
        <v>9158</v>
      </c>
      <c r="N92" s="14" t="s">
        <v>9158</v>
      </c>
      <c r="O92" s="14" t="s">
        <v>9158</v>
      </c>
      <c r="P92" s="14" t="s">
        <v>9158</v>
      </c>
      <c r="Q92" s="14" t="s">
        <v>9158</v>
      </c>
      <c r="R92" s="14"/>
    </row>
    <row r="93" spans="1:18">
      <c r="A93" s="9">
        <v>79823</v>
      </c>
      <c r="B93" s="14" t="s">
        <v>334</v>
      </c>
      <c r="C93" s="14" t="s">
        <v>158</v>
      </c>
      <c r="D93" s="14" t="s">
        <v>2894</v>
      </c>
      <c r="E93" s="15" t="str">
        <f>HYPERLINK("https://stat100.ameba.jp/tnk47/ratio20/illustrations/card/ill_79823_agehamishieru03.jpg?201901-3-RELEASE-dice-e-389", "■")</f>
        <v>■</v>
      </c>
      <c r="F93" s="14" t="s">
        <v>2895</v>
      </c>
      <c r="G93" s="14">
        <v>90870</v>
      </c>
      <c r="H93" s="14">
        <v>161516</v>
      </c>
      <c r="I93" s="14">
        <v>22</v>
      </c>
      <c r="J93" s="14" t="s">
        <v>414</v>
      </c>
      <c r="K93" s="14" t="s">
        <v>2896</v>
      </c>
      <c r="L93" s="14" t="s">
        <v>2897</v>
      </c>
      <c r="M93" s="14" t="s">
        <v>9158</v>
      </c>
      <c r="N93" s="14" t="s">
        <v>9158</v>
      </c>
      <c r="O93" s="14" t="s">
        <v>9158</v>
      </c>
      <c r="P93" s="14" t="s">
        <v>9158</v>
      </c>
      <c r="Q93" s="14" t="s">
        <v>9158</v>
      </c>
      <c r="R93" s="14"/>
    </row>
    <row r="94" spans="1:18">
      <c r="A94" s="9">
        <v>59113</v>
      </c>
      <c r="B94" s="14" t="s">
        <v>348</v>
      </c>
      <c r="C94" s="14" t="s">
        <v>185</v>
      </c>
      <c r="D94" s="14" t="s">
        <v>2898</v>
      </c>
      <c r="E94" s="15" t="str">
        <f>HYPERLINK("https://stat100.ameba.jp/tnk47/ratio20/illustrations/card/ill_59113_hananodayunakanotakeko03.jpg?201901-3-RELEASE-dice-e-389", "■")</f>
        <v>■</v>
      </c>
      <c r="F94" s="14" t="s">
        <v>2899</v>
      </c>
      <c r="G94" s="14">
        <v>65208</v>
      </c>
      <c r="H94" s="14">
        <v>65208</v>
      </c>
      <c r="I94" s="14">
        <v>22</v>
      </c>
      <c r="J94" s="14" t="s">
        <v>310</v>
      </c>
      <c r="K94" s="14" t="s">
        <v>2900</v>
      </c>
      <c r="L94" s="14" t="s">
        <v>1525</v>
      </c>
      <c r="M94" s="14" t="s">
        <v>9158</v>
      </c>
      <c r="N94" s="14" t="s">
        <v>9158</v>
      </c>
      <c r="O94" s="14" t="s">
        <v>9158</v>
      </c>
      <c r="P94" s="14" t="s">
        <v>9158</v>
      </c>
      <c r="Q94" s="14" t="s">
        <v>9158</v>
      </c>
      <c r="R94" s="14"/>
    </row>
    <row r="95" spans="1:18">
      <c r="A95" s="9">
        <v>66653</v>
      </c>
      <c r="B95" s="14" t="s">
        <v>348</v>
      </c>
      <c r="C95" s="14" t="s">
        <v>205</v>
      </c>
      <c r="D95" s="14" t="s">
        <v>2901</v>
      </c>
      <c r="E95" s="15" t="str">
        <f>HYPERLINK("https://stat100.ameba.jp/tnk47/ratio20/illustrations/card/ill_66653_oryoriehimenomikoto03.jpg?201901-3-RELEASE-dice-e-389", "■")</f>
        <v>■</v>
      </c>
      <c r="F95" s="14" t="s">
        <v>2902</v>
      </c>
      <c r="G95" s="14">
        <v>59144</v>
      </c>
      <c r="H95" s="14">
        <v>65208</v>
      </c>
      <c r="I95" s="14">
        <v>22</v>
      </c>
      <c r="J95" s="14" t="s">
        <v>401</v>
      </c>
      <c r="K95" s="14" t="s">
        <v>2903</v>
      </c>
      <c r="L95" s="14" t="s">
        <v>2904</v>
      </c>
      <c r="M95" s="14" t="s">
        <v>9158</v>
      </c>
      <c r="N95" s="14" t="s">
        <v>9158</v>
      </c>
      <c r="O95" s="14" t="s">
        <v>9158</v>
      </c>
      <c r="P95" s="14" t="s">
        <v>9158</v>
      </c>
      <c r="Q95" s="14" t="s">
        <v>9158</v>
      </c>
      <c r="R95" s="14"/>
    </row>
    <row r="96" spans="1:18">
      <c r="A96" s="9">
        <v>65863</v>
      </c>
      <c r="B96" s="14" t="s">
        <v>348</v>
      </c>
      <c r="C96" s="14" t="s">
        <v>191</v>
      </c>
      <c r="D96" s="14" t="s">
        <v>2905</v>
      </c>
      <c r="E96" s="15" t="str">
        <f>HYPERLINK("https://stat100.ameba.jp/tnk47/ratio20/illustrations/card/ill_65863_jokyurengeso03.jpg?201901-3-RELEASE-dice-e-389", "■")</f>
        <v>■</v>
      </c>
      <c r="F96" s="14" t="s">
        <v>2906</v>
      </c>
      <c r="G96" s="14">
        <v>65208</v>
      </c>
      <c r="H96" s="14">
        <v>59144</v>
      </c>
      <c r="I96" s="14">
        <v>22</v>
      </c>
      <c r="J96" s="14" t="s">
        <v>369</v>
      </c>
      <c r="K96" s="14" t="s">
        <v>2907</v>
      </c>
      <c r="L96" s="14" t="s">
        <v>2908</v>
      </c>
      <c r="M96" s="14" t="s">
        <v>9158</v>
      </c>
      <c r="N96" s="14" t="s">
        <v>9158</v>
      </c>
      <c r="O96" s="14" t="s">
        <v>9158</v>
      </c>
      <c r="P96" s="14" t="s">
        <v>9158</v>
      </c>
      <c r="Q96" s="14" t="s">
        <v>9158</v>
      </c>
      <c r="R96" s="14"/>
    </row>
    <row r="97" spans="1:18">
      <c r="B97" s="14"/>
      <c r="C97" s="14"/>
      <c r="D97" s="14"/>
      <c r="F97" s="14"/>
      <c r="G97" s="14"/>
      <c r="H97" s="14"/>
      <c r="I97" s="14"/>
      <c r="J97" s="14"/>
      <c r="K97" s="14"/>
      <c r="L97" s="14"/>
      <c r="M97" s="14"/>
      <c r="N97" s="14"/>
      <c r="O97" s="7"/>
      <c r="P97" s="14"/>
      <c r="Q97" s="14"/>
      <c r="R97" s="14"/>
    </row>
    <row r="98" spans="1:18">
      <c r="A98" s="14" t="s">
        <v>135</v>
      </c>
      <c r="D98" s="14"/>
      <c r="F98" s="14"/>
      <c r="G98" s="14"/>
      <c r="H98" s="14"/>
      <c r="I98" s="14"/>
      <c r="J98" s="14"/>
      <c r="K98" s="14"/>
      <c r="L98" s="14"/>
      <c r="M98" s="14"/>
      <c r="N98" s="14"/>
      <c r="O98" s="7"/>
      <c r="P98" s="14"/>
      <c r="Q98" s="14"/>
      <c r="R98" s="14"/>
    </row>
    <row r="99" spans="1:18">
      <c r="A99" s="14" t="s">
        <v>2909</v>
      </c>
      <c r="B99" s="14"/>
      <c r="C99" s="14"/>
      <c r="D99" s="14"/>
      <c r="F99" s="14"/>
      <c r="G99" s="14"/>
      <c r="H99" s="14"/>
      <c r="I99" s="14"/>
      <c r="J99" s="14"/>
      <c r="K99" s="14"/>
      <c r="L99" s="14"/>
      <c r="M99" s="14"/>
      <c r="N99" s="14"/>
      <c r="O99" s="7"/>
      <c r="P99" s="14"/>
      <c r="Q99" s="14"/>
      <c r="R99" s="14"/>
    </row>
    <row r="100" spans="1:18">
      <c r="A100" s="9" t="s">
        <v>5734</v>
      </c>
      <c r="B100" s="14" t="s">
        <v>330</v>
      </c>
      <c r="C100" s="14" t="s">
        <v>202</v>
      </c>
      <c r="D100" s="14" t="s">
        <v>1497</v>
      </c>
      <c r="E100" s="15" t="str">
        <f>HYPERLINK("https://stat100.ameba.jp/tnk47/ratio20/illustrations/card/ill_74593_0_natsuyuenchikoshihikari03.jpg?201901-3-RELEASE-dice-e-389", "■")</f>
        <v>■</v>
      </c>
      <c r="F100" s="14" t="s">
        <v>1498</v>
      </c>
      <c r="G100" s="14">
        <v>249162</v>
      </c>
      <c r="H100" s="14">
        <v>231637</v>
      </c>
      <c r="I100" s="14">
        <v>23</v>
      </c>
      <c r="J100" s="14" t="s">
        <v>283</v>
      </c>
      <c r="K100" s="14" t="s">
        <v>1499</v>
      </c>
      <c r="L100" s="14" t="s">
        <v>1500</v>
      </c>
      <c r="M100" s="14" t="s">
        <v>9158</v>
      </c>
      <c r="N100" s="14" t="s">
        <v>9158</v>
      </c>
      <c r="O100" s="7" t="s">
        <v>2731</v>
      </c>
      <c r="P100" s="14" t="s">
        <v>2732</v>
      </c>
      <c r="Q100" s="14">
        <v>1</v>
      </c>
      <c r="R100" s="14"/>
    </row>
    <row r="101" spans="1:18">
      <c r="A101" s="9">
        <v>66363</v>
      </c>
      <c r="B101" s="14" t="s">
        <v>334</v>
      </c>
      <c r="C101" s="14" t="s">
        <v>158</v>
      </c>
      <c r="D101" s="14" t="s">
        <v>2910</v>
      </c>
      <c r="E101" s="15" t="str">
        <f>HYPERLINK("https://stat100.ameba.jp/tnk47/ratio20/illustrations/card/ill_66363_iharasaikaku03.jpg?201901-3-RELEASE-dice-e-389", "■")</f>
        <v>■</v>
      </c>
      <c r="F101" s="14" t="s">
        <v>537</v>
      </c>
      <c r="G101" s="14">
        <v>69051</v>
      </c>
      <c r="H101" s="14">
        <v>95307</v>
      </c>
      <c r="I101" s="14">
        <v>21</v>
      </c>
      <c r="J101" s="14" t="s">
        <v>414</v>
      </c>
      <c r="K101" s="14" t="s">
        <v>2911</v>
      </c>
      <c r="L101" s="14" t="s">
        <v>1575</v>
      </c>
      <c r="M101" s="14" t="s">
        <v>9158</v>
      </c>
      <c r="N101" s="14" t="s">
        <v>9158</v>
      </c>
      <c r="O101" s="18" t="s">
        <v>10053</v>
      </c>
      <c r="P101" s="14" t="s">
        <v>2822</v>
      </c>
      <c r="Q101" s="14">
        <v>1</v>
      </c>
      <c r="R101" s="14"/>
    </row>
    <row r="102" spans="1:18">
      <c r="A102" s="9">
        <v>58343</v>
      </c>
      <c r="B102" s="14" t="s">
        <v>334</v>
      </c>
      <c r="C102" s="14" t="s">
        <v>154</v>
      </c>
      <c r="D102" s="14" t="s">
        <v>585</v>
      </c>
      <c r="E102" s="15" t="str">
        <f>HYPERLINK("https://stat100.ameba.jp/tnk47/ratio20/illustrations/card/ill_58343_agemakidayu03.jpg?201901-3-RELEASE-dice-e-389", "■")</f>
        <v>■</v>
      </c>
      <c r="F102" s="14" t="s">
        <v>586</v>
      </c>
      <c r="G102" s="14">
        <v>86668</v>
      </c>
      <c r="H102" s="14">
        <v>63547</v>
      </c>
      <c r="I102" s="14">
        <v>21</v>
      </c>
      <c r="J102" s="14" t="s">
        <v>274</v>
      </c>
      <c r="K102" s="14" t="s">
        <v>587</v>
      </c>
      <c r="L102" s="14" t="s">
        <v>588</v>
      </c>
      <c r="M102" s="14" t="s">
        <v>9158</v>
      </c>
      <c r="N102" s="14" t="s">
        <v>9158</v>
      </c>
      <c r="O102" s="7" t="s">
        <v>2912</v>
      </c>
      <c r="P102" s="14" t="s">
        <v>13122</v>
      </c>
      <c r="Q102" s="14">
        <v>1</v>
      </c>
      <c r="R102" s="14"/>
    </row>
    <row r="103" spans="1:18">
      <c r="A103" s="9">
        <v>52083</v>
      </c>
      <c r="B103" s="14" t="s">
        <v>334</v>
      </c>
      <c r="C103" s="14" t="s">
        <v>158</v>
      </c>
      <c r="D103" s="14" t="s">
        <v>2913</v>
      </c>
      <c r="E103" s="15" t="str">
        <f>HYPERLINK("https://stat100.ameba.jp/tnk47/ratio20/illustrations/card/ill_52083_berubetto03.jpg?201901-3-RELEASE-dice-e-389", "■")</f>
        <v>■</v>
      </c>
      <c r="F103" s="14" t="s">
        <v>2914</v>
      </c>
      <c r="G103" s="14">
        <v>72356</v>
      </c>
      <c r="H103" s="14">
        <v>99889</v>
      </c>
      <c r="I103" s="14">
        <v>21</v>
      </c>
      <c r="J103" s="14" t="s">
        <v>369</v>
      </c>
      <c r="K103" s="14" t="s">
        <v>2915</v>
      </c>
      <c r="L103" s="14" t="s">
        <v>2916</v>
      </c>
      <c r="M103" s="14" t="s">
        <v>9158</v>
      </c>
      <c r="N103" s="14" t="s">
        <v>9158</v>
      </c>
      <c r="O103" s="7" t="s">
        <v>2917</v>
      </c>
      <c r="P103" s="14" t="s">
        <v>2918</v>
      </c>
      <c r="Q103" s="14">
        <v>1</v>
      </c>
      <c r="R103" s="14"/>
    </row>
    <row r="104" spans="1:18">
      <c r="B104" s="14"/>
      <c r="C104" s="14"/>
      <c r="D104" s="14"/>
      <c r="F104" s="14"/>
      <c r="G104" s="14"/>
      <c r="H104" s="14"/>
      <c r="I104" s="14"/>
      <c r="J104" s="14"/>
      <c r="K104" s="14"/>
      <c r="L104" s="14"/>
      <c r="M104" s="14"/>
      <c r="N104" s="14"/>
      <c r="O104" s="7"/>
      <c r="P104" s="14"/>
      <c r="Q104" s="14"/>
      <c r="R104" s="14"/>
    </row>
    <row r="105" spans="1:18">
      <c r="A105" s="14" t="s">
        <v>195</v>
      </c>
      <c r="D105" s="14"/>
      <c r="F105" s="14"/>
      <c r="G105" s="14"/>
      <c r="H105" s="14"/>
      <c r="I105" s="14"/>
      <c r="J105" s="14"/>
      <c r="K105" s="14"/>
      <c r="L105" s="14"/>
      <c r="M105" s="14"/>
      <c r="N105" s="14"/>
      <c r="O105" s="7"/>
      <c r="P105" s="14"/>
      <c r="Q105" s="14"/>
      <c r="R105" s="14"/>
    </row>
    <row r="106" spans="1:18">
      <c r="A106" s="14" t="s">
        <v>2919</v>
      </c>
      <c r="B106" s="14"/>
      <c r="C106" s="14"/>
      <c r="D106" s="14"/>
      <c r="F106" s="14"/>
      <c r="G106" s="14"/>
      <c r="H106" s="14"/>
      <c r="I106" s="14"/>
      <c r="J106" s="14"/>
      <c r="K106" s="14"/>
      <c r="L106" s="14"/>
      <c r="M106" s="14"/>
      <c r="N106" s="14"/>
      <c r="O106" s="7"/>
      <c r="P106" s="14"/>
      <c r="Q106" s="14"/>
      <c r="R106" s="14"/>
    </row>
    <row r="107" spans="1:18">
      <c r="A107" s="9">
        <v>76103</v>
      </c>
      <c r="B107" s="14" t="s">
        <v>334</v>
      </c>
      <c r="C107" s="14" t="s">
        <v>154</v>
      </c>
      <c r="D107" s="14" t="s">
        <v>570</v>
      </c>
      <c r="E107" s="15" t="str">
        <f>HYPERLINK("https://stat100.ameba.jp/tnk47/ratio20/illustrations/card/ill_76103_shibuaji03.jpg?201901-3-RELEASE-dice-e-389", "■")</f>
        <v>■</v>
      </c>
      <c r="F107" s="14" t="s">
        <v>571</v>
      </c>
      <c r="G107" s="14">
        <v>90574</v>
      </c>
      <c r="H107" s="14">
        <v>84214</v>
      </c>
      <c r="I107" s="14">
        <v>21</v>
      </c>
      <c r="J107" s="14" t="s">
        <v>194</v>
      </c>
      <c r="K107" s="14" t="s">
        <v>196</v>
      </c>
      <c r="L107" s="14" t="s">
        <v>13135</v>
      </c>
      <c r="M107" s="14" t="s">
        <v>9158</v>
      </c>
      <c r="N107" s="14" t="s">
        <v>9158</v>
      </c>
      <c r="O107" s="14" t="s">
        <v>9158</v>
      </c>
      <c r="P107" s="14" t="s">
        <v>9158</v>
      </c>
      <c r="Q107" s="14" t="s">
        <v>9158</v>
      </c>
      <c r="R107" s="14"/>
    </row>
    <row r="108" spans="1:18">
      <c r="A108" s="9">
        <v>76113</v>
      </c>
      <c r="B108" s="14" t="s">
        <v>334</v>
      </c>
      <c r="C108" s="14" t="s">
        <v>158</v>
      </c>
      <c r="D108" s="14" t="s">
        <v>197</v>
      </c>
      <c r="E108" s="15" t="str">
        <f>HYPERLINK("https://stat100.ameba.jp/tnk47/ratio20/illustrations/card/ill_76113_jannudaruku03.jpg?201901-3-RELEASE-dice-e-389", "■")</f>
        <v>■</v>
      </c>
      <c r="F108" s="14" t="s">
        <v>572</v>
      </c>
      <c r="G108" s="14">
        <v>90574</v>
      </c>
      <c r="H108" s="14">
        <v>84214</v>
      </c>
      <c r="I108" s="14">
        <v>21</v>
      </c>
      <c r="J108" s="14" t="s">
        <v>173</v>
      </c>
      <c r="K108" s="14" t="s">
        <v>198</v>
      </c>
      <c r="L108" s="14" t="s">
        <v>13136</v>
      </c>
      <c r="M108" s="14" t="s">
        <v>9158</v>
      </c>
      <c r="N108" s="14" t="s">
        <v>9158</v>
      </c>
      <c r="O108" s="14" t="s">
        <v>9158</v>
      </c>
      <c r="P108" s="14" t="s">
        <v>9158</v>
      </c>
      <c r="Q108" s="14" t="s">
        <v>9158</v>
      </c>
      <c r="R108" s="14"/>
    </row>
    <row r="109" spans="1:18">
      <c r="A109" s="9">
        <v>60983</v>
      </c>
      <c r="B109" s="14" t="s">
        <v>334</v>
      </c>
      <c r="C109" s="14" t="s">
        <v>205</v>
      </c>
      <c r="D109" s="14" t="s">
        <v>1352</v>
      </c>
      <c r="E109" s="15" t="str">
        <f>HYPERLINK("https://stat100.ameba.jp/tnk47/ratio20/illustrations/card/ill_60983_majutsushitsurunongaeshi03.jpg?201901-3-RELEASE-dice-e-389", "■")</f>
        <v>■</v>
      </c>
      <c r="F109" s="14" t="s">
        <v>1494</v>
      </c>
      <c r="G109" s="14">
        <v>95836</v>
      </c>
      <c r="H109" s="14">
        <v>88948</v>
      </c>
      <c r="I109" s="14">
        <v>21</v>
      </c>
      <c r="J109" s="14" t="s">
        <v>155</v>
      </c>
      <c r="K109" s="14" t="s">
        <v>1353</v>
      </c>
      <c r="L109" s="14" t="s">
        <v>13162</v>
      </c>
      <c r="M109" s="14" t="s">
        <v>9158</v>
      </c>
      <c r="N109" s="14" t="s">
        <v>9158</v>
      </c>
      <c r="O109" s="14" t="s">
        <v>9158</v>
      </c>
      <c r="P109" s="14" t="s">
        <v>9158</v>
      </c>
      <c r="Q109" s="14" t="s">
        <v>9158</v>
      </c>
      <c r="R109" s="14"/>
    </row>
    <row r="110" spans="1:18">
      <c r="A110" s="9">
        <v>59923</v>
      </c>
      <c r="B110" s="14" t="s">
        <v>334</v>
      </c>
      <c r="C110" s="14" t="s">
        <v>191</v>
      </c>
      <c r="D110" s="14" t="s">
        <v>1354</v>
      </c>
      <c r="E110" s="15" t="str">
        <f>HYPERLINK("https://stat100.ameba.jp/tnk47/ratio20/illustrations/card/ill_59923_yuseikuroyuridensetsu03.jpg?201901-3-RELEASE-dice-e-389", "■")</f>
        <v>■</v>
      </c>
      <c r="F110" s="14" t="s">
        <v>1495</v>
      </c>
      <c r="G110" s="14">
        <v>95836</v>
      </c>
      <c r="H110" s="14">
        <v>88948</v>
      </c>
      <c r="I110" s="14">
        <v>21</v>
      </c>
      <c r="J110" s="14" t="s">
        <v>155</v>
      </c>
      <c r="K110" s="14" t="s">
        <v>1355</v>
      </c>
      <c r="L110" s="14" t="s">
        <v>13163</v>
      </c>
      <c r="M110" s="14" t="s">
        <v>9158</v>
      </c>
      <c r="N110" s="14" t="s">
        <v>9158</v>
      </c>
      <c r="O110" s="14" t="s">
        <v>9158</v>
      </c>
      <c r="P110" s="14" t="s">
        <v>9158</v>
      </c>
      <c r="Q110" s="14" t="s">
        <v>9158</v>
      </c>
      <c r="R110" s="14"/>
    </row>
    <row r="111" spans="1:18">
      <c r="B111" s="14"/>
      <c r="C111" s="14"/>
      <c r="D111" s="14"/>
      <c r="F111" s="14"/>
      <c r="G111" s="14"/>
      <c r="H111" s="14"/>
      <c r="I111" s="14"/>
      <c r="J111" s="14"/>
      <c r="K111" s="14"/>
      <c r="L111" s="14"/>
      <c r="M111" s="14"/>
      <c r="N111" s="14"/>
      <c r="O111" s="7"/>
      <c r="P111" s="14"/>
      <c r="Q111" s="14"/>
      <c r="R111" s="14"/>
    </row>
    <row r="112" spans="1:18">
      <c r="A112" s="14" t="s">
        <v>132</v>
      </c>
      <c r="D112" s="14"/>
      <c r="F112" s="14"/>
      <c r="G112" s="14"/>
      <c r="H112" s="14"/>
      <c r="I112" s="14"/>
      <c r="J112" s="14"/>
      <c r="K112" s="14"/>
      <c r="L112" s="14"/>
      <c r="M112" s="14"/>
      <c r="N112" s="14"/>
      <c r="O112" s="7"/>
      <c r="P112" s="14"/>
      <c r="Q112" s="14"/>
      <c r="R112" s="14"/>
    </row>
    <row r="113" spans="1:18">
      <c r="A113" s="14" t="s">
        <v>2920</v>
      </c>
      <c r="B113" s="14"/>
      <c r="C113" s="14"/>
      <c r="D113" s="14"/>
      <c r="F113" s="14"/>
      <c r="G113" s="14"/>
      <c r="H113" s="14"/>
      <c r="I113" s="14"/>
      <c r="J113" s="14"/>
      <c r="K113" s="14"/>
      <c r="L113" s="14"/>
      <c r="M113" s="14"/>
      <c r="N113" s="14"/>
      <c r="O113" s="7"/>
      <c r="P113" s="14"/>
      <c r="Q113" s="14"/>
      <c r="R113" s="14"/>
    </row>
    <row r="114" spans="1:18">
      <c r="A114" s="9">
        <v>67075</v>
      </c>
      <c r="B114" s="14" t="s">
        <v>334</v>
      </c>
      <c r="C114" s="14" t="s">
        <v>202</v>
      </c>
      <c r="D114" s="14" t="s">
        <v>2921</v>
      </c>
      <c r="E114" s="15" t="str">
        <f>HYPERLINK("https://stat100.ameba.jp/tnk47/ratio20/illustrations/card/ill_67075_minamotononoriyori05.jpg?201901-3-RELEASE-dice-e-389", "■")</f>
        <v>■</v>
      </c>
      <c r="F114" s="14" t="s">
        <v>2922</v>
      </c>
      <c r="G114" s="14">
        <v>108811</v>
      </c>
      <c r="H114" s="14">
        <v>150278</v>
      </c>
      <c r="I114" s="14">
        <v>21</v>
      </c>
      <c r="J114" s="14" t="s">
        <v>310</v>
      </c>
      <c r="K114" s="14" t="s">
        <v>2923</v>
      </c>
      <c r="L114" s="14" t="s">
        <v>407</v>
      </c>
      <c r="M114" s="14" t="s">
        <v>9158</v>
      </c>
      <c r="N114" s="14" t="s">
        <v>9158</v>
      </c>
      <c r="O114" s="14" t="s">
        <v>9158</v>
      </c>
      <c r="P114" s="14" t="s">
        <v>9158</v>
      </c>
      <c r="Q114" s="14" t="s">
        <v>9158</v>
      </c>
      <c r="R114" s="14" t="s">
        <v>174</v>
      </c>
    </row>
    <row r="115" spans="1:18">
      <c r="A115" s="9">
        <v>67073</v>
      </c>
      <c r="B115" s="14" t="s">
        <v>348</v>
      </c>
      <c r="C115" s="14" t="s">
        <v>154</v>
      </c>
      <c r="D115" s="14" t="s">
        <v>2921</v>
      </c>
      <c r="E115" s="15" t="str">
        <f>HYPERLINK("https://stat100.ameba.jp/tnk47/ratio20/illustrations/card/ill_67073_minamotononoriyori03.jpg?201901-3-RELEASE-dice-e-389", "■")</f>
        <v>■</v>
      </c>
      <c r="F115" s="14" t="s">
        <v>2922</v>
      </c>
      <c r="G115" s="14">
        <v>80168</v>
      </c>
      <c r="H115" s="14">
        <v>110722</v>
      </c>
      <c r="I115" s="14">
        <v>21</v>
      </c>
      <c r="J115" s="14" t="s">
        <v>310</v>
      </c>
      <c r="K115" s="14" t="s">
        <v>2923</v>
      </c>
      <c r="L115" s="14" t="s">
        <v>2924</v>
      </c>
      <c r="M115" s="14" t="s">
        <v>9158</v>
      </c>
      <c r="N115" s="14" t="s">
        <v>9158</v>
      </c>
      <c r="O115" s="14" t="s">
        <v>9158</v>
      </c>
      <c r="P115" s="14" t="s">
        <v>9158</v>
      </c>
      <c r="Q115" s="14" t="s">
        <v>9158</v>
      </c>
      <c r="R115" s="14" t="s">
        <v>175</v>
      </c>
    </row>
    <row r="116" spans="1:18">
      <c r="A116" s="9">
        <v>67071</v>
      </c>
      <c r="B116" s="14" t="s">
        <v>348</v>
      </c>
      <c r="C116" s="14" t="s">
        <v>154</v>
      </c>
      <c r="D116" s="14" t="s">
        <v>2921</v>
      </c>
      <c r="E116" s="15" t="str">
        <f>HYPERLINK("https://stat100.ameba.jp/tnk47/ratio20/illustrations/card/ill_67071_minamotononoriyori01.jpg?201901-3-RELEASE-dice-e-389", "■")</f>
        <v>■</v>
      </c>
      <c r="F116" s="14" t="s">
        <v>2922</v>
      </c>
      <c r="G116" s="14">
        <v>51009</v>
      </c>
      <c r="H116" s="14">
        <v>70434</v>
      </c>
      <c r="I116" s="14">
        <v>21</v>
      </c>
      <c r="J116" s="14" t="s">
        <v>310</v>
      </c>
      <c r="K116" s="14" t="s">
        <v>2923</v>
      </c>
      <c r="L116" s="14" t="s">
        <v>2925</v>
      </c>
      <c r="M116" s="14" t="s">
        <v>9158</v>
      </c>
      <c r="N116" s="14" t="s">
        <v>9158</v>
      </c>
      <c r="O116" s="14" t="s">
        <v>9158</v>
      </c>
      <c r="P116" s="14" t="s">
        <v>9158</v>
      </c>
      <c r="Q116" s="14" t="s">
        <v>9158</v>
      </c>
      <c r="R116" s="14" t="s">
        <v>176</v>
      </c>
    </row>
    <row r="117" spans="1:18">
      <c r="A117" s="9">
        <v>75035</v>
      </c>
      <c r="B117" s="14" t="s">
        <v>334</v>
      </c>
      <c r="C117" s="14" t="s">
        <v>202</v>
      </c>
      <c r="D117" s="14" t="s">
        <v>2926</v>
      </c>
      <c r="E117" s="15" t="str">
        <f>HYPERLINK("https://stat100.ameba.jp/tnk47/ratio20/illustrations/card/ill_75035_mutsumunemitsu05.jpg?201901-3-RELEASE-dice-e-389", "■")</f>
        <v>■</v>
      </c>
      <c r="F117" s="14" t="s">
        <v>2927</v>
      </c>
      <c r="G117" s="14">
        <v>103652</v>
      </c>
      <c r="H117" s="14">
        <v>75039</v>
      </c>
      <c r="I117" s="14">
        <v>21</v>
      </c>
      <c r="J117" s="14" t="s">
        <v>351</v>
      </c>
      <c r="K117" s="14" t="s">
        <v>2928</v>
      </c>
      <c r="L117" s="14" t="s">
        <v>1655</v>
      </c>
      <c r="M117" s="14" t="s">
        <v>9158</v>
      </c>
      <c r="N117" s="14" t="s">
        <v>9158</v>
      </c>
      <c r="O117" s="14" t="s">
        <v>9158</v>
      </c>
      <c r="P117" s="14" t="s">
        <v>9158</v>
      </c>
      <c r="Q117" s="14" t="s">
        <v>9158</v>
      </c>
      <c r="R117" s="14" t="s">
        <v>174</v>
      </c>
    </row>
    <row r="118" spans="1:18">
      <c r="A118" s="9">
        <v>75033</v>
      </c>
      <c r="B118" s="14" t="s">
        <v>348</v>
      </c>
      <c r="C118" s="14" t="s">
        <v>158</v>
      </c>
      <c r="D118" s="14" t="s">
        <v>2926</v>
      </c>
      <c r="E118" s="15" t="str">
        <f>HYPERLINK("https://stat100.ameba.jp/tnk47/ratio20/illustrations/card/ill_75033_mutsumunemitsu03.jpg?201901-3-RELEASE-dice-e-389", "■")</f>
        <v>■</v>
      </c>
      <c r="F118" s="14" t="s">
        <v>2927</v>
      </c>
      <c r="G118" s="14">
        <v>76361</v>
      </c>
      <c r="H118" s="14">
        <v>55283</v>
      </c>
      <c r="I118" s="14">
        <v>21</v>
      </c>
      <c r="J118" s="14" t="s">
        <v>351</v>
      </c>
      <c r="K118" s="14" t="s">
        <v>2928</v>
      </c>
      <c r="L118" s="14" t="s">
        <v>2929</v>
      </c>
      <c r="M118" s="14" t="s">
        <v>9158</v>
      </c>
      <c r="N118" s="14" t="s">
        <v>9158</v>
      </c>
      <c r="O118" s="14" t="s">
        <v>9158</v>
      </c>
      <c r="P118" s="14" t="s">
        <v>9158</v>
      </c>
      <c r="Q118" s="14" t="s">
        <v>9158</v>
      </c>
      <c r="R118" s="14" t="s">
        <v>175</v>
      </c>
    </row>
    <row r="119" spans="1:18">
      <c r="A119" s="9">
        <v>75031</v>
      </c>
      <c r="B119" s="14" t="s">
        <v>348</v>
      </c>
      <c r="C119" s="14" t="s">
        <v>158</v>
      </c>
      <c r="D119" s="14" t="s">
        <v>2926</v>
      </c>
      <c r="E119" s="15" t="str">
        <f>HYPERLINK("https://stat100.ameba.jp/tnk47/ratio20/illustrations/card/ill_75031_mutsumunemitsu01.jpg?201901-3-RELEASE-dice-e-389", "■")</f>
        <v>■</v>
      </c>
      <c r="F119" s="14" t="s">
        <v>2927</v>
      </c>
      <c r="G119" s="14">
        <v>48573</v>
      </c>
      <c r="H119" s="14">
        <v>35154</v>
      </c>
      <c r="I119" s="14">
        <v>21</v>
      </c>
      <c r="J119" s="14" t="s">
        <v>351</v>
      </c>
      <c r="K119" s="14" t="s">
        <v>2928</v>
      </c>
      <c r="L119" s="14" t="s">
        <v>1479</v>
      </c>
      <c r="M119" s="14" t="s">
        <v>9158</v>
      </c>
      <c r="N119" s="14" t="s">
        <v>9158</v>
      </c>
      <c r="O119" s="14" t="s">
        <v>9158</v>
      </c>
      <c r="P119" s="14" t="s">
        <v>9158</v>
      </c>
      <c r="Q119" s="14" t="s">
        <v>9158</v>
      </c>
      <c r="R119" s="14" t="s">
        <v>176</v>
      </c>
    </row>
    <row r="120" spans="1:18">
      <c r="A120" s="9">
        <v>64835</v>
      </c>
      <c r="B120" s="14" t="s">
        <v>334</v>
      </c>
      <c r="C120" s="14" t="s">
        <v>202</v>
      </c>
      <c r="D120" s="14" t="s">
        <v>10068</v>
      </c>
      <c r="E120" s="15" t="str">
        <f>HYPERLINK("https://stat100.ameba.jp/tnk47/ratio20/illustrations/card/ill_64835_okikurumi05.jpg?201901-3-RELEASE-dice-e-389", "■")</f>
        <v>■</v>
      </c>
      <c r="F120" s="14" t="s">
        <v>2931</v>
      </c>
      <c r="G120" s="14">
        <v>108272</v>
      </c>
      <c r="H120" s="14">
        <v>78387</v>
      </c>
      <c r="I120" s="14">
        <v>21</v>
      </c>
      <c r="J120" s="14" t="s">
        <v>401</v>
      </c>
      <c r="K120" s="14" t="s">
        <v>2932</v>
      </c>
      <c r="L120" s="14" t="s">
        <v>2837</v>
      </c>
      <c r="M120" s="14" t="s">
        <v>9158</v>
      </c>
      <c r="N120" s="14" t="s">
        <v>9158</v>
      </c>
      <c r="O120" s="14" t="s">
        <v>9158</v>
      </c>
      <c r="P120" s="14" t="s">
        <v>9158</v>
      </c>
      <c r="Q120" s="14" t="s">
        <v>9158</v>
      </c>
      <c r="R120" s="14" t="s">
        <v>174</v>
      </c>
    </row>
    <row r="121" spans="1:18">
      <c r="A121" s="9">
        <v>64833</v>
      </c>
      <c r="B121" s="14" t="s">
        <v>348</v>
      </c>
      <c r="C121" s="14" t="s">
        <v>154</v>
      </c>
      <c r="D121" s="14" t="s">
        <v>2930</v>
      </c>
      <c r="E121" s="15" t="str">
        <f>HYPERLINK("https://stat100.ameba.jp/tnk47/ratio20/illustrations/card/ill_64833_okikurumi03.jpg?201901-3-RELEASE-dice-e-389", "■")</f>
        <v>■</v>
      </c>
      <c r="F121" s="14" t="s">
        <v>2931</v>
      </c>
      <c r="G121" s="14">
        <v>79745</v>
      </c>
      <c r="H121" s="14">
        <v>57753</v>
      </c>
      <c r="I121" s="14">
        <v>21</v>
      </c>
      <c r="J121" s="14" t="s">
        <v>401</v>
      </c>
      <c r="K121" s="14" t="s">
        <v>2932</v>
      </c>
      <c r="L121" s="14" t="s">
        <v>2933</v>
      </c>
      <c r="M121" s="14" t="s">
        <v>9158</v>
      </c>
      <c r="N121" s="14" t="s">
        <v>9158</v>
      </c>
      <c r="O121" s="14" t="s">
        <v>9158</v>
      </c>
      <c r="P121" s="14" t="s">
        <v>9158</v>
      </c>
      <c r="Q121" s="14" t="s">
        <v>9158</v>
      </c>
      <c r="R121" s="14" t="s">
        <v>175</v>
      </c>
    </row>
    <row r="122" spans="1:18">
      <c r="A122" s="9">
        <v>64831</v>
      </c>
      <c r="B122" s="14" t="s">
        <v>348</v>
      </c>
      <c r="C122" s="14" t="s">
        <v>154</v>
      </c>
      <c r="D122" s="14" t="s">
        <v>2930</v>
      </c>
      <c r="E122" s="15" t="str">
        <f>HYPERLINK("https://stat100.ameba.jp/tnk47/ratio20/illustrations/card/ill_64831_okikurumi01.jpg?201901-3-RELEASE-dice-e-389", "■")</f>
        <v>■</v>
      </c>
      <c r="F122" s="14" t="s">
        <v>2931</v>
      </c>
      <c r="G122" s="14">
        <v>50736</v>
      </c>
      <c r="H122" s="14">
        <v>36729</v>
      </c>
      <c r="I122" s="14">
        <v>21</v>
      </c>
      <c r="J122" s="14" t="s">
        <v>401</v>
      </c>
      <c r="K122" s="14" t="s">
        <v>2932</v>
      </c>
      <c r="L122" s="14" t="s">
        <v>2934</v>
      </c>
      <c r="M122" s="14" t="s">
        <v>9158</v>
      </c>
      <c r="N122" s="14" t="s">
        <v>9158</v>
      </c>
      <c r="O122" s="14" t="s">
        <v>9158</v>
      </c>
      <c r="P122" s="14" t="s">
        <v>9158</v>
      </c>
      <c r="Q122" s="14" t="s">
        <v>9158</v>
      </c>
      <c r="R122" s="14" t="s">
        <v>176</v>
      </c>
    </row>
    <row r="123" spans="1:18">
      <c r="B123" s="14"/>
      <c r="C123" s="14"/>
      <c r="D123" s="14"/>
      <c r="F123" s="14"/>
      <c r="G123" s="14"/>
      <c r="H123" s="14"/>
      <c r="I123" s="14"/>
      <c r="J123" s="14"/>
      <c r="K123" s="14"/>
      <c r="L123" s="14"/>
      <c r="M123" s="14"/>
      <c r="N123" s="14"/>
      <c r="O123" s="7"/>
      <c r="P123" s="14"/>
      <c r="Q123" s="14"/>
      <c r="R123" s="14"/>
    </row>
    <row r="124" spans="1:18">
      <c r="A124" s="14" t="s">
        <v>199</v>
      </c>
      <c r="D124" s="14"/>
      <c r="F124" s="14"/>
      <c r="G124" s="14"/>
      <c r="H124" s="14"/>
      <c r="I124" s="14"/>
      <c r="J124" s="14"/>
      <c r="K124" s="14"/>
      <c r="L124" s="14"/>
      <c r="M124" s="14"/>
      <c r="N124" s="14"/>
      <c r="O124" s="7"/>
      <c r="P124" s="14"/>
      <c r="Q124" s="14"/>
      <c r="R124" s="14"/>
    </row>
    <row r="125" spans="1:18">
      <c r="A125" s="14" t="s">
        <v>2935</v>
      </c>
      <c r="B125" s="14"/>
      <c r="C125" s="14"/>
      <c r="D125" s="14"/>
      <c r="F125" s="14"/>
      <c r="G125" s="14"/>
      <c r="H125" s="14"/>
      <c r="I125" s="14"/>
      <c r="J125" s="14"/>
      <c r="K125" s="14"/>
      <c r="L125" s="14"/>
      <c r="M125" s="14"/>
      <c r="N125" s="14"/>
      <c r="O125" s="7"/>
      <c r="P125" s="14"/>
      <c r="Q125" s="14"/>
      <c r="R125" s="14"/>
    </row>
    <row r="126" spans="1:18">
      <c r="A126" s="9" t="s">
        <v>5607</v>
      </c>
      <c r="B126" s="14" t="s">
        <v>330</v>
      </c>
      <c r="C126" s="14" t="s">
        <v>200</v>
      </c>
      <c r="D126" s="14" t="s">
        <v>421</v>
      </c>
      <c r="E126" s="15" t="str">
        <f>HYPERLINK("https://stat100.ameba.jp/tnk47/ratio20/illustrations/card/ill_58853_0_setsubumpanikkuhiratsukaraicho03.jpg?201901-3-RELEASE-dice-e-389", "■")</f>
        <v>■</v>
      </c>
      <c r="F126" s="14" t="s">
        <v>422</v>
      </c>
      <c r="G126" s="14">
        <v>94236</v>
      </c>
      <c r="H126" s="14">
        <v>83712</v>
      </c>
      <c r="I126" s="14">
        <v>15</v>
      </c>
      <c r="J126" s="14" t="s">
        <v>414</v>
      </c>
      <c r="K126" s="14" t="s">
        <v>423</v>
      </c>
      <c r="L126" s="14" t="s">
        <v>424</v>
      </c>
      <c r="M126" s="14" t="s">
        <v>9158</v>
      </c>
      <c r="N126" s="14" t="s">
        <v>9158</v>
      </c>
      <c r="O126" s="18" t="s">
        <v>10059</v>
      </c>
      <c r="P126" s="14" t="s">
        <v>2870</v>
      </c>
      <c r="Q126" s="14">
        <v>1</v>
      </c>
      <c r="R126" s="14"/>
    </row>
    <row r="127" spans="1:18">
      <c r="A127" s="9" t="s">
        <v>5606</v>
      </c>
      <c r="B127" s="14" t="s">
        <v>330</v>
      </c>
      <c r="C127" s="14" t="s">
        <v>206</v>
      </c>
      <c r="D127" s="14" t="s">
        <v>2936</v>
      </c>
      <c r="E127" s="15" t="str">
        <f>HYPERLINK("https://stat100.ameba.jp/tnk47/ratio20/illustrations/card/ill_72233_0_koinoboriryugujin03.jpg?201901-3-RELEASE-dice-e-389", "■")</f>
        <v>■</v>
      </c>
      <c r="F127" s="14" t="s">
        <v>2937</v>
      </c>
      <c r="G127" s="14">
        <v>98395</v>
      </c>
      <c r="H127" s="14">
        <v>105833</v>
      </c>
      <c r="I127" s="14">
        <v>15</v>
      </c>
      <c r="J127" s="14" t="s">
        <v>401</v>
      </c>
      <c r="K127" s="14" t="s">
        <v>2938</v>
      </c>
      <c r="L127" s="14" t="s">
        <v>2939</v>
      </c>
      <c r="M127" s="14" t="s">
        <v>9158</v>
      </c>
      <c r="N127" s="14" t="s">
        <v>9158</v>
      </c>
      <c r="O127" s="7" t="s">
        <v>2940</v>
      </c>
      <c r="P127" s="14" t="s">
        <v>2941</v>
      </c>
      <c r="Q127" s="14">
        <v>2</v>
      </c>
      <c r="R127" s="14"/>
    </row>
    <row r="128" spans="1:18">
      <c r="A128" s="9" t="s">
        <v>6132</v>
      </c>
      <c r="B128" s="14" t="s">
        <v>330</v>
      </c>
      <c r="C128" s="14" t="s">
        <v>205</v>
      </c>
      <c r="D128" s="14" t="s">
        <v>702</v>
      </c>
      <c r="E128" s="15" t="str">
        <f>HYPERLINK("https://stat100.ameba.jp/tnk47/ratio20/illustrations/card/ill_50693_0_hanamizugimimuratsuru03.jpg?201901-3-RELEASE-dice-e-389", "■")</f>
        <v>■</v>
      </c>
      <c r="F128" s="14" t="s">
        <v>703</v>
      </c>
      <c r="G128" s="14">
        <v>83712</v>
      </c>
      <c r="H128" s="14">
        <v>94236</v>
      </c>
      <c r="I128" s="14">
        <v>15</v>
      </c>
      <c r="J128" s="14" t="s">
        <v>310</v>
      </c>
      <c r="K128" s="14" t="s">
        <v>704</v>
      </c>
      <c r="L128" s="14" t="s">
        <v>705</v>
      </c>
      <c r="M128" s="14" t="s">
        <v>9158</v>
      </c>
      <c r="N128" s="14" t="s">
        <v>9158</v>
      </c>
      <c r="O128" s="14" t="s">
        <v>9158</v>
      </c>
      <c r="P128" s="14" t="s">
        <v>9158</v>
      </c>
      <c r="Q128" s="14" t="s">
        <v>9158</v>
      </c>
      <c r="R128" s="14"/>
    </row>
    <row r="129" spans="1:18">
      <c r="A129" s="9">
        <v>66503</v>
      </c>
      <c r="B129" s="14" t="s">
        <v>334</v>
      </c>
      <c r="C129" s="14" t="s">
        <v>200</v>
      </c>
      <c r="D129" s="14" t="s">
        <v>2942</v>
      </c>
      <c r="E129" s="15" t="str">
        <f>HYPERLINK("https://stat100.ameba.jp/tnk47/ratio20/illustrations/card/ill_66503_yuenchiraguzatama03.jpg?201901-3-RELEASE-dice-e-389", "■")</f>
        <v>■</v>
      </c>
      <c r="F129" s="14" t="s">
        <v>2943</v>
      </c>
      <c r="G129" s="14">
        <v>89208</v>
      </c>
      <c r="H129" s="14">
        <v>82978</v>
      </c>
      <c r="I129" s="14">
        <v>22</v>
      </c>
      <c r="J129" s="14" t="s">
        <v>414</v>
      </c>
      <c r="K129" s="14" t="s">
        <v>2944</v>
      </c>
      <c r="L129" s="14" t="s">
        <v>855</v>
      </c>
      <c r="M129" s="14" t="s">
        <v>9158</v>
      </c>
      <c r="N129" s="14" t="s">
        <v>9158</v>
      </c>
      <c r="O129" s="14" t="s">
        <v>9158</v>
      </c>
      <c r="P129" s="14" t="s">
        <v>9158</v>
      </c>
      <c r="Q129" s="14" t="s">
        <v>9158</v>
      </c>
      <c r="R129" s="14"/>
    </row>
    <row r="130" spans="1:18">
      <c r="A130" s="9">
        <v>54683</v>
      </c>
      <c r="B130" s="14" t="s">
        <v>334</v>
      </c>
      <c r="C130" s="14" t="s">
        <v>263</v>
      </c>
      <c r="D130" s="14" t="s">
        <v>2945</v>
      </c>
      <c r="E130" s="15" t="str">
        <f>HYPERLINK("https://stat100.ameba.jp/tnk47/ratio20/illustrations/card/ill_54683_okashiitsukushimanonaiji03.jpg?201901-3-RELEASE-dice-e-389", "■")</f>
        <v>■</v>
      </c>
      <c r="F130" s="14" t="s">
        <v>2946</v>
      </c>
      <c r="G130" s="14">
        <v>78838</v>
      </c>
      <c r="H130" s="14">
        <v>84796</v>
      </c>
      <c r="I130" s="14">
        <v>22</v>
      </c>
      <c r="J130" s="14" t="s">
        <v>351</v>
      </c>
      <c r="K130" s="14" t="s">
        <v>2947</v>
      </c>
      <c r="L130" s="14" t="s">
        <v>2948</v>
      </c>
      <c r="M130" s="14" t="s">
        <v>9158</v>
      </c>
      <c r="N130" s="14" t="s">
        <v>9158</v>
      </c>
      <c r="O130" s="14" t="s">
        <v>9158</v>
      </c>
      <c r="P130" s="14" t="s">
        <v>9158</v>
      </c>
      <c r="Q130" s="14" t="s">
        <v>9158</v>
      </c>
      <c r="R130" s="14"/>
    </row>
    <row r="131" spans="1:18">
      <c r="A131" s="9">
        <v>69503</v>
      </c>
      <c r="B131" s="14" t="s">
        <v>334</v>
      </c>
      <c r="C131" s="14" t="s">
        <v>209</v>
      </c>
      <c r="D131" s="14" t="s">
        <v>2949</v>
      </c>
      <c r="E131" s="15" t="str">
        <f>HYPERLINK("https://stat100.ameba.jp/tnk47/ratio20/illustrations/card/ill_69503_azusayumi03.jpg?201901-3-RELEASE-dice-e-389", "■")</f>
        <v>■</v>
      </c>
      <c r="F131" s="14" t="s">
        <v>1684</v>
      </c>
      <c r="G131" s="14">
        <v>99846</v>
      </c>
      <c r="H131" s="14">
        <v>72340</v>
      </c>
      <c r="I131" s="14">
        <v>22</v>
      </c>
      <c r="J131" s="14" t="s">
        <v>155</v>
      </c>
      <c r="K131" s="14" t="s">
        <v>2950</v>
      </c>
      <c r="L131" s="14" t="s">
        <v>428</v>
      </c>
      <c r="M131" s="14" t="s">
        <v>9158</v>
      </c>
      <c r="N131" s="14" t="s">
        <v>9158</v>
      </c>
      <c r="O131" s="7" t="s">
        <v>2951</v>
      </c>
      <c r="P131" s="14" t="s">
        <v>13122</v>
      </c>
      <c r="Q131" s="14">
        <v>1</v>
      </c>
      <c r="R131" s="14"/>
    </row>
    <row r="132" spans="1:18">
      <c r="B132" s="14"/>
      <c r="C132" s="14"/>
      <c r="D132" s="14"/>
      <c r="F132" s="14"/>
      <c r="G132" s="14"/>
      <c r="H132" s="14"/>
      <c r="I132" s="14"/>
      <c r="J132" s="14"/>
      <c r="K132" s="14"/>
      <c r="L132" s="14"/>
      <c r="M132" s="14"/>
      <c r="N132" s="14"/>
      <c r="O132" s="7"/>
      <c r="P132" s="14"/>
      <c r="Q132" s="14"/>
      <c r="R132" s="14"/>
    </row>
    <row r="133" spans="1:18">
      <c r="A133" s="14" t="s">
        <v>2721</v>
      </c>
      <c r="F133" s="14"/>
      <c r="G133" s="14"/>
      <c r="H133" s="14"/>
      <c r="I133" s="14"/>
      <c r="J133" s="14"/>
      <c r="K133" s="14"/>
      <c r="L133" s="14"/>
      <c r="M133" s="14"/>
      <c r="N133" s="14"/>
      <c r="O133" s="7"/>
      <c r="P133" s="14"/>
      <c r="Q133" s="14"/>
      <c r="R133" s="14"/>
    </row>
    <row r="134" spans="1:18">
      <c r="A134" s="14" t="s">
        <v>2952</v>
      </c>
      <c r="C134" s="14"/>
      <c r="D134" s="14"/>
      <c r="F134" s="14"/>
      <c r="G134" s="14"/>
      <c r="H134" s="14"/>
      <c r="I134" s="14"/>
      <c r="J134" s="14"/>
      <c r="K134" s="14"/>
      <c r="L134" s="14"/>
      <c r="M134" s="14"/>
      <c r="N134" s="14"/>
      <c r="O134" s="7"/>
      <c r="P134" s="14"/>
      <c r="Q134" s="14"/>
      <c r="R134" s="14"/>
    </row>
    <row r="135" spans="1:18">
      <c r="A135" s="14" t="s">
        <v>8953</v>
      </c>
      <c r="B135" s="14"/>
      <c r="C135" s="14"/>
      <c r="D135" s="14"/>
      <c r="F135" s="14"/>
      <c r="G135" s="14"/>
      <c r="H135" s="14"/>
      <c r="I135" s="14"/>
      <c r="J135" s="14"/>
      <c r="K135" s="14"/>
      <c r="L135" s="14"/>
      <c r="M135" s="14"/>
      <c r="N135" s="14"/>
      <c r="O135" s="7"/>
      <c r="P135" s="14"/>
      <c r="Q135" s="14"/>
      <c r="R135" s="14"/>
    </row>
    <row r="136" spans="1:18">
      <c r="A136" s="9" t="s">
        <v>5733</v>
      </c>
      <c r="B136" s="14" t="s">
        <v>330</v>
      </c>
      <c r="C136" s="14" t="s">
        <v>202</v>
      </c>
      <c r="D136" s="14" t="s">
        <v>2744</v>
      </c>
      <c r="E136" s="15" t="str">
        <f>HYPERLINK("https://stat100.ameba.jp/tnk47/ratio20/illustrations/card/ill_78693_0_kyupittokoinomikoto03.jpg?201901-3-RELEASE-dice-e-389x", "■")</f>
        <v>■</v>
      </c>
      <c r="F136" s="14" t="s">
        <v>2745</v>
      </c>
      <c r="G136" s="14">
        <v>157198</v>
      </c>
      <c r="H136" s="14">
        <v>173933</v>
      </c>
      <c r="I136" s="14">
        <v>15</v>
      </c>
      <c r="J136" s="14" t="s">
        <v>274</v>
      </c>
      <c r="K136" s="14" t="s">
        <v>2746</v>
      </c>
      <c r="L136" s="14" t="s">
        <v>2747</v>
      </c>
      <c r="M136" s="14" t="s">
        <v>9158</v>
      </c>
      <c r="N136" s="14" t="s">
        <v>9158</v>
      </c>
      <c r="O136" s="18" t="s">
        <v>10067</v>
      </c>
      <c r="P136" s="14" t="s">
        <v>2748</v>
      </c>
      <c r="Q136" s="14">
        <v>1</v>
      </c>
      <c r="R136" s="14"/>
    </row>
    <row r="137" spans="1:18">
      <c r="A137" s="9">
        <v>78943</v>
      </c>
      <c r="B137" s="14" t="s">
        <v>334</v>
      </c>
      <c r="C137" s="14" t="s">
        <v>185</v>
      </c>
      <c r="D137" s="14" t="s">
        <v>2953</v>
      </c>
      <c r="E137" s="15" t="str">
        <f>HYPERLINK("https://stat100.ameba.jp/tnk47/ratio20/illustrations/card/ill_78943_idoshiiwaisepo03.jpg?201901-3-RELEASE-dice-e-389x", "■")</f>
        <v>■</v>
      </c>
      <c r="F137" s="14" t="s">
        <v>2954</v>
      </c>
      <c r="G137" s="14">
        <v>91664</v>
      </c>
      <c r="H137" s="14">
        <v>85246</v>
      </c>
      <c r="I137" s="14">
        <v>22</v>
      </c>
      <c r="J137" s="14" t="s">
        <v>320</v>
      </c>
      <c r="K137" s="14" t="s">
        <v>2955</v>
      </c>
      <c r="L137" s="14" t="s">
        <v>2956</v>
      </c>
      <c r="M137" s="14" t="s">
        <v>9158</v>
      </c>
      <c r="N137" s="14" t="s">
        <v>9158</v>
      </c>
      <c r="O137" s="14" t="s">
        <v>9158</v>
      </c>
      <c r="P137" s="14" t="s">
        <v>9158</v>
      </c>
      <c r="Q137" s="14" t="s">
        <v>9158</v>
      </c>
      <c r="R137" s="14"/>
    </row>
    <row r="138" spans="1:18">
      <c r="A138" s="9">
        <v>78953</v>
      </c>
      <c r="B138" s="14" t="s">
        <v>348</v>
      </c>
      <c r="C138" s="14" t="s">
        <v>165</v>
      </c>
      <c r="D138" s="14" t="s">
        <v>2957</v>
      </c>
      <c r="E138" s="15" t="str">
        <f>HYPERLINK("https://stat100.ameba.jp/tnk47/ratio20/illustrations/card/ill_78953_baikukitanokata03.jpg?201901-3-RELEASE-dice-e-389x", "■")</f>
        <v>■</v>
      </c>
      <c r="F138" s="14" t="s">
        <v>2958</v>
      </c>
      <c r="G138" s="14">
        <v>59144</v>
      </c>
      <c r="H138" s="14">
        <v>65208</v>
      </c>
      <c r="I138" s="14">
        <v>22</v>
      </c>
      <c r="J138" s="14" t="s">
        <v>310</v>
      </c>
      <c r="K138" s="14" t="s">
        <v>2959</v>
      </c>
      <c r="L138" s="14" t="s">
        <v>2960</v>
      </c>
      <c r="M138" s="14" t="s">
        <v>9158</v>
      </c>
      <c r="N138" s="14" t="s">
        <v>9158</v>
      </c>
      <c r="O138" s="14" t="s">
        <v>9158</v>
      </c>
      <c r="P138" s="14" t="s">
        <v>9158</v>
      </c>
      <c r="Q138" s="14" t="s">
        <v>9158</v>
      </c>
      <c r="R138" s="14"/>
    </row>
    <row r="139" spans="1:18">
      <c r="A139" s="9">
        <v>78963</v>
      </c>
      <c r="B139" s="14" t="s">
        <v>362</v>
      </c>
      <c r="C139" s="14" t="s">
        <v>205</v>
      </c>
      <c r="D139" s="14" t="s">
        <v>2961</v>
      </c>
      <c r="E139" s="15" t="str">
        <f>HYPERLINK("https://stat100.ameba.jp/tnk47/ratio20/illustrations/card/ill_78963_toshiakesanukiudonchan03.jpg?201901-3-RELEASE-dice-e-389x", "■")</f>
        <v>■</v>
      </c>
      <c r="F139" s="14" t="s">
        <v>2962</v>
      </c>
      <c r="G139" s="14">
        <v>45742</v>
      </c>
      <c r="H139" s="14">
        <v>38032</v>
      </c>
      <c r="I139" s="14">
        <v>22</v>
      </c>
      <c r="J139" s="14" t="s">
        <v>283</v>
      </c>
      <c r="K139" s="14" t="s">
        <v>2963</v>
      </c>
      <c r="L139" s="14" t="s">
        <v>2964</v>
      </c>
      <c r="M139" s="14" t="s">
        <v>9158</v>
      </c>
      <c r="N139" s="14" t="s">
        <v>9158</v>
      </c>
      <c r="O139" s="14" t="s">
        <v>9158</v>
      </c>
      <c r="P139" s="14" t="s">
        <v>9158</v>
      </c>
      <c r="Q139" s="14" t="s">
        <v>9158</v>
      </c>
      <c r="R139" s="14"/>
    </row>
    <row r="140" spans="1:18">
      <c r="A140" s="9">
        <v>78973</v>
      </c>
      <c r="B140" s="14" t="s">
        <v>372</v>
      </c>
      <c r="C140" s="14" t="s">
        <v>2718</v>
      </c>
      <c r="D140" s="14" t="s">
        <v>2965</v>
      </c>
      <c r="E140" s="15" t="str">
        <f>HYPERLINK("https://stat100.ameba.jp/tnk47/ratio20/illustrations/card/ill_78973_juenshiheiwakenokiyomaro03.jpg?201901-3-RELEASE-dice-e-389x", "■")</f>
        <v>■</v>
      </c>
      <c r="F140" s="14" t="s">
        <v>2966</v>
      </c>
      <c r="G140" s="14">
        <v>23258</v>
      </c>
      <c r="H140" s="14">
        <v>27692</v>
      </c>
      <c r="I140" s="14">
        <v>22</v>
      </c>
      <c r="J140" s="14" t="s">
        <v>351</v>
      </c>
      <c r="K140" s="14" t="s">
        <v>2967</v>
      </c>
      <c r="L140" s="14" t="s">
        <v>1449</v>
      </c>
      <c r="M140" s="14" t="s">
        <v>9158</v>
      </c>
      <c r="N140" s="14" t="s">
        <v>9158</v>
      </c>
      <c r="O140" s="14" t="s">
        <v>9158</v>
      </c>
      <c r="P140" s="14" t="s">
        <v>9158</v>
      </c>
      <c r="Q140" s="14" t="s">
        <v>9158</v>
      </c>
      <c r="R140" s="14"/>
    </row>
    <row r="141" spans="1:18">
      <c r="B141" s="14"/>
      <c r="C141" s="14"/>
      <c r="D141" s="14"/>
      <c r="F141" s="14"/>
      <c r="G141" s="14"/>
      <c r="H141" s="14"/>
      <c r="I141" s="14"/>
      <c r="J141" s="14"/>
      <c r="K141" s="14"/>
      <c r="L141" s="14"/>
      <c r="M141" s="14"/>
      <c r="N141" s="14"/>
      <c r="O141" s="7"/>
      <c r="P141" s="14"/>
      <c r="Q141" s="14"/>
      <c r="R141" s="14"/>
    </row>
    <row r="142" spans="1:18">
      <c r="A142" s="14" t="s">
        <v>13339</v>
      </c>
      <c r="D142" s="14"/>
      <c r="F142" s="14"/>
      <c r="G142" s="14"/>
      <c r="H142" s="14"/>
      <c r="I142" s="14"/>
      <c r="J142" s="14"/>
      <c r="K142" s="14"/>
      <c r="L142" s="14"/>
      <c r="M142" s="14"/>
      <c r="N142" s="14"/>
      <c r="O142" s="7"/>
      <c r="P142" s="14"/>
      <c r="Q142" s="14"/>
      <c r="R142" s="14"/>
    </row>
    <row r="143" spans="1:18">
      <c r="A143" s="14" t="s">
        <v>2968</v>
      </c>
      <c r="B143" s="14"/>
      <c r="C143" s="14"/>
      <c r="D143" s="14"/>
      <c r="F143" s="14"/>
      <c r="G143" s="14"/>
      <c r="H143" s="14"/>
      <c r="I143" s="14"/>
      <c r="J143" s="14"/>
      <c r="K143" s="14"/>
      <c r="L143" s="14"/>
      <c r="M143" s="14"/>
      <c r="N143" s="14"/>
      <c r="O143" s="7"/>
      <c r="P143" s="14"/>
      <c r="Q143" s="14"/>
      <c r="R143" s="14"/>
    </row>
    <row r="144" spans="1:18">
      <c r="A144" s="9">
        <v>78825</v>
      </c>
      <c r="B144" s="14" t="s">
        <v>334</v>
      </c>
      <c r="C144" s="14" t="s">
        <v>202</v>
      </c>
      <c r="D144" s="14" t="s">
        <v>2969</v>
      </c>
      <c r="E144" s="15" t="str">
        <f>HYPERLINK("https://stat100.ameba.jp/tnk47/ratio20/illustrations/card/ill_78825_waishatsuononokomachi05.jpg?201901-3-RELEASE-dice-e-389x", "■")</f>
        <v>■</v>
      </c>
      <c r="F144" s="14" t="s">
        <v>2970</v>
      </c>
      <c r="G144" s="14">
        <v>103428</v>
      </c>
      <c r="H144" s="14">
        <v>74886</v>
      </c>
      <c r="I144" s="14">
        <v>22</v>
      </c>
      <c r="J144" s="14" t="s">
        <v>351</v>
      </c>
      <c r="K144" s="14" t="s">
        <v>2971</v>
      </c>
      <c r="L144" s="14" t="s">
        <v>2972</v>
      </c>
      <c r="M144" s="14" t="s">
        <v>9158</v>
      </c>
      <c r="N144" s="14" t="s">
        <v>9158</v>
      </c>
      <c r="O144" s="14" t="s">
        <v>9158</v>
      </c>
      <c r="P144" s="14" t="s">
        <v>9158</v>
      </c>
      <c r="Q144" s="14" t="s">
        <v>9158</v>
      </c>
      <c r="R144" s="14" t="s">
        <v>174</v>
      </c>
    </row>
    <row r="145" spans="1:18">
      <c r="A145" s="9">
        <v>78823</v>
      </c>
      <c r="B145" s="14" t="s">
        <v>348</v>
      </c>
      <c r="C145" s="14" t="s">
        <v>209</v>
      </c>
      <c r="D145" s="14" t="s">
        <v>2969</v>
      </c>
      <c r="E145" s="15" t="str">
        <f>HYPERLINK("https://stat100.ameba.jp/tnk47/ratio20/illustrations/card/ill_78823_waishatsuononokomachi03.jpg?201901-3-RELEASE-dice-e-389x", "■")</f>
        <v>■</v>
      </c>
      <c r="F145" s="14" t="s">
        <v>2970</v>
      </c>
      <c r="G145" s="14">
        <v>76196</v>
      </c>
      <c r="H145" s="14">
        <v>55170</v>
      </c>
      <c r="I145" s="14">
        <v>22</v>
      </c>
      <c r="J145" s="14" t="s">
        <v>351</v>
      </c>
      <c r="K145" s="14" t="s">
        <v>2971</v>
      </c>
      <c r="L145" s="14" t="s">
        <v>2973</v>
      </c>
      <c r="M145" s="14" t="s">
        <v>9158</v>
      </c>
      <c r="N145" s="14" t="s">
        <v>9158</v>
      </c>
      <c r="O145" s="14" t="s">
        <v>9158</v>
      </c>
      <c r="P145" s="14" t="s">
        <v>9158</v>
      </c>
      <c r="Q145" s="14" t="s">
        <v>9158</v>
      </c>
      <c r="R145" s="14" t="s">
        <v>175</v>
      </c>
    </row>
    <row r="146" spans="1:18">
      <c r="A146" s="9">
        <v>78821</v>
      </c>
      <c r="B146" s="14" t="s">
        <v>348</v>
      </c>
      <c r="C146" s="14" t="s">
        <v>209</v>
      </c>
      <c r="D146" s="14" t="s">
        <v>2969</v>
      </c>
      <c r="E146" s="15" t="str">
        <f>HYPERLINK("https://stat100.ameba.jp/tnk47/ratio20/illustrations/card/ill_78821_waishatsuononokomachi01.jpg?201901-3-RELEASE-dice-e-389x", "■")</f>
        <v>■</v>
      </c>
      <c r="F146" s="14" t="s">
        <v>2970</v>
      </c>
      <c r="G146" s="14">
        <v>48466</v>
      </c>
      <c r="H146" s="14">
        <v>35090</v>
      </c>
      <c r="I146" s="14">
        <v>22</v>
      </c>
      <c r="J146" s="14" t="s">
        <v>351</v>
      </c>
      <c r="K146" s="14" t="s">
        <v>2971</v>
      </c>
      <c r="L146" s="14" t="s">
        <v>2974</v>
      </c>
      <c r="M146" s="14" t="s">
        <v>9158</v>
      </c>
      <c r="N146" s="14" t="s">
        <v>9158</v>
      </c>
      <c r="O146" s="14" t="s">
        <v>9158</v>
      </c>
      <c r="P146" s="14" t="s">
        <v>9158</v>
      </c>
      <c r="Q146" s="14" t="s">
        <v>9158</v>
      </c>
      <c r="R146" s="14" t="s">
        <v>176</v>
      </c>
    </row>
    <row r="147" spans="1:18">
      <c r="B147" s="14"/>
      <c r="C147" s="14"/>
      <c r="D147" s="14"/>
      <c r="F147" s="14"/>
      <c r="G147" s="14"/>
      <c r="H147" s="14"/>
      <c r="I147" s="14"/>
      <c r="J147" s="14"/>
      <c r="K147" s="14"/>
      <c r="L147" s="14"/>
      <c r="M147" s="14"/>
      <c r="N147" s="14"/>
      <c r="O147" s="7"/>
      <c r="P147" s="14"/>
      <c r="Q147" s="14"/>
      <c r="R147" s="14"/>
    </row>
    <row r="148" spans="1:18">
      <c r="A148" s="14" t="s">
        <v>177</v>
      </c>
      <c r="D148" s="14"/>
      <c r="F148" s="14"/>
      <c r="G148" s="14"/>
      <c r="H148" s="14"/>
      <c r="I148" s="14"/>
      <c r="J148" s="14"/>
      <c r="K148" s="14"/>
      <c r="L148" s="14"/>
      <c r="M148" s="14"/>
      <c r="N148" s="14"/>
      <c r="O148" s="7"/>
      <c r="P148" s="14"/>
      <c r="Q148" s="14"/>
      <c r="R148" s="14"/>
    </row>
    <row r="149" spans="1:18">
      <c r="A149" s="14" t="s">
        <v>2975</v>
      </c>
      <c r="C149" s="14"/>
      <c r="D149" s="14"/>
      <c r="F149" s="14"/>
      <c r="G149" s="14"/>
      <c r="H149" s="14"/>
      <c r="I149" s="14"/>
      <c r="J149" s="14"/>
      <c r="K149" s="14"/>
      <c r="L149" s="14"/>
      <c r="M149" s="14"/>
      <c r="N149" s="14"/>
      <c r="O149" s="7"/>
      <c r="P149" s="14"/>
      <c r="Q149" s="14"/>
      <c r="R149" s="14"/>
    </row>
    <row r="150" spans="1:18">
      <c r="A150" s="9" t="s">
        <v>5787</v>
      </c>
      <c r="B150" s="14" t="s">
        <v>330</v>
      </c>
      <c r="C150" s="14" t="s">
        <v>202</v>
      </c>
      <c r="D150" s="14" t="s">
        <v>331</v>
      </c>
      <c r="E150" s="15" t="str">
        <f>HYPERLINK("https://stat100.ameba.jp/tnk47/ratio20/illustrations/card/ill_76303_0_haroinkaguya03.jpg?201901-3-RELEASE-dice-e-389x", "■")</f>
        <v>■</v>
      </c>
      <c r="F150" s="14" t="s">
        <v>332</v>
      </c>
      <c r="G150" s="14">
        <v>178507</v>
      </c>
      <c r="H150" s="14">
        <v>165953</v>
      </c>
      <c r="I150" s="14">
        <v>15</v>
      </c>
      <c r="J150" s="14" t="s">
        <v>274</v>
      </c>
      <c r="K150" s="14" t="s">
        <v>333</v>
      </c>
      <c r="L150" s="14" t="s">
        <v>276</v>
      </c>
      <c r="M150" s="14" t="s">
        <v>9158</v>
      </c>
      <c r="N150" s="14" t="s">
        <v>9158</v>
      </c>
      <c r="O150" s="7" t="s">
        <v>2976</v>
      </c>
      <c r="P150" s="14" t="s">
        <v>2977</v>
      </c>
      <c r="Q150" s="14">
        <v>1</v>
      </c>
      <c r="R150" s="14"/>
    </row>
    <row r="151" spans="1:18">
      <c r="A151" s="9" t="s">
        <v>5899</v>
      </c>
      <c r="B151" s="14" t="s">
        <v>330</v>
      </c>
      <c r="C151" s="14" t="s">
        <v>205</v>
      </c>
      <c r="D151" s="14" t="s">
        <v>1559</v>
      </c>
      <c r="E151" s="15" t="str">
        <f>HYPERLINK("https://stat100.ameba.jp/tnk47/ratio20/illustrations/card/ill_73773_0_umibirakiinugamigyobu03.jpg?201901-3-RELEASE-dice-e-389x", "■")</f>
        <v>■</v>
      </c>
      <c r="F151" s="14" t="s">
        <v>1560</v>
      </c>
      <c r="G151" s="14">
        <v>130160</v>
      </c>
      <c r="H151" s="14">
        <v>139999</v>
      </c>
      <c r="I151" s="14">
        <v>15</v>
      </c>
      <c r="J151" s="14" t="s">
        <v>320</v>
      </c>
      <c r="K151" s="14" t="s">
        <v>1561</v>
      </c>
      <c r="L151" s="14" t="s">
        <v>1562</v>
      </c>
      <c r="M151" s="14" t="s">
        <v>9158</v>
      </c>
      <c r="N151" s="14" t="s">
        <v>9158</v>
      </c>
      <c r="O151" s="7" t="s">
        <v>2978</v>
      </c>
      <c r="P151" s="14" t="s">
        <v>2979</v>
      </c>
      <c r="Q151" s="14">
        <v>2</v>
      </c>
      <c r="R151" s="14"/>
    </row>
    <row r="152" spans="1:18">
      <c r="A152" s="9" t="s">
        <v>5622</v>
      </c>
      <c r="B152" s="14" t="s">
        <v>330</v>
      </c>
      <c r="C152" s="14" t="s">
        <v>185</v>
      </c>
      <c r="D152" s="14" t="s">
        <v>509</v>
      </c>
      <c r="E152" s="15" t="str">
        <f>HYPERLINK("https://stat100.ameba.jp/tnk47/ratio20/illustrations/card/ill_49953_0_yushamarihime03.jpg?201901-3-RELEASE-dice-e-389x", "■")</f>
        <v>■</v>
      </c>
      <c r="F152" s="14" t="s">
        <v>510</v>
      </c>
      <c r="G152" s="14">
        <v>94236</v>
      </c>
      <c r="H152" s="14">
        <v>83712</v>
      </c>
      <c r="I152" s="14">
        <v>15</v>
      </c>
      <c r="J152" s="14" t="s">
        <v>315</v>
      </c>
      <c r="K152" s="14" t="s">
        <v>511</v>
      </c>
      <c r="L152" s="14" t="s">
        <v>512</v>
      </c>
      <c r="M152" s="14" t="s">
        <v>9158</v>
      </c>
      <c r="N152" s="14" t="s">
        <v>9158</v>
      </c>
      <c r="O152" s="14" t="s">
        <v>9158</v>
      </c>
      <c r="P152" s="14" t="s">
        <v>9158</v>
      </c>
      <c r="Q152" s="14" t="s">
        <v>9158</v>
      </c>
      <c r="R152" s="14"/>
    </row>
    <row r="153" spans="1:18">
      <c r="A153" s="9">
        <v>73573</v>
      </c>
      <c r="B153" s="14" t="s">
        <v>334</v>
      </c>
      <c r="C153" s="14" t="s">
        <v>200</v>
      </c>
      <c r="D153" s="14" t="s">
        <v>2980</v>
      </c>
      <c r="E153" s="15" t="str">
        <f>HYPERLINK("https://stat100.ameba.jp/tnk47/ratio20/illustrations/card/ill_73573_enjojikeito03.jpg?201901-3-RELEASE-dice-e-389x", "■")</f>
        <v>■</v>
      </c>
      <c r="F153" s="14" t="s">
        <v>2981</v>
      </c>
      <c r="G153" s="14">
        <v>76152</v>
      </c>
      <c r="H153" s="14">
        <v>81888</v>
      </c>
      <c r="I153" s="14">
        <v>22</v>
      </c>
      <c r="J153" s="14" t="s">
        <v>351</v>
      </c>
      <c r="K153" s="14" t="s">
        <v>2982</v>
      </c>
      <c r="L153" s="14" t="s">
        <v>2983</v>
      </c>
      <c r="M153" s="14" t="s">
        <v>9158</v>
      </c>
      <c r="N153" s="14" t="s">
        <v>9158</v>
      </c>
      <c r="O153" s="18" t="s">
        <v>10065</v>
      </c>
      <c r="P153" s="14" t="s">
        <v>2984</v>
      </c>
      <c r="Q153" s="14">
        <v>1</v>
      </c>
      <c r="R153" s="14"/>
    </row>
    <row r="154" spans="1:18">
      <c r="A154" s="9">
        <v>76843</v>
      </c>
      <c r="B154" s="14" t="s">
        <v>334</v>
      </c>
      <c r="C154" s="14" t="s">
        <v>191</v>
      </c>
      <c r="D154" s="14" t="s">
        <v>2985</v>
      </c>
      <c r="E154" s="15" t="str">
        <f>HYPERLINK("https://stat100.ameba.jp/tnk47/ratio20/illustrations/card/ill_76843_yunokarairu03.jpg?201901-3-RELEASE-dice-e-389x", "■")</f>
        <v>■</v>
      </c>
      <c r="F154" s="14" t="s">
        <v>2986</v>
      </c>
      <c r="G154" s="14">
        <v>101144</v>
      </c>
      <c r="H154" s="14">
        <v>108778</v>
      </c>
      <c r="I154" s="14">
        <v>22</v>
      </c>
      <c r="J154" s="14" t="s">
        <v>283</v>
      </c>
      <c r="K154" s="14" t="s">
        <v>2987</v>
      </c>
      <c r="L154" s="14" t="s">
        <v>2821</v>
      </c>
      <c r="M154" s="14" t="s">
        <v>9158</v>
      </c>
      <c r="N154" s="14" t="s">
        <v>9158</v>
      </c>
      <c r="O154" s="7" t="s">
        <v>2752</v>
      </c>
      <c r="P154" s="14" t="s">
        <v>13123</v>
      </c>
      <c r="Q154" s="14">
        <v>1</v>
      </c>
      <c r="R154" s="14"/>
    </row>
    <row r="155" spans="1:18">
      <c r="A155" s="9">
        <v>77733</v>
      </c>
      <c r="B155" s="14" t="s">
        <v>334</v>
      </c>
      <c r="C155" s="14" t="s">
        <v>205</v>
      </c>
      <c r="D155" s="14" t="s">
        <v>404</v>
      </c>
      <c r="E155" s="15" t="str">
        <f>HYPERLINK("https://stat100.ameba.jp/tnk47/ratio20/illustrations/card/ill_77733_azegamiarika03.jpg?201901-3-RELEASE-dice-e-389x", "■")</f>
        <v>■</v>
      </c>
      <c r="F155" s="14" t="s">
        <v>405</v>
      </c>
      <c r="G155" s="14">
        <v>126142</v>
      </c>
      <c r="H155" s="14">
        <v>135666</v>
      </c>
      <c r="I155" s="14">
        <v>22</v>
      </c>
      <c r="J155" s="14" t="s">
        <v>310</v>
      </c>
      <c r="K155" s="14" t="s">
        <v>406</v>
      </c>
      <c r="L155" s="14" t="s">
        <v>407</v>
      </c>
      <c r="M155" s="14" t="s">
        <v>9158</v>
      </c>
      <c r="N155" s="14" t="s">
        <v>9158</v>
      </c>
      <c r="O155" s="14" t="s">
        <v>9158</v>
      </c>
      <c r="P155" s="14" t="s">
        <v>9158</v>
      </c>
      <c r="Q155" s="14" t="s">
        <v>9158</v>
      </c>
      <c r="R155" s="14"/>
    </row>
    <row r="156" spans="1:18">
      <c r="A156" s="9">
        <v>63143</v>
      </c>
      <c r="B156" s="14" t="s">
        <v>348</v>
      </c>
      <c r="C156" s="14" t="s">
        <v>200</v>
      </c>
      <c r="D156" s="14" t="s">
        <v>2988</v>
      </c>
      <c r="E156" s="15" t="str">
        <f>HYPERLINK("https://stat100.ameba.jp/tnk47/ratio20/illustrations/card/ill_63143_minazukikombara03.jpg?201901-3-RELEASE-dice-e-389x", "■")</f>
        <v>■</v>
      </c>
      <c r="F156" s="14" t="s">
        <v>2989</v>
      </c>
      <c r="G156" s="14">
        <v>59144</v>
      </c>
      <c r="H156" s="14">
        <v>65208</v>
      </c>
      <c r="I156" s="14">
        <v>22</v>
      </c>
      <c r="J156" s="14" t="s">
        <v>369</v>
      </c>
      <c r="K156" s="14" t="s">
        <v>2990</v>
      </c>
      <c r="L156" s="14" t="s">
        <v>1383</v>
      </c>
      <c r="M156" s="14" t="s">
        <v>9158</v>
      </c>
      <c r="N156" s="14" t="s">
        <v>9158</v>
      </c>
      <c r="O156" s="14" t="s">
        <v>9158</v>
      </c>
      <c r="P156" s="14" t="s">
        <v>9158</v>
      </c>
      <c r="Q156" s="14" t="s">
        <v>9158</v>
      </c>
      <c r="R156" s="14"/>
    </row>
    <row r="157" spans="1:18">
      <c r="A157" s="9">
        <v>60613</v>
      </c>
      <c r="B157" s="14" t="s">
        <v>348</v>
      </c>
      <c r="C157" s="14" t="s">
        <v>206</v>
      </c>
      <c r="D157" s="14" t="s">
        <v>2991</v>
      </c>
      <c r="E157" s="15" t="str">
        <f>HYPERLINK("https://stat100.ameba.jp/tnk47/ratio20/illustrations/card/ill_60613_harumaitachibanaginchiyo03.jpg?201901-3-RELEASE-dice-e-389x", "■")</f>
        <v>■</v>
      </c>
      <c r="F157" s="14" t="s">
        <v>2992</v>
      </c>
      <c r="G157" s="14">
        <v>65208</v>
      </c>
      <c r="H157" s="14">
        <v>59144</v>
      </c>
      <c r="I157" s="14">
        <v>22</v>
      </c>
      <c r="J157" s="14" t="s">
        <v>315</v>
      </c>
      <c r="K157" s="14" t="s">
        <v>2993</v>
      </c>
      <c r="L157" s="14" t="s">
        <v>2994</v>
      </c>
      <c r="M157" s="14" t="s">
        <v>9158</v>
      </c>
      <c r="N157" s="14" t="s">
        <v>9158</v>
      </c>
      <c r="O157" s="14" t="s">
        <v>9158</v>
      </c>
      <c r="P157" s="14" t="s">
        <v>9158</v>
      </c>
      <c r="Q157" s="14" t="s">
        <v>9158</v>
      </c>
      <c r="R157" s="14"/>
    </row>
    <row r="158" spans="1:18">
      <c r="A158" s="9">
        <v>61883</v>
      </c>
      <c r="B158" s="14" t="s">
        <v>348</v>
      </c>
      <c r="C158" s="14" t="s">
        <v>205</v>
      </c>
      <c r="D158" s="14" t="s">
        <v>1518</v>
      </c>
      <c r="E158" s="15" t="str">
        <f>HYPERLINK("https://stat100.ameba.jp/tnk47/ratio20/illustrations/card/ill_61883_onikirishukurohime03.jpg?201901-3-RELEASE-dice-e-389x", "■")</f>
        <v>■</v>
      </c>
      <c r="F158" s="14" t="s">
        <v>1519</v>
      </c>
      <c r="G158" s="14">
        <v>59144</v>
      </c>
      <c r="H158" s="14">
        <v>65208</v>
      </c>
      <c r="I158" s="14">
        <v>22</v>
      </c>
      <c r="J158" s="14" t="s">
        <v>414</v>
      </c>
      <c r="K158" s="14" t="s">
        <v>1520</v>
      </c>
      <c r="L158" s="14" t="s">
        <v>1521</v>
      </c>
      <c r="M158" s="14" t="s">
        <v>9158</v>
      </c>
      <c r="N158" s="14" t="s">
        <v>9158</v>
      </c>
      <c r="O158" s="14" t="s">
        <v>9158</v>
      </c>
      <c r="P158" s="14" t="s">
        <v>9158</v>
      </c>
      <c r="Q158" s="14" t="s">
        <v>9158</v>
      </c>
      <c r="R158" s="14"/>
    </row>
    <row r="159" spans="1:18">
      <c r="B159" s="14"/>
      <c r="C159" s="14"/>
      <c r="D159" s="14"/>
      <c r="F159" s="14"/>
      <c r="G159" s="14"/>
      <c r="H159" s="14"/>
      <c r="I159" s="14"/>
      <c r="J159" s="14"/>
      <c r="K159" s="14"/>
      <c r="L159" s="14"/>
      <c r="M159" s="14"/>
      <c r="N159" s="14"/>
      <c r="O159" s="7"/>
      <c r="P159" s="14"/>
      <c r="Q159" s="14"/>
      <c r="R159" s="14"/>
    </row>
    <row r="160" spans="1:18">
      <c r="A160" s="14" t="s">
        <v>207</v>
      </c>
      <c r="D160" s="14"/>
      <c r="F160" s="14"/>
      <c r="G160" s="14"/>
      <c r="H160" s="14"/>
      <c r="I160" s="14"/>
      <c r="J160" s="14"/>
      <c r="K160" s="14"/>
      <c r="L160" s="14"/>
      <c r="M160" s="14"/>
      <c r="N160" s="14"/>
      <c r="O160" s="7"/>
      <c r="P160" s="14"/>
      <c r="Q160" s="14"/>
      <c r="R160" s="14"/>
    </row>
    <row r="161" spans="1:18">
      <c r="A161" s="14" t="s">
        <v>2995</v>
      </c>
      <c r="C161" s="14"/>
      <c r="D161" s="14"/>
      <c r="F161" s="14"/>
      <c r="G161" s="14"/>
      <c r="H161" s="14"/>
      <c r="I161" s="14"/>
      <c r="J161" s="14"/>
      <c r="K161" s="14"/>
      <c r="L161" s="14"/>
      <c r="M161" s="14"/>
      <c r="N161" s="14"/>
      <c r="O161" s="7"/>
      <c r="P161" s="14"/>
      <c r="Q161" s="14"/>
      <c r="R161" s="14"/>
    </row>
    <row r="162" spans="1:18">
      <c r="A162" s="9" t="s">
        <v>5609</v>
      </c>
      <c r="B162" s="14" t="s">
        <v>330</v>
      </c>
      <c r="C162" s="14" t="s">
        <v>200</v>
      </c>
      <c r="D162" s="14" t="s">
        <v>1713</v>
      </c>
      <c r="E162" s="15" t="str">
        <f>HYPERLINK("https://stat100.ameba.jp/tnk47/ratio20/illustrations/card/ill_53753_0_natsumatsuritokugawaieyasu03.jpg?201901-3-RELEASE-dice-e-389x", "■")</f>
        <v>■</v>
      </c>
      <c r="F162" s="14" t="s">
        <v>390</v>
      </c>
      <c r="G162" s="14">
        <v>131930</v>
      </c>
      <c r="H162" s="14">
        <v>117196</v>
      </c>
      <c r="I162" s="14">
        <v>21</v>
      </c>
      <c r="J162" s="14" t="s">
        <v>194</v>
      </c>
      <c r="K162" s="14" t="s">
        <v>1714</v>
      </c>
      <c r="L162" s="14" t="s">
        <v>392</v>
      </c>
      <c r="M162" s="14" t="s">
        <v>9158</v>
      </c>
      <c r="N162" s="14" t="s">
        <v>9158</v>
      </c>
      <c r="O162" s="18" t="s">
        <v>10052</v>
      </c>
      <c r="P162" s="14" t="s">
        <v>13121</v>
      </c>
      <c r="Q162" s="14">
        <v>1</v>
      </c>
      <c r="R162" s="14"/>
    </row>
    <row r="163" spans="1:18">
      <c r="A163" s="9" t="s">
        <v>5721</v>
      </c>
      <c r="B163" s="14" t="s">
        <v>330</v>
      </c>
      <c r="C163" s="14" t="s">
        <v>205</v>
      </c>
      <c r="D163" s="14" t="s">
        <v>513</v>
      </c>
      <c r="E163" s="15" t="str">
        <f>HYPERLINK("https://stat100.ameba.jp/tnk47/ratio20/illustrations/card/ill_44283_0_izumonokuni03.jpg?201901-3-RELEASE-dice-e-389x", "■")</f>
        <v>■</v>
      </c>
      <c r="F163" s="14" t="s">
        <v>514</v>
      </c>
      <c r="G163" s="14">
        <v>122892</v>
      </c>
      <c r="H163" s="14">
        <v>115096</v>
      </c>
      <c r="I163" s="14">
        <v>21</v>
      </c>
      <c r="J163" s="14" t="s">
        <v>414</v>
      </c>
      <c r="K163" s="14" t="s">
        <v>515</v>
      </c>
      <c r="L163" s="14" t="s">
        <v>516</v>
      </c>
      <c r="M163" s="14" t="s">
        <v>9158</v>
      </c>
      <c r="N163" s="14" t="s">
        <v>9158</v>
      </c>
      <c r="O163" s="14" t="s">
        <v>9158</v>
      </c>
      <c r="P163" s="14" t="s">
        <v>9158</v>
      </c>
      <c r="Q163" s="14" t="s">
        <v>9158</v>
      </c>
      <c r="R163" s="14"/>
    </row>
    <row r="164" spans="1:18">
      <c r="A164" s="9" t="s">
        <v>5830</v>
      </c>
      <c r="B164" s="14" t="s">
        <v>330</v>
      </c>
      <c r="C164" s="14" t="s">
        <v>191</v>
      </c>
      <c r="D164" s="14" t="s">
        <v>793</v>
      </c>
      <c r="E164" s="15" t="str">
        <f>HYPERLINK("https://stat100.ameba.jp/tnk47/ratio20/illustrations/card/ill_39933_0_reihiiinaotora03.jpg?201901-3-RELEASE-dice-e-389x", "■")</f>
        <v>■</v>
      </c>
      <c r="F164" s="14" t="s">
        <v>794</v>
      </c>
      <c r="G164" s="14">
        <v>115096</v>
      </c>
      <c r="H164" s="14">
        <v>122892</v>
      </c>
      <c r="I164" s="14">
        <v>21</v>
      </c>
      <c r="J164" s="14" t="s">
        <v>315</v>
      </c>
      <c r="K164" s="14" t="s">
        <v>795</v>
      </c>
      <c r="L164" s="14" t="s">
        <v>796</v>
      </c>
      <c r="M164" s="14" t="s">
        <v>9158</v>
      </c>
      <c r="N164" s="14" t="s">
        <v>9158</v>
      </c>
      <c r="O164" s="14" t="s">
        <v>9158</v>
      </c>
      <c r="P164" s="14" t="s">
        <v>9158</v>
      </c>
      <c r="Q164" s="14" t="s">
        <v>9158</v>
      </c>
      <c r="R164" s="14"/>
    </row>
    <row r="165" spans="1:18">
      <c r="A165" s="9">
        <v>78943</v>
      </c>
      <c r="B165" s="14" t="s">
        <v>334</v>
      </c>
      <c r="C165" s="14" t="s">
        <v>185</v>
      </c>
      <c r="D165" s="14" t="s">
        <v>2953</v>
      </c>
      <c r="E165" s="15" t="str">
        <f>HYPERLINK("https://stat100.ameba.jp/tnk47/ratio20/illustrations/card/ill_78943_idoshiiwaisepo03.jpg?201901-3-RELEASE-dice-e-389x", "■")</f>
        <v>■</v>
      </c>
      <c r="F165" s="14" t="s">
        <v>2954</v>
      </c>
      <c r="G165" s="14">
        <v>87496</v>
      </c>
      <c r="H165" s="14">
        <v>81371</v>
      </c>
      <c r="I165" s="14">
        <v>21</v>
      </c>
      <c r="J165" s="14" t="s">
        <v>320</v>
      </c>
      <c r="K165" s="14" t="s">
        <v>2955</v>
      </c>
      <c r="L165" s="14" t="s">
        <v>2956</v>
      </c>
      <c r="M165" s="14" t="s">
        <v>9158</v>
      </c>
      <c r="N165" s="14" t="s">
        <v>9158</v>
      </c>
      <c r="O165" s="14" t="s">
        <v>9158</v>
      </c>
      <c r="P165" s="14" t="s">
        <v>9158</v>
      </c>
      <c r="Q165" s="14" t="s">
        <v>9158</v>
      </c>
      <c r="R165" s="14"/>
    </row>
    <row r="166" spans="1:18">
      <c r="A166" s="9">
        <v>78953</v>
      </c>
      <c r="B166" s="14" t="s">
        <v>348</v>
      </c>
      <c r="C166" s="14" t="s">
        <v>165</v>
      </c>
      <c r="D166" s="14" t="s">
        <v>2957</v>
      </c>
      <c r="E166" s="15" t="str">
        <f>HYPERLINK("https://stat100.ameba.jp/tnk47/ratio20/illustrations/card/ill_78953_baikukitanokata03.jpg?201901-3-RELEASE-dice-e-389x", "■")</f>
        <v>■</v>
      </c>
      <c r="F166" s="14" t="s">
        <v>2958</v>
      </c>
      <c r="G166" s="14">
        <v>48390</v>
      </c>
      <c r="H166" s="14">
        <v>53352</v>
      </c>
      <c r="I166" s="14">
        <v>18</v>
      </c>
      <c r="J166" s="14" t="s">
        <v>310</v>
      </c>
      <c r="K166" s="14" t="s">
        <v>2959</v>
      </c>
      <c r="L166" s="14" t="s">
        <v>2960</v>
      </c>
      <c r="M166" s="14" t="s">
        <v>9158</v>
      </c>
      <c r="N166" s="14" t="s">
        <v>9158</v>
      </c>
      <c r="O166" s="14" t="s">
        <v>9158</v>
      </c>
      <c r="P166" s="14" t="s">
        <v>9158</v>
      </c>
      <c r="Q166" s="14" t="s">
        <v>9158</v>
      </c>
      <c r="R166" s="14"/>
    </row>
    <row r="167" spans="1:18">
      <c r="A167" s="9">
        <v>78963</v>
      </c>
      <c r="B167" s="14" t="s">
        <v>362</v>
      </c>
      <c r="C167" s="14" t="s">
        <v>205</v>
      </c>
      <c r="D167" s="14" t="s">
        <v>2961</v>
      </c>
      <c r="E167" s="15" t="str">
        <f>HYPERLINK("https://stat100.ameba.jp/tnk47/ratio20/illustrations/card/ill_78963_toshiakesanukiudonchan03.jpg?201901-3-RELEASE-dice-e-389x", "■")</f>
        <v>■</v>
      </c>
      <c r="F167" s="14" t="s">
        <v>2962</v>
      </c>
      <c r="G167" s="14">
        <v>35346</v>
      </c>
      <c r="H167" s="14">
        <v>29388</v>
      </c>
      <c r="I167" s="14">
        <v>17</v>
      </c>
      <c r="J167" s="14" t="s">
        <v>283</v>
      </c>
      <c r="K167" s="14" t="s">
        <v>2963</v>
      </c>
      <c r="L167" s="14" t="s">
        <v>2964</v>
      </c>
      <c r="M167" s="14" t="s">
        <v>9158</v>
      </c>
      <c r="N167" s="14" t="s">
        <v>9158</v>
      </c>
      <c r="O167" s="14" t="s">
        <v>9158</v>
      </c>
      <c r="P167" s="14" t="s">
        <v>9158</v>
      </c>
      <c r="Q167" s="14" t="s">
        <v>9158</v>
      </c>
      <c r="R167" s="14"/>
    </row>
    <row r="168" spans="1:18">
      <c r="A168" s="9">
        <v>78973</v>
      </c>
      <c r="B168" s="14" t="s">
        <v>372</v>
      </c>
      <c r="C168" s="14" t="s">
        <v>2718</v>
      </c>
      <c r="D168" s="14" t="s">
        <v>2965</v>
      </c>
      <c r="E168" s="15" t="str">
        <f>HYPERLINK("https://stat100.ameba.jp/tnk47/ratio20/illustrations/card/ill_78973_juenshiheiwakenokiyomaro03.jpg?201901-3-RELEASE-dice-e-389x", "■")</f>
        <v>■</v>
      </c>
      <c r="F168" s="14" t="s">
        <v>2966</v>
      </c>
      <c r="G168" s="14">
        <v>17972</v>
      </c>
      <c r="H168" s="14">
        <v>21398</v>
      </c>
      <c r="I168" s="14">
        <v>17</v>
      </c>
      <c r="J168" s="14" t="s">
        <v>351</v>
      </c>
      <c r="K168" s="14" t="s">
        <v>2967</v>
      </c>
      <c r="L168" s="14" t="s">
        <v>1449</v>
      </c>
      <c r="M168" s="14" t="s">
        <v>9158</v>
      </c>
      <c r="N168" s="14" t="s">
        <v>9158</v>
      </c>
      <c r="O168" s="14" t="s">
        <v>9158</v>
      </c>
      <c r="P168" s="14" t="s">
        <v>9158</v>
      </c>
      <c r="Q168" s="14" t="s">
        <v>9158</v>
      </c>
      <c r="R168" s="14"/>
    </row>
    <row r="169" spans="1:18">
      <c r="B169" s="14"/>
      <c r="C169" s="14"/>
      <c r="D169" s="14"/>
      <c r="F169" s="14"/>
      <c r="G169" s="14"/>
      <c r="H169" s="14"/>
      <c r="I169" s="14"/>
      <c r="J169" s="14"/>
      <c r="K169" s="14"/>
      <c r="L169" s="14"/>
      <c r="M169" s="14"/>
      <c r="N169" s="14"/>
      <c r="O169" s="7"/>
      <c r="P169" s="14"/>
      <c r="Q169" s="14"/>
      <c r="R169" s="14"/>
    </row>
    <row r="170" spans="1:18">
      <c r="A170" s="14" t="s">
        <v>115</v>
      </c>
      <c r="D170" s="14"/>
      <c r="F170" s="14"/>
      <c r="G170" s="14"/>
      <c r="H170" s="14"/>
      <c r="I170" s="14"/>
      <c r="J170" s="14"/>
      <c r="K170" s="14"/>
      <c r="L170" s="14"/>
      <c r="M170" s="14"/>
      <c r="N170" s="14"/>
      <c r="O170" s="7"/>
      <c r="P170" s="14"/>
      <c r="Q170" s="14"/>
      <c r="R170" s="14"/>
    </row>
    <row r="171" spans="1:18">
      <c r="A171" s="14" t="s">
        <v>2996</v>
      </c>
      <c r="B171" s="14"/>
      <c r="C171" s="14"/>
      <c r="D171" s="14"/>
      <c r="F171" s="14"/>
      <c r="G171" s="14"/>
      <c r="H171" s="14"/>
      <c r="I171" s="14"/>
      <c r="J171" s="14"/>
      <c r="K171" s="14"/>
      <c r="L171" s="14"/>
      <c r="M171" s="14"/>
      <c r="N171" s="14"/>
      <c r="O171" s="7"/>
      <c r="P171" s="14"/>
      <c r="Q171" s="14"/>
      <c r="R171" s="14"/>
    </row>
    <row r="172" spans="1:18">
      <c r="A172" s="9" t="s">
        <v>5901</v>
      </c>
      <c r="B172" s="14" t="s">
        <v>330</v>
      </c>
      <c r="C172" s="14" t="s">
        <v>307</v>
      </c>
      <c r="D172" s="14" t="s">
        <v>1426</v>
      </c>
      <c r="E172" s="15" t="str">
        <f>HYPERLINK("https://stat100.ameba.jp/tnk47/ratio20/illustrations/card/ill_64953_0_yukatatokugawayoshinobu03.jpg?201901-3-RELEASE-dice-e-389x", "■")</f>
        <v>■</v>
      </c>
      <c r="F172" s="14" t="s">
        <v>1427</v>
      </c>
      <c r="G172" s="14">
        <v>93450</v>
      </c>
      <c r="H172" s="14">
        <v>100502</v>
      </c>
      <c r="I172" s="14">
        <v>15</v>
      </c>
      <c r="J172" s="14" t="s">
        <v>351</v>
      </c>
      <c r="K172" s="14" t="s">
        <v>1428</v>
      </c>
      <c r="L172" s="14" t="s">
        <v>1429</v>
      </c>
      <c r="M172" s="14" t="s">
        <v>9158</v>
      </c>
      <c r="N172" s="14" t="s">
        <v>9158</v>
      </c>
      <c r="O172" s="7" t="s">
        <v>2889</v>
      </c>
      <c r="P172" s="14" t="s">
        <v>2890</v>
      </c>
      <c r="Q172" s="14">
        <v>1</v>
      </c>
      <c r="R172" s="14"/>
    </row>
    <row r="173" spans="1:18">
      <c r="A173" s="9" t="s">
        <v>5650</v>
      </c>
      <c r="B173" s="14" t="s">
        <v>330</v>
      </c>
      <c r="C173" s="14" t="s">
        <v>200</v>
      </c>
      <c r="D173" s="14" t="s">
        <v>809</v>
      </c>
      <c r="E173" s="15" t="str">
        <f>HYPERLINK("https://stat100.ameba.jp/tnk47/ratio20/illustrations/card/ill_68033_0_kurisumasupateikandamyojin03.jpg?201901-3-RELEASE-dice-e-389x", "■")</f>
        <v>■</v>
      </c>
      <c r="F173" s="14" t="s">
        <v>810</v>
      </c>
      <c r="G173" s="14">
        <v>95371</v>
      </c>
      <c r="H173" s="14">
        <v>102590</v>
      </c>
      <c r="I173" s="14">
        <v>15</v>
      </c>
      <c r="J173" s="14" t="s">
        <v>401</v>
      </c>
      <c r="K173" s="14" t="s">
        <v>811</v>
      </c>
      <c r="L173" s="14" t="s">
        <v>812</v>
      </c>
      <c r="M173" s="14" t="s">
        <v>9158</v>
      </c>
      <c r="N173" s="14" t="s">
        <v>9158</v>
      </c>
      <c r="O173" s="7" t="s">
        <v>2997</v>
      </c>
      <c r="P173" s="14" t="s">
        <v>2998</v>
      </c>
      <c r="Q173" s="14">
        <v>2</v>
      </c>
      <c r="R173" s="14"/>
    </row>
    <row r="174" spans="1:18">
      <c r="A174" s="9" t="s">
        <v>5616</v>
      </c>
      <c r="B174" s="14" t="s">
        <v>330</v>
      </c>
      <c r="C174" s="14" t="s">
        <v>185</v>
      </c>
      <c r="D174" s="14" t="s">
        <v>638</v>
      </c>
      <c r="E174" s="15" t="str">
        <f>HYPERLINK("https://stat100.ameba.jp/tnk47/ratio20/illustrations/card/ill_44253_0_dokuganryudatemasamune03.jpg?201901-3-RELEASE-dice-e-389x", "■")</f>
        <v>■</v>
      </c>
      <c r="F174" s="14" t="s">
        <v>639</v>
      </c>
      <c r="G174" s="14">
        <v>82212</v>
      </c>
      <c r="H174" s="14">
        <v>87780</v>
      </c>
      <c r="I174" s="14">
        <v>15</v>
      </c>
      <c r="J174" s="14" t="s">
        <v>310</v>
      </c>
      <c r="K174" s="14" t="s">
        <v>640</v>
      </c>
      <c r="L174" s="14" t="s">
        <v>641</v>
      </c>
      <c r="M174" s="14" t="s">
        <v>9158</v>
      </c>
      <c r="N174" s="14" t="s">
        <v>9158</v>
      </c>
      <c r="O174" s="14" t="s">
        <v>9158</v>
      </c>
      <c r="P174" s="14" t="s">
        <v>9158</v>
      </c>
      <c r="Q174" s="14" t="s">
        <v>9158</v>
      </c>
      <c r="R174" s="14"/>
    </row>
    <row r="175" spans="1:18">
      <c r="A175" s="9">
        <v>71763</v>
      </c>
      <c r="B175" s="14" t="s">
        <v>334</v>
      </c>
      <c r="C175" s="14" t="s">
        <v>200</v>
      </c>
      <c r="D175" s="14" t="s">
        <v>2999</v>
      </c>
      <c r="E175" s="15" t="str">
        <f>HYPERLINK("https://stat100.ameba.jp/tnk47/ratio20/illustrations/card/ill_71763_teradatorahiko03.jpg?201901-3-RELEASE-dice-e-389x", "■")</f>
        <v>■</v>
      </c>
      <c r="F175" s="14" t="s">
        <v>3000</v>
      </c>
      <c r="G175" s="14">
        <v>62342</v>
      </c>
      <c r="H175" s="14">
        <v>110818</v>
      </c>
      <c r="I175" s="14">
        <v>22</v>
      </c>
      <c r="J175" s="14" t="s">
        <v>351</v>
      </c>
      <c r="K175" s="14" t="s">
        <v>3001</v>
      </c>
      <c r="L175" s="14" t="s">
        <v>3002</v>
      </c>
      <c r="M175" s="14" t="s">
        <v>9158</v>
      </c>
      <c r="N175" s="14" t="s">
        <v>9158</v>
      </c>
      <c r="O175" s="14" t="s">
        <v>9158</v>
      </c>
      <c r="P175" s="14" t="s">
        <v>9158</v>
      </c>
      <c r="Q175" s="14" t="s">
        <v>9158</v>
      </c>
      <c r="R175" s="14"/>
    </row>
    <row r="176" spans="1:18">
      <c r="A176" s="9">
        <v>72593</v>
      </c>
      <c r="B176" s="14" t="s">
        <v>334</v>
      </c>
      <c r="C176" s="14" t="s">
        <v>307</v>
      </c>
      <c r="D176" s="14" t="s">
        <v>3003</v>
      </c>
      <c r="E176" s="15" t="str">
        <f>HYPERLINK("https://stat100.ameba.jp/tnk47/ratio20/illustrations/card/ill_72593_ononomichikaze03.jpg?201901-3-RELEASE-dice-e-389x", "■")</f>
        <v>■</v>
      </c>
      <c r="F176" s="14" t="s">
        <v>3004</v>
      </c>
      <c r="G176" s="14">
        <v>62000</v>
      </c>
      <c r="H176" s="14">
        <v>110186</v>
      </c>
      <c r="I176" s="14">
        <v>22</v>
      </c>
      <c r="J176" s="14" t="s">
        <v>414</v>
      </c>
      <c r="K176" s="14" t="s">
        <v>3005</v>
      </c>
      <c r="L176" s="14" t="s">
        <v>1575</v>
      </c>
      <c r="M176" s="14" t="s">
        <v>9158</v>
      </c>
      <c r="N176" s="14" t="s">
        <v>9158</v>
      </c>
      <c r="O176" s="14" t="s">
        <v>9158</v>
      </c>
      <c r="P176" s="14" t="s">
        <v>9158</v>
      </c>
      <c r="Q176" s="14" t="s">
        <v>9158</v>
      </c>
      <c r="R176" s="14"/>
    </row>
    <row r="177" spans="1:18">
      <c r="A177" s="9">
        <v>72443</v>
      </c>
      <c r="B177" s="14" t="s">
        <v>334</v>
      </c>
      <c r="C177" s="14" t="s">
        <v>205</v>
      </c>
      <c r="D177" s="14" t="s">
        <v>3006</v>
      </c>
      <c r="E177" s="15" t="str">
        <f>HYPERLINK("https://stat100.ameba.jp/tnk47/ratio20/illustrations/card/ill_72443_uragamimasamune03.jpg?201901-3-RELEASE-dice-e-389x", "■")</f>
        <v>■</v>
      </c>
      <c r="F177" s="14" t="s">
        <v>3007</v>
      </c>
      <c r="G177" s="14">
        <v>93184</v>
      </c>
      <c r="H177" s="14">
        <v>100224</v>
      </c>
      <c r="I177" s="14">
        <v>22</v>
      </c>
      <c r="J177" s="14" t="s">
        <v>310</v>
      </c>
      <c r="K177" s="14" t="s">
        <v>3008</v>
      </c>
      <c r="L177" s="14" t="s">
        <v>3009</v>
      </c>
      <c r="M177" s="14" t="s">
        <v>9158</v>
      </c>
      <c r="N177" s="14" t="s">
        <v>9158</v>
      </c>
      <c r="O177" s="14" t="s">
        <v>9158</v>
      </c>
      <c r="P177" s="14" t="s">
        <v>9158</v>
      </c>
      <c r="Q177" s="14" t="s">
        <v>9158</v>
      </c>
      <c r="R177" s="14"/>
    </row>
    <row r="178" spans="1:18">
      <c r="A178" s="9">
        <v>60703</v>
      </c>
      <c r="B178" s="14" t="s">
        <v>348</v>
      </c>
      <c r="C178" s="14" t="s">
        <v>185</v>
      </c>
      <c r="D178" s="14" t="s">
        <v>3010</v>
      </c>
      <c r="E178" s="15" t="str">
        <f>HYPERLINK("https://stat100.ameba.jp/tnk47/ratio20/illustrations/card/ill_60703_isutabaniyamamurokieko03.jpg?201901-3-RELEASE-dice-e-389x", "■")</f>
        <v>■</v>
      </c>
      <c r="F178" s="14" t="s">
        <v>3011</v>
      </c>
      <c r="G178" s="14">
        <v>59144</v>
      </c>
      <c r="H178" s="14">
        <v>65208</v>
      </c>
      <c r="I178" s="14">
        <v>22</v>
      </c>
      <c r="J178" s="14" t="s">
        <v>351</v>
      </c>
      <c r="K178" s="14" t="s">
        <v>3012</v>
      </c>
      <c r="L178" s="14" t="s">
        <v>3013</v>
      </c>
      <c r="M178" s="14" t="s">
        <v>9158</v>
      </c>
      <c r="N178" s="14" t="s">
        <v>9158</v>
      </c>
      <c r="O178" s="14" t="s">
        <v>9158</v>
      </c>
      <c r="P178" s="14" t="s">
        <v>9158</v>
      </c>
      <c r="Q178" s="14" t="s">
        <v>9158</v>
      </c>
      <c r="R178" s="14"/>
    </row>
    <row r="179" spans="1:18">
      <c r="A179" s="9">
        <v>69083</v>
      </c>
      <c r="B179" s="14" t="s">
        <v>348</v>
      </c>
      <c r="C179" s="14" t="s">
        <v>206</v>
      </c>
      <c r="D179" s="14" t="s">
        <v>3014</v>
      </c>
      <c r="E179" s="15" t="str">
        <f>HYPERLINK("https://stat100.ameba.jp/tnk47/ratio20/illustrations/card/ill_69083_uintasupotsukuwahime03.jpg?201901-3-RELEASE-dice-e-389x", "■")</f>
        <v>■</v>
      </c>
      <c r="F179" s="14" t="s">
        <v>3015</v>
      </c>
      <c r="G179" s="14">
        <v>59144</v>
      </c>
      <c r="H179" s="14">
        <v>65208</v>
      </c>
      <c r="I179" s="14">
        <v>22</v>
      </c>
      <c r="J179" s="14" t="s">
        <v>315</v>
      </c>
      <c r="K179" s="14" t="s">
        <v>3016</v>
      </c>
      <c r="L179" s="14" t="s">
        <v>596</v>
      </c>
      <c r="M179" s="14" t="s">
        <v>9158</v>
      </c>
      <c r="N179" s="14" t="s">
        <v>9158</v>
      </c>
      <c r="O179" s="14" t="s">
        <v>9158</v>
      </c>
      <c r="P179" s="14" t="s">
        <v>9158</v>
      </c>
      <c r="Q179" s="14" t="s">
        <v>9158</v>
      </c>
      <c r="R179" s="14"/>
    </row>
    <row r="180" spans="1:18">
      <c r="A180" s="9">
        <v>72663</v>
      </c>
      <c r="B180" s="14" t="s">
        <v>348</v>
      </c>
      <c r="C180" s="14" t="s">
        <v>165</v>
      </c>
      <c r="D180" s="14" t="s">
        <v>3017</v>
      </c>
      <c r="E180" s="15" t="str">
        <f>HYPERLINK("https://stat100.ameba.jp/tnk47/ratio20/illustrations/card/ill_72663_shokanoseisomadorenuchan03.jpg?201901-3-RELEASE-dice-e-389x", "■")</f>
        <v>■</v>
      </c>
      <c r="F180" s="14" t="s">
        <v>3018</v>
      </c>
      <c r="G180" s="14">
        <v>59144</v>
      </c>
      <c r="H180" s="14">
        <v>65208</v>
      </c>
      <c r="I180" s="14">
        <v>22</v>
      </c>
      <c r="J180" s="14" t="s">
        <v>283</v>
      </c>
      <c r="K180" s="14" t="s">
        <v>3019</v>
      </c>
      <c r="L180" s="14" t="s">
        <v>1442</v>
      </c>
      <c r="M180" s="14" t="s">
        <v>9158</v>
      </c>
      <c r="N180" s="14" t="s">
        <v>9158</v>
      </c>
      <c r="O180" s="14" t="s">
        <v>9158</v>
      </c>
      <c r="P180" s="14" t="s">
        <v>9158</v>
      </c>
      <c r="Q180" s="14" t="s">
        <v>9158</v>
      </c>
      <c r="R180" s="14"/>
    </row>
    <row r="181" spans="1:18">
      <c r="B181" s="14"/>
      <c r="C181" s="14"/>
      <c r="D181" s="14"/>
      <c r="F181" s="14"/>
      <c r="G181" s="14"/>
      <c r="H181" s="14"/>
      <c r="I181" s="14"/>
      <c r="J181" s="14"/>
      <c r="K181" s="14"/>
      <c r="L181" s="14"/>
      <c r="M181" s="14"/>
      <c r="N181" s="14"/>
      <c r="O181" s="7"/>
      <c r="P181" s="14"/>
      <c r="Q181" s="14"/>
      <c r="R181" s="14"/>
    </row>
    <row r="182" spans="1:18">
      <c r="A182" s="14" t="s">
        <v>114</v>
      </c>
      <c r="D182" s="14"/>
      <c r="F182" s="14"/>
      <c r="G182" s="14"/>
      <c r="H182" s="14"/>
      <c r="I182" s="14"/>
      <c r="J182" s="14"/>
      <c r="K182" s="14"/>
      <c r="L182" s="14"/>
      <c r="M182" s="14"/>
      <c r="N182" s="14"/>
      <c r="O182" s="7"/>
      <c r="P182" s="14"/>
      <c r="Q182" s="14"/>
      <c r="R182" s="14"/>
    </row>
    <row r="183" spans="1:18">
      <c r="A183" s="14" t="s">
        <v>3020</v>
      </c>
      <c r="B183" s="14"/>
      <c r="C183" s="14"/>
      <c r="D183" s="14"/>
      <c r="F183" s="14"/>
      <c r="G183" s="14"/>
      <c r="H183" s="14"/>
      <c r="I183" s="14"/>
      <c r="J183" s="14"/>
      <c r="K183" s="14"/>
      <c r="L183" s="14"/>
      <c r="M183" s="14"/>
      <c r="N183" s="14"/>
      <c r="O183" s="7"/>
      <c r="P183" s="14"/>
      <c r="Q183" s="14"/>
      <c r="R183" s="14"/>
    </row>
    <row r="184" spans="1:18">
      <c r="A184" s="9" t="s">
        <v>5614</v>
      </c>
      <c r="B184" s="14" t="s">
        <v>330</v>
      </c>
      <c r="C184" s="14" t="s">
        <v>205</v>
      </c>
      <c r="D184" s="14" t="s">
        <v>313</v>
      </c>
      <c r="E184" s="15" t="str">
        <f>HYPERLINK("https://stat100.ameba.jp/tnk47/ratio20/illustrations/card/ill_56223_0_onsempanikkugohime03.jpg?201901-3-RELEASE-dice-e-389x", "■")</f>
        <v>■</v>
      </c>
      <c r="F184" s="14" t="s">
        <v>314</v>
      </c>
      <c r="G184" s="14">
        <v>117196</v>
      </c>
      <c r="H184" s="14">
        <v>131930</v>
      </c>
      <c r="I184" s="14">
        <v>21</v>
      </c>
      <c r="J184" s="14" t="s">
        <v>315</v>
      </c>
      <c r="K184" s="14" t="s">
        <v>316</v>
      </c>
      <c r="L184" s="14" t="s">
        <v>317</v>
      </c>
      <c r="M184" s="14" t="s">
        <v>9158</v>
      </c>
      <c r="N184" s="14" t="s">
        <v>9158</v>
      </c>
      <c r="O184" s="7" t="s">
        <v>3021</v>
      </c>
      <c r="P184" s="14" t="s">
        <v>2890</v>
      </c>
      <c r="Q184" s="14">
        <v>1</v>
      </c>
      <c r="R184" s="14"/>
    </row>
    <row r="185" spans="1:18">
      <c r="A185" s="9" t="s">
        <v>5617</v>
      </c>
      <c r="B185" s="14" t="s">
        <v>330</v>
      </c>
      <c r="C185" s="14" t="s">
        <v>308</v>
      </c>
      <c r="D185" s="14" t="s">
        <v>982</v>
      </c>
      <c r="E185" s="15" t="str">
        <f>HYPERLINK("https://stat100.ameba.jp/tnk47/ratio20/illustrations/card/ill_59673_0_oheyashutendoji03.jpg?201901-3-RELEASE-dice-e-389x", "■")</f>
        <v>■</v>
      </c>
      <c r="F185" s="14" t="s">
        <v>386</v>
      </c>
      <c r="G185" s="14">
        <v>147765</v>
      </c>
      <c r="H185" s="14">
        <v>158935</v>
      </c>
      <c r="I185" s="14">
        <v>21</v>
      </c>
      <c r="J185" s="14" t="s">
        <v>320</v>
      </c>
      <c r="K185" s="14" t="s">
        <v>387</v>
      </c>
      <c r="L185" s="14" t="s">
        <v>388</v>
      </c>
      <c r="M185" s="14" t="s">
        <v>9158</v>
      </c>
      <c r="N185" s="14" t="s">
        <v>9158</v>
      </c>
      <c r="O185" s="18" t="s">
        <v>10058</v>
      </c>
      <c r="P185" s="14" t="s">
        <v>3022</v>
      </c>
      <c r="Q185" s="14">
        <v>1</v>
      </c>
      <c r="R185" s="14"/>
    </row>
    <row r="186" spans="1:18">
      <c r="A186" s="9">
        <v>78123</v>
      </c>
      <c r="B186" s="14" t="s">
        <v>334</v>
      </c>
      <c r="C186" s="14" t="s">
        <v>209</v>
      </c>
      <c r="D186" s="14" t="s">
        <v>3023</v>
      </c>
      <c r="E186" s="15" t="str">
        <f>HYPERLINK("https://stat100.ameba.jp/tnk47/ratio20/illustrations/card/ill_78123_madannoteirusorushieru03.jpg?201901-3-RELEASE-dice-e-389x", "■")</f>
        <v>■</v>
      </c>
      <c r="F186" s="14" t="s">
        <v>3024</v>
      </c>
      <c r="G186" s="14">
        <v>159674</v>
      </c>
      <c r="H186" s="14">
        <v>115656</v>
      </c>
      <c r="I186" s="14">
        <v>24</v>
      </c>
      <c r="J186" s="14" t="s">
        <v>310</v>
      </c>
      <c r="K186" s="14" t="s">
        <v>3025</v>
      </c>
      <c r="L186" s="14" t="s">
        <v>443</v>
      </c>
      <c r="M186" s="14" t="s">
        <v>9158</v>
      </c>
      <c r="N186" s="14" t="s">
        <v>9158</v>
      </c>
      <c r="O186" s="7" t="s">
        <v>2951</v>
      </c>
      <c r="P186" s="14" t="s">
        <v>13122</v>
      </c>
      <c r="Q186" s="14">
        <v>1</v>
      </c>
      <c r="R186" s="14"/>
    </row>
    <row r="187" spans="1:18">
      <c r="A187" s="9">
        <v>66343</v>
      </c>
      <c r="B187" s="14" t="s">
        <v>334</v>
      </c>
      <c r="C187" s="14" t="s">
        <v>209</v>
      </c>
      <c r="D187" s="14" t="s">
        <v>832</v>
      </c>
      <c r="E187" s="15" t="str">
        <f>HYPERLINK("https://stat100.ameba.jp/tnk47/ratio20/illustrations/card/ill_66343_shunobon03.jpg?201901-3-RELEASE-dice-e-389x", "■")</f>
        <v>■</v>
      </c>
      <c r="F187" s="14" t="s">
        <v>833</v>
      </c>
      <c r="G187" s="14">
        <v>70942</v>
      </c>
      <c r="H187" s="14">
        <v>97925</v>
      </c>
      <c r="I187" s="14">
        <v>21</v>
      </c>
      <c r="J187" s="14" t="s">
        <v>320</v>
      </c>
      <c r="K187" s="14" t="s">
        <v>834</v>
      </c>
      <c r="L187" s="14" t="s">
        <v>347</v>
      </c>
      <c r="M187" s="14" t="s">
        <v>9158</v>
      </c>
      <c r="N187" s="14" t="s">
        <v>9158</v>
      </c>
      <c r="O187" s="14" t="s">
        <v>9158</v>
      </c>
      <c r="P187" s="14" t="s">
        <v>9158</v>
      </c>
      <c r="Q187" s="14" t="s">
        <v>9158</v>
      </c>
      <c r="R187" s="14"/>
    </row>
    <row r="188" spans="1:18">
      <c r="A188" s="9">
        <v>61443</v>
      </c>
      <c r="B188" s="14" t="s">
        <v>334</v>
      </c>
      <c r="C188" s="14" t="s">
        <v>165</v>
      </c>
      <c r="D188" s="14" t="s">
        <v>3026</v>
      </c>
      <c r="E188" s="15" t="str">
        <f>HYPERLINK("https://stat100.ameba.jp/tnk47/ratio20/illustrations/card/ill_61443_junihitoe03.jpg?201901-3-RELEASE-dice-e-389x", "■")</f>
        <v>■</v>
      </c>
      <c r="F188" s="14" t="s">
        <v>3027</v>
      </c>
      <c r="G188" s="14">
        <v>107166</v>
      </c>
      <c r="H188" s="14">
        <v>77618</v>
      </c>
      <c r="I188" s="14">
        <v>21</v>
      </c>
      <c r="J188" s="14" t="s">
        <v>274</v>
      </c>
      <c r="K188" s="14" t="s">
        <v>3028</v>
      </c>
      <c r="L188" s="14" t="s">
        <v>3029</v>
      </c>
      <c r="M188" s="14" t="s">
        <v>9158</v>
      </c>
      <c r="N188" s="14" t="s">
        <v>9158</v>
      </c>
      <c r="O188" s="14" t="s">
        <v>9158</v>
      </c>
      <c r="P188" s="14" t="s">
        <v>9158</v>
      </c>
      <c r="Q188" s="14" t="s">
        <v>9158</v>
      </c>
      <c r="R188" s="14"/>
    </row>
    <row r="189" spans="1:18">
      <c r="A189" s="9">
        <v>54153</v>
      </c>
      <c r="B189" s="14" t="s">
        <v>334</v>
      </c>
      <c r="C189" s="14" t="s">
        <v>264</v>
      </c>
      <c r="D189" s="14" t="s">
        <v>3030</v>
      </c>
      <c r="E189" s="15" t="str">
        <f>HYPERLINK("https://stat100.ameba.jp/tnk47/ratio20/illustrations/card/ill_54153_gekkao03.jpg?201901-3-RELEASE-dice-e-389x", "■")</f>
        <v>■</v>
      </c>
      <c r="F189" s="14" t="s">
        <v>3031</v>
      </c>
      <c r="G189" s="14">
        <v>63547</v>
      </c>
      <c r="H189" s="14">
        <v>86668</v>
      </c>
      <c r="I189" s="14">
        <v>21</v>
      </c>
      <c r="J189" s="14" t="s">
        <v>401</v>
      </c>
      <c r="K189" s="14" t="s">
        <v>3032</v>
      </c>
      <c r="L189" s="14" t="s">
        <v>775</v>
      </c>
      <c r="M189" s="14" t="s">
        <v>9158</v>
      </c>
      <c r="N189" s="14" t="s">
        <v>9158</v>
      </c>
      <c r="O189" s="14" t="s">
        <v>9158</v>
      </c>
      <c r="P189" s="14" t="s">
        <v>9158</v>
      </c>
      <c r="Q189" s="14" t="s">
        <v>9158</v>
      </c>
      <c r="R189" s="14"/>
    </row>
    <row r="190" spans="1:18">
      <c r="A190" s="9">
        <v>67643</v>
      </c>
      <c r="B190" s="14" t="s">
        <v>334</v>
      </c>
      <c r="C190" s="14" t="s">
        <v>209</v>
      </c>
      <c r="D190" s="14" t="s">
        <v>3033</v>
      </c>
      <c r="E190" s="15" t="str">
        <f>HYPERLINK("https://stat100.ameba.jp/tnk47/ratio20/illustrations/card/ill_67643_edokarakamichan03.jpg?201901-3-RELEASE-dice-e-389x", "■")</f>
        <v>■</v>
      </c>
      <c r="F190" s="14" t="s">
        <v>3034</v>
      </c>
      <c r="G190" s="14">
        <v>99171</v>
      </c>
      <c r="H190" s="14">
        <v>92220</v>
      </c>
      <c r="I190" s="14">
        <v>21</v>
      </c>
      <c r="J190" s="14" t="s">
        <v>369</v>
      </c>
      <c r="K190" s="14" t="s">
        <v>3035</v>
      </c>
      <c r="L190" s="14" t="s">
        <v>3036</v>
      </c>
      <c r="M190" s="14" t="s">
        <v>9158</v>
      </c>
      <c r="N190" s="14" t="s">
        <v>9158</v>
      </c>
      <c r="O190" s="7" t="s">
        <v>3037</v>
      </c>
      <c r="P190" s="14" t="s">
        <v>13128</v>
      </c>
      <c r="Q190" s="14">
        <v>1</v>
      </c>
      <c r="R190" s="14"/>
    </row>
    <row r="191" spans="1:18">
      <c r="A191" s="9">
        <v>68703</v>
      </c>
      <c r="B191" s="14" t="s">
        <v>334</v>
      </c>
      <c r="C191" s="14" t="s">
        <v>154</v>
      </c>
      <c r="D191" s="14" t="s">
        <v>687</v>
      </c>
      <c r="E191" s="15" t="str">
        <f>HYPERLINK("https://stat100.ameba.jp/tnk47/ratio20/illustrations/card/ill_68703_manryu03.jpg?201901-3-RELEASE-dice-e-389x", "■")</f>
        <v>■</v>
      </c>
      <c r="F191" s="14" t="s">
        <v>688</v>
      </c>
      <c r="G191" s="14">
        <v>66487</v>
      </c>
      <c r="H191" s="14">
        <v>91779</v>
      </c>
      <c r="I191" s="14">
        <v>21</v>
      </c>
      <c r="J191" s="14" t="s">
        <v>414</v>
      </c>
      <c r="K191" s="14" t="s">
        <v>689</v>
      </c>
      <c r="L191" s="14" t="s">
        <v>690</v>
      </c>
      <c r="M191" s="14" t="s">
        <v>9158</v>
      </c>
      <c r="N191" s="14" t="s">
        <v>9158</v>
      </c>
      <c r="O191" s="14" t="s">
        <v>9158</v>
      </c>
      <c r="P191" s="14" t="s">
        <v>9158</v>
      </c>
      <c r="Q191" s="14" t="s">
        <v>9158</v>
      </c>
      <c r="R191" s="14"/>
    </row>
    <row r="192" spans="1:18">
      <c r="B192" s="14"/>
      <c r="C192" s="14"/>
      <c r="D192" s="14"/>
      <c r="F192" s="14"/>
      <c r="G192" s="14"/>
      <c r="H192" s="14"/>
      <c r="I192" s="14"/>
      <c r="J192" s="14"/>
      <c r="K192" s="14"/>
      <c r="L192" s="14"/>
      <c r="M192" s="14"/>
      <c r="N192" s="14"/>
      <c r="O192" s="7"/>
      <c r="P192" s="14"/>
      <c r="Q192" s="14"/>
      <c r="R192" s="14"/>
    </row>
    <row r="193" spans="1:18">
      <c r="A193" s="14" t="s">
        <v>2726</v>
      </c>
      <c r="D193" s="14"/>
      <c r="F193" s="14"/>
      <c r="G193" s="14"/>
      <c r="H193" s="14"/>
      <c r="I193" s="14"/>
      <c r="J193" s="14"/>
      <c r="K193" s="14"/>
      <c r="L193" s="14"/>
      <c r="M193" s="14"/>
      <c r="N193" s="14"/>
      <c r="O193" s="7"/>
      <c r="P193" s="14"/>
      <c r="Q193" s="14"/>
      <c r="R193" s="14"/>
    </row>
    <row r="194" spans="1:18">
      <c r="A194" s="14" t="s">
        <v>3038</v>
      </c>
      <c r="B194" s="14"/>
      <c r="C194" s="14"/>
      <c r="D194" s="14"/>
      <c r="F194" s="14"/>
      <c r="G194" s="14"/>
      <c r="H194" s="14"/>
      <c r="I194" s="14"/>
      <c r="J194" s="14"/>
      <c r="K194" s="14"/>
      <c r="L194" s="14"/>
      <c r="M194" s="14"/>
      <c r="N194" s="14"/>
      <c r="O194" s="7"/>
      <c r="P194" s="14"/>
      <c r="Q194" s="14"/>
      <c r="R194" s="14"/>
    </row>
    <row r="195" spans="1:18">
      <c r="A195" s="9">
        <v>62203</v>
      </c>
      <c r="B195" s="14" t="s">
        <v>334</v>
      </c>
      <c r="C195" s="14" t="s">
        <v>154</v>
      </c>
      <c r="D195" s="14" t="s">
        <v>3039</v>
      </c>
      <c r="E195" s="15" t="str">
        <f>HYPERLINK("https://stat100.ameba.jp/tnk47/ratio20/illustrations/card/ill_62203_keishoimmasahime03.jpg?201901-3-RELEASE-dice-e-389x", "■")</f>
        <v>■</v>
      </c>
      <c r="F195" s="14" t="s">
        <v>3040</v>
      </c>
      <c r="G195" s="14">
        <v>84214</v>
      </c>
      <c r="H195" s="14">
        <v>90574</v>
      </c>
      <c r="I195" s="14">
        <v>21</v>
      </c>
      <c r="J195" s="14" t="s">
        <v>315</v>
      </c>
      <c r="K195" s="14" t="s">
        <v>3041</v>
      </c>
      <c r="L195" s="14" t="s">
        <v>840</v>
      </c>
      <c r="M195" s="14" t="s">
        <v>9158</v>
      </c>
      <c r="N195" s="14" t="s">
        <v>9158</v>
      </c>
      <c r="O195" s="14" t="s">
        <v>9158</v>
      </c>
      <c r="P195" s="14" t="s">
        <v>9158</v>
      </c>
      <c r="Q195" s="14" t="s">
        <v>9158</v>
      </c>
      <c r="R195" s="14"/>
    </row>
    <row r="196" spans="1:18">
      <c r="A196" s="9">
        <v>69723</v>
      </c>
      <c r="B196" s="14" t="s">
        <v>334</v>
      </c>
      <c r="C196" s="14" t="s">
        <v>158</v>
      </c>
      <c r="D196" s="14" t="s">
        <v>3042</v>
      </c>
      <c r="E196" s="15" t="str">
        <f>HYPERLINK("https://stat100.ameba.jp/tnk47/ratio20/illustrations/card/ill_69723_nakaurajurian03.jpg?201901-3-RELEASE-dice-e-389x", "■")</f>
        <v>■</v>
      </c>
      <c r="F196" s="14" t="s">
        <v>3043</v>
      </c>
      <c r="G196" s="14">
        <v>84214</v>
      </c>
      <c r="H196" s="14">
        <v>90574</v>
      </c>
      <c r="I196" s="14">
        <v>21</v>
      </c>
      <c r="J196" s="14" t="s">
        <v>173</v>
      </c>
      <c r="K196" s="14" t="s">
        <v>3044</v>
      </c>
      <c r="L196" s="14" t="s">
        <v>3045</v>
      </c>
      <c r="M196" s="14" t="s">
        <v>9158</v>
      </c>
      <c r="N196" s="14" t="s">
        <v>9158</v>
      </c>
      <c r="O196" s="14" t="s">
        <v>9158</v>
      </c>
      <c r="P196" s="14" t="s">
        <v>9158</v>
      </c>
      <c r="Q196" s="14" t="s">
        <v>9158</v>
      </c>
      <c r="R196" s="14"/>
    </row>
    <row r="197" spans="1:18">
      <c r="A197" s="9">
        <v>66053</v>
      </c>
      <c r="B197" s="14" t="s">
        <v>334</v>
      </c>
      <c r="C197" s="14" t="s">
        <v>205</v>
      </c>
      <c r="D197" s="14" t="s">
        <v>3046</v>
      </c>
      <c r="E197" s="15" t="str">
        <f>HYPERLINK("https://stat100.ameba.jp/tnk47/ratio20/illustrations/card/ill_66053_serebukushiyatamanokami03.jpg?201901-3-RELEASE-dice-e-389x", "■")</f>
        <v>■</v>
      </c>
      <c r="F197" s="14" t="s">
        <v>3047</v>
      </c>
      <c r="G197" s="14">
        <v>85657</v>
      </c>
      <c r="H197" s="14">
        <v>79634</v>
      </c>
      <c r="I197" s="14">
        <v>21</v>
      </c>
      <c r="J197" s="14" t="s">
        <v>401</v>
      </c>
      <c r="K197" s="14" t="s">
        <v>3048</v>
      </c>
      <c r="L197" s="14" t="s">
        <v>2837</v>
      </c>
      <c r="M197" s="14" t="s">
        <v>9158</v>
      </c>
      <c r="N197" s="14" t="s">
        <v>9158</v>
      </c>
      <c r="O197" s="14" t="s">
        <v>9158</v>
      </c>
      <c r="P197" s="14" t="s">
        <v>9158</v>
      </c>
      <c r="Q197" s="14" t="s">
        <v>9158</v>
      </c>
      <c r="R197" s="14"/>
    </row>
    <row r="198" spans="1:18">
      <c r="A198" s="9">
        <v>42413</v>
      </c>
      <c r="B198" s="14" t="s">
        <v>334</v>
      </c>
      <c r="C198" s="14" t="s">
        <v>200</v>
      </c>
      <c r="D198" s="14" t="s">
        <v>3049</v>
      </c>
      <c r="E198" s="15" t="str">
        <f>HYPERLINK("https://stat100.ameba.jp/tnk47/ratio20/illustrations/card/ill_42413_temma03.jpg?201901-3-RELEASE-dice-e-389x", "■")</f>
        <v>■</v>
      </c>
      <c r="F198" s="14" t="s">
        <v>3050</v>
      </c>
      <c r="G198" s="14">
        <v>75254</v>
      </c>
      <c r="H198" s="14">
        <v>80942</v>
      </c>
      <c r="I198" s="14">
        <v>21</v>
      </c>
      <c r="J198" s="14" t="s">
        <v>401</v>
      </c>
      <c r="K198" s="14" t="s">
        <v>3051</v>
      </c>
      <c r="L198" s="14" t="s">
        <v>3052</v>
      </c>
      <c r="M198" s="14" t="s">
        <v>9158</v>
      </c>
      <c r="N198" s="14" t="s">
        <v>9158</v>
      </c>
      <c r="O198" s="14" t="s">
        <v>9158</v>
      </c>
      <c r="P198" s="14" t="s">
        <v>9158</v>
      </c>
      <c r="Q198" s="14" t="s">
        <v>9158</v>
      </c>
      <c r="R198" s="14"/>
    </row>
    <row r="199" spans="1:18">
      <c r="B199" s="14"/>
      <c r="C199" s="14"/>
      <c r="D199" s="14"/>
      <c r="F199" s="14"/>
      <c r="G199" s="14"/>
      <c r="H199" s="14"/>
      <c r="I199" s="14"/>
      <c r="J199" s="14"/>
      <c r="K199" s="14"/>
      <c r="L199" s="14"/>
      <c r="M199" s="14"/>
      <c r="N199" s="14"/>
      <c r="O199" s="7"/>
      <c r="P199" s="14"/>
      <c r="Q199" s="14"/>
      <c r="R199" s="14"/>
    </row>
    <row r="200" spans="1:18">
      <c r="A200" s="14" t="s">
        <v>1214</v>
      </c>
      <c r="D200" s="14"/>
      <c r="F200" s="14"/>
      <c r="G200" s="14"/>
      <c r="H200" s="14"/>
      <c r="I200" s="14"/>
      <c r="J200" s="14"/>
      <c r="K200" s="14"/>
      <c r="L200" s="14"/>
      <c r="M200" s="14"/>
      <c r="N200" s="14"/>
      <c r="O200" s="7"/>
      <c r="P200" s="14"/>
      <c r="Q200" s="14"/>
      <c r="R200" s="14"/>
    </row>
    <row r="201" spans="1:18">
      <c r="A201" s="14" t="s">
        <v>3053</v>
      </c>
      <c r="B201" s="14"/>
      <c r="C201" s="14"/>
      <c r="D201" s="14"/>
      <c r="F201" s="14"/>
      <c r="G201" s="14"/>
      <c r="H201" s="14"/>
      <c r="I201" s="14"/>
      <c r="J201" s="14"/>
      <c r="K201" s="14"/>
      <c r="L201" s="14"/>
      <c r="M201" s="14"/>
      <c r="N201" s="14"/>
      <c r="O201" s="7"/>
      <c r="P201" s="14"/>
      <c r="Q201" s="14"/>
      <c r="R201" s="14"/>
    </row>
    <row r="202" spans="1:18">
      <c r="A202" s="9">
        <v>76073</v>
      </c>
      <c r="B202" s="14" t="s">
        <v>334</v>
      </c>
      <c r="C202" s="14" t="s">
        <v>154</v>
      </c>
      <c r="D202" s="14" t="s">
        <v>1602</v>
      </c>
      <c r="E202" s="15" t="str">
        <f>HYPERLINK("https://stat100.ameba.jp/tnk47/ratio20/illustrations/card/ill_76073_kokidogatapatobatora03.jpg?201901-3-RELEASE-dice-e-389x", "■")</f>
        <v>■</v>
      </c>
      <c r="F202" s="14" t="s">
        <v>1603</v>
      </c>
      <c r="G202" s="14">
        <v>134446</v>
      </c>
      <c r="H202" s="14">
        <v>125008</v>
      </c>
      <c r="I202" s="14">
        <v>22</v>
      </c>
      <c r="J202" s="14" t="s">
        <v>310</v>
      </c>
      <c r="K202" s="14" t="s">
        <v>1604</v>
      </c>
      <c r="L202" s="14" t="s">
        <v>1605</v>
      </c>
      <c r="M202" s="14" t="s">
        <v>9158</v>
      </c>
      <c r="N202" s="14" t="s">
        <v>9158</v>
      </c>
      <c r="O202" s="14" t="s">
        <v>9158</v>
      </c>
      <c r="P202" s="14" t="s">
        <v>9158</v>
      </c>
      <c r="Q202" s="14" t="s">
        <v>9158</v>
      </c>
      <c r="R202" s="14"/>
    </row>
    <row r="203" spans="1:18">
      <c r="A203" s="9">
        <v>76083</v>
      </c>
      <c r="B203" s="14" t="s">
        <v>334</v>
      </c>
      <c r="C203" s="14" t="s">
        <v>158</v>
      </c>
      <c r="D203" s="14" t="s">
        <v>1606</v>
      </c>
      <c r="E203" s="15" t="str">
        <f>HYPERLINK("https://stat100.ameba.jp/tnk47/ratio20/illustrations/card/ill_76083_dokutamedeikku03.jpg?201901-3-RELEASE-dice-e-389x", "■")</f>
        <v>■</v>
      </c>
      <c r="F203" s="14" t="s">
        <v>1607</v>
      </c>
      <c r="G203" s="14">
        <v>96610</v>
      </c>
      <c r="H203" s="14">
        <v>103888</v>
      </c>
      <c r="I203" s="14">
        <v>22</v>
      </c>
      <c r="J203" s="14" t="s">
        <v>414</v>
      </c>
      <c r="K203" s="14" t="s">
        <v>1608</v>
      </c>
      <c r="L203" s="14" t="s">
        <v>1609</v>
      </c>
      <c r="M203" s="14" t="s">
        <v>9158</v>
      </c>
      <c r="N203" s="14" t="s">
        <v>9158</v>
      </c>
      <c r="O203" s="14" t="s">
        <v>9158</v>
      </c>
      <c r="P203" s="14" t="s">
        <v>9158</v>
      </c>
      <c r="Q203" s="14" t="s">
        <v>9158</v>
      </c>
      <c r="R203" s="14"/>
    </row>
    <row r="204" spans="1:18">
      <c r="A204" s="9">
        <v>76093</v>
      </c>
      <c r="B204" s="14" t="s">
        <v>334</v>
      </c>
      <c r="C204" s="14" t="s">
        <v>202</v>
      </c>
      <c r="D204" s="14" t="s">
        <v>1610</v>
      </c>
      <c r="E204" s="15" t="str">
        <f>HYPERLINK("https://stat100.ameba.jp/tnk47/ratio20/illustrations/card/ill_76093_fuaiafuaita03.jpg?201901-3-RELEASE-dice-e-389x", "■")</f>
        <v>■</v>
      </c>
      <c r="F204" s="14" t="s">
        <v>1611</v>
      </c>
      <c r="G204" s="14">
        <v>96610</v>
      </c>
      <c r="H204" s="14">
        <v>103888</v>
      </c>
      <c r="I204" s="14">
        <v>22</v>
      </c>
      <c r="J204" s="14" t="s">
        <v>351</v>
      </c>
      <c r="K204" s="14" t="s">
        <v>1612</v>
      </c>
      <c r="L204" s="14" t="s">
        <v>1613</v>
      </c>
      <c r="M204" s="14" t="s">
        <v>9158</v>
      </c>
      <c r="N204" s="14" t="s">
        <v>9158</v>
      </c>
      <c r="O204" s="14" t="s">
        <v>9158</v>
      </c>
      <c r="P204" s="14" t="s">
        <v>9158</v>
      </c>
      <c r="Q204" s="14" t="s">
        <v>9158</v>
      </c>
      <c r="R204" s="14"/>
    </row>
    <row r="205" spans="1:18">
      <c r="A205" s="9">
        <v>74413</v>
      </c>
      <c r="B205" s="14" t="s">
        <v>334</v>
      </c>
      <c r="C205" s="14" t="s">
        <v>202</v>
      </c>
      <c r="D205" s="14" t="s">
        <v>1614</v>
      </c>
      <c r="E205" s="15" t="str">
        <f>HYPERLINK("https://stat100.ameba.jp/tnk47/ratio20/illustrations/card/ill_74413_mutekisenkanyamato03.jpg?201901-3-RELEASE-dice-e-389x", "■")</f>
        <v>■</v>
      </c>
      <c r="F205" s="14" t="s">
        <v>1615</v>
      </c>
      <c r="G205" s="14">
        <v>129556</v>
      </c>
      <c r="H205" s="14">
        <v>120470</v>
      </c>
      <c r="I205" s="14">
        <v>22</v>
      </c>
      <c r="J205" s="14" t="s">
        <v>274</v>
      </c>
      <c r="K205" s="14" t="s">
        <v>1616</v>
      </c>
      <c r="L205" s="14" t="s">
        <v>1617</v>
      </c>
      <c r="M205" s="14" t="s">
        <v>9158</v>
      </c>
      <c r="N205" s="14" t="s">
        <v>9158</v>
      </c>
      <c r="O205" s="14" t="s">
        <v>9158</v>
      </c>
      <c r="P205" s="14" t="s">
        <v>9158</v>
      </c>
      <c r="Q205" s="14" t="s">
        <v>9158</v>
      </c>
      <c r="R205" s="14"/>
    </row>
    <row r="206" spans="1:18">
      <c r="A206" s="9">
        <v>74373</v>
      </c>
      <c r="B206" s="14" t="s">
        <v>334</v>
      </c>
      <c r="C206" s="14" t="s">
        <v>203</v>
      </c>
      <c r="D206" s="14" t="s">
        <v>1618</v>
      </c>
      <c r="E206" s="15" t="str">
        <f>HYPERLINK("https://stat100.ameba.jp/tnk47/ratio20/illustrations/card/ill_74373_shirasaginomaihimejijou03.jpg?201901-3-RELEASE-dice-e-389x", "■")</f>
        <v>■</v>
      </c>
      <c r="F206" s="14" t="s">
        <v>1619</v>
      </c>
      <c r="G206" s="14">
        <v>86778</v>
      </c>
      <c r="H206" s="14">
        <v>80708</v>
      </c>
      <c r="I206" s="14">
        <v>22</v>
      </c>
      <c r="J206" s="14" t="s">
        <v>401</v>
      </c>
      <c r="K206" s="14" t="s">
        <v>1620</v>
      </c>
      <c r="L206" s="14" t="s">
        <v>1621</v>
      </c>
      <c r="M206" s="14" t="s">
        <v>9158</v>
      </c>
      <c r="N206" s="14" t="s">
        <v>9158</v>
      </c>
      <c r="O206" s="14" t="s">
        <v>9158</v>
      </c>
      <c r="P206" s="14" t="s">
        <v>9158</v>
      </c>
      <c r="Q206" s="14" t="s">
        <v>9158</v>
      </c>
      <c r="R206" s="14"/>
    </row>
    <row r="207" spans="1:18">
      <c r="A207" s="9">
        <v>74363</v>
      </c>
      <c r="B207" s="14" t="s">
        <v>334</v>
      </c>
      <c r="C207" s="14" t="s">
        <v>209</v>
      </c>
      <c r="D207" s="14" t="s">
        <v>1622</v>
      </c>
      <c r="E207" s="15" t="str">
        <f>HYPERLINK("https://stat100.ameba.jp/tnk47/ratio20/illustrations/card/ill_74363_gantorikuren03.jpg?201901-3-RELEASE-dice-e-389x", "■")</f>
        <v>■</v>
      </c>
      <c r="F207" s="14" t="s">
        <v>1623</v>
      </c>
      <c r="G207" s="14">
        <v>82978</v>
      </c>
      <c r="H207" s="14">
        <v>89222</v>
      </c>
      <c r="I207" s="14">
        <v>22</v>
      </c>
      <c r="J207" s="14" t="s">
        <v>369</v>
      </c>
      <c r="K207" s="14" t="s">
        <v>1624</v>
      </c>
      <c r="L207" s="14" t="s">
        <v>1625</v>
      </c>
      <c r="M207" s="14" t="s">
        <v>9158</v>
      </c>
      <c r="N207" s="14" t="s">
        <v>9158</v>
      </c>
      <c r="O207" s="14" t="s">
        <v>9158</v>
      </c>
      <c r="P207" s="14" t="s">
        <v>9158</v>
      </c>
      <c r="Q207" s="14" t="s">
        <v>9158</v>
      </c>
      <c r="R207" s="14"/>
    </row>
    <row r="208" spans="1:18">
      <c r="B208" s="14"/>
      <c r="C208" s="14"/>
      <c r="D208" s="14"/>
      <c r="F208" s="14"/>
      <c r="G208" s="14"/>
      <c r="H208" s="14"/>
      <c r="I208" s="14"/>
      <c r="J208" s="14"/>
      <c r="K208" s="14"/>
      <c r="L208" s="14"/>
      <c r="M208" s="14"/>
      <c r="N208" s="14"/>
      <c r="O208" s="7"/>
      <c r="P208" s="14"/>
      <c r="Q208" s="14"/>
      <c r="R208" s="14"/>
    </row>
    <row r="209" spans="1:18">
      <c r="A209" s="14" t="s">
        <v>13326</v>
      </c>
      <c r="D209" s="14"/>
      <c r="F209" s="14"/>
      <c r="G209" s="14"/>
      <c r="H209" s="14"/>
      <c r="I209" s="14"/>
      <c r="J209" s="14"/>
      <c r="K209" s="14"/>
      <c r="L209" s="14"/>
      <c r="M209" s="14"/>
      <c r="N209" s="14"/>
      <c r="O209" s="7"/>
      <c r="P209" s="14"/>
      <c r="Q209" s="14"/>
      <c r="R209" s="14"/>
    </row>
    <row r="210" spans="1:18">
      <c r="A210" s="14" t="s">
        <v>3054</v>
      </c>
      <c r="C210" s="14"/>
      <c r="D210" s="14"/>
      <c r="F210" s="14"/>
      <c r="G210" s="14"/>
      <c r="H210" s="14"/>
      <c r="I210" s="14"/>
      <c r="J210" s="14"/>
      <c r="K210" s="14"/>
      <c r="L210" s="14"/>
      <c r="M210" s="14"/>
      <c r="N210" s="14"/>
      <c r="O210" s="7"/>
      <c r="P210" s="14"/>
      <c r="Q210" s="14"/>
      <c r="R210" s="14"/>
    </row>
    <row r="211" spans="1:18">
      <c r="A211" s="9">
        <v>53233</v>
      </c>
      <c r="B211" s="14" t="s">
        <v>334</v>
      </c>
      <c r="C211" s="14" t="s">
        <v>185</v>
      </c>
      <c r="D211" s="14" t="s">
        <v>1840</v>
      </c>
      <c r="E211" s="15" t="str">
        <f>HYPERLINK("https://stat100.ameba.jp/tnk47/ratio20/illustrations/card/ill_53233_nambuharumasa03.jpg?201901-3-RELEASE-dice-e-389x", "■")</f>
        <v>■</v>
      </c>
      <c r="F211" s="14" t="s">
        <v>3055</v>
      </c>
      <c r="G211" s="14">
        <v>100698</v>
      </c>
      <c r="H211" s="14">
        <v>108306</v>
      </c>
      <c r="I211" s="14">
        <v>22</v>
      </c>
      <c r="J211" s="14" t="s">
        <v>310</v>
      </c>
      <c r="K211" s="14" t="s">
        <v>1846</v>
      </c>
      <c r="L211" s="14" t="s">
        <v>9914</v>
      </c>
      <c r="M211" s="14" t="s">
        <v>13169</v>
      </c>
      <c r="N211" s="14" t="s">
        <v>2846</v>
      </c>
      <c r="O211" s="14" t="s">
        <v>9158</v>
      </c>
      <c r="P211" s="14" t="s">
        <v>9158</v>
      </c>
      <c r="Q211" s="14" t="s">
        <v>9158</v>
      </c>
      <c r="R211" s="14"/>
    </row>
    <row r="212" spans="1:18">
      <c r="A212" s="9">
        <v>53232</v>
      </c>
      <c r="B212" s="14" t="s">
        <v>334</v>
      </c>
      <c r="C212" s="14" t="s">
        <v>185</v>
      </c>
      <c r="D212" s="14" t="s">
        <v>1840</v>
      </c>
      <c r="E212" s="15" t="str">
        <f>HYPERLINK("https://stat100.ameba.jp/tnk47/ratio20/illustrations/card/ill_53232_nambuharumasa02.jpg?201901-3-RELEASE-dice-e-389x", "■")</f>
        <v>■</v>
      </c>
      <c r="F212" s="14" t="s">
        <v>3055</v>
      </c>
      <c r="G212" s="14">
        <v>83402</v>
      </c>
      <c r="H212" s="14">
        <v>90538</v>
      </c>
      <c r="I212" s="14">
        <v>22</v>
      </c>
      <c r="J212" s="14" t="s">
        <v>310</v>
      </c>
      <c r="K212" s="14" t="s">
        <v>1846</v>
      </c>
      <c r="L212" s="14" t="s">
        <v>9914</v>
      </c>
      <c r="M212" s="14" t="s">
        <v>13169</v>
      </c>
      <c r="N212" s="14" t="s">
        <v>2846</v>
      </c>
      <c r="O212" s="14" t="s">
        <v>9158</v>
      </c>
      <c r="P212" s="14" t="s">
        <v>9158</v>
      </c>
      <c r="Q212" s="14" t="s">
        <v>9158</v>
      </c>
      <c r="R212" s="14"/>
    </row>
    <row r="213" spans="1:18">
      <c r="A213" s="9">
        <v>53231</v>
      </c>
      <c r="B213" s="14" t="s">
        <v>334</v>
      </c>
      <c r="C213" s="14" t="s">
        <v>185</v>
      </c>
      <c r="D213" s="14" t="s">
        <v>1840</v>
      </c>
      <c r="E213" s="15" t="str">
        <f>HYPERLINK("https://stat100.ameba.jp/tnk47/ratio20/illustrations/card/ill_53231_nambuharumasa01.jpg?201901-3-RELEASE-dice-e-389x", "■")</f>
        <v>■</v>
      </c>
      <c r="F213" s="14" t="s">
        <v>3055</v>
      </c>
      <c r="G213" s="14">
        <v>64350</v>
      </c>
      <c r="H213" s="14">
        <v>69124</v>
      </c>
      <c r="I213" s="14">
        <v>22</v>
      </c>
      <c r="J213" s="14" t="s">
        <v>310</v>
      </c>
      <c r="K213" s="14" t="s">
        <v>1846</v>
      </c>
      <c r="L213" s="14" t="s">
        <v>9914</v>
      </c>
      <c r="M213" s="14" t="s">
        <v>13169</v>
      </c>
      <c r="N213" s="14" t="s">
        <v>2846</v>
      </c>
      <c r="O213" s="14" t="s">
        <v>9158</v>
      </c>
      <c r="P213" s="14" t="s">
        <v>9158</v>
      </c>
      <c r="Q213" s="14" t="s">
        <v>9158</v>
      </c>
      <c r="R213" s="14"/>
    </row>
    <row r="214" spans="1:18">
      <c r="A214" s="9">
        <v>57283</v>
      </c>
      <c r="B214" s="14" t="s">
        <v>334</v>
      </c>
      <c r="C214" s="14" t="s">
        <v>200</v>
      </c>
      <c r="D214" s="14" t="s">
        <v>1841</v>
      </c>
      <c r="E214" s="15" t="str">
        <f>HYPERLINK("https://stat100.ameba.jp/tnk47/ratio20/illustrations/card/ill_57283_ashikagashimahime03.jpg?201901-3-RELEASE-dice-e-389x", "■")</f>
        <v>■</v>
      </c>
      <c r="F214" s="14" t="s">
        <v>3056</v>
      </c>
      <c r="G214" s="14">
        <v>108306</v>
      </c>
      <c r="H214" s="14">
        <v>100698</v>
      </c>
      <c r="I214" s="14">
        <v>22</v>
      </c>
      <c r="J214" s="14" t="s">
        <v>315</v>
      </c>
      <c r="K214" s="14" t="s">
        <v>1847</v>
      </c>
      <c r="L214" s="14" t="s">
        <v>9915</v>
      </c>
      <c r="M214" s="14" t="s">
        <v>13169</v>
      </c>
      <c r="N214" s="14" t="s">
        <v>2846</v>
      </c>
      <c r="O214" s="14" t="s">
        <v>9158</v>
      </c>
      <c r="P214" s="14" t="s">
        <v>9158</v>
      </c>
      <c r="Q214" s="14" t="s">
        <v>9158</v>
      </c>
      <c r="R214" s="14"/>
    </row>
    <row r="215" spans="1:18">
      <c r="A215" s="9">
        <v>64413</v>
      </c>
      <c r="B215" s="14" t="s">
        <v>334</v>
      </c>
      <c r="C215" s="14" t="s">
        <v>191</v>
      </c>
      <c r="D215" s="14" t="s">
        <v>1842</v>
      </c>
      <c r="E215" s="15" t="str">
        <f>HYPERLINK("https://stat100.ameba.jp/tnk47/ratio20/illustrations/card/ill_64413_kyuso03.jpg?201901-3-RELEASE-dice-e-389x", "■")</f>
        <v>■</v>
      </c>
      <c r="F215" s="14" t="s">
        <v>3057</v>
      </c>
      <c r="G215" s="14">
        <v>100698</v>
      </c>
      <c r="H215" s="14">
        <v>108306</v>
      </c>
      <c r="I215" s="14">
        <v>22</v>
      </c>
      <c r="J215" s="14" t="s">
        <v>320</v>
      </c>
      <c r="K215" s="14" t="s">
        <v>1848</v>
      </c>
      <c r="L215" s="14" t="s">
        <v>9916</v>
      </c>
      <c r="M215" s="14" t="s">
        <v>13169</v>
      </c>
      <c r="N215" s="14" t="s">
        <v>2846</v>
      </c>
      <c r="O215" s="14" t="s">
        <v>9158</v>
      </c>
      <c r="P215" s="14" t="s">
        <v>9158</v>
      </c>
      <c r="Q215" s="14" t="s">
        <v>9158</v>
      </c>
      <c r="R215" s="14"/>
    </row>
    <row r="216" spans="1:18">
      <c r="A216" s="9">
        <v>64423</v>
      </c>
      <c r="B216" s="14" t="s">
        <v>334</v>
      </c>
      <c r="C216" s="14" t="s">
        <v>165</v>
      </c>
      <c r="D216" s="14" t="s">
        <v>1843</v>
      </c>
      <c r="E216" s="15" t="str">
        <f>HYPERLINK("https://stat100.ameba.jp/tnk47/ratio20/illustrations/card/ill_64423_ankoromochi03.jpg?201901-3-RELEASE-dice-e-389x", "■")</f>
        <v>■</v>
      </c>
      <c r="F216" s="14" t="s">
        <v>3058</v>
      </c>
      <c r="G216" s="14">
        <v>108306</v>
      </c>
      <c r="H216" s="14">
        <v>100698</v>
      </c>
      <c r="I216" s="14">
        <v>22</v>
      </c>
      <c r="J216" s="14" t="s">
        <v>283</v>
      </c>
      <c r="K216" s="14" t="s">
        <v>1849</v>
      </c>
      <c r="L216" s="14" t="s">
        <v>9917</v>
      </c>
      <c r="M216" s="14" t="s">
        <v>13169</v>
      </c>
      <c r="N216" s="14" t="s">
        <v>2846</v>
      </c>
      <c r="O216" s="14" t="s">
        <v>9158</v>
      </c>
      <c r="P216" s="14" t="s">
        <v>9158</v>
      </c>
      <c r="Q216" s="14" t="s">
        <v>9158</v>
      </c>
      <c r="R216" s="14"/>
    </row>
    <row r="217" spans="1:18">
      <c r="A217" s="9">
        <v>61453</v>
      </c>
      <c r="B217" s="14" t="s">
        <v>334</v>
      </c>
      <c r="C217" s="14" t="s">
        <v>205</v>
      </c>
      <c r="D217" s="14" t="s">
        <v>1844</v>
      </c>
      <c r="E217" s="15" t="str">
        <f>HYPERLINK("https://stat100.ameba.jp/tnk47/ratio20/illustrations/card/ill_61453_hiragayuzuru03.jpg?201901-3-RELEASE-dice-e-389x", "■")</f>
        <v>■</v>
      </c>
      <c r="F217" s="14" t="s">
        <v>3059</v>
      </c>
      <c r="G217" s="14">
        <v>108306</v>
      </c>
      <c r="H217" s="14">
        <v>100698</v>
      </c>
      <c r="I217" s="14">
        <v>22</v>
      </c>
      <c r="J217" s="14" t="s">
        <v>414</v>
      </c>
      <c r="K217" s="14" t="s">
        <v>1850</v>
      </c>
      <c r="L217" s="14" t="s">
        <v>9918</v>
      </c>
      <c r="M217" s="14" t="s">
        <v>13169</v>
      </c>
      <c r="N217" s="14" t="s">
        <v>2846</v>
      </c>
      <c r="O217" s="14" t="s">
        <v>9158</v>
      </c>
      <c r="P217" s="14" t="s">
        <v>9158</v>
      </c>
      <c r="Q217" s="14" t="s">
        <v>9158</v>
      </c>
      <c r="R217" s="14"/>
    </row>
    <row r="218" spans="1:18">
      <c r="A218" s="9">
        <v>56013</v>
      </c>
      <c r="B218" s="14" t="s">
        <v>334</v>
      </c>
      <c r="C218" s="14" t="s">
        <v>206</v>
      </c>
      <c r="D218" s="14" t="s">
        <v>1845</v>
      </c>
      <c r="E218" s="15" t="str">
        <f>HYPERLINK("https://stat100.ameba.jp/tnk47/ratio20/illustrations/card/ill_56013_kitaharahakushu03.jpg?201901-3-RELEASE-dice-e-389x", "■")</f>
        <v>■</v>
      </c>
      <c r="F218" s="14" t="s">
        <v>3060</v>
      </c>
      <c r="G218" s="14">
        <v>100698</v>
      </c>
      <c r="H218" s="14">
        <v>108306</v>
      </c>
      <c r="I218" s="14">
        <v>22</v>
      </c>
      <c r="J218" s="14" t="s">
        <v>351</v>
      </c>
      <c r="K218" s="14" t="s">
        <v>1851</v>
      </c>
      <c r="L218" s="14" t="s">
        <v>9919</v>
      </c>
      <c r="M218" s="14" t="s">
        <v>13169</v>
      </c>
      <c r="N218" s="14" t="s">
        <v>2846</v>
      </c>
      <c r="O218" s="14" t="s">
        <v>9158</v>
      </c>
      <c r="P218" s="14" t="s">
        <v>9158</v>
      </c>
      <c r="Q218" s="14" t="s">
        <v>9158</v>
      </c>
      <c r="R218" s="14"/>
    </row>
    <row r="219" spans="1:18">
      <c r="B219" s="14"/>
      <c r="C219" s="14"/>
      <c r="D219" s="14"/>
      <c r="F219" s="14"/>
      <c r="G219" s="14"/>
      <c r="H219" s="14"/>
      <c r="I219" s="14"/>
      <c r="J219" s="14"/>
      <c r="K219" s="14"/>
      <c r="L219" s="14"/>
      <c r="M219" s="14"/>
      <c r="N219" s="14"/>
      <c r="O219" s="7"/>
      <c r="P219" s="14"/>
      <c r="Q219" s="14"/>
      <c r="R219" s="14"/>
    </row>
    <row r="220" spans="1:18">
      <c r="A220" s="14" t="s">
        <v>12968</v>
      </c>
      <c r="D220" s="14"/>
      <c r="F220" s="14"/>
      <c r="G220" s="14"/>
      <c r="H220" s="14"/>
      <c r="I220" s="14"/>
      <c r="J220" s="14"/>
      <c r="K220" s="14"/>
      <c r="L220" s="14"/>
      <c r="M220" s="14"/>
      <c r="N220" s="14"/>
      <c r="O220" s="7"/>
      <c r="P220" s="14"/>
      <c r="Q220" s="14"/>
      <c r="R220" s="14"/>
    </row>
    <row r="221" spans="1:18">
      <c r="A221" s="14" t="s">
        <v>3061</v>
      </c>
      <c r="B221" s="14"/>
      <c r="C221" s="14"/>
      <c r="D221" s="14"/>
      <c r="F221" s="14"/>
      <c r="G221" s="14"/>
      <c r="H221" s="14"/>
      <c r="I221" s="14"/>
      <c r="J221" s="14"/>
      <c r="K221" s="14"/>
      <c r="L221" s="14"/>
      <c r="M221" s="14"/>
      <c r="N221" s="14"/>
      <c r="O221" s="7"/>
      <c r="P221" s="14"/>
      <c r="Q221" s="14"/>
      <c r="R221" s="14"/>
    </row>
    <row r="222" spans="1:18">
      <c r="A222" s="9" t="s">
        <v>5615</v>
      </c>
      <c r="B222" s="14" t="s">
        <v>330</v>
      </c>
      <c r="C222" s="14" t="s">
        <v>206</v>
      </c>
      <c r="D222" s="14" t="s">
        <v>2814</v>
      </c>
      <c r="E222" s="15" t="str">
        <f>HYPERLINK("https://stat100.ameba.jp/tnk47/ratio20/illustrations/card/ill_57733_0_shogatsunisenjunanaamakusashiro03.jpg?201901-3-RELEASE-dice-e-389x", "■")</f>
        <v>■</v>
      </c>
      <c r="F222" s="14" t="s">
        <v>2815</v>
      </c>
      <c r="G222" s="14">
        <v>100454</v>
      </c>
      <c r="H222" s="14">
        <v>113082</v>
      </c>
      <c r="I222" s="14">
        <v>18</v>
      </c>
      <c r="J222" s="14" t="s">
        <v>351</v>
      </c>
      <c r="K222" s="14" t="s">
        <v>2816</v>
      </c>
      <c r="L222" s="14" t="s">
        <v>2817</v>
      </c>
      <c r="M222" s="14" t="s">
        <v>9158</v>
      </c>
      <c r="N222" s="14" t="s">
        <v>9158</v>
      </c>
      <c r="O222" s="18" t="s">
        <v>10063</v>
      </c>
      <c r="P222" s="14" t="s">
        <v>3062</v>
      </c>
      <c r="Q222" s="14">
        <v>1</v>
      </c>
      <c r="R222" s="14"/>
    </row>
    <row r="223" spans="1:18">
      <c r="A223" s="9" t="s">
        <v>9624</v>
      </c>
      <c r="B223" s="14" t="s">
        <v>330</v>
      </c>
      <c r="C223" s="14" t="s">
        <v>205</v>
      </c>
      <c r="D223" s="14" t="s">
        <v>702</v>
      </c>
      <c r="E223" s="15" t="str">
        <f>HYPERLINK("https://stat100.ameba.jp/tnk47/ratio20/illustrations/card/ill_50691_0_hanamizugimimuratsuru01.jpg?201901-3-RELEASE-dice-e-389x", "■")</f>
        <v>■</v>
      </c>
      <c r="F223" s="14" t="s">
        <v>703</v>
      </c>
      <c r="G223" s="14">
        <v>79560</v>
      </c>
      <c r="H223" s="14">
        <v>81900</v>
      </c>
      <c r="I223" s="14">
        <v>18</v>
      </c>
      <c r="J223" s="14" t="s">
        <v>310</v>
      </c>
      <c r="K223" s="14" t="s">
        <v>704</v>
      </c>
      <c r="L223" s="14" t="s">
        <v>13026</v>
      </c>
      <c r="M223" s="14" t="s">
        <v>9158</v>
      </c>
      <c r="N223" s="14" t="s">
        <v>9158</v>
      </c>
      <c r="O223" s="14" t="s">
        <v>9158</v>
      </c>
      <c r="P223" s="14" t="s">
        <v>9158</v>
      </c>
      <c r="Q223" s="14" t="s">
        <v>9158</v>
      </c>
      <c r="R223" s="14" t="s">
        <v>176</v>
      </c>
    </row>
    <row r="224" spans="1:18">
      <c r="A224" s="9">
        <v>78491</v>
      </c>
      <c r="B224" s="14" t="s">
        <v>334</v>
      </c>
      <c r="C224" s="14" t="s">
        <v>154</v>
      </c>
      <c r="D224" s="14" t="s">
        <v>3063</v>
      </c>
      <c r="E224" s="15" t="str">
        <f>HYPERLINK("https://stat100.ameba.jp/tnk47/ratio20/illustrations/card/ill_78491_higashinobosatsuengi01.jpg?201901-3-RELEASE-dice-e-389x", "■")</f>
        <v>■</v>
      </c>
      <c r="F224" s="14" t="s">
        <v>3064</v>
      </c>
      <c r="G224" s="14">
        <v>53306</v>
      </c>
      <c r="H224" s="14">
        <v>57266</v>
      </c>
      <c r="I224" s="14">
        <v>22</v>
      </c>
      <c r="J224" s="14" t="s">
        <v>401</v>
      </c>
      <c r="K224" s="14" t="s">
        <v>3065</v>
      </c>
      <c r="L224" s="14" t="s">
        <v>3066</v>
      </c>
      <c r="M224" s="14" t="s">
        <v>9158</v>
      </c>
      <c r="N224" s="14" t="s">
        <v>9158</v>
      </c>
      <c r="O224" s="14" t="s">
        <v>9158</v>
      </c>
      <c r="P224" s="14" t="s">
        <v>9158</v>
      </c>
      <c r="Q224" s="14" t="s">
        <v>9158</v>
      </c>
      <c r="R224" s="14"/>
    </row>
    <row r="225" spans="1:18">
      <c r="A225" s="9">
        <v>78501</v>
      </c>
      <c r="B225" s="14" t="s">
        <v>334</v>
      </c>
      <c r="C225" s="14" t="s">
        <v>158</v>
      </c>
      <c r="D225" s="14" t="s">
        <v>3067</v>
      </c>
      <c r="E225" s="15" t="str">
        <f>HYPERLINK("https://stat100.ameba.jp/tnk47/ratio20/illustrations/card/ill_78501_nishinobosatsuengi01.jpg?201901-3-RELEASE-dice-e-389x", "■")</f>
        <v>■</v>
      </c>
      <c r="F225" s="14" t="s">
        <v>3068</v>
      </c>
      <c r="G225" s="14">
        <v>53306</v>
      </c>
      <c r="H225" s="14">
        <v>57266</v>
      </c>
      <c r="I225" s="14">
        <v>22</v>
      </c>
      <c r="J225" s="14" t="s">
        <v>401</v>
      </c>
      <c r="K225" s="14" t="s">
        <v>3069</v>
      </c>
      <c r="L225" s="14" t="s">
        <v>3066</v>
      </c>
      <c r="M225" s="14" t="s">
        <v>9158</v>
      </c>
      <c r="N225" s="14" t="s">
        <v>9158</v>
      </c>
      <c r="O225" s="14" t="s">
        <v>9158</v>
      </c>
      <c r="P225" s="14" t="s">
        <v>9158</v>
      </c>
      <c r="Q225" s="14" t="s">
        <v>9158</v>
      </c>
      <c r="R225" s="14"/>
    </row>
    <row r="226" spans="1:18">
      <c r="A226" s="9">
        <v>78513</v>
      </c>
      <c r="B226" s="14" t="s">
        <v>334</v>
      </c>
      <c r="C226" s="14" t="s">
        <v>202</v>
      </c>
      <c r="D226" s="14" t="s">
        <v>3070</v>
      </c>
      <c r="E226" s="15" t="str">
        <f>HYPERLINK("https://stat100.ameba.jp/tnk47/ratio20/illustrations/card/ill_78513_guzebosatsuengi03.jpg?201901-3-RELEASE-dice-e-389x", "■")</f>
        <v>■</v>
      </c>
      <c r="F226" s="14" t="s">
        <v>3071</v>
      </c>
      <c r="G226" s="14">
        <v>109982</v>
      </c>
      <c r="H226" s="14">
        <v>118302</v>
      </c>
      <c r="I226" s="14">
        <v>22</v>
      </c>
      <c r="J226" s="14" t="s">
        <v>401</v>
      </c>
      <c r="K226" s="14" t="s">
        <v>3072</v>
      </c>
      <c r="L226" s="14" t="s">
        <v>3073</v>
      </c>
      <c r="M226" s="14" t="s">
        <v>9158</v>
      </c>
      <c r="N226" s="14" t="s">
        <v>9158</v>
      </c>
      <c r="O226" s="14" t="s">
        <v>9158</v>
      </c>
      <c r="P226" s="14" t="s">
        <v>9158</v>
      </c>
      <c r="Q226" s="14" t="s">
        <v>9158</v>
      </c>
      <c r="R226" s="14"/>
    </row>
    <row r="227" spans="1:18">
      <c r="A227" s="9">
        <v>76881</v>
      </c>
      <c r="B227" s="14" t="s">
        <v>334</v>
      </c>
      <c r="C227" s="14" t="s">
        <v>154</v>
      </c>
      <c r="D227" s="14" t="s">
        <v>3074</v>
      </c>
      <c r="E227" s="15" t="str">
        <f>HYPERLINK("https://stat100.ameba.jp/tnk47/ratio20/illustrations/card/ill_76881_higashinoryoranengi01.jpg?201901-3-RELEASE-dice-e-389x", "■")</f>
        <v>■</v>
      </c>
      <c r="F227" s="14" t="s">
        <v>3075</v>
      </c>
      <c r="G227" s="14">
        <v>72336</v>
      </c>
      <c r="H227" s="14">
        <v>78100</v>
      </c>
      <c r="I227" s="14">
        <v>22</v>
      </c>
      <c r="J227" s="14" t="s">
        <v>310</v>
      </c>
      <c r="K227" s="14" t="s">
        <v>3076</v>
      </c>
      <c r="L227" s="14" t="s">
        <v>3077</v>
      </c>
      <c r="M227" s="14" t="s">
        <v>9158</v>
      </c>
      <c r="N227" s="14" t="s">
        <v>9158</v>
      </c>
      <c r="O227" s="14" t="s">
        <v>9158</v>
      </c>
      <c r="P227" s="14" t="s">
        <v>9158</v>
      </c>
      <c r="Q227" s="14" t="s">
        <v>9158</v>
      </c>
      <c r="R227" s="14"/>
    </row>
    <row r="228" spans="1:18">
      <c r="A228" s="9">
        <v>76891</v>
      </c>
      <c r="B228" s="14" t="s">
        <v>334</v>
      </c>
      <c r="C228" s="14" t="s">
        <v>158</v>
      </c>
      <c r="D228" s="14" t="s">
        <v>3078</v>
      </c>
      <c r="E228" s="15" t="str">
        <f>HYPERLINK("https://stat100.ameba.jp/tnk47/ratio20/illustrations/card/ill_76891_nishinoryoranengi01.jpg?201901-3-RELEASE-dice-e-389x", "■")</f>
        <v>■</v>
      </c>
      <c r="F228" s="14" t="s">
        <v>3079</v>
      </c>
      <c r="G228" s="14">
        <v>72336</v>
      </c>
      <c r="H228" s="14">
        <v>78100</v>
      </c>
      <c r="I228" s="14">
        <v>22</v>
      </c>
      <c r="J228" s="14" t="s">
        <v>310</v>
      </c>
      <c r="K228" s="14" t="s">
        <v>3080</v>
      </c>
      <c r="L228" s="14" t="s">
        <v>3077</v>
      </c>
      <c r="M228" s="14" t="s">
        <v>9158</v>
      </c>
      <c r="N228" s="14" t="s">
        <v>9158</v>
      </c>
      <c r="O228" s="14" t="s">
        <v>9158</v>
      </c>
      <c r="P228" s="14" t="s">
        <v>9158</v>
      </c>
      <c r="Q228" s="14" t="s">
        <v>9158</v>
      </c>
      <c r="R228" s="14"/>
    </row>
    <row r="229" spans="1:18">
      <c r="A229" s="9">
        <v>76903</v>
      </c>
      <c r="B229" s="14" t="s">
        <v>334</v>
      </c>
      <c r="C229" s="14" t="s">
        <v>202</v>
      </c>
      <c r="D229" s="14" t="s">
        <v>3081</v>
      </c>
      <c r="E229" s="15" t="str">
        <f>HYPERLINK("https://stat100.ameba.jp/tnk47/ratio20/illustrations/card/ill_76903_togekiryoranengi03.jpg?201901-3-RELEASE-dice-e-389x", "■")</f>
        <v>■</v>
      </c>
      <c r="F229" s="14" t="s">
        <v>3082</v>
      </c>
      <c r="G229" s="14">
        <v>127942</v>
      </c>
      <c r="H229" s="14">
        <v>137654</v>
      </c>
      <c r="I229" s="14">
        <v>22</v>
      </c>
      <c r="J229" s="14" t="s">
        <v>310</v>
      </c>
      <c r="K229" s="14" t="s">
        <v>3083</v>
      </c>
      <c r="L229" s="14" t="s">
        <v>407</v>
      </c>
      <c r="M229" s="14" t="s">
        <v>9158</v>
      </c>
      <c r="N229" s="14" t="s">
        <v>9158</v>
      </c>
      <c r="O229" s="14" t="s">
        <v>9158</v>
      </c>
      <c r="P229" s="14" t="s">
        <v>9158</v>
      </c>
      <c r="Q229" s="14" t="s">
        <v>9158</v>
      </c>
      <c r="R229" s="14"/>
    </row>
    <row r="230" spans="1:18">
      <c r="B230" s="14"/>
      <c r="C230" s="14"/>
      <c r="D230" s="14"/>
      <c r="F230" s="14"/>
      <c r="G230" s="14"/>
      <c r="H230" s="14"/>
      <c r="I230" s="14"/>
      <c r="J230" s="14"/>
      <c r="K230" s="14"/>
      <c r="L230" s="14"/>
      <c r="M230" s="14"/>
      <c r="N230" s="14"/>
      <c r="O230" s="7"/>
      <c r="P230" s="14"/>
      <c r="Q230" s="14"/>
      <c r="R230" s="14"/>
    </row>
    <row r="231" spans="1:18">
      <c r="A231" s="14" t="s">
        <v>199</v>
      </c>
      <c r="D231" s="14"/>
      <c r="F231" s="14"/>
      <c r="G231" s="14"/>
      <c r="H231" s="14"/>
      <c r="I231" s="14"/>
      <c r="J231" s="14"/>
      <c r="K231" s="14"/>
      <c r="L231" s="14"/>
      <c r="M231" s="14"/>
      <c r="N231" s="14"/>
      <c r="O231" s="7"/>
      <c r="P231" s="14"/>
      <c r="Q231" s="14"/>
      <c r="R231" s="14"/>
    </row>
    <row r="232" spans="1:18">
      <c r="A232" s="14" t="s">
        <v>3084</v>
      </c>
      <c r="B232" s="14"/>
      <c r="C232" s="14"/>
      <c r="D232" s="14"/>
      <c r="F232" s="14"/>
      <c r="G232" s="14"/>
      <c r="H232" s="14"/>
      <c r="I232" s="14"/>
      <c r="J232" s="14"/>
      <c r="K232" s="14"/>
      <c r="L232" s="14"/>
      <c r="M232" s="14"/>
      <c r="N232" s="14"/>
      <c r="O232" s="7"/>
      <c r="P232" s="14"/>
      <c r="Q232" s="14"/>
      <c r="R232" s="14"/>
    </row>
    <row r="233" spans="1:18">
      <c r="A233" s="9" t="s">
        <v>5778</v>
      </c>
      <c r="B233" s="14" t="s">
        <v>330</v>
      </c>
      <c r="C233" s="14" t="s">
        <v>205</v>
      </c>
      <c r="D233" s="14" t="s">
        <v>272</v>
      </c>
      <c r="E233" s="15" t="str">
        <f>HYPERLINK("https://stat100.ameba.jp/tnk47/ratio20/illustrations/card/ill_68783_0_gantammomotaro03.jpg?201901-3-RELEASE-dice-e-389x", "■")</f>
        <v>■</v>
      </c>
      <c r="F233" s="14" t="s">
        <v>273</v>
      </c>
      <c r="G233" s="14">
        <v>102590</v>
      </c>
      <c r="H233" s="14">
        <v>95371</v>
      </c>
      <c r="I233" s="14">
        <v>15</v>
      </c>
      <c r="J233" s="14" t="s">
        <v>274</v>
      </c>
      <c r="K233" s="14" t="s">
        <v>275</v>
      </c>
      <c r="L233" s="14" t="s">
        <v>276</v>
      </c>
      <c r="M233" s="14" t="s">
        <v>9158</v>
      </c>
      <c r="N233" s="14" t="s">
        <v>9158</v>
      </c>
      <c r="O233" s="18" t="s">
        <v>9992</v>
      </c>
      <c r="P233" s="14" t="s">
        <v>3085</v>
      </c>
      <c r="Q233" s="14">
        <v>1</v>
      </c>
      <c r="R233" s="14"/>
    </row>
    <row r="234" spans="1:18">
      <c r="A234" s="9" t="s">
        <v>5642</v>
      </c>
      <c r="B234" s="14" t="s">
        <v>330</v>
      </c>
      <c r="C234" s="14" t="s">
        <v>185</v>
      </c>
      <c r="D234" s="14" t="s">
        <v>3086</v>
      </c>
      <c r="E234" s="15" t="str">
        <f>HYPERLINK("https://stat100.ameba.jp/tnk47/ratio20/illustrations/card/ill_69593_0_setsubunyukionna03.jpg?201901-3-RELEASE-dice-e-389x", "■")</f>
        <v>■</v>
      </c>
      <c r="F234" s="14" t="s">
        <v>3087</v>
      </c>
      <c r="G234" s="14">
        <v>107146</v>
      </c>
      <c r="H234" s="14">
        <v>115249</v>
      </c>
      <c r="I234" s="14">
        <v>15</v>
      </c>
      <c r="J234" s="14" t="s">
        <v>320</v>
      </c>
      <c r="K234" s="14" t="s">
        <v>3088</v>
      </c>
      <c r="L234" s="14" t="s">
        <v>3089</v>
      </c>
      <c r="M234" s="14" t="s">
        <v>9158</v>
      </c>
      <c r="N234" s="14" t="s">
        <v>9158</v>
      </c>
      <c r="O234" s="7" t="s">
        <v>3090</v>
      </c>
      <c r="P234" s="14" t="s">
        <v>3091</v>
      </c>
      <c r="Q234" s="14">
        <v>2</v>
      </c>
      <c r="R234" s="14"/>
    </row>
    <row r="235" spans="1:18">
      <c r="A235" s="9" t="s">
        <v>5608</v>
      </c>
      <c r="B235" s="14" t="s">
        <v>330</v>
      </c>
      <c r="C235" s="14" t="s">
        <v>165</v>
      </c>
      <c r="D235" s="14" t="s">
        <v>634</v>
      </c>
      <c r="E235" s="15" t="str">
        <f>HYPERLINK("https://stat100.ameba.jp/tnk47/ratio20/illustrations/card/ill_40963_0_makami03.jpg?201901-3-RELEASE-dice-e-389x", "■")</f>
        <v>■</v>
      </c>
      <c r="F235" s="14" t="s">
        <v>635</v>
      </c>
      <c r="G235" s="14">
        <v>87780</v>
      </c>
      <c r="H235" s="14">
        <v>82212</v>
      </c>
      <c r="I235" s="14">
        <v>15</v>
      </c>
      <c r="J235" s="14" t="s">
        <v>401</v>
      </c>
      <c r="K235" s="14" t="s">
        <v>636</v>
      </c>
      <c r="L235" s="14" t="s">
        <v>637</v>
      </c>
      <c r="M235" s="14" t="s">
        <v>9158</v>
      </c>
      <c r="N235" s="14" t="s">
        <v>9158</v>
      </c>
      <c r="O235" s="14" t="s">
        <v>9158</v>
      </c>
      <c r="P235" s="14" t="s">
        <v>9158</v>
      </c>
      <c r="Q235" s="14" t="s">
        <v>9158</v>
      </c>
      <c r="R235" s="14"/>
    </row>
    <row r="236" spans="1:18">
      <c r="A236" s="9">
        <v>76373</v>
      </c>
      <c r="B236" s="14" t="s">
        <v>334</v>
      </c>
      <c r="C236" s="14" t="s">
        <v>200</v>
      </c>
      <c r="D236" s="14" t="s">
        <v>466</v>
      </c>
      <c r="E236" s="15" t="str">
        <f>HYPERLINK("https://stat100.ameba.jp/tnk47/ratio20/illustrations/card/ill_76373_marishitenho03.jpg?201901-3-RELEASE-dice-e-389x", "■")</f>
        <v>■</v>
      </c>
      <c r="F236" s="14" t="s">
        <v>467</v>
      </c>
      <c r="G236" s="14">
        <v>93184</v>
      </c>
      <c r="H236" s="14">
        <v>100400</v>
      </c>
      <c r="I236" s="14">
        <v>22</v>
      </c>
      <c r="J236" s="14" t="s">
        <v>274</v>
      </c>
      <c r="K236" s="14" t="s">
        <v>468</v>
      </c>
      <c r="L236" s="14" t="s">
        <v>469</v>
      </c>
      <c r="M236" s="14" t="s">
        <v>9158</v>
      </c>
      <c r="N236" s="14" t="s">
        <v>9158</v>
      </c>
      <c r="O236" s="14" t="s">
        <v>9158</v>
      </c>
      <c r="P236" s="14" t="s">
        <v>9158</v>
      </c>
      <c r="Q236" s="14" t="s">
        <v>9158</v>
      </c>
      <c r="R236" s="14"/>
    </row>
    <row r="237" spans="1:18">
      <c r="A237" s="9">
        <v>73923</v>
      </c>
      <c r="B237" s="14" t="s">
        <v>334</v>
      </c>
      <c r="C237" s="14" t="s">
        <v>206</v>
      </c>
      <c r="D237" s="14" t="s">
        <v>3092</v>
      </c>
      <c r="E237" s="15" t="str">
        <f>HYPERLINK("https://stat100.ameba.jp/tnk47/ratio20/illustrations/card/ill_73923_hiryugama03.jpg?201901-3-RELEASE-dice-e-389x", "■")</f>
        <v>■</v>
      </c>
      <c r="F237" s="14" t="s">
        <v>3093</v>
      </c>
      <c r="G237" s="14">
        <v>100224</v>
      </c>
      <c r="H237" s="14">
        <v>93184</v>
      </c>
      <c r="I237" s="14">
        <v>22</v>
      </c>
      <c r="J237" s="14" t="s">
        <v>369</v>
      </c>
      <c r="K237" s="14" t="s">
        <v>3094</v>
      </c>
      <c r="L237" s="14" t="s">
        <v>1532</v>
      </c>
      <c r="M237" s="14" t="s">
        <v>9158</v>
      </c>
      <c r="N237" s="14" t="s">
        <v>9158</v>
      </c>
      <c r="O237" s="14" t="s">
        <v>9158</v>
      </c>
      <c r="P237" s="14" t="s">
        <v>9158</v>
      </c>
      <c r="Q237" s="14" t="s">
        <v>9158</v>
      </c>
      <c r="R237" s="14"/>
    </row>
    <row r="238" spans="1:18">
      <c r="A238" s="9">
        <v>75893</v>
      </c>
      <c r="B238" s="14" t="s">
        <v>334</v>
      </c>
      <c r="C238" s="14" t="s">
        <v>158</v>
      </c>
      <c r="D238" s="14" t="s">
        <v>3095</v>
      </c>
      <c r="E238" s="15" t="str">
        <f>HYPERLINK("https://stat100.ameba.jp/tnk47/ratio20/illustrations/card/ill_75893_hamamatsutakuni03.jpg?201901-3-RELEASE-dice-e-389x", "■")</f>
        <v>■</v>
      </c>
      <c r="F238" s="14" t="s">
        <v>3096</v>
      </c>
      <c r="G238" s="14">
        <v>99846</v>
      </c>
      <c r="H238" s="14">
        <v>72340</v>
      </c>
      <c r="I238" s="14">
        <v>22</v>
      </c>
      <c r="J238" s="14" t="s">
        <v>414</v>
      </c>
      <c r="K238" s="14" t="s">
        <v>3097</v>
      </c>
      <c r="L238" s="14" t="s">
        <v>1485</v>
      </c>
      <c r="M238" s="14" t="s">
        <v>9158</v>
      </c>
      <c r="N238" s="14" t="s">
        <v>9158</v>
      </c>
      <c r="O238" s="7" t="s">
        <v>3037</v>
      </c>
      <c r="P238" s="14" t="s">
        <v>13128</v>
      </c>
      <c r="Q238" s="14">
        <v>1</v>
      </c>
      <c r="R238" s="14"/>
    </row>
    <row r="239" spans="1:18">
      <c r="B239" s="14"/>
      <c r="C239" s="14"/>
      <c r="D239" s="14"/>
      <c r="F239" s="14"/>
      <c r="G239" s="14"/>
      <c r="H239" s="14"/>
      <c r="I239" s="14"/>
      <c r="J239" s="14"/>
      <c r="K239" s="14"/>
      <c r="L239" s="14"/>
      <c r="M239" s="14"/>
      <c r="N239" s="14"/>
      <c r="O239" s="7"/>
      <c r="P239" s="14"/>
      <c r="Q239" s="14"/>
      <c r="R239" s="14"/>
    </row>
    <row r="240" spans="1:18">
      <c r="A240" s="14" t="s">
        <v>2727</v>
      </c>
      <c r="F240" s="14"/>
      <c r="G240" s="14"/>
      <c r="H240" s="14"/>
      <c r="I240" s="14"/>
      <c r="J240" s="14"/>
      <c r="K240" s="14"/>
      <c r="L240" s="14"/>
      <c r="M240" s="14"/>
      <c r="N240" s="14"/>
      <c r="O240" s="7"/>
      <c r="P240" s="14"/>
      <c r="Q240" s="14"/>
      <c r="R240" s="14"/>
    </row>
    <row r="241" spans="1:18">
      <c r="A241" s="14" t="s">
        <v>3098</v>
      </c>
      <c r="B241" s="14"/>
      <c r="C241" s="14"/>
      <c r="D241" s="14"/>
      <c r="F241" s="14"/>
      <c r="G241" s="14"/>
      <c r="H241" s="14"/>
      <c r="I241" s="14"/>
      <c r="J241" s="14"/>
      <c r="K241" s="14"/>
      <c r="L241" s="14"/>
      <c r="M241" s="14"/>
      <c r="N241" s="14"/>
      <c r="O241" s="7"/>
      <c r="P241" s="14"/>
      <c r="Q241" s="14"/>
      <c r="R241" s="14"/>
    </row>
    <row r="242" spans="1:18">
      <c r="A242" s="14" t="s">
        <v>9004</v>
      </c>
      <c r="B242" s="14"/>
      <c r="C242" s="14"/>
      <c r="D242" s="14"/>
      <c r="F242" s="14"/>
      <c r="G242" s="14"/>
      <c r="H242" s="14"/>
      <c r="I242" s="14"/>
      <c r="J242" s="14"/>
      <c r="K242" s="14"/>
      <c r="L242" s="14"/>
      <c r="M242" s="14"/>
      <c r="N242" s="14"/>
      <c r="O242" s="7"/>
      <c r="P242" s="14"/>
      <c r="Q242" s="14"/>
      <c r="R242" s="14"/>
    </row>
    <row r="243" spans="1:18">
      <c r="A243" s="9" t="s">
        <v>5733</v>
      </c>
      <c r="B243" s="14" t="s">
        <v>330</v>
      </c>
      <c r="C243" s="14" t="s">
        <v>202</v>
      </c>
      <c r="D243" s="14" t="s">
        <v>2744</v>
      </c>
      <c r="E243" s="15" t="str">
        <f>HYPERLINK("https://stat100.ameba.jp/tnk47/ratio20/illustrations/card/ill_78693_0_kyupittokoinomikoto03.jpg?201901-3-RELEASE-dice-e-389x", "■")</f>
        <v>■</v>
      </c>
      <c r="F243" s="14" t="s">
        <v>2745</v>
      </c>
      <c r="G243" s="14">
        <v>157198</v>
      </c>
      <c r="H243" s="14">
        <v>173933</v>
      </c>
      <c r="I243" s="14">
        <v>15</v>
      </c>
      <c r="J243" s="14" t="s">
        <v>274</v>
      </c>
      <c r="K243" s="14" t="s">
        <v>2746</v>
      </c>
      <c r="L243" s="14" t="s">
        <v>2747</v>
      </c>
      <c r="M243" s="14" t="s">
        <v>9158</v>
      </c>
      <c r="N243" s="14" t="s">
        <v>9158</v>
      </c>
      <c r="O243" s="18" t="s">
        <v>10067</v>
      </c>
      <c r="P243" s="14" t="s">
        <v>2748</v>
      </c>
      <c r="Q243" s="14">
        <v>1</v>
      </c>
      <c r="R243" s="14"/>
    </row>
    <row r="244" spans="1:18">
      <c r="A244" s="9">
        <v>78993</v>
      </c>
      <c r="B244" s="14" t="s">
        <v>334</v>
      </c>
      <c r="C244" s="14" t="s">
        <v>165</v>
      </c>
      <c r="D244" s="14" t="s">
        <v>3099</v>
      </c>
      <c r="E244" s="15" t="str">
        <f>HYPERLINK("https://stat100.ameba.jp/tnk47/ratio20/illustrations/card/ill_78993_uintasupotsutsukimizakechan03.jpg?201901-3-RELEASE-dice-e-389x", "■")</f>
        <v>■</v>
      </c>
      <c r="F244" s="14" t="s">
        <v>3100</v>
      </c>
      <c r="G244" s="14">
        <v>103896</v>
      </c>
      <c r="H244" s="14">
        <v>96610</v>
      </c>
      <c r="I244" s="14">
        <v>22</v>
      </c>
      <c r="J244" s="14" t="s">
        <v>283</v>
      </c>
      <c r="K244" s="14" t="s">
        <v>3101</v>
      </c>
      <c r="L244" s="14" t="s">
        <v>329</v>
      </c>
      <c r="M244" s="14" t="s">
        <v>9158</v>
      </c>
      <c r="N244" s="14" t="s">
        <v>9158</v>
      </c>
      <c r="O244" s="14" t="s">
        <v>9158</v>
      </c>
      <c r="P244" s="14" t="s">
        <v>9158</v>
      </c>
      <c r="Q244" s="14" t="s">
        <v>9158</v>
      </c>
      <c r="R244" s="14"/>
    </row>
    <row r="245" spans="1:18">
      <c r="A245" s="9">
        <v>79003</v>
      </c>
      <c r="B245" s="14" t="s">
        <v>348</v>
      </c>
      <c r="C245" s="14" t="s">
        <v>206</v>
      </c>
      <c r="D245" s="14" t="s">
        <v>3102</v>
      </c>
      <c r="E245" s="15" t="str">
        <f>HYPERLINK("https://stat100.ameba.jp/tnk47/ratio20/illustrations/card/ill_79003_uintasupotsukuwahime03.jpg?201901-3-RELEASE-dice-e-389x", "■")</f>
        <v>■</v>
      </c>
      <c r="F245" s="14" t="s">
        <v>3103</v>
      </c>
      <c r="G245" s="14">
        <v>59144</v>
      </c>
      <c r="H245" s="14">
        <v>65208</v>
      </c>
      <c r="I245" s="14">
        <v>22</v>
      </c>
      <c r="J245" s="14" t="s">
        <v>315</v>
      </c>
      <c r="K245" s="14" t="s">
        <v>3016</v>
      </c>
      <c r="L245" s="14" t="s">
        <v>596</v>
      </c>
      <c r="M245" s="14" t="s">
        <v>9158</v>
      </c>
      <c r="N245" s="14" t="s">
        <v>9158</v>
      </c>
      <c r="O245" s="14" t="s">
        <v>9158</v>
      </c>
      <c r="P245" s="14" t="s">
        <v>9158</v>
      </c>
      <c r="Q245" s="14" t="s">
        <v>9158</v>
      </c>
      <c r="R245" s="14"/>
    </row>
    <row r="246" spans="1:18">
      <c r="A246" s="9">
        <v>79013</v>
      </c>
      <c r="B246" s="14" t="s">
        <v>362</v>
      </c>
      <c r="C246" s="14" t="s">
        <v>185</v>
      </c>
      <c r="D246" s="14" t="s">
        <v>3104</v>
      </c>
      <c r="E246" s="15" t="str">
        <f>HYPERLINK("https://stat100.ameba.jp/tnk47/ratio20/illustrations/card/ill_79013_yukiwatari03.jpg?201901-3-RELEASE-dice-e-389x", "■")</f>
        <v>■</v>
      </c>
      <c r="F246" s="14" t="s">
        <v>3105</v>
      </c>
      <c r="G246" s="14">
        <v>45742</v>
      </c>
      <c r="H246" s="14">
        <v>38032</v>
      </c>
      <c r="I246" s="14">
        <v>22</v>
      </c>
      <c r="J246" s="14" t="s">
        <v>274</v>
      </c>
      <c r="K246" s="14" t="s">
        <v>3106</v>
      </c>
      <c r="L246" s="14" t="s">
        <v>600</v>
      </c>
      <c r="M246" s="14" t="s">
        <v>9158</v>
      </c>
      <c r="N246" s="14" t="s">
        <v>9158</v>
      </c>
      <c r="O246" s="14" t="s">
        <v>9158</v>
      </c>
      <c r="P246" s="14" t="s">
        <v>9158</v>
      </c>
      <c r="Q246" s="14" t="s">
        <v>9158</v>
      </c>
      <c r="R246" s="14"/>
    </row>
    <row r="247" spans="1:18">
      <c r="A247" s="9">
        <v>79023</v>
      </c>
      <c r="B247" s="14" t="s">
        <v>372</v>
      </c>
      <c r="C247" s="14" t="s">
        <v>2728</v>
      </c>
      <c r="D247" s="14" t="s">
        <v>3107</v>
      </c>
      <c r="E247" s="15" t="str">
        <f>HYPERLINK("https://stat100.ameba.jp/tnk47/ratio20/illustrations/card/ill_79023_hagoitachan03.jpg?201901-3-RELEASE-dice-e-389x", "■")</f>
        <v>■</v>
      </c>
      <c r="F247" s="14" t="s">
        <v>3108</v>
      </c>
      <c r="G247" s="14">
        <v>23258</v>
      </c>
      <c r="H247" s="14">
        <v>27692</v>
      </c>
      <c r="I247" s="14">
        <v>22</v>
      </c>
      <c r="J247" s="14" t="s">
        <v>369</v>
      </c>
      <c r="K247" s="14" t="s">
        <v>3109</v>
      </c>
      <c r="L247" s="14" t="s">
        <v>3110</v>
      </c>
      <c r="M247" s="14" t="s">
        <v>9158</v>
      </c>
      <c r="N247" s="14" t="s">
        <v>9158</v>
      </c>
      <c r="O247" s="14" t="s">
        <v>9158</v>
      </c>
      <c r="P247" s="14" t="s">
        <v>9158</v>
      </c>
      <c r="Q247" s="14" t="s">
        <v>9158</v>
      </c>
      <c r="R247" s="14"/>
    </row>
    <row r="248" spans="1:18">
      <c r="B248" s="14"/>
      <c r="C248" s="14"/>
      <c r="D248" s="14"/>
      <c r="F248" s="14"/>
      <c r="G248" s="14"/>
      <c r="H248" s="14"/>
      <c r="I248" s="14"/>
      <c r="J248" s="14"/>
      <c r="K248" s="14"/>
      <c r="L248" s="14"/>
      <c r="M248" s="14"/>
      <c r="N248" s="14"/>
      <c r="O248" s="7"/>
      <c r="P248" s="14"/>
      <c r="Q248" s="14"/>
      <c r="R248" s="14"/>
    </row>
    <row r="249" spans="1:18">
      <c r="A249" s="14" t="s">
        <v>223</v>
      </c>
      <c r="D249" s="14"/>
      <c r="F249" s="14"/>
      <c r="G249" s="14"/>
      <c r="H249" s="14"/>
      <c r="I249" s="14"/>
      <c r="J249" s="14"/>
      <c r="K249" s="14"/>
      <c r="L249" s="14"/>
      <c r="M249" s="14"/>
      <c r="N249" s="14"/>
      <c r="O249" s="7"/>
      <c r="P249" s="14"/>
      <c r="Q249" s="14"/>
      <c r="R249" s="14"/>
    </row>
    <row r="250" spans="1:18">
      <c r="A250" s="14" t="s">
        <v>3111</v>
      </c>
      <c r="B250" s="14"/>
      <c r="C250" s="14"/>
      <c r="D250" s="14"/>
      <c r="F250" s="14"/>
      <c r="G250" s="14"/>
      <c r="H250" s="14"/>
      <c r="I250" s="14"/>
      <c r="J250" s="14"/>
      <c r="K250" s="14"/>
      <c r="L250" s="14"/>
      <c r="M250" s="14"/>
      <c r="N250" s="14"/>
      <c r="O250" s="7"/>
      <c r="P250" s="14"/>
      <c r="Q250" s="14"/>
      <c r="R250" s="14"/>
    </row>
    <row r="251" spans="1:18">
      <c r="A251" s="9" t="s">
        <v>5606</v>
      </c>
      <c r="B251" s="14" t="s">
        <v>330</v>
      </c>
      <c r="C251" s="14" t="s">
        <v>206</v>
      </c>
      <c r="D251" s="14" t="s">
        <v>2936</v>
      </c>
      <c r="E251" s="15" t="str">
        <f>HYPERLINK("https://stat100.ameba.jp/tnk47/ratio20/illustrations/card/ill_72233_0_koinoboriryugujin03.jpg?201901-3-RELEASE-dice-e-389x", "■")</f>
        <v>■</v>
      </c>
      <c r="F251" s="14" t="s">
        <v>2937</v>
      </c>
      <c r="G251" s="14">
        <v>118074</v>
      </c>
      <c r="H251" s="14">
        <v>127000</v>
      </c>
      <c r="I251" s="14">
        <v>18</v>
      </c>
      <c r="J251" s="14" t="s">
        <v>401</v>
      </c>
      <c r="K251" s="14" t="s">
        <v>2938</v>
      </c>
      <c r="L251" s="14" t="s">
        <v>2939</v>
      </c>
      <c r="M251" s="14" t="s">
        <v>9158</v>
      </c>
      <c r="N251" s="14" t="s">
        <v>9158</v>
      </c>
      <c r="O251" s="7" t="s">
        <v>2940</v>
      </c>
      <c r="P251" s="14" t="s">
        <v>2941</v>
      </c>
      <c r="Q251" s="14">
        <v>2</v>
      </c>
      <c r="R251" s="14"/>
    </row>
    <row r="252" spans="1:18">
      <c r="A252" s="9">
        <v>76793</v>
      </c>
      <c r="B252" s="14" t="s">
        <v>334</v>
      </c>
      <c r="C252" s="14" t="s">
        <v>154</v>
      </c>
      <c r="D252" s="14" t="s">
        <v>425</v>
      </c>
      <c r="E252" s="15" t="str">
        <f>HYPERLINK("https://stat100.ameba.jp/tnk47/ratio20/illustrations/card/ill_76793_monsutatamatebako03.jpg?201901-3-RELEASE-dice-e-389x", "■")</f>
        <v>■</v>
      </c>
      <c r="F252" s="14" t="s">
        <v>426</v>
      </c>
      <c r="G252" s="14">
        <v>90770</v>
      </c>
      <c r="H252" s="14">
        <v>65764</v>
      </c>
      <c r="I252" s="14">
        <v>20</v>
      </c>
      <c r="J252" s="14" t="s">
        <v>274</v>
      </c>
      <c r="K252" s="14" t="s">
        <v>427</v>
      </c>
      <c r="L252" s="14" t="s">
        <v>428</v>
      </c>
      <c r="M252" s="14" t="s">
        <v>9158</v>
      </c>
      <c r="N252" s="14" t="s">
        <v>9158</v>
      </c>
      <c r="O252" s="7" t="s">
        <v>3037</v>
      </c>
      <c r="P252" s="14" t="s">
        <v>13128</v>
      </c>
      <c r="Q252" s="14">
        <v>1</v>
      </c>
      <c r="R252" s="14"/>
    </row>
    <row r="253" spans="1:18">
      <c r="A253" s="9">
        <v>72193</v>
      </c>
      <c r="B253" s="14" t="s">
        <v>334</v>
      </c>
      <c r="C253" s="14" t="s">
        <v>165</v>
      </c>
      <c r="D253" s="14" t="s">
        <v>3112</v>
      </c>
      <c r="E253" s="15" t="str">
        <f>HYPERLINK("https://stat100.ameba.jp/tnk47/ratio20/illustrations/card/ill_72193_koinoborikomyokogo03.jpg?201901-3-RELEASE-dice-e-389x", "■")</f>
        <v>■</v>
      </c>
      <c r="F253" s="14" t="s">
        <v>3113</v>
      </c>
      <c r="G253" s="14">
        <v>78122</v>
      </c>
      <c r="H253" s="14">
        <v>72608</v>
      </c>
      <c r="I253" s="14">
        <v>20</v>
      </c>
      <c r="J253" s="14" t="s">
        <v>351</v>
      </c>
      <c r="K253" s="14" t="s">
        <v>3114</v>
      </c>
      <c r="L253" s="14" t="s">
        <v>1655</v>
      </c>
      <c r="M253" s="14" t="s">
        <v>9158</v>
      </c>
      <c r="N253" s="14" t="s">
        <v>9158</v>
      </c>
      <c r="O253" s="18" t="s">
        <v>10057</v>
      </c>
      <c r="P253" s="14" t="s">
        <v>3115</v>
      </c>
      <c r="Q253" s="14">
        <v>1</v>
      </c>
      <c r="R253" s="14"/>
    </row>
    <row r="254" spans="1:18">
      <c r="A254" s="9">
        <v>66363</v>
      </c>
      <c r="B254" s="14" t="s">
        <v>334</v>
      </c>
      <c r="C254" s="14" t="s">
        <v>158</v>
      </c>
      <c r="D254" s="14" t="s">
        <v>2910</v>
      </c>
      <c r="E254" s="15" t="str">
        <f>HYPERLINK("https://stat100.ameba.jp/tnk47/ratio20/illustrations/card/ill_66363_iharasaikaku03.jpg?201901-3-RELEASE-dice-e-389x", "■")</f>
        <v>■</v>
      </c>
      <c r="F254" s="14" t="s">
        <v>537</v>
      </c>
      <c r="G254" s="14">
        <v>65764</v>
      </c>
      <c r="H254" s="14">
        <v>90770</v>
      </c>
      <c r="I254" s="14">
        <v>20</v>
      </c>
      <c r="J254" s="14" t="s">
        <v>414</v>
      </c>
      <c r="K254" s="14" t="s">
        <v>2911</v>
      </c>
      <c r="L254" s="14" t="s">
        <v>1575</v>
      </c>
      <c r="M254" s="14" t="s">
        <v>9158</v>
      </c>
      <c r="N254" s="14" t="s">
        <v>9158</v>
      </c>
      <c r="O254" s="18" t="s">
        <v>10053</v>
      </c>
      <c r="P254" s="14" t="s">
        <v>2822</v>
      </c>
      <c r="Q254" s="14">
        <v>1</v>
      </c>
      <c r="R254" s="14"/>
    </row>
    <row r="255" spans="1:18">
      <c r="B255" s="14"/>
      <c r="C255" s="14"/>
      <c r="D255" s="14"/>
      <c r="F255" s="14"/>
      <c r="G255" s="14"/>
      <c r="H255" s="14"/>
      <c r="I255" s="14"/>
      <c r="J255" s="14"/>
      <c r="K255" s="14"/>
      <c r="L255" s="14"/>
      <c r="M255" s="14"/>
      <c r="N255" s="14"/>
      <c r="O255" s="7"/>
      <c r="P255" s="14"/>
      <c r="Q255" s="14"/>
      <c r="R255" s="14"/>
    </row>
    <row r="256" spans="1:18">
      <c r="A256" s="14" t="s">
        <v>13340</v>
      </c>
      <c r="D256" s="14"/>
      <c r="F256" s="14"/>
      <c r="G256" s="14"/>
      <c r="H256" s="14"/>
      <c r="I256" s="14"/>
      <c r="J256" s="14"/>
      <c r="K256" s="14"/>
      <c r="L256" s="14"/>
      <c r="M256" s="14"/>
      <c r="N256" s="14"/>
      <c r="O256" s="7"/>
      <c r="P256" s="14"/>
      <c r="Q256" s="14"/>
      <c r="R256" s="14"/>
    </row>
    <row r="257" spans="1:18">
      <c r="A257" s="14" t="s">
        <v>3116</v>
      </c>
      <c r="B257" s="14"/>
      <c r="C257" s="14"/>
      <c r="D257" s="14"/>
      <c r="F257" s="14"/>
      <c r="G257" s="14"/>
      <c r="H257" s="14"/>
      <c r="I257" s="14"/>
      <c r="J257" s="14"/>
      <c r="K257" s="14"/>
      <c r="L257" s="14"/>
      <c r="M257" s="14"/>
      <c r="N257" s="14"/>
      <c r="O257" s="7"/>
      <c r="P257" s="14"/>
      <c r="Q257" s="14"/>
      <c r="R257" s="14"/>
    </row>
    <row r="258" spans="1:18">
      <c r="A258" s="9">
        <v>78815</v>
      </c>
      <c r="B258" s="14" t="s">
        <v>334</v>
      </c>
      <c r="C258" s="14" t="s">
        <v>202</v>
      </c>
      <c r="D258" s="14" t="s">
        <v>3117</v>
      </c>
      <c r="E258" s="15" t="str">
        <f>HYPERLINK("https://stat100.ameba.jp/tnk47/ratio20/illustrations/card/ill_78815_waishatsutamagokakegohanchan05.jpg?201901-3-RELEASE-dice-e-389x", "■")</f>
        <v>■</v>
      </c>
      <c r="F258" s="14" t="s">
        <v>3118</v>
      </c>
      <c r="G258" s="14">
        <v>157434</v>
      </c>
      <c r="H258" s="14">
        <v>113992</v>
      </c>
      <c r="I258" s="14">
        <v>22</v>
      </c>
      <c r="J258" s="14" t="s">
        <v>283</v>
      </c>
      <c r="K258" s="14" t="s">
        <v>3119</v>
      </c>
      <c r="L258" s="14" t="s">
        <v>3120</v>
      </c>
      <c r="M258" s="14" t="s">
        <v>9158</v>
      </c>
      <c r="N258" s="14" t="s">
        <v>9158</v>
      </c>
      <c r="O258" s="14" t="s">
        <v>9158</v>
      </c>
      <c r="P258" s="14" t="s">
        <v>9158</v>
      </c>
      <c r="Q258" s="14" t="s">
        <v>9158</v>
      </c>
      <c r="R258" s="14" t="s">
        <v>174</v>
      </c>
    </row>
    <row r="259" spans="1:18">
      <c r="A259" s="9">
        <v>78813</v>
      </c>
      <c r="B259" s="14" t="s">
        <v>348</v>
      </c>
      <c r="C259" s="14" t="s">
        <v>158</v>
      </c>
      <c r="D259" s="14" t="s">
        <v>3117</v>
      </c>
      <c r="E259" s="15" t="str">
        <f>HYPERLINK("https://stat100.ameba.jp/tnk47/ratio20/illustrations/card/ill_78813_waishatsutamagokakegohanchan03.jpg?201901-3-RELEASE-dice-e-389x", "■")</f>
        <v>■</v>
      </c>
      <c r="F259" s="14" t="s">
        <v>3118</v>
      </c>
      <c r="G259" s="14">
        <v>115996</v>
      </c>
      <c r="H259" s="14">
        <v>83986</v>
      </c>
      <c r="I259" s="14">
        <v>22</v>
      </c>
      <c r="J259" s="14" t="s">
        <v>283</v>
      </c>
      <c r="K259" s="14" t="s">
        <v>3119</v>
      </c>
      <c r="L259" s="14" t="s">
        <v>3121</v>
      </c>
      <c r="M259" s="14" t="s">
        <v>9158</v>
      </c>
      <c r="N259" s="14" t="s">
        <v>9158</v>
      </c>
      <c r="O259" s="14" t="s">
        <v>9158</v>
      </c>
      <c r="P259" s="14" t="s">
        <v>9158</v>
      </c>
      <c r="Q259" s="14" t="s">
        <v>9158</v>
      </c>
      <c r="R259" s="14" t="s">
        <v>175</v>
      </c>
    </row>
    <row r="260" spans="1:18">
      <c r="A260" s="9">
        <v>78811</v>
      </c>
      <c r="B260" s="14" t="s">
        <v>348</v>
      </c>
      <c r="C260" s="14" t="s">
        <v>158</v>
      </c>
      <c r="D260" s="14" t="s">
        <v>3117</v>
      </c>
      <c r="E260" s="15" t="str">
        <f>HYPERLINK("https://stat100.ameba.jp/tnk47/ratio20/illustrations/card/ill_78811_waishatsutamagokakegohanchan01.jpg?201901-3-RELEASE-dice-e-389x", "■")</f>
        <v>■</v>
      </c>
      <c r="F260" s="14" t="s">
        <v>3118</v>
      </c>
      <c r="G260" s="14">
        <v>73788</v>
      </c>
      <c r="H260" s="14">
        <v>53438</v>
      </c>
      <c r="I260" s="14">
        <v>22</v>
      </c>
      <c r="J260" s="14" t="s">
        <v>283</v>
      </c>
      <c r="K260" s="14" t="s">
        <v>3119</v>
      </c>
      <c r="L260" s="14" t="s">
        <v>3122</v>
      </c>
      <c r="M260" s="14" t="s">
        <v>9158</v>
      </c>
      <c r="N260" s="14" t="s">
        <v>9158</v>
      </c>
      <c r="O260" s="14" t="s">
        <v>9158</v>
      </c>
      <c r="P260" s="14" t="s">
        <v>9158</v>
      </c>
      <c r="Q260" s="14" t="s">
        <v>9158</v>
      </c>
      <c r="R260" s="14" t="s">
        <v>176</v>
      </c>
    </row>
    <row r="261" spans="1:18">
      <c r="B261" s="14"/>
      <c r="C261" s="14"/>
      <c r="D261" s="14"/>
      <c r="F261" s="14"/>
      <c r="G261" s="14"/>
      <c r="H261" s="14"/>
      <c r="I261" s="14"/>
      <c r="J261" s="14"/>
      <c r="K261" s="14"/>
      <c r="L261" s="14"/>
      <c r="M261" s="14"/>
      <c r="N261" s="14"/>
      <c r="O261" s="7"/>
      <c r="P261" s="14"/>
      <c r="Q261" s="14"/>
      <c r="R261" s="14"/>
    </row>
    <row r="262" spans="1:18">
      <c r="A262" s="14" t="s">
        <v>2729</v>
      </c>
      <c r="D262" s="14"/>
      <c r="F262" s="14"/>
      <c r="G262" s="14"/>
      <c r="H262" s="14"/>
      <c r="I262" s="14"/>
      <c r="J262" s="14"/>
      <c r="K262" s="14"/>
      <c r="L262" s="14"/>
      <c r="M262" s="14"/>
      <c r="N262" s="14"/>
      <c r="O262" s="7"/>
      <c r="P262" s="14"/>
      <c r="Q262" s="14"/>
      <c r="R262" s="14"/>
    </row>
    <row r="263" spans="1:18">
      <c r="A263" s="14" t="s">
        <v>3123</v>
      </c>
      <c r="B263" s="14"/>
      <c r="C263" s="14"/>
      <c r="D263" s="14"/>
      <c r="F263" s="14"/>
      <c r="G263" s="14"/>
      <c r="H263" s="14"/>
      <c r="I263" s="14"/>
      <c r="J263" s="14"/>
      <c r="K263" s="14"/>
      <c r="L263" s="14"/>
      <c r="M263" s="14"/>
      <c r="N263" s="14"/>
      <c r="O263" s="7"/>
      <c r="P263" s="14"/>
      <c r="Q263" s="14"/>
      <c r="R263" s="14"/>
    </row>
    <row r="264" spans="1:18">
      <c r="A264" s="9">
        <v>59923</v>
      </c>
      <c r="B264" s="14" t="s">
        <v>334</v>
      </c>
      <c r="C264" s="14" t="s">
        <v>191</v>
      </c>
      <c r="D264" s="14" t="s">
        <v>3124</v>
      </c>
      <c r="E264" s="15" t="str">
        <f>HYPERLINK("https://stat100.ameba.jp/tnk47/ratio20/illustrations/card/ill_59923_yuseikuroyuridensetsu03.jpg?201901-3-RELEASE-dice-e-389x", "■")</f>
        <v>■</v>
      </c>
      <c r="F264" s="14" t="s">
        <v>1495</v>
      </c>
      <c r="G264" s="14">
        <v>95836</v>
      </c>
      <c r="H264" s="14">
        <v>88948</v>
      </c>
      <c r="I264" s="14">
        <v>21</v>
      </c>
      <c r="J264" s="14" t="s">
        <v>274</v>
      </c>
      <c r="K264" s="14" t="s">
        <v>3125</v>
      </c>
      <c r="L264" s="14" t="s">
        <v>3126</v>
      </c>
      <c r="M264" s="14" t="s">
        <v>9158</v>
      </c>
      <c r="N264" s="14" t="s">
        <v>9158</v>
      </c>
      <c r="O264" s="14" t="s">
        <v>9158</v>
      </c>
      <c r="P264" s="14" t="s">
        <v>9158</v>
      </c>
      <c r="Q264" s="14" t="s">
        <v>9158</v>
      </c>
      <c r="R264" s="14"/>
    </row>
    <row r="265" spans="1:18">
      <c r="A265" s="9">
        <v>62153</v>
      </c>
      <c r="B265" s="14" t="s">
        <v>334</v>
      </c>
      <c r="C265" s="14" t="s">
        <v>205</v>
      </c>
      <c r="D265" s="14" t="s">
        <v>3127</v>
      </c>
      <c r="E265" s="15" t="str">
        <f>HYPERLINK("https://stat100.ameba.jp/tnk47/ratio20/illustrations/card/ill_62153_obentonekodanuki03.jpg?201901-3-RELEASE-dice-e-389x", "■")</f>
        <v>■</v>
      </c>
      <c r="F265" s="14" t="s">
        <v>3128</v>
      </c>
      <c r="G265" s="14">
        <v>87496</v>
      </c>
      <c r="H265" s="14">
        <v>81371</v>
      </c>
      <c r="I265" s="14">
        <v>21</v>
      </c>
      <c r="J265" s="14" t="s">
        <v>320</v>
      </c>
      <c r="K265" s="14" t="s">
        <v>3129</v>
      </c>
      <c r="L265" s="14" t="s">
        <v>3130</v>
      </c>
      <c r="M265" s="14" t="s">
        <v>9158</v>
      </c>
      <c r="N265" s="14" t="s">
        <v>9158</v>
      </c>
      <c r="O265" s="14" t="s">
        <v>9158</v>
      </c>
      <c r="P265" s="14" t="s">
        <v>9158</v>
      </c>
      <c r="Q265" s="14" t="s">
        <v>9158</v>
      </c>
      <c r="R265" s="14"/>
    </row>
    <row r="266" spans="1:18">
      <c r="A266" s="9">
        <v>65313</v>
      </c>
      <c r="B266" s="14" t="s">
        <v>334</v>
      </c>
      <c r="C266" s="14" t="s">
        <v>200</v>
      </c>
      <c r="D266" s="14" t="s">
        <v>11626</v>
      </c>
      <c r="E266" s="15" t="str">
        <f>HYPERLINK("https://stat100.ameba.jp/tnk47/ratio20/illustrations/card/ill_65313_viranzukasuganotsubone03.jpg?201901-3-RELEASE-dice-e-389x", "■")</f>
        <v>■</v>
      </c>
      <c r="F266" s="14" t="s">
        <v>3132</v>
      </c>
      <c r="G266" s="14">
        <v>79207</v>
      </c>
      <c r="H266" s="14">
        <v>85153</v>
      </c>
      <c r="I266" s="14">
        <v>21</v>
      </c>
      <c r="J266" s="14" t="s">
        <v>414</v>
      </c>
      <c r="K266" s="14" t="s">
        <v>3133</v>
      </c>
      <c r="L266" s="14" t="s">
        <v>3134</v>
      </c>
      <c r="M266" s="14" t="s">
        <v>9158</v>
      </c>
      <c r="N266" s="14" t="s">
        <v>9158</v>
      </c>
      <c r="O266" s="14" t="s">
        <v>9158</v>
      </c>
      <c r="P266" s="14" t="s">
        <v>9158</v>
      </c>
      <c r="Q266" s="14" t="s">
        <v>9158</v>
      </c>
      <c r="R266" s="14"/>
    </row>
    <row r="267" spans="1:18">
      <c r="A267" s="9">
        <v>33673</v>
      </c>
      <c r="B267" s="14" t="s">
        <v>348</v>
      </c>
      <c r="C267" s="14" t="s">
        <v>206</v>
      </c>
      <c r="D267" s="14" t="s">
        <v>3135</v>
      </c>
      <c r="E267" s="15" t="str">
        <f>HYPERLINK("https://stat100.ameba.jp/tnk47/ratio20/illustrations/card/ill_33673_utataneamahime03.jpg?201901-3-RELEASE-dice-e-389x", "■")</f>
        <v>■</v>
      </c>
      <c r="F267" s="14" t="s">
        <v>3136</v>
      </c>
      <c r="G267" s="14">
        <v>56316</v>
      </c>
      <c r="H267" s="14">
        <v>51078</v>
      </c>
      <c r="I267" s="14">
        <v>19</v>
      </c>
      <c r="J267" s="14" t="s">
        <v>315</v>
      </c>
      <c r="K267" s="14" t="s">
        <v>3137</v>
      </c>
      <c r="L267" s="14" t="s">
        <v>3138</v>
      </c>
      <c r="M267" s="14" t="s">
        <v>9158</v>
      </c>
      <c r="N267" s="14" t="s">
        <v>9158</v>
      </c>
      <c r="O267" s="14" t="s">
        <v>9158</v>
      </c>
      <c r="P267" s="14" t="s">
        <v>9158</v>
      </c>
      <c r="Q267" s="14" t="s">
        <v>9158</v>
      </c>
      <c r="R267" s="14"/>
    </row>
    <row r="268" spans="1:18">
      <c r="A268" s="9">
        <v>56153</v>
      </c>
      <c r="B268" s="14" t="s">
        <v>348</v>
      </c>
      <c r="C268" s="14" t="s">
        <v>165</v>
      </c>
      <c r="D268" s="14" t="s">
        <v>3139</v>
      </c>
      <c r="E268" s="15" t="str">
        <f>HYPERLINK("https://stat100.ameba.jp/tnk47/ratio20/illustrations/card/ill_56153_machingubandoshibasonome03.jpg?201901-3-RELEASE-dice-e-389x", "■")</f>
        <v>■</v>
      </c>
      <c r="F268" s="14" t="s">
        <v>3140</v>
      </c>
      <c r="G268" s="14">
        <v>51078</v>
      </c>
      <c r="H268" s="14">
        <v>56316</v>
      </c>
      <c r="I268" s="14">
        <v>19</v>
      </c>
      <c r="J268" s="14" t="s">
        <v>351</v>
      </c>
      <c r="K268" s="14" t="s">
        <v>3141</v>
      </c>
      <c r="L268" s="14" t="s">
        <v>3142</v>
      </c>
      <c r="M268" s="14" t="s">
        <v>9158</v>
      </c>
      <c r="N268" s="14" t="s">
        <v>9158</v>
      </c>
      <c r="O268" s="14" t="s">
        <v>9158</v>
      </c>
      <c r="P268" s="14" t="s">
        <v>9158</v>
      </c>
      <c r="Q268" s="14" t="s">
        <v>9158</v>
      </c>
      <c r="R268" s="14"/>
    </row>
    <row r="269" spans="1:18">
      <c r="A269" s="9">
        <v>67613</v>
      </c>
      <c r="B269" s="14" t="s">
        <v>348</v>
      </c>
      <c r="C269" s="14" t="s">
        <v>185</v>
      </c>
      <c r="D269" s="14" t="s">
        <v>1470</v>
      </c>
      <c r="E269" s="15" t="str">
        <f>HYPERLINK("https://stat100.ameba.jp/tnk47/ratio20/illustrations/card/ill_67613_girishiashinwaringochan03.jpg?201901-3-RELEASE-dice-e-389x", "■")</f>
        <v>■</v>
      </c>
      <c r="F269" s="14" t="s">
        <v>1471</v>
      </c>
      <c r="G269" s="14">
        <v>51078</v>
      </c>
      <c r="H269" s="14">
        <v>56316</v>
      </c>
      <c r="I269" s="14">
        <v>19</v>
      </c>
      <c r="J269" s="14" t="s">
        <v>283</v>
      </c>
      <c r="K269" s="14" t="s">
        <v>1472</v>
      </c>
      <c r="L269" s="14" t="s">
        <v>1442</v>
      </c>
      <c r="M269" s="14" t="s">
        <v>9158</v>
      </c>
      <c r="N269" s="14" t="s">
        <v>9158</v>
      </c>
      <c r="O269" s="14" t="s">
        <v>9158</v>
      </c>
      <c r="P269" s="14" t="s">
        <v>9158</v>
      </c>
      <c r="Q269" s="14" t="s">
        <v>9158</v>
      </c>
      <c r="R269" s="14"/>
    </row>
    <row r="270" spans="1:18">
      <c r="B270" s="14"/>
      <c r="C270" s="14"/>
      <c r="D270" s="14"/>
      <c r="F270" s="14"/>
      <c r="G270" s="14"/>
      <c r="H270" s="14"/>
      <c r="I270" s="14"/>
      <c r="J270" s="14"/>
      <c r="K270" s="14"/>
      <c r="L270" s="14"/>
      <c r="M270" s="14"/>
      <c r="N270" s="14"/>
      <c r="O270" s="7"/>
      <c r="P270" s="14"/>
      <c r="Q270" s="14"/>
      <c r="R270" s="14"/>
    </row>
    <row r="271" spans="1:18">
      <c r="A271" s="14" t="s">
        <v>1711</v>
      </c>
      <c r="D271" s="14"/>
      <c r="F271" s="14"/>
      <c r="G271" s="14"/>
      <c r="H271" s="14"/>
      <c r="I271" s="14"/>
      <c r="J271" s="14"/>
      <c r="K271" s="14"/>
      <c r="L271" s="14"/>
      <c r="M271" s="14"/>
      <c r="N271" s="14"/>
      <c r="O271" s="7"/>
      <c r="P271" s="14"/>
      <c r="Q271" s="14"/>
      <c r="R271" s="14"/>
    </row>
    <row r="272" spans="1:18">
      <c r="A272" s="14" t="s">
        <v>3143</v>
      </c>
      <c r="C272" s="14"/>
      <c r="D272" s="14"/>
      <c r="F272" s="14"/>
      <c r="G272" s="14"/>
      <c r="H272" s="14"/>
      <c r="I272" s="14"/>
      <c r="J272" s="14"/>
      <c r="K272" s="14"/>
      <c r="L272" s="14"/>
      <c r="M272" s="14"/>
      <c r="N272" s="14"/>
      <c r="O272" s="7"/>
      <c r="P272" s="14"/>
      <c r="Q272" s="14"/>
      <c r="R272" s="14"/>
    </row>
    <row r="273" spans="1:18">
      <c r="A273" s="9" t="s">
        <v>5611</v>
      </c>
      <c r="B273" s="14" t="s">
        <v>330</v>
      </c>
      <c r="C273" s="14" t="s">
        <v>185</v>
      </c>
      <c r="D273" s="14" t="s">
        <v>539</v>
      </c>
      <c r="E273" s="15" t="str">
        <f>HYPERLINK("https://stat100.ameba.jp/tnk47/ratio20/illustrations/card/ill_60633_0_harumaisentoin03.jpg?201901-3-RELEASE-dice-e-389x", "■")</f>
        <v>■</v>
      </c>
      <c r="F273" s="14" t="s">
        <v>540</v>
      </c>
      <c r="G273" s="14">
        <v>133519</v>
      </c>
      <c r="H273" s="14">
        <v>143626</v>
      </c>
      <c r="I273" s="14">
        <v>21</v>
      </c>
      <c r="J273" s="14" t="s">
        <v>274</v>
      </c>
      <c r="K273" s="14" t="s">
        <v>541</v>
      </c>
      <c r="L273" s="14" t="s">
        <v>542</v>
      </c>
      <c r="M273" s="14" t="s">
        <v>9158</v>
      </c>
      <c r="N273" s="14" t="s">
        <v>9158</v>
      </c>
      <c r="O273" s="7" t="s">
        <v>2888</v>
      </c>
      <c r="P273" s="14" t="s">
        <v>3144</v>
      </c>
      <c r="Q273" s="14">
        <v>1</v>
      </c>
      <c r="R273" s="14"/>
    </row>
    <row r="274" spans="1:18">
      <c r="A274" s="9" t="s">
        <v>5902</v>
      </c>
      <c r="B274" s="14" t="s">
        <v>330</v>
      </c>
      <c r="C274" s="14" t="s">
        <v>344</v>
      </c>
      <c r="D274" s="14" t="s">
        <v>483</v>
      </c>
      <c r="E274" s="15" t="str">
        <f>HYPERLINK("https://stat100.ameba.jp/tnk47/ratio20/illustrations/card/ill_40343_0_heshikirihasebekurodakambe03.jpg?201901-3-RELEASE-dice-e-389x", "■")</f>
        <v>■</v>
      </c>
      <c r="F274" s="14" t="s">
        <v>484</v>
      </c>
      <c r="G274" s="14">
        <v>122892</v>
      </c>
      <c r="H274" s="14">
        <v>115096</v>
      </c>
      <c r="I274" s="14">
        <v>21</v>
      </c>
      <c r="J274" s="14" t="s">
        <v>414</v>
      </c>
      <c r="K274" s="14" t="s">
        <v>485</v>
      </c>
      <c r="L274" s="14" t="s">
        <v>486</v>
      </c>
      <c r="M274" s="14" t="s">
        <v>9158</v>
      </c>
      <c r="N274" s="14" t="s">
        <v>9158</v>
      </c>
      <c r="O274" s="14" t="s">
        <v>9158</v>
      </c>
      <c r="P274" s="14" t="s">
        <v>9158</v>
      </c>
      <c r="Q274" s="14" t="s">
        <v>9158</v>
      </c>
      <c r="R274" s="14"/>
    </row>
    <row r="275" spans="1:18">
      <c r="A275" s="9" t="s">
        <v>5820</v>
      </c>
      <c r="B275" s="14" t="s">
        <v>330</v>
      </c>
      <c r="C275" s="14" t="s">
        <v>200</v>
      </c>
      <c r="D275" s="14" t="s">
        <v>630</v>
      </c>
      <c r="E275" s="15" t="str">
        <f>HYPERLINK("https://stat100.ameba.jp/tnk47/ratio20/illustrations/card/ill_48283_0_kyuubitamamonomae03.jpg?201901-3-RELEASE-dice-e-389x", "■")</f>
        <v>■</v>
      </c>
      <c r="F275" s="14" t="s">
        <v>631</v>
      </c>
      <c r="G275" s="14">
        <v>131930</v>
      </c>
      <c r="H275" s="14">
        <v>117196</v>
      </c>
      <c r="I275" s="14">
        <v>21</v>
      </c>
      <c r="J275" s="14" t="s">
        <v>320</v>
      </c>
      <c r="K275" s="14" t="s">
        <v>632</v>
      </c>
      <c r="L275" s="14" t="s">
        <v>633</v>
      </c>
      <c r="M275" s="14" t="s">
        <v>9158</v>
      </c>
      <c r="N275" s="14" t="s">
        <v>9158</v>
      </c>
      <c r="O275" s="14" t="s">
        <v>9158</v>
      </c>
      <c r="P275" s="14" t="s">
        <v>9158</v>
      </c>
      <c r="Q275" s="14" t="s">
        <v>9158</v>
      </c>
      <c r="R275" s="14"/>
    </row>
    <row r="276" spans="1:18">
      <c r="A276" s="9">
        <v>78993</v>
      </c>
      <c r="B276" s="14" t="s">
        <v>334</v>
      </c>
      <c r="C276" s="14" t="s">
        <v>165</v>
      </c>
      <c r="D276" s="14" t="s">
        <v>3099</v>
      </c>
      <c r="E276" s="15" t="str">
        <f>HYPERLINK("https://stat100.ameba.jp/tnk47/ratio20/illustrations/card/ill_78993_uintasupotsutsukimizakechan03.jpg?201901-3-RELEASE-dice-e-389x", "■")</f>
        <v>■</v>
      </c>
      <c r="F276" s="14" t="s">
        <v>3100</v>
      </c>
      <c r="G276" s="14">
        <v>99173</v>
      </c>
      <c r="H276" s="14">
        <v>92220</v>
      </c>
      <c r="I276" s="14">
        <v>21</v>
      </c>
      <c r="J276" s="14" t="s">
        <v>283</v>
      </c>
      <c r="K276" s="14" t="s">
        <v>3101</v>
      </c>
      <c r="L276" s="14" t="s">
        <v>329</v>
      </c>
      <c r="M276" s="14" t="s">
        <v>9158</v>
      </c>
      <c r="N276" s="14" t="s">
        <v>9158</v>
      </c>
      <c r="O276" s="14" t="s">
        <v>9158</v>
      </c>
      <c r="P276" s="14" t="s">
        <v>9158</v>
      </c>
      <c r="Q276" s="14" t="s">
        <v>9158</v>
      </c>
      <c r="R276" s="14"/>
    </row>
    <row r="277" spans="1:18">
      <c r="A277" s="9">
        <v>79003</v>
      </c>
      <c r="B277" s="14" t="s">
        <v>348</v>
      </c>
      <c r="C277" s="14" t="s">
        <v>206</v>
      </c>
      <c r="D277" s="14" t="s">
        <v>3102</v>
      </c>
      <c r="E277" s="15" t="str">
        <f>HYPERLINK("https://stat100.ameba.jp/tnk47/ratio20/illustrations/card/ill_79003_uintasupotsukuwahime03.jpg?201901-3-RELEASE-dice-e-389x", "■")</f>
        <v>■</v>
      </c>
      <c r="F277" s="14" t="s">
        <v>3103</v>
      </c>
      <c r="G277" s="14">
        <v>48390</v>
      </c>
      <c r="H277" s="14">
        <v>53352</v>
      </c>
      <c r="I277" s="14">
        <v>18</v>
      </c>
      <c r="J277" s="14" t="s">
        <v>315</v>
      </c>
      <c r="K277" s="14" t="s">
        <v>3016</v>
      </c>
      <c r="L277" s="14" t="s">
        <v>596</v>
      </c>
      <c r="M277" s="14" t="s">
        <v>9158</v>
      </c>
      <c r="N277" s="14" t="s">
        <v>9158</v>
      </c>
      <c r="O277" s="14" t="s">
        <v>9158</v>
      </c>
      <c r="P277" s="14" t="s">
        <v>9158</v>
      </c>
      <c r="Q277" s="14" t="s">
        <v>9158</v>
      </c>
      <c r="R277" s="14"/>
    </row>
    <row r="278" spans="1:18">
      <c r="A278" s="9">
        <v>79013</v>
      </c>
      <c r="B278" s="14" t="s">
        <v>362</v>
      </c>
      <c r="C278" s="14" t="s">
        <v>185</v>
      </c>
      <c r="D278" s="14" t="s">
        <v>3104</v>
      </c>
      <c r="E278" s="15" t="str">
        <f>HYPERLINK("https://stat100.ameba.jp/tnk47/ratio20/illustrations/card/ill_79013_yukiwatari03.jpg?201901-3-RELEASE-dice-e-389x", "■")</f>
        <v>■</v>
      </c>
      <c r="F278" s="14" t="s">
        <v>3105</v>
      </c>
      <c r="G278" s="14">
        <v>35346</v>
      </c>
      <c r="H278" s="14">
        <v>29388</v>
      </c>
      <c r="I278" s="14">
        <v>17</v>
      </c>
      <c r="J278" s="14" t="s">
        <v>274</v>
      </c>
      <c r="K278" s="14" t="s">
        <v>3106</v>
      </c>
      <c r="L278" s="14" t="s">
        <v>600</v>
      </c>
      <c r="M278" s="14" t="s">
        <v>9158</v>
      </c>
      <c r="N278" s="14" t="s">
        <v>9158</v>
      </c>
      <c r="O278" s="14" t="s">
        <v>9158</v>
      </c>
      <c r="P278" s="14" t="s">
        <v>9158</v>
      </c>
      <c r="Q278" s="14" t="s">
        <v>9158</v>
      </c>
      <c r="R278" s="14"/>
    </row>
    <row r="279" spans="1:18">
      <c r="A279" s="9">
        <v>79023</v>
      </c>
      <c r="B279" s="14" t="s">
        <v>372</v>
      </c>
      <c r="C279" s="14" t="s">
        <v>2728</v>
      </c>
      <c r="D279" s="14" t="s">
        <v>3107</v>
      </c>
      <c r="E279" s="15" t="str">
        <f>HYPERLINK("https://stat100.ameba.jp/tnk47/ratio20/illustrations/card/ill_79023_hagoitachan03.jpg?201901-3-RELEASE-dice-e-389x", "■")</f>
        <v>■</v>
      </c>
      <c r="F279" s="14" t="s">
        <v>3108</v>
      </c>
      <c r="G279" s="14">
        <v>17972</v>
      </c>
      <c r="H279" s="14">
        <v>21398</v>
      </c>
      <c r="I279" s="14">
        <v>17</v>
      </c>
      <c r="J279" s="14" t="s">
        <v>369</v>
      </c>
      <c r="K279" s="14" t="s">
        <v>3109</v>
      </c>
      <c r="L279" s="14" t="s">
        <v>3110</v>
      </c>
      <c r="M279" s="14" t="s">
        <v>9158</v>
      </c>
      <c r="N279" s="14" t="s">
        <v>9158</v>
      </c>
      <c r="O279" s="14" t="s">
        <v>9158</v>
      </c>
      <c r="P279" s="14" t="s">
        <v>9158</v>
      </c>
      <c r="Q279" s="14" t="s">
        <v>9158</v>
      </c>
      <c r="R279" s="14"/>
    </row>
    <row r="280" spans="1:18">
      <c r="B280" s="14"/>
      <c r="C280" s="14"/>
      <c r="D280" s="14"/>
      <c r="F280" s="14"/>
      <c r="G280" s="14"/>
      <c r="H280" s="14"/>
      <c r="I280" s="14"/>
      <c r="J280" s="14"/>
      <c r="K280" s="14"/>
      <c r="L280" s="14"/>
      <c r="M280" s="14"/>
      <c r="N280" s="14"/>
      <c r="O280" s="7"/>
      <c r="P280" s="14"/>
      <c r="Q280" s="14"/>
      <c r="R280" s="14"/>
    </row>
    <row r="281" spans="1:18">
      <c r="A281" s="14" t="s">
        <v>204</v>
      </c>
      <c r="D281" s="14"/>
      <c r="F281" s="14"/>
      <c r="G281" s="14"/>
      <c r="H281" s="14"/>
      <c r="I281" s="14"/>
      <c r="J281" s="14"/>
      <c r="K281" s="14"/>
      <c r="L281" s="14"/>
      <c r="M281" s="14"/>
      <c r="N281" s="14"/>
      <c r="O281" s="7"/>
      <c r="P281" s="14"/>
      <c r="Q281" s="14"/>
      <c r="R281" s="14"/>
    </row>
    <row r="282" spans="1:18">
      <c r="A282" s="14" t="s">
        <v>3145</v>
      </c>
      <c r="B282" s="14"/>
      <c r="C282" s="14"/>
      <c r="D282" s="14"/>
      <c r="F282" s="14"/>
      <c r="G282" s="14"/>
      <c r="H282" s="14"/>
      <c r="I282" s="14"/>
      <c r="J282" s="14"/>
      <c r="K282" s="14"/>
      <c r="L282" s="14"/>
      <c r="M282" s="14"/>
      <c r="N282" s="14"/>
      <c r="O282" s="7"/>
      <c r="P282" s="14"/>
      <c r="Q282" s="14"/>
      <c r="R282" s="14"/>
    </row>
    <row r="283" spans="1:18">
      <c r="A283" s="9" t="s">
        <v>5623</v>
      </c>
      <c r="B283" s="14" t="s">
        <v>330</v>
      </c>
      <c r="C283" s="14" t="s">
        <v>165</v>
      </c>
      <c r="D283" s="14" t="s">
        <v>3146</v>
      </c>
      <c r="E283" s="15" t="str">
        <f>HYPERLINK("https://stat100.ameba.jp/tnk47/ratio20/illustrations/card/ill_65713_0_undokaionikirimaru03.jpg?201901-3-RELEASE-dice-e-389x", "■")</f>
        <v>■</v>
      </c>
      <c r="F283" s="14" t="s">
        <v>535</v>
      </c>
      <c r="G283" s="14">
        <v>113525</v>
      </c>
      <c r="H283" s="14">
        <v>105545</v>
      </c>
      <c r="I283" s="14">
        <v>15</v>
      </c>
      <c r="J283" s="14" t="s">
        <v>320</v>
      </c>
      <c r="K283" s="14" t="s">
        <v>3147</v>
      </c>
      <c r="L283" s="14" t="s">
        <v>3148</v>
      </c>
      <c r="M283" s="14" t="s">
        <v>9158</v>
      </c>
      <c r="N283" s="14" t="s">
        <v>9158</v>
      </c>
      <c r="O283" s="7" t="s">
        <v>2869</v>
      </c>
      <c r="P283" s="14" t="s">
        <v>2870</v>
      </c>
      <c r="Q283" s="14">
        <v>1</v>
      </c>
      <c r="R283" s="14"/>
    </row>
    <row r="284" spans="1:18">
      <c r="A284" s="9" t="s">
        <v>5621</v>
      </c>
      <c r="B284" s="14" t="s">
        <v>330</v>
      </c>
      <c r="C284" s="14" t="s">
        <v>191</v>
      </c>
      <c r="D284" s="14" t="s">
        <v>2871</v>
      </c>
      <c r="E284" s="15" t="str">
        <f>HYPERLINK("https://stat100.ameba.jp/tnk47/ratio20/illustrations/card/ill_51973_0_kemonomizugikuroyuridensetsu03.jpg?201901-3-RELEASE-dice-e-389x", "■")</f>
        <v>■</v>
      </c>
      <c r="F284" s="14" t="s">
        <v>2872</v>
      </c>
      <c r="G284" s="14">
        <v>94236</v>
      </c>
      <c r="H284" s="14">
        <v>83712</v>
      </c>
      <c r="I284" s="14">
        <v>15</v>
      </c>
      <c r="J284" s="14" t="s">
        <v>274</v>
      </c>
      <c r="K284" s="14" t="s">
        <v>2873</v>
      </c>
      <c r="L284" s="14" t="s">
        <v>2874</v>
      </c>
      <c r="M284" s="14" t="s">
        <v>9158</v>
      </c>
      <c r="N284" s="14" t="s">
        <v>9158</v>
      </c>
      <c r="O284" s="18" t="s">
        <v>10066</v>
      </c>
      <c r="P284" s="14" t="s">
        <v>13172</v>
      </c>
      <c r="Q284" s="14">
        <v>1</v>
      </c>
      <c r="R284" s="14"/>
    </row>
    <row r="285" spans="1:18">
      <c r="A285" s="9" t="s">
        <v>5622</v>
      </c>
      <c r="B285" s="14" t="s">
        <v>330</v>
      </c>
      <c r="C285" s="14" t="s">
        <v>185</v>
      </c>
      <c r="D285" s="14" t="s">
        <v>509</v>
      </c>
      <c r="E285" s="15" t="str">
        <f>HYPERLINK("https://stat100.ameba.jp/tnk47/ratio20/illustrations/card/ill_49953_0_yushamarihime03.jpg?201901-3-RELEASE-dice-e-389x", "■")</f>
        <v>■</v>
      </c>
      <c r="F285" s="14" t="s">
        <v>510</v>
      </c>
      <c r="G285" s="14">
        <v>94236</v>
      </c>
      <c r="H285" s="14">
        <v>83712</v>
      </c>
      <c r="I285" s="14">
        <v>15</v>
      </c>
      <c r="J285" s="14" t="s">
        <v>315</v>
      </c>
      <c r="K285" s="14" t="s">
        <v>511</v>
      </c>
      <c r="L285" s="14" t="s">
        <v>512</v>
      </c>
      <c r="M285" s="14" t="s">
        <v>9158</v>
      </c>
      <c r="N285" s="14" t="s">
        <v>9158</v>
      </c>
      <c r="O285" s="14" t="s">
        <v>9158</v>
      </c>
      <c r="P285" s="14" t="s">
        <v>9158</v>
      </c>
      <c r="Q285" s="14" t="s">
        <v>9158</v>
      </c>
      <c r="R285" s="14"/>
    </row>
    <row r="286" spans="1:18">
      <c r="A286" s="9">
        <v>75723</v>
      </c>
      <c r="B286" s="14" t="s">
        <v>334</v>
      </c>
      <c r="C286" s="14" t="s">
        <v>206</v>
      </c>
      <c r="D286" s="14" t="s">
        <v>5636</v>
      </c>
      <c r="E286" s="15" t="str">
        <f>HYPERLINK("https://stat100.ameba.jp/tnk47/ratio20/illustrations/card/ill_75723_shirokitsunenooshibai03.jpg?201901-3-RELEASE-dice-e-389x", "■")</f>
        <v>■</v>
      </c>
      <c r="F286" s="14" t="s">
        <v>3149</v>
      </c>
      <c r="G286" s="14">
        <v>123870</v>
      </c>
      <c r="H286" s="14">
        <v>69714</v>
      </c>
      <c r="I286" s="14">
        <v>22</v>
      </c>
      <c r="J286" s="14" t="s">
        <v>274</v>
      </c>
      <c r="K286" s="14" t="s">
        <v>3150</v>
      </c>
      <c r="L286" s="14" t="s">
        <v>3151</v>
      </c>
      <c r="M286" s="14" t="s">
        <v>9158</v>
      </c>
      <c r="N286" s="14" t="s">
        <v>9158</v>
      </c>
      <c r="O286" s="14" t="s">
        <v>9158</v>
      </c>
      <c r="P286" s="14" t="s">
        <v>9158</v>
      </c>
      <c r="Q286" s="14" t="s">
        <v>9158</v>
      </c>
      <c r="R286" s="14"/>
    </row>
    <row r="287" spans="1:18">
      <c r="A287" s="9">
        <v>69133</v>
      </c>
      <c r="B287" s="14" t="s">
        <v>334</v>
      </c>
      <c r="C287" s="14" t="s">
        <v>185</v>
      </c>
      <c r="D287" s="14" t="s">
        <v>3152</v>
      </c>
      <c r="E287" s="15" t="str">
        <f>HYPERLINK("https://stat100.ameba.jp/tnk47/ratio20/illustrations/card/ill_69133_payokakamui03.jpg?201901-3-RELEASE-dice-e-389x", "■")</f>
        <v>■</v>
      </c>
      <c r="F287" s="14" t="s">
        <v>3153</v>
      </c>
      <c r="G287" s="14">
        <v>110818</v>
      </c>
      <c r="H287" s="14">
        <v>62342</v>
      </c>
      <c r="I287" s="14">
        <v>22</v>
      </c>
      <c r="J287" s="14" t="s">
        <v>401</v>
      </c>
      <c r="K287" s="14" t="s">
        <v>3154</v>
      </c>
      <c r="L287" s="14" t="s">
        <v>3155</v>
      </c>
      <c r="M287" s="14" t="s">
        <v>9158</v>
      </c>
      <c r="N287" s="14" t="s">
        <v>9158</v>
      </c>
      <c r="O287" s="14" t="s">
        <v>9158</v>
      </c>
      <c r="P287" s="14" t="s">
        <v>9158</v>
      </c>
      <c r="Q287" s="14" t="s">
        <v>9158</v>
      </c>
      <c r="R287" s="14"/>
    </row>
    <row r="288" spans="1:18">
      <c r="A288" s="9">
        <v>73113</v>
      </c>
      <c r="B288" s="14" t="s">
        <v>334</v>
      </c>
      <c r="C288" s="14" t="s">
        <v>191</v>
      </c>
      <c r="D288" s="14" t="s">
        <v>3156</v>
      </c>
      <c r="E288" s="15" t="str">
        <f>HYPERLINK("https://stat100.ameba.jp/tnk47/ratio20/illustrations/card/ill_73113_kinasanosatokijomomiji03.jpg?201901-3-RELEASE-dice-e-389x", "■")</f>
        <v>■</v>
      </c>
      <c r="F288" s="14" t="s">
        <v>3157</v>
      </c>
      <c r="G288" s="14">
        <v>91664</v>
      </c>
      <c r="H288" s="14">
        <v>85246</v>
      </c>
      <c r="I288" s="14">
        <v>22</v>
      </c>
      <c r="J288" s="14" t="s">
        <v>320</v>
      </c>
      <c r="K288" s="14" t="s">
        <v>3158</v>
      </c>
      <c r="L288" s="14" t="s">
        <v>2956</v>
      </c>
      <c r="M288" s="14" t="s">
        <v>9158</v>
      </c>
      <c r="N288" s="14" t="s">
        <v>9158</v>
      </c>
      <c r="O288" s="14" t="s">
        <v>9158</v>
      </c>
      <c r="P288" s="14" t="s">
        <v>9158</v>
      </c>
      <c r="Q288" s="14" t="s">
        <v>9158</v>
      </c>
      <c r="R288" s="14"/>
    </row>
    <row r="289" spans="1:18">
      <c r="B289" s="14"/>
      <c r="C289" s="14"/>
      <c r="D289" s="14"/>
      <c r="F289" s="14"/>
      <c r="G289" s="14"/>
      <c r="H289" s="14"/>
      <c r="I289" s="14"/>
      <c r="J289" s="14"/>
      <c r="K289" s="14"/>
      <c r="L289" s="14"/>
      <c r="M289" s="14"/>
      <c r="N289" s="14"/>
      <c r="O289" s="7"/>
      <c r="P289" s="14"/>
      <c r="Q289" s="14"/>
      <c r="R289" s="14"/>
    </row>
    <row r="290" spans="1:18">
      <c r="A290" s="14" t="s">
        <v>15548</v>
      </c>
      <c r="D290" s="14"/>
      <c r="F290" s="14"/>
      <c r="G290" s="14"/>
      <c r="H290" s="14"/>
      <c r="I290" s="14"/>
      <c r="J290" s="14"/>
      <c r="K290" s="14"/>
      <c r="L290" s="14"/>
      <c r="M290" s="14"/>
      <c r="N290" s="14"/>
      <c r="O290" s="7"/>
      <c r="P290" s="14"/>
      <c r="Q290" s="14"/>
      <c r="R290" s="14"/>
    </row>
    <row r="291" spans="1:18">
      <c r="A291" s="14" t="s">
        <v>3159</v>
      </c>
      <c r="B291" s="14"/>
      <c r="C291" s="14"/>
      <c r="D291" s="14"/>
      <c r="F291" s="14"/>
      <c r="G291" s="14"/>
      <c r="H291" s="14"/>
      <c r="I291" s="14"/>
      <c r="J291" s="14"/>
      <c r="K291" s="14"/>
      <c r="L291" s="14"/>
      <c r="M291" s="14"/>
      <c r="N291" s="14"/>
      <c r="O291" s="7"/>
      <c r="P291" s="14"/>
      <c r="Q291" s="14"/>
      <c r="R291" s="14"/>
    </row>
    <row r="292" spans="1:18">
      <c r="A292" s="9" t="s">
        <v>5848</v>
      </c>
      <c r="B292" s="14" t="s">
        <v>330</v>
      </c>
      <c r="C292" s="14" t="s">
        <v>200</v>
      </c>
      <c r="D292" s="14" t="s">
        <v>3160</v>
      </c>
      <c r="E292" s="15" t="str">
        <f>HYPERLINK("https://stat100.ameba.jp/tnk47/ratio20/illustrations/card/ill_72963_0_amenohanayomehiguchiichiyo03.jpg?201901-4-RELEASE-guildbattle-390", "■")</f>
        <v>■</v>
      </c>
      <c r="F292" s="14" t="s">
        <v>757</v>
      </c>
      <c r="G292" s="14">
        <v>140704</v>
      </c>
      <c r="H292" s="14">
        <v>130830</v>
      </c>
      <c r="I292" s="14">
        <v>21</v>
      </c>
      <c r="J292" s="14" t="s">
        <v>351</v>
      </c>
      <c r="K292" s="14" t="s">
        <v>1489</v>
      </c>
      <c r="L292" s="14" t="s">
        <v>3161</v>
      </c>
      <c r="M292" s="14" t="s">
        <v>9158</v>
      </c>
      <c r="N292" s="14" t="s">
        <v>9158</v>
      </c>
      <c r="O292" s="7" t="s">
        <v>3162</v>
      </c>
      <c r="P292" s="14" t="s">
        <v>3163</v>
      </c>
      <c r="Q292" s="14">
        <v>1</v>
      </c>
      <c r="R292" s="14"/>
    </row>
    <row r="293" spans="1:18">
      <c r="A293" s="9" t="s">
        <v>10151</v>
      </c>
      <c r="B293" s="14" t="s">
        <v>330</v>
      </c>
      <c r="C293" s="14" t="s">
        <v>206</v>
      </c>
      <c r="D293" s="14" t="s">
        <v>669</v>
      </c>
      <c r="E293" s="15" t="str">
        <f>HYPERLINK("https://stat100.ameba.jp/tnk47/ratio20/illustrations/card/ill_67173_0_yukemuriawamorichan03.jpg?201901-4-RELEASE-guildbattle-390", "■")</f>
        <v>■</v>
      </c>
      <c r="F293" s="14" t="s">
        <v>670</v>
      </c>
      <c r="G293" s="14">
        <v>161349</v>
      </c>
      <c r="H293" s="14">
        <v>150006</v>
      </c>
      <c r="I293" s="14">
        <v>21</v>
      </c>
      <c r="J293" s="14" t="s">
        <v>283</v>
      </c>
      <c r="K293" s="14" t="s">
        <v>671</v>
      </c>
      <c r="L293" s="14" t="s">
        <v>672</v>
      </c>
      <c r="M293" s="14" t="s">
        <v>9158</v>
      </c>
      <c r="N293" s="14" t="s">
        <v>9158</v>
      </c>
      <c r="O293" s="18" t="s">
        <v>10061</v>
      </c>
      <c r="P293" s="14" t="s">
        <v>3164</v>
      </c>
      <c r="Q293" s="14">
        <v>1</v>
      </c>
      <c r="R293" s="14"/>
    </row>
    <row r="294" spans="1:18">
      <c r="A294" s="9">
        <v>76803</v>
      </c>
      <c r="B294" s="14" t="s">
        <v>334</v>
      </c>
      <c r="C294" s="14" t="s">
        <v>202</v>
      </c>
      <c r="D294" s="14" t="s">
        <v>673</v>
      </c>
      <c r="E294" s="15" t="str">
        <f>HYPERLINK("https://stat100.ameba.jp/tnk47/ratio20/illustrations/card/ill_76803_monsutakujirachan03.jpg?201901-4-RELEASE-guildbattle-390", "■")</f>
        <v>■</v>
      </c>
      <c r="F294" s="14" t="s">
        <v>674</v>
      </c>
      <c r="G294" s="14">
        <v>159674</v>
      </c>
      <c r="H294" s="14">
        <v>115656</v>
      </c>
      <c r="I294" s="14">
        <v>24</v>
      </c>
      <c r="J294" s="14" t="s">
        <v>283</v>
      </c>
      <c r="K294" s="14" t="s">
        <v>675</v>
      </c>
      <c r="L294" s="14" t="s">
        <v>435</v>
      </c>
      <c r="M294" s="14" t="s">
        <v>9158</v>
      </c>
      <c r="N294" s="14" t="s">
        <v>9158</v>
      </c>
      <c r="O294" s="7" t="s">
        <v>3165</v>
      </c>
      <c r="P294" s="14" t="s">
        <v>13139</v>
      </c>
      <c r="Q294" s="14">
        <v>1</v>
      </c>
      <c r="R294" s="14"/>
    </row>
    <row r="295" spans="1:18">
      <c r="A295" s="9">
        <v>58263</v>
      </c>
      <c r="B295" s="14" t="s">
        <v>334</v>
      </c>
      <c r="C295" s="14" t="s">
        <v>203</v>
      </c>
      <c r="D295" s="14" t="s">
        <v>679</v>
      </c>
      <c r="E295" s="15" t="str">
        <f>HYPERLINK("https://stat100.ameba.jp/tnk47/ratio20/illustrations/card/ill_58263_tamayorigozen03.jpg?201901-4-RELEASE-guildbattle-390", "■")</f>
        <v>■</v>
      </c>
      <c r="F295" s="14" t="s">
        <v>680</v>
      </c>
      <c r="G295" s="14">
        <v>66487</v>
      </c>
      <c r="H295" s="14">
        <v>91779</v>
      </c>
      <c r="I295" s="14">
        <v>21</v>
      </c>
      <c r="J295" s="14" t="s">
        <v>351</v>
      </c>
      <c r="K295" s="14" t="s">
        <v>681</v>
      </c>
      <c r="L295" s="14" t="s">
        <v>682</v>
      </c>
      <c r="M295" s="14" t="s">
        <v>9158</v>
      </c>
      <c r="N295" s="14" t="s">
        <v>9158</v>
      </c>
      <c r="O295" s="14" t="s">
        <v>9158</v>
      </c>
      <c r="P295" s="14" t="s">
        <v>9158</v>
      </c>
      <c r="Q295" s="14" t="s">
        <v>9158</v>
      </c>
      <c r="R295" s="14"/>
    </row>
    <row r="296" spans="1:18">
      <c r="A296" s="9">
        <v>60183</v>
      </c>
      <c r="B296" s="14" t="s">
        <v>334</v>
      </c>
      <c r="C296" s="14" t="s">
        <v>154</v>
      </c>
      <c r="D296" s="14" t="s">
        <v>444</v>
      </c>
      <c r="E296" s="15" t="str">
        <f>HYPERLINK("https://stat100.ameba.jp/tnk47/ratio20/illustrations/card/ill_60183_aizuyaichi03.jpg?201901-4-RELEASE-guildbattle-390", "■")</f>
        <v>■</v>
      </c>
      <c r="F296" s="14" t="s">
        <v>445</v>
      </c>
      <c r="G296" s="14">
        <v>69051</v>
      </c>
      <c r="H296" s="14">
        <v>95307</v>
      </c>
      <c r="I296" s="14">
        <v>21</v>
      </c>
      <c r="J296" s="14" t="s">
        <v>414</v>
      </c>
      <c r="K296" s="14" t="s">
        <v>446</v>
      </c>
      <c r="L296" s="14" t="s">
        <v>447</v>
      </c>
      <c r="M296" s="14" t="s">
        <v>9158</v>
      </c>
      <c r="N296" s="14" t="s">
        <v>9158</v>
      </c>
      <c r="O296" s="14" t="s">
        <v>9158</v>
      </c>
      <c r="P296" s="14" t="s">
        <v>9158</v>
      </c>
      <c r="Q296" s="14" t="s">
        <v>9158</v>
      </c>
      <c r="R296" s="14"/>
    </row>
    <row r="297" spans="1:18">
      <c r="A297" s="9">
        <v>64883</v>
      </c>
      <c r="B297" s="14" t="s">
        <v>334</v>
      </c>
      <c r="C297" s="14" t="s">
        <v>154</v>
      </c>
      <c r="D297" s="14" t="s">
        <v>125</v>
      </c>
      <c r="E297" s="15" t="str">
        <f>HYPERLINK("https://stat100.ameba.jp/tnk47/ratio20/illustrations/card/ill_64883_kasane03.jpg?201901-4-RELEASE-guildbattle-390", "■")</f>
        <v>■</v>
      </c>
      <c r="F297" s="14" t="s">
        <v>3166</v>
      </c>
      <c r="G297" s="14">
        <v>77618</v>
      </c>
      <c r="H297" s="14">
        <v>107166</v>
      </c>
      <c r="I297" s="14">
        <v>21</v>
      </c>
      <c r="J297" s="14" t="s">
        <v>274</v>
      </c>
      <c r="K297" s="14" t="s">
        <v>3167</v>
      </c>
      <c r="L297" s="14" t="s">
        <v>3168</v>
      </c>
      <c r="M297" s="14" t="s">
        <v>9158</v>
      </c>
      <c r="N297" s="14" t="s">
        <v>9158</v>
      </c>
      <c r="O297" s="14" t="s">
        <v>9158</v>
      </c>
      <c r="P297" s="14" t="s">
        <v>9158</v>
      </c>
      <c r="Q297" s="14" t="s">
        <v>9158</v>
      </c>
      <c r="R297" s="14"/>
    </row>
    <row r="298" spans="1:18">
      <c r="A298" s="9">
        <v>72163</v>
      </c>
      <c r="B298" s="14" t="s">
        <v>334</v>
      </c>
      <c r="C298" s="14" t="s">
        <v>269</v>
      </c>
      <c r="D298" s="14" t="s">
        <v>3169</v>
      </c>
      <c r="E298" s="15" t="str">
        <f>HYPERLINK("https://stat100.ameba.jp/tnk47/ratio20/illustrations/card/ill_72163_yagyutoshiyoshi03.jpg?201901-4-RELEASE-guildbattle-390", "■")</f>
        <v>■</v>
      </c>
      <c r="F298" s="14" t="s">
        <v>3170</v>
      </c>
      <c r="G298" s="14">
        <v>111000</v>
      </c>
      <c r="H298" s="14">
        <v>80391</v>
      </c>
      <c r="I298" s="14">
        <v>21</v>
      </c>
      <c r="J298" s="14" t="s">
        <v>310</v>
      </c>
      <c r="K298" s="14" t="s">
        <v>3171</v>
      </c>
      <c r="L298" s="14" t="s">
        <v>3172</v>
      </c>
      <c r="M298" s="14" t="s">
        <v>9158</v>
      </c>
      <c r="N298" s="14" t="s">
        <v>9158</v>
      </c>
      <c r="O298" s="7" t="s">
        <v>3173</v>
      </c>
      <c r="P298" s="14" t="s">
        <v>3174</v>
      </c>
      <c r="Q298" s="14">
        <v>1</v>
      </c>
      <c r="R298" s="14"/>
    </row>
    <row r="299" spans="1:18">
      <c r="A299" s="9">
        <v>67943</v>
      </c>
      <c r="B299" s="14" t="s">
        <v>334</v>
      </c>
      <c r="C299" s="14" t="s">
        <v>154</v>
      </c>
      <c r="D299" s="14" t="s">
        <v>3175</v>
      </c>
      <c r="E299" s="15" t="str">
        <f>HYPERLINK("https://stat100.ameba.jp/tnk47/ratio20/illustrations/card/ill_67943_hoshinamasayuki03.jpg?201901-4-RELEASE-guildbattle-390", "■")</f>
        <v>■</v>
      </c>
      <c r="F299" s="14" t="s">
        <v>3176</v>
      </c>
      <c r="G299" s="14">
        <v>65335</v>
      </c>
      <c r="H299" s="14">
        <v>60733</v>
      </c>
      <c r="I299" s="14">
        <v>21</v>
      </c>
      <c r="J299" s="14" t="s">
        <v>351</v>
      </c>
      <c r="K299" s="14" t="s">
        <v>3177</v>
      </c>
      <c r="L299" s="14" t="s">
        <v>3178</v>
      </c>
      <c r="M299" s="14" t="s">
        <v>9158</v>
      </c>
      <c r="N299" s="14" t="s">
        <v>9158</v>
      </c>
      <c r="O299" s="14" t="s">
        <v>9158</v>
      </c>
      <c r="P299" s="14" t="s">
        <v>9158</v>
      </c>
      <c r="Q299" s="14" t="s">
        <v>9158</v>
      </c>
      <c r="R299" s="14"/>
    </row>
    <row r="300" spans="1:18">
      <c r="B300" s="14"/>
      <c r="C300" s="14"/>
      <c r="D300" s="14"/>
      <c r="F300" s="14"/>
      <c r="G300" s="14"/>
      <c r="H300" s="14"/>
      <c r="I300" s="14"/>
      <c r="J300" s="14"/>
      <c r="K300" s="14"/>
      <c r="L300" s="14"/>
      <c r="M300" s="14"/>
      <c r="N300" s="14"/>
      <c r="O300" s="7"/>
      <c r="P300" s="14"/>
      <c r="Q300" s="14"/>
      <c r="R300" s="14"/>
    </row>
    <row r="301" spans="1:18">
      <c r="A301" s="14" t="s">
        <v>195</v>
      </c>
      <c r="D301" s="14"/>
      <c r="F301" s="14"/>
      <c r="G301" s="14"/>
      <c r="H301" s="14"/>
      <c r="I301" s="14"/>
      <c r="J301" s="14"/>
      <c r="K301" s="14"/>
      <c r="L301" s="14"/>
      <c r="M301" s="14"/>
      <c r="N301" s="14"/>
      <c r="O301" s="7"/>
      <c r="P301" s="14"/>
      <c r="Q301" s="14"/>
      <c r="R301" s="14"/>
    </row>
    <row r="302" spans="1:18">
      <c r="A302" s="14" t="s">
        <v>3179</v>
      </c>
      <c r="C302" s="14"/>
      <c r="D302" s="14"/>
      <c r="F302" s="14"/>
      <c r="G302" s="14"/>
      <c r="H302" s="14"/>
      <c r="I302" s="14"/>
      <c r="J302" s="14"/>
      <c r="K302" s="14"/>
      <c r="L302" s="14"/>
      <c r="M302" s="14"/>
      <c r="N302" s="14"/>
      <c r="O302" s="7"/>
      <c r="P302" s="14"/>
      <c r="Q302" s="14"/>
      <c r="R302" s="14"/>
    </row>
    <row r="303" spans="1:18">
      <c r="A303" s="9">
        <v>50663</v>
      </c>
      <c r="B303" s="14" t="s">
        <v>334</v>
      </c>
      <c r="C303" s="14" t="s">
        <v>154</v>
      </c>
      <c r="D303" s="14" t="s">
        <v>3180</v>
      </c>
      <c r="E303" s="15" t="str">
        <f>HYPERLINK("https://stat100.ameba.jp/tnk47/ratio20/illustrations/card/ill_50663_hokkaidoikurachan03.jpg?201901-4-RELEASE-guildbattle-390", "■")</f>
        <v>■</v>
      </c>
      <c r="F303" s="14" t="s">
        <v>3181</v>
      </c>
      <c r="G303" s="14">
        <v>84214</v>
      </c>
      <c r="H303" s="14">
        <v>90574</v>
      </c>
      <c r="I303" s="14">
        <v>21</v>
      </c>
      <c r="J303" s="14" t="s">
        <v>283</v>
      </c>
      <c r="K303" s="14" t="s">
        <v>3182</v>
      </c>
      <c r="L303" s="14" t="s">
        <v>3183</v>
      </c>
      <c r="M303" s="14" t="s">
        <v>9158</v>
      </c>
      <c r="N303" s="14" t="s">
        <v>9158</v>
      </c>
      <c r="O303" s="14" t="s">
        <v>9158</v>
      </c>
      <c r="P303" s="14" t="s">
        <v>9158</v>
      </c>
      <c r="Q303" s="14" t="s">
        <v>9158</v>
      </c>
      <c r="R303" s="14"/>
    </row>
    <row r="304" spans="1:18">
      <c r="A304" s="9">
        <v>64433</v>
      </c>
      <c r="B304" s="14" t="s">
        <v>334</v>
      </c>
      <c r="C304" s="14" t="s">
        <v>158</v>
      </c>
      <c r="D304" s="14" t="s">
        <v>3184</v>
      </c>
      <c r="E304" s="15" t="str">
        <f>HYPERLINK("https://stat100.ameba.jp/tnk47/ratio20/illustrations/card/ill_64433_ippondatara03.jpg?201901-4-RELEASE-guildbattle-390", "■")</f>
        <v>■</v>
      </c>
      <c r="F304" s="14" t="s">
        <v>3185</v>
      </c>
      <c r="G304" s="14">
        <v>84214</v>
      </c>
      <c r="H304" s="14">
        <v>90574</v>
      </c>
      <c r="I304" s="14">
        <v>21</v>
      </c>
      <c r="J304" s="14" t="s">
        <v>320</v>
      </c>
      <c r="K304" s="14" t="s">
        <v>3186</v>
      </c>
      <c r="L304" s="14" t="s">
        <v>3187</v>
      </c>
      <c r="M304" s="14" t="s">
        <v>9158</v>
      </c>
      <c r="N304" s="14" t="s">
        <v>9158</v>
      </c>
      <c r="O304" s="14" t="s">
        <v>9158</v>
      </c>
      <c r="P304" s="14" t="s">
        <v>9158</v>
      </c>
      <c r="Q304" s="14" t="s">
        <v>9158</v>
      </c>
      <c r="R304" s="14"/>
    </row>
    <row r="305" spans="1:18">
      <c r="A305" s="9">
        <v>64193</v>
      </c>
      <c r="B305" s="14" t="s">
        <v>334</v>
      </c>
      <c r="C305" s="14" t="s">
        <v>205</v>
      </c>
      <c r="D305" s="14" t="s">
        <v>3188</v>
      </c>
      <c r="E305" s="15" t="str">
        <f>HYPERLINK("https://stat100.ameba.jp/tnk47/ratio20/illustrations/card/ill_64193_meikokoizumiyakumo03.jpg?201901-4-RELEASE-guildbattle-390", "■")</f>
        <v>■</v>
      </c>
      <c r="F305" s="14" t="s">
        <v>3189</v>
      </c>
      <c r="G305" s="14">
        <v>85153</v>
      </c>
      <c r="H305" s="14">
        <v>79207</v>
      </c>
      <c r="I305" s="14">
        <v>21</v>
      </c>
      <c r="J305" s="14" t="s">
        <v>414</v>
      </c>
      <c r="K305" s="14" t="s">
        <v>3190</v>
      </c>
      <c r="L305" s="14" t="s">
        <v>1485</v>
      </c>
      <c r="M305" s="14" t="s">
        <v>9158</v>
      </c>
      <c r="N305" s="14" t="s">
        <v>9158</v>
      </c>
      <c r="O305" s="14" t="s">
        <v>9158</v>
      </c>
      <c r="P305" s="14" t="s">
        <v>9158</v>
      </c>
      <c r="Q305" s="14" t="s">
        <v>9158</v>
      </c>
      <c r="R305" s="14"/>
    </row>
    <row r="306" spans="1:18">
      <c r="A306" s="9">
        <v>70523</v>
      </c>
      <c r="B306" s="14" t="s">
        <v>334</v>
      </c>
      <c r="C306" s="14" t="s">
        <v>191</v>
      </c>
      <c r="D306" s="14" t="s">
        <v>3191</v>
      </c>
      <c r="E306" s="15" t="str">
        <f>HYPERLINK("https://stat100.ameba.jp/tnk47/ratio20/illustrations/card/ill_70523_shitsunaipurumochizukichiyome03.jpg?201901-4-RELEASE-guildbattle-390", "■")</f>
        <v>■</v>
      </c>
      <c r="F306" s="14" t="s">
        <v>3192</v>
      </c>
      <c r="G306" s="14">
        <v>79207</v>
      </c>
      <c r="H306" s="14">
        <v>85153</v>
      </c>
      <c r="I306" s="14">
        <v>21</v>
      </c>
      <c r="J306" s="14" t="s">
        <v>414</v>
      </c>
      <c r="K306" s="14" t="s">
        <v>3193</v>
      </c>
      <c r="L306" s="14" t="s">
        <v>3134</v>
      </c>
      <c r="M306" s="14" t="s">
        <v>9158</v>
      </c>
      <c r="N306" s="14" t="s">
        <v>9158</v>
      </c>
      <c r="O306" s="14" t="s">
        <v>9158</v>
      </c>
      <c r="P306" s="14" t="s">
        <v>9158</v>
      </c>
      <c r="Q306" s="14" t="s">
        <v>9158</v>
      </c>
      <c r="R306" s="14"/>
    </row>
    <row r="307" spans="1:18">
      <c r="B307" s="14"/>
      <c r="C307" s="14"/>
      <c r="D307" s="14"/>
      <c r="F307" s="14"/>
      <c r="G307" s="14"/>
      <c r="H307" s="14"/>
      <c r="I307" s="14"/>
      <c r="J307" s="14"/>
      <c r="K307" s="14"/>
      <c r="L307" s="14"/>
      <c r="M307" s="14"/>
      <c r="N307" s="14"/>
      <c r="O307" s="7"/>
      <c r="P307" s="14"/>
      <c r="Q307" s="14"/>
      <c r="R307" s="14"/>
    </row>
    <row r="308" spans="1:18">
      <c r="A308" s="14" t="s">
        <v>223</v>
      </c>
      <c r="D308" s="14"/>
      <c r="F308" s="14"/>
      <c r="G308" s="14"/>
      <c r="H308" s="14"/>
      <c r="I308" s="14"/>
      <c r="J308" s="14"/>
      <c r="K308" s="14"/>
      <c r="L308" s="14"/>
      <c r="M308" s="14"/>
      <c r="N308" s="14"/>
      <c r="O308" s="7"/>
      <c r="P308" s="14"/>
      <c r="Q308" s="14"/>
      <c r="R308" s="14"/>
    </row>
    <row r="309" spans="1:18">
      <c r="A309" s="14" t="s">
        <v>3194</v>
      </c>
      <c r="B309" s="14"/>
      <c r="C309" s="14"/>
      <c r="D309" s="14"/>
      <c r="F309" s="14"/>
      <c r="G309" s="14"/>
      <c r="H309" s="14"/>
      <c r="I309" s="14"/>
      <c r="J309" s="14"/>
      <c r="K309" s="14"/>
      <c r="L309" s="14"/>
      <c r="M309" s="14"/>
      <c r="N309" s="14"/>
      <c r="O309" s="7"/>
      <c r="P309" s="14"/>
      <c r="Q309" s="14"/>
      <c r="R309" s="14"/>
    </row>
    <row r="310" spans="1:18">
      <c r="A310" s="9" t="s">
        <v>5804</v>
      </c>
      <c r="B310" s="14" t="s">
        <v>330</v>
      </c>
      <c r="C310" s="14" t="s">
        <v>185</v>
      </c>
      <c r="D310" s="14" t="s">
        <v>3195</v>
      </c>
      <c r="E310" s="15" t="str">
        <f>HYPERLINK("https://stat100.ameba.jp/tnk47/ratio20/illustrations/card/ill_75393_0_resukuinotsukisamaniittausagi03.jpg?201901-4-RELEASE-guildbattle-390x", "■")</f>
        <v>■</v>
      </c>
      <c r="F310" s="14" t="s">
        <v>1679</v>
      </c>
      <c r="G310" s="14">
        <v>205026</v>
      </c>
      <c r="H310" s="14">
        <v>190620</v>
      </c>
      <c r="I310" s="14">
        <v>18</v>
      </c>
      <c r="J310" s="14" t="s">
        <v>369</v>
      </c>
      <c r="K310" s="14" t="s">
        <v>3196</v>
      </c>
      <c r="L310" s="14" t="s">
        <v>3197</v>
      </c>
      <c r="M310" s="14" t="s">
        <v>9158</v>
      </c>
      <c r="N310" s="14" t="s">
        <v>9158</v>
      </c>
      <c r="O310" s="18" t="s">
        <v>10051</v>
      </c>
      <c r="P310" s="14" t="s">
        <v>3198</v>
      </c>
      <c r="Q310" s="14">
        <v>2</v>
      </c>
      <c r="R310" s="14"/>
    </row>
    <row r="311" spans="1:18">
      <c r="A311" s="9">
        <v>72923</v>
      </c>
      <c r="B311" s="14" t="s">
        <v>334</v>
      </c>
      <c r="C311" s="14" t="s">
        <v>206</v>
      </c>
      <c r="D311" s="14" t="s">
        <v>3199</v>
      </c>
      <c r="E311" s="15" t="str">
        <f>HYPERLINK("https://stat100.ameba.jp/tnk47/ratio20/illustrations/card/ill_72923_amenohanayomemyorinni03.jpg?201901-4-RELEASE-guildbattle-390x", "■")</f>
        <v>■</v>
      </c>
      <c r="F311" s="14" t="s">
        <v>3200</v>
      </c>
      <c r="G311" s="14">
        <v>110548</v>
      </c>
      <c r="H311" s="14">
        <v>118894</v>
      </c>
      <c r="I311" s="14">
        <v>20</v>
      </c>
      <c r="J311" s="14" t="s">
        <v>310</v>
      </c>
      <c r="K311" s="14" t="s">
        <v>3201</v>
      </c>
      <c r="L311" s="14" t="s">
        <v>407</v>
      </c>
      <c r="M311" s="14" t="s">
        <v>9158</v>
      </c>
      <c r="N311" s="14" t="s">
        <v>9158</v>
      </c>
      <c r="O311" s="7" t="s">
        <v>2752</v>
      </c>
      <c r="P311" s="14" t="s">
        <v>13123</v>
      </c>
      <c r="Q311" s="14">
        <v>1</v>
      </c>
      <c r="R311" s="14"/>
    </row>
    <row r="312" spans="1:18">
      <c r="A312" s="9">
        <v>73913</v>
      </c>
      <c r="B312" s="14" t="s">
        <v>334</v>
      </c>
      <c r="C312" s="14" t="s">
        <v>154</v>
      </c>
      <c r="D312" s="14" t="s">
        <v>3202</v>
      </c>
      <c r="E312" s="15" t="str">
        <f>HYPERLINK("https://stat100.ameba.jp/tnk47/ratio20/illustrations/card/ill_73913_atsutajingu03.jpg?201901-4-RELEASE-guildbattle-390x", "■")</f>
        <v>■</v>
      </c>
      <c r="F312" s="14" t="s">
        <v>3203</v>
      </c>
      <c r="G312" s="14">
        <v>66124</v>
      </c>
      <c r="H312" s="14">
        <v>91296</v>
      </c>
      <c r="I312" s="14">
        <v>20</v>
      </c>
      <c r="J312" s="14" t="s">
        <v>401</v>
      </c>
      <c r="K312" s="14" t="s">
        <v>3204</v>
      </c>
      <c r="L312" s="14" t="s">
        <v>3205</v>
      </c>
      <c r="M312" s="14" t="s">
        <v>9158</v>
      </c>
      <c r="N312" s="14" t="s">
        <v>9158</v>
      </c>
      <c r="O312" s="18" t="s">
        <v>10053</v>
      </c>
      <c r="P312" s="14" t="s">
        <v>2822</v>
      </c>
      <c r="Q312" s="14">
        <v>1</v>
      </c>
      <c r="R312" s="14"/>
    </row>
    <row r="313" spans="1:18">
      <c r="A313" s="9">
        <v>75333</v>
      </c>
      <c r="B313" s="14" t="s">
        <v>334</v>
      </c>
      <c r="C313" s="14" t="s">
        <v>200</v>
      </c>
      <c r="D313" s="14" t="s">
        <v>3206</v>
      </c>
      <c r="E313" s="15" t="str">
        <f>HYPERLINK("https://stat100.ameba.jp/tnk47/ratio20/illustrations/card/ill_75333_resukuintamamonomae03.jpg?201901-4-RELEASE-guildbattle-390x", "■")</f>
        <v>■</v>
      </c>
      <c r="F313" s="14" t="s">
        <v>3207</v>
      </c>
      <c r="G313" s="14">
        <v>77496</v>
      </c>
      <c r="H313" s="14">
        <v>83330</v>
      </c>
      <c r="I313" s="14">
        <v>20</v>
      </c>
      <c r="J313" s="14" t="s">
        <v>320</v>
      </c>
      <c r="K313" s="14" t="s">
        <v>3208</v>
      </c>
      <c r="L313" s="14" t="s">
        <v>3209</v>
      </c>
      <c r="M313" s="14" t="s">
        <v>9158</v>
      </c>
      <c r="N313" s="14" t="s">
        <v>9158</v>
      </c>
      <c r="O313" s="18" t="s">
        <v>10053</v>
      </c>
      <c r="P313" s="14" t="s">
        <v>2822</v>
      </c>
      <c r="Q313" s="14">
        <v>1</v>
      </c>
      <c r="R313" s="14"/>
    </row>
    <row r="314" spans="1:18">
      <c r="B314" s="14"/>
      <c r="C314" s="14"/>
      <c r="D314" s="14"/>
      <c r="F314" s="14"/>
      <c r="G314" s="14"/>
      <c r="H314" s="14"/>
      <c r="I314" s="14"/>
      <c r="J314" s="14"/>
      <c r="K314" s="14"/>
      <c r="L314" s="14"/>
      <c r="M314" s="14"/>
      <c r="N314" s="14"/>
      <c r="O314" s="7"/>
      <c r="P314" s="14"/>
      <c r="Q314" s="14"/>
      <c r="R314" s="14"/>
    </row>
    <row r="315" spans="1:18">
      <c r="A315" s="14" t="s">
        <v>13326</v>
      </c>
      <c r="D315" s="14"/>
      <c r="F315" s="14"/>
      <c r="G315" s="14"/>
      <c r="H315" s="14"/>
      <c r="I315" s="14"/>
      <c r="J315" s="14"/>
      <c r="K315" s="14"/>
      <c r="L315" s="14"/>
      <c r="M315" s="14"/>
      <c r="N315" s="14"/>
      <c r="O315" s="7"/>
      <c r="P315" s="14"/>
      <c r="Q315" s="14"/>
      <c r="R315" s="14"/>
    </row>
    <row r="316" spans="1:18">
      <c r="A316" s="14" t="s">
        <v>3210</v>
      </c>
      <c r="B316" s="14"/>
      <c r="C316" s="14"/>
      <c r="D316" s="14"/>
      <c r="F316" s="14"/>
      <c r="G316" s="14"/>
      <c r="H316" s="14"/>
      <c r="I316" s="14"/>
      <c r="J316" s="14"/>
      <c r="K316" s="14"/>
      <c r="L316" s="14"/>
      <c r="M316" s="14"/>
      <c r="N316" s="14"/>
      <c r="O316" s="7"/>
      <c r="P316" s="14"/>
      <c r="Q316" s="14"/>
      <c r="R316" s="14"/>
    </row>
    <row r="317" spans="1:18">
      <c r="A317" s="9">
        <v>71873</v>
      </c>
      <c r="B317" s="14" t="s">
        <v>334</v>
      </c>
      <c r="C317" s="14" t="s">
        <v>185</v>
      </c>
      <c r="D317" s="14" t="s">
        <v>210</v>
      </c>
      <c r="E317" s="15" t="str">
        <f>HYPERLINK("https://stat100.ameba.jp/tnk47/ratio20/illustrations/card/ill_71873_akashita03.jpg?201901-4-RELEASE-guildbattle-390x", "■")</f>
        <v>■</v>
      </c>
      <c r="F317" s="14" t="s">
        <v>691</v>
      </c>
      <c r="G317" s="14">
        <v>110750</v>
      </c>
      <c r="H317" s="14">
        <v>102964</v>
      </c>
      <c r="I317" s="14">
        <v>22</v>
      </c>
      <c r="J317" s="14" t="s">
        <v>182</v>
      </c>
      <c r="K317" s="14" t="s">
        <v>217</v>
      </c>
      <c r="L317" s="14" t="s">
        <v>13140</v>
      </c>
      <c r="M317" s="14" t="s">
        <v>13131</v>
      </c>
      <c r="N317" s="14" t="s">
        <v>251</v>
      </c>
      <c r="O317" s="14" t="s">
        <v>9158</v>
      </c>
      <c r="P317" s="14" t="s">
        <v>9158</v>
      </c>
      <c r="Q317" s="14" t="s">
        <v>9158</v>
      </c>
      <c r="R317" s="14"/>
    </row>
    <row r="318" spans="1:18">
      <c r="A318" s="9">
        <v>71872</v>
      </c>
      <c r="B318" s="14" t="s">
        <v>334</v>
      </c>
      <c r="C318" s="14" t="s">
        <v>185</v>
      </c>
      <c r="D318" s="14" t="s">
        <v>210</v>
      </c>
      <c r="E318" s="15" t="str">
        <f>HYPERLINK("https://stat100.ameba.jp/tnk47/ratio20/illustrations/card/ill_71872_akashita02.jpg?201901-4-RELEASE-guildbattle-390x", "■")</f>
        <v>■</v>
      </c>
      <c r="F318" s="14" t="s">
        <v>691</v>
      </c>
      <c r="G318" s="14">
        <v>92522</v>
      </c>
      <c r="H318" s="14">
        <v>85276</v>
      </c>
      <c r="I318" s="14">
        <v>22</v>
      </c>
      <c r="J318" s="14" t="s">
        <v>182</v>
      </c>
      <c r="K318" s="14" t="s">
        <v>217</v>
      </c>
      <c r="L318" s="14" t="s">
        <v>13140</v>
      </c>
      <c r="M318" s="14" t="s">
        <v>13131</v>
      </c>
      <c r="N318" s="14" t="s">
        <v>251</v>
      </c>
      <c r="O318" s="14" t="s">
        <v>9158</v>
      </c>
      <c r="P318" s="14" t="s">
        <v>9158</v>
      </c>
      <c r="Q318" s="14" t="s">
        <v>9158</v>
      </c>
      <c r="R318" s="14"/>
    </row>
    <row r="319" spans="1:18">
      <c r="A319" s="9">
        <v>71871</v>
      </c>
      <c r="B319" s="14" t="s">
        <v>334</v>
      </c>
      <c r="C319" s="14" t="s">
        <v>185</v>
      </c>
      <c r="D319" s="14" t="s">
        <v>210</v>
      </c>
      <c r="E319" s="15" t="str">
        <f>HYPERLINK("https://stat100.ameba.jp/tnk47/ratio20/illustrations/card/ill_71871_akashita01.jpg?201901-4-RELEASE-guildbattle-390x", "■")</f>
        <v>■</v>
      </c>
      <c r="F319" s="14" t="s">
        <v>691</v>
      </c>
      <c r="G319" s="14">
        <v>70686</v>
      </c>
      <c r="H319" s="14">
        <v>65802</v>
      </c>
      <c r="I319" s="14">
        <v>22</v>
      </c>
      <c r="J319" s="14" t="s">
        <v>182</v>
      </c>
      <c r="K319" s="14" t="s">
        <v>217</v>
      </c>
      <c r="L319" s="14" t="s">
        <v>13140</v>
      </c>
      <c r="M319" s="14" t="s">
        <v>13131</v>
      </c>
      <c r="N319" s="14" t="s">
        <v>251</v>
      </c>
      <c r="O319" s="14" t="s">
        <v>9158</v>
      </c>
      <c r="P319" s="14" t="s">
        <v>9158</v>
      </c>
      <c r="Q319" s="14" t="s">
        <v>9158</v>
      </c>
      <c r="R319" s="14"/>
    </row>
    <row r="320" spans="1:18">
      <c r="A320" s="9">
        <v>72693</v>
      </c>
      <c r="B320" s="14" t="s">
        <v>334</v>
      </c>
      <c r="C320" s="14" t="s">
        <v>200</v>
      </c>
      <c r="D320" s="14" t="s">
        <v>211</v>
      </c>
      <c r="E320" s="15" t="str">
        <f>HYPERLINK("https://stat100.ameba.jp/tnk47/ratio20/illustrations/card/ill_72693_sagarasozo03.jpg?201901-4-RELEASE-guildbattle-390x", "■")</f>
        <v>■</v>
      </c>
      <c r="F320" s="14" t="s">
        <v>692</v>
      </c>
      <c r="G320" s="14">
        <v>102964</v>
      </c>
      <c r="H320" s="14">
        <v>110750</v>
      </c>
      <c r="I320" s="14">
        <v>22</v>
      </c>
      <c r="J320" s="14" t="s">
        <v>194</v>
      </c>
      <c r="K320" s="14" t="s">
        <v>218</v>
      </c>
      <c r="L320" s="14" t="s">
        <v>9892</v>
      </c>
      <c r="M320" s="14" t="s">
        <v>13131</v>
      </c>
      <c r="N320" s="14" t="s">
        <v>251</v>
      </c>
      <c r="O320" s="14" t="s">
        <v>9158</v>
      </c>
      <c r="P320" s="14" t="s">
        <v>9158</v>
      </c>
      <c r="Q320" s="14" t="s">
        <v>9158</v>
      </c>
      <c r="R320" s="14"/>
    </row>
    <row r="321" spans="1:18">
      <c r="A321" s="9">
        <v>72703</v>
      </c>
      <c r="B321" s="14" t="s">
        <v>334</v>
      </c>
      <c r="C321" s="14" t="s">
        <v>191</v>
      </c>
      <c r="D321" s="14" t="s">
        <v>212</v>
      </c>
      <c r="E321" s="15" t="str">
        <f>HYPERLINK("https://stat100.ameba.jp/tnk47/ratio20/illustrations/card/ill_72703_hayakawanoritsugu03.jpg?201901-4-RELEASE-guildbattle-390x", "■")</f>
        <v>■</v>
      </c>
      <c r="F321" s="14" t="s">
        <v>693</v>
      </c>
      <c r="G321" s="14">
        <v>110750</v>
      </c>
      <c r="H321" s="14">
        <v>102964</v>
      </c>
      <c r="I321" s="14">
        <v>22</v>
      </c>
      <c r="J321" s="14" t="s">
        <v>173</v>
      </c>
      <c r="K321" s="14" t="s">
        <v>219</v>
      </c>
      <c r="L321" s="14" t="s">
        <v>9893</v>
      </c>
      <c r="M321" s="14" t="s">
        <v>13131</v>
      </c>
      <c r="N321" s="14" t="s">
        <v>251</v>
      </c>
      <c r="O321" s="14" t="s">
        <v>9158</v>
      </c>
      <c r="P321" s="14" t="s">
        <v>9158</v>
      </c>
      <c r="Q321" s="14" t="s">
        <v>9158</v>
      </c>
      <c r="R321" s="14"/>
    </row>
    <row r="322" spans="1:18">
      <c r="A322" s="9">
        <v>73523</v>
      </c>
      <c r="B322" s="14" t="s">
        <v>334</v>
      </c>
      <c r="C322" s="14" t="s">
        <v>165</v>
      </c>
      <c r="D322" s="14" t="s">
        <v>213</v>
      </c>
      <c r="E322" s="15" t="str">
        <f>HYPERLINK("https://stat100.ameba.jp/tnk47/ratio20/illustrations/card/ill_73523_marunomarudono03.jpg?201901-4-RELEASE-guildbattle-390x", "■")</f>
        <v>■</v>
      </c>
      <c r="F322" s="14" t="s">
        <v>694</v>
      </c>
      <c r="G322" s="14">
        <v>102964</v>
      </c>
      <c r="H322" s="14">
        <v>110750</v>
      </c>
      <c r="I322" s="14">
        <v>22</v>
      </c>
      <c r="J322" s="14" t="s">
        <v>187</v>
      </c>
      <c r="K322" s="14" t="s">
        <v>220</v>
      </c>
      <c r="L322" s="14" t="s">
        <v>9894</v>
      </c>
      <c r="M322" s="14" t="s">
        <v>13131</v>
      </c>
      <c r="N322" s="14" t="s">
        <v>251</v>
      </c>
      <c r="O322" s="14" t="s">
        <v>9158</v>
      </c>
      <c r="P322" s="14" t="s">
        <v>9158</v>
      </c>
      <c r="Q322" s="14" t="s">
        <v>9158</v>
      </c>
      <c r="R322" s="14"/>
    </row>
    <row r="323" spans="1:18">
      <c r="A323" s="9">
        <v>72713</v>
      </c>
      <c r="B323" s="14" t="s">
        <v>334</v>
      </c>
      <c r="C323" s="14" t="s">
        <v>205</v>
      </c>
      <c r="D323" s="14" t="s">
        <v>214</v>
      </c>
      <c r="E323" s="15" t="str">
        <f>HYPERLINK("https://stat100.ameba.jp/tnk47/ratio20/illustrations/card/ill_72713_okamuzuminomikoto03.jpg?201901-4-RELEASE-guildbattle-390x", "■")</f>
        <v>■</v>
      </c>
      <c r="F323" s="14" t="s">
        <v>695</v>
      </c>
      <c r="G323" s="14">
        <v>102964</v>
      </c>
      <c r="H323" s="14">
        <v>110750</v>
      </c>
      <c r="I323" s="14">
        <v>22</v>
      </c>
      <c r="J323" s="14" t="s">
        <v>169</v>
      </c>
      <c r="K323" s="14" t="s">
        <v>221</v>
      </c>
      <c r="L323" s="14" t="s">
        <v>9895</v>
      </c>
      <c r="M323" s="14" t="s">
        <v>13131</v>
      </c>
      <c r="N323" s="14" t="s">
        <v>251</v>
      </c>
      <c r="O323" s="14" t="s">
        <v>9158</v>
      </c>
      <c r="P323" s="14" t="s">
        <v>9158</v>
      </c>
      <c r="Q323" s="14" t="s">
        <v>9158</v>
      </c>
      <c r="R323" s="14"/>
    </row>
    <row r="324" spans="1:18">
      <c r="A324" s="9">
        <v>73533</v>
      </c>
      <c r="B324" s="14" t="s">
        <v>334</v>
      </c>
      <c r="C324" s="14" t="s">
        <v>206</v>
      </c>
      <c r="D324" s="14" t="s">
        <v>215</v>
      </c>
      <c r="E324" s="15" t="str">
        <f>HYPERLINK("https://stat100.ameba.jp/tnk47/ratio20/illustrations/card/ill_73533_agubutachan03.jpg?201901-4-RELEASE-guildbattle-390x", "■")</f>
        <v>■</v>
      </c>
      <c r="F324" s="14" t="s">
        <v>696</v>
      </c>
      <c r="G324" s="14">
        <v>110750</v>
      </c>
      <c r="H324" s="14">
        <v>102964</v>
      </c>
      <c r="I324" s="14">
        <v>22</v>
      </c>
      <c r="J324" s="14" t="s">
        <v>216</v>
      </c>
      <c r="K324" s="14" t="s">
        <v>697</v>
      </c>
      <c r="L324" s="14" t="s">
        <v>9896</v>
      </c>
      <c r="M324" s="14" t="s">
        <v>13131</v>
      </c>
      <c r="N324" s="14" t="s">
        <v>251</v>
      </c>
      <c r="O324" s="14" t="s">
        <v>9158</v>
      </c>
      <c r="P324" s="14" t="s">
        <v>9158</v>
      </c>
      <c r="Q324" s="14" t="s">
        <v>9158</v>
      </c>
      <c r="R324" s="14"/>
    </row>
    <row r="325" spans="1:18">
      <c r="B325" s="14"/>
      <c r="C325" s="14"/>
      <c r="D325" s="14"/>
      <c r="F325" s="14"/>
      <c r="G325" s="14"/>
      <c r="H325" s="14"/>
      <c r="I325" s="14"/>
      <c r="J325" s="14"/>
      <c r="K325" s="14"/>
      <c r="L325" s="14"/>
      <c r="M325" s="14"/>
      <c r="N325" s="14"/>
      <c r="O325" s="7"/>
      <c r="P325" s="14"/>
      <c r="Q325" s="14"/>
      <c r="R325" s="14"/>
    </row>
    <row r="326" spans="1:18">
      <c r="A326" s="14" t="s">
        <v>132</v>
      </c>
      <c r="D326" s="14"/>
      <c r="F326" s="14"/>
      <c r="G326" s="14"/>
      <c r="H326" s="14"/>
      <c r="I326" s="14"/>
      <c r="J326" s="14"/>
      <c r="K326" s="14"/>
      <c r="L326" s="14"/>
      <c r="M326" s="14"/>
      <c r="N326" s="14"/>
      <c r="O326" s="7"/>
      <c r="P326" s="14"/>
      <c r="Q326" s="14"/>
      <c r="R326" s="14"/>
    </row>
    <row r="327" spans="1:18">
      <c r="A327" s="14" t="s">
        <v>3211</v>
      </c>
      <c r="B327" s="14"/>
      <c r="C327" s="14"/>
      <c r="D327" s="14"/>
      <c r="F327" s="14"/>
      <c r="G327" s="14"/>
      <c r="H327" s="14"/>
      <c r="I327" s="14"/>
      <c r="J327" s="14"/>
      <c r="K327" s="14"/>
      <c r="L327" s="14"/>
      <c r="M327" s="14"/>
      <c r="N327" s="14"/>
      <c r="O327" s="7"/>
      <c r="P327" s="14"/>
      <c r="Q327" s="14"/>
      <c r="R327" s="14"/>
    </row>
    <row r="328" spans="1:18">
      <c r="A328" s="9">
        <v>68665</v>
      </c>
      <c r="B328" s="14" t="s">
        <v>334</v>
      </c>
      <c r="C328" s="14" t="s">
        <v>154</v>
      </c>
      <c r="D328" s="14" t="s">
        <v>4492</v>
      </c>
      <c r="E328" s="15" t="str">
        <f>HYPERLINK("https://stat100.ameba.jp/tnk47/ratio20/illustrations/card/ill_68665_matsushitaotome05.jpg?201901-4-RELEASE-guildbattle-390x", "■")</f>
        <v>■</v>
      </c>
      <c r="F328" s="14" t="s">
        <v>3213</v>
      </c>
      <c r="G328" s="14">
        <v>71481</v>
      </c>
      <c r="H328" s="14">
        <v>98728</v>
      </c>
      <c r="I328" s="14">
        <v>21</v>
      </c>
      <c r="J328" s="14" t="s">
        <v>315</v>
      </c>
      <c r="K328" s="14" t="s">
        <v>3214</v>
      </c>
      <c r="L328" s="14" t="s">
        <v>608</v>
      </c>
      <c r="M328" s="14" t="s">
        <v>9158</v>
      </c>
      <c r="N328" s="14" t="s">
        <v>9158</v>
      </c>
      <c r="O328" s="14" t="s">
        <v>9158</v>
      </c>
      <c r="P328" s="14" t="s">
        <v>9158</v>
      </c>
      <c r="Q328" s="14" t="s">
        <v>9158</v>
      </c>
      <c r="R328" s="14" t="s">
        <v>174</v>
      </c>
    </row>
    <row r="329" spans="1:18">
      <c r="A329" s="9">
        <v>68663</v>
      </c>
      <c r="B329" s="14" t="s">
        <v>348</v>
      </c>
      <c r="C329" s="14" t="s">
        <v>191</v>
      </c>
      <c r="D329" s="14" t="s">
        <v>3212</v>
      </c>
      <c r="E329" s="15" t="str">
        <f>HYPERLINK("https://stat100.ameba.jp/tnk47/ratio20/illustrations/card/ill_68663_matsushitaotome03.jpg?201901-4-RELEASE-guildbattle-390x", "■")</f>
        <v>■</v>
      </c>
      <c r="F329" s="14" t="s">
        <v>3213</v>
      </c>
      <c r="G329" s="14">
        <v>52663</v>
      </c>
      <c r="H329" s="14">
        <v>72733</v>
      </c>
      <c r="I329" s="14">
        <v>21</v>
      </c>
      <c r="J329" s="14" t="s">
        <v>315</v>
      </c>
      <c r="K329" s="14" t="s">
        <v>3214</v>
      </c>
      <c r="L329" s="14" t="s">
        <v>609</v>
      </c>
      <c r="M329" s="14" t="s">
        <v>9158</v>
      </c>
      <c r="N329" s="14" t="s">
        <v>9158</v>
      </c>
      <c r="O329" s="14" t="s">
        <v>9158</v>
      </c>
      <c r="P329" s="14" t="s">
        <v>9158</v>
      </c>
      <c r="Q329" s="14" t="s">
        <v>9158</v>
      </c>
      <c r="R329" s="14" t="s">
        <v>175</v>
      </c>
    </row>
    <row r="330" spans="1:18">
      <c r="A330" s="9">
        <v>68661</v>
      </c>
      <c r="B330" s="14" t="s">
        <v>348</v>
      </c>
      <c r="C330" s="14" t="s">
        <v>191</v>
      </c>
      <c r="D330" s="14" t="s">
        <v>3212</v>
      </c>
      <c r="E330" s="15" t="str">
        <f>HYPERLINK("https://stat100.ameba.jp/tnk47/ratio20/illustrations/card/ill_68661_matsushitaotome01.jpg?201901-4-RELEASE-guildbattle-390x", "■")</f>
        <v>■</v>
      </c>
      <c r="F330" s="14" t="s">
        <v>3213</v>
      </c>
      <c r="G330" s="14">
        <v>33495</v>
      </c>
      <c r="H330" s="14">
        <v>46263</v>
      </c>
      <c r="I330" s="14">
        <v>21</v>
      </c>
      <c r="J330" s="14" t="s">
        <v>315</v>
      </c>
      <c r="K330" s="14" t="s">
        <v>3214</v>
      </c>
      <c r="L330" s="14" t="s">
        <v>610</v>
      </c>
      <c r="M330" s="14" t="s">
        <v>9158</v>
      </c>
      <c r="N330" s="14" t="s">
        <v>9158</v>
      </c>
      <c r="O330" s="14" t="s">
        <v>9158</v>
      </c>
      <c r="P330" s="14" t="s">
        <v>9158</v>
      </c>
      <c r="Q330" s="14" t="s">
        <v>9158</v>
      </c>
      <c r="R330" s="14" t="s">
        <v>176</v>
      </c>
    </row>
    <row r="331" spans="1:18">
      <c r="A331" s="9">
        <v>73855</v>
      </c>
      <c r="B331" s="14" t="s">
        <v>334</v>
      </c>
      <c r="C331" s="14" t="s">
        <v>270</v>
      </c>
      <c r="D331" s="14" t="s">
        <v>1476</v>
      </c>
      <c r="E331" s="15" t="str">
        <f>HYPERLINK("https://stat100.ameba.jp/tnk47/ratio20/illustrations/card/ill_73855_hirayamanarinobu05.jpg?201901-4-RELEASE-guildbattle-390x", "■")</f>
        <v>■</v>
      </c>
      <c r="F331" s="14" t="s">
        <v>1477</v>
      </c>
      <c r="G331" s="14">
        <v>150278</v>
      </c>
      <c r="H331" s="14">
        <v>108811</v>
      </c>
      <c r="I331" s="14">
        <v>21</v>
      </c>
      <c r="J331" s="14" t="s">
        <v>351</v>
      </c>
      <c r="K331" s="14" t="s">
        <v>1478</v>
      </c>
      <c r="L331" s="14" t="s">
        <v>1479</v>
      </c>
      <c r="M331" s="14" t="s">
        <v>9158</v>
      </c>
      <c r="N331" s="14" t="s">
        <v>9158</v>
      </c>
      <c r="O331" s="14" t="s">
        <v>9158</v>
      </c>
      <c r="P331" s="14" t="s">
        <v>9158</v>
      </c>
      <c r="Q331" s="14" t="s">
        <v>9158</v>
      </c>
      <c r="R331" s="14" t="s">
        <v>174</v>
      </c>
    </row>
    <row r="332" spans="1:18">
      <c r="A332" s="9">
        <v>73853</v>
      </c>
      <c r="B332" s="14" t="s">
        <v>348</v>
      </c>
      <c r="C332" s="14" t="s">
        <v>154</v>
      </c>
      <c r="D332" s="14" t="s">
        <v>1476</v>
      </c>
      <c r="E332" s="15" t="str">
        <f>HYPERLINK("https://stat100.ameba.jp/tnk47/ratio20/illustrations/card/ill_73853_hirayamanarinobu03.jpg?201901-4-RELEASE-guildbattle-390x", "■")</f>
        <v>■</v>
      </c>
      <c r="F332" s="14" t="s">
        <v>1477</v>
      </c>
      <c r="G332" s="14">
        <v>110722</v>
      </c>
      <c r="H332" s="14">
        <v>80168</v>
      </c>
      <c r="I332" s="14">
        <v>21</v>
      </c>
      <c r="J332" s="14" t="s">
        <v>351</v>
      </c>
      <c r="K332" s="14" t="s">
        <v>1478</v>
      </c>
      <c r="L332" s="14" t="s">
        <v>1480</v>
      </c>
      <c r="M332" s="14" t="s">
        <v>9158</v>
      </c>
      <c r="N332" s="14" t="s">
        <v>9158</v>
      </c>
      <c r="O332" s="14" t="s">
        <v>9158</v>
      </c>
      <c r="P332" s="14" t="s">
        <v>9158</v>
      </c>
      <c r="Q332" s="14" t="s">
        <v>9158</v>
      </c>
      <c r="R332" s="14" t="s">
        <v>175</v>
      </c>
    </row>
    <row r="333" spans="1:18">
      <c r="A333" s="9">
        <v>73851</v>
      </c>
      <c r="B333" s="14" t="s">
        <v>348</v>
      </c>
      <c r="C333" s="14" t="s">
        <v>154</v>
      </c>
      <c r="D333" s="14" t="s">
        <v>1476</v>
      </c>
      <c r="E333" s="15" t="str">
        <f>HYPERLINK("https://stat100.ameba.jp/tnk47/ratio20/illustrations/card/ill_73851_hirayamanarinobu01.jpg?201901-4-RELEASE-guildbattle-390x", "■")</f>
        <v>■</v>
      </c>
      <c r="F333" s="14" t="s">
        <v>1477</v>
      </c>
      <c r="G333" s="14">
        <v>70434</v>
      </c>
      <c r="H333" s="14">
        <v>51009</v>
      </c>
      <c r="I333" s="14">
        <v>21</v>
      </c>
      <c r="J333" s="14" t="s">
        <v>351</v>
      </c>
      <c r="K333" s="14" t="s">
        <v>1478</v>
      </c>
      <c r="L333" s="14" t="s">
        <v>1481</v>
      </c>
      <c r="M333" s="14" t="s">
        <v>9158</v>
      </c>
      <c r="N333" s="14" t="s">
        <v>9158</v>
      </c>
      <c r="O333" s="14" t="s">
        <v>9158</v>
      </c>
      <c r="P333" s="14" t="s">
        <v>9158</v>
      </c>
      <c r="Q333" s="14" t="s">
        <v>9158</v>
      </c>
      <c r="R333" s="14" t="s">
        <v>176</v>
      </c>
    </row>
    <row r="334" spans="1:18">
      <c r="A334" s="9">
        <v>59805</v>
      </c>
      <c r="B334" s="14" t="s">
        <v>334</v>
      </c>
      <c r="C334" s="14" t="s">
        <v>270</v>
      </c>
      <c r="D334" s="14" t="s">
        <v>3215</v>
      </c>
      <c r="E334" s="15" t="str">
        <f>HYPERLINK("https://stat100.ameba.jp/tnk47/ratio20/illustrations/card/ill_59805_mikanhachimitsuchan05.jpg?201901-4-RELEASE-guildbattle-390x", "■")</f>
        <v>■</v>
      </c>
      <c r="F334" s="14" t="s">
        <v>3216</v>
      </c>
      <c r="G334" s="14">
        <v>86463</v>
      </c>
      <c r="H334" s="14">
        <v>86463</v>
      </c>
      <c r="I334" s="14">
        <v>21</v>
      </c>
      <c r="J334" s="14" t="s">
        <v>283</v>
      </c>
      <c r="K334" s="14" t="s">
        <v>3217</v>
      </c>
      <c r="L334" s="14" t="s">
        <v>3218</v>
      </c>
      <c r="M334" s="14" t="s">
        <v>9158</v>
      </c>
      <c r="N334" s="14" t="s">
        <v>9158</v>
      </c>
      <c r="O334" s="14" t="s">
        <v>9158</v>
      </c>
      <c r="P334" s="14" t="s">
        <v>9158</v>
      </c>
      <c r="Q334" s="14" t="s">
        <v>9158</v>
      </c>
      <c r="R334" s="14" t="s">
        <v>174</v>
      </c>
    </row>
    <row r="335" spans="1:18">
      <c r="A335" s="9">
        <v>59803</v>
      </c>
      <c r="B335" s="14" t="s">
        <v>348</v>
      </c>
      <c r="C335" s="14" t="s">
        <v>158</v>
      </c>
      <c r="D335" s="14" t="s">
        <v>3215</v>
      </c>
      <c r="E335" s="15" t="str">
        <f>HYPERLINK("https://stat100.ameba.jp/tnk47/ratio20/illustrations/card/ill_59803_mikanhachimitsuchan03.jpg?201901-4-RELEASE-guildbattle-390x", "■")</f>
        <v>■</v>
      </c>
      <c r="F335" s="14" t="s">
        <v>3216</v>
      </c>
      <c r="G335" s="14">
        <v>63705</v>
      </c>
      <c r="H335" s="14">
        <v>87980</v>
      </c>
      <c r="I335" s="14">
        <v>21</v>
      </c>
      <c r="J335" s="14" t="s">
        <v>283</v>
      </c>
      <c r="K335" s="14" t="s">
        <v>3217</v>
      </c>
      <c r="L335" s="14" t="s">
        <v>1442</v>
      </c>
      <c r="M335" s="14" t="s">
        <v>9158</v>
      </c>
      <c r="N335" s="14" t="s">
        <v>9158</v>
      </c>
      <c r="O335" s="14" t="s">
        <v>9158</v>
      </c>
      <c r="P335" s="14" t="s">
        <v>9158</v>
      </c>
      <c r="Q335" s="14" t="s">
        <v>9158</v>
      </c>
      <c r="R335" s="14" t="s">
        <v>175</v>
      </c>
    </row>
    <row r="336" spans="1:18">
      <c r="A336" s="9">
        <v>59801</v>
      </c>
      <c r="B336" s="14" t="s">
        <v>348</v>
      </c>
      <c r="C336" s="14" t="s">
        <v>158</v>
      </c>
      <c r="D336" s="14" t="s">
        <v>3215</v>
      </c>
      <c r="E336" s="15" t="str">
        <f>HYPERLINK("https://stat100.ameba.jp/tnk47/ratio20/illustrations/card/ill_59801_mikanhachimitsuchan01.jpg?201901-4-RELEASE-guildbattle-390x", "■")</f>
        <v>■</v>
      </c>
      <c r="F336" s="14" t="s">
        <v>3216</v>
      </c>
      <c r="G336" s="14">
        <v>40530</v>
      </c>
      <c r="H336" s="14">
        <v>55965</v>
      </c>
      <c r="I336" s="14">
        <v>21</v>
      </c>
      <c r="J336" s="14" t="s">
        <v>283</v>
      </c>
      <c r="K336" s="14" t="s">
        <v>3217</v>
      </c>
      <c r="L336" s="14" t="s">
        <v>3219</v>
      </c>
      <c r="M336" s="14" t="s">
        <v>9158</v>
      </c>
      <c r="N336" s="14" t="s">
        <v>9158</v>
      </c>
      <c r="O336" s="14" t="s">
        <v>9158</v>
      </c>
      <c r="P336" s="14" t="s">
        <v>9158</v>
      </c>
      <c r="Q336" s="14" t="s">
        <v>9158</v>
      </c>
      <c r="R336" s="14" t="s">
        <v>176</v>
      </c>
    </row>
    <row r="337" spans="1:19">
      <c r="B337" s="14"/>
      <c r="C337" s="14"/>
      <c r="D337" s="14"/>
      <c r="F337" s="14"/>
      <c r="G337" s="14"/>
      <c r="H337" s="14"/>
      <c r="I337" s="14"/>
      <c r="J337" s="14"/>
      <c r="K337" s="14"/>
      <c r="L337" s="14"/>
      <c r="M337" s="14"/>
      <c r="N337" s="14"/>
      <c r="O337" s="7"/>
      <c r="P337" s="14"/>
      <c r="Q337" s="14"/>
      <c r="R337" s="14"/>
    </row>
    <row r="338" spans="1:19">
      <c r="A338" s="14" t="s">
        <v>208</v>
      </c>
      <c r="D338" s="14"/>
      <c r="F338" s="14"/>
      <c r="G338" s="14"/>
      <c r="H338" s="14"/>
      <c r="I338" s="14"/>
      <c r="J338" s="14"/>
      <c r="K338" s="14"/>
      <c r="L338" s="14"/>
      <c r="M338" s="14"/>
      <c r="N338" s="14"/>
      <c r="O338" s="7"/>
      <c r="P338" s="14"/>
      <c r="Q338" s="14"/>
      <c r="R338" s="14"/>
    </row>
    <row r="339" spans="1:19">
      <c r="A339" s="14" t="s">
        <v>3220</v>
      </c>
      <c r="B339" s="14"/>
      <c r="C339" s="14"/>
      <c r="D339" s="14"/>
      <c r="F339" s="14"/>
      <c r="G339" s="14"/>
      <c r="H339" s="14"/>
      <c r="I339" s="14"/>
      <c r="J339" s="14"/>
      <c r="K339" s="14"/>
      <c r="L339" s="14"/>
      <c r="M339" s="14"/>
      <c r="N339" s="14"/>
      <c r="O339" s="7"/>
      <c r="P339" s="14"/>
      <c r="Q339" s="14"/>
      <c r="R339" s="14"/>
    </row>
    <row r="340" spans="1:19">
      <c r="A340" s="9" t="s">
        <v>5822</v>
      </c>
      <c r="B340" s="14" t="s">
        <v>330</v>
      </c>
      <c r="C340" s="14" t="s">
        <v>191</v>
      </c>
      <c r="D340" s="14" t="s">
        <v>306</v>
      </c>
      <c r="E340" s="15" t="str">
        <f>HYPERLINK("https://stat100.ameba.jp/tnk47/ratio20/illustrations/card/ill_71403_0_ohanamisanadayukimura03.jpg?201901-4-RELEASE-guildbattle-390x", "■")</f>
        <v>■</v>
      </c>
      <c r="F340" s="14" t="s">
        <v>309</v>
      </c>
      <c r="G340" s="14">
        <v>140016</v>
      </c>
      <c r="H340" s="14">
        <v>130194</v>
      </c>
      <c r="I340" s="14">
        <v>15</v>
      </c>
      <c r="J340" s="14" t="s">
        <v>310</v>
      </c>
      <c r="K340" s="14" t="s">
        <v>311</v>
      </c>
      <c r="L340" s="14" t="s">
        <v>312</v>
      </c>
      <c r="M340" s="14" t="s">
        <v>9158</v>
      </c>
      <c r="N340" s="14" t="s">
        <v>9158</v>
      </c>
      <c r="O340" s="18" t="s">
        <v>10060</v>
      </c>
      <c r="P340" s="14" t="s">
        <v>3221</v>
      </c>
      <c r="Q340" s="14">
        <v>2</v>
      </c>
      <c r="R340" s="14"/>
    </row>
    <row r="341" spans="1:19">
      <c r="A341" s="9" t="s">
        <v>5606</v>
      </c>
      <c r="B341" s="14" t="s">
        <v>330</v>
      </c>
      <c r="C341" s="14" t="s">
        <v>206</v>
      </c>
      <c r="D341" s="14" t="s">
        <v>2936</v>
      </c>
      <c r="E341" s="15" t="str">
        <f>HYPERLINK("https://stat100.ameba.jp/tnk47/ratio20/illustrations/card/ill_72233_0_koinoboriryugujin03.jpg?201901-4-RELEASE-guildbattle-390x", "■")</f>
        <v>■</v>
      </c>
      <c r="F341" s="14" t="s">
        <v>2937</v>
      </c>
      <c r="G341" s="14">
        <v>98395</v>
      </c>
      <c r="H341" s="14">
        <v>105833</v>
      </c>
      <c r="I341" s="14">
        <v>15</v>
      </c>
      <c r="J341" s="14" t="s">
        <v>401</v>
      </c>
      <c r="K341" s="14" t="s">
        <v>2938</v>
      </c>
      <c r="L341" s="14" t="s">
        <v>2939</v>
      </c>
      <c r="M341" s="14" t="s">
        <v>9158</v>
      </c>
      <c r="N341" s="14" t="s">
        <v>9158</v>
      </c>
      <c r="O341" s="7" t="s">
        <v>2940</v>
      </c>
      <c r="P341" s="14" t="s">
        <v>2941</v>
      </c>
      <c r="Q341" s="14">
        <v>2</v>
      </c>
      <c r="R341" s="14"/>
    </row>
    <row r="342" spans="1:19">
      <c r="A342" s="9" t="s">
        <v>5612</v>
      </c>
      <c r="B342" s="14" t="s">
        <v>330</v>
      </c>
      <c r="C342" s="14" t="s">
        <v>165</v>
      </c>
      <c r="D342" s="14" t="s">
        <v>789</v>
      </c>
      <c r="E342" s="15" t="str">
        <f>HYPERLINK("https://stat100.ameba.jp/tnk47/ratio20/illustrations/card/ill_49193_0_onmyoudouabenoseimei03.jpg?201901-4-RELEASE-guildbattle-390x", "■")</f>
        <v>■</v>
      </c>
      <c r="F342" s="14" t="s">
        <v>790</v>
      </c>
      <c r="G342" s="14">
        <v>83712</v>
      </c>
      <c r="H342" s="14">
        <v>94236</v>
      </c>
      <c r="I342" s="14">
        <v>15</v>
      </c>
      <c r="J342" s="14" t="s">
        <v>351</v>
      </c>
      <c r="K342" s="14" t="s">
        <v>791</v>
      </c>
      <c r="L342" s="14" t="s">
        <v>792</v>
      </c>
      <c r="M342" s="14" t="s">
        <v>9158</v>
      </c>
      <c r="N342" s="14" t="s">
        <v>9158</v>
      </c>
      <c r="O342" s="14" t="s">
        <v>9158</v>
      </c>
      <c r="P342" s="14" t="s">
        <v>9158</v>
      </c>
      <c r="Q342" s="14" t="s">
        <v>9158</v>
      </c>
      <c r="R342" s="14"/>
    </row>
    <row r="343" spans="1:19">
      <c r="A343" s="9">
        <v>56983</v>
      </c>
      <c r="B343" s="14" t="s">
        <v>334</v>
      </c>
      <c r="C343" s="14" t="s">
        <v>264</v>
      </c>
      <c r="D343" s="14" t="s">
        <v>3222</v>
      </c>
      <c r="E343" s="15" t="str">
        <f>HYPERLINK("https://stat100.ameba.jp/tnk47/ratio20/illustrations/card/ill_56983_koshosho03.jpg?201901-4-RELEASE-guildbattle-390x", "■")</f>
        <v>■</v>
      </c>
      <c r="F343" s="14" t="s">
        <v>3223</v>
      </c>
      <c r="G343" s="14">
        <v>84722</v>
      </c>
      <c r="H343" s="14">
        <v>93048</v>
      </c>
      <c r="I343" s="14">
        <v>23</v>
      </c>
      <c r="J343" s="14" t="s">
        <v>315</v>
      </c>
      <c r="K343" s="14" t="s">
        <v>3224</v>
      </c>
      <c r="L343" s="14" t="s">
        <v>3225</v>
      </c>
      <c r="M343" s="14" t="s">
        <v>9158</v>
      </c>
      <c r="N343" s="14" t="s">
        <v>9158</v>
      </c>
      <c r="O343" s="14" t="s">
        <v>9158</v>
      </c>
      <c r="P343" s="14" t="s">
        <v>9158</v>
      </c>
      <c r="Q343" s="14" t="s">
        <v>9158</v>
      </c>
      <c r="S343" s="14" t="s">
        <v>11746</v>
      </c>
    </row>
    <row r="344" spans="1:19">
      <c r="A344" s="9">
        <v>47503</v>
      </c>
      <c r="B344" s="14" t="s">
        <v>334</v>
      </c>
      <c r="C344" s="14" t="s">
        <v>158</v>
      </c>
      <c r="D344" s="14" t="s">
        <v>3226</v>
      </c>
      <c r="E344" s="15" t="str">
        <f>HYPERLINK("https://stat100.ameba.jp/tnk47/ratio20/illustrations/card/ill_47503_ariwaranonarihira03.jpg?201901-4-RELEASE-guildbattle-390x", "■")</f>
        <v>■</v>
      </c>
      <c r="F344" s="14" t="s">
        <v>3227</v>
      </c>
      <c r="G344" s="14">
        <v>88650</v>
      </c>
      <c r="H344" s="14">
        <v>82422</v>
      </c>
      <c r="I344" s="14">
        <v>23</v>
      </c>
      <c r="J344" s="14" t="s">
        <v>414</v>
      </c>
      <c r="K344" s="14" t="s">
        <v>3228</v>
      </c>
      <c r="L344" s="14" t="s">
        <v>3229</v>
      </c>
      <c r="M344" s="14" t="s">
        <v>9158</v>
      </c>
      <c r="N344" s="14" t="s">
        <v>9158</v>
      </c>
      <c r="O344" s="14" t="s">
        <v>9158</v>
      </c>
      <c r="P344" s="14" t="s">
        <v>9158</v>
      </c>
      <c r="Q344" s="14" t="s">
        <v>9158</v>
      </c>
      <c r="S344" s="14" t="s">
        <v>11747</v>
      </c>
    </row>
    <row r="345" spans="1:19">
      <c r="A345" s="9">
        <v>58063</v>
      </c>
      <c r="B345" s="14" t="s">
        <v>334</v>
      </c>
      <c r="C345" s="14" t="s">
        <v>158</v>
      </c>
      <c r="D345" s="14" t="s">
        <v>3230</v>
      </c>
      <c r="E345" s="15" t="str">
        <f>HYPERLINK("https://stat100.ameba.jp/tnk47/ratio20/illustrations/card/ill_58063_machoommoraki03.jpg?201901-4-RELEASE-guildbattle-390x", "■")</f>
        <v>■</v>
      </c>
      <c r="F345" s="14" t="s">
        <v>3231</v>
      </c>
      <c r="G345" s="14">
        <v>93048</v>
      </c>
      <c r="H345" s="14">
        <v>84722</v>
      </c>
      <c r="I345" s="14">
        <v>23</v>
      </c>
      <c r="J345" s="14" t="s">
        <v>320</v>
      </c>
      <c r="K345" s="14" t="s">
        <v>3232</v>
      </c>
      <c r="L345" s="14" t="s">
        <v>3233</v>
      </c>
      <c r="M345" s="14" t="s">
        <v>9158</v>
      </c>
      <c r="N345" s="14" t="s">
        <v>9158</v>
      </c>
      <c r="O345" s="14" t="s">
        <v>9158</v>
      </c>
      <c r="P345" s="14" t="s">
        <v>9158</v>
      </c>
      <c r="Q345" s="14" t="s">
        <v>9158</v>
      </c>
      <c r="S345" s="14" t="s">
        <v>11745</v>
      </c>
    </row>
    <row r="346" spans="1:19">
      <c r="A346" s="9">
        <v>66953</v>
      </c>
      <c r="B346" s="14" t="s">
        <v>348</v>
      </c>
      <c r="C346" s="14" t="s">
        <v>165</v>
      </c>
      <c r="D346" s="14" t="s">
        <v>3234</v>
      </c>
      <c r="E346" s="15" t="str">
        <f>HYPERLINK("https://stat100.ameba.jp/tnk47/ratio20/illustrations/card/ill_66953_enomotosumi03.jpg?201901-4-RELEASE-guildbattle-390x", "■")</f>
        <v>■</v>
      </c>
      <c r="F346" s="14" t="s">
        <v>3235</v>
      </c>
      <c r="G346" s="14">
        <v>61832</v>
      </c>
      <c r="H346" s="14">
        <v>68172</v>
      </c>
      <c r="I346" s="14">
        <v>23</v>
      </c>
      <c r="J346" s="14" t="s">
        <v>414</v>
      </c>
      <c r="K346" s="14" t="s">
        <v>3236</v>
      </c>
      <c r="L346" s="14" t="s">
        <v>3237</v>
      </c>
      <c r="M346" s="14" t="s">
        <v>9158</v>
      </c>
      <c r="N346" s="14" t="s">
        <v>9158</v>
      </c>
      <c r="O346" s="14" t="s">
        <v>9158</v>
      </c>
      <c r="P346" s="14" t="s">
        <v>9158</v>
      </c>
      <c r="Q346" s="14" t="s">
        <v>9158</v>
      </c>
      <c r="S346" s="14" t="s">
        <v>11741</v>
      </c>
    </row>
    <row r="347" spans="1:19">
      <c r="A347" s="9">
        <v>67793</v>
      </c>
      <c r="B347" s="14" t="s">
        <v>348</v>
      </c>
      <c r="C347" s="14" t="s">
        <v>185</v>
      </c>
      <c r="D347" s="14" t="s">
        <v>3238</v>
      </c>
      <c r="E347" s="15" t="str">
        <f>HYPERLINK("https://stat100.ameba.jp/tnk47/ratio20/illustrations/card/ill_67793_yukioni03.jpg?201901-4-RELEASE-guildbattle-390x", "■")</f>
        <v>■</v>
      </c>
      <c r="F347" s="14" t="s">
        <v>3239</v>
      </c>
      <c r="G347" s="14">
        <v>61832</v>
      </c>
      <c r="H347" s="14">
        <v>68172</v>
      </c>
      <c r="I347" s="14">
        <v>23</v>
      </c>
      <c r="J347" s="14" t="s">
        <v>274</v>
      </c>
      <c r="K347" s="14" t="s">
        <v>3240</v>
      </c>
      <c r="L347" s="14" t="s">
        <v>3241</v>
      </c>
      <c r="M347" s="14" t="s">
        <v>9158</v>
      </c>
      <c r="N347" s="14" t="s">
        <v>9158</v>
      </c>
      <c r="O347" s="14" t="s">
        <v>9158</v>
      </c>
      <c r="P347" s="14" t="s">
        <v>9158</v>
      </c>
      <c r="Q347" s="14" t="s">
        <v>9158</v>
      </c>
      <c r="S347" s="14" t="s">
        <v>11742</v>
      </c>
    </row>
    <row r="348" spans="1:19">
      <c r="A348" s="9">
        <v>66823</v>
      </c>
      <c r="B348" s="14" t="s">
        <v>348</v>
      </c>
      <c r="C348" s="14" t="s">
        <v>200</v>
      </c>
      <c r="D348" s="14" t="s">
        <v>11743</v>
      </c>
      <c r="E348" s="15" t="str">
        <f>HYPERLINK("https://stat100.ameba.jp/tnk47/ratio20/illustrations/card/ill_66823_kasutaniichiyo03.jpg?201901-4-RELEASE-guildbattle-390x", "■")</f>
        <v>■</v>
      </c>
      <c r="F348" s="14" t="s">
        <v>11744</v>
      </c>
      <c r="G348" s="14">
        <v>68172</v>
      </c>
      <c r="H348" s="14">
        <v>61832</v>
      </c>
      <c r="I348" s="14">
        <v>23</v>
      </c>
      <c r="J348" s="14" t="s">
        <v>351</v>
      </c>
      <c r="K348" s="14" t="s">
        <v>3242</v>
      </c>
      <c r="L348" s="14" t="s">
        <v>3243</v>
      </c>
      <c r="M348" s="14" t="s">
        <v>9158</v>
      </c>
      <c r="N348" s="14" t="s">
        <v>9158</v>
      </c>
      <c r="O348" s="14" t="s">
        <v>9158</v>
      </c>
      <c r="P348" s="14" t="s">
        <v>9158</v>
      </c>
      <c r="Q348" s="14" t="s">
        <v>9158</v>
      </c>
      <c r="S348" s="14" t="s">
        <v>12930</v>
      </c>
    </row>
    <row r="349" spans="1:19">
      <c r="B349" s="14"/>
      <c r="C349" s="14"/>
      <c r="D349" s="14"/>
      <c r="F349" s="14"/>
      <c r="G349" s="14"/>
      <c r="H349" s="14"/>
      <c r="I349" s="14"/>
      <c r="J349" s="14"/>
      <c r="K349" s="14"/>
      <c r="L349" s="14"/>
      <c r="M349" s="14"/>
      <c r="N349" s="14"/>
      <c r="O349" s="7"/>
      <c r="P349" s="14"/>
      <c r="Q349" s="14"/>
      <c r="R349" s="14"/>
    </row>
    <row r="350" spans="1:19">
      <c r="A350" s="14" t="s">
        <v>199</v>
      </c>
      <c r="D350" s="14"/>
      <c r="F350" s="14"/>
      <c r="G350" s="14"/>
      <c r="H350" s="14"/>
      <c r="I350" s="14"/>
      <c r="J350" s="14"/>
      <c r="K350" s="14"/>
      <c r="L350" s="14"/>
      <c r="M350" s="14"/>
      <c r="N350" s="14"/>
      <c r="O350" s="7"/>
      <c r="P350" s="14"/>
      <c r="Q350" s="14"/>
      <c r="R350" s="14"/>
    </row>
    <row r="351" spans="1:19">
      <c r="A351" s="14" t="s">
        <v>2730</v>
      </c>
      <c r="B351" s="14"/>
      <c r="C351" s="14"/>
      <c r="D351" s="14"/>
      <c r="F351" s="14"/>
      <c r="G351" s="14"/>
      <c r="H351" s="14"/>
      <c r="I351" s="14"/>
      <c r="J351" s="14"/>
      <c r="K351" s="14"/>
      <c r="L351" s="14"/>
      <c r="M351" s="14"/>
      <c r="N351" s="14"/>
      <c r="O351" s="7"/>
      <c r="P351" s="14"/>
      <c r="Q351" s="14"/>
      <c r="R351" s="14"/>
    </row>
    <row r="352" spans="1:19">
      <c r="A352" s="9" t="s">
        <v>5734</v>
      </c>
      <c r="B352" s="14" t="s">
        <v>330</v>
      </c>
      <c r="C352" s="14" t="s">
        <v>270</v>
      </c>
      <c r="D352" s="14" t="s">
        <v>1497</v>
      </c>
      <c r="E352" s="15" t="str">
        <f>HYPERLINK("https://stat100.ameba.jp/tnk47/ratio20/illustrations/card/ill_74593_0_natsuyuenchikoshihikari03.jpg?201901-4-RELEASE-guildbattle-390x", "■")</f>
        <v>■</v>
      </c>
      <c r="F352" s="14" t="s">
        <v>1498</v>
      </c>
      <c r="G352" s="14">
        <v>162496</v>
      </c>
      <c r="H352" s="14">
        <v>151067</v>
      </c>
      <c r="I352" s="14">
        <v>15</v>
      </c>
      <c r="J352" s="14" t="s">
        <v>283</v>
      </c>
      <c r="K352" s="14" t="s">
        <v>1499</v>
      </c>
      <c r="L352" s="14" t="s">
        <v>1500</v>
      </c>
      <c r="M352" s="14" t="s">
        <v>9158</v>
      </c>
      <c r="N352" s="14" t="s">
        <v>9158</v>
      </c>
      <c r="O352" s="7" t="s">
        <v>2731</v>
      </c>
      <c r="P352" s="14" t="s">
        <v>2732</v>
      </c>
      <c r="Q352" s="14">
        <v>1</v>
      </c>
      <c r="R352" s="14"/>
    </row>
    <row r="353" spans="1:18">
      <c r="A353" s="9" t="s">
        <v>5602</v>
      </c>
      <c r="B353" s="14" t="s">
        <v>330</v>
      </c>
      <c r="C353" s="14" t="s">
        <v>185</v>
      </c>
      <c r="D353" s="14" t="s">
        <v>813</v>
      </c>
      <c r="E353" s="15" t="str">
        <f>HYPERLINK("https://stat100.ameba.jp/tnk47/ratio20/illustrations/card/ill_55313_0_haroinononokomachi03.jpg?201901-4-RELEASE-guildbattle-390x", "■")</f>
        <v>■</v>
      </c>
      <c r="F353" s="14" t="s">
        <v>814</v>
      </c>
      <c r="G353" s="14">
        <v>94236</v>
      </c>
      <c r="H353" s="14">
        <v>83712</v>
      </c>
      <c r="I353" s="14">
        <v>15</v>
      </c>
      <c r="J353" s="14" t="s">
        <v>351</v>
      </c>
      <c r="K353" s="14" t="s">
        <v>815</v>
      </c>
      <c r="L353" s="14" t="s">
        <v>816</v>
      </c>
      <c r="M353" s="14" t="s">
        <v>9158</v>
      </c>
      <c r="N353" s="14" t="s">
        <v>9158</v>
      </c>
      <c r="O353" s="7" t="s">
        <v>2733</v>
      </c>
      <c r="P353" s="14" t="s">
        <v>2734</v>
      </c>
      <c r="Q353" s="14">
        <v>1</v>
      </c>
      <c r="R353" s="14"/>
    </row>
    <row r="354" spans="1:18">
      <c r="A354" s="9" t="s">
        <v>5897</v>
      </c>
      <c r="B354" s="14" t="s">
        <v>330</v>
      </c>
      <c r="C354" s="14" t="s">
        <v>200</v>
      </c>
      <c r="D354" s="14" t="s">
        <v>277</v>
      </c>
      <c r="E354" s="15" t="str">
        <f>HYPERLINK("https://stat100.ameba.jp/tnk47/ratio20/illustrations/card/ill_40913_0_reigyokudensetsufusehime03.jpg?201901-4-RELEASE-guildbattle-390x", "■")</f>
        <v>■</v>
      </c>
      <c r="F354" s="14" t="s">
        <v>278</v>
      </c>
      <c r="G354" s="14">
        <v>82212</v>
      </c>
      <c r="H354" s="14">
        <v>87780</v>
      </c>
      <c r="I354" s="14">
        <v>15</v>
      </c>
      <c r="J354" s="14" t="s">
        <v>274</v>
      </c>
      <c r="K354" s="14" t="s">
        <v>279</v>
      </c>
      <c r="L354" s="14" t="s">
        <v>280</v>
      </c>
      <c r="M354" s="14" t="s">
        <v>9158</v>
      </c>
      <c r="N354" s="14" t="s">
        <v>9158</v>
      </c>
      <c r="O354" s="14" t="s">
        <v>9158</v>
      </c>
      <c r="P354" s="14" t="s">
        <v>9158</v>
      </c>
      <c r="Q354" s="14" t="s">
        <v>9158</v>
      </c>
      <c r="R354" s="14"/>
    </row>
    <row r="355" spans="1:18">
      <c r="A355" s="9">
        <v>74773</v>
      </c>
      <c r="B355" s="14" t="s">
        <v>334</v>
      </c>
      <c r="C355" s="14" t="s">
        <v>200</v>
      </c>
      <c r="D355" s="14" t="s">
        <v>2735</v>
      </c>
      <c r="E355" s="15" t="str">
        <f>HYPERLINK("https://stat100.ameba.jp/tnk47/ratio20/illustrations/card/ill_74773_natsumatsurinasunoyoichi03.jpg?201901-4-RELEASE-guildbattle-390x", "■")</f>
        <v>■</v>
      </c>
      <c r="F355" s="14" t="s">
        <v>2736</v>
      </c>
      <c r="G355" s="14">
        <v>121604</v>
      </c>
      <c r="H355" s="14">
        <v>130784</v>
      </c>
      <c r="I355" s="14">
        <v>22</v>
      </c>
      <c r="J355" s="14" t="s">
        <v>310</v>
      </c>
      <c r="K355" s="14" t="s">
        <v>2737</v>
      </c>
      <c r="L355" s="14" t="s">
        <v>407</v>
      </c>
      <c r="M355" s="14" t="s">
        <v>9158</v>
      </c>
      <c r="N355" s="14" t="s">
        <v>9158</v>
      </c>
      <c r="O355" s="14" t="s">
        <v>9158</v>
      </c>
      <c r="P355" s="14" t="s">
        <v>9158</v>
      </c>
      <c r="Q355" s="14" t="s">
        <v>9158</v>
      </c>
      <c r="R355" s="14"/>
    </row>
    <row r="356" spans="1:18">
      <c r="A356" s="9">
        <v>75793</v>
      </c>
      <c r="B356" s="14" t="s">
        <v>334</v>
      </c>
      <c r="C356" s="14" t="s">
        <v>205</v>
      </c>
      <c r="D356" s="14" t="s">
        <v>2738</v>
      </c>
      <c r="E356" s="15" t="str">
        <f>HYPERLINK("https://stat100.ameba.jp/tnk47/ratio20/illustrations/card/ill_75793_izumonokuni03.jpg?201901-4-RELEASE-guildbattle-390x", "■")</f>
        <v>■</v>
      </c>
      <c r="F356" s="14" t="s">
        <v>2739</v>
      </c>
      <c r="G356" s="14">
        <v>79868</v>
      </c>
      <c r="H356" s="14">
        <v>85934</v>
      </c>
      <c r="I356" s="14">
        <v>22</v>
      </c>
      <c r="J356" s="14" t="s">
        <v>351</v>
      </c>
      <c r="K356" s="14" t="s">
        <v>2740</v>
      </c>
      <c r="L356" s="14" t="s">
        <v>1625</v>
      </c>
      <c r="M356" s="14" t="s">
        <v>9158</v>
      </c>
      <c r="N356" s="14" t="s">
        <v>9158</v>
      </c>
      <c r="O356" s="14" t="s">
        <v>9158</v>
      </c>
      <c r="P356" s="14" t="s">
        <v>9158</v>
      </c>
      <c r="Q356" s="14" t="s">
        <v>9158</v>
      </c>
      <c r="R356" s="14"/>
    </row>
    <row r="357" spans="1:18">
      <c r="A357" s="9">
        <v>73093</v>
      </c>
      <c r="B357" s="14" t="s">
        <v>334</v>
      </c>
      <c r="C357" s="14" t="s">
        <v>154</v>
      </c>
      <c r="D357" s="14" t="s">
        <v>433</v>
      </c>
      <c r="E357" s="15" t="str">
        <f>HYPERLINK("https://stat100.ameba.jp/tnk47/ratio20/illustrations/card/ill_73093_aisukurinchan03.jpg?201901-4-RELEASE-guildbattle-390x", "■")</f>
        <v>■</v>
      </c>
      <c r="F357" s="14" t="s">
        <v>433</v>
      </c>
      <c r="G357" s="14">
        <v>146368</v>
      </c>
      <c r="H357" s="14">
        <v>106018</v>
      </c>
      <c r="I357" s="14">
        <v>22</v>
      </c>
      <c r="J357" s="14" t="s">
        <v>283</v>
      </c>
      <c r="K357" s="14" t="s">
        <v>434</v>
      </c>
      <c r="L357" s="14" t="s">
        <v>435</v>
      </c>
      <c r="M357" s="14" t="s">
        <v>9158</v>
      </c>
      <c r="N357" s="14" t="s">
        <v>9158</v>
      </c>
      <c r="O357" s="7" t="s">
        <v>2741</v>
      </c>
      <c r="P357" s="14" t="s">
        <v>2742</v>
      </c>
      <c r="Q357" s="14">
        <v>1</v>
      </c>
      <c r="R357" s="14"/>
    </row>
    <row r="358" spans="1:18">
      <c r="B358" s="14"/>
      <c r="C358" s="14"/>
      <c r="D358" s="14"/>
      <c r="F358" s="14"/>
      <c r="G358" s="14"/>
      <c r="H358" s="14"/>
      <c r="I358" s="14"/>
      <c r="J358" s="14"/>
      <c r="K358" s="14"/>
      <c r="L358" s="14"/>
      <c r="M358" s="14"/>
      <c r="N358" s="14"/>
      <c r="O358" s="7"/>
      <c r="P358" s="14"/>
      <c r="Q358" s="14"/>
      <c r="R358" s="14"/>
    </row>
    <row r="359" spans="1:18">
      <c r="A359" s="14" t="s">
        <v>135</v>
      </c>
      <c r="D359" s="14"/>
      <c r="F359" s="14"/>
      <c r="G359" s="14"/>
      <c r="H359" s="14"/>
      <c r="I359" s="14"/>
      <c r="J359" s="14"/>
      <c r="K359" s="14"/>
      <c r="L359" s="14"/>
      <c r="M359" s="14"/>
      <c r="N359" s="14"/>
      <c r="O359" s="7"/>
      <c r="P359" s="14"/>
      <c r="Q359" s="14"/>
      <c r="R359" s="14"/>
    </row>
    <row r="360" spans="1:18">
      <c r="A360" s="14" t="s">
        <v>2743</v>
      </c>
      <c r="B360" s="14"/>
      <c r="C360" s="14"/>
      <c r="D360" s="14"/>
      <c r="F360" s="14"/>
      <c r="G360" s="14"/>
      <c r="H360" s="14"/>
      <c r="I360" s="14"/>
      <c r="J360" s="14"/>
      <c r="K360" s="14"/>
      <c r="L360" s="14"/>
      <c r="M360" s="14"/>
      <c r="N360" s="14"/>
      <c r="O360" s="7"/>
      <c r="P360" s="14"/>
      <c r="Q360" s="14"/>
      <c r="R360" s="14"/>
    </row>
    <row r="361" spans="1:18">
      <c r="A361" s="9" t="s">
        <v>5787</v>
      </c>
      <c r="B361" s="14" t="s">
        <v>330</v>
      </c>
      <c r="C361" s="14" t="s">
        <v>270</v>
      </c>
      <c r="D361" s="14" t="s">
        <v>1101</v>
      </c>
      <c r="E361" s="15" t="str">
        <f>HYPERLINK("https://stat100.ameba.jp/tnk47/ratio20/illustrations/card/ill_76303_0_haroinkaguya03.jpg?201901-4-RELEASE-guildbattle-390x", "■")</f>
        <v>■</v>
      </c>
      <c r="F361" s="14" t="s">
        <v>1102</v>
      </c>
      <c r="G361" s="14">
        <v>273713</v>
      </c>
      <c r="H361" s="14">
        <v>254461</v>
      </c>
      <c r="I361" s="14">
        <v>23</v>
      </c>
      <c r="J361" s="14" t="s">
        <v>38</v>
      </c>
      <c r="K361" s="14" t="s">
        <v>1103</v>
      </c>
      <c r="L361" s="14" t="s">
        <v>1104</v>
      </c>
      <c r="M361" s="14" t="s">
        <v>9158</v>
      </c>
      <c r="N361" s="14" t="s">
        <v>9158</v>
      </c>
      <c r="O361" s="7" t="s">
        <v>2723</v>
      </c>
      <c r="P361" s="14" t="s">
        <v>2724</v>
      </c>
      <c r="Q361" s="14">
        <v>1</v>
      </c>
      <c r="R361" s="14"/>
    </row>
    <row r="362" spans="1:18">
      <c r="A362" s="9">
        <v>65643</v>
      </c>
      <c r="B362" s="14" t="s">
        <v>334</v>
      </c>
      <c r="C362" s="14" t="s">
        <v>154</v>
      </c>
      <c r="D362" s="14" t="s">
        <v>1249</v>
      </c>
      <c r="E362" s="15" t="str">
        <f>HYPERLINK("https://stat100.ameba.jp/tnk47/ratio20/illustrations/card/ill_65643_shitompekamui03.jpg?201901-4-RELEASE-guildbattle-390x", "■")</f>
        <v>■</v>
      </c>
      <c r="F362" s="14" t="s">
        <v>1250</v>
      </c>
      <c r="G362" s="14">
        <v>69430</v>
      </c>
      <c r="H362" s="14">
        <v>95859</v>
      </c>
      <c r="I362" s="14">
        <v>21</v>
      </c>
      <c r="J362" s="14" t="s">
        <v>44</v>
      </c>
      <c r="K362" s="14" t="s">
        <v>1251</v>
      </c>
      <c r="L362" s="14" t="s">
        <v>1252</v>
      </c>
      <c r="M362" s="14" t="s">
        <v>9158</v>
      </c>
      <c r="N362" s="14" t="s">
        <v>9158</v>
      </c>
      <c r="O362" s="7" t="s">
        <v>3244</v>
      </c>
      <c r="P362" s="14" t="s">
        <v>3245</v>
      </c>
      <c r="Q362" s="14">
        <v>1</v>
      </c>
      <c r="R362" s="14"/>
    </row>
    <row r="363" spans="1:18">
      <c r="A363" s="9">
        <v>69533</v>
      </c>
      <c r="B363" s="14" t="s">
        <v>334</v>
      </c>
      <c r="C363" s="14" t="s">
        <v>191</v>
      </c>
      <c r="D363" s="14" t="s">
        <v>137</v>
      </c>
      <c r="E363" s="15" t="str">
        <f>HYPERLINK("https://stat100.ameba.jp/tnk47/ratio20/illustrations/card/ill_69533_setsubunodainokata03.jpg?201901-4-RELEASE-guildbattle-390x", "■")</f>
        <v>■</v>
      </c>
      <c r="F363" s="14" t="s">
        <v>138</v>
      </c>
      <c r="G363" s="14">
        <v>82027</v>
      </c>
      <c r="H363" s="14">
        <v>76237</v>
      </c>
      <c r="I363" s="14">
        <v>21</v>
      </c>
      <c r="J363" s="14" t="s">
        <v>10</v>
      </c>
      <c r="K363" s="14" t="s">
        <v>139</v>
      </c>
      <c r="L363" s="14" t="s">
        <v>140</v>
      </c>
      <c r="M363" s="14" t="s">
        <v>9158</v>
      </c>
      <c r="N363" s="14" t="s">
        <v>9158</v>
      </c>
      <c r="O363" s="18" t="s">
        <v>10055</v>
      </c>
      <c r="P363" s="14" t="s">
        <v>13124</v>
      </c>
      <c r="Q363" s="14">
        <v>1</v>
      </c>
      <c r="R363" s="14"/>
    </row>
    <row r="364" spans="1:18">
      <c r="A364" s="9">
        <v>61433</v>
      </c>
      <c r="B364" s="14" t="s">
        <v>334</v>
      </c>
      <c r="C364" s="14" t="s">
        <v>200</v>
      </c>
      <c r="D364" s="14" t="s">
        <v>74</v>
      </c>
      <c r="E364" s="15" t="str">
        <f>HYPERLINK("https://stat100.ameba.jp/tnk47/ratio20/illustrations/card/ill_61433_isehime03.jpg?201901-4-RELEASE-guildbattle-390x", "■")</f>
        <v>■</v>
      </c>
      <c r="F364" s="14" t="s">
        <v>78</v>
      </c>
      <c r="G364" s="14">
        <v>91779</v>
      </c>
      <c r="H364" s="14">
        <v>66487</v>
      </c>
      <c r="I364" s="14">
        <v>21</v>
      </c>
      <c r="J364" s="14" t="s">
        <v>77</v>
      </c>
      <c r="K364" s="14" t="s">
        <v>75</v>
      </c>
      <c r="L364" s="14" t="s">
        <v>76</v>
      </c>
      <c r="M364" s="14" t="s">
        <v>9158</v>
      </c>
      <c r="N364" s="14" t="s">
        <v>9158</v>
      </c>
      <c r="O364" s="7" t="s">
        <v>2717</v>
      </c>
      <c r="P364" s="14" t="s">
        <v>13123</v>
      </c>
      <c r="Q364" s="14">
        <v>1</v>
      </c>
      <c r="R364" s="14"/>
    </row>
    <row r="365" spans="1:18">
      <c r="B365" s="14"/>
      <c r="C365" s="14"/>
      <c r="D365" s="14"/>
      <c r="F365" s="14"/>
      <c r="G365" s="14"/>
      <c r="H365" s="14"/>
      <c r="I365" s="14"/>
      <c r="J365" s="14"/>
      <c r="K365" s="14"/>
      <c r="L365" s="14"/>
      <c r="M365" s="14"/>
      <c r="N365" s="14"/>
      <c r="O365" s="7"/>
      <c r="P365" s="14"/>
      <c r="Q365" s="14"/>
      <c r="R365" s="14"/>
    </row>
    <row r="366" spans="1:18">
      <c r="A366" s="14" t="s">
        <v>897</v>
      </c>
      <c r="D366" s="14"/>
      <c r="F366" s="14"/>
      <c r="G366" s="14"/>
      <c r="H366" s="14"/>
      <c r="I366" s="14"/>
      <c r="J366" s="14"/>
      <c r="K366" s="14"/>
      <c r="L366" s="14"/>
      <c r="M366" s="14"/>
      <c r="N366" s="14"/>
      <c r="O366" s="7"/>
      <c r="P366" s="14"/>
      <c r="Q366" s="14"/>
      <c r="R366" s="14"/>
    </row>
    <row r="367" spans="1:18">
      <c r="A367" s="14" t="s">
        <v>3246</v>
      </c>
      <c r="B367" s="14"/>
      <c r="C367" s="14"/>
      <c r="D367" s="14"/>
      <c r="F367" s="14"/>
      <c r="G367" s="14"/>
      <c r="H367" s="14"/>
      <c r="I367" s="14"/>
      <c r="J367" s="14"/>
      <c r="K367" s="14"/>
      <c r="L367" s="14"/>
      <c r="M367" s="14"/>
      <c r="N367" s="14"/>
      <c r="O367" s="7"/>
      <c r="P367" s="14"/>
      <c r="Q367" s="14"/>
      <c r="R367" s="14"/>
    </row>
    <row r="368" spans="1:18">
      <c r="A368" s="9" t="s">
        <v>5804</v>
      </c>
      <c r="B368" s="14" t="s">
        <v>330</v>
      </c>
      <c r="C368" s="14" t="s">
        <v>185</v>
      </c>
      <c r="D368" s="14" t="s">
        <v>3247</v>
      </c>
      <c r="E368" s="15" t="str">
        <f>HYPERLINK("https://stat100.ameba.jp/tnk47/ratio20/illustrations/card/ill_75393_0_resukuinotsukisamaniittausagi03.jpg?201901-4-RELEASE-guildbattle-390x", "■")</f>
        <v>■</v>
      </c>
      <c r="F368" s="14" t="s">
        <v>3248</v>
      </c>
      <c r="G368" s="14">
        <v>170856</v>
      </c>
      <c r="H368" s="14">
        <v>170856</v>
      </c>
      <c r="I368" s="14">
        <v>15</v>
      </c>
      <c r="J368" s="14" t="s">
        <v>26</v>
      </c>
      <c r="K368" s="14" t="s">
        <v>3249</v>
      </c>
      <c r="L368" s="14" t="s">
        <v>3250</v>
      </c>
      <c r="M368" s="14" t="s">
        <v>9158</v>
      </c>
      <c r="N368" s="14" t="s">
        <v>9158</v>
      </c>
      <c r="O368" s="18" t="s">
        <v>10051</v>
      </c>
      <c r="P368" s="14" t="s">
        <v>3251</v>
      </c>
      <c r="Q368" s="14">
        <v>2</v>
      </c>
      <c r="R368" s="14"/>
    </row>
    <row r="369" spans="1:18">
      <c r="A369" s="9" t="s">
        <v>5603</v>
      </c>
      <c r="B369" s="14" t="s">
        <v>330</v>
      </c>
      <c r="C369" s="14" t="s">
        <v>205</v>
      </c>
      <c r="D369" s="14" t="s">
        <v>1868</v>
      </c>
      <c r="E369" s="15" t="str">
        <f>HYPERLINK("https://stat100.ameba.jp/tnk47/ratio20/illustrations/card/ill_61893_0_onikirishumiyamotomusashi03.jpg?201901-4-RELEASE-guildbattle-390x", "■")</f>
        <v>■</v>
      </c>
      <c r="F369" s="14" t="s">
        <v>1869</v>
      </c>
      <c r="G369" s="14">
        <v>140016</v>
      </c>
      <c r="H369" s="14">
        <v>130194</v>
      </c>
      <c r="I369" s="14">
        <v>15</v>
      </c>
      <c r="J369" s="14" t="s">
        <v>143</v>
      </c>
      <c r="K369" s="14" t="s">
        <v>1870</v>
      </c>
      <c r="L369" s="14" t="s">
        <v>901</v>
      </c>
      <c r="M369" s="14" t="s">
        <v>9158</v>
      </c>
      <c r="N369" s="14" t="s">
        <v>9158</v>
      </c>
      <c r="O369" s="7" t="s">
        <v>3252</v>
      </c>
      <c r="P369" s="14" t="s">
        <v>3253</v>
      </c>
      <c r="Q369" s="14">
        <v>1</v>
      </c>
      <c r="R369" s="14"/>
    </row>
    <row r="370" spans="1:18">
      <c r="A370" s="9" t="s">
        <v>5608</v>
      </c>
      <c r="B370" s="14" t="s">
        <v>330</v>
      </c>
      <c r="C370" s="14" t="s">
        <v>165</v>
      </c>
      <c r="D370" s="14" t="s">
        <v>2037</v>
      </c>
      <c r="E370" s="15" t="str">
        <f>HYPERLINK("https://stat100.ameba.jp/tnk47/ratio20/illustrations/card/ill_40963_0_makami03.jpg?201901-4-RELEASE-guildbattle-390x", "■")</f>
        <v>■</v>
      </c>
      <c r="F370" s="14" t="s">
        <v>2038</v>
      </c>
      <c r="G370" s="14">
        <v>87780</v>
      </c>
      <c r="H370" s="14">
        <v>82212</v>
      </c>
      <c r="I370" s="14">
        <v>15</v>
      </c>
      <c r="J370" s="14" t="s">
        <v>44</v>
      </c>
      <c r="K370" s="14" t="s">
        <v>2039</v>
      </c>
      <c r="L370" s="14" t="s">
        <v>2040</v>
      </c>
      <c r="M370" s="14" t="s">
        <v>9158</v>
      </c>
      <c r="N370" s="14" t="s">
        <v>9158</v>
      </c>
      <c r="O370" s="14" t="s">
        <v>9158</v>
      </c>
      <c r="P370" s="14" t="s">
        <v>9158</v>
      </c>
      <c r="Q370" s="14" t="s">
        <v>9158</v>
      </c>
      <c r="R370" s="14"/>
    </row>
    <row r="371" spans="1:18">
      <c r="A371" s="9">
        <v>79163</v>
      </c>
      <c r="B371" s="14" t="s">
        <v>334</v>
      </c>
      <c r="C371" s="14" t="s">
        <v>185</v>
      </c>
      <c r="D371" s="14" t="s">
        <v>3254</v>
      </c>
      <c r="E371" s="15" t="str">
        <f>HYPERLINK("https://stat100.ameba.jp/tnk47/ratio20/illustrations/card/ill_79163_karutaonamihime03.jpg?201901-4-RELEASE-guildbattle-390x", "■")</f>
        <v>■</v>
      </c>
      <c r="F371" s="14" t="s">
        <v>3255</v>
      </c>
      <c r="G371" s="14">
        <v>168858</v>
      </c>
      <c r="H371" s="14">
        <v>95001</v>
      </c>
      <c r="I371" s="14">
        <v>23</v>
      </c>
      <c r="J371" s="14" t="s">
        <v>143</v>
      </c>
      <c r="K371" s="14" t="s">
        <v>3256</v>
      </c>
      <c r="L371" s="14" t="s">
        <v>145</v>
      </c>
      <c r="M371" s="14" t="s">
        <v>9158</v>
      </c>
      <c r="N371" s="14" t="s">
        <v>9158</v>
      </c>
      <c r="O371" s="14" t="s">
        <v>9158</v>
      </c>
      <c r="P371" s="14" t="s">
        <v>9158</v>
      </c>
      <c r="Q371" s="14" t="s">
        <v>9158</v>
      </c>
      <c r="R371" s="14"/>
    </row>
    <row r="372" spans="1:18">
      <c r="A372" s="9">
        <v>70793</v>
      </c>
      <c r="B372" s="14" t="s">
        <v>334</v>
      </c>
      <c r="C372" s="14" t="s">
        <v>191</v>
      </c>
      <c r="D372" s="14" t="s">
        <v>3257</v>
      </c>
      <c r="E372" s="15" t="str">
        <f>HYPERLINK("https://stat100.ameba.jp/tnk47/ratio20/illustrations/card/ill_70793_tojimbo03.jpg?201901-4-RELEASE-guildbattle-390x", "■")</f>
        <v>■</v>
      </c>
      <c r="F372" s="14" t="s">
        <v>3258</v>
      </c>
      <c r="G372" s="14">
        <v>91632</v>
      </c>
      <c r="H372" s="14">
        <v>51560</v>
      </c>
      <c r="I372" s="14">
        <v>19</v>
      </c>
      <c r="J372" s="14" t="s">
        <v>26</v>
      </c>
      <c r="K372" s="14" t="s">
        <v>3259</v>
      </c>
      <c r="L372" s="14" t="s">
        <v>3260</v>
      </c>
      <c r="M372" s="14" t="s">
        <v>9158</v>
      </c>
      <c r="N372" s="14" t="s">
        <v>9158</v>
      </c>
      <c r="O372" s="14" t="s">
        <v>9158</v>
      </c>
      <c r="P372" s="14" t="s">
        <v>9158</v>
      </c>
      <c r="Q372" s="14" t="s">
        <v>9158</v>
      </c>
      <c r="R372" s="14"/>
    </row>
    <row r="373" spans="1:18">
      <c r="A373" s="9">
        <v>74993</v>
      </c>
      <c r="B373" s="14" t="s">
        <v>334</v>
      </c>
      <c r="C373" s="14" t="s">
        <v>205</v>
      </c>
      <c r="D373" s="14" t="s">
        <v>3261</v>
      </c>
      <c r="E373" s="15" t="str">
        <f>HYPERLINK("https://stat100.ameba.jp/tnk47/ratio20/illustrations/card/ill_74993_demikatsudon03.jpg?201901-4-RELEASE-guildbattle-390x", "■")</f>
        <v>■</v>
      </c>
      <c r="F373" s="14" t="s">
        <v>3262</v>
      </c>
      <c r="G373" s="14">
        <v>112949</v>
      </c>
      <c r="H373" s="14">
        <v>105020</v>
      </c>
      <c r="I373" s="14">
        <v>19</v>
      </c>
      <c r="J373" s="14" t="s">
        <v>104</v>
      </c>
      <c r="K373" s="14" t="s">
        <v>3263</v>
      </c>
      <c r="L373" s="14" t="s">
        <v>1029</v>
      </c>
      <c r="M373" s="14" t="s">
        <v>9158</v>
      </c>
      <c r="N373" s="14" t="s">
        <v>9158</v>
      </c>
      <c r="O373" s="14" t="s">
        <v>9158</v>
      </c>
      <c r="P373" s="14" t="s">
        <v>9158</v>
      </c>
      <c r="Q373" s="14" t="s">
        <v>9158</v>
      </c>
      <c r="R373" s="14"/>
    </row>
    <row r="374" spans="1:18">
      <c r="A374" s="9">
        <v>70533</v>
      </c>
      <c r="B374" s="14" t="s">
        <v>348</v>
      </c>
      <c r="C374" s="14" t="s">
        <v>206</v>
      </c>
      <c r="D374" s="14" t="s">
        <v>3264</v>
      </c>
      <c r="E374" s="15" t="str">
        <f>HYPERLINK("https://stat100.ameba.jp/tnk47/ratio20/illustrations/card/ill_70533_shitsunaipuruchochofujin03.jpg?201901-4-RELEASE-guildbattle-390x", "■")</f>
        <v>■</v>
      </c>
      <c r="F374" s="14" t="s">
        <v>3265</v>
      </c>
      <c r="G374" s="14">
        <v>68172</v>
      </c>
      <c r="H374" s="14">
        <v>61832</v>
      </c>
      <c r="I374" s="14">
        <v>23</v>
      </c>
      <c r="J374" s="14" t="s">
        <v>38</v>
      </c>
      <c r="K374" s="14" t="s">
        <v>3266</v>
      </c>
      <c r="L374" s="14" t="s">
        <v>3267</v>
      </c>
      <c r="M374" s="14" t="s">
        <v>9158</v>
      </c>
      <c r="N374" s="14" t="s">
        <v>9158</v>
      </c>
      <c r="O374" s="14" t="s">
        <v>9158</v>
      </c>
      <c r="P374" s="14" t="s">
        <v>9158</v>
      </c>
      <c r="Q374" s="14" t="s">
        <v>9158</v>
      </c>
      <c r="R374" s="14"/>
    </row>
    <row r="375" spans="1:18">
      <c r="A375" s="9">
        <v>68863</v>
      </c>
      <c r="B375" s="14" t="s">
        <v>348</v>
      </c>
      <c r="C375" s="14" t="s">
        <v>165</v>
      </c>
      <c r="D375" s="14" t="s">
        <v>3268</v>
      </c>
      <c r="E375" s="15" t="str">
        <f>HYPERLINK("https://stat100.ameba.jp/tnk47/ratio20/illustrations/card/ill_68863_karutawakaruhimenomikoto03.jpg?201901-4-RELEASE-guildbattle-390x", "■")</f>
        <v>■</v>
      </c>
      <c r="F375" s="14" t="s">
        <v>3269</v>
      </c>
      <c r="G375" s="14">
        <v>68172</v>
      </c>
      <c r="H375" s="14">
        <v>61832</v>
      </c>
      <c r="I375" s="14">
        <v>23</v>
      </c>
      <c r="J375" s="14" t="s">
        <v>44</v>
      </c>
      <c r="K375" s="14" t="s">
        <v>3270</v>
      </c>
      <c r="L375" s="14" t="s">
        <v>3271</v>
      </c>
      <c r="M375" s="14" t="s">
        <v>9158</v>
      </c>
      <c r="N375" s="14" t="s">
        <v>9158</v>
      </c>
      <c r="O375" s="14" t="s">
        <v>9158</v>
      </c>
      <c r="P375" s="14" t="s">
        <v>9158</v>
      </c>
      <c r="Q375" s="14" t="s">
        <v>9158</v>
      </c>
      <c r="R375" s="14"/>
    </row>
    <row r="376" spans="1:18">
      <c r="A376" s="9">
        <v>73263</v>
      </c>
      <c r="B376" s="14" t="s">
        <v>348</v>
      </c>
      <c r="C376" s="14" t="s">
        <v>185</v>
      </c>
      <c r="D376" s="14" t="s">
        <v>3272</v>
      </c>
      <c r="E376" s="15" t="str">
        <f>HYPERLINK("https://stat100.ameba.jp/tnk47/ratio20/illustrations/card/ill_73263_ajisainiijimayae03.jpg?201901-4-RELEASE-guildbattle-390x", "■")</f>
        <v>■</v>
      </c>
      <c r="F376" s="14" t="s">
        <v>3273</v>
      </c>
      <c r="G376" s="14">
        <v>68172</v>
      </c>
      <c r="H376" s="14">
        <v>61832</v>
      </c>
      <c r="I376" s="14">
        <v>23</v>
      </c>
      <c r="J376" s="14" t="s">
        <v>10</v>
      </c>
      <c r="K376" s="14" t="s">
        <v>3274</v>
      </c>
      <c r="L376" s="14" t="s">
        <v>3275</v>
      </c>
      <c r="M376" s="14" t="s">
        <v>9158</v>
      </c>
      <c r="N376" s="14" t="s">
        <v>9158</v>
      </c>
      <c r="O376" s="14" t="s">
        <v>9158</v>
      </c>
      <c r="P376" s="14" t="s">
        <v>9158</v>
      </c>
      <c r="Q376" s="14" t="s">
        <v>9158</v>
      </c>
      <c r="R376" s="14"/>
    </row>
    <row r="377" spans="1:18">
      <c r="B377" s="14"/>
      <c r="C377" s="14"/>
      <c r="D377" s="14"/>
      <c r="F377" s="14"/>
      <c r="G377" s="14"/>
      <c r="H377" s="14"/>
      <c r="I377" s="14"/>
      <c r="J377" s="14"/>
      <c r="K377" s="14"/>
      <c r="L377" s="14"/>
      <c r="M377" s="14"/>
      <c r="N377" s="14"/>
      <c r="O377" s="7"/>
      <c r="P377" s="14"/>
      <c r="Q377" s="14"/>
      <c r="R377" s="14"/>
    </row>
    <row r="378" spans="1:18">
      <c r="A378" s="9" t="s">
        <v>4041</v>
      </c>
      <c r="B378" s="14"/>
      <c r="D378" s="14"/>
      <c r="F378" s="14"/>
      <c r="G378" s="14"/>
      <c r="H378" s="14"/>
      <c r="I378" s="14"/>
      <c r="J378" s="14"/>
      <c r="K378" s="14"/>
      <c r="L378" s="14"/>
      <c r="M378" s="14"/>
      <c r="N378" s="14"/>
      <c r="O378" s="7"/>
      <c r="P378" s="14"/>
      <c r="Q378" s="14"/>
      <c r="R378" s="14"/>
    </row>
    <row r="379" spans="1:18">
      <c r="A379" s="14" t="s">
        <v>3276</v>
      </c>
      <c r="B379" s="14"/>
      <c r="C379" s="14"/>
      <c r="D379" s="14"/>
      <c r="F379" s="14"/>
      <c r="G379" s="14"/>
      <c r="H379" s="14"/>
      <c r="I379" s="14"/>
      <c r="J379" s="14"/>
      <c r="K379" s="14"/>
      <c r="L379" s="14"/>
      <c r="M379" s="14"/>
      <c r="N379" s="14"/>
      <c r="O379" s="7"/>
      <c r="P379" s="14"/>
      <c r="Q379" s="14"/>
      <c r="R379" s="14"/>
    </row>
    <row r="380" spans="1:18">
      <c r="A380" s="9" t="s">
        <v>5607</v>
      </c>
      <c r="B380" s="14" t="s">
        <v>330</v>
      </c>
      <c r="C380" s="14" t="s">
        <v>200</v>
      </c>
      <c r="D380" s="14" t="s">
        <v>1039</v>
      </c>
      <c r="E380" s="15" t="str">
        <f>HYPERLINK("https://stat100.ameba.jp/tnk47/ratio20/illustrations/card/ill_58853_0_setsubumpanikkuhiratsukaraicho03.jpg?201901-6-RELEASE-conquest-e-391", "■")</f>
        <v>■</v>
      </c>
      <c r="F380" s="14" t="s">
        <v>1040</v>
      </c>
      <c r="G380" s="14">
        <v>113082</v>
      </c>
      <c r="H380" s="14">
        <v>100454</v>
      </c>
      <c r="I380" s="14">
        <v>18</v>
      </c>
      <c r="J380" s="14" t="s">
        <v>16</v>
      </c>
      <c r="K380" s="14" t="s">
        <v>1041</v>
      </c>
      <c r="L380" s="14" t="s">
        <v>1042</v>
      </c>
      <c r="M380" s="14" t="s">
        <v>9158</v>
      </c>
      <c r="N380" s="14" t="s">
        <v>9158</v>
      </c>
      <c r="O380" s="18" t="s">
        <v>10059</v>
      </c>
      <c r="P380" s="14" t="s">
        <v>3277</v>
      </c>
      <c r="Q380" s="14">
        <v>1</v>
      </c>
      <c r="R380" s="14"/>
    </row>
    <row r="381" spans="1:18">
      <c r="A381" s="9" t="s">
        <v>9473</v>
      </c>
      <c r="B381" s="14" t="s">
        <v>330</v>
      </c>
      <c r="C381" s="14" t="s">
        <v>191</v>
      </c>
      <c r="D381" s="14" t="s">
        <v>1072</v>
      </c>
      <c r="E381" s="15" t="str">
        <f>HYPERLINK("https://stat100.ameba.jp/tnk47/ratio20/illustrations/card/ill_46283_0_odanobunaga03.jpg?201901-6-RELEASE-conquest-e-391", "■")</f>
        <v>■</v>
      </c>
      <c r="F381" s="14" t="s">
        <v>1073</v>
      </c>
      <c r="G381" s="14">
        <v>98654</v>
      </c>
      <c r="H381" s="14">
        <v>105336</v>
      </c>
      <c r="I381" s="14">
        <v>18</v>
      </c>
      <c r="J381" s="14" t="s">
        <v>143</v>
      </c>
      <c r="K381" s="14" t="s">
        <v>1074</v>
      </c>
      <c r="L381" s="14" t="s">
        <v>1075</v>
      </c>
      <c r="M381" s="14" t="s">
        <v>9158</v>
      </c>
      <c r="N381" s="14" t="s">
        <v>9158</v>
      </c>
      <c r="O381" s="14" t="s">
        <v>9158</v>
      </c>
      <c r="P381" s="14" t="s">
        <v>9158</v>
      </c>
      <c r="Q381" s="14" t="s">
        <v>9158</v>
      </c>
      <c r="R381" s="14"/>
    </row>
    <row r="382" spans="1:18">
      <c r="A382" s="9">
        <v>76971</v>
      </c>
      <c r="B382" s="14" t="s">
        <v>334</v>
      </c>
      <c r="C382" s="14" t="s">
        <v>154</v>
      </c>
      <c r="D382" s="14" t="s">
        <v>3278</v>
      </c>
      <c r="E382" s="15" t="str">
        <f>HYPERLINK("https://stat100.ameba.jp/tnk47/ratio20/illustrations/card/ill_76971_higashinokaidanengi01.jpg?201901-6-RELEASE-conquest-e-391", "■")</f>
        <v>■</v>
      </c>
      <c r="F382" s="14" t="s">
        <v>3279</v>
      </c>
      <c r="G382" s="14">
        <v>48510</v>
      </c>
      <c r="H382" s="14">
        <v>52558</v>
      </c>
      <c r="I382" s="14">
        <v>22</v>
      </c>
      <c r="J382" s="14" t="s">
        <v>73</v>
      </c>
      <c r="K382" s="14" t="s">
        <v>3280</v>
      </c>
      <c r="L382" s="14" t="s">
        <v>3281</v>
      </c>
      <c r="M382" s="14" t="s">
        <v>9158</v>
      </c>
      <c r="N382" s="14" t="s">
        <v>9158</v>
      </c>
      <c r="O382" s="14" t="s">
        <v>9158</v>
      </c>
      <c r="P382" s="14" t="s">
        <v>9158</v>
      </c>
      <c r="Q382" s="14" t="s">
        <v>9158</v>
      </c>
      <c r="R382" s="14"/>
    </row>
    <row r="383" spans="1:18">
      <c r="A383" s="9">
        <v>76981</v>
      </c>
      <c r="B383" s="14" t="s">
        <v>334</v>
      </c>
      <c r="C383" s="14" t="s">
        <v>158</v>
      </c>
      <c r="D383" s="14" t="s">
        <v>3282</v>
      </c>
      <c r="E383" s="15" t="str">
        <f>HYPERLINK("https://stat100.ameba.jp/tnk47/ratio20/illustrations/card/ill_76981_nishinokaidanengi01.jpg?201901-6-RELEASE-conquest-e-391", "■")</f>
        <v>■</v>
      </c>
      <c r="F383" s="14" t="s">
        <v>3283</v>
      </c>
      <c r="G383" s="14">
        <v>48510</v>
      </c>
      <c r="H383" s="14">
        <v>52558</v>
      </c>
      <c r="I383" s="14">
        <v>22</v>
      </c>
      <c r="J383" s="14" t="s">
        <v>73</v>
      </c>
      <c r="K383" s="14" t="s">
        <v>3284</v>
      </c>
      <c r="L383" s="14" t="s">
        <v>3281</v>
      </c>
      <c r="M383" s="14" t="s">
        <v>9158</v>
      </c>
      <c r="N383" s="14" t="s">
        <v>9158</v>
      </c>
      <c r="O383" s="14" t="s">
        <v>9158</v>
      </c>
      <c r="P383" s="14" t="s">
        <v>9158</v>
      </c>
      <c r="Q383" s="14" t="s">
        <v>9158</v>
      </c>
      <c r="R383" s="14"/>
    </row>
    <row r="384" spans="1:18">
      <c r="A384" s="9">
        <v>76993</v>
      </c>
      <c r="B384" s="14" t="s">
        <v>334</v>
      </c>
      <c r="C384" s="14" t="s">
        <v>270</v>
      </c>
      <c r="D384" s="14" t="s">
        <v>3285</v>
      </c>
      <c r="E384" s="15" t="str">
        <f>HYPERLINK("https://stat100.ameba.jp/tnk47/ratio20/illustrations/card/ill_76993_kaikokaidanengi03.jpg?201901-6-RELEASE-conquest-e-391", "■")</f>
        <v>■</v>
      </c>
      <c r="F384" s="14" t="s">
        <v>3286</v>
      </c>
      <c r="G384" s="14">
        <v>113480</v>
      </c>
      <c r="H384" s="14">
        <v>122066</v>
      </c>
      <c r="I384" s="14">
        <v>22</v>
      </c>
      <c r="J384" s="14" t="s">
        <v>73</v>
      </c>
      <c r="K384" s="14" t="s">
        <v>3287</v>
      </c>
      <c r="L384" s="14" t="s">
        <v>3288</v>
      </c>
      <c r="M384" s="14" t="s">
        <v>9158</v>
      </c>
      <c r="N384" s="14" t="s">
        <v>9158</v>
      </c>
      <c r="O384" s="14" t="s">
        <v>9158</v>
      </c>
      <c r="P384" s="14" t="s">
        <v>9158</v>
      </c>
      <c r="Q384" s="14" t="s">
        <v>9158</v>
      </c>
      <c r="R384" s="14"/>
    </row>
    <row r="385" spans="1:18">
      <c r="A385" s="9">
        <v>58451</v>
      </c>
      <c r="B385" s="14" t="s">
        <v>334</v>
      </c>
      <c r="C385" s="14" t="s">
        <v>154</v>
      </c>
      <c r="D385" s="14" t="s">
        <v>3289</v>
      </c>
      <c r="E385" s="15" t="str">
        <f>HYPERLINK("https://stat100.ameba.jp/tnk47/ratio20/illustrations/card/ill_58451_fuyunodetosupottohigashinihon01.jpg?201901-6-RELEASE-conquest-e-391", "■")</f>
        <v>■</v>
      </c>
      <c r="F385" s="14" t="s">
        <v>3290</v>
      </c>
      <c r="G385" s="14">
        <v>50380</v>
      </c>
      <c r="H385" s="14">
        <v>54120</v>
      </c>
      <c r="I385" s="14">
        <v>22</v>
      </c>
      <c r="J385" s="14" t="s">
        <v>26</v>
      </c>
      <c r="K385" s="14" t="s">
        <v>3291</v>
      </c>
      <c r="L385" s="14" t="s">
        <v>3292</v>
      </c>
      <c r="M385" s="14" t="s">
        <v>9158</v>
      </c>
      <c r="N385" s="14" t="s">
        <v>9158</v>
      </c>
      <c r="O385" s="14" t="s">
        <v>9158</v>
      </c>
      <c r="P385" s="14" t="s">
        <v>9158</v>
      </c>
      <c r="Q385" s="14" t="s">
        <v>9158</v>
      </c>
      <c r="R385" s="14"/>
    </row>
    <row r="386" spans="1:18">
      <c r="A386" s="9">
        <v>58461</v>
      </c>
      <c r="B386" s="14" t="s">
        <v>334</v>
      </c>
      <c r="C386" s="14" t="s">
        <v>158</v>
      </c>
      <c r="D386" s="14" t="s">
        <v>3293</v>
      </c>
      <c r="E386" s="15" t="str">
        <f>HYPERLINK("https://stat100.ameba.jp/tnk47/ratio20/illustrations/card/ill_58461_fuyunodetosupottonishinihon01.jpg?201901-6-RELEASE-conquest-e-391", "■")</f>
        <v>■</v>
      </c>
      <c r="F386" s="14" t="s">
        <v>3294</v>
      </c>
      <c r="G386" s="14">
        <v>50380</v>
      </c>
      <c r="H386" s="14">
        <v>54120</v>
      </c>
      <c r="I386" s="14">
        <v>22</v>
      </c>
      <c r="J386" s="14" t="s">
        <v>26</v>
      </c>
      <c r="K386" s="14" t="s">
        <v>3295</v>
      </c>
      <c r="L386" s="14" t="s">
        <v>3292</v>
      </c>
      <c r="M386" s="14" t="s">
        <v>9158</v>
      </c>
      <c r="N386" s="14" t="s">
        <v>9158</v>
      </c>
      <c r="O386" s="14" t="s">
        <v>9158</v>
      </c>
      <c r="P386" s="14" t="s">
        <v>9158</v>
      </c>
      <c r="Q386" s="14" t="s">
        <v>9158</v>
      </c>
      <c r="R386" s="14"/>
    </row>
    <row r="387" spans="1:18">
      <c r="A387" s="9">
        <v>58473</v>
      </c>
      <c r="B387" s="14" t="s">
        <v>334</v>
      </c>
      <c r="C387" s="14" t="s">
        <v>270</v>
      </c>
      <c r="D387" s="14" t="s">
        <v>3296</v>
      </c>
      <c r="E387" s="15" t="str">
        <f>HYPERLINK("https://stat100.ameba.jp/tnk47/ratio20/illustrations/card/ill_58473_fuyunodetosupottotokushu03.jpg?201901-6-RELEASE-conquest-e-391", "■")</f>
        <v>■</v>
      </c>
      <c r="F387" s="14" t="s">
        <v>3297</v>
      </c>
      <c r="G387" s="14">
        <v>93456</v>
      </c>
      <c r="H387" s="14">
        <v>100488</v>
      </c>
      <c r="I387" s="14">
        <v>22</v>
      </c>
      <c r="J387" s="14" t="s">
        <v>26</v>
      </c>
      <c r="K387" s="14" t="s">
        <v>3298</v>
      </c>
      <c r="L387" s="14" t="s">
        <v>3299</v>
      </c>
      <c r="M387" s="14" t="s">
        <v>9158</v>
      </c>
      <c r="N387" s="14" t="s">
        <v>9158</v>
      </c>
      <c r="O387" s="14" t="s">
        <v>9158</v>
      </c>
      <c r="P387" s="14" t="s">
        <v>9158</v>
      </c>
      <c r="Q387" s="14" t="s">
        <v>9158</v>
      </c>
      <c r="R387" s="14"/>
    </row>
    <row r="388" spans="1:18">
      <c r="B388" s="14"/>
      <c r="C388" s="14"/>
      <c r="D388" s="14"/>
      <c r="F388" s="14"/>
      <c r="G388" s="14"/>
      <c r="H388" s="14"/>
      <c r="I388" s="14"/>
      <c r="J388" s="14"/>
      <c r="K388" s="14"/>
      <c r="L388" s="14"/>
      <c r="M388" s="14"/>
      <c r="N388" s="14"/>
      <c r="O388" s="7"/>
      <c r="P388" s="14"/>
      <c r="Q388" s="14"/>
      <c r="R388" s="14"/>
    </row>
    <row r="389" spans="1:18">
      <c r="A389" s="14" t="s">
        <v>946</v>
      </c>
      <c r="D389" s="14"/>
      <c r="F389" s="14"/>
      <c r="G389" s="14"/>
      <c r="H389" s="14"/>
      <c r="I389" s="14"/>
      <c r="J389" s="14"/>
      <c r="K389" s="14"/>
      <c r="L389" s="14"/>
      <c r="M389" s="14"/>
      <c r="N389" s="14"/>
      <c r="O389" s="7"/>
      <c r="P389" s="14"/>
      <c r="Q389" s="14"/>
      <c r="R389" s="14"/>
    </row>
    <row r="390" spans="1:18">
      <c r="A390" s="14" t="s">
        <v>3300</v>
      </c>
      <c r="B390" s="14"/>
      <c r="C390" s="14"/>
      <c r="D390" s="14"/>
      <c r="F390" s="14"/>
      <c r="G390" s="14"/>
      <c r="H390" s="14"/>
      <c r="I390" s="14"/>
      <c r="J390" s="14"/>
      <c r="K390" s="14"/>
      <c r="L390" s="14"/>
      <c r="M390" s="14"/>
      <c r="N390" s="14"/>
      <c r="O390" s="7"/>
      <c r="P390" s="14"/>
      <c r="Q390" s="14"/>
      <c r="R390" s="14"/>
    </row>
    <row r="391" spans="1:18">
      <c r="A391" s="9" t="s">
        <v>5899</v>
      </c>
      <c r="B391" s="14" t="s">
        <v>330</v>
      </c>
      <c r="C391" s="14" t="s">
        <v>205</v>
      </c>
      <c r="D391" s="14" t="s">
        <v>1185</v>
      </c>
      <c r="E391" s="15" t="str">
        <f>HYPERLINK("https://stat100.ameba.jp/tnk47/ratio20/illustrations/card/ill_73773_0_umibirakiinugamigyobu03.jpg?201901-6-RELEASE-conquest-e-391", "■")</f>
        <v>■</v>
      </c>
      <c r="F391" s="14" t="s">
        <v>935</v>
      </c>
      <c r="G391" s="14">
        <v>130160</v>
      </c>
      <c r="H391" s="14">
        <v>139999</v>
      </c>
      <c r="I391" s="14">
        <v>15</v>
      </c>
      <c r="J391" s="14" t="s">
        <v>73</v>
      </c>
      <c r="K391" s="14" t="s">
        <v>1186</v>
      </c>
      <c r="L391" s="14" t="s">
        <v>1187</v>
      </c>
      <c r="M391" s="14" t="s">
        <v>9158</v>
      </c>
      <c r="N391" s="14" t="s">
        <v>9158</v>
      </c>
      <c r="O391" s="7" t="s">
        <v>3301</v>
      </c>
      <c r="P391" s="14" t="s">
        <v>3302</v>
      </c>
      <c r="Q391" s="14">
        <v>2</v>
      </c>
      <c r="R391" s="14"/>
    </row>
    <row r="392" spans="1:18">
      <c r="A392" s="9" t="s">
        <v>5725</v>
      </c>
      <c r="B392" s="14" t="s">
        <v>330</v>
      </c>
      <c r="C392" s="14" t="s">
        <v>206</v>
      </c>
      <c r="D392" s="14" t="s">
        <v>55</v>
      </c>
      <c r="E392" s="15" t="str">
        <f>HYPERLINK("https://stat100.ameba.jp/tnk47/ratio20/illustrations/card/ill_52693_0_sengokumibirakiyanagiharabyakuren03.jpg?201901-6-RELEASE-conquest-e-391", "■")</f>
        <v>■</v>
      </c>
      <c r="F392" s="14" t="s">
        <v>1246</v>
      </c>
      <c r="G392" s="14">
        <v>83712</v>
      </c>
      <c r="H392" s="14">
        <v>94236</v>
      </c>
      <c r="I392" s="14">
        <v>15</v>
      </c>
      <c r="J392" s="14" t="s">
        <v>16</v>
      </c>
      <c r="K392" s="14" t="s">
        <v>1247</v>
      </c>
      <c r="L392" s="14" t="s">
        <v>1248</v>
      </c>
      <c r="M392" s="14" t="s">
        <v>9158</v>
      </c>
      <c r="N392" s="14" t="s">
        <v>9158</v>
      </c>
      <c r="O392" s="7" t="s">
        <v>3303</v>
      </c>
      <c r="P392" s="14" t="s">
        <v>3304</v>
      </c>
      <c r="Q392" s="14">
        <v>1</v>
      </c>
      <c r="R392" s="14"/>
    </row>
    <row r="393" spans="1:18">
      <c r="A393" s="9" t="s">
        <v>5830</v>
      </c>
      <c r="B393" s="14" t="s">
        <v>330</v>
      </c>
      <c r="C393" s="14" t="s">
        <v>191</v>
      </c>
      <c r="D393" s="14" t="s">
        <v>1719</v>
      </c>
      <c r="E393" s="15" t="str">
        <f>HYPERLINK("https://stat100.ameba.jp/tnk47/ratio20/illustrations/card/ill_39933_0_reihiiinaotora03.jpg?201901-6-RELEASE-conquest-e-391", "■")</f>
        <v>■</v>
      </c>
      <c r="F393" s="14" t="s">
        <v>1720</v>
      </c>
      <c r="G393" s="14">
        <v>82212</v>
      </c>
      <c r="H393" s="14">
        <v>87780</v>
      </c>
      <c r="I393" s="14">
        <v>15</v>
      </c>
      <c r="J393" s="14" t="s">
        <v>77</v>
      </c>
      <c r="K393" s="14" t="s">
        <v>1721</v>
      </c>
      <c r="L393" s="14" t="s">
        <v>1722</v>
      </c>
      <c r="M393" s="14" t="s">
        <v>9158</v>
      </c>
      <c r="N393" s="14" t="s">
        <v>9158</v>
      </c>
      <c r="O393" s="14" t="s">
        <v>9158</v>
      </c>
      <c r="P393" s="14" t="s">
        <v>9158</v>
      </c>
      <c r="Q393" s="14" t="s">
        <v>9158</v>
      </c>
      <c r="R393" s="14"/>
    </row>
    <row r="394" spans="1:18">
      <c r="A394" s="9">
        <v>79153</v>
      </c>
      <c r="B394" s="14" t="s">
        <v>334</v>
      </c>
      <c r="C394" s="14" t="s">
        <v>205</v>
      </c>
      <c r="D394" s="14" t="s">
        <v>3305</v>
      </c>
      <c r="E394" s="15" t="str">
        <f>HYPERLINK("https://stat100.ameba.jp/tnk47/ratio20/illustrations/card/ill_79153_karutafutaoijimanoyamanokami03.jpg?201901-6-RELEASE-conquest-e-391", "■")</f>
        <v>■</v>
      </c>
      <c r="F394" s="14" t="s">
        <v>3306</v>
      </c>
      <c r="G394" s="14">
        <v>65176</v>
      </c>
      <c r="H394" s="14">
        <v>115855</v>
      </c>
      <c r="I394" s="14">
        <v>23</v>
      </c>
      <c r="J394" s="14" t="s">
        <v>44</v>
      </c>
      <c r="K394" s="14" t="s">
        <v>3307</v>
      </c>
      <c r="L394" s="14" t="s">
        <v>1209</v>
      </c>
      <c r="M394" s="14" t="s">
        <v>9158</v>
      </c>
      <c r="N394" s="14" t="s">
        <v>9158</v>
      </c>
      <c r="O394" s="14" t="s">
        <v>9158</v>
      </c>
      <c r="P394" s="14" t="s">
        <v>9158</v>
      </c>
      <c r="Q394" s="14" t="s">
        <v>9158</v>
      </c>
      <c r="R394" s="14"/>
    </row>
    <row r="395" spans="1:18">
      <c r="A395" s="9">
        <v>71763</v>
      </c>
      <c r="B395" s="14" t="s">
        <v>334</v>
      </c>
      <c r="C395" s="14" t="s">
        <v>200</v>
      </c>
      <c r="D395" s="14" t="s">
        <v>3308</v>
      </c>
      <c r="E395" s="15" t="str">
        <f>HYPERLINK("https://stat100.ameba.jp/tnk47/ratio20/illustrations/card/ill_71763_teradatorahiko03.jpg?201901-6-RELEASE-conquest-e-391", "■")</f>
        <v>■</v>
      </c>
      <c r="F395" s="14" t="s">
        <v>3309</v>
      </c>
      <c r="G395" s="14">
        <v>53842</v>
      </c>
      <c r="H395" s="14">
        <v>95707</v>
      </c>
      <c r="I395" s="14">
        <v>19</v>
      </c>
      <c r="J395" s="14" t="s">
        <v>10</v>
      </c>
      <c r="K395" s="14" t="s">
        <v>3310</v>
      </c>
      <c r="L395" s="14" t="s">
        <v>3311</v>
      </c>
      <c r="M395" s="14" t="s">
        <v>9158</v>
      </c>
      <c r="N395" s="14" t="s">
        <v>9158</v>
      </c>
      <c r="O395" s="14" t="s">
        <v>9158</v>
      </c>
      <c r="P395" s="14" t="s">
        <v>9158</v>
      </c>
      <c r="Q395" s="14" t="s">
        <v>9158</v>
      </c>
      <c r="R395" s="14"/>
    </row>
    <row r="396" spans="1:18">
      <c r="A396" s="9">
        <v>74853</v>
      </c>
      <c r="B396" s="14" t="s">
        <v>334</v>
      </c>
      <c r="C396" s="14" t="s">
        <v>191</v>
      </c>
      <c r="D396" s="14" t="s">
        <v>3312</v>
      </c>
      <c r="E396" s="15" t="str">
        <f>HYPERLINK("https://stat100.ameba.jp/tnk47/ratio20/illustrations/card/ill_74853_ennichikingyonota03.jpg?201901-6-RELEASE-conquest-e-391", "■")</f>
        <v>■</v>
      </c>
      <c r="F396" s="14" t="s">
        <v>3313</v>
      </c>
      <c r="G396" s="14">
        <v>71663</v>
      </c>
      <c r="H396" s="14">
        <v>77043</v>
      </c>
      <c r="I396" s="14">
        <v>19</v>
      </c>
      <c r="J396" s="14" t="s">
        <v>38</v>
      </c>
      <c r="K396" s="14" t="s">
        <v>3314</v>
      </c>
      <c r="L396" s="14" t="s">
        <v>3315</v>
      </c>
      <c r="M396" s="14" t="s">
        <v>9158</v>
      </c>
      <c r="N396" s="14" t="s">
        <v>9158</v>
      </c>
      <c r="O396" s="14" t="s">
        <v>9158</v>
      </c>
      <c r="P396" s="14" t="s">
        <v>9158</v>
      </c>
      <c r="Q396" s="14" t="s">
        <v>9158</v>
      </c>
      <c r="R396" s="14"/>
    </row>
    <row r="397" spans="1:18">
      <c r="A397" s="9">
        <v>63233</v>
      </c>
      <c r="B397" s="14" t="s">
        <v>348</v>
      </c>
      <c r="C397" s="14" t="s">
        <v>205</v>
      </c>
      <c r="D397" s="14" t="s">
        <v>3316</v>
      </c>
      <c r="E397" s="15" t="str">
        <f>HYPERLINK("https://stat100.ameba.jp/tnk47/ratio20/illustrations/card/ill_63233_kyupiddohayaakitsuhimenomikoto03.jpg?201901-6-RELEASE-conquest-e-391", "■")</f>
        <v>■</v>
      </c>
      <c r="F397" s="14" t="s">
        <v>3317</v>
      </c>
      <c r="G397" s="14">
        <v>61832</v>
      </c>
      <c r="H397" s="14">
        <v>68172</v>
      </c>
      <c r="I397" s="14">
        <v>23</v>
      </c>
      <c r="J397" s="14" t="s">
        <v>44</v>
      </c>
      <c r="K397" s="14" t="s">
        <v>3318</v>
      </c>
      <c r="L397" s="14" t="s">
        <v>3319</v>
      </c>
      <c r="M397" s="14" t="s">
        <v>9158</v>
      </c>
      <c r="N397" s="14" t="s">
        <v>9158</v>
      </c>
      <c r="O397" s="14" t="s">
        <v>9158</v>
      </c>
      <c r="P397" s="14" t="s">
        <v>9158</v>
      </c>
      <c r="Q397" s="14" t="s">
        <v>9158</v>
      </c>
      <c r="R397" s="14"/>
    </row>
    <row r="398" spans="1:18">
      <c r="A398" s="9">
        <v>64203</v>
      </c>
      <c r="B398" s="14" t="s">
        <v>348</v>
      </c>
      <c r="C398" s="14" t="s">
        <v>200</v>
      </c>
      <c r="D398" s="14" t="s">
        <v>3320</v>
      </c>
      <c r="E398" s="15" t="str">
        <f>HYPERLINK("https://stat100.ameba.jp/tnk47/ratio20/illustrations/card/ill_64203_meikoazabunooneko03.jpg?201901-6-RELEASE-conquest-e-391", "■")</f>
        <v>■</v>
      </c>
      <c r="F398" s="14" t="s">
        <v>3321</v>
      </c>
      <c r="G398" s="14">
        <v>61832</v>
      </c>
      <c r="H398" s="14">
        <v>68172</v>
      </c>
      <c r="I398" s="14">
        <v>23</v>
      </c>
      <c r="J398" s="14" t="s">
        <v>73</v>
      </c>
      <c r="K398" s="14" t="s">
        <v>3322</v>
      </c>
      <c r="L398" s="14" t="s">
        <v>1706</v>
      </c>
      <c r="M398" s="14" t="s">
        <v>9158</v>
      </c>
      <c r="N398" s="14" t="s">
        <v>9158</v>
      </c>
      <c r="O398" s="14" t="s">
        <v>9158</v>
      </c>
      <c r="P398" s="14" t="s">
        <v>9158</v>
      </c>
      <c r="Q398" s="14" t="s">
        <v>9158</v>
      </c>
      <c r="R398" s="14"/>
    </row>
    <row r="399" spans="1:18">
      <c r="A399" s="9">
        <v>68473</v>
      </c>
      <c r="B399" s="14" t="s">
        <v>348</v>
      </c>
      <c r="C399" s="14" t="s">
        <v>185</v>
      </c>
      <c r="D399" s="14" t="s">
        <v>3323</v>
      </c>
      <c r="E399" s="15" t="str">
        <f>HYPERLINK("https://stat100.ameba.jp/tnk47/ratio20/illustrations/card/ill_68473_sunogurabianakanotakeko03.jpg?201901-6-RELEASE-conquest-e-391", "■")</f>
        <v>■</v>
      </c>
      <c r="F399" s="14" t="s">
        <v>3324</v>
      </c>
      <c r="G399" s="14">
        <v>61832</v>
      </c>
      <c r="H399" s="14">
        <v>68172</v>
      </c>
      <c r="I399" s="14">
        <v>23</v>
      </c>
      <c r="J399" s="14" t="s">
        <v>143</v>
      </c>
      <c r="K399" s="14" t="s">
        <v>3325</v>
      </c>
      <c r="L399" s="14" t="s">
        <v>3326</v>
      </c>
      <c r="M399" s="14" t="s">
        <v>9158</v>
      </c>
      <c r="N399" s="14" t="s">
        <v>9158</v>
      </c>
      <c r="O399" s="14" t="s">
        <v>9158</v>
      </c>
      <c r="P399" s="14" t="s">
        <v>9158</v>
      </c>
      <c r="Q399" s="14" t="s">
        <v>9158</v>
      </c>
      <c r="R399" s="14"/>
    </row>
    <row r="400" spans="1:18">
      <c r="B400" s="14"/>
      <c r="C400" s="14"/>
      <c r="D400" s="14"/>
      <c r="F400" s="14"/>
      <c r="G400" s="14"/>
      <c r="H400" s="14"/>
      <c r="I400" s="14"/>
      <c r="J400" s="14"/>
      <c r="K400" s="14"/>
      <c r="L400" s="14"/>
      <c r="M400" s="14"/>
      <c r="N400" s="14"/>
      <c r="O400" s="7"/>
      <c r="P400" s="14"/>
      <c r="Q400" s="14"/>
      <c r="R400" s="14"/>
    </row>
    <row r="401" spans="1:18">
      <c r="A401" s="14" t="s">
        <v>1357</v>
      </c>
      <c r="D401" s="14"/>
      <c r="F401" s="14"/>
      <c r="G401" s="14"/>
      <c r="H401" s="14"/>
      <c r="I401" s="14"/>
      <c r="J401" s="14"/>
      <c r="K401" s="14"/>
      <c r="L401" s="14"/>
      <c r="M401" s="14"/>
      <c r="N401" s="14"/>
      <c r="O401" s="7"/>
      <c r="P401" s="14"/>
      <c r="Q401" s="14"/>
      <c r="R401" s="14"/>
    </row>
    <row r="402" spans="1:18">
      <c r="A402" s="14" t="s">
        <v>3327</v>
      </c>
      <c r="C402" s="14"/>
      <c r="D402" s="14"/>
      <c r="F402" s="14"/>
      <c r="G402" s="14"/>
      <c r="H402" s="14"/>
      <c r="I402" s="14"/>
      <c r="J402" s="14"/>
      <c r="K402" s="14"/>
      <c r="L402" s="14"/>
      <c r="M402" s="14"/>
      <c r="N402" s="14"/>
      <c r="O402" s="7"/>
      <c r="P402" s="14"/>
      <c r="Q402" s="14"/>
      <c r="R402" s="14"/>
    </row>
    <row r="403" spans="1:18">
      <c r="A403" s="9" t="s">
        <v>5618</v>
      </c>
      <c r="B403" s="14" t="s">
        <v>330</v>
      </c>
      <c r="C403" s="14" t="s">
        <v>200</v>
      </c>
      <c r="D403" s="14" t="s">
        <v>83</v>
      </c>
      <c r="E403" s="15" t="str">
        <f>HYPERLINK("https://stat100.ameba.jp/tnk47/ratio20/illustrations/card/ill_63173_0_minazukikonakaiteruko03.jpg?201901-6-RELEASE-conquest-e-391", "■")</f>
        <v>■</v>
      </c>
      <c r="F403" s="14" t="s">
        <v>1188</v>
      </c>
      <c r="G403" s="14">
        <v>130194</v>
      </c>
      <c r="H403" s="14">
        <v>140016</v>
      </c>
      <c r="I403" s="14">
        <v>15</v>
      </c>
      <c r="J403" s="14" t="s">
        <v>143</v>
      </c>
      <c r="K403" s="14" t="s">
        <v>1189</v>
      </c>
      <c r="L403" s="14" t="s">
        <v>1190</v>
      </c>
      <c r="M403" s="14" t="s">
        <v>9158</v>
      </c>
      <c r="N403" s="14" t="s">
        <v>9158</v>
      </c>
      <c r="O403" s="7" t="s">
        <v>3328</v>
      </c>
      <c r="P403" s="14" t="s">
        <v>3329</v>
      </c>
      <c r="Q403" s="14">
        <v>1</v>
      </c>
      <c r="R403" s="14"/>
    </row>
    <row r="404" spans="1:18">
      <c r="A404" s="9" t="s">
        <v>5617</v>
      </c>
      <c r="B404" s="14" t="s">
        <v>330</v>
      </c>
      <c r="C404" s="14" t="s">
        <v>165</v>
      </c>
      <c r="D404" s="14" t="s">
        <v>982</v>
      </c>
      <c r="E404" s="15" t="str">
        <f>HYPERLINK("https://stat100.ameba.jp/tnk47/ratio20/illustrations/card/ill_59673_0_oheyashutendoji03.jpg?201901-6-RELEASE-conquest-e-391", "■")</f>
        <v>■</v>
      </c>
      <c r="F404" s="14" t="s">
        <v>983</v>
      </c>
      <c r="G404" s="14">
        <v>105545</v>
      </c>
      <c r="H404" s="14">
        <v>113525</v>
      </c>
      <c r="I404" s="14">
        <v>15</v>
      </c>
      <c r="J404" s="14" t="s">
        <v>73</v>
      </c>
      <c r="K404" s="14" t="s">
        <v>984</v>
      </c>
      <c r="L404" s="14" t="s">
        <v>985</v>
      </c>
      <c r="M404" s="14" t="s">
        <v>9158</v>
      </c>
      <c r="N404" s="14" t="s">
        <v>9158</v>
      </c>
      <c r="O404" s="18" t="s">
        <v>10058</v>
      </c>
      <c r="P404" s="14" t="s">
        <v>3330</v>
      </c>
      <c r="Q404" s="14">
        <v>1</v>
      </c>
      <c r="R404" s="14"/>
    </row>
    <row r="405" spans="1:18">
      <c r="A405" s="9" t="s">
        <v>5902</v>
      </c>
      <c r="B405" s="14" t="s">
        <v>330</v>
      </c>
      <c r="C405" s="14" t="s">
        <v>206</v>
      </c>
      <c r="D405" s="14" t="s">
        <v>905</v>
      </c>
      <c r="E405" s="15" t="str">
        <f>HYPERLINK("https://stat100.ameba.jp/tnk47/ratio20/illustrations/card/ill_40343_0_heshikirihasebekurodakambe03.jpg?201901-6-RELEASE-conquest-e-391", "■")</f>
        <v>■</v>
      </c>
      <c r="F405" s="14" t="s">
        <v>906</v>
      </c>
      <c r="G405" s="14">
        <v>87780</v>
      </c>
      <c r="H405" s="14">
        <v>82212</v>
      </c>
      <c r="I405" s="14">
        <v>15</v>
      </c>
      <c r="J405" s="14" t="s">
        <v>16</v>
      </c>
      <c r="K405" s="14" t="s">
        <v>907</v>
      </c>
      <c r="L405" s="14" t="s">
        <v>908</v>
      </c>
      <c r="M405" s="14" t="s">
        <v>9158</v>
      </c>
      <c r="N405" s="14" t="s">
        <v>9158</v>
      </c>
      <c r="O405" s="14" t="s">
        <v>9158</v>
      </c>
      <c r="P405" s="14" t="s">
        <v>9158</v>
      </c>
      <c r="Q405" s="14" t="s">
        <v>9158</v>
      </c>
      <c r="R405" s="14"/>
    </row>
    <row r="406" spans="1:18">
      <c r="A406" s="9">
        <v>76123</v>
      </c>
      <c r="B406" s="14" t="s">
        <v>334</v>
      </c>
      <c r="C406" s="14" t="s">
        <v>158</v>
      </c>
      <c r="D406" s="14" t="s">
        <v>986</v>
      </c>
      <c r="E406" s="15" t="str">
        <f>HYPERLINK("https://stat100.ameba.jp/tnk47/ratio20/illustrations/card/ill_76123_hoshiyominotemmongakusha03.jpg?201901-6-RELEASE-conquest-e-391", "■")</f>
        <v>■</v>
      </c>
      <c r="F406" s="14" t="s">
        <v>987</v>
      </c>
      <c r="G406" s="14">
        <v>161516</v>
      </c>
      <c r="H406" s="14">
        <v>90870</v>
      </c>
      <c r="I406" s="14">
        <v>22</v>
      </c>
      <c r="J406" s="14" t="s">
        <v>16</v>
      </c>
      <c r="K406" s="14" t="s">
        <v>988</v>
      </c>
      <c r="L406" s="14" t="s">
        <v>989</v>
      </c>
      <c r="M406" s="14" t="s">
        <v>9158</v>
      </c>
      <c r="N406" s="14" t="s">
        <v>9158</v>
      </c>
      <c r="O406" s="14" t="s">
        <v>9158</v>
      </c>
      <c r="P406" s="14" t="s">
        <v>9158</v>
      </c>
      <c r="Q406" s="14" t="s">
        <v>9158</v>
      </c>
      <c r="R406" s="14"/>
    </row>
    <row r="407" spans="1:18">
      <c r="A407" s="9">
        <v>76953</v>
      </c>
      <c r="B407" s="14" t="s">
        <v>334</v>
      </c>
      <c r="C407" s="14" t="s">
        <v>154</v>
      </c>
      <c r="D407" s="14" t="s">
        <v>1931</v>
      </c>
      <c r="E407" s="15" t="str">
        <f>HYPERLINK("https://stat100.ameba.jp/tnk47/ratio20/illustrations/card/ill_76953_gureteru03.jpg?201901-6-RELEASE-conquest-e-391", "■")</f>
        <v>■</v>
      </c>
      <c r="F407" s="14" t="s">
        <v>1932</v>
      </c>
      <c r="G407" s="14">
        <v>69714</v>
      </c>
      <c r="H407" s="14">
        <v>123870</v>
      </c>
      <c r="I407" s="14">
        <v>22</v>
      </c>
      <c r="J407" s="14" t="s">
        <v>38</v>
      </c>
      <c r="K407" s="14" t="s">
        <v>1933</v>
      </c>
      <c r="L407" s="14" t="s">
        <v>1934</v>
      </c>
      <c r="M407" s="14" t="s">
        <v>9158</v>
      </c>
      <c r="N407" s="14" t="s">
        <v>9158</v>
      </c>
      <c r="O407" s="14" t="s">
        <v>9158</v>
      </c>
      <c r="P407" s="14" t="s">
        <v>9158</v>
      </c>
      <c r="Q407" s="14" t="s">
        <v>9158</v>
      </c>
      <c r="R407" s="14"/>
    </row>
    <row r="408" spans="1:18">
      <c r="A408" s="9">
        <v>79833</v>
      </c>
      <c r="B408" s="14" t="s">
        <v>334</v>
      </c>
      <c r="C408" s="14" t="s">
        <v>154</v>
      </c>
      <c r="D408" s="14" t="s">
        <v>3331</v>
      </c>
      <c r="E408" s="15" t="str">
        <f>HYPERLINK("https://stat100.ameba.jp/tnk47/ratio20/illustrations/card/ill_79833_jiyunomegamimariannu03.jpg?201901-6-RELEASE-conquest-e-391", "■")</f>
        <v>■</v>
      </c>
      <c r="F408" s="14" t="s">
        <v>3332</v>
      </c>
      <c r="G408" s="14">
        <v>90918</v>
      </c>
      <c r="H408" s="14">
        <v>97790</v>
      </c>
      <c r="I408" s="14">
        <v>22</v>
      </c>
      <c r="J408" s="14" t="s">
        <v>10</v>
      </c>
      <c r="K408" s="14" t="s">
        <v>3333</v>
      </c>
      <c r="L408" s="14" t="s">
        <v>12</v>
      </c>
      <c r="M408" s="14" t="s">
        <v>9158</v>
      </c>
      <c r="N408" s="14" t="s">
        <v>9158</v>
      </c>
      <c r="O408" s="14" t="s">
        <v>9158</v>
      </c>
      <c r="P408" s="14" t="s">
        <v>9158</v>
      </c>
      <c r="Q408" s="14" t="s">
        <v>9158</v>
      </c>
      <c r="R408" s="14"/>
    </row>
    <row r="409" spans="1:18">
      <c r="A409" s="9">
        <v>66513</v>
      </c>
      <c r="B409" s="14" t="s">
        <v>348</v>
      </c>
      <c r="C409" s="14" t="s">
        <v>165</v>
      </c>
      <c r="D409" s="14" t="s">
        <v>3334</v>
      </c>
      <c r="E409" s="15" t="str">
        <f>HYPERLINK("https://stat100.ameba.jp/tnk47/ratio20/illustrations/card/ill_66513_yuenchigishumoninnotango03.jpg?201901-6-RELEASE-conquest-e-391", "■")</f>
        <v>■</v>
      </c>
      <c r="F409" s="14" t="s">
        <v>3335</v>
      </c>
      <c r="G409" s="14">
        <v>59144</v>
      </c>
      <c r="H409" s="14">
        <v>65208</v>
      </c>
      <c r="I409" s="14">
        <v>22</v>
      </c>
      <c r="J409" s="14" t="s">
        <v>10</v>
      </c>
      <c r="K409" s="14" t="s">
        <v>3336</v>
      </c>
      <c r="L409" s="14" t="s">
        <v>3337</v>
      </c>
      <c r="M409" s="14" t="s">
        <v>9158</v>
      </c>
      <c r="N409" s="14" t="s">
        <v>9158</v>
      </c>
      <c r="O409" s="14" t="s">
        <v>9158</v>
      </c>
      <c r="P409" s="14" t="s">
        <v>9158</v>
      </c>
      <c r="Q409" s="14" t="s">
        <v>9158</v>
      </c>
      <c r="R409" s="14"/>
    </row>
    <row r="410" spans="1:18">
      <c r="A410" s="9">
        <v>60823</v>
      </c>
      <c r="B410" s="14" t="s">
        <v>348</v>
      </c>
      <c r="C410" s="14" t="s">
        <v>206</v>
      </c>
      <c r="D410" s="14" t="s">
        <v>3338</v>
      </c>
      <c r="E410" s="15" t="str">
        <f>HYPERLINK("https://stat100.ameba.jp/tnk47/ratio20/illustrations/card/ill_60823_intonwadatsumi03.jpg?201901-6-RELEASE-conquest-e-391", "■")</f>
        <v>■</v>
      </c>
      <c r="F410" s="14" t="s">
        <v>3339</v>
      </c>
      <c r="G410" s="14">
        <v>65208</v>
      </c>
      <c r="H410" s="14">
        <v>59144</v>
      </c>
      <c r="I410" s="14">
        <v>22</v>
      </c>
      <c r="J410" s="14" t="s">
        <v>44</v>
      </c>
      <c r="K410" s="14" t="s">
        <v>3340</v>
      </c>
      <c r="L410" s="14" t="s">
        <v>3271</v>
      </c>
      <c r="M410" s="14" t="s">
        <v>9158</v>
      </c>
      <c r="N410" s="14" t="s">
        <v>9158</v>
      </c>
      <c r="O410" s="14" t="s">
        <v>9158</v>
      </c>
      <c r="P410" s="14" t="s">
        <v>9158</v>
      </c>
      <c r="Q410" s="14" t="s">
        <v>9158</v>
      </c>
      <c r="R410" s="14"/>
    </row>
    <row r="411" spans="1:18">
      <c r="A411" s="9">
        <v>72533</v>
      </c>
      <c r="B411" s="14" t="s">
        <v>348</v>
      </c>
      <c r="C411" s="14" t="s">
        <v>185</v>
      </c>
      <c r="D411" s="14" t="s">
        <v>3341</v>
      </c>
      <c r="E411" s="15" t="str">
        <f>HYPERLINK("https://stat100.ameba.jp/tnk47/ratio20/illustrations/card/ill_72533_safuaripakunambutsuruhime03.jpg?201901-6-RELEASE-conquest-e-391", "■")</f>
        <v>■</v>
      </c>
      <c r="F411" s="14" t="s">
        <v>3342</v>
      </c>
      <c r="G411" s="14">
        <v>65208</v>
      </c>
      <c r="H411" s="14">
        <v>59144</v>
      </c>
      <c r="I411" s="14">
        <v>22</v>
      </c>
      <c r="J411" s="14" t="s">
        <v>77</v>
      </c>
      <c r="K411" s="14" t="s">
        <v>3343</v>
      </c>
      <c r="L411" s="14" t="s">
        <v>932</v>
      </c>
      <c r="M411" s="14" t="s">
        <v>9158</v>
      </c>
      <c r="N411" s="14" t="s">
        <v>9158</v>
      </c>
      <c r="O411" s="14" t="s">
        <v>9158</v>
      </c>
      <c r="P411" s="14" t="s">
        <v>9158</v>
      </c>
      <c r="Q411" s="14" t="s">
        <v>9158</v>
      </c>
      <c r="R411" s="14"/>
    </row>
    <row r="412" spans="1:18">
      <c r="B412" s="14"/>
      <c r="C412" s="14"/>
      <c r="D412" s="14"/>
      <c r="F412" s="14"/>
      <c r="G412" s="14"/>
      <c r="H412" s="14"/>
      <c r="I412" s="14"/>
      <c r="J412" s="14"/>
      <c r="K412" s="14"/>
      <c r="L412" s="14"/>
      <c r="M412" s="14"/>
      <c r="N412" s="14"/>
      <c r="O412" s="7"/>
      <c r="P412" s="14"/>
      <c r="Q412" s="14"/>
      <c r="R412" s="14"/>
    </row>
    <row r="413" spans="1:18">
      <c r="A413" s="14" t="s">
        <v>114</v>
      </c>
      <c r="D413" s="14"/>
      <c r="F413" s="14"/>
      <c r="G413" s="14"/>
      <c r="H413" s="14"/>
      <c r="I413" s="14"/>
      <c r="J413" s="14"/>
      <c r="K413" s="14"/>
      <c r="L413" s="14"/>
      <c r="M413" s="14"/>
      <c r="N413" s="14"/>
      <c r="O413" s="7"/>
      <c r="P413" s="14"/>
      <c r="Q413" s="14"/>
      <c r="R413" s="14"/>
    </row>
    <row r="414" spans="1:18">
      <c r="A414" s="14" t="s">
        <v>3344</v>
      </c>
      <c r="B414" s="14"/>
      <c r="C414" s="14"/>
      <c r="D414" s="14"/>
      <c r="F414" s="14"/>
      <c r="G414" s="14"/>
      <c r="H414" s="14"/>
      <c r="I414" s="14"/>
      <c r="J414" s="14"/>
      <c r="K414" s="14"/>
      <c r="L414" s="14"/>
      <c r="M414" s="14"/>
      <c r="N414" s="14"/>
      <c r="O414" s="7"/>
      <c r="P414" s="14"/>
      <c r="Q414" s="14"/>
      <c r="R414" s="14"/>
    </row>
    <row r="415" spans="1:18">
      <c r="A415" s="9" t="s">
        <v>5724</v>
      </c>
      <c r="B415" s="14" t="s">
        <v>330</v>
      </c>
      <c r="C415" s="14" t="s">
        <v>185</v>
      </c>
      <c r="D415" s="14" t="s">
        <v>1242</v>
      </c>
      <c r="E415" s="15" t="str">
        <f>HYPERLINK("https://stat100.ameba.jp/tnk47/ratio20/illustrations/card/ill_66433_0_haroinfujishirogozen03.jpg?201901-6-RELEASE-conquest-e-391", "■")</f>
        <v>■</v>
      </c>
      <c r="F415" s="14" t="s">
        <v>1243</v>
      </c>
      <c r="G415" s="14">
        <v>128531</v>
      </c>
      <c r="H415" s="14">
        <v>138251</v>
      </c>
      <c r="I415" s="14">
        <v>21</v>
      </c>
      <c r="J415" s="14" t="s">
        <v>77</v>
      </c>
      <c r="K415" s="14" t="s">
        <v>1244</v>
      </c>
      <c r="L415" s="14" t="s">
        <v>1245</v>
      </c>
      <c r="M415" s="14" t="s">
        <v>9158</v>
      </c>
      <c r="N415" s="14" t="s">
        <v>9158</v>
      </c>
      <c r="O415" s="18" t="s">
        <v>10062</v>
      </c>
      <c r="P415" s="14" t="s">
        <v>3345</v>
      </c>
      <c r="Q415" s="14">
        <v>1</v>
      </c>
      <c r="R415" s="14"/>
    </row>
    <row r="416" spans="1:18">
      <c r="A416" s="9" t="s">
        <v>5609</v>
      </c>
      <c r="B416" s="14" t="s">
        <v>330</v>
      </c>
      <c r="C416" s="14" t="s">
        <v>200</v>
      </c>
      <c r="D416" s="14" t="s">
        <v>56</v>
      </c>
      <c r="E416" s="15" t="str">
        <f>HYPERLINK("https://stat100.ameba.jp/tnk47/ratio20/illustrations/card/ill_53753_0_natsumatsuritokugawaieyasu03.jpg?201901-6-RELEASE-conquest-e-391", "■")</f>
        <v>■</v>
      </c>
      <c r="F416" s="14" t="s">
        <v>902</v>
      </c>
      <c r="G416" s="14">
        <v>131930</v>
      </c>
      <c r="H416" s="14">
        <v>117196</v>
      </c>
      <c r="I416" s="14">
        <v>21</v>
      </c>
      <c r="J416" s="14" t="s">
        <v>143</v>
      </c>
      <c r="K416" s="14" t="s">
        <v>903</v>
      </c>
      <c r="L416" s="14" t="s">
        <v>904</v>
      </c>
      <c r="M416" s="14" t="s">
        <v>9158</v>
      </c>
      <c r="N416" s="14" t="s">
        <v>9158</v>
      </c>
      <c r="O416" s="18" t="s">
        <v>10052</v>
      </c>
      <c r="P416" s="14" t="s">
        <v>13121</v>
      </c>
      <c r="Q416" s="14">
        <v>1</v>
      </c>
      <c r="R416" s="14"/>
    </row>
    <row r="417" spans="1:18">
      <c r="A417" s="9">
        <v>75073</v>
      </c>
      <c r="B417" s="14" t="s">
        <v>334</v>
      </c>
      <c r="C417" s="14" t="s">
        <v>154</v>
      </c>
      <c r="D417" s="14" t="s">
        <v>3346</v>
      </c>
      <c r="E417" s="15" t="str">
        <f>HYPERLINK("https://stat100.ameba.jp/tnk47/ratio20/illustrations/card/ill_75073_puruchacha03.jpg?201901-6-RELEASE-conquest-e-391", "■")</f>
        <v>■</v>
      </c>
      <c r="F417" s="14" t="s">
        <v>3347</v>
      </c>
      <c r="G417" s="14">
        <v>104890</v>
      </c>
      <c r="H417" s="14">
        <v>75984</v>
      </c>
      <c r="I417" s="14">
        <v>24</v>
      </c>
      <c r="J417" s="14" t="s">
        <v>77</v>
      </c>
      <c r="K417" s="14" t="s">
        <v>3348</v>
      </c>
      <c r="L417" s="14" t="s">
        <v>76</v>
      </c>
      <c r="M417" s="14" t="s">
        <v>9158</v>
      </c>
      <c r="N417" s="14" t="s">
        <v>9158</v>
      </c>
      <c r="O417" s="18" t="s">
        <v>10055</v>
      </c>
      <c r="P417" s="14" t="s">
        <v>13124</v>
      </c>
      <c r="Q417" s="14">
        <v>1</v>
      </c>
      <c r="R417" s="14"/>
    </row>
    <row r="418" spans="1:18">
      <c r="A418" s="9">
        <v>64033</v>
      </c>
      <c r="B418" s="14" t="s">
        <v>334</v>
      </c>
      <c r="C418" s="14" t="s">
        <v>158</v>
      </c>
      <c r="D418" s="14" t="s">
        <v>129</v>
      </c>
      <c r="E418" s="15" t="str">
        <f>HYPERLINK("https://stat100.ameba.jp/tnk47/ratio20/illustrations/card/ill_64033_sobameshi03.jpg?201901-6-RELEASE-conquest-e-391", "■")</f>
        <v>■</v>
      </c>
      <c r="F418" s="14" t="s">
        <v>129</v>
      </c>
      <c r="G418" s="14">
        <v>80391</v>
      </c>
      <c r="H418" s="14">
        <v>111000</v>
      </c>
      <c r="I418" s="14">
        <v>21</v>
      </c>
      <c r="J418" s="14" t="s">
        <v>104</v>
      </c>
      <c r="K418" s="14" t="s">
        <v>130</v>
      </c>
      <c r="L418" s="14" t="s">
        <v>131</v>
      </c>
      <c r="M418" s="14" t="s">
        <v>9158</v>
      </c>
      <c r="N418" s="14" t="s">
        <v>9158</v>
      </c>
      <c r="O418" s="14" t="s">
        <v>9158</v>
      </c>
      <c r="P418" s="14" t="s">
        <v>9158</v>
      </c>
      <c r="Q418" s="14" t="s">
        <v>9158</v>
      </c>
      <c r="R418" s="14"/>
    </row>
    <row r="419" spans="1:18">
      <c r="A419" s="9">
        <v>73083</v>
      </c>
      <c r="B419" s="14" t="s">
        <v>334</v>
      </c>
      <c r="C419" s="14" t="s">
        <v>154</v>
      </c>
      <c r="D419" s="14" t="s">
        <v>3349</v>
      </c>
      <c r="E419" s="15" t="str">
        <f>HYPERLINK("https://stat100.ameba.jp/tnk47/ratio20/illustrations/card/ill_73083_inochinoamekobayashiissa03.jpg?201901-6-RELEASE-conquest-e-391", "■")</f>
        <v>■</v>
      </c>
      <c r="F419" s="14" t="s">
        <v>3350</v>
      </c>
      <c r="G419" s="14">
        <v>91779</v>
      </c>
      <c r="H419" s="14">
        <v>66487</v>
      </c>
      <c r="I419" s="14">
        <v>21</v>
      </c>
      <c r="J419" s="14" t="s">
        <v>10</v>
      </c>
      <c r="K419" s="14" t="s">
        <v>3351</v>
      </c>
      <c r="L419" s="14" t="s">
        <v>3352</v>
      </c>
      <c r="M419" s="14" t="s">
        <v>9158</v>
      </c>
      <c r="N419" s="14" t="s">
        <v>9158</v>
      </c>
      <c r="O419" s="14" t="s">
        <v>9158</v>
      </c>
      <c r="P419" s="14" t="s">
        <v>9158</v>
      </c>
      <c r="Q419" s="14" t="s">
        <v>9158</v>
      </c>
      <c r="R419" s="14"/>
    </row>
    <row r="420" spans="1:18">
      <c r="A420" s="9">
        <v>76773</v>
      </c>
      <c r="B420" s="14" t="s">
        <v>334</v>
      </c>
      <c r="C420" s="14" t="s">
        <v>154</v>
      </c>
      <c r="D420" s="14" t="s">
        <v>3353</v>
      </c>
      <c r="E420" s="15" t="str">
        <f>HYPERLINK("https://stat100.ameba.jp/tnk47/ratio20/illustrations/card/ill_76773_monsutatominushihime03.jpg?201901-6-RELEASE-conquest-e-391", "■")</f>
        <v>■</v>
      </c>
      <c r="F420" s="14" t="s">
        <v>3354</v>
      </c>
      <c r="G420" s="14">
        <v>95859</v>
      </c>
      <c r="H420" s="14">
        <v>69430</v>
      </c>
      <c r="I420" s="14">
        <v>21</v>
      </c>
      <c r="J420" s="14" t="s">
        <v>44</v>
      </c>
      <c r="K420" s="14" t="s">
        <v>3355</v>
      </c>
      <c r="L420" s="14" t="s">
        <v>3356</v>
      </c>
      <c r="M420" s="14" t="s">
        <v>9158</v>
      </c>
      <c r="N420" s="14" t="s">
        <v>9158</v>
      </c>
      <c r="O420" s="14" t="s">
        <v>9158</v>
      </c>
      <c r="P420" s="14" t="s">
        <v>9158</v>
      </c>
      <c r="Q420" s="14" t="s">
        <v>9158</v>
      </c>
      <c r="R420" s="14"/>
    </row>
    <row r="421" spans="1:18">
      <c r="A421" s="9">
        <v>60763</v>
      </c>
      <c r="B421" s="14" t="s">
        <v>334</v>
      </c>
      <c r="C421" s="14" t="s">
        <v>158</v>
      </c>
      <c r="D421" s="14" t="s">
        <v>1145</v>
      </c>
      <c r="E421" s="15" t="str">
        <f>HYPERLINK("https://stat100.ameba.jp/tnk47/ratio20/illustrations/card/ill_60763_fujiwarakagekiyo03.jpg?201901-6-RELEASE-conquest-e-391", "■")</f>
        <v>■</v>
      </c>
      <c r="F421" s="14" t="s">
        <v>1146</v>
      </c>
      <c r="G421" s="14">
        <v>101199</v>
      </c>
      <c r="H421" s="14">
        <v>139716</v>
      </c>
      <c r="I421" s="14">
        <v>21</v>
      </c>
      <c r="J421" s="14" t="s">
        <v>143</v>
      </c>
      <c r="K421" s="14" t="s">
        <v>1147</v>
      </c>
      <c r="L421" s="14" t="s">
        <v>1148</v>
      </c>
      <c r="M421" s="14" t="s">
        <v>9158</v>
      </c>
      <c r="N421" s="14" t="s">
        <v>9158</v>
      </c>
      <c r="O421" s="18" t="s">
        <v>10064</v>
      </c>
      <c r="P421" s="14" t="s">
        <v>13150</v>
      </c>
      <c r="Q421" s="14">
        <v>1</v>
      </c>
      <c r="R421" s="14"/>
    </row>
    <row r="422" spans="1:18">
      <c r="A422" s="9">
        <v>72153</v>
      </c>
      <c r="B422" s="14" t="s">
        <v>334</v>
      </c>
      <c r="C422" s="14" t="s">
        <v>158</v>
      </c>
      <c r="D422" s="14" t="s">
        <v>1030</v>
      </c>
      <c r="E422" s="15" t="str">
        <f>HYPERLINK("https://stat100.ameba.jp/tnk47/ratio20/illustrations/card/ill_72153_bakki03.jpg?201901-6-RELEASE-conquest-e-391", "■")</f>
        <v>■</v>
      </c>
      <c r="F422" s="14" t="s">
        <v>1031</v>
      </c>
      <c r="G422" s="14">
        <v>80391</v>
      </c>
      <c r="H422" s="14">
        <v>111000</v>
      </c>
      <c r="I422" s="14">
        <v>21</v>
      </c>
      <c r="J422" s="14" t="s">
        <v>73</v>
      </c>
      <c r="K422" s="14" t="s">
        <v>1032</v>
      </c>
      <c r="L422" s="14" t="s">
        <v>1033</v>
      </c>
      <c r="M422" s="14" t="s">
        <v>9158</v>
      </c>
      <c r="N422" s="14" t="s">
        <v>9158</v>
      </c>
      <c r="O422" s="14" t="s">
        <v>9158</v>
      </c>
      <c r="P422" s="14" t="s">
        <v>9158</v>
      </c>
      <c r="Q422" s="14" t="s">
        <v>9158</v>
      </c>
      <c r="R422" s="14"/>
    </row>
    <row r="423" spans="1:18">
      <c r="B423" s="14"/>
      <c r="C423" s="14"/>
      <c r="D423" s="14"/>
      <c r="F423" s="14"/>
      <c r="G423" s="14"/>
      <c r="H423" s="14"/>
      <c r="I423" s="14"/>
      <c r="J423" s="14"/>
      <c r="K423" s="14"/>
      <c r="L423" s="14"/>
      <c r="M423" s="14"/>
      <c r="N423" s="14"/>
      <c r="O423" s="7"/>
      <c r="P423" s="14"/>
      <c r="Q423" s="14"/>
      <c r="R423" s="14"/>
    </row>
    <row r="424" spans="1:18">
      <c r="A424" s="14" t="s">
        <v>132</v>
      </c>
      <c r="D424" s="14"/>
      <c r="F424" s="14"/>
      <c r="G424" s="14"/>
      <c r="H424" s="14"/>
      <c r="I424" s="14"/>
      <c r="J424" s="14"/>
      <c r="K424" s="14"/>
      <c r="L424" s="14"/>
      <c r="M424" s="14"/>
      <c r="N424" s="14"/>
      <c r="O424" s="7"/>
      <c r="P424" s="14"/>
      <c r="Q424" s="14"/>
      <c r="R424" s="14"/>
    </row>
    <row r="425" spans="1:18">
      <c r="A425" s="14" t="s">
        <v>3513</v>
      </c>
      <c r="B425" s="14"/>
      <c r="C425" s="14"/>
      <c r="D425" s="14"/>
      <c r="F425" s="14"/>
      <c r="G425" s="14"/>
      <c r="H425" s="14"/>
      <c r="I425" s="14"/>
      <c r="J425" s="14"/>
      <c r="K425" s="14"/>
      <c r="L425" s="14"/>
      <c r="M425" s="14"/>
      <c r="N425" s="14"/>
      <c r="O425" s="7"/>
      <c r="P425" s="14"/>
      <c r="Q425" s="14"/>
      <c r="R425" s="14"/>
    </row>
    <row r="426" spans="1:18">
      <c r="A426" s="9">
        <v>76745</v>
      </c>
      <c r="B426" s="14" t="s">
        <v>334</v>
      </c>
      <c r="C426" s="14" t="s">
        <v>202</v>
      </c>
      <c r="D426" s="14" t="s">
        <v>3357</v>
      </c>
      <c r="E426" s="15" t="str">
        <f>HYPERLINK("https://stat100.ameba.jp/tnk47/ratio20/illustrations/card/ill_76745_yawatauma05.jpg?201901-6-RELEASE-conquest-e-391", "■")</f>
        <v>■</v>
      </c>
      <c r="F426" s="14" t="s">
        <v>3360</v>
      </c>
      <c r="G426" s="14">
        <v>87887</v>
      </c>
      <c r="H426" s="14">
        <v>121401</v>
      </c>
      <c r="I426" s="14">
        <v>21</v>
      </c>
      <c r="J426" s="14" t="s">
        <v>26</v>
      </c>
      <c r="K426" s="14" t="s">
        <v>3363</v>
      </c>
      <c r="L426" s="14" t="s">
        <v>3364</v>
      </c>
      <c r="M426" s="14" t="s">
        <v>9158</v>
      </c>
      <c r="N426" s="14" t="s">
        <v>9158</v>
      </c>
      <c r="O426" s="14" t="s">
        <v>9158</v>
      </c>
      <c r="P426" s="14" t="s">
        <v>9158</v>
      </c>
      <c r="Q426" s="14" t="s">
        <v>9158</v>
      </c>
      <c r="R426" s="14" t="s">
        <v>174</v>
      </c>
    </row>
    <row r="427" spans="1:18">
      <c r="A427" s="9">
        <v>76743</v>
      </c>
      <c r="B427" s="14" t="s">
        <v>348</v>
      </c>
      <c r="C427" s="14" t="s">
        <v>209</v>
      </c>
      <c r="D427" s="14" t="s">
        <v>3357</v>
      </c>
      <c r="E427" s="15" t="str">
        <f>HYPERLINK("https://stat100.ameba.jp/tnk47/ratio20/illustrations/card/ill_76743_yawatauma03.jpg?201901-6-RELEASE-conquest-e-391", "■")</f>
        <v>■</v>
      </c>
      <c r="F427" s="14" t="s">
        <v>3360</v>
      </c>
      <c r="G427" s="14">
        <v>63518</v>
      </c>
      <c r="H427" s="14">
        <v>87723</v>
      </c>
      <c r="I427" s="14">
        <v>21</v>
      </c>
      <c r="J427" s="14" t="s">
        <v>26</v>
      </c>
      <c r="K427" s="14" t="s">
        <v>3363</v>
      </c>
      <c r="L427" s="14" t="s">
        <v>3365</v>
      </c>
      <c r="M427" s="14" t="s">
        <v>9158</v>
      </c>
      <c r="N427" s="14" t="s">
        <v>9158</v>
      </c>
      <c r="O427" s="14" t="s">
        <v>9158</v>
      </c>
      <c r="P427" s="14" t="s">
        <v>9158</v>
      </c>
      <c r="Q427" s="14" t="s">
        <v>9158</v>
      </c>
      <c r="R427" s="14" t="s">
        <v>175</v>
      </c>
    </row>
    <row r="428" spans="1:18">
      <c r="A428" s="9">
        <v>76741</v>
      </c>
      <c r="B428" s="14" t="s">
        <v>348</v>
      </c>
      <c r="C428" s="14" t="s">
        <v>209</v>
      </c>
      <c r="D428" s="14" t="s">
        <v>3357</v>
      </c>
      <c r="E428" s="15" t="str">
        <f>HYPERLINK("https://stat100.ameba.jp/tnk47/ratio20/illustrations/card/ill_76741_yawatauma01.jpg?201901-6-RELEASE-conquest-e-391", "■")</f>
        <v>■</v>
      </c>
      <c r="F428" s="14" t="s">
        <v>3360</v>
      </c>
      <c r="G428" s="14">
        <v>36834</v>
      </c>
      <c r="H428" s="14">
        <v>50883</v>
      </c>
      <c r="I428" s="14">
        <v>21</v>
      </c>
      <c r="J428" s="14" t="s">
        <v>26</v>
      </c>
      <c r="K428" s="14" t="s">
        <v>3363</v>
      </c>
      <c r="L428" s="14" t="s">
        <v>3366</v>
      </c>
      <c r="M428" s="14" t="s">
        <v>9158</v>
      </c>
      <c r="N428" s="14" t="s">
        <v>9158</v>
      </c>
      <c r="O428" s="14" t="s">
        <v>9158</v>
      </c>
      <c r="P428" s="14" t="s">
        <v>9158</v>
      </c>
      <c r="Q428" s="14" t="s">
        <v>9158</v>
      </c>
      <c r="R428" s="14" t="s">
        <v>176</v>
      </c>
    </row>
    <row r="429" spans="1:18">
      <c r="A429" s="9">
        <v>75905</v>
      </c>
      <c r="B429" s="14" t="s">
        <v>334</v>
      </c>
      <c r="C429" s="14" t="s">
        <v>202</v>
      </c>
      <c r="D429" s="14" t="s">
        <v>3358</v>
      </c>
      <c r="E429" s="15" t="str">
        <f>HYPERLINK("https://stat100.ameba.jp/tnk47/ratio20/illustrations/card/ill_75905_nakiginnan05.jpg?201901-6-RELEASE-conquest-e-391", "■")</f>
        <v>■</v>
      </c>
      <c r="F429" s="14" t="s">
        <v>3361</v>
      </c>
      <c r="G429" s="14">
        <v>83467</v>
      </c>
      <c r="H429" s="14">
        <v>115284</v>
      </c>
      <c r="I429" s="14">
        <v>21</v>
      </c>
      <c r="J429" s="14" t="s">
        <v>38</v>
      </c>
      <c r="K429" s="14" t="s">
        <v>3367</v>
      </c>
      <c r="L429" s="14" t="s">
        <v>3368</v>
      </c>
      <c r="M429" s="14" t="s">
        <v>9158</v>
      </c>
      <c r="N429" s="14" t="s">
        <v>9158</v>
      </c>
      <c r="O429" s="14" t="s">
        <v>9158</v>
      </c>
      <c r="P429" s="14" t="s">
        <v>9158</v>
      </c>
      <c r="Q429" s="14" t="s">
        <v>9158</v>
      </c>
      <c r="R429" s="14" t="s">
        <v>174</v>
      </c>
    </row>
    <row r="430" spans="1:18">
      <c r="A430" s="9">
        <v>75903</v>
      </c>
      <c r="B430" s="14" t="s">
        <v>348</v>
      </c>
      <c r="C430" s="14" t="s">
        <v>209</v>
      </c>
      <c r="D430" s="14" t="s">
        <v>3358</v>
      </c>
      <c r="E430" s="15" t="str">
        <f>HYPERLINK("https://stat100.ameba.jp/tnk47/ratio20/illustrations/card/ill_75903_nakiginnan03.jpg?201901-6-RELEASE-conquest-e-391", "■")</f>
        <v>■</v>
      </c>
      <c r="F430" s="14" t="s">
        <v>3361</v>
      </c>
      <c r="G430" s="14">
        <v>61489</v>
      </c>
      <c r="H430" s="14">
        <v>84933</v>
      </c>
      <c r="I430" s="14">
        <v>21</v>
      </c>
      <c r="J430" s="14" t="s">
        <v>38</v>
      </c>
      <c r="K430" s="14" t="s">
        <v>3367</v>
      </c>
      <c r="L430" s="14" t="s">
        <v>3369</v>
      </c>
      <c r="M430" s="14" t="s">
        <v>9158</v>
      </c>
      <c r="N430" s="14" t="s">
        <v>9158</v>
      </c>
      <c r="O430" s="14" t="s">
        <v>9158</v>
      </c>
      <c r="P430" s="14" t="s">
        <v>9158</v>
      </c>
      <c r="Q430" s="14" t="s">
        <v>9158</v>
      </c>
      <c r="R430" s="14" t="s">
        <v>175</v>
      </c>
    </row>
    <row r="431" spans="1:18">
      <c r="A431" s="9">
        <v>75901</v>
      </c>
      <c r="B431" s="14" t="s">
        <v>348</v>
      </c>
      <c r="C431" s="14" t="s">
        <v>209</v>
      </c>
      <c r="D431" s="14" t="s">
        <v>3358</v>
      </c>
      <c r="E431" s="15" t="str">
        <f>HYPERLINK("https://stat100.ameba.jp/tnk47/ratio20/illustrations/card/ill_75901_nakiginnan01.jpg?201901-6-RELEASE-conquest-e-391", "■")</f>
        <v>■</v>
      </c>
      <c r="F431" s="14" t="s">
        <v>3361</v>
      </c>
      <c r="G431" s="14">
        <v>39123</v>
      </c>
      <c r="H431" s="14">
        <v>54033</v>
      </c>
      <c r="I431" s="14">
        <v>21</v>
      </c>
      <c r="J431" s="14" t="s">
        <v>38</v>
      </c>
      <c r="K431" s="14" t="s">
        <v>3367</v>
      </c>
      <c r="L431" s="14" t="s">
        <v>3370</v>
      </c>
      <c r="M431" s="14" t="s">
        <v>9158</v>
      </c>
      <c r="N431" s="14" t="s">
        <v>9158</v>
      </c>
      <c r="O431" s="14" t="s">
        <v>9158</v>
      </c>
      <c r="P431" s="14" t="s">
        <v>9158</v>
      </c>
      <c r="Q431" s="14" t="s">
        <v>9158</v>
      </c>
      <c r="R431" s="14" t="s">
        <v>176</v>
      </c>
    </row>
    <row r="432" spans="1:18">
      <c r="A432" s="9">
        <v>63985</v>
      </c>
      <c r="B432" s="14" t="s">
        <v>334</v>
      </c>
      <c r="C432" s="14" t="s">
        <v>202</v>
      </c>
      <c r="D432" s="14" t="s">
        <v>3359</v>
      </c>
      <c r="E432" s="15" t="str">
        <f>HYPERLINK("https://stat100.ameba.jp/tnk47/ratio20/illustrations/card/ill_63985_kanotanyu05.jpg?201901-6-RELEASE-conquest-e-391", "■")</f>
        <v>■</v>
      </c>
      <c r="F432" s="14" t="s">
        <v>3362</v>
      </c>
      <c r="G432" s="14">
        <v>107620</v>
      </c>
      <c r="H432" s="14">
        <v>77929</v>
      </c>
      <c r="I432" s="14">
        <v>21</v>
      </c>
      <c r="J432" s="14" t="s">
        <v>16</v>
      </c>
      <c r="K432" s="14" t="s">
        <v>3371</v>
      </c>
      <c r="L432" s="14" t="s">
        <v>1149</v>
      </c>
      <c r="M432" s="14" t="s">
        <v>9158</v>
      </c>
      <c r="N432" s="14" t="s">
        <v>9158</v>
      </c>
      <c r="O432" s="14" t="s">
        <v>9158</v>
      </c>
      <c r="P432" s="14" t="s">
        <v>9158</v>
      </c>
      <c r="Q432" s="14" t="s">
        <v>9158</v>
      </c>
      <c r="R432" s="14" t="s">
        <v>174</v>
      </c>
    </row>
    <row r="433" spans="1:18">
      <c r="A433" s="9">
        <v>63983</v>
      </c>
      <c r="B433" s="14" t="s">
        <v>348</v>
      </c>
      <c r="C433" s="14" t="s">
        <v>203</v>
      </c>
      <c r="D433" s="14" t="s">
        <v>3359</v>
      </c>
      <c r="E433" s="15" t="str">
        <f>HYPERLINK("https://stat100.ameba.jp/tnk47/ratio20/illustrations/card/ill_63983_kanotanyu03.jpg?201901-6-RELEASE-conquest-e-391", "■")</f>
        <v>■</v>
      </c>
      <c r="F433" s="14" t="s">
        <v>3362</v>
      </c>
      <c r="G433" s="14">
        <v>79289</v>
      </c>
      <c r="H433" s="14">
        <v>57403</v>
      </c>
      <c r="I433" s="14">
        <v>21</v>
      </c>
      <c r="J433" s="14" t="s">
        <v>16</v>
      </c>
      <c r="K433" s="14" t="s">
        <v>3371</v>
      </c>
      <c r="L433" s="14" t="s">
        <v>3372</v>
      </c>
      <c r="M433" s="14" t="s">
        <v>9158</v>
      </c>
      <c r="N433" s="14" t="s">
        <v>9158</v>
      </c>
      <c r="O433" s="14" t="s">
        <v>9158</v>
      </c>
      <c r="P433" s="14" t="s">
        <v>9158</v>
      </c>
      <c r="Q433" s="14" t="s">
        <v>9158</v>
      </c>
      <c r="R433" s="14" t="s">
        <v>175</v>
      </c>
    </row>
    <row r="434" spans="1:18">
      <c r="A434" s="9">
        <v>63981</v>
      </c>
      <c r="B434" s="14" t="s">
        <v>348</v>
      </c>
      <c r="C434" s="14" t="s">
        <v>203</v>
      </c>
      <c r="D434" s="14" t="s">
        <v>3359</v>
      </c>
      <c r="E434" s="15" t="str">
        <f>HYPERLINK("https://stat100.ameba.jp/tnk47/ratio20/illustrations/card/ill_63981_kanotanyu01.jpg?201901-6-RELEASE-conquest-e-391", "■")</f>
        <v>■</v>
      </c>
      <c r="F434" s="14" t="s">
        <v>3362</v>
      </c>
      <c r="G434" s="14">
        <v>50442</v>
      </c>
      <c r="H434" s="14">
        <v>36519</v>
      </c>
      <c r="I434" s="14">
        <v>21</v>
      </c>
      <c r="J434" s="14" t="s">
        <v>16</v>
      </c>
      <c r="K434" s="14" t="s">
        <v>3371</v>
      </c>
      <c r="L434" s="14" t="s">
        <v>3373</v>
      </c>
      <c r="M434" s="14" t="s">
        <v>9158</v>
      </c>
      <c r="N434" s="14" t="s">
        <v>9158</v>
      </c>
      <c r="O434" s="14" t="s">
        <v>9158</v>
      </c>
      <c r="P434" s="14" t="s">
        <v>9158</v>
      </c>
      <c r="Q434" s="14" t="s">
        <v>9158</v>
      </c>
      <c r="R434" s="14" t="s">
        <v>176</v>
      </c>
    </row>
    <row r="435" spans="1:18">
      <c r="B435" s="14"/>
      <c r="C435" s="14"/>
      <c r="D435" s="14"/>
      <c r="F435" s="14"/>
      <c r="G435" s="14"/>
      <c r="H435" s="14"/>
      <c r="I435" s="14"/>
      <c r="J435" s="14"/>
      <c r="K435" s="14"/>
      <c r="L435" s="14"/>
      <c r="M435" s="14"/>
      <c r="N435" s="14"/>
      <c r="O435" s="7"/>
      <c r="P435" s="14"/>
      <c r="Q435" s="14"/>
      <c r="R435" s="14"/>
    </row>
    <row r="436" spans="1:18">
      <c r="A436" s="14" t="s">
        <v>177</v>
      </c>
      <c r="D436" s="14"/>
      <c r="F436" s="14"/>
      <c r="G436" s="14"/>
      <c r="H436" s="14"/>
      <c r="I436" s="14"/>
      <c r="J436" s="14"/>
      <c r="K436" s="14"/>
      <c r="L436" s="14"/>
      <c r="M436" s="14"/>
      <c r="N436" s="14"/>
      <c r="O436" s="7"/>
      <c r="P436" s="14"/>
      <c r="Q436" s="14"/>
      <c r="R436" s="14"/>
    </row>
    <row r="437" spans="1:18">
      <c r="A437" s="14" t="s">
        <v>3512</v>
      </c>
      <c r="B437" s="14"/>
      <c r="C437" s="14"/>
      <c r="D437" s="14"/>
      <c r="F437" s="14"/>
      <c r="G437" s="14"/>
      <c r="H437" s="14"/>
      <c r="I437" s="14"/>
      <c r="J437" s="14"/>
      <c r="K437" s="14"/>
      <c r="L437" s="14"/>
      <c r="M437" s="14"/>
      <c r="N437" s="14"/>
      <c r="O437" s="7"/>
      <c r="P437" s="14"/>
      <c r="Q437" s="14"/>
      <c r="R437" s="14"/>
    </row>
    <row r="438" spans="1:18">
      <c r="A438" s="9" t="s">
        <v>5787</v>
      </c>
      <c r="B438" s="14" t="s">
        <v>330</v>
      </c>
      <c r="C438" s="14" t="s">
        <v>202</v>
      </c>
      <c r="D438" s="14" t="s">
        <v>1101</v>
      </c>
      <c r="E438" s="15" t="str">
        <f>HYPERLINK("https://stat100.ameba.jp/tnk47/ratio20/illustrations/card/ill_76303_0_haroinkaguya03.jpg?201901-6-RELEASE-conquest-e-391", "■")</f>
        <v>■</v>
      </c>
      <c r="F438" s="14" t="s">
        <v>1102</v>
      </c>
      <c r="G438" s="14">
        <v>178507</v>
      </c>
      <c r="H438" s="14">
        <v>165953</v>
      </c>
      <c r="I438" s="14">
        <v>15</v>
      </c>
      <c r="J438" s="14" t="s">
        <v>38</v>
      </c>
      <c r="K438" s="14" t="s">
        <v>1103</v>
      </c>
      <c r="L438" s="14" t="s">
        <v>1104</v>
      </c>
      <c r="M438" s="14" t="s">
        <v>9158</v>
      </c>
      <c r="N438" s="14" t="s">
        <v>9158</v>
      </c>
      <c r="O438" s="7" t="s">
        <v>2723</v>
      </c>
      <c r="P438" s="14" t="s">
        <v>2724</v>
      </c>
      <c r="Q438" s="14">
        <v>1</v>
      </c>
      <c r="R438" s="14"/>
    </row>
    <row r="439" spans="1:18">
      <c r="A439" s="9" t="s">
        <v>5899</v>
      </c>
      <c r="B439" s="14" t="s">
        <v>330</v>
      </c>
      <c r="C439" s="14" t="s">
        <v>205</v>
      </c>
      <c r="D439" s="14" t="s">
        <v>1185</v>
      </c>
      <c r="E439" s="15" t="str">
        <f>HYPERLINK("https://stat100.ameba.jp/tnk47/ratio20/illustrations/card/ill_73773_0_umibirakiinugamigyobu03.jpg?201901-6-RELEASE-conquest-e-391", "■")</f>
        <v>■</v>
      </c>
      <c r="F439" s="14" t="s">
        <v>935</v>
      </c>
      <c r="G439" s="14">
        <v>130160</v>
      </c>
      <c r="H439" s="14">
        <v>139999</v>
      </c>
      <c r="I439" s="14">
        <v>15</v>
      </c>
      <c r="J439" s="14" t="s">
        <v>73</v>
      </c>
      <c r="K439" s="14" t="s">
        <v>1186</v>
      </c>
      <c r="L439" s="14" t="s">
        <v>1187</v>
      </c>
      <c r="M439" s="14" t="s">
        <v>9158</v>
      </c>
      <c r="N439" s="14" t="s">
        <v>9158</v>
      </c>
      <c r="O439" s="7" t="s">
        <v>3301</v>
      </c>
      <c r="P439" s="14" t="s">
        <v>3302</v>
      </c>
      <c r="Q439" s="14">
        <v>2</v>
      </c>
      <c r="R439" s="14"/>
    </row>
    <row r="440" spans="1:18">
      <c r="A440" s="9" t="s">
        <v>5622</v>
      </c>
      <c r="B440" s="14" t="s">
        <v>330</v>
      </c>
      <c r="C440" s="14" t="s">
        <v>185</v>
      </c>
      <c r="D440" s="14" t="s">
        <v>1043</v>
      </c>
      <c r="E440" s="15" t="str">
        <f>HYPERLINK("https://stat100.ameba.jp/tnk47/ratio20/illustrations/card/ill_49953_0_yushamarihime03.jpg?201901-6-RELEASE-conquest-e-391", "■")</f>
        <v>■</v>
      </c>
      <c r="F440" s="14" t="s">
        <v>1044</v>
      </c>
      <c r="G440" s="14">
        <v>94236</v>
      </c>
      <c r="H440" s="14">
        <v>83712</v>
      </c>
      <c r="I440" s="14">
        <v>15</v>
      </c>
      <c r="J440" s="14" t="s">
        <v>77</v>
      </c>
      <c r="K440" s="14" t="s">
        <v>1045</v>
      </c>
      <c r="L440" s="14" t="s">
        <v>1046</v>
      </c>
      <c r="M440" s="14" t="s">
        <v>9158</v>
      </c>
      <c r="N440" s="14" t="s">
        <v>9158</v>
      </c>
      <c r="O440" s="14" t="s">
        <v>9158</v>
      </c>
      <c r="P440" s="14" t="s">
        <v>9158</v>
      </c>
      <c r="Q440" s="14" t="s">
        <v>9158</v>
      </c>
      <c r="R440" s="14"/>
    </row>
    <row r="441" spans="1:18">
      <c r="A441" s="9">
        <v>76923</v>
      </c>
      <c r="B441" s="14" t="s">
        <v>334</v>
      </c>
      <c r="C441" s="14" t="s">
        <v>206</v>
      </c>
      <c r="D441" s="14" t="s">
        <v>2640</v>
      </c>
      <c r="E441" s="15" t="str">
        <f>HYPERLINK("https://stat100.ameba.jp/tnk47/ratio20/illustrations/card/ill_76923_amamorikuzuha03.jpg?201901-6-RELEASE-conquest-e-391", "■")</f>
        <v>■</v>
      </c>
      <c r="F441" s="14" t="s">
        <v>2641</v>
      </c>
      <c r="G441" s="14">
        <v>117332</v>
      </c>
      <c r="H441" s="14">
        <v>109104</v>
      </c>
      <c r="I441" s="14">
        <v>22</v>
      </c>
      <c r="J441" s="14" t="s">
        <v>16</v>
      </c>
      <c r="K441" s="14" t="s">
        <v>2642</v>
      </c>
      <c r="L441" s="14" t="s">
        <v>2462</v>
      </c>
      <c r="M441" s="14" t="s">
        <v>9158</v>
      </c>
      <c r="N441" s="14" t="s">
        <v>9158</v>
      </c>
      <c r="O441" s="7" t="s">
        <v>3374</v>
      </c>
      <c r="P441" s="14" t="s">
        <v>3375</v>
      </c>
      <c r="Q441" s="14">
        <v>1</v>
      </c>
      <c r="R441" s="14"/>
    </row>
    <row r="442" spans="1:18">
      <c r="A442" s="9">
        <v>76853</v>
      </c>
      <c r="B442" s="14" t="s">
        <v>334</v>
      </c>
      <c r="C442" s="14" t="s">
        <v>200</v>
      </c>
      <c r="D442" s="14" t="s">
        <v>1080</v>
      </c>
      <c r="E442" s="15" t="str">
        <f>HYPERLINK("https://stat100.ameba.jp/tnk47/ratio20/illustrations/card/ill_76853_kugutsumari03.jpg?201901-6-RELEASE-conquest-e-391", "■")</f>
        <v>■</v>
      </c>
      <c r="F442" s="14" t="s">
        <v>1081</v>
      </c>
      <c r="G442" s="14">
        <v>135666</v>
      </c>
      <c r="H442" s="14">
        <v>126142</v>
      </c>
      <c r="I442" s="14">
        <v>22</v>
      </c>
      <c r="J442" s="14" t="s">
        <v>143</v>
      </c>
      <c r="K442" s="14" t="s">
        <v>1082</v>
      </c>
      <c r="L442" s="14" t="s">
        <v>145</v>
      </c>
      <c r="M442" s="14" t="s">
        <v>9158</v>
      </c>
      <c r="N442" s="14" t="s">
        <v>9158</v>
      </c>
      <c r="O442" s="14" t="s">
        <v>9158</v>
      </c>
      <c r="P442" s="14" t="s">
        <v>9158</v>
      </c>
      <c r="Q442" s="14" t="s">
        <v>9158</v>
      </c>
      <c r="R442" s="14"/>
    </row>
    <row r="443" spans="1:18">
      <c r="A443" s="9">
        <v>76933</v>
      </c>
      <c r="B443" s="14" t="s">
        <v>334</v>
      </c>
      <c r="C443" s="14" t="s">
        <v>185</v>
      </c>
      <c r="D443" s="14" t="s">
        <v>3376</v>
      </c>
      <c r="E443" s="15" t="str">
        <f>HYPERLINK("https://stat100.ameba.jp/tnk47/ratio20/illustrations/card/ill_76933_sakakibararui03.jpg?201901-6-RELEASE-conquest-e-391", "■")</f>
        <v>■</v>
      </c>
      <c r="F443" s="14" t="s">
        <v>3377</v>
      </c>
      <c r="G443" s="14">
        <v>84772</v>
      </c>
      <c r="H443" s="14">
        <v>84772</v>
      </c>
      <c r="I443" s="14">
        <v>22</v>
      </c>
      <c r="J443" s="14" t="s">
        <v>73</v>
      </c>
      <c r="K443" s="14" t="s">
        <v>3378</v>
      </c>
      <c r="L443" s="14" t="s">
        <v>3379</v>
      </c>
      <c r="M443" s="14" t="s">
        <v>9158</v>
      </c>
      <c r="N443" s="14" t="s">
        <v>9158</v>
      </c>
      <c r="O443" s="14" t="s">
        <v>9158</v>
      </c>
      <c r="P443" s="14" t="s">
        <v>9158</v>
      </c>
      <c r="Q443" s="14" t="s">
        <v>9158</v>
      </c>
      <c r="R443" s="14"/>
    </row>
    <row r="444" spans="1:18">
      <c r="A444" s="9">
        <v>63143</v>
      </c>
      <c r="B444" s="14" t="s">
        <v>348</v>
      </c>
      <c r="C444" s="14" t="s">
        <v>200</v>
      </c>
      <c r="D444" s="14" t="s">
        <v>3380</v>
      </c>
      <c r="E444" s="15" t="str">
        <f>HYPERLINK("https://stat100.ameba.jp/tnk47/ratio20/illustrations/card/ill_63143_minazukikombara03.jpg?201901-6-RELEASE-conquest-e-391", "■")</f>
        <v>■</v>
      </c>
      <c r="F444" s="14" t="s">
        <v>3381</v>
      </c>
      <c r="G444" s="14">
        <v>59144</v>
      </c>
      <c r="H444" s="14">
        <v>65208</v>
      </c>
      <c r="I444" s="14">
        <v>22</v>
      </c>
      <c r="J444" s="14" t="s">
        <v>26</v>
      </c>
      <c r="K444" s="14" t="s">
        <v>3382</v>
      </c>
      <c r="L444" s="14" t="s">
        <v>3383</v>
      </c>
      <c r="M444" s="14" t="s">
        <v>9158</v>
      </c>
      <c r="N444" s="14" t="s">
        <v>9158</v>
      </c>
      <c r="O444" s="14" t="s">
        <v>9158</v>
      </c>
      <c r="P444" s="14" t="s">
        <v>9158</v>
      </c>
      <c r="Q444" s="14" t="s">
        <v>9158</v>
      </c>
      <c r="R444" s="14"/>
    </row>
    <row r="445" spans="1:18">
      <c r="A445" s="9">
        <v>60613</v>
      </c>
      <c r="B445" s="14" t="s">
        <v>348</v>
      </c>
      <c r="C445" s="14" t="s">
        <v>206</v>
      </c>
      <c r="D445" s="14" t="s">
        <v>3384</v>
      </c>
      <c r="E445" s="15" t="str">
        <f>HYPERLINK("https://stat100.ameba.jp/tnk47/ratio20/illustrations/card/ill_60613_harumaitachibanaginchiyo03.jpg?201901-6-RELEASE-conquest-e-391", "■")</f>
        <v>■</v>
      </c>
      <c r="F445" s="14" t="s">
        <v>3385</v>
      </c>
      <c r="G445" s="14">
        <v>65208</v>
      </c>
      <c r="H445" s="14">
        <v>59144</v>
      </c>
      <c r="I445" s="14">
        <v>22</v>
      </c>
      <c r="J445" s="14" t="s">
        <v>77</v>
      </c>
      <c r="K445" s="14" t="s">
        <v>3386</v>
      </c>
      <c r="L445" s="14" t="s">
        <v>3387</v>
      </c>
      <c r="M445" s="14" t="s">
        <v>9158</v>
      </c>
      <c r="N445" s="14" t="s">
        <v>9158</v>
      </c>
      <c r="O445" s="14" t="s">
        <v>9158</v>
      </c>
      <c r="P445" s="14" t="s">
        <v>9158</v>
      </c>
      <c r="Q445" s="14" t="s">
        <v>9158</v>
      </c>
      <c r="R445" s="14"/>
    </row>
    <row r="446" spans="1:18">
      <c r="A446" s="9">
        <v>61883</v>
      </c>
      <c r="B446" s="14" t="s">
        <v>348</v>
      </c>
      <c r="C446" s="14" t="s">
        <v>205</v>
      </c>
      <c r="D446" s="14" t="s">
        <v>3388</v>
      </c>
      <c r="E446" s="15" t="str">
        <f>HYPERLINK("https://stat100.ameba.jp/tnk47/ratio20/illustrations/card/ill_61883_onikirishukurohime03.jpg?201901-6-RELEASE-conquest-e-391", "■")</f>
        <v>■</v>
      </c>
      <c r="F446" s="14" t="s">
        <v>3389</v>
      </c>
      <c r="G446" s="14">
        <v>59144</v>
      </c>
      <c r="H446" s="14">
        <v>59144</v>
      </c>
      <c r="I446" s="14">
        <v>22</v>
      </c>
      <c r="J446" s="14" t="s">
        <v>16</v>
      </c>
      <c r="K446" s="14" t="s">
        <v>3390</v>
      </c>
      <c r="L446" s="14" t="s">
        <v>3391</v>
      </c>
      <c r="M446" s="14" t="s">
        <v>9158</v>
      </c>
      <c r="N446" s="14" t="s">
        <v>9158</v>
      </c>
      <c r="O446" s="14" t="s">
        <v>9158</v>
      </c>
      <c r="P446" s="14" t="s">
        <v>9158</v>
      </c>
      <c r="Q446" s="14" t="s">
        <v>9158</v>
      </c>
      <c r="R446" s="14"/>
    </row>
    <row r="447" spans="1:18">
      <c r="B447" s="14"/>
      <c r="C447" s="14"/>
      <c r="D447" s="14"/>
      <c r="F447" s="14"/>
      <c r="G447" s="14"/>
      <c r="H447" s="14"/>
      <c r="I447" s="14"/>
      <c r="J447" s="14"/>
      <c r="K447" s="14"/>
      <c r="L447" s="14"/>
      <c r="M447" s="14"/>
      <c r="N447" s="14"/>
      <c r="O447" s="7"/>
      <c r="P447" s="14"/>
      <c r="Q447" s="14"/>
      <c r="R447" s="14"/>
    </row>
    <row r="448" spans="1:18">
      <c r="A448" s="14" t="s">
        <v>3445</v>
      </c>
      <c r="F448" s="14"/>
      <c r="G448" s="14"/>
      <c r="H448" s="14"/>
      <c r="I448" s="14"/>
      <c r="J448" s="14"/>
      <c r="K448" s="14"/>
      <c r="L448" s="14"/>
      <c r="M448" s="14"/>
      <c r="N448" s="14"/>
      <c r="O448" s="7"/>
      <c r="P448" s="14"/>
      <c r="Q448" s="14"/>
      <c r="R448" s="14"/>
    </row>
    <row r="449" spans="1:19">
      <c r="A449" s="14" t="s">
        <v>3392</v>
      </c>
      <c r="D449" s="14"/>
      <c r="F449" s="14"/>
      <c r="G449" s="14"/>
      <c r="H449" s="14"/>
      <c r="I449" s="14"/>
      <c r="J449" s="14"/>
      <c r="K449" s="14"/>
      <c r="L449" s="14"/>
      <c r="M449" s="14"/>
      <c r="N449" s="14"/>
      <c r="O449" s="7"/>
      <c r="P449" s="14"/>
      <c r="Q449" s="14"/>
      <c r="R449" s="14"/>
    </row>
    <row r="450" spans="1:19">
      <c r="A450" s="14" t="s">
        <v>10167</v>
      </c>
      <c r="B450" s="14"/>
      <c r="C450" s="14"/>
      <c r="D450" s="14"/>
      <c r="F450" s="14"/>
      <c r="G450" s="14"/>
      <c r="H450" s="14"/>
      <c r="I450" s="14"/>
      <c r="J450" s="14"/>
      <c r="K450" s="14"/>
      <c r="L450" s="14"/>
      <c r="M450" s="14"/>
      <c r="N450" s="14"/>
      <c r="O450" s="7"/>
      <c r="P450" s="14"/>
      <c r="Q450" s="14"/>
      <c r="R450" s="14"/>
    </row>
    <row r="451" spans="1:19">
      <c r="A451" s="9" t="s">
        <v>5733</v>
      </c>
      <c r="B451" s="14" t="s">
        <v>330</v>
      </c>
      <c r="C451" s="14" t="s">
        <v>202</v>
      </c>
      <c r="D451" s="14" t="s">
        <v>2744</v>
      </c>
      <c r="E451" s="15" t="str">
        <f>HYPERLINK("https://stat100.ameba.jp/tnk47/ratio20/illustrations/card/ill_78693_0_kyupittokoinomikoto03.jpg?201901-6-RELEASE-conquest-e-391", "■")</f>
        <v>■</v>
      </c>
      <c r="F451" s="14" t="s">
        <v>2745</v>
      </c>
      <c r="G451" s="14">
        <v>157198</v>
      </c>
      <c r="H451" s="14">
        <v>173933</v>
      </c>
      <c r="I451" s="14">
        <v>15</v>
      </c>
      <c r="J451" s="14" t="s">
        <v>274</v>
      </c>
      <c r="K451" s="14" t="s">
        <v>2746</v>
      </c>
      <c r="L451" s="14" t="s">
        <v>2747</v>
      </c>
      <c r="M451" s="14" t="s">
        <v>9158</v>
      </c>
      <c r="N451" s="14" t="s">
        <v>9158</v>
      </c>
      <c r="O451" s="18" t="s">
        <v>10067</v>
      </c>
      <c r="P451" s="14" t="s">
        <v>2748</v>
      </c>
      <c r="Q451" s="14">
        <v>1</v>
      </c>
      <c r="R451" s="14"/>
    </row>
    <row r="452" spans="1:19">
      <c r="A452" s="9">
        <v>79093</v>
      </c>
      <c r="B452" s="14" t="s">
        <v>334</v>
      </c>
      <c r="C452" s="14" t="s">
        <v>206</v>
      </c>
      <c r="D452" s="14" t="s">
        <v>3394</v>
      </c>
      <c r="E452" s="15" t="str">
        <f>HYPERLINK("https://stat100.ameba.jp/tnk47/ratio20/illustrations/card/ill_79093_shinnenongakukaihakatabijin03.jpg?201901-6-RELEASE-conquest-e-391", "■")</f>
        <v>■</v>
      </c>
      <c r="F452" s="14" t="s">
        <v>3395</v>
      </c>
      <c r="G452" s="14">
        <v>93184</v>
      </c>
      <c r="H452" s="14">
        <v>100224</v>
      </c>
      <c r="I452" s="14">
        <v>22</v>
      </c>
      <c r="J452" s="14" t="s">
        <v>26</v>
      </c>
      <c r="K452" s="14" t="s">
        <v>3396</v>
      </c>
      <c r="L452" s="14" t="s">
        <v>2137</v>
      </c>
      <c r="M452" s="14" t="s">
        <v>9158</v>
      </c>
      <c r="N452" s="14" t="s">
        <v>9158</v>
      </c>
      <c r="O452" s="14" t="s">
        <v>9158</v>
      </c>
      <c r="P452" s="14" t="s">
        <v>9158</v>
      </c>
      <c r="Q452" s="14" t="s">
        <v>9158</v>
      </c>
      <c r="R452" s="14"/>
    </row>
    <row r="453" spans="1:19">
      <c r="A453" s="9">
        <v>79103</v>
      </c>
      <c r="B453" s="14" t="s">
        <v>348</v>
      </c>
      <c r="C453" s="14" t="s">
        <v>200</v>
      </c>
      <c r="D453" s="14" t="s">
        <v>3397</v>
      </c>
      <c r="E453" s="15" t="str">
        <f>HYPERLINK("https://stat100.ameba.jp/tnk47/ratio20/illustrations/card/ill_79103_burabankitaharareiko03.jpg?201901-6-RELEASE-conquest-e-391", "■")</f>
        <v>■</v>
      </c>
      <c r="F453" s="14" t="s">
        <v>3398</v>
      </c>
      <c r="G453" s="14">
        <v>65208</v>
      </c>
      <c r="H453" s="14">
        <v>59144</v>
      </c>
      <c r="I453" s="14">
        <v>22</v>
      </c>
      <c r="J453" s="14" t="s">
        <v>10</v>
      </c>
      <c r="K453" s="14" t="s">
        <v>3399</v>
      </c>
      <c r="L453" s="14" t="s">
        <v>3275</v>
      </c>
      <c r="M453" s="14" t="s">
        <v>9158</v>
      </c>
      <c r="N453" s="14" t="s">
        <v>9158</v>
      </c>
      <c r="O453" s="14" t="s">
        <v>9158</v>
      </c>
      <c r="P453" s="14" t="s">
        <v>9158</v>
      </c>
      <c r="Q453" s="14" t="s">
        <v>9158</v>
      </c>
      <c r="R453" s="14"/>
    </row>
    <row r="454" spans="1:19">
      <c r="A454" s="9">
        <v>79113</v>
      </c>
      <c r="B454" s="14" t="s">
        <v>22</v>
      </c>
      <c r="C454" s="14" t="s">
        <v>205</v>
      </c>
      <c r="D454" s="14" t="s">
        <v>3400</v>
      </c>
      <c r="E454" s="15" t="str">
        <f>HYPERLINK("https://stat100.ameba.jp/tnk47/ratio20/illustrations/card/ill_79113_mourimotonari03.jpg?201901-6-RELEASE-conquest-e-391", "■")</f>
        <v>■</v>
      </c>
      <c r="F454" s="14" t="s">
        <v>3401</v>
      </c>
      <c r="G454" s="14">
        <v>38032</v>
      </c>
      <c r="H454" s="14">
        <v>45742</v>
      </c>
      <c r="I454" s="14">
        <v>22</v>
      </c>
      <c r="J454" s="14" t="s">
        <v>143</v>
      </c>
      <c r="K454" s="14" t="s">
        <v>3402</v>
      </c>
      <c r="L454" s="14" t="s">
        <v>3403</v>
      </c>
      <c r="M454" s="14" t="s">
        <v>9158</v>
      </c>
      <c r="N454" s="14" t="s">
        <v>9158</v>
      </c>
      <c r="O454" s="14" t="s">
        <v>9158</v>
      </c>
      <c r="P454" s="14" t="s">
        <v>9158</v>
      </c>
      <c r="Q454" s="14" t="s">
        <v>9158</v>
      </c>
      <c r="R454" s="14"/>
    </row>
    <row r="455" spans="1:19">
      <c r="A455" s="9">
        <v>79123</v>
      </c>
      <c r="B455" s="14" t="s">
        <v>30</v>
      </c>
      <c r="C455" s="14" t="s">
        <v>3393</v>
      </c>
      <c r="D455" s="14" t="s">
        <v>3404</v>
      </c>
      <c r="E455" s="15" t="str">
        <f>HYPERLINK("https://stat100.ameba.jp/tnk47/ratio20/illustrations/card/ill_79123_hebimetayosuzume03.jpg?201901-6-RELEASE-conquest-e-391", "■")</f>
        <v>■</v>
      </c>
      <c r="F455" s="14" t="s">
        <v>3405</v>
      </c>
      <c r="G455" s="14">
        <v>27692</v>
      </c>
      <c r="H455" s="14">
        <v>23258</v>
      </c>
      <c r="I455" s="14">
        <v>22</v>
      </c>
      <c r="J455" s="14" t="s">
        <v>73</v>
      </c>
      <c r="K455" s="14" t="s">
        <v>3406</v>
      </c>
      <c r="L455" s="14" t="s">
        <v>3406</v>
      </c>
      <c r="M455" s="14" t="s">
        <v>9158</v>
      </c>
      <c r="N455" s="14" t="s">
        <v>9158</v>
      </c>
      <c r="O455" s="14" t="s">
        <v>9158</v>
      </c>
      <c r="P455" s="14" t="s">
        <v>9158</v>
      </c>
      <c r="Q455" s="14" t="s">
        <v>9158</v>
      </c>
      <c r="R455" s="14"/>
    </row>
    <row r="456" spans="1:19">
      <c r="B456" s="14"/>
      <c r="C456" s="14"/>
      <c r="D456" s="14"/>
      <c r="F456" s="14"/>
      <c r="G456" s="14"/>
      <c r="H456" s="14"/>
      <c r="I456" s="14"/>
      <c r="J456" s="14"/>
      <c r="K456" s="14"/>
      <c r="L456" s="14"/>
      <c r="M456" s="14"/>
      <c r="N456" s="14"/>
      <c r="O456" s="7"/>
      <c r="P456" s="14"/>
      <c r="Q456" s="14"/>
      <c r="R456" s="14"/>
    </row>
    <row r="457" spans="1:19">
      <c r="A457" s="14" t="s">
        <v>208</v>
      </c>
      <c r="D457" s="14"/>
      <c r="F457" s="14"/>
      <c r="G457" s="14"/>
      <c r="H457" s="14"/>
      <c r="I457" s="14"/>
      <c r="J457" s="14"/>
      <c r="K457" s="14"/>
      <c r="L457" s="14"/>
      <c r="M457" s="14"/>
      <c r="N457" s="14"/>
      <c r="O457" s="7"/>
      <c r="P457" s="14"/>
      <c r="Q457" s="14"/>
      <c r="R457" s="14"/>
    </row>
    <row r="458" spans="1:19">
      <c r="A458" s="14" t="s">
        <v>3417</v>
      </c>
      <c r="B458" s="14"/>
      <c r="C458" s="14"/>
      <c r="D458" s="14"/>
      <c r="F458" s="14"/>
      <c r="G458" s="14"/>
      <c r="H458" s="14"/>
      <c r="I458" s="14"/>
      <c r="J458" s="14"/>
      <c r="K458" s="14"/>
      <c r="L458" s="14"/>
      <c r="M458" s="14"/>
      <c r="N458" s="14"/>
      <c r="O458" s="7"/>
      <c r="P458" s="14"/>
      <c r="Q458" s="14"/>
      <c r="R458" s="14"/>
    </row>
    <row r="459" spans="1:19">
      <c r="A459" s="9" t="s">
        <v>5822</v>
      </c>
      <c r="B459" s="14" t="s">
        <v>330</v>
      </c>
      <c r="C459" s="14" t="s">
        <v>191</v>
      </c>
      <c r="D459" s="14" t="s">
        <v>898</v>
      </c>
      <c r="E459" s="15" t="str">
        <f>HYPERLINK("https://stat100.ameba.jp/tnk47/ratio20/illustrations/card/ill_71403_0_ohanamisanadayukimura03.jpg?201901-6-RELEASE-conquest-e-391x", "■")</f>
        <v>■</v>
      </c>
      <c r="F459" s="14" t="s">
        <v>899</v>
      </c>
      <c r="G459" s="14">
        <v>140016</v>
      </c>
      <c r="H459" s="14">
        <v>130194</v>
      </c>
      <c r="I459" s="14">
        <v>15</v>
      </c>
      <c r="J459" s="14" t="s">
        <v>143</v>
      </c>
      <c r="K459" s="14" t="s">
        <v>900</v>
      </c>
      <c r="L459" s="14" t="s">
        <v>901</v>
      </c>
      <c r="M459" s="14" t="s">
        <v>9158</v>
      </c>
      <c r="N459" s="14" t="s">
        <v>9158</v>
      </c>
      <c r="O459" s="18" t="s">
        <v>10060</v>
      </c>
      <c r="P459" s="14" t="s">
        <v>3418</v>
      </c>
      <c r="Q459" s="14">
        <v>2</v>
      </c>
      <c r="R459" s="14"/>
    </row>
    <row r="460" spans="1:19">
      <c r="A460" s="9" t="s">
        <v>5606</v>
      </c>
      <c r="B460" s="14" t="s">
        <v>330</v>
      </c>
      <c r="C460" s="14" t="s">
        <v>344</v>
      </c>
      <c r="D460" s="14" t="s">
        <v>1011</v>
      </c>
      <c r="E460" s="15" t="str">
        <f>HYPERLINK("https://stat100.ameba.jp/tnk47/ratio20/illustrations/card/ill_72233_0_koinoboriryugujin03.jpg?201901-6-RELEASE-conquest-e-391x", "■")</f>
        <v>■</v>
      </c>
      <c r="F460" s="14" t="s">
        <v>1012</v>
      </c>
      <c r="G460" s="14">
        <v>98395</v>
      </c>
      <c r="H460" s="14">
        <v>105833</v>
      </c>
      <c r="I460" s="14">
        <v>15</v>
      </c>
      <c r="J460" s="14" t="s">
        <v>44</v>
      </c>
      <c r="K460" s="14" t="s">
        <v>1013</v>
      </c>
      <c r="L460" s="14" t="s">
        <v>1014</v>
      </c>
      <c r="M460" s="14" t="s">
        <v>9158</v>
      </c>
      <c r="N460" s="14" t="s">
        <v>9158</v>
      </c>
      <c r="O460" s="7" t="s">
        <v>3419</v>
      </c>
      <c r="P460" s="14" t="s">
        <v>3420</v>
      </c>
      <c r="Q460" s="14">
        <v>2</v>
      </c>
      <c r="R460" s="14"/>
    </row>
    <row r="461" spans="1:19">
      <c r="A461" s="9" t="s">
        <v>5612</v>
      </c>
      <c r="B461" s="14" t="s">
        <v>330</v>
      </c>
      <c r="C461" s="14" t="s">
        <v>308</v>
      </c>
      <c r="D461" s="14" t="s">
        <v>1895</v>
      </c>
      <c r="E461" s="15" t="str">
        <f>HYPERLINK("https://stat100.ameba.jp/tnk47/ratio20/illustrations/card/ill_49193_0_onmyoudouabenoseimei03.jpg?201901-6-RELEASE-conquest-e-391x", "■")</f>
        <v>■</v>
      </c>
      <c r="F461" s="14" t="s">
        <v>1896</v>
      </c>
      <c r="G461" s="14">
        <v>83712</v>
      </c>
      <c r="H461" s="14">
        <v>94236</v>
      </c>
      <c r="I461" s="14">
        <v>15</v>
      </c>
      <c r="J461" s="14" t="s">
        <v>10</v>
      </c>
      <c r="K461" s="14" t="s">
        <v>1897</v>
      </c>
      <c r="L461" s="14" t="s">
        <v>1898</v>
      </c>
      <c r="M461" s="14" t="s">
        <v>9158</v>
      </c>
      <c r="N461" s="14" t="s">
        <v>9158</v>
      </c>
      <c r="O461" s="14" t="s">
        <v>9158</v>
      </c>
      <c r="P461" s="14" t="s">
        <v>9158</v>
      </c>
      <c r="Q461" s="14" t="s">
        <v>9158</v>
      </c>
      <c r="R461" s="14"/>
    </row>
    <row r="462" spans="1:19">
      <c r="A462" s="9">
        <v>69923</v>
      </c>
      <c r="B462" s="14" t="s">
        <v>334</v>
      </c>
      <c r="C462" s="14" t="s">
        <v>41</v>
      </c>
      <c r="D462" s="14" t="s">
        <v>3421</v>
      </c>
      <c r="E462" s="15" t="str">
        <f>HYPERLINK("https://stat100.ameba.jp/tnk47/ratio20/illustrations/card/ill_69923_hieizanenryakuji03.jpg?201901-6-RELEASE-conquest-e-391x", "■")</f>
        <v>■</v>
      </c>
      <c r="F462" s="14" t="s">
        <v>3422</v>
      </c>
      <c r="G462" s="14">
        <v>97420</v>
      </c>
      <c r="H462" s="14">
        <v>104778</v>
      </c>
      <c r="I462" s="14">
        <v>23</v>
      </c>
      <c r="J462" s="14" t="s">
        <v>26</v>
      </c>
      <c r="K462" s="14" t="s">
        <v>3423</v>
      </c>
      <c r="L462" s="14" t="s">
        <v>3424</v>
      </c>
      <c r="M462" s="14" t="s">
        <v>9158</v>
      </c>
      <c r="N462" s="14" t="s">
        <v>9158</v>
      </c>
      <c r="O462" s="14" t="s">
        <v>9158</v>
      </c>
      <c r="P462" s="14" t="s">
        <v>9158</v>
      </c>
      <c r="Q462" s="14" t="s">
        <v>9158</v>
      </c>
      <c r="S462" s="14" t="s">
        <v>11749</v>
      </c>
    </row>
    <row r="463" spans="1:19">
      <c r="A463" s="9">
        <v>58253</v>
      </c>
      <c r="B463" s="14" t="s">
        <v>334</v>
      </c>
      <c r="C463" s="14" t="s">
        <v>209</v>
      </c>
      <c r="D463" s="14" t="s">
        <v>3425</v>
      </c>
      <c r="E463" s="15" t="str">
        <f>HYPERLINK("https://stat100.ameba.jp/tnk47/ratio20/illustrations/card/ill_58253_chankonabe03.jpg?201901-6-RELEASE-conquest-e-391x", "■")</f>
        <v>■</v>
      </c>
      <c r="F463" s="14" t="s">
        <v>3426</v>
      </c>
      <c r="G463" s="14">
        <v>88650</v>
      </c>
      <c r="H463" s="14">
        <v>82422</v>
      </c>
      <c r="I463" s="14">
        <v>23</v>
      </c>
      <c r="J463" s="14" t="s">
        <v>104</v>
      </c>
      <c r="K463" s="14" t="s">
        <v>3427</v>
      </c>
      <c r="L463" s="14" t="s">
        <v>3428</v>
      </c>
      <c r="M463" s="14" t="s">
        <v>9158</v>
      </c>
      <c r="N463" s="14" t="s">
        <v>9158</v>
      </c>
      <c r="O463" s="14" t="s">
        <v>9158</v>
      </c>
      <c r="P463" s="14" t="s">
        <v>9158</v>
      </c>
      <c r="Q463" s="14" t="s">
        <v>9158</v>
      </c>
      <c r="S463" s="14" t="s">
        <v>11750</v>
      </c>
    </row>
    <row r="464" spans="1:19">
      <c r="A464" s="9">
        <v>58123</v>
      </c>
      <c r="B464" s="14" t="s">
        <v>334</v>
      </c>
      <c r="C464" s="14" t="s">
        <v>209</v>
      </c>
      <c r="D464" s="14" t="s">
        <v>3429</v>
      </c>
      <c r="E464" s="15" t="str">
        <f>HYPERLINK("https://stat100.ameba.jp/tnk47/ratio20/illustrations/card/ill_58123_himekatchumegohime03.jpg?201901-6-RELEASE-conquest-e-391x", "■")</f>
        <v>■</v>
      </c>
      <c r="F464" s="14" t="s">
        <v>3430</v>
      </c>
      <c r="G464" s="14">
        <v>88650</v>
      </c>
      <c r="H464" s="14">
        <v>82422</v>
      </c>
      <c r="I464" s="14">
        <v>23</v>
      </c>
      <c r="J464" s="14" t="s">
        <v>77</v>
      </c>
      <c r="K464" s="14" t="s">
        <v>3431</v>
      </c>
      <c r="L464" s="14" t="s">
        <v>3432</v>
      </c>
      <c r="M464" s="14" t="s">
        <v>9158</v>
      </c>
      <c r="N464" s="14" t="s">
        <v>9158</v>
      </c>
      <c r="O464" s="14" t="s">
        <v>9158</v>
      </c>
      <c r="P464" s="14" t="s">
        <v>9158</v>
      </c>
      <c r="Q464" s="14" t="s">
        <v>9158</v>
      </c>
      <c r="S464" s="14" t="s">
        <v>11748</v>
      </c>
    </row>
    <row r="465" spans="1:19">
      <c r="A465" s="9">
        <v>66953</v>
      </c>
      <c r="B465" s="14" t="s">
        <v>15</v>
      </c>
      <c r="C465" s="14" t="s">
        <v>308</v>
      </c>
      <c r="D465" s="14" t="s">
        <v>3433</v>
      </c>
      <c r="E465" s="15" t="str">
        <f>HYPERLINK("https://stat100.ameba.jp/tnk47/ratio20/illustrations/card/ill_66953_enomotosumi03.jpg?201901-6-RELEASE-conquest-e-391x", "■")</f>
        <v>■</v>
      </c>
      <c r="F465" s="14" t="s">
        <v>3434</v>
      </c>
      <c r="G465" s="14">
        <v>61832</v>
      </c>
      <c r="H465" s="14">
        <v>68172</v>
      </c>
      <c r="I465" s="14">
        <v>23</v>
      </c>
      <c r="J465" s="14" t="s">
        <v>16</v>
      </c>
      <c r="K465" s="14" t="s">
        <v>3435</v>
      </c>
      <c r="L465" s="14" t="s">
        <v>3436</v>
      </c>
      <c r="M465" s="14" t="s">
        <v>9158</v>
      </c>
      <c r="N465" s="14" t="s">
        <v>9158</v>
      </c>
      <c r="O465" s="14" t="s">
        <v>9158</v>
      </c>
      <c r="P465" s="14" t="s">
        <v>9158</v>
      </c>
      <c r="Q465" s="14" t="s">
        <v>9158</v>
      </c>
      <c r="S465" s="14" t="s">
        <v>11741</v>
      </c>
    </row>
    <row r="466" spans="1:19">
      <c r="A466" s="9">
        <v>67793</v>
      </c>
      <c r="B466" s="14" t="s">
        <v>15</v>
      </c>
      <c r="C466" s="14" t="s">
        <v>185</v>
      </c>
      <c r="D466" s="14" t="s">
        <v>3437</v>
      </c>
      <c r="E466" s="15" t="str">
        <f>HYPERLINK("https://stat100.ameba.jp/tnk47/ratio20/illustrations/card/ill_67793_yukioni03.jpg?201901-6-RELEASE-conquest-e-391x", "■")</f>
        <v>■</v>
      </c>
      <c r="F466" s="14" t="s">
        <v>3438</v>
      </c>
      <c r="G466" s="14">
        <v>61832</v>
      </c>
      <c r="H466" s="14">
        <v>68172</v>
      </c>
      <c r="I466" s="14">
        <v>23</v>
      </c>
      <c r="J466" s="14" t="s">
        <v>38</v>
      </c>
      <c r="K466" s="14" t="s">
        <v>3439</v>
      </c>
      <c r="L466" s="14" t="s">
        <v>3440</v>
      </c>
      <c r="M466" s="14" t="s">
        <v>9158</v>
      </c>
      <c r="N466" s="14" t="s">
        <v>9158</v>
      </c>
      <c r="O466" s="14" t="s">
        <v>9158</v>
      </c>
      <c r="P466" s="14" t="s">
        <v>9158</v>
      </c>
      <c r="Q466" s="14" t="s">
        <v>9158</v>
      </c>
      <c r="S466" s="14" t="s">
        <v>11742</v>
      </c>
    </row>
    <row r="467" spans="1:19">
      <c r="A467" s="9">
        <v>66823</v>
      </c>
      <c r="B467" s="14" t="s">
        <v>15</v>
      </c>
      <c r="C467" s="14" t="s">
        <v>200</v>
      </c>
      <c r="D467" s="14" t="s">
        <v>3441</v>
      </c>
      <c r="E467" s="15" t="str">
        <f>HYPERLINK("https://stat100.ameba.jp/tnk47/ratio20/illustrations/card/ill_66823_kasutaniichiyo03.jpg?201901-6-RELEASE-conquest-e-391x", "■")</f>
        <v>■</v>
      </c>
      <c r="F467" s="14" t="s">
        <v>3442</v>
      </c>
      <c r="G467" s="14">
        <v>68172</v>
      </c>
      <c r="H467" s="14">
        <v>61832</v>
      </c>
      <c r="I467" s="14">
        <v>23</v>
      </c>
      <c r="J467" s="14" t="s">
        <v>10</v>
      </c>
      <c r="K467" s="14" t="s">
        <v>3443</v>
      </c>
      <c r="L467" s="14" t="s">
        <v>3444</v>
      </c>
      <c r="M467" s="14" t="s">
        <v>9158</v>
      </c>
      <c r="N467" s="14" t="s">
        <v>9158</v>
      </c>
      <c r="O467" s="14" t="s">
        <v>9158</v>
      </c>
      <c r="P467" s="14" t="s">
        <v>9158</v>
      </c>
      <c r="Q467" s="14" t="s">
        <v>9158</v>
      </c>
      <c r="S467" s="14" t="s">
        <v>12930</v>
      </c>
    </row>
    <row r="468" spans="1:19">
      <c r="B468" s="14"/>
      <c r="C468" s="14"/>
      <c r="D468" s="14"/>
      <c r="F468" s="14"/>
      <c r="G468" s="14"/>
      <c r="H468" s="14"/>
      <c r="I468" s="14"/>
      <c r="J468" s="14"/>
      <c r="K468" s="14"/>
      <c r="L468" s="14"/>
      <c r="M468" s="14"/>
      <c r="N468" s="14"/>
      <c r="O468" s="7"/>
      <c r="P468" s="14"/>
      <c r="Q468" s="14"/>
      <c r="R468" s="14"/>
    </row>
    <row r="469" spans="1:19">
      <c r="A469" s="14" t="s">
        <v>135</v>
      </c>
      <c r="D469" s="14"/>
      <c r="F469" s="14"/>
      <c r="G469" s="14"/>
      <c r="H469" s="14"/>
      <c r="I469" s="14"/>
      <c r="J469" s="14"/>
      <c r="K469" s="14"/>
      <c r="L469" s="14"/>
      <c r="M469" s="14"/>
      <c r="N469" s="14"/>
      <c r="O469" s="7"/>
      <c r="P469" s="14"/>
      <c r="Q469" s="14"/>
      <c r="R469" s="14"/>
    </row>
    <row r="470" spans="1:19">
      <c r="A470" s="14" t="s">
        <v>3408</v>
      </c>
      <c r="B470" s="14"/>
      <c r="C470" s="14"/>
      <c r="D470" s="14"/>
      <c r="F470" s="14"/>
      <c r="G470" s="14"/>
      <c r="H470" s="14"/>
      <c r="I470" s="14"/>
      <c r="J470" s="14"/>
      <c r="K470" s="14"/>
      <c r="L470" s="14"/>
      <c r="M470" s="14"/>
      <c r="N470" s="14"/>
      <c r="O470" s="7"/>
      <c r="P470" s="14"/>
      <c r="Q470" s="14"/>
      <c r="R470" s="14"/>
    </row>
    <row r="471" spans="1:19">
      <c r="A471" s="9" t="s">
        <v>5848</v>
      </c>
      <c r="B471" s="14" t="s">
        <v>330</v>
      </c>
      <c r="C471" s="14" t="s">
        <v>200</v>
      </c>
      <c r="D471" s="14" t="s">
        <v>1138</v>
      </c>
      <c r="E471" s="15" t="str">
        <f>HYPERLINK("https://stat100.ameba.jp/tnk47/ratio20/illustrations/card/ill_72963_0_amenohanayomehiguchiichiyo03.jpg?201901-6-RELEASE-conquest-e-391x", "■")</f>
        <v>■</v>
      </c>
      <c r="F471" s="14" t="s">
        <v>1139</v>
      </c>
      <c r="G471" s="14">
        <v>154104</v>
      </c>
      <c r="H471" s="14">
        <v>143290</v>
      </c>
      <c r="I471" s="14">
        <v>23</v>
      </c>
      <c r="J471" s="14" t="s">
        <v>173</v>
      </c>
      <c r="K471" s="14" t="s">
        <v>1140</v>
      </c>
      <c r="L471" s="14" t="s">
        <v>1141</v>
      </c>
      <c r="M471" s="14" t="s">
        <v>9158</v>
      </c>
      <c r="N471" s="14" t="s">
        <v>9158</v>
      </c>
      <c r="O471" s="7" t="s">
        <v>3409</v>
      </c>
      <c r="P471" s="14" t="s">
        <v>3410</v>
      </c>
      <c r="Q471" s="14">
        <v>1</v>
      </c>
      <c r="R471" s="14"/>
    </row>
    <row r="472" spans="1:19">
      <c r="A472" s="9">
        <v>65653</v>
      </c>
      <c r="B472" s="14" t="s">
        <v>334</v>
      </c>
      <c r="C472" s="14" t="s">
        <v>185</v>
      </c>
      <c r="D472" s="14" t="s">
        <v>3411</v>
      </c>
      <c r="E472" s="15" t="str">
        <f>HYPERLINK("https://stat100.ameba.jp/tnk47/ratio20/illustrations/card/ill_65653_undokaitakamurachieko03.jpg?201901-6-RELEASE-conquest-e-391x", "■")</f>
        <v>■</v>
      </c>
      <c r="F472" s="14" t="s">
        <v>3412</v>
      </c>
      <c r="G472" s="14">
        <v>85153</v>
      </c>
      <c r="H472" s="14">
        <v>79207</v>
      </c>
      <c r="I472" s="14">
        <v>21</v>
      </c>
      <c r="J472" s="14" t="s">
        <v>16</v>
      </c>
      <c r="K472" s="14" t="s">
        <v>3413</v>
      </c>
      <c r="L472" s="14" t="s">
        <v>1149</v>
      </c>
      <c r="M472" s="14" t="s">
        <v>9158</v>
      </c>
      <c r="N472" s="14" t="s">
        <v>9158</v>
      </c>
      <c r="O472" s="7" t="s">
        <v>3414</v>
      </c>
      <c r="P472" s="14" t="s">
        <v>13122</v>
      </c>
      <c r="Q472" s="14">
        <v>1</v>
      </c>
      <c r="R472" s="14"/>
    </row>
    <row r="473" spans="1:19">
      <c r="A473" s="9">
        <v>60763</v>
      </c>
      <c r="B473" s="14" t="s">
        <v>334</v>
      </c>
      <c r="C473" s="14" t="s">
        <v>41</v>
      </c>
      <c r="D473" s="14" t="s">
        <v>1145</v>
      </c>
      <c r="E473" s="15" t="str">
        <f>HYPERLINK("https://stat100.ameba.jp/tnk47/ratio20/illustrations/card/ill_60763_fujiwarakagekiyo03.jpg?201901-6-RELEASE-conquest-e-391x", "■")</f>
        <v>■</v>
      </c>
      <c r="F473" s="14" t="s">
        <v>1146</v>
      </c>
      <c r="G473" s="14">
        <v>101199</v>
      </c>
      <c r="H473" s="14">
        <v>139716</v>
      </c>
      <c r="I473" s="14">
        <v>21</v>
      </c>
      <c r="J473" s="14" t="s">
        <v>143</v>
      </c>
      <c r="K473" s="14" t="s">
        <v>1147</v>
      </c>
      <c r="L473" s="14" t="s">
        <v>1148</v>
      </c>
      <c r="M473" s="14" t="s">
        <v>9158</v>
      </c>
      <c r="N473" s="14" t="s">
        <v>9158</v>
      </c>
      <c r="O473" s="18" t="s">
        <v>10064</v>
      </c>
      <c r="P473" s="14" t="s">
        <v>13150</v>
      </c>
      <c r="Q473" s="14">
        <v>1</v>
      </c>
      <c r="R473" s="14"/>
    </row>
    <row r="474" spans="1:19">
      <c r="A474" s="9">
        <v>75083</v>
      </c>
      <c r="B474" s="14" t="s">
        <v>334</v>
      </c>
      <c r="C474" s="14" t="s">
        <v>209</v>
      </c>
      <c r="D474" s="14" t="s">
        <v>1019</v>
      </c>
      <c r="E474" s="15" t="str">
        <f>HYPERLINK("https://stat100.ameba.jp/tnk47/ratio20/illustrations/card/ill_75083_sukumizuhanakosan03.jpg?201901-6-RELEASE-conquest-e-391x", "■")</f>
        <v>■</v>
      </c>
      <c r="F474" s="14" t="s">
        <v>1020</v>
      </c>
      <c r="G474" s="14">
        <v>97925</v>
      </c>
      <c r="H474" s="14">
        <v>70942</v>
      </c>
      <c r="I474" s="14">
        <v>21</v>
      </c>
      <c r="J474" s="14" t="s">
        <v>73</v>
      </c>
      <c r="K474" s="14" t="s">
        <v>1021</v>
      </c>
      <c r="L474" s="14" t="s">
        <v>1022</v>
      </c>
      <c r="M474" s="14" t="s">
        <v>9158</v>
      </c>
      <c r="N474" s="14" t="s">
        <v>9158</v>
      </c>
      <c r="O474" s="7" t="s">
        <v>3415</v>
      </c>
      <c r="P474" s="14" t="s">
        <v>3416</v>
      </c>
      <c r="Q474" s="14">
        <v>1</v>
      </c>
      <c r="R474" s="14"/>
    </row>
    <row r="475" spans="1:19">
      <c r="B475" s="14"/>
      <c r="C475" s="14"/>
      <c r="D475" s="14"/>
      <c r="F475" s="14"/>
      <c r="G475" s="14"/>
      <c r="H475" s="14"/>
      <c r="I475" s="14"/>
      <c r="J475" s="14"/>
      <c r="K475" s="14"/>
      <c r="L475" s="14"/>
      <c r="M475" s="14"/>
      <c r="N475" s="14"/>
      <c r="O475" s="7"/>
      <c r="P475" s="14"/>
      <c r="Q475" s="14"/>
      <c r="R475" s="14"/>
    </row>
    <row r="476" spans="1:19">
      <c r="A476" s="14" t="s">
        <v>13326</v>
      </c>
      <c r="D476" s="14"/>
      <c r="F476" s="14"/>
      <c r="G476" s="14"/>
      <c r="H476" s="14"/>
      <c r="I476" s="14"/>
      <c r="J476" s="14"/>
      <c r="K476" s="14"/>
      <c r="L476" s="14"/>
      <c r="M476" s="14"/>
      <c r="N476" s="14"/>
      <c r="O476" s="7"/>
      <c r="P476" s="14"/>
      <c r="Q476" s="14"/>
      <c r="R476" s="14"/>
    </row>
    <row r="477" spans="1:19">
      <c r="A477" s="14" t="s">
        <v>3407</v>
      </c>
      <c r="B477" s="14"/>
      <c r="C477" s="14"/>
      <c r="D477" s="14"/>
      <c r="F477" s="14"/>
      <c r="G477" s="14"/>
      <c r="H477" s="14"/>
      <c r="I477" s="14"/>
      <c r="J477" s="14"/>
      <c r="K477" s="14"/>
      <c r="L477" s="14"/>
      <c r="M477" s="14"/>
      <c r="N477" s="14"/>
      <c r="O477" s="7"/>
      <c r="P477" s="14"/>
      <c r="Q477" s="14"/>
      <c r="R477" s="14"/>
    </row>
    <row r="478" spans="1:19">
      <c r="A478" s="9">
        <v>70073</v>
      </c>
      <c r="B478" s="14" t="s">
        <v>334</v>
      </c>
      <c r="C478" s="14" t="s">
        <v>185</v>
      </c>
      <c r="D478" s="14" t="s">
        <v>859</v>
      </c>
      <c r="E478" s="15" t="str">
        <f>HYPERLINK("https://stat100.ameba.jp/tnk47/ratio20/illustrations/card/ill_70073_muhime03.jpg?201901-6-RELEASE-conquest-e-391x", "■")</f>
        <v>■</v>
      </c>
      <c r="F478" s="14" t="s">
        <v>860</v>
      </c>
      <c r="G478" s="14">
        <v>100698</v>
      </c>
      <c r="H478" s="14">
        <v>108306</v>
      </c>
      <c r="I478" s="14">
        <v>22</v>
      </c>
      <c r="J478" s="14" t="s">
        <v>315</v>
      </c>
      <c r="K478" s="14" t="s">
        <v>861</v>
      </c>
      <c r="L478" s="14" t="s">
        <v>862</v>
      </c>
      <c r="M478" s="14" t="s">
        <v>250</v>
      </c>
      <c r="N478" s="14" t="s">
        <v>251</v>
      </c>
      <c r="O478" s="14" t="s">
        <v>9158</v>
      </c>
      <c r="P478" s="14" t="s">
        <v>9158</v>
      </c>
      <c r="Q478" s="14" t="s">
        <v>9158</v>
      </c>
      <c r="R478" s="14"/>
    </row>
    <row r="479" spans="1:19">
      <c r="A479" s="9">
        <v>70072</v>
      </c>
      <c r="B479" s="14" t="s">
        <v>334</v>
      </c>
      <c r="C479" s="14" t="s">
        <v>185</v>
      </c>
      <c r="D479" s="14" t="s">
        <v>859</v>
      </c>
      <c r="E479" s="15" t="str">
        <f>HYPERLINK("https://stat100.ameba.jp/tnk47/ratio20/illustrations/card/ill_70072_muhime02.jpg?201901-6-RELEASE-conquest-e-391x", "■")</f>
        <v>■</v>
      </c>
      <c r="F479" s="14" t="s">
        <v>860</v>
      </c>
      <c r="G479" s="14">
        <v>83402</v>
      </c>
      <c r="H479" s="14">
        <v>90538</v>
      </c>
      <c r="I479" s="14">
        <v>22</v>
      </c>
      <c r="J479" s="14" t="s">
        <v>315</v>
      </c>
      <c r="K479" s="14" t="s">
        <v>861</v>
      </c>
      <c r="L479" s="14" t="s">
        <v>862</v>
      </c>
      <c r="M479" s="14" t="s">
        <v>250</v>
      </c>
      <c r="N479" s="14" t="s">
        <v>251</v>
      </c>
      <c r="O479" s="14" t="s">
        <v>9158</v>
      </c>
      <c r="P479" s="14" t="s">
        <v>9158</v>
      </c>
      <c r="Q479" s="14" t="s">
        <v>9158</v>
      </c>
      <c r="R479" s="14"/>
    </row>
    <row r="480" spans="1:19">
      <c r="A480" s="9">
        <v>70071</v>
      </c>
      <c r="B480" s="14" t="s">
        <v>334</v>
      </c>
      <c r="C480" s="14" t="s">
        <v>185</v>
      </c>
      <c r="D480" s="14" t="s">
        <v>859</v>
      </c>
      <c r="E480" s="15" t="str">
        <f>HYPERLINK("https://stat100.ameba.jp/tnk47/ratio20/illustrations/card/ill_70071_muhime01.jpg?201901-6-RELEASE-conquest-e-391x", "■")</f>
        <v>■</v>
      </c>
      <c r="F480" s="14" t="s">
        <v>860</v>
      </c>
      <c r="G480" s="14">
        <v>64350</v>
      </c>
      <c r="H480" s="14">
        <v>69124</v>
      </c>
      <c r="I480" s="14">
        <v>22</v>
      </c>
      <c r="J480" s="14" t="s">
        <v>315</v>
      </c>
      <c r="K480" s="14" t="s">
        <v>861</v>
      </c>
      <c r="L480" s="14" t="s">
        <v>862</v>
      </c>
      <c r="M480" s="14" t="s">
        <v>250</v>
      </c>
      <c r="N480" s="14" t="s">
        <v>251</v>
      </c>
      <c r="O480" s="14" t="s">
        <v>9158</v>
      </c>
      <c r="P480" s="14" t="s">
        <v>9158</v>
      </c>
      <c r="Q480" s="14" t="s">
        <v>9158</v>
      </c>
      <c r="R480" s="14"/>
    </row>
    <row r="481" spans="1:18">
      <c r="A481" s="9">
        <v>70083</v>
      </c>
      <c r="B481" s="14" t="s">
        <v>334</v>
      </c>
      <c r="C481" s="14" t="s">
        <v>200</v>
      </c>
      <c r="D481" s="14" t="s">
        <v>252</v>
      </c>
      <c r="E481" s="15" t="str">
        <f>HYPERLINK("https://stat100.ameba.jp/tnk47/ratio20/illustrations/card/ill_70083_kimurakaishu03.jpg?201901-6-RELEASE-conquest-e-391x", "■")</f>
        <v>■</v>
      </c>
      <c r="F481" s="14" t="s">
        <v>863</v>
      </c>
      <c r="G481" s="14">
        <v>108306</v>
      </c>
      <c r="H481" s="14">
        <v>100698</v>
      </c>
      <c r="I481" s="14">
        <v>22</v>
      </c>
      <c r="J481" s="14" t="s">
        <v>173</v>
      </c>
      <c r="K481" s="14" t="s">
        <v>257</v>
      </c>
      <c r="L481" s="14" t="s">
        <v>9897</v>
      </c>
      <c r="M481" s="14" t="s">
        <v>250</v>
      </c>
      <c r="N481" s="14" t="s">
        <v>251</v>
      </c>
      <c r="O481" s="14" t="s">
        <v>9158</v>
      </c>
      <c r="P481" s="14" t="s">
        <v>9158</v>
      </c>
      <c r="Q481" s="14" t="s">
        <v>9158</v>
      </c>
      <c r="R481" s="14"/>
    </row>
    <row r="482" spans="1:18">
      <c r="A482" s="9">
        <v>70923</v>
      </c>
      <c r="B482" s="14" t="s">
        <v>334</v>
      </c>
      <c r="C482" s="14" t="s">
        <v>191</v>
      </c>
      <c r="D482" s="14" t="s">
        <v>253</v>
      </c>
      <c r="E482" s="15" t="str">
        <f>HYPERLINK("https://stat100.ameba.jp/tnk47/ratio20/illustrations/card/ill_70923_hidawagyu03.jpg?201901-6-RELEASE-conquest-e-391x", "■")</f>
        <v>■</v>
      </c>
      <c r="F482" s="14" t="s">
        <v>864</v>
      </c>
      <c r="G482" s="14">
        <v>108306</v>
      </c>
      <c r="H482" s="14">
        <v>100698</v>
      </c>
      <c r="I482" s="14">
        <v>22</v>
      </c>
      <c r="J482" s="14" t="s">
        <v>216</v>
      </c>
      <c r="K482" s="14" t="s">
        <v>258</v>
      </c>
      <c r="L482" s="14" t="s">
        <v>9898</v>
      </c>
      <c r="M482" s="14" t="s">
        <v>250</v>
      </c>
      <c r="N482" s="14" t="s">
        <v>251</v>
      </c>
      <c r="O482" s="14" t="s">
        <v>9158</v>
      </c>
      <c r="P482" s="14" t="s">
        <v>9158</v>
      </c>
      <c r="Q482" s="14" t="s">
        <v>9158</v>
      </c>
      <c r="R482" s="14"/>
    </row>
    <row r="483" spans="1:18">
      <c r="A483" s="9">
        <v>70093</v>
      </c>
      <c r="B483" s="14" t="s">
        <v>334</v>
      </c>
      <c r="C483" s="14" t="s">
        <v>308</v>
      </c>
      <c r="D483" s="14" t="s">
        <v>254</v>
      </c>
      <c r="E483" s="15" t="str">
        <f>HYPERLINK("https://stat100.ameba.jp/tnk47/ratio20/illustrations/card/ill_70093_sarutahikonookami03.jpg?201901-6-RELEASE-conquest-e-391x", "■")</f>
        <v>■</v>
      </c>
      <c r="F483" s="14" t="s">
        <v>865</v>
      </c>
      <c r="G483" s="14">
        <v>100698</v>
      </c>
      <c r="H483" s="14">
        <v>108306</v>
      </c>
      <c r="I483" s="14">
        <v>22</v>
      </c>
      <c r="J483" s="14" t="s">
        <v>169</v>
      </c>
      <c r="K483" s="14" t="s">
        <v>259</v>
      </c>
      <c r="L483" s="14" t="s">
        <v>9899</v>
      </c>
      <c r="M483" s="14" t="s">
        <v>250</v>
      </c>
      <c r="N483" s="14" t="s">
        <v>251</v>
      </c>
      <c r="O483" s="14" t="s">
        <v>9158</v>
      </c>
      <c r="P483" s="14" t="s">
        <v>9158</v>
      </c>
      <c r="Q483" s="14" t="s">
        <v>9158</v>
      </c>
      <c r="R483" s="14"/>
    </row>
    <row r="484" spans="1:18">
      <c r="A484" s="9">
        <v>70933</v>
      </c>
      <c r="B484" s="14" t="s">
        <v>334</v>
      </c>
      <c r="C484" s="14" t="s">
        <v>267</v>
      </c>
      <c r="D484" s="14" t="s">
        <v>255</v>
      </c>
      <c r="E484" s="15" t="str">
        <f>HYPERLINK("https://stat100.ameba.jp/tnk47/ratio20/illustrations/card/ill_70933_zenigatasunae03.jpg?201901-6-RELEASE-conquest-e-391x", "■")</f>
        <v>■</v>
      </c>
      <c r="F484" s="14" t="s">
        <v>866</v>
      </c>
      <c r="G484" s="14">
        <v>100698</v>
      </c>
      <c r="H484" s="14">
        <v>108306</v>
      </c>
      <c r="I484" s="14">
        <v>22</v>
      </c>
      <c r="J484" s="14" t="s">
        <v>229</v>
      </c>
      <c r="K484" s="14" t="s">
        <v>260</v>
      </c>
      <c r="L484" s="14" t="s">
        <v>9900</v>
      </c>
      <c r="M484" s="14" t="s">
        <v>250</v>
      </c>
      <c r="N484" s="14" t="s">
        <v>251</v>
      </c>
      <c r="O484" s="14" t="s">
        <v>9158</v>
      </c>
      <c r="P484" s="14" t="s">
        <v>9158</v>
      </c>
      <c r="Q484" s="14" t="s">
        <v>9158</v>
      </c>
      <c r="R484" s="14"/>
    </row>
    <row r="485" spans="1:18">
      <c r="A485" s="9">
        <v>70943</v>
      </c>
      <c r="B485" s="14" t="s">
        <v>334</v>
      </c>
      <c r="C485" s="14" t="s">
        <v>344</v>
      </c>
      <c r="D485" s="14" t="s">
        <v>256</v>
      </c>
      <c r="E485" s="15" t="str">
        <f>HYPERLINK("https://stat100.ameba.jp/tnk47/ratio20/illustrations/card/ill_70943_tengunokakuremino03.jpg?201901-6-RELEASE-conquest-e-391x", "■")</f>
        <v>■</v>
      </c>
      <c r="F485" s="14" t="s">
        <v>867</v>
      </c>
      <c r="G485" s="14">
        <v>108306</v>
      </c>
      <c r="H485" s="14">
        <v>100698</v>
      </c>
      <c r="I485" s="14">
        <v>22</v>
      </c>
      <c r="J485" s="14" t="s">
        <v>155</v>
      </c>
      <c r="K485" s="14" t="s">
        <v>261</v>
      </c>
      <c r="L485" s="14" t="s">
        <v>9901</v>
      </c>
      <c r="M485" s="14" t="s">
        <v>250</v>
      </c>
      <c r="N485" s="14" t="s">
        <v>251</v>
      </c>
      <c r="O485" s="14" t="s">
        <v>9158</v>
      </c>
      <c r="P485" s="14" t="s">
        <v>9158</v>
      </c>
      <c r="Q485" s="14" t="s">
        <v>9158</v>
      </c>
      <c r="R485" s="14"/>
    </row>
    <row r="486" spans="1:18">
      <c r="B486" s="14"/>
      <c r="C486" s="14"/>
      <c r="D486" s="14"/>
      <c r="F486" s="14"/>
      <c r="G486" s="14"/>
      <c r="H486" s="14"/>
      <c r="I486" s="14"/>
      <c r="J486" s="14"/>
      <c r="K486" s="14"/>
      <c r="L486" s="14"/>
      <c r="M486" s="14"/>
      <c r="N486" s="14"/>
      <c r="O486" s="7"/>
      <c r="P486" s="14"/>
      <c r="Q486" s="14"/>
      <c r="R486" s="14"/>
    </row>
    <row r="487" spans="1:18">
      <c r="A487" s="14" t="s">
        <v>11506</v>
      </c>
      <c r="D487" s="14"/>
      <c r="F487" s="14"/>
      <c r="G487" s="14"/>
      <c r="H487" s="14"/>
      <c r="I487" s="14"/>
      <c r="J487" s="14"/>
      <c r="K487" s="14"/>
      <c r="L487" s="14"/>
      <c r="M487" s="14"/>
      <c r="N487" s="14"/>
      <c r="O487" s="7"/>
      <c r="P487" s="14"/>
      <c r="Q487" s="14"/>
      <c r="R487" s="14"/>
    </row>
    <row r="488" spans="1:18">
      <c r="A488" s="14" t="s">
        <v>3447</v>
      </c>
      <c r="C488" s="14"/>
      <c r="D488" s="14"/>
      <c r="F488" s="14"/>
      <c r="G488" s="14"/>
      <c r="H488" s="14"/>
      <c r="I488" s="14"/>
      <c r="J488" s="14"/>
      <c r="K488" s="14"/>
      <c r="L488" s="14"/>
      <c r="M488" s="14"/>
      <c r="N488" s="14"/>
      <c r="O488" s="7"/>
      <c r="P488" s="14"/>
      <c r="Q488" s="14"/>
      <c r="R488" s="14"/>
    </row>
    <row r="489" spans="1:18">
      <c r="B489" s="14" t="s">
        <v>330</v>
      </c>
      <c r="C489" s="14"/>
      <c r="D489" s="14"/>
      <c r="F489" s="14"/>
      <c r="G489" s="14"/>
      <c r="H489" s="14"/>
      <c r="I489" s="14">
        <v>21</v>
      </c>
      <c r="J489" s="14"/>
      <c r="K489" s="14"/>
      <c r="L489" s="14"/>
      <c r="M489" s="14" t="s">
        <v>9158</v>
      </c>
      <c r="N489" s="14" t="s">
        <v>9158</v>
      </c>
      <c r="O489" s="14" t="s">
        <v>9158</v>
      </c>
      <c r="P489" s="14" t="s">
        <v>9158</v>
      </c>
      <c r="Q489" s="14" t="s">
        <v>9158</v>
      </c>
      <c r="R489" s="14"/>
    </row>
    <row r="490" spans="1:18">
      <c r="B490" s="14" t="s">
        <v>330</v>
      </c>
      <c r="C490" s="14"/>
      <c r="D490" s="14"/>
      <c r="F490" s="14"/>
      <c r="G490" s="14"/>
      <c r="H490" s="14"/>
      <c r="I490" s="14">
        <v>21</v>
      </c>
      <c r="J490" s="14"/>
      <c r="K490" s="14"/>
      <c r="L490" s="14"/>
      <c r="M490" s="14" t="s">
        <v>9158</v>
      </c>
      <c r="N490" s="14" t="s">
        <v>9158</v>
      </c>
      <c r="O490" s="14" t="s">
        <v>9158</v>
      </c>
      <c r="P490" s="14" t="s">
        <v>9158</v>
      </c>
      <c r="Q490" s="14" t="s">
        <v>9158</v>
      </c>
      <c r="R490" s="14"/>
    </row>
    <row r="491" spans="1:18">
      <c r="B491" s="14" t="s">
        <v>330</v>
      </c>
      <c r="C491" s="14"/>
      <c r="D491" s="14"/>
      <c r="F491" s="14"/>
      <c r="G491" s="14"/>
      <c r="H491" s="14"/>
      <c r="I491" s="14">
        <v>21</v>
      </c>
      <c r="J491" s="14"/>
      <c r="K491" s="14"/>
      <c r="L491" s="14"/>
      <c r="M491" s="14" t="s">
        <v>9158</v>
      </c>
      <c r="N491" s="14" t="s">
        <v>9158</v>
      </c>
      <c r="O491" s="14" t="s">
        <v>9158</v>
      </c>
      <c r="P491" s="14" t="s">
        <v>9158</v>
      </c>
      <c r="Q491" s="14" t="s">
        <v>9158</v>
      </c>
      <c r="R491" s="14"/>
    </row>
    <row r="492" spans="1:18">
      <c r="A492" s="9">
        <v>79093</v>
      </c>
      <c r="B492" s="14" t="s">
        <v>334</v>
      </c>
      <c r="C492" s="14" t="s">
        <v>206</v>
      </c>
      <c r="D492" s="14" t="s">
        <v>3394</v>
      </c>
      <c r="E492" s="15" t="str">
        <f>HYPERLINK("https://stat100.ameba.jp/tnk47/ratio20/illustrations/card/ill_79093_shinnenongakukaihakatabijin03.jpg?201901-6-RELEASE-conquest-e-391x", "■")</f>
        <v>■</v>
      </c>
      <c r="F492" s="14" t="s">
        <v>3395</v>
      </c>
      <c r="G492" s="14"/>
      <c r="H492" s="14"/>
      <c r="I492" s="14">
        <v>21</v>
      </c>
      <c r="J492" s="14" t="s">
        <v>26</v>
      </c>
      <c r="K492" s="14" t="s">
        <v>3396</v>
      </c>
      <c r="L492" s="14" t="s">
        <v>2137</v>
      </c>
      <c r="M492" s="14" t="s">
        <v>9158</v>
      </c>
      <c r="N492" s="14" t="s">
        <v>9158</v>
      </c>
      <c r="O492" s="14" t="s">
        <v>9158</v>
      </c>
      <c r="P492" s="14" t="s">
        <v>9158</v>
      </c>
      <c r="Q492" s="14" t="s">
        <v>9158</v>
      </c>
      <c r="R492" s="14"/>
    </row>
    <row r="493" spans="1:18">
      <c r="A493" s="9">
        <v>79103</v>
      </c>
      <c r="B493" s="14" t="s">
        <v>15</v>
      </c>
      <c r="C493" s="14" t="s">
        <v>200</v>
      </c>
      <c r="D493" s="14" t="s">
        <v>3397</v>
      </c>
      <c r="E493" s="15" t="str">
        <f>HYPERLINK("https://stat100.ameba.jp/tnk47/ratio20/illustrations/card/ill_79103_burabankitaharareiko03.jpg?201901-6-RELEASE-conquest-e-391x", "■")</f>
        <v>■</v>
      </c>
      <c r="F493" s="14" t="s">
        <v>3398</v>
      </c>
      <c r="G493" s="14">
        <v>53352</v>
      </c>
      <c r="H493" s="14">
        <v>48390</v>
      </c>
      <c r="I493" s="14">
        <v>18</v>
      </c>
      <c r="J493" s="14" t="s">
        <v>10</v>
      </c>
      <c r="K493" s="14" t="s">
        <v>3399</v>
      </c>
      <c r="L493" s="14" t="s">
        <v>3275</v>
      </c>
      <c r="M493" s="14" t="s">
        <v>9158</v>
      </c>
      <c r="N493" s="14" t="s">
        <v>9158</v>
      </c>
      <c r="O493" s="14" t="s">
        <v>9158</v>
      </c>
      <c r="P493" s="14" t="s">
        <v>9158</v>
      </c>
      <c r="Q493" s="14" t="s">
        <v>9158</v>
      </c>
      <c r="R493" s="14"/>
    </row>
    <row r="494" spans="1:18">
      <c r="A494" s="9">
        <v>79113</v>
      </c>
      <c r="B494" s="14" t="s">
        <v>22</v>
      </c>
      <c r="C494" s="14" t="s">
        <v>205</v>
      </c>
      <c r="D494" s="14" t="s">
        <v>3400</v>
      </c>
      <c r="E494" s="15" t="str">
        <f>HYPERLINK("https://stat100.ameba.jp/tnk47/ratio20/illustrations/card/ill_79113_mourimotonari03.jpg?201901-6-RELEASE-conquest-e-391x", "■")</f>
        <v>■</v>
      </c>
      <c r="F494" s="14" t="s">
        <v>3401</v>
      </c>
      <c r="G494" s="14">
        <v>29388</v>
      </c>
      <c r="H494" s="14">
        <v>35346</v>
      </c>
      <c r="I494" s="14">
        <v>17</v>
      </c>
      <c r="J494" s="14" t="s">
        <v>143</v>
      </c>
      <c r="K494" s="14" t="s">
        <v>3402</v>
      </c>
      <c r="L494" s="14" t="s">
        <v>3403</v>
      </c>
      <c r="M494" s="14" t="s">
        <v>9158</v>
      </c>
      <c r="N494" s="14" t="s">
        <v>9158</v>
      </c>
      <c r="O494" s="14" t="s">
        <v>9158</v>
      </c>
      <c r="P494" s="14" t="s">
        <v>9158</v>
      </c>
      <c r="Q494" s="14" t="s">
        <v>9158</v>
      </c>
      <c r="R494" s="14"/>
    </row>
    <row r="495" spans="1:18">
      <c r="A495" s="9">
        <v>79123</v>
      </c>
      <c r="B495" s="14" t="s">
        <v>30</v>
      </c>
      <c r="C495" s="14" t="s">
        <v>3393</v>
      </c>
      <c r="D495" s="14" t="s">
        <v>3404</v>
      </c>
      <c r="E495" s="15" t="str">
        <f>HYPERLINK("https://stat100.ameba.jp/tnk47/ratio20/illustrations/card/ill_79123_hebimetayosuzume03.jpg?201901-6-RELEASE-conquest-e-391x", "■")</f>
        <v>■</v>
      </c>
      <c r="F495" s="14" t="s">
        <v>3405</v>
      </c>
      <c r="G495" s="14">
        <v>21398</v>
      </c>
      <c r="H495" s="14">
        <v>17972</v>
      </c>
      <c r="I495" s="14">
        <v>17</v>
      </c>
      <c r="J495" s="14" t="s">
        <v>73</v>
      </c>
      <c r="K495" s="14" t="s">
        <v>3406</v>
      </c>
      <c r="L495" s="14" t="s">
        <v>3406</v>
      </c>
      <c r="M495" s="14" t="s">
        <v>9158</v>
      </c>
      <c r="N495" s="14" t="s">
        <v>9158</v>
      </c>
      <c r="O495" s="14" t="s">
        <v>9158</v>
      </c>
      <c r="P495" s="14" t="s">
        <v>9158</v>
      </c>
      <c r="Q495" s="14" t="s">
        <v>9158</v>
      </c>
      <c r="R495" s="14"/>
    </row>
    <row r="496" spans="1:18">
      <c r="B496" s="14"/>
      <c r="C496" s="14"/>
      <c r="D496" s="14"/>
      <c r="F496" s="14"/>
      <c r="G496" s="14"/>
      <c r="H496" s="14"/>
      <c r="I496" s="14"/>
      <c r="J496" s="14"/>
      <c r="K496" s="14"/>
      <c r="L496" s="14"/>
      <c r="M496" s="14"/>
      <c r="N496" s="14"/>
      <c r="O496" s="7"/>
      <c r="P496" s="14"/>
      <c r="Q496" s="14"/>
      <c r="R496" s="14"/>
    </row>
    <row r="497" spans="1:18">
      <c r="A497" s="14" t="s">
        <v>114</v>
      </c>
      <c r="D497" s="14"/>
      <c r="F497" s="14"/>
      <c r="G497" s="14"/>
      <c r="H497" s="14"/>
      <c r="I497" s="14"/>
      <c r="J497" s="14"/>
      <c r="K497" s="14"/>
      <c r="L497" s="14"/>
      <c r="M497" s="14"/>
      <c r="N497" s="14"/>
      <c r="O497" s="7"/>
      <c r="P497" s="14"/>
      <c r="Q497" s="14"/>
      <c r="R497" s="14"/>
    </row>
    <row r="498" spans="1:18">
      <c r="A498" s="14" t="s">
        <v>3448</v>
      </c>
      <c r="B498" s="14"/>
      <c r="C498" s="14"/>
      <c r="D498" s="14"/>
      <c r="F498" s="14"/>
      <c r="G498" s="14"/>
      <c r="H498" s="14"/>
      <c r="I498" s="14"/>
      <c r="J498" s="14"/>
      <c r="K498" s="14"/>
      <c r="L498" s="14"/>
      <c r="M498" s="14"/>
      <c r="N498" s="14"/>
      <c r="O498" s="7"/>
      <c r="P498" s="14"/>
      <c r="Q498" s="14"/>
      <c r="R498" s="14"/>
    </row>
    <row r="499" spans="1:18">
      <c r="A499" s="9" t="s">
        <v>5778</v>
      </c>
      <c r="B499" s="14" t="s">
        <v>330</v>
      </c>
      <c r="C499" s="14" t="s">
        <v>205</v>
      </c>
      <c r="D499" s="14" t="s">
        <v>3449</v>
      </c>
      <c r="E499" s="15" t="str">
        <f>HYPERLINK("https://stat100.ameba.jp/tnk47/ratio20/illustrations/card/ill_68783_0_gantammomotaro03.jpg?201901-6-RELEASE-conquest-e-391x", "■")</f>
        <v>■</v>
      </c>
      <c r="F499" s="14" t="s">
        <v>2273</v>
      </c>
      <c r="G499" s="14">
        <v>143626</v>
      </c>
      <c r="H499" s="14">
        <v>133519</v>
      </c>
      <c r="I499" s="14">
        <v>21</v>
      </c>
      <c r="J499" s="14" t="s">
        <v>38</v>
      </c>
      <c r="K499" s="14" t="s">
        <v>3450</v>
      </c>
      <c r="L499" s="14" t="s">
        <v>1104</v>
      </c>
      <c r="M499" s="14" t="s">
        <v>9158</v>
      </c>
      <c r="N499" s="14" t="s">
        <v>9158</v>
      </c>
      <c r="O499" s="18" t="s">
        <v>9992</v>
      </c>
      <c r="P499" s="14" t="s">
        <v>3451</v>
      </c>
      <c r="Q499" s="14">
        <v>1</v>
      </c>
      <c r="R499" s="14"/>
    </row>
    <row r="500" spans="1:18">
      <c r="A500" s="9" t="s">
        <v>5804</v>
      </c>
      <c r="B500" s="14" t="s">
        <v>330</v>
      </c>
      <c r="C500" s="14" t="s">
        <v>185</v>
      </c>
      <c r="D500" s="14" t="s">
        <v>3247</v>
      </c>
      <c r="E500" s="15" t="str">
        <f>HYPERLINK("https://stat100.ameba.jp/tnk47/ratio20/illustrations/card/ill_75393_0_resukuinotsukisamaniittausagi03.jpg?201901-6-RELEASE-conquest-e-391x", "■")</f>
        <v>■</v>
      </c>
      <c r="F500" s="14" t="s">
        <v>3248</v>
      </c>
      <c r="G500" s="14">
        <v>239198</v>
      </c>
      <c r="H500" s="14">
        <v>222390</v>
      </c>
      <c r="I500" s="14">
        <v>21</v>
      </c>
      <c r="J500" s="14" t="s">
        <v>26</v>
      </c>
      <c r="K500" s="14" t="s">
        <v>3249</v>
      </c>
      <c r="L500" s="14" t="s">
        <v>3250</v>
      </c>
      <c r="M500" s="14" t="s">
        <v>9158</v>
      </c>
      <c r="N500" s="14" t="s">
        <v>9158</v>
      </c>
      <c r="O500" s="18" t="s">
        <v>10051</v>
      </c>
      <c r="P500" s="14" t="s">
        <v>3251</v>
      </c>
      <c r="Q500" s="14">
        <v>2</v>
      </c>
      <c r="R500" s="14"/>
    </row>
    <row r="501" spans="1:18">
      <c r="A501" s="9">
        <v>75083</v>
      </c>
      <c r="B501" s="14" t="s">
        <v>334</v>
      </c>
      <c r="C501" s="14" t="s">
        <v>209</v>
      </c>
      <c r="D501" s="14" t="s">
        <v>1019</v>
      </c>
      <c r="E501" s="15" t="str">
        <f>HYPERLINK("https://stat100.ameba.jp/tnk47/ratio20/illustrations/card/ill_75083_sukumizuhanakosan03.jpg?201901-6-RELEASE-conquest-e-391x", "■")</f>
        <v>■</v>
      </c>
      <c r="F501" s="14" t="s">
        <v>1020</v>
      </c>
      <c r="G501" s="14">
        <v>111914</v>
      </c>
      <c r="H501" s="14">
        <v>81078</v>
      </c>
      <c r="I501" s="14">
        <v>24</v>
      </c>
      <c r="J501" s="14" t="s">
        <v>73</v>
      </c>
      <c r="K501" s="14" t="s">
        <v>1021</v>
      </c>
      <c r="L501" s="14" t="s">
        <v>1022</v>
      </c>
      <c r="M501" s="14" t="s">
        <v>9158</v>
      </c>
      <c r="N501" s="14" t="s">
        <v>9158</v>
      </c>
      <c r="O501" s="7" t="s">
        <v>3415</v>
      </c>
      <c r="P501" s="14" t="s">
        <v>3416</v>
      </c>
      <c r="Q501" s="14">
        <v>1</v>
      </c>
      <c r="R501" s="14"/>
    </row>
    <row r="502" spans="1:18">
      <c r="A502" s="9">
        <v>65623</v>
      </c>
      <c r="B502" s="14" t="s">
        <v>334</v>
      </c>
      <c r="C502" s="14" t="s">
        <v>209</v>
      </c>
      <c r="D502" s="14" t="s">
        <v>2490</v>
      </c>
      <c r="E502" s="15" t="str">
        <f>HYPERLINK("https://stat100.ameba.jp/tnk47/ratio20/illustrations/card/ill_65623_hosoyajudayu03.jpg?201901-6-RELEASE-conquest-e-391x", "■")</f>
        <v>■</v>
      </c>
      <c r="F502" s="14" t="s">
        <v>2491</v>
      </c>
      <c r="G502" s="14">
        <v>139716</v>
      </c>
      <c r="H502" s="14">
        <v>101199</v>
      </c>
      <c r="I502" s="14">
        <v>21</v>
      </c>
      <c r="J502" s="14" t="s">
        <v>143</v>
      </c>
      <c r="K502" s="14" t="s">
        <v>2492</v>
      </c>
      <c r="L502" s="14" t="s">
        <v>145</v>
      </c>
      <c r="M502" s="14" t="s">
        <v>9158</v>
      </c>
      <c r="N502" s="14" t="s">
        <v>9158</v>
      </c>
      <c r="O502" s="14" t="s">
        <v>9158</v>
      </c>
      <c r="P502" s="14" t="s">
        <v>9158</v>
      </c>
      <c r="Q502" s="14" t="s">
        <v>9158</v>
      </c>
      <c r="R502" s="14"/>
    </row>
    <row r="503" spans="1:18">
      <c r="A503" s="9">
        <v>62043</v>
      </c>
      <c r="B503" s="14" t="s">
        <v>334</v>
      </c>
      <c r="C503" s="14" t="s">
        <v>158</v>
      </c>
      <c r="D503" s="14" t="s">
        <v>2493</v>
      </c>
      <c r="E503" s="15" t="str">
        <f>HYPERLINK("https://stat100.ameba.jp/tnk47/ratio20/illustrations/card/ill_62043_niutsuhimenookami03.jpg?201901-6-RELEASE-conquest-e-391x", "■")</f>
        <v>■</v>
      </c>
      <c r="F503" s="14" t="s">
        <v>2022</v>
      </c>
      <c r="G503" s="14">
        <v>69430</v>
      </c>
      <c r="H503" s="14">
        <v>95859</v>
      </c>
      <c r="I503" s="14">
        <v>21</v>
      </c>
      <c r="J503" s="14" t="s">
        <v>44</v>
      </c>
      <c r="K503" s="14" t="s">
        <v>2494</v>
      </c>
      <c r="L503" s="14" t="s">
        <v>2086</v>
      </c>
      <c r="M503" s="14" t="s">
        <v>9158</v>
      </c>
      <c r="N503" s="14" t="s">
        <v>9158</v>
      </c>
      <c r="O503" s="7" t="s">
        <v>3452</v>
      </c>
      <c r="P503" s="14" t="s">
        <v>13145</v>
      </c>
      <c r="Q503" s="14">
        <v>1</v>
      </c>
      <c r="R503" s="14"/>
    </row>
    <row r="504" spans="1:18">
      <c r="A504" s="9">
        <v>57113</v>
      </c>
      <c r="B504" s="14" t="s">
        <v>334</v>
      </c>
      <c r="C504" s="14" t="s">
        <v>264</v>
      </c>
      <c r="D504" s="14" t="s">
        <v>2495</v>
      </c>
      <c r="E504" s="15" t="str">
        <f>HYPERLINK("https://stat100.ameba.jp/tnk47/ratio20/illustrations/card/ill_57113_furenchitosuto03.jpg?201901-6-RELEASE-conquest-e-391x", "■")</f>
        <v>■</v>
      </c>
      <c r="F504" s="14" t="s">
        <v>2496</v>
      </c>
      <c r="G504" s="14">
        <v>63547</v>
      </c>
      <c r="H504" s="14">
        <v>86668</v>
      </c>
      <c r="I504" s="14">
        <v>21</v>
      </c>
      <c r="J504" s="14" t="s">
        <v>104</v>
      </c>
      <c r="K504" s="14" t="s">
        <v>2497</v>
      </c>
      <c r="L504" s="14" t="s">
        <v>2498</v>
      </c>
      <c r="M504" s="14" t="s">
        <v>9158</v>
      </c>
      <c r="N504" s="14" t="s">
        <v>9158</v>
      </c>
      <c r="O504" s="14" t="s">
        <v>9158</v>
      </c>
      <c r="P504" s="14" t="s">
        <v>9158</v>
      </c>
      <c r="Q504" s="14" t="s">
        <v>9158</v>
      </c>
      <c r="R504" s="14"/>
    </row>
    <row r="505" spans="1:18">
      <c r="A505" s="9">
        <v>61433</v>
      </c>
      <c r="B505" s="14" t="s">
        <v>334</v>
      </c>
      <c r="C505" s="14" t="s">
        <v>200</v>
      </c>
      <c r="D505" s="14" t="s">
        <v>74</v>
      </c>
      <c r="E505" s="15" t="str">
        <f>HYPERLINK("https://stat100.ameba.jp/tnk47/ratio20/illustrations/card/ill_61433_isehime03.jpg?201901-6-RELEASE-conquest-e-391x", "■")</f>
        <v>■</v>
      </c>
      <c r="F505" s="14" t="s">
        <v>78</v>
      </c>
      <c r="G505" s="14">
        <v>91779</v>
      </c>
      <c r="H505" s="14">
        <v>66487</v>
      </c>
      <c r="I505" s="14">
        <v>21</v>
      </c>
      <c r="J505" s="14" t="s">
        <v>77</v>
      </c>
      <c r="K505" s="14" t="s">
        <v>75</v>
      </c>
      <c r="L505" s="14" t="s">
        <v>76</v>
      </c>
      <c r="M505" s="14" t="s">
        <v>9158</v>
      </c>
      <c r="N505" s="14" t="s">
        <v>9158</v>
      </c>
      <c r="O505" s="7" t="s">
        <v>2717</v>
      </c>
      <c r="P505" s="14" t="s">
        <v>13123</v>
      </c>
      <c r="Q505" s="14">
        <v>1</v>
      </c>
      <c r="R505" s="14"/>
    </row>
    <row r="506" spans="1:18">
      <c r="A506" s="9">
        <v>65633</v>
      </c>
      <c r="B506" s="14" t="s">
        <v>334</v>
      </c>
      <c r="C506" s="14" t="s">
        <v>158</v>
      </c>
      <c r="D506" s="14" t="s">
        <v>69</v>
      </c>
      <c r="E506" s="15" t="str">
        <f>HYPERLINK("https://stat100.ameba.jp/tnk47/ratio20/illustrations/card/ill_65633_shinnoakugoro03.jpg?201901-6-RELEASE-conquest-e-391x", "■")</f>
        <v>■</v>
      </c>
      <c r="F506" s="14" t="s">
        <v>70</v>
      </c>
      <c r="G506" s="14">
        <v>97925</v>
      </c>
      <c r="H506" s="14">
        <v>70942</v>
      </c>
      <c r="I506" s="14">
        <v>21</v>
      </c>
      <c r="J506" s="14" t="s">
        <v>73</v>
      </c>
      <c r="K506" s="14" t="s">
        <v>71</v>
      </c>
      <c r="L506" s="14" t="s">
        <v>72</v>
      </c>
      <c r="M506" s="14" t="s">
        <v>9158</v>
      </c>
      <c r="N506" s="14" t="s">
        <v>9158</v>
      </c>
      <c r="O506" s="14" t="s">
        <v>9158</v>
      </c>
      <c r="P506" s="14" t="s">
        <v>9158</v>
      </c>
      <c r="Q506" s="14" t="s">
        <v>9158</v>
      </c>
      <c r="R506" s="14"/>
    </row>
    <row r="507" spans="1:18">
      <c r="B507" s="14"/>
      <c r="C507" s="14"/>
      <c r="D507" s="14"/>
      <c r="F507" s="14"/>
      <c r="G507" s="14"/>
      <c r="H507" s="14"/>
      <c r="I507" s="14"/>
      <c r="J507" s="14"/>
      <c r="K507" s="14"/>
      <c r="L507" s="14"/>
      <c r="M507" s="14"/>
      <c r="N507" s="14"/>
      <c r="O507" s="7"/>
      <c r="P507" s="14"/>
      <c r="Q507" s="14"/>
      <c r="R507" s="14"/>
    </row>
    <row r="508" spans="1:18">
      <c r="A508" s="14" t="s">
        <v>195</v>
      </c>
      <c r="D508" s="14"/>
      <c r="F508" s="14"/>
      <c r="G508" s="14"/>
      <c r="H508" s="14"/>
      <c r="I508" s="14"/>
      <c r="J508" s="14"/>
      <c r="K508" s="14"/>
      <c r="L508" s="14"/>
      <c r="M508" s="14"/>
      <c r="N508" s="14"/>
      <c r="O508" s="7"/>
      <c r="P508" s="14"/>
      <c r="Q508" s="14"/>
      <c r="R508" s="14"/>
    </row>
    <row r="509" spans="1:18">
      <c r="A509" s="14" t="s">
        <v>3453</v>
      </c>
      <c r="B509" s="14"/>
      <c r="C509" s="14"/>
      <c r="D509" s="14"/>
      <c r="F509" s="14"/>
      <c r="G509" s="14"/>
      <c r="H509" s="14"/>
      <c r="I509" s="14"/>
      <c r="J509" s="14"/>
      <c r="K509" s="14"/>
      <c r="L509" s="14"/>
      <c r="M509" s="14"/>
      <c r="N509" s="14"/>
      <c r="O509" s="7"/>
      <c r="P509" s="14"/>
      <c r="Q509" s="14"/>
      <c r="R509" s="14"/>
    </row>
    <row r="510" spans="1:18">
      <c r="A510" s="9">
        <v>65363</v>
      </c>
      <c r="B510" s="14" t="s">
        <v>334</v>
      </c>
      <c r="C510" s="14" t="s">
        <v>154</v>
      </c>
      <c r="D510" s="14" t="s">
        <v>1589</v>
      </c>
      <c r="E510" s="15" t="str">
        <f>HYPERLINK("https://stat100.ameba.jp/tnk47/ratio20/illustrations/card/ill_65363_yukihimemomijihime03.jpg?201902-1-RELEASE-raid-392", "■")</f>
        <v>■</v>
      </c>
      <c r="F510" s="14" t="s">
        <v>1590</v>
      </c>
      <c r="G510" s="14">
        <v>90574</v>
      </c>
      <c r="H510" s="14">
        <v>84214</v>
      </c>
      <c r="I510" s="14">
        <v>21</v>
      </c>
      <c r="J510" s="14" t="s">
        <v>274</v>
      </c>
      <c r="K510" s="14" t="s">
        <v>1591</v>
      </c>
      <c r="L510" s="14" t="s">
        <v>1592</v>
      </c>
      <c r="M510" s="14" t="s">
        <v>9158</v>
      </c>
      <c r="N510" s="14" t="s">
        <v>9158</v>
      </c>
      <c r="O510" s="14" t="s">
        <v>9158</v>
      </c>
      <c r="P510" s="14" t="s">
        <v>9158</v>
      </c>
      <c r="Q510" s="14" t="s">
        <v>9158</v>
      </c>
      <c r="R510" s="14"/>
    </row>
    <row r="511" spans="1:18">
      <c r="A511" s="9">
        <v>65373</v>
      </c>
      <c r="B511" s="14" t="s">
        <v>334</v>
      </c>
      <c r="C511" s="14" t="s">
        <v>158</v>
      </c>
      <c r="D511" s="14" t="s">
        <v>1593</v>
      </c>
      <c r="E511" s="15" t="str">
        <f>HYPERLINK("https://stat100.ameba.jp/tnk47/ratio20/illustrations/card/ill_65373_kotetsu03.jpg?201902-1-RELEASE-raid-392", "■")</f>
        <v>■</v>
      </c>
      <c r="F511" s="14" t="s">
        <v>1594</v>
      </c>
      <c r="G511" s="14">
        <v>90574</v>
      </c>
      <c r="H511" s="14">
        <v>84214</v>
      </c>
      <c r="I511" s="14">
        <v>21</v>
      </c>
      <c r="J511" s="14" t="s">
        <v>414</v>
      </c>
      <c r="K511" s="14" t="s">
        <v>1595</v>
      </c>
      <c r="L511" s="14" t="s">
        <v>1596</v>
      </c>
      <c r="M511" s="14" t="s">
        <v>9158</v>
      </c>
      <c r="N511" s="14" t="s">
        <v>9158</v>
      </c>
      <c r="O511" s="14" t="s">
        <v>9158</v>
      </c>
      <c r="P511" s="14" t="s">
        <v>9158</v>
      </c>
      <c r="Q511" s="14" t="s">
        <v>9158</v>
      </c>
      <c r="R511" s="14"/>
    </row>
    <row r="512" spans="1:18">
      <c r="A512" s="9">
        <v>46063</v>
      </c>
      <c r="B512" s="14" t="s">
        <v>334</v>
      </c>
      <c r="C512" s="14" t="s">
        <v>165</v>
      </c>
      <c r="D512" s="14" t="s">
        <v>845</v>
      </c>
      <c r="E512" s="15" t="str">
        <f>HYPERLINK("https://stat100.ameba.jp/tnk47/ratio20/illustrations/card/ill_46063_kongorikishizo03.jpg?201902-1-RELEASE-raid-392", "■")</f>
        <v>■</v>
      </c>
      <c r="F512" s="14" t="s">
        <v>846</v>
      </c>
      <c r="G512" s="14">
        <v>91114</v>
      </c>
      <c r="H512" s="14">
        <v>65502</v>
      </c>
      <c r="I512" s="14">
        <v>21</v>
      </c>
      <c r="J512" s="14" t="s">
        <v>401</v>
      </c>
      <c r="K512" s="14" t="s">
        <v>847</v>
      </c>
      <c r="L512" s="14" t="s">
        <v>848</v>
      </c>
      <c r="M512" s="14" t="s">
        <v>9158</v>
      </c>
      <c r="N512" s="14" t="s">
        <v>9158</v>
      </c>
      <c r="O512" s="14" t="s">
        <v>9158</v>
      </c>
      <c r="P512" s="14" t="s">
        <v>9158</v>
      </c>
      <c r="Q512" s="14" t="s">
        <v>9158</v>
      </c>
      <c r="R512" s="14"/>
    </row>
    <row r="513" spans="1:18">
      <c r="A513" s="9">
        <v>30603</v>
      </c>
      <c r="B513" s="14" t="s">
        <v>334</v>
      </c>
      <c r="C513" s="14" t="s">
        <v>154</v>
      </c>
      <c r="D513" s="14" t="s">
        <v>1597</v>
      </c>
      <c r="E513" s="15" t="str">
        <f>HYPERLINK("https://stat100.ameba.jp/tnk47/ratio20/illustrations/card/ill_30603_haroinnekogami03.jpg?201902-1-RELEASE-raid-392", "■")</f>
        <v>■</v>
      </c>
      <c r="F513" s="14" t="s">
        <v>1598</v>
      </c>
      <c r="G513" s="14">
        <v>80942</v>
      </c>
      <c r="H513" s="14">
        <v>75254</v>
      </c>
      <c r="I513" s="14">
        <v>21</v>
      </c>
      <c r="J513" s="14" t="s">
        <v>320</v>
      </c>
      <c r="K513" s="14" t="s">
        <v>1599</v>
      </c>
      <c r="L513" s="14" t="s">
        <v>1600</v>
      </c>
      <c r="M513" s="14" t="s">
        <v>9158</v>
      </c>
      <c r="N513" s="14" t="s">
        <v>9158</v>
      </c>
      <c r="O513" s="14" t="s">
        <v>9158</v>
      </c>
      <c r="P513" s="14" t="s">
        <v>9158</v>
      </c>
      <c r="Q513" s="14" t="s">
        <v>9158</v>
      </c>
      <c r="R513" s="14"/>
    </row>
    <row r="514" spans="1:18">
      <c r="B514" s="14"/>
      <c r="C514" s="14"/>
      <c r="D514" s="14"/>
      <c r="F514" s="14"/>
      <c r="G514" s="14"/>
      <c r="H514" s="14"/>
      <c r="I514" s="14"/>
      <c r="J514" s="14"/>
      <c r="K514" s="14"/>
      <c r="L514" s="14"/>
      <c r="M514" s="14"/>
      <c r="N514" s="14"/>
      <c r="O514" s="7"/>
      <c r="P514" s="14"/>
      <c r="Q514" s="14"/>
      <c r="R514" s="14"/>
    </row>
    <row r="515" spans="1:18">
      <c r="A515" s="14" t="s">
        <v>135</v>
      </c>
      <c r="D515" s="14"/>
      <c r="F515" s="14"/>
      <c r="G515" s="14"/>
      <c r="H515" s="14"/>
      <c r="I515" s="14"/>
      <c r="J515" s="14"/>
      <c r="K515" s="14"/>
      <c r="L515" s="14"/>
      <c r="M515" s="14"/>
      <c r="N515" s="14"/>
      <c r="O515" s="7"/>
      <c r="P515" s="14"/>
      <c r="Q515" s="14"/>
      <c r="R515" s="14"/>
    </row>
    <row r="516" spans="1:18">
      <c r="A516" s="14" t="s">
        <v>3454</v>
      </c>
      <c r="B516" s="14"/>
      <c r="C516" s="14"/>
      <c r="D516" s="14"/>
      <c r="F516" s="14"/>
      <c r="G516" s="14"/>
      <c r="H516" s="14"/>
      <c r="I516" s="14"/>
      <c r="J516" s="14"/>
      <c r="K516" s="14"/>
      <c r="L516" s="14"/>
      <c r="M516" s="14"/>
      <c r="N516" s="14"/>
      <c r="O516" s="7"/>
      <c r="P516" s="14"/>
      <c r="Q516" s="14"/>
      <c r="R516" s="14"/>
    </row>
    <row r="517" spans="1:18">
      <c r="A517" s="9" t="s">
        <v>5620</v>
      </c>
      <c r="B517" s="14" t="s">
        <v>330</v>
      </c>
      <c r="C517" s="14" t="s">
        <v>206</v>
      </c>
      <c r="D517" s="14" t="s">
        <v>2042</v>
      </c>
      <c r="E517" s="15" t="str">
        <f>HYPERLINK("https://stat100.ameba.jp/tnk47/ratio20/illustrations/card/ill_67173_0_yukemuriawamorichan03.jpg?201902-1-RELEASE-raid-392", "■")</f>
        <v>■</v>
      </c>
      <c r="F517" s="14" t="s">
        <v>2043</v>
      </c>
      <c r="G517" s="14">
        <v>176717</v>
      </c>
      <c r="H517" s="14">
        <v>164292</v>
      </c>
      <c r="I517" s="14">
        <v>23</v>
      </c>
      <c r="J517" s="14" t="s">
        <v>104</v>
      </c>
      <c r="K517" s="14" t="s">
        <v>2044</v>
      </c>
      <c r="L517" s="14" t="s">
        <v>2045</v>
      </c>
      <c r="M517" s="14" t="s">
        <v>9158</v>
      </c>
      <c r="N517" s="14" t="s">
        <v>9158</v>
      </c>
      <c r="O517" s="18" t="s">
        <v>10061</v>
      </c>
      <c r="P517" s="14" t="s">
        <v>3455</v>
      </c>
      <c r="Q517" s="14">
        <v>1</v>
      </c>
      <c r="R517" s="14"/>
    </row>
    <row r="518" spans="1:18">
      <c r="A518" s="9">
        <v>73723</v>
      </c>
      <c r="B518" s="14" t="s">
        <v>334</v>
      </c>
      <c r="C518" s="14" t="s">
        <v>191</v>
      </c>
      <c r="D518" s="14" t="s">
        <v>3456</v>
      </c>
      <c r="E518" s="15" t="str">
        <f>HYPERLINK("https://stat100.ameba.jp/tnk47/ratio20/illustrations/card/ill_73723_umibirakitomoegozen03.jpg?201902-1-RELEASE-raid-392", "■")</f>
        <v>■</v>
      </c>
      <c r="F518" s="14" t="s">
        <v>3457</v>
      </c>
      <c r="G518" s="14">
        <v>124839</v>
      </c>
      <c r="H518" s="14">
        <v>116076</v>
      </c>
      <c r="I518" s="14">
        <v>21</v>
      </c>
      <c r="J518" s="14" t="s">
        <v>143</v>
      </c>
      <c r="K518" s="14" t="s">
        <v>3458</v>
      </c>
      <c r="L518" s="14" t="s">
        <v>3459</v>
      </c>
      <c r="M518" s="14" t="s">
        <v>9158</v>
      </c>
      <c r="N518" s="14" t="s">
        <v>9158</v>
      </c>
      <c r="O518" s="18" t="s">
        <v>10057</v>
      </c>
      <c r="P518" s="14" t="s">
        <v>3460</v>
      </c>
      <c r="Q518" s="14">
        <v>1</v>
      </c>
      <c r="R518" s="14"/>
    </row>
    <row r="519" spans="1:18">
      <c r="A519" s="9">
        <v>67103</v>
      </c>
      <c r="B519" s="14" t="s">
        <v>334</v>
      </c>
      <c r="C519" s="14" t="s">
        <v>154</v>
      </c>
      <c r="D519" s="14" t="s">
        <v>3463</v>
      </c>
      <c r="E519" s="15" t="str">
        <f>HYPERLINK("https://stat100.ameba.jp/tnk47/ratio20/illustrations/card/ill_67103_ankonabe03.jpg?201902-1-RELEASE-raid-392", "■")</f>
        <v>■</v>
      </c>
      <c r="F519" s="14" t="s">
        <v>1283</v>
      </c>
      <c r="G519" s="14">
        <v>80391</v>
      </c>
      <c r="H519" s="14">
        <v>111000</v>
      </c>
      <c r="I519" s="14">
        <v>21</v>
      </c>
      <c r="J519" s="14" t="s">
        <v>104</v>
      </c>
      <c r="K519" s="14" t="s">
        <v>3464</v>
      </c>
      <c r="L519" s="14" t="s">
        <v>1079</v>
      </c>
      <c r="M519" s="14" t="s">
        <v>9158</v>
      </c>
      <c r="N519" s="14" t="s">
        <v>9158</v>
      </c>
      <c r="O519" s="7" t="s">
        <v>3461</v>
      </c>
      <c r="P519" s="14" t="s">
        <v>3462</v>
      </c>
      <c r="Q519" s="14">
        <v>1</v>
      </c>
      <c r="R519" s="14"/>
    </row>
    <row r="520" spans="1:18">
      <c r="A520" s="9">
        <v>68693</v>
      </c>
      <c r="B520" s="14" t="s">
        <v>334</v>
      </c>
      <c r="C520" s="14" t="s">
        <v>154</v>
      </c>
      <c r="D520" s="14" t="s">
        <v>3465</v>
      </c>
      <c r="E520" s="15" t="str">
        <f>HYPERLINK("https://stat100.ameba.jp/tnk47/ratio20/illustrations/card/ill_68693_mayoiga03.jpg?201902-1-RELEASE-raid-392", "■")</f>
        <v>■</v>
      </c>
      <c r="F520" s="14" t="s">
        <v>3466</v>
      </c>
      <c r="G520" s="14">
        <v>111000</v>
      </c>
      <c r="H520" s="14">
        <v>80391</v>
      </c>
      <c r="I520" s="14">
        <v>21</v>
      </c>
      <c r="J520" s="14" t="s">
        <v>73</v>
      </c>
      <c r="K520" s="14" t="s">
        <v>3467</v>
      </c>
      <c r="L520" s="14" t="s">
        <v>3468</v>
      </c>
      <c r="M520" s="14" t="s">
        <v>9158</v>
      </c>
      <c r="N520" s="14" t="s">
        <v>9158</v>
      </c>
      <c r="O520" s="7" t="s">
        <v>3469</v>
      </c>
      <c r="P520" s="14" t="s">
        <v>13128</v>
      </c>
      <c r="Q520" s="14">
        <v>1</v>
      </c>
      <c r="R520" s="14"/>
    </row>
    <row r="521" spans="1:18">
      <c r="B521" s="14"/>
      <c r="C521" s="14"/>
      <c r="D521" s="14"/>
      <c r="F521" s="14"/>
      <c r="G521" s="14"/>
      <c r="H521" s="14"/>
      <c r="I521" s="14"/>
      <c r="J521" s="14"/>
      <c r="K521" s="14"/>
      <c r="L521" s="14"/>
      <c r="M521" s="14"/>
      <c r="N521" s="14"/>
      <c r="O521" s="7"/>
      <c r="P521" s="14"/>
      <c r="Q521" s="14"/>
      <c r="R521" s="14"/>
    </row>
    <row r="522" spans="1:18">
      <c r="A522" s="14" t="s">
        <v>199</v>
      </c>
      <c r="D522" s="14"/>
      <c r="F522" s="14"/>
      <c r="G522" s="14"/>
      <c r="H522" s="14"/>
      <c r="I522" s="14"/>
      <c r="J522" s="14"/>
      <c r="K522" s="14"/>
      <c r="L522" s="14"/>
      <c r="M522" s="14"/>
      <c r="N522" s="14"/>
      <c r="O522" s="7"/>
      <c r="P522" s="14"/>
      <c r="Q522" s="14"/>
      <c r="R522" s="14"/>
    </row>
    <row r="523" spans="1:18">
      <c r="A523" s="14" t="s">
        <v>3470</v>
      </c>
      <c r="B523" s="14"/>
      <c r="C523" s="14"/>
      <c r="D523" s="14"/>
      <c r="F523" s="14"/>
      <c r="G523" s="14"/>
      <c r="H523" s="14"/>
      <c r="I523" s="14"/>
      <c r="J523" s="14"/>
      <c r="K523" s="14"/>
      <c r="L523" s="14"/>
      <c r="M523" s="14"/>
      <c r="N523" s="14"/>
      <c r="O523" s="7"/>
      <c r="P523" s="14"/>
      <c r="Q523" s="14"/>
      <c r="R523" s="14"/>
    </row>
    <row r="524" spans="1:18">
      <c r="A524" s="9" t="s">
        <v>5725</v>
      </c>
      <c r="B524" s="14" t="s">
        <v>330</v>
      </c>
      <c r="C524" s="14" t="s">
        <v>206</v>
      </c>
      <c r="D524" s="14" t="s">
        <v>55</v>
      </c>
      <c r="E524" s="15" t="str">
        <f>HYPERLINK("https://stat100.ameba.jp/tnk47/ratio20/illustrations/card/ill_52693_0_sengokumibirakiyanagiharabyakuren03.jpg?201902-1-RELEASE-raid-392", "■")</f>
        <v>■</v>
      </c>
      <c r="F524" s="14" t="s">
        <v>1246</v>
      </c>
      <c r="G524" s="14">
        <v>83712</v>
      </c>
      <c r="H524" s="14">
        <v>94236</v>
      </c>
      <c r="I524" s="14">
        <v>15</v>
      </c>
      <c r="J524" s="14" t="s">
        <v>16</v>
      </c>
      <c r="K524" s="14" t="s">
        <v>1247</v>
      </c>
      <c r="L524" s="14" t="s">
        <v>1248</v>
      </c>
      <c r="M524" s="14" t="s">
        <v>9158</v>
      </c>
      <c r="N524" s="14" t="s">
        <v>9158</v>
      </c>
      <c r="O524" s="7" t="s">
        <v>3303</v>
      </c>
      <c r="P524" s="14" t="s">
        <v>3304</v>
      </c>
      <c r="Q524" s="14">
        <v>1</v>
      </c>
      <c r="R524" s="14"/>
    </row>
    <row r="525" spans="1:18">
      <c r="A525" s="9" t="s">
        <v>5621</v>
      </c>
      <c r="B525" s="14" t="s">
        <v>330</v>
      </c>
      <c r="C525" s="14" t="s">
        <v>191</v>
      </c>
      <c r="D525" s="14" t="s">
        <v>2033</v>
      </c>
      <c r="E525" s="15" t="str">
        <f>HYPERLINK("https://stat100.ameba.jp/tnk47/ratio20/illustrations/card/ill_51973_0_kemonomizugikuroyuridensetsu03.jpg?201902-1-RELEASE-raid-392", "■")</f>
        <v>■</v>
      </c>
      <c r="F525" s="14" t="s">
        <v>2034</v>
      </c>
      <c r="G525" s="14">
        <v>94236</v>
      </c>
      <c r="H525" s="14">
        <v>83712</v>
      </c>
      <c r="I525" s="14">
        <v>15</v>
      </c>
      <c r="J525" s="14" t="s">
        <v>38</v>
      </c>
      <c r="K525" s="14" t="s">
        <v>2035</v>
      </c>
      <c r="L525" s="14" t="s">
        <v>2036</v>
      </c>
      <c r="M525" s="14" t="s">
        <v>9158</v>
      </c>
      <c r="N525" s="14" t="s">
        <v>9158</v>
      </c>
      <c r="O525" s="18" t="s">
        <v>10066</v>
      </c>
      <c r="P525" s="14" t="s">
        <v>13172</v>
      </c>
      <c r="Q525" s="14">
        <v>1</v>
      </c>
      <c r="R525" s="14"/>
    </row>
    <row r="526" spans="1:18">
      <c r="A526" s="9" t="s">
        <v>5820</v>
      </c>
      <c r="B526" s="14" t="s">
        <v>330</v>
      </c>
      <c r="C526" s="14" t="s">
        <v>200</v>
      </c>
      <c r="D526" s="14" t="s">
        <v>2346</v>
      </c>
      <c r="E526" s="15" t="str">
        <f>HYPERLINK("https://stat100.ameba.jp/tnk47/ratio20/illustrations/card/ill_48283_0_kyuubitamamonomae03.jpg?201902-1-RELEASE-raid-392", "■")</f>
        <v>■</v>
      </c>
      <c r="F526" s="14" t="s">
        <v>2347</v>
      </c>
      <c r="G526" s="14">
        <v>94236</v>
      </c>
      <c r="H526" s="14">
        <v>83712</v>
      </c>
      <c r="I526" s="14">
        <v>15</v>
      </c>
      <c r="J526" s="14" t="s">
        <v>73</v>
      </c>
      <c r="K526" s="14" t="s">
        <v>2348</v>
      </c>
      <c r="L526" s="14" t="s">
        <v>2349</v>
      </c>
      <c r="M526" s="14" t="s">
        <v>9158</v>
      </c>
      <c r="N526" s="14" t="s">
        <v>9158</v>
      </c>
      <c r="O526" s="14" t="s">
        <v>9158</v>
      </c>
      <c r="P526" s="14" t="s">
        <v>9158</v>
      </c>
      <c r="Q526" s="14" t="s">
        <v>9158</v>
      </c>
      <c r="R526" s="14"/>
    </row>
    <row r="527" spans="1:18">
      <c r="A527" s="9">
        <v>72303</v>
      </c>
      <c r="B527" s="14" t="s">
        <v>334</v>
      </c>
      <c r="C527" s="14" t="s">
        <v>185</v>
      </c>
      <c r="D527" s="14" t="s">
        <v>3471</v>
      </c>
      <c r="E527" s="15" t="str">
        <f>HYPERLINK("https://stat100.ameba.jp/tnk47/ratio20/illustrations/card/ill_72303_yamakawafutaba03.jpg?201902-1-RELEASE-raid-392", "■")</f>
        <v>■</v>
      </c>
      <c r="F527" s="14" t="s">
        <v>3472</v>
      </c>
      <c r="G527" s="14">
        <v>89208</v>
      </c>
      <c r="H527" s="14">
        <v>82978</v>
      </c>
      <c r="I527" s="14">
        <v>22</v>
      </c>
      <c r="J527" s="14" t="s">
        <v>16</v>
      </c>
      <c r="K527" s="14" t="s">
        <v>3473</v>
      </c>
      <c r="L527" s="14" t="s">
        <v>2100</v>
      </c>
      <c r="M527" s="14" t="s">
        <v>9158</v>
      </c>
      <c r="N527" s="14" t="s">
        <v>9158</v>
      </c>
      <c r="O527" s="14" t="s">
        <v>9158</v>
      </c>
      <c r="P527" s="14" t="s">
        <v>9158</v>
      </c>
      <c r="Q527" s="14" t="s">
        <v>9158</v>
      </c>
      <c r="R527" s="14"/>
    </row>
    <row r="528" spans="1:18">
      <c r="A528" s="9">
        <v>73333</v>
      </c>
      <c r="B528" s="14" t="s">
        <v>334</v>
      </c>
      <c r="C528" s="14" t="s">
        <v>205</v>
      </c>
      <c r="D528" s="14" t="s">
        <v>3474</v>
      </c>
      <c r="E528" s="15" t="str">
        <f>HYPERLINK("https://stat100.ameba.jp/tnk47/ratio20/illustrations/card/ill_73333_akikunitora03.jpg?201902-1-RELEASE-raid-392", "■")</f>
        <v>■</v>
      </c>
      <c r="F528" s="14" t="s">
        <v>3475</v>
      </c>
      <c r="G528" s="14">
        <v>130784</v>
      </c>
      <c r="H528" s="14">
        <v>121604</v>
      </c>
      <c r="I528" s="14">
        <v>22</v>
      </c>
      <c r="J528" s="14" t="s">
        <v>143</v>
      </c>
      <c r="K528" s="14" t="s">
        <v>3476</v>
      </c>
      <c r="L528" s="14" t="s">
        <v>145</v>
      </c>
      <c r="M528" s="14" t="s">
        <v>9158</v>
      </c>
      <c r="N528" s="14" t="s">
        <v>9158</v>
      </c>
      <c r="O528" s="14" t="s">
        <v>9158</v>
      </c>
      <c r="P528" s="14" t="s">
        <v>9158</v>
      </c>
      <c r="Q528" s="14" t="s">
        <v>9158</v>
      </c>
      <c r="R528" s="14"/>
    </row>
    <row r="529" spans="1:18">
      <c r="A529" s="9">
        <v>76783</v>
      </c>
      <c r="B529" s="14" t="s">
        <v>334</v>
      </c>
      <c r="C529" s="14" t="s">
        <v>158</v>
      </c>
      <c r="D529" s="14" t="s">
        <v>1191</v>
      </c>
      <c r="E529" s="15" t="str">
        <f>HYPERLINK("https://stat100.ameba.jp/tnk47/ratio20/illustrations/card/ill_76783_monsutaakashirejina03.jpg?201902-1-RELEASE-raid-392", "■")</f>
        <v>■</v>
      </c>
      <c r="F529" s="14" t="s">
        <v>1192</v>
      </c>
      <c r="G529" s="14">
        <v>69652</v>
      </c>
      <c r="H529" s="14">
        <v>96148</v>
      </c>
      <c r="I529" s="14">
        <v>22</v>
      </c>
      <c r="J529" s="14" t="s">
        <v>10</v>
      </c>
      <c r="K529" s="14" t="s">
        <v>1193</v>
      </c>
      <c r="L529" s="14" t="s">
        <v>1194</v>
      </c>
      <c r="M529" s="14" t="s">
        <v>9158</v>
      </c>
      <c r="N529" s="14" t="s">
        <v>9158</v>
      </c>
      <c r="O529" s="7" t="s">
        <v>2717</v>
      </c>
      <c r="P529" s="14" t="s">
        <v>13123</v>
      </c>
      <c r="Q529" s="14">
        <v>1</v>
      </c>
      <c r="R529" s="14"/>
    </row>
    <row r="530" spans="1:18">
      <c r="B530" s="14"/>
      <c r="C530" s="14"/>
      <c r="D530" s="14"/>
      <c r="F530" s="14"/>
      <c r="G530" s="14"/>
      <c r="H530" s="14"/>
      <c r="I530" s="14"/>
      <c r="J530" s="14"/>
      <c r="K530" s="14"/>
      <c r="L530" s="14"/>
      <c r="M530" s="14"/>
      <c r="N530" s="14"/>
      <c r="O530" s="7"/>
      <c r="P530" s="14"/>
      <c r="Q530" s="14"/>
      <c r="R530" s="14"/>
    </row>
    <row r="531" spans="1:18">
      <c r="A531" s="14" t="s">
        <v>3477</v>
      </c>
      <c r="D531" s="14"/>
      <c r="F531" s="14"/>
      <c r="G531" s="14"/>
      <c r="H531" s="14"/>
      <c r="I531" s="14"/>
      <c r="J531" s="14"/>
      <c r="K531" s="14"/>
      <c r="L531" s="14"/>
      <c r="M531" s="14"/>
      <c r="N531" s="14"/>
      <c r="O531" s="7"/>
      <c r="P531" s="14"/>
      <c r="Q531" s="14"/>
      <c r="R531" s="14"/>
    </row>
    <row r="532" spans="1:18">
      <c r="A532" s="14" t="s">
        <v>3478</v>
      </c>
      <c r="B532" s="14"/>
      <c r="C532" s="14"/>
      <c r="D532" s="14"/>
      <c r="F532" s="14"/>
      <c r="G532" s="14"/>
      <c r="H532" s="14"/>
      <c r="I532" s="14"/>
      <c r="J532" s="14"/>
      <c r="K532" s="14"/>
      <c r="L532" s="14"/>
      <c r="M532" s="14"/>
      <c r="N532" s="14"/>
      <c r="O532" s="7"/>
      <c r="P532" s="14"/>
      <c r="Q532" s="14"/>
      <c r="R532" s="14"/>
    </row>
    <row r="533" spans="1:18">
      <c r="A533" s="9" t="s">
        <v>7121</v>
      </c>
      <c r="B533" s="14" t="s">
        <v>117</v>
      </c>
      <c r="C533" s="14" t="s">
        <v>202</v>
      </c>
      <c r="D533" s="14" t="s">
        <v>118</v>
      </c>
      <c r="E533" s="15" t="str">
        <f>HYPERLINK("https://stat100.ameba.jp/tnk47/ratio20/illustrations/card/ill_76913_0_hinomotomikusanokamudakara03.jpg?201902-1-RELEASE-raid-392x", "■")</f>
        <v>■</v>
      </c>
      <c r="F533" s="14" t="s">
        <v>3479</v>
      </c>
      <c r="G533" s="14">
        <v>144714</v>
      </c>
      <c r="H533" s="14">
        <v>155680</v>
      </c>
      <c r="I533" s="14">
        <v>28</v>
      </c>
      <c r="J533" s="14" t="s">
        <v>143</v>
      </c>
      <c r="K533" s="14" t="s">
        <v>3480</v>
      </c>
      <c r="L533" s="14" t="s">
        <v>3481</v>
      </c>
      <c r="M533" s="14" t="s">
        <v>9158</v>
      </c>
      <c r="N533" s="14" t="s">
        <v>9158</v>
      </c>
      <c r="O533" s="14" t="s">
        <v>9158</v>
      </c>
      <c r="P533" s="14" t="s">
        <v>9158</v>
      </c>
      <c r="Q533" s="14" t="s">
        <v>9158</v>
      </c>
      <c r="R533" s="14"/>
    </row>
    <row r="534" spans="1:18">
      <c r="A534" s="9" t="s">
        <v>5650</v>
      </c>
      <c r="B534" s="14" t="s">
        <v>330</v>
      </c>
      <c r="C534" s="14" t="s">
        <v>23</v>
      </c>
      <c r="D534" s="14" t="s">
        <v>136</v>
      </c>
      <c r="E534" s="15" t="str">
        <f>HYPERLINK("https://stat100.ameba.jp/tnk47/ratio20/illustrations/card/ill_68033_0_kurisumasupateikandamyojin03.jpg?201902-1-RELEASE-raid-392x", "■")</f>
        <v>■</v>
      </c>
      <c r="F534" s="14" t="s">
        <v>1871</v>
      </c>
      <c r="G534" s="14">
        <v>120803</v>
      </c>
      <c r="H534" s="14">
        <v>129948</v>
      </c>
      <c r="I534" s="14">
        <v>19</v>
      </c>
      <c r="J534" s="14" t="s">
        <v>44</v>
      </c>
      <c r="K534" s="14" t="s">
        <v>1872</v>
      </c>
      <c r="L534" s="14" t="s">
        <v>1873</v>
      </c>
      <c r="M534" s="14" t="s">
        <v>9158</v>
      </c>
      <c r="N534" s="14" t="s">
        <v>9158</v>
      </c>
      <c r="O534" s="7" t="s">
        <v>3482</v>
      </c>
      <c r="P534" s="14" t="s">
        <v>3483</v>
      </c>
      <c r="Q534" s="14">
        <v>2</v>
      </c>
      <c r="R534" s="14"/>
    </row>
    <row r="535" spans="1:18">
      <c r="A535" s="9" t="s">
        <v>5611</v>
      </c>
      <c r="B535" s="14" t="s">
        <v>330</v>
      </c>
      <c r="C535" s="14" t="s">
        <v>14</v>
      </c>
      <c r="D535" s="14" t="s">
        <v>951</v>
      </c>
      <c r="E535" s="15" t="str">
        <f>HYPERLINK("https://stat100.ameba.jp/tnk47/ratio20/illustrations/card/ill_60633_0_harumaisentoin03.jpg?201902-1-RELEASE-raid-392x", "■")</f>
        <v>■</v>
      </c>
      <c r="F535" s="14" t="s">
        <v>952</v>
      </c>
      <c r="G535" s="14">
        <v>120803</v>
      </c>
      <c r="H535" s="14">
        <v>129948</v>
      </c>
      <c r="I535" s="14">
        <v>19</v>
      </c>
      <c r="J535" s="14" t="s">
        <v>38</v>
      </c>
      <c r="K535" s="14" t="s">
        <v>953</v>
      </c>
      <c r="L535" s="14" t="s">
        <v>954</v>
      </c>
      <c r="M535" s="14" t="s">
        <v>9158</v>
      </c>
      <c r="N535" s="14" t="s">
        <v>9158</v>
      </c>
      <c r="O535" s="7" t="s">
        <v>3484</v>
      </c>
      <c r="P535" s="14" t="s">
        <v>3485</v>
      </c>
      <c r="Q535" s="14">
        <v>1</v>
      </c>
      <c r="R535" s="14"/>
    </row>
    <row r="536" spans="1:18">
      <c r="A536" s="9">
        <v>70383</v>
      </c>
      <c r="B536" s="14" t="s">
        <v>334</v>
      </c>
      <c r="C536" s="14" t="s">
        <v>41</v>
      </c>
      <c r="D536" s="14" t="s">
        <v>3486</v>
      </c>
      <c r="E536" s="15" t="str">
        <f>HYPERLINK("https://stat100.ameba.jp/tnk47/ratio20/illustrations/card/ill_70383_saraudon03.jpg?201902-1-RELEASE-raid-392x", "■")</f>
        <v>■</v>
      </c>
      <c r="F536" s="14" t="s">
        <v>3487</v>
      </c>
      <c r="G536" s="14">
        <v>111000</v>
      </c>
      <c r="H536" s="14">
        <v>80391</v>
      </c>
      <c r="I536" s="14">
        <v>21</v>
      </c>
      <c r="J536" s="14" t="s">
        <v>104</v>
      </c>
      <c r="K536" s="14" t="s">
        <v>3488</v>
      </c>
      <c r="L536" s="14" t="s">
        <v>3489</v>
      </c>
      <c r="M536" s="14" t="s">
        <v>9158</v>
      </c>
      <c r="N536" s="14" t="s">
        <v>9158</v>
      </c>
      <c r="O536" s="14" t="s">
        <v>9158</v>
      </c>
      <c r="P536" s="14" t="s">
        <v>9158</v>
      </c>
      <c r="Q536" s="14" t="s">
        <v>9158</v>
      </c>
      <c r="R536" s="14"/>
    </row>
    <row r="537" spans="1:18">
      <c r="A537" s="9">
        <v>71333</v>
      </c>
      <c r="B537" s="14" t="s">
        <v>334</v>
      </c>
      <c r="C537" s="14" t="s">
        <v>41</v>
      </c>
      <c r="D537" s="14" t="s">
        <v>57</v>
      </c>
      <c r="E537" s="15" t="str">
        <f>HYPERLINK("https://stat100.ameba.jp/tnk47/ratio20/illustrations/card/ill_71333_fujiwaranokamatari03.jpg?201902-1-RELEASE-raid-392x", "■")</f>
        <v>■</v>
      </c>
      <c r="F537" s="14" t="s">
        <v>58</v>
      </c>
      <c r="G537" s="14">
        <v>91779</v>
      </c>
      <c r="H537" s="14">
        <v>66487</v>
      </c>
      <c r="I537" s="14">
        <v>21</v>
      </c>
      <c r="J537" s="14" t="s">
        <v>10</v>
      </c>
      <c r="K537" s="14" t="s">
        <v>59</v>
      </c>
      <c r="L537" s="14" t="s">
        <v>60</v>
      </c>
      <c r="M537" s="14" t="s">
        <v>9158</v>
      </c>
      <c r="N537" s="14" t="s">
        <v>9158</v>
      </c>
      <c r="O537" s="7" t="s">
        <v>3490</v>
      </c>
      <c r="P537" s="14" t="s">
        <v>3491</v>
      </c>
      <c r="Q537" s="14">
        <v>1</v>
      </c>
      <c r="R537" s="14"/>
    </row>
    <row r="538" spans="1:18">
      <c r="A538" s="9">
        <v>61343</v>
      </c>
      <c r="B538" s="14" t="s">
        <v>334</v>
      </c>
      <c r="C538" s="14" t="s">
        <v>47</v>
      </c>
      <c r="D538" s="14" t="s">
        <v>2058</v>
      </c>
      <c r="E538" s="15" t="str">
        <f>HYPERLINK("https://stat100.ameba.jp/tnk47/ratio20/illustrations/card/ill_61343_amaiyumechacha03.jpg?201902-1-RELEASE-raid-392x", "■")</f>
        <v>■</v>
      </c>
      <c r="F538" s="14" t="s">
        <v>2059</v>
      </c>
      <c r="G538" s="14">
        <v>66487</v>
      </c>
      <c r="H538" s="14">
        <v>91779</v>
      </c>
      <c r="I538" s="14">
        <v>21</v>
      </c>
      <c r="J538" s="14" t="s">
        <v>77</v>
      </c>
      <c r="K538" s="14" t="s">
        <v>2060</v>
      </c>
      <c r="L538" s="14" t="s">
        <v>969</v>
      </c>
      <c r="M538" s="14" t="s">
        <v>9158</v>
      </c>
      <c r="N538" s="14" t="s">
        <v>9158</v>
      </c>
      <c r="O538" s="14" t="s">
        <v>9158</v>
      </c>
      <c r="P538" s="14" t="s">
        <v>9158</v>
      </c>
      <c r="Q538" s="14" t="s">
        <v>9158</v>
      </c>
      <c r="R538" s="14"/>
    </row>
    <row r="539" spans="1:18">
      <c r="B539" s="14"/>
      <c r="C539" s="14"/>
      <c r="D539" s="14"/>
      <c r="F539" s="14"/>
      <c r="G539" s="14"/>
      <c r="H539" s="14"/>
      <c r="I539" s="14"/>
      <c r="J539" s="14"/>
      <c r="K539" s="14"/>
      <c r="L539" s="14"/>
      <c r="M539" s="14"/>
      <c r="N539" s="14"/>
      <c r="O539" s="7"/>
      <c r="P539" s="14"/>
      <c r="Q539" s="14"/>
      <c r="R539" s="14"/>
    </row>
    <row r="540" spans="1:18">
      <c r="A540" s="14" t="s">
        <v>13326</v>
      </c>
      <c r="D540" s="14"/>
      <c r="F540" s="14"/>
      <c r="G540" s="14"/>
      <c r="H540" s="14"/>
      <c r="I540" s="14"/>
      <c r="J540" s="14"/>
      <c r="K540" s="14"/>
      <c r="L540" s="14"/>
      <c r="M540" s="14"/>
      <c r="N540" s="14"/>
      <c r="O540" s="7"/>
      <c r="P540" s="14"/>
      <c r="Q540" s="14"/>
      <c r="R540" s="14"/>
    </row>
    <row r="541" spans="1:18">
      <c r="A541" s="14" t="s">
        <v>3492</v>
      </c>
      <c r="B541" s="14"/>
      <c r="C541" s="14"/>
      <c r="D541" s="14"/>
      <c r="F541" s="14"/>
      <c r="G541" s="14"/>
      <c r="H541" s="14"/>
      <c r="I541" s="14"/>
      <c r="J541" s="14"/>
      <c r="K541" s="14"/>
      <c r="L541" s="14"/>
      <c r="M541" s="14"/>
      <c r="N541" s="14"/>
      <c r="O541" s="7"/>
      <c r="P541" s="14"/>
      <c r="Q541" s="14"/>
      <c r="R541" s="14"/>
    </row>
    <row r="542" spans="1:18">
      <c r="A542" s="9">
        <v>69293</v>
      </c>
      <c r="B542" s="14" t="s">
        <v>334</v>
      </c>
      <c r="C542" s="14" t="s">
        <v>185</v>
      </c>
      <c r="D542" s="14" t="s">
        <v>1155</v>
      </c>
      <c r="E542" s="15" t="str">
        <f>HYPERLINK("https://stat100.ameba.jp/tnk47/ratio20/illustrations/card/ill_69293_merukishiru03.jpg?201902-1-RELEASE-raid-392x", "■")</f>
        <v>■</v>
      </c>
      <c r="F542" s="14" t="s">
        <v>1156</v>
      </c>
      <c r="G542" s="14">
        <v>108306</v>
      </c>
      <c r="H542" s="14">
        <v>100698</v>
      </c>
      <c r="I542" s="14">
        <v>22</v>
      </c>
      <c r="J542" s="14" t="s">
        <v>414</v>
      </c>
      <c r="K542" s="14" t="s">
        <v>1170</v>
      </c>
      <c r="L542" s="14" t="s">
        <v>9902</v>
      </c>
      <c r="M542" s="14" t="s">
        <v>13151</v>
      </c>
      <c r="N542" s="14" t="s">
        <v>251</v>
      </c>
      <c r="O542" s="14" t="s">
        <v>9158</v>
      </c>
      <c r="P542" s="14" t="s">
        <v>9158</v>
      </c>
      <c r="Q542" s="14" t="s">
        <v>9158</v>
      </c>
      <c r="R542" s="14"/>
    </row>
    <row r="543" spans="1:18">
      <c r="A543" s="9">
        <v>69292</v>
      </c>
      <c r="B543" s="14" t="s">
        <v>334</v>
      </c>
      <c r="C543" s="14" t="s">
        <v>185</v>
      </c>
      <c r="D543" s="14" t="s">
        <v>1155</v>
      </c>
      <c r="E543" s="15" t="str">
        <f>HYPERLINK("https://stat100.ameba.jp/tnk47/ratio20/illustrations/card/ill_69292_merukishiru02.jpg?201902-1-RELEASE-raid-392x", "■")</f>
        <v>■</v>
      </c>
      <c r="F543" s="14" t="s">
        <v>1156</v>
      </c>
      <c r="G543" s="14">
        <v>90538</v>
      </c>
      <c r="H543" s="14">
        <v>83402</v>
      </c>
      <c r="I543" s="14">
        <v>22</v>
      </c>
      <c r="J543" s="14" t="s">
        <v>414</v>
      </c>
      <c r="K543" s="14" t="s">
        <v>1170</v>
      </c>
      <c r="L543" s="14" t="s">
        <v>9902</v>
      </c>
      <c r="M543" s="14" t="s">
        <v>13151</v>
      </c>
      <c r="N543" s="14" t="s">
        <v>251</v>
      </c>
      <c r="O543" s="14" t="s">
        <v>9158</v>
      </c>
      <c r="P543" s="14" t="s">
        <v>9158</v>
      </c>
      <c r="Q543" s="14" t="s">
        <v>9158</v>
      </c>
      <c r="R543" s="14"/>
    </row>
    <row r="544" spans="1:18">
      <c r="A544" s="9">
        <v>69291</v>
      </c>
      <c r="B544" s="14" t="s">
        <v>334</v>
      </c>
      <c r="C544" s="14" t="s">
        <v>185</v>
      </c>
      <c r="D544" s="14" t="s">
        <v>1155</v>
      </c>
      <c r="E544" s="15" t="str">
        <f>HYPERLINK("https://stat100.ameba.jp/tnk47/ratio20/illustrations/card/ill_69291_merukishiru01.jpg?201902-1-RELEASE-raid-392x", "■")</f>
        <v>■</v>
      </c>
      <c r="F544" s="14" t="s">
        <v>1156</v>
      </c>
      <c r="G544" s="14">
        <v>69124</v>
      </c>
      <c r="H544" s="14">
        <v>64350</v>
      </c>
      <c r="I544" s="14">
        <v>22</v>
      </c>
      <c r="J544" s="14" t="s">
        <v>414</v>
      </c>
      <c r="K544" s="14" t="s">
        <v>1170</v>
      </c>
      <c r="L544" s="14" t="s">
        <v>9902</v>
      </c>
      <c r="M544" s="14" t="s">
        <v>13151</v>
      </c>
      <c r="N544" s="14" t="s">
        <v>251</v>
      </c>
      <c r="O544" s="14" t="s">
        <v>9158</v>
      </c>
      <c r="P544" s="14" t="s">
        <v>9158</v>
      </c>
      <c r="Q544" s="14" t="s">
        <v>9158</v>
      </c>
      <c r="R544" s="14"/>
    </row>
    <row r="545" spans="1:18">
      <c r="A545" s="9">
        <v>69303</v>
      </c>
      <c r="B545" s="14" t="s">
        <v>334</v>
      </c>
      <c r="C545" s="14" t="s">
        <v>200</v>
      </c>
      <c r="D545" s="14" t="s">
        <v>1157</v>
      </c>
      <c r="E545" s="15" t="str">
        <f>HYPERLINK("https://stat100.ameba.jp/tnk47/ratio20/illustrations/card/ill_69303_torumushaito03.jpg?201902-1-RELEASE-raid-392x", "■")</f>
        <v>■</v>
      </c>
      <c r="F545" s="14" t="s">
        <v>1162</v>
      </c>
      <c r="G545" s="14">
        <v>108306</v>
      </c>
      <c r="H545" s="14">
        <v>100698</v>
      </c>
      <c r="I545" s="14">
        <v>22</v>
      </c>
      <c r="J545" s="14" t="s">
        <v>369</v>
      </c>
      <c r="K545" s="14" t="s">
        <v>1171</v>
      </c>
      <c r="L545" s="14" t="s">
        <v>9903</v>
      </c>
      <c r="M545" s="14" t="s">
        <v>13151</v>
      </c>
      <c r="N545" s="14" t="s">
        <v>251</v>
      </c>
      <c r="O545" s="14" t="s">
        <v>9158</v>
      </c>
      <c r="P545" s="14" t="s">
        <v>9158</v>
      </c>
      <c r="Q545" s="14" t="s">
        <v>9158</v>
      </c>
      <c r="R545" s="14"/>
    </row>
    <row r="546" spans="1:18">
      <c r="A546" s="9">
        <v>69313</v>
      </c>
      <c r="B546" s="14" t="s">
        <v>334</v>
      </c>
      <c r="C546" s="14" t="s">
        <v>191</v>
      </c>
      <c r="D546" s="14" t="s">
        <v>1158</v>
      </c>
      <c r="E546" s="15" t="str">
        <f>HYPERLINK("https://stat100.ameba.jp/tnk47/ratio20/illustrations/card/ill_69313_teishutoriya03.jpg?201902-1-RELEASE-raid-392x", "■")</f>
        <v>■</v>
      </c>
      <c r="F546" s="14" t="s">
        <v>1163</v>
      </c>
      <c r="G546" s="14">
        <v>100698</v>
      </c>
      <c r="H546" s="14">
        <v>108306</v>
      </c>
      <c r="I546" s="14">
        <v>22</v>
      </c>
      <c r="J546" s="14" t="s">
        <v>401</v>
      </c>
      <c r="K546" s="14" t="s">
        <v>1172</v>
      </c>
      <c r="L546" s="14" t="s">
        <v>9904</v>
      </c>
      <c r="M546" s="14" t="s">
        <v>13151</v>
      </c>
      <c r="N546" s="14" t="s">
        <v>251</v>
      </c>
      <c r="O546" s="14" t="s">
        <v>9158</v>
      </c>
      <c r="P546" s="14" t="s">
        <v>9158</v>
      </c>
      <c r="Q546" s="14" t="s">
        <v>9158</v>
      </c>
      <c r="R546" s="14"/>
    </row>
    <row r="547" spans="1:18">
      <c r="A547" s="9">
        <v>69323</v>
      </c>
      <c r="B547" s="14" t="s">
        <v>334</v>
      </c>
      <c r="C547" s="14" t="s">
        <v>165</v>
      </c>
      <c r="D547" s="14" t="s">
        <v>1159</v>
      </c>
      <c r="E547" s="15" t="str">
        <f>HYPERLINK("https://stat100.ameba.jp/tnk47/ratio20/illustrations/card/ill_69323_fujitsubonomiya03.jpg?201902-1-RELEASE-raid-392x", "■")</f>
        <v>■</v>
      </c>
      <c r="F547" s="14" t="s">
        <v>1164</v>
      </c>
      <c r="G547" s="14">
        <v>100698</v>
      </c>
      <c r="H547" s="14">
        <v>108306</v>
      </c>
      <c r="I547" s="14">
        <v>22</v>
      </c>
      <c r="J547" s="14" t="s">
        <v>1167</v>
      </c>
      <c r="K547" s="14" t="s">
        <v>1173</v>
      </c>
      <c r="L547" s="14" t="s">
        <v>9905</v>
      </c>
      <c r="M547" s="14" t="s">
        <v>13151</v>
      </c>
      <c r="N547" s="14" t="s">
        <v>251</v>
      </c>
      <c r="O547" s="14" t="s">
        <v>9158</v>
      </c>
      <c r="P547" s="14" t="s">
        <v>9158</v>
      </c>
      <c r="Q547" s="14" t="s">
        <v>9158</v>
      </c>
      <c r="R547" s="14"/>
    </row>
    <row r="548" spans="1:18">
      <c r="A548" s="9">
        <v>69333</v>
      </c>
      <c r="B548" s="14" t="s">
        <v>334</v>
      </c>
      <c r="C548" s="14" t="s">
        <v>205</v>
      </c>
      <c r="D548" s="14" t="s">
        <v>1160</v>
      </c>
      <c r="E548" s="15" t="str">
        <f>HYPERLINK("https://stat100.ameba.jp/tnk47/ratio20/illustrations/card/ill_69333_mefuisutofueresu03.jpg?201902-1-RELEASE-raid-392x", "■")</f>
        <v>■</v>
      </c>
      <c r="F548" s="14" t="s">
        <v>1165</v>
      </c>
      <c r="G548" s="14">
        <v>108306</v>
      </c>
      <c r="H548" s="14">
        <v>100698</v>
      </c>
      <c r="I548" s="14">
        <v>22</v>
      </c>
      <c r="J548" s="14" t="s">
        <v>1168</v>
      </c>
      <c r="K548" s="14" t="s">
        <v>1174</v>
      </c>
      <c r="L548" s="14" t="s">
        <v>9906</v>
      </c>
      <c r="M548" s="14" t="s">
        <v>13151</v>
      </c>
      <c r="N548" s="14" t="s">
        <v>251</v>
      </c>
      <c r="O548" s="14" t="s">
        <v>9158</v>
      </c>
      <c r="P548" s="14" t="s">
        <v>9158</v>
      </c>
      <c r="Q548" s="14" t="s">
        <v>9158</v>
      </c>
      <c r="R548" s="14"/>
    </row>
    <row r="549" spans="1:18">
      <c r="A549" s="9">
        <v>69343</v>
      </c>
      <c r="B549" s="14" t="s">
        <v>334</v>
      </c>
      <c r="C549" s="14" t="s">
        <v>206</v>
      </c>
      <c r="D549" s="14" t="s">
        <v>1161</v>
      </c>
      <c r="E549" s="15" t="str">
        <f>HYPERLINK("https://stat100.ameba.jp/tnk47/ratio20/illustrations/card/ill_69343_teikinnofuire03.jpg?201902-1-RELEASE-raid-392x", "■")</f>
        <v>■</v>
      </c>
      <c r="F549" s="14" t="s">
        <v>1166</v>
      </c>
      <c r="G549" s="14">
        <v>100698</v>
      </c>
      <c r="H549" s="14">
        <v>108306</v>
      </c>
      <c r="I549" s="14">
        <v>22</v>
      </c>
      <c r="J549" s="14" t="s">
        <v>1169</v>
      </c>
      <c r="K549" s="14" t="s">
        <v>1175</v>
      </c>
      <c r="L549" s="14" t="s">
        <v>9907</v>
      </c>
      <c r="M549" s="14" t="s">
        <v>13151</v>
      </c>
      <c r="N549" s="14" t="s">
        <v>251</v>
      </c>
      <c r="O549" s="14" t="s">
        <v>9158</v>
      </c>
      <c r="P549" s="14" t="s">
        <v>9158</v>
      </c>
      <c r="Q549" s="14" t="s">
        <v>9158</v>
      </c>
      <c r="R549" s="14"/>
    </row>
    <row r="550" spans="1:18">
      <c r="B550" s="14"/>
      <c r="C550" s="14"/>
      <c r="D550" s="14"/>
      <c r="F550" s="14"/>
      <c r="G550" s="14"/>
      <c r="H550" s="14"/>
      <c r="I550" s="14"/>
      <c r="J550" s="14"/>
      <c r="K550" s="14"/>
      <c r="L550" s="14"/>
      <c r="M550" s="14"/>
      <c r="N550" s="14"/>
      <c r="O550" s="7"/>
      <c r="P550" s="14"/>
      <c r="Q550" s="14"/>
      <c r="R550" s="14"/>
    </row>
    <row r="551" spans="1:18">
      <c r="A551" s="14" t="s">
        <v>195</v>
      </c>
      <c r="D551" s="14"/>
      <c r="F551" s="14"/>
      <c r="G551" s="14"/>
      <c r="H551" s="14"/>
      <c r="I551" s="14"/>
      <c r="J551" s="14"/>
      <c r="K551" s="14"/>
      <c r="L551" s="14"/>
      <c r="M551" s="14"/>
      <c r="N551" s="14"/>
      <c r="O551" s="7"/>
      <c r="P551" s="14"/>
      <c r="Q551" s="14"/>
      <c r="R551" s="14"/>
    </row>
    <row r="552" spans="1:18">
      <c r="A552" s="14" t="s">
        <v>3493</v>
      </c>
      <c r="B552" s="14"/>
      <c r="C552" s="14"/>
      <c r="D552" s="14"/>
      <c r="F552" s="14"/>
      <c r="G552" s="14"/>
      <c r="H552" s="14"/>
      <c r="I552" s="14"/>
      <c r="J552" s="14"/>
      <c r="K552" s="14"/>
      <c r="L552" s="14"/>
      <c r="M552" s="14"/>
      <c r="N552" s="14"/>
      <c r="O552" s="7"/>
      <c r="P552" s="14"/>
      <c r="Q552" s="14"/>
      <c r="R552" s="14"/>
    </row>
    <row r="553" spans="1:18">
      <c r="A553" s="9">
        <v>71013</v>
      </c>
      <c r="B553" s="14" t="s">
        <v>334</v>
      </c>
      <c r="C553" s="14" t="s">
        <v>154</v>
      </c>
      <c r="D553" s="14" t="s">
        <v>1229</v>
      </c>
      <c r="E553" s="15" t="str">
        <f>HYPERLINK("https://stat100.ameba.jp/tnk47/ratio20/illustrations/card/ill_71013_fujutsushisarashina03.jpg?201902-1-RELEASE-raid-392x", "■")</f>
        <v>■</v>
      </c>
      <c r="F553" s="14" t="s">
        <v>838</v>
      </c>
      <c r="G553" s="14">
        <v>84214</v>
      </c>
      <c r="H553" s="14">
        <v>90574</v>
      </c>
      <c r="I553" s="14">
        <v>21</v>
      </c>
      <c r="J553" s="14" t="s">
        <v>155</v>
      </c>
      <c r="K553" s="14" t="s">
        <v>1231</v>
      </c>
      <c r="L553" s="14" t="s">
        <v>13152</v>
      </c>
      <c r="M553" s="14" t="s">
        <v>9158</v>
      </c>
      <c r="N553" s="14" t="s">
        <v>9158</v>
      </c>
      <c r="O553" s="14" t="s">
        <v>9158</v>
      </c>
      <c r="P553" s="14" t="s">
        <v>9158</v>
      </c>
      <c r="Q553" s="14" t="s">
        <v>9158</v>
      </c>
      <c r="R553" s="14"/>
    </row>
    <row r="554" spans="1:18">
      <c r="A554" s="9">
        <v>71023</v>
      </c>
      <c r="B554" s="14" t="s">
        <v>334</v>
      </c>
      <c r="C554" s="14" t="s">
        <v>158</v>
      </c>
      <c r="D554" s="14" t="s">
        <v>1230</v>
      </c>
      <c r="E554" s="15" t="str">
        <f>HYPERLINK("https://stat100.ameba.jp/tnk47/ratio20/illustrations/card/ill_71023_ommyojiiroha03.jpg?201902-1-RELEASE-raid-392x", "■")</f>
        <v>■</v>
      </c>
      <c r="F554" s="14" t="s">
        <v>842</v>
      </c>
      <c r="G554" s="14">
        <v>84214</v>
      </c>
      <c r="H554" s="14">
        <v>90574</v>
      </c>
      <c r="I554" s="14">
        <v>21</v>
      </c>
      <c r="J554" s="14" t="s">
        <v>159</v>
      </c>
      <c r="K554" s="14" t="s">
        <v>1232</v>
      </c>
      <c r="L554" s="14" t="s">
        <v>1233</v>
      </c>
      <c r="M554" s="14" t="s">
        <v>9158</v>
      </c>
      <c r="N554" s="14" t="s">
        <v>9158</v>
      </c>
      <c r="O554" s="14" t="s">
        <v>9158</v>
      </c>
      <c r="P554" s="14" t="s">
        <v>9158</v>
      </c>
      <c r="Q554" s="14" t="s">
        <v>9158</v>
      </c>
      <c r="R554" s="14"/>
    </row>
    <row r="555" spans="1:18">
      <c r="A555" s="9">
        <v>46063</v>
      </c>
      <c r="B555" s="14" t="s">
        <v>334</v>
      </c>
      <c r="C555" s="14" t="s">
        <v>165</v>
      </c>
      <c r="D555" s="14" t="s">
        <v>166</v>
      </c>
      <c r="E555" s="15" t="str">
        <f>HYPERLINK("https://stat100.ameba.jp/tnk47/ratio20/illustrations/card/ill_46063_kongorikishizo03.jpg?201902-1-RELEASE-raid-392x", "■")</f>
        <v>■</v>
      </c>
      <c r="F555" s="14" t="s">
        <v>167</v>
      </c>
      <c r="G555" s="14">
        <v>91114</v>
      </c>
      <c r="H555" s="14">
        <v>65502</v>
      </c>
      <c r="I555" s="14">
        <v>21</v>
      </c>
      <c r="J555" s="14" t="s">
        <v>169</v>
      </c>
      <c r="K555" s="14" t="s">
        <v>1234</v>
      </c>
      <c r="L555" s="14" t="s">
        <v>13126</v>
      </c>
      <c r="M555" s="14" t="s">
        <v>9158</v>
      </c>
      <c r="N555" s="14" t="s">
        <v>9158</v>
      </c>
      <c r="O555" s="14" t="s">
        <v>9158</v>
      </c>
      <c r="P555" s="14" t="s">
        <v>9158</v>
      </c>
      <c r="Q555" s="14" t="s">
        <v>9158</v>
      </c>
      <c r="R555" s="14"/>
    </row>
    <row r="556" spans="1:18">
      <c r="A556" s="9">
        <v>30303</v>
      </c>
      <c r="B556" s="14" t="s">
        <v>334</v>
      </c>
      <c r="C556" s="14" t="s">
        <v>203</v>
      </c>
      <c r="D556" s="14" t="s">
        <v>1235</v>
      </c>
      <c r="E556" s="15" t="str">
        <f>HYPERLINK("https://stat100.ameba.jp/tnk47/ratio20/illustrations/card/ill_30303_makaihimiko03.jpg?201902-1-RELEASE-raid-392x", "■")</f>
        <v>■</v>
      </c>
      <c r="F556" s="14" t="s">
        <v>171</v>
      </c>
      <c r="G556" s="14">
        <v>80942</v>
      </c>
      <c r="H556" s="14">
        <v>75254</v>
      </c>
      <c r="I556" s="14">
        <v>21</v>
      </c>
      <c r="J556" s="14" t="s">
        <v>173</v>
      </c>
      <c r="K556" s="14" t="s">
        <v>172</v>
      </c>
      <c r="L556" s="14" t="s">
        <v>13127</v>
      </c>
      <c r="M556" s="14" t="s">
        <v>9158</v>
      </c>
      <c r="N556" s="14" t="s">
        <v>9158</v>
      </c>
      <c r="O556" s="14" t="s">
        <v>9158</v>
      </c>
      <c r="P556" s="14" t="s">
        <v>9158</v>
      </c>
      <c r="Q556" s="14" t="s">
        <v>9158</v>
      </c>
      <c r="R556" s="14"/>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40BB-8FF7-457E-9722-5F4A2C14DA53}">
  <dimension ref="A1:S518"/>
  <sheetViews>
    <sheetView zoomScale="55" zoomScaleNormal="55" workbookViewId="0">
      <pane ySplit="1" topLeftCell="A112" activePane="bottomLeft" state="frozen"/>
      <selection pane="bottomLeft" activeCell="D126" sqref="D126"/>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9" t="s">
        <v>3494</v>
      </c>
    </row>
    <row r="4" spans="1:19">
      <c r="A4" s="9" t="s">
        <v>11044</v>
      </c>
    </row>
    <row r="5" spans="1:19">
      <c r="A5" s="9" t="s">
        <v>9322</v>
      </c>
    </row>
    <row r="6" spans="1:19">
      <c r="A6" s="9" t="s">
        <v>5605</v>
      </c>
      <c r="B6" s="9" t="s">
        <v>330</v>
      </c>
      <c r="C6" s="9" t="s">
        <v>202</v>
      </c>
      <c r="D6" s="9" t="s">
        <v>10332</v>
      </c>
      <c r="E6" s="15" t="str">
        <f>HYPERLINK("https://stat100.ameba.jp/tnk47/ratio20/illustrations/card/ill_79373_0_hommeichokotennyohime03.jpg?201902-1-RELEASE-raid-392x", "■")</f>
        <v>■</v>
      </c>
      <c r="F6" s="9" t="s">
        <v>11045</v>
      </c>
      <c r="G6" s="9">
        <v>333862</v>
      </c>
      <c r="H6" s="9">
        <v>301759</v>
      </c>
      <c r="I6" s="9">
        <v>27</v>
      </c>
      <c r="J6" s="9" t="s">
        <v>283</v>
      </c>
      <c r="K6" s="9" t="s">
        <v>11046</v>
      </c>
      <c r="L6" s="9" t="s">
        <v>11047</v>
      </c>
      <c r="M6" s="14" t="s">
        <v>9158</v>
      </c>
      <c r="N6" s="14" t="s">
        <v>9158</v>
      </c>
      <c r="O6" s="9" t="s">
        <v>10072</v>
      </c>
      <c r="P6" s="9" t="s">
        <v>11048</v>
      </c>
      <c r="Q6" s="9">
        <v>1</v>
      </c>
    </row>
    <row r="7" spans="1:19">
      <c r="A7" s="9">
        <v>79313</v>
      </c>
      <c r="B7" s="9" t="s">
        <v>334</v>
      </c>
      <c r="C7" s="9" t="s">
        <v>185</v>
      </c>
      <c r="D7" s="9" t="s">
        <v>10334</v>
      </c>
      <c r="E7" s="15" t="str">
        <f>HYPERLINK("https://stat100.ameba.jp/tnk47/ratio20/illustrations/card/ill_79313_hommeichokodatemasamune03.jpg?201902-1-RELEASE-raid-392x", "■")</f>
        <v>■</v>
      </c>
      <c r="F7" s="9" t="s">
        <v>11049</v>
      </c>
      <c r="G7" s="9">
        <v>127130</v>
      </c>
      <c r="H7" s="9">
        <v>136729</v>
      </c>
      <c r="I7" s="9">
        <v>23</v>
      </c>
      <c r="J7" s="9" t="s">
        <v>310</v>
      </c>
      <c r="K7" s="9" t="s">
        <v>11050</v>
      </c>
      <c r="L7" s="9" t="s">
        <v>407</v>
      </c>
      <c r="M7" s="14" t="s">
        <v>9158</v>
      </c>
      <c r="N7" s="14" t="s">
        <v>9158</v>
      </c>
      <c r="O7" s="9" t="s">
        <v>2752</v>
      </c>
      <c r="P7" s="9" t="s">
        <v>13123</v>
      </c>
      <c r="Q7" s="9">
        <v>1</v>
      </c>
    </row>
    <row r="8" spans="1:19">
      <c r="A8" s="9">
        <v>79323</v>
      </c>
      <c r="B8" s="9" t="s">
        <v>334</v>
      </c>
      <c r="C8" s="9" t="s">
        <v>165</v>
      </c>
      <c r="D8" s="9" t="s">
        <v>11051</v>
      </c>
      <c r="E8" s="15" t="str">
        <f>HYPERLINK("https://stat100.ameba.jp/tnk47/ratio20/illustrations/card/ill_79323_hommeichokonopperabo03.jpg?201902-1-RELEASE-raid-392x", "■")</f>
        <v>■</v>
      </c>
      <c r="F8" s="9" t="s">
        <v>11052</v>
      </c>
      <c r="G8" s="9">
        <v>89121</v>
      </c>
      <c r="H8" s="9">
        <v>95830</v>
      </c>
      <c r="I8" s="9">
        <v>23</v>
      </c>
      <c r="J8" s="9" t="s">
        <v>320</v>
      </c>
      <c r="K8" s="9" t="s">
        <v>11053</v>
      </c>
      <c r="L8" s="9" t="s">
        <v>3209</v>
      </c>
      <c r="M8" s="9" t="s">
        <v>342</v>
      </c>
      <c r="N8" s="9" t="s">
        <v>343</v>
      </c>
      <c r="O8" s="14" t="s">
        <v>9158</v>
      </c>
      <c r="P8" s="14" t="s">
        <v>9158</v>
      </c>
      <c r="Q8" s="14" t="s">
        <v>9158</v>
      </c>
      <c r="R8" s="9" t="s">
        <v>13120</v>
      </c>
    </row>
    <row r="9" spans="1:19">
      <c r="A9" s="9">
        <v>79333</v>
      </c>
      <c r="B9" s="9" t="s">
        <v>334</v>
      </c>
      <c r="C9" s="9" t="s">
        <v>206</v>
      </c>
      <c r="D9" s="9" t="s">
        <v>11054</v>
      </c>
      <c r="E9" s="15" t="str">
        <f>HYPERLINK("https://stat100.ameba.jp/tnk47/ratio20/illustrations/card/ill_79333_hommeichokochokoretokeki03.jpg?201902-1-RELEASE-raid-392x", "■")</f>
        <v>■</v>
      </c>
      <c r="F9" s="9" t="s">
        <v>11055</v>
      </c>
      <c r="G9" s="9">
        <v>101002</v>
      </c>
      <c r="H9" s="9">
        <v>108617</v>
      </c>
      <c r="I9" s="9">
        <v>23</v>
      </c>
      <c r="J9" s="9" t="s">
        <v>283</v>
      </c>
      <c r="K9" s="9" t="s">
        <v>11056</v>
      </c>
      <c r="L9" s="9" t="s">
        <v>11057</v>
      </c>
      <c r="M9" s="9" t="s">
        <v>342</v>
      </c>
      <c r="N9" s="9" t="s">
        <v>343</v>
      </c>
      <c r="O9" s="14" t="s">
        <v>9158</v>
      </c>
      <c r="P9" s="14" t="s">
        <v>9158</v>
      </c>
      <c r="Q9" s="14" t="s">
        <v>9158</v>
      </c>
      <c r="R9" s="9" t="s">
        <v>13120</v>
      </c>
    </row>
    <row r="10" spans="1:19">
      <c r="A10" s="9">
        <v>79343</v>
      </c>
      <c r="B10" s="9" t="s">
        <v>348</v>
      </c>
      <c r="C10" s="9" t="s">
        <v>200</v>
      </c>
      <c r="D10" s="9" t="s">
        <v>11058</v>
      </c>
      <c r="E10" s="15" t="str">
        <f>HYPERLINK("https://stat100.ameba.jp/tnk47/ratio20/illustrations/card/ill_79343_valentine_otohime03.jpg?201902-1-RELEASE-raid-392x", "■")</f>
        <v>■</v>
      </c>
      <c r="F10" s="9" t="s">
        <v>11059</v>
      </c>
      <c r="G10" s="9">
        <v>62244</v>
      </c>
      <c r="H10" s="9">
        <v>56456</v>
      </c>
      <c r="I10" s="9">
        <v>21</v>
      </c>
      <c r="J10" s="9" t="s">
        <v>187</v>
      </c>
      <c r="K10" s="9" t="s">
        <v>11060</v>
      </c>
      <c r="L10" s="9" t="s">
        <v>9924</v>
      </c>
      <c r="M10" s="14" t="s">
        <v>9158</v>
      </c>
      <c r="N10" s="14" t="s">
        <v>9158</v>
      </c>
      <c r="O10" s="14" t="s">
        <v>9158</v>
      </c>
      <c r="P10" s="14" t="s">
        <v>9158</v>
      </c>
      <c r="Q10" s="14" t="s">
        <v>9158</v>
      </c>
    </row>
    <row r="11" spans="1:19">
      <c r="A11" s="9">
        <v>79353</v>
      </c>
      <c r="B11" s="9" t="s">
        <v>348</v>
      </c>
      <c r="C11" s="9" t="s">
        <v>185</v>
      </c>
      <c r="D11" s="9" t="s">
        <v>11061</v>
      </c>
      <c r="E11" s="15" t="str">
        <f>HYPERLINK("https://stat100.ameba.jp/tnk47/ratio20/illustrations/card/ill_79353_barentainkarakuchinihonshuchan03.jpg?201902-1-RELEASE-raid-392x", "■")</f>
        <v>■</v>
      </c>
      <c r="F11" s="9" t="s">
        <v>11062</v>
      </c>
      <c r="G11" s="9">
        <v>62244</v>
      </c>
      <c r="H11" s="9">
        <v>56456</v>
      </c>
      <c r="I11" s="9">
        <v>21</v>
      </c>
      <c r="J11" s="9" t="s">
        <v>283</v>
      </c>
      <c r="K11" s="9" t="s">
        <v>11063</v>
      </c>
      <c r="L11" s="9" t="s">
        <v>2769</v>
      </c>
      <c r="M11" s="14" t="s">
        <v>9158</v>
      </c>
      <c r="N11" s="14" t="s">
        <v>9158</v>
      </c>
      <c r="O11" s="14" t="s">
        <v>9158</v>
      </c>
      <c r="P11" s="14" t="s">
        <v>9158</v>
      </c>
      <c r="Q11" s="14" t="s">
        <v>9158</v>
      </c>
    </row>
    <row r="12" spans="1:19">
      <c r="A12" s="9">
        <v>79363</v>
      </c>
      <c r="B12" s="9" t="s">
        <v>348</v>
      </c>
      <c r="C12" s="9" t="s">
        <v>205</v>
      </c>
      <c r="D12" s="9" t="s">
        <v>11064</v>
      </c>
      <c r="E12" s="15" t="str">
        <f>HYPERLINK("https://stat100.ameba.jp/tnk47/ratio20/illustrations/card/ill_79363_chokonoguchishohin03.jpg?201902-1-RELEASE-raid-392x", "■")</f>
        <v>■</v>
      </c>
      <c r="F12" s="9" t="s">
        <v>11065</v>
      </c>
      <c r="G12" s="9">
        <v>62244</v>
      </c>
      <c r="H12" s="9">
        <v>56456</v>
      </c>
      <c r="I12" s="9">
        <v>21</v>
      </c>
      <c r="J12" s="9" t="s">
        <v>414</v>
      </c>
      <c r="K12" s="9" t="s">
        <v>11066</v>
      </c>
      <c r="L12" s="9" t="s">
        <v>1387</v>
      </c>
      <c r="M12" s="14" t="s">
        <v>9158</v>
      </c>
      <c r="N12" s="14" t="s">
        <v>9158</v>
      </c>
      <c r="O12" s="14" t="s">
        <v>9158</v>
      </c>
      <c r="P12" s="14" t="s">
        <v>9158</v>
      </c>
      <c r="Q12" s="14" t="s">
        <v>9158</v>
      </c>
    </row>
    <row r="13" spans="1:19">
      <c r="A13" s="9">
        <v>79403</v>
      </c>
      <c r="B13" s="9" t="s">
        <v>362</v>
      </c>
      <c r="C13" s="9" t="s">
        <v>191</v>
      </c>
      <c r="D13" s="9" t="s">
        <v>11067</v>
      </c>
      <c r="E13" s="15" t="str">
        <f>HYPERLINK("https://stat100.ameba.jp/tnk47/ratio20/illustrations/card/ill_79403_yaegakihime03.jpg?201902-1-RELEASE-raid-392x", "■")</f>
        <v>■</v>
      </c>
      <c r="F13" s="9" t="s">
        <v>11068</v>
      </c>
      <c r="G13" s="9">
        <v>43662</v>
      </c>
      <c r="H13" s="9">
        <v>36304</v>
      </c>
      <c r="I13" s="9">
        <v>21</v>
      </c>
      <c r="J13" s="9" t="s">
        <v>274</v>
      </c>
      <c r="K13" s="9" t="s">
        <v>11069</v>
      </c>
      <c r="L13" s="9" t="s">
        <v>11070</v>
      </c>
      <c r="M13" s="14" t="s">
        <v>9158</v>
      </c>
      <c r="N13" s="14" t="s">
        <v>9158</v>
      </c>
      <c r="O13" s="14" t="s">
        <v>9158</v>
      </c>
      <c r="P13" s="14" t="s">
        <v>9158</v>
      </c>
      <c r="Q13" s="14" t="s">
        <v>9158</v>
      </c>
    </row>
    <row r="14" spans="1:19">
      <c r="A14" s="9">
        <v>79413</v>
      </c>
      <c r="B14" s="9" t="s">
        <v>362</v>
      </c>
      <c r="C14" s="9" t="s">
        <v>200</v>
      </c>
      <c r="D14" s="9" t="s">
        <v>11071</v>
      </c>
      <c r="E14" s="15" t="str">
        <f>HYPERLINK("https://stat100.ameba.jp/tnk47/ratio20/illustrations/card/ill_79413_hommeizuikeiin03.jpg?201902-1-RELEASE-raid-392x", "■")</f>
        <v>■</v>
      </c>
      <c r="F14" s="9" t="s">
        <v>11072</v>
      </c>
      <c r="G14" s="9">
        <v>36304</v>
      </c>
      <c r="H14" s="9">
        <v>43662</v>
      </c>
      <c r="I14" s="9">
        <v>21</v>
      </c>
      <c r="J14" s="9" t="s">
        <v>315</v>
      </c>
      <c r="K14" s="9" t="s">
        <v>11073</v>
      </c>
      <c r="L14" s="9" t="s">
        <v>11074</v>
      </c>
      <c r="M14" s="14" t="s">
        <v>9158</v>
      </c>
      <c r="N14" s="14" t="s">
        <v>9158</v>
      </c>
      <c r="O14" s="14" t="s">
        <v>9158</v>
      </c>
      <c r="P14" s="14" t="s">
        <v>9158</v>
      </c>
      <c r="Q14" s="14" t="s">
        <v>9158</v>
      </c>
    </row>
    <row r="15" spans="1:19">
      <c r="A15" s="9">
        <v>79423</v>
      </c>
      <c r="B15" s="9" t="s">
        <v>372</v>
      </c>
      <c r="C15" s="9" t="s">
        <v>335</v>
      </c>
      <c r="D15" s="9" t="s">
        <v>11075</v>
      </c>
      <c r="E15" s="15" t="str">
        <f>HYPERLINK("https://stat100.ameba.jp/tnk47/ratio20/illustrations/card/ill_79423_valentine_naoekanetsugu03.jpg?201902-1-RELEASE-raid-392x", "■")</f>
        <v>■</v>
      </c>
      <c r="F15" s="9" t="s">
        <v>11076</v>
      </c>
      <c r="G15" s="9">
        <v>26434</v>
      </c>
      <c r="H15" s="9">
        <v>22200</v>
      </c>
      <c r="I15" s="9">
        <v>21</v>
      </c>
      <c r="J15" s="9" t="s">
        <v>310</v>
      </c>
      <c r="K15" s="9" t="s">
        <v>11077</v>
      </c>
      <c r="L15" s="9" t="s">
        <v>11078</v>
      </c>
      <c r="M15" s="14" t="s">
        <v>9158</v>
      </c>
      <c r="N15" s="14" t="s">
        <v>9158</v>
      </c>
      <c r="O15" s="14" t="s">
        <v>9158</v>
      </c>
      <c r="P15" s="14" t="s">
        <v>9158</v>
      </c>
      <c r="Q15" s="14" t="s">
        <v>9158</v>
      </c>
    </row>
    <row r="16" spans="1:19">
      <c r="A16" s="9">
        <v>79433</v>
      </c>
      <c r="B16" s="9" t="s">
        <v>372</v>
      </c>
      <c r="C16" s="9" t="s">
        <v>3507</v>
      </c>
      <c r="D16" s="9" t="s">
        <v>11079</v>
      </c>
      <c r="E16" s="15" t="str">
        <f>HYPERLINK("https://stat100.ameba.jp/tnk47/ratio20/illustrations/card/ill_79433_hommeiunshoin03.jpg?201902-1-RELEASE-raid-392x", "■")</f>
        <v>■</v>
      </c>
      <c r="F16" s="9" t="s">
        <v>11080</v>
      </c>
      <c r="G16" s="9">
        <v>22200</v>
      </c>
      <c r="H16" s="9">
        <v>26434</v>
      </c>
      <c r="I16" s="9">
        <v>21</v>
      </c>
      <c r="J16" s="9" t="s">
        <v>315</v>
      </c>
      <c r="K16" s="9" t="s">
        <v>11081</v>
      </c>
      <c r="L16" s="9" t="s">
        <v>11082</v>
      </c>
      <c r="M16" s="14" t="s">
        <v>9158</v>
      </c>
      <c r="N16" s="14" t="s">
        <v>9158</v>
      </c>
      <c r="O16" s="14" t="s">
        <v>9158</v>
      </c>
      <c r="P16" s="14" t="s">
        <v>9158</v>
      </c>
      <c r="Q16" s="14" t="s">
        <v>9158</v>
      </c>
    </row>
    <row r="18" spans="1:18">
      <c r="A18" s="9" t="s">
        <v>13341</v>
      </c>
    </row>
    <row r="19" spans="1:18">
      <c r="A19" s="9" t="s">
        <v>11083</v>
      </c>
    </row>
    <row r="20" spans="1:18">
      <c r="A20" s="9">
        <v>79485</v>
      </c>
      <c r="B20" s="9" t="s">
        <v>334</v>
      </c>
      <c r="C20" s="9" t="s">
        <v>202</v>
      </c>
      <c r="D20" s="9" t="s">
        <v>10431</v>
      </c>
      <c r="E20" s="15" t="str">
        <f>HYPERLINK("https://stat100.ameba.jp/tnk47/ratio20/illustrations/card/ill_79485_kyabinatendantokurohime05.jpg?201902-1-RELEASE-raid-392x", "■")</f>
        <v>■</v>
      </c>
      <c r="F20" s="9" t="s">
        <v>11084</v>
      </c>
      <c r="G20" s="9">
        <v>81640</v>
      </c>
      <c r="H20" s="9">
        <v>112746</v>
      </c>
      <c r="I20" s="9">
        <v>22</v>
      </c>
      <c r="J20" s="9" t="s">
        <v>414</v>
      </c>
      <c r="K20" s="9" t="s">
        <v>11085</v>
      </c>
      <c r="L20" s="9" t="s">
        <v>1575</v>
      </c>
      <c r="M20" s="14" t="s">
        <v>9158</v>
      </c>
      <c r="N20" s="14" t="s">
        <v>9158</v>
      </c>
      <c r="O20" s="14" t="s">
        <v>9158</v>
      </c>
      <c r="P20" s="14" t="s">
        <v>9158</v>
      </c>
      <c r="Q20" s="14" t="s">
        <v>9158</v>
      </c>
      <c r="R20" s="9" t="s">
        <v>174</v>
      </c>
    </row>
    <row r="21" spans="1:18">
      <c r="A21" s="9">
        <v>79483</v>
      </c>
      <c r="B21" s="9" t="s">
        <v>348</v>
      </c>
      <c r="C21" s="9" t="s">
        <v>158</v>
      </c>
      <c r="D21" s="9" t="s">
        <v>10431</v>
      </c>
      <c r="E21" s="15" t="str">
        <f>HYPERLINK("https://stat100.ameba.jp/tnk47/ratio20/illustrations/card/ill_79483_kyabinatendantokurohime03.jpg?201902-1-RELEASE-raid-392x", "■")</f>
        <v>■</v>
      </c>
      <c r="F21" s="9" t="s">
        <v>11084</v>
      </c>
      <c r="G21" s="9">
        <v>60138</v>
      </c>
      <c r="H21" s="9">
        <v>83064</v>
      </c>
      <c r="I21" s="9">
        <v>22</v>
      </c>
      <c r="J21" s="9" t="s">
        <v>414</v>
      </c>
      <c r="K21" s="9" t="s">
        <v>11085</v>
      </c>
      <c r="L21" s="9" t="s">
        <v>11086</v>
      </c>
      <c r="M21" s="14" t="s">
        <v>9158</v>
      </c>
      <c r="N21" s="14" t="s">
        <v>9158</v>
      </c>
      <c r="O21" s="14" t="s">
        <v>9158</v>
      </c>
      <c r="P21" s="14" t="s">
        <v>9158</v>
      </c>
      <c r="Q21" s="14" t="s">
        <v>9158</v>
      </c>
      <c r="R21" s="9" t="s">
        <v>175</v>
      </c>
    </row>
    <row r="22" spans="1:18">
      <c r="A22" s="9">
        <v>79481</v>
      </c>
      <c r="B22" s="9" t="s">
        <v>348</v>
      </c>
      <c r="C22" s="9" t="s">
        <v>158</v>
      </c>
      <c r="D22" s="9" t="s">
        <v>10431</v>
      </c>
      <c r="E22" s="15" t="str">
        <f>HYPERLINK("https://stat100.ameba.jp/tnk47/ratio20/illustrations/card/ill_79481_kyabinatendantokurohime01.jpg?201902-1-RELEASE-raid-392x", "■")</f>
        <v>■</v>
      </c>
      <c r="F22" s="9" t="s">
        <v>11084</v>
      </c>
      <c r="G22" s="9">
        <v>38258</v>
      </c>
      <c r="H22" s="9">
        <v>52844</v>
      </c>
      <c r="I22" s="9">
        <v>22</v>
      </c>
      <c r="J22" s="9" t="s">
        <v>414</v>
      </c>
      <c r="K22" s="9" t="s">
        <v>11085</v>
      </c>
      <c r="L22" s="9" t="s">
        <v>11087</v>
      </c>
      <c r="M22" s="14" t="s">
        <v>9158</v>
      </c>
      <c r="N22" s="14" t="s">
        <v>9158</v>
      </c>
      <c r="O22" s="14" t="s">
        <v>9158</v>
      </c>
      <c r="P22" s="14" t="s">
        <v>9158</v>
      </c>
      <c r="Q22" s="14" t="s">
        <v>9158</v>
      </c>
      <c r="R22" s="9" t="s">
        <v>176</v>
      </c>
    </row>
    <row r="24" spans="1:18">
      <c r="A24" s="9" t="s">
        <v>177</v>
      </c>
    </row>
    <row r="25" spans="1:18">
      <c r="A25" s="9" t="s">
        <v>11088</v>
      </c>
    </row>
    <row r="26" spans="1:18">
      <c r="A26" s="9" t="s">
        <v>5617</v>
      </c>
      <c r="B26" s="9" t="s">
        <v>330</v>
      </c>
      <c r="C26" s="9" t="s">
        <v>165</v>
      </c>
      <c r="D26" s="9" t="s">
        <v>385</v>
      </c>
      <c r="E26" s="15" t="str">
        <f>HYPERLINK("https://stat100.ameba.jp/tnk47/ratio20/illustrations/card/ill_59673_0_oheyashutendoji03.jpg?201902-1-RELEASE-raid-392x", "■")</f>
        <v>■</v>
      </c>
      <c r="F26" s="9" t="s">
        <v>386</v>
      </c>
      <c r="G26" s="9">
        <v>105545</v>
      </c>
      <c r="H26" s="9">
        <v>113525</v>
      </c>
      <c r="I26" s="9">
        <v>15</v>
      </c>
      <c r="J26" s="9" t="s">
        <v>320</v>
      </c>
      <c r="K26" s="9" t="s">
        <v>387</v>
      </c>
      <c r="L26" s="9" t="s">
        <v>388</v>
      </c>
      <c r="M26" s="14" t="s">
        <v>9158</v>
      </c>
      <c r="N26" s="14" t="s">
        <v>9158</v>
      </c>
      <c r="O26" s="9" t="s">
        <v>10078</v>
      </c>
      <c r="P26" s="9" t="s">
        <v>3022</v>
      </c>
      <c r="Q26" s="9">
        <v>1</v>
      </c>
    </row>
    <row r="27" spans="1:18">
      <c r="A27" s="9" t="s">
        <v>5609</v>
      </c>
      <c r="B27" s="9" t="s">
        <v>330</v>
      </c>
      <c r="C27" s="9" t="s">
        <v>200</v>
      </c>
      <c r="D27" s="9" t="s">
        <v>389</v>
      </c>
      <c r="E27" s="15" t="str">
        <f>HYPERLINK("https://stat100.ameba.jp/tnk47/ratio20/illustrations/card/ill_53753_0_natsumatsuritokugawaieyasu03.jpg?201902-1-RELEASE-raid-392x", "■")</f>
        <v>■</v>
      </c>
      <c r="F27" s="9" t="s">
        <v>390</v>
      </c>
      <c r="G27" s="9">
        <v>94236</v>
      </c>
      <c r="H27" s="9">
        <v>83712</v>
      </c>
      <c r="I27" s="9">
        <v>15</v>
      </c>
      <c r="J27" s="9" t="s">
        <v>310</v>
      </c>
      <c r="K27" s="9" t="s">
        <v>391</v>
      </c>
      <c r="L27" s="9" t="s">
        <v>392</v>
      </c>
      <c r="M27" s="14" t="s">
        <v>9158</v>
      </c>
      <c r="N27" s="14" t="s">
        <v>9158</v>
      </c>
      <c r="O27" s="9" t="s">
        <v>10076</v>
      </c>
      <c r="P27" s="9" t="s">
        <v>13121</v>
      </c>
      <c r="Q27" s="9">
        <v>1</v>
      </c>
    </row>
    <row r="28" spans="1:18">
      <c r="A28" s="9" t="s">
        <v>5604</v>
      </c>
      <c r="B28" s="9" t="s">
        <v>330</v>
      </c>
      <c r="C28" s="9" t="s">
        <v>206</v>
      </c>
      <c r="D28" s="9" t="s">
        <v>614</v>
      </c>
      <c r="E28" s="15" t="str">
        <f>HYPERLINK("https://stat100.ameba.jp/tnk47/ratio20/illustrations/card/ill_47263_0_oukyuuatsuhime03.jpg?201902-1-RELEASE-raid-392x", "■")</f>
        <v>■</v>
      </c>
      <c r="F28" s="9" t="s">
        <v>615</v>
      </c>
      <c r="G28" s="9">
        <v>94236</v>
      </c>
      <c r="H28" s="9">
        <v>83712</v>
      </c>
      <c r="I28" s="9">
        <v>15</v>
      </c>
      <c r="J28" s="9" t="s">
        <v>315</v>
      </c>
      <c r="K28" s="9" t="s">
        <v>616</v>
      </c>
      <c r="L28" s="9" t="s">
        <v>617</v>
      </c>
      <c r="M28" s="14" t="s">
        <v>9158</v>
      </c>
      <c r="N28" s="14" t="s">
        <v>9158</v>
      </c>
      <c r="O28" s="14" t="s">
        <v>9158</v>
      </c>
      <c r="P28" s="14" t="s">
        <v>9158</v>
      </c>
      <c r="Q28" s="14" t="s">
        <v>9158</v>
      </c>
    </row>
    <row r="29" spans="1:18">
      <c r="A29" s="9">
        <v>79843</v>
      </c>
      <c r="B29" s="9" t="s">
        <v>334</v>
      </c>
      <c r="C29" s="9" t="s">
        <v>202</v>
      </c>
      <c r="D29" s="9" t="s">
        <v>10929</v>
      </c>
      <c r="E29" s="15" t="str">
        <f>HYPERLINK("https://stat100.ameba.jp/tnk47/ratio20/illustrations/card/ill_79843_saotomereiichi03.jpg?201902-1-RELEASE-raid-392x", "■")</f>
        <v>■</v>
      </c>
      <c r="F29" s="9" t="s">
        <v>11089</v>
      </c>
      <c r="G29" s="9">
        <v>169596</v>
      </c>
      <c r="H29" s="9">
        <v>95436</v>
      </c>
      <c r="I29" s="9">
        <v>22</v>
      </c>
      <c r="J29" s="9" t="s">
        <v>310</v>
      </c>
      <c r="K29" s="9" t="s">
        <v>11090</v>
      </c>
      <c r="L29" s="9" t="s">
        <v>443</v>
      </c>
      <c r="M29" s="14" t="s">
        <v>9158</v>
      </c>
      <c r="N29" s="14" t="s">
        <v>9158</v>
      </c>
      <c r="O29" s="14" t="s">
        <v>9158</v>
      </c>
      <c r="P29" s="14" t="s">
        <v>9158</v>
      </c>
      <c r="Q29" s="14" t="s">
        <v>9158</v>
      </c>
    </row>
    <row r="30" spans="1:18">
      <c r="A30" s="9">
        <v>79853</v>
      </c>
      <c r="B30" s="9" t="s">
        <v>334</v>
      </c>
      <c r="C30" s="9" t="s">
        <v>202</v>
      </c>
      <c r="D30" s="9" t="s">
        <v>10930</v>
      </c>
      <c r="E30" s="15" t="str">
        <f>HYPERLINK("https://stat100.ameba.jp/tnk47/ratio20/illustrations/card/ill_79853_ryuoinsamidare03.jpg?201902-1-RELEASE-raid-392x", "■")</f>
        <v>■</v>
      </c>
      <c r="F30" s="9" t="s">
        <v>11091</v>
      </c>
      <c r="G30" s="9">
        <v>118874</v>
      </c>
      <c r="H30" s="9">
        <v>66902</v>
      </c>
      <c r="I30" s="9">
        <v>22</v>
      </c>
      <c r="J30" s="9" t="s">
        <v>320</v>
      </c>
      <c r="K30" s="9" t="s">
        <v>11092</v>
      </c>
      <c r="L30" s="9" t="s">
        <v>11093</v>
      </c>
      <c r="M30" s="14" t="s">
        <v>9158</v>
      </c>
      <c r="N30" s="14" t="s">
        <v>9158</v>
      </c>
      <c r="O30" s="14" t="s">
        <v>9158</v>
      </c>
      <c r="P30" s="14" t="s">
        <v>9158</v>
      </c>
      <c r="Q30" s="14" t="s">
        <v>9158</v>
      </c>
    </row>
    <row r="31" spans="1:18">
      <c r="A31" s="9">
        <v>79863</v>
      </c>
      <c r="B31" s="9" t="s">
        <v>334</v>
      </c>
      <c r="C31" s="9" t="s">
        <v>202</v>
      </c>
      <c r="D31" s="9" t="s">
        <v>10931</v>
      </c>
      <c r="E31" s="15" t="str">
        <f>HYPERLINK("https://stat100.ameba.jp/tnk47/ratio20/illustrations/card/ill_79863_nagadoayumi03.jpg?201902-1-RELEASE-raid-392x", "■")</f>
        <v>■</v>
      </c>
      <c r="F31" s="9" t="s">
        <v>11094</v>
      </c>
      <c r="G31" s="9">
        <v>65480</v>
      </c>
      <c r="H31" s="9">
        <v>116364</v>
      </c>
      <c r="I31" s="9">
        <v>22</v>
      </c>
      <c r="J31" s="9" t="s">
        <v>401</v>
      </c>
      <c r="K31" s="9" t="s">
        <v>11095</v>
      </c>
      <c r="L31" s="9" t="s">
        <v>3205</v>
      </c>
      <c r="M31" s="14" t="s">
        <v>9158</v>
      </c>
      <c r="N31" s="14" t="s">
        <v>9158</v>
      </c>
      <c r="O31" s="14" t="s">
        <v>9158</v>
      </c>
      <c r="P31" s="14" t="s">
        <v>9158</v>
      </c>
      <c r="Q31" s="14" t="s">
        <v>9158</v>
      </c>
    </row>
    <row r="32" spans="1:18">
      <c r="A32" s="9">
        <v>61883</v>
      </c>
      <c r="B32" s="9" t="s">
        <v>348</v>
      </c>
      <c r="C32" s="9" t="s">
        <v>205</v>
      </c>
      <c r="D32" s="9" t="s">
        <v>1518</v>
      </c>
      <c r="E32" s="15" t="str">
        <f>HYPERLINK("https://stat100.ameba.jp/tnk47/ratio20/illustrations/card/ill_61883_onikirishukurohime03.jpg?201902-1-RELEASE-raid-392x", "■")</f>
        <v>■</v>
      </c>
      <c r="F32" s="9" t="s">
        <v>1519</v>
      </c>
      <c r="G32" s="9">
        <v>59144</v>
      </c>
      <c r="H32" s="9">
        <v>65208</v>
      </c>
      <c r="I32" s="9">
        <v>22</v>
      </c>
      <c r="J32" s="9" t="s">
        <v>414</v>
      </c>
      <c r="K32" s="9" t="s">
        <v>1520</v>
      </c>
      <c r="L32" s="9" t="s">
        <v>1521</v>
      </c>
      <c r="M32" s="14" t="s">
        <v>9158</v>
      </c>
      <c r="N32" s="14" t="s">
        <v>9158</v>
      </c>
      <c r="O32" s="14" t="s">
        <v>9158</v>
      </c>
      <c r="P32" s="14" t="s">
        <v>9158</v>
      </c>
      <c r="Q32" s="14" t="s">
        <v>9158</v>
      </c>
    </row>
    <row r="33" spans="1:17">
      <c r="A33" s="9">
        <v>60953</v>
      </c>
      <c r="B33" s="9" t="s">
        <v>348</v>
      </c>
      <c r="C33" s="9" t="s">
        <v>191</v>
      </c>
      <c r="D33" s="9" t="s">
        <v>1522</v>
      </c>
      <c r="E33" s="15" t="str">
        <f>HYPERLINK("https://stat100.ameba.jp/tnk47/ratio20/illustrations/card/ill_60953_sukurugaruikedasen03.jpg?201902-1-RELEASE-raid-392x", "■")</f>
        <v>■</v>
      </c>
      <c r="F33" s="9" t="s">
        <v>1523</v>
      </c>
      <c r="G33" s="9">
        <v>65208</v>
      </c>
      <c r="H33" s="9">
        <v>59144</v>
      </c>
      <c r="I33" s="9">
        <v>22</v>
      </c>
      <c r="J33" s="9" t="s">
        <v>310</v>
      </c>
      <c r="K33" s="9" t="s">
        <v>1524</v>
      </c>
      <c r="L33" s="9" t="s">
        <v>1525</v>
      </c>
      <c r="M33" s="14" t="s">
        <v>9158</v>
      </c>
      <c r="N33" s="14" t="s">
        <v>9158</v>
      </c>
      <c r="O33" s="14" t="s">
        <v>9158</v>
      </c>
      <c r="P33" s="14" t="s">
        <v>9158</v>
      </c>
      <c r="Q33" s="14" t="s">
        <v>9158</v>
      </c>
    </row>
    <row r="34" spans="1:17">
      <c r="A34" s="9">
        <v>59873</v>
      </c>
      <c r="B34" s="9" t="s">
        <v>348</v>
      </c>
      <c r="C34" s="9" t="s">
        <v>200</v>
      </c>
      <c r="D34" s="9" t="s">
        <v>1526</v>
      </c>
      <c r="E34" s="15" t="str">
        <f>HYPERLINK("https://stat100.ameba.jp/tnk47/ratio20/illustrations/card/ill_59873_yoseinakajimautako03.jpg?201902-1-RELEASE-raid-392x", "■")</f>
        <v>■</v>
      </c>
      <c r="F34" s="9" t="s">
        <v>1527</v>
      </c>
      <c r="G34" s="9">
        <v>65208</v>
      </c>
      <c r="H34" s="9">
        <v>59144</v>
      </c>
      <c r="I34" s="9">
        <v>22</v>
      </c>
      <c r="J34" s="9" t="s">
        <v>351</v>
      </c>
      <c r="K34" s="9" t="s">
        <v>1528</v>
      </c>
      <c r="L34" s="9" t="s">
        <v>473</v>
      </c>
      <c r="M34" s="14" t="s">
        <v>9158</v>
      </c>
      <c r="N34" s="14" t="s">
        <v>9158</v>
      </c>
      <c r="O34" s="14" t="s">
        <v>9158</v>
      </c>
      <c r="P34" s="14" t="s">
        <v>9158</v>
      </c>
      <c r="Q34" s="14" t="s">
        <v>9158</v>
      </c>
    </row>
    <row r="36" spans="1:17">
      <c r="A36" s="9" t="s">
        <v>114</v>
      </c>
    </row>
    <row r="37" spans="1:17">
      <c r="A37" s="9" t="s">
        <v>11096</v>
      </c>
    </row>
    <row r="38" spans="1:17">
      <c r="A38" s="9" t="s">
        <v>5614</v>
      </c>
      <c r="B38" s="9" t="s">
        <v>330</v>
      </c>
      <c r="C38" s="9" t="s">
        <v>205</v>
      </c>
      <c r="D38" s="9" t="s">
        <v>313</v>
      </c>
      <c r="E38" s="15" t="str">
        <f>HYPERLINK("https://stat100.ameba.jp/tnk47/ratio20/illustrations/card/ill_56223_0_onsempanikkugohime03.jpg?201902-1-RELEASE-raid-392x", "■")</f>
        <v>■</v>
      </c>
      <c r="F38" s="9" t="s">
        <v>314</v>
      </c>
      <c r="G38" s="9">
        <v>117196</v>
      </c>
      <c r="H38" s="9">
        <v>131930</v>
      </c>
      <c r="I38" s="9">
        <v>21</v>
      </c>
      <c r="J38" s="9" t="s">
        <v>315</v>
      </c>
      <c r="K38" s="9" t="s">
        <v>316</v>
      </c>
      <c r="L38" s="9" t="s">
        <v>317</v>
      </c>
      <c r="M38" s="14" t="s">
        <v>9158</v>
      </c>
      <c r="N38" s="14" t="s">
        <v>9158</v>
      </c>
      <c r="O38" s="9" t="s">
        <v>3021</v>
      </c>
      <c r="P38" s="9" t="s">
        <v>2890</v>
      </c>
      <c r="Q38" s="9">
        <v>1</v>
      </c>
    </row>
    <row r="39" spans="1:17">
      <c r="A39" s="9" t="s">
        <v>5607</v>
      </c>
      <c r="B39" s="9" t="s">
        <v>330</v>
      </c>
      <c r="C39" s="9" t="s">
        <v>200</v>
      </c>
      <c r="D39" s="9" t="s">
        <v>421</v>
      </c>
      <c r="E39" s="15" t="str">
        <f>HYPERLINK("https://stat100.ameba.jp/tnk47/ratio20/illustrations/card/ill_58853_0_setsubumpanikkuhiratsukaraicho03.jpg?201902-1-RELEASE-raid-392x", "■")</f>
        <v>■</v>
      </c>
      <c r="F39" s="9" t="s">
        <v>422</v>
      </c>
      <c r="G39" s="9">
        <v>131930</v>
      </c>
      <c r="H39" s="9">
        <v>117196</v>
      </c>
      <c r="I39" s="9">
        <v>21</v>
      </c>
      <c r="J39" s="9" t="s">
        <v>414</v>
      </c>
      <c r="K39" s="9" t="s">
        <v>423</v>
      </c>
      <c r="L39" s="9" t="s">
        <v>424</v>
      </c>
      <c r="M39" s="14" t="s">
        <v>9158</v>
      </c>
      <c r="N39" s="14" t="s">
        <v>9158</v>
      </c>
      <c r="O39" s="9" t="s">
        <v>10075</v>
      </c>
      <c r="P39" s="9" t="s">
        <v>2870</v>
      </c>
      <c r="Q39" s="9">
        <v>1</v>
      </c>
    </row>
    <row r="40" spans="1:17">
      <c r="A40" s="9">
        <v>79513</v>
      </c>
      <c r="B40" s="9" t="s">
        <v>334</v>
      </c>
      <c r="C40" s="9" t="s">
        <v>209</v>
      </c>
      <c r="D40" s="9" t="s">
        <v>10404</v>
      </c>
      <c r="E40" s="15" t="str">
        <f>HYPERLINK("https://stat100.ameba.jp/tnk47/ratio20/illustrations/card/ill_79513_suzafuonia03.jpg?201902-1-RELEASE-raid-392x", "■")</f>
        <v>■</v>
      </c>
      <c r="F40" s="9" t="s">
        <v>11097</v>
      </c>
      <c r="G40" s="9">
        <v>75984</v>
      </c>
      <c r="H40" s="9">
        <v>104890</v>
      </c>
      <c r="I40" s="9">
        <v>21</v>
      </c>
      <c r="J40" s="9" t="s">
        <v>351</v>
      </c>
      <c r="K40" s="9" t="s">
        <v>11098</v>
      </c>
      <c r="L40" s="9" t="s">
        <v>1625</v>
      </c>
      <c r="M40" s="14" t="s">
        <v>9158</v>
      </c>
      <c r="N40" s="14" t="s">
        <v>9158</v>
      </c>
      <c r="O40" s="9" t="s">
        <v>2917</v>
      </c>
      <c r="P40" s="9" t="s">
        <v>2918</v>
      </c>
      <c r="Q40" s="9">
        <v>1</v>
      </c>
    </row>
    <row r="41" spans="1:17">
      <c r="A41" s="9">
        <v>54203</v>
      </c>
      <c r="B41" s="9" t="s">
        <v>334</v>
      </c>
      <c r="C41" s="9" t="s">
        <v>262</v>
      </c>
      <c r="D41" s="9" t="s">
        <v>10203</v>
      </c>
      <c r="E41" s="15" t="str">
        <f>HYPERLINK("https://stat100.ameba.jp/tnk47/ratio20/illustrations/card/ill_54203_dazaiosamu03.jpg?201902-1-RELEASE-raid-392x", "■")</f>
        <v>■</v>
      </c>
      <c r="F41" s="9" t="s">
        <v>11099</v>
      </c>
      <c r="G41" s="9">
        <v>86668</v>
      </c>
      <c r="H41" s="9">
        <v>63547</v>
      </c>
      <c r="I41" s="9">
        <v>21</v>
      </c>
      <c r="J41" s="9" t="s">
        <v>414</v>
      </c>
      <c r="K41" s="9" t="s">
        <v>11100</v>
      </c>
      <c r="L41" s="9" t="s">
        <v>11101</v>
      </c>
      <c r="M41" s="14" t="s">
        <v>9158</v>
      </c>
      <c r="N41" s="14" t="s">
        <v>9158</v>
      </c>
      <c r="O41" s="14" t="s">
        <v>9158</v>
      </c>
      <c r="P41" s="14" t="s">
        <v>9158</v>
      </c>
      <c r="Q41" s="14" t="s">
        <v>9158</v>
      </c>
    </row>
    <row r="42" spans="1:17">
      <c r="A42" s="9">
        <v>64873</v>
      </c>
      <c r="B42" s="9" t="s">
        <v>334</v>
      </c>
      <c r="C42" s="9" t="s">
        <v>203</v>
      </c>
      <c r="D42" s="9" t="s">
        <v>2840</v>
      </c>
      <c r="E42" s="15" t="str">
        <f>HYPERLINK("https://stat100.ameba.jp/tnk47/ratio20/illustrations/card/ill_64873_sessofujin03.jpg?201902-1-RELEASE-raid-392x", "■")</f>
        <v>■</v>
      </c>
      <c r="F42" s="9" t="s">
        <v>2841</v>
      </c>
      <c r="G42" s="9">
        <v>66487</v>
      </c>
      <c r="H42" s="9">
        <v>91779</v>
      </c>
      <c r="I42" s="9">
        <v>21</v>
      </c>
      <c r="J42" s="9" t="s">
        <v>315</v>
      </c>
      <c r="K42" s="9" t="s">
        <v>2842</v>
      </c>
      <c r="L42" s="9" t="s">
        <v>2843</v>
      </c>
      <c r="M42" s="14" t="s">
        <v>9158</v>
      </c>
      <c r="N42" s="14" t="s">
        <v>9158</v>
      </c>
      <c r="O42" s="14" t="s">
        <v>9158</v>
      </c>
      <c r="P42" s="14" t="s">
        <v>9158</v>
      </c>
      <c r="Q42" s="14" t="s">
        <v>9158</v>
      </c>
    </row>
    <row r="43" spans="1:17">
      <c r="A43" s="9">
        <v>53073</v>
      </c>
      <c r="B43" s="9" t="s">
        <v>334</v>
      </c>
      <c r="C43" s="9" t="s">
        <v>323</v>
      </c>
      <c r="D43" s="9" t="s">
        <v>10829</v>
      </c>
      <c r="E43" s="15" t="str">
        <f>HYPERLINK("https://stat100.ameba.jp/tnk47/ratio20/illustrations/card/ill_53073_matsuzakaushi03.jpg?201902-1-RELEASE-raid-392x", "■")</f>
        <v>■</v>
      </c>
      <c r="F43" s="9" t="s">
        <v>11102</v>
      </c>
      <c r="G43" s="9">
        <v>63547</v>
      </c>
      <c r="H43" s="9">
        <v>86668</v>
      </c>
      <c r="I43" s="9">
        <v>21</v>
      </c>
      <c r="J43" s="9" t="s">
        <v>283</v>
      </c>
      <c r="K43" s="9" t="s">
        <v>11103</v>
      </c>
      <c r="L43" s="9" t="s">
        <v>11104</v>
      </c>
      <c r="M43" s="14" t="s">
        <v>9158</v>
      </c>
      <c r="N43" s="14" t="s">
        <v>9158</v>
      </c>
      <c r="O43" s="14" t="s">
        <v>9158</v>
      </c>
      <c r="P43" s="14" t="s">
        <v>9158</v>
      </c>
      <c r="Q43" s="14" t="s">
        <v>9158</v>
      </c>
    </row>
    <row r="44" spans="1:17">
      <c r="A44" s="9">
        <v>75873</v>
      </c>
      <c r="B44" s="9" t="s">
        <v>334</v>
      </c>
      <c r="C44" s="9" t="s">
        <v>209</v>
      </c>
      <c r="D44" s="9" t="s">
        <v>10221</v>
      </c>
      <c r="E44" s="15" t="str">
        <f>HYPERLINK("https://stat100.ameba.jp/tnk47/ratio20/illustrations/card/ill_75873_harajukuroriitachan03.jpg?201902-1-RELEASE-raid-392x", "■")</f>
        <v>■</v>
      </c>
      <c r="F44" s="9" t="s">
        <v>11105</v>
      </c>
      <c r="G44" s="9">
        <v>92220</v>
      </c>
      <c r="H44" s="9">
        <v>99173</v>
      </c>
      <c r="I44" s="9">
        <v>21</v>
      </c>
      <c r="J44" s="9" t="s">
        <v>369</v>
      </c>
      <c r="K44" s="9" t="s">
        <v>11106</v>
      </c>
      <c r="L44" s="9" t="s">
        <v>11107</v>
      </c>
      <c r="M44" s="14" t="s">
        <v>9158</v>
      </c>
      <c r="N44" s="14" t="s">
        <v>9158</v>
      </c>
      <c r="O44" s="9" t="s">
        <v>2752</v>
      </c>
      <c r="P44" s="9" t="s">
        <v>13123</v>
      </c>
      <c r="Q44" s="9">
        <v>1</v>
      </c>
    </row>
    <row r="45" spans="1:17">
      <c r="A45" s="9">
        <v>58343</v>
      </c>
      <c r="B45" s="9" t="s">
        <v>334</v>
      </c>
      <c r="C45" s="9" t="s">
        <v>209</v>
      </c>
      <c r="D45" s="9" t="s">
        <v>585</v>
      </c>
      <c r="E45" s="15" t="str">
        <f>HYPERLINK("https://stat100.ameba.jp/tnk47/ratio20/illustrations/card/ill_58343_agemakidayu03.jpg?201902-1-RELEASE-raid-392x", "■")</f>
        <v>■</v>
      </c>
      <c r="F45" s="9" t="s">
        <v>586</v>
      </c>
      <c r="G45" s="9">
        <v>86668</v>
      </c>
      <c r="H45" s="9">
        <v>63547</v>
      </c>
      <c r="I45" s="9">
        <v>21</v>
      </c>
      <c r="J45" s="9" t="s">
        <v>274</v>
      </c>
      <c r="K45" s="9" t="s">
        <v>587</v>
      </c>
      <c r="L45" s="9" t="s">
        <v>588</v>
      </c>
      <c r="M45" s="14" t="s">
        <v>9158</v>
      </c>
      <c r="N45" s="14" t="s">
        <v>9158</v>
      </c>
      <c r="O45" s="9" t="s">
        <v>2912</v>
      </c>
      <c r="P45" s="9" t="s">
        <v>13122</v>
      </c>
      <c r="Q45" s="9">
        <v>1</v>
      </c>
    </row>
    <row r="47" spans="1:17">
      <c r="A47" s="9" t="s">
        <v>13327</v>
      </c>
    </row>
    <row r="48" spans="1:17">
      <c r="A48" s="9" t="s">
        <v>11108</v>
      </c>
    </row>
    <row r="49" spans="1:18">
      <c r="A49" s="9">
        <v>75113</v>
      </c>
      <c r="B49" s="9" t="s">
        <v>334</v>
      </c>
      <c r="C49" s="9" t="s">
        <v>335</v>
      </c>
      <c r="D49" s="9" t="s">
        <v>448</v>
      </c>
      <c r="E49" s="15" t="str">
        <f>HYPERLINK("https://stat100.ameba.jp/tnk47/ratio20/illustrations/card/ill_75113_hatahata03.jpg?201902-1-RELEASE-raid-392x", "■")</f>
        <v>■</v>
      </c>
      <c r="F49" s="9" t="s">
        <v>449</v>
      </c>
      <c r="G49" s="9">
        <v>108306</v>
      </c>
      <c r="H49" s="9">
        <v>100698</v>
      </c>
      <c r="I49" s="9">
        <v>22</v>
      </c>
      <c r="J49" s="9" t="s">
        <v>283</v>
      </c>
      <c r="K49" s="9" t="s">
        <v>450</v>
      </c>
      <c r="L49" s="9" t="s">
        <v>13129</v>
      </c>
      <c r="M49" s="9" t="s">
        <v>13130</v>
      </c>
      <c r="N49" s="9" t="s">
        <v>343</v>
      </c>
      <c r="O49" s="14" t="s">
        <v>9158</v>
      </c>
      <c r="P49" s="14" t="s">
        <v>9158</v>
      </c>
      <c r="Q49" s="14" t="s">
        <v>9158</v>
      </c>
      <c r="R49" s="14" t="s">
        <v>14748</v>
      </c>
    </row>
    <row r="50" spans="1:18">
      <c r="A50" s="9">
        <v>75112</v>
      </c>
      <c r="B50" s="9" t="s">
        <v>334</v>
      </c>
      <c r="C50" s="9" t="s">
        <v>335</v>
      </c>
      <c r="D50" s="9" t="s">
        <v>448</v>
      </c>
      <c r="E50" s="15" t="str">
        <f>HYPERLINK("https://stat100.ameba.jp/tnk47/ratio20/illustrations/card/ill_75112_hatahata02.jpg?201902-1-RELEASE-raid-392x", "■")</f>
        <v>■</v>
      </c>
      <c r="F50" s="9" t="s">
        <v>449</v>
      </c>
      <c r="G50" s="9">
        <v>90538</v>
      </c>
      <c r="H50" s="9">
        <v>83402</v>
      </c>
      <c r="I50" s="9">
        <v>22</v>
      </c>
      <c r="J50" s="9" t="s">
        <v>283</v>
      </c>
      <c r="K50" s="9" t="s">
        <v>450</v>
      </c>
      <c r="L50" s="9" t="s">
        <v>13129</v>
      </c>
      <c r="M50" s="9" t="s">
        <v>13131</v>
      </c>
      <c r="N50" s="9" t="s">
        <v>251</v>
      </c>
      <c r="O50" s="14" t="s">
        <v>9158</v>
      </c>
      <c r="P50" s="14" t="s">
        <v>9158</v>
      </c>
      <c r="Q50" s="14" t="s">
        <v>9158</v>
      </c>
      <c r="R50" s="14" t="s">
        <v>14748</v>
      </c>
    </row>
    <row r="51" spans="1:18">
      <c r="A51" s="9">
        <v>75111</v>
      </c>
      <c r="B51" s="9" t="s">
        <v>334</v>
      </c>
      <c r="C51" s="9" t="s">
        <v>335</v>
      </c>
      <c r="D51" s="9" t="s">
        <v>448</v>
      </c>
      <c r="E51" s="15" t="str">
        <f>HYPERLINK("https://stat100.ameba.jp/tnk47/ratio20/illustrations/card/ill_75111_hatahata03.jpg?201902-1-RELEASE-raid-392x", "■")</f>
        <v>■</v>
      </c>
      <c r="F51" s="9" t="s">
        <v>449</v>
      </c>
      <c r="G51" s="9">
        <v>69124</v>
      </c>
      <c r="H51" s="9">
        <v>64350</v>
      </c>
      <c r="I51" s="9">
        <v>22</v>
      </c>
      <c r="J51" s="9" t="s">
        <v>283</v>
      </c>
      <c r="K51" s="9" t="s">
        <v>450</v>
      </c>
      <c r="L51" s="9" t="s">
        <v>13129</v>
      </c>
      <c r="M51" s="9" t="s">
        <v>13131</v>
      </c>
      <c r="N51" s="9" t="s">
        <v>251</v>
      </c>
      <c r="O51" s="14" t="s">
        <v>9158</v>
      </c>
      <c r="P51" s="14" t="s">
        <v>9158</v>
      </c>
      <c r="Q51" s="14" t="s">
        <v>9158</v>
      </c>
      <c r="R51" s="14" t="s">
        <v>14748</v>
      </c>
    </row>
    <row r="52" spans="1:18">
      <c r="A52" s="9">
        <v>75123</v>
      </c>
      <c r="B52" s="9" t="s">
        <v>334</v>
      </c>
      <c r="C52" s="9" t="s">
        <v>307</v>
      </c>
      <c r="D52" s="9" t="s">
        <v>451</v>
      </c>
      <c r="E52" s="15" t="str">
        <f>HYPERLINK("https://stat100.ameba.jp/tnk47/ratio20/illustrations/card/ill_75123_nankintamasudare03.jpg?201902-1-RELEASE-raid-392x", "■")</f>
        <v>■</v>
      </c>
      <c r="F52" s="9" t="s">
        <v>452</v>
      </c>
      <c r="G52" s="9">
        <v>100698</v>
      </c>
      <c r="H52" s="9">
        <v>108306</v>
      </c>
      <c r="I52" s="9">
        <v>22</v>
      </c>
      <c r="J52" s="9" t="s">
        <v>274</v>
      </c>
      <c r="K52" s="9" t="s">
        <v>453</v>
      </c>
      <c r="L52" s="9" t="s">
        <v>11109</v>
      </c>
      <c r="M52" s="9" t="s">
        <v>13130</v>
      </c>
      <c r="N52" s="9" t="s">
        <v>343</v>
      </c>
      <c r="O52" s="14" t="s">
        <v>9158</v>
      </c>
      <c r="P52" s="14" t="s">
        <v>9158</v>
      </c>
      <c r="Q52" s="14" t="s">
        <v>9158</v>
      </c>
      <c r="R52" s="14" t="s">
        <v>14748</v>
      </c>
    </row>
    <row r="53" spans="1:18">
      <c r="A53" s="9">
        <v>76013</v>
      </c>
      <c r="B53" s="9" t="s">
        <v>334</v>
      </c>
      <c r="C53" s="9" t="s">
        <v>344</v>
      </c>
      <c r="D53" s="9" t="s">
        <v>454</v>
      </c>
      <c r="E53" s="15" t="str">
        <f>HYPERLINK("https://stat100.ameba.jp/tnk47/ratio20/illustrations/card/ill_76013_miyakojima03.jpg?201902-1-RELEASE-raid-392x", "■")</f>
        <v>■</v>
      </c>
      <c r="F53" s="9" t="s">
        <v>455</v>
      </c>
      <c r="G53" s="9">
        <v>108306</v>
      </c>
      <c r="H53" s="9">
        <v>100698</v>
      </c>
      <c r="I53" s="9">
        <v>22</v>
      </c>
      <c r="J53" s="9" t="s">
        <v>369</v>
      </c>
      <c r="K53" s="9" t="s">
        <v>456</v>
      </c>
      <c r="L53" s="9" t="s">
        <v>11110</v>
      </c>
      <c r="M53" s="9" t="s">
        <v>13130</v>
      </c>
      <c r="N53" s="9" t="s">
        <v>343</v>
      </c>
      <c r="O53" s="14" t="s">
        <v>9158</v>
      </c>
      <c r="P53" s="14" t="s">
        <v>9158</v>
      </c>
      <c r="Q53" s="14" t="s">
        <v>9158</v>
      </c>
      <c r="R53" s="14" t="s">
        <v>14748</v>
      </c>
    </row>
    <row r="54" spans="1:18">
      <c r="A54" s="9">
        <v>74333</v>
      </c>
      <c r="B54" s="9" t="s">
        <v>334</v>
      </c>
      <c r="C54" s="9" t="s">
        <v>271</v>
      </c>
      <c r="D54" s="9" t="s">
        <v>457</v>
      </c>
      <c r="E54" s="15" t="str">
        <f>HYPERLINK("https://stat100.ameba.jp/tnk47/ratio20/illustrations/card/ill_74333_iizukaigashichi03.jpg?201902-1-RELEASE-raid-392x", "■")</f>
        <v>■</v>
      </c>
      <c r="F54" s="9" t="s">
        <v>458</v>
      </c>
      <c r="G54" s="9">
        <v>100698</v>
      </c>
      <c r="H54" s="9">
        <v>108306</v>
      </c>
      <c r="I54" s="9">
        <v>22</v>
      </c>
      <c r="J54" s="9" t="s">
        <v>414</v>
      </c>
      <c r="K54" s="9" t="s">
        <v>459</v>
      </c>
      <c r="L54" s="9" t="s">
        <v>11111</v>
      </c>
      <c r="M54" s="9" t="s">
        <v>13130</v>
      </c>
      <c r="N54" s="9" t="s">
        <v>343</v>
      </c>
      <c r="O54" s="14" t="s">
        <v>9158</v>
      </c>
      <c r="P54" s="14" t="s">
        <v>9158</v>
      </c>
      <c r="Q54" s="14" t="s">
        <v>9158</v>
      </c>
      <c r="R54" s="14" t="s">
        <v>14748</v>
      </c>
    </row>
    <row r="55" spans="1:18">
      <c r="A55" s="9">
        <v>74343</v>
      </c>
      <c r="B55" s="9" t="s">
        <v>334</v>
      </c>
      <c r="C55" s="9" t="s">
        <v>308</v>
      </c>
      <c r="D55" s="9" t="s">
        <v>460</v>
      </c>
      <c r="E55" s="15" t="str">
        <f>HYPERLINK("https://stat100.ameba.jp/tnk47/ratio20/illustrations/card/ill_74343_wadakoremasa03.jpg?201902-1-RELEASE-raid-392x", "■")</f>
        <v>■</v>
      </c>
      <c r="F55" s="9" t="s">
        <v>461</v>
      </c>
      <c r="G55" s="9">
        <v>100698</v>
      </c>
      <c r="H55" s="9">
        <v>108306</v>
      </c>
      <c r="I55" s="9">
        <v>22</v>
      </c>
      <c r="J55" s="9" t="s">
        <v>310</v>
      </c>
      <c r="K55" s="9" t="s">
        <v>462</v>
      </c>
      <c r="L55" s="9" t="s">
        <v>11112</v>
      </c>
      <c r="M55" s="9" t="s">
        <v>13130</v>
      </c>
      <c r="N55" s="9" t="s">
        <v>343</v>
      </c>
      <c r="O55" s="14" t="s">
        <v>9158</v>
      </c>
      <c r="P55" s="14" t="s">
        <v>9158</v>
      </c>
      <c r="Q55" s="14" t="s">
        <v>9158</v>
      </c>
      <c r="R55" s="14" t="s">
        <v>14748</v>
      </c>
    </row>
    <row r="56" spans="1:18">
      <c r="A56" s="9">
        <v>74353</v>
      </c>
      <c r="B56" s="9" t="s">
        <v>334</v>
      </c>
      <c r="C56" s="9" t="s">
        <v>267</v>
      </c>
      <c r="D56" s="9" t="s">
        <v>463</v>
      </c>
      <c r="E56" s="15" t="str">
        <f>HYPERLINK("https://stat100.ameba.jp/tnk47/ratio20/illustrations/card/ill_74353_takechizuizan03.jpg?201902-1-RELEASE-raid-392x", "■")</f>
        <v>■</v>
      </c>
      <c r="F56" s="9" t="s">
        <v>464</v>
      </c>
      <c r="G56" s="9">
        <v>108306</v>
      </c>
      <c r="H56" s="9">
        <v>100698</v>
      </c>
      <c r="I56" s="9">
        <v>22</v>
      </c>
      <c r="J56" s="9" t="s">
        <v>351</v>
      </c>
      <c r="K56" s="9" t="s">
        <v>465</v>
      </c>
      <c r="L56" s="9" t="s">
        <v>11113</v>
      </c>
      <c r="M56" s="9" t="s">
        <v>13130</v>
      </c>
      <c r="N56" s="9" t="s">
        <v>343</v>
      </c>
      <c r="O56" s="14" t="s">
        <v>9158</v>
      </c>
      <c r="P56" s="14" t="s">
        <v>9158</v>
      </c>
      <c r="Q56" s="14" t="s">
        <v>9158</v>
      </c>
      <c r="R56" s="14" t="s">
        <v>14748</v>
      </c>
    </row>
    <row r="58" spans="1:18">
      <c r="A58" s="9" t="s">
        <v>3534</v>
      </c>
    </row>
    <row r="59" spans="1:18">
      <c r="A59" s="9" t="s">
        <v>11114</v>
      </c>
    </row>
    <row r="60" spans="1:18">
      <c r="A60" s="9" t="s">
        <v>9353</v>
      </c>
    </row>
    <row r="61" spans="1:18">
      <c r="A61" s="9" t="s">
        <v>5605</v>
      </c>
      <c r="B61" s="9" t="s">
        <v>330</v>
      </c>
      <c r="C61" s="9" t="s">
        <v>202</v>
      </c>
      <c r="D61" s="9" t="s">
        <v>10332</v>
      </c>
      <c r="E61" s="15" t="str">
        <f>HYPERLINK("https://stat100.ameba.jp/tnk47/ratio20/illustrations/card/ill_79373_0_hommeichokotennyohime03.jpg?201902-1-RELEASE-raid-392x", "■")</f>
        <v>■</v>
      </c>
      <c r="F61" s="9" t="s">
        <v>11045</v>
      </c>
      <c r="G61" s="9">
        <v>185478</v>
      </c>
      <c r="H61" s="9">
        <v>167643</v>
      </c>
      <c r="I61" s="9">
        <v>15</v>
      </c>
      <c r="J61" s="9" t="s">
        <v>283</v>
      </c>
      <c r="K61" s="9" t="s">
        <v>11046</v>
      </c>
      <c r="L61" s="9" t="s">
        <v>11047</v>
      </c>
      <c r="M61" s="14" t="s">
        <v>9158</v>
      </c>
      <c r="N61" s="14" t="s">
        <v>9158</v>
      </c>
      <c r="O61" s="9" t="s">
        <v>10072</v>
      </c>
      <c r="P61" s="9" t="s">
        <v>11048</v>
      </c>
      <c r="Q61" s="9">
        <v>1</v>
      </c>
    </row>
    <row r="62" spans="1:18">
      <c r="A62" s="9">
        <v>79443</v>
      </c>
      <c r="B62" s="9" t="s">
        <v>334</v>
      </c>
      <c r="C62" s="9" t="s">
        <v>191</v>
      </c>
      <c r="D62" s="9" t="s">
        <v>10501</v>
      </c>
      <c r="E62" s="15" t="str">
        <f>HYPERLINK("https://stat100.ameba.jp/tnk47/ratio20/illustrations/card/ill_79443_shogitanukinongaeshi03.jpg?201902-1-RELEASE-raid-392x", "■")</f>
        <v>■</v>
      </c>
      <c r="F62" s="9" t="s">
        <v>11115</v>
      </c>
      <c r="G62" s="9">
        <v>93184</v>
      </c>
      <c r="H62" s="9">
        <v>100400</v>
      </c>
      <c r="I62" s="9">
        <v>22</v>
      </c>
      <c r="J62" s="9" t="s">
        <v>274</v>
      </c>
      <c r="K62" s="9" t="s">
        <v>11116</v>
      </c>
      <c r="L62" s="9" t="s">
        <v>11117</v>
      </c>
      <c r="M62" s="14" t="s">
        <v>9158</v>
      </c>
      <c r="N62" s="14" t="s">
        <v>9158</v>
      </c>
      <c r="O62" s="14" t="s">
        <v>9158</v>
      </c>
      <c r="P62" s="14" t="s">
        <v>9158</v>
      </c>
      <c r="Q62" s="14" t="s">
        <v>9158</v>
      </c>
    </row>
    <row r="63" spans="1:18">
      <c r="A63" s="9">
        <v>79453</v>
      </c>
      <c r="B63" s="9" t="s">
        <v>348</v>
      </c>
      <c r="C63" s="9" t="s">
        <v>206</v>
      </c>
      <c r="D63" s="9" t="s">
        <v>10568</v>
      </c>
      <c r="E63" s="15" t="str">
        <f>HYPERLINK("https://stat100.ameba.jp/tnk47/ratio20/illustrations/card/ill_79453_shogiamanozume03.jpg?201902-1-RELEASE-raid-392x", "■")</f>
        <v>■</v>
      </c>
      <c r="F63" s="9" t="s">
        <v>11118</v>
      </c>
      <c r="G63" s="9">
        <v>65208</v>
      </c>
      <c r="H63" s="9">
        <v>59144</v>
      </c>
      <c r="I63" s="9">
        <v>22</v>
      </c>
      <c r="J63" s="9" t="s">
        <v>401</v>
      </c>
      <c r="K63" s="9" t="s">
        <v>11119</v>
      </c>
      <c r="L63" s="9" t="s">
        <v>4061</v>
      </c>
      <c r="M63" s="14" t="s">
        <v>9158</v>
      </c>
      <c r="N63" s="14" t="s">
        <v>9158</v>
      </c>
      <c r="O63" s="14" t="s">
        <v>9158</v>
      </c>
      <c r="P63" s="14" t="s">
        <v>9158</v>
      </c>
      <c r="Q63" s="14" t="s">
        <v>9158</v>
      </c>
    </row>
    <row r="64" spans="1:18">
      <c r="A64" s="9">
        <v>79463</v>
      </c>
      <c r="B64" s="9" t="s">
        <v>362</v>
      </c>
      <c r="C64" s="9" t="s">
        <v>205</v>
      </c>
      <c r="D64" s="9" t="s">
        <v>11120</v>
      </c>
      <c r="E64" s="15" t="str">
        <f>HYPERLINK("https://stat100.ameba.jp/tnk47/ratio20/illustrations/card/ill_79463_yakyuken03.jpg?201902-1-RELEASE-raid-392x", "■")</f>
        <v>■</v>
      </c>
      <c r="F64" s="9" t="s">
        <v>11121</v>
      </c>
      <c r="G64" s="9">
        <v>38032</v>
      </c>
      <c r="H64" s="9">
        <v>45742</v>
      </c>
      <c r="I64" s="9">
        <v>22</v>
      </c>
      <c r="J64" s="9" t="s">
        <v>369</v>
      </c>
      <c r="K64" s="9" t="s">
        <v>11122</v>
      </c>
      <c r="L64" s="9" t="s">
        <v>11123</v>
      </c>
      <c r="M64" s="14" t="s">
        <v>9158</v>
      </c>
      <c r="N64" s="14" t="s">
        <v>9158</v>
      </c>
      <c r="O64" s="14" t="s">
        <v>9158</v>
      </c>
      <c r="P64" s="14" t="s">
        <v>9158</v>
      </c>
      <c r="Q64" s="14" t="s">
        <v>9158</v>
      </c>
    </row>
    <row r="65" spans="1:17">
      <c r="A65" s="9">
        <v>79473</v>
      </c>
      <c r="B65" s="9" t="s">
        <v>372</v>
      </c>
      <c r="C65" s="9" t="s">
        <v>3536</v>
      </c>
      <c r="D65" s="9" t="s">
        <v>11124</v>
      </c>
      <c r="E65" s="15" t="str">
        <f>HYPERLINK("https://stat100.ameba.jp/tnk47/ratio20/illustrations/card/ill_79473_yukimbo03.jpg?201902-1-RELEASE-raid-392x", "■")</f>
        <v>■</v>
      </c>
      <c r="F65" s="9" t="s">
        <v>11125</v>
      </c>
      <c r="G65" s="9">
        <v>27692</v>
      </c>
      <c r="H65" s="9">
        <v>23258</v>
      </c>
      <c r="I65" s="9">
        <v>22</v>
      </c>
      <c r="J65" s="9" t="s">
        <v>274</v>
      </c>
      <c r="K65" s="9" t="s">
        <v>11126</v>
      </c>
      <c r="L65" s="9" t="s">
        <v>11127</v>
      </c>
      <c r="M65" s="14" t="s">
        <v>9158</v>
      </c>
      <c r="N65" s="14" t="s">
        <v>9158</v>
      </c>
      <c r="O65" s="14" t="s">
        <v>9158</v>
      </c>
      <c r="P65" s="14" t="s">
        <v>9158</v>
      </c>
      <c r="Q65" s="14" t="s">
        <v>9158</v>
      </c>
    </row>
    <row r="67" spans="1:17">
      <c r="A67" s="9" t="s">
        <v>204</v>
      </c>
    </row>
    <row r="68" spans="1:17">
      <c r="A68" s="9" t="s">
        <v>11128</v>
      </c>
    </row>
    <row r="69" spans="1:17">
      <c r="A69" s="9" t="s">
        <v>5623</v>
      </c>
      <c r="B69" s="9" t="s">
        <v>330</v>
      </c>
      <c r="C69" s="9" t="s">
        <v>165</v>
      </c>
      <c r="D69" s="9" t="s">
        <v>3146</v>
      </c>
      <c r="E69" s="15" t="str">
        <f>HYPERLINK("https://stat100.ameba.jp/tnk47/ratio20/illustrations/card/ill_65713_0_undokaionikirimaru03.jpg?201902-1-RELEASE-raid-392x", "■")</f>
        <v>■</v>
      </c>
      <c r="F69" s="9" t="s">
        <v>535</v>
      </c>
      <c r="G69" s="9">
        <v>113525</v>
      </c>
      <c r="H69" s="9">
        <v>105545</v>
      </c>
      <c r="I69" s="9">
        <v>15</v>
      </c>
      <c r="J69" s="9" t="s">
        <v>320</v>
      </c>
      <c r="K69" s="9" t="s">
        <v>3147</v>
      </c>
      <c r="L69" s="9" t="s">
        <v>3148</v>
      </c>
      <c r="M69" s="14" t="s">
        <v>9158</v>
      </c>
      <c r="N69" s="14" t="s">
        <v>9158</v>
      </c>
      <c r="O69" s="9" t="s">
        <v>2869</v>
      </c>
      <c r="P69" s="9" t="s">
        <v>2870</v>
      </c>
      <c r="Q69" s="9">
        <v>1</v>
      </c>
    </row>
    <row r="70" spans="1:17">
      <c r="A70" s="9" t="s">
        <v>5621</v>
      </c>
      <c r="B70" s="9" t="s">
        <v>330</v>
      </c>
      <c r="C70" s="9" t="s">
        <v>191</v>
      </c>
      <c r="D70" s="9" t="s">
        <v>2871</v>
      </c>
      <c r="E70" s="15" t="str">
        <f>HYPERLINK("https://stat100.ameba.jp/tnk47/ratio20/illustrations/card/ill_51973_0_kemonomizugikuroyuridensetsu03.jpg?201902-1-RELEASE-raid-392x", "■")</f>
        <v>■</v>
      </c>
      <c r="F70" s="9" t="s">
        <v>2872</v>
      </c>
      <c r="G70" s="9">
        <v>94236</v>
      </c>
      <c r="H70" s="9">
        <v>83712</v>
      </c>
      <c r="I70" s="9">
        <v>15</v>
      </c>
      <c r="J70" s="9" t="s">
        <v>274</v>
      </c>
      <c r="K70" s="9" t="s">
        <v>2873</v>
      </c>
      <c r="L70" s="9" t="s">
        <v>2874</v>
      </c>
      <c r="M70" s="14" t="s">
        <v>9158</v>
      </c>
      <c r="N70" s="14" t="s">
        <v>9158</v>
      </c>
      <c r="O70" s="9" t="s">
        <v>10088</v>
      </c>
      <c r="P70" s="9" t="s">
        <v>13172</v>
      </c>
      <c r="Q70" s="9">
        <v>1</v>
      </c>
    </row>
    <row r="71" spans="1:17">
      <c r="A71" s="9" t="s">
        <v>5622</v>
      </c>
      <c r="B71" s="9" t="s">
        <v>330</v>
      </c>
      <c r="C71" s="9" t="s">
        <v>185</v>
      </c>
      <c r="D71" s="9" t="s">
        <v>509</v>
      </c>
      <c r="E71" s="15" t="str">
        <f>HYPERLINK("https://stat100.ameba.jp/tnk47/ratio20/illustrations/card/ill_49953_0_yushamarihime03.jpg?201902-1-RELEASE-raid-392x", "■")</f>
        <v>■</v>
      </c>
      <c r="F71" s="9" t="s">
        <v>510</v>
      </c>
      <c r="G71" s="9">
        <v>94236</v>
      </c>
      <c r="H71" s="9">
        <v>83712</v>
      </c>
      <c r="I71" s="9">
        <v>15</v>
      </c>
      <c r="J71" s="9" t="s">
        <v>315</v>
      </c>
      <c r="K71" s="9" t="s">
        <v>511</v>
      </c>
      <c r="L71" s="9" t="s">
        <v>512</v>
      </c>
      <c r="M71" s="14" t="s">
        <v>9158</v>
      </c>
      <c r="N71" s="14" t="s">
        <v>9158</v>
      </c>
      <c r="O71" s="14" t="s">
        <v>9158</v>
      </c>
      <c r="P71" s="14" t="s">
        <v>9158</v>
      </c>
      <c r="Q71" s="14" t="s">
        <v>9158</v>
      </c>
    </row>
    <row r="72" spans="1:17">
      <c r="A72" s="9">
        <v>69943</v>
      </c>
      <c r="B72" s="9" t="s">
        <v>334</v>
      </c>
      <c r="C72" s="9" t="s">
        <v>165</v>
      </c>
      <c r="D72" s="9" t="s">
        <v>10364</v>
      </c>
      <c r="E72" s="15" t="str">
        <f>HYPERLINK("https://stat100.ameba.jp/tnk47/ratio20/illustrations/card/ill_69943_hanzaiopakabaro03.jpg?201902-1-RELEASE-raid-392x", "■")</f>
        <v>■</v>
      </c>
      <c r="F72" s="9" t="s">
        <v>11129</v>
      </c>
      <c r="G72" s="9">
        <v>106100</v>
      </c>
      <c r="H72" s="9">
        <v>59700</v>
      </c>
      <c r="I72" s="9">
        <v>22</v>
      </c>
      <c r="J72" s="9" t="s">
        <v>414</v>
      </c>
      <c r="K72" s="9" t="s">
        <v>11130</v>
      </c>
      <c r="L72" s="9" t="s">
        <v>827</v>
      </c>
      <c r="M72" s="14" t="s">
        <v>9158</v>
      </c>
      <c r="N72" s="14" t="s">
        <v>9158</v>
      </c>
      <c r="O72" s="14" t="s">
        <v>9158</v>
      </c>
      <c r="P72" s="14" t="s">
        <v>9158</v>
      </c>
      <c r="Q72" s="14" t="s">
        <v>9158</v>
      </c>
    </row>
    <row r="73" spans="1:17">
      <c r="A73" s="9">
        <v>61413</v>
      </c>
      <c r="B73" s="9" t="s">
        <v>334</v>
      </c>
      <c r="C73" s="9" t="s">
        <v>185</v>
      </c>
      <c r="D73" s="9" t="s">
        <v>1417</v>
      </c>
      <c r="E73" s="15" t="str">
        <f>HYPERLINK("https://stat100.ameba.jp/tnk47/ratio20/illustrations/card/ill_61413_toyako03.jpg?201902-1-RELEASE-raid-392x", "■")</f>
        <v>■</v>
      </c>
      <c r="F73" s="9" t="s">
        <v>1418</v>
      </c>
      <c r="G73" s="9">
        <v>104646</v>
      </c>
      <c r="H73" s="9">
        <v>75802</v>
      </c>
      <c r="I73" s="9">
        <v>22</v>
      </c>
      <c r="J73" s="9" t="s">
        <v>369</v>
      </c>
      <c r="K73" s="9" t="s">
        <v>1419</v>
      </c>
      <c r="L73" s="9" t="s">
        <v>1420</v>
      </c>
      <c r="M73" s="14" t="s">
        <v>9158</v>
      </c>
      <c r="N73" s="14" t="s">
        <v>9158</v>
      </c>
      <c r="O73" s="14" t="s">
        <v>9158</v>
      </c>
      <c r="P73" s="14" t="s">
        <v>9158</v>
      </c>
      <c r="Q73" s="14" t="s">
        <v>9158</v>
      </c>
    </row>
    <row r="74" spans="1:17">
      <c r="A74" s="9">
        <v>60813</v>
      </c>
      <c r="B74" s="9" t="s">
        <v>334</v>
      </c>
      <c r="C74" s="9" t="s">
        <v>200</v>
      </c>
      <c r="D74" s="9" t="s">
        <v>10842</v>
      </c>
      <c r="E74" s="15" t="str">
        <f>HYPERLINK("https://stat100.ameba.jp/tnk47/ratio20/illustrations/card/ill_60813_hieigo03.jpg?201902-1-RELEASE-raid-392x", "■")</f>
        <v>■</v>
      </c>
      <c r="F74" s="9" t="s">
        <v>11131</v>
      </c>
      <c r="G74" s="9">
        <v>85934</v>
      </c>
      <c r="H74" s="9">
        <v>79868</v>
      </c>
      <c r="I74" s="9">
        <v>22</v>
      </c>
      <c r="J74" s="9" t="s">
        <v>315</v>
      </c>
      <c r="K74" s="9" t="s">
        <v>11132</v>
      </c>
      <c r="L74" s="9" t="s">
        <v>1432</v>
      </c>
      <c r="M74" s="14" t="s">
        <v>9158</v>
      </c>
      <c r="N74" s="14" t="s">
        <v>9158</v>
      </c>
      <c r="O74" s="14" t="s">
        <v>9158</v>
      </c>
      <c r="P74" s="14" t="s">
        <v>9158</v>
      </c>
      <c r="Q74" s="14" t="s">
        <v>9158</v>
      </c>
    </row>
    <row r="76" spans="1:17">
      <c r="A76" s="9" t="s">
        <v>180</v>
      </c>
    </row>
    <row r="77" spans="1:17">
      <c r="A77" s="9" t="s">
        <v>11133</v>
      </c>
    </row>
    <row r="78" spans="1:17">
      <c r="A78" s="9" t="s">
        <v>5725</v>
      </c>
      <c r="B78" s="9" t="s">
        <v>330</v>
      </c>
      <c r="C78" s="9" t="s">
        <v>344</v>
      </c>
      <c r="D78" s="9" t="s">
        <v>543</v>
      </c>
      <c r="E78" s="15" t="str">
        <f>HYPERLINK("https://stat100.ameba.jp/tnk47/ratio20/illustrations/card/ill_52693_0_sengokumibirakiyanagiharabyakuren03.jpg?201902-2-RELEASE-unionbattle-393", "■")</f>
        <v>■</v>
      </c>
      <c r="F78" s="9" t="s">
        <v>544</v>
      </c>
      <c r="G78" s="9">
        <v>117196</v>
      </c>
      <c r="H78" s="9">
        <v>131930</v>
      </c>
      <c r="I78" s="9">
        <v>21</v>
      </c>
      <c r="J78" s="9" t="s">
        <v>414</v>
      </c>
      <c r="K78" s="9" t="s">
        <v>545</v>
      </c>
      <c r="L78" s="9" t="s">
        <v>546</v>
      </c>
      <c r="M78" s="14" t="s">
        <v>9158</v>
      </c>
      <c r="N78" s="14" t="s">
        <v>9158</v>
      </c>
      <c r="O78" s="9" t="s">
        <v>2886</v>
      </c>
      <c r="P78" s="9" t="s">
        <v>2734</v>
      </c>
      <c r="Q78" s="9">
        <v>1</v>
      </c>
    </row>
    <row r="79" spans="1:17">
      <c r="A79" s="9" t="s">
        <v>5897</v>
      </c>
      <c r="B79" s="9" t="s">
        <v>330</v>
      </c>
      <c r="C79" s="9" t="s">
        <v>271</v>
      </c>
      <c r="D79" s="9" t="s">
        <v>277</v>
      </c>
      <c r="E79" s="15" t="str">
        <f>HYPERLINK("https://stat100.ameba.jp/tnk47/ratio20/illustrations/card/ill_40913_0_reigyokudensetsufusehime03.jpg?201902-2-RELEASE-unionbattle-393", "■")</f>
        <v>■</v>
      </c>
      <c r="F79" s="9" t="s">
        <v>278</v>
      </c>
      <c r="G79" s="9">
        <v>115096</v>
      </c>
      <c r="H79" s="9">
        <v>122892</v>
      </c>
      <c r="I79" s="9">
        <v>21</v>
      </c>
      <c r="J79" s="9" t="s">
        <v>274</v>
      </c>
      <c r="K79" s="9" t="s">
        <v>279</v>
      </c>
      <c r="L79" s="9" t="s">
        <v>280</v>
      </c>
      <c r="M79" s="14" t="s">
        <v>9158</v>
      </c>
      <c r="N79" s="14" t="s">
        <v>9158</v>
      </c>
      <c r="O79" s="14" t="s">
        <v>9158</v>
      </c>
      <c r="P79" s="14" t="s">
        <v>9158</v>
      </c>
      <c r="Q79" s="14" t="s">
        <v>9158</v>
      </c>
    </row>
    <row r="80" spans="1:17">
      <c r="A80" s="9" t="s">
        <v>5721</v>
      </c>
      <c r="B80" s="9" t="s">
        <v>330</v>
      </c>
      <c r="C80" s="9" t="s">
        <v>267</v>
      </c>
      <c r="D80" s="9" t="s">
        <v>513</v>
      </c>
      <c r="E80" s="15" t="str">
        <f>HYPERLINK("https://stat100.ameba.jp/tnk47/ratio20/illustrations/card/ill_44283_0_izumonokuni03.jpg?201902-2-RELEASE-unionbattle-393", "■")</f>
        <v>■</v>
      </c>
      <c r="F80" s="9" t="s">
        <v>514</v>
      </c>
      <c r="G80" s="9">
        <v>122892</v>
      </c>
      <c r="H80" s="9">
        <v>115096</v>
      </c>
      <c r="I80" s="9">
        <v>21</v>
      </c>
      <c r="J80" s="9" t="s">
        <v>414</v>
      </c>
      <c r="K80" s="9" t="s">
        <v>515</v>
      </c>
      <c r="L80" s="9" t="s">
        <v>516</v>
      </c>
      <c r="M80" s="14" t="s">
        <v>9158</v>
      </c>
      <c r="N80" s="14" t="s">
        <v>9158</v>
      </c>
      <c r="O80" s="14" t="s">
        <v>9158</v>
      </c>
      <c r="P80" s="14" t="s">
        <v>9158</v>
      </c>
      <c r="Q80" s="14" t="s">
        <v>9158</v>
      </c>
    </row>
    <row r="81" spans="1:17">
      <c r="A81" s="9">
        <v>79443</v>
      </c>
      <c r="B81" s="9" t="s">
        <v>334</v>
      </c>
      <c r="C81" s="9" t="s">
        <v>191</v>
      </c>
      <c r="D81" s="9" t="s">
        <v>10501</v>
      </c>
      <c r="E81" s="15" t="str">
        <f>HYPERLINK("https://stat100.ameba.jp/tnk47/ratio20/illustrations/card/ill_79443_shogitanukinongaeshi03.jpg?201902-2-RELEASE-unionbattle-393", "■")</f>
        <v>■</v>
      </c>
      <c r="F81" s="9" t="s">
        <v>11115</v>
      </c>
      <c r="G81" s="9">
        <v>88948</v>
      </c>
      <c r="H81" s="9">
        <v>95836</v>
      </c>
      <c r="I81" s="9">
        <v>21</v>
      </c>
      <c r="J81" s="9" t="s">
        <v>274</v>
      </c>
      <c r="K81" s="9" t="s">
        <v>11116</v>
      </c>
      <c r="L81" s="9" t="s">
        <v>11117</v>
      </c>
      <c r="M81" s="14" t="s">
        <v>9158</v>
      </c>
      <c r="N81" s="14" t="s">
        <v>9158</v>
      </c>
      <c r="O81" s="14" t="s">
        <v>9158</v>
      </c>
      <c r="P81" s="14" t="s">
        <v>9158</v>
      </c>
      <c r="Q81" s="14" t="s">
        <v>9158</v>
      </c>
    </row>
    <row r="82" spans="1:17">
      <c r="A82" s="9">
        <v>79453</v>
      </c>
      <c r="B82" s="9" t="s">
        <v>348</v>
      </c>
      <c r="C82" s="9" t="s">
        <v>206</v>
      </c>
      <c r="D82" s="9" t="s">
        <v>10568</v>
      </c>
      <c r="E82" s="15" t="str">
        <f>HYPERLINK("https://stat100.ameba.jp/tnk47/ratio20/illustrations/card/ill_79453_shogiamanozume03.jpg?201902-2-RELEASE-unionbattle-393", "■")</f>
        <v>■</v>
      </c>
      <c r="F82" s="9" t="s">
        <v>11118</v>
      </c>
      <c r="G82" s="9">
        <v>53352</v>
      </c>
      <c r="H82" s="9">
        <v>48390</v>
      </c>
      <c r="I82" s="9">
        <v>18</v>
      </c>
      <c r="J82" s="9" t="s">
        <v>401</v>
      </c>
      <c r="K82" s="9" t="s">
        <v>11119</v>
      </c>
      <c r="L82" s="9" t="s">
        <v>4061</v>
      </c>
      <c r="M82" s="14" t="s">
        <v>9158</v>
      </c>
      <c r="N82" s="14" t="s">
        <v>9158</v>
      </c>
      <c r="O82" s="14" t="s">
        <v>9158</v>
      </c>
      <c r="P82" s="14" t="s">
        <v>9158</v>
      </c>
      <c r="Q82" s="14" t="s">
        <v>9158</v>
      </c>
    </row>
    <row r="83" spans="1:17">
      <c r="A83" s="9">
        <v>79463</v>
      </c>
      <c r="B83" s="9" t="s">
        <v>362</v>
      </c>
      <c r="C83" s="9" t="s">
        <v>205</v>
      </c>
      <c r="D83" s="9" t="s">
        <v>11120</v>
      </c>
      <c r="E83" s="15" t="str">
        <f>HYPERLINK("https://stat100.ameba.jp/tnk47/ratio20/illustrations/card/ill_79463_yakyuken03.jpg?201902-2-RELEASE-unionbattle-393", "■")</f>
        <v>■</v>
      </c>
      <c r="F83" s="9" t="s">
        <v>11121</v>
      </c>
      <c r="G83" s="9">
        <v>29388</v>
      </c>
      <c r="H83" s="9">
        <v>35346</v>
      </c>
      <c r="I83" s="9">
        <v>17</v>
      </c>
      <c r="J83" s="9" t="s">
        <v>369</v>
      </c>
      <c r="K83" s="9" t="s">
        <v>11122</v>
      </c>
      <c r="L83" s="9" t="s">
        <v>11123</v>
      </c>
      <c r="M83" s="14" t="s">
        <v>9158</v>
      </c>
      <c r="N83" s="14" t="s">
        <v>9158</v>
      </c>
      <c r="O83" s="14" t="s">
        <v>9158</v>
      </c>
      <c r="P83" s="14" t="s">
        <v>9158</v>
      </c>
      <c r="Q83" s="14" t="s">
        <v>9158</v>
      </c>
    </row>
    <row r="84" spans="1:17">
      <c r="A84" s="9">
        <v>79473</v>
      </c>
      <c r="B84" s="9" t="s">
        <v>372</v>
      </c>
      <c r="C84" s="9" t="s">
        <v>3536</v>
      </c>
      <c r="D84" s="9" t="s">
        <v>11124</v>
      </c>
      <c r="E84" s="15" t="str">
        <f>HYPERLINK("https://stat100.ameba.jp/tnk47/ratio20/illustrations/card/ill_79473_yukimbo03.jpg?201902-2-RELEASE-unionbattle-393", "■")</f>
        <v>■</v>
      </c>
      <c r="F84" s="9" t="s">
        <v>11125</v>
      </c>
      <c r="G84" s="9">
        <v>21398</v>
      </c>
      <c r="H84" s="9">
        <v>17972</v>
      </c>
      <c r="I84" s="9">
        <v>17</v>
      </c>
      <c r="J84" s="9" t="s">
        <v>274</v>
      </c>
      <c r="K84" s="9" t="s">
        <v>11126</v>
      </c>
      <c r="L84" s="9" t="s">
        <v>11127</v>
      </c>
      <c r="M84" s="14" t="s">
        <v>9158</v>
      </c>
      <c r="N84" s="14" t="s">
        <v>9158</v>
      </c>
      <c r="O84" s="14" t="s">
        <v>9158</v>
      </c>
      <c r="P84" s="14" t="s">
        <v>9158</v>
      </c>
      <c r="Q84" s="14" t="s">
        <v>9158</v>
      </c>
    </row>
    <row r="86" spans="1:17">
      <c r="A86" s="9" t="s">
        <v>1357</v>
      </c>
    </row>
    <row r="87" spans="1:17">
      <c r="A87" s="9" t="s">
        <v>11134</v>
      </c>
    </row>
    <row r="88" spans="1:17">
      <c r="A88" s="9" t="s">
        <v>11479</v>
      </c>
      <c r="B88" s="9" t="s">
        <v>330</v>
      </c>
      <c r="C88" s="9" t="s">
        <v>206</v>
      </c>
      <c r="D88" s="9" t="s">
        <v>2936</v>
      </c>
      <c r="E88" s="15" t="str">
        <f>HYPERLINK("https://stat100.ameba.jp/tnk47/ratio20/illustrations/card/ill_72233_0_koinoboriryugujin03.jpg?201902-2-RELEASE-unionbattle-393", "■")</f>
        <v>■</v>
      </c>
      <c r="F88" s="9" t="s">
        <v>2937</v>
      </c>
      <c r="G88" s="9">
        <v>98395</v>
      </c>
      <c r="H88" s="9">
        <v>105833</v>
      </c>
      <c r="I88" s="9">
        <v>15</v>
      </c>
      <c r="J88" s="9" t="s">
        <v>401</v>
      </c>
      <c r="K88" s="9" t="s">
        <v>2938</v>
      </c>
      <c r="L88" s="9" t="s">
        <v>2939</v>
      </c>
      <c r="M88" s="14" t="s">
        <v>9158</v>
      </c>
      <c r="N88" s="14" t="s">
        <v>9158</v>
      </c>
      <c r="O88" s="9" t="s">
        <v>2940</v>
      </c>
      <c r="P88" s="9" t="s">
        <v>2941</v>
      </c>
      <c r="Q88" s="9">
        <v>2</v>
      </c>
    </row>
    <row r="89" spans="1:17">
      <c r="A89" s="9" t="s">
        <v>5787</v>
      </c>
      <c r="B89" s="9" t="s">
        <v>330</v>
      </c>
      <c r="C89" s="9" t="s">
        <v>202</v>
      </c>
      <c r="D89" s="9" t="s">
        <v>331</v>
      </c>
      <c r="E89" s="15" t="str">
        <f>HYPERLINK("https://stat100.ameba.jp/tnk47/ratio20/illustrations/card/ill_76303_0_haroinkaguya03.jpg?201902-2-RELEASE-unionbattle-393", "■")</f>
        <v>■</v>
      </c>
      <c r="F89" s="9" t="s">
        <v>332</v>
      </c>
      <c r="G89" s="9">
        <v>178507</v>
      </c>
      <c r="H89" s="9">
        <v>165953</v>
      </c>
      <c r="I89" s="9">
        <v>15</v>
      </c>
      <c r="J89" s="9" t="s">
        <v>274</v>
      </c>
      <c r="K89" s="9" t="s">
        <v>333</v>
      </c>
      <c r="L89" s="9" t="s">
        <v>276</v>
      </c>
      <c r="M89" s="14" t="s">
        <v>9158</v>
      </c>
      <c r="N89" s="14" t="s">
        <v>9158</v>
      </c>
      <c r="O89" s="9" t="s">
        <v>2976</v>
      </c>
      <c r="P89" s="9" t="s">
        <v>2977</v>
      </c>
      <c r="Q89" s="9">
        <v>1</v>
      </c>
    </row>
    <row r="90" spans="1:17">
      <c r="A90" s="9" t="s">
        <v>6132</v>
      </c>
      <c r="B90" s="9" t="s">
        <v>330</v>
      </c>
      <c r="C90" s="9" t="s">
        <v>205</v>
      </c>
      <c r="D90" s="9" t="s">
        <v>702</v>
      </c>
      <c r="E90" s="15" t="str">
        <f>HYPERLINK("https://stat100.ameba.jp/tnk47/ratio20/illustrations/card/ill_50693_0_hanamizugimimuratsuru03.jpg?201902-2-RELEASE-unionbattle-393", "■")</f>
        <v>■</v>
      </c>
      <c r="F90" s="9" t="s">
        <v>703</v>
      </c>
      <c r="G90" s="9">
        <v>83712</v>
      </c>
      <c r="H90" s="9">
        <v>94236</v>
      </c>
      <c r="I90" s="9">
        <v>15</v>
      </c>
      <c r="J90" s="9" t="s">
        <v>310</v>
      </c>
      <c r="K90" s="9" t="s">
        <v>704</v>
      </c>
      <c r="L90" s="9" t="s">
        <v>705</v>
      </c>
      <c r="M90" s="14" t="s">
        <v>9158</v>
      </c>
      <c r="N90" s="14" t="s">
        <v>9158</v>
      </c>
      <c r="O90" s="14" t="s">
        <v>9158</v>
      </c>
      <c r="P90" s="14" t="s">
        <v>9158</v>
      </c>
      <c r="Q90" s="14" t="s">
        <v>9158</v>
      </c>
    </row>
    <row r="91" spans="1:17">
      <c r="A91" s="9">
        <v>76873</v>
      </c>
      <c r="B91" s="9" t="s">
        <v>334</v>
      </c>
      <c r="C91" s="9" t="s">
        <v>209</v>
      </c>
      <c r="D91" s="9" t="s">
        <v>10195</v>
      </c>
      <c r="E91" s="15" t="str">
        <f>HYPERLINK("https://stat100.ameba.jp/tnk47/ratio20/illustrations/card/ill_76873_torerokamomiro03.jpg?201902-2-RELEASE-unionbattle-393", "■")</f>
        <v>■</v>
      </c>
      <c r="F91" s="9" t="s">
        <v>11135</v>
      </c>
      <c r="G91" s="9">
        <v>161516</v>
      </c>
      <c r="H91" s="9">
        <v>90870</v>
      </c>
      <c r="I91" s="9">
        <v>22</v>
      </c>
      <c r="J91" s="9" t="s">
        <v>351</v>
      </c>
      <c r="K91" s="9" t="s">
        <v>11136</v>
      </c>
      <c r="L91" s="9" t="s">
        <v>11137</v>
      </c>
      <c r="M91" s="14" t="s">
        <v>9158</v>
      </c>
      <c r="N91" s="14" t="s">
        <v>9158</v>
      </c>
      <c r="O91" s="14" t="s">
        <v>9158</v>
      </c>
      <c r="P91" s="14" t="s">
        <v>9158</v>
      </c>
      <c r="Q91" s="14" t="s">
        <v>9158</v>
      </c>
    </row>
    <row r="92" spans="1:17">
      <c r="A92" s="9">
        <v>75193</v>
      </c>
      <c r="B92" s="9" t="s">
        <v>334</v>
      </c>
      <c r="C92" s="9" t="s">
        <v>203</v>
      </c>
      <c r="D92" s="9" t="s">
        <v>10458</v>
      </c>
      <c r="E92" s="15" t="str">
        <f>HYPERLINK("https://stat100.ameba.jp/tnk47/ratio20/illustrations/card/ill_75193_rabanommyonojiomansa03.jpg?201902-2-RELEASE-unionbattle-393", "■")</f>
        <v>■</v>
      </c>
      <c r="F92" s="9" t="s">
        <v>490</v>
      </c>
      <c r="G92" s="9">
        <v>84560</v>
      </c>
      <c r="H92" s="9">
        <v>90934</v>
      </c>
      <c r="I92" s="9">
        <v>22</v>
      </c>
      <c r="J92" s="9" t="s">
        <v>401</v>
      </c>
      <c r="K92" s="9" t="s">
        <v>491</v>
      </c>
      <c r="L92" s="9" t="s">
        <v>492</v>
      </c>
      <c r="M92" s="14" t="s">
        <v>9158</v>
      </c>
      <c r="N92" s="14" t="s">
        <v>9158</v>
      </c>
      <c r="O92" s="14" t="s">
        <v>9158</v>
      </c>
      <c r="P92" s="14" t="s">
        <v>9158</v>
      </c>
      <c r="Q92" s="14" t="s">
        <v>9158</v>
      </c>
    </row>
    <row r="93" spans="1:17">
      <c r="A93" s="9">
        <v>77753</v>
      </c>
      <c r="B93" s="9" t="s">
        <v>334</v>
      </c>
      <c r="C93" s="9" t="s">
        <v>203</v>
      </c>
      <c r="D93" s="9" t="s">
        <v>1515</v>
      </c>
      <c r="E93" s="15" t="str">
        <f>HYPERLINK("https://stat100.ameba.jp/tnk47/ratio20/illustrations/card/ill_77753_sekiennotorisu03.jpg?201902-2-RELEASE-unionbattle-393", "■")</f>
        <v>■</v>
      </c>
      <c r="F93" s="9" t="s">
        <v>1516</v>
      </c>
      <c r="G93" s="9">
        <v>161516</v>
      </c>
      <c r="H93" s="9">
        <v>90870</v>
      </c>
      <c r="I93" s="9">
        <v>22</v>
      </c>
      <c r="J93" s="9" t="s">
        <v>310</v>
      </c>
      <c r="K93" s="9" t="s">
        <v>1517</v>
      </c>
      <c r="L93" s="9" t="s">
        <v>443</v>
      </c>
      <c r="M93" s="14" t="s">
        <v>9158</v>
      </c>
      <c r="N93" s="14" t="s">
        <v>9158</v>
      </c>
      <c r="O93" s="14" t="s">
        <v>9158</v>
      </c>
      <c r="P93" s="14" t="s">
        <v>9158</v>
      </c>
      <c r="Q93" s="14" t="s">
        <v>9158</v>
      </c>
    </row>
    <row r="94" spans="1:17">
      <c r="A94" s="9">
        <v>49233</v>
      </c>
      <c r="B94" s="9" t="s">
        <v>348</v>
      </c>
      <c r="C94" s="9" t="s">
        <v>200</v>
      </c>
      <c r="D94" s="9" t="s">
        <v>11138</v>
      </c>
      <c r="E94" s="15" t="str">
        <f>HYPERLINK("https://stat100.ameba.jp/tnk47/ratio20/illustrations/card/ill_49233_kanfutakiyashahime03.jpg?201902-2-RELEASE-unionbattle-393", "■")</f>
        <v>■</v>
      </c>
      <c r="F94" s="9" t="s">
        <v>11139</v>
      </c>
      <c r="G94" s="9">
        <v>59144</v>
      </c>
      <c r="H94" s="9">
        <v>65208</v>
      </c>
      <c r="I94" s="9">
        <v>22</v>
      </c>
      <c r="J94" s="9" t="s">
        <v>315</v>
      </c>
      <c r="K94" s="9" t="s">
        <v>11140</v>
      </c>
      <c r="L94" s="9" t="s">
        <v>11141</v>
      </c>
      <c r="M94" s="14" t="s">
        <v>9158</v>
      </c>
      <c r="N94" s="14" t="s">
        <v>9158</v>
      </c>
      <c r="O94" s="14" t="s">
        <v>9158</v>
      </c>
      <c r="P94" s="14" t="s">
        <v>9158</v>
      </c>
      <c r="Q94" s="14" t="s">
        <v>9158</v>
      </c>
    </row>
    <row r="95" spans="1:17">
      <c r="A95" s="9">
        <v>48953</v>
      </c>
      <c r="B95" s="9" t="s">
        <v>348</v>
      </c>
      <c r="C95" s="9" t="s">
        <v>165</v>
      </c>
      <c r="D95" s="9" t="s">
        <v>11142</v>
      </c>
      <c r="E95" s="15" t="str">
        <f>HYPERLINK("https://stat100.ameba.jp/tnk47/ratio20/illustrations/card/ill_48953_heraizumishikibu03.jpg?201902-2-RELEASE-unionbattle-393", "■")</f>
        <v>■</v>
      </c>
      <c r="F95" s="9" t="s">
        <v>11143</v>
      </c>
      <c r="G95" s="9">
        <v>65208</v>
      </c>
      <c r="H95" s="9">
        <v>59144</v>
      </c>
      <c r="I95" s="9">
        <v>22</v>
      </c>
      <c r="J95" s="9" t="s">
        <v>414</v>
      </c>
      <c r="K95" s="9" t="s">
        <v>11144</v>
      </c>
      <c r="L95" s="9" t="s">
        <v>11145</v>
      </c>
      <c r="M95" s="14" t="s">
        <v>9158</v>
      </c>
      <c r="N95" s="14" t="s">
        <v>9158</v>
      </c>
      <c r="O95" s="14" t="s">
        <v>9158</v>
      </c>
      <c r="P95" s="14" t="s">
        <v>9158</v>
      </c>
      <c r="Q95" s="14" t="s">
        <v>9158</v>
      </c>
    </row>
    <row r="96" spans="1:17">
      <c r="A96" s="9">
        <v>50133</v>
      </c>
      <c r="B96" s="9" t="s">
        <v>348</v>
      </c>
      <c r="C96" s="9" t="s">
        <v>206</v>
      </c>
      <c r="D96" s="9" t="s">
        <v>11146</v>
      </c>
      <c r="E96" s="15" t="str">
        <f>HYPERLINK("https://stat100.ameba.jp/tnk47/ratio20/illustrations/card/ill_50133_ningyohimeakakanaja03.jpg?201902-2-RELEASE-unionbattle-393", "■")</f>
        <v>■</v>
      </c>
      <c r="F96" s="9" t="s">
        <v>11147</v>
      </c>
      <c r="G96" s="9">
        <v>59144</v>
      </c>
      <c r="H96" s="9">
        <v>65208</v>
      </c>
      <c r="I96" s="9">
        <v>22</v>
      </c>
      <c r="J96" s="9" t="s">
        <v>320</v>
      </c>
      <c r="K96" s="9" t="s">
        <v>11148</v>
      </c>
      <c r="L96" s="9" t="s">
        <v>11149</v>
      </c>
      <c r="M96" s="14" t="s">
        <v>9158</v>
      </c>
      <c r="N96" s="14" t="s">
        <v>9158</v>
      </c>
      <c r="O96" s="14" t="s">
        <v>9158</v>
      </c>
      <c r="P96" s="14" t="s">
        <v>9158</v>
      </c>
      <c r="Q96" s="14" t="s">
        <v>9158</v>
      </c>
    </row>
    <row r="98" spans="1:17">
      <c r="A98" s="9" t="s">
        <v>135</v>
      </c>
    </row>
    <row r="99" spans="1:17">
      <c r="A99" s="9" t="s">
        <v>11150</v>
      </c>
    </row>
    <row r="100" spans="1:17">
      <c r="A100" s="9" t="s">
        <v>5899</v>
      </c>
      <c r="B100" s="9" t="s">
        <v>330</v>
      </c>
      <c r="C100" s="9" t="s">
        <v>205</v>
      </c>
      <c r="D100" s="9" t="s">
        <v>1559</v>
      </c>
      <c r="E100" s="15" t="str">
        <f>HYPERLINK("https://stat100.ameba.jp/tnk47/ratio20/illustrations/card/ill_73773_0_umibirakiinugamigyobu03.jpg?201902-2-RELEASE-unionbattle-393", "■")</f>
        <v>■</v>
      </c>
      <c r="F100" s="9" t="s">
        <v>1560</v>
      </c>
      <c r="G100" s="9">
        <v>199580</v>
      </c>
      <c r="H100" s="9">
        <v>214667</v>
      </c>
      <c r="I100" s="9">
        <v>23</v>
      </c>
      <c r="J100" s="9" t="s">
        <v>320</v>
      </c>
      <c r="K100" s="9" t="s">
        <v>1561</v>
      </c>
      <c r="L100" s="9" t="s">
        <v>1562</v>
      </c>
      <c r="M100" s="14" t="s">
        <v>9158</v>
      </c>
      <c r="N100" s="14" t="s">
        <v>9158</v>
      </c>
      <c r="O100" s="9" t="s">
        <v>3555</v>
      </c>
      <c r="P100" s="9" t="s">
        <v>3556</v>
      </c>
      <c r="Q100" s="9">
        <v>2</v>
      </c>
    </row>
    <row r="101" spans="1:17">
      <c r="A101" s="9">
        <v>73103</v>
      </c>
      <c r="B101" s="9" t="s">
        <v>334</v>
      </c>
      <c r="C101" s="9" t="s">
        <v>203</v>
      </c>
      <c r="D101" s="9" t="s">
        <v>3557</v>
      </c>
      <c r="E101" s="15" t="str">
        <f>HYPERLINK("https://stat100.ameba.jp/tnk47/ratio20/illustrations/card/ill_73103_nominookata03.jpg?201902-2-RELEASE-unionbattle-393", "■")</f>
        <v>■</v>
      </c>
      <c r="F101" s="9" t="s">
        <v>11151</v>
      </c>
      <c r="G101" s="9">
        <v>66487</v>
      </c>
      <c r="H101" s="9">
        <v>91779</v>
      </c>
      <c r="I101" s="9">
        <v>21</v>
      </c>
      <c r="J101" s="9" t="s">
        <v>187</v>
      </c>
      <c r="K101" s="9" t="s">
        <v>3558</v>
      </c>
      <c r="L101" s="9" t="s">
        <v>13142</v>
      </c>
      <c r="M101" s="14" t="s">
        <v>9158</v>
      </c>
      <c r="N101" s="14" t="s">
        <v>9158</v>
      </c>
      <c r="O101" s="9" t="s">
        <v>2717</v>
      </c>
      <c r="P101" s="9" t="s">
        <v>13173</v>
      </c>
      <c r="Q101" s="9">
        <v>1</v>
      </c>
    </row>
    <row r="102" spans="1:17">
      <c r="A102" s="9">
        <v>72193</v>
      </c>
      <c r="B102" s="9" t="s">
        <v>334</v>
      </c>
      <c r="C102" s="9" t="s">
        <v>165</v>
      </c>
      <c r="D102" s="9" t="s">
        <v>3559</v>
      </c>
      <c r="E102" s="15" t="str">
        <f>HYPERLINK("https://stat100.ameba.jp/tnk47/ratio20/illustrations/card/ill_72193_koinoborikomyokogo03.jpg?201902-2-RELEASE-unionbattle-393", "■")</f>
        <v>■</v>
      </c>
      <c r="F102" s="9" t="s">
        <v>3113</v>
      </c>
      <c r="G102" s="9">
        <v>82027</v>
      </c>
      <c r="H102" s="9">
        <v>76237</v>
      </c>
      <c r="I102" s="9">
        <v>21</v>
      </c>
      <c r="J102" s="9" t="s">
        <v>173</v>
      </c>
      <c r="K102" s="9" t="s">
        <v>3560</v>
      </c>
      <c r="L102" s="9" t="s">
        <v>13183</v>
      </c>
      <c r="M102" s="14" t="s">
        <v>9158</v>
      </c>
      <c r="N102" s="14" t="s">
        <v>9158</v>
      </c>
      <c r="O102" s="9" t="s">
        <v>10057</v>
      </c>
      <c r="P102" s="9" t="s">
        <v>3561</v>
      </c>
      <c r="Q102" s="9">
        <v>1</v>
      </c>
    </row>
    <row r="103" spans="1:17">
      <c r="A103" s="9">
        <v>63283</v>
      </c>
      <c r="B103" s="9" t="s">
        <v>334</v>
      </c>
      <c r="C103" s="9" t="s">
        <v>154</v>
      </c>
      <c r="D103" s="9" t="s">
        <v>327</v>
      </c>
      <c r="E103" s="15" t="str">
        <f>HYPERLINK("https://stat100.ameba.jp/tnk47/ratio20/illustrations/card/ill_63283_mizuyokanchan03.jpg?201902-2-RELEASE-unionbattle-393", "■")</f>
        <v>■</v>
      </c>
      <c r="F103" s="9" t="s">
        <v>327</v>
      </c>
      <c r="G103" s="9">
        <v>99173</v>
      </c>
      <c r="H103" s="9">
        <v>92220</v>
      </c>
      <c r="I103" s="9">
        <v>21</v>
      </c>
      <c r="J103" s="9" t="s">
        <v>216</v>
      </c>
      <c r="K103" s="9" t="s">
        <v>3562</v>
      </c>
      <c r="L103" s="9" t="s">
        <v>13184</v>
      </c>
      <c r="M103" s="14" t="s">
        <v>9158</v>
      </c>
      <c r="N103" s="14" t="s">
        <v>9158</v>
      </c>
      <c r="O103" s="9" t="s">
        <v>3870</v>
      </c>
      <c r="P103" s="9" t="s">
        <v>3563</v>
      </c>
      <c r="Q103" s="9">
        <v>1</v>
      </c>
    </row>
    <row r="105" spans="1:17">
      <c r="A105" s="9" t="s">
        <v>195</v>
      </c>
    </row>
    <row r="106" spans="1:17">
      <c r="A106" s="9" t="s">
        <v>11152</v>
      </c>
    </row>
    <row r="107" spans="1:17">
      <c r="A107" s="9">
        <v>66093</v>
      </c>
      <c r="B107" s="9" t="s">
        <v>334</v>
      </c>
      <c r="C107" s="9" t="s">
        <v>209</v>
      </c>
      <c r="D107" s="9" t="s">
        <v>10228</v>
      </c>
      <c r="E107" s="15" t="str">
        <f>HYPERLINK("https://stat100.ameba.jp/tnk47/ratio20/illustrations/card/ill_66093_sasanishiki03.jpg?201902-2-RELEASE-unionbattle-393", "■")</f>
        <v>■</v>
      </c>
      <c r="F107" s="9" t="s">
        <v>11153</v>
      </c>
      <c r="G107" s="9">
        <v>94886</v>
      </c>
      <c r="H107" s="9">
        <v>88226</v>
      </c>
      <c r="I107" s="9">
        <v>22</v>
      </c>
      <c r="J107" s="9" t="s">
        <v>283</v>
      </c>
      <c r="K107" s="9" t="s">
        <v>11154</v>
      </c>
      <c r="L107" s="9" t="s">
        <v>11155</v>
      </c>
      <c r="M107" s="14" t="s">
        <v>9158</v>
      </c>
      <c r="N107" s="14" t="s">
        <v>9158</v>
      </c>
      <c r="O107" s="14" t="s">
        <v>9158</v>
      </c>
      <c r="P107" s="14" t="s">
        <v>9158</v>
      </c>
      <c r="Q107" s="14" t="s">
        <v>9158</v>
      </c>
    </row>
    <row r="108" spans="1:17">
      <c r="A108" s="9">
        <v>66103</v>
      </c>
      <c r="B108" s="9" t="s">
        <v>334</v>
      </c>
      <c r="C108" s="9" t="s">
        <v>158</v>
      </c>
      <c r="D108" s="9" t="s">
        <v>10229</v>
      </c>
      <c r="E108" s="15" t="str">
        <f>HYPERLINK("https://stat100.ameba.jp/tnk47/ratio20/illustrations/card/ill_66103_kokentenno03.jpg?201902-2-RELEASE-unionbattle-393", "■")</f>
        <v>■</v>
      </c>
      <c r="F108" s="9" t="s">
        <v>11156</v>
      </c>
      <c r="G108" s="9">
        <v>94886</v>
      </c>
      <c r="H108" s="9">
        <v>88226</v>
      </c>
      <c r="I108" s="9">
        <v>22</v>
      </c>
      <c r="J108" s="9" t="s">
        <v>315</v>
      </c>
      <c r="K108" s="9" t="s">
        <v>11157</v>
      </c>
      <c r="L108" s="9" t="s">
        <v>11158</v>
      </c>
      <c r="M108" s="14" t="s">
        <v>9158</v>
      </c>
      <c r="N108" s="14" t="s">
        <v>9158</v>
      </c>
      <c r="O108" s="14" t="s">
        <v>9158</v>
      </c>
      <c r="P108" s="14" t="s">
        <v>9158</v>
      </c>
      <c r="Q108" s="14" t="s">
        <v>9158</v>
      </c>
    </row>
    <row r="109" spans="1:17">
      <c r="A109" s="9">
        <v>65173</v>
      </c>
      <c r="B109" s="9" t="s">
        <v>334</v>
      </c>
      <c r="C109" s="9" t="s">
        <v>191</v>
      </c>
      <c r="D109" s="9" t="s">
        <v>3564</v>
      </c>
      <c r="E109" s="15" t="str">
        <f>HYPERLINK("https://stat100.ameba.jp/tnk47/ratio20/illustrations/card/ill_65173_kimodameshihorahamahime03.jpg?201902-2-RELEASE-unionbattle-393", "■")</f>
        <v>■</v>
      </c>
      <c r="F109" s="9" t="s">
        <v>11159</v>
      </c>
      <c r="G109" s="9">
        <v>85246</v>
      </c>
      <c r="H109" s="9">
        <v>91664</v>
      </c>
      <c r="I109" s="9">
        <v>22</v>
      </c>
      <c r="J109" s="9" t="s">
        <v>182</v>
      </c>
      <c r="K109" s="9" t="s">
        <v>3566</v>
      </c>
      <c r="L109" s="9" t="s">
        <v>13185</v>
      </c>
      <c r="M109" s="14" t="s">
        <v>9158</v>
      </c>
      <c r="N109" s="14" t="s">
        <v>9158</v>
      </c>
      <c r="O109" s="14" t="s">
        <v>9158</v>
      </c>
      <c r="P109" s="14" t="s">
        <v>9158</v>
      </c>
      <c r="Q109" s="14" t="s">
        <v>9158</v>
      </c>
    </row>
    <row r="110" spans="1:17">
      <c r="A110" s="9">
        <v>69663</v>
      </c>
      <c r="B110" s="9" t="s">
        <v>334</v>
      </c>
      <c r="C110" s="9" t="s">
        <v>200</v>
      </c>
      <c r="D110" s="9" t="s">
        <v>3568</v>
      </c>
      <c r="E110" s="15" t="str">
        <f>HYPERLINK("https://stat100.ameba.jp/tnk47/ratio20/illustrations/card/ill_69663_massajiuenopandachan03.jpg?201902-2-RELEASE-unionbattle-393", "■")</f>
        <v>■</v>
      </c>
      <c r="F110" s="9" t="s">
        <v>11160</v>
      </c>
      <c r="G110" s="9">
        <v>86934</v>
      </c>
      <c r="H110" s="9">
        <v>93514</v>
      </c>
      <c r="I110" s="9">
        <v>22</v>
      </c>
      <c r="J110" s="9" t="s">
        <v>229</v>
      </c>
      <c r="K110" s="9" t="s">
        <v>3570</v>
      </c>
      <c r="L110" s="9" t="s">
        <v>13186</v>
      </c>
      <c r="M110" s="14" t="s">
        <v>9158</v>
      </c>
      <c r="N110" s="14" t="s">
        <v>9158</v>
      </c>
      <c r="O110" s="14" t="s">
        <v>9158</v>
      </c>
      <c r="P110" s="14" t="s">
        <v>9158</v>
      </c>
      <c r="Q110" s="14" t="s">
        <v>9158</v>
      </c>
    </row>
    <row r="112" spans="1:17">
      <c r="A112" s="9" t="s">
        <v>222</v>
      </c>
    </row>
    <row r="113" spans="1:17">
      <c r="A113" s="9" t="s">
        <v>11161</v>
      </c>
    </row>
    <row r="114" spans="1:17">
      <c r="A114" s="9" t="s">
        <v>5778</v>
      </c>
      <c r="B114" s="9" t="s">
        <v>330</v>
      </c>
      <c r="C114" s="9" t="s">
        <v>205</v>
      </c>
      <c r="D114" s="9" t="s">
        <v>272</v>
      </c>
      <c r="E114" s="15" t="str">
        <f>HYPERLINK("https://stat100.ameba.jp/tnk47/ratio20/illustrations/card/ill_68783_0_gantammomotaro03.jpg?201902-2-RELEASE-unionbattle-393", "■")</f>
        <v>■</v>
      </c>
      <c r="F114" s="9" t="s">
        <v>273</v>
      </c>
      <c r="G114" s="9">
        <v>123108</v>
      </c>
      <c r="H114" s="9">
        <v>114446</v>
      </c>
      <c r="I114" s="9">
        <v>18</v>
      </c>
      <c r="J114" s="9" t="s">
        <v>274</v>
      </c>
      <c r="K114" s="9" t="s">
        <v>275</v>
      </c>
      <c r="L114" s="9" t="s">
        <v>276</v>
      </c>
      <c r="M114" s="14" t="s">
        <v>9158</v>
      </c>
      <c r="N114" s="14" t="s">
        <v>9158</v>
      </c>
      <c r="O114" s="9" t="s">
        <v>10099</v>
      </c>
      <c r="P114" s="9" t="s">
        <v>3085</v>
      </c>
      <c r="Q114" s="9">
        <v>1</v>
      </c>
    </row>
    <row r="115" spans="1:17">
      <c r="A115" s="9" t="s">
        <v>5897</v>
      </c>
      <c r="B115" s="9" t="s">
        <v>330</v>
      </c>
      <c r="C115" s="9" t="s">
        <v>200</v>
      </c>
      <c r="D115" s="9" t="s">
        <v>277</v>
      </c>
      <c r="E115" s="15" t="str">
        <f>HYPERLINK("https://stat100.ameba.jp/tnk47/ratio20/illustrations/card/ill_40913_0_reigyokudensetsufusehime03.jpg?201902-2-RELEASE-unionbattle-393", "■")</f>
        <v>■</v>
      </c>
      <c r="F115" s="9" t="s">
        <v>278</v>
      </c>
      <c r="G115" s="9">
        <v>98654</v>
      </c>
      <c r="H115" s="9">
        <v>105336</v>
      </c>
      <c r="I115" s="9">
        <v>18</v>
      </c>
      <c r="J115" s="9" t="s">
        <v>274</v>
      </c>
      <c r="K115" s="9" t="s">
        <v>279</v>
      </c>
      <c r="L115" s="9" t="s">
        <v>280</v>
      </c>
      <c r="M115" s="14" t="s">
        <v>9158</v>
      </c>
      <c r="N115" s="14" t="s">
        <v>9158</v>
      </c>
      <c r="O115" s="14" t="s">
        <v>9158</v>
      </c>
      <c r="P115" s="14" t="s">
        <v>9158</v>
      </c>
      <c r="Q115" s="14" t="s">
        <v>9158</v>
      </c>
    </row>
    <row r="116" spans="1:17">
      <c r="A116" s="9">
        <v>67661</v>
      </c>
      <c r="B116" s="9" t="s">
        <v>334</v>
      </c>
      <c r="C116" s="9" t="s">
        <v>209</v>
      </c>
      <c r="D116" s="9" t="s">
        <v>11162</v>
      </c>
      <c r="E116" s="15" t="str">
        <f>HYPERLINK("https://stat100.ameba.jp/tnk47/ratio20/illustrations/card/ill_67661_higashinogekkoengi01.jpg?201902-2-RELEASE-unionbattle-393", "■")</f>
        <v>■</v>
      </c>
      <c r="F116" s="9" t="s">
        <v>11163</v>
      </c>
      <c r="G116" s="9">
        <v>57266</v>
      </c>
      <c r="H116" s="9">
        <v>53306</v>
      </c>
      <c r="I116" s="9">
        <v>22</v>
      </c>
      <c r="J116" s="9" t="s">
        <v>401</v>
      </c>
      <c r="K116" s="9" t="s">
        <v>11164</v>
      </c>
      <c r="L116" s="9" t="s">
        <v>11165</v>
      </c>
      <c r="M116" s="14" t="s">
        <v>9158</v>
      </c>
      <c r="N116" s="14" t="s">
        <v>9158</v>
      </c>
      <c r="O116" s="14" t="s">
        <v>9158</v>
      </c>
      <c r="P116" s="14" t="s">
        <v>9158</v>
      </c>
      <c r="Q116" s="14" t="s">
        <v>9158</v>
      </c>
    </row>
    <row r="117" spans="1:17">
      <c r="A117" s="9">
        <v>67671</v>
      </c>
      <c r="B117" s="9" t="s">
        <v>334</v>
      </c>
      <c r="C117" s="9" t="s">
        <v>203</v>
      </c>
      <c r="D117" s="9" t="s">
        <v>11166</v>
      </c>
      <c r="E117" s="15" t="str">
        <f>HYPERLINK("https://stat100.ameba.jp/tnk47/ratio20/illustrations/card/ill_67671_nishinogekkoengi01.jpg?201902-2-RELEASE-unionbattle-393", "■")</f>
        <v>■</v>
      </c>
      <c r="F117" s="9" t="s">
        <v>11167</v>
      </c>
      <c r="G117" s="9">
        <v>57266</v>
      </c>
      <c r="H117" s="9">
        <v>53306</v>
      </c>
      <c r="I117" s="9">
        <v>22</v>
      </c>
      <c r="J117" s="9" t="s">
        <v>401</v>
      </c>
      <c r="K117" s="9" t="s">
        <v>11168</v>
      </c>
      <c r="L117" s="9" t="s">
        <v>11169</v>
      </c>
      <c r="M117" s="14" t="s">
        <v>9158</v>
      </c>
      <c r="N117" s="14" t="s">
        <v>9158</v>
      </c>
      <c r="O117" s="14" t="s">
        <v>9158</v>
      </c>
      <c r="P117" s="14" t="s">
        <v>9158</v>
      </c>
      <c r="Q117" s="14" t="s">
        <v>9158</v>
      </c>
    </row>
    <row r="118" spans="1:17">
      <c r="A118" s="9">
        <v>67683</v>
      </c>
      <c r="B118" s="9" t="s">
        <v>334</v>
      </c>
      <c r="C118" s="9" t="s">
        <v>202</v>
      </c>
      <c r="D118" s="9" t="s">
        <v>11170</v>
      </c>
      <c r="E118" s="15" t="str">
        <f>HYPERLINK("https://stat100.ameba.jp/tnk47/ratio20/illustrations/card/ill_67683_seichogekkoengi03.jpg?201902-2-RELEASE-unionbattle-393", "■")</f>
        <v>■</v>
      </c>
      <c r="F118" s="9" t="s">
        <v>11171</v>
      </c>
      <c r="G118" s="9">
        <v>106122</v>
      </c>
      <c r="H118" s="9">
        <v>98810</v>
      </c>
      <c r="I118" s="9">
        <v>22</v>
      </c>
      <c r="J118" s="9" t="s">
        <v>401</v>
      </c>
      <c r="K118" s="9" t="s">
        <v>11172</v>
      </c>
      <c r="L118" s="9" t="s">
        <v>592</v>
      </c>
      <c r="M118" s="14" t="s">
        <v>9158</v>
      </c>
      <c r="N118" s="14" t="s">
        <v>9158</v>
      </c>
      <c r="O118" s="14" t="s">
        <v>9158</v>
      </c>
      <c r="P118" s="14" t="s">
        <v>9158</v>
      </c>
      <c r="Q118" s="14" t="s">
        <v>9158</v>
      </c>
    </row>
    <row r="119" spans="1:17">
      <c r="A119" s="9">
        <v>67691</v>
      </c>
      <c r="B119" s="9" t="s">
        <v>334</v>
      </c>
      <c r="C119" s="9" t="s">
        <v>209</v>
      </c>
      <c r="D119" s="9" t="s">
        <v>11173</v>
      </c>
      <c r="E119" s="15" t="str">
        <f>HYPERLINK("https://stat100.ameba.jp/tnk47/ratio20/illustrations/card/ill_67691_higashinoshotenengi01.jpg?201902-2-RELEASE-unionbattle-393", "■")</f>
        <v>■</v>
      </c>
      <c r="F119" s="9" t="s">
        <v>11174</v>
      </c>
      <c r="G119" s="9">
        <v>51040</v>
      </c>
      <c r="H119" s="9">
        <v>54846</v>
      </c>
      <c r="I119" s="9">
        <v>22</v>
      </c>
      <c r="J119" s="9" t="s">
        <v>351</v>
      </c>
      <c r="K119" s="9" t="s">
        <v>11175</v>
      </c>
      <c r="L119" s="9" t="s">
        <v>11176</v>
      </c>
      <c r="M119" s="14" t="s">
        <v>9158</v>
      </c>
      <c r="N119" s="14" t="s">
        <v>9158</v>
      </c>
      <c r="O119" s="14" t="s">
        <v>9158</v>
      </c>
      <c r="P119" s="14" t="s">
        <v>9158</v>
      </c>
      <c r="Q119" s="14" t="s">
        <v>9158</v>
      </c>
    </row>
    <row r="120" spans="1:17">
      <c r="A120" s="9">
        <v>67701</v>
      </c>
      <c r="B120" s="9" t="s">
        <v>334</v>
      </c>
      <c r="C120" s="9" t="s">
        <v>203</v>
      </c>
      <c r="D120" s="9" t="s">
        <v>11177</v>
      </c>
      <c r="E120" s="15" t="str">
        <f>HYPERLINK("https://stat100.ameba.jp/tnk47/ratio20/illustrations/card/ill_67701_nishinoshotenengi01.jpg?201902-2-RELEASE-unionbattle-393", "■")</f>
        <v>■</v>
      </c>
      <c r="F120" s="9" t="s">
        <v>11178</v>
      </c>
      <c r="G120" s="9">
        <v>51040</v>
      </c>
      <c r="H120" s="9">
        <v>54846</v>
      </c>
      <c r="I120" s="9">
        <v>22</v>
      </c>
      <c r="J120" s="9" t="s">
        <v>351</v>
      </c>
      <c r="K120" s="9" t="s">
        <v>11179</v>
      </c>
      <c r="L120" s="9" t="s">
        <v>11176</v>
      </c>
      <c r="M120" s="14" t="s">
        <v>9158</v>
      </c>
      <c r="N120" s="14" t="s">
        <v>9158</v>
      </c>
      <c r="O120" s="14" t="s">
        <v>9158</v>
      </c>
      <c r="P120" s="14" t="s">
        <v>9158</v>
      </c>
      <c r="Q120" s="14" t="s">
        <v>9158</v>
      </c>
    </row>
    <row r="121" spans="1:17">
      <c r="A121" s="9">
        <v>67713</v>
      </c>
      <c r="B121" s="9" t="s">
        <v>334</v>
      </c>
      <c r="C121" s="9" t="s">
        <v>202</v>
      </c>
      <c r="D121" s="9" t="s">
        <v>11180</v>
      </c>
      <c r="E121" s="15" t="str">
        <f>HYPERLINK("https://stat100.ameba.jp/tnk47/ratio20/illustrations/card/ill_67713_kaienshotenengi03.jpg?201902-2-RELEASE-unionbattle-393", "■")</f>
        <v>■</v>
      </c>
      <c r="F121" s="9" t="s">
        <v>11181</v>
      </c>
      <c r="G121" s="9">
        <v>94828</v>
      </c>
      <c r="H121" s="9">
        <v>102056</v>
      </c>
      <c r="I121" s="9">
        <v>22</v>
      </c>
      <c r="J121" s="9" t="s">
        <v>351</v>
      </c>
      <c r="K121" s="9" t="s">
        <v>11182</v>
      </c>
      <c r="L121" s="9" t="s">
        <v>11183</v>
      </c>
      <c r="M121" s="14" t="s">
        <v>9158</v>
      </c>
      <c r="N121" s="14" t="s">
        <v>9158</v>
      </c>
      <c r="O121" s="14" t="s">
        <v>9158</v>
      </c>
      <c r="P121" s="14" t="s">
        <v>9158</v>
      </c>
      <c r="Q121" s="14" t="s">
        <v>9158</v>
      </c>
    </row>
    <row r="123" spans="1:17">
      <c r="A123" s="9" t="s">
        <v>199</v>
      </c>
    </row>
    <row r="124" spans="1:17">
      <c r="A124" s="9" t="s">
        <v>11184</v>
      </c>
    </row>
    <row r="125" spans="1:17">
      <c r="A125" s="9" t="s">
        <v>5607</v>
      </c>
      <c r="B125" s="9" t="s">
        <v>330</v>
      </c>
      <c r="C125" s="9" t="s">
        <v>200</v>
      </c>
      <c r="D125" s="9" t="s">
        <v>421</v>
      </c>
      <c r="E125" s="15" t="str">
        <f>HYPERLINK("https://stat100.ameba.jp/tnk47/ratio20/illustrations/card/ill_58853_0_setsubumpanikkuhiratsukaraicho03.jpg?201902-2-RELEASE-unionbattle-393", "■")</f>
        <v>■</v>
      </c>
      <c r="F125" s="9" t="s">
        <v>422</v>
      </c>
      <c r="G125" s="9">
        <v>94236</v>
      </c>
      <c r="H125" s="9">
        <v>83712</v>
      </c>
      <c r="I125" s="9">
        <v>15</v>
      </c>
      <c r="J125" s="9" t="s">
        <v>414</v>
      </c>
      <c r="K125" s="9" t="s">
        <v>423</v>
      </c>
      <c r="L125" s="9" t="s">
        <v>424</v>
      </c>
      <c r="M125" s="14" t="s">
        <v>9158</v>
      </c>
      <c r="N125" s="14" t="s">
        <v>9158</v>
      </c>
      <c r="O125" s="9" t="s">
        <v>10075</v>
      </c>
      <c r="P125" s="9" t="s">
        <v>2870</v>
      </c>
      <c r="Q125" s="9">
        <v>1</v>
      </c>
    </row>
    <row r="126" spans="1:17">
      <c r="A126" s="9" t="s">
        <v>5606</v>
      </c>
      <c r="B126" s="9" t="s">
        <v>330</v>
      </c>
      <c r="C126" s="9" t="s">
        <v>206</v>
      </c>
      <c r="D126" s="9" t="s">
        <v>2936</v>
      </c>
      <c r="E126" s="15" t="str">
        <f>HYPERLINK("https://stat100.ameba.jp/tnk47/ratio20/illustrations/card/ill_72233_0_koinoboriryugujin03.jpg?201902-2-RELEASE-unionbattle-393", "■")</f>
        <v>■</v>
      </c>
      <c r="F126" s="9" t="s">
        <v>2937</v>
      </c>
      <c r="G126" s="9">
        <v>98395</v>
      </c>
      <c r="H126" s="9">
        <v>105833</v>
      </c>
      <c r="I126" s="9">
        <v>15</v>
      </c>
      <c r="J126" s="9" t="s">
        <v>401</v>
      </c>
      <c r="K126" s="9" t="s">
        <v>2938</v>
      </c>
      <c r="L126" s="9" t="s">
        <v>2939</v>
      </c>
      <c r="M126" s="14" t="s">
        <v>9158</v>
      </c>
      <c r="N126" s="14" t="s">
        <v>9158</v>
      </c>
      <c r="O126" s="9" t="s">
        <v>2940</v>
      </c>
      <c r="P126" s="9" t="s">
        <v>2941</v>
      </c>
      <c r="Q126" s="9">
        <v>2</v>
      </c>
    </row>
    <row r="127" spans="1:17">
      <c r="A127" s="9" t="s">
        <v>6132</v>
      </c>
      <c r="B127" s="9" t="s">
        <v>330</v>
      </c>
      <c r="C127" s="9" t="s">
        <v>205</v>
      </c>
      <c r="D127" s="9" t="s">
        <v>702</v>
      </c>
      <c r="E127" s="15" t="str">
        <f>HYPERLINK("https://stat100.ameba.jp/tnk47/ratio20/illustrations/card/ill_50693_0_hanamizugimimuratsuru03.jpg?201902-2-RELEASE-unionbattle-393", "■")</f>
        <v>■</v>
      </c>
      <c r="F127" s="9" t="s">
        <v>703</v>
      </c>
      <c r="G127" s="9">
        <v>83712</v>
      </c>
      <c r="H127" s="9">
        <v>94236</v>
      </c>
      <c r="I127" s="9">
        <v>15</v>
      </c>
      <c r="J127" s="9" t="s">
        <v>310</v>
      </c>
      <c r="K127" s="9" t="s">
        <v>704</v>
      </c>
      <c r="L127" s="9" t="s">
        <v>705</v>
      </c>
      <c r="M127" s="14" t="s">
        <v>9158</v>
      </c>
      <c r="N127" s="14" t="s">
        <v>9158</v>
      </c>
      <c r="O127" s="14" t="s">
        <v>9158</v>
      </c>
      <c r="P127" s="14" t="s">
        <v>9158</v>
      </c>
      <c r="Q127" s="14" t="s">
        <v>9158</v>
      </c>
    </row>
    <row r="128" spans="1:17">
      <c r="A128" s="9">
        <v>53523</v>
      </c>
      <c r="B128" s="9" t="s">
        <v>334</v>
      </c>
      <c r="C128" s="9" t="s">
        <v>323</v>
      </c>
      <c r="D128" s="9" t="s">
        <v>11185</v>
      </c>
      <c r="E128" s="15" t="str">
        <f>HYPERLINK("https://stat100.ameba.jp/tnk47/ratio20/illustrations/card/ill_53523_seizaparu03.jpg?201902-2-RELEASE-unionbattle-393", "■")</f>
        <v>■</v>
      </c>
      <c r="F128" s="9" t="s">
        <v>11186</v>
      </c>
      <c r="G128" s="9">
        <v>78838</v>
      </c>
      <c r="H128" s="9">
        <v>84796</v>
      </c>
      <c r="I128" s="9">
        <v>22</v>
      </c>
      <c r="J128" s="9" t="s">
        <v>369</v>
      </c>
      <c r="K128" s="9" t="s">
        <v>11187</v>
      </c>
      <c r="L128" s="9" t="s">
        <v>11188</v>
      </c>
      <c r="M128" s="14" t="s">
        <v>9158</v>
      </c>
      <c r="N128" s="14" t="s">
        <v>9158</v>
      </c>
      <c r="O128" s="14" t="s">
        <v>9158</v>
      </c>
      <c r="P128" s="14" t="s">
        <v>9158</v>
      </c>
      <c r="Q128" s="14" t="s">
        <v>9158</v>
      </c>
    </row>
    <row r="129" spans="1:17">
      <c r="A129" s="9">
        <v>51213</v>
      </c>
      <c r="B129" s="9" t="s">
        <v>334</v>
      </c>
      <c r="C129" s="9" t="s">
        <v>154</v>
      </c>
      <c r="D129" s="9" t="s">
        <v>11189</v>
      </c>
      <c r="E129" s="15" t="str">
        <f>HYPERLINK("https://stat100.ameba.jp/tnk47/ratio20/illustrations/card/ill_51213_kyugitochiotomechan03.jpg?201902-2-RELEASE-unionbattle-393", "■")</f>
        <v>■</v>
      </c>
      <c r="F129" s="9" t="s">
        <v>11190</v>
      </c>
      <c r="G129" s="9">
        <v>103896</v>
      </c>
      <c r="H129" s="9">
        <v>96610</v>
      </c>
      <c r="I129" s="9">
        <v>22</v>
      </c>
      <c r="J129" s="9" t="s">
        <v>283</v>
      </c>
      <c r="K129" s="9" t="s">
        <v>11191</v>
      </c>
      <c r="L129" s="9" t="s">
        <v>329</v>
      </c>
      <c r="M129" s="14" t="s">
        <v>9158</v>
      </c>
      <c r="N129" s="14" t="s">
        <v>9158</v>
      </c>
      <c r="O129" s="14" t="s">
        <v>9158</v>
      </c>
      <c r="P129" s="14" t="s">
        <v>9158</v>
      </c>
      <c r="Q129" s="14" t="s">
        <v>9158</v>
      </c>
    </row>
    <row r="130" spans="1:17">
      <c r="A130" s="9">
        <v>52593</v>
      </c>
      <c r="B130" s="9" t="s">
        <v>334</v>
      </c>
      <c r="C130" s="9" t="s">
        <v>185</v>
      </c>
      <c r="D130" s="9" t="s">
        <v>10287</v>
      </c>
      <c r="E130" s="15" t="str">
        <f>HYPERLINK("https://stat100.ameba.jp/tnk47/ratio20/illustrations/card/ill_52593_sengokumibirakikitsunenohoju03.jpg?201902-2-RELEASE-unionbattle-393", "■")</f>
        <v>■</v>
      </c>
      <c r="F130" s="9" t="s">
        <v>11192</v>
      </c>
      <c r="G130" s="9">
        <v>84796</v>
      </c>
      <c r="H130" s="9">
        <v>78838</v>
      </c>
      <c r="I130" s="9">
        <v>22</v>
      </c>
      <c r="J130" s="9" t="s">
        <v>274</v>
      </c>
      <c r="K130" s="9" t="s">
        <v>11193</v>
      </c>
      <c r="L130" s="9" t="s">
        <v>11194</v>
      </c>
      <c r="M130" s="14" t="s">
        <v>9158</v>
      </c>
      <c r="N130" s="14" t="s">
        <v>9158</v>
      </c>
      <c r="O130" s="9" t="s">
        <v>11195</v>
      </c>
      <c r="P130" s="9" t="s">
        <v>13124</v>
      </c>
      <c r="Q130" s="9">
        <v>1</v>
      </c>
    </row>
    <row r="132" spans="1:17">
      <c r="A132" s="9" t="s">
        <v>3571</v>
      </c>
    </row>
    <row r="133" spans="1:17">
      <c r="A133" s="9" t="s">
        <v>11196</v>
      </c>
    </row>
    <row r="134" spans="1:17">
      <c r="A134" s="9" t="s">
        <v>9391</v>
      </c>
    </row>
    <row r="135" spans="1:17">
      <c r="A135" s="9" t="s">
        <v>5605</v>
      </c>
      <c r="B135" s="9" t="s">
        <v>330</v>
      </c>
      <c r="C135" s="9" t="s">
        <v>202</v>
      </c>
      <c r="D135" s="9" t="s">
        <v>10332</v>
      </c>
      <c r="E135" s="15" t="str">
        <f>HYPERLINK("https://stat100.ameba.jp/tnk47/ratio20/illustrations/card/ill_79373_0_hommeichokotennyohime03.jpg?201902-2-RELEASE-unionbattle-393", "■")</f>
        <v>■</v>
      </c>
      <c r="F135" s="9" t="s">
        <v>11045</v>
      </c>
      <c r="G135" s="9">
        <v>185478</v>
      </c>
      <c r="H135" s="9">
        <v>167643</v>
      </c>
      <c r="I135" s="9">
        <v>15</v>
      </c>
      <c r="J135" s="9" t="s">
        <v>283</v>
      </c>
      <c r="K135" s="9" t="s">
        <v>11046</v>
      </c>
      <c r="L135" s="9" t="s">
        <v>11047</v>
      </c>
      <c r="M135" s="14" t="s">
        <v>9158</v>
      </c>
      <c r="N135" s="14" t="s">
        <v>9158</v>
      </c>
      <c r="O135" s="9" t="s">
        <v>10072</v>
      </c>
      <c r="P135" s="9" t="s">
        <v>11048</v>
      </c>
      <c r="Q135" s="9">
        <v>1</v>
      </c>
    </row>
    <row r="136" spans="1:17">
      <c r="A136" s="9">
        <v>79593</v>
      </c>
      <c r="B136" s="9" t="s">
        <v>334</v>
      </c>
      <c r="C136" s="9" t="s">
        <v>200</v>
      </c>
      <c r="D136" s="9" t="s">
        <v>10592</v>
      </c>
      <c r="E136" s="15" t="str">
        <f>HYPERLINK("https://stat100.ameba.jp/tnk47/ratio20/illustrations/card/ill_79593_nabepateihonoikazuchinookami03.jpg?201902-2-RELEASE-unionbattle-393", "■")</f>
        <v>■</v>
      </c>
      <c r="F136" s="9" t="s">
        <v>11197</v>
      </c>
      <c r="G136" s="9">
        <v>83426</v>
      </c>
      <c r="H136" s="9">
        <v>89736</v>
      </c>
      <c r="I136" s="9">
        <v>22</v>
      </c>
      <c r="J136" s="9" t="s">
        <v>401</v>
      </c>
      <c r="K136" s="9" t="s">
        <v>11198</v>
      </c>
      <c r="L136" s="9" t="s">
        <v>3205</v>
      </c>
      <c r="M136" s="14" t="s">
        <v>9158</v>
      </c>
      <c r="N136" s="14" t="s">
        <v>9158</v>
      </c>
      <c r="O136" s="14" t="s">
        <v>9158</v>
      </c>
      <c r="P136" s="14" t="s">
        <v>9158</v>
      </c>
      <c r="Q136" s="14" t="s">
        <v>9158</v>
      </c>
    </row>
    <row r="137" spans="1:17">
      <c r="A137" s="9">
        <v>79603</v>
      </c>
      <c r="B137" s="9" t="s">
        <v>348</v>
      </c>
      <c r="C137" s="9" t="s">
        <v>205</v>
      </c>
      <c r="D137" s="9" t="s">
        <v>10569</v>
      </c>
      <c r="E137" s="15" t="str">
        <f>HYPERLINK("https://stat100.ameba.jp/tnk47/ratio20/illustrations/card/ill_79603_ushikaeshinji03.jpg?201902-2-RELEASE-unionbattle-393", "■")</f>
        <v>■</v>
      </c>
      <c r="F137" s="9" t="s">
        <v>11199</v>
      </c>
      <c r="G137" s="9">
        <v>65208</v>
      </c>
      <c r="H137" s="9">
        <v>59144</v>
      </c>
      <c r="I137" s="9">
        <v>22</v>
      </c>
      <c r="J137" s="9" t="s">
        <v>274</v>
      </c>
      <c r="K137" s="9" t="s">
        <v>11200</v>
      </c>
      <c r="L137" s="9" t="s">
        <v>4057</v>
      </c>
      <c r="M137" s="14" t="s">
        <v>9158</v>
      </c>
      <c r="N137" s="14" t="s">
        <v>9158</v>
      </c>
      <c r="O137" s="14" t="s">
        <v>9158</v>
      </c>
      <c r="P137" s="14" t="s">
        <v>9158</v>
      </c>
      <c r="Q137" s="14" t="s">
        <v>9158</v>
      </c>
    </row>
    <row r="138" spans="1:17">
      <c r="A138" s="9">
        <v>79613</v>
      </c>
      <c r="B138" s="9" t="s">
        <v>362</v>
      </c>
      <c r="C138" s="9" t="s">
        <v>191</v>
      </c>
      <c r="D138" s="9" t="s">
        <v>11201</v>
      </c>
      <c r="E138" s="15" t="str">
        <f>HYPERLINK("https://stat100.ameba.jp/tnk47/ratio20/illustrations/card/ill_79613_okuhidaonsenchan03.jpg?201902-2-RELEASE-unionbattle-393", "■")</f>
        <v>■</v>
      </c>
      <c r="F138" s="9" t="s">
        <v>11202</v>
      </c>
      <c r="G138" s="9">
        <v>38032</v>
      </c>
      <c r="H138" s="9">
        <v>45742</v>
      </c>
      <c r="I138" s="9">
        <v>22</v>
      </c>
      <c r="J138" s="9" t="s">
        <v>369</v>
      </c>
      <c r="K138" s="9" t="s">
        <v>11203</v>
      </c>
      <c r="L138" s="9" t="s">
        <v>11123</v>
      </c>
      <c r="M138" s="14" t="s">
        <v>9158</v>
      </c>
      <c r="N138" s="14" t="s">
        <v>9158</v>
      </c>
      <c r="O138" s="14" t="s">
        <v>9158</v>
      </c>
      <c r="P138" s="14" t="s">
        <v>9158</v>
      </c>
      <c r="Q138" s="14" t="s">
        <v>9158</v>
      </c>
    </row>
    <row r="139" spans="1:17">
      <c r="A139" s="9">
        <v>79623</v>
      </c>
      <c r="B139" s="9" t="s">
        <v>372</v>
      </c>
      <c r="C139" s="9" t="s">
        <v>1330</v>
      </c>
      <c r="D139" s="9" t="s">
        <v>11204</v>
      </c>
      <c r="E139" s="15" t="str">
        <f>HYPERLINK("https://stat100.ameba.jp/tnk47/ratio20/illustrations/card/ill_79623_marihime03.jpg?201902-2-RELEASE-unionbattle-393", "■")</f>
        <v>■</v>
      </c>
      <c r="F139" s="9" t="s">
        <v>11205</v>
      </c>
      <c r="G139" s="9">
        <v>27692</v>
      </c>
      <c r="H139" s="9">
        <v>27692</v>
      </c>
      <c r="I139" s="9">
        <v>22</v>
      </c>
      <c r="J139" s="9" t="s">
        <v>315</v>
      </c>
      <c r="K139" s="9" t="s">
        <v>11206</v>
      </c>
      <c r="L139" s="9" t="s">
        <v>11127</v>
      </c>
      <c r="M139" s="14" t="s">
        <v>9158</v>
      </c>
      <c r="N139" s="14" t="s">
        <v>9158</v>
      </c>
      <c r="O139" s="14" t="s">
        <v>9158</v>
      </c>
      <c r="P139" s="14" t="s">
        <v>9158</v>
      </c>
      <c r="Q139" s="14" t="s">
        <v>9158</v>
      </c>
    </row>
    <row r="141" spans="1:17">
      <c r="A141" s="9" t="s">
        <v>223</v>
      </c>
    </row>
    <row r="142" spans="1:17">
      <c r="A142" s="9" t="s">
        <v>11207</v>
      </c>
    </row>
    <row r="143" spans="1:17">
      <c r="A143" s="9" t="s">
        <v>5719</v>
      </c>
      <c r="B143" s="9" t="s">
        <v>330</v>
      </c>
      <c r="C143" s="9" t="s">
        <v>165</v>
      </c>
      <c r="D143" s="9" t="s">
        <v>10379</v>
      </c>
      <c r="E143" s="15" t="str">
        <f>HYPERLINK("https://stat100.ameba.jp/tnk47/ratio20/illustrations/card/ill_54523_0_yonshunennionohime03.jpg?201902-2-RELEASE-unionbattle-393", "■")</f>
        <v>■</v>
      </c>
      <c r="F143" s="9" t="s">
        <v>11208</v>
      </c>
      <c r="G143" s="9">
        <v>100454</v>
      </c>
      <c r="H143" s="9">
        <v>113082</v>
      </c>
      <c r="I143" s="9">
        <v>18</v>
      </c>
      <c r="J143" s="9" t="s">
        <v>274</v>
      </c>
      <c r="K143" s="9" t="s">
        <v>11209</v>
      </c>
      <c r="L143" s="9" t="s">
        <v>11210</v>
      </c>
      <c r="M143" s="14" t="s">
        <v>9158</v>
      </c>
      <c r="N143" s="14" t="s">
        <v>9158</v>
      </c>
      <c r="O143" s="9" t="s">
        <v>10094</v>
      </c>
      <c r="P143" s="9" t="s">
        <v>13168</v>
      </c>
      <c r="Q143" s="9">
        <v>1</v>
      </c>
    </row>
    <row r="144" spans="1:17">
      <c r="A144" s="9">
        <v>71343</v>
      </c>
      <c r="B144" s="9" t="s">
        <v>334</v>
      </c>
      <c r="C144" s="9" t="s">
        <v>185</v>
      </c>
      <c r="D144" s="9" t="s">
        <v>10544</v>
      </c>
      <c r="E144" s="15" t="str">
        <f>HYPERLINK("https://stat100.ameba.jp/tnk47/ratio20/illustrations/card/ill_71343_ohanamimatehime03.jpg?201902-2-RELEASE-unionbattle-393", "■")</f>
        <v>■</v>
      </c>
      <c r="F144" s="9" t="s">
        <v>536</v>
      </c>
      <c r="G144" s="9">
        <v>72608</v>
      </c>
      <c r="H144" s="9">
        <v>78122</v>
      </c>
      <c r="I144" s="9">
        <v>20</v>
      </c>
      <c r="J144" s="9" t="s">
        <v>315</v>
      </c>
      <c r="K144" s="9" t="s">
        <v>4069</v>
      </c>
      <c r="L144" s="9" t="s">
        <v>4070</v>
      </c>
      <c r="M144" s="14" t="s">
        <v>9158</v>
      </c>
      <c r="N144" s="14" t="s">
        <v>9158</v>
      </c>
      <c r="O144" s="9" t="s">
        <v>2752</v>
      </c>
      <c r="P144" s="9" t="s">
        <v>13123</v>
      </c>
      <c r="Q144" s="9">
        <v>1</v>
      </c>
    </row>
    <row r="145" spans="1:18">
      <c r="A145" s="9">
        <v>66143</v>
      </c>
      <c r="B145" s="9" t="s">
        <v>334</v>
      </c>
      <c r="C145" s="9" t="s">
        <v>202</v>
      </c>
      <c r="D145" s="9" t="s">
        <v>11211</v>
      </c>
      <c r="E145" s="15" t="str">
        <f>HYPERLINK("https://stat100.ameba.jp/tnk47/ratio20/illustrations/card/ill_66143_goshunenanibasarikekichan03.jpg?201902-2-RELEASE-unionbattle-393", "■")</f>
        <v>■</v>
      </c>
      <c r="F145" s="9" t="s">
        <v>11212</v>
      </c>
      <c r="G145" s="9">
        <v>87828</v>
      </c>
      <c r="H145" s="9">
        <v>94450</v>
      </c>
      <c r="I145" s="9">
        <v>20</v>
      </c>
      <c r="J145" s="9" t="s">
        <v>283</v>
      </c>
      <c r="K145" s="9" t="s">
        <v>11213</v>
      </c>
      <c r="L145" s="9" t="s">
        <v>735</v>
      </c>
      <c r="M145" s="14" t="s">
        <v>9158</v>
      </c>
      <c r="N145" s="14" t="s">
        <v>9158</v>
      </c>
      <c r="O145" s="9" t="s">
        <v>11214</v>
      </c>
      <c r="P145" s="9" t="s">
        <v>13177</v>
      </c>
      <c r="Q145" s="9">
        <v>1</v>
      </c>
    </row>
    <row r="146" spans="1:18">
      <c r="A146" s="9">
        <v>64043</v>
      </c>
      <c r="B146" s="9" t="s">
        <v>334</v>
      </c>
      <c r="C146" s="9" t="s">
        <v>154</v>
      </c>
      <c r="D146" s="9" t="s">
        <v>10262</v>
      </c>
      <c r="E146" s="15" t="str">
        <f>HYPERLINK("https://stat100.ameba.jp/tnk47/ratio20/illustrations/card/ill_64043_kegonnotaki03.jpg?201902-2-RELEASE-unionbattle-393", "■")</f>
        <v>■</v>
      </c>
      <c r="F146" s="9" t="s">
        <v>759</v>
      </c>
      <c r="G146" s="9">
        <v>95134</v>
      </c>
      <c r="H146" s="9">
        <v>68912</v>
      </c>
      <c r="I146" s="9">
        <v>20</v>
      </c>
      <c r="J146" s="9" t="s">
        <v>369</v>
      </c>
      <c r="K146" s="9" t="s">
        <v>11215</v>
      </c>
      <c r="L146" s="9" t="s">
        <v>11216</v>
      </c>
      <c r="M146" s="14" t="s">
        <v>9158</v>
      </c>
      <c r="N146" s="14" t="s">
        <v>9158</v>
      </c>
      <c r="O146" s="9" t="s">
        <v>10070</v>
      </c>
      <c r="P146" s="9" t="s">
        <v>2839</v>
      </c>
      <c r="Q146" s="9">
        <v>1</v>
      </c>
    </row>
    <row r="148" spans="1:18">
      <c r="A148" s="9" t="s">
        <v>13342</v>
      </c>
    </row>
    <row r="149" spans="1:18">
      <c r="A149" s="9" t="s">
        <v>11217</v>
      </c>
    </row>
    <row r="150" spans="1:18">
      <c r="A150" s="9">
        <v>79505</v>
      </c>
      <c r="B150" s="9" t="s">
        <v>334</v>
      </c>
      <c r="C150" s="9" t="s">
        <v>202</v>
      </c>
      <c r="D150" s="9" t="s">
        <v>10345</v>
      </c>
      <c r="E150" s="15" t="str">
        <f>HYPERLINK("https://stat100.ameba.jp/tnk47/ratio20/illustrations/card/ill_79505_kyabinatendantosukeban05.jpg?201902-2-RELEASE-unionbattle-393", "■")</f>
        <v>■</v>
      </c>
      <c r="F150" s="9" t="s">
        <v>11218</v>
      </c>
      <c r="G150" s="9">
        <v>92074</v>
      </c>
      <c r="H150" s="9">
        <v>127184</v>
      </c>
      <c r="I150" s="9">
        <v>22</v>
      </c>
      <c r="J150" s="9" t="s">
        <v>369</v>
      </c>
      <c r="K150" s="9" t="s">
        <v>11219</v>
      </c>
      <c r="L150" s="9" t="s">
        <v>11220</v>
      </c>
      <c r="M150" s="14" t="s">
        <v>9158</v>
      </c>
      <c r="N150" s="14" t="s">
        <v>9158</v>
      </c>
      <c r="O150" s="14" t="s">
        <v>9158</v>
      </c>
      <c r="P150" s="14" t="s">
        <v>9158</v>
      </c>
      <c r="Q150" s="14" t="s">
        <v>9158</v>
      </c>
      <c r="R150" s="9" t="s">
        <v>174</v>
      </c>
    </row>
    <row r="151" spans="1:18">
      <c r="A151" s="9">
        <v>79503</v>
      </c>
      <c r="B151" s="9" t="s">
        <v>348</v>
      </c>
      <c r="C151" s="9" t="s">
        <v>203</v>
      </c>
      <c r="D151" s="9" t="s">
        <v>10345</v>
      </c>
      <c r="E151" s="15" t="str">
        <f>HYPERLINK("https://stat100.ameba.jp/tnk47/ratio20/illustrations/card/ill_79503_kyabinatendantosukeban03.jpg?201902-2-RELEASE-unionbattle-393", "■")</f>
        <v>■</v>
      </c>
      <c r="F151" s="9" t="s">
        <v>11218</v>
      </c>
      <c r="G151" s="9">
        <v>66544</v>
      </c>
      <c r="H151" s="9">
        <v>91900</v>
      </c>
      <c r="I151" s="9">
        <v>22</v>
      </c>
      <c r="J151" s="9" t="s">
        <v>369</v>
      </c>
      <c r="K151" s="9" t="s">
        <v>11219</v>
      </c>
      <c r="L151" s="9" t="s">
        <v>11221</v>
      </c>
      <c r="M151" s="14" t="s">
        <v>9158</v>
      </c>
      <c r="N151" s="14" t="s">
        <v>9158</v>
      </c>
      <c r="O151" s="14" t="s">
        <v>9158</v>
      </c>
      <c r="P151" s="14" t="s">
        <v>9158</v>
      </c>
      <c r="Q151" s="14" t="s">
        <v>9158</v>
      </c>
      <c r="R151" s="9" t="s">
        <v>175</v>
      </c>
    </row>
    <row r="152" spans="1:18">
      <c r="A152" s="9">
        <v>79501</v>
      </c>
      <c r="B152" s="9" t="s">
        <v>334</v>
      </c>
      <c r="C152" s="9" t="s">
        <v>203</v>
      </c>
      <c r="D152" s="9" t="s">
        <v>10345</v>
      </c>
      <c r="E152" s="15" t="str">
        <f>HYPERLINK("https://stat100.ameba.jp/tnk47/ratio20/illustrations/card/ill_79501_kyabinatendantosukeban01.jpg?201902-2-RELEASE-unionbattle-393", "■")</f>
        <v>■</v>
      </c>
      <c r="F152" s="9" t="s">
        <v>11218</v>
      </c>
      <c r="G152" s="9">
        <v>38588</v>
      </c>
      <c r="H152" s="9">
        <v>53306</v>
      </c>
      <c r="I152" s="9">
        <v>22</v>
      </c>
      <c r="J152" s="9" t="s">
        <v>369</v>
      </c>
      <c r="K152" s="9" t="s">
        <v>11219</v>
      </c>
      <c r="L152" s="9" t="s">
        <v>11222</v>
      </c>
      <c r="M152" s="14" t="s">
        <v>9158</v>
      </c>
      <c r="N152" s="14" t="s">
        <v>9158</v>
      </c>
      <c r="O152" s="14" t="s">
        <v>9158</v>
      </c>
      <c r="P152" s="14" t="s">
        <v>9158</v>
      </c>
      <c r="Q152" s="14" t="s">
        <v>9158</v>
      </c>
      <c r="R152" s="9" t="s">
        <v>176</v>
      </c>
    </row>
    <row r="154" spans="1:18">
      <c r="A154" s="9" t="s">
        <v>177</v>
      </c>
    </row>
    <row r="155" spans="1:18">
      <c r="A155" s="9" t="s">
        <v>11223</v>
      </c>
    </row>
    <row r="156" spans="1:18">
      <c r="A156" s="9" t="s">
        <v>5617</v>
      </c>
      <c r="B156" s="9" t="s">
        <v>330</v>
      </c>
      <c r="C156" s="9" t="s">
        <v>165</v>
      </c>
      <c r="D156" s="9" t="s">
        <v>385</v>
      </c>
      <c r="E156" s="15" t="str">
        <f>HYPERLINK("https://stat100.ameba.jp/tnk47/ratio20/illustrations/card/ill_59673_0_oheyashutendoji03.jpg?201902-2-RELEASE-unionbattle-393", "■")</f>
        <v>■</v>
      </c>
      <c r="F156" s="9" t="s">
        <v>386</v>
      </c>
      <c r="G156" s="9">
        <v>105545</v>
      </c>
      <c r="H156" s="9">
        <v>113525</v>
      </c>
      <c r="I156" s="9">
        <v>15</v>
      </c>
      <c r="J156" s="9" t="s">
        <v>320</v>
      </c>
      <c r="K156" s="9" t="s">
        <v>387</v>
      </c>
      <c r="L156" s="9" t="s">
        <v>388</v>
      </c>
      <c r="M156" s="14" t="s">
        <v>9158</v>
      </c>
      <c r="N156" s="14" t="s">
        <v>9158</v>
      </c>
      <c r="O156" s="9" t="s">
        <v>10078</v>
      </c>
      <c r="P156" s="9" t="s">
        <v>3022</v>
      </c>
      <c r="Q156" s="9">
        <v>1</v>
      </c>
    </row>
    <row r="157" spans="1:18">
      <c r="A157" s="9" t="s">
        <v>5609</v>
      </c>
      <c r="B157" s="9" t="s">
        <v>330</v>
      </c>
      <c r="C157" s="9" t="s">
        <v>200</v>
      </c>
      <c r="D157" s="9" t="s">
        <v>389</v>
      </c>
      <c r="E157" s="15" t="str">
        <f>HYPERLINK("https://stat100.ameba.jp/tnk47/ratio20/illustrations/card/ill_53753_0_natsumatsuritokugawaieyasu03.jpg?201902-2-RELEASE-unionbattle-393", "■")</f>
        <v>■</v>
      </c>
      <c r="F157" s="9" t="s">
        <v>390</v>
      </c>
      <c r="G157" s="9">
        <v>94236</v>
      </c>
      <c r="H157" s="9">
        <v>83712</v>
      </c>
      <c r="I157" s="9">
        <v>15</v>
      </c>
      <c r="J157" s="9" t="s">
        <v>310</v>
      </c>
      <c r="K157" s="9" t="s">
        <v>391</v>
      </c>
      <c r="L157" s="9" t="s">
        <v>392</v>
      </c>
      <c r="M157" s="14" t="s">
        <v>9158</v>
      </c>
      <c r="N157" s="14" t="s">
        <v>9158</v>
      </c>
      <c r="O157" s="9" t="s">
        <v>10076</v>
      </c>
      <c r="P157" s="9" t="s">
        <v>13121</v>
      </c>
      <c r="Q157" s="9">
        <v>1</v>
      </c>
    </row>
    <row r="158" spans="1:18">
      <c r="A158" s="9" t="s">
        <v>5604</v>
      </c>
      <c r="B158" s="9" t="s">
        <v>330</v>
      </c>
      <c r="C158" s="9" t="s">
        <v>206</v>
      </c>
      <c r="D158" s="9" t="s">
        <v>614</v>
      </c>
      <c r="E158" s="15" t="str">
        <f>HYPERLINK("https://stat100.ameba.jp/tnk47/ratio20/illustrations/card/ill_47263_0_oukyuuatsuhime03.jpg?201902-2-RELEASE-unionbattle-393", "■")</f>
        <v>■</v>
      </c>
      <c r="F158" s="9" t="s">
        <v>615</v>
      </c>
      <c r="G158" s="9">
        <v>94236</v>
      </c>
      <c r="H158" s="9">
        <v>83712</v>
      </c>
      <c r="I158" s="9">
        <v>15</v>
      </c>
      <c r="J158" s="9" t="s">
        <v>315</v>
      </c>
      <c r="K158" s="9" t="s">
        <v>616</v>
      </c>
      <c r="L158" s="9" t="s">
        <v>617</v>
      </c>
      <c r="M158" s="14" t="s">
        <v>9158</v>
      </c>
      <c r="N158" s="14" t="s">
        <v>9158</v>
      </c>
      <c r="O158" s="14" t="s">
        <v>9158</v>
      </c>
      <c r="P158" s="14" t="s">
        <v>9158</v>
      </c>
      <c r="Q158" s="14" t="s">
        <v>9158</v>
      </c>
    </row>
    <row r="159" spans="1:18">
      <c r="A159" s="9">
        <v>74403</v>
      </c>
      <c r="B159" s="9" t="s">
        <v>334</v>
      </c>
      <c r="C159" s="9" t="s">
        <v>206</v>
      </c>
      <c r="D159" s="9" t="s">
        <v>11224</v>
      </c>
      <c r="E159" s="15" t="str">
        <f>HYPERLINK("https://stat100.ameba.jp/tnk47/ratio20/illustrations/card/ill_74403_tsurugiyu03.jpg?201902-2-RELEASE-unionbattle-393", "■")</f>
        <v>■</v>
      </c>
      <c r="F159" s="9" t="s">
        <v>11225</v>
      </c>
      <c r="G159" s="9">
        <v>91178</v>
      </c>
      <c r="H159" s="9">
        <v>84772</v>
      </c>
      <c r="I159" s="9">
        <v>22</v>
      </c>
      <c r="J159" s="9" t="s">
        <v>320</v>
      </c>
      <c r="K159" s="9" t="s">
        <v>11226</v>
      </c>
      <c r="L159" s="9" t="s">
        <v>11227</v>
      </c>
      <c r="M159" s="14" t="s">
        <v>9158</v>
      </c>
      <c r="N159" s="14" t="s">
        <v>9158</v>
      </c>
      <c r="O159" s="9" t="s">
        <v>10129</v>
      </c>
      <c r="P159" s="9" t="s">
        <v>11228</v>
      </c>
      <c r="Q159" s="9">
        <v>1</v>
      </c>
    </row>
    <row r="160" spans="1:18">
      <c r="A160" s="9">
        <v>76943</v>
      </c>
      <c r="B160" s="9" t="s">
        <v>334</v>
      </c>
      <c r="C160" s="9" t="s">
        <v>205</v>
      </c>
      <c r="D160" s="9" t="s">
        <v>11229</v>
      </c>
      <c r="E160" s="15" t="str">
        <f>HYPERLINK("https://stat100.ameba.jp/tnk47/ratio20/illustrations/card/ill_76943_azemichikarin03.jpg?201902-2-RELEASE-unionbattle-393", "■")</f>
        <v>■</v>
      </c>
      <c r="F160" s="9" t="s">
        <v>11230</v>
      </c>
      <c r="G160" s="9">
        <v>86934</v>
      </c>
      <c r="H160" s="9">
        <v>93500</v>
      </c>
      <c r="I160" s="9">
        <v>22</v>
      </c>
      <c r="J160" s="9" t="s">
        <v>315</v>
      </c>
      <c r="K160" s="9" t="s">
        <v>11231</v>
      </c>
      <c r="L160" s="9" t="s">
        <v>11232</v>
      </c>
      <c r="M160" s="14" t="s">
        <v>9158</v>
      </c>
      <c r="N160" s="14" t="s">
        <v>9158</v>
      </c>
      <c r="O160" s="14" t="s">
        <v>9158</v>
      </c>
      <c r="P160" s="14" t="s">
        <v>9158</v>
      </c>
      <c r="Q160" s="14" t="s">
        <v>9158</v>
      </c>
    </row>
    <row r="161" spans="1:17">
      <c r="A161" s="9">
        <v>77723</v>
      </c>
      <c r="B161" s="9" t="s">
        <v>334</v>
      </c>
      <c r="C161" s="9" t="s">
        <v>200</v>
      </c>
      <c r="D161" s="9" t="s">
        <v>11233</v>
      </c>
      <c r="E161" s="15" t="str">
        <f>HYPERLINK("https://stat100.ameba.jp/tnk47/ratio20/illustrations/card/ill_77723_yami03.jpg?201902-2-RELEASE-unionbattle-393", "■")</f>
        <v>■</v>
      </c>
      <c r="F161" s="9" t="s">
        <v>400</v>
      </c>
      <c r="G161" s="9">
        <v>84560</v>
      </c>
      <c r="H161" s="9">
        <v>90932</v>
      </c>
      <c r="I161" s="9">
        <v>22</v>
      </c>
      <c r="J161" s="9" t="s">
        <v>401</v>
      </c>
      <c r="K161" s="9" t="s">
        <v>402</v>
      </c>
      <c r="L161" s="9" t="s">
        <v>403</v>
      </c>
      <c r="M161" s="14" t="s">
        <v>9158</v>
      </c>
      <c r="N161" s="14" t="s">
        <v>9158</v>
      </c>
      <c r="O161" s="14" t="s">
        <v>9158</v>
      </c>
      <c r="P161" s="14" t="s">
        <v>9158</v>
      </c>
      <c r="Q161" s="14" t="s">
        <v>9158</v>
      </c>
    </row>
    <row r="162" spans="1:17">
      <c r="A162" s="9">
        <v>61883</v>
      </c>
      <c r="B162" s="9" t="s">
        <v>348</v>
      </c>
      <c r="C162" s="9" t="s">
        <v>205</v>
      </c>
      <c r="D162" s="9" t="s">
        <v>1518</v>
      </c>
      <c r="E162" s="15" t="str">
        <f>HYPERLINK("https://stat100.ameba.jp/tnk47/ratio20/illustrations/card/ill_61883_onikirishukurohime03.jpg?201902-2-RELEASE-unionbattle-393", "■")</f>
        <v>■</v>
      </c>
      <c r="F162" s="9" t="s">
        <v>1519</v>
      </c>
      <c r="G162" s="9">
        <v>59144</v>
      </c>
      <c r="H162" s="9">
        <v>65208</v>
      </c>
      <c r="I162" s="9">
        <v>22</v>
      </c>
      <c r="J162" s="9" t="s">
        <v>414</v>
      </c>
      <c r="K162" s="9" t="s">
        <v>1520</v>
      </c>
      <c r="L162" s="9" t="s">
        <v>1521</v>
      </c>
      <c r="M162" s="14" t="s">
        <v>9158</v>
      </c>
      <c r="N162" s="14" t="s">
        <v>9158</v>
      </c>
      <c r="O162" s="14" t="s">
        <v>9158</v>
      </c>
      <c r="P162" s="14" t="s">
        <v>9158</v>
      </c>
      <c r="Q162" s="14" t="s">
        <v>9158</v>
      </c>
    </row>
    <row r="163" spans="1:17">
      <c r="A163" s="9">
        <v>60953</v>
      </c>
      <c r="B163" s="9" t="s">
        <v>348</v>
      </c>
      <c r="C163" s="9" t="s">
        <v>191</v>
      </c>
      <c r="D163" s="9" t="s">
        <v>1522</v>
      </c>
      <c r="E163" s="15" t="str">
        <f>HYPERLINK("https://stat100.ameba.jp/tnk47/ratio20/illustrations/card/ill_60953_sukurugaruikedasen03.jpg?201902-2-RELEASE-unionbattle-393", "■")</f>
        <v>■</v>
      </c>
      <c r="F163" s="9" t="s">
        <v>1523</v>
      </c>
      <c r="G163" s="9">
        <v>65208</v>
      </c>
      <c r="H163" s="9">
        <v>59144</v>
      </c>
      <c r="I163" s="9">
        <v>22</v>
      </c>
      <c r="J163" s="9" t="s">
        <v>310</v>
      </c>
      <c r="K163" s="9" t="s">
        <v>1524</v>
      </c>
      <c r="L163" s="9" t="s">
        <v>1525</v>
      </c>
      <c r="M163" s="14" t="s">
        <v>9158</v>
      </c>
      <c r="N163" s="14" t="s">
        <v>9158</v>
      </c>
      <c r="O163" s="14" t="s">
        <v>9158</v>
      </c>
      <c r="P163" s="14" t="s">
        <v>9158</v>
      </c>
      <c r="Q163" s="14" t="s">
        <v>9158</v>
      </c>
    </row>
    <row r="164" spans="1:17">
      <c r="A164" s="9">
        <v>59873</v>
      </c>
      <c r="B164" s="9" t="s">
        <v>348</v>
      </c>
      <c r="C164" s="9" t="s">
        <v>200</v>
      </c>
      <c r="D164" s="9" t="s">
        <v>1526</v>
      </c>
      <c r="E164" s="15" t="str">
        <f>HYPERLINK("https://stat100.ameba.jp/tnk47/ratio20/illustrations/card/ill_59873_yoseinakajimautako03.jpg?201902-2-RELEASE-unionbattle-393", "■")</f>
        <v>■</v>
      </c>
      <c r="F164" s="9" t="s">
        <v>1527</v>
      </c>
      <c r="G164" s="9">
        <v>65208</v>
      </c>
      <c r="H164" s="9">
        <v>59144</v>
      </c>
      <c r="I164" s="9">
        <v>22</v>
      </c>
      <c r="J164" s="9" t="s">
        <v>351</v>
      </c>
      <c r="K164" s="9" t="s">
        <v>1528</v>
      </c>
      <c r="L164" s="9" t="s">
        <v>473</v>
      </c>
      <c r="M164" s="14" t="s">
        <v>9158</v>
      </c>
      <c r="N164" s="14" t="s">
        <v>9158</v>
      </c>
      <c r="O164" s="14" t="s">
        <v>9158</v>
      </c>
      <c r="P164" s="14" t="s">
        <v>9158</v>
      </c>
      <c r="Q164" s="14" t="s">
        <v>9158</v>
      </c>
    </row>
    <row r="166" spans="1:17">
      <c r="A166" s="9" t="s">
        <v>207</v>
      </c>
    </row>
    <row r="167" spans="1:17">
      <c r="A167" s="9" t="s">
        <v>11234</v>
      </c>
    </row>
    <row r="168" spans="1:17">
      <c r="A168" s="9" t="s">
        <v>5611</v>
      </c>
      <c r="B168" s="9" t="s">
        <v>330</v>
      </c>
      <c r="C168" s="9" t="s">
        <v>335</v>
      </c>
      <c r="D168" s="9" t="s">
        <v>539</v>
      </c>
      <c r="E168" s="15" t="str">
        <f>HYPERLINK("https://stat100.ameba.jp/tnk47/ratio20/illustrations/card/ill_60633_0_harumaisentoin03.jpg?201902-2-RELEASE-unionbattle-393", "■")</f>
        <v>■</v>
      </c>
      <c r="F168" s="9" t="s">
        <v>540</v>
      </c>
      <c r="G168" s="9">
        <v>133519</v>
      </c>
      <c r="H168" s="9">
        <v>143626</v>
      </c>
      <c r="I168" s="9">
        <v>21</v>
      </c>
      <c r="J168" s="9" t="s">
        <v>274</v>
      </c>
      <c r="K168" s="9" t="s">
        <v>541</v>
      </c>
      <c r="L168" s="9" t="s">
        <v>542</v>
      </c>
      <c r="M168" s="14" t="s">
        <v>9158</v>
      </c>
      <c r="N168" s="14" t="s">
        <v>9158</v>
      </c>
      <c r="O168" s="9" t="s">
        <v>2888</v>
      </c>
      <c r="P168" s="9" t="s">
        <v>2888</v>
      </c>
      <c r="Q168" s="9">
        <v>1</v>
      </c>
    </row>
    <row r="169" spans="1:17">
      <c r="A169" s="9" t="s">
        <v>5902</v>
      </c>
      <c r="B169" s="9" t="s">
        <v>330</v>
      </c>
      <c r="C169" s="9" t="s">
        <v>344</v>
      </c>
      <c r="D169" s="9" t="s">
        <v>483</v>
      </c>
      <c r="E169" s="15" t="str">
        <f>HYPERLINK("https://stat100.ameba.jp/tnk47/ratio20/illustrations/card/ill_40343_0_heshikirihasebekurodakambe03.jpg?201902-2-RELEASE-unionbattle-393", "■")</f>
        <v>■</v>
      </c>
      <c r="F169" s="9" t="s">
        <v>484</v>
      </c>
      <c r="G169" s="9">
        <v>122892</v>
      </c>
      <c r="H169" s="9">
        <v>115096</v>
      </c>
      <c r="I169" s="9">
        <v>21</v>
      </c>
      <c r="J169" s="9" t="s">
        <v>414</v>
      </c>
      <c r="K169" s="9" t="s">
        <v>485</v>
      </c>
      <c r="L169" s="9" t="s">
        <v>486</v>
      </c>
      <c r="M169" s="14" t="s">
        <v>9158</v>
      </c>
      <c r="N169" s="14" t="s">
        <v>9158</v>
      </c>
      <c r="O169" s="14" t="s">
        <v>9158</v>
      </c>
      <c r="P169" s="14" t="s">
        <v>9158</v>
      </c>
      <c r="Q169" s="14" t="s">
        <v>9158</v>
      </c>
    </row>
    <row r="170" spans="1:17">
      <c r="A170" s="9" t="s">
        <v>5820</v>
      </c>
      <c r="B170" s="9" t="s">
        <v>330</v>
      </c>
      <c r="C170" s="9" t="s">
        <v>271</v>
      </c>
      <c r="D170" s="9" t="s">
        <v>630</v>
      </c>
      <c r="E170" s="15" t="str">
        <f>HYPERLINK("https://stat100.ameba.jp/tnk47/ratio20/illustrations/card/ill_48283_0_kyuubitamamonomae03.jpg?201902-2-RELEASE-unionbattle-393", "■")</f>
        <v>■</v>
      </c>
      <c r="F170" s="9" t="s">
        <v>631</v>
      </c>
      <c r="G170" s="9">
        <v>131930</v>
      </c>
      <c r="H170" s="9">
        <v>117196</v>
      </c>
      <c r="I170" s="9">
        <v>21</v>
      </c>
      <c r="J170" s="9" t="s">
        <v>320</v>
      </c>
      <c r="K170" s="9" t="s">
        <v>632</v>
      </c>
      <c r="L170" s="9" t="s">
        <v>633</v>
      </c>
      <c r="M170" s="14" t="s">
        <v>9158</v>
      </c>
      <c r="N170" s="14" t="s">
        <v>9158</v>
      </c>
      <c r="O170" s="14" t="s">
        <v>9158</v>
      </c>
      <c r="P170" s="14" t="s">
        <v>9158</v>
      </c>
      <c r="Q170" s="14" t="s">
        <v>9158</v>
      </c>
    </row>
    <row r="171" spans="1:17">
      <c r="A171" s="9">
        <v>79593</v>
      </c>
      <c r="B171" s="9" t="s">
        <v>334</v>
      </c>
      <c r="C171" s="9" t="s">
        <v>200</v>
      </c>
      <c r="D171" s="9" t="s">
        <v>10592</v>
      </c>
      <c r="E171" s="15" t="str">
        <f>HYPERLINK("https://stat100.ameba.jp/tnk47/ratio20/illustrations/card/ill_79593_nabepateihonoikazuchinookami03.jpg?201902-2-RELEASE-unionbattle-393", "■")</f>
        <v>■</v>
      </c>
      <c r="F171" s="9" t="s">
        <v>11197</v>
      </c>
      <c r="G171" s="9">
        <v>79634</v>
      </c>
      <c r="H171" s="9">
        <v>85657</v>
      </c>
      <c r="I171" s="9">
        <v>21</v>
      </c>
      <c r="J171" s="9" t="s">
        <v>401</v>
      </c>
      <c r="K171" s="9" t="s">
        <v>11198</v>
      </c>
      <c r="L171" s="9" t="s">
        <v>3205</v>
      </c>
      <c r="M171" s="14" t="s">
        <v>9158</v>
      </c>
      <c r="N171" s="14" t="s">
        <v>9158</v>
      </c>
      <c r="O171" s="14" t="s">
        <v>9158</v>
      </c>
      <c r="P171" s="14" t="s">
        <v>9158</v>
      </c>
      <c r="Q171" s="14" t="s">
        <v>9158</v>
      </c>
    </row>
    <row r="172" spans="1:17">
      <c r="A172" s="9">
        <v>79603</v>
      </c>
      <c r="B172" s="9" t="s">
        <v>348</v>
      </c>
      <c r="C172" s="9" t="s">
        <v>205</v>
      </c>
      <c r="D172" s="9" t="s">
        <v>10569</v>
      </c>
      <c r="E172" s="15" t="str">
        <f>HYPERLINK("https://stat100.ameba.jp/tnk47/ratio20/illustrations/card/ill_79603_ushikaeshinji03.jpg?201902-2-RELEASE-unionbattle-393", "■")</f>
        <v>■</v>
      </c>
      <c r="F172" s="9" t="s">
        <v>11199</v>
      </c>
      <c r="G172" s="9">
        <v>53352</v>
      </c>
      <c r="H172" s="9">
        <v>48390</v>
      </c>
      <c r="I172" s="9">
        <v>18</v>
      </c>
      <c r="J172" s="9" t="s">
        <v>274</v>
      </c>
      <c r="K172" s="9" t="s">
        <v>11200</v>
      </c>
      <c r="L172" s="9" t="s">
        <v>4057</v>
      </c>
      <c r="M172" s="14" t="s">
        <v>9158</v>
      </c>
      <c r="N172" s="14" t="s">
        <v>9158</v>
      </c>
      <c r="O172" s="14" t="s">
        <v>9158</v>
      </c>
      <c r="P172" s="14" t="s">
        <v>9158</v>
      </c>
      <c r="Q172" s="14" t="s">
        <v>9158</v>
      </c>
    </row>
    <row r="173" spans="1:17">
      <c r="A173" s="9">
        <v>79613</v>
      </c>
      <c r="B173" s="9" t="s">
        <v>362</v>
      </c>
      <c r="C173" s="9" t="s">
        <v>191</v>
      </c>
      <c r="D173" s="9" t="s">
        <v>11201</v>
      </c>
      <c r="E173" s="15" t="str">
        <f>HYPERLINK("https://stat100.ameba.jp/tnk47/ratio20/illustrations/card/ill_79613_okuhidaonsenchan03.jpg?201902-2-RELEASE-unionbattle-393", "■")</f>
        <v>■</v>
      </c>
      <c r="F173" s="9" t="s">
        <v>11202</v>
      </c>
      <c r="G173" s="9">
        <v>29388</v>
      </c>
      <c r="H173" s="9">
        <v>35346</v>
      </c>
      <c r="I173" s="9">
        <v>17</v>
      </c>
      <c r="J173" s="9" t="s">
        <v>369</v>
      </c>
      <c r="K173" s="9" t="s">
        <v>11203</v>
      </c>
      <c r="L173" s="9" t="s">
        <v>11123</v>
      </c>
      <c r="M173" s="14" t="s">
        <v>9158</v>
      </c>
      <c r="N173" s="14" t="s">
        <v>9158</v>
      </c>
      <c r="O173" s="14" t="s">
        <v>9158</v>
      </c>
      <c r="P173" s="14" t="s">
        <v>9158</v>
      </c>
      <c r="Q173" s="14" t="s">
        <v>9158</v>
      </c>
    </row>
    <row r="174" spans="1:17">
      <c r="A174" s="9">
        <v>79623</v>
      </c>
      <c r="B174" s="9" t="s">
        <v>372</v>
      </c>
      <c r="C174" s="9" t="s">
        <v>1330</v>
      </c>
      <c r="D174" s="9" t="s">
        <v>11204</v>
      </c>
      <c r="E174" s="15" t="str">
        <f>HYPERLINK("https://stat100.ameba.jp/tnk47/ratio20/illustrations/card/ill_79623_marihime03.jpg?201902-2-RELEASE-unionbattle-393", "■")</f>
        <v>■</v>
      </c>
      <c r="F174" s="9" t="s">
        <v>11205</v>
      </c>
      <c r="G174" s="9">
        <v>21398</v>
      </c>
      <c r="H174" s="9">
        <v>17972</v>
      </c>
      <c r="I174" s="9">
        <v>17</v>
      </c>
      <c r="J174" s="9" t="s">
        <v>315</v>
      </c>
      <c r="K174" s="9" t="s">
        <v>11206</v>
      </c>
      <c r="L174" s="9" t="s">
        <v>11127</v>
      </c>
      <c r="M174" s="14" t="s">
        <v>9158</v>
      </c>
      <c r="N174" s="14" t="s">
        <v>9158</v>
      </c>
      <c r="O174" s="14" t="s">
        <v>9158</v>
      </c>
      <c r="P174" s="14" t="s">
        <v>9158</v>
      </c>
      <c r="Q174" s="14" t="s">
        <v>9158</v>
      </c>
    </row>
    <row r="176" spans="1:17">
      <c r="A176" s="9" t="s">
        <v>115</v>
      </c>
    </row>
    <row r="177" spans="1:17">
      <c r="A177" s="9" t="s">
        <v>11235</v>
      </c>
    </row>
    <row r="178" spans="1:17">
      <c r="A178" s="9" t="s">
        <v>5901</v>
      </c>
      <c r="B178" s="9" t="s">
        <v>330</v>
      </c>
      <c r="C178" s="9" t="s">
        <v>191</v>
      </c>
      <c r="D178" s="9" t="s">
        <v>1426</v>
      </c>
      <c r="E178" s="15" t="str">
        <f>HYPERLINK("https://stat100.ameba.jp/tnk47/ratio20/illustrations/card/ill_64953_0_yukatatokugawayoshinobu03.jpg?201902-2-RELEASE-unionbattle-393", "■")</f>
        <v>■</v>
      </c>
      <c r="F178" s="9" t="s">
        <v>1427</v>
      </c>
      <c r="G178" s="9">
        <v>93450</v>
      </c>
      <c r="H178" s="9">
        <v>100502</v>
      </c>
      <c r="I178" s="9">
        <v>15</v>
      </c>
      <c r="J178" s="9" t="s">
        <v>351</v>
      </c>
      <c r="K178" s="9" t="s">
        <v>1428</v>
      </c>
      <c r="L178" s="9" t="s">
        <v>1429</v>
      </c>
      <c r="M178" s="14" t="s">
        <v>9158</v>
      </c>
      <c r="N178" s="14" t="s">
        <v>9158</v>
      </c>
      <c r="O178" s="9" t="s">
        <v>2889</v>
      </c>
      <c r="P178" s="9" t="s">
        <v>2890</v>
      </c>
      <c r="Q178" s="9">
        <v>1</v>
      </c>
    </row>
    <row r="179" spans="1:17">
      <c r="A179" s="9" t="s">
        <v>5650</v>
      </c>
      <c r="B179" s="9" t="s">
        <v>330</v>
      </c>
      <c r="C179" s="9" t="s">
        <v>200</v>
      </c>
      <c r="D179" s="9" t="s">
        <v>809</v>
      </c>
      <c r="E179" s="15" t="str">
        <f>HYPERLINK("https://stat100.ameba.jp/tnk47/ratio20/illustrations/card/ill_68033_0_kurisumasupateikandamyojin03.jpg?201902-2-RELEASE-unionbattle-393", "■")</f>
        <v>■</v>
      </c>
      <c r="F179" s="9" t="s">
        <v>810</v>
      </c>
      <c r="G179" s="9">
        <v>95371</v>
      </c>
      <c r="H179" s="9">
        <v>102590</v>
      </c>
      <c r="I179" s="9">
        <v>15</v>
      </c>
      <c r="J179" s="9" t="s">
        <v>401</v>
      </c>
      <c r="K179" s="9" t="s">
        <v>811</v>
      </c>
      <c r="L179" s="9" t="s">
        <v>812</v>
      </c>
      <c r="M179" s="14" t="s">
        <v>9158</v>
      </c>
      <c r="N179" s="14" t="s">
        <v>9158</v>
      </c>
      <c r="O179" s="9" t="s">
        <v>2997</v>
      </c>
      <c r="P179" s="9" t="s">
        <v>2998</v>
      </c>
      <c r="Q179" s="9">
        <v>2</v>
      </c>
    </row>
    <row r="180" spans="1:17">
      <c r="A180" s="9" t="s">
        <v>5616</v>
      </c>
      <c r="B180" s="9" t="s">
        <v>330</v>
      </c>
      <c r="C180" s="9" t="s">
        <v>335</v>
      </c>
      <c r="D180" s="9" t="s">
        <v>638</v>
      </c>
      <c r="E180" s="15" t="str">
        <f>HYPERLINK("https://stat100.ameba.jp/tnk47/ratio20/illustrations/card/ill_44253_0_dokuganryudatemasamune03.jpg?201902-2-RELEASE-unionbattle-393", "■")</f>
        <v>■</v>
      </c>
      <c r="F180" s="9" t="s">
        <v>639</v>
      </c>
      <c r="G180" s="9">
        <v>82212</v>
      </c>
      <c r="H180" s="9">
        <v>87780</v>
      </c>
      <c r="I180" s="9">
        <v>15</v>
      </c>
      <c r="J180" s="9" t="s">
        <v>310</v>
      </c>
      <c r="K180" s="9" t="s">
        <v>640</v>
      </c>
      <c r="L180" s="9" t="s">
        <v>641</v>
      </c>
      <c r="M180" s="14" t="s">
        <v>9158</v>
      </c>
      <c r="N180" s="14" t="s">
        <v>9158</v>
      </c>
      <c r="O180" s="14" t="s">
        <v>9158</v>
      </c>
      <c r="P180" s="14" t="s">
        <v>9158</v>
      </c>
      <c r="Q180" s="14" t="s">
        <v>9158</v>
      </c>
    </row>
    <row r="181" spans="1:17">
      <c r="A181" s="9">
        <v>55663</v>
      </c>
      <c r="B181" s="9" t="s">
        <v>334</v>
      </c>
      <c r="C181" s="9" t="s">
        <v>205</v>
      </c>
      <c r="D181" s="9" t="s">
        <v>11236</v>
      </c>
      <c r="E181" s="15" t="str">
        <f>HYPERLINK("https://stat100.ameba.jp/tnk47/ratio20/illustrations/card/ill_55663_moryo03.jpg?201902-2-RELEASE-unionbattle-393", "■")</f>
        <v>■</v>
      </c>
      <c r="F181" s="9" t="s">
        <v>11237</v>
      </c>
      <c r="G181" s="9">
        <v>68622</v>
      </c>
      <c r="H181" s="9">
        <v>95452</v>
      </c>
      <c r="I181" s="9">
        <v>22</v>
      </c>
      <c r="J181" s="9" t="s">
        <v>320</v>
      </c>
      <c r="K181" s="9" t="s">
        <v>11238</v>
      </c>
      <c r="L181" s="9" t="s">
        <v>11239</v>
      </c>
      <c r="M181" s="14" t="s">
        <v>9158</v>
      </c>
      <c r="N181" s="14" t="s">
        <v>9158</v>
      </c>
      <c r="O181" s="14" t="s">
        <v>9158</v>
      </c>
      <c r="P181" s="14" t="s">
        <v>9158</v>
      </c>
      <c r="Q181" s="14" t="s">
        <v>9158</v>
      </c>
    </row>
    <row r="182" spans="1:17">
      <c r="A182" s="9">
        <v>63423</v>
      </c>
      <c r="B182" s="9" t="s">
        <v>334</v>
      </c>
      <c r="C182" s="9" t="s">
        <v>165</v>
      </c>
      <c r="D182" s="9" t="s">
        <v>10864</v>
      </c>
      <c r="E182" s="15" t="str">
        <f>HYPERLINK("https://stat100.ameba.jp/tnk47/ratio20/illustrations/card/ill_63423_warashibechoja03.jpg?201902-2-RELEASE-unionbattle-393", "■")</f>
        <v>■</v>
      </c>
      <c r="F182" s="9" t="s">
        <v>11240</v>
      </c>
      <c r="G182" s="9">
        <v>69714</v>
      </c>
      <c r="H182" s="9">
        <v>123870</v>
      </c>
      <c r="I182" s="9">
        <v>22</v>
      </c>
      <c r="J182" s="9" t="s">
        <v>274</v>
      </c>
      <c r="K182" s="9" t="s">
        <v>11241</v>
      </c>
      <c r="L182" s="9" t="s">
        <v>11242</v>
      </c>
      <c r="M182" s="14" t="s">
        <v>9158</v>
      </c>
      <c r="N182" s="14" t="s">
        <v>9158</v>
      </c>
      <c r="O182" s="14" t="s">
        <v>9158</v>
      </c>
      <c r="P182" s="14" t="s">
        <v>9158</v>
      </c>
      <c r="Q182" s="14" t="s">
        <v>9158</v>
      </c>
    </row>
    <row r="183" spans="1:17">
      <c r="A183" s="9">
        <v>63323</v>
      </c>
      <c r="B183" s="9" t="s">
        <v>334</v>
      </c>
      <c r="C183" s="9" t="s">
        <v>200</v>
      </c>
      <c r="D183" s="9" t="s">
        <v>10269</v>
      </c>
      <c r="E183" s="15" t="str">
        <f>HYPERLINK("https://stat100.ameba.jp/tnk47/ratio20/illustrations/card/ill_63323_ajisaikushinadahime03.jpg?201902-2-RELEASE-unionbattle-393", "■")</f>
        <v>■</v>
      </c>
      <c r="F183" s="9" t="s">
        <v>11243</v>
      </c>
      <c r="G183" s="9">
        <v>83426</v>
      </c>
      <c r="H183" s="9">
        <v>89736</v>
      </c>
      <c r="I183" s="9">
        <v>22</v>
      </c>
      <c r="J183" s="9" t="s">
        <v>401</v>
      </c>
      <c r="K183" s="9" t="s">
        <v>11244</v>
      </c>
      <c r="L183" s="9" t="s">
        <v>1650</v>
      </c>
      <c r="M183" s="14" t="s">
        <v>9158</v>
      </c>
      <c r="N183" s="14" t="s">
        <v>9158</v>
      </c>
      <c r="O183" s="14" t="s">
        <v>9158</v>
      </c>
      <c r="P183" s="14" t="s">
        <v>9158</v>
      </c>
      <c r="Q183" s="14" t="s">
        <v>9158</v>
      </c>
    </row>
    <row r="184" spans="1:17">
      <c r="A184" s="9">
        <v>60703</v>
      </c>
      <c r="B184" s="9" t="s">
        <v>348</v>
      </c>
      <c r="C184" s="9" t="s">
        <v>335</v>
      </c>
      <c r="D184" s="9" t="s">
        <v>3010</v>
      </c>
      <c r="E184" s="15" t="str">
        <f>HYPERLINK("https://stat100.ameba.jp/tnk47/ratio20/illustrations/card/ill_60703_isutabaniyamamurokieko03.jpg?201902-2-RELEASE-unionbattle-393", "■")</f>
        <v>■</v>
      </c>
      <c r="F184" s="9" t="s">
        <v>3011</v>
      </c>
      <c r="G184" s="9">
        <v>59144</v>
      </c>
      <c r="H184" s="9">
        <v>65208</v>
      </c>
      <c r="I184" s="9">
        <v>22</v>
      </c>
      <c r="J184" s="9" t="s">
        <v>351</v>
      </c>
      <c r="K184" s="9" t="s">
        <v>3012</v>
      </c>
      <c r="L184" s="9" t="s">
        <v>3013</v>
      </c>
      <c r="M184" s="14" t="s">
        <v>9158</v>
      </c>
      <c r="N184" s="14" t="s">
        <v>9158</v>
      </c>
      <c r="O184" s="14" t="s">
        <v>9158</v>
      </c>
      <c r="P184" s="14" t="s">
        <v>9158</v>
      </c>
      <c r="Q184" s="14" t="s">
        <v>9158</v>
      </c>
    </row>
    <row r="185" spans="1:17">
      <c r="A185" s="9">
        <v>69083</v>
      </c>
      <c r="B185" s="9" t="s">
        <v>348</v>
      </c>
      <c r="C185" s="9" t="s">
        <v>344</v>
      </c>
      <c r="D185" s="9" t="s">
        <v>3014</v>
      </c>
      <c r="E185" s="15" t="str">
        <f>HYPERLINK("https://stat100.ameba.jp/tnk47/ratio20/illustrations/card/ill_69083_uintasupotsukuwahime03.jpg?201902-2-RELEASE-unionbattle-393", "■")</f>
        <v>■</v>
      </c>
      <c r="F185" s="9" t="s">
        <v>3015</v>
      </c>
      <c r="G185" s="9">
        <v>59144</v>
      </c>
      <c r="H185" s="9">
        <v>65208</v>
      </c>
      <c r="I185" s="9">
        <v>22</v>
      </c>
      <c r="J185" s="9" t="s">
        <v>315</v>
      </c>
      <c r="K185" s="9" t="s">
        <v>3016</v>
      </c>
      <c r="L185" s="9" t="s">
        <v>596</v>
      </c>
      <c r="M185" s="14" t="s">
        <v>9158</v>
      </c>
      <c r="N185" s="14" t="s">
        <v>9158</v>
      </c>
      <c r="O185" s="14" t="s">
        <v>9158</v>
      </c>
      <c r="P185" s="14" t="s">
        <v>9158</v>
      </c>
      <c r="Q185" s="14" t="s">
        <v>9158</v>
      </c>
    </row>
    <row r="186" spans="1:17">
      <c r="A186" s="9">
        <v>72663</v>
      </c>
      <c r="B186" s="9" t="s">
        <v>348</v>
      </c>
      <c r="C186" s="9" t="s">
        <v>165</v>
      </c>
      <c r="D186" s="9" t="s">
        <v>3017</v>
      </c>
      <c r="E186" s="15" t="str">
        <f>HYPERLINK("https://stat100.ameba.jp/tnk47/ratio20/illustrations/card/ill_72663_shokanoseisomadorenuchan03.jpg?201902-2-RELEASE-unionbattle-393", "■")</f>
        <v>■</v>
      </c>
      <c r="F186" s="9" t="s">
        <v>3018</v>
      </c>
      <c r="G186" s="9">
        <v>59144</v>
      </c>
      <c r="H186" s="9">
        <v>65208</v>
      </c>
      <c r="I186" s="9">
        <v>22</v>
      </c>
      <c r="J186" s="9" t="s">
        <v>283</v>
      </c>
      <c r="K186" s="9" t="s">
        <v>3019</v>
      </c>
      <c r="L186" s="9" t="s">
        <v>1442</v>
      </c>
      <c r="M186" s="14" t="s">
        <v>9158</v>
      </c>
      <c r="N186" s="14" t="s">
        <v>9158</v>
      </c>
      <c r="O186" s="14" t="s">
        <v>9158</v>
      </c>
      <c r="P186" s="14" t="s">
        <v>9158</v>
      </c>
      <c r="Q186" s="14" t="s">
        <v>9158</v>
      </c>
    </row>
    <row r="188" spans="1:17">
      <c r="A188" s="9" t="s">
        <v>114</v>
      </c>
    </row>
    <row r="189" spans="1:17">
      <c r="A189" s="9" t="s">
        <v>11245</v>
      </c>
    </row>
    <row r="190" spans="1:17">
      <c r="A190" s="9" t="s">
        <v>5843</v>
      </c>
      <c r="B190" s="9" t="s">
        <v>330</v>
      </c>
      <c r="C190" s="9" t="s">
        <v>202</v>
      </c>
      <c r="D190" s="9" t="s">
        <v>10291</v>
      </c>
      <c r="E190" s="15" t="str">
        <f>HYPERLINK("https://stat100.ameba.jp/tnk47/ratio20/illustrations/card/ill_77963_0_kurisumasudaisakusentakiyashahime03.jpg?201902-3-RELEASE-dice-e-394", "■")</f>
        <v>■</v>
      </c>
      <c r="F190" s="9" t="s">
        <v>11246</v>
      </c>
      <c r="G190" s="9">
        <v>257902</v>
      </c>
      <c r="H190" s="9">
        <v>233089</v>
      </c>
      <c r="I190" s="9">
        <v>21</v>
      </c>
      <c r="J190" s="9" t="s">
        <v>315</v>
      </c>
      <c r="K190" s="9" t="s">
        <v>11247</v>
      </c>
      <c r="L190" s="9" t="s">
        <v>11248</v>
      </c>
      <c r="M190" s="14" t="s">
        <v>9158</v>
      </c>
      <c r="N190" s="14" t="s">
        <v>9158</v>
      </c>
      <c r="O190" s="9" t="s">
        <v>10107</v>
      </c>
      <c r="P190" s="9" t="s">
        <v>11249</v>
      </c>
      <c r="Q190" s="9">
        <v>2</v>
      </c>
    </row>
    <row r="191" spans="1:17">
      <c r="A191" s="9" t="s">
        <v>6132</v>
      </c>
      <c r="B191" s="9" t="s">
        <v>330</v>
      </c>
      <c r="C191" s="9" t="s">
        <v>205</v>
      </c>
      <c r="D191" s="9" t="s">
        <v>702</v>
      </c>
      <c r="E191" s="15" t="str">
        <f>HYPERLINK("https://stat100.ameba.jp/tnk47/ratio20/illustrations/card/ill_50693_0_hanamizugimimuratsuru03.jpg?201902-3-RELEASE-dice-e-394", "■")</f>
        <v>■</v>
      </c>
      <c r="F191" s="9" t="s">
        <v>703</v>
      </c>
      <c r="G191" s="9">
        <v>117196</v>
      </c>
      <c r="H191" s="9">
        <v>131930</v>
      </c>
      <c r="I191" s="9">
        <v>21</v>
      </c>
      <c r="J191" s="9" t="s">
        <v>310</v>
      </c>
      <c r="K191" s="9" t="s">
        <v>704</v>
      </c>
      <c r="L191" s="9" t="s">
        <v>705</v>
      </c>
      <c r="M191" s="14" t="s">
        <v>9158</v>
      </c>
      <c r="N191" s="14" t="s">
        <v>9158</v>
      </c>
      <c r="O191" s="14" t="s">
        <v>9158</v>
      </c>
      <c r="P191" s="14" t="s">
        <v>9158</v>
      </c>
      <c r="Q191" s="14" t="s">
        <v>9158</v>
      </c>
    </row>
    <row r="192" spans="1:17">
      <c r="A192" s="9">
        <v>79523</v>
      </c>
      <c r="B192" s="9" t="s">
        <v>334</v>
      </c>
      <c r="C192" s="9" t="s">
        <v>203</v>
      </c>
      <c r="D192" s="9" t="s">
        <v>10309</v>
      </c>
      <c r="E192" s="15" t="str">
        <f>HYPERLINK("https://stat100.ameba.jp/tnk47/ratio20/illustrations/card/ill_79523_shikyokunoashurato03.jpg?201902-3-RELEASE-dice-e-394", "■")</f>
        <v>■</v>
      </c>
      <c r="F192" s="9" t="s">
        <v>11250</v>
      </c>
      <c r="G192" s="9">
        <v>75984</v>
      </c>
      <c r="H192" s="9">
        <v>104890</v>
      </c>
      <c r="I192" s="9">
        <v>24</v>
      </c>
      <c r="J192" s="9" t="s">
        <v>315</v>
      </c>
      <c r="K192" s="9" t="s">
        <v>11251</v>
      </c>
      <c r="L192" s="9" t="s">
        <v>2843</v>
      </c>
      <c r="M192" s="14" t="s">
        <v>9158</v>
      </c>
      <c r="N192" s="14" t="s">
        <v>9158</v>
      </c>
      <c r="O192" s="9" t="s">
        <v>10074</v>
      </c>
      <c r="P192" s="9" t="s">
        <v>2822</v>
      </c>
      <c r="Q192" s="9">
        <v>1</v>
      </c>
    </row>
    <row r="193" spans="1:17">
      <c r="A193" s="9">
        <v>64033</v>
      </c>
      <c r="B193" s="9" t="s">
        <v>334</v>
      </c>
      <c r="C193" s="9" t="s">
        <v>203</v>
      </c>
      <c r="D193" s="9" t="s">
        <v>10271</v>
      </c>
      <c r="E193" s="15" t="str">
        <f>HYPERLINK("https://stat100.ameba.jp/tnk47/ratio20/illustrations/card/ill_64033_sobameshi03.jpg?201902-3-RELEASE-dice-e-394", "■")</f>
        <v>■</v>
      </c>
      <c r="F193" s="9" t="s">
        <v>10271</v>
      </c>
      <c r="G193" s="9">
        <v>80391</v>
      </c>
      <c r="H193" s="9">
        <v>111000</v>
      </c>
      <c r="I193" s="9">
        <v>21</v>
      </c>
      <c r="J193" s="9" t="s">
        <v>283</v>
      </c>
      <c r="K193" s="9" t="s">
        <v>11252</v>
      </c>
      <c r="L193" s="9" t="s">
        <v>735</v>
      </c>
      <c r="M193" s="14" t="s">
        <v>9158</v>
      </c>
      <c r="N193" s="14" t="s">
        <v>9158</v>
      </c>
      <c r="O193" s="14" t="s">
        <v>9158</v>
      </c>
      <c r="P193" s="14" t="s">
        <v>9158</v>
      </c>
      <c r="Q193" s="14" t="s">
        <v>9158</v>
      </c>
    </row>
    <row r="194" spans="1:17">
      <c r="A194" s="9">
        <v>73083</v>
      </c>
      <c r="B194" s="9" t="s">
        <v>334</v>
      </c>
      <c r="C194" s="9" t="s">
        <v>209</v>
      </c>
      <c r="D194" s="9" t="s">
        <v>10308</v>
      </c>
      <c r="E194" s="15" t="str">
        <f>HYPERLINK("https://stat100.ameba.jp/tnk47/ratio20/illustrations/card/ill_73083_inochinoamekobayashiissa03.jpg?201902-3-RELEASE-dice-e-394", "■")</f>
        <v>■</v>
      </c>
      <c r="F194" s="9" t="s">
        <v>11253</v>
      </c>
      <c r="G194" s="9">
        <v>91779</v>
      </c>
      <c r="H194" s="9">
        <v>66487</v>
      </c>
      <c r="I194" s="9">
        <v>21</v>
      </c>
      <c r="J194" s="9" t="s">
        <v>351</v>
      </c>
      <c r="K194" s="9" t="s">
        <v>11254</v>
      </c>
      <c r="L194" s="9" t="s">
        <v>1438</v>
      </c>
      <c r="M194" s="14" t="s">
        <v>9158</v>
      </c>
      <c r="N194" s="14" t="s">
        <v>9158</v>
      </c>
      <c r="O194" s="14" t="s">
        <v>9158</v>
      </c>
      <c r="P194" s="14" t="s">
        <v>9158</v>
      </c>
      <c r="Q194" s="14" t="s">
        <v>9158</v>
      </c>
    </row>
    <row r="195" spans="1:17">
      <c r="A195" s="9">
        <v>76773</v>
      </c>
      <c r="B195" s="9" t="s">
        <v>334</v>
      </c>
      <c r="C195" s="9" t="s">
        <v>209</v>
      </c>
      <c r="D195" s="9" t="s">
        <v>10471</v>
      </c>
      <c r="E195" s="15" t="str">
        <f>HYPERLINK("https://stat100.ameba.jp/tnk47/ratio20/illustrations/card/ill_76773_monsutatominushihime03.jpg?201902-3-RELEASE-dice-e-394", "■")</f>
        <v>■</v>
      </c>
      <c r="F195" s="9" t="s">
        <v>817</v>
      </c>
      <c r="G195" s="9">
        <v>95859</v>
      </c>
      <c r="H195" s="9">
        <v>69430</v>
      </c>
      <c r="I195" s="9">
        <v>21</v>
      </c>
      <c r="J195" s="9" t="s">
        <v>401</v>
      </c>
      <c r="K195" s="9" t="s">
        <v>818</v>
      </c>
      <c r="L195" s="9" t="s">
        <v>819</v>
      </c>
      <c r="M195" s="14" t="s">
        <v>9158</v>
      </c>
      <c r="N195" s="14" t="s">
        <v>9158</v>
      </c>
      <c r="O195" s="14" t="s">
        <v>9158</v>
      </c>
      <c r="P195" s="14" t="s">
        <v>9158</v>
      </c>
      <c r="Q195" s="14" t="s">
        <v>9158</v>
      </c>
    </row>
    <row r="196" spans="1:17">
      <c r="A196" s="9">
        <v>60763</v>
      </c>
      <c r="B196" s="9" t="s">
        <v>334</v>
      </c>
      <c r="C196" s="9" t="s">
        <v>203</v>
      </c>
      <c r="D196" s="9" t="s">
        <v>10420</v>
      </c>
      <c r="E196" s="15" t="str">
        <f>HYPERLINK("https://stat100.ameba.jp/tnk47/ratio20/illustrations/card/ill_60763_fujiwarakagekiyo03.jpg?201902-3-RELEASE-dice-e-394", "■")</f>
        <v>■</v>
      </c>
      <c r="F196" s="9" t="s">
        <v>1491</v>
      </c>
      <c r="G196" s="9">
        <v>101199</v>
      </c>
      <c r="H196" s="9">
        <v>139716</v>
      </c>
      <c r="I196" s="9">
        <v>21</v>
      </c>
      <c r="J196" s="9" t="s">
        <v>310</v>
      </c>
      <c r="K196" s="9" t="s">
        <v>11255</v>
      </c>
      <c r="L196" s="9" t="s">
        <v>407</v>
      </c>
      <c r="M196" s="14" t="s">
        <v>9158</v>
      </c>
      <c r="N196" s="14" t="s">
        <v>9158</v>
      </c>
      <c r="O196" s="9" t="s">
        <v>10112</v>
      </c>
      <c r="P196" s="9" t="s">
        <v>13150</v>
      </c>
      <c r="Q196" s="9">
        <v>1</v>
      </c>
    </row>
    <row r="197" spans="1:17">
      <c r="A197" s="9">
        <v>72153</v>
      </c>
      <c r="B197" s="9" t="s">
        <v>334</v>
      </c>
      <c r="C197" s="9" t="s">
        <v>203</v>
      </c>
      <c r="D197" s="9" t="s">
        <v>436</v>
      </c>
      <c r="E197" s="15" t="str">
        <f>HYPERLINK("https://stat100.ameba.jp/tnk47/ratio20/illustrations/card/ill_72153_bakki03.jpg?201902-3-RELEASE-dice-e-394", "■")</f>
        <v>■</v>
      </c>
      <c r="F197" s="9" t="s">
        <v>437</v>
      </c>
      <c r="G197" s="9">
        <v>80391</v>
      </c>
      <c r="H197" s="9">
        <v>111000</v>
      </c>
      <c r="I197" s="9">
        <v>21</v>
      </c>
      <c r="J197" s="9" t="s">
        <v>320</v>
      </c>
      <c r="K197" s="9" t="s">
        <v>438</v>
      </c>
      <c r="L197" s="9" t="s">
        <v>439</v>
      </c>
      <c r="M197" s="14" t="s">
        <v>9158</v>
      </c>
      <c r="N197" s="14" t="s">
        <v>9158</v>
      </c>
      <c r="O197" s="14" t="s">
        <v>9158</v>
      </c>
      <c r="P197" s="14" t="s">
        <v>9158</v>
      </c>
      <c r="Q197" s="14" t="s">
        <v>9158</v>
      </c>
    </row>
    <row r="199" spans="1:17">
      <c r="A199" s="9" t="s">
        <v>1214</v>
      </c>
    </row>
    <row r="200" spans="1:17">
      <c r="A200" s="9" t="s">
        <v>11256</v>
      </c>
    </row>
    <row r="201" spans="1:17">
      <c r="A201" s="9">
        <v>76073</v>
      </c>
      <c r="B201" s="9" t="s">
        <v>334</v>
      </c>
      <c r="C201" s="9" t="s">
        <v>154</v>
      </c>
      <c r="D201" s="9" t="s">
        <v>1602</v>
      </c>
      <c r="E201" s="15" t="str">
        <f>HYPERLINK("https://stat100.ameba.jp/tnk47/ratio20/illustrations/card/ill_76073_kokidogatapatobatora03.jpg?201902-3-RELEASE-dice-e-394", "■")</f>
        <v>■</v>
      </c>
      <c r="F201" s="9" t="s">
        <v>1603</v>
      </c>
      <c r="G201" s="9">
        <v>134446</v>
      </c>
      <c r="H201" s="9">
        <v>125008</v>
      </c>
      <c r="I201" s="9">
        <v>22</v>
      </c>
      <c r="J201" s="9" t="s">
        <v>310</v>
      </c>
      <c r="K201" s="9" t="s">
        <v>1604</v>
      </c>
      <c r="L201" s="9" t="s">
        <v>1605</v>
      </c>
      <c r="M201" s="14" t="s">
        <v>9158</v>
      </c>
      <c r="N201" s="14" t="s">
        <v>9158</v>
      </c>
      <c r="O201" s="14" t="s">
        <v>9158</v>
      </c>
      <c r="P201" s="14" t="s">
        <v>9158</v>
      </c>
      <c r="Q201" s="14" t="s">
        <v>9158</v>
      </c>
    </row>
    <row r="202" spans="1:17">
      <c r="A202" s="9">
        <v>76083</v>
      </c>
      <c r="B202" s="9" t="s">
        <v>334</v>
      </c>
      <c r="C202" s="9" t="s">
        <v>158</v>
      </c>
      <c r="D202" s="9" t="s">
        <v>1606</v>
      </c>
      <c r="E202" s="15" t="str">
        <f>HYPERLINK("https://stat100.ameba.jp/tnk47/ratio20/illustrations/card/ill_76083_dokutamedeikku03.jpg?201902-3-RELEASE-dice-e-394", "■")</f>
        <v>■</v>
      </c>
      <c r="F202" s="9" t="s">
        <v>1607</v>
      </c>
      <c r="G202" s="9">
        <v>96610</v>
      </c>
      <c r="H202" s="9">
        <v>103888</v>
      </c>
      <c r="I202" s="9">
        <v>22</v>
      </c>
      <c r="J202" s="9" t="s">
        <v>414</v>
      </c>
      <c r="K202" s="9" t="s">
        <v>1608</v>
      </c>
      <c r="L202" s="9" t="s">
        <v>1609</v>
      </c>
      <c r="M202" s="14" t="s">
        <v>9158</v>
      </c>
      <c r="N202" s="14" t="s">
        <v>9158</v>
      </c>
      <c r="O202" s="14" t="s">
        <v>9158</v>
      </c>
      <c r="P202" s="14" t="s">
        <v>9158</v>
      </c>
      <c r="Q202" s="14" t="s">
        <v>9158</v>
      </c>
    </row>
    <row r="203" spans="1:17">
      <c r="A203" s="9">
        <v>76093</v>
      </c>
      <c r="B203" s="9" t="s">
        <v>334</v>
      </c>
      <c r="C203" s="9" t="s">
        <v>202</v>
      </c>
      <c r="D203" s="9" t="s">
        <v>1610</v>
      </c>
      <c r="E203" s="15" t="str">
        <f>HYPERLINK("https://stat100.ameba.jp/tnk47/ratio20/illustrations/card/ill_76093_fuaiafuaita03.jpg?201902-3-RELEASE-dice-e-394", "■")</f>
        <v>■</v>
      </c>
      <c r="F203" s="9" t="s">
        <v>1611</v>
      </c>
      <c r="G203" s="9">
        <v>96610</v>
      </c>
      <c r="H203" s="9">
        <v>103888</v>
      </c>
      <c r="I203" s="9">
        <v>22</v>
      </c>
      <c r="J203" s="9" t="s">
        <v>351</v>
      </c>
      <c r="K203" s="9" t="s">
        <v>1612</v>
      </c>
      <c r="L203" s="9" t="s">
        <v>1613</v>
      </c>
      <c r="M203" s="14" t="s">
        <v>9158</v>
      </c>
      <c r="N203" s="14" t="s">
        <v>9158</v>
      </c>
      <c r="O203" s="14" t="s">
        <v>9158</v>
      </c>
      <c r="P203" s="14" t="s">
        <v>9158</v>
      </c>
      <c r="Q203" s="14" t="s">
        <v>9158</v>
      </c>
    </row>
    <row r="204" spans="1:17">
      <c r="A204" s="9">
        <v>74413</v>
      </c>
      <c r="B204" s="9" t="s">
        <v>334</v>
      </c>
      <c r="C204" s="9" t="s">
        <v>202</v>
      </c>
      <c r="D204" s="9" t="s">
        <v>1614</v>
      </c>
      <c r="E204" s="15" t="str">
        <f>HYPERLINK("https://stat100.ameba.jp/tnk47/ratio20/illustrations/card/ill_74413_mutekisenkanyamato03.jpg?201902-3-RELEASE-dice-e-394", "■")</f>
        <v>■</v>
      </c>
      <c r="F204" s="9" t="s">
        <v>1615</v>
      </c>
      <c r="G204" s="9">
        <v>129556</v>
      </c>
      <c r="H204" s="9">
        <v>120470</v>
      </c>
      <c r="I204" s="9">
        <v>22</v>
      </c>
      <c r="J204" s="9" t="s">
        <v>274</v>
      </c>
      <c r="K204" s="9" t="s">
        <v>1616</v>
      </c>
      <c r="L204" s="9" t="s">
        <v>1617</v>
      </c>
      <c r="M204" s="14" t="s">
        <v>9158</v>
      </c>
      <c r="N204" s="14" t="s">
        <v>9158</v>
      </c>
      <c r="O204" s="14" t="s">
        <v>9158</v>
      </c>
      <c r="P204" s="14" t="s">
        <v>9158</v>
      </c>
      <c r="Q204" s="14" t="s">
        <v>9158</v>
      </c>
    </row>
    <row r="205" spans="1:17">
      <c r="A205" s="9">
        <v>74373</v>
      </c>
      <c r="B205" s="9" t="s">
        <v>334</v>
      </c>
      <c r="C205" s="9" t="s">
        <v>203</v>
      </c>
      <c r="D205" s="9" t="s">
        <v>1618</v>
      </c>
      <c r="E205" s="15" t="str">
        <f>HYPERLINK("https://stat100.ameba.jp/tnk47/ratio20/illustrations/card/ill_74373_shirasaginomaihimejijou03.jpg?201902-3-RELEASE-dice-e-394", "■")</f>
        <v>■</v>
      </c>
      <c r="F205" s="9" t="s">
        <v>1619</v>
      </c>
      <c r="G205" s="9">
        <v>86778</v>
      </c>
      <c r="H205" s="9">
        <v>80708</v>
      </c>
      <c r="I205" s="9">
        <v>22</v>
      </c>
      <c r="J205" s="9" t="s">
        <v>401</v>
      </c>
      <c r="K205" s="9" t="s">
        <v>1620</v>
      </c>
      <c r="L205" s="9" t="s">
        <v>1621</v>
      </c>
      <c r="M205" s="14" t="s">
        <v>9158</v>
      </c>
      <c r="N205" s="14" t="s">
        <v>9158</v>
      </c>
      <c r="O205" s="14" t="s">
        <v>9158</v>
      </c>
      <c r="P205" s="14" t="s">
        <v>9158</v>
      </c>
      <c r="Q205" s="14" t="s">
        <v>9158</v>
      </c>
    </row>
    <row r="206" spans="1:17">
      <c r="A206" s="9">
        <v>74363</v>
      </c>
      <c r="B206" s="9" t="s">
        <v>334</v>
      </c>
      <c r="C206" s="9" t="s">
        <v>209</v>
      </c>
      <c r="D206" s="9" t="s">
        <v>1622</v>
      </c>
      <c r="E206" s="15" t="str">
        <f>HYPERLINK("https://stat100.ameba.jp/tnk47/ratio20/illustrations/card/ill_74363_gantorikuren03.jpg?201902-3-RELEASE-dice-e-394", "■")</f>
        <v>■</v>
      </c>
      <c r="F206" s="9" t="s">
        <v>1623</v>
      </c>
      <c r="G206" s="9">
        <v>82978</v>
      </c>
      <c r="H206" s="9">
        <v>89222</v>
      </c>
      <c r="I206" s="9">
        <v>22</v>
      </c>
      <c r="J206" s="9" t="s">
        <v>369</v>
      </c>
      <c r="K206" s="9" t="s">
        <v>1624</v>
      </c>
      <c r="L206" s="9" t="s">
        <v>1625</v>
      </c>
      <c r="M206" s="14" t="s">
        <v>9158</v>
      </c>
      <c r="N206" s="14" t="s">
        <v>9158</v>
      </c>
      <c r="O206" s="14" t="s">
        <v>9158</v>
      </c>
      <c r="P206" s="14" t="s">
        <v>9158</v>
      </c>
      <c r="Q206" s="14" t="s">
        <v>9158</v>
      </c>
    </row>
    <row r="208" spans="1:17">
      <c r="A208" s="9" t="s">
        <v>135</v>
      </c>
    </row>
    <row r="209" spans="1:17">
      <c r="A209" s="9" t="s">
        <v>11257</v>
      </c>
    </row>
    <row r="210" spans="1:17">
      <c r="A210" s="9" t="s">
        <v>5848</v>
      </c>
      <c r="B210" s="9" t="s">
        <v>330</v>
      </c>
      <c r="C210" s="9" t="s">
        <v>200</v>
      </c>
      <c r="D210" s="9" t="s">
        <v>3160</v>
      </c>
      <c r="E210" s="15" t="str">
        <f>HYPERLINK("https://stat100.ameba.jp/tnk47/ratio20/illustrations/card/ill_72963_0_amenohanayomehiguchiichiyo03.jpg?201902-3-RELEASE-dice-e-394", "■")</f>
        <v>■</v>
      </c>
      <c r="F210" s="9" t="s">
        <v>757</v>
      </c>
      <c r="G210" s="9">
        <v>154104</v>
      </c>
      <c r="H210" s="9">
        <v>143290</v>
      </c>
      <c r="I210" s="9">
        <v>23</v>
      </c>
      <c r="J210" s="9" t="s">
        <v>351</v>
      </c>
      <c r="K210" s="9" t="s">
        <v>1489</v>
      </c>
      <c r="L210" s="9" t="s">
        <v>3161</v>
      </c>
      <c r="M210" s="14" t="s">
        <v>9158</v>
      </c>
      <c r="N210" s="14" t="s">
        <v>9158</v>
      </c>
      <c r="O210" s="9" t="s">
        <v>3162</v>
      </c>
      <c r="P210" s="9" t="s">
        <v>3163</v>
      </c>
      <c r="Q210" s="9">
        <v>1</v>
      </c>
    </row>
    <row r="211" spans="1:17">
      <c r="A211" s="9">
        <v>78133</v>
      </c>
      <c r="B211" s="9" t="s">
        <v>334</v>
      </c>
      <c r="C211" s="9" t="s">
        <v>154</v>
      </c>
      <c r="D211" s="9" t="s">
        <v>10313</v>
      </c>
      <c r="E211" s="15" t="str">
        <f>HYPERLINK("https://stat100.ameba.jp/tnk47/ratio20/illustrations/card/ill_78133_akazukin03.jpg?201902-3-RELEASE-dice-e-394", "■")</f>
        <v>■</v>
      </c>
      <c r="F211" s="9" t="s">
        <v>11258</v>
      </c>
      <c r="G211" s="9">
        <v>77618</v>
      </c>
      <c r="H211" s="9">
        <v>107166</v>
      </c>
      <c r="I211" s="9">
        <v>21</v>
      </c>
      <c r="J211" s="9" t="s">
        <v>274</v>
      </c>
      <c r="K211" s="9" t="s">
        <v>11259</v>
      </c>
      <c r="L211" s="9" t="s">
        <v>469</v>
      </c>
      <c r="M211" s="14" t="s">
        <v>9158</v>
      </c>
      <c r="N211" s="14" t="s">
        <v>9158</v>
      </c>
      <c r="O211" s="9" t="s">
        <v>2917</v>
      </c>
      <c r="P211" s="9" t="s">
        <v>2918</v>
      </c>
      <c r="Q211" s="9">
        <v>1</v>
      </c>
    </row>
    <row r="212" spans="1:17">
      <c r="A212" s="9">
        <v>75893</v>
      </c>
      <c r="B212" s="9" t="s">
        <v>334</v>
      </c>
      <c r="C212" s="9" t="s">
        <v>158</v>
      </c>
      <c r="D212" s="9" t="s">
        <v>3095</v>
      </c>
      <c r="E212" s="15" t="str">
        <f>HYPERLINK("https://stat100.ameba.jp/tnk47/ratio20/illustrations/card/ill_75893_hamamatsutakuni03.jpg?201902-3-RELEASE-dice-e-394", "■")</f>
        <v>■</v>
      </c>
      <c r="F212" s="9" t="s">
        <v>3096</v>
      </c>
      <c r="G212" s="9">
        <v>95307</v>
      </c>
      <c r="H212" s="9">
        <v>69051</v>
      </c>
      <c r="I212" s="9">
        <v>21</v>
      </c>
      <c r="J212" s="9" t="s">
        <v>414</v>
      </c>
      <c r="K212" s="9" t="s">
        <v>3097</v>
      </c>
      <c r="L212" s="9" t="s">
        <v>1485</v>
      </c>
      <c r="M212" s="14" t="s">
        <v>9158</v>
      </c>
      <c r="N212" s="14" t="s">
        <v>9158</v>
      </c>
      <c r="O212" s="9" t="s">
        <v>3037</v>
      </c>
      <c r="P212" s="9" t="s">
        <v>13128</v>
      </c>
      <c r="Q212" s="9">
        <v>1</v>
      </c>
    </row>
    <row r="213" spans="1:17">
      <c r="A213" s="9">
        <v>70843</v>
      </c>
      <c r="B213" s="9" t="s">
        <v>334</v>
      </c>
      <c r="C213" s="9" t="s">
        <v>154</v>
      </c>
      <c r="D213" s="9" t="s">
        <v>10651</v>
      </c>
      <c r="E213" s="15" t="str">
        <f>HYPERLINK("https://stat100.ameba.jp/tnk47/ratio20/illustrations/card/ill_70843_indoshinwakurionechan03.jpg?201902-3-RELEASE-dice-e-394", "■")</f>
        <v>■</v>
      </c>
      <c r="F213" s="9" t="s">
        <v>856</v>
      </c>
      <c r="G213" s="9">
        <v>88948</v>
      </c>
      <c r="H213" s="9">
        <v>95668</v>
      </c>
      <c r="I213" s="9">
        <v>21</v>
      </c>
      <c r="J213" s="9" t="s">
        <v>369</v>
      </c>
      <c r="K213" s="9" t="s">
        <v>857</v>
      </c>
      <c r="L213" s="9" t="s">
        <v>496</v>
      </c>
      <c r="M213" s="14" t="s">
        <v>9158</v>
      </c>
      <c r="N213" s="14" t="s">
        <v>9158</v>
      </c>
      <c r="O213" s="9" t="s">
        <v>10074</v>
      </c>
      <c r="P213" s="9" t="s">
        <v>2822</v>
      </c>
      <c r="Q213" s="9">
        <v>1</v>
      </c>
    </row>
    <row r="215" spans="1:17">
      <c r="A215" s="9" t="s">
        <v>199</v>
      </c>
    </row>
    <row r="216" spans="1:17">
      <c r="A216" s="9" t="s">
        <v>11260</v>
      </c>
    </row>
    <row r="217" spans="1:17">
      <c r="A217" s="9" t="s">
        <v>5778</v>
      </c>
      <c r="B217" s="9" t="s">
        <v>330</v>
      </c>
      <c r="C217" s="9" t="s">
        <v>205</v>
      </c>
      <c r="D217" s="9" t="s">
        <v>272</v>
      </c>
      <c r="E217" s="15" t="str">
        <f>HYPERLINK("https://stat100.ameba.jp/tnk47/ratio20/illustrations/card/ill_68783_0_gantammomotaro03.jpg?201902-3-RELEASE-dice-e-394", "■")</f>
        <v>■</v>
      </c>
      <c r="F217" s="9" t="s">
        <v>273</v>
      </c>
      <c r="G217" s="9">
        <v>102590</v>
      </c>
      <c r="H217" s="9">
        <v>95371</v>
      </c>
      <c r="I217" s="9">
        <v>15</v>
      </c>
      <c r="J217" s="9" t="s">
        <v>274</v>
      </c>
      <c r="K217" s="9" t="s">
        <v>275</v>
      </c>
      <c r="L217" s="9" t="s">
        <v>276</v>
      </c>
      <c r="M217" s="14" t="s">
        <v>9158</v>
      </c>
      <c r="N217" s="14" t="s">
        <v>9158</v>
      </c>
      <c r="O217" s="9" t="s">
        <v>10099</v>
      </c>
      <c r="P217" s="9" t="s">
        <v>3085</v>
      </c>
      <c r="Q217" s="9">
        <v>1</v>
      </c>
    </row>
    <row r="218" spans="1:17">
      <c r="A218" s="9" t="s">
        <v>5642</v>
      </c>
      <c r="B218" s="9" t="s">
        <v>330</v>
      </c>
      <c r="C218" s="9" t="s">
        <v>185</v>
      </c>
      <c r="D218" s="9" t="s">
        <v>3086</v>
      </c>
      <c r="E218" s="15" t="str">
        <f>HYPERLINK("https://stat100.ameba.jp/tnk47/ratio20/illustrations/card/ill_69593_0_setsubunyukionna03.jpg?201902-3-RELEASE-dice-e-394", "■")</f>
        <v>■</v>
      </c>
      <c r="F218" s="9" t="s">
        <v>3087</v>
      </c>
      <c r="G218" s="9">
        <v>107146</v>
      </c>
      <c r="H218" s="9">
        <v>115249</v>
      </c>
      <c r="I218" s="9">
        <v>15</v>
      </c>
      <c r="J218" s="9" t="s">
        <v>320</v>
      </c>
      <c r="K218" s="9" t="s">
        <v>3088</v>
      </c>
      <c r="L218" s="9" t="s">
        <v>3089</v>
      </c>
      <c r="M218" s="14" t="s">
        <v>9158</v>
      </c>
      <c r="N218" s="14" t="s">
        <v>9158</v>
      </c>
      <c r="O218" s="9" t="s">
        <v>3090</v>
      </c>
      <c r="P218" s="9" t="s">
        <v>3091</v>
      </c>
      <c r="Q218" s="9">
        <v>2</v>
      </c>
    </row>
    <row r="219" spans="1:17">
      <c r="A219" s="9" t="s">
        <v>5608</v>
      </c>
      <c r="B219" s="9" t="s">
        <v>330</v>
      </c>
      <c r="C219" s="9" t="s">
        <v>165</v>
      </c>
      <c r="D219" s="9" t="s">
        <v>634</v>
      </c>
      <c r="E219" s="15" t="str">
        <f>HYPERLINK("https://stat100.ameba.jp/tnk47/ratio20/illustrations/card/ill_40963_0_makami03.jpg?201902-3-RELEASE-dice-e-394", "■")</f>
        <v>■</v>
      </c>
      <c r="F219" s="9" t="s">
        <v>635</v>
      </c>
      <c r="G219" s="9">
        <v>87780</v>
      </c>
      <c r="H219" s="9">
        <v>82212</v>
      </c>
      <c r="I219" s="9">
        <v>15</v>
      </c>
      <c r="J219" s="9" t="s">
        <v>401</v>
      </c>
      <c r="K219" s="9" t="s">
        <v>636</v>
      </c>
      <c r="L219" s="9" t="s">
        <v>637</v>
      </c>
      <c r="M219" s="14" t="s">
        <v>9158</v>
      </c>
      <c r="N219" s="14" t="s">
        <v>9158</v>
      </c>
      <c r="O219" s="14" t="s">
        <v>9158</v>
      </c>
      <c r="P219" s="14" t="s">
        <v>9158</v>
      </c>
      <c r="Q219" s="14" t="s">
        <v>9158</v>
      </c>
    </row>
    <row r="220" spans="1:17">
      <c r="A220" s="9">
        <v>54893</v>
      </c>
      <c r="B220" s="9" t="s">
        <v>334</v>
      </c>
      <c r="C220" s="9" t="s">
        <v>262</v>
      </c>
      <c r="D220" s="9" t="s">
        <v>11261</v>
      </c>
      <c r="E220" s="15" t="str">
        <f>HYPERLINK("https://stat100.ameba.jp/tnk47/ratio20/illustrations/card/ill_54893_baniyododono03.jpg?201902-3-RELEASE-dice-e-394", "■")</f>
        <v>■</v>
      </c>
      <c r="F220" s="9" t="s">
        <v>11262</v>
      </c>
      <c r="G220" s="9">
        <v>84796</v>
      </c>
      <c r="H220" s="9">
        <v>78838</v>
      </c>
      <c r="I220" s="9">
        <v>22</v>
      </c>
      <c r="J220" s="9" t="s">
        <v>315</v>
      </c>
      <c r="K220" s="9" t="s">
        <v>11263</v>
      </c>
      <c r="L220" s="9" t="s">
        <v>11264</v>
      </c>
      <c r="M220" s="14" t="s">
        <v>9158</v>
      </c>
      <c r="N220" s="14" t="s">
        <v>9158</v>
      </c>
      <c r="O220" s="14" t="s">
        <v>9158</v>
      </c>
      <c r="P220" s="14" t="s">
        <v>9158</v>
      </c>
      <c r="Q220" s="14" t="s">
        <v>9158</v>
      </c>
    </row>
    <row r="221" spans="1:17">
      <c r="A221" s="9">
        <v>56253</v>
      </c>
      <c r="B221" s="9" t="s">
        <v>334</v>
      </c>
      <c r="C221" s="9" t="s">
        <v>262</v>
      </c>
      <c r="D221" s="9" t="s">
        <v>11265</v>
      </c>
      <c r="E221" s="15" t="str">
        <f>HYPERLINK("https://stat100.ameba.jp/tnk47/ratio20/illustrations/card/ill_56253_ongakusaishinigami03.jpg?201902-3-RELEASE-dice-e-394", "■")</f>
        <v>■</v>
      </c>
      <c r="F221" s="9" t="s">
        <v>11266</v>
      </c>
      <c r="G221" s="9">
        <v>84796</v>
      </c>
      <c r="H221" s="9">
        <v>78838</v>
      </c>
      <c r="I221" s="9">
        <v>22</v>
      </c>
      <c r="J221" s="9" t="s">
        <v>320</v>
      </c>
      <c r="K221" s="9" t="s">
        <v>11267</v>
      </c>
      <c r="L221" s="9" t="s">
        <v>11268</v>
      </c>
      <c r="M221" s="14" t="s">
        <v>9158</v>
      </c>
      <c r="N221" s="14" t="s">
        <v>9158</v>
      </c>
      <c r="O221" s="14" t="s">
        <v>9158</v>
      </c>
      <c r="P221" s="14" t="s">
        <v>9158</v>
      </c>
      <c r="Q221" s="14" t="s">
        <v>9158</v>
      </c>
    </row>
    <row r="222" spans="1:17">
      <c r="A222" s="9">
        <v>51893</v>
      </c>
      <c r="B222" s="9" t="s">
        <v>334</v>
      </c>
      <c r="C222" s="9" t="s">
        <v>206</v>
      </c>
      <c r="D222" s="9" t="s">
        <v>11269</v>
      </c>
      <c r="E222" s="15" t="str">
        <f>HYPERLINK("https://stat100.ameba.jp/tnk47/ratio20/illustrations/card/ill_51893_kemonomizugitakachihonomine03.jpg?201902-3-RELEASE-dice-e-394", "■")</f>
        <v>■</v>
      </c>
      <c r="F222" s="9" t="s">
        <v>760</v>
      </c>
      <c r="G222" s="9">
        <v>78838</v>
      </c>
      <c r="H222" s="9">
        <v>84796</v>
      </c>
      <c r="I222" s="9">
        <v>22</v>
      </c>
      <c r="J222" s="9" t="s">
        <v>401</v>
      </c>
      <c r="K222" s="9" t="s">
        <v>11270</v>
      </c>
      <c r="L222" s="9" t="s">
        <v>1578</v>
      </c>
      <c r="M222" s="14" t="s">
        <v>9158</v>
      </c>
      <c r="N222" s="14" t="s">
        <v>9158</v>
      </c>
      <c r="O222" s="9" t="s">
        <v>11271</v>
      </c>
      <c r="P222" s="9" t="s">
        <v>13145</v>
      </c>
      <c r="Q222" s="9">
        <v>1</v>
      </c>
    </row>
    <row r="224" spans="1:17">
      <c r="A224" s="9" t="s">
        <v>3602</v>
      </c>
    </row>
    <row r="225" spans="1:17">
      <c r="A225" s="9" t="s">
        <v>11272</v>
      </c>
    </row>
    <row r="226" spans="1:17">
      <c r="A226" s="9" t="s">
        <v>11475</v>
      </c>
    </row>
    <row r="227" spans="1:17">
      <c r="A227" s="9" t="s">
        <v>5605</v>
      </c>
      <c r="B227" s="9" t="s">
        <v>330</v>
      </c>
      <c r="C227" s="9" t="s">
        <v>202</v>
      </c>
      <c r="D227" s="9" t="s">
        <v>10332</v>
      </c>
      <c r="E227" s="15" t="str">
        <f>HYPERLINK("https://stat100.ameba.jp/tnk47/ratio20/illustrations/card/ill_79373_0_hommeichokotennyohime03.jpg?201902-3-RELEASE-dice-e-394", "■")</f>
        <v>■</v>
      </c>
      <c r="F227" s="9" t="s">
        <v>11045</v>
      </c>
      <c r="G227" s="9">
        <v>185478</v>
      </c>
      <c r="H227" s="9">
        <v>167643</v>
      </c>
      <c r="I227" s="9">
        <v>15</v>
      </c>
      <c r="J227" s="9" t="s">
        <v>283</v>
      </c>
      <c r="K227" s="9" t="s">
        <v>11046</v>
      </c>
      <c r="L227" s="9" t="s">
        <v>11047</v>
      </c>
      <c r="M227" s="14" t="s">
        <v>9158</v>
      </c>
      <c r="N227" s="14" t="s">
        <v>9158</v>
      </c>
      <c r="O227" s="9" t="s">
        <v>10072</v>
      </c>
      <c r="P227" s="9" t="s">
        <v>11048</v>
      </c>
      <c r="Q227" s="9">
        <v>1</v>
      </c>
    </row>
    <row r="228" spans="1:17">
      <c r="A228" s="9">
        <v>79643</v>
      </c>
      <c r="B228" s="9" t="s">
        <v>334</v>
      </c>
      <c r="C228" s="9" t="s">
        <v>185</v>
      </c>
      <c r="D228" s="9" t="s">
        <v>10622</v>
      </c>
      <c r="E228" s="15" t="str">
        <f>HYPERLINK("https://stat100.ameba.jp/tnk47/ratio20/illustrations/card/ill_79643_hibikiwataruneirosonobehideo03.jpg?201902-3-RELEASE-dice-e-394", "■")</f>
        <v>■</v>
      </c>
      <c r="F228" s="9" t="s">
        <v>11273</v>
      </c>
      <c r="G228" s="9">
        <v>79868</v>
      </c>
      <c r="H228" s="9">
        <v>85934</v>
      </c>
      <c r="I228" s="9">
        <v>22</v>
      </c>
      <c r="J228" s="9" t="s">
        <v>351</v>
      </c>
      <c r="K228" s="9" t="s">
        <v>11274</v>
      </c>
      <c r="L228" s="9" t="s">
        <v>682</v>
      </c>
      <c r="M228" s="14" t="s">
        <v>9158</v>
      </c>
      <c r="N228" s="14" t="s">
        <v>9158</v>
      </c>
      <c r="O228" s="14" t="s">
        <v>9158</v>
      </c>
      <c r="P228" s="14" t="s">
        <v>9158</v>
      </c>
      <c r="Q228" s="14" t="s">
        <v>9158</v>
      </c>
    </row>
    <row r="229" spans="1:17">
      <c r="A229" s="9">
        <v>79653</v>
      </c>
      <c r="B229" s="9" t="s">
        <v>348</v>
      </c>
      <c r="C229" s="9" t="s">
        <v>267</v>
      </c>
      <c r="D229" s="9" t="s">
        <v>10593</v>
      </c>
      <c r="E229" s="15" t="str">
        <f>HYPERLINK("https://stat100.ameba.jp/tnk47/ratio20/illustrations/card/ill_79653_oiri03.jpg?201902-3-RELEASE-dice-e-394", "■")</f>
        <v>■</v>
      </c>
      <c r="F229" s="9" t="s">
        <v>11275</v>
      </c>
      <c r="G229" s="9">
        <v>65208</v>
      </c>
      <c r="H229" s="9">
        <v>59144</v>
      </c>
      <c r="I229" s="9">
        <v>22</v>
      </c>
      <c r="J229" s="9" t="s">
        <v>283</v>
      </c>
      <c r="K229" s="9" t="s">
        <v>11276</v>
      </c>
      <c r="L229" s="9" t="s">
        <v>1536</v>
      </c>
      <c r="M229" s="14" t="s">
        <v>9158</v>
      </c>
      <c r="N229" s="14" t="s">
        <v>9158</v>
      </c>
      <c r="O229" s="14" t="s">
        <v>9158</v>
      </c>
      <c r="P229" s="14" t="s">
        <v>9158</v>
      </c>
      <c r="Q229" s="14" t="s">
        <v>9158</v>
      </c>
    </row>
    <row r="230" spans="1:17">
      <c r="A230" s="9">
        <v>79663</v>
      </c>
      <c r="B230" s="9" t="s">
        <v>362</v>
      </c>
      <c r="C230" s="9" t="s">
        <v>11277</v>
      </c>
      <c r="D230" s="9" t="s">
        <v>11278</v>
      </c>
      <c r="E230" s="15" t="str">
        <f>HYPERLINK("https://stat100.ameba.jp/tnk47/ratio20/illustrations/card/ill_79663_kurokomanokatsuzou03.jpg?201902-3-RELEASE-dice-e-394", "■")</f>
        <v>■</v>
      </c>
      <c r="F230" s="9" t="s">
        <v>11279</v>
      </c>
      <c r="G230" s="9">
        <v>38032</v>
      </c>
      <c r="H230" s="9">
        <v>45742</v>
      </c>
      <c r="I230" s="9">
        <v>22</v>
      </c>
      <c r="J230" s="9" t="s">
        <v>310</v>
      </c>
      <c r="K230" s="9" t="s">
        <v>11280</v>
      </c>
      <c r="L230" s="9" t="s">
        <v>1540</v>
      </c>
      <c r="M230" s="14" t="s">
        <v>9158</v>
      </c>
      <c r="N230" s="14" t="s">
        <v>9158</v>
      </c>
      <c r="O230" s="14" t="s">
        <v>9158</v>
      </c>
      <c r="P230" s="14" t="s">
        <v>9158</v>
      </c>
      <c r="Q230" s="14" t="s">
        <v>9158</v>
      </c>
    </row>
    <row r="231" spans="1:17">
      <c r="A231" s="9">
        <v>79673</v>
      </c>
      <c r="B231" s="9" t="s">
        <v>372</v>
      </c>
      <c r="C231" s="9" t="s">
        <v>11281</v>
      </c>
      <c r="D231" s="9" t="s">
        <v>11282</v>
      </c>
      <c r="E231" s="15" t="str">
        <f>HYPERLINK("https://stat100.ameba.jp/tnk47/ratio20/illustrations/card/ill_79673_amekaiyokai03.jpg?201902-3-RELEASE-dice-e-394", "■")</f>
        <v>■</v>
      </c>
      <c r="F231" s="9" t="s">
        <v>11283</v>
      </c>
      <c r="G231" s="9">
        <v>27692</v>
      </c>
      <c r="H231" s="9">
        <v>23258</v>
      </c>
      <c r="I231" s="9">
        <v>22</v>
      </c>
      <c r="J231" s="9" t="s">
        <v>320</v>
      </c>
      <c r="K231" s="9" t="s">
        <v>11284</v>
      </c>
      <c r="L231" s="9" t="s">
        <v>11285</v>
      </c>
      <c r="M231" s="14" t="s">
        <v>9158</v>
      </c>
      <c r="N231" s="14" t="s">
        <v>9158</v>
      </c>
      <c r="O231" s="14" t="s">
        <v>9158</v>
      </c>
      <c r="P231" s="14" t="s">
        <v>9158</v>
      </c>
      <c r="Q231" s="14" t="s">
        <v>9158</v>
      </c>
    </row>
    <row r="233" spans="1:17">
      <c r="A233" s="9" t="s">
        <v>223</v>
      </c>
    </row>
    <row r="234" spans="1:17">
      <c r="A234" s="9" t="s">
        <v>11286</v>
      </c>
    </row>
    <row r="235" spans="1:17">
      <c r="A235" s="9" t="s">
        <v>5623</v>
      </c>
      <c r="B235" s="9" t="s">
        <v>330</v>
      </c>
      <c r="C235" s="9" t="s">
        <v>165</v>
      </c>
      <c r="D235" s="9" t="s">
        <v>3146</v>
      </c>
      <c r="E235" s="15" t="str">
        <f>HYPERLINK("https://stat100.ameba.jp/tnk47/ratio20/illustrations/card/ill_65713_0_undokaionikirimaru03.jpg?201902-3-RELEASE-dice-e-394", "■")</f>
        <v>■</v>
      </c>
      <c r="F235" s="9" t="s">
        <v>535</v>
      </c>
      <c r="G235" s="9">
        <v>136230</v>
      </c>
      <c r="H235" s="9">
        <v>126654</v>
      </c>
      <c r="I235" s="9">
        <v>18</v>
      </c>
      <c r="J235" s="9" t="s">
        <v>320</v>
      </c>
      <c r="K235" s="9" t="s">
        <v>3147</v>
      </c>
      <c r="L235" s="9" t="s">
        <v>3148</v>
      </c>
      <c r="M235" s="14" t="s">
        <v>9158</v>
      </c>
      <c r="N235" s="14" t="s">
        <v>9158</v>
      </c>
      <c r="O235" s="9" t="s">
        <v>2869</v>
      </c>
      <c r="P235" s="9" t="s">
        <v>2870</v>
      </c>
      <c r="Q235" s="9">
        <v>1</v>
      </c>
    </row>
    <row r="236" spans="1:17">
      <c r="A236" s="9">
        <v>60763</v>
      </c>
      <c r="B236" s="9" t="s">
        <v>334</v>
      </c>
      <c r="C236" s="9" t="s">
        <v>203</v>
      </c>
      <c r="D236" s="9" t="s">
        <v>10420</v>
      </c>
      <c r="E236" s="15" t="str">
        <f>HYPERLINK("https://stat100.ameba.jp/tnk47/ratio20/illustrations/card/ill_60763_fujiwarakagekiyo03.jpg?201902-3-RELEASE-dice-e-394", "■")</f>
        <v>■</v>
      </c>
      <c r="F236" s="9" t="s">
        <v>1491</v>
      </c>
      <c r="G236" s="9">
        <v>96380</v>
      </c>
      <c r="H236" s="9">
        <v>133062</v>
      </c>
      <c r="I236" s="9">
        <v>20</v>
      </c>
      <c r="J236" s="9" t="s">
        <v>310</v>
      </c>
      <c r="K236" s="9" t="s">
        <v>11255</v>
      </c>
      <c r="L236" s="9" t="s">
        <v>407</v>
      </c>
      <c r="M236" s="14" t="s">
        <v>9158</v>
      </c>
      <c r="N236" s="14" t="s">
        <v>9158</v>
      </c>
      <c r="O236" s="9" t="s">
        <v>10112</v>
      </c>
      <c r="P236" s="9" t="s">
        <v>13150</v>
      </c>
      <c r="Q236" s="9">
        <v>1</v>
      </c>
    </row>
    <row r="237" spans="1:17">
      <c r="A237" s="9">
        <v>65643</v>
      </c>
      <c r="B237" s="9" t="s">
        <v>334</v>
      </c>
      <c r="C237" s="9" t="s">
        <v>209</v>
      </c>
      <c r="D237" s="9" t="s">
        <v>1681</v>
      </c>
      <c r="E237" s="15" t="str">
        <f>HYPERLINK("https://stat100.ameba.jp/tnk47/ratio20/illustrations/card/ill_65643_shitompekamui03.jpg?201902-3-RELEASE-dice-e-394", "■")</f>
        <v>■</v>
      </c>
      <c r="F237" s="9" t="s">
        <v>1682</v>
      </c>
      <c r="G237" s="9">
        <v>66124</v>
      </c>
      <c r="H237" s="9">
        <v>91296</v>
      </c>
      <c r="I237" s="9">
        <v>20</v>
      </c>
      <c r="J237" s="9" t="s">
        <v>401</v>
      </c>
      <c r="K237" s="9" t="s">
        <v>1683</v>
      </c>
      <c r="L237" s="9" t="s">
        <v>11287</v>
      </c>
      <c r="M237" s="14" t="s">
        <v>9158</v>
      </c>
      <c r="N237" s="14" t="s">
        <v>9158</v>
      </c>
      <c r="O237" s="9" t="s">
        <v>10096</v>
      </c>
      <c r="P237" s="9" t="s">
        <v>11288</v>
      </c>
      <c r="Q237" s="9">
        <v>1</v>
      </c>
    </row>
    <row r="238" spans="1:17">
      <c r="A238" s="9">
        <v>59613</v>
      </c>
      <c r="B238" s="9" t="s">
        <v>334</v>
      </c>
      <c r="C238" s="9" t="s">
        <v>185</v>
      </c>
      <c r="D238" s="9" t="s">
        <v>10267</v>
      </c>
      <c r="E238" s="15" t="str">
        <f>HYPERLINK("https://stat100.ameba.jp/tnk47/ratio20/illustrations/card/ill_59613_oheyadaria03.jpg?201902-3-RELEASE-dice-e-394", "■")</f>
        <v>■</v>
      </c>
      <c r="F238" s="9" t="s">
        <v>11289</v>
      </c>
      <c r="G238" s="9">
        <v>85014</v>
      </c>
      <c r="H238" s="9">
        <v>79032</v>
      </c>
      <c r="I238" s="9">
        <v>20</v>
      </c>
      <c r="J238" s="9" t="s">
        <v>369</v>
      </c>
      <c r="K238" s="9" t="s">
        <v>11290</v>
      </c>
      <c r="L238" s="9" t="s">
        <v>11291</v>
      </c>
      <c r="M238" s="14" t="s">
        <v>9158</v>
      </c>
      <c r="N238" s="14" t="s">
        <v>9158</v>
      </c>
      <c r="O238" s="9" t="s">
        <v>10111</v>
      </c>
      <c r="P238" s="9" t="s">
        <v>11292</v>
      </c>
      <c r="Q238" s="9">
        <v>1</v>
      </c>
    </row>
    <row r="240" spans="1:17">
      <c r="A240" s="9" t="s">
        <v>1711</v>
      </c>
    </row>
    <row r="241" spans="1:18">
      <c r="A241" s="9" t="s">
        <v>11293</v>
      </c>
    </row>
    <row r="242" spans="1:18">
      <c r="A242" s="9" t="s">
        <v>5621</v>
      </c>
      <c r="B242" s="9" t="s">
        <v>330</v>
      </c>
      <c r="C242" s="9" t="s">
        <v>191</v>
      </c>
      <c r="D242" s="9" t="s">
        <v>2871</v>
      </c>
      <c r="E242" s="15" t="str">
        <f>HYPERLINK("https://stat100.ameba.jp/tnk47/ratio20/illustrations/card/ill_51973_0_kemonomizugikuroyuridensetsu03.jpg?201902-4-RELEASE-guildbattle-395", "■")</f>
        <v>■</v>
      </c>
      <c r="F242" s="9" t="s">
        <v>2872</v>
      </c>
      <c r="G242" s="9">
        <v>131930</v>
      </c>
      <c r="H242" s="9">
        <v>117196</v>
      </c>
      <c r="I242" s="9">
        <v>21</v>
      </c>
      <c r="J242" s="9" t="s">
        <v>274</v>
      </c>
      <c r="K242" s="9" t="s">
        <v>2873</v>
      </c>
      <c r="L242" s="9" t="s">
        <v>2874</v>
      </c>
      <c r="M242" s="14" t="s">
        <v>9158</v>
      </c>
      <c r="N242" s="14" t="s">
        <v>9158</v>
      </c>
      <c r="O242" s="9" t="s">
        <v>10088</v>
      </c>
      <c r="P242" s="9" t="s">
        <v>13172</v>
      </c>
      <c r="Q242" s="9">
        <v>1</v>
      </c>
    </row>
    <row r="243" spans="1:18">
      <c r="A243" s="9" t="s">
        <v>5612</v>
      </c>
      <c r="B243" s="9" t="s">
        <v>330</v>
      </c>
      <c r="C243" s="9" t="s">
        <v>165</v>
      </c>
      <c r="D243" s="9" t="s">
        <v>789</v>
      </c>
      <c r="E243" s="15" t="str">
        <f>HYPERLINK("https://stat100.ameba.jp/tnk47/ratio20/illustrations/card/ill_49193_0_onmyoudouabenoseimei03.jpg?201902-4-RELEASE-guildbattle-395", "■")</f>
        <v>■</v>
      </c>
      <c r="F243" s="9" t="s">
        <v>790</v>
      </c>
      <c r="G243" s="9">
        <v>117196</v>
      </c>
      <c r="H243" s="9">
        <v>117196</v>
      </c>
      <c r="I243" s="9">
        <v>21</v>
      </c>
      <c r="J243" s="9" t="s">
        <v>351</v>
      </c>
      <c r="K243" s="9" t="s">
        <v>791</v>
      </c>
      <c r="L243" s="9" t="s">
        <v>792</v>
      </c>
      <c r="M243" s="14" t="s">
        <v>9158</v>
      </c>
      <c r="N243" s="14" t="s">
        <v>9158</v>
      </c>
      <c r="O243" s="14" t="s">
        <v>9158</v>
      </c>
      <c r="P243" s="14" t="s">
        <v>9158</v>
      </c>
      <c r="Q243" s="14" t="s">
        <v>9158</v>
      </c>
    </row>
    <row r="244" spans="1:18">
      <c r="A244" s="9" t="s">
        <v>5616</v>
      </c>
      <c r="B244" s="9" t="s">
        <v>330</v>
      </c>
      <c r="C244" s="9" t="s">
        <v>185</v>
      </c>
      <c r="D244" s="9" t="s">
        <v>638</v>
      </c>
      <c r="E244" s="15" t="str">
        <f>HYPERLINK("https://stat100.ameba.jp/tnk47/ratio20/illustrations/card/ill_44253_0_dokuganryudatemasamune03.jpg?201902-4-RELEASE-guildbattle-395", "■")</f>
        <v>■</v>
      </c>
      <c r="F244" s="9" t="s">
        <v>639</v>
      </c>
      <c r="G244" s="9">
        <v>115096</v>
      </c>
      <c r="H244" s="9">
        <v>122892</v>
      </c>
      <c r="I244" s="9">
        <v>21</v>
      </c>
      <c r="J244" s="9" t="s">
        <v>310</v>
      </c>
      <c r="K244" s="9" t="s">
        <v>640</v>
      </c>
      <c r="L244" s="9" t="s">
        <v>641</v>
      </c>
      <c r="M244" s="14" t="s">
        <v>9158</v>
      </c>
      <c r="N244" s="14" t="s">
        <v>9158</v>
      </c>
      <c r="O244" s="14" t="s">
        <v>9158</v>
      </c>
      <c r="P244" s="14" t="s">
        <v>9158</v>
      </c>
      <c r="Q244" s="14" t="s">
        <v>9158</v>
      </c>
    </row>
    <row r="245" spans="1:18">
      <c r="A245" s="9">
        <v>79643</v>
      </c>
      <c r="B245" s="9" t="s">
        <v>334</v>
      </c>
      <c r="C245" s="9" t="s">
        <v>185</v>
      </c>
      <c r="D245" s="9" t="s">
        <v>10622</v>
      </c>
      <c r="E245" s="15" t="str">
        <f>HYPERLINK("https://stat100.ameba.jp/tnk47/ratio20/illustrations/card/ill_79643_hibikiwataruneirosonobehideo03.jpg?201902-4-RELEASE-guildbattle-395", "■")</f>
        <v>■</v>
      </c>
      <c r="F245" s="9" t="s">
        <v>11273</v>
      </c>
      <c r="G245" s="9">
        <v>76237</v>
      </c>
      <c r="H245" s="9">
        <v>82027</v>
      </c>
      <c r="I245" s="9">
        <v>21</v>
      </c>
      <c r="J245" s="9" t="s">
        <v>351</v>
      </c>
      <c r="K245" s="9" t="s">
        <v>11274</v>
      </c>
      <c r="L245" s="9" t="s">
        <v>682</v>
      </c>
      <c r="M245" s="14" t="s">
        <v>9158</v>
      </c>
      <c r="N245" s="14" t="s">
        <v>9158</v>
      </c>
      <c r="O245" s="14" t="s">
        <v>9158</v>
      </c>
      <c r="P245" s="14" t="s">
        <v>9158</v>
      </c>
      <c r="Q245" s="14" t="s">
        <v>9158</v>
      </c>
    </row>
    <row r="246" spans="1:18">
      <c r="A246" s="9">
        <v>79653</v>
      </c>
      <c r="B246" s="9" t="s">
        <v>348</v>
      </c>
      <c r="C246" s="9" t="s">
        <v>267</v>
      </c>
      <c r="D246" s="9" t="s">
        <v>10593</v>
      </c>
      <c r="E246" s="15" t="str">
        <f>HYPERLINK("https://stat100.ameba.jp/tnk47/ratio20/illustrations/card/ill_79653_oiri03.jpg?201902-4-RELEASE-guildbattle-395", "■")</f>
        <v>■</v>
      </c>
      <c r="F246" s="9" t="s">
        <v>11275</v>
      </c>
      <c r="G246" s="9">
        <v>53352</v>
      </c>
      <c r="H246" s="9">
        <v>48390</v>
      </c>
      <c r="I246" s="9">
        <v>18</v>
      </c>
      <c r="J246" s="9" t="s">
        <v>283</v>
      </c>
      <c r="K246" s="9" t="s">
        <v>11276</v>
      </c>
      <c r="L246" s="9" t="s">
        <v>1536</v>
      </c>
      <c r="M246" s="14" t="s">
        <v>9158</v>
      </c>
      <c r="N246" s="14" t="s">
        <v>9158</v>
      </c>
      <c r="O246" s="14" t="s">
        <v>9158</v>
      </c>
      <c r="P246" s="14" t="s">
        <v>9158</v>
      </c>
      <c r="Q246" s="14" t="s">
        <v>9158</v>
      </c>
    </row>
    <row r="247" spans="1:18">
      <c r="A247" s="9">
        <v>79663</v>
      </c>
      <c r="B247" s="9" t="s">
        <v>362</v>
      </c>
      <c r="C247" s="9" t="s">
        <v>11277</v>
      </c>
      <c r="D247" s="9" t="s">
        <v>11278</v>
      </c>
      <c r="E247" s="15" t="str">
        <f>HYPERLINK("https://stat100.ameba.jp/tnk47/ratio20/illustrations/card/ill_79663_kurokomanokatsuzou03.jpg?201902-4-RELEASE-guildbattle-395", "■")</f>
        <v>■</v>
      </c>
      <c r="F247" s="9" t="s">
        <v>11279</v>
      </c>
      <c r="G247" s="9">
        <v>29388</v>
      </c>
      <c r="H247" s="9">
        <v>35346</v>
      </c>
      <c r="I247" s="9">
        <v>17</v>
      </c>
      <c r="J247" s="9" t="s">
        <v>310</v>
      </c>
      <c r="K247" s="9" t="s">
        <v>11280</v>
      </c>
      <c r="L247" s="9" t="s">
        <v>1540</v>
      </c>
      <c r="M247" s="14" t="s">
        <v>9158</v>
      </c>
      <c r="N247" s="14" t="s">
        <v>9158</v>
      </c>
      <c r="O247" s="14" t="s">
        <v>9158</v>
      </c>
      <c r="P247" s="14" t="s">
        <v>9158</v>
      </c>
      <c r="Q247" s="14" t="s">
        <v>9158</v>
      </c>
    </row>
    <row r="248" spans="1:18">
      <c r="A248" s="9">
        <v>79673</v>
      </c>
      <c r="B248" s="9" t="s">
        <v>372</v>
      </c>
      <c r="C248" s="9" t="s">
        <v>11281</v>
      </c>
      <c r="D248" s="9" t="s">
        <v>11282</v>
      </c>
      <c r="E248" s="15" t="str">
        <f>HYPERLINK("https://stat100.ameba.jp/tnk47/ratio20/illustrations/card/ill_79673_amekaiyokai03.jpg?201902-4-RELEASE-guildbattle-395", "■")</f>
        <v>■</v>
      </c>
      <c r="F248" s="9" t="s">
        <v>11283</v>
      </c>
      <c r="G248" s="9">
        <v>21398</v>
      </c>
      <c r="H248" s="9">
        <v>17972</v>
      </c>
      <c r="I248" s="9">
        <v>17</v>
      </c>
      <c r="J248" s="9" t="s">
        <v>320</v>
      </c>
      <c r="K248" s="9" t="s">
        <v>11284</v>
      </c>
      <c r="L248" s="9" t="s">
        <v>11285</v>
      </c>
      <c r="M248" s="14" t="s">
        <v>9158</v>
      </c>
      <c r="N248" s="14" t="s">
        <v>9158</v>
      </c>
      <c r="O248" s="14" t="s">
        <v>9158</v>
      </c>
      <c r="P248" s="14" t="s">
        <v>9158</v>
      </c>
      <c r="Q248" s="14" t="s">
        <v>9158</v>
      </c>
    </row>
    <row r="250" spans="1:18">
      <c r="A250" s="9" t="s">
        <v>13343</v>
      </c>
    </row>
    <row r="251" spans="1:18">
      <c r="A251" s="9" t="s">
        <v>11294</v>
      </c>
    </row>
    <row r="252" spans="1:18">
      <c r="A252" s="9">
        <v>79495</v>
      </c>
      <c r="B252" s="9" t="s">
        <v>334</v>
      </c>
      <c r="C252" s="9" t="s">
        <v>202</v>
      </c>
      <c r="D252" s="9" t="s">
        <v>10384</v>
      </c>
      <c r="E252" s="15" t="str">
        <f>HYPERLINK("https://stat100.ameba.jp/tnk47/ratio20/illustrations/card/ill_79495_kyabinatendantofukuhime05.jpg?201902-4-RELEASE-guildbattle-395", "■")</f>
        <v>■</v>
      </c>
      <c r="F252" s="9" t="s">
        <v>11295</v>
      </c>
      <c r="G252" s="9">
        <v>74886</v>
      </c>
      <c r="H252" s="9">
        <v>103428</v>
      </c>
      <c r="I252" s="9">
        <v>22</v>
      </c>
      <c r="J252" s="9" t="s">
        <v>315</v>
      </c>
      <c r="K252" s="9" t="s">
        <v>11296</v>
      </c>
      <c r="L252" s="9" t="s">
        <v>608</v>
      </c>
      <c r="M252" s="14" t="s">
        <v>9158</v>
      </c>
      <c r="N252" s="14" t="s">
        <v>9158</v>
      </c>
      <c r="O252" s="14" t="s">
        <v>9158</v>
      </c>
      <c r="P252" s="14" t="s">
        <v>9158</v>
      </c>
      <c r="Q252" s="14" t="s">
        <v>9158</v>
      </c>
      <c r="R252" s="9" t="s">
        <v>174</v>
      </c>
    </row>
    <row r="253" spans="1:18">
      <c r="A253" s="9">
        <v>79493</v>
      </c>
      <c r="B253" s="9" t="s">
        <v>348</v>
      </c>
      <c r="C253" s="9" t="s">
        <v>209</v>
      </c>
      <c r="D253" s="9" t="s">
        <v>10384</v>
      </c>
      <c r="E253" s="15" t="str">
        <f>HYPERLINK("https://stat100.ameba.jp/tnk47/ratio20/illustrations/card/ill_79493_kyabinatendantofukuhime03.jpg?201902-4-RELEASE-guildbattle-395", "■")</f>
        <v>■</v>
      </c>
      <c r="F253" s="9" t="s">
        <v>11295</v>
      </c>
      <c r="G253" s="9">
        <v>55170</v>
      </c>
      <c r="H253" s="9">
        <v>76196</v>
      </c>
      <c r="I253" s="9">
        <v>22</v>
      </c>
      <c r="J253" s="9" t="s">
        <v>315</v>
      </c>
      <c r="K253" s="9" t="s">
        <v>11296</v>
      </c>
      <c r="L253" s="9" t="s">
        <v>609</v>
      </c>
      <c r="M253" s="14" t="s">
        <v>9158</v>
      </c>
      <c r="N253" s="14" t="s">
        <v>9158</v>
      </c>
      <c r="O253" s="14" t="s">
        <v>9158</v>
      </c>
      <c r="P253" s="14" t="s">
        <v>9158</v>
      </c>
      <c r="Q253" s="14" t="s">
        <v>9158</v>
      </c>
      <c r="R253" s="9" t="s">
        <v>175</v>
      </c>
    </row>
    <row r="254" spans="1:18">
      <c r="A254" s="9">
        <v>79491</v>
      </c>
      <c r="B254" s="9" t="s">
        <v>348</v>
      </c>
      <c r="C254" s="9" t="s">
        <v>209</v>
      </c>
      <c r="D254" s="9" t="s">
        <v>10384</v>
      </c>
      <c r="E254" s="15" t="str">
        <f>HYPERLINK("https://stat100.ameba.jp/tnk47/ratio20/illustrations/card/ill_79491_kyabinatendantofukuhime01.jpg?201902-4-RELEASE-guildbattle-395", "■")</f>
        <v>■</v>
      </c>
      <c r="F254" s="9" t="s">
        <v>11295</v>
      </c>
      <c r="G254" s="9">
        <v>35090</v>
      </c>
      <c r="H254" s="9">
        <v>48466</v>
      </c>
      <c r="I254" s="9">
        <v>22</v>
      </c>
      <c r="J254" s="9" t="s">
        <v>315</v>
      </c>
      <c r="K254" s="9" t="s">
        <v>11296</v>
      </c>
      <c r="L254" s="9" t="s">
        <v>610</v>
      </c>
      <c r="M254" s="14" t="s">
        <v>9158</v>
      </c>
      <c r="N254" s="14" t="s">
        <v>9158</v>
      </c>
      <c r="O254" s="14" t="s">
        <v>9158</v>
      </c>
      <c r="P254" s="14" t="s">
        <v>9158</v>
      </c>
      <c r="Q254" s="14" t="s">
        <v>9158</v>
      </c>
      <c r="R254" s="9" t="s">
        <v>176</v>
      </c>
    </row>
    <row r="256" spans="1:18">
      <c r="A256" s="9" t="s">
        <v>11476</v>
      </c>
    </row>
    <row r="257" spans="1:17">
      <c r="A257" s="9" t="s">
        <v>11297</v>
      </c>
    </row>
    <row r="258" spans="1:17">
      <c r="A258" s="9">
        <v>70743</v>
      </c>
      <c r="B258" s="9" t="s">
        <v>334</v>
      </c>
      <c r="C258" s="9" t="s">
        <v>165</v>
      </c>
      <c r="D258" s="9" t="s">
        <v>10475</v>
      </c>
      <c r="E258" s="15" t="str">
        <f>HYPERLINK("https://stat100.ameba.jp/tnk47/ratio20/illustrations/card/ill_70743_howaitodekitanokata03.jpg?201902-i_prefecture_active_user", "■")</f>
        <v>■</v>
      </c>
      <c r="F258" s="9" t="s">
        <v>11298</v>
      </c>
      <c r="G258" s="9">
        <v>124839</v>
      </c>
      <c r="H258" s="9">
        <v>116076</v>
      </c>
      <c r="I258" s="9">
        <v>21</v>
      </c>
      <c r="J258" s="9" t="s">
        <v>310</v>
      </c>
      <c r="K258" s="9" t="s">
        <v>11299</v>
      </c>
      <c r="L258" s="9" t="s">
        <v>11300</v>
      </c>
      <c r="M258" s="14" t="s">
        <v>9158</v>
      </c>
      <c r="N258" s="14" t="s">
        <v>9158</v>
      </c>
      <c r="O258" s="14" t="s">
        <v>9158</v>
      </c>
      <c r="P258" s="14" t="s">
        <v>9158</v>
      </c>
      <c r="Q258" s="14" t="s">
        <v>9158</v>
      </c>
    </row>
    <row r="259" spans="1:17">
      <c r="A259" s="9">
        <v>66863</v>
      </c>
      <c r="B259" s="9" t="s">
        <v>334</v>
      </c>
      <c r="C259" s="9" t="s">
        <v>206</v>
      </c>
      <c r="D259" s="9" t="s">
        <v>10373</v>
      </c>
      <c r="E259" s="15" t="str">
        <f>HYPERLINK("https://stat100.ameba.jp/tnk47/ratio20/illustrations/card/ill_66863_haikaramomijibidorozaikuchan03.jpg?201902-i_prefecture_active_user", "■")</f>
        <v>■</v>
      </c>
      <c r="F259" s="9" t="s">
        <v>11301</v>
      </c>
      <c r="G259" s="9">
        <v>82983</v>
      </c>
      <c r="H259" s="9">
        <v>89264</v>
      </c>
      <c r="I259" s="9">
        <v>21</v>
      </c>
      <c r="J259" s="9" t="s">
        <v>369</v>
      </c>
      <c r="K259" s="9" t="s">
        <v>11302</v>
      </c>
      <c r="L259" s="9" t="s">
        <v>11303</v>
      </c>
      <c r="M259" s="14" t="s">
        <v>9158</v>
      </c>
      <c r="N259" s="14" t="s">
        <v>9158</v>
      </c>
      <c r="O259" s="14" t="s">
        <v>9158</v>
      </c>
      <c r="P259" s="14" t="s">
        <v>9158</v>
      </c>
      <c r="Q259" s="14" t="s">
        <v>9158</v>
      </c>
    </row>
    <row r="260" spans="1:17">
      <c r="A260" s="9">
        <v>69073</v>
      </c>
      <c r="B260" s="9" t="s">
        <v>334</v>
      </c>
      <c r="C260" s="9" t="s">
        <v>191</v>
      </c>
      <c r="D260" s="9" t="s">
        <v>11304</v>
      </c>
      <c r="E260" s="15" t="str">
        <f>HYPERLINK("https://stat100.ameba.jp/tnk47/ratio20/illustrations/card/ill_69073_uintasupotsuhishidashunso03.jpg?201902-i_prefecture_active_user", "■")</f>
        <v>■</v>
      </c>
      <c r="F260" s="9" t="s">
        <v>11305</v>
      </c>
      <c r="G260" s="9">
        <v>82027</v>
      </c>
      <c r="H260" s="9">
        <v>76237</v>
      </c>
      <c r="I260" s="9">
        <v>21</v>
      </c>
      <c r="J260" s="9" t="s">
        <v>414</v>
      </c>
      <c r="K260" s="9" t="s">
        <v>11306</v>
      </c>
      <c r="L260" s="9" t="s">
        <v>1549</v>
      </c>
      <c r="M260" s="14" t="s">
        <v>9158</v>
      </c>
      <c r="N260" s="14" t="s">
        <v>9158</v>
      </c>
      <c r="O260" s="14" t="s">
        <v>9158</v>
      </c>
      <c r="P260" s="14" t="s">
        <v>9158</v>
      </c>
      <c r="Q260" s="14" t="s">
        <v>9158</v>
      </c>
    </row>
    <row r="261" spans="1:17">
      <c r="A261" s="9">
        <v>52333</v>
      </c>
      <c r="B261" s="9" t="s">
        <v>348</v>
      </c>
      <c r="C261" s="9" t="s">
        <v>200</v>
      </c>
      <c r="D261" s="9" t="s">
        <v>10537</v>
      </c>
      <c r="E261" s="15" t="str">
        <f>HYPERLINK("https://stat100.ameba.jp/tnk47/ratio20/illustrations/card/ill_52333_chichibuyomatsuri03.jpg?201902-i_prefecture_active_user", "■")</f>
        <v>■</v>
      </c>
      <c r="F261" s="9" t="s">
        <v>11307</v>
      </c>
      <c r="G261" s="9">
        <v>56316</v>
      </c>
      <c r="H261" s="9">
        <v>51078</v>
      </c>
      <c r="I261" s="9">
        <v>19</v>
      </c>
      <c r="J261" s="9" t="s">
        <v>274</v>
      </c>
      <c r="K261" s="9" t="s">
        <v>11308</v>
      </c>
      <c r="L261" s="9" t="s">
        <v>11309</v>
      </c>
      <c r="M261" s="14" t="s">
        <v>9158</v>
      </c>
      <c r="N261" s="14" t="s">
        <v>9158</v>
      </c>
      <c r="O261" s="14" t="s">
        <v>9158</v>
      </c>
      <c r="P261" s="14" t="s">
        <v>9158</v>
      </c>
      <c r="Q261" s="14" t="s">
        <v>9158</v>
      </c>
    </row>
    <row r="262" spans="1:17">
      <c r="A262" s="9">
        <v>45903</v>
      </c>
      <c r="B262" s="9" t="s">
        <v>348</v>
      </c>
      <c r="C262" s="9" t="s">
        <v>185</v>
      </c>
      <c r="D262" s="9" t="s">
        <v>11310</v>
      </c>
      <c r="E262" s="15" t="str">
        <f>HYPERLINK("https://stat100.ameba.jp/tnk47/ratio20/illustrations/card/ill_45903_umizato03.jpg?201902-i_prefecture_active_user", "■")</f>
        <v>■</v>
      </c>
      <c r="F262" s="9" t="s">
        <v>11311</v>
      </c>
      <c r="G262" s="9">
        <v>56316</v>
      </c>
      <c r="H262" s="9">
        <v>51078</v>
      </c>
      <c r="I262" s="9">
        <v>19</v>
      </c>
      <c r="J262" s="9" t="s">
        <v>320</v>
      </c>
      <c r="K262" s="9" t="s">
        <v>11312</v>
      </c>
      <c r="L262" s="9" t="s">
        <v>11313</v>
      </c>
      <c r="M262" s="14" t="s">
        <v>9158</v>
      </c>
      <c r="N262" s="14" t="s">
        <v>9158</v>
      </c>
      <c r="O262" s="14" t="s">
        <v>9158</v>
      </c>
      <c r="P262" s="14" t="s">
        <v>9158</v>
      </c>
      <c r="Q262" s="14" t="s">
        <v>9158</v>
      </c>
    </row>
    <row r="263" spans="1:17">
      <c r="A263" s="9">
        <v>56533</v>
      </c>
      <c r="B263" s="9" t="s">
        <v>348</v>
      </c>
      <c r="C263" s="9" t="s">
        <v>205</v>
      </c>
      <c r="D263" s="9" t="s">
        <v>11314</v>
      </c>
      <c r="E263" s="15" t="str">
        <f>HYPERLINK("https://stat100.ameba.jp/tnk47/ratio20/illustrations/card/ill_56533_rappingususeribime03.jpg?201902-i_prefecture_active_user", "■")</f>
        <v>■</v>
      </c>
      <c r="F263" s="9" t="s">
        <v>11315</v>
      </c>
      <c r="G263" s="9">
        <v>51078</v>
      </c>
      <c r="H263" s="9">
        <v>56316</v>
      </c>
      <c r="I263" s="9">
        <v>19</v>
      </c>
      <c r="J263" s="9" t="s">
        <v>401</v>
      </c>
      <c r="K263" s="9" t="s">
        <v>11316</v>
      </c>
      <c r="L263" s="9" t="s">
        <v>11317</v>
      </c>
      <c r="M263" s="14" t="s">
        <v>9158</v>
      </c>
      <c r="N263" s="14" t="s">
        <v>9158</v>
      </c>
      <c r="O263" s="14" t="s">
        <v>9158</v>
      </c>
      <c r="P263" s="14" t="s">
        <v>9158</v>
      </c>
      <c r="Q263" s="14" t="s">
        <v>9158</v>
      </c>
    </row>
    <row r="265" spans="1:17">
      <c r="A265" s="9" t="s">
        <v>204</v>
      </c>
    </row>
    <row r="266" spans="1:17">
      <c r="A266" s="9" t="s">
        <v>11318</v>
      </c>
    </row>
    <row r="267" spans="1:17">
      <c r="A267" s="9" t="s">
        <v>5623</v>
      </c>
      <c r="B267" s="9" t="s">
        <v>330</v>
      </c>
      <c r="C267" s="9" t="s">
        <v>165</v>
      </c>
      <c r="D267" s="9" t="s">
        <v>3146</v>
      </c>
      <c r="E267" s="15" t="str">
        <f>HYPERLINK("https://stat100.ameba.jp/tnk47/ratio20/illustrations/card/ill_65713_0_undokaionikirimaru03.jpg?201902-i_prefecture_active_user", "■")</f>
        <v>■</v>
      </c>
      <c r="F267" s="9" t="s">
        <v>535</v>
      </c>
      <c r="G267" s="9">
        <v>113525</v>
      </c>
      <c r="H267" s="9">
        <v>105545</v>
      </c>
      <c r="I267" s="9">
        <v>15</v>
      </c>
      <c r="J267" s="9" t="s">
        <v>320</v>
      </c>
      <c r="K267" s="9" t="s">
        <v>3147</v>
      </c>
      <c r="L267" s="9" t="s">
        <v>3148</v>
      </c>
      <c r="M267" s="14" t="s">
        <v>9158</v>
      </c>
      <c r="N267" s="14" t="s">
        <v>9158</v>
      </c>
      <c r="O267" s="9" t="s">
        <v>2869</v>
      </c>
      <c r="P267" s="9" t="s">
        <v>2870</v>
      </c>
      <c r="Q267" s="9">
        <v>1</v>
      </c>
    </row>
    <row r="268" spans="1:17">
      <c r="A268" s="9" t="s">
        <v>5621</v>
      </c>
      <c r="B268" s="9" t="s">
        <v>330</v>
      </c>
      <c r="C268" s="9" t="s">
        <v>191</v>
      </c>
      <c r="D268" s="9" t="s">
        <v>2871</v>
      </c>
      <c r="E268" s="15" t="str">
        <f>HYPERLINK("https://stat100.ameba.jp/tnk47/ratio20/illustrations/card/ill_51973_0_kemonomizugikuroyuridensetsu03.jpg?201902-i_prefecture_active_user", "■")</f>
        <v>■</v>
      </c>
      <c r="F268" s="9" t="s">
        <v>2872</v>
      </c>
      <c r="G268" s="9">
        <v>94236</v>
      </c>
      <c r="H268" s="9">
        <v>83712</v>
      </c>
      <c r="I268" s="9">
        <v>15</v>
      </c>
      <c r="J268" s="9" t="s">
        <v>274</v>
      </c>
      <c r="K268" s="9" t="s">
        <v>2873</v>
      </c>
      <c r="L268" s="9" t="s">
        <v>2874</v>
      </c>
      <c r="M268" s="14" t="s">
        <v>9158</v>
      </c>
      <c r="N268" s="14" t="s">
        <v>9158</v>
      </c>
      <c r="O268" s="9" t="s">
        <v>10088</v>
      </c>
      <c r="P268" s="9" t="s">
        <v>13172</v>
      </c>
      <c r="Q268" s="9">
        <v>1</v>
      </c>
    </row>
    <row r="269" spans="1:17">
      <c r="A269" s="9" t="s">
        <v>5622</v>
      </c>
      <c r="B269" s="9" t="s">
        <v>330</v>
      </c>
      <c r="C269" s="9" t="s">
        <v>185</v>
      </c>
      <c r="D269" s="9" t="s">
        <v>509</v>
      </c>
      <c r="E269" s="15" t="str">
        <f>HYPERLINK("https://stat100.ameba.jp/tnk47/ratio20/illustrations/card/ill_49953_0_yushamarihime03.jpg?201902-i_prefecture_active_user", "■")</f>
        <v>■</v>
      </c>
      <c r="F269" s="9" t="s">
        <v>510</v>
      </c>
      <c r="G269" s="9">
        <v>94236</v>
      </c>
      <c r="H269" s="9">
        <v>83712</v>
      </c>
      <c r="I269" s="9">
        <v>15</v>
      </c>
      <c r="J269" s="9" t="s">
        <v>315</v>
      </c>
      <c r="K269" s="9" t="s">
        <v>511</v>
      </c>
      <c r="L269" s="9" t="s">
        <v>512</v>
      </c>
      <c r="M269" s="14" t="s">
        <v>9158</v>
      </c>
      <c r="N269" s="14" t="s">
        <v>9158</v>
      </c>
      <c r="O269" s="14" t="s">
        <v>9158</v>
      </c>
      <c r="P269" s="14" t="s">
        <v>9158</v>
      </c>
      <c r="Q269" s="14" t="s">
        <v>9158</v>
      </c>
    </row>
    <row r="270" spans="1:17">
      <c r="A270" s="9">
        <v>71753</v>
      </c>
      <c r="B270" s="9" t="s">
        <v>334</v>
      </c>
      <c r="C270" s="9" t="s">
        <v>205</v>
      </c>
      <c r="D270" s="9" t="s">
        <v>10180</v>
      </c>
      <c r="E270" s="15" t="str">
        <f>HYPERLINK("https://stat100.ameba.jp/tnk47/ratio20/illustrations/card/ill_71753_kozaiyoshikiyo03.jpg?201902-i_prefecture_active_user", "■")</f>
        <v>■</v>
      </c>
      <c r="F270" s="9" t="s">
        <v>11319</v>
      </c>
      <c r="G270" s="9">
        <v>106100</v>
      </c>
      <c r="H270" s="9">
        <v>59700</v>
      </c>
      <c r="I270" s="9">
        <v>22</v>
      </c>
      <c r="J270" s="9" t="s">
        <v>310</v>
      </c>
      <c r="K270" s="9" t="s">
        <v>11320</v>
      </c>
      <c r="L270" s="9" t="s">
        <v>11321</v>
      </c>
      <c r="M270" s="14" t="s">
        <v>9158</v>
      </c>
      <c r="N270" s="14" t="s">
        <v>9158</v>
      </c>
      <c r="O270" s="14" t="s">
        <v>9158</v>
      </c>
      <c r="P270" s="14" t="s">
        <v>9158</v>
      </c>
      <c r="Q270" s="14" t="s">
        <v>9158</v>
      </c>
    </row>
    <row r="271" spans="1:17">
      <c r="A271" s="9">
        <v>54093</v>
      </c>
      <c r="B271" s="9" t="s">
        <v>334</v>
      </c>
      <c r="C271" s="9" t="s">
        <v>191</v>
      </c>
      <c r="D271" s="9" t="s">
        <v>618</v>
      </c>
      <c r="E271" s="15" t="str">
        <f>HYPERLINK("https://stat100.ameba.jp/tnk47/ratio20/illustrations/card/ill_54093_fuyugaki03.jpg?201902-i_prefecture_active_user", "■")</f>
        <v>■</v>
      </c>
      <c r="F271" s="9" t="s">
        <v>619</v>
      </c>
      <c r="G271" s="9">
        <v>95452</v>
      </c>
      <c r="H271" s="9">
        <v>68622</v>
      </c>
      <c r="I271" s="9">
        <v>22</v>
      </c>
      <c r="J271" s="9" t="s">
        <v>283</v>
      </c>
      <c r="K271" s="9" t="s">
        <v>620</v>
      </c>
      <c r="L271" s="9" t="s">
        <v>621</v>
      </c>
      <c r="M271" s="14" t="s">
        <v>9158</v>
      </c>
      <c r="N271" s="14" t="s">
        <v>9158</v>
      </c>
      <c r="O271" s="14" t="s">
        <v>9158</v>
      </c>
      <c r="P271" s="14" t="s">
        <v>9158</v>
      </c>
      <c r="Q271" s="14" t="s">
        <v>9158</v>
      </c>
    </row>
    <row r="272" spans="1:17">
      <c r="A272" s="9">
        <v>59273</v>
      </c>
      <c r="B272" s="9" t="s">
        <v>334</v>
      </c>
      <c r="C272" s="9" t="s">
        <v>154</v>
      </c>
      <c r="D272" s="9" t="s">
        <v>11322</v>
      </c>
      <c r="E272" s="15" t="str">
        <f>HYPERLINK("https://stat100.ameba.jp/tnk47/ratio20/illustrations/card/ill_59273_shirayukihimeononokomachi03.jpg?201902-i_prefecture_active_user", "■")</f>
        <v>■</v>
      </c>
      <c r="F272" s="9" t="s">
        <v>11323</v>
      </c>
      <c r="G272" s="9">
        <v>84796</v>
      </c>
      <c r="H272" s="9">
        <v>78838</v>
      </c>
      <c r="I272" s="9">
        <v>22</v>
      </c>
      <c r="J272" s="9" t="s">
        <v>351</v>
      </c>
      <c r="K272" s="9" t="s">
        <v>11324</v>
      </c>
      <c r="L272" s="9" t="s">
        <v>11325</v>
      </c>
      <c r="M272" s="14" t="s">
        <v>9158</v>
      </c>
      <c r="N272" s="14" t="s">
        <v>9158</v>
      </c>
      <c r="O272" s="14" t="s">
        <v>9158</v>
      </c>
      <c r="P272" s="14" t="s">
        <v>9158</v>
      </c>
      <c r="Q272" s="14" t="s">
        <v>9158</v>
      </c>
    </row>
    <row r="274" spans="1:17">
      <c r="A274" s="9" t="s">
        <v>223</v>
      </c>
    </row>
    <row r="275" spans="1:17">
      <c r="A275" s="9" t="s">
        <v>11326</v>
      </c>
    </row>
    <row r="276" spans="1:17">
      <c r="A276" s="9" t="s">
        <v>5901</v>
      </c>
      <c r="B276" s="9" t="s">
        <v>330</v>
      </c>
      <c r="C276" s="9" t="s">
        <v>191</v>
      </c>
      <c r="D276" s="9" t="s">
        <v>1426</v>
      </c>
      <c r="E276" s="15" t="str">
        <f>HYPERLINK("https://stat100.ameba.jp/tnk47/ratio20/illustrations/card/ill_64953_0_yukatatokugawayoshinobu03.jpg?201902-i_prefecture_active_user", "■")</f>
        <v>■</v>
      </c>
      <c r="F276" s="9" t="s">
        <v>1427</v>
      </c>
      <c r="G276" s="9">
        <v>112140</v>
      </c>
      <c r="H276" s="9">
        <v>120604</v>
      </c>
      <c r="I276" s="9">
        <v>18</v>
      </c>
      <c r="J276" s="9" t="s">
        <v>351</v>
      </c>
      <c r="K276" s="9" t="s">
        <v>1428</v>
      </c>
      <c r="L276" s="9" t="s">
        <v>1429</v>
      </c>
      <c r="M276" s="14" t="s">
        <v>9158</v>
      </c>
      <c r="N276" s="14" t="s">
        <v>9158</v>
      </c>
      <c r="O276" s="9" t="s">
        <v>2889</v>
      </c>
      <c r="P276" s="9" t="s">
        <v>2890</v>
      </c>
      <c r="Q276" s="9">
        <v>1</v>
      </c>
    </row>
    <row r="277" spans="1:17">
      <c r="A277" s="9">
        <v>63853</v>
      </c>
      <c r="B277" s="9" t="s">
        <v>334</v>
      </c>
      <c r="C277" s="9" t="s">
        <v>200</v>
      </c>
      <c r="D277" s="9" t="s">
        <v>10284</v>
      </c>
      <c r="E277" s="15" t="str">
        <f>HYPERLINK("https://stat100.ameba.jp/tnk47/ratio20/illustrations/card/ill_63853_daikokaijidainansosatomihakkenden03.jpg?201902-i_prefecture_active_user", "■")</f>
        <v>■</v>
      </c>
      <c r="F277" s="9" t="s">
        <v>11327</v>
      </c>
      <c r="G277" s="9">
        <v>84712</v>
      </c>
      <c r="H277" s="9">
        <v>91274</v>
      </c>
      <c r="I277" s="9">
        <v>20</v>
      </c>
      <c r="J277" s="9" t="s">
        <v>274</v>
      </c>
      <c r="K277" s="9" t="s">
        <v>11328</v>
      </c>
      <c r="L277" s="9" t="s">
        <v>11329</v>
      </c>
      <c r="M277" s="14" t="s">
        <v>9158</v>
      </c>
      <c r="N277" s="14" t="s">
        <v>9158</v>
      </c>
      <c r="O277" s="9" t="s">
        <v>10121</v>
      </c>
      <c r="P277" s="9" t="s">
        <v>3022</v>
      </c>
      <c r="Q277" s="9">
        <v>1</v>
      </c>
    </row>
    <row r="278" spans="1:17">
      <c r="A278" s="9">
        <v>53423</v>
      </c>
      <c r="B278" s="9" t="s">
        <v>334</v>
      </c>
      <c r="C278" s="9" t="s">
        <v>191</v>
      </c>
      <c r="D278" s="9" t="s">
        <v>10300</v>
      </c>
      <c r="E278" s="15" t="str">
        <f>HYPERLINK("https://stat100.ameba.jp/tnk47/ratio20/illustrations/card/ill_53423_natsumatsuriikumatsu03.jpg?201902-i_prefecture_active_user", "■")</f>
        <v>■</v>
      </c>
      <c r="F278" s="9" t="s">
        <v>11330</v>
      </c>
      <c r="G278" s="9">
        <v>71672</v>
      </c>
      <c r="H278" s="9">
        <v>77088</v>
      </c>
      <c r="I278" s="9">
        <v>20</v>
      </c>
      <c r="J278" s="9" t="s">
        <v>414</v>
      </c>
      <c r="K278" s="9" t="s">
        <v>11331</v>
      </c>
      <c r="L278" s="9" t="s">
        <v>11332</v>
      </c>
      <c r="M278" s="14" t="s">
        <v>9158</v>
      </c>
      <c r="N278" s="14" t="s">
        <v>9158</v>
      </c>
      <c r="O278" s="9" t="s">
        <v>10109</v>
      </c>
      <c r="P278" s="9" t="s">
        <v>11333</v>
      </c>
      <c r="Q278" s="9">
        <v>1</v>
      </c>
    </row>
    <row r="279" spans="1:17">
      <c r="A279" s="9">
        <v>77673</v>
      </c>
      <c r="B279" s="9" t="s">
        <v>334</v>
      </c>
      <c r="C279" s="9" t="s">
        <v>203</v>
      </c>
      <c r="D279" s="9" t="s">
        <v>10270</v>
      </c>
      <c r="E279" s="15" t="str">
        <f>HYPERLINK("https://stat100.ameba.jp/tnk47/ratio20/illustrations/card/ill_77673_ryunochoji03.jpg?201902-i_prefecture_active_user", "■")</f>
        <v>■</v>
      </c>
      <c r="F279" s="9" t="s">
        <v>11334</v>
      </c>
      <c r="G279" s="9">
        <v>93262</v>
      </c>
      <c r="H279" s="9">
        <v>67564</v>
      </c>
      <c r="I279" s="9">
        <v>20</v>
      </c>
      <c r="J279" s="9" t="s">
        <v>320</v>
      </c>
      <c r="K279" s="9" t="s">
        <v>11335</v>
      </c>
      <c r="L279" s="9" t="s">
        <v>11336</v>
      </c>
      <c r="M279" s="14" t="s">
        <v>9158</v>
      </c>
      <c r="N279" s="14" t="s">
        <v>9158</v>
      </c>
      <c r="O279" s="9" t="s">
        <v>10090</v>
      </c>
      <c r="P279" s="9" t="s">
        <v>3115</v>
      </c>
      <c r="Q279" s="9">
        <v>1</v>
      </c>
    </row>
    <row r="281" spans="1:17">
      <c r="A281" s="9" t="s">
        <v>195</v>
      </c>
    </row>
    <row r="282" spans="1:17">
      <c r="A282" s="9" t="s">
        <v>11337</v>
      </c>
    </row>
    <row r="283" spans="1:17">
      <c r="A283" s="9">
        <v>65363</v>
      </c>
      <c r="B283" s="9" t="s">
        <v>334</v>
      </c>
      <c r="C283" s="9" t="s">
        <v>209</v>
      </c>
      <c r="D283" s="9" t="s">
        <v>1589</v>
      </c>
      <c r="E283" s="15" t="str">
        <f>HYPERLINK("https://stat100.ameba.jp/tnk47/ratio20/illustrations/card/ill_65363_yukihimemomijihime03.jpg?201902-i_prefecture_active_user", "■")</f>
        <v>■</v>
      </c>
      <c r="F283" s="9" t="s">
        <v>1590</v>
      </c>
      <c r="G283" s="9">
        <v>94886</v>
      </c>
      <c r="H283" s="9">
        <v>88226</v>
      </c>
      <c r="I283" s="9">
        <v>22</v>
      </c>
      <c r="J283" s="9" t="s">
        <v>274</v>
      </c>
      <c r="K283" s="9" t="s">
        <v>1591</v>
      </c>
      <c r="L283" s="9" t="s">
        <v>1592</v>
      </c>
      <c r="M283" s="14" t="s">
        <v>9158</v>
      </c>
      <c r="N283" s="14" t="s">
        <v>9158</v>
      </c>
      <c r="O283" s="14" t="s">
        <v>9158</v>
      </c>
      <c r="P283" s="14" t="s">
        <v>9158</v>
      </c>
      <c r="Q283" s="14" t="s">
        <v>9158</v>
      </c>
    </row>
    <row r="284" spans="1:17">
      <c r="A284" s="9">
        <v>65373</v>
      </c>
      <c r="B284" s="9" t="s">
        <v>334</v>
      </c>
      <c r="C284" s="9" t="s">
        <v>203</v>
      </c>
      <c r="D284" s="9" t="s">
        <v>1593</v>
      </c>
      <c r="E284" s="15" t="str">
        <f>HYPERLINK("https://stat100.ameba.jp/tnk47/ratio20/illustrations/card/ill_65373_kotetsu03.jpg?201902-i_prefecture_active_user", "■")</f>
        <v>■</v>
      </c>
      <c r="F284" s="9" t="s">
        <v>1594</v>
      </c>
      <c r="G284" s="9">
        <v>94886</v>
      </c>
      <c r="H284" s="9">
        <v>88226</v>
      </c>
      <c r="I284" s="9">
        <v>22</v>
      </c>
      <c r="J284" s="9" t="s">
        <v>414</v>
      </c>
      <c r="K284" s="9" t="s">
        <v>1595</v>
      </c>
      <c r="L284" s="9" t="s">
        <v>1596</v>
      </c>
      <c r="M284" s="14" t="s">
        <v>9158</v>
      </c>
      <c r="N284" s="14" t="s">
        <v>9158</v>
      </c>
      <c r="O284" s="14" t="s">
        <v>9158</v>
      </c>
      <c r="P284" s="14" t="s">
        <v>9158</v>
      </c>
      <c r="Q284" s="14" t="s">
        <v>9158</v>
      </c>
    </row>
    <row r="285" spans="1:17">
      <c r="A285" s="9">
        <v>64273</v>
      </c>
      <c r="B285" s="9" t="s">
        <v>334</v>
      </c>
      <c r="C285" s="9" t="s">
        <v>203</v>
      </c>
      <c r="D285" s="9" t="s">
        <v>10331</v>
      </c>
      <c r="E285" s="15" t="str">
        <f>HYPERLINK("https://stat100.ameba.jp/tnk47/ratio20/illustrations/card/ill_64273_machingubandokinshi03.jpg?201902-i_prefecture_active_user", "■")</f>
        <v>■</v>
      </c>
      <c r="F285" s="9" t="s">
        <v>11338</v>
      </c>
      <c r="G285" s="9">
        <v>89736</v>
      </c>
      <c r="H285" s="9">
        <v>83426</v>
      </c>
      <c r="I285" s="9">
        <v>22</v>
      </c>
      <c r="J285" s="9" t="s">
        <v>401</v>
      </c>
      <c r="K285" s="9" t="s">
        <v>11339</v>
      </c>
      <c r="L285" s="9" t="s">
        <v>2837</v>
      </c>
      <c r="M285" s="14" t="s">
        <v>9158</v>
      </c>
      <c r="N285" s="14" t="s">
        <v>9158</v>
      </c>
      <c r="O285" s="14" t="s">
        <v>9158</v>
      </c>
      <c r="P285" s="14" t="s">
        <v>9158</v>
      </c>
      <c r="Q285" s="14" t="s">
        <v>9158</v>
      </c>
    </row>
    <row r="286" spans="1:17">
      <c r="A286" s="9">
        <v>67243</v>
      </c>
      <c r="B286" s="9" t="s">
        <v>334</v>
      </c>
      <c r="C286" s="9" t="s">
        <v>205</v>
      </c>
      <c r="D286" s="9" t="s">
        <v>10199</v>
      </c>
      <c r="E286" s="15" t="str">
        <f>HYPERLINK("https://stat100.ameba.jp/tnk47/ratio20/illustrations/card/ill_67243_onsenyadomoryo03.jpg?201902-i_prefecture_active_user", "■")</f>
        <v>■</v>
      </c>
      <c r="F286" s="9" t="s">
        <v>11340</v>
      </c>
      <c r="G286" s="9">
        <v>85246</v>
      </c>
      <c r="H286" s="9">
        <v>91664</v>
      </c>
      <c r="I286" s="9">
        <v>22</v>
      </c>
      <c r="J286" s="9" t="s">
        <v>320</v>
      </c>
      <c r="K286" s="9" t="s">
        <v>11341</v>
      </c>
      <c r="L286" s="9" t="s">
        <v>11342</v>
      </c>
      <c r="M286" s="14" t="s">
        <v>9158</v>
      </c>
      <c r="N286" s="14" t="s">
        <v>9158</v>
      </c>
      <c r="O286" s="14" t="s">
        <v>9158</v>
      </c>
      <c r="P286" s="14" t="s">
        <v>9158</v>
      </c>
      <c r="Q286" s="14" t="s">
        <v>9158</v>
      </c>
    </row>
    <row r="288" spans="1:17">
      <c r="A288" s="9" t="s">
        <v>114</v>
      </c>
    </row>
    <row r="289" spans="1:18">
      <c r="A289" s="9" t="s">
        <v>11343</v>
      </c>
    </row>
    <row r="290" spans="1:18">
      <c r="A290" s="9" t="s">
        <v>5621</v>
      </c>
      <c r="B290" s="9" t="s">
        <v>330</v>
      </c>
      <c r="C290" s="9" t="s">
        <v>191</v>
      </c>
      <c r="D290" s="9" t="s">
        <v>2871</v>
      </c>
      <c r="E290" s="15" t="str">
        <f>HYPERLINK("https://stat100.ameba.jp/tnk47/ratio20/illustrations/card/ill_51973_0_kemonomizugikuroyuridensetsu03.jpg?201902-i_prefecture_active_user", "■")</f>
        <v>■</v>
      </c>
      <c r="F290" s="9" t="s">
        <v>2872</v>
      </c>
      <c r="G290" s="9">
        <v>131930</v>
      </c>
      <c r="H290" s="9">
        <v>117196</v>
      </c>
      <c r="I290" s="9">
        <v>21</v>
      </c>
      <c r="J290" s="9" t="s">
        <v>274</v>
      </c>
      <c r="K290" s="9" t="s">
        <v>2873</v>
      </c>
      <c r="L290" s="9" t="s">
        <v>2874</v>
      </c>
      <c r="M290" s="14" t="s">
        <v>9158</v>
      </c>
      <c r="N290" s="14" t="s">
        <v>9158</v>
      </c>
      <c r="O290" s="9" t="s">
        <v>10088</v>
      </c>
      <c r="P290" s="9" t="s">
        <v>13172</v>
      </c>
      <c r="Q290" s="9">
        <v>1</v>
      </c>
    </row>
    <row r="291" spans="1:18">
      <c r="A291" s="9" t="s">
        <v>5724</v>
      </c>
      <c r="B291" s="9" t="s">
        <v>330</v>
      </c>
      <c r="C291" s="9" t="s">
        <v>185</v>
      </c>
      <c r="D291" s="9" t="s">
        <v>698</v>
      </c>
      <c r="E291" s="15" t="str">
        <f>HYPERLINK("https://stat100.ameba.jp/tnk47/ratio20/illustrations/card/ill_66433_0_haroinfujishirogozen03.jpg?201902-i_prefecture_active_user", "■")</f>
        <v>■</v>
      </c>
      <c r="F291" s="9" t="s">
        <v>699</v>
      </c>
      <c r="G291" s="9">
        <v>128531</v>
      </c>
      <c r="H291" s="9">
        <v>138251</v>
      </c>
      <c r="I291" s="9">
        <v>21</v>
      </c>
      <c r="J291" s="9" t="s">
        <v>315</v>
      </c>
      <c r="K291" s="9" t="s">
        <v>700</v>
      </c>
      <c r="L291" s="9" t="s">
        <v>701</v>
      </c>
      <c r="M291" s="14" t="s">
        <v>9158</v>
      </c>
      <c r="N291" s="14" t="s">
        <v>9158</v>
      </c>
      <c r="O291" s="9" t="s">
        <v>10095</v>
      </c>
      <c r="P291" s="9" t="s">
        <v>11344</v>
      </c>
      <c r="Q291" s="9">
        <v>1</v>
      </c>
    </row>
    <row r="292" spans="1:18">
      <c r="A292" s="9">
        <v>75883</v>
      </c>
      <c r="B292" s="9" t="s">
        <v>334</v>
      </c>
      <c r="C292" s="9" t="s">
        <v>209</v>
      </c>
      <c r="D292" s="9" t="s">
        <v>10402</v>
      </c>
      <c r="E292" s="15" t="str">
        <f>HYPERLINK("https://stat100.ameba.jp/tnk47/ratio20/illustrations/card/ill_75883_kitajokagehiro03.jpg?201902-i_prefecture_active_user", "■")</f>
        <v>■</v>
      </c>
      <c r="F292" s="9" t="s">
        <v>11345</v>
      </c>
      <c r="G292" s="9">
        <v>115656</v>
      </c>
      <c r="H292" s="9">
        <v>159674</v>
      </c>
      <c r="I292" s="9">
        <v>24</v>
      </c>
      <c r="J292" s="9" t="s">
        <v>310</v>
      </c>
      <c r="K292" s="9" t="s">
        <v>11346</v>
      </c>
      <c r="L292" s="9" t="s">
        <v>407</v>
      </c>
      <c r="M292" s="14" t="s">
        <v>9158</v>
      </c>
      <c r="N292" s="14" t="s">
        <v>9158</v>
      </c>
      <c r="O292" s="9" t="s">
        <v>10106</v>
      </c>
      <c r="P292" s="9" t="s">
        <v>3022</v>
      </c>
      <c r="Q292" s="9">
        <v>2</v>
      </c>
    </row>
    <row r="293" spans="1:18">
      <c r="A293" s="9">
        <v>67643</v>
      </c>
      <c r="B293" s="9" t="s">
        <v>334</v>
      </c>
      <c r="C293" s="9" t="s">
        <v>209</v>
      </c>
      <c r="D293" s="9" t="s">
        <v>3033</v>
      </c>
      <c r="E293" s="15" t="str">
        <f>HYPERLINK("https://stat100.ameba.jp/tnk47/ratio20/illustrations/card/ill_67643_edokarakamichan03.jpg?201902-i_prefecture_active_user", "■")</f>
        <v>■</v>
      </c>
      <c r="F293" s="9" t="s">
        <v>3034</v>
      </c>
      <c r="G293" s="9">
        <v>99171</v>
      </c>
      <c r="H293" s="9">
        <v>92220</v>
      </c>
      <c r="I293" s="9">
        <v>21</v>
      </c>
      <c r="J293" s="9" t="s">
        <v>369</v>
      </c>
      <c r="K293" s="9" t="s">
        <v>3035</v>
      </c>
      <c r="L293" s="9" t="s">
        <v>3036</v>
      </c>
      <c r="M293" s="14" t="s">
        <v>9158</v>
      </c>
      <c r="N293" s="14" t="s">
        <v>9158</v>
      </c>
      <c r="O293" s="9" t="s">
        <v>3037</v>
      </c>
      <c r="P293" s="9" t="s">
        <v>13128</v>
      </c>
      <c r="Q293" s="9">
        <v>1</v>
      </c>
    </row>
    <row r="294" spans="1:18">
      <c r="A294" s="9">
        <v>61353</v>
      </c>
      <c r="B294" s="9" t="s">
        <v>334</v>
      </c>
      <c r="C294" s="9" t="s">
        <v>203</v>
      </c>
      <c r="D294" s="9" t="s">
        <v>10417</v>
      </c>
      <c r="E294" s="15" t="str">
        <f>HYPERLINK("https://stat100.ameba.jp/tnk47/ratio20/illustrations/card/ill_61353_shinkidohimiko03.jpg?201902-i_prefecture_active_user", "■")</f>
        <v>■</v>
      </c>
      <c r="F294" s="9" t="s">
        <v>11347</v>
      </c>
      <c r="G294" s="9">
        <v>91779</v>
      </c>
      <c r="H294" s="9">
        <v>66487</v>
      </c>
      <c r="I294" s="9">
        <v>21</v>
      </c>
      <c r="J294" s="9" t="s">
        <v>351</v>
      </c>
      <c r="K294" s="9" t="s">
        <v>11348</v>
      </c>
      <c r="L294" s="9" t="s">
        <v>743</v>
      </c>
      <c r="M294" s="14" t="s">
        <v>9158</v>
      </c>
      <c r="N294" s="14" t="s">
        <v>9158</v>
      </c>
      <c r="O294" s="14" t="s">
        <v>9158</v>
      </c>
      <c r="P294" s="14" t="s">
        <v>9158</v>
      </c>
      <c r="Q294" s="14" t="s">
        <v>9158</v>
      </c>
    </row>
    <row r="295" spans="1:18">
      <c r="A295" s="9">
        <v>51353</v>
      </c>
      <c r="B295" s="9" t="s">
        <v>334</v>
      </c>
      <c r="C295" s="9" t="s">
        <v>200</v>
      </c>
      <c r="D295" s="9" t="s">
        <v>10416</v>
      </c>
      <c r="E295" s="15" t="str">
        <f>HYPERLINK("https://stat100.ameba.jp/tnk47/ratio20/illustrations/card/ill_51353_toriimototada03.jpg?201902-i_prefecture_active_user", "■")</f>
        <v>■</v>
      </c>
      <c r="F295" s="9" t="s">
        <v>11349</v>
      </c>
      <c r="G295" s="9">
        <v>101199</v>
      </c>
      <c r="H295" s="9">
        <v>139716</v>
      </c>
      <c r="I295" s="9">
        <v>21</v>
      </c>
      <c r="J295" s="9" t="s">
        <v>310</v>
      </c>
      <c r="K295" s="9" t="s">
        <v>11350</v>
      </c>
      <c r="L295" s="9" t="s">
        <v>407</v>
      </c>
      <c r="M295" s="14" t="s">
        <v>9158</v>
      </c>
      <c r="N295" s="14" t="s">
        <v>9158</v>
      </c>
      <c r="O295" s="14" t="s">
        <v>9158</v>
      </c>
      <c r="P295" s="14" t="s">
        <v>9158</v>
      </c>
      <c r="Q295" s="14" t="s">
        <v>9158</v>
      </c>
    </row>
    <row r="296" spans="1:18">
      <c r="A296" s="9">
        <v>73913</v>
      </c>
      <c r="B296" s="9" t="s">
        <v>334</v>
      </c>
      <c r="C296" s="9" t="s">
        <v>209</v>
      </c>
      <c r="D296" s="9" t="s">
        <v>3202</v>
      </c>
      <c r="E296" s="15" t="str">
        <f>HYPERLINK("https://stat100.ameba.jp/tnk47/ratio20/illustrations/card/ill_73913_atsutajingu03.jpg?201902-i_prefecture_active_user", "■")</f>
        <v>■</v>
      </c>
      <c r="F296" s="9" t="s">
        <v>3203</v>
      </c>
      <c r="G296" s="9">
        <v>69430</v>
      </c>
      <c r="H296" s="9">
        <v>95859</v>
      </c>
      <c r="I296" s="9">
        <v>21</v>
      </c>
      <c r="J296" s="9" t="s">
        <v>401</v>
      </c>
      <c r="K296" s="9" t="s">
        <v>3204</v>
      </c>
      <c r="L296" s="9" t="s">
        <v>3205</v>
      </c>
      <c r="M296" s="14" t="s">
        <v>9158</v>
      </c>
      <c r="N296" s="14" t="s">
        <v>9158</v>
      </c>
      <c r="O296" s="9" t="s">
        <v>10074</v>
      </c>
      <c r="P296" s="9" t="s">
        <v>2822</v>
      </c>
      <c r="Q296" s="9">
        <v>1</v>
      </c>
    </row>
    <row r="297" spans="1:18">
      <c r="A297" s="9">
        <v>63273</v>
      </c>
      <c r="B297" s="9" t="s">
        <v>334</v>
      </c>
      <c r="C297" s="9" t="s">
        <v>203</v>
      </c>
      <c r="D297" s="9" t="s">
        <v>828</v>
      </c>
      <c r="E297" s="15" t="str">
        <f>HYPERLINK("https://stat100.ameba.jp/tnk47/ratio20/illustrations/card/ill_63273_tsukushimai03.jpg?201902-i_prefecture_active_user", "■")</f>
        <v>■</v>
      </c>
      <c r="F297" s="9" t="s">
        <v>829</v>
      </c>
      <c r="G297" s="9">
        <v>107166</v>
      </c>
      <c r="H297" s="9">
        <v>77618</v>
      </c>
      <c r="I297" s="9">
        <v>21</v>
      </c>
      <c r="J297" s="9" t="s">
        <v>274</v>
      </c>
      <c r="K297" s="9" t="s">
        <v>830</v>
      </c>
      <c r="L297" s="9" t="s">
        <v>831</v>
      </c>
      <c r="M297" s="14" t="s">
        <v>9158</v>
      </c>
      <c r="N297" s="14" t="s">
        <v>9158</v>
      </c>
      <c r="O297" s="9" t="s">
        <v>10110</v>
      </c>
      <c r="P297" s="9" t="s">
        <v>13128</v>
      </c>
      <c r="Q297" s="9">
        <v>1</v>
      </c>
    </row>
    <row r="299" spans="1:18">
      <c r="A299" s="9" t="s">
        <v>13326</v>
      </c>
    </row>
    <row r="300" spans="1:18">
      <c r="A300" s="9" t="s">
        <v>11351</v>
      </c>
    </row>
    <row r="301" spans="1:18">
      <c r="A301" s="9">
        <v>53233</v>
      </c>
      <c r="B301" s="9" t="s">
        <v>334</v>
      </c>
      <c r="C301" s="9" t="s">
        <v>185</v>
      </c>
      <c r="D301" s="9" t="s">
        <v>1840</v>
      </c>
      <c r="E301" s="15" t="str">
        <f>HYPERLINK("https://stat100.ameba.jp/tnk47/ratio20/illustrations/card/ill_53233_nambuharumasa03.jpg?201902-5-RELEASE-marathon-396", "■")</f>
        <v>■</v>
      </c>
      <c r="F301" s="9" t="s">
        <v>3055</v>
      </c>
      <c r="G301" s="9">
        <v>100698</v>
      </c>
      <c r="H301" s="9">
        <v>108306</v>
      </c>
      <c r="I301" s="9">
        <v>22</v>
      </c>
      <c r="J301" s="9" t="s">
        <v>310</v>
      </c>
      <c r="K301" s="9" t="s">
        <v>1846</v>
      </c>
      <c r="L301" s="9" t="s">
        <v>9914</v>
      </c>
      <c r="M301" s="9" t="s">
        <v>13169</v>
      </c>
      <c r="N301" s="9" t="s">
        <v>2846</v>
      </c>
      <c r="O301" s="14" t="s">
        <v>9158</v>
      </c>
      <c r="P301" s="14" t="s">
        <v>9158</v>
      </c>
      <c r="Q301" s="14" t="s">
        <v>9158</v>
      </c>
      <c r="R301" s="14"/>
    </row>
    <row r="302" spans="1:18">
      <c r="A302" s="9">
        <v>53232</v>
      </c>
      <c r="B302" s="9" t="s">
        <v>334</v>
      </c>
      <c r="C302" s="9" t="s">
        <v>185</v>
      </c>
      <c r="D302" s="9" t="s">
        <v>1840</v>
      </c>
      <c r="E302" s="15" t="str">
        <f>HYPERLINK("https://stat100.ameba.jp/tnk47/ratio20/illustrations/card/ill_53232_nambuharumasa02.jpg?201902-5-RELEASE-marathon-396", "■")</f>
        <v>■</v>
      </c>
      <c r="F302" s="9" t="s">
        <v>3055</v>
      </c>
      <c r="G302" s="9">
        <v>83402</v>
      </c>
      <c r="H302" s="9">
        <v>90538</v>
      </c>
      <c r="I302" s="9">
        <v>22</v>
      </c>
      <c r="J302" s="9" t="s">
        <v>310</v>
      </c>
      <c r="K302" s="9" t="s">
        <v>1846</v>
      </c>
      <c r="L302" s="9" t="s">
        <v>9914</v>
      </c>
      <c r="M302" s="9" t="s">
        <v>13169</v>
      </c>
      <c r="N302" s="9" t="s">
        <v>2846</v>
      </c>
      <c r="O302" s="14" t="s">
        <v>9158</v>
      </c>
      <c r="P302" s="14" t="s">
        <v>9158</v>
      </c>
      <c r="Q302" s="14" t="s">
        <v>9158</v>
      </c>
      <c r="R302" s="14"/>
    </row>
    <row r="303" spans="1:18">
      <c r="A303" s="9">
        <v>53231</v>
      </c>
      <c r="B303" s="9" t="s">
        <v>334</v>
      </c>
      <c r="C303" s="9" t="s">
        <v>185</v>
      </c>
      <c r="D303" s="9" t="s">
        <v>1840</v>
      </c>
      <c r="E303" s="15" t="str">
        <f>HYPERLINK("https://stat100.ameba.jp/tnk47/ratio20/illustrations/card/ill_53231_nambuharumasa01.jpg?201902-5-RELEASE-marathon-396", "■")</f>
        <v>■</v>
      </c>
      <c r="F303" s="9" t="s">
        <v>3055</v>
      </c>
      <c r="G303" s="9">
        <v>64350</v>
      </c>
      <c r="H303" s="9">
        <v>69124</v>
      </c>
      <c r="I303" s="9">
        <v>22</v>
      </c>
      <c r="J303" s="9" t="s">
        <v>310</v>
      </c>
      <c r="K303" s="9" t="s">
        <v>1846</v>
      </c>
      <c r="L303" s="9" t="s">
        <v>9914</v>
      </c>
      <c r="M303" s="9" t="s">
        <v>13169</v>
      </c>
      <c r="N303" s="9" t="s">
        <v>2846</v>
      </c>
      <c r="O303" s="14" t="s">
        <v>9158</v>
      </c>
      <c r="P303" s="14" t="s">
        <v>9158</v>
      </c>
      <c r="Q303" s="14" t="s">
        <v>9158</v>
      </c>
      <c r="R303" s="14"/>
    </row>
    <row r="304" spans="1:18">
      <c r="A304" s="9">
        <v>57283</v>
      </c>
      <c r="B304" s="9" t="s">
        <v>334</v>
      </c>
      <c r="C304" s="9" t="s">
        <v>200</v>
      </c>
      <c r="D304" s="9" t="s">
        <v>1841</v>
      </c>
      <c r="E304" s="15" t="str">
        <f>HYPERLINK("https://stat100.ameba.jp/tnk47/ratio20/illustrations/card/ill_57283_ashikagashimahime03.jpg?201902-5-RELEASE-marathon-396", "■")</f>
        <v>■</v>
      </c>
      <c r="F304" s="9" t="s">
        <v>3056</v>
      </c>
      <c r="G304" s="9">
        <v>108306</v>
      </c>
      <c r="H304" s="9">
        <v>100698</v>
      </c>
      <c r="I304" s="9">
        <v>22</v>
      </c>
      <c r="J304" s="9" t="s">
        <v>315</v>
      </c>
      <c r="K304" s="9" t="s">
        <v>1847</v>
      </c>
      <c r="L304" s="9" t="s">
        <v>9915</v>
      </c>
      <c r="M304" s="9" t="s">
        <v>13169</v>
      </c>
      <c r="N304" s="9" t="s">
        <v>2846</v>
      </c>
      <c r="O304" s="14" t="s">
        <v>9158</v>
      </c>
      <c r="P304" s="14" t="s">
        <v>9158</v>
      </c>
      <c r="Q304" s="14" t="s">
        <v>9158</v>
      </c>
    </row>
    <row r="305" spans="1:18">
      <c r="A305" s="9">
        <v>64413</v>
      </c>
      <c r="B305" s="9" t="s">
        <v>334</v>
      </c>
      <c r="C305" s="9" t="s">
        <v>191</v>
      </c>
      <c r="D305" s="9" t="s">
        <v>1842</v>
      </c>
      <c r="E305" s="15" t="str">
        <f>HYPERLINK("https://stat100.ameba.jp/tnk47/ratio20/illustrations/card/ill_64413_kyuso03.jpg?201902-5-RELEASE-marathon-396", "■")</f>
        <v>■</v>
      </c>
      <c r="F305" s="9" t="s">
        <v>3057</v>
      </c>
      <c r="G305" s="9">
        <v>100698</v>
      </c>
      <c r="H305" s="9">
        <v>108306</v>
      </c>
      <c r="I305" s="9">
        <v>22</v>
      </c>
      <c r="J305" s="9" t="s">
        <v>320</v>
      </c>
      <c r="K305" s="9" t="s">
        <v>1848</v>
      </c>
      <c r="L305" s="9" t="s">
        <v>9916</v>
      </c>
      <c r="M305" s="9" t="s">
        <v>13169</v>
      </c>
      <c r="N305" s="9" t="s">
        <v>2846</v>
      </c>
      <c r="O305" s="14" t="s">
        <v>9158</v>
      </c>
      <c r="P305" s="14" t="s">
        <v>9158</v>
      </c>
      <c r="Q305" s="14" t="s">
        <v>9158</v>
      </c>
    </row>
    <row r="306" spans="1:18">
      <c r="A306" s="9">
        <v>64423</v>
      </c>
      <c r="B306" s="9" t="s">
        <v>334</v>
      </c>
      <c r="C306" s="9" t="s">
        <v>165</v>
      </c>
      <c r="D306" s="9" t="s">
        <v>1843</v>
      </c>
      <c r="E306" s="15" t="str">
        <f>HYPERLINK("https://stat100.ameba.jp/tnk47/ratio20/illustrations/card/ill_64423_ankoromochi03.jpg?201902-5-RELEASE-marathon-396", "■")</f>
        <v>■</v>
      </c>
      <c r="F306" s="9" t="s">
        <v>3058</v>
      </c>
      <c r="G306" s="9">
        <v>108306</v>
      </c>
      <c r="H306" s="9">
        <v>100698</v>
      </c>
      <c r="I306" s="9">
        <v>22</v>
      </c>
      <c r="J306" s="9" t="s">
        <v>283</v>
      </c>
      <c r="K306" s="9" t="s">
        <v>1849</v>
      </c>
      <c r="L306" s="9" t="s">
        <v>9917</v>
      </c>
      <c r="M306" s="9" t="s">
        <v>13169</v>
      </c>
      <c r="N306" s="9" t="s">
        <v>2846</v>
      </c>
      <c r="O306" s="14" t="s">
        <v>9158</v>
      </c>
      <c r="P306" s="14" t="s">
        <v>9158</v>
      </c>
      <c r="Q306" s="14" t="s">
        <v>9158</v>
      </c>
    </row>
    <row r="307" spans="1:18">
      <c r="A307" s="9">
        <v>61453</v>
      </c>
      <c r="B307" s="9" t="s">
        <v>334</v>
      </c>
      <c r="C307" s="9" t="s">
        <v>205</v>
      </c>
      <c r="D307" s="9" t="s">
        <v>1844</v>
      </c>
      <c r="E307" s="15" t="str">
        <f>HYPERLINK("https://stat100.ameba.jp/tnk47/ratio20/illustrations/card/ill_61453_hiragayuzuru03.jpg?201902-5-RELEASE-marathon-396", "■")</f>
        <v>■</v>
      </c>
      <c r="F307" s="9" t="s">
        <v>3059</v>
      </c>
      <c r="G307" s="9">
        <v>108306</v>
      </c>
      <c r="H307" s="9">
        <v>100698</v>
      </c>
      <c r="I307" s="9">
        <v>22</v>
      </c>
      <c r="J307" s="9" t="s">
        <v>414</v>
      </c>
      <c r="K307" s="9" t="s">
        <v>1850</v>
      </c>
      <c r="L307" s="9" t="s">
        <v>9918</v>
      </c>
      <c r="M307" s="9" t="s">
        <v>13169</v>
      </c>
      <c r="N307" s="9" t="s">
        <v>2846</v>
      </c>
      <c r="O307" s="14" t="s">
        <v>9158</v>
      </c>
      <c r="P307" s="14" t="s">
        <v>9158</v>
      </c>
      <c r="Q307" s="14" t="s">
        <v>9158</v>
      </c>
    </row>
    <row r="308" spans="1:18">
      <c r="A308" s="9">
        <v>56013</v>
      </c>
      <c r="B308" s="9" t="s">
        <v>334</v>
      </c>
      <c r="C308" s="9" t="s">
        <v>206</v>
      </c>
      <c r="D308" s="9" t="s">
        <v>1845</v>
      </c>
      <c r="E308" s="15" t="str">
        <f>HYPERLINK("https://stat100.ameba.jp/tnk47/ratio20/illustrations/card/ill_56013_kitaharahakushu03.jpg?201902-5-RELEASE-marathon-396", "■")</f>
        <v>■</v>
      </c>
      <c r="F308" s="9" t="s">
        <v>3060</v>
      </c>
      <c r="G308" s="9">
        <v>100698</v>
      </c>
      <c r="H308" s="9">
        <v>108306</v>
      </c>
      <c r="I308" s="9">
        <v>22</v>
      </c>
      <c r="J308" s="9" t="s">
        <v>351</v>
      </c>
      <c r="K308" s="9" t="s">
        <v>1851</v>
      </c>
      <c r="L308" s="9" t="s">
        <v>9919</v>
      </c>
      <c r="M308" s="9" t="s">
        <v>13169</v>
      </c>
      <c r="N308" s="9" t="s">
        <v>2846</v>
      </c>
      <c r="O308" s="14" t="s">
        <v>9158</v>
      </c>
      <c r="P308" s="14" t="s">
        <v>9158</v>
      </c>
      <c r="Q308" s="14" t="s">
        <v>9158</v>
      </c>
    </row>
    <row r="310" spans="1:18">
      <c r="A310" s="9" t="s">
        <v>11352</v>
      </c>
    </row>
    <row r="311" spans="1:18">
      <c r="A311" s="9" t="s">
        <v>11353</v>
      </c>
    </row>
    <row r="312" spans="1:18">
      <c r="A312" s="9">
        <v>71265</v>
      </c>
      <c r="B312" s="9" t="s">
        <v>334</v>
      </c>
      <c r="C312" s="9" t="s">
        <v>202</v>
      </c>
      <c r="D312" s="9" t="s">
        <v>10432</v>
      </c>
      <c r="E312" s="15" t="str">
        <f>HYPERLINK("https://stat100.ameba.jp/tnk47/ratio20/illustrations/card/ill_71265_kisoyoshinaka05.jpg?201902-5-RELEASE-marathon-396", "■")</f>
        <v>■</v>
      </c>
      <c r="F312" s="9" t="s">
        <v>11354</v>
      </c>
      <c r="G312" s="9">
        <v>157769</v>
      </c>
      <c r="H312" s="9">
        <v>114241</v>
      </c>
      <c r="I312" s="9">
        <v>21</v>
      </c>
      <c r="J312" s="9" t="s">
        <v>310</v>
      </c>
      <c r="K312" s="9" t="s">
        <v>11355</v>
      </c>
      <c r="L312" s="9" t="s">
        <v>443</v>
      </c>
      <c r="M312" s="14" t="s">
        <v>9158</v>
      </c>
      <c r="N312" s="14" t="s">
        <v>9158</v>
      </c>
      <c r="O312" s="14" t="s">
        <v>9158</v>
      </c>
      <c r="P312" s="14" t="s">
        <v>9158</v>
      </c>
      <c r="Q312" s="14" t="s">
        <v>9158</v>
      </c>
      <c r="R312" s="9" t="s">
        <v>174</v>
      </c>
    </row>
    <row r="313" spans="1:18">
      <c r="A313" s="9">
        <v>71263</v>
      </c>
      <c r="B313" s="9" t="s">
        <v>348</v>
      </c>
      <c r="C313" s="9" t="s">
        <v>209</v>
      </c>
      <c r="D313" s="9" t="s">
        <v>10432</v>
      </c>
      <c r="E313" s="15" t="str">
        <f>HYPERLINK("https://stat100.ameba.jp/tnk47/ratio20/illustrations/card/ill_71263_kisoyoshinaka03.jpg?201902-5-RELEASE-marathon-396", "■")</f>
        <v>■</v>
      </c>
      <c r="F313" s="9" t="s">
        <v>11354</v>
      </c>
      <c r="G313" s="9">
        <v>116243</v>
      </c>
      <c r="H313" s="9">
        <v>84175</v>
      </c>
      <c r="I313" s="9">
        <v>21</v>
      </c>
      <c r="J313" s="9" t="s">
        <v>310</v>
      </c>
      <c r="K313" s="9" t="s">
        <v>11355</v>
      </c>
      <c r="L313" s="9" t="s">
        <v>11356</v>
      </c>
      <c r="M313" s="14" t="s">
        <v>9158</v>
      </c>
      <c r="N313" s="14" t="s">
        <v>9158</v>
      </c>
      <c r="O313" s="14" t="s">
        <v>9158</v>
      </c>
      <c r="P313" s="14" t="s">
        <v>9158</v>
      </c>
      <c r="Q313" s="14" t="s">
        <v>9158</v>
      </c>
      <c r="R313" s="9" t="s">
        <v>175</v>
      </c>
    </row>
    <row r="314" spans="1:18">
      <c r="A314" s="9">
        <v>71261</v>
      </c>
      <c r="B314" s="9" t="s">
        <v>348</v>
      </c>
      <c r="C314" s="9" t="s">
        <v>209</v>
      </c>
      <c r="D314" s="9" t="s">
        <v>10432</v>
      </c>
      <c r="E314" s="15" t="str">
        <f>HYPERLINK("https://stat100.ameba.jp/tnk47/ratio20/illustrations/card/ill_71261_kisoyoshinaka01.jpg?201902-5-RELEASE-marathon-396", "■")</f>
        <v>■</v>
      </c>
      <c r="F314" s="9" t="s">
        <v>11354</v>
      </c>
      <c r="G314" s="9">
        <v>73941</v>
      </c>
      <c r="H314" s="9">
        <v>53550</v>
      </c>
      <c r="I314" s="9">
        <v>21</v>
      </c>
      <c r="J314" s="9" t="s">
        <v>310</v>
      </c>
      <c r="K314" s="9" t="s">
        <v>11355</v>
      </c>
      <c r="L314" s="9" t="s">
        <v>11357</v>
      </c>
      <c r="M314" s="14" t="s">
        <v>9158</v>
      </c>
      <c r="N314" s="14" t="s">
        <v>9158</v>
      </c>
      <c r="O314" s="14" t="s">
        <v>9158</v>
      </c>
      <c r="P314" s="14" t="s">
        <v>9158</v>
      </c>
      <c r="Q314" s="14" t="s">
        <v>9158</v>
      </c>
      <c r="R314" s="9" t="s">
        <v>176</v>
      </c>
    </row>
    <row r="315" spans="1:18">
      <c r="A315" s="9">
        <v>79215</v>
      </c>
      <c r="B315" s="9" t="s">
        <v>334</v>
      </c>
      <c r="C315" s="9" t="s">
        <v>202</v>
      </c>
      <c r="D315" s="9" t="s">
        <v>10473</v>
      </c>
      <c r="E315" s="15" t="str">
        <f>HYPERLINK("https://stat100.ameba.jp/tnk47/ratio20/illustrations/card/ill_79215_jizainoimpu05.jpg?201902-5-RELEASE-marathon-396", "■")</f>
        <v>■</v>
      </c>
      <c r="F315" s="9" t="s">
        <v>11358</v>
      </c>
      <c r="G315" s="9">
        <v>65335</v>
      </c>
      <c r="H315" s="9">
        <v>47305</v>
      </c>
      <c r="I315" s="9">
        <v>21</v>
      </c>
      <c r="J315" s="9" t="s">
        <v>320</v>
      </c>
      <c r="K315" s="9" t="s">
        <v>11359</v>
      </c>
      <c r="L315" s="9" t="s">
        <v>11360</v>
      </c>
      <c r="M315" s="14" t="s">
        <v>9158</v>
      </c>
      <c r="N315" s="14" t="s">
        <v>9158</v>
      </c>
      <c r="O315" s="14" t="s">
        <v>9158</v>
      </c>
      <c r="P315" s="14" t="s">
        <v>9158</v>
      </c>
      <c r="Q315" s="14" t="s">
        <v>9158</v>
      </c>
      <c r="R315" s="9" t="s">
        <v>174</v>
      </c>
    </row>
    <row r="316" spans="1:18">
      <c r="A316" s="9">
        <v>79213</v>
      </c>
      <c r="B316" s="9" t="s">
        <v>348</v>
      </c>
      <c r="C316" s="9" t="s">
        <v>203</v>
      </c>
      <c r="D316" s="9" t="s">
        <v>10473</v>
      </c>
      <c r="E316" s="15" t="str">
        <f>HYPERLINK("https://stat100.ameba.jp/tnk47/ratio20/illustrations/card/ill_79213_jizainoimpu03.jpg?201902-5-RELEASE-marathon-396", "■")</f>
        <v>■</v>
      </c>
      <c r="F316" s="9" t="s">
        <v>11358</v>
      </c>
      <c r="G316" s="9">
        <v>47256</v>
      </c>
      <c r="H316" s="9">
        <v>34186</v>
      </c>
      <c r="I316" s="9">
        <v>21</v>
      </c>
      <c r="J316" s="9" t="s">
        <v>320</v>
      </c>
      <c r="K316" s="9" t="s">
        <v>11359</v>
      </c>
      <c r="L316" s="9" t="s">
        <v>11361</v>
      </c>
      <c r="M316" s="14" t="s">
        <v>9158</v>
      </c>
      <c r="N316" s="14" t="s">
        <v>9158</v>
      </c>
      <c r="O316" s="14" t="s">
        <v>9158</v>
      </c>
      <c r="P316" s="14" t="s">
        <v>9158</v>
      </c>
      <c r="Q316" s="14" t="s">
        <v>9158</v>
      </c>
      <c r="R316" s="9" t="s">
        <v>175</v>
      </c>
    </row>
    <row r="317" spans="1:18">
      <c r="A317" s="9">
        <v>79211</v>
      </c>
      <c r="B317" s="9" t="s">
        <v>348</v>
      </c>
      <c r="C317" s="9" t="s">
        <v>203</v>
      </c>
      <c r="D317" s="9" t="s">
        <v>10473</v>
      </c>
      <c r="E317" s="15" t="str">
        <f>HYPERLINK("https://stat100.ameba.jp/tnk47/ratio20/illustrations/card/ill_79211_jizainoimpu01.jpg?201902-5-RELEASE-marathon-396", "■")</f>
        <v>■</v>
      </c>
      <c r="F317" s="9" t="s">
        <v>11358</v>
      </c>
      <c r="G317" s="9">
        <v>27384</v>
      </c>
      <c r="H317" s="9">
        <v>19824</v>
      </c>
      <c r="I317" s="9">
        <v>21</v>
      </c>
      <c r="J317" s="9" t="s">
        <v>320</v>
      </c>
      <c r="K317" s="9" t="s">
        <v>11359</v>
      </c>
      <c r="L317" s="9" t="s">
        <v>11362</v>
      </c>
      <c r="M317" s="14" t="s">
        <v>9158</v>
      </c>
      <c r="N317" s="14" t="s">
        <v>9158</v>
      </c>
      <c r="O317" s="14" t="s">
        <v>9158</v>
      </c>
      <c r="P317" s="14" t="s">
        <v>9158</v>
      </c>
      <c r="Q317" s="14" t="s">
        <v>9158</v>
      </c>
      <c r="R317" s="9" t="s">
        <v>176</v>
      </c>
    </row>
    <row r="318" spans="1:18">
      <c r="A318" s="9">
        <v>69475</v>
      </c>
      <c r="B318" s="9" t="s">
        <v>334</v>
      </c>
      <c r="C318" s="9" t="s">
        <v>202</v>
      </c>
      <c r="D318" s="9" t="s">
        <v>11363</v>
      </c>
      <c r="E318" s="15" t="str">
        <f>HYPERLINK("https://stat100.ameba.jp/tnk47/ratio20/illustrations/card/ill_69475_yukkorukamui05.jpg?201902-5-RELEASE-marathon-396", "■")</f>
        <v>■</v>
      </c>
      <c r="F318" s="9" t="s">
        <v>11364</v>
      </c>
      <c r="G318" s="9">
        <v>71481</v>
      </c>
      <c r="H318" s="9">
        <v>98728</v>
      </c>
      <c r="I318" s="9">
        <v>21</v>
      </c>
      <c r="J318" s="9" t="s">
        <v>401</v>
      </c>
      <c r="K318" s="9" t="s">
        <v>11365</v>
      </c>
      <c r="L318" s="9" t="s">
        <v>11366</v>
      </c>
      <c r="M318" s="14" t="s">
        <v>9158</v>
      </c>
      <c r="N318" s="14" t="s">
        <v>9158</v>
      </c>
      <c r="O318" s="14" t="s">
        <v>9158</v>
      </c>
      <c r="P318" s="14" t="s">
        <v>9158</v>
      </c>
      <c r="Q318" s="14" t="s">
        <v>9158</v>
      </c>
      <c r="R318" s="9" t="s">
        <v>174</v>
      </c>
    </row>
    <row r="319" spans="1:18">
      <c r="A319" s="9">
        <v>69473</v>
      </c>
      <c r="B319" s="9" t="s">
        <v>348</v>
      </c>
      <c r="C319" s="9" t="s">
        <v>209</v>
      </c>
      <c r="D319" s="9" t="s">
        <v>11363</v>
      </c>
      <c r="E319" s="15" t="str">
        <f>HYPERLINK("https://stat100.ameba.jp/tnk47/ratio20/illustrations/card/ill_69473_yukkorukamui03.jpg?201902-5-RELEASE-marathon-396", "■")</f>
        <v>■</v>
      </c>
      <c r="F319" s="9" t="s">
        <v>11364</v>
      </c>
      <c r="G319" s="9">
        <v>52663</v>
      </c>
      <c r="H319" s="9">
        <v>72733</v>
      </c>
      <c r="I319" s="9">
        <v>21</v>
      </c>
      <c r="J319" s="9" t="s">
        <v>401</v>
      </c>
      <c r="K319" s="9" t="s">
        <v>11365</v>
      </c>
      <c r="L319" s="9" t="s">
        <v>11367</v>
      </c>
      <c r="M319" s="14" t="s">
        <v>9158</v>
      </c>
      <c r="N319" s="14" t="s">
        <v>9158</v>
      </c>
      <c r="O319" s="14" t="s">
        <v>9158</v>
      </c>
      <c r="P319" s="14" t="s">
        <v>9158</v>
      </c>
      <c r="Q319" s="14" t="s">
        <v>9158</v>
      </c>
      <c r="R319" s="9" t="s">
        <v>175</v>
      </c>
    </row>
    <row r="320" spans="1:18">
      <c r="A320" s="9">
        <v>69471</v>
      </c>
      <c r="B320" s="9" t="s">
        <v>348</v>
      </c>
      <c r="C320" s="9" t="s">
        <v>209</v>
      </c>
      <c r="D320" s="9" t="s">
        <v>11363</v>
      </c>
      <c r="E320" s="15" t="str">
        <f>HYPERLINK("https://stat100.ameba.jp/tnk47/ratio20/illustrations/card/ill_69471_yukkorukamui01.jpg?201902-5-RELEASE-marathon-396", "■")</f>
        <v>■</v>
      </c>
      <c r="F320" s="9" t="s">
        <v>11364</v>
      </c>
      <c r="G320" s="9">
        <v>33495</v>
      </c>
      <c r="H320" s="9">
        <v>46263</v>
      </c>
      <c r="I320" s="9">
        <v>21</v>
      </c>
      <c r="J320" s="9" t="s">
        <v>401</v>
      </c>
      <c r="K320" s="9" t="s">
        <v>11365</v>
      </c>
      <c r="L320" s="9" t="s">
        <v>11368</v>
      </c>
      <c r="M320" s="14" t="s">
        <v>9158</v>
      </c>
      <c r="N320" s="14" t="s">
        <v>9158</v>
      </c>
      <c r="O320" s="14" t="s">
        <v>9158</v>
      </c>
      <c r="P320" s="14" t="s">
        <v>9158</v>
      </c>
      <c r="Q320" s="14" t="s">
        <v>9158</v>
      </c>
      <c r="R320" s="9" t="s">
        <v>176</v>
      </c>
    </row>
    <row r="322" spans="1:19">
      <c r="A322" s="9" t="s">
        <v>135</v>
      </c>
    </row>
    <row r="323" spans="1:19">
      <c r="A323" s="9" t="s">
        <v>11369</v>
      </c>
    </row>
    <row r="324" spans="1:19">
      <c r="A324" s="9" t="s">
        <v>5618</v>
      </c>
      <c r="B324" s="9" t="s">
        <v>330</v>
      </c>
      <c r="C324" s="9" t="s">
        <v>200</v>
      </c>
      <c r="D324" s="9" t="s">
        <v>665</v>
      </c>
      <c r="E324" s="15" t="str">
        <f>HYPERLINK("https://stat100.ameba.jp/tnk47/ratio20/illustrations/card/ill_63173_0_minazukikonakaiteruko03.jpg?201902-5-RELEASE-marathon-396", "■")</f>
        <v>■</v>
      </c>
      <c r="F324" s="9" t="s">
        <v>666</v>
      </c>
      <c r="G324" s="9">
        <v>199630</v>
      </c>
      <c r="H324" s="9">
        <v>214692</v>
      </c>
      <c r="I324" s="9">
        <v>23</v>
      </c>
      <c r="J324" s="9" t="s">
        <v>310</v>
      </c>
      <c r="K324" s="9" t="s">
        <v>667</v>
      </c>
      <c r="L324" s="9" t="s">
        <v>668</v>
      </c>
      <c r="M324" s="14" t="s">
        <v>9158</v>
      </c>
      <c r="N324" s="14" t="s">
        <v>9158</v>
      </c>
      <c r="O324" s="9" t="s">
        <v>10079</v>
      </c>
      <c r="P324" s="9" t="s">
        <v>11370</v>
      </c>
      <c r="Q324" s="9">
        <v>1</v>
      </c>
    </row>
    <row r="325" spans="1:19">
      <c r="A325" s="9">
        <v>72163</v>
      </c>
      <c r="B325" s="9" t="s">
        <v>334</v>
      </c>
      <c r="C325" s="9" t="s">
        <v>203</v>
      </c>
      <c r="D325" s="9" t="s">
        <v>3169</v>
      </c>
      <c r="E325" s="15" t="str">
        <f>HYPERLINK("https://stat100.ameba.jp/tnk47/ratio20/illustrations/card/ill_72163_yagyutoshiyoshi03.jpg?201902-5-RELEASE-marathon-396", "■")</f>
        <v>■</v>
      </c>
      <c r="F325" s="9" t="s">
        <v>3170</v>
      </c>
      <c r="G325" s="9">
        <v>111000</v>
      </c>
      <c r="H325" s="9">
        <v>80391</v>
      </c>
      <c r="I325" s="9">
        <v>21</v>
      </c>
      <c r="J325" s="9" t="s">
        <v>310</v>
      </c>
      <c r="K325" s="9" t="s">
        <v>3171</v>
      </c>
      <c r="L325" s="9" t="s">
        <v>3172</v>
      </c>
      <c r="M325" s="14" t="s">
        <v>9158</v>
      </c>
      <c r="N325" s="14" t="s">
        <v>9158</v>
      </c>
      <c r="O325" s="9" t="s">
        <v>3173</v>
      </c>
      <c r="P325" s="9" t="s">
        <v>3174</v>
      </c>
      <c r="Q325" s="9">
        <v>1</v>
      </c>
    </row>
    <row r="326" spans="1:19">
      <c r="A326" s="9">
        <v>70363</v>
      </c>
      <c r="B326" s="9" t="s">
        <v>334</v>
      </c>
      <c r="C326" s="9" t="s">
        <v>209</v>
      </c>
      <c r="D326" s="9" t="s">
        <v>10266</v>
      </c>
      <c r="E326" s="15" t="str">
        <f>HYPERLINK("https://stat100.ameba.jp/tnk47/ratio20/illustrations/card/ill_70363_hokushimmyokembosatsu03.jpg?201902-5-RELEASE-marathon-396", "■")</f>
        <v>■</v>
      </c>
      <c r="F326" s="9" t="s">
        <v>11371</v>
      </c>
      <c r="G326" s="9">
        <v>139716</v>
      </c>
      <c r="H326" s="9">
        <v>101199</v>
      </c>
      <c r="I326" s="9">
        <v>21</v>
      </c>
      <c r="J326" s="9" t="s">
        <v>401</v>
      </c>
      <c r="K326" s="9" t="s">
        <v>11372</v>
      </c>
      <c r="L326" s="9" t="s">
        <v>11373</v>
      </c>
      <c r="M326" s="14" t="s">
        <v>9158</v>
      </c>
      <c r="N326" s="14" t="s">
        <v>9158</v>
      </c>
      <c r="O326" s="9" t="s">
        <v>10114</v>
      </c>
      <c r="P326" s="9" t="s">
        <v>11374</v>
      </c>
      <c r="Q326" s="9">
        <v>1</v>
      </c>
    </row>
    <row r="327" spans="1:19">
      <c r="A327" s="9">
        <v>77123</v>
      </c>
      <c r="B327" s="9" t="s">
        <v>334</v>
      </c>
      <c r="C327" s="9" t="s">
        <v>191</v>
      </c>
      <c r="D327" s="9" t="s">
        <v>10424</v>
      </c>
      <c r="E327" s="15" t="str">
        <f>HYPERLINK("https://stat100.ameba.jp/tnk47/ratio20/illustrations/card/ill_77123_yukemuriizuna03.jpg?201902-5-RELEASE-marathon-396", "■")</f>
        <v>■</v>
      </c>
      <c r="F327" s="9" t="s">
        <v>1377</v>
      </c>
      <c r="G327" s="9">
        <v>87496</v>
      </c>
      <c r="H327" s="9">
        <v>81371</v>
      </c>
      <c r="I327" s="9">
        <v>21</v>
      </c>
      <c r="J327" s="9" t="s">
        <v>320</v>
      </c>
      <c r="K327" s="9" t="s">
        <v>1378</v>
      </c>
      <c r="L327" s="9" t="s">
        <v>1379</v>
      </c>
      <c r="M327" s="14" t="s">
        <v>9158</v>
      </c>
      <c r="N327" s="14" t="s">
        <v>9158</v>
      </c>
      <c r="O327" s="9" t="s">
        <v>2838</v>
      </c>
      <c r="P327" s="9" t="s">
        <v>2839</v>
      </c>
      <c r="Q327" s="9">
        <v>1</v>
      </c>
    </row>
    <row r="329" spans="1:19">
      <c r="A329" s="9" t="s">
        <v>208</v>
      </c>
    </row>
    <row r="330" spans="1:19">
      <c r="A330" s="9" t="s">
        <v>11375</v>
      </c>
    </row>
    <row r="331" spans="1:19">
      <c r="A331" s="9" t="s">
        <v>5617</v>
      </c>
      <c r="B331" s="9" t="s">
        <v>330</v>
      </c>
      <c r="C331" s="9" t="s">
        <v>165</v>
      </c>
      <c r="D331" s="9" t="s">
        <v>385</v>
      </c>
      <c r="E331" s="15" t="str">
        <f>HYPERLINK("https://stat100.ameba.jp/tnk47/ratio20/illustrations/card/ill_59673_0_oheyashutendoji03.jpg?201902-5-RELEASE-marathon-396", "■")</f>
        <v>■</v>
      </c>
      <c r="F331" s="9" t="s">
        <v>386</v>
      </c>
      <c r="G331" s="9">
        <v>105545</v>
      </c>
      <c r="H331" s="9">
        <v>113525</v>
      </c>
      <c r="I331" s="9">
        <v>15</v>
      </c>
      <c r="J331" s="9" t="s">
        <v>320</v>
      </c>
      <c r="K331" s="9" t="s">
        <v>387</v>
      </c>
      <c r="L331" s="9" t="s">
        <v>388</v>
      </c>
      <c r="M331" s="14" t="s">
        <v>9158</v>
      </c>
      <c r="N331" s="14" t="s">
        <v>9158</v>
      </c>
      <c r="O331" s="9" t="s">
        <v>10078</v>
      </c>
      <c r="P331" s="9" t="s">
        <v>3022</v>
      </c>
      <c r="Q331" s="9">
        <v>1</v>
      </c>
    </row>
    <row r="332" spans="1:19">
      <c r="A332" s="9" t="s">
        <v>5607</v>
      </c>
      <c r="B332" s="9" t="s">
        <v>330</v>
      </c>
      <c r="C332" s="9" t="s">
        <v>200</v>
      </c>
      <c r="D332" s="9" t="s">
        <v>421</v>
      </c>
      <c r="E332" s="15" t="str">
        <f>HYPERLINK("https://stat100.ameba.jp/tnk47/ratio20/illustrations/card/ill_58853_0_setsubumpanikkuhiratsukaraicho03.jpg?201902-5-RELEASE-marathon-396", "■")</f>
        <v>■</v>
      </c>
      <c r="F332" s="9" t="s">
        <v>422</v>
      </c>
      <c r="G332" s="9">
        <v>94236</v>
      </c>
      <c r="H332" s="9">
        <v>83712</v>
      </c>
      <c r="I332" s="9">
        <v>15</v>
      </c>
      <c r="J332" s="9" t="s">
        <v>414</v>
      </c>
      <c r="K332" s="9" t="s">
        <v>423</v>
      </c>
      <c r="L332" s="9" t="s">
        <v>424</v>
      </c>
      <c r="M332" s="14" t="s">
        <v>9158</v>
      </c>
      <c r="N332" s="14" t="s">
        <v>9158</v>
      </c>
      <c r="O332" s="9" t="s">
        <v>10075</v>
      </c>
      <c r="P332" s="9" t="s">
        <v>2870</v>
      </c>
      <c r="Q332" s="9">
        <v>1</v>
      </c>
    </row>
    <row r="333" spans="1:19">
      <c r="A333" s="9" t="s">
        <v>5622</v>
      </c>
      <c r="B333" s="9" t="s">
        <v>330</v>
      </c>
      <c r="C333" s="9" t="s">
        <v>185</v>
      </c>
      <c r="D333" s="9" t="s">
        <v>509</v>
      </c>
      <c r="E333" s="15" t="str">
        <f>HYPERLINK("https://stat100.ameba.jp/tnk47/ratio20/illustrations/card/ill_49953_0_yushamarihime03.jpg?201902-5-RELEASE-marathon-396", "■")</f>
        <v>■</v>
      </c>
      <c r="F333" s="9" t="s">
        <v>510</v>
      </c>
      <c r="G333" s="9">
        <v>94236</v>
      </c>
      <c r="H333" s="9">
        <v>83712</v>
      </c>
      <c r="I333" s="9">
        <v>15</v>
      </c>
      <c r="J333" s="9" t="s">
        <v>315</v>
      </c>
      <c r="K333" s="9" t="s">
        <v>511</v>
      </c>
      <c r="L333" s="9" t="s">
        <v>512</v>
      </c>
      <c r="M333" s="14" t="s">
        <v>9158</v>
      </c>
      <c r="N333" s="14" t="s">
        <v>9158</v>
      </c>
      <c r="O333" s="14" t="s">
        <v>9158</v>
      </c>
      <c r="P333" s="14" t="s">
        <v>9158</v>
      </c>
      <c r="Q333" s="14" t="s">
        <v>9158</v>
      </c>
    </row>
    <row r="334" spans="1:19">
      <c r="A334" s="9">
        <v>64723</v>
      </c>
      <c r="B334" s="9" t="s">
        <v>334</v>
      </c>
      <c r="C334" s="9" t="s">
        <v>158</v>
      </c>
      <c r="D334" s="9" t="s">
        <v>11376</v>
      </c>
      <c r="E334" s="15" t="str">
        <f>HYPERLINK("https://stat100.ameba.jp/tnk47/ratio20/illustrations/card/ill_64723_nidaimeshimazugenzo03.jpg?201902-5-RELEASE-marathon-396", "■")</f>
        <v>■</v>
      </c>
      <c r="F334" s="9" t="s">
        <v>11377</v>
      </c>
      <c r="G334" s="9">
        <v>83499</v>
      </c>
      <c r="H334" s="9">
        <v>89839</v>
      </c>
      <c r="I334" s="9">
        <v>23</v>
      </c>
      <c r="J334" s="9" t="s">
        <v>351</v>
      </c>
      <c r="K334" s="9" t="s">
        <v>11378</v>
      </c>
      <c r="L334" s="9" t="s">
        <v>1625</v>
      </c>
      <c r="M334" s="14" t="s">
        <v>9158</v>
      </c>
      <c r="N334" s="14" t="s">
        <v>9158</v>
      </c>
      <c r="O334" s="14" t="s">
        <v>9158</v>
      </c>
      <c r="P334" s="14" t="s">
        <v>9158</v>
      </c>
      <c r="Q334" s="14" t="s">
        <v>9158</v>
      </c>
      <c r="S334" s="14" t="s">
        <v>11753</v>
      </c>
    </row>
    <row r="335" spans="1:19">
      <c r="A335" s="9">
        <v>65483</v>
      </c>
      <c r="B335" s="9" t="s">
        <v>334</v>
      </c>
      <c r="C335" s="9" t="s">
        <v>154</v>
      </c>
      <c r="D335" s="9" t="s">
        <v>11379</v>
      </c>
      <c r="E335" s="15" t="str">
        <f>HYPERLINK("https://stat100.ameba.jp/tnk47/ratio20/illustrations/card/ill_65483_honosusorinomikoto03.jpg?201902-5-RELEASE-marathon-396", "■")</f>
        <v>■</v>
      </c>
      <c r="F335" s="9" t="s">
        <v>11380</v>
      </c>
      <c r="G335" s="9">
        <v>87218</v>
      </c>
      <c r="H335" s="9">
        <v>93813</v>
      </c>
      <c r="I335" s="9">
        <v>23</v>
      </c>
      <c r="J335" s="9" t="s">
        <v>401</v>
      </c>
      <c r="K335" s="9" t="s">
        <v>11381</v>
      </c>
      <c r="L335" s="9" t="s">
        <v>3205</v>
      </c>
      <c r="M335" s="14" t="s">
        <v>9158</v>
      </c>
      <c r="N335" s="14" t="s">
        <v>9158</v>
      </c>
      <c r="O335" s="14" t="s">
        <v>9158</v>
      </c>
      <c r="P335" s="14" t="s">
        <v>9158</v>
      </c>
      <c r="Q335" s="14" t="s">
        <v>9158</v>
      </c>
      <c r="S335" s="14" t="s">
        <v>11752</v>
      </c>
    </row>
    <row r="336" spans="1:19">
      <c r="A336" s="9">
        <v>69843</v>
      </c>
      <c r="B336" s="9" t="s">
        <v>334</v>
      </c>
      <c r="C336" s="9" t="s">
        <v>158</v>
      </c>
      <c r="D336" s="9" t="s">
        <v>11382</v>
      </c>
      <c r="E336" s="15" t="str">
        <f>HYPERLINK("https://stat100.ameba.jp/tnk47/ratio20/illustrations/card/ill_69843_kyupiddomimuratsuru03.jpg?201902-5-RELEASE-marathon-396", "■")</f>
        <v>■</v>
      </c>
      <c r="F336" s="9" t="s">
        <v>11383</v>
      </c>
      <c r="G336" s="9">
        <v>136729</v>
      </c>
      <c r="H336" s="9">
        <v>127130</v>
      </c>
      <c r="I336" s="9">
        <v>23</v>
      </c>
      <c r="J336" s="9" t="s">
        <v>310</v>
      </c>
      <c r="K336" s="9" t="s">
        <v>11384</v>
      </c>
      <c r="L336" s="9" t="s">
        <v>11385</v>
      </c>
      <c r="M336" s="14" t="s">
        <v>9158</v>
      </c>
      <c r="N336" s="14" t="s">
        <v>9158</v>
      </c>
      <c r="O336" s="14" t="s">
        <v>9158</v>
      </c>
      <c r="P336" s="14" t="s">
        <v>9158</v>
      </c>
      <c r="Q336" s="14" t="s">
        <v>9158</v>
      </c>
      <c r="S336" s="14" t="s">
        <v>11751</v>
      </c>
    </row>
    <row r="337" spans="1:19">
      <c r="A337" s="9">
        <v>60063</v>
      </c>
      <c r="B337" s="9" t="s">
        <v>348</v>
      </c>
      <c r="C337" s="9" t="s">
        <v>165</v>
      </c>
      <c r="D337" s="9" t="s">
        <v>653</v>
      </c>
      <c r="E337" s="15" t="str">
        <f>HYPERLINK("https://stat100.ameba.jp/tnk47/ratio20/illustrations/card/ill_60063_aressandorobuarinyano03.jpg?201902-5-RELEASE-marathon-396", "■")</f>
        <v>■</v>
      </c>
      <c r="F337" s="9" t="s">
        <v>654</v>
      </c>
      <c r="G337" s="9">
        <v>68172</v>
      </c>
      <c r="H337" s="9">
        <v>61832</v>
      </c>
      <c r="I337" s="9">
        <v>23</v>
      </c>
      <c r="J337" s="9" t="s">
        <v>351</v>
      </c>
      <c r="K337" s="9" t="s">
        <v>655</v>
      </c>
      <c r="L337" s="9" t="s">
        <v>656</v>
      </c>
      <c r="M337" s="14" t="s">
        <v>9158</v>
      </c>
      <c r="N337" s="14" t="s">
        <v>9158</v>
      </c>
      <c r="O337" s="14" t="s">
        <v>9158</v>
      </c>
      <c r="P337" s="14" t="s">
        <v>9158</v>
      </c>
      <c r="Q337" s="14" t="s">
        <v>9158</v>
      </c>
      <c r="S337" s="14" t="s">
        <v>11726</v>
      </c>
    </row>
    <row r="338" spans="1:19">
      <c r="A338" s="9">
        <v>60743</v>
      </c>
      <c r="B338" s="9" t="s">
        <v>348</v>
      </c>
      <c r="C338" s="9" t="s">
        <v>185</v>
      </c>
      <c r="D338" s="9" t="s">
        <v>657</v>
      </c>
      <c r="E338" s="15" t="str">
        <f>HYPERLINK("https://stat100.ameba.jp/tnk47/ratio20/illustrations/card/ill_60743_satotsugunobu03.jpg?201902-5-RELEASE-marathon-396", "■")</f>
        <v>■</v>
      </c>
      <c r="F338" s="9" t="s">
        <v>658</v>
      </c>
      <c r="G338" s="9">
        <v>68172</v>
      </c>
      <c r="H338" s="9">
        <v>61832</v>
      </c>
      <c r="I338" s="9">
        <v>23</v>
      </c>
      <c r="J338" s="9" t="s">
        <v>310</v>
      </c>
      <c r="K338" s="9" t="s">
        <v>659</v>
      </c>
      <c r="L338" s="9" t="s">
        <v>660</v>
      </c>
      <c r="M338" s="14" t="s">
        <v>9158</v>
      </c>
      <c r="N338" s="14" t="s">
        <v>9158</v>
      </c>
      <c r="O338" s="14" t="s">
        <v>9158</v>
      </c>
      <c r="P338" s="14" t="s">
        <v>9158</v>
      </c>
      <c r="Q338" s="14" t="s">
        <v>9158</v>
      </c>
      <c r="S338" s="14" t="s">
        <v>12930</v>
      </c>
    </row>
    <row r="339" spans="1:19">
      <c r="A339" s="9">
        <v>64113</v>
      </c>
      <c r="B339" s="9" t="s">
        <v>348</v>
      </c>
      <c r="C339" s="9" t="s">
        <v>205</v>
      </c>
      <c r="D339" s="9" t="s">
        <v>661</v>
      </c>
      <c r="E339" s="15" t="str">
        <f>HYPERLINK("https://stat100.ameba.jp/tnk47/ratio20/illustrations/card/ill_64113_onikiriyasutsuna03.jpg?201902-5-RELEASE-marathon-396", "■")</f>
        <v>■</v>
      </c>
      <c r="F339" s="9" t="s">
        <v>662</v>
      </c>
      <c r="G339" s="9">
        <v>61832</v>
      </c>
      <c r="H339" s="9">
        <v>68172</v>
      </c>
      <c r="I339" s="9">
        <v>23</v>
      </c>
      <c r="J339" s="9" t="s">
        <v>274</v>
      </c>
      <c r="K339" s="9" t="s">
        <v>663</v>
      </c>
      <c r="L339" s="9" t="s">
        <v>664</v>
      </c>
      <c r="M339" s="14" t="s">
        <v>9158</v>
      </c>
      <c r="N339" s="14" t="s">
        <v>9158</v>
      </c>
      <c r="O339" s="14" t="s">
        <v>9158</v>
      </c>
      <c r="P339" s="14" t="s">
        <v>9158</v>
      </c>
      <c r="Q339" s="14" t="s">
        <v>9158</v>
      </c>
      <c r="S339" s="14" t="s">
        <v>12930</v>
      </c>
    </row>
    <row r="341" spans="1:19">
      <c r="A341" s="9" t="s">
        <v>223</v>
      </c>
    </row>
    <row r="342" spans="1:19">
      <c r="A342" s="9" t="s">
        <v>11386</v>
      </c>
    </row>
    <row r="343" spans="1:19">
      <c r="A343" s="9" t="s">
        <v>5609</v>
      </c>
      <c r="B343" s="9" t="s">
        <v>330</v>
      </c>
      <c r="C343" s="9" t="s">
        <v>200</v>
      </c>
      <c r="D343" s="9" t="s">
        <v>389</v>
      </c>
      <c r="E343" s="15" t="str">
        <f>HYPERLINK("https://stat100.ameba.jp/tnk47/ratio20/illustrations/card/ill_53753_0_natsumatsuritokugawaieyasu03.jpg?201902-5-RELEASE-marathon-396", "■")</f>
        <v>■</v>
      </c>
      <c r="F343" s="9" t="s">
        <v>390</v>
      </c>
      <c r="G343" s="9">
        <v>113082</v>
      </c>
      <c r="H343" s="9">
        <v>100454</v>
      </c>
      <c r="I343" s="9">
        <v>18</v>
      </c>
      <c r="J343" s="9" t="s">
        <v>310</v>
      </c>
      <c r="K343" s="9" t="s">
        <v>391</v>
      </c>
      <c r="L343" s="9" t="s">
        <v>392</v>
      </c>
      <c r="M343" s="14" t="s">
        <v>9158</v>
      </c>
      <c r="N343" s="14" t="s">
        <v>9158</v>
      </c>
      <c r="O343" s="9" t="s">
        <v>10076</v>
      </c>
      <c r="P343" s="9" t="s">
        <v>13121</v>
      </c>
      <c r="Q343" s="9">
        <v>1</v>
      </c>
    </row>
    <row r="344" spans="1:19">
      <c r="A344" s="9">
        <v>68723</v>
      </c>
      <c r="B344" s="9" t="s">
        <v>334</v>
      </c>
      <c r="C344" s="9" t="s">
        <v>185</v>
      </c>
      <c r="D344" s="9" t="s">
        <v>10922</v>
      </c>
      <c r="E344" s="15" t="str">
        <f>HYPERLINK("https://stat100.ameba.jp/tnk47/ratio20/illustrations/card/ill_68723_gantanfukuhime03.jpg?201902-5-RELEASE-marathon-396", "■")</f>
        <v>■</v>
      </c>
      <c r="F344" s="9" t="s">
        <v>758</v>
      </c>
      <c r="G344" s="9">
        <v>72608</v>
      </c>
      <c r="H344" s="9">
        <v>78122</v>
      </c>
      <c r="I344" s="9">
        <v>20</v>
      </c>
      <c r="J344" s="9" t="s">
        <v>315</v>
      </c>
      <c r="K344" s="9" t="s">
        <v>11387</v>
      </c>
      <c r="L344" s="9" t="s">
        <v>608</v>
      </c>
      <c r="M344" s="14" t="s">
        <v>9158</v>
      </c>
      <c r="N344" s="14" t="s">
        <v>9158</v>
      </c>
      <c r="O344" s="9" t="s">
        <v>10074</v>
      </c>
      <c r="P344" s="9" t="s">
        <v>2822</v>
      </c>
      <c r="Q344" s="9">
        <v>1</v>
      </c>
    </row>
    <row r="345" spans="1:19">
      <c r="A345" s="9">
        <v>67103</v>
      </c>
      <c r="B345" s="9" t="s">
        <v>334</v>
      </c>
      <c r="C345" s="9" t="s">
        <v>154</v>
      </c>
      <c r="D345" s="9" t="s">
        <v>10253</v>
      </c>
      <c r="E345" s="15" t="str">
        <f>HYPERLINK("https://stat100.ameba.jp/tnk47/ratio20/illustrations/card/ill_67103_ankonabe03.jpg?201902-5-RELEASE-marathon-396", "■")</f>
        <v>■</v>
      </c>
      <c r="F345" s="9" t="s">
        <v>4073</v>
      </c>
      <c r="G345" s="9">
        <v>76564</v>
      </c>
      <c r="H345" s="9">
        <v>105716</v>
      </c>
      <c r="I345" s="9">
        <v>20</v>
      </c>
      <c r="J345" s="9" t="s">
        <v>283</v>
      </c>
      <c r="K345" s="9" t="s">
        <v>11388</v>
      </c>
      <c r="L345" s="9" t="s">
        <v>2821</v>
      </c>
      <c r="M345" s="14" t="s">
        <v>9158</v>
      </c>
      <c r="N345" s="14" t="s">
        <v>9158</v>
      </c>
      <c r="O345" s="9" t="s">
        <v>4074</v>
      </c>
      <c r="P345" s="9" t="s">
        <v>4075</v>
      </c>
      <c r="Q345" s="9">
        <v>1</v>
      </c>
    </row>
    <row r="346" spans="1:19">
      <c r="A346" s="9">
        <v>56443</v>
      </c>
      <c r="B346" s="9" t="s">
        <v>334</v>
      </c>
      <c r="C346" s="9" t="s">
        <v>205</v>
      </c>
      <c r="D346" s="9" t="s">
        <v>10314</v>
      </c>
      <c r="E346" s="15" t="str">
        <f>HYPERLINK("https://stat100.ameba.jp/tnk47/ratio20/illustrations/card/ill_56443_poppukurisumasuizumonokuni03.jpg?201902-5-RELEASE-marathon-396", "■")</f>
        <v>■</v>
      </c>
      <c r="F346" s="9" t="s">
        <v>1492</v>
      </c>
      <c r="G346" s="9">
        <v>71672</v>
      </c>
      <c r="H346" s="9">
        <v>77088</v>
      </c>
      <c r="I346" s="9">
        <v>20</v>
      </c>
      <c r="J346" s="9" t="s">
        <v>351</v>
      </c>
      <c r="K346" s="9" t="s">
        <v>11389</v>
      </c>
      <c r="L346" s="9" t="s">
        <v>11390</v>
      </c>
      <c r="M346" s="14" t="s">
        <v>9158</v>
      </c>
      <c r="N346" s="14" t="s">
        <v>9158</v>
      </c>
      <c r="O346" s="9" t="s">
        <v>10119</v>
      </c>
      <c r="P346" s="9" t="s">
        <v>11391</v>
      </c>
      <c r="Q346" s="9">
        <v>1</v>
      </c>
    </row>
    <row r="348" spans="1:19">
      <c r="A348" s="9" t="s">
        <v>897</v>
      </c>
    </row>
    <row r="349" spans="1:19">
      <c r="A349" s="9" t="s">
        <v>11392</v>
      </c>
    </row>
    <row r="350" spans="1:19">
      <c r="A350" s="9" t="s">
        <v>5804</v>
      </c>
      <c r="B350" s="9" t="s">
        <v>330</v>
      </c>
      <c r="C350" s="9" t="s">
        <v>185</v>
      </c>
      <c r="D350" s="9" t="s">
        <v>3195</v>
      </c>
      <c r="E350" s="15" t="str">
        <f>HYPERLINK("https://stat100.ameba.jp/tnk47/ratio20/illustrations/card/ill_75393_0_resukuinotsukisamaniittausagi03.jpg?201902-5-RELEASE-marathon-396", "■")</f>
        <v>■</v>
      </c>
      <c r="F350" s="9" t="s">
        <v>1679</v>
      </c>
      <c r="G350" s="9">
        <v>170856</v>
      </c>
      <c r="H350" s="9">
        <v>170856</v>
      </c>
      <c r="I350" s="9">
        <v>15</v>
      </c>
      <c r="J350" s="9" t="s">
        <v>369</v>
      </c>
      <c r="K350" s="9" t="s">
        <v>3196</v>
      </c>
      <c r="L350" s="9" t="s">
        <v>3197</v>
      </c>
      <c r="M350" s="14" t="s">
        <v>9158</v>
      </c>
      <c r="N350" s="14" t="s">
        <v>9158</v>
      </c>
      <c r="O350" s="9" t="s">
        <v>10101</v>
      </c>
      <c r="P350" s="9" t="s">
        <v>3198</v>
      </c>
      <c r="Q350" s="9">
        <v>2</v>
      </c>
    </row>
    <row r="351" spans="1:19">
      <c r="A351" s="9" t="s">
        <v>5603</v>
      </c>
      <c r="B351" s="9" t="s">
        <v>330</v>
      </c>
      <c r="C351" s="9" t="s">
        <v>205</v>
      </c>
      <c r="D351" s="9" t="s">
        <v>611</v>
      </c>
      <c r="E351" s="15" t="str">
        <f>HYPERLINK("https://stat100.ameba.jp/tnk47/ratio20/illustrations/card/ill_61893_0_onikirishumiyamotomusashi03.jpg?201902-5-RELEASE-marathon-396", "■")</f>
        <v>■</v>
      </c>
      <c r="F351" s="9" t="s">
        <v>612</v>
      </c>
      <c r="G351" s="9">
        <v>140016</v>
      </c>
      <c r="H351" s="9">
        <v>130194</v>
      </c>
      <c r="I351" s="9">
        <v>15</v>
      </c>
      <c r="J351" s="9" t="s">
        <v>310</v>
      </c>
      <c r="K351" s="9" t="s">
        <v>613</v>
      </c>
      <c r="L351" s="9" t="s">
        <v>312</v>
      </c>
      <c r="M351" s="14" t="s">
        <v>9158</v>
      </c>
      <c r="N351" s="14" t="s">
        <v>9158</v>
      </c>
      <c r="O351" s="9" t="s">
        <v>10071</v>
      </c>
      <c r="P351" s="9" t="s">
        <v>11393</v>
      </c>
      <c r="Q351" s="9">
        <v>1</v>
      </c>
    </row>
    <row r="352" spans="1:19">
      <c r="A352" s="9" t="s">
        <v>5608</v>
      </c>
      <c r="B352" s="9" t="s">
        <v>330</v>
      </c>
      <c r="C352" s="9" t="s">
        <v>165</v>
      </c>
      <c r="D352" s="9" t="s">
        <v>634</v>
      </c>
      <c r="E352" s="15" t="str">
        <f>HYPERLINK("https://stat100.ameba.jp/tnk47/ratio20/illustrations/card/ill_40963_0_makami03.jpg?201902-5-RELEASE-marathon-396", "■")</f>
        <v>■</v>
      </c>
      <c r="F352" s="9" t="s">
        <v>635</v>
      </c>
      <c r="G352" s="9">
        <v>87780</v>
      </c>
      <c r="H352" s="9">
        <v>82212</v>
      </c>
      <c r="I352" s="9">
        <v>15</v>
      </c>
      <c r="J352" s="9" t="s">
        <v>401</v>
      </c>
      <c r="K352" s="9" t="s">
        <v>636</v>
      </c>
      <c r="L352" s="9" t="s">
        <v>637</v>
      </c>
      <c r="M352" s="14" t="s">
        <v>9158</v>
      </c>
      <c r="N352" s="14" t="s">
        <v>9158</v>
      </c>
      <c r="O352" s="14" t="s">
        <v>9158</v>
      </c>
      <c r="P352" s="14" t="s">
        <v>9158</v>
      </c>
      <c r="Q352" s="14" t="s">
        <v>9158</v>
      </c>
    </row>
    <row r="353" spans="1:17">
      <c r="A353" s="9">
        <v>79783</v>
      </c>
      <c r="B353" s="9" t="s">
        <v>334</v>
      </c>
      <c r="C353" s="9" t="s">
        <v>200</v>
      </c>
      <c r="D353" s="9" t="s">
        <v>10330</v>
      </c>
      <c r="E353" s="15" t="str">
        <f>HYPERLINK("https://stat100.ameba.jp/tnk47/ratio20/illustrations/card/ill_79783_entakunokishitakatsukasanobuko03.jpg?201902-5-RELEASE-marathon-396", "■")</f>
        <v>■</v>
      </c>
      <c r="F353" s="9" t="s">
        <v>11394</v>
      </c>
      <c r="G353" s="9">
        <v>110924</v>
      </c>
      <c r="H353" s="9">
        <v>62414</v>
      </c>
      <c r="I353" s="9">
        <v>23</v>
      </c>
      <c r="J353" s="9" t="s">
        <v>315</v>
      </c>
      <c r="K353" s="9" t="s">
        <v>11395</v>
      </c>
      <c r="L353" s="9" t="s">
        <v>1432</v>
      </c>
      <c r="M353" s="14" t="s">
        <v>9158</v>
      </c>
      <c r="N353" s="14" t="s">
        <v>9158</v>
      </c>
      <c r="O353" s="14" t="s">
        <v>9158</v>
      </c>
      <c r="P353" s="14" t="s">
        <v>9158</v>
      </c>
      <c r="Q353" s="14" t="s">
        <v>9158</v>
      </c>
    </row>
    <row r="354" spans="1:17">
      <c r="A354" s="9">
        <v>64393</v>
      </c>
      <c r="B354" s="9" t="s">
        <v>334</v>
      </c>
      <c r="C354" s="9" t="s">
        <v>206</v>
      </c>
      <c r="D354" s="9" t="s">
        <v>11396</v>
      </c>
      <c r="E354" s="15" t="str">
        <f>HYPERLINK("https://stat100.ameba.jp/tnk47/ratio20/illustrations/card/ill_64393_shijuhachitenguhikozambuzembo03.jpg?201902-5-RELEASE-marathon-396", "■")</f>
        <v>■</v>
      </c>
      <c r="F354" s="9" t="s">
        <v>11397</v>
      </c>
      <c r="G354" s="9">
        <v>97763</v>
      </c>
      <c r="H354" s="9">
        <v>55022</v>
      </c>
      <c r="I354" s="9">
        <v>19</v>
      </c>
      <c r="J354" s="9" t="s">
        <v>320</v>
      </c>
      <c r="K354" s="9" t="s">
        <v>11398</v>
      </c>
      <c r="L354" s="9" t="s">
        <v>11093</v>
      </c>
      <c r="M354" s="14" t="s">
        <v>9158</v>
      </c>
      <c r="N354" s="14" t="s">
        <v>9158</v>
      </c>
      <c r="O354" s="14" t="s">
        <v>9158</v>
      </c>
      <c r="P354" s="14" t="s">
        <v>9158</v>
      </c>
      <c r="Q354" s="14" t="s">
        <v>9158</v>
      </c>
    </row>
    <row r="355" spans="1:17">
      <c r="A355" s="9">
        <v>66053</v>
      </c>
      <c r="B355" s="9" t="s">
        <v>334</v>
      </c>
      <c r="C355" s="9" t="s">
        <v>205</v>
      </c>
      <c r="D355" s="9" t="s">
        <v>3046</v>
      </c>
      <c r="E355" s="15" t="str">
        <f>HYPERLINK("https://stat100.ameba.jp/tnk47/ratio20/illustrations/card/ill_66053_serebukushiyatamanokami03.jpg?201902-5-RELEASE-marathon-396", "■")</f>
        <v>■</v>
      </c>
      <c r="F355" s="9" t="s">
        <v>3047</v>
      </c>
      <c r="G355" s="9">
        <v>77499</v>
      </c>
      <c r="H355" s="9">
        <v>72050</v>
      </c>
      <c r="I355" s="9">
        <v>19</v>
      </c>
      <c r="J355" s="9" t="s">
        <v>401</v>
      </c>
      <c r="K355" s="9" t="s">
        <v>3048</v>
      </c>
      <c r="L355" s="9" t="s">
        <v>2837</v>
      </c>
      <c r="M355" s="14" t="s">
        <v>9158</v>
      </c>
      <c r="N355" s="14" t="s">
        <v>9158</v>
      </c>
      <c r="O355" s="14" t="s">
        <v>9158</v>
      </c>
      <c r="P355" s="14" t="s">
        <v>9158</v>
      </c>
      <c r="Q355" s="14" t="s">
        <v>9158</v>
      </c>
    </row>
    <row r="356" spans="1:17">
      <c r="A356" s="9">
        <v>70533</v>
      </c>
      <c r="B356" s="9" t="s">
        <v>348</v>
      </c>
      <c r="C356" s="9" t="s">
        <v>206</v>
      </c>
      <c r="D356" s="9" t="s">
        <v>4054</v>
      </c>
      <c r="E356" s="15" t="str">
        <f>HYPERLINK("https://stat100.ameba.jp/tnk47/ratio20/illustrations/card/ill_70533_shitsunaipuruchochofujin03.jpg?201902-5-RELEASE-marathon-396", "■")</f>
        <v>■</v>
      </c>
      <c r="F356" s="9" t="s">
        <v>4055</v>
      </c>
      <c r="G356" s="9">
        <v>68172</v>
      </c>
      <c r="H356" s="9">
        <v>61832</v>
      </c>
      <c r="I356" s="9">
        <v>23</v>
      </c>
      <c r="J356" s="9" t="s">
        <v>274</v>
      </c>
      <c r="K356" s="9" t="s">
        <v>4056</v>
      </c>
      <c r="L356" s="9" t="s">
        <v>4057</v>
      </c>
      <c r="M356" s="14" t="s">
        <v>9158</v>
      </c>
      <c r="N356" s="14" t="s">
        <v>9158</v>
      </c>
      <c r="O356" s="14" t="s">
        <v>9158</v>
      </c>
      <c r="P356" s="14" t="s">
        <v>9158</v>
      </c>
      <c r="Q356" s="14" t="s">
        <v>9158</v>
      </c>
    </row>
    <row r="357" spans="1:17">
      <c r="A357" s="9">
        <v>68863</v>
      </c>
      <c r="B357" s="9" t="s">
        <v>348</v>
      </c>
      <c r="C357" s="9" t="s">
        <v>165</v>
      </c>
      <c r="D357" s="9" t="s">
        <v>4058</v>
      </c>
      <c r="E357" s="15" t="str">
        <f>HYPERLINK("https://stat100.ameba.jp/tnk47/ratio20/illustrations/card/ill_68863_karutawakaruhimenomikoto03.jpg?201902-5-RELEASE-marathon-396", "■")</f>
        <v>■</v>
      </c>
      <c r="F357" s="9" t="s">
        <v>4059</v>
      </c>
      <c r="G357" s="9">
        <v>68172</v>
      </c>
      <c r="H357" s="9">
        <v>61832</v>
      </c>
      <c r="I357" s="9">
        <v>23</v>
      </c>
      <c r="J357" s="9" t="s">
        <v>401</v>
      </c>
      <c r="K357" s="9" t="s">
        <v>4060</v>
      </c>
      <c r="L357" s="9" t="s">
        <v>4061</v>
      </c>
      <c r="M357" s="14" t="s">
        <v>9158</v>
      </c>
      <c r="N357" s="14" t="s">
        <v>9158</v>
      </c>
      <c r="O357" s="14" t="s">
        <v>9158</v>
      </c>
      <c r="P357" s="14" t="s">
        <v>9158</v>
      </c>
      <c r="Q357" s="14" t="s">
        <v>9158</v>
      </c>
    </row>
    <row r="358" spans="1:17">
      <c r="A358" s="9">
        <v>73263</v>
      </c>
      <c r="B358" s="9" t="s">
        <v>348</v>
      </c>
      <c r="C358" s="9" t="s">
        <v>185</v>
      </c>
      <c r="D358" s="9" t="s">
        <v>4062</v>
      </c>
      <c r="E358" s="15" t="str">
        <f>HYPERLINK("https://stat100.ameba.jp/tnk47/ratio20/illustrations/card/ill_73263_ajisainiijimayae03.jpg?201902-5-RELEASE-marathon-396", "■")</f>
        <v>■</v>
      </c>
      <c r="F358" s="9" t="s">
        <v>4063</v>
      </c>
      <c r="G358" s="9">
        <v>68172</v>
      </c>
      <c r="H358" s="9">
        <v>61832</v>
      </c>
      <c r="I358" s="9">
        <v>23</v>
      </c>
      <c r="J358" s="9" t="s">
        <v>351</v>
      </c>
      <c r="K358" s="9" t="s">
        <v>4064</v>
      </c>
      <c r="L358" s="9" t="s">
        <v>473</v>
      </c>
      <c r="M358" s="14" t="s">
        <v>9158</v>
      </c>
      <c r="N358" s="14" t="s">
        <v>9158</v>
      </c>
      <c r="O358" s="14" t="s">
        <v>9158</v>
      </c>
      <c r="P358" s="14" t="s">
        <v>9158</v>
      </c>
      <c r="Q358" s="14" t="s">
        <v>9158</v>
      </c>
    </row>
    <row r="360" spans="1:17">
      <c r="A360" s="9" t="s">
        <v>946</v>
      </c>
    </row>
    <row r="361" spans="1:17">
      <c r="A361" s="9" t="s">
        <v>11399</v>
      </c>
    </row>
    <row r="362" spans="1:17">
      <c r="A362" s="9" t="s">
        <v>5899</v>
      </c>
      <c r="B362" s="9" t="s">
        <v>330</v>
      </c>
      <c r="C362" s="9" t="s">
        <v>205</v>
      </c>
      <c r="D362" s="9" t="s">
        <v>1559</v>
      </c>
      <c r="E362" s="15" t="str">
        <f>HYPERLINK("https://stat100.ameba.jp/tnk47/ratio20/illustrations/card/ill_73773_0_umibirakiinugamigyobu03.jpg?201902-5-RELEASE-marathon-396", "■")</f>
        <v>■</v>
      </c>
      <c r="F362" s="9" t="s">
        <v>1560</v>
      </c>
      <c r="G362" s="9">
        <v>130160</v>
      </c>
      <c r="H362" s="9">
        <v>139999</v>
      </c>
      <c r="I362" s="9">
        <v>15</v>
      </c>
      <c r="J362" s="9" t="s">
        <v>320</v>
      </c>
      <c r="K362" s="9" t="s">
        <v>1561</v>
      </c>
      <c r="L362" s="9" t="s">
        <v>1562</v>
      </c>
      <c r="M362" s="14" t="s">
        <v>9158</v>
      </c>
      <c r="N362" s="14" t="s">
        <v>9158</v>
      </c>
      <c r="O362" s="9" t="s">
        <v>2978</v>
      </c>
      <c r="P362" s="9" t="s">
        <v>2979</v>
      </c>
      <c r="Q362" s="9">
        <v>2</v>
      </c>
    </row>
    <row r="363" spans="1:17">
      <c r="A363" s="9" t="s">
        <v>5725</v>
      </c>
      <c r="B363" s="9" t="s">
        <v>330</v>
      </c>
      <c r="C363" s="9" t="s">
        <v>206</v>
      </c>
      <c r="D363" s="9" t="s">
        <v>543</v>
      </c>
      <c r="E363" s="15" t="str">
        <f>HYPERLINK("https://stat100.ameba.jp/tnk47/ratio20/illustrations/card/ill_52693_0_sengokumibirakiyanagiharabyakuren03.jpg?201902-5-RELEASE-marathon-396", "■")</f>
        <v>■</v>
      </c>
      <c r="F363" s="9" t="s">
        <v>544</v>
      </c>
      <c r="G363" s="9">
        <v>83712</v>
      </c>
      <c r="H363" s="9">
        <v>94236</v>
      </c>
      <c r="I363" s="9">
        <v>15</v>
      </c>
      <c r="J363" s="9" t="s">
        <v>414</v>
      </c>
      <c r="K363" s="9" t="s">
        <v>545</v>
      </c>
      <c r="L363" s="9" t="s">
        <v>546</v>
      </c>
      <c r="M363" s="14" t="s">
        <v>9158</v>
      </c>
      <c r="N363" s="14" t="s">
        <v>9158</v>
      </c>
      <c r="O363" s="9" t="s">
        <v>2886</v>
      </c>
      <c r="P363" s="9" t="s">
        <v>2734</v>
      </c>
      <c r="Q363" s="9">
        <v>1</v>
      </c>
    </row>
    <row r="364" spans="1:17">
      <c r="A364" s="9" t="s">
        <v>5830</v>
      </c>
      <c r="B364" s="9" t="s">
        <v>330</v>
      </c>
      <c r="C364" s="9" t="s">
        <v>191</v>
      </c>
      <c r="D364" s="9" t="s">
        <v>793</v>
      </c>
      <c r="E364" s="15" t="str">
        <f>HYPERLINK("https://stat100.ameba.jp/tnk47/ratio20/illustrations/card/ill_39933_0_reihiiinaotora03.jpg?201902-5-RELEASE-marathon-396", "■")</f>
        <v>■</v>
      </c>
      <c r="F364" s="9" t="s">
        <v>794</v>
      </c>
      <c r="G364" s="9">
        <v>82212</v>
      </c>
      <c r="H364" s="9">
        <v>87780</v>
      </c>
      <c r="I364" s="9">
        <v>15</v>
      </c>
      <c r="J364" s="9" t="s">
        <v>315</v>
      </c>
      <c r="K364" s="9" t="s">
        <v>795</v>
      </c>
      <c r="L364" s="9" t="s">
        <v>796</v>
      </c>
      <c r="M364" s="14" t="s">
        <v>9158</v>
      </c>
      <c r="N364" s="14" t="s">
        <v>9158</v>
      </c>
      <c r="O364" s="14" t="s">
        <v>9158</v>
      </c>
      <c r="P364" s="14" t="s">
        <v>9158</v>
      </c>
      <c r="Q364" s="14" t="s">
        <v>9158</v>
      </c>
    </row>
    <row r="365" spans="1:17">
      <c r="A365" s="9">
        <v>79773</v>
      </c>
      <c r="B365" s="9" t="s">
        <v>334</v>
      </c>
      <c r="C365" s="9" t="s">
        <v>344</v>
      </c>
      <c r="D365" s="9" t="s">
        <v>10244</v>
      </c>
      <c r="E365" s="15" t="str">
        <f>HYPERLINK("https://stat100.ameba.jp/tnk47/ratio20/illustrations/card/ill_79773_entakunokishimyorinni03.jpg?201902-5-RELEASE-marathon-396", "■")</f>
        <v>■</v>
      </c>
      <c r="F365" s="9" t="s">
        <v>11400</v>
      </c>
      <c r="G365" s="9">
        <v>95001</v>
      </c>
      <c r="H365" s="9">
        <v>168858</v>
      </c>
      <c r="I365" s="9">
        <v>23</v>
      </c>
      <c r="J365" s="9" t="s">
        <v>310</v>
      </c>
      <c r="K365" s="9" t="s">
        <v>11401</v>
      </c>
      <c r="L365" s="9" t="s">
        <v>407</v>
      </c>
      <c r="M365" s="14" t="s">
        <v>9158</v>
      </c>
      <c r="N365" s="14" t="s">
        <v>9158</v>
      </c>
      <c r="O365" s="14" t="s">
        <v>9158</v>
      </c>
      <c r="P365" s="14" t="s">
        <v>9158</v>
      </c>
      <c r="Q365" s="14" t="s">
        <v>9158</v>
      </c>
    </row>
    <row r="366" spans="1:17">
      <c r="A366" s="9">
        <v>72593</v>
      </c>
      <c r="B366" s="9" t="s">
        <v>334</v>
      </c>
      <c r="C366" s="9" t="s">
        <v>307</v>
      </c>
      <c r="D366" s="9" t="s">
        <v>3003</v>
      </c>
      <c r="E366" s="15" t="str">
        <f>HYPERLINK("https://stat100.ameba.jp/tnk47/ratio20/illustrations/card/ill_72593_ononomichikaze03.jpg?201902-5-RELEASE-marathon-396", "■")</f>
        <v>■</v>
      </c>
      <c r="F366" s="9" t="s">
        <v>3004</v>
      </c>
      <c r="G366" s="9">
        <v>53545</v>
      </c>
      <c r="H366" s="9">
        <v>95161</v>
      </c>
      <c r="I366" s="9">
        <v>19</v>
      </c>
      <c r="J366" s="9" t="s">
        <v>414</v>
      </c>
      <c r="K366" s="9" t="s">
        <v>3005</v>
      </c>
      <c r="L366" s="9" t="s">
        <v>1575</v>
      </c>
      <c r="M366" s="14" t="s">
        <v>9158</v>
      </c>
      <c r="N366" s="14" t="s">
        <v>9158</v>
      </c>
      <c r="O366" s="14" t="s">
        <v>9158</v>
      </c>
      <c r="P366" s="14" t="s">
        <v>9158</v>
      </c>
      <c r="Q366" s="14" t="s">
        <v>9158</v>
      </c>
    </row>
    <row r="367" spans="1:17">
      <c r="A367" s="9">
        <v>58923</v>
      </c>
      <c r="B367" s="9" t="s">
        <v>334</v>
      </c>
      <c r="C367" s="9" t="s">
        <v>268</v>
      </c>
      <c r="D367" s="9" t="s">
        <v>736</v>
      </c>
      <c r="E367" s="15" t="str">
        <f>HYPERLINK("https://stat100.ameba.jp/tnk47/ratio20/illustrations/card/ill_58923_chokotamamonomae03.jpg?201902-5-RELEASE-marathon-396", "■")</f>
        <v>■</v>
      </c>
      <c r="F367" s="9" t="s">
        <v>737</v>
      </c>
      <c r="G367" s="9">
        <v>68088</v>
      </c>
      <c r="H367" s="9">
        <v>73232</v>
      </c>
      <c r="I367" s="9">
        <v>19</v>
      </c>
      <c r="J367" s="9" t="s">
        <v>320</v>
      </c>
      <c r="K367" s="9" t="s">
        <v>738</v>
      </c>
      <c r="L367" s="9" t="s">
        <v>739</v>
      </c>
      <c r="M367" s="14" t="s">
        <v>9158</v>
      </c>
      <c r="N367" s="14" t="s">
        <v>9158</v>
      </c>
      <c r="O367" s="14" t="s">
        <v>9158</v>
      </c>
      <c r="P367" s="14" t="s">
        <v>9158</v>
      </c>
      <c r="Q367" s="14" t="s">
        <v>9158</v>
      </c>
    </row>
    <row r="368" spans="1:17">
      <c r="A368" s="9">
        <v>63233</v>
      </c>
      <c r="B368" s="9" t="s">
        <v>348</v>
      </c>
      <c r="C368" s="9" t="s">
        <v>267</v>
      </c>
      <c r="D368" s="9" t="s">
        <v>10831</v>
      </c>
      <c r="E368" s="15" t="str">
        <f>HYPERLINK("https://stat100.ameba.jp/tnk47/ratio20/illustrations/card/ill_63233_kyupiddohayaakitsuhimenomikoto03.jpg?201902-5-RELEASE-marathon-396", "■")</f>
        <v>■</v>
      </c>
      <c r="F368" s="9" t="s">
        <v>11402</v>
      </c>
      <c r="G368" s="9">
        <v>61832</v>
      </c>
      <c r="H368" s="9">
        <v>68172</v>
      </c>
      <c r="I368" s="9">
        <v>23</v>
      </c>
      <c r="J368" s="9" t="s">
        <v>401</v>
      </c>
      <c r="K368" s="9" t="s">
        <v>11403</v>
      </c>
      <c r="L368" s="9" t="s">
        <v>2904</v>
      </c>
      <c r="M368" s="14" t="s">
        <v>9158</v>
      </c>
      <c r="N368" s="14" t="s">
        <v>9158</v>
      </c>
      <c r="O368" s="14" t="s">
        <v>9158</v>
      </c>
      <c r="P368" s="14" t="s">
        <v>9158</v>
      </c>
      <c r="Q368" s="14" t="s">
        <v>9158</v>
      </c>
    </row>
    <row r="369" spans="1:17">
      <c r="A369" s="9">
        <v>64203</v>
      </c>
      <c r="B369" s="9" t="s">
        <v>348</v>
      </c>
      <c r="C369" s="9" t="s">
        <v>271</v>
      </c>
      <c r="D369" s="9" t="s">
        <v>10832</v>
      </c>
      <c r="E369" s="15" t="str">
        <f>HYPERLINK("https://stat100.ameba.jp/tnk47/ratio20/illustrations/card/ill_64203_meikoazabunooneko03.jpg?201902-5-RELEASE-marathon-396", "■")</f>
        <v>■</v>
      </c>
      <c r="F369" s="9" t="s">
        <v>11404</v>
      </c>
      <c r="G369" s="9">
        <v>61832</v>
      </c>
      <c r="H369" s="9">
        <v>68172</v>
      </c>
      <c r="I369" s="9">
        <v>23</v>
      </c>
      <c r="J369" s="9" t="s">
        <v>320</v>
      </c>
      <c r="K369" s="9" t="s">
        <v>11405</v>
      </c>
      <c r="L369" s="9" t="s">
        <v>11406</v>
      </c>
      <c r="M369" s="14" t="s">
        <v>9158</v>
      </c>
      <c r="N369" s="14" t="s">
        <v>9158</v>
      </c>
      <c r="O369" s="14" t="s">
        <v>9158</v>
      </c>
      <c r="P369" s="14" t="s">
        <v>9158</v>
      </c>
      <c r="Q369" s="14" t="s">
        <v>9158</v>
      </c>
    </row>
    <row r="370" spans="1:17">
      <c r="A370" s="9">
        <v>68473</v>
      </c>
      <c r="B370" s="9" t="s">
        <v>348</v>
      </c>
      <c r="C370" s="9" t="s">
        <v>335</v>
      </c>
      <c r="D370" s="9" t="s">
        <v>10510</v>
      </c>
      <c r="E370" s="15" t="str">
        <f>HYPERLINK("https://stat100.ameba.jp/tnk47/ratio20/illustrations/card/ill_68473_sunogurabianakanotakeko03.jpg?201902-5-RELEASE-marathon-396", "■")</f>
        <v>■</v>
      </c>
      <c r="F370" s="9" t="s">
        <v>11407</v>
      </c>
      <c r="G370" s="9">
        <v>61832</v>
      </c>
      <c r="H370" s="9">
        <v>68172</v>
      </c>
      <c r="I370" s="9">
        <v>23</v>
      </c>
      <c r="J370" s="9" t="s">
        <v>310</v>
      </c>
      <c r="K370" s="9" t="s">
        <v>11408</v>
      </c>
      <c r="L370" s="9" t="s">
        <v>2960</v>
      </c>
      <c r="M370" s="14" t="s">
        <v>9158</v>
      </c>
      <c r="N370" s="14" t="s">
        <v>9158</v>
      </c>
      <c r="O370" s="14" t="s">
        <v>9158</v>
      </c>
      <c r="P370" s="14" t="s">
        <v>9158</v>
      </c>
      <c r="Q370" s="14" t="s">
        <v>9158</v>
      </c>
    </row>
    <row r="372" spans="1:17">
      <c r="A372" s="9" t="s">
        <v>222</v>
      </c>
    </row>
    <row r="373" spans="1:17">
      <c r="A373" s="9" t="s">
        <v>11409</v>
      </c>
    </row>
    <row r="374" spans="1:17">
      <c r="A374" s="9" t="s">
        <v>5611</v>
      </c>
      <c r="B374" s="9" t="s">
        <v>330</v>
      </c>
      <c r="C374" s="9" t="s">
        <v>185</v>
      </c>
      <c r="D374" s="9" t="s">
        <v>539</v>
      </c>
      <c r="E374" s="15" t="str">
        <f>HYPERLINK("https://stat100.ameba.jp/tnk47/ratio20/illustrations/card/ill_60633_0_harumaisentoin03.jpg?201902-5-RELEASE-marathon-396", "■")</f>
        <v>■</v>
      </c>
      <c r="F374" s="9" t="s">
        <v>540</v>
      </c>
      <c r="G374" s="9">
        <v>114446</v>
      </c>
      <c r="H374" s="9">
        <v>114446</v>
      </c>
      <c r="I374" s="9">
        <v>18</v>
      </c>
      <c r="J374" s="9" t="s">
        <v>274</v>
      </c>
      <c r="K374" s="9" t="s">
        <v>541</v>
      </c>
      <c r="L374" s="9" t="s">
        <v>542</v>
      </c>
      <c r="M374" s="14" t="s">
        <v>9158</v>
      </c>
      <c r="N374" s="14" t="s">
        <v>9158</v>
      </c>
      <c r="O374" s="9" t="s">
        <v>2888</v>
      </c>
      <c r="P374" s="9" t="s">
        <v>3144</v>
      </c>
      <c r="Q374" s="9">
        <v>1</v>
      </c>
    </row>
    <row r="375" spans="1:17">
      <c r="A375" s="9" t="s">
        <v>5612</v>
      </c>
      <c r="B375" s="9" t="s">
        <v>330</v>
      </c>
      <c r="C375" s="9" t="s">
        <v>165</v>
      </c>
      <c r="D375" s="9" t="s">
        <v>789</v>
      </c>
      <c r="E375" s="15" t="str">
        <f>HYPERLINK("https://stat100.ameba.jp/tnk47/ratio20/illustrations/card/ill_49193_0_onmyoudouabenoseimei03.jpg?201902-5-RELEASE-marathon-396", "■")</f>
        <v>■</v>
      </c>
      <c r="F375" s="9" t="s">
        <v>790</v>
      </c>
      <c r="G375" s="9">
        <v>100454</v>
      </c>
      <c r="H375" s="9">
        <v>113082</v>
      </c>
      <c r="I375" s="9">
        <v>18</v>
      </c>
      <c r="J375" s="9" t="s">
        <v>351</v>
      </c>
      <c r="K375" s="9" t="s">
        <v>791</v>
      </c>
      <c r="L375" s="9" t="s">
        <v>792</v>
      </c>
      <c r="M375" s="14" t="s">
        <v>9158</v>
      </c>
      <c r="N375" s="14" t="s">
        <v>9158</v>
      </c>
      <c r="O375" s="14" t="s">
        <v>9158</v>
      </c>
      <c r="P375" s="14" t="s">
        <v>9158</v>
      </c>
      <c r="Q375" s="14" t="s">
        <v>9158</v>
      </c>
    </row>
    <row r="376" spans="1:17">
      <c r="A376" s="9">
        <v>76881</v>
      </c>
      <c r="B376" s="9" t="s">
        <v>334</v>
      </c>
      <c r="C376" s="9" t="s">
        <v>209</v>
      </c>
      <c r="D376" s="9" t="s">
        <v>3074</v>
      </c>
      <c r="E376" s="15" t="str">
        <f>HYPERLINK("https://stat100.ameba.jp/tnk47/ratio20/illustrations/card/ill_76881_higashinoryoranengi01.jpg?201902-5-RELEASE-marathon-396", "■")</f>
        <v>■</v>
      </c>
      <c r="F376" s="9" t="s">
        <v>3075</v>
      </c>
      <c r="G376" s="9">
        <v>72336</v>
      </c>
      <c r="H376" s="9">
        <v>78100</v>
      </c>
      <c r="I376" s="9">
        <v>22</v>
      </c>
      <c r="J376" s="9" t="s">
        <v>310</v>
      </c>
      <c r="K376" s="9" t="s">
        <v>3076</v>
      </c>
      <c r="L376" s="9" t="s">
        <v>3077</v>
      </c>
      <c r="M376" s="14" t="s">
        <v>9158</v>
      </c>
      <c r="N376" s="14" t="s">
        <v>9158</v>
      </c>
      <c r="O376" s="14" t="s">
        <v>9158</v>
      </c>
      <c r="P376" s="14" t="s">
        <v>9158</v>
      </c>
      <c r="Q376" s="14" t="s">
        <v>9158</v>
      </c>
    </row>
    <row r="377" spans="1:17">
      <c r="A377" s="9">
        <v>76891</v>
      </c>
      <c r="B377" s="9" t="s">
        <v>334</v>
      </c>
      <c r="C377" s="9" t="s">
        <v>203</v>
      </c>
      <c r="D377" s="9" t="s">
        <v>3078</v>
      </c>
      <c r="E377" s="15" t="str">
        <f>HYPERLINK("https://stat100.ameba.jp/tnk47/ratio20/illustrations/card/ill_76891_nishinoryoranengi01.jpg?201902-5-RELEASE-marathon-396", "■")</f>
        <v>■</v>
      </c>
      <c r="F377" s="9" t="s">
        <v>3079</v>
      </c>
      <c r="G377" s="9">
        <v>72336</v>
      </c>
      <c r="H377" s="9">
        <v>78100</v>
      </c>
      <c r="I377" s="9">
        <v>22</v>
      </c>
      <c r="J377" s="9" t="s">
        <v>310</v>
      </c>
      <c r="K377" s="9" t="s">
        <v>3080</v>
      </c>
      <c r="L377" s="9" t="s">
        <v>3077</v>
      </c>
      <c r="M377" s="14" t="s">
        <v>9158</v>
      </c>
      <c r="N377" s="14" t="s">
        <v>9158</v>
      </c>
      <c r="O377" s="14" t="s">
        <v>9158</v>
      </c>
      <c r="P377" s="14" t="s">
        <v>9158</v>
      </c>
      <c r="Q377" s="14" t="s">
        <v>9158</v>
      </c>
    </row>
    <row r="378" spans="1:17">
      <c r="A378" s="9">
        <v>76903</v>
      </c>
      <c r="B378" s="9" t="s">
        <v>334</v>
      </c>
      <c r="C378" s="9" t="s">
        <v>202</v>
      </c>
      <c r="D378" s="9" t="s">
        <v>3081</v>
      </c>
      <c r="E378" s="15" t="str">
        <f>HYPERLINK("https://stat100.ameba.jp/tnk47/ratio20/illustrations/card/ill_76903_togekiryoranengi03.jpg?201902-5-RELEASE-marathon-396", "■")</f>
        <v>■</v>
      </c>
      <c r="F378" s="9" t="s">
        <v>3082</v>
      </c>
      <c r="G378" s="9">
        <v>127942</v>
      </c>
      <c r="H378" s="9">
        <v>137654</v>
      </c>
      <c r="I378" s="9">
        <v>22</v>
      </c>
      <c r="J378" s="9" t="s">
        <v>310</v>
      </c>
      <c r="K378" s="9" t="s">
        <v>3083</v>
      </c>
      <c r="L378" s="9" t="s">
        <v>407</v>
      </c>
      <c r="M378" s="14" t="s">
        <v>9158</v>
      </c>
      <c r="N378" s="14" t="s">
        <v>9158</v>
      </c>
      <c r="O378" s="14" t="s">
        <v>9158</v>
      </c>
      <c r="P378" s="14" t="s">
        <v>9158</v>
      </c>
      <c r="Q378" s="14" t="s">
        <v>9158</v>
      </c>
    </row>
    <row r="379" spans="1:17">
      <c r="A379" s="9">
        <v>70101</v>
      </c>
      <c r="B379" s="9" t="s">
        <v>334</v>
      </c>
      <c r="C379" s="9" t="s">
        <v>209</v>
      </c>
      <c r="D379" s="9" t="s">
        <v>4021</v>
      </c>
      <c r="E379" s="15" t="str">
        <f>HYPERLINK("https://stat100.ameba.jp/tnk47/ratio20/illustrations/card/ill_70101_higashinosomeiengi01.jpg?201902-5-RELEASE-marathon-396", "■")</f>
        <v>■</v>
      </c>
      <c r="F379" s="9" t="s">
        <v>4022</v>
      </c>
      <c r="G379" s="9">
        <v>53856</v>
      </c>
      <c r="H379" s="9">
        <v>49940</v>
      </c>
      <c r="I379" s="9">
        <v>22</v>
      </c>
      <c r="J379" s="9" t="s">
        <v>414</v>
      </c>
      <c r="K379" s="9" t="s">
        <v>4023</v>
      </c>
      <c r="L379" s="9" t="s">
        <v>1410</v>
      </c>
      <c r="M379" s="14" t="s">
        <v>9158</v>
      </c>
      <c r="N379" s="14" t="s">
        <v>9158</v>
      </c>
      <c r="O379" s="14" t="s">
        <v>9158</v>
      </c>
      <c r="P379" s="14" t="s">
        <v>9158</v>
      </c>
      <c r="Q379" s="14" t="s">
        <v>9158</v>
      </c>
    </row>
    <row r="380" spans="1:17">
      <c r="A380" s="9">
        <v>70111</v>
      </c>
      <c r="B380" s="9" t="s">
        <v>334</v>
      </c>
      <c r="C380" s="9" t="s">
        <v>203</v>
      </c>
      <c r="D380" s="9" t="s">
        <v>4024</v>
      </c>
      <c r="E380" s="15" t="str">
        <f>HYPERLINK("https://stat100.ameba.jp/tnk47/ratio20/illustrations/card/ill_70111_nishinosomeiengi01.jpg?201902-5-RELEASE-marathon-396", "■")</f>
        <v>■</v>
      </c>
      <c r="F380" s="9" t="s">
        <v>4025</v>
      </c>
      <c r="G380" s="9">
        <v>53856</v>
      </c>
      <c r="H380" s="9">
        <v>49940</v>
      </c>
      <c r="I380" s="9">
        <v>22</v>
      </c>
      <c r="J380" s="9" t="s">
        <v>414</v>
      </c>
      <c r="K380" s="9" t="s">
        <v>4026</v>
      </c>
      <c r="L380" s="9" t="s">
        <v>1410</v>
      </c>
      <c r="M380" s="14" t="s">
        <v>9158</v>
      </c>
      <c r="N380" s="14" t="s">
        <v>9158</v>
      </c>
      <c r="O380" s="14" t="s">
        <v>9158</v>
      </c>
      <c r="P380" s="14" t="s">
        <v>9158</v>
      </c>
      <c r="Q380" s="14" t="s">
        <v>9158</v>
      </c>
    </row>
    <row r="381" spans="1:17">
      <c r="A381" s="9">
        <v>70123</v>
      </c>
      <c r="B381" s="9" t="s">
        <v>334</v>
      </c>
      <c r="C381" s="9" t="s">
        <v>202</v>
      </c>
      <c r="D381" s="9" t="s">
        <v>4027</v>
      </c>
      <c r="E381" s="15" t="str">
        <f>HYPERLINK("https://stat100.ameba.jp/tnk47/ratio20/illustrations/card/ill_70123_gogakusomeiengi03.jpg?201902-5-RELEASE-marathon-396", "■")</f>
        <v>■</v>
      </c>
      <c r="F381" s="9" t="s">
        <v>4028</v>
      </c>
      <c r="G381" s="9">
        <v>105366</v>
      </c>
      <c r="H381" s="9">
        <v>97942</v>
      </c>
      <c r="I381" s="9">
        <v>22</v>
      </c>
      <c r="J381" s="9" t="s">
        <v>414</v>
      </c>
      <c r="K381" s="9" t="s">
        <v>4029</v>
      </c>
      <c r="L381" s="9" t="s">
        <v>855</v>
      </c>
      <c r="M381" s="14" t="s">
        <v>9158</v>
      </c>
      <c r="N381" s="14" t="s">
        <v>9158</v>
      </c>
      <c r="O381" s="14" t="s">
        <v>9158</v>
      </c>
      <c r="P381" s="14" t="s">
        <v>9158</v>
      </c>
      <c r="Q381" s="14" t="s">
        <v>9158</v>
      </c>
    </row>
    <row r="383" spans="1:17">
      <c r="A383" s="9" t="s">
        <v>177</v>
      </c>
    </row>
    <row r="384" spans="1:17">
      <c r="A384" s="14" t="s">
        <v>11477</v>
      </c>
    </row>
    <row r="385" spans="1:17">
      <c r="A385" s="9" t="s">
        <v>5617</v>
      </c>
      <c r="B385" s="9" t="s">
        <v>330</v>
      </c>
      <c r="C385" s="9" t="s">
        <v>165</v>
      </c>
      <c r="D385" s="9" t="s">
        <v>385</v>
      </c>
      <c r="E385" s="15" t="str">
        <f>HYPERLINK("https://stat100.ameba.jp/tnk47/ratio20/illustrations/card/ill_59673_0_oheyashutendoji03.jpg?201902-5-RELEASE-marathon-396", "■")</f>
        <v>■</v>
      </c>
      <c r="F385" s="9" t="s">
        <v>386</v>
      </c>
      <c r="G385" s="9">
        <v>105545</v>
      </c>
      <c r="H385" s="9">
        <v>113525</v>
      </c>
      <c r="I385" s="9">
        <v>15</v>
      </c>
      <c r="J385" s="9" t="s">
        <v>320</v>
      </c>
      <c r="K385" s="9" t="s">
        <v>387</v>
      </c>
      <c r="L385" s="9" t="s">
        <v>388</v>
      </c>
      <c r="M385" s="14" t="s">
        <v>9158</v>
      </c>
      <c r="N385" s="14" t="s">
        <v>9158</v>
      </c>
      <c r="O385" s="9" t="s">
        <v>10078</v>
      </c>
      <c r="P385" s="9" t="s">
        <v>3022</v>
      </c>
      <c r="Q385" s="9">
        <v>1</v>
      </c>
    </row>
    <row r="386" spans="1:17">
      <c r="A386" s="9" t="s">
        <v>5609</v>
      </c>
      <c r="B386" s="9" t="s">
        <v>330</v>
      </c>
      <c r="C386" s="9" t="s">
        <v>200</v>
      </c>
      <c r="D386" s="9" t="s">
        <v>389</v>
      </c>
      <c r="E386" s="15" t="str">
        <f>HYPERLINK("https://stat100.ameba.jp/tnk47/ratio20/illustrations/card/ill_53753_0_natsumatsuritokugawaieyasu03.jpg?201902-5-RELEASE-marathon-396", "■")</f>
        <v>■</v>
      </c>
      <c r="F386" s="9" t="s">
        <v>390</v>
      </c>
      <c r="G386" s="9">
        <v>94236</v>
      </c>
      <c r="H386" s="9">
        <v>83712</v>
      </c>
      <c r="I386" s="9">
        <v>15</v>
      </c>
      <c r="J386" s="9" t="s">
        <v>310</v>
      </c>
      <c r="K386" s="9" t="s">
        <v>391</v>
      </c>
      <c r="L386" s="9" t="s">
        <v>392</v>
      </c>
      <c r="M386" s="14" t="s">
        <v>9158</v>
      </c>
      <c r="N386" s="14" t="s">
        <v>9158</v>
      </c>
      <c r="O386" s="9" t="s">
        <v>10076</v>
      </c>
      <c r="P386" s="9" t="s">
        <v>13121</v>
      </c>
      <c r="Q386" s="9">
        <v>1</v>
      </c>
    </row>
    <row r="387" spans="1:17">
      <c r="A387" s="9" t="s">
        <v>5604</v>
      </c>
      <c r="B387" s="9" t="s">
        <v>330</v>
      </c>
      <c r="C387" s="9" t="s">
        <v>206</v>
      </c>
      <c r="D387" s="9" t="s">
        <v>614</v>
      </c>
      <c r="E387" s="15" t="str">
        <f>HYPERLINK("https://stat100.ameba.jp/tnk47/ratio20/illustrations/card/ill_47263_0_oukyuuatsuhime03.jpg?201902-5-RELEASE-marathon-396", "■")</f>
        <v>■</v>
      </c>
      <c r="F387" s="9" t="s">
        <v>615</v>
      </c>
      <c r="G387" s="9">
        <v>94236</v>
      </c>
      <c r="H387" s="9">
        <v>83712</v>
      </c>
      <c r="I387" s="9">
        <v>15</v>
      </c>
      <c r="J387" s="9" t="s">
        <v>315</v>
      </c>
      <c r="K387" s="9" t="s">
        <v>616</v>
      </c>
      <c r="L387" s="9" t="s">
        <v>617</v>
      </c>
      <c r="M387" s="14" t="s">
        <v>9158</v>
      </c>
      <c r="N387" s="14" t="s">
        <v>9158</v>
      </c>
      <c r="O387" s="14" t="s">
        <v>9158</v>
      </c>
      <c r="P387" s="14" t="s">
        <v>9158</v>
      </c>
      <c r="Q387" s="14" t="s">
        <v>9158</v>
      </c>
    </row>
    <row r="388" spans="1:17">
      <c r="A388" s="9">
        <v>73573</v>
      </c>
      <c r="B388" s="9" t="s">
        <v>334</v>
      </c>
      <c r="C388" s="9" t="s">
        <v>200</v>
      </c>
      <c r="D388" s="9" t="s">
        <v>2980</v>
      </c>
      <c r="E388" s="15" t="str">
        <f>HYPERLINK("https://stat100.ameba.jp/tnk47/ratio20/illustrations/card/ill_73573_enjojikeito03.jpg?201902-5-RELEASE-marathon-396", "■")</f>
        <v>■</v>
      </c>
      <c r="F388" s="9" t="s">
        <v>2981</v>
      </c>
      <c r="G388" s="9">
        <v>76152</v>
      </c>
      <c r="H388" s="9">
        <v>81888</v>
      </c>
      <c r="I388" s="9">
        <v>22</v>
      </c>
      <c r="J388" s="9" t="s">
        <v>351</v>
      </c>
      <c r="K388" s="9" t="s">
        <v>2982</v>
      </c>
      <c r="L388" s="9" t="s">
        <v>2983</v>
      </c>
      <c r="M388" s="14" t="s">
        <v>9158</v>
      </c>
      <c r="N388" s="14" t="s">
        <v>9158</v>
      </c>
      <c r="O388" s="9" t="s">
        <v>10091</v>
      </c>
      <c r="P388" s="9" t="s">
        <v>2984</v>
      </c>
      <c r="Q388" s="9">
        <v>1</v>
      </c>
    </row>
    <row r="389" spans="1:17">
      <c r="A389" s="9">
        <v>76843</v>
      </c>
      <c r="B389" s="9" t="s">
        <v>334</v>
      </c>
      <c r="C389" s="9" t="s">
        <v>191</v>
      </c>
      <c r="D389" s="9" t="s">
        <v>2985</v>
      </c>
      <c r="E389" s="15" t="str">
        <f>HYPERLINK("https://stat100.ameba.jp/tnk47/ratio20/illustrations/card/ill_76843_yunokarairu03.jpg?201902-5-RELEASE-marathon-396", "■")</f>
        <v>■</v>
      </c>
      <c r="F389" s="9" t="s">
        <v>2986</v>
      </c>
      <c r="G389" s="9">
        <v>101144</v>
      </c>
      <c r="H389" s="9">
        <v>108778</v>
      </c>
      <c r="I389" s="9">
        <v>22</v>
      </c>
      <c r="J389" s="9" t="s">
        <v>283</v>
      </c>
      <c r="K389" s="9" t="s">
        <v>2987</v>
      </c>
      <c r="L389" s="9" t="s">
        <v>2821</v>
      </c>
      <c r="M389" s="14" t="s">
        <v>9158</v>
      </c>
      <c r="N389" s="14" t="s">
        <v>9158</v>
      </c>
      <c r="O389" s="9" t="s">
        <v>2752</v>
      </c>
      <c r="P389" s="9" t="s">
        <v>13123</v>
      </c>
      <c r="Q389" s="9">
        <v>1</v>
      </c>
    </row>
    <row r="390" spans="1:17">
      <c r="A390" s="9">
        <v>77733</v>
      </c>
      <c r="B390" s="9" t="s">
        <v>334</v>
      </c>
      <c r="C390" s="9" t="s">
        <v>205</v>
      </c>
      <c r="D390" s="9" t="s">
        <v>404</v>
      </c>
      <c r="E390" s="15" t="str">
        <f>HYPERLINK("https://stat100.ameba.jp/tnk47/ratio20/illustrations/card/ill_77733_azegamiarika03.jpg?201902-5-RELEASE-marathon-396", "■")</f>
        <v>■</v>
      </c>
      <c r="F390" s="9" t="s">
        <v>405</v>
      </c>
      <c r="G390" s="9">
        <v>126142</v>
      </c>
      <c r="H390" s="9">
        <v>135666</v>
      </c>
      <c r="I390" s="9">
        <v>22</v>
      </c>
      <c r="J390" s="9" t="s">
        <v>310</v>
      </c>
      <c r="K390" s="9" t="s">
        <v>406</v>
      </c>
      <c r="L390" s="9" t="s">
        <v>407</v>
      </c>
      <c r="M390" s="14" t="s">
        <v>9158</v>
      </c>
      <c r="N390" s="14" t="s">
        <v>9158</v>
      </c>
      <c r="O390" s="14" t="s">
        <v>9158</v>
      </c>
      <c r="P390" s="14" t="s">
        <v>9158</v>
      </c>
      <c r="Q390" s="14" t="s">
        <v>9158</v>
      </c>
    </row>
    <row r="391" spans="1:17">
      <c r="A391" s="9">
        <v>61883</v>
      </c>
      <c r="B391" s="9" t="s">
        <v>348</v>
      </c>
      <c r="C391" s="9" t="s">
        <v>205</v>
      </c>
      <c r="D391" s="9" t="s">
        <v>1518</v>
      </c>
      <c r="E391" s="15" t="str">
        <f>HYPERLINK("https://stat100.ameba.jp/tnk47/ratio20/illustrations/card/ill_61883_onikirishukurohime03.jpg?201902-5-RELEASE-marathon-396", "■")</f>
        <v>■</v>
      </c>
      <c r="F391" s="9" t="s">
        <v>1519</v>
      </c>
      <c r="G391" s="9">
        <v>59144</v>
      </c>
      <c r="H391" s="9">
        <v>65208</v>
      </c>
      <c r="I391" s="9">
        <v>22</v>
      </c>
      <c r="J391" s="9" t="s">
        <v>414</v>
      </c>
      <c r="K391" s="9" t="s">
        <v>1520</v>
      </c>
      <c r="L391" s="9" t="s">
        <v>1521</v>
      </c>
      <c r="M391" s="14" t="s">
        <v>9158</v>
      </c>
      <c r="N391" s="14" t="s">
        <v>9158</v>
      </c>
      <c r="O391" s="14" t="s">
        <v>9158</v>
      </c>
      <c r="P391" s="14" t="s">
        <v>9158</v>
      </c>
      <c r="Q391" s="14" t="s">
        <v>9158</v>
      </c>
    </row>
    <row r="392" spans="1:17">
      <c r="A392" s="9">
        <v>60953</v>
      </c>
      <c r="B392" s="9" t="s">
        <v>348</v>
      </c>
      <c r="C392" s="9" t="s">
        <v>191</v>
      </c>
      <c r="D392" s="9" t="s">
        <v>1522</v>
      </c>
      <c r="E392" s="15" t="str">
        <f>HYPERLINK("https://stat100.ameba.jp/tnk47/ratio20/illustrations/card/ill_60953_sukurugaruikedasen03.jpg?201902-5-RELEASE-marathon-396", "■")</f>
        <v>■</v>
      </c>
      <c r="F392" s="9" t="s">
        <v>1523</v>
      </c>
      <c r="G392" s="9">
        <v>65208</v>
      </c>
      <c r="H392" s="9">
        <v>59144</v>
      </c>
      <c r="I392" s="9">
        <v>22</v>
      </c>
      <c r="J392" s="9" t="s">
        <v>310</v>
      </c>
      <c r="K392" s="9" t="s">
        <v>1524</v>
      </c>
      <c r="L392" s="9" t="s">
        <v>1525</v>
      </c>
      <c r="M392" s="14" t="s">
        <v>9158</v>
      </c>
      <c r="N392" s="14" t="s">
        <v>9158</v>
      </c>
      <c r="O392" s="14" t="s">
        <v>9158</v>
      </c>
      <c r="P392" s="14" t="s">
        <v>9158</v>
      </c>
      <c r="Q392" s="14" t="s">
        <v>9158</v>
      </c>
    </row>
    <row r="393" spans="1:17">
      <c r="A393" s="9">
        <v>59873</v>
      </c>
      <c r="B393" s="9" t="s">
        <v>348</v>
      </c>
      <c r="C393" s="9" t="s">
        <v>200</v>
      </c>
      <c r="D393" s="9" t="s">
        <v>1526</v>
      </c>
      <c r="E393" s="15" t="str">
        <f>HYPERLINK("https://stat100.ameba.jp/tnk47/ratio20/illustrations/card/ill_59873_yoseinakajimautako03.jpg?201902-5-RELEASE-marathon-396", "■")</f>
        <v>■</v>
      </c>
      <c r="F393" s="9" t="s">
        <v>1527</v>
      </c>
      <c r="G393" s="9">
        <v>65208</v>
      </c>
      <c r="H393" s="9">
        <v>59144</v>
      </c>
      <c r="I393" s="9">
        <v>22</v>
      </c>
      <c r="J393" s="9" t="s">
        <v>351</v>
      </c>
      <c r="K393" s="9" t="s">
        <v>1528</v>
      </c>
      <c r="L393" s="9" t="s">
        <v>473</v>
      </c>
      <c r="M393" s="14" t="s">
        <v>9158</v>
      </c>
      <c r="N393" s="14" t="s">
        <v>9158</v>
      </c>
      <c r="O393" s="14" t="s">
        <v>9158</v>
      </c>
      <c r="P393" s="14" t="s">
        <v>9158</v>
      </c>
      <c r="Q393" s="14" t="s">
        <v>9158</v>
      </c>
    </row>
    <row r="395" spans="1:17">
      <c r="A395" s="9" t="s">
        <v>114</v>
      </c>
    </row>
    <row r="396" spans="1:17">
      <c r="A396" s="9" t="s">
        <v>11410</v>
      </c>
    </row>
    <row r="397" spans="1:17">
      <c r="A397" s="9" t="s">
        <v>5899</v>
      </c>
      <c r="B397" s="9" t="s">
        <v>330</v>
      </c>
      <c r="C397" s="9" t="s">
        <v>205</v>
      </c>
      <c r="D397" s="9" t="s">
        <v>1559</v>
      </c>
      <c r="E397" s="15" t="str">
        <f>HYPERLINK("https://stat100.ameba.jp/tnk47/ratio20/illustrations/card/ill_73773_0_umibirakiinugamigyobu03.jpg?201902-5-RELEASE-marathon-396", "■")</f>
        <v>■</v>
      </c>
      <c r="F397" s="9" t="s">
        <v>1560</v>
      </c>
      <c r="G397" s="9">
        <v>182224</v>
      </c>
      <c r="H397" s="9">
        <v>196001</v>
      </c>
      <c r="I397" s="9">
        <v>21</v>
      </c>
      <c r="J397" s="9" t="s">
        <v>320</v>
      </c>
      <c r="K397" s="9" t="s">
        <v>1561</v>
      </c>
      <c r="L397" s="9" t="s">
        <v>1562</v>
      </c>
      <c r="M397" s="14" t="s">
        <v>9158</v>
      </c>
      <c r="N397" s="14" t="s">
        <v>9158</v>
      </c>
      <c r="O397" s="9" t="s">
        <v>2978</v>
      </c>
      <c r="P397" s="9" t="s">
        <v>2979</v>
      </c>
      <c r="Q397" s="9">
        <v>2</v>
      </c>
    </row>
    <row r="398" spans="1:17">
      <c r="A398" s="9" t="s">
        <v>5618</v>
      </c>
      <c r="B398" s="9" t="s">
        <v>330</v>
      </c>
      <c r="C398" s="9" t="s">
        <v>200</v>
      </c>
      <c r="D398" s="9" t="s">
        <v>665</v>
      </c>
      <c r="E398" s="15" t="str">
        <f>HYPERLINK("https://stat100.ameba.jp/tnk47/ratio20/illustrations/card/ill_63173_0_minazukikonakaiteruko03.jpg?201902-5-RELEASE-marathon-396", "■")</f>
        <v>■</v>
      </c>
      <c r="F398" s="9" t="s">
        <v>666</v>
      </c>
      <c r="G398" s="9">
        <v>182272</v>
      </c>
      <c r="H398" s="9">
        <v>196022</v>
      </c>
      <c r="I398" s="9">
        <v>21</v>
      </c>
      <c r="J398" s="9" t="s">
        <v>310</v>
      </c>
      <c r="K398" s="9" t="s">
        <v>667</v>
      </c>
      <c r="L398" s="9" t="s">
        <v>668</v>
      </c>
      <c r="M398" s="14" t="s">
        <v>9158</v>
      </c>
      <c r="N398" s="14" t="s">
        <v>9158</v>
      </c>
      <c r="O398" s="9" t="s">
        <v>10079</v>
      </c>
      <c r="P398" s="9" t="s">
        <v>11370</v>
      </c>
      <c r="Q398" s="9">
        <v>1</v>
      </c>
    </row>
    <row r="399" spans="1:17">
      <c r="A399" s="9">
        <v>76783</v>
      </c>
      <c r="B399" s="9" t="s">
        <v>334</v>
      </c>
      <c r="C399" s="9" t="s">
        <v>158</v>
      </c>
      <c r="D399" s="9" t="s">
        <v>10367</v>
      </c>
      <c r="E399" s="15" t="str">
        <f>HYPERLINK("https://stat100.ameba.jp/tnk47/ratio20/illustrations/card/ill_76783_monsutaakashirejina03.jpg?201902-5-RELEASE-marathon-396", "■")</f>
        <v>■</v>
      </c>
      <c r="F399" s="9" t="s">
        <v>11411</v>
      </c>
      <c r="G399" s="9">
        <v>75984</v>
      </c>
      <c r="H399" s="9">
        <v>104890</v>
      </c>
      <c r="I399" s="9">
        <v>24</v>
      </c>
      <c r="J399" s="9" t="s">
        <v>351</v>
      </c>
      <c r="K399" s="9" t="s">
        <v>11412</v>
      </c>
      <c r="L399" s="9" t="s">
        <v>11413</v>
      </c>
      <c r="M399" s="14" t="s">
        <v>9158</v>
      </c>
      <c r="N399" s="14" t="s">
        <v>9158</v>
      </c>
      <c r="O399" s="9" t="s">
        <v>2752</v>
      </c>
      <c r="P399" s="9" t="s">
        <v>13123</v>
      </c>
      <c r="Q399" s="9">
        <v>1</v>
      </c>
    </row>
    <row r="400" spans="1:17">
      <c r="A400" s="9">
        <v>54833</v>
      </c>
      <c r="B400" s="9" t="s">
        <v>334</v>
      </c>
      <c r="C400" s="9" t="s">
        <v>263</v>
      </c>
      <c r="D400" s="9" t="s">
        <v>429</v>
      </c>
      <c r="E400" s="15" t="str">
        <f>HYPERLINK("https://stat100.ameba.jp/tnk47/ratio20/illustrations/card/ill_54833_keramaburu03.jpg?201902-5-RELEASE-marathon-396", "■")</f>
        <v>■</v>
      </c>
      <c r="F400" s="9" t="s">
        <v>430</v>
      </c>
      <c r="G400" s="9">
        <v>63547</v>
      </c>
      <c r="H400" s="9">
        <v>86668</v>
      </c>
      <c r="I400" s="9">
        <v>21</v>
      </c>
      <c r="J400" s="9" t="s">
        <v>369</v>
      </c>
      <c r="K400" s="9" t="s">
        <v>431</v>
      </c>
      <c r="L400" s="9" t="s">
        <v>432</v>
      </c>
      <c r="M400" s="14" t="s">
        <v>9158</v>
      </c>
      <c r="N400" s="14" t="s">
        <v>9158</v>
      </c>
      <c r="O400" s="14" t="s">
        <v>9158</v>
      </c>
      <c r="P400" s="14" t="s">
        <v>9158</v>
      </c>
      <c r="Q400" s="14" t="s">
        <v>9158</v>
      </c>
    </row>
    <row r="401" spans="1:17">
      <c r="A401" s="9">
        <v>73093</v>
      </c>
      <c r="B401" s="9" t="s">
        <v>334</v>
      </c>
      <c r="C401" s="9" t="s">
        <v>154</v>
      </c>
      <c r="D401" s="9" t="s">
        <v>433</v>
      </c>
      <c r="E401" s="15" t="str">
        <f>HYPERLINK("https://stat100.ameba.jp/tnk47/ratio20/illustrations/card/ill_73093_aisukurinchan03.jpg?201902-5-RELEASE-marathon-396", "■")</f>
        <v>■</v>
      </c>
      <c r="F401" s="9" t="s">
        <v>433</v>
      </c>
      <c r="G401" s="9">
        <v>139716</v>
      </c>
      <c r="H401" s="9">
        <v>101199</v>
      </c>
      <c r="I401" s="9">
        <v>21</v>
      </c>
      <c r="J401" s="9" t="s">
        <v>283</v>
      </c>
      <c r="K401" s="9" t="s">
        <v>434</v>
      </c>
      <c r="L401" s="9" t="s">
        <v>435</v>
      </c>
      <c r="M401" s="14" t="s">
        <v>9158</v>
      </c>
      <c r="N401" s="14" t="s">
        <v>9158</v>
      </c>
      <c r="O401" s="9" t="s">
        <v>2741</v>
      </c>
      <c r="P401" s="9" t="s">
        <v>2742</v>
      </c>
      <c r="Q401" s="9">
        <v>1</v>
      </c>
    </row>
    <row r="402" spans="1:17">
      <c r="A402" s="9">
        <v>72153</v>
      </c>
      <c r="B402" s="9" t="s">
        <v>334</v>
      </c>
      <c r="C402" s="9" t="s">
        <v>158</v>
      </c>
      <c r="D402" s="9" t="s">
        <v>436</v>
      </c>
      <c r="E402" s="15" t="str">
        <f>HYPERLINK("https://stat100.ameba.jp/tnk47/ratio20/illustrations/card/ill_72153_bakki03.jpg?201902-5-RELEASE-marathon-396", "■")</f>
        <v>■</v>
      </c>
      <c r="F402" s="9" t="s">
        <v>437</v>
      </c>
      <c r="G402" s="9">
        <v>80391</v>
      </c>
      <c r="H402" s="9">
        <v>111000</v>
      </c>
      <c r="I402" s="9">
        <v>21</v>
      </c>
      <c r="J402" s="9" t="s">
        <v>320</v>
      </c>
      <c r="K402" s="9" t="s">
        <v>438</v>
      </c>
      <c r="L402" s="9" t="s">
        <v>439</v>
      </c>
      <c r="M402" s="14" t="s">
        <v>9158</v>
      </c>
      <c r="N402" s="14" t="s">
        <v>9158</v>
      </c>
      <c r="O402" s="14" t="s">
        <v>9158</v>
      </c>
      <c r="P402" s="14" t="s">
        <v>9158</v>
      </c>
      <c r="Q402" s="14" t="s">
        <v>9158</v>
      </c>
    </row>
    <row r="403" spans="1:17">
      <c r="A403" s="9">
        <v>66353</v>
      </c>
      <c r="B403" s="9" t="s">
        <v>334</v>
      </c>
      <c r="C403" s="9" t="s">
        <v>158</v>
      </c>
      <c r="D403" s="9" t="s">
        <v>440</v>
      </c>
      <c r="E403" s="15" t="str">
        <f>HYPERLINK("https://stat100.ameba.jp/tnk47/ratio20/illustrations/card/ill_66353_kajiwaranyudotoan03.jpg?201902-5-RELEASE-marathon-396", "■")</f>
        <v>■</v>
      </c>
      <c r="F403" s="9" t="s">
        <v>441</v>
      </c>
      <c r="G403" s="9">
        <v>139716</v>
      </c>
      <c r="H403" s="9">
        <v>101199</v>
      </c>
      <c r="I403" s="9">
        <v>21</v>
      </c>
      <c r="J403" s="9" t="s">
        <v>310</v>
      </c>
      <c r="K403" s="9" t="s">
        <v>442</v>
      </c>
      <c r="L403" s="9" t="s">
        <v>443</v>
      </c>
      <c r="M403" s="14" t="s">
        <v>9158</v>
      </c>
      <c r="N403" s="14" t="s">
        <v>9158</v>
      </c>
      <c r="O403" s="9" t="s">
        <v>10102</v>
      </c>
      <c r="P403" s="9" t="s">
        <v>11414</v>
      </c>
      <c r="Q403" s="9">
        <v>1</v>
      </c>
    </row>
    <row r="404" spans="1:17">
      <c r="A404" s="9">
        <v>60183</v>
      </c>
      <c r="B404" s="9" t="s">
        <v>334</v>
      </c>
      <c r="C404" s="9" t="s">
        <v>154</v>
      </c>
      <c r="D404" s="9" t="s">
        <v>444</v>
      </c>
      <c r="E404" s="15" t="str">
        <f>HYPERLINK("https://stat100.ameba.jp/tnk47/ratio20/illustrations/card/ill_60183_aizuyaichi03.jpg?201902-5-RELEASE-marathon-396", "■")</f>
        <v>■</v>
      </c>
      <c r="F404" s="9" t="s">
        <v>445</v>
      </c>
      <c r="G404" s="9">
        <v>69051</v>
      </c>
      <c r="H404" s="9">
        <v>95307</v>
      </c>
      <c r="I404" s="9">
        <v>21</v>
      </c>
      <c r="J404" s="9" t="s">
        <v>414</v>
      </c>
      <c r="K404" s="9" t="s">
        <v>446</v>
      </c>
      <c r="L404" s="9" t="s">
        <v>447</v>
      </c>
      <c r="M404" s="14" t="s">
        <v>9158</v>
      </c>
      <c r="N404" s="14" t="s">
        <v>9158</v>
      </c>
      <c r="O404" s="14" t="s">
        <v>9158</v>
      </c>
      <c r="P404" s="14" t="s">
        <v>9158</v>
      </c>
      <c r="Q404" s="14" t="s">
        <v>9158</v>
      </c>
    </row>
    <row r="406" spans="1:17">
      <c r="A406" s="9" t="s">
        <v>135</v>
      </c>
    </row>
    <row r="407" spans="1:17">
      <c r="A407" s="9" t="s">
        <v>11415</v>
      </c>
    </row>
    <row r="408" spans="1:17">
      <c r="A408" s="9" t="s">
        <v>5734</v>
      </c>
      <c r="B408" s="9" t="s">
        <v>330</v>
      </c>
      <c r="C408" s="9" t="s">
        <v>202</v>
      </c>
      <c r="D408" s="9" t="s">
        <v>1497</v>
      </c>
      <c r="E408" s="15" t="str">
        <f>HYPERLINK("https://stat100.ameba.jp/tnk47/ratio20/illustrations/card/ill_74593_0_natsuyuenchikoshihikari03.jpg?201902-5-RELEASE-marathon-396", "■")</f>
        <v>■</v>
      </c>
      <c r="F408" s="9" t="s">
        <v>1498</v>
      </c>
      <c r="G408" s="9">
        <v>249162</v>
      </c>
      <c r="H408" s="9">
        <v>231637</v>
      </c>
      <c r="I408" s="9">
        <v>23</v>
      </c>
      <c r="J408" s="9" t="s">
        <v>283</v>
      </c>
      <c r="K408" s="9" t="s">
        <v>1499</v>
      </c>
      <c r="L408" s="9" t="s">
        <v>1500</v>
      </c>
      <c r="M408" s="14" t="s">
        <v>9158</v>
      </c>
      <c r="N408" s="14" t="s">
        <v>9158</v>
      </c>
      <c r="O408" s="9" t="s">
        <v>2731</v>
      </c>
      <c r="P408" s="9" t="s">
        <v>2732</v>
      </c>
      <c r="Q408" s="9">
        <v>1</v>
      </c>
    </row>
    <row r="409" spans="1:17">
      <c r="A409" s="9">
        <v>69513</v>
      </c>
      <c r="B409" s="9" t="s">
        <v>334</v>
      </c>
      <c r="C409" s="9" t="s">
        <v>158</v>
      </c>
      <c r="D409" s="9" t="s">
        <v>10265</v>
      </c>
      <c r="E409" s="15" t="str">
        <f>HYPERLINK("https://stat100.ameba.jp/tnk47/ratio20/illustrations/card/ill_69513_somedononokisaki03.jpg?201902-5-RELEASE-marathon-396", "■")</f>
        <v>■</v>
      </c>
      <c r="F409" s="9" t="s">
        <v>11416</v>
      </c>
      <c r="G409" s="9">
        <v>69430</v>
      </c>
      <c r="H409" s="9">
        <v>95859</v>
      </c>
      <c r="I409" s="9">
        <v>21</v>
      </c>
      <c r="J409" s="9" t="s">
        <v>187</v>
      </c>
      <c r="K409" s="9" t="s">
        <v>3675</v>
      </c>
      <c r="L409" s="9" t="s">
        <v>13187</v>
      </c>
      <c r="M409" s="14" t="s">
        <v>9158</v>
      </c>
      <c r="N409" s="14" t="s">
        <v>9158</v>
      </c>
      <c r="O409" s="9" t="s">
        <v>4670</v>
      </c>
      <c r="P409" s="9" t="s">
        <v>13173</v>
      </c>
      <c r="Q409" s="9">
        <v>1</v>
      </c>
    </row>
    <row r="410" spans="1:17">
      <c r="A410" s="9">
        <v>56443</v>
      </c>
      <c r="B410" s="9" t="s">
        <v>334</v>
      </c>
      <c r="C410" s="9" t="s">
        <v>205</v>
      </c>
      <c r="D410" s="9" t="s">
        <v>10314</v>
      </c>
      <c r="E410" s="15" t="str">
        <f>HYPERLINK("https://stat100.ameba.jp/tnk47/ratio20/illustrations/card/ill_56443_poppukurisumasuizumonokuni03.jpg?201902-5-RELEASE-marathon-396", "■")</f>
        <v>■</v>
      </c>
      <c r="F410" s="9" t="s">
        <v>1492</v>
      </c>
      <c r="G410" s="9">
        <v>75254</v>
      </c>
      <c r="H410" s="9">
        <v>80942</v>
      </c>
      <c r="I410" s="9">
        <v>21</v>
      </c>
      <c r="J410" s="9" t="s">
        <v>351</v>
      </c>
      <c r="K410" s="9" t="s">
        <v>11389</v>
      </c>
      <c r="L410" s="9" t="s">
        <v>11390</v>
      </c>
      <c r="M410" s="14" t="s">
        <v>9158</v>
      </c>
      <c r="N410" s="14" t="s">
        <v>9158</v>
      </c>
      <c r="O410" s="9" t="s">
        <v>10119</v>
      </c>
      <c r="P410" s="9" t="s">
        <v>11391</v>
      </c>
      <c r="Q410" s="9">
        <v>1</v>
      </c>
    </row>
    <row r="411" spans="1:17">
      <c r="A411" s="9">
        <v>76243</v>
      </c>
      <c r="B411" s="9" t="s">
        <v>334</v>
      </c>
      <c r="C411" s="9" t="s">
        <v>335</v>
      </c>
      <c r="D411" s="9" t="s">
        <v>10263</v>
      </c>
      <c r="E411" s="15" t="str">
        <f>HYPERLINK("https://stat100.ameba.jp/tnk47/ratio20/illustrations/card/ill_76243_haroinkaraguchinihonshuchan03.jpg?201902-5-RELEASE-marathon-396", "■")</f>
        <v>■</v>
      </c>
      <c r="F411" s="9" t="s">
        <v>336</v>
      </c>
      <c r="G411" s="9">
        <v>99173</v>
      </c>
      <c r="H411" s="9">
        <v>92220</v>
      </c>
      <c r="I411" s="9">
        <v>21</v>
      </c>
      <c r="J411" s="9" t="s">
        <v>283</v>
      </c>
      <c r="K411" s="9" t="s">
        <v>337</v>
      </c>
      <c r="L411" s="9" t="s">
        <v>338</v>
      </c>
      <c r="M411" s="14" t="s">
        <v>9158</v>
      </c>
      <c r="N411" s="14" t="s">
        <v>9158</v>
      </c>
      <c r="O411" s="9" t="s">
        <v>10090</v>
      </c>
      <c r="P411" s="9" t="s">
        <v>3561</v>
      </c>
      <c r="Q411" s="9">
        <v>1</v>
      </c>
    </row>
    <row r="413" spans="1:17">
      <c r="A413" s="9" t="s">
        <v>195</v>
      </c>
    </row>
    <row r="414" spans="1:17">
      <c r="A414" s="9" t="s">
        <v>11417</v>
      </c>
    </row>
    <row r="415" spans="1:17">
      <c r="A415" s="9">
        <v>71013</v>
      </c>
      <c r="B415" s="9" t="s">
        <v>334</v>
      </c>
      <c r="C415" s="9" t="s">
        <v>154</v>
      </c>
      <c r="D415" s="9" t="s">
        <v>1229</v>
      </c>
      <c r="E415" s="15" t="str">
        <f>HYPERLINK("https://stat100.ameba.jp/tnk47/ratio20/illustrations/card/ill_71013_fujutsushisarashina03.jpg?201902-5-RELEASE-marathon-396", "■")</f>
        <v>■</v>
      </c>
      <c r="F415" s="9" t="s">
        <v>838</v>
      </c>
      <c r="G415" s="9">
        <v>88226</v>
      </c>
      <c r="H415" s="9">
        <v>94886</v>
      </c>
      <c r="I415" s="9">
        <v>22</v>
      </c>
      <c r="J415" s="9" t="s">
        <v>155</v>
      </c>
      <c r="K415" s="9" t="s">
        <v>1231</v>
      </c>
      <c r="L415" s="9" t="s">
        <v>13152</v>
      </c>
      <c r="M415" s="14" t="s">
        <v>9158</v>
      </c>
      <c r="N415" s="14" t="s">
        <v>9158</v>
      </c>
      <c r="O415" s="14" t="s">
        <v>9158</v>
      </c>
      <c r="P415" s="14" t="s">
        <v>9158</v>
      </c>
      <c r="Q415" s="14" t="s">
        <v>9158</v>
      </c>
    </row>
    <row r="416" spans="1:17">
      <c r="A416" s="9">
        <v>71023</v>
      </c>
      <c r="B416" s="9" t="s">
        <v>334</v>
      </c>
      <c r="C416" s="9" t="s">
        <v>158</v>
      </c>
      <c r="D416" s="9" t="s">
        <v>1230</v>
      </c>
      <c r="E416" s="15" t="str">
        <f>HYPERLINK("https://stat100.ameba.jp/tnk47/ratio20/illustrations/card/ill_71023_ommyojiiroha03.jpg?201902-5-RELEASE-marathon-396", "■")</f>
        <v>■</v>
      </c>
      <c r="F416" s="9" t="s">
        <v>842</v>
      </c>
      <c r="G416" s="9">
        <v>88226</v>
      </c>
      <c r="H416" s="9">
        <v>94886</v>
      </c>
      <c r="I416" s="9">
        <v>22</v>
      </c>
      <c r="J416" s="9" t="s">
        <v>159</v>
      </c>
      <c r="K416" s="9" t="s">
        <v>1232</v>
      </c>
      <c r="L416" s="9" t="s">
        <v>1233</v>
      </c>
      <c r="M416" s="14" t="s">
        <v>9158</v>
      </c>
      <c r="N416" s="14" t="s">
        <v>9158</v>
      </c>
      <c r="O416" s="14" t="s">
        <v>9158</v>
      </c>
      <c r="P416" s="14" t="s">
        <v>9158</v>
      </c>
      <c r="Q416" s="14" t="s">
        <v>9158</v>
      </c>
    </row>
    <row r="417" spans="1:18">
      <c r="A417" s="9">
        <v>73113</v>
      </c>
      <c r="B417" s="9" t="s">
        <v>334</v>
      </c>
      <c r="C417" s="9" t="s">
        <v>191</v>
      </c>
      <c r="D417" s="9" t="s">
        <v>3156</v>
      </c>
      <c r="E417" s="15" t="str">
        <f>HYPERLINK("https://stat100.ameba.jp/tnk47/ratio20/illustrations/card/ill_73113_kinasanosatokijomomiji03.jpg?201902-5-RELEASE-marathon-396", "■")</f>
        <v>■</v>
      </c>
      <c r="F417" s="9" t="s">
        <v>3157</v>
      </c>
      <c r="G417" s="9">
        <v>91664</v>
      </c>
      <c r="H417" s="9">
        <v>85246</v>
      </c>
      <c r="I417" s="9">
        <v>22</v>
      </c>
      <c r="J417" s="9" t="s">
        <v>320</v>
      </c>
      <c r="K417" s="9" t="s">
        <v>3158</v>
      </c>
      <c r="L417" s="9" t="s">
        <v>2956</v>
      </c>
      <c r="M417" s="14" t="s">
        <v>9158</v>
      </c>
      <c r="N417" s="14" t="s">
        <v>9158</v>
      </c>
      <c r="O417" s="14" t="s">
        <v>9158</v>
      </c>
      <c r="P417" s="14" t="s">
        <v>9158</v>
      </c>
      <c r="Q417" s="14" t="s">
        <v>9158</v>
      </c>
    </row>
    <row r="418" spans="1:18">
      <c r="A418" s="9">
        <v>65923</v>
      </c>
      <c r="B418" s="9" t="s">
        <v>334</v>
      </c>
      <c r="C418" s="9" t="s">
        <v>185</v>
      </c>
      <c r="D418" s="9" t="s">
        <v>3677</v>
      </c>
      <c r="E418" s="15" t="str">
        <f>HYPERLINK("https://stat100.ameba.jp/tnk47/ratio20/illustrations/card/ill_65923_arabianginko03.jpg?201902-5-RELEASE-marathon-396", "■")</f>
        <v>■</v>
      </c>
      <c r="F418" s="9" t="s">
        <v>4978</v>
      </c>
      <c r="G418" s="9">
        <v>91664</v>
      </c>
      <c r="H418" s="9">
        <v>85246</v>
      </c>
      <c r="I418" s="9">
        <v>22</v>
      </c>
      <c r="J418" s="9" t="s">
        <v>182</v>
      </c>
      <c r="K418" s="9" t="s">
        <v>3679</v>
      </c>
      <c r="L418" s="9" t="s">
        <v>13188</v>
      </c>
      <c r="M418" s="14" t="s">
        <v>9158</v>
      </c>
      <c r="N418" s="14" t="s">
        <v>9158</v>
      </c>
      <c r="O418" s="14" t="s">
        <v>9158</v>
      </c>
      <c r="P418" s="14" t="s">
        <v>9158</v>
      </c>
      <c r="Q418" s="14" t="s">
        <v>9158</v>
      </c>
    </row>
    <row r="420" spans="1:18">
      <c r="A420" s="9" t="s">
        <v>132</v>
      </c>
    </row>
    <row r="421" spans="1:18">
      <c r="A421" s="9" t="s">
        <v>11418</v>
      </c>
    </row>
    <row r="422" spans="1:18">
      <c r="A422" s="9">
        <v>76815</v>
      </c>
      <c r="B422" s="9" t="s">
        <v>334</v>
      </c>
      <c r="C422" s="9" t="s">
        <v>202</v>
      </c>
      <c r="D422" s="9" t="s">
        <v>605</v>
      </c>
      <c r="E422" s="15" t="str">
        <f>HYPERLINK("https://stat100.ameba.jp/tnk47/ratio20/illustrations/card/ill_76815_yukemurigoryunotsubone05.jpg?201902-5-RELEASE-marathon-396", "■")</f>
        <v>■</v>
      </c>
      <c r="F422" s="9" t="s">
        <v>606</v>
      </c>
      <c r="G422" s="9">
        <v>71481</v>
      </c>
      <c r="H422" s="9">
        <v>98728</v>
      </c>
      <c r="I422" s="9">
        <v>21</v>
      </c>
      <c r="J422" s="9" t="s">
        <v>315</v>
      </c>
      <c r="K422" s="9" t="s">
        <v>607</v>
      </c>
      <c r="L422" s="9" t="s">
        <v>608</v>
      </c>
      <c r="M422" s="14" t="s">
        <v>9158</v>
      </c>
      <c r="N422" s="14" t="s">
        <v>9158</v>
      </c>
      <c r="O422" s="14" t="s">
        <v>9158</v>
      </c>
      <c r="P422" s="14" t="s">
        <v>9158</v>
      </c>
      <c r="Q422" s="14" t="s">
        <v>9158</v>
      </c>
      <c r="R422" s="9" t="s">
        <v>174</v>
      </c>
    </row>
    <row r="423" spans="1:18">
      <c r="A423" s="9">
        <v>76813</v>
      </c>
      <c r="B423" s="9" t="s">
        <v>348</v>
      </c>
      <c r="C423" s="9" t="s">
        <v>158</v>
      </c>
      <c r="D423" s="9" t="s">
        <v>605</v>
      </c>
      <c r="E423" s="15" t="str">
        <f>HYPERLINK("https://stat100.ameba.jp/tnk47/ratio20/illustrations/card/ill_76813_yukemurigoryunotsubone03.jpg?201902-5-RELEASE-marathon-396", "■")</f>
        <v>■</v>
      </c>
      <c r="F423" s="9" t="s">
        <v>606</v>
      </c>
      <c r="G423" s="9">
        <v>52663</v>
      </c>
      <c r="H423" s="9">
        <v>72733</v>
      </c>
      <c r="I423" s="9">
        <v>21</v>
      </c>
      <c r="J423" s="9" t="s">
        <v>315</v>
      </c>
      <c r="K423" s="9" t="s">
        <v>607</v>
      </c>
      <c r="L423" s="9" t="s">
        <v>609</v>
      </c>
      <c r="M423" s="14" t="s">
        <v>9158</v>
      </c>
      <c r="N423" s="14" t="s">
        <v>9158</v>
      </c>
      <c r="O423" s="14" t="s">
        <v>9158</v>
      </c>
      <c r="P423" s="14" t="s">
        <v>9158</v>
      </c>
      <c r="Q423" s="14" t="s">
        <v>9158</v>
      </c>
      <c r="R423" s="9" t="s">
        <v>175</v>
      </c>
    </row>
    <row r="424" spans="1:18">
      <c r="A424" s="9">
        <v>76811</v>
      </c>
      <c r="B424" s="9" t="s">
        <v>348</v>
      </c>
      <c r="C424" s="9" t="s">
        <v>158</v>
      </c>
      <c r="D424" s="9" t="s">
        <v>605</v>
      </c>
      <c r="E424" s="15" t="str">
        <f>HYPERLINK("https://stat100.ameba.jp/tnk47/ratio20/illustrations/card/ill_76811_yukemurigoryunotsubone01.jpg?201902-5-RELEASE-marathon-396", "■")</f>
        <v>■</v>
      </c>
      <c r="F424" s="9" t="s">
        <v>606</v>
      </c>
      <c r="G424" s="9">
        <v>33495</v>
      </c>
      <c r="H424" s="9">
        <v>46263</v>
      </c>
      <c r="I424" s="9">
        <v>21</v>
      </c>
      <c r="J424" s="9" t="s">
        <v>315</v>
      </c>
      <c r="K424" s="9" t="s">
        <v>607</v>
      </c>
      <c r="L424" s="9" t="s">
        <v>610</v>
      </c>
      <c r="M424" s="14" t="s">
        <v>9158</v>
      </c>
      <c r="N424" s="14" t="s">
        <v>9158</v>
      </c>
      <c r="O424" s="14" t="s">
        <v>9158</v>
      </c>
      <c r="P424" s="14" t="s">
        <v>9158</v>
      </c>
      <c r="Q424" s="14" t="s">
        <v>9158</v>
      </c>
      <c r="R424" s="9" t="s">
        <v>176</v>
      </c>
    </row>
    <row r="425" spans="1:18">
      <c r="A425" s="9">
        <v>55735</v>
      </c>
      <c r="B425" s="9" t="s">
        <v>334</v>
      </c>
      <c r="C425" s="9" t="s">
        <v>202</v>
      </c>
      <c r="D425" s="9" t="s">
        <v>11419</v>
      </c>
      <c r="E425" s="15" t="str">
        <f>HYPERLINK("https://stat100.ameba.jp/tnk47/ratio20/illustrations/card/ill_55735_egawahidetatsu05.jpg?201902-5-RELEASE-marathon-396", "■")</f>
        <v>■</v>
      </c>
      <c r="F425" s="9" t="s">
        <v>11420</v>
      </c>
      <c r="G425" s="9">
        <v>108811</v>
      </c>
      <c r="H425" s="9">
        <v>150278</v>
      </c>
      <c r="I425" s="9">
        <v>21</v>
      </c>
      <c r="J425" s="9" t="s">
        <v>351</v>
      </c>
      <c r="K425" s="9" t="s">
        <v>11421</v>
      </c>
      <c r="L425" s="9" t="s">
        <v>11422</v>
      </c>
      <c r="M425" s="14" t="s">
        <v>9158</v>
      </c>
      <c r="N425" s="14" t="s">
        <v>9158</v>
      </c>
      <c r="O425" s="14" t="s">
        <v>9158</v>
      </c>
      <c r="P425" s="14" t="s">
        <v>9158</v>
      </c>
      <c r="Q425" s="14" t="s">
        <v>9158</v>
      </c>
      <c r="R425" s="9" t="s">
        <v>174</v>
      </c>
    </row>
    <row r="426" spans="1:18">
      <c r="A426" s="9">
        <v>55733</v>
      </c>
      <c r="B426" s="9" t="s">
        <v>348</v>
      </c>
      <c r="C426" s="9" t="s">
        <v>209</v>
      </c>
      <c r="D426" s="9" t="s">
        <v>11419</v>
      </c>
      <c r="E426" s="15" t="str">
        <f>HYPERLINK("https://stat100.ameba.jp/tnk47/ratio20/illustrations/card/ill_55733_egawahidetatsu03.jpg?201902-5-RELEASE-marathon-396", "■")</f>
        <v>■</v>
      </c>
      <c r="F426" s="9" t="s">
        <v>11420</v>
      </c>
      <c r="G426" s="9">
        <v>80168</v>
      </c>
      <c r="H426" s="9">
        <v>110722</v>
      </c>
      <c r="I426" s="9">
        <v>21</v>
      </c>
      <c r="J426" s="9" t="s">
        <v>351</v>
      </c>
      <c r="K426" s="9" t="s">
        <v>11421</v>
      </c>
      <c r="L426" s="9" t="s">
        <v>11423</v>
      </c>
      <c r="M426" s="14" t="s">
        <v>9158</v>
      </c>
      <c r="N426" s="14" t="s">
        <v>9158</v>
      </c>
      <c r="O426" s="14" t="s">
        <v>9158</v>
      </c>
      <c r="P426" s="14" t="s">
        <v>9158</v>
      </c>
      <c r="Q426" s="14" t="s">
        <v>9158</v>
      </c>
      <c r="R426" s="9" t="s">
        <v>175</v>
      </c>
    </row>
    <row r="427" spans="1:18">
      <c r="A427" s="9">
        <v>55731</v>
      </c>
      <c r="B427" s="9" t="s">
        <v>348</v>
      </c>
      <c r="C427" s="9" t="s">
        <v>209</v>
      </c>
      <c r="D427" s="9" t="s">
        <v>11419</v>
      </c>
      <c r="E427" s="15" t="str">
        <f>HYPERLINK("https://stat100.ameba.jp/tnk47/ratio20/illustrations/card/ill_55731_egawahidetatsu01.jpg?201902-5-RELEASE-marathon-396", "■")</f>
        <v>■</v>
      </c>
      <c r="F427" s="9" t="s">
        <v>11420</v>
      </c>
      <c r="G427" s="9">
        <v>51009</v>
      </c>
      <c r="H427" s="9">
        <v>70434</v>
      </c>
      <c r="I427" s="9">
        <v>21</v>
      </c>
      <c r="J427" s="9" t="s">
        <v>351</v>
      </c>
      <c r="K427" s="9" t="s">
        <v>11421</v>
      </c>
      <c r="L427" s="9" t="s">
        <v>11424</v>
      </c>
      <c r="M427" s="14" t="s">
        <v>9158</v>
      </c>
      <c r="N427" s="14" t="s">
        <v>9158</v>
      </c>
      <c r="O427" s="14" t="s">
        <v>9158</v>
      </c>
      <c r="P427" s="14" t="s">
        <v>9158</v>
      </c>
      <c r="Q427" s="14" t="s">
        <v>9158</v>
      </c>
      <c r="R427" s="9" t="s">
        <v>176</v>
      </c>
    </row>
    <row r="428" spans="1:18">
      <c r="A428" s="9">
        <v>76755</v>
      </c>
      <c r="B428" s="9" t="s">
        <v>334</v>
      </c>
      <c r="C428" s="9" t="s">
        <v>202</v>
      </c>
      <c r="D428" s="9" t="s">
        <v>762</v>
      </c>
      <c r="E428" s="15" t="str">
        <f>HYPERLINK("https://stat100.ameba.jp/tnk47/ratio20/illustrations/card/ill_76755_igamenchi05.jpg?201902-5-RELEASE-marathon-396", "■")</f>
        <v>■</v>
      </c>
      <c r="F428" s="9" t="s">
        <v>762</v>
      </c>
      <c r="G428" s="9">
        <v>119400</v>
      </c>
      <c r="H428" s="9">
        <v>86463</v>
      </c>
      <c r="I428" s="9">
        <v>21</v>
      </c>
      <c r="J428" s="9" t="s">
        <v>283</v>
      </c>
      <c r="K428" s="9" t="s">
        <v>763</v>
      </c>
      <c r="L428" s="9" t="s">
        <v>532</v>
      </c>
      <c r="M428" s="14" t="s">
        <v>9158</v>
      </c>
      <c r="N428" s="14" t="s">
        <v>9158</v>
      </c>
      <c r="O428" s="14" t="s">
        <v>9158</v>
      </c>
      <c r="P428" s="14" t="s">
        <v>9158</v>
      </c>
      <c r="Q428" s="14" t="s">
        <v>9158</v>
      </c>
      <c r="R428" s="9" t="s">
        <v>174</v>
      </c>
    </row>
    <row r="429" spans="1:18">
      <c r="A429" s="9">
        <v>76753</v>
      </c>
      <c r="B429" s="9" t="s">
        <v>348</v>
      </c>
      <c r="C429" s="9" t="s">
        <v>209</v>
      </c>
      <c r="D429" s="9" t="s">
        <v>762</v>
      </c>
      <c r="E429" s="15" t="str">
        <f>HYPERLINK("https://stat100.ameba.jp/tnk47/ratio20/illustrations/card/ill_76753_igamenchi03.jpg?201902-5-RELEASE-marathon-396", "■")</f>
        <v>■</v>
      </c>
      <c r="F429" s="9" t="s">
        <v>762</v>
      </c>
      <c r="G429" s="9">
        <v>87980</v>
      </c>
      <c r="H429" s="9">
        <v>63705</v>
      </c>
      <c r="I429" s="9">
        <v>21</v>
      </c>
      <c r="J429" s="9" t="s">
        <v>283</v>
      </c>
      <c r="K429" s="9" t="s">
        <v>763</v>
      </c>
      <c r="L429" s="9" t="s">
        <v>533</v>
      </c>
      <c r="M429" s="14" t="s">
        <v>9158</v>
      </c>
      <c r="N429" s="14" t="s">
        <v>9158</v>
      </c>
      <c r="O429" s="14" t="s">
        <v>9158</v>
      </c>
      <c r="P429" s="14" t="s">
        <v>9158</v>
      </c>
      <c r="Q429" s="14" t="s">
        <v>9158</v>
      </c>
      <c r="R429" s="9" t="s">
        <v>175</v>
      </c>
    </row>
    <row r="430" spans="1:18">
      <c r="A430" s="9">
        <v>76751</v>
      </c>
      <c r="B430" s="9" t="s">
        <v>348</v>
      </c>
      <c r="C430" s="9" t="s">
        <v>209</v>
      </c>
      <c r="D430" s="9" t="s">
        <v>762</v>
      </c>
      <c r="E430" s="15" t="str">
        <f>HYPERLINK("https://stat100.ameba.jp/tnk47/ratio20/illustrations/card/ill_76751_igamenchi01.jpg?201902-5-RELEASE-marathon-396", "■")</f>
        <v>■</v>
      </c>
      <c r="F430" s="9" t="s">
        <v>762</v>
      </c>
      <c r="G430" s="9">
        <v>55965</v>
      </c>
      <c r="H430" s="9">
        <v>40530</v>
      </c>
      <c r="I430" s="9">
        <v>21</v>
      </c>
      <c r="J430" s="9" t="s">
        <v>283</v>
      </c>
      <c r="K430" s="9" t="s">
        <v>763</v>
      </c>
      <c r="L430" s="9" t="s">
        <v>534</v>
      </c>
      <c r="M430" s="14" t="s">
        <v>9158</v>
      </c>
      <c r="N430" s="14" t="s">
        <v>9158</v>
      </c>
      <c r="O430" s="14" t="s">
        <v>9158</v>
      </c>
      <c r="P430" s="14" t="s">
        <v>9158</v>
      </c>
      <c r="Q430" s="14" t="s">
        <v>9158</v>
      </c>
      <c r="R430" s="9" t="s">
        <v>176</v>
      </c>
    </row>
    <row r="432" spans="1:18">
      <c r="A432" s="9" t="s">
        <v>3688</v>
      </c>
    </row>
    <row r="433" spans="1:17">
      <c r="A433" s="9" t="s">
        <v>11425</v>
      </c>
    </row>
    <row r="434" spans="1:17">
      <c r="A434" s="9" t="s">
        <v>11478</v>
      </c>
    </row>
    <row r="435" spans="1:17">
      <c r="A435" s="9" t="s">
        <v>5605</v>
      </c>
      <c r="B435" s="9" t="s">
        <v>330</v>
      </c>
      <c r="C435" s="9" t="s">
        <v>202</v>
      </c>
      <c r="D435" s="9" t="s">
        <v>10332</v>
      </c>
      <c r="E435" s="15" t="str">
        <f>HYPERLINK("https://stat100.ameba.jp/tnk47/ratio20/illustrations/card/ill_79373_0_hommeichokotennyohime03.jpg?201902-5-RELEASE-marathon-396", "■")</f>
        <v>■</v>
      </c>
      <c r="F435" s="9" t="s">
        <v>11045</v>
      </c>
      <c r="G435" s="9">
        <v>185478</v>
      </c>
      <c r="H435" s="9">
        <v>167643</v>
      </c>
      <c r="I435" s="9">
        <v>15</v>
      </c>
      <c r="J435" s="9" t="s">
        <v>283</v>
      </c>
      <c r="K435" s="9" t="s">
        <v>11046</v>
      </c>
      <c r="L435" s="9" t="s">
        <v>11047</v>
      </c>
      <c r="M435" s="14" t="s">
        <v>9158</v>
      </c>
      <c r="N435" s="14" t="s">
        <v>9158</v>
      </c>
      <c r="O435" s="9" t="s">
        <v>10072</v>
      </c>
      <c r="P435" s="9" t="s">
        <v>11048</v>
      </c>
      <c r="Q435" s="9">
        <v>1</v>
      </c>
    </row>
    <row r="436" spans="1:17">
      <c r="A436" s="9">
        <v>79713</v>
      </c>
      <c r="B436" s="9" t="s">
        <v>334</v>
      </c>
      <c r="C436" s="9" t="s">
        <v>307</v>
      </c>
      <c r="D436" s="9" t="s">
        <v>10717</v>
      </c>
      <c r="E436" s="15" t="str">
        <f>HYPERLINK("https://stat100.ameba.jp/tnk47/ratio20/illustrations/card/ill_79713_yukinosaitembodeikonchan03.jpg?201902-5-RELEASE-marathon-396", "■")</f>
        <v>■</v>
      </c>
      <c r="F436" s="9" t="s">
        <v>11426</v>
      </c>
      <c r="G436" s="9">
        <v>100224</v>
      </c>
      <c r="H436" s="9">
        <v>93184</v>
      </c>
      <c r="I436" s="9">
        <v>22</v>
      </c>
      <c r="J436" s="9" t="s">
        <v>369</v>
      </c>
      <c r="K436" s="9" t="s">
        <v>11427</v>
      </c>
      <c r="L436" s="9" t="s">
        <v>1532</v>
      </c>
      <c r="M436" s="14" t="s">
        <v>9158</v>
      </c>
      <c r="N436" s="14" t="s">
        <v>9158</v>
      </c>
      <c r="O436" s="14" t="s">
        <v>9158</v>
      </c>
      <c r="P436" s="14" t="s">
        <v>9158</v>
      </c>
      <c r="Q436" s="14" t="s">
        <v>9158</v>
      </c>
    </row>
    <row r="437" spans="1:17">
      <c r="A437" s="9">
        <v>79723</v>
      </c>
      <c r="B437" s="9" t="s">
        <v>348</v>
      </c>
      <c r="C437" s="9" t="s">
        <v>271</v>
      </c>
      <c r="D437" s="9" t="s">
        <v>10639</v>
      </c>
      <c r="E437" s="15" t="str">
        <f>HYPERLINK("https://stat100.ameba.jp/tnk47/ratio20/illustrations/card/ill_79723_inazumaraigoro03.jpg?201902-5-RELEASE-marathon-396", "■")</f>
        <v>■</v>
      </c>
      <c r="F437" s="9" t="s">
        <v>11428</v>
      </c>
      <c r="G437" s="9">
        <v>59144</v>
      </c>
      <c r="H437" s="9">
        <v>65208</v>
      </c>
      <c r="I437" s="9">
        <v>22</v>
      </c>
      <c r="J437" s="9" t="s">
        <v>310</v>
      </c>
      <c r="K437" s="9" t="s">
        <v>11429</v>
      </c>
      <c r="L437" s="9" t="s">
        <v>2960</v>
      </c>
      <c r="M437" s="14" t="s">
        <v>9158</v>
      </c>
      <c r="N437" s="14" t="s">
        <v>9158</v>
      </c>
      <c r="O437" s="14" t="s">
        <v>9158</v>
      </c>
      <c r="P437" s="14" t="s">
        <v>9158</v>
      </c>
      <c r="Q437" s="14" t="s">
        <v>9158</v>
      </c>
    </row>
    <row r="438" spans="1:17">
      <c r="A438" s="9">
        <v>79733</v>
      </c>
      <c r="B438" s="9" t="s">
        <v>362</v>
      </c>
      <c r="C438" s="9" t="s">
        <v>11430</v>
      </c>
      <c r="D438" s="9" t="s">
        <v>11431</v>
      </c>
      <c r="E438" s="15" t="str">
        <f>HYPERLINK("https://stat100.ameba.jp/tnk47/ratio20/illustrations/card/ill_79733_imojouchuuchan03.jpg?201902-5-RELEASE-marathon-396", "■")</f>
        <v>■</v>
      </c>
      <c r="F438" s="9" t="s">
        <v>11432</v>
      </c>
      <c r="G438" s="9">
        <v>45742</v>
      </c>
      <c r="H438" s="9">
        <v>38032</v>
      </c>
      <c r="I438" s="9">
        <v>22</v>
      </c>
      <c r="J438" s="9" t="s">
        <v>283</v>
      </c>
      <c r="K438" s="9" t="s">
        <v>11433</v>
      </c>
      <c r="L438" s="9" t="s">
        <v>2964</v>
      </c>
      <c r="M438" s="14" t="s">
        <v>9158</v>
      </c>
      <c r="N438" s="14" t="s">
        <v>9158</v>
      </c>
      <c r="O438" s="14" t="s">
        <v>9158</v>
      </c>
      <c r="P438" s="14" t="s">
        <v>9158</v>
      </c>
      <c r="Q438" s="14" t="s">
        <v>9158</v>
      </c>
    </row>
    <row r="439" spans="1:17">
      <c r="A439" s="9">
        <v>79743</v>
      </c>
      <c r="B439" s="9" t="s">
        <v>372</v>
      </c>
      <c r="C439" s="9" t="s">
        <v>11434</v>
      </c>
      <c r="D439" s="9" t="s">
        <v>11435</v>
      </c>
      <c r="E439" s="15" t="str">
        <f>HYPERLINK("https://stat100.ameba.jp/tnk47/ratio20/illustrations/card/ill_79743_furosutofurawa03.jpg?201902-5-RELEASE-marathon-396", "■")</f>
        <v>■</v>
      </c>
      <c r="F439" s="9" t="s">
        <v>11436</v>
      </c>
      <c r="G439" s="9">
        <v>23258</v>
      </c>
      <c r="H439" s="9">
        <v>27692</v>
      </c>
      <c r="I439" s="9">
        <v>22</v>
      </c>
      <c r="J439" s="9" t="s">
        <v>401</v>
      </c>
      <c r="K439" s="9" t="s">
        <v>11437</v>
      </c>
      <c r="L439" s="9" t="s">
        <v>11438</v>
      </c>
      <c r="M439" s="14" t="s">
        <v>9158</v>
      </c>
      <c r="N439" s="14" t="s">
        <v>9158</v>
      </c>
      <c r="O439" s="14" t="s">
        <v>9158</v>
      </c>
      <c r="P439" s="14" t="s">
        <v>9158</v>
      </c>
      <c r="Q439" s="14" t="s">
        <v>9158</v>
      </c>
    </row>
    <row r="441" spans="1:17">
      <c r="A441" s="9" t="s">
        <v>1214</v>
      </c>
    </row>
    <row r="442" spans="1:17">
      <c r="A442" s="9" t="s">
        <v>11439</v>
      </c>
    </row>
    <row r="443" spans="1:17">
      <c r="A443" s="9">
        <v>76073</v>
      </c>
      <c r="B443" s="9" t="s">
        <v>334</v>
      </c>
      <c r="C443" s="9" t="s">
        <v>154</v>
      </c>
      <c r="D443" s="9" t="s">
        <v>1602</v>
      </c>
      <c r="E443" s="15" t="str">
        <f>HYPERLINK("https://stat100.ameba.jp/tnk47/ratio20/illustrations/card/ill_76073_kokidogatapatobatora03.jpg?201902-5-RELEASE-marathon-396", "■")</f>
        <v>■</v>
      </c>
      <c r="F443" s="9" t="s">
        <v>1603</v>
      </c>
      <c r="G443" s="9">
        <v>134446</v>
      </c>
      <c r="H443" s="9">
        <v>125008</v>
      </c>
      <c r="I443" s="9">
        <v>22</v>
      </c>
      <c r="J443" s="9" t="s">
        <v>310</v>
      </c>
      <c r="K443" s="9" t="s">
        <v>1604</v>
      </c>
      <c r="L443" s="9" t="s">
        <v>1605</v>
      </c>
      <c r="M443" s="14" t="s">
        <v>9158</v>
      </c>
      <c r="N443" s="14" t="s">
        <v>9158</v>
      </c>
      <c r="O443" s="14" t="s">
        <v>9158</v>
      </c>
      <c r="P443" s="14" t="s">
        <v>9158</v>
      </c>
      <c r="Q443" s="14" t="s">
        <v>9158</v>
      </c>
    </row>
    <row r="444" spans="1:17">
      <c r="A444" s="9">
        <v>76083</v>
      </c>
      <c r="B444" s="9" t="s">
        <v>334</v>
      </c>
      <c r="C444" s="9" t="s">
        <v>158</v>
      </c>
      <c r="D444" s="9" t="s">
        <v>1606</v>
      </c>
      <c r="E444" s="15" t="str">
        <f>HYPERLINK("https://stat100.ameba.jp/tnk47/ratio20/illustrations/card/ill_76083_dokutamedeikku03.jpg?201902-5-RELEASE-marathon-396", "■")</f>
        <v>■</v>
      </c>
      <c r="F444" s="9" t="s">
        <v>1607</v>
      </c>
      <c r="G444" s="9">
        <v>96610</v>
      </c>
      <c r="H444" s="9">
        <v>103888</v>
      </c>
      <c r="I444" s="9">
        <v>22</v>
      </c>
      <c r="J444" s="9" t="s">
        <v>414</v>
      </c>
      <c r="K444" s="9" t="s">
        <v>1608</v>
      </c>
      <c r="L444" s="9" t="s">
        <v>1609</v>
      </c>
      <c r="M444" s="14" t="s">
        <v>9158</v>
      </c>
      <c r="N444" s="14" t="s">
        <v>9158</v>
      </c>
      <c r="O444" s="14" t="s">
        <v>9158</v>
      </c>
      <c r="P444" s="14" t="s">
        <v>9158</v>
      </c>
      <c r="Q444" s="14" t="s">
        <v>9158</v>
      </c>
    </row>
    <row r="445" spans="1:17">
      <c r="A445" s="9">
        <v>76093</v>
      </c>
      <c r="B445" s="9" t="s">
        <v>334</v>
      </c>
      <c r="C445" s="9" t="s">
        <v>202</v>
      </c>
      <c r="D445" s="9" t="s">
        <v>1610</v>
      </c>
      <c r="E445" s="15" t="str">
        <f>HYPERLINK("https://stat100.ameba.jp/tnk47/ratio20/illustrations/card/ill_76093_fuaiafuaita03.jpg?201902-5-RELEASE-marathon-396", "■")</f>
        <v>■</v>
      </c>
      <c r="F445" s="9" t="s">
        <v>1611</v>
      </c>
      <c r="G445" s="9">
        <v>96610</v>
      </c>
      <c r="H445" s="9">
        <v>103888</v>
      </c>
      <c r="I445" s="9">
        <v>22</v>
      </c>
      <c r="J445" s="9" t="s">
        <v>351</v>
      </c>
      <c r="K445" s="9" t="s">
        <v>1612</v>
      </c>
      <c r="L445" s="9" t="s">
        <v>1613</v>
      </c>
      <c r="M445" s="14" t="s">
        <v>9158</v>
      </c>
      <c r="N445" s="14" t="s">
        <v>9158</v>
      </c>
      <c r="O445" s="14" t="s">
        <v>9158</v>
      </c>
      <c r="P445" s="14" t="s">
        <v>9158</v>
      </c>
      <c r="Q445" s="14" t="s">
        <v>9158</v>
      </c>
    </row>
    <row r="446" spans="1:17">
      <c r="A446" s="9">
        <v>74413</v>
      </c>
      <c r="B446" s="9" t="s">
        <v>334</v>
      </c>
      <c r="C446" s="9" t="s">
        <v>202</v>
      </c>
      <c r="D446" s="9" t="s">
        <v>1614</v>
      </c>
      <c r="E446" s="15" t="str">
        <f>HYPERLINK("https://stat100.ameba.jp/tnk47/ratio20/illustrations/card/ill_74413_mutekisenkanyamato03.jpg?201902-5-RELEASE-marathon-396", "■")</f>
        <v>■</v>
      </c>
      <c r="F446" s="9" t="s">
        <v>1615</v>
      </c>
      <c r="G446" s="9">
        <v>129556</v>
      </c>
      <c r="H446" s="9">
        <v>120470</v>
      </c>
      <c r="I446" s="9">
        <v>22</v>
      </c>
      <c r="J446" s="9" t="s">
        <v>274</v>
      </c>
      <c r="K446" s="9" t="s">
        <v>1616</v>
      </c>
      <c r="L446" s="9" t="s">
        <v>1617</v>
      </c>
      <c r="M446" s="14" t="s">
        <v>9158</v>
      </c>
      <c r="N446" s="14" t="s">
        <v>9158</v>
      </c>
      <c r="O446" s="14" t="s">
        <v>9158</v>
      </c>
      <c r="P446" s="14" t="s">
        <v>9158</v>
      </c>
      <c r="Q446" s="14" t="s">
        <v>9158</v>
      </c>
    </row>
    <row r="447" spans="1:17">
      <c r="A447" s="9">
        <v>74373</v>
      </c>
      <c r="B447" s="9" t="s">
        <v>334</v>
      </c>
      <c r="C447" s="9" t="s">
        <v>203</v>
      </c>
      <c r="D447" s="9" t="s">
        <v>1618</v>
      </c>
      <c r="E447" s="15" t="str">
        <f>HYPERLINK("https://stat100.ameba.jp/tnk47/ratio20/illustrations/card/ill_74373_shirasaginomaihimejijou03.jpg?201902-5-RELEASE-marathon-396", "■")</f>
        <v>■</v>
      </c>
      <c r="F447" s="9" t="s">
        <v>1619</v>
      </c>
      <c r="G447" s="9">
        <v>86778</v>
      </c>
      <c r="H447" s="9">
        <v>80708</v>
      </c>
      <c r="I447" s="9">
        <v>22</v>
      </c>
      <c r="J447" s="9" t="s">
        <v>401</v>
      </c>
      <c r="K447" s="9" t="s">
        <v>1620</v>
      </c>
      <c r="L447" s="9" t="s">
        <v>1621</v>
      </c>
      <c r="M447" s="14" t="s">
        <v>9158</v>
      </c>
      <c r="N447" s="14" t="s">
        <v>9158</v>
      </c>
      <c r="O447" s="14" t="s">
        <v>9158</v>
      </c>
      <c r="P447" s="14" t="s">
        <v>9158</v>
      </c>
      <c r="Q447" s="14" t="s">
        <v>9158</v>
      </c>
    </row>
    <row r="448" spans="1:17">
      <c r="A448" s="9">
        <v>74363</v>
      </c>
      <c r="B448" s="9" t="s">
        <v>334</v>
      </c>
      <c r="C448" s="9" t="s">
        <v>209</v>
      </c>
      <c r="D448" s="9" t="s">
        <v>1622</v>
      </c>
      <c r="E448" s="15" t="str">
        <f>HYPERLINK("https://stat100.ameba.jp/tnk47/ratio20/illustrations/card/ill_74363_gantorikuren03.jpg?201902-5-RELEASE-marathon-396", "■")</f>
        <v>■</v>
      </c>
      <c r="F448" s="9" t="s">
        <v>1623</v>
      </c>
      <c r="G448" s="9">
        <v>82978</v>
      </c>
      <c r="H448" s="9">
        <v>89222</v>
      </c>
      <c r="I448" s="9">
        <v>22</v>
      </c>
      <c r="J448" s="9" t="s">
        <v>369</v>
      </c>
      <c r="K448" s="9" t="s">
        <v>1624</v>
      </c>
      <c r="L448" s="9" t="s">
        <v>1625</v>
      </c>
      <c r="M448" s="14" t="s">
        <v>9158</v>
      </c>
      <c r="N448" s="14" t="s">
        <v>9158</v>
      </c>
      <c r="O448" s="14" t="s">
        <v>9158</v>
      </c>
      <c r="P448" s="14" t="s">
        <v>9158</v>
      </c>
      <c r="Q448" s="14" t="s">
        <v>9158</v>
      </c>
    </row>
    <row r="450" spans="1:17">
      <c r="A450" s="9" t="s">
        <v>1176</v>
      </c>
    </row>
    <row r="451" spans="1:17">
      <c r="A451" s="9" t="s">
        <v>11440</v>
      </c>
    </row>
    <row r="452" spans="1:17">
      <c r="A452" s="9" t="s">
        <v>5609</v>
      </c>
      <c r="B452" s="9" t="s">
        <v>330</v>
      </c>
      <c r="C452" s="9" t="s">
        <v>200</v>
      </c>
      <c r="D452" s="9" t="s">
        <v>389</v>
      </c>
      <c r="E452" s="15" t="str">
        <f>HYPERLINK("https://stat100.ameba.jp/tnk47/ratio20/illustrations/card/ill_53753_0_natsumatsuritokugawaieyasu03.jpg?201903-1-RELEASE-raid-397", "■")</f>
        <v>■</v>
      </c>
      <c r="F452" s="9" t="s">
        <v>390</v>
      </c>
      <c r="G452" s="9">
        <v>131930</v>
      </c>
      <c r="H452" s="9">
        <v>117196</v>
      </c>
      <c r="I452" s="9">
        <v>21</v>
      </c>
      <c r="J452" s="9" t="s">
        <v>310</v>
      </c>
      <c r="K452" s="9" t="s">
        <v>391</v>
      </c>
      <c r="L452" s="9" t="s">
        <v>392</v>
      </c>
      <c r="M452" s="14" t="s">
        <v>9158</v>
      </c>
      <c r="N452" s="14" t="s">
        <v>9158</v>
      </c>
      <c r="O452" s="9" t="s">
        <v>10076</v>
      </c>
      <c r="P452" s="9" t="s">
        <v>13121</v>
      </c>
      <c r="Q452" s="9">
        <v>1</v>
      </c>
    </row>
    <row r="453" spans="1:17">
      <c r="A453" s="9" t="s">
        <v>5721</v>
      </c>
      <c r="B453" s="9" t="s">
        <v>330</v>
      </c>
      <c r="C453" s="9" t="s">
        <v>267</v>
      </c>
      <c r="D453" s="9" t="s">
        <v>513</v>
      </c>
      <c r="E453" s="15" t="str">
        <f>HYPERLINK("https://stat100.ameba.jp/tnk47/ratio20/illustrations/card/ill_44283_0_izumonokuni03.jpg?201903-1-RELEASE-raid-397", "■")</f>
        <v>■</v>
      </c>
      <c r="F453" s="9" t="s">
        <v>514</v>
      </c>
      <c r="G453" s="9">
        <v>122892</v>
      </c>
      <c r="H453" s="9">
        <v>115096</v>
      </c>
      <c r="I453" s="9">
        <v>21</v>
      </c>
      <c r="J453" s="9" t="s">
        <v>414</v>
      </c>
      <c r="K453" s="9" t="s">
        <v>515</v>
      </c>
      <c r="L453" s="9" t="s">
        <v>516</v>
      </c>
      <c r="M453" s="14" t="s">
        <v>9158</v>
      </c>
      <c r="N453" s="14" t="s">
        <v>9158</v>
      </c>
      <c r="O453" s="14" t="s">
        <v>9158</v>
      </c>
      <c r="P453" s="14" t="s">
        <v>9158</v>
      </c>
      <c r="Q453" s="14" t="s">
        <v>9158</v>
      </c>
    </row>
    <row r="454" spans="1:17">
      <c r="A454" s="9" t="s">
        <v>5830</v>
      </c>
      <c r="B454" s="9" t="s">
        <v>330</v>
      </c>
      <c r="C454" s="9" t="s">
        <v>191</v>
      </c>
      <c r="D454" s="9" t="s">
        <v>793</v>
      </c>
      <c r="E454" s="15" t="str">
        <f>HYPERLINK("https://stat100.ameba.jp/tnk47/ratio20/illustrations/card/ill_39933_0_reihiiinaotora03.jpg?201903-1-RELEASE-raid-397", "■")</f>
        <v>■</v>
      </c>
      <c r="F454" s="9" t="s">
        <v>794</v>
      </c>
      <c r="G454" s="9">
        <v>115096</v>
      </c>
      <c r="H454" s="9">
        <v>122892</v>
      </c>
      <c r="I454" s="9">
        <v>21</v>
      </c>
      <c r="J454" s="9" t="s">
        <v>315</v>
      </c>
      <c r="K454" s="9" t="s">
        <v>795</v>
      </c>
      <c r="L454" s="9" t="s">
        <v>796</v>
      </c>
      <c r="M454" s="14" t="s">
        <v>9158</v>
      </c>
      <c r="N454" s="14" t="s">
        <v>9158</v>
      </c>
      <c r="O454" s="14" t="s">
        <v>9158</v>
      </c>
      <c r="P454" s="14" t="s">
        <v>9158</v>
      </c>
      <c r="Q454" s="14" t="s">
        <v>9158</v>
      </c>
    </row>
    <row r="455" spans="1:17">
      <c r="A455" s="9">
        <v>79713</v>
      </c>
      <c r="B455" s="9" t="s">
        <v>334</v>
      </c>
      <c r="C455" s="9" t="s">
        <v>307</v>
      </c>
      <c r="D455" s="9" t="s">
        <v>10717</v>
      </c>
      <c r="E455" s="15" t="str">
        <f>HYPERLINK("https://stat100.ameba.jp/tnk47/ratio20/illustrations/card/ill_79713_yukinosaitembodeikonchan03.jpg?201903-1-RELEASE-raid-397", "■")</f>
        <v>■</v>
      </c>
      <c r="F455" s="9" t="s">
        <v>11426</v>
      </c>
      <c r="G455" s="9">
        <v>95668</v>
      </c>
      <c r="H455" s="9">
        <v>88948</v>
      </c>
      <c r="I455" s="9">
        <v>21</v>
      </c>
      <c r="J455" s="9" t="s">
        <v>369</v>
      </c>
      <c r="K455" s="9" t="s">
        <v>11427</v>
      </c>
      <c r="L455" s="9" t="s">
        <v>1532</v>
      </c>
      <c r="M455" s="14" t="s">
        <v>9158</v>
      </c>
      <c r="N455" s="14" t="s">
        <v>9158</v>
      </c>
      <c r="O455" s="14" t="s">
        <v>9158</v>
      </c>
      <c r="P455" s="14" t="s">
        <v>9158</v>
      </c>
      <c r="Q455" s="14" t="s">
        <v>9158</v>
      </c>
    </row>
    <row r="456" spans="1:17">
      <c r="A456" s="9">
        <v>79723</v>
      </c>
      <c r="B456" s="9" t="s">
        <v>348</v>
      </c>
      <c r="C456" s="9" t="s">
        <v>271</v>
      </c>
      <c r="D456" s="9" t="s">
        <v>10639</v>
      </c>
      <c r="E456" s="15" t="str">
        <f>HYPERLINK("https://stat100.ameba.jp/tnk47/ratio20/illustrations/card/ill_79723_inazumaraigoro03.jpg?201903-1-RELEASE-raid-397", "■")</f>
        <v>■</v>
      </c>
      <c r="F456" s="9" t="s">
        <v>11428</v>
      </c>
      <c r="G456" s="9">
        <v>48390</v>
      </c>
      <c r="H456" s="9">
        <v>53352</v>
      </c>
      <c r="I456" s="9">
        <v>18</v>
      </c>
      <c r="J456" s="9" t="s">
        <v>310</v>
      </c>
      <c r="K456" s="9" t="s">
        <v>11429</v>
      </c>
      <c r="L456" s="9" t="s">
        <v>2960</v>
      </c>
      <c r="M456" s="14" t="s">
        <v>9158</v>
      </c>
      <c r="N456" s="14" t="s">
        <v>9158</v>
      </c>
      <c r="O456" s="14" t="s">
        <v>9158</v>
      </c>
      <c r="P456" s="14" t="s">
        <v>9158</v>
      </c>
      <c r="Q456" s="14" t="s">
        <v>9158</v>
      </c>
    </row>
    <row r="457" spans="1:17">
      <c r="A457" s="9">
        <v>79733</v>
      </c>
      <c r="B457" s="9" t="s">
        <v>362</v>
      </c>
      <c r="C457" s="9" t="s">
        <v>11430</v>
      </c>
      <c r="D457" s="9" t="s">
        <v>11431</v>
      </c>
      <c r="E457" s="15" t="str">
        <f>HYPERLINK("https://stat100.ameba.jp/tnk47/ratio20/illustrations/card/ill_79733_imojouchuuchan03.jpg?201903-1-RELEASE-raid-397", "■")</f>
        <v>■</v>
      </c>
      <c r="F457" s="9" t="s">
        <v>11432</v>
      </c>
      <c r="G457" s="9">
        <v>35346</v>
      </c>
      <c r="H457" s="9">
        <v>29388</v>
      </c>
      <c r="I457" s="9">
        <v>17</v>
      </c>
      <c r="J457" s="9" t="s">
        <v>283</v>
      </c>
      <c r="K457" s="9" t="s">
        <v>11433</v>
      </c>
      <c r="L457" s="9" t="s">
        <v>2964</v>
      </c>
      <c r="M457" s="14" t="s">
        <v>9158</v>
      </c>
      <c r="N457" s="14" t="s">
        <v>9158</v>
      </c>
      <c r="O457" s="14" t="s">
        <v>9158</v>
      </c>
      <c r="P457" s="14" t="s">
        <v>9158</v>
      </c>
      <c r="Q457" s="14" t="s">
        <v>9158</v>
      </c>
    </row>
    <row r="458" spans="1:17">
      <c r="A458" s="9">
        <v>79743</v>
      </c>
      <c r="B458" s="9" t="s">
        <v>372</v>
      </c>
      <c r="C458" s="9" t="s">
        <v>11434</v>
      </c>
      <c r="D458" s="9" t="s">
        <v>11435</v>
      </c>
      <c r="E458" s="15" t="str">
        <f>HYPERLINK("https://stat100.ameba.jp/tnk47/ratio20/illustrations/card/ill_79743_furosutofurawa03.jpg?201903-1-RELEASE-raid-397", "■")</f>
        <v>■</v>
      </c>
      <c r="F458" s="9" t="s">
        <v>11436</v>
      </c>
      <c r="G458" s="9">
        <v>17972</v>
      </c>
      <c r="H458" s="9">
        <v>21398</v>
      </c>
      <c r="I458" s="9">
        <v>17</v>
      </c>
      <c r="J458" s="9" t="s">
        <v>401</v>
      </c>
      <c r="K458" s="9" t="s">
        <v>11437</v>
      </c>
      <c r="L458" s="9" t="s">
        <v>11438</v>
      </c>
      <c r="M458" s="14" t="s">
        <v>9158</v>
      </c>
      <c r="N458" s="14" t="s">
        <v>9158</v>
      </c>
      <c r="O458" s="14" t="s">
        <v>9158</v>
      </c>
      <c r="P458" s="14" t="s">
        <v>9158</v>
      </c>
      <c r="Q458" s="14" t="s">
        <v>9158</v>
      </c>
    </row>
    <row r="460" spans="1:17">
      <c r="A460" s="9" t="s">
        <v>208</v>
      </c>
    </row>
    <row r="461" spans="1:17">
      <c r="A461" s="9" t="s">
        <v>11441</v>
      </c>
    </row>
    <row r="462" spans="1:17">
      <c r="A462" s="9" t="s">
        <v>5617</v>
      </c>
      <c r="B462" s="9" t="s">
        <v>330</v>
      </c>
      <c r="C462" s="9" t="s">
        <v>165</v>
      </c>
      <c r="D462" s="9" t="s">
        <v>385</v>
      </c>
      <c r="E462" s="15" t="str">
        <f>HYPERLINK("https://stat100.ameba.jp/tnk47/ratio20/illustrations/card/ill_59673_0_oheyashutendoji03.jpg?201903-1-RELEASE-raid-397", "■")</f>
        <v>■</v>
      </c>
      <c r="F462" s="9" t="s">
        <v>386</v>
      </c>
      <c r="G462" s="9">
        <v>105545</v>
      </c>
      <c r="H462" s="9">
        <v>113525</v>
      </c>
      <c r="I462" s="9">
        <v>15</v>
      </c>
      <c r="J462" s="9" t="s">
        <v>320</v>
      </c>
      <c r="K462" s="9" t="s">
        <v>387</v>
      </c>
      <c r="L462" s="9" t="s">
        <v>388</v>
      </c>
      <c r="M462" s="14" t="s">
        <v>9158</v>
      </c>
      <c r="N462" s="14" t="s">
        <v>9158</v>
      </c>
      <c r="O462" s="9" t="s">
        <v>10078</v>
      </c>
      <c r="P462" s="9" t="s">
        <v>3022</v>
      </c>
      <c r="Q462" s="9">
        <v>1</v>
      </c>
    </row>
    <row r="463" spans="1:17">
      <c r="A463" s="9" t="s">
        <v>5607</v>
      </c>
      <c r="B463" s="9" t="s">
        <v>330</v>
      </c>
      <c r="C463" s="9" t="s">
        <v>200</v>
      </c>
      <c r="D463" s="9" t="s">
        <v>421</v>
      </c>
      <c r="E463" s="15" t="str">
        <f>HYPERLINK("https://stat100.ameba.jp/tnk47/ratio20/illustrations/card/ill_58853_0_setsubumpanikkuhiratsukaraicho03.jpg?201903-1-RELEASE-raid-397", "■")</f>
        <v>■</v>
      </c>
      <c r="F463" s="9" t="s">
        <v>422</v>
      </c>
      <c r="G463" s="9">
        <v>94236</v>
      </c>
      <c r="H463" s="9">
        <v>83712</v>
      </c>
      <c r="I463" s="9">
        <v>15</v>
      </c>
      <c r="J463" s="9" t="s">
        <v>414</v>
      </c>
      <c r="K463" s="9" t="s">
        <v>423</v>
      </c>
      <c r="L463" s="9" t="s">
        <v>424</v>
      </c>
      <c r="M463" s="14" t="s">
        <v>9158</v>
      </c>
      <c r="N463" s="14" t="s">
        <v>9158</v>
      </c>
      <c r="O463" s="9" t="s">
        <v>10075</v>
      </c>
      <c r="P463" s="9" t="s">
        <v>2870</v>
      </c>
      <c r="Q463" s="9">
        <v>1</v>
      </c>
    </row>
    <row r="464" spans="1:17">
      <c r="A464" s="9" t="s">
        <v>5622</v>
      </c>
      <c r="B464" s="9" t="s">
        <v>330</v>
      </c>
      <c r="C464" s="9" t="s">
        <v>185</v>
      </c>
      <c r="D464" s="9" t="s">
        <v>509</v>
      </c>
      <c r="E464" s="15" t="str">
        <f>HYPERLINK("https://stat100.ameba.jp/tnk47/ratio20/illustrations/card/ill_49953_0_yushamarihime03.jpg?201903-1-RELEASE-raid-397", "■")</f>
        <v>■</v>
      </c>
      <c r="F464" s="9" t="s">
        <v>510</v>
      </c>
      <c r="G464" s="9">
        <v>94236</v>
      </c>
      <c r="H464" s="9">
        <v>83712</v>
      </c>
      <c r="I464" s="9">
        <v>15</v>
      </c>
      <c r="J464" s="9" t="s">
        <v>315</v>
      </c>
      <c r="K464" s="9" t="s">
        <v>511</v>
      </c>
      <c r="L464" s="9" t="s">
        <v>512</v>
      </c>
      <c r="M464" s="14" t="s">
        <v>9158</v>
      </c>
      <c r="N464" s="14" t="s">
        <v>9158</v>
      </c>
      <c r="O464" s="14" t="s">
        <v>9158</v>
      </c>
      <c r="P464" s="14" t="s">
        <v>9158</v>
      </c>
      <c r="Q464" s="14" t="s">
        <v>9158</v>
      </c>
    </row>
    <row r="465" spans="1:19">
      <c r="A465" s="9">
        <v>55963</v>
      </c>
      <c r="B465" s="9" t="s">
        <v>334</v>
      </c>
      <c r="C465" s="9" t="s">
        <v>263</v>
      </c>
      <c r="D465" s="9" t="s">
        <v>11442</v>
      </c>
      <c r="E465" s="15" t="str">
        <f>HYPERLINK("https://stat100.ameba.jp/tnk47/ratio20/illustrations/card/ill_55963_habanero03.jpg?201903-1-RELEASE-raid-397", "■")</f>
        <v>■</v>
      </c>
      <c r="F465" s="9" t="s">
        <v>11443</v>
      </c>
      <c r="G465" s="9">
        <v>93048</v>
      </c>
      <c r="H465" s="9">
        <v>84722</v>
      </c>
      <c r="I465" s="9">
        <v>23</v>
      </c>
      <c r="J465" s="9" t="s">
        <v>283</v>
      </c>
      <c r="K465" s="9" t="s">
        <v>11444</v>
      </c>
      <c r="L465" s="9" t="s">
        <v>1424</v>
      </c>
      <c r="M465" s="14" t="s">
        <v>9158</v>
      </c>
      <c r="N465" s="14" t="s">
        <v>9158</v>
      </c>
      <c r="O465" s="14" t="s">
        <v>9158</v>
      </c>
      <c r="P465" s="14" t="s">
        <v>9158</v>
      </c>
      <c r="Q465" s="14" t="s">
        <v>9158</v>
      </c>
      <c r="S465" s="14" t="s">
        <v>11757</v>
      </c>
    </row>
    <row r="466" spans="1:19">
      <c r="A466" s="9">
        <v>70823</v>
      </c>
      <c r="B466" s="9" t="s">
        <v>334</v>
      </c>
      <c r="C466" s="9" t="s">
        <v>209</v>
      </c>
      <c r="D466" s="9" t="s">
        <v>11755</v>
      </c>
      <c r="E466" s="15" t="str">
        <f>HYPERLINK("https://stat100.ameba.jp/tnk47/ratio20/illustrations/card/ill_70823_indoshinwakonjikihime03.jpg?201903-1-RELEASE-raid-397", "■")</f>
        <v>■</v>
      </c>
      <c r="F466" s="9" t="s">
        <v>11445</v>
      </c>
      <c r="G466" s="9">
        <v>97420</v>
      </c>
      <c r="H466" s="9">
        <v>104964</v>
      </c>
      <c r="I466" s="9">
        <v>23</v>
      </c>
      <c r="J466" s="9" t="s">
        <v>274</v>
      </c>
      <c r="K466" s="9" t="s">
        <v>11446</v>
      </c>
      <c r="L466" s="9" t="s">
        <v>11447</v>
      </c>
      <c r="M466" s="14" t="s">
        <v>9158</v>
      </c>
      <c r="N466" s="14" t="s">
        <v>9158</v>
      </c>
      <c r="O466" s="14" t="s">
        <v>9158</v>
      </c>
      <c r="P466" s="14" t="s">
        <v>9158</v>
      </c>
      <c r="Q466" s="14" t="s">
        <v>9158</v>
      </c>
      <c r="S466" s="14" t="s">
        <v>11756</v>
      </c>
    </row>
    <row r="467" spans="1:19">
      <c r="A467" s="9">
        <v>66683</v>
      </c>
      <c r="B467" s="9" t="s">
        <v>334</v>
      </c>
      <c r="C467" s="9" t="s">
        <v>158</v>
      </c>
      <c r="D467" s="9" t="s">
        <v>10539</v>
      </c>
      <c r="E467" s="15" t="str">
        <f>HYPERLINK("https://stat100.ameba.jp/tnk47/ratio20/illustrations/card/ill_66683_shogihakuzosu03.jpg?201903-1-RELEASE-raid-397", "■")</f>
        <v>■</v>
      </c>
      <c r="F467" s="9" t="s">
        <v>11448</v>
      </c>
      <c r="G467" s="9">
        <v>95830</v>
      </c>
      <c r="H467" s="9">
        <v>89121</v>
      </c>
      <c r="I467" s="9">
        <v>23</v>
      </c>
      <c r="J467" s="9" t="s">
        <v>320</v>
      </c>
      <c r="K467" s="9" t="s">
        <v>11449</v>
      </c>
      <c r="L467" s="9" t="s">
        <v>11450</v>
      </c>
      <c r="M467" s="14" t="s">
        <v>9158</v>
      </c>
      <c r="N467" s="14" t="s">
        <v>9158</v>
      </c>
      <c r="O467" s="14" t="s">
        <v>9158</v>
      </c>
      <c r="P467" s="14" t="s">
        <v>9158</v>
      </c>
      <c r="Q467" s="14" t="s">
        <v>9158</v>
      </c>
      <c r="S467" s="14" t="s">
        <v>11754</v>
      </c>
    </row>
    <row r="468" spans="1:19">
      <c r="A468" s="9">
        <v>60063</v>
      </c>
      <c r="B468" s="9" t="s">
        <v>348</v>
      </c>
      <c r="C468" s="9" t="s">
        <v>165</v>
      </c>
      <c r="D468" s="9" t="s">
        <v>653</v>
      </c>
      <c r="E468" s="15" t="str">
        <f>HYPERLINK("https://stat100.ameba.jp/tnk47/ratio20/illustrations/card/ill_60063_aressandorobuarinyano03.jpg?201903-1-RELEASE-raid-397", "■")</f>
        <v>■</v>
      </c>
      <c r="F468" s="9" t="s">
        <v>654</v>
      </c>
      <c r="G468" s="9">
        <v>68172</v>
      </c>
      <c r="H468" s="9">
        <v>61832</v>
      </c>
      <c r="I468" s="9">
        <v>23</v>
      </c>
      <c r="J468" s="9" t="s">
        <v>351</v>
      </c>
      <c r="K468" s="9" t="s">
        <v>655</v>
      </c>
      <c r="L468" s="9" t="s">
        <v>656</v>
      </c>
      <c r="M468" s="14" t="s">
        <v>9158</v>
      </c>
      <c r="N468" s="14" t="s">
        <v>9158</v>
      </c>
      <c r="O468" s="14" t="s">
        <v>9158</v>
      </c>
      <c r="P468" s="14" t="s">
        <v>9158</v>
      </c>
      <c r="Q468" s="14" t="s">
        <v>9158</v>
      </c>
      <c r="S468" s="14" t="s">
        <v>11726</v>
      </c>
    </row>
    <row r="469" spans="1:19">
      <c r="A469" s="9">
        <v>60743</v>
      </c>
      <c r="B469" s="9" t="s">
        <v>348</v>
      </c>
      <c r="C469" s="9" t="s">
        <v>185</v>
      </c>
      <c r="D469" s="9" t="s">
        <v>657</v>
      </c>
      <c r="E469" s="15" t="str">
        <f>HYPERLINK("https://stat100.ameba.jp/tnk47/ratio20/illustrations/card/ill_60743_satotsugunobu03.jpg?201903-1-RELEASE-raid-397", "■")</f>
        <v>■</v>
      </c>
      <c r="F469" s="9" t="s">
        <v>658</v>
      </c>
      <c r="G469" s="9">
        <v>68172</v>
      </c>
      <c r="H469" s="9">
        <v>61832</v>
      </c>
      <c r="I469" s="9">
        <v>23</v>
      </c>
      <c r="J469" s="9" t="s">
        <v>310</v>
      </c>
      <c r="K469" s="9" t="s">
        <v>659</v>
      </c>
      <c r="L469" s="9" t="s">
        <v>660</v>
      </c>
      <c r="M469" s="14" t="s">
        <v>9158</v>
      </c>
      <c r="N469" s="14" t="s">
        <v>9158</v>
      </c>
      <c r="O469" s="14" t="s">
        <v>9158</v>
      </c>
      <c r="P469" s="14" t="s">
        <v>9158</v>
      </c>
      <c r="Q469" s="14" t="s">
        <v>9158</v>
      </c>
      <c r="S469" s="14" t="s">
        <v>12930</v>
      </c>
    </row>
    <row r="470" spans="1:19">
      <c r="A470" s="9">
        <v>64113</v>
      </c>
      <c r="B470" s="9" t="s">
        <v>348</v>
      </c>
      <c r="C470" s="9" t="s">
        <v>205</v>
      </c>
      <c r="D470" s="9" t="s">
        <v>661</v>
      </c>
      <c r="E470" s="15" t="str">
        <f>HYPERLINK("https://stat100.ameba.jp/tnk47/ratio20/illustrations/card/ill_64113_onikiriyasutsuna03.jpg?201903-1-RELEASE-raid-397", "■")</f>
        <v>■</v>
      </c>
      <c r="F470" s="9" t="s">
        <v>662</v>
      </c>
      <c r="G470" s="9">
        <v>61832</v>
      </c>
      <c r="H470" s="9">
        <v>68172</v>
      </c>
      <c r="I470" s="9">
        <v>23</v>
      </c>
      <c r="J470" s="9" t="s">
        <v>274</v>
      </c>
      <c r="K470" s="9" t="s">
        <v>663</v>
      </c>
      <c r="L470" s="9" t="s">
        <v>664</v>
      </c>
      <c r="M470" s="14" t="s">
        <v>9158</v>
      </c>
      <c r="N470" s="14" t="s">
        <v>9158</v>
      </c>
      <c r="O470" s="14" t="s">
        <v>9158</v>
      </c>
      <c r="P470" s="14" t="s">
        <v>9158</v>
      </c>
      <c r="Q470" s="14" t="s">
        <v>9158</v>
      </c>
      <c r="S470" s="14" t="s">
        <v>12930</v>
      </c>
    </row>
    <row r="472" spans="1:19">
      <c r="A472" s="9" t="s">
        <v>13326</v>
      </c>
    </row>
    <row r="473" spans="1:19">
      <c r="A473" s="9" t="s">
        <v>11451</v>
      </c>
    </row>
    <row r="474" spans="1:19">
      <c r="A474" s="9">
        <v>70073</v>
      </c>
      <c r="B474" s="9" t="s">
        <v>334</v>
      </c>
      <c r="C474" s="9" t="s">
        <v>185</v>
      </c>
      <c r="D474" s="9" t="s">
        <v>859</v>
      </c>
      <c r="E474" s="15" t="str">
        <f>HYPERLINK("https://stat100.ameba.jp/tnk47/ratio20/illustrations/card/ill_70073_muhime03.jpg?201903-1-RELEASE-raid-397x", "■")</f>
        <v>■</v>
      </c>
      <c r="F474" s="9" t="s">
        <v>860</v>
      </c>
      <c r="G474" s="9">
        <v>100698</v>
      </c>
      <c r="H474" s="9">
        <v>108306</v>
      </c>
      <c r="I474" s="9">
        <v>22</v>
      </c>
      <c r="J474" s="9" t="s">
        <v>315</v>
      </c>
      <c r="K474" s="9" t="s">
        <v>861</v>
      </c>
      <c r="L474" s="9" t="s">
        <v>862</v>
      </c>
      <c r="M474" s="9" t="s">
        <v>250</v>
      </c>
      <c r="N474" s="9" t="s">
        <v>251</v>
      </c>
      <c r="O474" s="14" t="s">
        <v>9158</v>
      </c>
      <c r="P474" s="14" t="s">
        <v>9158</v>
      </c>
      <c r="Q474" s="14" t="s">
        <v>9158</v>
      </c>
      <c r="R474" s="14"/>
    </row>
    <row r="475" spans="1:19">
      <c r="A475" s="9">
        <v>70072</v>
      </c>
      <c r="B475" s="9" t="s">
        <v>334</v>
      </c>
      <c r="C475" s="9" t="s">
        <v>185</v>
      </c>
      <c r="D475" s="9" t="s">
        <v>859</v>
      </c>
      <c r="E475" s="15" t="str">
        <f>HYPERLINK("https://stat100.ameba.jp/tnk47/ratio20/illustrations/card/ill_70072_muhime02.jpg?201903-1-RELEASE-raid-397x", "■")</f>
        <v>■</v>
      </c>
      <c r="F475" s="9" t="s">
        <v>860</v>
      </c>
      <c r="G475" s="9">
        <v>83402</v>
      </c>
      <c r="H475" s="9">
        <v>90538</v>
      </c>
      <c r="I475" s="9">
        <v>22</v>
      </c>
      <c r="J475" s="9" t="s">
        <v>315</v>
      </c>
      <c r="K475" s="9" t="s">
        <v>861</v>
      </c>
      <c r="L475" s="9" t="s">
        <v>862</v>
      </c>
      <c r="M475" s="9" t="s">
        <v>250</v>
      </c>
      <c r="N475" s="9" t="s">
        <v>251</v>
      </c>
      <c r="O475" s="14" t="s">
        <v>9158</v>
      </c>
      <c r="P475" s="14" t="s">
        <v>9158</v>
      </c>
      <c r="Q475" s="14" t="s">
        <v>9158</v>
      </c>
      <c r="R475" s="14"/>
    </row>
    <row r="476" spans="1:19">
      <c r="A476" s="9">
        <v>70071</v>
      </c>
      <c r="B476" s="9" t="s">
        <v>334</v>
      </c>
      <c r="C476" s="9" t="s">
        <v>185</v>
      </c>
      <c r="D476" s="9" t="s">
        <v>859</v>
      </c>
      <c r="E476" s="15" t="str">
        <f>HYPERLINK("https://stat100.ameba.jp/tnk47/ratio20/illustrations/card/ill_70071_muhime01.jpg?201903-1-RELEASE-raid-397x", "■")</f>
        <v>■</v>
      </c>
      <c r="F476" s="9" t="s">
        <v>860</v>
      </c>
      <c r="G476" s="9">
        <v>64350</v>
      </c>
      <c r="H476" s="9">
        <v>69124</v>
      </c>
      <c r="I476" s="9">
        <v>22</v>
      </c>
      <c r="J476" s="9" t="s">
        <v>315</v>
      </c>
      <c r="K476" s="9" t="s">
        <v>861</v>
      </c>
      <c r="L476" s="9" t="s">
        <v>862</v>
      </c>
      <c r="M476" s="9" t="s">
        <v>250</v>
      </c>
      <c r="N476" s="9" t="s">
        <v>251</v>
      </c>
      <c r="O476" s="14" t="s">
        <v>9158</v>
      </c>
      <c r="P476" s="14" t="s">
        <v>9158</v>
      </c>
      <c r="Q476" s="14" t="s">
        <v>9158</v>
      </c>
      <c r="R476" s="14"/>
    </row>
    <row r="477" spans="1:19">
      <c r="A477" s="9">
        <v>70083</v>
      </c>
      <c r="B477" s="9" t="s">
        <v>334</v>
      </c>
      <c r="C477" s="9" t="s">
        <v>200</v>
      </c>
      <c r="D477" s="9" t="s">
        <v>252</v>
      </c>
      <c r="E477" s="15" t="str">
        <f>HYPERLINK("https://stat100.ameba.jp/tnk47/ratio20/illustrations/card/ill_70083_kimurakaishu03.jpg?201903-1-RELEASE-raid-397x", "■")</f>
        <v>■</v>
      </c>
      <c r="F477" s="9" t="s">
        <v>863</v>
      </c>
      <c r="G477" s="9">
        <v>108306</v>
      </c>
      <c r="H477" s="9">
        <v>100698</v>
      </c>
      <c r="I477" s="9">
        <v>22</v>
      </c>
      <c r="J477" s="9" t="s">
        <v>173</v>
      </c>
      <c r="K477" s="9" t="s">
        <v>257</v>
      </c>
      <c r="L477" s="9" t="s">
        <v>9897</v>
      </c>
      <c r="M477" s="9" t="s">
        <v>250</v>
      </c>
      <c r="N477" s="9" t="s">
        <v>251</v>
      </c>
      <c r="O477" s="14" t="s">
        <v>9158</v>
      </c>
      <c r="P477" s="14" t="s">
        <v>9158</v>
      </c>
      <c r="Q477" s="14" t="s">
        <v>9158</v>
      </c>
    </row>
    <row r="478" spans="1:19">
      <c r="A478" s="9">
        <v>70923</v>
      </c>
      <c r="B478" s="9" t="s">
        <v>334</v>
      </c>
      <c r="C478" s="9" t="s">
        <v>191</v>
      </c>
      <c r="D478" s="9" t="s">
        <v>253</v>
      </c>
      <c r="E478" s="15" t="str">
        <f>HYPERLINK("https://stat100.ameba.jp/tnk47/ratio20/illustrations/card/ill_70923_hidawagyu03.jpg?201903-1-RELEASE-raid-397x", "■")</f>
        <v>■</v>
      </c>
      <c r="F478" s="9" t="s">
        <v>864</v>
      </c>
      <c r="G478" s="9">
        <v>108306</v>
      </c>
      <c r="H478" s="9">
        <v>100698</v>
      </c>
      <c r="I478" s="9">
        <v>22</v>
      </c>
      <c r="J478" s="9" t="s">
        <v>216</v>
      </c>
      <c r="K478" s="9" t="s">
        <v>258</v>
      </c>
      <c r="L478" s="9" t="s">
        <v>9898</v>
      </c>
      <c r="M478" s="9" t="s">
        <v>250</v>
      </c>
      <c r="N478" s="9" t="s">
        <v>251</v>
      </c>
      <c r="O478" s="14" t="s">
        <v>9158</v>
      </c>
      <c r="P478" s="14" t="s">
        <v>9158</v>
      </c>
      <c r="Q478" s="14" t="s">
        <v>9158</v>
      </c>
    </row>
    <row r="479" spans="1:19">
      <c r="A479" s="9">
        <v>70093</v>
      </c>
      <c r="B479" s="9" t="s">
        <v>334</v>
      </c>
      <c r="C479" s="9" t="s">
        <v>308</v>
      </c>
      <c r="D479" s="9" t="s">
        <v>254</v>
      </c>
      <c r="E479" s="15" t="str">
        <f>HYPERLINK("https://stat100.ameba.jp/tnk47/ratio20/illustrations/card/ill_70093_sarutahikonookami03.jpg?201903-1-RELEASE-raid-397x", "■")</f>
        <v>■</v>
      </c>
      <c r="F479" s="9" t="s">
        <v>865</v>
      </c>
      <c r="G479" s="9">
        <v>100698</v>
      </c>
      <c r="H479" s="9">
        <v>108306</v>
      </c>
      <c r="I479" s="9">
        <v>22</v>
      </c>
      <c r="J479" s="9" t="s">
        <v>169</v>
      </c>
      <c r="K479" s="9" t="s">
        <v>259</v>
      </c>
      <c r="L479" s="9" t="s">
        <v>9899</v>
      </c>
      <c r="M479" s="9" t="s">
        <v>250</v>
      </c>
      <c r="N479" s="9" t="s">
        <v>251</v>
      </c>
      <c r="O479" s="14" t="s">
        <v>9158</v>
      </c>
      <c r="P479" s="14" t="s">
        <v>9158</v>
      </c>
      <c r="Q479" s="14" t="s">
        <v>9158</v>
      </c>
    </row>
    <row r="480" spans="1:19">
      <c r="A480" s="9">
        <v>70933</v>
      </c>
      <c r="B480" s="9" t="s">
        <v>334</v>
      </c>
      <c r="C480" s="9" t="s">
        <v>267</v>
      </c>
      <c r="D480" s="9" t="s">
        <v>255</v>
      </c>
      <c r="E480" s="15" t="str">
        <f>HYPERLINK("https://stat100.ameba.jp/tnk47/ratio20/illustrations/card/ill_70933_zenigatasunae03.jpg?201903-1-RELEASE-raid-397x", "■")</f>
        <v>■</v>
      </c>
      <c r="F480" s="9" t="s">
        <v>866</v>
      </c>
      <c r="G480" s="9">
        <v>100698</v>
      </c>
      <c r="H480" s="9">
        <v>108306</v>
      </c>
      <c r="I480" s="9">
        <v>22</v>
      </c>
      <c r="J480" s="9" t="s">
        <v>229</v>
      </c>
      <c r="K480" s="9" t="s">
        <v>260</v>
      </c>
      <c r="L480" s="9" t="s">
        <v>9900</v>
      </c>
      <c r="M480" s="9" t="s">
        <v>250</v>
      </c>
      <c r="N480" s="9" t="s">
        <v>251</v>
      </c>
      <c r="O480" s="14" t="s">
        <v>9158</v>
      </c>
      <c r="P480" s="14" t="s">
        <v>9158</v>
      </c>
      <c r="Q480" s="14" t="s">
        <v>9158</v>
      </c>
    </row>
    <row r="481" spans="1:17">
      <c r="A481" s="9">
        <v>70943</v>
      </c>
      <c r="B481" s="9" t="s">
        <v>334</v>
      </c>
      <c r="C481" s="9" t="s">
        <v>344</v>
      </c>
      <c r="D481" s="9" t="s">
        <v>256</v>
      </c>
      <c r="E481" s="15" t="str">
        <f>HYPERLINK("https://stat100.ameba.jp/tnk47/ratio20/illustrations/card/ill_70943_tengunokakuremino03.jpg?201903-1-RELEASE-raid-397x", "■")</f>
        <v>■</v>
      </c>
      <c r="F481" s="9" t="s">
        <v>867</v>
      </c>
      <c r="G481" s="9">
        <v>108306</v>
      </c>
      <c r="H481" s="9">
        <v>100698</v>
      </c>
      <c r="I481" s="9">
        <v>22</v>
      </c>
      <c r="J481" s="9" t="s">
        <v>155</v>
      </c>
      <c r="K481" s="9" t="s">
        <v>261</v>
      </c>
      <c r="L481" s="9" t="s">
        <v>9901</v>
      </c>
      <c r="M481" s="9" t="s">
        <v>250</v>
      </c>
      <c r="N481" s="9" t="s">
        <v>251</v>
      </c>
      <c r="O481" s="14" t="s">
        <v>9158</v>
      </c>
      <c r="P481" s="14" t="s">
        <v>9158</v>
      </c>
      <c r="Q481" s="14" t="s">
        <v>9158</v>
      </c>
    </row>
    <row r="483" spans="1:17">
      <c r="A483" s="9" t="s">
        <v>114</v>
      </c>
    </row>
    <row r="484" spans="1:17">
      <c r="A484" s="9" t="s">
        <v>11452</v>
      </c>
    </row>
    <row r="485" spans="1:17">
      <c r="A485" s="9" t="s">
        <v>5901</v>
      </c>
      <c r="B485" s="9" t="s">
        <v>330</v>
      </c>
      <c r="C485" s="9" t="s">
        <v>307</v>
      </c>
      <c r="D485" s="9" t="s">
        <v>1426</v>
      </c>
      <c r="E485" s="15" t="str">
        <f>HYPERLINK("https://stat100.ameba.jp/tnk47/ratio20/illustrations/card/ill_64953_0_yukatatokugawayoshinobu03.jpg?201903-1-RELEASE-raid-397xx", "■")</f>
        <v>■</v>
      </c>
      <c r="F485" s="9" t="s">
        <v>1427</v>
      </c>
      <c r="G485" s="9">
        <v>130830</v>
      </c>
      <c r="H485" s="9">
        <v>140704</v>
      </c>
      <c r="I485" s="9">
        <v>21</v>
      </c>
      <c r="J485" s="9" t="s">
        <v>351</v>
      </c>
      <c r="K485" s="9" t="s">
        <v>1428</v>
      </c>
      <c r="L485" s="9" t="s">
        <v>1429</v>
      </c>
      <c r="M485" s="14" t="s">
        <v>9158</v>
      </c>
      <c r="N485" s="14" t="s">
        <v>9158</v>
      </c>
      <c r="O485" s="9" t="s">
        <v>2889</v>
      </c>
      <c r="P485" s="9" t="s">
        <v>2890</v>
      </c>
      <c r="Q485" s="9">
        <v>1</v>
      </c>
    </row>
    <row r="486" spans="1:17">
      <c r="A486" s="9" t="s">
        <v>5620</v>
      </c>
      <c r="B486" s="9" t="s">
        <v>330</v>
      </c>
      <c r="C486" s="9" t="s">
        <v>206</v>
      </c>
      <c r="D486" s="9" t="s">
        <v>669</v>
      </c>
      <c r="E486" s="15" t="str">
        <f>HYPERLINK("https://stat100.ameba.jp/tnk47/ratio20/illustrations/card/ill_67173_0_yukemuriawamorichan03.jpg?201903-1-RELEASE-raid-397xx", "■")</f>
        <v>■</v>
      </c>
      <c r="F486" s="9" t="s">
        <v>670</v>
      </c>
      <c r="G486" s="9">
        <v>161349</v>
      </c>
      <c r="H486" s="9">
        <v>150006</v>
      </c>
      <c r="I486" s="9">
        <v>21</v>
      </c>
      <c r="J486" s="9" t="s">
        <v>283</v>
      </c>
      <c r="K486" s="9" t="s">
        <v>671</v>
      </c>
      <c r="L486" s="9" t="s">
        <v>672</v>
      </c>
      <c r="M486" s="14" t="s">
        <v>9158</v>
      </c>
      <c r="N486" s="14" t="s">
        <v>9158</v>
      </c>
      <c r="O486" s="9" t="s">
        <v>10087</v>
      </c>
      <c r="P486" s="9" t="s">
        <v>3164</v>
      </c>
      <c r="Q486" s="9">
        <v>1</v>
      </c>
    </row>
    <row r="487" spans="1:17">
      <c r="A487" s="9">
        <v>77683</v>
      </c>
      <c r="B487" s="9" t="s">
        <v>334</v>
      </c>
      <c r="C487" s="9" t="s">
        <v>158</v>
      </c>
      <c r="D487" s="9" t="s">
        <v>10220</v>
      </c>
      <c r="E487" s="15" t="str">
        <f>HYPERLINK("https://stat100.ameba.jp/tnk47/ratio20/illustrations/card/ill_77683_shukusainoujohoride03.jpg?201903-1-RELEASE-raid-397xx", "■")</f>
        <v>■</v>
      </c>
      <c r="F487" s="9" t="s">
        <v>1430</v>
      </c>
      <c r="G487" s="9">
        <v>104890</v>
      </c>
      <c r="H487" s="9">
        <v>75984</v>
      </c>
      <c r="I487" s="9">
        <v>24</v>
      </c>
      <c r="J487" s="9" t="s">
        <v>315</v>
      </c>
      <c r="K487" s="9" t="s">
        <v>1431</v>
      </c>
      <c r="L487" s="9" t="s">
        <v>1432</v>
      </c>
      <c r="M487" s="14" t="s">
        <v>9158</v>
      </c>
      <c r="N487" s="14" t="s">
        <v>9158</v>
      </c>
      <c r="O487" s="9" t="s">
        <v>10090</v>
      </c>
      <c r="P487" s="9" t="s">
        <v>3115</v>
      </c>
      <c r="Q487" s="9">
        <v>1</v>
      </c>
    </row>
    <row r="488" spans="1:17">
      <c r="A488" s="9">
        <v>54833</v>
      </c>
      <c r="B488" s="9" t="s">
        <v>334</v>
      </c>
      <c r="C488" s="9" t="s">
        <v>263</v>
      </c>
      <c r="D488" s="9" t="s">
        <v>429</v>
      </c>
      <c r="E488" s="15" t="str">
        <f>HYPERLINK("https://stat100.ameba.jp/tnk47/ratio20/illustrations/card/ill_54833_keramaburu03.jpg?201903-1-RELEASE-raid-397xx", "■")</f>
        <v>■</v>
      </c>
      <c r="F488" s="9" t="s">
        <v>430</v>
      </c>
      <c r="G488" s="9">
        <v>63547</v>
      </c>
      <c r="H488" s="9">
        <v>86668</v>
      </c>
      <c r="I488" s="9">
        <v>21</v>
      </c>
      <c r="J488" s="9" t="s">
        <v>369</v>
      </c>
      <c r="K488" s="9" t="s">
        <v>431</v>
      </c>
      <c r="L488" s="9" t="s">
        <v>432</v>
      </c>
      <c r="M488" s="14" t="s">
        <v>9158</v>
      </c>
      <c r="N488" s="14" t="s">
        <v>9158</v>
      </c>
      <c r="O488" s="14" t="s">
        <v>9158</v>
      </c>
      <c r="P488" s="14" t="s">
        <v>9158</v>
      </c>
      <c r="Q488" s="14" t="s">
        <v>9158</v>
      </c>
    </row>
    <row r="489" spans="1:17">
      <c r="A489" s="9">
        <v>73093</v>
      </c>
      <c r="B489" s="9" t="s">
        <v>334</v>
      </c>
      <c r="C489" s="9" t="s">
        <v>154</v>
      </c>
      <c r="D489" s="9" t="s">
        <v>433</v>
      </c>
      <c r="E489" s="15" t="str">
        <f>HYPERLINK("https://stat100.ameba.jp/tnk47/ratio20/illustrations/card/ill_73093_aisukurinchan03.jpg?201903-1-RELEASE-raid-397xx", "■")</f>
        <v>■</v>
      </c>
      <c r="F489" s="9" t="s">
        <v>433</v>
      </c>
      <c r="G489" s="9">
        <v>139716</v>
      </c>
      <c r="H489" s="9">
        <v>101199</v>
      </c>
      <c r="I489" s="9">
        <v>21</v>
      </c>
      <c r="J489" s="9" t="s">
        <v>283</v>
      </c>
      <c r="K489" s="9" t="s">
        <v>434</v>
      </c>
      <c r="L489" s="9" t="s">
        <v>435</v>
      </c>
      <c r="M489" s="14" t="s">
        <v>9158</v>
      </c>
      <c r="N489" s="14" t="s">
        <v>9158</v>
      </c>
      <c r="O489" s="9" t="s">
        <v>2741</v>
      </c>
      <c r="P489" s="9" t="s">
        <v>2742</v>
      </c>
      <c r="Q489" s="9">
        <v>1</v>
      </c>
    </row>
    <row r="490" spans="1:17">
      <c r="A490" s="9">
        <v>72153</v>
      </c>
      <c r="B490" s="9" t="s">
        <v>334</v>
      </c>
      <c r="C490" s="9" t="s">
        <v>203</v>
      </c>
      <c r="D490" s="9" t="s">
        <v>436</v>
      </c>
      <c r="E490" s="15" t="str">
        <f>HYPERLINK("https://stat100.ameba.jp/tnk47/ratio20/illustrations/card/ill_72153_bakki03.jpg?201903-1-RELEASE-raid-397xx", "■")</f>
        <v>■</v>
      </c>
      <c r="F490" s="9" t="s">
        <v>437</v>
      </c>
      <c r="G490" s="9">
        <v>80391</v>
      </c>
      <c r="H490" s="9">
        <v>111000</v>
      </c>
      <c r="I490" s="9">
        <v>21</v>
      </c>
      <c r="J490" s="9" t="s">
        <v>320</v>
      </c>
      <c r="K490" s="9" t="s">
        <v>438</v>
      </c>
      <c r="L490" s="9" t="s">
        <v>439</v>
      </c>
      <c r="M490" s="14" t="s">
        <v>9158</v>
      </c>
      <c r="N490" s="14" t="s">
        <v>9158</v>
      </c>
      <c r="O490" s="14" t="s">
        <v>9158</v>
      </c>
      <c r="P490" s="14" t="s">
        <v>9158</v>
      </c>
      <c r="Q490" s="14" t="s">
        <v>9158</v>
      </c>
    </row>
    <row r="491" spans="1:17">
      <c r="A491" s="9">
        <v>66353</v>
      </c>
      <c r="B491" s="9" t="s">
        <v>334</v>
      </c>
      <c r="C491" s="9" t="s">
        <v>158</v>
      </c>
      <c r="D491" s="9" t="s">
        <v>440</v>
      </c>
      <c r="E491" s="15" t="str">
        <f>HYPERLINK("https://stat100.ameba.jp/tnk47/ratio20/illustrations/card/ill_66353_kajiwaranyudotoan03.jpg?201903-1-RELEASE-raid-397xx", "■")</f>
        <v>■</v>
      </c>
      <c r="F491" s="9" t="s">
        <v>441</v>
      </c>
      <c r="G491" s="9">
        <v>139716</v>
      </c>
      <c r="H491" s="9">
        <v>101199</v>
      </c>
      <c r="I491" s="9">
        <v>21</v>
      </c>
      <c r="J491" s="9" t="s">
        <v>310</v>
      </c>
      <c r="K491" s="9" t="s">
        <v>442</v>
      </c>
      <c r="L491" s="9" t="s">
        <v>443</v>
      </c>
      <c r="M491" s="14" t="s">
        <v>9158</v>
      </c>
      <c r="N491" s="14" t="s">
        <v>9158</v>
      </c>
      <c r="O491" s="9" t="s">
        <v>10102</v>
      </c>
      <c r="P491" s="9" t="s">
        <v>11414</v>
      </c>
      <c r="Q491" s="9">
        <v>1</v>
      </c>
    </row>
    <row r="492" spans="1:17">
      <c r="A492" s="9">
        <v>60183</v>
      </c>
      <c r="B492" s="9" t="s">
        <v>334</v>
      </c>
      <c r="C492" s="9" t="s">
        <v>268</v>
      </c>
      <c r="D492" s="9" t="s">
        <v>444</v>
      </c>
      <c r="E492" s="15" t="str">
        <f>HYPERLINK("https://stat100.ameba.jp/tnk47/ratio20/illustrations/card/ill_60183_aizuyaichi03.jpg?201903-1-RELEASE-raid-397xx", "■")</f>
        <v>■</v>
      </c>
      <c r="F492" s="9" t="s">
        <v>445</v>
      </c>
      <c r="G492" s="9">
        <v>69051</v>
      </c>
      <c r="H492" s="9">
        <v>69051</v>
      </c>
      <c r="I492" s="9">
        <v>21</v>
      </c>
      <c r="J492" s="9" t="s">
        <v>414</v>
      </c>
      <c r="K492" s="9" t="s">
        <v>446</v>
      </c>
      <c r="L492" s="9" t="s">
        <v>447</v>
      </c>
      <c r="M492" s="14" t="s">
        <v>9158</v>
      </c>
      <c r="N492" s="14" t="s">
        <v>9158</v>
      </c>
      <c r="O492" s="14" t="s">
        <v>9158</v>
      </c>
      <c r="P492" s="14" t="s">
        <v>9158</v>
      </c>
      <c r="Q492" s="14" t="s">
        <v>9158</v>
      </c>
    </row>
    <row r="494" spans="1:17">
      <c r="A494" s="9" t="s">
        <v>135</v>
      </c>
    </row>
    <row r="495" spans="1:17">
      <c r="A495" s="9" t="s">
        <v>11453</v>
      </c>
    </row>
    <row r="496" spans="1:17">
      <c r="A496" s="9" t="s">
        <v>5623</v>
      </c>
      <c r="B496" s="9" t="s">
        <v>330</v>
      </c>
      <c r="C496" s="9" t="s">
        <v>165</v>
      </c>
      <c r="D496" s="9" t="s">
        <v>3146</v>
      </c>
      <c r="E496" s="15" t="str">
        <f>HYPERLINK("https://stat100.ameba.jp/tnk47/ratio20/illustrations/card/ill_65713_0_undokaionikirimaru03.jpg?201903-1-RELEASE-raid-397xx", "■")</f>
        <v>■</v>
      </c>
      <c r="F496" s="9" t="s">
        <v>535</v>
      </c>
      <c r="G496" s="9">
        <v>174073</v>
      </c>
      <c r="H496" s="9">
        <v>161837</v>
      </c>
      <c r="I496" s="9">
        <v>23</v>
      </c>
      <c r="J496" s="9" t="s">
        <v>320</v>
      </c>
      <c r="K496" s="9" t="s">
        <v>3147</v>
      </c>
      <c r="L496" s="9" t="s">
        <v>3148</v>
      </c>
      <c r="M496" s="14" t="s">
        <v>9158</v>
      </c>
      <c r="N496" s="14" t="s">
        <v>9158</v>
      </c>
      <c r="O496" s="9" t="s">
        <v>2869</v>
      </c>
      <c r="P496" s="9" t="s">
        <v>2870</v>
      </c>
      <c r="Q496" s="9">
        <v>1</v>
      </c>
    </row>
    <row r="497" spans="1:18">
      <c r="A497" s="9">
        <v>68723</v>
      </c>
      <c r="B497" s="9" t="s">
        <v>334</v>
      </c>
      <c r="C497" s="9" t="s">
        <v>185</v>
      </c>
      <c r="D497" s="9" t="s">
        <v>10922</v>
      </c>
      <c r="E497" s="15" t="str">
        <f>HYPERLINK("https://stat100.ameba.jp/tnk47/ratio20/illustrations/card/ill_68723_gantanfukuhime03.jpg?201903-1-RELEASE-raid-397xx", "■")</f>
        <v>■</v>
      </c>
      <c r="F497" s="9" t="s">
        <v>758</v>
      </c>
      <c r="G497" s="9">
        <v>76237</v>
      </c>
      <c r="H497" s="9">
        <v>82027</v>
      </c>
      <c r="I497" s="9">
        <v>21</v>
      </c>
      <c r="J497" s="9" t="s">
        <v>315</v>
      </c>
      <c r="K497" s="9" t="s">
        <v>11387</v>
      </c>
      <c r="L497" s="9" t="s">
        <v>608</v>
      </c>
      <c r="M497" s="14" t="s">
        <v>9158</v>
      </c>
      <c r="N497" s="14" t="s">
        <v>9158</v>
      </c>
      <c r="O497" s="9" t="s">
        <v>10074</v>
      </c>
      <c r="P497" s="9" t="s">
        <v>2822</v>
      </c>
      <c r="Q497" s="9">
        <v>1</v>
      </c>
    </row>
    <row r="498" spans="1:18">
      <c r="A498" s="9">
        <v>67993</v>
      </c>
      <c r="B498" s="9" t="s">
        <v>334</v>
      </c>
      <c r="C498" s="9" t="s">
        <v>205</v>
      </c>
      <c r="D498" s="9" t="s">
        <v>10183</v>
      </c>
      <c r="E498" s="15" t="str">
        <f>HYPERLINK("https://stat100.ameba.jp/tnk47/ratio20/illustrations/card/ill_67993_kurisumasupateikanekomisuzu03.jpg?201903-1-RELEASE-raid-397xx", "■")</f>
        <v>■</v>
      </c>
      <c r="F498" s="9" t="s">
        <v>11454</v>
      </c>
      <c r="G498" s="9">
        <v>82027</v>
      </c>
      <c r="H498" s="9">
        <v>76237</v>
      </c>
      <c r="I498" s="9">
        <v>21</v>
      </c>
      <c r="J498" s="9" t="s">
        <v>351</v>
      </c>
      <c r="K498" s="9" t="s">
        <v>11455</v>
      </c>
      <c r="L498" s="9" t="s">
        <v>11456</v>
      </c>
      <c r="M498" s="14" t="s">
        <v>9158</v>
      </c>
      <c r="N498" s="14" t="s">
        <v>9158</v>
      </c>
      <c r="O498" s="9" t="s">
        <v>10086</v>
      </c>
      <c r="P498" s="9" t="s">
        <v>11457</v>
      </c>
      <c r="Q498" s="9">
        <v>1</v>
      </c>
    </row>
    <row r="499" spans="1:18">
      <c r="A499" s="9">
        <v>58743</v>
      </c>
      <c r="B499" s="9" t="s">
        <v>334</v>
      </c>
      <c r="C499" s="9" t="s">
        <v>209</v>
      </c>
      <c r="D499" s="9" t="s">
        <v>10273</v>
      </c>
      <c r="E499" s="15" t="str">
        <f>HYPERLINK("https://stat100.ameba.jp/tnk47/ratio20/illustrations/card/ill_58743_enkirienoki03.jpg?201903-1-RELEASE-raid-397xx", "■")</f>
        <v>■</v>
      </c>
      <c r="F499" s="9" t="s">
        <v>11458</v>
      </c>
      <c r="G499" s="9">
        <v>63547</v>
      </c>
      <c r="H499" s="9">
        <v>86668</v>
      </c>
      <c r="I499" s="9">
        <v>21</v>
      </c>
      <c r="J499" s="9" t="s">
        <v>401</v>
      </c>
      <c r="K499" s="9" t="s">
        <v>11459</v>
      </c>
      <c r="L499" s="9" t="s">
        <v>775</v>
      </c>
      <c r="M499" s="14" t="s">
        <v>9158</v>
      </c>
      <c r="N499" s="14" t="s">
        <v>9158</v>
      </c>
      <c r="O499" s="9" t="s">
        <v>10091</v>
      </c>
      <c r="P499" s="9" t="s">
        <v>2984</v>
      </c>
      <c r="Q499" s="9">
        <v>1</v>
      </c>
    </row>
    <row r="501" spans="1:18">
      <c r="A501" s="9" t="s">
        <v>223</v>
      </c>
    </row>
    <row r="502" spans="1:18">
      <c r="A502" s="9" t="s">
        <v>11460</v>
      </c>
    </row>
    <row r="503" spans="1:18">
      <c r="A503" s="9" t="s">
        <v>5615</v>
      </c>
      <c r="B503" s="9" t="s">
        <v>330</v>
      </c>
      <c r="C503" s="9" t="s">
        <v>206</v>
      </c>
      <c r="D503" s="9" t="s">
        <v>2814</v>
      </c>
      <c r="E503" s="15" t="str">
        <f>HYPERLINK("https://stat100.ameba.jp/tnk47/ratio20/illustrations/card/ill_57733_0_shogatsunisenjunanaamakusashiro03.jpg?201903-2-RELEASE-unionbattle-398", "■")</f>
        <v>■</v>
      </c>
      <c r="F503" s="9" t="s">
        <v>2815</v>
      </c>
      <c r="G503" s="9">
        <v>100454</v>
      </c>
      <c r="H503" s="9">
        <v>113082</v>
      </c>
      <c r="I503" s="9">
        <v>18</v>
      </c>
      <c r="J503" s="9" t="s">
        <v>351</v>
      </c>
      <c r="K503" s="9" t="s">
        <v>2816</v>
      </c>
      <c r="L503" s="9" t="s">
        <v>2817</v>
      </c>
      <c r="M503" s="14" t="s">
        <v>9158</v>
      </c>
      <c r="N503" s="14" t="s">
        <v>9158</v>
      </c>
      <c r="O503" s="9" t="s">
        <v>10077</v>
      </c>
      <c r="P503" s="9" t="s">
        <v>3062</v>
      </c>
      <c r="Q503" s="9">
        <v>1</v>
      </c>
    </row>
    <row r="504" spans="1:18">
      <c r="A504" s="9">
        <v>58803</v>
      </c>
      <c r="B504" s="9" t="s">
        <v>334</v>
      </c>
      <c r="C504" s="9" t="s">
        <v>205</v>
      </c>
      <c r="D504" s="9" t="s">
        <v>10210</v>
      </c>
      <c r="E504" s="15" t="str">
        <f>HYPERLINK("https://stat100.ameba.jp/tnk47/ratio20/illustrations/card/ill_58803_setsubumpanikkumimuratsuru03.jpg?201903-2-RELEASE-unionbattle-398", "■")</f>
        <v>■</v>
      </c>
      <c r="F504" s="9" t="s">
        <v>11461</v>
      </c>
      <c r="G504" s="9">
        <v>118560</v>
      </c>
      <c r="H504" s="9">
        <v>71672</v>
      </c>
      <c r="I504" s="9">
        <v>20</v>
      </c>
      <c r="J504" s="9" t="s">
        <v>310</v>
      </c>
      <c r="K504" s="9" t="s">
        <v>11462</v>
      </c>
      <c r="L504" s="9" t="s">
        <v>312</v>
      </c>
      <c r="M504" s="14" t="s">
        <v>9158</v>
      </c>
      <c r="N504" s="14" t="s">
        <v>9158</v>
      </c>
      <c r="O504" s="9" t="s">
        <v>3703</v>
      </c>
      <c r="P504" s="9" t="s">
        <v>3704</v>
      </c>
      <c r="Q504" s="9">
        <v>1</v>
      </c>
    </row>
    <row r="505" spans="1:18">
      <c r="A505" s="9">
        <v>58743</v>
      </c>
      <c r="B505" s="9" t="s">
        <v>334</v>
      </c>
      <c r="C505" s="9" t="s">
        <v>209</v>
      </c>
      <c r="D505" s="9" t="s">
        <v>10273</v>
      </c>
      <c r="E505" s="15" t="str">
        <f>HYPERLINK("https://stat100.ameba.jp/tnk47/ratio20/illustrations/card/ill_58743_enkirienoki03.jpg?201903-2-RELEASE-unionbattle-398", "■")</f>
        <v>■</v>
      </c>
      <c r="F505" s="9" t="s">
        <v>11458</v>
      </c>
      <c r="G505" s="9">
        <v>60522</v>
      </c>
      <c r="H505" s="9">
        <v>82542</v>
      </c>
      <c r="I505" s="9">
        <v>20</v>
      </c>
      <c r="J505" s="9" t="s">
        <v>401</v>
      </c>
      <c r="K505" s="9" t="s">
        <v>11459</v>
      </c>
      <c r="L505" s="9" t="s">
        <v>775</v>
      </c>
      <c r="M505" s="14" t="s">
        <v>9158</v>
      </c>
      <c r="N505" s="14" t="s">
        <v>9158</v>
      </c>
      <c r="O505" s="9" t="s">
        <v>10091</v>
      </c>
      <c r="P505" s="9" t="s">
        <v>2984</v>
      </c>
      <c r="Q505" s="9">
        <v>1</v>
      </c>
    </row>
    <row r="506" spans="1:18">
      <c r="A506" s="9">
        <v>52083</v>
      </c>
      <c r="B506" s="9" t="s">
        <v>334</v>
      </c>
      <c r="C506" s="9" t="s">
        <v>158</v>
      </c>
      <c r="D506" s="9" t="s">
        <v>2913</v>
      </c>
      <c r="E506" s="15" t="str">
        <f>HYPERLINK("https://stat100.ameba.jp/tnk47/ratio20/illustrations/card/ill_52083_berubetto03.jpg?201903-2-RELEASE-unionbattle-398", "■")</f>
        <v>■</v>
      </c>
      <c r="F506" s="9" t="s">
        <v>2914</v>
      </c>
      <c r="G506" s="9">
        <v>68912</v>
      </c>
      <c r="H506" s="9">
        <v>95134</v>
      </c>
      <c r="I506" s="9">
        <v>20</v>
      </c>
      <c r="J506" s="9" t="s">
        <v>229</v>
      </c>
      <c r="K506" s="9" t="s">
        <v>945</v>
      </c>
      <c r="L506" s="9" t="s">
        <v>13146</v>
      </c>
      <c r="M506" s="14" t="s">
        <v>9158</v>
      </c>
      <c r="N506" s="14" t="s">
        <v>9158</v>
      </c>
      <c r="O506" s="9" t="s">
        <v>2917</v>
      </c>
      <c r="P506" s="9" t="s">
        <v>2918</v>
      </c>
      <c r="Q506" s="9">
        <v>1</v>
      </c>
    </row>
    <row r="508" spans="1:18">
      <c r="A508" s="9" t="s">
        <v>132</v>
      </c>
    </row>
    <row r="509" spans="1:18">
      <c r="A509" s="9" t="s">
        <v>11463</v>
      </c>
    </row>
    <row r="510" spans="1:18">
      <c r="A510" s="9">
        <v>61965</v>
      </c>
      <c r="B510" s="9" t="s">
        <v>334</v>
      </c>
      <c r="C510" s="9" t="s">
        <v>202</v>
      </c>
      <c r="D510" s="9" t="s">
        <v>11464</v>
      </c>
      <c r="E510" s="15" t="str">
        <f>HYPERLINK("https://stat100.ameba.jp/tnk47/ratio20/illustrations/card/ill_61965_omagatoki05.jpg?201903-2-RELEASE-unionbattle-398", "■")</f>
        <v>■</v>
      </c>
      <c r="F510" s="9" t="s">
        <v>11465</v>
      </c>
      <c r="G510" s="9">
        <v>110589</v>
      </c>
      <c r="H510" s="9">
        <v>80088</v>
      </c>
      <c r="I510" s="9">
        <v>21</v>
      </c>
      <c r="J510" s="9" t="s">
        <v>320</v>
      </c>
      <c r="K510" s="9" t="s">
        <v>11466</v>
      </c>
      <c r="L510" s="9" t="s">
        <v>11467</v>
      </c>
      <c r="M510" s="14" t="s">
        <v>9158</v>
      </c>
      <c r="N510" s="14" t="s">
        <v>9158</v>
      </c>
      <c r="O510" s="9" t="s">
        <v>10080</v>
      </c>
      <c r="P510" s="9" t="s">
        <v>11468</v>
      </c>
      <c r="Q510" s="9">
        <v>1</v>
      </c>
      <c r="R510" s="9" t="s">
        <v>174</v>
      </c>
    </row>
    <row r="511" spans="1:18">
      <c r="A511" s="9">
        <v>61963</v>
      </c>
      <c r="B511" s="9" t="s">
        <v>348</v>
      </c>
      <c r="C511" s="9" t="s">
        <v>209</v>
      </c>
      <c r="D511" s="9" t="s">
        <v>11464</v>
      </c>
      <c r="E511" s="15" t="str">
        <f>HYPERLINK("https://stat100.ameba.jp/tnk47/ratio20/illustrations/card/ill_61963_omagatoki03.jpg?201903-2-RELEASE-unionbattle-398", "■")</f>
        <v>■</v>
      </c>
      <c r="F511" s="9" t="s">
        <v>11465</v>
      </c>
      <c r="G511" s="9">
        <v>81478</v>
      </c>
      <c r="H511" s="9">
        <v>58990</v>
      </c>
      <c r="I511" s="9">
        <v>21</v>
      </c>
      <c r="J511" s="9" t="s">
        <v>320</v>
      </c>
      <c r="K511" s="9" t="s">
        <v>11466</v>
      </c>
      <c r="L511" s="9" t="s">
        <v>11469</v>
      </c>
      <c r="M511" s="14" t="s">
        <v>9158</v>
      </c>
      <c r="N511" s="14" t="s">
        <v>9158</v>
      </c>
      <c r="O511" s="9" t="s">
        <v>10080</v>
      </c>
      <c r="P511" s="9" t="s">
        <v>11468</v>
      </c>
      <c r="Q511" s="9">
        <v>1</v>
      </c>
      <c r="R511" s="9" t="s">
        <v>175</v>
      </c>
    </row>
    <row r="512" spans="1:18">
      <c r="A512" s="9">
        <v>61961</v>
      </c>
      <c r="B512" s="9" t="s">
        <v>348</v>
      </c>
      <c r="C512" s="9" t="s">
        <v>209</v>
      </c>
      <c r="D512" s="9" t="s">
        <v>11464</v>
      </c>
      <c r="E512" s="15" t="str">
        <f>HYPERLINK("https://stat100.ameba.jp/tnk47/ratio20/illustrations/card/ill_61961_omagatoki01.jpg?201903-2-RELEASE-unionbattle-398", "■")</f>
        <v>■</v>
      </c>
      <c r="F512" s="9" t="s">
        <v>11465</v>
      </c>
      <c r="G512" s="9">
        <v>51828</v>
      </c>
      <c r="H512" s="9">
        <v>37527</v>
      </c>
      <c r="I512" s="9">
        <v>21</v>
      </c>
      <c r="J512" s="9" t="s">
        <v>320</v>
      </c>
      <c r="K512" s="9" t="s">
        <v>11466</v>
      </c>
      <c r="L512" s="9" t="s">
        <v>11470</v>
      </c>
      <c r="M512" s="14" t="s">
        <v>9158</v>
      </c>
      <c r="N512" s="14" t="s">
        <v>9158</v>
      </c>
      <c r="O512" s="9" t="s">
        <v>10080</v>
      </c>
      <c r="P512" s="9" t="s">
        <v>11468</v>
      </c>
      <c r="Q512" s="9">
        <v>1</v>
      </c>
      <c r="R512" s="9" t="s">
        <v>176</v>
      </c>
    </row>
    <row r="513" spans="1:18">
      <c r="A513" s="9">
        <v>67905</v>
      </c>
      <c r="B513" s="9" t="s">
        <v>334</v>
      </c>
      <c r="C513" s="9" t="s">
        <v>202</v>
      </c>
      <c r="D513" s="9" t="s">
        <v>10346</v>
      </c>
      <c r="E513" s="15" t="str">
        <f>HYPERLINK("https://stat100.ameba.jp/tnk47/ratio20/illustrations/card/ill_67905_yokoin05.jpg?201903-2-RELEASE-unionbattle-398", "■")</f>
        <v>■</v>
      </c>
      <c r="F513" s="9" t="s">
        <v>11471</v>
      </c>
      <c r="G513" s="9">
        <v>98728</v>
      </c>
      <c r="H513" s="9">
        <v>71481</v>
      </c>
      <c r="I513" s="9">
        <v>21</v>
      </c>
      <c r="J513" s="9" t="s">
        <v>315</v>
      </c>
      <c r="K513" s="9" t="s">
        <v>11472</v>
      </c>
      <c r="L513" s="9" t="s">
        <v>9922</v>
      </c>
      <c r="M513" s="14" t="s">
        <v>9158</v>
      </c>
      <c r="N513" s="14" t="s">
        <v>9158</v>
      </c>
      <c r="O513" s="14" t="s">
        <v>9158</v>
      </c>
      <c r="P513" s="14" t="s">
        <v>9158</v>
      </c>
      <c r="Q513" s="14" t="s">
        <v>9158</v>
      </c>
      <c r="R513" s="9" t="s">
        <v>174</v>
      </c>
    </row>
    <row r="514" spans="1:18">
      <c r="A514" s="9">
        <v>67903</v>
      </c>
      <c r="B514" s="9" t="s">
        <v>348</v>
      </c>
      <c r="C514" s="9" t="s">
        <v>158</v>
      </c>
      <c r="D514" s="9" t="s">
        <v>10346</v>
      </c>
      <c r="E514" s="15" t="str">
        <f>HYPERLINK("https://stat100.ameba.jp/tnk47/ratio20/illustrations/card/ill_67903_yokoin03.jpg?201903-2-RELEASE-unionbattle-398", "■")</f>
        <v>■</v>
      </c>
      <c r="F514" s="9" t="s">
        <v>11471</v>
      </c>
      <c r="G514" s="9">
        <v>72733</v>
      </c>
      <c r="H514" s="9">
        <v>52663</v>
      </c>
      <c r="I514" s="9">
        <v>21</v>
      </c>
      <c r="J514" s="9" t="s">
        <v>315</v>
      </c>
      <c r="K514" s="9" t="s">
        <v>11472</v>
      </c>
      <c r="L514" s="9" t="s">
        <v>9923</v>
      </c>
      <c r="M514" s="14" t="s">
        <v>9158</v>
      </c>
      <c r="N514" s="14" t="s">
        <v>9158</v>
      </c>
      <c r="O514" s="14" t="s">
        <v>9158</v>
      </c>
      <c r="P514" s="14" t="s">
        <v>9158</v>
      </c>
      <c r="Q514" s="14" t="s">
        <v>9158</v>
      </c>
      <c r="R514" s="9" t="s">
        <v>175</v>
      </c>
    </row>
    <row r="515" spans="1:18">
      <c r="A515" s="9">
        <v>67901</v>
      </c>
      <c r="B515" s="9" t="s">
        <v>348</v>
      </c>
      <c r="C515" s="9" t="s">
        <v>158</v>
      </c>
      <c r="D515" s="9" t="s">
        <v>10346</v>
      </c>
      <c r="E515" s="15" t="str">
        <f>HYPERLINK("https://stat100.ameba.jp/tnk47/ratio20/illustrations/card/ill_67901_yokoin01.jpg?201903-2-RELEASE-unionbattle-398", "■")</f>
        <v>■</v>
      </c>
      <c r="F515" s="9" t="s">
        <v>11471</v>
      </c>
      <c r="G515" s="9">
        <v>46263</v>
      </c>
      <c r="H515" s="9">
        <v>33495</v>
      </c>
      <c r="I515" s="9">
        <v>21</v>
      </c>
      <c r="J515" s="9" t="s">
        <v>315</v>
      </c>
      <c r="K515" s="9" t="s">
        <v>11472</v>
      </c>
      <c r="L515" s="9" t="s">
        <v>9920</v>
      </c>
      <c r="M515" s="14" t="s">
        <v>9158</v>
      </c>
      <c r="N515" s="14" t="s">
        <v>9158</v>
      </c>
      <c r="O515" s="14" t="s">
        <v>9158</v>
      </c>
      <c r="P515" s="14" t="s">
        <v>9158</v>
      </c>
      <c r="Q515" s="14" t="s">
        <v>9158</v>
      </c>
      <c r="R515" s="9" t="s">
        <v>176</v>
      </c>
    </row>
    <row r="516" spans="1:18">
      <c r="A516" s="9">
        <v>67895</v>
      </c>
      <c r="B516" s="9" t="s">
        <v>334</v>
      </c>
      <c r="C516" s="9" t="s">
        <v>202</v>
      </c>
      <c r="D516" s="9" t="s">
        <v>10315</v>
      </c>
      <c r="E516" s="15" t="str">
        <f>HYPERLINK("https://stat100.ameba.jp/tnk47/ratio20/illustrations/card/ill_67895_misonikomiudon05.jpg?201903-2-RELEASE-unionbattle-398", "■")</f>
        <v>■</v>
      </c>
      <c r="F516" s="9" t="s">
        <v>11473</v>
      </c>
      <c r="G516" s="9">
        <v>90777</v>
      </c>
      <c r="H516" s="9">
        <v>125367</v>
      </c>
      <c r="I516" s="9">
        <v>21</v>
      </c>
      <c r="J516" s="9" t="s">
        <v>283</v>
      </c>
      <c r="K516" s="9" t="s">
        <v>11474</v>
      </c>
      <c r="L516" s="9" t="s">
        <v>11057</v>
      </c>
      <c r="M516" s="14" t="s">
        <v>9158</v>
      </c>
      <c r="N516" s="14" t="s">
        <v>9158</v>
      </c>
      <c r="O516" s="14" t="s">
        <v>9158</v>
      </c>
      <c r="P516" s="14" t="s">
        <v>9158</v>
      </c>
      <c r="Q516" s="14" t="s">
        <v>9158</v>
      </c>
      <c r="R516" s="9" t="s">
        <v>174</v>
      </c>
    </row>
    <row r="517" spans="1:18">
      <c r="A517" s="9">
        <v>67893</v>
      </c>
      <c r="B517" s="9" t="s">
        <v>348</v>
      </c>
      <c r="C517" s="9" t="s">
        <v>209</v>
      </c>
      <c r="D517" s="9" t="s">
        <v>10315</v>
      </c>
      <c r="E517" s="15" t="str">
        <f>HYPERLINK("https://stat100.ameba.jp/tnk47/ratio20/illustrations/card/ill_67893_misonikomiudon03.jpg?201903-2-RELEASE-unionbattle-398", "■")</f>
        <v>■</v>
      </c>
      <c r="F517" s="9" t="s">
        <v>11473</v>
      </c>
      <c r="G517" s="9">
        <v>66881</v>
      </c>
      <c r="H517" s="9">
        <v>92368</v>
      </c>
      <c r="I517" s="9">
        <v>21</v>
      </c>
      <c r="J517" s="9" t="s">
        <v>283</v>
      </c>
      <c r="K517" s="9" t="s">
        <v>11474</v>
      </c>
      <c r="L517" s="9" t="s">
        <v>1442</v>
      </c>
      <c r="M517" s="14" t="s">
        <v>9158</v>
      </c>
      <c r="N517" s="14" t="s">
        <v>9158</v>
      </c>
      <c r="O517" s="14" t="s">
        <v>9158</v>
      </c>
      <c r="P517" s="14" t="s">
        <v>9158</v>
      </c>
      <c r="Q517" s="14" t="s">
        <v>9158</v>
      </c>
      <c r="R517" s="9" t="s">
        <v>175</v>
      </c>
    </row>
    <row r="518" spans="1:18">
      <c r="A518" s="9">
        <v>67891</v>
      </c>
      <c r="B518" s="9" t="s">
        <v>348</v>
      </c>
      <c r="C518" s="9" t="s">
        <v>209</v>
      </c>
      <c r="D518" s="9" t="s">
        <v>10315</v>
      </c>
      <c r="E518" s="15" t="str">
        <f>HYPERLINK("https://stat100.ameba.jp/tnk47/ratio20/illustrations/card/ill_67891_misonikomiudon01.jpg?201903-2-RELEASE-unionbattle-398", "■")</f>
        <v>■</v>
      </c>
      <c r="F518" s="9" t="s">
        <v>11473</v>
      </c>
      <c r="G518" s="9">
        <v>42546</v>
      </c>
      <c r="H518" s="9">
        <v>58758</v>
      </c>
      <c r="I518" s="9">
        <v>21</v>
      </c>
      <c r="J518" s="9" t="s">
        <v>283</v>
      </c>
      <c r="K518" s="9" t="s">
        <v>11474</v>
      </c>
      <c r="L518" s="9" t="s">
        <v>3219</v>
      </c>
      <c r="M518" s="14" t="s">
        <v>9158</v>
      </c>
      <c r="N518" s="14" t="s">
        <v>9158</v>
      </c>
      <c r="O518" s="14" t="s">
        <v>9158</v>
      </c>
      <c r="P518" s="14" t="s">
        <v>9158</v>
      </c>
      <c r="Q518" s="14" t="s">
        <v>9158</v>
      </c>
      <c r="R518" s="9" t="s">
        <v>176</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1A0C-DE3B-4548-8150-C489971CF2B4}">
  <dimension ref="A1:S540"/>
  <sheetViews>
    <sheetView zoomScale="55" zoomScaleNormal="55" workbookViewId="0">
      <pane ySplit="1" topLeftCell="A437" activePane="bottomLeft" state="frozen"/>
      <selection pane="bottomLeft" activeCell="D451" sqref="D451"/>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3707</v>
      </c>
      <c r="E3" s="14"/>
      <c r="F3" s="14"/>
      <c r="G3" s="14"/>
      <c r="H3" s="14"/>
      <c r="I3" s="14"/>
      <c r="J3" s="14"/>
      <c r="K3" s="14"/>
      <c r="L3" s="14"/>
      <c r="M3" s="14"/>
      <c r="O3" s="14"/>
      <c r="P3" s="14"/>
      <c r="Q3" s="14"/>
    </row>
    <row r="4" spans="1:19">
      <c r="A4" s="14" t="s">
        <v>3706</v>
      </c>
      <c r="B4" s="14"/>
      <c r="C4" s="14"/>
      <c r="D4" s="14"/>
      <c r="E4" s="14"/>
      <c r="F4" s="14"/>
      <c r="G4" s="14"/>
      <c r="H4" s="14"/>
      <c r="I4" s="14"/>
      <c r="J4" s="14"/>
      <c r="K4" s="14"/>
      <c r="L4" s="14"/>
      <c r="M4" s="14"/>
      <c r="O4" s="14"/>
      <c r="P4" s="14"/>
      <c r="Q4" s="14"/>
    </row>
    <row r="5" spans="1:19">
      <c r="A5" s="14" t="s">
        <v>9890</v>
      </c>
      <c r="B5" s="14"/>
      <c r="C5" s="14"/>
      <c r="D5" s="14"/>
      <c r="E5" s="14"/>
      <c r="F5" s="14"/>
      <c r="G5" s="14"/>
      <c r="H5" s="14"/>
      <c r="I5" s="14"/>
      <c r="J5" s="14"/>
      <c r="K5" s="14"/>
      <c r="L5" s="14"/>
      <c r="M5" s="14"/>
      <c r="O5" s="14"/>
      <c r="P5" s="14"/>
      <c r="Q5" s="14"/>
    </row>
    <row r="6" spans="1:19">
      <c r="A6" s="9" t="s">
        <v>6030</v>
      </c>
      <c r="B6" s="14" t="s">
        <v>330</v>
      </c>
      <c r="C6" s="14" t="s">
        <v>202</v>
      </c>
      <c r="D6" s="14" t="s">
        <v>3708</v>
      </c>
      <c r="E6" s="15" t="str">
        <f>HYPERLINK("https://stat100.ameba.jp/tnk47/ratio20/illustrations/card/ill_80023_0_hinamatsurikyogokumaria03.jpg?201903-2-RELEASE-unionbattle-398", "■")</f>
        <v>■</v>
      </c>
      <c r="F6" s="14" t="s">
        <v>3709</v>
      </c>
      <c r="G6" s="14">
        <v>363858</v>
      </c>
      <c r="H6" s="14">
        <v>402625</v>
      </c>
      <c r="I6" s="14">
        <v>27</v>
      </c>
      <c r="J6" s="14" t="s">
        <v>26</v>
      </c>
      <c r="K6" s="14" t="s">
        <v>3710</v>
      </c>
      <c r="L6" s="14" t="s">
        <v>3711</v>
      </c>
      <c r="M6" s="14" t="s">
        <v>9158</v>
      </c>
      <c r="N6" s="14" t="s">
        <v>9158</v>
      </c>
      <c r="O6" s="9" t="s">
        <v>3712</v>
      </c>
      <c r="P6" s="14" t="s">
        <v>3713</v>
      </c>
      <c r="Q6" s="14">
        <v>1</v>
      </c>
      <c r="R6" s="14"/>
    </row>
    <row r="7" spans="1:19">
      <c r="A7" s="9">
        <v>79963</v>
      </c>
      <c r="B7" s="14" t="s">
        <v>334</v>
      </c>
      <c r="C7" s="14" t="s">
        <v>23</v>
      </c>
      <c r="D7" s="14" t="s">
        <v>3714</v>
      </c>
      <c r="E7" s="15" t="str">
        <f>HYPERLINK("https://stat100.ameba.jp/tnk47/ratio20/illustrations/card/ill_79963_hinamatsurirakko03.jpg?201903-2-RELEASE-unionbattle-398", "■")</f>
        <v>■</v>
      </c>
      <c r="F7" s="14" t="s">
        <v>3715</v>
      </c>
      <c r="G7" s="14">
        <v>104778</v>
      </c>
      <c r="H7" s="14">
        <v>97420</v>
      </c>
      <c r="I7" s="14">
        <v>23</v>
      </c>
      <c r="J7" s="14" t="s">
        <v>26</v>
      </c>
      <c r="K7" s="14" t="s">
        <v>3716</v>
      </c>
      <c r="L7" s="14" t="s">
        <v>1086</v>
      </c>
      <c r="M7" s="14" t="s">
        <v>9158</v>
      </c>
      <c r="N7" s="14" t="s">
        <v>9158</v>
      </c>
      <c r="O7" s="17" t="s">
        <v>10057</v>
      </c>
      <c r="P7" s="14" t="s">
        <v>3460</v>
      </c>
      <c r="Q7" s="14">
        <v>1</v>
      </c>
      <c r="R7" s="14"/>
    </row>
    <row r="8" spans="1:19">
      <c r="A8" s="9">
        <v>79973</v>
      </c>
      <c r="B8" s="14" t="s">
        <v>334</v>
      </c>
      <c r="C8" s="14" t="s">
        <v>101</v>
      </c>
      <c r="D8" s="14" t="s">
        <v>3717</v>
      </c>
      <c r="E8" s="15" t="str">
        <f>HYPERLINK("https://stat100.ameba.jp/tnk47/ratio20/illustrations/card/ill_79973_hinamatsurihangakugozen03.jpg?201903-2-RELEASE-unionbattle-398", "■")</f>
        <v>■</v>
      </c>
      <c r="F8" s="14" t="s">
        <v>3718</v>
      </c>
      <c r="G8" s="14">
        <v>127130</v>
      </c>
      <c r="H8" s="14">
        <v>136729</v>
      </c>
      <c r="I8" s="14">
        <v>23</v>
      </c>
      <c r="J8" s="14" t="s">
        <v>143</v>
      </c>
      <c r="K8" s="14" t="s">
        <v>3719</v>
      </c>
      <c r="L8" s="14" t="s">
        <v>1148</v>
      </c>
      <c r="M8" s="14" t="s">
        <v>2138</v>
      </c>
      <c r="N8" s="14" t="s">
        <v>2139</v>
      </c>
      <c r="O8" s="14" t="s">
        <v>9158</v>
      </c>
      <c r="P8" s="14" t="s">
        <v>9158</v>
      </c>
      <c r="Q8" s="14" t="s">
        <v>9158</v>
      </c>
      <c r="R8" s="14" t="s">
        <v>13120</v>
      </c>
    </row>
    <row r="9" spans="1:19">
      <c r="A9" s="9">
        <v>79983</v>
      </c>
      <c r="B9" s="14" t="s">
        <v>334</v>
      </c>
      <c r="C9" s="14" t="s">
        <v>1</v>
      </c>
      <c r="D9" s="14" t="s">
        <v>3720</v>
      </c>
      <c r="E9" s="15" t="str">
        <f>HYPERLINK("https://stat100.ameba.jp/tnk47/ratio20/illustrations/card/ill_79983_hinamatsuriyamanetoshiko03.jpg?201903-2-RELEASE-unionbattle-398", "■")</f>
        <v>■</v>
      </c>
      <c r="F9" s="14" t="s">
        <v>3721</v>
      </c>
      <c r="G9" s="14">
        <v>86751</v>
      </c>
      <c r="H9" s="14">
        <v>93263</v>
      </c>
      <c r="I9" s="14">
        <v>23</v>
      </c>
      <c r="J9" s="14" t="s">
        <v>16</v>
      </c>
      <c r="K9" s="14" t="s">
        <v>3722</v>
      </c>
      <c r="L9" s="14" t="s">
        <v>124</v>
      </c>
      <c r="M9" s="14" t="s">
        <v>2138</v>
      </c>
      <c r="N9" s="14" t="s">
        <v>2139</v>
      </c>
      <c r="O9" s="14" t="s">
        <v>9158</v>
      </c>
      <c r="P9" s="14" t="s">
        <v>9158</v>
      </c>
      <c r="Q9" s="14" t="s">
        <v>9158</v>
      </c>
      <c r="R9" s="14" t="s">
        <v>13120</v>
      </c>
    </row>
    <row r="10" spans="1:19">
      <c r="A10" s="9">
        <v>79993</v>
      </c>
      <c r="B10" s="14" t="s">
        <v>348</v>
      </c>
      <c r="C10" s="14" t="s">
        <v>14</v>
      </c>
      <c r="D10" s="14" t="s">
        <v>3723</v>
      </c>
      <c r="E10" s="15" t="str">
        <f>HYPERLINK("https://stat100.ameba.jp/tnk47/ratio20/illustrations/card/ill_79993_momonosekkuoshizunokamisan03.jpg?201903-2-RELEASE-unionbattle-398", "■")</f>
        <v>■</v>
      </c>
      <c r="F10" s="14" t="s">
        <v>3724</v>
      </c>
      <c r="G10" s="14">
        <v>62244</v>
      </c>
      <c r="H10" s="14">
        <v>56456</v>
      </c>
      <c r="I10" s="14">
        <v>21</v>
      </c>
      <c r="J10" s="14" t="s">
        <v>44</v>
      </c>
      <c r="K10" s="14" t="s">
        <v>3725</v>
      </c>
      <c r="L10" s="14" t="s">
        <v>3726</v>
      </c>
      <c r="M10" s="14" t="s">
        <v>9158</v>
      </c>
      <c r="N10" s="14" t="s">
        <v>9158</v>
      </c>
      <c r="O10" s="14" t="s">
        <v>9158</v>
      </c>
      <c r="P10" s="14" t="s">
        <v>9158</v>
      </c>
      <c r="Q10" s="14" t="s">
        <v>9158</v>
      </c>
      <c r="R10" s="14"/>
    </row>
    <row r="11" spans="1:19">
      <c r="A11" s="9">
        <v>80003</v>
      </c>
      <c r="B11" s="14" t="s">
        <v>348</v>
      </c>
      <c r="C11" s="14" t="s">
        <v>47</v>
      </c>
      <c r="D11" s="14" t="s">
        <v>3727</v>
      </c>
      <c r="E11" s="15" t="str">
        <f>HYPERLINK("https://stat100.ameba.jp/tnk47/ratio20/illustrations/card/ill_80003_tsugarutatsuhime03.jpg?201903-2-RELEASE-unionbattle-398", "■")</f>
        <v>■</v>
      </c>
      <c r="F11" s="14" t="s">
        <v>3728</v>
      </c>
      <c r="G11" s="14">
        <v>56456</v>
      </c>
      <c r="H11" s="14">
        <v>62244</v>
      </c>
      <c r="I11" s="14">
        <v>21</v>
      </c>
      <c r="J11" s="14" t="s">
        <v>77</v>
      </c>
      <c r="K11" s="14" t="s">
        <v>3729</v>
      </c>
      <c r="L11" s="14" t="s">
        <v>3730</v>
      </c>
      <c r="M11" s="14" t="s">
        <v>9158</v>
      </c>
      <c r="N11" s="14" t="s">
        <v>9158</v>
      </c>
      <c r="O11" s="14" t="s">
        <v>9158</v>
      </c>
      <c r="P11" s="14" t="s">
        <v>9158</v>
      </c>
      <c r="Q11" s="14" t="s">
        <v>9158</v>
      </c>
      <c r="R11" s="14"/>
    </row>
    <row r="12" spans="1:19">
      <c r="A12" s="9">
        <v>80013</v>
      </c>
      <c r="B12" s="14" t="s">
        <v>348</v>
      </c>
      <c r="C12" s="14" t="s">
        <v>96</v>
      </c>
      <c r="D12" s="14" t="s">
        <v>3731</v>
      </c>
      <c r="E12" s="15" t="str">
        <f>HYPERLINK("https://stat100.ameba.jp/tnk47/ratio20/illustrations/card/ill_80013_momonosekkuonikirimaru03.jpg?201903-2-RELEASE-unionbattle-398", "■")</f>
        <v>■</v>
      </c>
      <c r="F12" s="14" t="s">
        <v>3732</v>
      </c>
      <c r="G12" s="14">
        <v>62244</v>
      </c>
      <c r="H12" s="14">
        <v>56456</v>
      </c>
      <c r="I12" s="14">
        <v>21</v>
      </c>
      <c r="J12" s="14" t="s">
        <v>73</v>
      </c>
      <c r="K12" s="14" t="s">
        <v>3733</v>
      </c>
      <c r="L12" s="14" t="s">
        <v>2150</v>
      </c>
      <c r="M12" s="14" t="s">
        <v>9158</v>
      </c>
      <c r="N12" s="14" t="s">
        <v>9158</v>
      </c>
      <c r="O12" s="14" t="s">
        <v>9158</v>
      </c>
      <c r="P12" s="14" t="s">
        <v>9158</v>
      </c>
      <c r="Q12" s="14" t="s">
        <v>9158</v>
      </c>
      <c r="R12" s="14"/>
    </row>
    <row r="13" spans="1:19">
      <c r="A13" s="9">
        <v>80053</v>
      </c>
      <c r="B13" s="14" t="s">
        <v>362</v>
      </c>
      <c r="C13" s="14" t="s">
        <v>101</v>
      </c>
      <c r="D13" s="14" t="s">
        <v>3734</v>
      </c>
      <c r="E13" s="15" t="str">
        <f>HYPERLINK("https://stat100.ameba.jp/tnk47/ratio20/illustrations/card/ill_80053_uesugikenshin03.jpg?201903-2-RELEASE-unionbattle-398", "■")</f>
        <v>■</v>
      </c>
      <c r="F13" s="14" t="s">
        <v>3735</v>
      </c>
      <c r="G13" s="14">
        <v>43662</v>
      </c>
      <c r="H13" s="14">
        <v>36304</v>
      </c>
      <c r="I13" s="14">
        <v>21</v>
      </c>
      <c r="J13" s="14" t="s">
        <v>143</v>
      </c>
      <c r="K13" s="14" t="s">
        <v>3736</v>
      </c>
      <c r="L13" s="14" t="s">
        <v>3737</v>
      </c>
      <c r="M13" s="14" t="s">
        <v>9158</v>
      </c>
      <c r="N13" s="14" t="s">
        <v>9158</v>
      </c>
      <c r="O13" s="14" t="s">
        <v>9158</v>
      </c>
      <c r="P13" s="14" t="s">
        <v>9158</v>
      </c>
      <c r="Q13" s="14" t="s">
        <v>9158</v>
      </c>
      <c r="R13" s="14"/>
    </row>
    <row r="14" spans="1:19">
      <c r="A14" s="9">
        <v>80063</v>
      </c>
      <c r="B14" s="14" t="s">
        <v>362</v>
      </c>
      <c r="C14" s="14" t="s">
        <v>23</v>
      </c>
      <c r="D14" s="14" t="s">
        <v>3738</v>
      </c>
      <c r="E14" s="15" t="str">
        <f>HYPERLINK("https://stat100.ameba.jp/tnk47/ratio20/illustrations/card/ill_80063_gonohai03.jpg?201903-2-RELEASE-unionbattle-398", "■")</f>
        <v>■</v>
      </c>
      <c r="F14" s="14" t="s">
        <v>3739</v>
      </c>
      <c r="G14" s="14">
        <v>43662</v>
      </c>
      <c r="H14" s="14">
        <v>36304</v>
      </c>
      <c r="I14" s="14">
        <v>21</v>
      </c>
      <c r="J14" s="14" t="s">
        <v>104</v>
      </c>
      <c r="K14" s="14" t="s">
        <v>3740</v>
      </c>
      <c r="L14" s="14" t="s">
        <v>3741</v>
      </c>
      <c r="M14" s="14" t="s">
        <v>9158</v>
      </c>
      <c r="N14" s="14" t="s">
        <v>9158</v>
      </c>
      <c r="O14" s="14" t="s">
        <v>9158</v>
      </c>
      <c r="P14" s="14" t="s">
        <v>9158</v>
      </c>
      <c r="Q14" s="14" t="s">
        <v>9158</v>
      </c>
      <c r="R14" s="14"/>
    </row>
    <row r="15" spans="1:19">
      <c r="A15" s="9">
        <v>80073</v>
      </c>
      <c r="B15" s="14" t="s">
        <v>372</v>
      </c>
      <c r="C15" s="14" t="s">
        <v>3608</v>
      </c>
      <c r="D15" s="14" t="s">
        <v>3761</v>
      </c>
      <c r="E15" s="15" t="str">
        <f>HYPERLINK("https://stat100.ameba.jp/tnk47/ratio20/illustrations/card/ill_80073_hukuchiouchi03.jpg?201903-2-RELEASE-unionbattle-398", "■")</f>
        <v>■</v>
      </c>
      <c r="F15" s="14" t="s">
        <v>3762</v>
      </c>
      <c r="G15" s="14">
        <v>26434</v>
      </c>
      <c r="H15" s="14">
        <v>22200</v>
      </c>
      <c r="I15" s="14">
        <v>21</v>
      </c>
      <c r="J15" s="14" t="s">
        <v>16</v>
      </c>
      <c r="K15" s="14" t="s">
        <v>3763</v>
      </c>
      <c r="L15" s="11" t="s">
        <v>9159</v>
      </c>
      <c r="M15" s="14" t="s">
        <v>9158</v>
      </c>
      <c r="N15" s="14" t="s">
        <v>9158</v>
      </c>
      <c r="O15" s="14" t="s">
        <v>9158</v>
      </c>
      <c r="P15" s="14" t="s">
        <v>9158</v>
      </c>
      <c r="Q15" s="14" t="s">
        <v>9158</v>
      </c>
      <c r="R15" s="14"/>
    </row>
    <row r="16" spans="1:19">
      <c r="A16" s="9">
        <v>80083</v>
      </c>
      <c r="B16" s="14" t="s">
        <v>372</v>
      </c>
      <c r="C16" s="14" t="s">
        <v>3743</v>
      </c>
      <c r="D16" s="14" t="s">
        <v>3742</v>
      </c>
      <c r="E16" s="15" t="str">
        <f>HYPERLINK("https://stat100.ameba.jp/tnk47/ratio20/illustrations/card/ill_80083_ninomiyakinjirou03.jpg?201903-2-RELEASE-unionbattle-398", "■")</f>
        <v>■</v>
      </c>
      <c r="F16" s="14" t="s">
        <v>3744</v>
      </c>
      <c r="G16" s="14">
        <v>22200</v>
      </c>
      <c r="H16" s="14">
        <v>26434</v>
      </c>
      <c r="I16" s="14">
        <v>21</v>
      </c>
      <c r="J16" s="14" t="s">
        <v>10</v>
      </c>
      <c r="K16" s="14" t="s">
        <v>3745</v>
      </c>
      <c r="L16" s="10" t="s">
        <v>5418</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13344</v>
      </c>
      <c r="D18" s="14"/>
      <c r="F18" s="14"/>
      <c r="G18" s="14"/>
      <c r="H18" s="14"/>
      <c r="I18" s="14"/>
      <c r="J18" s="14"/>
      <c r="K18" s="14"/>
      <c r="L18" s="14"/>
      <c r="M18" s="14"/>
      <c r="N18" s="14"/>
      <c r="P18" s="14"/>
      <c r="Q18" s="14"/>
      <c r="R18" s="14"/>
    </row>
    <row r="19" spans="1:18">
      <c r="A19" s="14" t="s">
        <v>3748</v>
      </c>
      <c r="B19" s="14"/>
      <c r="C19" s="14"/>
      <c r="D19" s="14"/>
      <c r="F19" s="14"/>
      <c r="G19" s="14"/>
      <c r="H19" s="14"/>
      <c r="I19" s="14"/>
      <c r="J19" s="14"/>
      <c r="K19" s="14"/>
      <c r="L19" s="14"/>
      <c r="M19" s="14"/>
      <c r="N19" s="14"/>
      <c r="P19" s="14"/>
      <c r="Q19" s="14"/>
      <c r="R19" s="14"/>
    </row>
    <row r="20" spans="1:18">
      <c r="A20" s="9">
        <v>80135</v>
      </c>
      <c r="B20" s="14" t="s">
        <v>334</v>
      </c>
      <c r="C20" s="14" t="s">
        <v>35</v>
      </c>
      <c r="D20" s="14" t="s">
        <v>3749</v>
      </c>
      <c r="E20" s="15" t="str">
        <f>HYPERLINK("https://stat100.ameba.jp/tnk47/ratio20/illustrations/card/ill_80135_asashinsukurutemma05.jpg?201903-2-RELEASE-unionbattle-398", "■")</f>
        <v>■</v>
      </c>
      <c r="F20" s="14" t="s">
        <v>3750</v>
      </c>
      <c r="G20" s="14">
        <v>62300</v>
      </c>
      <c r="H20" s="14">
        <v>86044</v>
      </c>
      <c r="I20" s="14">
        <v>22</v>
      </c>
      <c r="J20" s="14" t="s">
        <v>44</v>
      </c>
      <c r="K20" s="14" t="s">
        <v>3751</v>
      </c>
      <c r="L20" s="14" t="s">
        <v>3752</v>
      </c>
      <c r="M20" s="14" t="s">
        <v>9158</v>
      </c>
      <c r="N20" s="14" t="s">
        <v>9158</v>
      </c>
      <c r="O20" s="14" t="s">
        <v>9158</v>
      </c>
      <c r="P20" s="14" t="s">
        <v>9158</v>
      </c>
      <c r="Q20" s="14" t="s">
        <v>9158</v>
      </c>
      <c r="R20" s="14" t="s">
        <v>174</v>
      </c>
    </row>
    <row r="21" spans="1:18">
      <c r="A21" s="9">
        <v>80133</v>
      </c>
      <c r="B21" s="14" t="s">
        <v>15</v>
      </c>
      <c r="C21" s="14" t="s">
        <v>47</v>
      </c>
      <c r="D21" s="14" t="s">
        <v>3749</v>
      </c>
      <c r="E21" s="15" t="str">
        <f>HYPERLINK("https://stat100.ameba.jp/tnk47/ratio20/illustrations/card/ill_80133_asashinsukurutemma03.jpg?201903-2-RELEASE-unionbattle-398", "■")</f>
        <v>■</v>
      </c>
      <c r="F21" s="14" t="s">
        <v>3750</v>
      </c>
      <c r="G21" s="14">
        <v>45026</v>
      </c>
      <c r="H21" s="14">
        <v>62112</v>
      </c>
      <c r="I21" s="14">
        <v>22</v>
      </c>
      <c r="J21" s="14" t="s">
        <v>44</v>
      </c>
      <c r="K21" s="14" t="s">
        <v>3751</v>
      </c>
      <c r="L21" s="14" t="s">
        <v>3753</v>
      </c>
      <c r="M21" s="14" t="s">
        <v>9158</v>
      </c>
      <c r="N21" s="14" t="s">
        <v>9158</v>
      </c>
      <c r="O21" s="14" t="s">
        <v>9158</v>
      </c>
      <c r="P21" s="14" t="s">
        <v>9158</v>
      </c>
      <c r="Q21" s="14" t="s">
        <v>9158</v>
      </c>
      <c r="R21" s="14" t="s">
        <v>175</v>
      </c>
    </row>
    <row r="22" spans="1:18">
      <c r="A22" s="9">
        <v>80131</v>
      </c>
      <c r="B22" s="14" t="s">
        <v>15</v>
      </c>
      <c r="C22" s="14" t="s">
        <v>47</v>
      </c>
      <c r="D22" s="14" t="s">
        <v>3749</v>
      </c>
      <c r="E22" s="15" t="str">
        <f>HYPERLINK("https://stat100.ameba.jp/tnk47/ratio20/illustrations/card/ill_80131_asashinsukurutemma01.jpg?201903-2-RELEASE-unionbattle-398", "■")</f>
        <v>■</v>
      </c>
      <c r="F22" s="14" t="s">
        <v>3750</v>
      </c>
      <c r="G22" s="14">
        <v>26114</v>
      </c>
      <c r="H22" s="14">
        <v>36058</v>
      </c>
      <c r="I22" s="14">
        <v>22</v>
      </c>
      <c r="J22" s="14" t="s">
        <v>44</v>
      </c>
      <c r="K22" s="14" t="s">
        <v>3751</v>
      </c>
      <c r="L22" s="14" t="s">
        <v>3754</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3755</v>
      </c>
      <c r="D24" s="14"/>
      <c r="F24" s="14"/>
      <c r="G24" s="14"/>
      <c r="H24" s="14"/>
      <c r="I24" s="14"/>
      <c r="J24" s="14"/>
      <c r="K24" s="14"/>
      <c r="L24" s="14"/>
      <c r="M24" s="14"/>
      <c r="N24" s="14"/>
      <c r="P24" s="14"/>
      <c r="Q24" s="14"/>
      <c r="R24" s="14"/>
    </row>
    <row r="25" spans="1:18">
      <c r="A25" s="14" t="s">
        <v>3756</v>
      </c>
      <c r="B25" s="14"/>
      <c r="C25" s="14"/>
      <c r="D25" s="14"/>
      <c r="F25" s="14"/>
      <c r="G25" s="14"/>
      <c r="H25" s="14"/>
      <c r="I25" s="14"/>
      <c r="J25" s="14"/>
      <c r="K25" s="14"/>
      <c r="L25" s="14"/>
      <c r="M25" s="14"/>
      <c r="N25" s="14"/>
      <c r="P25" s="14"/>
      <c r="Q25" s="14"/>
      <c r="R25" s="14"/>
    </row>
    <row r="26" spans="1:18">
      <c r="A26" s="9" t="s">
        <v>5617</v>
      </c>
      <c r="B26" s="14" t="s">
        <v>52</v>
      </c>
      <c r="C26" s="14" t="s">
        <v>165</v>
      </c>
      <c r="D26" s="14" t="s">
        <v>982</v>
      </c>
      <c r="E26" s="15" t="str">
        <f>HYPERLINK("https://stat100.ameba.jp/tnk47/ratio20/illustrations/card/ill_59673_0_oheyashutendoji03.jpg?201903-2-RELEASE-unionbattle-398", "■")</f>
        <v>■</v>
      </c>
      <c r="F26" s="14" t="s">
        <v>983</v>
      </c>
      <c r="G26" s="14">
        <v>105545</v>
      </c>
      <c r="H26" s="14">
        <v>113525</v>
      </c>
      <c r="I26" s="14">
        <v>15</v>
      </c>
      <c r="J26" s="14" t="s">
        <v>73</v>
      </c>
      <c r="K26" s="14" t="s">
        <v>984</v>
      </c>
      <c r="L26" s="14" t="s">
        <v>985</v>
      </c>
      <c r="M26" s="14" t="s">
        <v>9158</v>
      </c>
      <c r="N26" s="14" t="s">
        <v>9158</v>
      </c>
      <c r="O26" s="17" t="s">
        <v>10058</v>
      </c>
      <c r="P26" s="14" t="s">
        <v>3330</v>
      </c>
      <c r="Q26" s="14">
        <v>1</v>
      </c>
      <c r="R26" s="14"/>
    </row>
    <row r="27" spans="1:18">
      <c r="A27" s="9" t="s">
        <v>5609</v>
      </c>
      <c r="B27" s="14" t="s">
        <v>52</v>
      </c>
      <c r="C27" s="14" t="s">
        <v>200</v>
      </c>
      <c r="D27" s="14" t="s">
        <v>56</v>
      </c>
      <c r="E27" s="15" t="str">
        <f>HYPERLINK("https://stat100.ameba.jp/tnk47/ratio20/illustrations/card/ill_53753_0_natsumatsuritokugawaieyasu03.jpg?201903-2-RELEASE-unionbattle-398", "■")</f>
        <v>■</v>
      </c>
      <c r="F27" s="14" t="s">
        <v>902</v>
      </c>
      <c r="G27" s="14">
        <v>94236</v>
      </c>
      <c r="H27" s="14">
        <v>83712</v>
      </c>
      <c r="I27" s="14">
        <v>15</v>
      </c>
      <c r="J27" s="14" t="s">
        <v>143</v>
      </c>
      <c r="K27" s="14" t="s">
        <v>903</v>
      </c>
      <c r="L27" s="14" t="s">
        <v>904</v>
      </c>
      <c r="M27" s="14" t="s">
        <v>9158</v>
      </c>
      <c r="N27" s="14" t="s">
        <v>9158</v>
      </c>
      <c r="O27" s="17" t="s">
        <v>10052</v>
      </c>
      <c r="P27" s="14" t="s">
        <v>13121</v>
      </c>
      <c r="Q27" s="14">
        <v>1</v>
      </c>
      <c r="R27" s="14"/>
    </row>
    <row r="28" spans="1:18">
      <c r="A28" s="9" t="s">
        <v>5604</v>
      </c>
      <c r="B28" s="14" t="s">
        <v>52</v>
      </c>
      <c r="C28" s="14" t="s">
        <v>206</v>
      </c>
      <c r="D28" s="14" t="s">
        <v>51</v>
      </c>
      <c r="E28" s="15" t="str">
        <f>HYPERLINK("https://stat100.ameba.jp/tnk47/ratio20/illustrations/card/ill_47263_0_oukyuuatsuhime03.jpg?201903-2-RELEASE-unionbattle-398", "■")</f>
        <v>■</v>
      </c>
      <c r="F28" s="14" t="s">
        <v>1178</v>
      </c>
      <c r="G28" s="14">
        <v>94236</v>
      </c>
      <c r="H28" s="14">
        <v>83712</v>
      </c>
      <c r="I28" s="14">
        <v>15</v>
      </c>
      <c r="J28" s="14" t="s">
        <v>77</v>
      </c>
      <c r="K28" s="14" t="s">
        <v>1179</v>
      </c>
      <c r="L28" s="14" t="s">
        <v>1180</v>
      </c>
      <c r="M28" s="14" t="s">
        <v>9158</v>
      </c>
      <c r="N28" s="14" t="s">
        <v>9158</v>
      </c>
      <c r="O28" s="14" t="s">
        <v>9158</v>
      </c>
      <c r="P28" s="14" t="s">
        <v>9158</v>
      </c>
      <c r="Q28" s="14" t="s">
        <v>9158</v>
      </c>
      <c r="R28" s="14"/>
    </row>
    <row r="29" spans="1:18">
      <c r="A29" s="9">
        <v>76923</v>
      </c>
      <c r="B29" s="14" t="s">
        <v>334</v>
      </c>
      <c r="C29" s="14" t="s">
        <v>206</v>
      </c>
      <c r="D29" s="14" t="s">
        <v>2640</v>
      </c>
      <c r="E29" s="15" t="str">
        <f>HYPERLINK("https://stat100.ameba.jp/tnk47/ratio20/illustrations/card/ill_76923_amamorikuzuha03.jpg?201903-2-RELEASE-unionbattle-398", "■")</f>
        <v>■</v>
      </c>
      <c r="F29" s="14" t="s">
        <v>2641</v>
      </c>
      <c r="G29" s="14">
        <v>122666</v>
      </c>
      <c r="H29" s="14">
        <v>114064</v>
      </c>
      <c r="I29" s="14">
        <v>23</v>
      </c>
      <c r="J29" s="14" t="s">
        <v>16</v>
      </c>
      <c r="K29" s="14" t="s">
        <v>2642</v>
      </c>
      <c r="L29" s="14" t="s">
        <v>2462</v>
      </c>
      <c r="M29" s="14" t="s">
        <v>9158</v>
      </c>
      <c r="N29" s="14" t="s">
        <v>9158</v>
      </c>
      <c r="O29" s="9" t="s">
        <v>3374</v>
      </c>
      <c r="P29" s="14" t="s">
        <v>3375</v>
      </c>
      <c r="Q29" s="14">
        <v>1</v>
      </c>
      <c r="R29" s="14"/>
    </row>
    <row r="30" spans="1:18">
      <c r="A30" s="9">
        <v>73583</v>
      </c>
      <c r="B30" s="14" t="s">
        <v>334</v>
      </c>
      <c r="C30" s="14" t="s">
        <v>205</v>
      </c>
      <c r="D30" s="14" t="s">
        <v>3757</v>
      </c>
      <c r="E30" s="15" t="str">
        <f>HYPERLINK("https://stat100.ameba.jp/tnk47/ratio20/illustrations/card/ill_73583_usubaberunshutain03.jpg?201903-2-RELEASE-unionbattle-398", "■")</f>
        <v>■</v>
      </c>
      <c r="F30" s="14" t="s">
        <v>3758</v>
      </c>
      <c r="G30" s="14">
        <v>114064</v>
      </c>
      <c r="H30" s="14">
        <v>122666</v>
      </c>
      <c r="I30" s="14">
        <v>23</v>
      </c>
      <c r="J30" s="14" t="s">
        <v>16</v>
      </c>
      <c r="K30" s="14" t="s">
        <v>3759</v>
      </c>
      <c r="L30" s="14" t="s">
        <v>3760</v>
      </c>
      <c r="M30" s="14" t="s">
        <v>9158</v>
      </c>
      <c r="N30" s="14" t="s">
        <v>9158</v>
      </c>
      <c r="O30" s="14" t="s">
        <v>9158</v>
      </c>
      <c r="P30" s="14" t="s">
        <v>9158</v>
      </c>
      <c r="Q30" s="14" t="s">
        <v>9158</v>
      </c>
      <c r="R30" s="14"/>
    </row>
    <row r="31" spans="1:18">
      <c r="A31" s="9">
        <v>73593</v>
      </c>
      <c r="B31" s="14" t="s">
        <v>334</v>
      </c>
      <c r="C31" s="14" t="s">
        <v>191</v>
      </c>
      <c r="D31" s="14" t="s">
        <v>2646</v>
      </c>
      <c r="E31" s="15" t="str">
        <f>HYPERLINK("https://stat100.ameba.jp/tnk47/ratio20/illustrations/card/ill_73593_shingaekasuka03.jpg?201903-2-RELEASE-unionbattle-398", "■")</f>
        <v>■</v>
      </c>
      <c r="F31" s="14" t="s">
        <v>2647</v>
      </c>
      <c r="G31" s="14">
        <v>97750</v>
      </c>
      <c r="H31" s="14">
        <v>90885</v>
      </c>
      <c r="I31" s="14">
        <v>23</v>
      </c>
      <c r="J31" s="14" t="s">
        <v>77</v>
      </c>
      <c r="K31" s="14" t="s">
        <v>2648</v>
      </c>
      <c r="L31" s="14" t="s">
        <v>2649</v>
      </c>
      <c r="M31" s="14" t="s">
        <v>9158</v>
      </c>
      <c r="N31" s="14" t="s">
        <v>9158</v>
      </c>
      <c r="O31" s="14" t="s">
        <v>9158</v>
      </c>
      <c r="P31" s="14" t="s">
        <v>9158</v>
      </c>
      <c r="Q31" s="14" t="s">
        <v>9158</v>
      </c>
      <c r="R31" s="14"/>
    </row>
    <row r="32" spans="1:18">
      <c r="A32" s="9">
        <v>61883</v>
      </c>
      <c r="B32" s="14" t="s">
        <v>15</v>
      </c>
      <c r="C32" s="14" t="s">
        <v>205</v>
      </c>
      <c r="D32" s="14" t="s">
        <v>3388</v>
      </c>
      <c r="E32" s="15" t="str">
        <f>HYPERLINK("https://stat100.ameba.jp/tnk47/ratio20/illustrations/card/ill_61883_onikirishukurohime03.jpg?201903-2-RELEASE-unionbattle-398", "■")</f>
        <v>■</v>
      </c>
      <c r="F32" s="14" t="s">
        <v>3389</v>
      </c>
      <c r="G32" s="14">
        <v>61832</v>
      </c>
      <c r="H32" s="14">
        <v>68172</v>
      </c>
      <c r="I32" s="14">
        <v>23</v>
      </c>
      <c r="J32" s="14" t="s">
        <v>16</v>
      </c>
      <c r="K32" s="14" t="s">
        <v>3390</v>
      </c>
      <c r="L32" s="14" t="s">
        <v>3391</v>
      </c>
      <c r="M32" s="14" t="s">
        <v>9158</v>
      </c>
      <c r="N32" s="14" t="s">
        <v>9158</v>
      </c>
      <c r="O32" s="14" t="s">
        <v>9158</v>
      </c>
      <c r="P32" s="14" t="s">
        <v>9158</v>
      </c>
      <c r="Q32" s="14" t="s">
        <v>9158</v>
      </c>
      <c r="R32" s="14"/>
    </row>
    <row r="33" spans="1:18">
      <c r="A33" s="9">
        <v>60953</v>
      </c>
      <c r="B33" s="14" t="s">
        <v>15</v>
      </c>
      <c r="C33" s="14" t="s">
        <v>191</v>
      </c>
      <c r="D33" s="14" t="s">
        <v>3521</v>
      </c>
      <c r="E33" s="15" t="str">
        <f>HYPERLINK("https://stat100.ameba.jp/tnk47/ratio20/illustrations/card/ill_60953_sukurugaruikedasen03.jpg?201903-2-RELEASE-unionbattle-398", "■")</f>
        <v>■</v>
      </c>
      <c r="F33" s="14" t="s">
        <v>3522</v>
      </c>
      <c r="G33" s="14">
        <v>68172</v>
      </c>
      <c r="H33" s="14">
        <v>61832</v>
      </c>
      <c r="I33" s="14">
        <v>23</v>
      </c>
      <c r="J33" s="14" t="s">
        <v>143</v>
      </c>
      <c r="K33" s="14" t="s">
        <v>3523</v>
      </c>
      <c r="L33" s="14" t="s">
        <v>3524</v>
      </c>
      <c r="M33" s="14" t="s">
        <v>9158</v>
      </c>
      <c r="N33" s="14" t="s">
        <v>9158</v>
      </c>
      <c r="O33" s="14" t="s">
        <v>9158</v>
      </c>
      <c r="P33" s="14" t="s">
        <v>9158</v>
      </c>
      <c r="Q33" s="14" t="s">
        <v>9158</v>
      </c>
      <c r="R33" s="14"/>
    </row>
    <row r="34" spans="1:18">
      <c r="A34" s="9">
        <v>59873</v>
      </c>
      <c r="B34" s="14" t="s">
        <v>15</v>
      </c>
      <c r="C34" s="14" t="s">
        <v>200</v>
      </c>
      <c r="D34" s="14" t="s">
        <v>3525</v>
      </c>
      <c r="E34" s="15" t="str">
        <f>HYPERLINK("https://stat100.ameba.jp/tnk47/ratio20/illustrations/card/ill_59873_yoseinakajimautako03.jpg?201903-2-RELEASE-unionbattle-398", "■")</f>
        <v>■</v>
      </c>
      <c r="F34" s="14" t="s">
        <v>3526</v>
      </c>
      <c r="G34" s="14">
        <v>68172</v>
      </c>
      <c r="H34" s="14">
        <v>61832</v>
      </c>
      <c r="I34" s="14">
        <v>23</v>
      </c>
      <c r="J34" s="14" t="s">
        <v>10</v>
      </c>
      <c r="K34" s="14" t="s">
        <v>3527</v>
      </c>
      <c r="L34" s="14" t="s">
        <v>3275</v>
      </c>
      <c r="M34" s="14" t="s">
        <v>9158</v>
      </c>
      <c r="N34" s="14" t="s">
        <v>9158</v>
      </c>
      <c r="O34" s="14" t="s">
        <v>9158</v>
      </c>
      <c r="P34" s="14" t="s">
        <v>9158</v>
      </c>
      <c r="Q34" s="14" t="s">
        <v>9158</v>
      </c>
      <c r="R34" s="14"/>
    </row>
    <row r="35" spans="1:18">
      <c r="B35" s="14"/>
      <c r="C35" s="14"/>
      <c r="D35" s="14"/>
      <c r="F35" s="14"/>
      <c r="G35" s="14"/>
      <c r="H35" s="14"/>
      <c r="I35" s="14"/>
      <c r="J35" s="14"/>
      <c r="K35" s="14"/>
      <c r="L35" s="14"/>
      <c r="M35" s="14"/>
      <c r="N35" s="14"/>
      <c r="P35" s="14"/>
      <c r="Q35" s="14"/>
      <c r="R35" s="14"/>
    </row>
    <row r="36" spans="1:18">
      <c r="A36" s="14" t="s">
        <v>114</v>
      </c>
      <c r="D36" s="14"/>
      <c r="F36" s="14"/>
      <c r="G36" s="14"/>
      <c r="H36" s="14"/>
      <c r="I36" s="14"/>
      <c r="J36" s="14"/>
      <c r="K36" s="14"/>
      <c r="L36" s="14"/>
      <c r="M36" s="14"/>
      <c r="N36" s="14"/>
      <c r="P36" s="14"/>
      <c r="Q36" s="14"/>
      <c r="R36" s="14"/>
    </row>
    <row r="37" spans="1:18">
      <c r="A37" s="14" t="s">
        <v>3764</v>
      </c>
      <c r="C37" s="14"/>
      <c r="D37" s="14"/>
      <c r="F37" s="14"/>
      <c r="G37" s="14"/>
      <c r="H37" s="14"/>
      <c r="I37" s="14"/>
      <c r="J37" s="14"/>
      <c r="K37" s="14"/>
      <c r="L37" s="14"/>
      <c r="M37" s="14"/>
      <c r="N37" s="14"/>
      <c r="P37" s="14"/>
      <c r="Q37" s="14"/>
      <c r="R37" s="14"/>
    </row>
    <row r="38" spans="1:18">
      <c r="A38" s="9" t="s">
        <v>5617</v>
      </c>
      <c r="B38" s="14" t="s">
        <v>52</v>
      </c>
      <c r="C38" s="14" t="s">
        <v>165</v>
      </c>
      <c r="D38" s="14" t="s">
        <v>982</v>
      </c>
      <c r="E38" s="15" t="str">
        <f>HYPERLINK("https://stat100.ameba.jp/tnk47/ratio20/illustrations/card/ill_59673_0_oheyashutendoji03.jpg?201903-2-RELEASE-unionbattle-398", "■")</f>
        <v>■</v>
      </c>
      <c r="F38" s="14" t="s">
        <v>983</v>
      </c>
      <c r="G38" s="14">
        <v>147765</v>
      </c>
      <c r="H38" s="14">
        <v>158935</v>
      </c>
      <c r="I38" s="14">
        <v>21</v>
      </c>
      <c r="J38" s="14" t="s">
        <v>73</v>
      </c>
      <c r="K38" s="14" t="s">
        <v>984</v>
      </c>
      <c r="L38" s="14" t="s">
        <v>985</v>
      </c>
      <c r="M38" s="14" t="s">
        <v>9158</v>
      </c>
      <c r="N38" s="14" t="s">
        <v>9158</v>
      </c>
      <c r="O38" s="17" t="s">
        <v>10058</v>
      </c>
      <c r="P38" s="14" t="s">
        <v>3330</v>
      </c>
      <c r="Q38" s="14">
        <v>1</v>
      </c>
      <c r="R38" s="14"/>
    </row>
    <row r="39" spans="1:18">
      <c r="A39" s="9" t="s">
        <v>5787</v>
      </c>
      <c r="B39" s="14" t="s">
        <v>52</v>
      </c>
      <c r="C39" s="14" t="s">
        <v>202</v>
      </c>
      <c r="D39" s="14" t="s">
        <v>1101</v>
      </c>
      <c r="E39" s="15" t="str">
        <f>HYPERLINK("https://stat100.ameba.jp/tnk47/ratio20/illustrations/card/ill_76303_0_haroinkaguya03.jpg?201903-2-RELEASE-unionbattle-398", "■")</f>
        <v>■</v>
      </c>
      <c r="F39" s="14" t="s">
        <v>1102</v>
      </c>
      <c r="G39" s="14">
        <v>249911</v>
      </c>
      <c r="H39" s="14">
        <v>232335</v>
      </c>
      <c r="I39" s="14">
        <v>21</v>
      </c>
      <c r="J39" s="14" t="s">
        <v>38</v>
      </c>
      <c r="K39" s="14" t="s">
        <v>1103</v>
      </c>
      <c r="L39" s="14" t="s">
        <v>1104</v>
      </c>
      <c r="M39" s="14" t="s">
        <v>9158</v>
      </c>
      <c r="N39" s="14" t="s">
        <v>9158</v>
      </c>
      <c r="O39" s="9" t="s">
        <v>2723</v>
      </c>
      <c r="P39" s="14" t="s">
        <v>2724</v>
      </c>
      <c r="Q39" s="14">
        <v>1</v>
      </c>
      <c r="R39" s="14"/>
    </row>
    <row r="40" spans="1:18">
      <c r="A40" s="9">
        <v>80163</v>
      </c>
      <c r="B40" s="14" t="s">
        <v>334</v>
      </c>
      <c r="C40" s="14" t="s">
        <v>158</v>
      </c>
      <c r="D40" s="14" t="s">
        <v>3765</v>
      </c>
      <c r="E40" s="15" t="str">
        <f>HYPERLINK("https://stat100.ameba.jp/tnk47/ratio20/illustrations/card/ill_80163_kuronosu03.jpg?201903-2-RELEASE-unionbattle-398", "■")</f>
        <v>■</v>
      </c>
      <c r="F40" s="14" t="s">
        <v>3766</v>
      </c>
      <c r="G40" s="14">
        <v>79348</v>
      </c>
      <c r="H40" s="14">
        <v>109554</v>
      </c>
      <c r="I40" s="14">
        <v>24</v>
      </c>
      <c r="J40" s="14" t="s">
        <v>44</v>
      </c>
      <c r="K40" s="14" t="s">
        <v>3767</v>
      </c>
      <c r="L40" s="14" t="s">
        <v>1209</v>
      </c>
      <c r="M40" s="14" t="s">
        <v>9158</v>
      </c>
      <c r="N40" s="14" t="s">
        <v>9158</v>
      </c>
      <c r="O40" s="9" t="s">
        <v>2717</v>
      </c>
      <c r="P40" s="14" t="s">
        <v>13123</v>
      </c>
      <c r="Q40" s="14">
        <v>1</v>
      </c>
      <c r="R40" s="14"/>
    </row>
    <row r="41" spans="1:18">
      <c r="A41" s="9">
        <v>52023</v>
      </c>
      <c r="B41" s="14" t="s">
        <v>334</v>
      </c>
      <c r="C41" s="14" t="s">
        <v>263</v>
      </c>
      <c r="D41" s="14" t="s">
        <v>1796</v>
      </c>
      <c r="E41" s="15" t="str">
        <f>HYPERLINK("https://stat100.ameba.jp/tnk47/ratio20/illustrations/card/ill_52023_shimazuyoshihisa03.jpg?201903-2-RELEASE-unionbattle-398", "■")</f>
        <v>■</v>
      </c>
      <c r="F41" s="14" t="s">
        <v>1797</v>
      </c>
      <c r="G41" s="14">
        <v>75254</v>
      </c>
      <c r="H41" s="14">
        <v>124487</v>
      </c>
      <c r="I41" s="14">
        <v>21</v>
      </c>
      <c r="J41" s="14" t="s">
        <v>143</v>
      </c>
      <c r="K41" s="14" t="s">
        <v>1798</v>
      </c>
      <c r="L41" s="14" t="s">
        <v>1799</v>
      </c>
      <c r="M41" s="14" t="s">
        <v>9158</v>
      </c>
      <c r="N41" s="14" t="s">
        <v>9158</v>
      </c>
      <c r="O41" s="14" t="s">
        <v>9158</v>
      </c>
      <c r="P41" s="14" t="s">
        <v>9158</v>
      </c>
      <c r="Q41" s="14" t="s">
        <v>9158</v>
      </c>
      <c r="R41" s="14"/>
    </row>
    <row r="42" spans="1:18">
      <c r="A42" s="9">
        <v>67953</v>
      </c>
      <c r="B42" s="14" t="s">
        <v>334</v>
      </c>
      <c r="C42" s="14" t="s">
        <v>154</v>
      </c>
      <c r="D42" s="14" t="s">
        <v>2486</v>
      </c>
      <c r="E42" s="15" t="str">
        <f>HYPERLINK("https://stat100.ameba.jp/tnk47/ratio20/illustrations/card/ill_67953_kutaniyaki03.jpg?201903-2-RELEASE-unionbattle-398", "■")</f>
        <v>■</v>
      </c>
      <c r="F42" s="14" t="s">
        <v>2487</v>
      </c>
      <c r="G42" s="14">
        <v>69051</v>
      </c>
      <c r="H42" s="14">
        <v>95307</v>
      </c>
      <c r="I42" s="14">
        <v>21</v>
      </c>
      <c r="J42" s="14" t="s">
        <v>26</v>
      </c>
      <c r="K42" s="14" t="s">
        <v>2488</v>
      </c>
      <c r="L42" s="14" t="s">
        <v>2489</v>
      </c>
      <c r="M42" s="14" t="s">
        <v>9158</v>
      </c>
      <c r="N42" s="14" t="s">
        <v>9158</v>
      </c>
      <c r="O42" s="17" t="s">
        <v>10053</v>
      </c>
      <c r="P42" s="14" t="s">
        <v>3592</v>
      </c>
      <c r="Q42" s="14">
        <v>1</v>
      </c>
      <c r="R42" s="14"/>
    </row>
    <row r="43" spans="1:18">
      <c r="A43" s="9">
        <v>65633</v>
      </c>
      <c r="B43" s="14" t="s">
        <v>334</v>
      </c>
      <c r="C43" s="14" t="s">
        <v>158</v>
      </c>
      <c r="D43" s="14" t="s">
        <v>69</v>
      </c>
      <c r="E43" s="15" t="str">
        <f>HYPERLINK("https://stat100.ameba.jp/tnk47/ratio20/illustrations/card/ill_65633_shinnoakugoro03.jpg?201903-2-RELEASE-unionbattle-398", "■")</f>
        <v>■</v>
      </c>
      <c r="F43" s="14" t="s">
        <v>70</v>
      </c>
      <c r="G43" s="14">
        <v>97925</v>
      </c>
      <c r="H43" s="14">
        <v>70942</v>
      </c>
      <c r="I43" s="14">
        <v>21</v>
      </c>
      <c r="J43" s="14" t="s">
        <v>73</v>
      </c>
      <c r="K43" s="14" t="s">
        <v>71</v>
      </c>
      <c r="L43" s="14" t="s">
        <v>72</v>
      </c>
      <c r="M43" s="14" t="s">
        <v>9158</v>
      </c>
      <c r="N43" s="14" t="s">
        <v>9158</v>
      </c>
      <c r="O43" s="14" t="s">
        <v>9158</v>
      </c>
      <c r="P43" s="14" t="s">
        <v>9158</v>
      </c>
      <c r="Q43" s="14" t="s">
        <v>9158</v>
      </c>
      <c r="R43" s="14"/>
    </row>
    <row r="44" spans="1:18">
      <c r="A44" s="9">
        <v>58343</v>
      </c>
      <c r="B44" s="14" t="s">
        <v>334</v>
      </c>
      <c r="C44" s="14" t="s">
        <v>209</v>
      </c>
      <c r="D44" s="14" t="s">
        <v>1792</v>
      </c>
      <c r="E44" s="15" t="str">
        <f>HYPERLINK("https://stat100.ameba.jp/tnk47/ratio20/illustrations/card/ill_58343_agemakidayu03.jpg?201903-2-RELEASE-unionbattle-398", "■")</f>
        <v>■</v>
      </c>
      <c r="F44" s="14" t="s">
        <v>1793</v>
      </c>
      <c r="G44" s="14">
        <v>86668</v>
      </c>
      <c r="H44" s="14">
        <v>63547</v>
      </c>
      <c r="I44" s="14">
        <v>21</v>
      </c>
      <c r="J44" s="14" t="s">
        <v>38</v>
      </c>
      <c r="K44" s="14" t="s">
        <v>1794</v>
      </c>
      <c r="L44" s="14" t="s">
        <v>1795</v>
      </c>
      <c r="M44" s="14" t="s">
        <v>9158</v>
      </c>
      <c r="N44" s="14" t="s">
        <v>9158</v>
      </c>
      <c r="O44" s="9" t="s">
        <v>3768</v>
      </c>
      <c r="P44" s="14" t="s">
        <v>13122</v>
      </c>
      <c r="Q44" s="14">
        <v>1</v>
      </c>
      <c r="R44" s="14"/>
    </row>
    <row r="45" spans="1:18">
      <c r="A45" s="9">
        <v>68703</v>
      </c>
      <c r="B45" s="14" t="s">
        <v>334</v>
      </c>
      <c r="C45" s="14" t="s">
        <v>209</v>
      </c>
      <c r="D45" s="14" t="s">
        <v>79</v>
      </c>
      <c r="E45" s="15" t="str">
        <f>HYPERLINK("https://stat100.ameba.jp/tnk47/ratio20/illustrations/card/ill_68703_manryu03.jpg?201903-2-RELEASE-unionbattle-398", "■")</f>
        <v>■</v>
      </c>
      <c r="F45" s="14" t="s">
        <v>80</v>
      </c>
      <c r="G45" s="14">
        <v>66487</v>
      </c>
      <c r="H45" s="14">
        <v>91779</v>
      </c>
      <c r="I45" s="14">
        <v>21</v>
      </c>
      <c r="J45" s="14" t="s">
        <v>16</v>
      </c>
      <c r="K45" s="14" t="s">
        <v>81</v>
      </c>
      <c r="L45" s="14" t="s">
        <v>82</v>
      </c>
      <c r="M45" s="14" t="s">
        <v>9158</v>
      </c>
      <c r="N45" s="14" t="s">
        <v>9158</v>
      </c>
      <c r="O45" s="14" t="s">
        <v>9158</v>
      </c>
      <c r="P45" s="14" t="s">
        <v>9158</v>
      </c>
      <c r="Q45" s="14" t="s">
        <v>9158</v>
      </c>
      <c r="R45" s="14"/>
    </row>
    <row r="46" spans="1:18">
      <c r="B46" s="14"/>
      <c r="C46" s="14"/>
      <c r="D46" s="14"/>
      <c r="F46" s="14"/>
      <c r="G46" s="14"/>
      <c r="H46" s="14"/>
      <c r="I46" s="14"/>
      <c r="J46" s="14"/>
      <c r="K46" s="14"/>
      <c r="L46" s="14"/>
      <c r="M46" s="14"/>
      <c r="N46" s="14"/>
      <c r="P46" s="14"/>
      <c r="Q46" s="14"/>
      <c r="R46" s="14"/>
    </row>
    <row r="47" spans="1:18">
      <c r="A47" s="14" t="s">
        <v>13326</v>
      </c>
      <c r="D47" s="14"/>
      <c r="F47" s="14"/>
      <c r="G47" s="14"/>
      <c r="H47" s="14"/>
      <c r="I47" s="14"/>
      <c r="J47" s="14"/>
      <c r="K47" s="14"/>
      <c r="L47" s="14"/>
      <c r="M47" s="14"/>
      <c r="N47" s="14"/>
      <c r="P47" s="14"/>
      <c r="Q47" s="14"/>
      <c r="R47" s="14"/>
    </row>
    <row r="48" spans="1:18">
      <c r="A48" s="14" t="s">
        <v>3747</v>
      </c>
      <c r="B48" s="14"/>
      <c r="C48" s="14"/>
      <c r="D48" s="14"/>
      <c r="F48" s="14"/>
      <c r="G48" s="14"/>
      <c r="H48" s="14"/>
      <c r="I48" s="14"/>
      <c r="J48" s="14"/>
      <c r="K48" s="14"/>
      <c r="L48" s="14"/>
      <c r="M48" s="14"/>
      <c r="N48" s="14"/>
      <c r="P48" s="14"/>
      <c r="Q48" s="14"/>
      <c r="R48" s="14"/>
    </row>
    <row r="49" spans="1:18">
      <c r="A49" s="9">
        <v>71873</v>
      </c>
      <c r="B49" s="14" t="s">
        <v>334</v>
      </c>
      <c r="C49" s="14" t="s">
        <v>185</v>
      </c>
      <c r="D49" s="14" t="s">
        <v>210</v>
      </c>
      <c r="E49" s="15" t="str">
        <f>HYPERLINK("https://stat100.ameba.jp/tnk47/ratio20/illustrations/card/ill_71873_akashita03.jpg?201903-2-RELEASE-unionbattle-398", "■")</f>
        <v>■</v>
      </c>
      <c r="F49" s="14" t="s">
        <v>691</v>
      </c>
      <c r="G49" s="14">
        <v>115783</v>
      </c>
      <c r="H49" s="14">
        <v>107645</v>
      </c>
      <c r="I49" s="14">
        <v>23</v>
      </c>
      <c r="J49" s="14" t="s">
        <v>182</v>
      </c>
      <c r="K49" s="14" t="s">
        <v>217</v>
      </c>
      <c r="L49" s="14" t="s">
        <v>13140</v>
      </c>
      <c r="M49" s="14" t="s">
        <v>13131</v>
      </c>
      <c r="N49" s="14" t="s">
        <v>251</v>
      </c>
      <c r="O49" s="14" t="s">
        <v>9158</v>
      </c>
      <c r="P49" s="14" t="s">
        <v>9158</v>
      </c>
      <c r="Q49" s="14" t="s">
        <v>9158</v>
      </c>
      <c r="R49" s="14"/>
    </row>
    <row r="50" spans="1:18">
      <c r="A50" s="9">
        <v>71872</v>
      </c>
      <c r="B50" s="14" t="s">
        <v>334</v>
      </c>
      <c r="C50" s="14" t="s">
        <v>185</v>
      </c>
      <c r="D50" s="14" t="s">
        <v>210</v>
      </c>
      <c r="E50" s="15" t="str">
        <f>HYPERLINK("https://stat100.ameba.jp/tnk47/ratio20/illustrations/card/ill_71872_akashita02.jpg?201903-2-RELEASE-unionbattle-398", "■")</f>
        <v>■</v>
      </c>
      <c r="F50" s="14" t="s">
        <v>691</v>
      </c>
      <c r="G50" s="14">
        <v>96727</v>
      </c>
      <c r="H50" s="14">
        <v>89152</v>
      </c>
      <c r="I50" s="14">
        <v>23</v>
      </c>
      <c r="J50" s="14" t="s">
        <v>182</v>
      </c>
      <c r="K50" s="14" t="s">
        <v>217</v>
      </c>
      <c r="L50" s="14" t="s">
        <v>13140</v>
      </c>
      <c r="M50" s="14" t="s">
        <v>13131</v>
      </c>
      <c r="N50" s="14" t="s">
        <v>251</v>
      </c>
      <c r="O50" s="14" t="s">
        <v>9158</v>
      </c>
      <c r="P50" s="14" t="s">
        <v>9158</v>
      </c>
      <c r="Q50" s="14" t="s">
        <v>9158</v>
      </c>
      <c r="R50" s="14"/>
    </row>
    <row r="51" spans="1:18">
      <c r="A51" s="9">
        <v>71871</v>
      </c>
      <c r="B51" s="14" t="s">
        <v>334</v>
      </c>
      <c r="C51" s="14" t="s">
        <v>185</v>
      </c>
      <c r="D51" s="14" t="s">
        <v>210</v>
      </c>
      <c r="E51" s="15" t="str">
        <f>HYPERLINK("https://stat100.ameba.jp/tnk47/ratio20/illustrations/card/ill_71871_akashita01.jpg?201903-2-RELEASE-unionbattle-398", "■")</f>
        <v>■</v>
      </c>
      <c r="F51" s="14" t="s">
        <v>691</v>
      </c>
      <c r="G51" s="14">
        <v>73899</v>
      </c>
      <c r="H51" s="14">
        <v>68793</v>
      </c>
      <c r="I51" s="14">
        <v>23</v>
      </c>
      <c r="J51" s="14" t="s">
        <v>182</v>
      </c>
      <c r="K51" s="14" t="s">
        <v>217</v>
      </c>
      <c r="L51" s="14" t="s">
        <v>13140</v>
      </c>
      <c r="M51" s="14" t="s">
        <v>13131</v>
      </c>
      <c r="N51" s="14" t="s">
        <v>251</v>
      </c>
      <c r="O51" s="14" t="s">
        <v>9158</v>
      </c>
      <c r="P51" s="14" t="s">
        <v>9158</v>
      </c>
      <c r="Q51" s="14" t="s">
        <v>9158</v>
      </c>
      <c r="R51" s="14"/>
    </row>
    <row r="52" spans="1:18">
      <c r="A52" s="9">
        <v>72693</v>
      </c>
      <c r="B52" s="14" t="s">
        <v>334</v>
      </c>
      <c r="C52" s="14" t="s">
        <v>200</v>
      </c>
      <c r="D52" s="14" t="s">
        <v>211</v>
      </c>
      <c r="E52" s="15" t="str">
        <f>HYPERLINK("https://stat100.ameba.jp/tnk47/ratio20/illustrations/card/ill_72693_sagarasozo03.jpg?201903-2-RELEASE-unionbattle-398", "■")</f>
        <v>■</v>
      </c>
      <c r="F52" s="14" t="s">
        <v>692</v>
      </c>
      <c r="G52" s="14">
        <v>107645</v>
      </c>
      <c r="H52" s="14">
        <v>115783</v>
      </c>
      <c r="I52" s="14">
        <v>23</v>
      </c>
      <c r="J52" s="14" t="s">
        <v>194</v>
      </c>
      <c r="K52" s="14" t="s">
        <v>218</v>
      </c>
      <c r="L52" s="14" t="s">
        <v>9892</v>
      </c>
      <c r="M52" s="14" t="s">
        <v>13131</v>
      </c>
      <c r="N52" s="14" t="s">
        <v>251</v>
      </c>
      <c r="O52" s="14" t="s">
        <v>9158</v>
      </c>
      <c r="P52" s="14" t="s">
        <v>9158</v>
      </c>
      <c r="Q52" s="14" t="s">
        <v>9158</v>
      </c>
      <c r="R52" s="14"/>
    </row>
    <row r="53" spans="1:18">
      <c r="A53" s="9">
        <v>72703</v>
      </c>
      <c r="B53" s="14" t="s">
        <v>334</v>
      </c>
      <c r="C53" s="14" t="s">
        <v>191</v>
      </c>
      <c r="D53" s="14" t="s">
        <v>212</v>
      </c>
      <c r="E53" s="15" t="str">
        <f>HYPERLINK("https://stat100.ameba.jp/tnk47/ratio20/illustrations/card/ill_72703_hayakawanoritsugu03.jpg?201903-2-RELEASE-unionbattle-398", "■")</f>
        <v>■</v>
      </c>
      <c r="F53" s="14" t="s">
        <v>693</v>
      </c>
      <c r="G53" s="14">
        <v>115783</v>
      </c>
      <c r="H53" s="14">
        <v>107645</v>
      </c>
      <c r="I53" s="14">
        <v>23</v>
      </c>
      <c r="J53" s="14" t="s">
        <v>173</v>
      </c>
      <c r="K53" s="14" t="s">
        <v>219</v>
      </c>
      <c r="L53" s="14" t="s">
        <v>9893</v>
      </c>
      <c r="M53" s="14" t="s">
        <v>13131</v>
      </c>
      <c r="N53" s="14" t="s">
        <v>251</v>
      </c>
      <c r="O53" s="14" t="s">
        <v>9158</v>
      </c>
      <c r="P53" s="14" t="s">
        <v>9158</v>
      </c>
      <c r="Q53" s="14" t="s">
        <v>9158</v>
      </c>
      <c r="R53" s="14"/>
    </row>
    <row r="54" spans="1:18">
      <c r="A54" s="9">
        <v>73523</v>
      </c>
      <c r="B54" s="14" t="s">
        <v>334</v>
      </c>
      <c r="C54" s="14" t="s">
        <v>165</v>
      </c>
      <c r="D54" s="14" t="s">
        <v>213</v>
      </c>
      <c r="E54" s="15" t="str">
        <f>HYPERLINK("https://stat100.ameba.jp/tnk47/ratio20/illustrations/card/ill_73523_marunomarudono03.jpg?201903-2-RELEASE-unionbattle-398", "■")</f>
        <v>■</v>
      </c>
      <c r="F54" s="14" t="s">
        <v>694</v>
      </c>
      <c r="G54" s="14">
        <v>107645</v>
      </c>
      <c r="H54" s="14">
        <v>115783</v>
      </c>
      <c r="I54" s="14">
        <v>23</v>
      </c>
      <c r="J54" s="14" t="s">
        <v>187</v>
      </c>
      <c r="K54" s="14" t="s">
        <v>220</v>
      </c>
      <c r="L54" s="14" t="s">
        <v>9894</v>
      </c>
      <c r="M54" s="14" t="s">
        <v>13131</v>
      </c>
      <c r="N54" s="14" t="s">
        <v>251</v>
      </c>
      <c r="O54" s="14" t="s">
        <v>9158</v>
      </c>
      <c r="P54" s="14" t="s">
        <v>9158</v>
      </c>
      <c r="Q54" s="14" t="s">
        <v>9158</v>
      </c>
      <c r="R54" s="14"/>
    </row>
    <row r="55" spans="1:18">
      <c r="A55" s="9">
        <v>72713</v>
      </c>
      <c r="B55" s="14" t="s">
        <v>334</v>
      </c>
      <c r="C55" s="14" t="s">
        <v>205</v>
      </c>
      <c r="D55" s="14" t="s">
        <v>214</v>
      </c>
      <c r="E55" s="15" t="str">
        <f>HYPERLINK("https://stat100.ameba.jp/tnk47/ratio20/illustrations/card/ill_72713_okamuzuminomikoto03.jpg?201903-2-RELEASE-unionbattle-398", "■")</f>
        <v>■</v>
      </c>
      <c r="F55" s="14" t="s">
        <v>695</v>
      </c>
      <c r="G55" s="14">
        <v>107645</v>
      </c>
      <c r="H55" s="14">
        <v>115783</v>
      </c>
      <c r="I55" s="14">
        <v>23</v>
      </c>
      <c r="J55" s="14" t="s">
        <v>169</v>
      </c>
      <c r="K55" s="14" t="s">
        <v>221</v>
      </c>
      <c r="L55" s="14" t="s">
        <v>9895</v>
      </c>
      <c r="M55" s="14" t="s">
        <v>13131</v>
      </c>
      <c r="N55" s="14" t="s">
        <v>251</v>
      </c>
      <c r="O55" s="14" t="s">
        <v>9158</v>
      </c>
      <c r="P55" s="14" t="s">
        <v>9158</v>
      </c>
      <c r="Q55" s="14" t="s">
        <v>9158</v>
      </c>
      <c r="R55" s="14"/>
    </row>
    <row r="56" spans="1:18">
      <c r="A56" s="9">
        <v>73533</v>
      </c>
      <c r="B56" s="14" t="s">
        <v>334</v>
      </c>
      <c r="C56" s="14" t="s">
        <v>206</v>
      </c>
      <c r="D56" s="14" t="s">
        <v>215</v>
      </c>
      <c r="E56" s="15" t="str">
        <f>HYPERLINK("https://stat100.ameba.jp/tnk47/ratio20/illustrations/card/ill_73533_agubutachan03.jpg?201903-2-RELEASE-unionbattle-398", "■")</f>
        <v>■</v>
      </c>
      <c r="F56" s="14" t="s">
        <v>696</v>
      </c>
      <c r="G56" s="14">
        <v>115783</v>
      </c>
      <c r="H56" s="14">
        <v>107645</v>
      </c>
      <c r="I56" s="14">
        <v>23</v>
      </c>
      <c r="J56" s="14" t="s">
        <v>216</v>
      </c>
      <c r="K56" s="14" t="s">
        <v>697</v>
      </c>
      <c r="L56" s="14" t="s">
        <v>9896</v>
      </c>
      <c r="M56" s="14" t="s">
        <v>13131</v>
      </c>
      <c r="N56" s="14" t="s">
        <v>251</v>
      </c>
      <c r="O56" s="14" t="s">
        <v>9158</v>
      </c>
      <c r="P56" s="14" t="s">
        <v>9158</v>
      </c>
      <c r="Q56" s="14" t="s">
        <v>9158</v>
      </c>
      <c r="R56" s="14"/>
    </row>
    <row r="57" spans="1:18">
      <c r="B57" s="14"/>
      <c r="C57" s="14"/>
      <c r="D57" s="14"/>
      <c r="F57" s="14"/>
      <c r="G57" s="14"/>
      <c r="H57" s="14"/>
      <c r="I57" s="14"/>
      <c r="J57" s="14"/>
      <c r="K57" s="14"/>
      <c r="L57" s="14"/>
      <c r="M57" s="14"/>
      <c r="N57" s="14"/>
      <c r="P57" s="14"/>
      <c r="Q57" s="14"/>
      <c r="R57" s="14"/>
    </row>
    <row r="58" spans="1:18">
      <c r="A58" s="14" t="s">
        <v>3769</v>
      </c>
      <c r="F58" s="14"/>
      <c r="G58" s="14"/>
      <c r="H58" s="14"/>
      <c r="I58" s="14"/>
      <c r="J58" s="14"/>
      <c r="K58" s="14"/>
      <c r="L58" s="14"/>
      <c r="M58" s="14"/>
      <c r="N58" s="14"/>
      <c r="P58" s="14"/>
      <c r="Q58" s="14"/>
      <c r="R58" s="14"/>
    </row>
    <row r="59" spans="1:18">
      <c r="A59" s="14" t="s">
        <v>3770</v>
      </c>
      <c r="B59" s="14"/>
      <c r="C59" s="14"/>
      <c r="D59" s="14"/>
      <c r="F59" s="14"/>
      <c r="G59" s="14"/>
      <c r="H59" s="14"/>
      <c r="I59" s="14"/>
      <c r="J59" s="14"/>
      <c r="K59" s="14"/>
      <c r="L59" s="14"/>
      <c r="M59" s="14"/>
      <c r="N59" s="14"/>
      <c r="P59" s="14"/>
      <c r="Q59" s="14"/>
      <c r="R59" s="14"/>
    </row>
    <row r="60" spans="1:18">
      <c r="A60" s="14" t="s">
        <v>10028</v>
      </c>
      <c r="B60" s="14"/>
      <c r="C60" s="14"/>
      <c r="D60" s="14"/>
      <c r="F60" s="14"/>
      <c r="G60" s="14"/>
      <c r="H60" s="14"/>
      <c r="I60" s="14"/>
      <c r="J60" s="14"/>
      <c r="K60" s="14"/>
      <c r="L60" s="14"/>
      <c r="M60" s="14"/>
      <c r="N60" s="14"/>
      <c r="P60" s="14"/>
      <c r="Q60" s="14"/>
      <c r="R60" s="14"/>
    </row>
    <row r="61" spans="1:18">
      <c r="A61" s="9" t="s">
        <v>6030</v>
      </c>
      <c r="B61" s="14" t="s">
        <v>330</v>
      </c>
      <c r="C61" s="14" t="s">
        <v>202</v>
      </c>
      <c r="D61" s="14" t="s">
        <v>3708</v>
      </c>
      <c r="E61" s="15" t="str">
        <f>HYPERLINK("https://stat100.ameba.jp/tnk47/ratio20/illustrations/card/ill_80023_0_hinamatsurikyogokumaria03.jpg?201903-2-RELEASE-unionbattle-398", "■")</f>
        <v>■</v>
      </c>
      <c r="F61" s="14" t="s">
        <v>3709</v>
      </c>
      <c r="G61" s="14">
        <v>202144</v>
      </c>
      <c r="H61" s="14">
        <v>223681</v>
      </c>
      <c r="I61" s="14">
        <v>15</v>
      </c>
      <c r="J61" s="14" t="s">
        <v>26</v>
      </c>
      <c r="K61" s="14" t="s">
        <v>3710</v>
      </c>
      <c r="L61" s="14" t="s">
        <v>3711</v>
      </c>
      <c r="M61" s="14" t="s">
        <v>9158</v>
      </c>
      <c r="N61" s="14" t="s">
        <v>9158</v>
      </c>
      <c r="O61" s="9" t="s">
        <v>3712</v>
      </c>
      <c r="P61" s="14" t="s">
        <v>3713</v>
      </c>
      <c r="Q61" s="14">
        <v>1</v>
      </c>
      <c r="R61" s="14"/>
    </row>
    <row r="62" spans="1:18">
      <c r="A62" s="9">
        <v>80093</v>
      </c>
      <c r="B62" s="14" t="s">
        <v>0</v>
      </c>
      <c r="C62" s="14" t="s">
        <v>14</v>
      </c>
      <c r="D62" s="14" t="s">
        <v>3771</v>
      </c>
      <c r="E62" s="15" t="str">
        <f>HYPERLINK("https://stat100.ameba.jp/tnk47/ratio20/illustrations/card/ill_80093_kafunshuraijakotsumusume03.jpg?201903-2-RELEASE-unionbattle-398", "■")</f>
        <v>■</v>
      </c>
      <c r="F62" s="14" t="s">
        <v>3772</v>
      </c>
      <c r="G62" s="14">
        <v>89121</v>
      </c>
      <c r="H62" s="14">
        <v>95830</v>
      </c>
      <c r="I62" s="14">
        <v>23</v>
      </c>
      <c r="J62" s="14" t="s">
        <v>73</v>
      </c>
      <c r="K62" s="14" t="s">
        <v>3773</v>
      </c>
      <c r="L62" s="14" t="s">
        <v>2007</v>
      </c>
      <c r="M62" s="14" t="s">
        <v>9158</v>
      </c>
      <c r="N62" s="14" t="s">
        <v>9158</v>
      </c>
      <c r="O62" s="14" t="s">
        <v>9158</v>
      </c>
      <c r="P62" s="14" t="s">
        <v>9158</v>
      </c>
      <c r="Q62" s="14" t="s">
        <v>9158</v>
      </c>
      <c r="R62" s="14"/>
    </row>
    <row r="63" spans="1:18">
      <c r="A63" s="9">
        <v>80103</v>
      </c>
      <c r="B63" s="14" t="s">
        <v>15</v>
      </c>
      <c r="C63" s="14" t="s">
        <v>23</v>
      </c>
      <c r="D63" s="14" t="s">
        <v>3774</v>
      </c>
      <c r="E63" s="15" t="str">
        <f>HYPERLINK("https://stat100.ameba.jp/tnk47/ratio20/illustrations/card/ill_80103_sakimidarebara03.jpg?201903-2-RELEASE-unionbattle-398", "■")</f>
        <v>■</v>
      </c>
      <c r="F63" s="14" t="s">
        <v>3775</v>
      </c>
      <c r="G63" s="14">
        <v>68172</v>
      </c>
      <c r="H63" s="14">
        <v>61832</v>
      </c>
      <c r="I63" s="14">
        <v>23</v>
      </c>
      <c r="J63" s="14" t="s">
        <v>26</v>
      </c>
      <c r="K63" s="14" t="s">
        <v>3776</v>
      </c>
      <c r="L63" s="14" t="s">
        <v>2011</v>
      </c>
      <c r="M63" s="14" t="s">
        <v>9158</v>
      </c>
      <c r="N63" s="14" t="s">
        <v>9158</v>
      </c>
      <c r="O63" s="14" t="s">
        <v>9158</v>
      </c>
      <c r="P63" s="14" t="s">
        <v>9158</v>
      </c>
      <c r="Q63" s="14" t="s">
        <v>9158</v>
      </c>
      <c r="R63" s="14"/>
    </row>
    <row r="64" spans="1:18">
      <c r="A64" s="9">
        <v>80113</v>
      </c>
      <c r="B64" s="14" t="s">
        <v>22</v>
      </c>
      <c r="C64" s="14" t="s">
        <v>1</v>
      </c>
      <c r="D64" s="14" t="s">
        <v>3777</v>
      </c>
      <c r="E64" s="15" t="str">
        <f>HYPERLINK("https://stat100.ameba.jp/tnk47/ratio20/illustrations/card/ill_80113_izunahimenomikoto03.jpg?201903-2-RELEASE-unionbattle-398", "■")</f>
        <v>■</v>
      </c>
      <c r="F64" s="14" t="s">
        <v>3778</v>
      </c>
      <c r="G64" s="14">
        <v>39762</v>
      </c>
      <c r="H64" s="14">
        <v>47820</v>
      </c>
      <c r="I64" s="14">
        <v>23</v>
      </c>
      <c r="J64" s="14" t="s">
        <v>44</v>
      </c>
      <c r="K64" s="14" t="s">
        <v>3779</v>
      </c>
      <c r="L64" s="14" t="s">
        <v>3780</v>
      </c>
      <c r="M64" s="14" t="s">
        <v>9158</v>
      </c>
      <c r="N64" s="14" t="s">
        <v>9158</v>
      </c>
      <c r="O64" s="14" t="s">
        <v>9158</v>
      </c>
      <c r="P64" s="14" t="s">
        <v>9158</v>
      </c>
      <c r="Q64" s="14" t="s">
        <v>9158</v>
      </c>
      <c r="R64" s="14"/>
    </row>
    <row r="65" spans="1:18">
      <c r="A65" s="9">
        <v>80123</v>
      </c>
      <c r="B65" s="14" t="s">
        <v>30</v>
      </c>
      <c r="C65" s="14" t="s">
        <v>3782</v>
      </c>
      <c r="D65" s="14" t="s">
        <v>3781</v>
      </c>
      <c r="E65" s="15" t="str">
        <f>HYPERLINK("https://stat100.ameba.jp/tnk47/ratio20/illustrations/card/ill_80123_kawaonago03.jpg?201903-2-RELEASE-unionbattle-398", "■")</f>
        <v>■</v>
      </c>
      <c r="F65" s="14" t="s">
        <v>3783</v>
      </c>
      <c r="G65" s="14">
        <v>28952</v>
      </c>
      <c r="H65" s="14">
        <v>24314</v>
      </c>
      <c r="I65" s="14">
        <v>23</v>
      </c>
      <c r="J65" s="14" t="s">
        <v>73</v>
      </c>
      <c r="K65" s="14" t="s">
        <v>3784</v>
      </c>
      <c r="L65" s="14" t="s">
        <v>3406</v>
      </c>
      <c r="M65" s="14" t="s">
        <v>9158</v>
      </c>
      <c r="N65" s="14" t="s">
        <v>9158</v>
      </c>
      <c r="O65" s="14" t="s">
        <v>9158</v>
      </c>
      <c r="P65" s="14" t="s">
        <v>9158</v>
      </c>
      <c r="Q65" s="14" t="s">
        <v>9158</v>
      </c>
      <c r="R65" s="14"/>
    </row>
    <row r="66" spans="1:18">
      <c r="B66" s="14"/>
      <c r="C66" s="14"/>
      <c r="D66" s="14"/>
      <c r="F66" s="14"/>
      <c r="G66" s="14"/>
      <c r="H66" s="14"/>
      <c r="I66" s="14"/>
      <c r="J66" s="14"/>
      <c r="K66" s="14"/>
      <c r="L66" s="14"/>
      <c r="M66" s="14"/>
      <c r="N66" s="14"/>
      <c r="P66" s="14"/>
      <c r="Q66" s="14"/>
      <c r="R66" s="14"/>
    </row>
    <row r="67" spans="1:18">
      <c r="A67" s="14" t="s">
        <v>3785</v>
      </c>
      <c r="D67" s="14"/>
      <c r="F67" s="14"/>
      <c r="G67" s="14"/>
      <c r="H67" s="14"/>
      <c r="I67" s="14"/>
      <c r="J67" s="14"/>
      <c r="K67" s="14"/>
      <c r="L67" s="14"/>
      <c r="M67" s="14"/>
      <c r="N67" s="14"/>
      <c r="P67" s="14"/>
      <c r="Q67" s="14"/>
      <c r="R67" s="14"/>
    </row>
    <row r="68" spans="1:18">
      <c r="A68" s="14" t="s">
        <v>3786</v>
      </c>
      <c r="B68" s="14"/>
      <c r="C68" s="14"/>
      <c r="D68" s="14"/>
      <c r="F68" s="14"/>
      <c r="G68" s="14"/>
      <c r="H68" s="14"/>
      <c r="I68" s="14"/>
      <c r="J68" s="14"/>
      <c r="K68" s="14"/>
      <c r="L68" s="14"/>
      <c r="M68" s="14"/>
      <c r="N68" s="14"/>
      <c r="P68" s="14"/>
      <c r="Q68" s="14"/>
      <c r="R68" s="14"/>
    </row>
    <row r="69" spans="1:18">
      <c r="A69" s="9" t="s">
        <v>5622</v>
      </c>
      <c r="B69" s="14" t="s">
        <v>52</v>
      </c>
      <c r="C69" s="14" t="s">
        <v>185</v>
      </c>
      <c r="D69" s="14" t="s">
        <v>1043</v>
      </c>
      <c r="E69" s="15" t="str">
        <f>HYPERLINK("https://stat100.ameba.jp/tnk47/ratio20/illustrations/card/ill_49953_0_yushamarihime03.jpg?201903-2-RELEASE-unionbattle-398", "■")</f>
        <v>■</v>
      </c>
      <c r="F69" s="14" t="s">
        <v>1044</v>
      </c>
      <c r="G69" s="14">
        <v>94236</v>
      </c>
      <c r="H69" s="14">
        <v>83712</v>
      </c>
      <c r="I69" s="14">
        <v>15</v>
      </c>
      <c r="J69" s="14" t="s">
        <v>77</v>
      </c>
      <c r="K69" s="14" t="s">
        <v>1045</v>
      </c>
      <c r="L69" s="14" t="s">
        <v>1046</v>
      </c>
      <c r="M69" s="14" t="s">
        <v>9158</v>
      </c>
      <c r="N69" s="14" t="s">
        <v>9158</v>
      </c>
      <c r="O69" s="14" t="s">
        <v>9158</v>
      </c>
      <c r="P69" s="14" t="s">
        <v>9158</v>
      </c>
      <c r="Q69" s="14" t="s">
        <v>9158</v>
      </c>
      <c r="R69" s="14"/>
    </row>
    <row r="70" spans="1:18">
      <c r="A70" s="9" t="s">
        <v>5787</v>
      </c>
      <c r="B70" s="14" t="s">
        <v>52</v>
      </c>
      <c r="C70" s="14" t="s">
        <v>202</v>
      </c>
      <c r="D70" s="14" t="s">
        <v>1101</v>
      </c>
      <c r="E70" s="15" t="str">
        <f>HYPERLINK("https://stat100.ameba.jp/tnk47/ratio20/illustrations/card/ill_76303_0_haroinkaguya03.jpg?201903-2-RELEASE-unionbattle-398", "■")</f>
        <v>■</v>
      </c>
      <c r="F70" s="14" t="s">
        <v>1102</v>
      </c>
      <c r="G70" s="14">
        <v>178507</v>
      </c>
      <c r="H70" s="14">
        <v>165953</v>
      </c>
      <c r="I70" s="14">
        <v>15</v>
      </c>
      <c r="J70" s="14" t="s">
        <v>38</v>
      </c>
      <c r="K70" s="14" t="s">
        <v>1103</v>
      </c>
      <c r="L70" s="14" t="s">
        <v>1104</v>
      </c>
      <c r="M70" s="14" t="s">
        <v>9158</v>
      </c>
      <c r="N70" s="14" t="s">
        <v>9158</v>
      </c>
      <c r="O70" s="9" t="s">
        <v>2723</v>
      </c>
      <c r="P70" s="14" t="s">
        <v>2724</v>
      </c>
      <c r="Q70" s="14">
        <v>1</v>
      </c>
      <c r="R70" s="14"/>
    </row>
    <row r="71" spans="1:18">
      <c r="A71" s="9" t="s">
        <v>5820</v>
      </c>
      <c r="B71" s="14" t="s">
        <v>330</v>
      </c>
      <c r="C71" s="14" t="s">
        <v>200</v>
      </c>
      <c r="D71" s="14" t="s">
        <v>2346</v>
      </c>
      <c r="E71" s="15" t="str">
        <f>HYPERLINK("https://stat100.ameba.jp/tnk47/ratio20/illustrations/card/ill_48283_0_kyuubitamamonomae03.jpg?201903-2-RELEASE-unionbattle-398", "■")</f>
        <v>■</v>
      </c>
      <c r="F71" s="14" t="s">
        <v>2347</v>
      </c>
      <c r="G71" s="14">
        <v>94236</v>
      </c>
      <c r="H71" s="14">
        <v>83712</v>
      </c>
      <c r="I71" s="14">
        <v>15</v>
      </c>
      <c r="J71" s="14" t="s">
        <v>73</v>
      </c>
      <c r="K71" s="14" t="s">
        <v>2348</v>
      </c>
      <c r="L71" s="14" t="s">
        <v>2349</v>
      </c>
      <c r="M71" s="14" t="s">
        <v>9158</v>
      </c>
      <c r="N71" s="14" t="s">
        <v>9158</v>
      </c>
      <c r="O71" s="14" t="s">
        <v>9158</v>
      </c>
      <c r="P71" s="14" t="s">
        <v>9158</v>
      </c>
      <c r="Q71" s="14" t="s">
        <v>9158</v>
      </c>
      <c r="R71" s="14"/>
    </row>
    <row r="72" spans="1:18">
      <c r="A72" s="9">
        <v>54783</v>
      </c>
      <c r="B72" s="14" t="s">
        <v>334</v>
      </c>
      <c r="C72" s="14" t="s">
        <v>165</v>
      </c>
      <c r="D72" s="14" t="s">
        <v>1874</v>
      </c>
      <c r="E72" s="15" t="str">
        <f>HYPERLINK("https://stat100.ameba.jp/tnk47/ratio20/illustrations/card/ill_54783_youenchigusa03.jpg?201903-2-RELEASE-unionbattle-398", "■")</f>
        <v>■</v>
      </c>
      <c r="F72" s="14" t="s">
        <v>1875</v>
      </c>
      <c r="G72" s="14">
        <v>95452</v>
      </c>
      <c r="H72" s="14">
        <v>68622</v>
      </c>
      <c r="I72" s="14">
        <v>22</v>
      </c>
      <c r="J72" s="14" t="s">
        <v>77</v>
      </c>
      <c r="K72" s="14" t="s">
        <v>1876</v>
      </c>
      <c r="L72" s="14" t="s">
        <v>1877</v>
      </c>
      <c r="M72" s="14" t="s">
        <v>9158</v>
      </c>
      <c r="N72" s="14" t="s">
        <v>9158</v>
      </c>
      <c r="O72" s="14" t="s">
        <v>9158</v>
      </c>
      <c r="P72" s="14" t="s">
        <v>9158</v>
      </c>
      <c r="Q72" s="14" t="s">
        <v>9158</v>
      </c>
      <c r="R72" s="14"/>
    </row>
    <row r="73" spans="1:18">
      <c r="A73" s="9">
        <v>60213</v>
      </c>
      <c r="B73" s="14" t="s">
        <v>334</v>
      </c>
      <c r="C73" s="14" t="s">
        <v>191</v>
      </c>
      <c r="D73" s="14" t="s">
        <v>3787</v>
      </c>
      <c r="E73" s="15" t="str">
        <f>HYPERLINK("https://stat100.ameba.jp/tnk47/ratio20/illustrations/card/ill_60213_nonakachiyoko03.jpg?201903-2-RELEASE-unionbattle-398", "■")</f>
        <v>■</v>
      </c>
      <c r="F73" s="14" t="s">
        <v>3788</v>
      </c>
      <c r="G73" s="14">
        <v>99846</v>
      </c>
      <c r="H73" s="14">
        <v>72340</v>
      </c>
      <c r="I73" s="14">
        <v>22</v>
      </c>
      <c r="J73" s="14" t="s">
        <v>16</v>
      </c>
      <c r="K73" s="14" t="s">
        <v>3789</v>
      </c>
      <c r="L73" s="14" t="s">
        <v>1149</v>
      </c>
      <c r="M73" s="14" t="s">
        <v>9158</v>
      </c>
      <c r="N73" s="14" t="s">
        <v>9158</v>
      </c>
      <c r="O73" s="14" t="s">
        <v>9158</v>
      </c>
      <c r="P73" s="14" t="s">
        <v>9158</v>
      </c>
      <c r="Q73" s="14" t="s">
        <v>9158</v>
      </c>
      <c r="R73" s="14"/>
    </row>
    <row r="74" spans="1:18">
      <c r="A74" s="9">
        <v>46493</v>
      </c>
      <c r="B74" s="14" t="s">
        <v>334</v>
      </c>
      <c r="C74" s="14" t="s">
        <v>185</v>
      </c>
      <c r="D74" s="14" t="s">
        <v>3790</v>
      </c>
      <c r="E74" s="15" t="str">
        <f>HYPERLINK("https://stat100.ameba.jp/tnk47/ratio20/illustrations/card/ill_46493_hakkachan03.jpg?201903-2-RELEASE-unionbattle-398", "■")</f>
        <v>■</v>
      </c>
      <c r="F74" s="14" t="s">
        <v>3791</v>
      </c>
      <c r="G74" s="14">
        <v>84796</v>
      </c>
      <c r="H74" s="14">
        <v>78838</v>
      </c>
      <c r="I74" s="14">
        <v>22</v>
      </c>
      <c r="J74" s="14" t="s">
        <v>26</v>
      </c>
      <c r="K74" s="14" t="s">
        <v>3792</v>
      </c>
      <c r="L74" s="14" t="s">
        <v>3793</v>
      </c>
      <c r="M74" s="14" t="s">
        <v>9158</v>
      </c>
      <c r="N74" s="14" t="s">
        <v>9158</v>
      </c>
      <c r="O74" s="14" t="s">
        <v>9158</v>
      </c>
      <c r="P74" s="14" t="s">
        <v>9158</v>
      </c>
      <c r="Q74" s="14" t="s">
        <v>9158</v>
      </c>
      <c r="R74" s="14"/>
    </row>
    <row r="75" spans="1:18">
      <c r="B75" s="14"/>
      <c r="C75" s="14"/>
      <c r="D75" s="14"/>
      <c r="F75" s="14"/>
      <c r="G75" s="14"/>
      <c r="H75" s="14"/>
      <c r="I75" s="14"/>
      <c r="J75" s="14"/>
      <c r="K75" s="14"/>
      <c r="L75" s="14"/>
      <c r="M75" s="14"/>
      <c r="N75" s="14"/>
      <c r="P75" s="14"/>
      <c r="Q75" s="14"/>
      <c r="R75" s="14"/>
    </row>
    <row r="76" spans="1:18">
      <c r="A76" s="14" t="s">
        <v>180</v>
      </c>
      <c r="D76" s="14"/>
      <c r="F76" s="14"/>
      <c r="G76" s="14"/>
      <c r="H76" s="14"/>
      <c r="I76" s="14"/>
      <c r="J76" s="14"/>
      <c r="K76" s="14"/>
      <c r="L76" s="14"/>
      <c r="M76" s="14"/>
      <c r="N76" s="14"/>
      <c r="P76" s="14"/>
      <c r="Q76" s="14"/>
      <c r="R76" s="14"/>
    </row>
    <row r="77" spans="1:18">
      <c r="A77" s="14" t="s">
        <v>3794</v>
      </c>
      <c r="C77" s="14"/>
      <c r="D77" s="14"/>
      <c r="F77" s="14"/>
      <c r="G77" s="14"/>
      <c r="H77" s="14"/>
      <c r="I77" s="14"/>
      <c r="J77" s="14"/>
      <c r="K77" s="14"/>
      <c r="L77" s="14"/>
      <c r="M77" s="14"/>
      <c r="N77" s="14"/>
      <c r="P77" s="14"/>
      <c r="Q77" s="14"/>
      <c r="R77" s="14"/>
    </row>
    <row r="78" spans="1:18">
      <c r="A78" s="9" t="s">
        <v>5725</v>
      </c>
      <c r="B78" s="14" t="s">
        <v>52</v>
      </c>
      <c r="C78" s="14" t="s">
        <v>107</v>
      </c>
      <c r="D78" s="14" t="s">
        <v>55</v>
      </c>
      <c r="E78" s="15" t="str">
        <f>HYPERLINK("https://stat100.ameba.jp/tnk47/ratio20/illustrations/card/ill_52693_0_sengokumibirakiyanagiharabyakuren03.jpg?201903-2-RELEASE-unionbattle-398", "■")</f>
        <v>■</v>
      </c>
      <c r="F78" s="14" t="s">
        <v>1246</v>
      </c>
      <c r="G78" s="14">
        <v>122776</v>
      </c>
      <c r="H78" s="14">
        <v>138212</v>
      </c>
      <c r="I78" s="14">
        <v>22</v>
      </c>
      <c r="J78" s="14" t="s">
        <v>16</v>
      </c>
      <c r="K78" s="14" t="s">
        <v>1247</v>
      </c>
      <c r="L78" s="14" t="s">
        <v>1248</v>
      </c>
      <c r="M78" s="14" t="s">
        <v>9158</v>
      </c>
      <c r="N78" s="14" t="s">
        <v>9158</v>
      </c>
      <c r="O78" s="9" t="s">
        <v>3303</v>
      </c>
      <c r="P78" s="14" t="s">
        <v>3304</v>
      </c>
      <c r="Q78" s="14">
        <v>1</v>
      </c>
      <c r="R78" s="14"/>
    </row>
    <row r="79" spans="1:18">
      <c r="A79" s="9" t="s">
        <v>5897</v>
      </c>
      <c r="B79" s="14" t="s">
        <v>52</v>
      </c>
      <c r="C79" s="14" t="s">
        <v>23</v>
      </c>
      <c r="D79" s="14" t="s">
        <v>53</v>
      </c>
      <c r="E79" s="15" t="str">
        <f>HYPERLINK("https://stat100.ameba.jp/tnk47/ratio20/illustrations/card/ill_40913_0_reigyokudensetsufusehime03.jpg?201903-2-RELEASE-unionbattle-398", "■")</f>
        <v>■</v>
      </c>
      <c r="F79" s="14" t="s">
        <v>955</v>
      </c>
      <c r="G79" s="14">
        <v>120576</v>
      </c>
      <c r="H79" s="14">
        <v>128744</v>
      </c>
      <c r="I79" s="14">
        <v>22</v>
      </c>
      <c r="J79" s="14" t="s">
        <v>38</v>
      </c>
      <c r="K79" s="14" t="s">
        <v>956</v>
      </c>
      <c r="L79" s="14" t="s">
        <v>957</v>
      </c>
      <c r="M79" s="14" t="s">
        <v>9158</v>
      </c>
      <c r="N79" s="14" t="s">
        <v>9158</v>
      </c>
      <c r="O79" s="14" t="s">
        <v>9158</v>
      </c>
      <c r="P79" s="14" t="s">
        <v>9158</v>
      </c>
      <c r="Q79" s="14" t="s">
        <v>9158</v>
      </c>
      <c r="R79" s="14"/>
    </row>
    <row r="80" spans="1:18">
      <c r="A80" s="9" t="s">
        <v>5721</v>
      </c>
      <c r="B80" s="14" t="s">
        <v>52</v>
      </c>
      <c r="C80" s="14" t="s">
        <v>1</v>
      </c>
      <c r="D80" s="14" t="s">
        <v>2253</v>
      </c>
      <c r="E80" s="15" t="str">
        <f>HYPERLINK("https://stat100.ameba.jp/tnk47/ratio20/illustrations/card/ill_44283_0_izumonokuni03.jpg?201903-2-RELEASE-unionbattle-398", "■")</f>
        <v>■</v>
      </c>
      <c r="F80" s="14" t="s">
        <v>1716</v>
      </c>
      <c r="G80" s="14">
        <v>128744</v>
      </c>
      <c r="H80" s="14">
        <v>120576</v>
      </c>
      <c r="I80" s="14">
        <v>22</v>
      </c>
      <c r="J80" s="14" t="s">
        <v>16</v>
      </c>
      <c r="K80" s="14" t="s">
        <v>2254</v>
      </c>
      <c r="L80" s="14" t="s">
        <v>1718</v>
      </c>
      <c r="M80" s="14" t="s">
        <v>9158</v>
      </c>
      <c r="N80" s="14" t="s">
        <v>9158</v>
      </c>
      <c r="O80" s="14" t="s">
        <v>9158</v>
      </c>
      <c r="P80" s="14" t="s">
        <v>9158</v>
      </c>
      <c r="Q80" s="14" t="s">
        <v>9158</v>
      </c>
      <c r="R80" s="14"/>
    </row>
    <row r="81" spans="1:18">
      <c r="A81" s="9">
        <v>80093</v>
      </c>
      <c r="B81" s="14" t="s">
        <v>0</v>
      </c>
      <c r="C81" s="14" t="s">
        <v>14</v>
      </c>
      <c r="D81" s="14" t="s">
        <v>3771</v>
      </c>
      <c r="E81" s="15" t="str">
        <f>HYPERLINK("https://stat100.ameba.jp/tnk47/ratio20/illustrations/card/ill_80093_kafunshuraijakotsumusume03.jpg?201903-2-RELEASE-unionbattle-398", "■")</f>
        <v>■</v>
      </c>
      <c r="F81" s="14" t="s">
        <v>3772</v>
      </c>
      <c r="G81" s="14">
        <v>81371</v>
      </c>
      <c r="H81" s="14">
        <v>87496</v>
      </c>
      <c r="I81" s="14">
        <v>21</v>
      </c>
      <c r="J81" s="14" t="s">
        <v>73</v>
      </c>
      <c r="K81" s="14" t="s">
        <v>3773</v>
      </c>
      <c r="L81" s="14" t="s">
        <v>2007</v>
      </c>
      <c r="M81" s="14" t="s">
        <v>9158</v>
      </c>
      <c r="N81" s="14" t="s">
        <v>9158</v>
      </c>
      <c r="O81" s="14" t="s">
        <v>9158</v>
      </c>
      <c r="P81" s="14" t="s">
        <v>9158</v>
      </c>
      <c r="Q81" s="14" t="s">
        <v>9158</v>
      </c>
      <c r="R81" s="14"/>
    </row>
    <row r="82" spans="1:18">
      <c r="A82" s="9">
        <v>80103</v>
      </c>
      <c r="B82" s="14" t="s">
        <v>15</v>
      </c>
      <c r="C82" s="14" t="s">
        <v>23</v>
      </c>
      <c r="D82" s="14" t="s">
        <v>3774</v>
      </c>
      <c r="E82" s="15" t="str">
        <f>HYPERLINK("https://stat100.ameba.jp/tnk47/ratio20/illustrations/card/ill_80103_sakimidarebara03.jpg?201903-2-RELEASE-unionbattle-398", "■")</f>
        <v>■</v>
      </c>
      <c r="F82" s="14" t="s">
        <v>3775</v>
      </c>
      <c r="G82" s="14">
        <v>53352</v>
      </c>
      <c r="H82" s="14">
        <v>48390</v>
      </c>
      <c r="I82" s="14">
        <v>18</v>
      </c>
      <c r="J82" s="14" t="s">
        <v>26</v>
      </c>
      <c r="K82" s="14" t="s">
        <v>3776</v>
      </c>
      <c r="L82" s="14" t="s">
        <v>2011</v>
      </c>
      <c r="M82" s="14" t="s">
        <v>9158</v>
      </c>
      <c r="N82" s="14" t="s">
        <v>9158</v>
      </c>
      <c r="O82" s="14" t="s">
        <v>9158</v>
      </c>
      <c r="P82" s="14" t="s">
        <v>9158</v>
      </c>
      <c r="Q82" s="14" t="s">
        <v>9158</v>
      </c>
      <c r="R82" s="14"/>
    </row>
    <row r="83" spans="1:18">
      <c r="A83" s="9">
        <v>80113</v>
      </c>
      <c r="B83" s="14" t="s">
        <v>22</v>
      </c>
      <c r="C83" s="14" t="s">
        <v>1</v>
      </c>
      <c r="D83" s="14" t="s">
        <v>3777</v>
      </c>
      <c r="E83" s="15" t="str">
        <f>HYPERLINK("https://stat100.ameba.jp/tnk47/ratio20/illustrations/card/ill_80113_izunahimenomikoto03.jpg?201903-2-RELEASE-unionbattle-398", "■")</f>
        <v>■</v>
      </c>
      <c r="F83" s="14" t="s">
        <v>3778</v>
      </c>
      <c r="G83" s="14">
        <v>29388</v>
      </c>
      <c r="H83" s="14">
        <v>35346</v>
      </c>
      <c r="I83" s="14">
        <v>17</v>
      </c>
      <c r="J83" s="14" t="s">
        <v>44</v>
      </c>
      <c r="K83" s="14" t="s">
        <v>3779</v>
      </c>
      <c r="L83" s="14" t="s">
        <v>3780</v>
      </c>
      <c r="M83" s="14" t="s">
        <v>9158</v>
      </c>
      <c r="N83" s="14" t="s">
        <v>9158</v>
      </c>
      <c r="O83" s="14" t="s">
        <v>9158</v>
      </c>
      <c r="P83" s="14" t="s">
        <v>9158</v>
      </c>
      <c r="Q83" s="14" t="s">
        <v>9158</v>
      </c>
      <c r="R83" s="14"/>
    </row>
    <row r="84" spans="1:18">
      <c r="A84" s="9">
        <v>80123</v>
      </c>
      <c r="B84" s="14" t="s">
        <v>30</v>
      </c>
      <c r="C84" s="14" t="s">
        <v>3782</v>
      </c>
      <c r="D84" s="14" t="s">
        <v>3781</v>
      </c>
      <c r="E84" s="15" t="str">
        <f>HYPERLINK("https://stat100.ameba.jp/tnk47/ratio20/illustrations/card/ill_80123_kawaonago03.jpg?201903-2-RELEASE-unionbattle-398", "■")</f>
        <v>■</v>
      </c>
      <c r="F84" s="14" t="s">
        <v>3783</v>
      </c>
      <c r="G84" s="14">
        <v>21398</v>
      </c>
      <c r="H84" s="14">
        <v>17972</v>
      </c>
      <c r="I84" s="14">
        <v>17</v>
      </c>
      <c r="J84" s="14" t="s">
        <v>73</v>
      </c>
      <c r="K84" s="14" t="s">
        <v>3784</v>
      </c>
      <c r="L84" s="14" t="s">
        <v>3406</v>
      </c>
      <c r="M84" s="14" t="s">
        <v>9158</v>
      </c>
      <c r="N84" s="14" t="s">
        <v>9158</v>
      </c>
      <c r="O84" s="14" t="s">
        <v>9158</v>
      </c>
      <c r="P84" s="14" t="s">
        <v>9158</v>
      </c>
      <c r="Q84" s="14" t="s">
        <v>9158</v>
      </c>
      <c r="R84" s="14"/>
    </row>
    <row r="85" spans="1:18">
      <c r="B85" s="14"/>
      <c r="C85" s="14"/>
      <c r="D85" s="14"/>
      <c r="F85" s="14"/>
      <c r="G85" s="14"/>
      <c r="H85" s="14"/>
      <c r="I85" s="14"/>
      <c r="J85" s="14"/>
      <c r="K85" s="14"/>
      <c r="L85" s="14"/>
      <c r="M85" s="14"/>
      <c r="N85" s="14"/>
      <c r="P85" s="14"/>
      <c r="Q85" s="14"/>
      <c r="R85" s="14"/>
    </row>
    <row r="86" spans="1:18">
      <c r="A86" s="14" t="s">
        <v>3795</v>
      </c>
      <c r="D86" s="14"/>
      <c r="F86" s="14"/>
      <c r="G86" s="14"/>
      <c r="H86" s="14"/>
      <c r="I86" s="14"/>
      <c r="J86" s="14"/>
      <c r="K86" s="14"/>
      <c r="L86" s="14"/>
      <c r="M86" s="14"/>
      <c r="N86" s="14"/>
      <c r="P86" s="14"/>
      <c r="Q86" s="14"/>
      <c r="R86" s="14"/>
    </row>
    <row r="87" spans="1:18">
      <c r="A87" s="14" t="s">
        <v>3796</v>
      </c>
      <c r="B87" s="14"/>
      <c r="C87" s="14"/>
      <c r="D87" s="14"/>
      <c r="F87" s="14"/>
      <c r="G87" s="14"/>
      <c r="H87" s="14"/>
      <c r="I87" s="14"/>
      <c r="J87" s="14"/>
      <c r="K87" s="14"/>
      <c r="L87" s="14"/>
      <c r="M87" s="14"/>
      <c r="N87" s="14"/>
      <c r="P87" s="14"/>
      <c r="Q87" s="14"/>
      <c r="R87" s="14"/>
    </row>
    <row r="88" spans="1:18">
      <c r="A88" s="9" t="s">
        <v>5606</v>
      </c>
      <c r="B88" s="14" t="s">
        <v>52</v>
      </c>
      <c r="C88" s="14" t="s">
        <v>206</v>
      </c>
      <c r="D88" s="14" t="s">
        <v>1011</v>
      </c>
      <c r="E88" s="15" t="str">
        <f>HYPERLINK("https://stat100.ameba.jp/tnk47/ratio20/illustrations/card/ill_72233_0_koinoboriryugujin03.jpg?201903-2-RELEASE-unionbattle-398", "■")</f>
        <v>■</v>
      </c>
      <c r="F88" s="14" t="s">
        <v>1012</v>
      </c>
      <c r="G88" s="14">
        <v>98395</v>
      </c>
      <c r="H88" s="14">
        <v>105833</v>
      </c>
      <c r="I88" s="14">
        <v>15</v>
      </c>
      <c r="J88" s="14" t="s">
        <v>44</v>
      </c>
      <c r="K88" s="14" t="s">
        <v>1013</v>
      </c>
      <c r="L88" s="14" t="s">
        <v>1014</v>
      </c>
      <c r="M88" s="14" t="s">
        <v>9158</v>
      </c>
      <c r="N88" s="14" t="s">
        <v>9158</v>
      </c>
      <c r="O88" s="9" t="s">
        <v>3419</v>
      </c>
      <c r="P88" s="14" t="s">
        <v>3420</v>
      </c>
      <c r="Q88" s="14">
        <v>2</v>
      </c>
      <c r="R88" s="14"/>
    </row>
    <row r="89" spans="1:18">
      <c r="A89" s="9" t="s">
        <v>5787</v>
      </c>
      <c r="B89" s="14" t="s">
        <v>52</v>
      </c>
      <c r="C89" s="14" t="s">
        <v>202</v>
      </c>
      <c r="D89" s="14" t="s">
        <v>1101</v>
      </c>
      <c r="E89" s="15" t="str">
        <f>HYPERLINK("https://stat100.ameba.jp/tnk47/ratio20/illustrations/card/ill_76303_0_haroinkaguya03.jpg?201903-2-RELEASE-unionbattle-398", "■")</f>
        <v>■</v>
      </c>
      <c r="F89" s="14" t="s">
        <v>1102</v>
      </c>
      <c r="G89" s="14">
        <v>178507</v>
      </c>
      <c r="H89" s="14">
        <v>165953</v>
      </c>
      <c r="I89" s="14">
        <v>15</v>
      </c>
      <c r="J89" s="14" t="s">
        <v>38</v>
      </c>
      <c r="K89" s="14" t="s">
        <v>1103</v>
      </c>
      <c r="L89" s="14" t="s">
        <v>1104</v>
      </c>
      <c r="M89" s="14" t="s">
        <v>9158</v>
      </c>
      <c r="N89" s="14" t="s">
        <v>9158</v>
      </c>
      <c r="O89" s="9" t="s">
        <v>2723</v>
      </c>
      <c r="P89" s="14" t="s">
        <v>2724</v>
      </c>
      <c r="Q89" s="14">
        <v>1</v>
      </c>
      <c r="R89" s="14"/>
    </row>
    <row r="90" spans="1:18">
      <c r="A90" s="9" t="s">
        <v>6132</v>
      </c>
      <c r="B90" s="14" t="s">
        <v>52</v>
      </c>
      <c r="C90" s="14" t="s">
        <v>205</v>
      </c>
      <c r="D90" s="14" t="s">
        <v>2281</v>
      </c>
      <c r="E90" s="15" t="str">
        <f>HYPERLINK("https://stat100.ameba.jp/tnk47/ratio20/illustrations/card/ill_50693_0_hanamizugimimuratsuru03.jpg?201903-2-RELEASE-unionbattle-398", "■")</f>
        <v>■</v>
      </c>
      <c r="F90" s="14" t="s">
        <v>2282</v>
      </c>
      <c r="G90" s="14">
        <v>83712</v>
      </c>
      <c r="H90" s="14">
        <v>94236</v>
      </c>
      <c r="I90" s="14">
        <v>15</v>
      </c>
      <c r="J90" s="14" t="s">
        <v>143</v>
      </c>
      <c r="K90" s="14" t="s">
        <v>2283</v>
      </c>
      <c r="L90" s="14" t="s">
        <v>2284</v>
      </c>
      <c r="M90" s="14" t="s">
        <v>9158</v>
      </c>
      <c r="N90" s="14" t="s">
        <v>9158</v>
      </c>
      <c r="O90" s="14" t="s">
        <v>9158</v>
      </c>
      <c r="P90" s="14" t="s">
        <v>9158</v>
      </c>
      <c r="Q90" s="14" t="s">
        <v>9158</v>
      </c>
      <c r="R90" s="14"/>
    </row>
    <row r="91" spans="1:18">
      <c r="A91" s="9">
        <v>75973</v>
      </c>
      <c r="B91" s="14" t="s">
        <v>0</v>
      </c>
      <c r="C91" s="14" t="s">
        <v>154</v>
      </c>
      <c r="D91" s="14" t="s">
        <v>2301</v>
      </c>
      <c r="E91" s="15" t="str">
        <f>HYPERLINK("https://stat100.ameba.jp/tnk47/ratio20/illustrations/card/ill_75973_hojonomegamifuriggu03.jpg?201903-2-RELEASE-unionbattle-398", "■")</f>
        <v>■</v>
      </c>
      <c r="F91" s="14" t="s">
        <v>2302</v>
      </c>
      <c r="G91" s="14">
        <v>95001</v>
      </c>
      <c r="H91" s="14">
        <v>168858</v>
      </c>
      <c r="I91" s="14">
        <v>23</v>
      </c>
      <c r="J91" s="14" t="s">
        <v>104</v>
      </c>
      <c r="K91" s="14" t="s">
        <v>2303</v>
      </c>
      <c r="L91" s="14" t="s">
        <v>2304</v>
      </c>
      <c r="M91" s="14" t="s">
        <v>9158</v>
      </c>
      <c r="N91" s="14" t="s">
        <v>9158</v>
      </c>
      <c r="O91" s="14" t="s">
        <v>9158</v>
      </c>
      <c r="P91" s="14" t="s">
        <v>9158</v>
      </c>
      <c r="Q91" s="14" t="s">
        <v>9158</v>
      </c>
      <c r="R91" s="14"/>
    </row>
    <row r="92" spans="1:18">
      <c r="A92" s="9">
        <v>75203</v>
      </c>
      <c r="B92" s="14" t="s">
        <v>0</v>
      </c>
      <c r="C92" s="14" t="s">
        <v>154</v>
      </c>
      <c r="D92" s="14" t="s">
        <v>990</v>
      </c>
      <c r="E92" s="15" t="str">
        <f>HYPERLINK("https://stat100.ameba.jp/tnk47/ratio20/illustrations/card/ill_75203_hisuitsuraratsukainoyama03.jpg?201903-2-RELEASE-unionbattle-398", "■")</f>
        <v>■</v>
      </c>
      <c r="F92" s="14" t="s">
        <v>991</v>
      </c>
      <c r="G92" s="14">
        <v>102223</v>
      </c>
      <c r="H92" s="14">
        <v>95050</v>
      </c>
      <c r="I92" s="14">
        <v>23</v>
      </c>
      <c r="J92" s="14" t="s">
        <v>38</v>
      </c>
      <c r="K92" s="14" t="s">
        <v>992</v>
      </c>
      <c r="L92" s="14" t="s">
        <v>993</v>
      </c>
      <c r="M92" s="14" t="s">
        <v>9158</v>
      </c>
      <c r="N92" s="14" t="s">
        <v>9158</v>
      </c>
      <c r="O92" s="14" t="s">
        <v>9158</v>
      </c>
      <c r="P92" s="14" t="s">
        <v>9158</v>
      </c>
      <c r="Q92" s="14" t="s">
        <v>9158</v>
      </c>
      <c r="R92" s="14"/>
    </row>
    <row r="93" spans="1:18">
      <c r="A93" s="9">
        <v>75213</v>
      </c>
      <c r="B93" s="14" t="s">
        <v>0</v>
      </c>
      <c r="C93" s="14" t="s">
        <v>41</v>
      </c>
      <c r="D93" s="14" t="s">
        <v>3797</v>
      </c>
      <c r="E93" s="15" t="str">
        <f>HYPERLINK("https://stat100.ameba.jp/tnk47/ratio20/illustrations/card/ill_75213_rengokunoshishapuratea03.jpg?201903-2-RELEASE-unionbattle-398", "■")</f>
        <v>■</v>
      </c>
      <c r="F93" s="14" t="s">
        <v>3798</v>
      </c>
      <c r="G93" s="14">
        <v>88625</v>
      </c>
      <c r="H93" s="14">
        <v>95322</v>
      </c>
      <c r="I93" s="14">
        <v>23</v>
      </c>
      <c r="J93" s="14" t="s">
        <v>73</v>
      </c>
      <c r="K93" s="14" t="s">
        <v>3799</v>
      </c>
      <c r="L93" s="14" t="s">
        <v>3379</v>
      </c>
      <c r="M93" s="14" t="s">
        <v>9158</v>
      </c>
      <c r="N93" s="14" t="s">
        <v>9158</v>
      </c>
      <c r="O93" s="9" t="s">
        <v>3800</v>
      </c>
      <c r="P93" s="14" t="s">
        <v>13189</v>
      </c>
      <c r="Q93" s="14">
        <v>1</v>
      </c>
      <c r="R93" s="14"/>
    </row>
    <row r="94" spans="1:18">
      <c r="A94" s="9">
        <v>56623</v>
      </c>
      <c r="B94" s="14" t="s">
        <v>15</v>
      </c>
      <c r="C94" s="14" t="s">
        <v>23</v>
      </c>
      <c r="D94" s="14" t="s">
        <v>3801</v>
      </c>
      <c r="E94" s="15" t="str">
        <f>HYPERLINK("https://stat100.ameba.jp/tnk47/ratio20/illustrations/card/ill_56623_genjuarisu％E3％83％BBbekon03.jpg?201903-2-RELEASE-unionbattle-398", "■")</f>
        <v>■</v>
      </c>
      <c r="F94" s="14" t="s">
        <v>3802</v>
      </c>
      <c r="G94" s="14">
        <v>59144</v>
      </c>
      <c r="H94" s="14">
        <v>65208</v>
      </c>
      <c r="I94" s="14">
        <v>22</v>
      </c>
      <c r="J94" s="14" t="s">
        <v>16</v>
      </c>
      <c r="K94" s="14" t="s">
        <v>3803</v>
      </c>
      <c r="L94" s="14" t="s">
        <v>3804</v>
      </c>
      <c r="M94" s="14" t="s">
        <v>9158</v>
      </c>
      <c r="N94" s="14" t="s">
        <v>9158</v>
      </c>
      <c r="O94" s="14" t="s">
        <v>9158</v>
      </c>
      <c r="P94" s="14" t="s">
        <v>9158</v>
      </c>
      <c r="Q94" s="14" t="s">
        <v>9158</v>
      </c>
      <c r="R94" s="14"/>
    </row>
    <row r="95" spans="1:18">
      <c r="A95" s="9">
        <v>56683</v>
      </c>
      <c r="B95" s="14" t="s">
        <v>15</v>
      </c>
      <c r="C95" s="14" t="s">
        <v>107</v>
      </c>
      <c r="D95" s="14" t="s">
        <v>108</v>
      </c>
      <c r="E95" s="15" t="str">
        <f>HYPERLINK("https://stat100.ameba.jp/tnk47/ratio20/illustrations/card/ill_56683_daibingusakyogabashinohebi03.jpg?201903-2-RELEASE-unionbattle-398", "■")</f>
        <v>■</v>
      </c>
      <c r="F95" s="14" t="s">
        <v>109</v>
      </c>
      <c r="G95" s="14">
        <v>59144</v>
      </c>
      <c r="H95" s="14">
        <v>65208</v>
      </c>
      <c r="I95" s="14">
        <v>22</v>
      </c>
      <c r="J95" s="14" t="s">
        <v>38</v>
      </c>
      <c r="K95" s="14" t="s">
        <v>110</v>
      </c>
      <c r="L95" s="14" t="s">
        <v>111</v>
      </c>
      <c r="M95" s="14" t="s">
        <v>9158</v>
      </c>
      <c r="N95" s="14" t="s">
        <v>9158</v>
      </c>
      <c r="O95" s="14" t="s">
        <v>9158</v>
      </c>
      <c r="P95" s="14" t="s">
        <v>9158</v>
      </c>
      <c r="Q95" s="14" t="s">
        <v>9158</v>
      </c>
      <c r="R95" s="14"/>
    </row>
    <row r="96" spans="1:18">
      <c r="A96" s="9">
        <v>56293</v>
      </c>
      <c r="B96" s="14" t="s">
        <v>15</v>
      </c>
      <c r="C96" s="14" t="s">
        <v>101</v>
      </c>
      <c r="D96" s="14" t="s">
        <v>3805</v>
      </c>
      <c r="E96" s="15" t="str">
        <f>HYPERLINK("https://stat100.ameba.jp/tnk47/ratio20/illustrations/card/ill_56293_miritarimizugimizuhanome03.jpg?201903-2-RELEASE-unionbattle-398", "■")</f>
        <v>■</v>
      </c>
      <c r="F96" s="14" t="s">
        <v>3806</v>
      </c>
      <c r="G96" s="14">
        <v>59144</v>
      </c>
      <c r="H96" s="14">
        <v>65208</v>
      </c>
      <c r="I96" s="14">
        <v>22</v>
      </c>
      <c r="J96" s="14" t="s">
        <v>44</v>
      </c>
      <c r="K96" s="14" t="s">
        <v>3807</v>
      </c>
      <c r="L96" s="14" t="s">
        <v>3808</v>
      </c>
      <c r="M96" s="14" t="s">
        <v>9158</v>
      </c>
      <c r="N96" s="14" t="s">
        <v>9158</v>
      </c>
      <c r="O96" s="14" t="s">
        <v>9158</v>
      </c>
      <c r="P96" s="14" t="s">
        <v>9158</v>
      </c>
      <c r="Q96" s="14" t="s">
        <v>9158</v>
      </c>
      <c r="R96" s="14"/>
    </row>
    <row r="97" spans="1:18">
      <c r="B97" s="14"/>
      <c r="C97" s="14"/>
      <c r="D97" s="14"/>
      <c r="F97" s="14"/>
      <c r="G97" s="14"/>
      <c r="H97" s="14"/>
      <c r="I97" s="14"/>
      <c r="J97" s="14"/>
      <c r="K97" s="14"/>
      <c r="L97" s="14"/>
      <c r="M97" s="14"/>
      <c r="N97" s="14"/>
      <c r="P97" s="14"/>
      <c r="Q97" s="14"/>
      <c r="R97" s="14"/>
    </row>
    <row r="98" spans="1:18">
      <c r="A98" s="14" t="s">
        <v>135</v>
      </c>
      <c r="D98" s="14"/>
      <c r="F98" s="14"/>
      <c r="G98" s="14"/>
      <c r="H98" s="14"/>
      <c r="I98" s="14"/>
      <c r="J98" s="14"/>
      <c r="K98" s="14"/>
      <c r="L98" s="14"/>
      <c r="M98" s="14"/>
      <c r="N98" s="14"/>
      <c r="P98" s="14"/>
      <c r="Q98" s="14"/>
      <c r="R98" s="14"/>
    </row>
    <row r="99" spans="1:18">
      <c r="A99" s="14" t="s">
        <v>3811</v>
      </c>
      <c r="B99" s="14"/>
      <c r="C99" s="14"/>
      <c r="D99" s="14"/>
      <c r="F99" s="14"/>
      <c r="G99" s="14"/>
      <c r="H99" s="14"/>
      <c r="I99" s="14"/>
      <c r="J99" s="14"/>
      <c r="K99" s="14"/>
      <c r="L99" s="14"/>
      <c r="M99" s="14"/>
      <c r="N99" s="14"/>
      <c r="P99" s="14"/>
      <c r="Q99" s="14"/>
      <c r="R99" s="14"/>
    </row>
    <row r="100" spans="1:18">
      <c r="A100" s="9" t="s">
        <v>5822</v>
      </c>
      <c r="B100" s="14" t="s">
        <v>330</v>
      </c>
      <c r="C100" s="14" t="s">
        <v>191</v>
      </c>
      <c r="D100" s="14" t="s">
        <v>898</v>
      </c>
      <c r="E100" s="15" t="str">
        <f>HYPERLINK("https://stat100.ameba.jp/tnk47/ratio20/illustrations/card/ill_71403_0_ohanamisanadayukimura03.jpg?201903-2-RELEASE-unionbattle-398", "■")</f>
        <v>■</v>
      </c>
      <c r="F100" s="14" t="s">
        <v>899</v>
      </c>
      <c r="G100" s="14">
        <v>214692</v>
      </c>
      <c r="H100" s="14">
        <v>199630</v>
      </c>
      <c r="I100" s="14">
        <v>23</v>
      </c>
      <c r="J100" s="14" t="s">
        <v>143</v>
      </c>
      <c r="K100" s="14" t="s">
        <v>900</v>
      </c>
      <c r="L100" s="14" t="s">
        <v>901</v>
      </c>
      <c r="M100" s="14" t="s">
        <v>9158</v>
      </c>
      <c r="N100" s="14" t="s">
        <v>9158</v>
      </c>
      <c r="O100" s="17" t="s">
        <v>10060</v>
      </c>
      <c r="P100" s="14" t="s">
        <v>3418</v>
      </c>
      <c r="Q100" s="14">
        <v>2</v>
      </c>
      <c r="R100" s="14"/>
    </row>
    <row r="101" spans="1:18">
      <c r="A101" s="9">
        <v>73893</v>
      </c>
      <c r="B101" s="14" t="s">
        <v>0</v>
      </c>
      <c r="C101" s="14" t="s">
        <v>158</v>
      </c>
      <c r="D101" s="14" t="s">
        <v>2061</v>
      </c>
      <c r="E101" s="15" t="str">
        <f>HYPERLINK("https://stat100.ameba.jp/tnk47/ratio20/illustrations/card/ill_73893_kurohachidaimyojintookami03.jpg?201903-2-RELEASE-unionbattle-398", "■")</f>
        <v>■</v>
      </c>
      <c r="F101" s="14" t="s">
        <v>2062</v>
      </c>
      <c r="G101" s="14">
        <v>112270</v>
      </c>
      <c r="H101" s="14">
        <v>81314</v>
      </c>
      <c r="I101" s="14">
        <v>22</v>
      </c>
      <c r="J101" s="14" t="s">
        <v>38</v>
      </c>
      <c r="K101" s="14" t="s">
        <v>2063</v>
      </c>
      <c r="L101" s="14" t="s">
        <v>68</v>
      </c>
      <c r="M101" s="14" t="s">
        <v>9158</v>
      </c>
      <c r="N101" s="14" t="s">
        <v>9158</v>
      </c>
      <c r="O101" s="9" t="s">
        <v>3809</v>
      </c>
      <c r="P101" s="14" t="s">
        <v>3810</v>
      </c>
      <c r="Q101" s="14">
        <v>1</v>
      </c>
      <c r="R101" s="14"/>
    </row>
    <row r="102" spans="1:18">
      <c r="A102" s="9">
        <v>67643</v>
      </c>
      <c r="B102" s="14" t="s">
        <v>334</v>
      </c>
      <c r="C102" s="14" t="s">
        <v>209</v>
      </c>
      <c r="D102" s="14" t="s">
        <v>3033</v>
      </c>
      <c r="E102" s="15" t="str">
        <f>HYPERLINK("https://stat100.ameba.jp/tnk47/ratio20/illustrations/card/ill_67643_edokarakamichan03.jpg?201903-2-RELEASE-unionbattle-398", "■")</f>
        <v>■</v>
      </c>
      <c r="F102" s="14" t="s">
        <v>3034</v>
      </c>
      <c r="G102" s="14">
        <v>103894</v>
      </c>
      <c r="H102" s="14">
        <v>96610</v>
      </c>
      <c r="I102" s="14">
        <v>22</v>
      </c>
      <c r="J102" s="14" t="s">
        <v>369</v>
      </c>
      <c r="K102" s="14" t="s">
        <v>3035</v>
      </c>
      <c r="L102" s="14" t="s">
        <v>3036</v>
      </c>
      <c r="M102" s="14" t="s">
        <v>9158</v>
      </c>
      <c r="N102" s="14" t="s">
        <v>9158</v>
      </c>
      <c r="O102" s="9" t="s">
        <v>3037</v>
      </c>
      <c r="P102" s="14" t="s">
        <v>13128</v>
      </c>
      <c r="Q102" s="14">
        <v>1</v>
      </c>
      <c r="R102" s="14"/>
    </row>
    <row r="103" spans="1:18">
      <c r="A103" s="9">
        <v>75093</v>
      </c>
      <c r="B103" s="14" t="s">
        <v>334</v>
      </c>
      <c r="C103" s="14" t="s">
        <v>158</v>
      </c>
      <c r="D103" s="14" t="s">
        <v>2613</v>
      </c>
      <c r="E103" s="15" t="str">
        <f>HYPERLINK("https://stat100.ameba.jp/tnk47/ratio20/illustrations/card/ill_75093_hangonko03.jpg?201903-2-RELEASE-unionbattle-398", "■")</f>
        <v>■</v>
      </c>
      <c r="F103" s="14" t="s">
        <v>2614</v>
      </c>
      <c r="G103" s="14">
        <v>116286</v>
      </c>
      <c r="H103" s="14">
        <v>84220</v>
      </c>
      <c r="I103" s="14">
        <v>22</v>
      </c>
      <c r="J103" s="14" t="s">
        <v>44</v>
      </c>
      <c r="K103" s="14" t="s">
        <v>2615</v>
      </c>
      <c r="L103" s="14" t="s">
        <v>1108</v>
      </c>
      <c r="M103" s="14" t="s">
        <v>9158</v>
      </c>
      <c r="N103" s="14" t="s">
        <v>9158</v>
      </c>
      <c r="O103" s="9" t="s">
        <v>3414</v>
      </c>
      <c r="P103" s="14" t="s">
        <v>13122</v>
      </c>
      <c r="Q103" s="14">
        <v>1</v>
      </c>
      <c r="R103" s="14"/>
    </row>
    <row r="104" spans="1:18">
      <c r="B104" s="14"/>
      <c r="C104" s="14"/>
      <c r="D104" s="14"/>
      <c r="F104" s="14"/>
      <c r="G104" s="14"/>
      <c r="H104" s="14"/>
      <c r="I104" s="14"/>
      <c r="J104" s="14"/>
      <c r="K104" s="14"/>
      <c r="L104" s="14"/>
      <c r="M104" s="14"/>
      <c r="N104" s="14"/>
      <c r="P104" s="14"/>
      <c r="Q104" s="14"/>
      <c r="R104" s="14"/>
    </row>
    <row r="105" spans="1:18">
      <c r="A105" s="14" t="s">
        <v>195</v>
      </c>
      <c r="D105" s="14"/>
      <c r="F105" s="14"/>
      <c r="G105" s="14"/>
      <c r="H105" s="14"/>
      <c r="I105" s="14"/>
      <c r="J105" s="14"/>
      <c r="K105" s="14"/>
      <c r="L105" s="14"/>
      <c r="M105" s="14"/>
      <c r="N105" s="14"/>
      <c r="P105" s="14"/>
      <c r="Q105" s="14"/>
      <c r="R105" s="14"/>
    </row>
    <row r="106" spans="1:18">
      <c r="A106" s="14" t="s">
        <v>3812</v>
      </c>
      <c r="B106" s="14"/>
      <c r="C106" s="14"/>
      <c r="D106" s="14"/>
      <c r="F106" s="14"/>
      <c r="G106" s="14"/>
      <c r="H106" s="14"/>
      <c r="I106" s="14"/>
      <c r="J106" s="14"/>
      <c r="K106" s="14"/>
      <c r="L106" s="14"/>
      <c r="M106" s="14"/>
      <c r="N106" s="14"/>
      <c r="P106" s="14"/>
      <c r="Q106" s="14"/>
      <c r="R106" s="14"/>
    </row>
    <row r="107" spans="1:18">
      <c r="A107" s="9">
        <v>76103</v>
      </c>
      <c r="B107" s="14" t="s">
        <v>334</v>
      </c>
      <c r="C107" s="14" t="s">
        <v>154</v>
      </c>
      <c r="D107" s="14" t="s">
        <v>1121</v>
      </c>
      <c r="E107" s="15" t="str">
        <f>HYPERLINK("https://stat100.ameba.jp/tnk47/ratio20/illustrations/card/ill_76103_shibuaji03.jpg?201903-2-RELEASE-unionbattle-398", "■")</f>
        <v>■</v>
      </c>
      <c r="F107" s="14" t="s">
        <v>1122</v>
      </c>
      <c r="G107" s="14">
        <v>94886</v>
      </c>
      <c r="H107" s="14">
        <v>88226</v>
      </c>
      <c r="I107" s="14">
        <v>22</v>
      </c>
      <c r="J107" s="14" t="s">
        <v>143</v>
      </c>
      <c r="K107" s="14" t="s">
        <v>1123</v>
      </c>
      <c r="L107" s="14" t="s">
        <v>1124</v>
      </c>
      <c r="M107" s="14" t="s">
        <v>9158</v>
      </c>
      <c r="N107" s="14" t="s">
        <v>9158</v>
      </c>
      <c r="O107" s="14" t="s">
        <v>9158</v>
      </c>
      <c r="P107" s="14" t="s">
        <v>9158</v>
      </c>
      <c r="Q107" s="14" t="s">
        <v>9158</v>
      </c>
      <c r="R107" s="14"/>
    </row>
    <row r="108" spans="1:18">
      <c r="A108" s="9">
        <v>76113</v>
      </c>
      <c r="B108" s="14" t="s">
        <v>334</v>
      </c>
      <c r="C108" s="14" t="s">
        <v>158</v>
      </c>
      <c r="D108" s="14" t="s">
        <v>1125</v>
      </c>
      <c r="E108" s="15" t="str">
        <f>HYPERLINK("https://stat100.ameba.jp/tnk47/ratio20/illustrations/card/ill_76113_jannudaruku03.jpg?201903-2-RELEASE-unionbattle-398", "■")</f>
        <v>■</v>
      </c>
      <c r="F108" s="14" t="s">
        <v>1126</v>
      </c>
      <c r="G108" s="14">
        <v>94886</v>
      </c>
      <c r="H108" s="14">
        <v>88226</v>
      </c>
      <c r="I108" s="14">
        <v>22</v>
      </c>
      <c r="J108" s="14" t="s">
        <v>10</v>
      </c>
      <c r="K108" s="14" t="s">
        <v>1127</v>
      </c>
      <c r="L108" s="14" t="s">
        <v>1128</v>
      </c>
      <c r="M108" s="14" t="s">
        <v>9158</v>
      </c>
      <c r="N108" s="14" t="s">
        <v>9158</v>
      </c>
      <c r="O108" s="14" t="s">
        <v>9158</v>
      </c>
      <c r="P108" s="14" t="s">
        <v>9158</v>
      </c>
      <c r="Q108" s="14" t="s">
        <v>9158</v>
      </c>
      <c r="R108" s="14"/>
    </row>
    <row r="109" spans="1:18">
      <c r="A109" s="9">
        <v>59863</v>
      </c>
      <c r="B109" s="14" t="s">
        <v>334</v>
      </c>
      <c r="C109" s="14" t="s">
        <v>165</v>
      </c>
      <c r="D109" s="14" t="s">
        <v>318</v>
      </c>
      <c r="E109" s="15" t="str">
        <f>HYPERLINK("https://stat100.ameba.jp/tnk47/ratio20/illustrations/card/ill_59863_yoseiichimokuren03.jpg?201903-2-RELEASE-unionbattle-398", "■")</f>
        <v>■</v>
      </c>
      <c r="F109" s="14" t="s">
        <v>319</v>
      </c>
      <c r="G109" s="14">
        <v>91664</v>
      </c>
      <c r="H109" s="14">
        <v>85246</v>
      </c>
      <c r="I109" s="14">
        <v>22</v>
      </c>
      <c r="J109" s="14" t="s">
        <v>320</v>
      </c>
      <c r="K109" s="14" t="s">
        <v>321</v>
      </c>
      <c r="L109" s="14" t="s">
        <v>322</v>
      </c>
      <c r="M109" s="14" t="s">
        <v>9158</v>
      </c>
      <c r="N109" s="14" t="s">
        <v>9158</v>
      </c>
      <c r="O109" s="14" t="s">
        <v>9158</v>
      </c>
      <c r="P109" s="14" t="s">
        <v>9158</v>
      </c>
      <c r="Q109" s="14" t="s">
        <v>9158</v>
      </c>
      <c r="R109" s="14"/>
    </row>
    <row r="110" spans="1:18">
      <c r="A110" s="9">
        <v>63323</v>
      </c>
      <c r="B110" s="14" t="s">
        <v>0</v>
      </c>
      <c r="C110" s="14" t="s">
        <v>200</v>
      </c>
      <c r="D110" s="14" t="s">
        <v>3582</v>
      </c>
      <c r="E110" s="15" t="str">
        <f>HYPERLINK("https://stat100.ameba.jp/tnk47/ratio20/illustrations/card/ill_63323_ajisaikushinadahime03.jpg?201903-2-RELEASE-unionbattle-398", "■")</f>
        <v>■</v>
      </c>
      <c r="F110" s="14" t="s">
        <v>3583</v>
      </c>
      <c r="G110" s="14">
        <v>83426</v>
      </c>
      <c r="H110" s="14">
        <v>89736</v>
      </c>
      <c r="I110" s="14">
        <v>22</v>
      </c>
      <c r="J110" s="14" t="s">
        <v>44</v>
      </c>
      <c r="K110" s="14" t="s">
        <v>3584</v>
      </c>
      <c r="L110" s="14" t="s">
        <v>2400</v>
      </c>
      <c r="M110" s="14" t="s">
        <v>9158</v>
      </c>
      <c r="N110" s="14" t="s">
        <v>9158</v>
      </c>
      <c r="O110" s="14" t="s">
        <v>9158</v>
      </c>
      <c r="P110" s="14" t="s">
        <v>9158</v>
      </c>
      <c r="Q110" s="14" t="s">
        <v>9158</v>
      </c>
      <c r="R110" s="14"/>
    </row>
    <row r="111" spans="1:18">
      <c r="B111" s="14"/>
      <c r="C111" s="14"/>
      <c r="D111" s="14"/>
      <c r="F111" s="14"/>
      <c r="G111" s="14"/>
      <c r="H111" s="14"/>
      <c r="I111" s="14"/>
      <c r="J111" s="14"/>
      <c r="K111" s="14"/>
      <c r="L111" s="14"/>
      <c r="M111" s="14"/>
      <c r="N111" s="14"/>
      <c r="P111" s="14"/>
      <c r="Q111" s="14"/>
      <c r="R111" s="14"/>
    </row>
    <row r="112" spans="1:18">
      <c r="A112" s="14" t="s">
        <v>3643</v>
      </c>
      <c r="D112" s="14"/>
      <c r="F112" s="14"/>
      <c r="G112" s="14"/>
      <c r="H112" s="14"/>
      <c r="I112" s="14"/>
      <c r="J112" s="14"/>
      <c r="K112" s="14"/>
      <c r="L112" s="14"/>
      <c r="M112" s="14"/>
      <c r="N112" s="14"/>
      <c r="P112" s="14"/>
      <c r="Q112" s="14"/>
      <c r="R112" s="14"/>
    </row>
    <row r="113" spans="1:18">
      <c r="A113" s="14" t="s">
        <v>3813</v>
      </c>
      <c r="B113" s="14"/>
      <c r="C113" s="14"/>
      <c r="D113" s="14"/>
      <c r="F113" s="14"/>
      <c r="G113" s="14"/>
      <c r="H113" s="14"/>
      <c r="I113" s="14"/>
      <c r="J113" s="14"/>
      <c r="K113" s="14"/>
      <c r="L113" s="14"/>
      <c r="M113" s="14"/>
      <c r="N113" s="14"/>
      <c r="P113" s="14"/>
      <c r="Q113" s="14"/>
      <c r="R113" s="14"/>
    </row>
    <row r="114" spans="1:18">
      <c r="A114" s="9">
        <v>77635</v>
      </c>
      <c r="B114" s="14" t="s">
        <v>334</v>
      </c>
      <c r="C114" s="14" t="s">
        <v>202</v>
      </c>
      <c r="D114" s="14" t="s">
        <v>3815</v>
      </c>
      <c r="E114" s="15" t="str">
        <f>HYPERLINK("https://stat100.ameba.jp/tnk47/ratio20/illustrations/card/ill_77635_hakuinotenshihebigami05.jpg?201903-2-RELEASE-unionbattle-398", "■")</f>
        <v>■</v>
      </c>
      <c r="F114" s="14" t="s">
        <v>3816</v>
      </c>
      <c r="G114" s="14">
        <v>79912</v>
      </c>
      <c r="H114" s="14">
        <v>110348</v>
      </c>
      <c r="I114" s="14">
        <v>22</v>
      </c>
      <c r="J114" s="14" t="s">
        <v>38</v>
      </c>
      <c r="K114" s="14" t="s">
        <v>3817</v>
      </c>
      <c r="L114" s="14" t="s">
        <v>3818</v>
      </c>
      <c r="M114" s="14" t="s">
        <v>9158</v>
      </c>
      <c r="N114" s="14" t="s">
        <v>9158</v>
      </c>
      <c r="O114" s="14" t="s">
        <v>9158</v>
      </c>
      <c r="P114" s="14" t="s">
        <v>9158</v>
      </c>
      <c r="Q114" s="14" t="s">
        <v>9158</v>
      </c>
      <c r="R114" s="14" t="s">
        <v>3814</v>
      </c>
    </row>
    <row r="115" spans="1:18">
      <c r="A115" s="9">
        <v>77633</v>
      </c>
      <c r="B115" s="14" t="s">
        <v>15</v>
      </c>
      <c r="C115" s="14" t="s">
        <v>158</v>
      </c>
      <c r="D115" s="14" t="s">
        <v>3815</v>
      </c>
      <c r="E115" s="15" t="str">
        <f>HYPERLINK("https://stat100.ameba.jp/tnk47/ratio20/illustrations/card/ill_77633_hakuinotenshihebigami03.jpg?201903-2-RELEASE-unionbattle-398", "■")</f>
        <v>■</v>
      </c>
      <c r="F115" s="14" t="s">
        <v>3816</v>
      </c>
      <c r="G115" s="14">
        <v>58868</v>
      </c>
      <c r="H115" s="14">
        <v>81316</v>
      </c>
      <c r="I115" s="14">
        <v>22</v>
      </c>
      <c r="J115" s="14" t="s">
        <v>38</v>
      </c>
      <c r="K115" s="14" t="s">
        <v>3817</v>
      </c>
      <c r="L115" s="14" t="s">
        <v>3819</v>
      </c>
      <c r="M115" s="14" t="s">
        <v>9158</v>
      </c>
      <c r="N115" s="14" t="s">
        <v>9158</v>
      </c>
      <c r="O115" s="14" t="s">
        <v>9158</v>
      </c>
      <c r="P115" s="14" t="s">
        <v>9158</v>
      </c>
      <c r="Q115" s="14" t="s">
        <v>9158</v>
      </c>
      <c r="R115" s="14" t="s">
        <v>175</v>
      </c>
    </row>
    <row r="116" spans="1:18">
      <c r="A116" s="9">
        <v>77631</v>
      </c>
      <c r="B116" s="14" t="s">
        <v>15</v>
      </c>
      <c r="C116" s="14" t="s">
        <v>158</v>
      </c>
      <c r="D116" s="14" t="s">
        <v>3815</v>
      </c>
      <c r="E116" s="15" t="str">
        <f>HYPERLINK("https://stat100.ameba.jp/tnk47/ratio20/illustrations/card/ill_77631_hakuinotenshihebigami01.jpg?201903-2-RELEASE-unionbattle-398", "■")</f>
        <v>■</v>
      </c>
      <c r="F116" s="14" t="s">
        <v>3816</v>
      </c>
      <c r="G116" s="14">
        <v>37444</v>
      </c>
      <c r="H116" s="14">
        <v>51722</v>
      </c>
      <c r="I116" s="14">
        <v>22</v>
      </c>
      <c r="J116" s="14" t="s">
        <v>38</v>
      </c>
      <c r="K116" s="14" t="s">
        <v>3817</v>
      </c>
      <c r="L116" s="14" t="s">
        <v>3820</v>
      </c>
      <c r="M116" s="14" t="s">
        <v>9158</v>
      </c>
      <c r="N116" s="14" t="s">
        <v>9158</v>
      </c>
      <c r="O116" s="14" t="s">
        <v>9158</v>
      </c>
      <c r="P116" s="14" t="s">
        <v>9158</v>
      </c>
      <c r="Q116" s="14" t="s">
        <v>9158</v>
      </c>
      <c r="R116" s="14" t="s">
        <v>176</v>
      </c>
    </row>
    <row r="117" spans="1:18">
      <c r="A117" s="9">
        <v>73055</v>
      </c>
      <c r="B117" s="14" t="s">
        <v>334</v>
      </c>
      <c r="C117" s="14" t="s">
        <v>202</v>
      </c>
      <c r="D117" s="14" t="s">
        <v>2109</v>
      </c>
      <c r="E117" s="15" t="str">
        <f>HYPERLINK("https://stat100.ameba.jp/tnk47/ratio20/illustrations/card/ill_73055_tengubi05.jpg?201903-2-RELEASE-unionbattle-398", "■")</f>
        <v>■</v>
      </c>
      <c r="F117" s="14" t="s">
        <v>2110</v>
      </c>
      <c r="G117" s="14">
        <v>49558</v>
      </c>
      <c r="H117" s="14">
        <v>68446</v>
      </c>
      <c r="I117" s="14">
        <v>22</v>
      </c>
      <c r="J117" s="14" t="s">
        <v>73</v>
      </c>
      <c r="K117" s="14" t="s">
        <v>2111</v>
      </c>
      <c r="L117" s="14" t="s">
        <v>2112</v>
      </c>
      <c r="M117" s="14" t="s">
        <v>9158</v>
      </c>
      <c r="N117" s="14" t="s">
        <v>9158</v>
      </c>
      <c r="O117" s="14" t="s">
        <v>9158</v>
      </c>
      <c r="P117" s="14" t="s">
        <v>9158</v>
      </c>
      <c r="Q117" s="14" t="s">
        <v>9158</v>
      </c>
      <c r="R117" s="14" t="s">
        <v>3814</v>
      </c>
    </row>
    <row r="118" spans="1:18">
      <c r="A118" s="9">
        <v>73053</v>
      </c>
      <c r="B118" s="14" t="s">
        <v>15</v>
      </c>
      <c r="C118" s="14" t="s">
        <v>154</v>
      </c>
      <c r="D118" s="14" t="s">
        <v>2109</v>
      </c>
      <c r="E118" s="15" t="str">
        <f>HYPERLINK("https://stat100.ameba.jp/tnk47/ratio20/illustrations/card/ill_73053_tengubi03.jpg?201903-2-RELEASE-unionbattle-398", "■")</f>
        <v>■</v>
      </c>
      <c r="F118" s="14" t="s">
        <v>2110</v>
      </c>
      <c r="G118" s="14">
        <v>35814</v>
      </c>
      <c r="H118" s="14">
        <v>49506</v>
      </c>
      <c r="I118" s="14">
        <v>22</v>
      </c>
      <c r="J118" s="14" t="s">
        <v>73</v>
      </c>
      <c r="K118" s="14" t="s">
        <v>2111</v>
      </c>
      <c r="L118" s="14" t="s">
        <v>2113</v>
      </c>
      <c r="M118" s="14" t="s">
        <v>9158</v>
      </c>
      <c r="N118" s="14" t="s">
        <v>9158</v>
      </c>
      <c r="O118" s="14" t="s">
        <v>9158</v>
      </c>
      <c r="P118" s="14" t="s">
        <v>9158</v>
      </c>
      <c r="Q118" s="14" t="s">
        <v>9158</v>
      </c>
      <c r="R118" s="14" t="s">
        <v>175</v>
      </c>
    </row>
    <row r="119" spans="1:18">
      <c r="A119" s="9">
        <v>73051</v>
      </c>
      <c r="B119" s="14" t="s">
        <v>15</v>
      </c>
      <c r="C119" s="14" t="s">
        <v>154</v>
      </c>
      <c r="D119" s="14" t="s">
        <v>2109</v>
      </c>
      <c r="E119" s="15" t="str">
        <f>HYPERLINK("https://stat100.ameba.jp/tnk47/ratio20/illustrations/card/ill_73051_tengubi01.jpg?201903-2-RELEASE-unionbattle-398", "■")</f>
        <v>■</v>
      </c>
      <c r="F119" s="14" t="s">
        <v>2110</v>
      </c>
      <c r="G119" s="14">
        <v>20768</v>
      </c>
      <c r="H119" s="14">
        <v>28688</v>
      </c>
      <c r="I119" s="14">
        <v>22</v>
      </c>
      <c r="J119" s="14" t="s">
        <v>73</v>
      </c>
      <c r="K119" s="14" t="s">
        <v>2111</v>
      </c>
      <c r="L119" s="14" t="s">
        <v>2114</v>
      </c>
      <c r="M119" s="14" t="s">
        <v>9158</v>
      </c>
      <c r="N119" s="14" t="s">
        <v>9158</v>
      </c>
      <c r="O119" s="14" t="s">
        <v>9158</v>
      </c>
      <c r="P119" s="14" t="s">
        <v>9158</v>
      </c>
      <c r="Q119" s="14" t="s">
        <v>9158</v>
      </c>
      <c r="R119" s="14" t="s">
        <v>176</v>
      </c>
    </row>
    <row r="120" spans="1:18">
      <c r="A120" s="9">
        <v>46645</v>
      </c>
      <c r="B120" s="14" t="s">
        <v>334</v>
      </c>
      <c r="C120" s="14" t="s">
        <v>202</v>
      </c>
      <c r="D120" s="14" t="s">
        <v>3821</v>
      </c>
      <c r="E120" s="15" t="str">
        <f>HYPERLINK("https://stat100.ameba.jp/tnk47/ratio20/illustrations/card/ill_46645_kitagawautamaro05.jpg?201903-2-RELEASE-unionbattle-398", "■")</f>
        <v>■</v>
      </c>
      <c r="F120" s="14" t="s">
        <v>3822</v>
      </c>
      <c r="G120" s="14">
        <v>94594</v>
      </c>
      <c r="H120" s="14">
        <v>72468</v>
      </c>
      <c r="I120" s="14">
        <v>22</v>
      </c>
      <c r="J120" s="14" t="s">
        <v>16</v>
      </c>
      <c r="K120" s="14" t="s">
        <v>3823</v>
      </c>
      <c r="L120" s="14" t="s">
        <v>3824</v>
      </c>
      <c r="M120" s="14" t="s">
        <v>9158</v>
      </c>
      <c r="N120" s="14" t="s">
        <v>9158</v>
      </c>
      <c r="O120" s="14" t="s">
        <v>9158</v>
      </c>
      <c r="P120" s="14" t="s">
        <v>9158</v>
      </c>
      <c r="Q120" s="14" t="s">
        <v>9158</v>
      </c>
      <c r="R120" s="14" t="s">
        <v>3814</v>
      </c>
    </row>
    <row r="121" spans="1:18">
      <c r="A121" s="9">
        <v>46643</v>
      </c>
      <c r="B121" s="14" t="s">
        <v>15</v>
      </c>
      <c r="C121" s="14" t="s">
        <v>154</v>
      </c>
      <c r="D121" s="14" t="s">
        <v>3821</v>
      </c>
      <c r="E121" s="15" t="str">
        <f>HYPERLINK("https://stat100.ameba.jp/tnk47/ratio20/illustrations/card/ill_46643_kitagawautamaro03.jpg?201903-2-RELEASE-unionbattle-398", "■")</f>
        <v>■</v>
      </c>
      <c r="F121" s="14" t="s">
        <v>3822</v>
      </c>
      <c r="G121" s="14">
        <v>66958</v>
      </c>
      <c r="H121" s="14">
        <v>56116</v>
      </c>
      <c r="I121" s="14">
        <v>22</v>
      </c>
      <c r="J121" s="14" t="s">
        <v>16</v>
      </c>
      <c r="K121" s="14" t="s">
        <v>3823</v>
      </c>
      <c r="L121" s="14" t="s">
        <v>3825</v>
      </c>
      <c r="M121" s="14" t="s">
        <v>9158</v>
      </c>
      <c r="N121" s="14" t="s">
        <v>9158</v>
      </c>
      <c r="O121" s="14" t="s">
        <v>9158</v>
      </c>
      <c r="P121" s="14" t="s">
        <v>9158</v>
      </c>
      <c r="Q121" s="14" t="s">
        <v>9158</v>
      </c>
      <c r="R121" s="14" t="s">
        <v>175</v>
      </c>
    </row>
    <row r="122" spans="1:18">
      <c r="A122" s="9">
        <v>46641</v>
      </c>
      <c r="B122" s="14" t="s">
        <v>15</v>
      </c>
      <c r="C122" s="14" t="s">
        <v>154</v>
      </c>
      <c r="D122" s="14" t="s">
        <v>3821</v>
      </c>
      <c r="E122" s="15" t="str">
        <f>HYPERLINK("https://stat100.ameba.jp/tnk47/ratio20/illustrations/card/ill_46641_kitagawautamaro01.jpg?201903-2-RELEASE-unionbattle-398", "■")</f>
        <v>■</v>
      </c>
      <c r="F122" s="14" t="s">
        <v>3822</v>
      </c>
      <c r="G122" s="14">
        <v>41580</v>
      </c>
      <c r="H122" s="14">
        <v>36740</v>
      </c>
      <c r="I122" s="14">
        <v>22</v>
      </c>
      <c r="J122" s="14" t="s">
        <v>16</v>
      </c>
      <c r="K122" s="14" t="s">
        <v>3823</v>
      </c>
      <c r="L122" s="14" t="s">
        <v>34</v>
      </c>
      <c r="M122" s="14" t="s">
        <v>9158</v>
      </c>
      <c r="N122" s="14" t="s">
        <v>9158</v>
      </c>
      <c r="O122" s="14" t="s">
        <v>9158</v>
      </c>
      <c r="P122" s="14" t="s">
        <v>9158</v>
      </c>
      <c r="Q122" s="14" t="s">
        <v>9158</v>
      </c>
      <c r="R122" s="14" t="s">
        <v>176</v>
      </c>
    </row>
    <row r="123" spans="1:18">
      <c r="B123" s="14"/>
      <c r="C123" s="14"/>
      <c r="D123" s="14"/>
      <c r="F123" s="14"/>
      <c r="G123" s="14"/>
      <c r="H123" s="14"/>
      <c r="I123" s="14"/>
      <c r="J123" s="14"/>
      <c r="K123" s="14"/>
      <c r="L123" s="14"/>
      <c r="M123" s="14"/>
      <c r="N123" s="14"/>
      <c r="P123" s="14"/>
      <c r="Q123" s="14"/>
      <c r="R123" s="14"/>
    </row>
    <row r="124" spans="1:18">
      <c r="A124" s="14" t="s">
        <v>199</v>
      </c>
      <c r="D124" s="14"/>
      <c r="F124" s="14"/>
      <c r="G124" s="14"/>
      <c r="H124" s="14"/>
      <c r="I124" s="14"/>
      <c r="J124" s="14"/>
      <c r="K124" s="14"/>
      <c r="L124" s="14"/>
      <c r="M124" s="14"/>
      <c r="N124" s="14"/>
      <c r="P124" s="14"/>
      <c r="Q124" s="14"/>
      <c r="R124" s="14"/>
    </row>
    <row r="125" spans="1:18">
      <c r="A125" s="14" t="s">
        <v>3826</v>
      </c>
      <c r="B125" s="14"/>
      <c r="C125" s="14"/>
      <c r="D125" s="14"/>
      <c r="F125" s="14"/>
      <c r="G125" s="14"/>
      <c r="H125" s="14"/>
      <c r="I125" s="14"/>
      <c r="J125" s="14"/>
      <c r="K125" s="14"/>
      <c r="L125" s="14"/>
      <c r="M125" s="14"/>
      <c r="N125" s="14"/>
      <c r="P125" s="14"/>
      <c r="Q125" s="14"/>
      <c r="R125" s="14"/>
    </row>
    <row r="126" spans="1:18">
      <c r="A126" s="9" t="s">
        <v>5623</v>
      </c>
      <c r="B126" s="14" t="s">
        <v>52</v>
      </c>
      <c r="C126" s="14" t="s">
        <v>165</v>
      </c>
      <c r="D126" s="14" t="s">
        <v>2542</v>
      </c>
      <c r="E126" s="15" t="str">
        <f>HYPERLINK("https://stat100.ameba.jp/tnk47/ratio20/illustrations/card/ill_65713_0_undokaionikirimaru03.jpg?201903-3-RELEASE-dice-e-399", "■")</f>
        <v>■</v>
      </c>
      <c r="F126" s="14" t="s">
        <v>2543</v>
      </c>
      <c r="G126" s="14">
        <v>113525</v>
      </c>
      <c r="H126" s="14">
        <v>105545</v>
      </c>
      <c r="I126" s="14">
        <v>15</v>
      </c>
      <c r="J126" s="14" t="s">
        <v>73</v>
      </c>
      <c r="K126" s="14" t="s">
        <v>2544</v>
      </c>
      <c r="L126" s="14" t="s">
        <v>2545</v>
      </c>
      <c r="M126" s="14" t="s">
        <v>9158</v>
      </c>
      <c r="N126" s="14" t="s">
        <v>9158</v>
      </c>
      <c r="O126" s="9" t="s">
        <v>3542</v>
      </c>
      <c r="P126" s="14" t="s">
        <v>3277</v>
      </c>
      <c r="Q126" s="14">
        <v>1</v>
      </c>
      <c r="R126" s="14"/>
    </row>
    <row r="127" spans="1:18">
      <c r="A127" s="9" t="s">
        <v>5848</v>
      </c>
      <c r="B127" s="14" t="s">
        <v>330</v>
      </c>
      <c r="C127" s="14" t="s">
        <v>200</v>
      </c>
      <c r="D127" s="14" t="s">
        <v>1138</v>
      </c>
      <c r="E127" s="15" t="str">
        <f>HYPERLINK("https://stat100.ameba.jp/tnk47/ratio20/illustrations/card/ill_72963_0_amenohanayomehiguchiichiyo03.jpg?201903-3-RELEASE-dice-e-399", "■")</f>
        <v>■</v>
      </c>
      <c r="F127" s="14" t="s">
        <v>1139</v>
      </c>
      <c r="G127" s="14">
        <v>100502</v>
      </c>
      <c r="H127" s="14">
        <v>93450</v>
      </c>
      <c r="I127" s="14">
        <v>15</v>
      </c>
      <c r="J127" s="14" t="s">
        <v>173</v>
      </c>
      <c r="K127" s="14" t="s">
        <v>1140</v>
      </c>
      <c r="L127" s="14" t="s">
        <v>1141</v>
      </c>
      <c r="M127" s="14" t="s">
        <v>9158</v>
      </c>
      <c r="N127" s="14" t="s">
        <v>9158</v>
      </c>
      <c r="O127" s="9" t="s">
        <v>3409</v>
      </c>
      <c r="P127" s="14" t="s">
        <v>3410</v>
      </c>
      <c r="Q127" s="14">
        <v>1</v>
      </c>
      <c r="R127" s="14"/>
    </row>
    <row r="128" spans="1:18">
      <c r="A128" s="9" t="s">
        <v>9473</v>
      </c>
      <c r="B128" s="14" t="s">
        <v>330</v>
      </c>
      <c r="C128" s="14" t="s">
        <v>191</v>
      </c>
      <c r="D128" s="14" t="s">
        <v>1072</v>
      </c>
      <c r="E128" s="15" t="str">
        <f>HYPERLINK("https://stat100.ameba.jp/tnk47/ratio20/illustrations/card/ill_46283_0_odanobunaga03.jpg?201903-3-RELEASE-dice-e-399", "■")</f>
        <v>■</v>
      </c>
      <c r="F128" s="14" t="s">
        <v>1073</v>
      </c>
      <c r="G128" s="14">
        <v>82212</v>
      </c>
      <c r="H128" s="14">
        <v>87780</v>
      </c>
      <c r="I128" s="14">
        <v>15</v>
      </c>
      <c r="J128" s="14" t="s">
        <v>143</v>
      </c>
      <c r="K128" s="14" t="s">
        <v>1074</v>
      </c>
      <c r="L128" s="14" t="s">
        <v>1075</v>
      </c>
      <c r="M128" s="14" t="s">
        <v>9158</v>
      </c>
      <c r="N128" s="14" t="s">
        <v>9158</v>
      </c>
      <c r="O128" s="14" t="s">
        <v>9158</v>
      </c>
      <c r="P128" s="14" t="s">
        <v>9158</v>
      </c>
      <c r="Q128" s="14" t="s">
        <v>9158</v>
      </c>
      <c r="R128" s="14"/>
    </row>
    <row r="129" spans="1:18">
      <c r="A129" s="9">
        <v>74853</v>
      </c>
      <c r="B129" s="14" t="s">
        <v>334</v>
      </c>
      <c r="C129" s="14" t="s">
        <v>191</v>
      </c>
      <c r="D129" s="14" t="s">
        <v>3312</v>
      </c>
      <c r="E129" s="15" t="str">
        <f>HYPERLINK("https://stat100.ameba.jp/tnk47/ratio20/illustrations/card/ill_74853_ennichikingyonota03.jpg?201903-3-RELEASE-dice-e-399", "■")</f>
        <v>■</v>
      </c>
      <c r="F129" s="14" t="s">
        <v>3313</v>
      </c>
      <c r="G129" s="14">
        <v>82978</v>
      </c>
      <c r="H129" s="14">
        <v>89208</v>
      </c>
      <c r="I129" s="14">
        <v>22</v>
      </c>
      <c r="J129" s="14" t="s">
        <v>38</v>
      </c>
      <c r="K129" s="14" t="s">
        <v>3314</v>
      </c>
      <c r="L129" s="14" t="s">
        <v>3315</v>
      </c>
      <c r="M129" s="14" t="s">
        <v>9158</v>
      </c>
      <c r="N129" s="14" t="s">
        <v>9158</v>
      </c>
      <c r="O129" s="14" t="s">
        <v>9158</v>
      </c>
      <c r="P129" s="14" t="s">
        <v>9158</v>
      </c>
      <c r="Q129" s="14" t="s">
        <v>9158</v>
      </c>
      <c r="R129" s="14"/>
    </row>
    <row r="130" spans="1:18">
      <c r="A130" s="9">
        <v>77353</v>
      </c>
      <c r="B130" s="14" t="s">
        <v>334</v>
      </c>
      <c r="C130" s="14" t="s">
        <v>200</v>
      </c>
      <c r="D130" s="14" t="s">
        <v>1529</v>
      </c>
      <c r="E130" s="15" t="str">
        <f>HYPERLINK("https://stat100.ameba.jp/tnk47/ratio20/illustrations/card/ill_77353_chayamusumekandamatsuri03.jpg?201903-3-RELEASE-dice-e-399", "■")</f>
        <v>■</v>
      </c>
      <c r="F130" s="14" t="s">
        <v>1530</v>
      </c>
      <c r="G130" s="14">
        <v>100224</v>
      </c>
      <c r="H130" s="14">
        <v>93184</v>
      </c>
      <c r="I130" s="14">
        <v>22</v>
      </c>
      <c r="J130" s="14" t="s">
        <v>369</v>
      </c>
      <c r="K130" s="14" t="s">
        <v>1531</v>
      </c>
      <c r="L130" s="14" t="s">
        <v>1532</v>
      </c>
      <c r="M130" s="14" t="s">
        <v>9158</v>
      </c>
      <c r="N130" s="14" t="s">
        <v>9158</v>
      </c>
      <c r="O130" s="14" t="s">
        <v>9158</v>
      </c>
      <c r="P130" s="14" t="s">
        <v>9158</v>
      </c>
      <c r="Q130" s="14" t="s">
        <v>9158</v>
      </c>
      <c r="R130" s="14"/>
    </row>
    <row r="131" spans="1:18">
      <c r="A131" s="9">
        <v>63283</v>
      </c>
      <c r="B131" s="14" t="s">
        <v>334</v>
      </c>
      <c r="C131" s="14" t="s">
        <v>154</v>
      </c>
      <c r="D131" s="14" t="s">
        <v>2434</v>
      </c>
      <c r="E131" s="15" t="str">
        <f>HYPERLINK("https://stat100.ameba.jp/tnk47/ratio20/illustrations/card/ill_63283_mizuyokanchan03.jpg?201903-3-RELEASE-dice-e-399", "■")</f>
        <v>■</v>
      </c>
      <c r="F131" s="14" t="s">
        <v>2434</v>
      </c>
      <c r="G131" s="14">
        <v>103896</v>
      </c>
      <c r="H131" s="14">
        <v>96610</v>
      </c>
      <c r="I131" s="14">
        <v>22</v>
      </c>
      <c r="J131" s="14" t="s">
        <v>216</v>
      </c>
      <c r="K131" s="14" t="s">
        <v>3562</v>
      </c>
      <c r="L131" s="14" t="s">
        <v>13184</v>
      </c>
      <c r="M131" s="14" t="s">
        <v>9158</v>
      </c>
      <c r="N131" s="14" t="s">
        <v>9158</v>
      </c>
      <c r="O131" s="9" t="s">
        <v>3870</v>
      </c>
      <c r="P131" s="14" t="s">
        <v>3563</v>
      </c>
      <c r="Q131" s="14">
        <v>1</v>
      </c>
      <c r="R131" s="14"/>
    </row>
    <row r="132" spans="1:18">
      <c r="B132" s="14"/>
      <c r="C132" s="14"/>
      <c r="D132" s="14"/>
      <c r="F132" s="14"/>
      <c r="G132" s="14"/>
      <c r="H132" s="14"/>
      <c r="I132" s="14"/>
      <c r="J132" s="14"/>
      <c r="K132" s="14"/>
      <c r="L132" s="14"/>
      <c r="M132" s="14"/>
      <c r="N132" s="14"/>
      <c r="P132" s="14"/>
      <c r="Q132" s="14"/>
      <c r="R132" s="14"/>
    </row>
    <row r="133" spans="1:18">
      <c r="A133" s="14" t="s">
        <v>3827</v>
      </c>
      <c r="F133" s="14"/>
      <c r="G133" s="14"/>
      <c r="H133" s="14"/>
      <c r="I133" s="14"/>
      <c r="J133" s="14"/>
      <c r="K133" s="14"/>
      <c r="L133" s="14"/>
      <c r="M133" s="14"/>
      <c r="N133" s="14"/>
      <c r="P133" s="14"/>
      <c r="Q133" s="14"/>
      <c r="R133" s="14"/>
    </row>
    <row r="134" spans="1:18">
      <c r="A134" s="14" t="s">
        <v>3828</v>
      </c>
      <c r="B134" s="14"/>
      <c r="C134" s="14"/>
      <c r="D134" s="14"/>
      <c r="F134" s="14"/>
      <c r="G134" s="14"/>
      <c r="H134" s="14"/>
      <c r="I134" s="14"/>
      <c r="J134" s="14"/>
      <c r="K134" s="14"/>
      <c r="L134" s="14"/>
      <c r="M134" s="14"/>
      <c r="N134" s="14"/>
      <c r="P134" s="14"/>
      <c r="Q134" s="14"/>
      <c r="R134" s="14"/>
    </row>
    <row r="135" spans="1:18">
      <c r="A135" s="14" t="s">
        <v>11480</v>
      </c>
      <c r="B135" s="14"/>
      <c r="C135" s="14"/>
      <c r="D135" s="14"/>
      <c r="F135" s="14"/>
      <c r="G135" s="14"/>
      <c r="H135" s="14"/>
      <c r="I135" s="14"/>
      <c r="J135" s="14"/>
      <c r="K135" s="14"/>
      <c r="L135" s="14"/>
      <c r="M135" s="14"/>
      <c r="N135" s="14"/>
      <c r="P135" s="14"/>
      <c r="Q135" s="14"/>
      <c r="R135" s="14"/>
    </row>
    <row r="136" spans="1:18">
      <c r="A136" s="9" t="s">
        <v>6030</v>
      </c>
      <c r="B136" s="14" t="s">
        <v>330</v>
      </c>
      <c r="C136" s="14" t="s">
        <v>202</v>
      </c>
      <c r="D136" s="14" t="s">
        <v>3708</v>
      </c>
      <c r="E136" s="15" t="str">
        <f>HYPERLINK("https://stat100.ameba.jp/tnk47/ratio20/illustrations/card/ill_80023_0_hinamatsurikyogokumaria03.jpg?201903-3-RELEASE-dice-e-399", "■")</f>
        <v>■</v>
      </c>
      <c r="F136" s="14" t="s">
        <v>3709</v>
      </c>
      <c r="G136" s="14">
        <v>202144</v>
      </c>
      <c r="H136" s="14">
        <v>223681</v>
      </c>
      <c r="I136" s="14">
        <v>15</v>
      </c>
      <c r="J136" s="14" t="s">
        <v>26</v>
      </c>
      <c r="K136" s="14" t="s">
        <v>3710</v>
      </c>
      <c r="L136" s="14" t="s">
        <v>3711</v>
      </c>
      <c r="M136" s="14" t="s">
        <v>9158</v>
      </c>
      <c r="N136" s="14" t="s">
        <v>9158</v>
      </c>
      <c r="O136" s="9" t="s">
        <v>3712</v>
      </c>
      <c r="P136" s="14" t="s">
        <v>3713</v>
      </c>
      <c r="Q136" s="14">
        <v>1</v>
      </c>
      <c r="R136" s="14"/>
    </row>
    <row r="137" spans="1:18">
      <c r="A137" s="9">
        <v>80233</v>
      </c>
      <c r="B137" s="14" t="s">
        <v>0</v>
      </c>
      <c r="C137" s="14" t="s">
        <v>205</v>
      </c>
      <c r="D137" s="14" t="s">
        <v>3829</v>
      </c>
      <c r="E137" s="15" t="str">
        <f>HYPERLINK("https://stat100.ameba.jp/tnk47/ratio20/illustrations/card/ill_80233_haruichibangoryunotsubone03.jpg?201903-3-RELEASE-dice-e-399", "■")</f>
        <v>■</v>
      </c>
      <c r="F137" s="14" t="s">
        <v>3830</v>
      </c>
      <c r="G137" s="14">
        <v>83499</v>
      </c>
      <c r="H137" s="14">
        <v>89839</v>
      </c>
      <c r="I137" s="14">
        <v>23</v>
      </c>
      <c r="J137" s="14" t="s">
        <v>187</v>
      </c>
      <c r="K137" s="14" t="s">
        <v>3831</v>
      </c>
      <c r="L137" s="14" t="s">
        <v>969</v>
      </c>
      <c r="M137" s="14" t="s">
        <v>9158</v>
      </c>
      <c r="N137" s="14" t="s">
        <v>9158</v>
      </c>
      <c r="O137" s="14" t="s">
        <v>9158</v>
      </c>
      <c r="P137" s="14" t="s">
        <v>9158</v>
      </c>
      <c r="Q137" s="14" t="s">
        <v>9158</v>
      </c>
      <c r="R137" s="14"/>
    </row>
    <row r="138" spans="1:18">
      <c r="A138" s="9">
        <v>80243</v>
      </c>
      <c r="B138" s="14" t="s">
        <v>15</v>
      </c>
      <c r="C138" s="14" t="s">
        <v>191</v>
      </c>
      <c r="D138" s="14" t="s">
        <v>3832</v>
      </c>
      <c r="E138" s="15" t="str">
        <f>HYPERLINK("https://stat100.ameba.jp/tnk47/ratio20/illustrations/card/ill_80243_akuzenjinokaze03.jpg?201903-3-RELEASE-dice-e-399", "■")</f>
        <v>■</v>
      </c>
      <c r="F138" s="14" t="s">
        <v>3833</v>
      </c>
      <c r="G138" s="14">
        <v>68172</v>
      </c>
      <c r="H138" s="14">
        <v>61832</v>
      </c>
      <c r="I138" s="14">
        <v>23</v>
      </c>
      <c r="J138" s="14" t="s">
        <v>73</v>
      </c>
      <c r="K138" s="14" t="s">
        <v>3834</v>
      </c>
      <c r="L138" s="14" t="s">
        <v>3835</v>
      </c>
      <c r="M138" s="14" t="s">
        <v>9158</v>
      </c>
      <c r="N138" s="14" t="s">
        <v>9158</v>
      </c>
      <c r="O138" s="14" t="s">
        <v>9158</v>
      </c>
      <c r="P138" s="14" t="s">
        <v>9158</v>
      </c>
      <c r="Q138" s="14" t="s">
        <v>9158</v>
      </c>
      <c r="R138" s="14"/>
    </row>
    <row r="139" spans="1:18">
      <c r="A139" s="9">
        <v>80253</v>
      </c>
      <c r="B139" s="14" t="s">
        <v>22</v>
      </c>
      <c r="C139" s="14" t="s">
        <v>185</v>
      </c>
      <c r="D139" s="14" t="s">
        <v>3836</v>
      </c>
      <c r="E139" s="15" t="str">
        <f>HYPERLINK("https://stat100.ameba.jp/tnk47/ratio20/illustrations/card/ill_80253_hasukapputei03.jpg?201903-3-RELEASE-dice-e-399", "■")</f>
        <v>■</v>
      </c>
      <c r="F139" s="14" t="s">
        <v>3837</v>
      </c>
      <c r="G139" s="14">
        <v>39762</v>
      </c>
      <c r="H139" s="14">
        <v>47820</v>
      </c>
      <c r="I139" s="14">
        <v>23</v>
      </c>
      <c r="J139" s="14" t="s">
        <v>104</v>
      </c>
      <c r="K139" s="14" t="s">
        <v>3838</v>
      </c>
      <c r="L139" s="14" t="s">
        <v>3839</v>
      </c>
      <c r="M139" s="14" t="s">
        <v>9158</v>
      </c>
      <c r="N139" s="14" t="s">
        <v>9158</v>
      </c>
      <c r="O139" s="14" t="s">
        <v>9158</v>
      </c>
      <c r="P139" s="14" t="s">
        <v>9158</v>
      </c>
      <c r="Q139" s="14" t="s">
        <v>9158</v>
      </c>
      <c r="R139" s="14"/>
    </row>
    <row r="140" spans="1:18">
      <c r="A140" s="9">
        <v>80263</v>
      </c>
      <c r="B140" s="14" t="s">
        <v>30</v>
      </c>
      <c r="C140" s="14" t="s">
        <v>2163</v>
      </c>
      <c r="D140" s="14" t="s">
        <v>3840</v>
      </c>
      <c r="E140" s="15" t="str">
        <f>HYPERLINK("https://stat100.ameba.jp/tnk47/ratio20/illustrations/card/ill_80263_sueharukata03.jpg?201903-3-RELEASE-dice-e-399", "■")</f>
        <v>■</v>
      </c>
      <c r="F140" s="14" t="s">
        <v>3841</v>
      </c>
      <c r="G140" s="14">
        <v>28952</v>
      </c>
      <c r="H140" s="14">
        <v>24314</v>
      </c>
      <c r="I140" s="14">
        <v>23</v>
      </c>
      <c r="J140" s="14" t="s">
        <v>143</v>
      </c>
      <c r="K140" s="14" t="s">
        <v>3842</v>
      </c>
      <c r="L140" s="14" t="s">
        <v>3843</v>
      </c>
      <c r="M140" s="14" t="s">
        <v>9158</v>
      </c>
      <c r="N140" s="14" t="s">
        <v>9158</v>
      </c>
      <c r="O140" s="14" t="s">
        <v>9158</v>
      </c>
      <c r="P140" s="14" t="s">
        <v>9158</v>
      </c>
      <c r="Q140" s="14" t="s">
        <v>9158</v>
      </c>
      <c r="R140" s="14"/>
    </row>
    <row r="141" spans="1:18">
      <c r="B141" s="14"/>
      <c r="C141" s="14"/>
      <c r="D141" s="14"/>
      <c r="F141" s="14"/>
      <c r="G141" s="14"/>
      <c r="H141" s="14"/>
      <c r="I141" s="14"/>
      <c r="J141" s="14"/>
      <c r="K141" s="14"/>
      <c r="L141" s="14"/>
      <c r="M141" s="14"/>
      <c r="N141" s="14"/>
      <c r="P141" s="14"/>
      <c r="Q141" s="14"/>
      <c r="R141" s="14"/>
    </row>
    <row r="142" spans="1:18">
      <c r="A142" s="14" t="s">
        <v>3844</v>
      </c>
      <c r="D142" s="14"/>
      <c r="F142" s="14"/>
      <c r="G142" s="14"/>
      <c r="H142" s="14"/>
      <c r="I142" s="14"/>
      <c r="J142" s="14"/>
      <c r="K142" s="14"/>
      <c r="L142" s="14"/>
      <c r="M142" s="14"/>
      <c r="N142" s="14"/>
      <c r="P142" s="14"/>
      <c r="Q142" s="14"/>
      <c r="R142" s="14"/>
    </row>
    <row r="143" spans="1:18">
      <c r="A143" s="14" t="s">
        <v>3845</v>
      </c>
      <c r="B143" s="14"/>
      <c r="C143" s="14"/>
      <c r="D143" s="14"/>
      <c r="F143" s="14"/>
      <c r="G143" s="14"/>
      <c r="H143" s="14"/>
      <c r="I143" s="14"/>
      <c r="J143" s="14"/>
      <c r="K143" s="14"/>
      <c r="L143" s="14"/>
      <c r="M143" s="14"/>
      <c r="N143" s="14"/>
      <c r="P143" s="14"/>
      <c r="Q143" s="14"/>
      <c r="R143" s="14"/>
    </row>
    <row r="144" spans="1:18">
      <c r="A144" s="9" t="s">
        <v>5804</v>
      </c>
      <c r="B144" s="14" t="s">
        <v>330</v>
      </c>
      <c r="C144" s="14" t="s">
        <v>185</v>
      </c>
      <c r="D144" s="14" t="s">
        <v>3247</v>
      </c>
      <c r="E144" s="15" t="str">
        <f>HYPERLINK("https://stat100.ameba.jp/tnk47/ratio20/illustrations/card/ill_75393_0_resukuinotsukisamaniittausagi03.jpg?201903-3-RELEASE-dice-e-399", "■")</f>
        <v>■</v>
      </c>
      <c r="F144" s="14" t="s">
        <v>1679</v>
      </c>
      <c r="G144" s="14">
        <v>216416</v>
      </c>
      <c r="H144" s="14">
        <v>201210</v>
      </c>
      <c r="I144" s="14">
        <v>19</v>
      </c>
      <c r="J144" s="14" t="s">
        <v>369</v>
      </c>
      <c r="K144" s="14" t="s">
        <v>3196</v>
      </c>
      <c r="L144" s="14" t="s">
        <v>3197</v>
      </c>
      <c r="M144" s="14" t="s">
        <v>9158</v>
      </c>
      <c r="N144" s="14" t="s">
        <v>9158</v>
      </c>
      <c r="O144" s="17" t="s">
        <v>10051</v>
      </c>
      <c r="P144" s="14" t="s">
        <v>3198</v>
      </c>
      <c r="Q144" s="14">
        <v>2</v>
      </c>
      <c r="R144" s="14"/>
    </row>
    <row r="145" spans="1:18">
      <c r="A145" s="9">
        <v>70063</v>
      </c>
      <c r="B145" s="14" t="s">
        <v>334</v>
      </c>
      <c r="C145" s="14" t="s">
        <v>202</v>
      </c>
      <c r="D145" s="14" t="s">
        <v>1363</v>
      </c>
      <c r="E145" s="15" t="str">
        <f>HYPERLINK("https://stat100.ameba.jp/tnk47/ratio20/illustrations/card/ill_70063_aiokometebarentainchanzu03.jpg?201903-3-RELEASE-dice-e-399", "■")</f>
        <v>■</v>
      </c>
      <c r="F145" s="14" t="s">
        <v>1680</v>
      </c>
      <c r="G145" s="14">
        <v>95666</v>
      </c>
      <c r="H145" s="14">
        <v>88948</v>
      </c>
      <c r="I145" s="14">
        <v>21</v>
      </c>
      <c r="J145" s="14" t="s">
        <v>229</v>
      </c>
      <c r="K145" s="14" t="s">
        <v>1364</v>
      </c>
      <c r="L145" s="14" t="s">
        <v>13165</v>
      </c>
      <c r="M145" s="14" t="s">
        <v>9158</v>
      </c>
      <c r="N145" s="14" t="s">
        <v>9158</v>
      </c>
      <c r="O145" s="17" t="s">
        <v>10057</v>
      </c>
      <c r="P145" s="14" t="s">
        <v>3460</v>
      </c>
      <c r="Q145" s="14">
        <v>1</v>
      </c>
      <c r="R145" s="14"/>
    </row>
    <row r="146" spans="1:18">
      <c r="A146" s="9">
        <v>65643</v>
      </c>
      <c r="B146" s="14" t="s">
        <v>0</v>
      </c>
      <c r="C146" s="14" t="s">
        <v>209</v>
      </c>
      <c r="D146" s="14" t="s">
        <v>1249</v>
      </c>
      <c r="E146" s="15" t="str">
        <f>HYPERLINK("https://stat100.ameba.jp/tnk47/ratio20/illustrations/card/ill_65643_shitompekamui03.jpg?201903-3-RELEASE-dice-e-399", "■")</f>
        <v>■</v>
      </c>
      <c r="F146" s="14" t="s">
        <v>1250</v>
      </c>
      <c r="G146" s="14">
        <v>69430</v>
      </c>
      <c r="H146" s="14">
        <v>95859</v>
      </c>
      <c r="I146" s="14">
        <v>21</v>
      </c>
      <c r="J146" s="14" t="s">
        <v>44</v>
      </c>
      <c r="K146" s="14" t="s">
        <v>1251</v>
      </c>
      <c r="L146" s="14" t="s">
        <v>1252</v>
      </c>
      <c r="M146" s="14" t="s">
        <v>9158</v>
      </c>
      <c r="N146" s="14" t="s">
        <v>9158</v>
      </c>
      <c r="O146" s="9" t="s">
        <v>3244</v>
      </c>
      <c r="P146" s="14" t="s">
        <v>3245</v>
      </c>
      <c r="Q146" s="14">
        <v>1</v>
      </c>
      <c r="R146" s="14"/>
    </row>
    <row r="147" spans="1:18">
      <c r="A147" s="9">
        <v>69503</v>
      </c>
      <c r="B147" s="14" t="s">
        <v>334</v>
      </c>
      <c r="C147" s="14" t="s">
        <v>209</v>
      </c>
      <c r="D147" s="14" t="s">
        <v>2949</v>
      </c>
      <c r="E147" s="15" t="str">
        <f>HYPERLINK("https://stat100.ameba.jp/tnk47/ratio20/illustrations/card/ill_69503_azusayumi03.jpg?201903-3-RELEASE-dice-e-399", "■")</f>
        <v>■</v>
      </c>
      <c r="F147" s="14" t="s">
        <v>1684</v>
      </c>
      <c r="G147" s="14">
        <v>95307</v>
      </c>
      <c r="H147" s="14">
        <v>69051</v>
      </c>
      <c r="I147" s="14">
        <v>21</v>
      </c>
      <c r="J147" s="14" t="s">
        <v>155</v>
      </c>
      <c r="K147" s="14" t="s">
        <v>2950</v>
      </c>
      <c r="L147" s="14" t="s">
        <v>428</v>
      </c>
      <c r="M147" s="14" t="s">
        <v>9158</v>
      </c>
      <c r="N147" s="14" t="s">
        <v>9158</v>
      </c>
      <c r="O147" s="9" t="s">
        <v>2951</v>
      </c>
      <c r="P147" s="14" t="s">
        <v>13122</v>
      </c>
      <c r="Q147" s="14">
        <v>1</v>
      </c>
      <c r="R147" s="14"/>
    </row>
    <row r="148" spans="1:18">
      <c r="B148" s="14"/>
      <c r="C148" s="14"/>
      <c r="D148" s="14"/>
      <c r="F148" s="14"/>
      <c r="G148" s="14"/>
      <c r="H148" s="14"/>
      <c r="I148" s="14"/>
      <c r="J148" s="14"/>
      <c r="K148" s="14"/>
      <c r="L148" s="14"/>
      <c r="M148" s="14"/>
      <c r="N148" s="14"/>
      <c r="P148" s="14"/>
      <c r="Q148" s="14"/>
      <c r="R148" s="14"/>
    </row>
    <row r="149" spans="1:18">
      <c r="A149" s="14" t="s">
        <v>13345</v>
      </c>
      <c r="D149" s="14"/>
      <c r="F149" s="14"/>
      <c r="G149" s="14"/>
      <c r="H149" s="14"/>
      <c r="I149" s="14"/>
      <c r="J149" s="14"/>
      <c r="K149" s="14"/>
      <c r="L149" s="14"/>
      <c r="M149" s="14"/>
      <c r="N149" s="14"/>
      <c r="P149" s="14"/>
      <c r="Q149" s="14"/>
      <c r="R149" s="14"/>
    </row>
    <row r="150" spans="1:18">
      <c r="A150" s="14" t="s">
        <v>3898</v>
      </c>
      <c r="B150" s="14"/>
      <c r="C150" s="14"/>
      <c r="D150" s="14"/>
      <c r="F150" s="14"/>
      <c r="G150" s="14"/>
      <c r="H150" s="14"/>
      <c r="I150" s="14"/>
      <c r="J150" s="14"/>
      <c r="K150" s="14"/>
      <c r="L150" s="14"/>
      <c r="M150" s="14"/>
      <c r="N150" s="14"/>
      <c r="P150" s="14"/>
      <c r="Q150" s="14"/>
      <c r="R150" s="14"/>
    </row>
    <row r="151" spans="1:18">
      <c r="A151" s="9">
        <v>80155</v>
      </c>
      <c r="B151" s="14" t="s">
        <v>0</v>
      </c>
      <c r="C151" s="14" t="s">
        <v>202</v>
      </c>
      <c r="D151" s="14" t="s">
        <v>3899</v>
      </c>
      <c r="E151" s="15" t="str">
        <f>HYPERLINK("https://stat100.ameba.jp/tnk47/ratio20/illustrations/card/ill_80155_asashinsukurutsuneyamagozen05.jpg?201903-3-RELEASE-dice-e-399", "■")</f>
        <v>■</v>
      </c>
      <c r="F151" s="14" t="s">
        <v>3900</v>
      </c>
      <c r="G151" s="14">
        <v>78612</v>
      </c>
      <c r="H151" s="14">
        <v>108588</v>
      </c>
      <c r="I151" s="14">
        <v>22</v>
      </c>
      <c r="J151" s="14" t="s">
        <v>143</v>
      </c>
      <c r="K151" s="14" t="s">
        <v>3901</v>
      </c>
      <c r="L151" s="14" t="s">
        <v>3902</v>
      </c>
      <c r="M151" s="14" t="s">
        <v>9158</v>
      </c>
      <c r="N151" s="14" t="s">
        <v>9158</v>
      </c>
      <c r="O151" s="14" t="s">
        <v>9158</v>
      </c>
      <c r="P151" s="14" t="s">
        <v>9158</v>
      </c>
      <c r="Q151" s="14" t="s">
        <v>9158</v>
      </c>
      <c r="R151" s="14" t="s">
        <v>174</v>
      </c>
    </row>
    <row r="152" spans="1:18">
      <c r="A152" s="9">
        <v>80153</v>
      </c>
      <c r="B152" s="14" t="s">
        <v>15</v>
      </c>
      <c r="C152" s="14" t="s">
        <v>158</v>
      </c>
      <c r="D152" s="14" t="s">
        <v>3899</v>
      </c>
      <c r="E152" s="15" t="str">
        <f>HYPERLINK("https://stat100.ameba.jp/tnk47/ratio20/illustrations/card/ill_80153_asashinsukurutsuneyamagozen03.jpg?201903-3-RELEASE-dice-e-399", "■")</f>
        <v>■</v>
      </c>
      <c r="F152" s="14" t="s">
        <v>3900</v>
      </c>
      <c r="G152" s="14">
        <v>57916</v>
      </c>
      <c r="H152" s="14">
        <v>79998</v>
      </c>
      <c r="I152" s="14">
        <v>22</v>
      </c>
      <c r="J152" s="14" t="s">
        <v>143</v>
      </c>
      <c r="K152" s="14" t="s">
        <v>3901</v>
      </c>
      <c r="L152" s="14" t="s">
        <v>2619</v>
      </c>
      <c r="M152" s="14" t="s">
        <v>9158</v>
      </c>
      <c r="N152" s="14" t="s">
        <v>9158</v>
      </c>
      <c r="O152" s="14" t="s">
        <v>9158</v>
      </c>
      <c r="P152" s="14" t="s">
        <v>9158</v>
      </c>
      <c r="Q152" s="14" t="s">
        <v>9158</v>
      </c>
      <c r="R152" s="14" t="s">
        <v>175</v>
      </c>
    </row>
    <row r="153" spans="1:18">
      <c r="A153" s="9">
        <v>80151</v>
      </c>
      <c r="B153" s="14" t="s">
        <v>15</v>
      </c>
      <c r="C153" s="14" t="s">
        <v>158</v>
      </c>
      <c r="D153" s="14" t="s">
        <v>3899</v>
      </c>
      <c r="E153" s="15" t="str">
        <f>HYPERLINK("https://stat100.ameba.jp/tnk47/ratio20/illustrations/card/ill_80151_asashinsukurutsuneyamagozen01.jpg?201903-3-RELEASE-dice-e-399", "■")</f>
        <v>■</v>
      </c>
      <c r="F153" s="14" t="s">
        <v>3900</v>
      </c>
      <c r="G153" s="14">
        <v>36828</v>
      </c>
      <c r="H153" s="14">
        <v>50886</v>
      </c>
      <c r="I153" s="14">
        <v>22</v>
      </c>
      <c r="J153" s="14" t="s">
        <v>143</v>
      </c>
      <c r="K153" s="14" t="s">
        <v>3901</v>
      </c>
      <c r="L153" s="14" t="s">
        <v>1148</v>
      </c>
      <c r="M153" s="14" t="s">
        <v>9158</v>
      </c>
      <c r="N153" s="14" t="s">
        <v>9158</v>
      </c>
      <c r="O153" s="14" t="s">
        <v>9158</v>
      </c>
      <c r="P153" s="14" t="s">
        <v>9158</v>
      </c>
      <c r="Q153" s="14" t="s">
        <v>9158</v>
      </c>
      <c r="R153" s="14" t="s">
        <v>176</v>
      </c>
    </row>
    <row r="154" spans="1:18">
      <c r="B154" s="14"/>
      <c r="C154" s="14"/>
      <c r="D154" s="14"/>
      <c r="F154" s="14"/>
      <c r="G154" s="14"/>
      <c r="H154" s="14"/>
      <c r="I154" s="14"/>
      <c r="J154" s="14"/>
      <c r="K154" s="14"/>
      <c r="L154" s="14"/>
      <c r="M154" s="14"/>
      <c r="N154" s="14"/>
      <c r="P154" s="14"/>
      <c r="Q154" s="14"/>
      <c r="R154" s="14"/>
    </row>
    <row r="155" spans="1:18">
      <c r="A155" s="14" t="s">
        <v>177</v>
      </c>
      <c r="D155" s="14"/>
      <c r="F155" s="14"/>
      <c r="G155" s="14"/>
      <c r="H155" s="14"/>
      <c r="I155" s="14"/>
      <c r="J155" s="14"/>
      <c r="K155" s="14"/>
      <c r="L155" s="14"/>
      <c r="M155" s="14"/>
      <c r="N155" s="14"/>
      <c r="P155" s="14"/>
      <c r="Q155" s="14"/>
      <c r="R155" s="14"/>
    </row>
    <row r="156" spans="1:18">
      <c r="A156" s="14" t="s">
        <v>3903</v>
      </c>
      <c r="B156" s="14"/>
      <c r="C156" s="14"/>
      <c r="D156" s="14"/>
      <c r="F156" s="14"/>
      <c r="G156" s="14"/>
      <c r="H156" s="14"/>
      <c r="I156" s="14"/>
      <c r="J156" s="14"/>
      <c r="K156" s="14"/>
      <c r="L156" s="14"/>
      <c r="M156" s="14"/>
      <c r="N156" s="14"/>
      <c r="P156" s="14"/>
      <c r="Q156" s="14"/>
      <c r="R156" s="14"/>
    </row>
    <row r="157" spans="1:18">
      <c r="A157" s="9" t="s">
        <v>5617</v>
      </c>
      <c r="B157" s="14" t="s">
        <v>52</v>
      </c>
      <c r="C157" s="14" t="s">
        <v>165</v>
      </c>
      <c r="D157" s="14" t="s">
        <v>982</v>
      </c>
      <c r="E157" s="15" t="str">
        <f>HYPERLINK("https://stat100.ameba.jp/tnk47/ratio20/illustrations/card/ill_59673_0_oheyashutendoji03.jpg?201903-3-RELEASE-dice-e-399", "■")</f>
        <v>■</v>
      </c>
      <c r="F157" s="14" t="s">
        <v>983</v>
      </c>
      <c r="G157" s="14">
        <v>105545</v>
      </c>
      <c r="H157" s="14">
        <v>113525</v>
      </c>
      <c r="I157" s="14">
        <v>15</v>
      </c>
      <c r="J157" s="14" t="s">
        <v>73</v>
      </c>
      <c r="K157" s="14" t="s">
        <v>984</v>
      </c>
      <c r="L157" s="14" t="s">
        <v>985</v>
      </c>
      <c r="M157" s="14" t="s">
        <v>9158</v>
      </c>
      <c r="N157" s="14" t="s">
        <v>9158</v>
      </c>
      <c r="O157" s="17" t="s">
        <v>10058</v>
      </c>
      <c r="P157" s="14" t="s">
        <v>3330</v>
      </c>
      <c r="Q157" s="14">
        <v>1</v>
      </c>
      <c r="R157" s="14"/>
    </row>
    <row r="158" spans="1:18">
      <c r="A158" s="9" t="s">
        <v>5609</v>
      </c>
      <c r="B158" s="14" t="s">
        <v>52</v>
      </c>
      <c r="C158" s="14" t="s">
        <v>200</v>
      </c>
      <c r="D158" s="14" t="s">
        <v>56</v>
      </c>
      <c r="E158" s="15" t="str">
        <f>HYPERLINK("https://stat100.ameba.jp/tnk47/ratio20/illustrations/card/ill_53753_0_natsumatsuritokugawaieyasu03.jpg?201903-3-RELEASE-dice-e-399", "■")</f>
        <v>■</v>
      </c>
      <c r="F158" s="14" t="s">
        <v>902</v>
      </c>
      <c r="G158" s="14">
        <v>94236</v>
      </c>
      <c r="H158" s="14">
        <v>83712</v>
      </c>
      <c r="I158" s="14">
        <v>15</v>
      </c>
      <c r="J158" s="14" t="s">
        <v>143</v>
      </c>
      <c r="K158" s="14" t="s">
        <v>903</v>
      </c>
      <c r="L158" s="14" t="s">
        <v>904</v>
      </c>
      <c r="M158" s="14" t="s">
        <v>9158</v>
      </c>
      <c r="N158" s="14" t="s">
        <v>9158</v>
      </c>
      <c r="O158" s="17" t="s">
        <v>10052</v>
      </c>
      <c r="P158" s="14" t="s">
        <v>13121</v>
      </c>
      <c r="Q158" s="14">
        <v>1</v>
      </c>
      <c r="R158" s="14"/>
    </row>
    <row r="159" spans="1:18">
      <c r="A159" s="9" t="s">
        <v>5604</v>
      </c>
      <c r="B159" s="14" t="s">
        <v>52</v>
      </c>
      <c r="C159" s="14" t="s">
        <v>206</v>
      </c>
      <c r="D159" s="14" t="s">
        <v>51</v>
      </c>
      <c r="E159" s="15" t="str">
        <f>HYPERLINK("https://stat100.ameba.jp/tnk47/ratio20/illustrations/card/ill_47263_0_oukyuuatsuhime03.jpg?201903-3-RELEASE-dice-e-399", "■")</f>
        <v>■</v>
      </c>
      <c r="F159" s="14" t="s">
        <v>1178</v>
      </c>
      <c r="G159" s="14">
        <v>94236</v>
      </c>
      <c r="H159" s="14">
        <v>83712</v>
      </c>
      <c r="I159" s="14">
        <v>15</v>
      </c>
      <c r="J159" s="14" t="s">
        <v>77</v>
      </c>
      <c r="K159" s="14" t="s">
        <v>1179</v>
      </c>
      <c r="L159" s="14" t="s">
        <v>1180</v>
      </c>
      <c r="M159" s="14" t="s">
        <v>9158</v>
      </c>
      <c r="N159" s="14" t="s">
        <v>9158</v>
      </c>
      <c r="O159" s="14" t="s">
        <v>9158</v>
      </c>
      <c r="P159" s="14" t="s">
        <v>9158</v>
      </c>
      <c r="Q159" s="14" t="s">
        <v>9158</v>
      </c>
      <c r="R159" s="14"/>
    </row>
    <row r="160" spans="1:18">
      <c r="A160" s="9">
        <v>77713</v>
      </c>
      <c r="B160" s="14" t="s">
        <v>334</v>
      </c>
      <c r="C160" s="14" t="s">
        <v>308</v>
      </c>
      <c r="D160" s="14" t="s">
        <v>2643</v>
      </c>
      <c r="E160" s="15" t="str">
        <f>HYPERLINK("https://stat100.ameba.jp/tnk47/ratio20/illustrations/card/ill_77713_himeragiyukikaze03.jpg?201903-3-RELEASE-dice-e-399", "■")</f>
        <v>■</v>
      </c>
      <c r="F160" s="14" t="s">
        <v>2643</v>
      </c>
      <c r="G160" s="14">
        <v>85610</v>
      </c>
      <c r="H160" s="14">
        <v>79612</v>
      </c>
      <c r="I160" s="14">
        <v>23</v>
      </c>
      <c r="J160" s="14" t="s">
        <v>351</v>
      </c>
      <c r="K160" s="14" t="s">
        <v>398</v>
      </c>
      <c r="L160" s="14" t="s">
        <v>399</v>
      </c>
      <c r="M160" s="14" t="s">
        <v>9158</v>
      </c>
      <c r="N160" s="14" t="s">
        <v>9158</v>
      </c>
      <c r="O160" s="9" t="s">
        <v>3414</v>
      </c>
      <c r="P160" s="14" t="s">
        <v>13122</v>
      </c>
      <c r="Q160" s="14">
        <v>1</v>
      </c>
      <c r="R160" s="14"/>
    </row>
    <row r="161" spans="1:18">
      <c r="A161" s="9">
        <v>76933</v>
      </c>
      <c r="B161" s="14" t="s">
        <v>334</v>
      </c>
      <c r="C161" s="14" t="s">
        <v>185</v>
      </c>
      <c r="D161" s="14" t="s">
        <v>3376</v>
      </c>
      <c r="E161" s="15" t="str">
        <f>HYPERLINK("https://stat100.ameba.jp/tnk47/ratio20/illustrations/card/ill_76933_sakakibararui03.jpg?201903-3-RELEASE-dice-e-399", "■")</f>
        <v>■</v>
      </c>
      <c r="F161" s="14" t="s">
        <v>3377</v>
      </c>
      <c r="G161" s="14">
        <v>88625</v>
      </c>
      <c r="H161" s="14">
        <v>95321</v>
      </c>
      <c r="I161" s="14">
        <v>23</v>
      </c>
      <c r="J161" s="14" t="s">
        <v>73</v>
      </c>
      <c r="K161" s="14" t="s">
        <v>3378</v>
      </c>
      <c r="L161" s="14" t="s">
        <v>3379</v>
      </c>
      <c r="M161" s="14" t="s">
        <v>9158</v>
      </c>
      <c r="N161" s="14" t="s">
        <v>9158</v>
      </c>
      <c r="O161" s="14" t="s">
        <v>9158</v>
      </c>
      <c r="P161" s="14" t="s">
        <v>9158</v>
      </c>
      <c r="Q161" s="14" t="s">
        <v>9158</v>
      </c>
      <c r="R161" s="14"/>
    </row>
    <row r="162" spans="1:18">
      <c r="A162" s="9">
        <v>79173</v>
      </c>
      <c r="B162" s="14" t="s">
        <v>0</v>
      </c>
      <c r="C162" s="14" t="s">
        <v>202</v>
      </c>
      <c r="D162" s="14" t="s">
        <v>2182</v>
      </c>
      <c r="E162" s="15" t="str">
        <f>HYPERLINK("https://stat100.ameba.jp/tnk47/ratio20/illustrations/card/ill_79173_seisamansabarozu03.jpg?201903-3-RELEASE-dice-e-399", "■")</f>
        <v>■</v>
      </c>
      <c r="F162" s="14" t="s">
        <v>2183</v>
      </c>
      <c r="G162" s="14">
        <v>120935</v>
      </c>
      <c r="H162" s="14">
        <v>68046</v>
      </c>
      <c r="I162" s="14">
        <v>23</v>
      </c>
      <c r="J162" s="14" t="s">
        <v>16</v>
      </c>
      <c r="K162" s="14" t="s">
        <v>2184</v>
      </c>
      <c r="L162" s="14" t="s">
        <v>1149</v>
      </c>
      <c r="M162" s="14" t="s">
        <v>9158</v>
      </c>
      <c r="N162" s="14" t="s">
        <v>9158</v>
      </c>
      <c r="O162" s="14" t="s">
        <v>9158</v>
      </c>
      <c r="P162" s="14" t="s">
        <v>9158</v>
      </c>
      <c r="Q162" s="14" t="s">
        <v>9158</v>
      </c>
      <c r="R162" s="14"/>
    </row>
    <row r="163" spans="1:18">
      <c r="A163" s="9">
        <v>61883</v>
      </c>
      <c r="B163" s="14" t="s">
        <v>348</v>
      </c>
      <c r="C163" s="14" t="s">
        <v>205</v>
      </c>
      <c r="D163" s="14" t="s">
        <v>3388</v>
      </c>
      <c r="E163" s="15" t="str">
        <f>HYPERLINK("https://stat100.ameba.jp/tnk47/ratio20/illustrations/card/ill_61883_onikirishukurohime03.jpg?201903-3-RELEASE-dice-e-399", "■")</f>
        <v>■</v>
      </c>
      <c r="F163" s="14" t="s">
        <v>3389</v>
      </c>
      <c r="G163" s="14">
        <v>59144</v>
      </c>
      <c r="H163" s="14">
        <v>59144</v>
      </c>
      <c r="I163" s="14">
        <v>22</v>
      </c>
      <c r="J163" s="14" t="s">
        <v>16</v>
      </c>
      <c r="K163" s="14" t="s">
        <v>3390</v>
      </c>
      <c r="L163" s="14" t="s">
        <v>3391</v>
      </c>
      <c r="M163" s="14" t="s">
        <v>9158</v>
      </c>
      <c r="N163" s="14" t="s">
        <v>9158</v>
      </c>
      <c r="O163" s="14" t="s">
        <v>9158</v>
      </c>
      <c r="P163" s="14" t="s">
        <v>9158</v>
      </c>
      <c r="Q163" s="14" t="s">
        <v>9158</v>
      </c>
      <c r="R163" s="14"/>
    </row>
    <row r="164" spans="1:18">
      <c r="A164" s="9">
        <v>60953</v>
      </c>
      <c r="B164" s="14" t="s">
        <v>348</v>
      </c>
      <c r="C164" s="14" t="s">
        <v>191</v>
      </c>
      <c r="D164" s="14" t="s">
        <v>3521</v>
      </c>
      <c r="E164" s="15" t="str">
        <f>HYPERLINK("https://stat100.ameba.jp/tnk47/ratio20/illustrations/card/ill_60953_sukurugaruikedasen03.jpg?201903-3-RELEASE-dice-e-399", "■")</f>
        <v>■</v>
      </c>
      <c r="F164" s="14" t="s">
        <v>3522</v>
      </c>
      <c r="G164" s="14">
        <v>65208</v>
      </c>
      <c r="H164" s="14">
        <v>59144</v>
      </c>
      <c r="I164" s="14">
        <v>22</v>
      </c>
      <c r="J164" s="14" t="s">
        <v>143</v>
      </c>
      <c r="K164" s="14" t="s">
        <v>3523</v>
      </c>
      <c r="L164" s="14" t="s">
        <v>3524</v>
      </c>
      <c r="M164" s="14" t="s">
        <v>9158</v>
      </c>
      <c r="N164" s="14" t="s">
        <v>9158</v>
      </c>
      <c r="O164" s="14" t="s">
        <v>9158</v>
      </c>
      <c r="P164" s="14" t="s">
        <v>9158</v>
      </c>
      <c r="Q164" s="14" t="s">
        <v>9158</v>
      </c>
      <c r="R164" s="14"/>
    </row>
    <row r="165" spans="1:18">
      <c r="A165" s="9">
        <v>59873</v>
      </c>
      <c r="B165" s="14" t="s">
        <v>348</v>
      </c>
      <c r="C165" s="14" t="s">
        <v>200</v>
      </c>
      <c r="D165" s="14" t="s">
        <v>3525</v>
      </c>
      <c r="E165" s="15" t="str">
        <f>HYPERLINK("https://stat100.ameba.jp/tnk47/ratio20/illustrations/card/ill_59873_yoseinakajimautako03.jpg?201903-3-RELEASE-dice-e-399", "■")</f>
        <v>■</v>
      </c>
      <c r="F165" s="14" t="s">
        <v>3526</v>
      </c>
      <c r="G165" s="14">
        <v>65208</v>
      </c>
      <c r="H165" s="14">
        <v>59144</v>
      </c>
      <c r="I165" s="14">
        <v>22</v>
      </c>
      <c r="J165" s="14" t="s">
        <v>10</v>
      </c>
      <c r="K165" s="14" t="s">
        <v>3527</v>
      </c>
      <c r="L165" s="14" t="s">
        <v>3275</v>
      </c>
      <c r="M165" s="14" t="s">
        <v>9158</v>
      </c>
      <c r="N165" s="14" t="s">
        <v>9158</v>
      </c>
      <c r="O165" s="14" t="s">
        <v>9158</v>
      </c>
      <c r="P165" s="14" t="s">
        <v>9158</v>
      </c>
      <c r="Q165" s="14" t="s">
        <v>9158</v>
      </c>
      <c r="R165" s="14"/>
    </row>
    <row r="166" spans="1:18">
      <c r="B166" s="14"/>
      <c r="C166" s="14"/>
      <c r="D166" s="14"/>
      <c r="F166" s="14"/>
      <c r="G166" s="14"/>
      <c r="H166" s="14"/>
      <c r="I166" s="14"/>
      <c r="J166" s="14"/>
      <c r="K166" s="14"/>
      <c r="L166" s="14"/>
      <c r="M166" s="14"/>
      <c r="N166" s="14"/>
      <c r="P166" s="14"/>
      <c r="Q166" s="14"/>
      <c r="R166" s="14"/>
    </row>
    <row r="167" spans="1:18">
      <c r="A167" s="14" t="s">
        <v>207</v>
      </c>
      <c r="D167" s="14"/>
      <c r="F167" s="14"/>
      <c r="G167" s="14"/>
      <c r="H167" s="14"/>
      <c r="I167" s="14"/>
      <c r="J167" s="14"/>
      <c r="K167" s="14"/>
      <c r="L167" s="14"/>
      <c r="M167" s="14"/>
      <c r="N167" s="14"/>
      <c r="P167" s="14"/>
      <c r="Q167" s="14"/>
      <c r="R167" s="14"/>
    </row>
    <row r="168" spans="1:18">
      <c r="A168" s="14" t="s">
        <v>3904</v>
      </c>
      <c r="B168" s="14"/>
      <c r="C168" s="14"/>
      <c r="D168" s="14"/>
      <c r="F168" s="14"/>
      <c r="G168" s="14"/>
      <c r="H168" s="14"/>
      <c r="I168" s="14"/>
      <c r="J168" s="14"/>
      <c r="K168" s="14"/>
      <c r="L168" s="14"/>
      <c r="M168" s="14"/>
      <c r="N168" s="14"/>
      <c r="P168" s="14"/>
      <c r="Q168" s="14"/>
      <c r="R168" s="14"/>
    </row>
    <row r="169" spans="1:18">
      <c r="A169" s="9" t="s">
        <v>5609</v>
      </c>
      <c r="B169" s="14" t="s">
        <v>52</v>
      </c>
      <c r="C169" s="14" t="s">
        <v>200</v>
      </c>
      <c r="D169" s="14" t="s">
        <v>1713</v>
      </c>
      <c r="E169" s="15" t="str">
        <f>HYPERLINK("https://stat100.ameba.jp/tnk47/ratio20/illustrations/card/ill_53753_0_natsumatsuritokugawaieyasu03.jpg?201903-3-RELEASE-dice-e-399", "■")</f>
        <v>■</v>
      </c>
      <c r="F169" s="14" t="s">
        <v>902</v>
      </c>
      <c r="G169" s="14">
        <v>138212</v>
      </c>
      <c r="H169" s="14">
        <v>122776</v>
      </c>
      <c r="I169" s="14">
        <v>22</v>
      </c>
      <c r="J169" s="14" t="s">
        <v>194</v>
      </c>
      <c r="K169" s="14" t="s">
        <v>1714</v>
      </c>
      <c r="L169" s="14" t="s">
        <v>904</v>
      </c>
      <c r="M169" s="14" t="s">
        <v>9158</v>
      </c>
      <c r="N169" s="14" t="s">
        <v>9158</v>
      </c>
      <c r="O169" s="17" t="s">
        <v>10052</v>
      </c>
      <c r="P169" s="14" t="s">
        <v>13121</v>
      </c>
      <c r="Q169" s="14">
        <v>1</v>
      </c>
      <c r="R169" s="14"/>
    </row>
    <row r="170" spans="1:18">
      <c r="A170" s="9" t="s">
        <v>5721</v>
      </c>
      <c r="B170" s="14" t="s">
        <v>52</v>
      </c>
      <c r="C170" s="14" t="s">
        <v>1</v>
      </c>
      <c r="D170" s="14" t="s">
        <v>2253</v>
      </c>
      <c r="E170" s="15" t="str">
        <f>HYPERLINK("https://stat100.ameba.jp/tnk47/ratio20/illustrations/card/ill_44283_0_izumonokuni03.jpg?201903-3-RELEASE-dice-e-399", "■")</f>
        <v>■</v>
      </c>
      <c r="F170" s="14" t="s">
        <v>1716</v>
      </c>
      <c r="G170" s="14">
        <v>128744</v>
      </c>
      <c r="H170" s="14">
        <v>120576</v>
      </c>
      <c r="I170" s="14">
        <v>22</v>
      </c>
      <c r="J170" s="14" t="s">
        <v>16</v>
      </c>
      <c r="K170" s="14" t="s">
        <v>2254</v>
      </c>
      <c r="L170" s="14" t="s">
        <v>1718</v>
      </c>
      <c r="M170" s="14" t="s">
        <v>9158</v>
      </c>
      <c r="N170" s="14" t="s">
        <v>9158</v>
      </c>
      <c r="O170" s="14" t="s">
        <v>9158</v>
      </c>
      <c r="P170" s="14" t="s">
        <v>9158</v>
      </c>
      <c r="Q170" s="14" t="s">
        <v>9158</v>
      </c>
      <c r="R170" s="14"/>
    </row>
    <row r="171" spans="1:18">
      <c r="A171" s="9" t="s">
        <v>5830</v>
      </c>
      <c r="B171" s="14" t="s">
        <v>330</v>
      </c>
      <c r="C171" s="14" t="s">
        <v>191</v>
      </c>
      <c r="D171" s="14" t="s">
        <v>1719</v>
      </c>
      <c r="E171" s="15" t="str">
        <f>HYPERLINK("https://stat100.ameba.jp/tnk47/ratio20/illustrations/card/ill_39933_0_reihiiinaotora03.jpg?201903-3-RELEASE-dice-e-399", "■")</f>
        <v>■</v>
      </c>
      <c r="F171" s="14" t="s">
        <v>794</v>
      </c>
      <c r="G171" s="14">
        <v>120576</v>
      </c>
      <c r="H171" s="14">
        <v>128744</v>
      </c>
      <c r="I171" s="14">
        <v>22</v>
      </c>
      <c r="J171" s="14" t="s">
        <v>315</v>
      </c>
      <c r="K171" s="14" t="s">
        <v>795</v>
      </c>
      <c r="L171" s="14" t="s">
        <v>796</v>
      </c>
      <c r="M171" s="14" t="s">
        <v>9158</v>
      </c>
      <c r="N171" s="14" t="s">
        <v>9158</v>
      </c>
      <c r="O171" s="14" t="s">
        <v>9158</v>
      </c>
      <c r="P171" s="14" t="s">
        <v>9158</v>
      </c>
      <c r="Q171" s="14" t="s">
        <v>9158</v>
      </c>
      <c r="R171" s="14"/>
    </row>
    <row r="172" spans="1:18">
      <c r="A172" s="9">
        <v>80233</v>
      </c>
      <c r="B172" s="14" t="s">
        <v>0</v>
      </c>
      <c r="C172" s="14" t="s">
        <v>205</v>
      </c>
      <c r="D172" s="14" t="s">
        <v>3829</v>
      </c>
      <c r="E172" s="15" t="str">
        <f>HYPERLINK("https://stat100.ameba.jp/tnk47/ratio20/illustrations/card/ill_80233_haruichibangoryunotsubone03.jpg?201903-3-RELEASE-dice-e-399", "■")</f>
        <v>■</v>
      </c>
      <c r="F172" s="14" t="s">
        <v>3830</v>
      </c>
      <c r="G172" s="14">
        <v>76237</v>
      </c>
      <c r="H172" s="14">
        <v>82027</v>
      </c>
      <c r="I172" s="14">
        <v>21</v>
      </c>
      <c r="J172" s="14" t="s">
        <v>187</v>
      </c>
      <c r="K172" s="14" t="s">
        <v>3831</v>
      </c>
      <c r="L172" s="14" t="s">
        <v>969</v>
      </c>
      <c r="M172" s="14" t="s">
        <v>9158</v>
      </c>
      <c r="N172" s="14" t="s">
        <v>9158</v>
      </c>
      <c r="O172" s="14" t="s">
        <v>9158</v>
      </c>
      <c r="P172" s="14" t="s">
        <v>9158</v>
      </c>
      <c r="Q172" s="14" t="s">
        <v>9158</v>
      </c>
      <c r="R172" s="14"/>
    </row>
    <row r="173" spans="1:18">
      <c r="A173" s="9">
        <v>80243</v>
      </c>
      <c r="B173" s="14" t="s">
        <v>15</v>
      </c>
      <c r="C173" s="14" t="s">
        <v>191</v>
      </c>
      <c r="D173" s="14" t="s">
        <v>3832</v>
      </c>
      <c r="E173" s="15" t="str">
        <f>HYPERLINK("https://stat100.ameba.jp/tnk47/ratio20/illustrations/card/ill_80243_akuzenjinokaze03.jpg?201903-3-RELEASE-dice-e-399", "■")</f>
        <v>■</v>
      </c>
      <c r="F173" s="14" t="s">
        <v>3833</v>
      </c>
      <c r="G173" s="14">
        <v>53352</v>
      </c>
      <c r="H173" s="14">
        <v>48390</v>
      </c>
      <c r="I173" s="14">
        <v>18</v>
      </c>
      <c r="J173" s="14" t="s">
        <v>73</v>
      </c>
      <c r="K173" s="14" t="s">
        <v>3834</v>
      </c>
      <c r="L173" s="14" t="s">
        <v>3835</v>
      </c>
      <c r="M173" s="14" t="s">
        <v>9158</v>
      </c>
      <c r="N173" s="14" t="s">
        <v>9158</v>
      </c>
      <c r="O173" s="14" t="s">
        <v>9158</v>
      </c>
      <c r="P173" s="14" t="s">
        <v>9158</v>
      </c>
      <c r="Q173" s="14" t="s">
        <v>9158</v>
      </c>
      <c r="R173" s="14"/>
    </row>
    <row r="174" spans="1:18">
      <c r="A174" s="9">
        <v>80253</v>
      </c>
      <c r="B174" s="14" t="s">
        <v>22</v>
      </c>
      <c r="C174" s="14" t="s">
        <v>185</v>
      </c>
      <c r="D174" s="14" t="s">
        <v>3836</v>
      </c>
      <c r="E174" s="15" t="str">
        <f>HYPERLINK("https://stat100.ameba.jp/tnk47/ratio20/illustrations/card/ill_80253_hasukapputei03.jpg?201903-3-RELEASE-dice-e-399", "■")</f>
        <v>■</v>
      </c>
      <c r="F174" s="14" t="s">
        <v>3837</v>
      </c>
      <c r="G174" s="14">
        <v>29388</v>
      </c>
      <c r="H174" s="14">
        <v>35346</v>
      </c>
      <c r="I174" s="14">
        <v>17</v>
      </c>
      <c r="J174" s="14" t="s">
        <v>104</v>
      </c>
      <c r="K174" s="14" t="s">
        <v>3838</v>
      </c>
      <c r="L174" s="14" t="s">
        <v>3839</v>
      </c>
      <c r="M174" s="14" t="s">
        <v>9158</v>
      </c>
      <c r="N174" s="14" t="s">
        <v>9158</v>
      </c>
      <c r="O174" s="14" t="s">
        <v>9158</v>
      </c>
      <c r="P174" s="14" t="s">
        <v>9158</v>
      </c>
      <c r="Q174" s="14" t="s">
        <v>9158</v>
      </c>
      <c r="R174" s="14"/>
    </row>
    <row r="175" spans="1:18">
      <c r="A175" s="9">
        <v>80263</v>
      </c>
      <c r="B175" s="14" t="s">
        <v>30</v>
      </c>
      <c r="C175" s="14" t="s">
        <v>2163</v>
      </c>
      <c r="D175" s="14" t="s">
        <v>3840</v>
      </c>
      <c r="E175" s="15" t="str">
        <f>HYPERLINK("https://stat100.ameba.jp/tnk47/ratio20/illustrations/card/ill_80263_sueharukata03.jpg?201903-3-RELEASE-dice-e-399", "■")</f>
        <v>■</v>
      </c>
      <c r="F175" s="14" t="s">
        <v>3841</v>
      </c>
      <c r="G175" s="14">
        <v>21398</v>
      </c>
      <c r="H175" s="14">
        <v>17972</v>
      </c>
      <c r="I175" s="14">
        <v>17</v>
      </c>
      <c r="J175" s="14" t="s">
        <v>143</v>
      </c>
      <c r="K175" s="14" t="s">
        <v>3842</v>
      </c>
      <c r="L175" s="14" t="s">
        <v>3843</v>
      </c>
      <c r="M175" s="14" t="s">
        <v>9158</v>
      </c>
      <c r="N175" s="14" t="s">
        <v>9158</v>
      </c>
      <c r="O175" s="14" t="s">
        <v>9158</v>
      </c>
      <c r="P175" s="14" t="s">
        <v>9158</v>
      </c>
      <c r="Q175" s="14" t="s">
        <v>9158</v>
      </c>
      <c r="R175" s="14"/>
    </row>
    <row r="176" spans="1:18">
      <c r="B176" s="14"/>
      <c r="C176" s="14"/>
      <c r="D176" s="14"/>
      <c r="F176" s="14"/>
      <c r="G176" s="14"/>
      <c r="H176" s="14"/>
      <c r="I176" s="14"/>
      <c r="J176" s="14"/>
      <c r="K176" s="14"/>
      <c r="L176" s="14"/>
      <c r="M176" s="14"/>
      <c r="N176" s="14"/>
      <c r="P176" s="14"/>
      <c r="Q176" s="14"/>
      <c r="R176" s="14"/>
    </row>
    <row r="177" spans="1:18">
      <c r="A177" s="14" t="s">
        <v>3905</v>
      </c>
      <c r="D177" s="14"/>
      <c r="F177" s="14"/>
      <c r="G177" s="14"/>
      <c r="H177" s="14"/>
      <c r="I177" s="14"/>
      <c r="J177" s="14"/>
      <c r="K177" s="14"/>
      <c r="L177" s="14"/>
      <c r="M177" s="14"/>
      <c r="N177" s="14"/>
      <c r="P177" s="14"/>
      <c r="Q177" s="14"/>
      <c r="R177" s="14"/>
    </row>
    <row r="178" spans="1:18">
      <c r="A178" s="14" t="s">
        <v>3906</v>
      </c>
      <c r="B178" s="14"/>
      <c r="C178" s="14"/>
      <c r="D178" s="14"/>
      <c r="F178" s="14"/>
      <c r="G178" s="14"/>
      <c r="H178" s="14"/>
      <c r="I178" s="14"/>
      <c r="J178" s="14"/>
      <c r="K178" s="14"/>
      <c r="L178" s="14"/>
      <c r="M178" s="14"/>
      <c r="N178" s="14"/>
      <c r="P178" s="14"/>
      <c r="Q178" s="14"/>
      <c r="R178" s="14"/>
    </row>
    <row r="179" spans="1:18">
      <c r="A179" s="9" t="s">
        <v>5616</v>
      </c>
      <c r="B179" s="14" t="s">
        <v>52</v>
      </c>
      <c r="C179" s="14" t="s">
        <v>14</v>
      </c>
      <c r="D179" s="14" t="s">
        <v>54</v>
      </c>
      <c r="E179" s="15" t="str">
        <f>HYPERLINK("https://stat100.ameba.jp/tnk47/ratio20/illustrations/card/ill_44253_0_dokuganryudatemasamune03.jpg?201903-3-RELEASE-dice-e-399", "■")</f>
        <v>■</v>
      </c>
      <c r="F179" s="14" t="s">
        <v>1181</v>
      </c>
      <c r="G179" s="14">
        <v>82212</v>
      </c>
      <c r="H179" s="14">
        <v>87780</v>
      </c>
      <c r="I179" s="14">
        <v>15</v>
      </c>
      <c r="J179" s="14" t="s">
        <v>143</v>
      </c>
      <c r="K179" s="14" t="s">
        <v>1182</v>
      </c>
      <c r="L179" s="14" t="s">
        <v>1183</v>
      </c>
      <c r="M179" s="14" t="s">
        <v>9158</v>
      </c>
      <c r="N179" s="14" t="s">
        <v>9158</v>
      </c>
      <c r="O179" s="14" t="s">
        <v>9158</v>
      </c>
      <c r="P179" s="14" t="s">
        <v>9158</v>
      </c>
      <c r="Q179" s="14" t="s">
        <v>9158</v>
      </c>
      <c r="R179" s="14"/>
    </row>
    <row r="180" spans="1:18">
      <c r="A180" s="9" t="s">
        <v>5650</v>
      </c>
      <c r="B180" s="14" t="s">
        <v>52</v>
      </c>
      <c r="C180" s="14" t="s">
        <v>200</v>
      </c>
      <c r="D180" s="14" t="s">
        <v>136</v>
      </c>
      <c r="E180" s="15" t="str">
        <f>HYPERLINK("https://stat100.ameba.jp/tnk47/ratio20/illustrations/card/ill_68033_0_kurisumasupateikandamyojin03.jpg?201903-3-RELEASE-dice-e-399", "■")</f>
        <v>■</v>
      </c>
      <c r="F180" s="14" t="s">
        <v>1871</v>
      </c>
      <c r="G180" s="14">
        <v>95371</v>
      </c>
      <c r="H180" s="14">
        <v>102590</v>
      </c>
      <c r="I180" s="14">
        <v>15</v>
      </c>
      <c r="J180" s="14" t="s">
        <v>44</v>
      </c>
      <c r="K180" s="14" t="s">
        <v>1872</v>
      </c>
      <c r="L180" s="14" t="s">
        <v>1873</v>
      </c>
      <c r="M180" s="14" t="s">
        <v>9158</v>
      </c>
      <c r="N180" s="14" t="s">
        <v>9158</v>
      </c>
      <c r="O180" s="9" t="s">
        <v>3482</v>
      </c>
      <c r="P180" s="14" t="s">
        <v>3483</v>
      </c>
      <c r="Q180" s="14">
        <v>2</v>
      </c>
      <c r="R180" s="14"/>
    </row>
    <row r="181" spans="1:18">
      <c r="A181" s="9" t="s">
        <v>5901</v>
      </c>
      <c r="B181" s="14" t="s">
        <v>52</v>
      </c>
      <c r="C181" s="14" t="s">
        <v>101</v>
      </c>
      <c r="D181" s="14" t="s">
        <v>2089</v>
      </c>
      <c r="E181" s="15" t="str">
        <f>HYPERLINK("https://stat100.ameba.jp/tnk47/ratio20/illustrations/card/ill_64953_0_yukatatokugawayoshinobu03.jpg?201903-3-RELEASE-dice-e-399", "■")</f>
        <v>■</v>
      </c>
      <c r="F181" s="14" t="s">
        <v>2090</v>
      </c>
      <c r="G181" s="14">
        <v>93450</v>
      </c>
      <c r="H181" s="14">
        <v>100502</v>
      </c>
      <c r="I181" s="14">
        <v>15</v>
      </c>
      <c r="J181" s="14" t="s">
        <v>10</v>
      </c>
      <c r="K181" s="14" t="s">
        <v>2091</v>
      </c>
      <c r="L181" s="14" t="s">
        <v>2092</v>
      </c>
      <c r="M181" s="14" t="s">
        <v>9158</v>
      </c>
      <c r="N181" s="14" t="s">
        <v>9158</v>
      </c>
      <c r="O181" s="9" t="s">
        <v>2889</v>
      </c>
      <c r="P181" s="14" t="s">
        <v>2890</v>
      </c>
      <c r="Q181" s="14">
        <v>1</v>
      </c>
      <c r="R181" s="14"/>
    </row>
    <row r="182" spans="1:18">
      <c r="A182" s="9">
        <v>78463</v>
      </c>
      <c r="B182" s="14" t="s">
        <v>334</v>
      </c>
      <c r="C182" s="14" t="s">
        <v>191</v>
      </c>
      <c r="D182" s="14" t="s">
        <v>2591</v>
      </c>
      <c r="E182" s="15" t="str">
        <f>HYPERLINK("https://stat100.ameba.jp/tnk47/ratio20/illustrations/card/ill_78463_dobutsunoshimatakuhatachijihime03.jpg?201903-3-RELEASE-dice-e-399", "■")</f>
        <v>■</v>
      </c>
      <c r="F182" s="14" t="s">
        <v>2592</v>
      </c>
      <c r="G182" s="14">
        <v>62342</v>
      </c>
      <c r="H182" s="14">
        <v>110818</v>
      </c>
      <c r="I182" s="14">
        <v>22</v>
      </c>
      <c r="J182" s="14" t="s">
        <v>44</v>
      </c>
      <c r="K182" s="14" t="s">
        <v>2593</v>
      </c>
      <c r="L182" s="14" t="s">
        <v>1209</v>
      </c>
      <c r="M182" s="14" t="s">
        <v>9158</v>
      </c>
      <c r="N182" s="14" t="s">
        <v>9158</v>
      </c>
      <c r="O182" s="14" t="s">
        <v>9158</v>
      </c>
      <c r="P182" s="14" t="s">
        <v>9158</v>
      </c>
      <c r="Q182" s="14" t="s">
        <v>9158</v>
      </c>
      <c r="R182" s="14"/>
    </row>
    <row r="183" spans="1:18">
      <c r="A183" s="9">
        <v>71763</v>
      </c>
      <c r="B183" s="14" t="s">
        <v>334</v>
      </c>
      <c r="C183" s="14" t="s">
        <v>200</v>
      </c>
      <c r="D183" s="14" t="s">
        <v>2999</v>
      </c>
      <c r="E183" s="15" t="str">
        <f>HYPERLINK("https://stat100.ameba.jp/tnk47/ratio20/illustrations/card/ill_71763_teradatorahiko03.jpg?201903-3-RELEASE-dice-e-399", "■")</f>
        <v>■</v>
      </c>
      <c r="F183" s="14" t="s">
        <v>3000</v>
      </c>
      <c r="G183" s="14">
        <v>62342</v>
      </c>
      <c r="H183" s="14">
        <v>110818</v>
      </c>
      <c r="I183" s="14">
        <v>22</v>
      </c>
      <c r="J183" s="14" t="s">
        <v>351</v>
      </c>
      <c r="K183" s="14" t="s">
        <v>3001</v>
      </c>
      <c r="L183" s="14" t="s">
        <v>3002</v>
      </c>
      <c r="M183" s="14" t="s">
        <v>9158</v>
      </c>
      <c r="N183" s="14" t="s">
        <v>9158</v>
      </c>
      <c r="O183" s="14" t="s">
        <v>9158</v>
      </c>
      <c r="P183" s="14" t="s">
        <v>9158</v>
      </c>
      <c r="Q183" s="14" t="s">
        <v>9158</v>
      </c>
      <c r="R183" s="14"/>
    </row>
    <row r="184" spans="1:18">
      <c r="A184" s="9">
        <v>56103</v>
      </c>
      <c r="B184" s="14" t="s">
        <v>334</v>
      </c>
      <c r="C184" s="14" t="s">
        <v>2651</v>
      </c>
      <c r="D184" s="14" t="s">
        <v>2696</v>
      </c>
      <c r="E184" s="15" t="str">
        <f>HYPERLINK("https://stat100.ameba.jp/tnk47/ratio20/illustrations/card/ill_56103_tenshitsuneyamagozen03.jpg?201903-3-RELEASE-dice-e-399", "■")</f>
        <v>■</v>
      </c>
      <c r="F184" s="14" t="s">
        <v>2697</v>
      </c>
      <c r="G184" s="14">
        <v>78838</v>
      </c>
      <c r="H184" s="14">
        <v>130416</v>
      </c>
      <c r="I184" s="14">
        <v>22</v>
      </c>
      <c r="J184" s="14" t="s">
        <v>143</v>
      </c>
      <c r="K184" s="14" t="s">
        <v>2698</v>
      </c>
      <c r="L184" s="14" t="s">
        <v>2699</v>
      </c>
      <c r="M184" s="14" t="s">
        <v>9158</v>
      </c>
      <c r="N184" s="14" t="s">
        <v>9158</v>
      </c>
      <c r="O184" s="14" t="s">
        <v>9158</v>
      </c>
      <c r="P184" s="14" t="s">
        <v>9158</v>
      </c>
      <c r="Q184" s="14" t="s">
        <v>9158</v>
      </c>
      <c r="R184" s="14"/>
    </row>
    <row r="185" spans="1:18">
      <c r="A185" s="9">
        <v>48673</v>
      </c>
      <c r="B185" s="14" t="s">
        <v>348</v>
      </c>
      <c r="C185" s="14" t="s">
        <v>206</v>
      </c>
      <c r="D185" s="14" t="s">
        <v>558</v>
      </c>
      <c r="E185" s="15" t="str">
        <f>HYPERLINK("https://stat100.ameba.jp/tnk47/ratio20/illustrations/card/ill_48673_senyaichiyamonogatari03.jpg?201903-3-RELEASE-dice-e-399", "■")</f>
        <v>■</v>
      </c>
      <c r="F185" s="14" t="s">
        <v>559</v>
      </c>
      <c r="G185" s="14">
        <v>59144</v>
      </c>
      <c r="H185" s="14">
        <v>65208</v>
      </c>
      <c r="I185" s="14">
        <v>22</v>
      </c>
      <c r="J185" s="14" t="s">
        <v>274</v>
      </c>
      <c r="K185" s="14" t="s">
        <v>560</v>
      </c>
      <c r="L185" s="14" t="s">
        <v>561</v>
      </c>
      <c r="M185" s="14" t="s">
        <v>9158</v>
      </c>
      <c r="N185" s="14" t="s">
        <v>9158</v>
      </c>
      <c r="O185" s="14" t="s">
        <v>9158</v>
      </c>
      <c r="P185" s="14" t="s">
        <v>9158</v>
      </c>
      <c r="Q185" s="14" t="s">
        <v>9158</v>
      </c>
      <c r="R185" s="14"/>
    </row>
    <row r="186" spans="1:18">
      <c r="A186" s="9">
        <v>53983</v>
      </c>
      <c r="B186" s="14" t="s">
        <v>348</v>
      </c>
      <c r="C186" s="14" t="s">
        <v>101</v>
      </c>
      <c r="D186" s="14" t="s">
        <v>3907</v>
      </c>
      <c r="E186" s="15" t="str">
        <f>HYPERLINK("https://stat100.ameba.jp/tnk47/ratio20/illustrations/card/ill_53983_seiryumeguriodainokata03.jpg?201903-3-RELEASE-dice-e-399", "■")</f>
        <v>■</v>
      </c>
      <c r="F186" s="14" t="s">
        <v>3908</v>
      </c>
      <c r="G186" s="14">
        <v>59144</v>
      </c>
      <c r="H186" s="14">
        <v>65208</v>
      </c>
      <c r="I186" s="14">
        <v>22</v>
      </c>
      <c r="J186" s="14" t="s">
        <v>10</v>
      </c>
      <c r="K186" s="14" t="s">
        <v>3909</v>
      </c>
      <c r="L186" s="14" t="s">
        <v>3910</v>
      </c>
      <c r="M186" s="14" t="s">
        <v>9158</v>
      </c>
      <c r="N186" s="14" t="s">
        <v>9158</v>
      </c>
      <c r="O186" s="14" t="s">
        <v>9158</v>
      </c>
      <c r="P186" s="14" t="s">
        <v>9158</v>
      </c>
      <c r="Q186" s="14" t="s">
        <v>9158</v>
      </c>
      <c r="R186" s="14"/>
    </row>
    <row r="187" spans="1:18">
      <c r="A187" s="9">
        <v>54903</v>
      </c>
      <c r="B187" s="14" t="s">
        <v>348</v>
      </c>
      <c r="C187" s="14" t="s">
        <v>205</v>
      </c>
      <c r="D187" s="14" t="s">
        <v>566</v>
      </c>
      <c r="E187" s="15" t="str">
        <f>HYPERLINK("https://stat100.ameba.jp/tnk47/ratio20/illustrations/card/ill_54903_baniyamanetoshiko03.jpg?201903-3-RELEASE-dice-e-399", "■")</f>
        <v>■</v>
      </c>
      <c r="F187" s="14" t="s">
        <v>567</v>
      </c>
      <c r="G187" s="14">
        <v>52764</v>
      </c>
      <c r="H187" s="14">
        <v>71588</v>
      </c>
      <c r="I187" s="14">
        <v>22</v>
      </c>
      <c r="J187" s="14" t="s">
        <v>414</v>
      </c>
      <c r="K187" s="14" t="s">
        <v>568</v>
      </c>
      <c r="L187" s="14" t="s">
        <v>569</v>
      </c>
      <c r="M187" s="14" t="s">
        <v>9158</v>
      </c>
      <c r="N187" s="14" t="s">
        <v>9158</v>
      </c>
      <c r="O187" s="14" t="s">
        <v>9158</v>
      </c>
      <c r="P187" s="14" t="s">
        <v>9158</v>
      </c>
      <c r="Q187" s="14" t="s">
        <v>9158</v>
      </c>
      <c r="R187" s="14"/>
    </row>
    <row r="188" spans="1:18">
      <c r="B188" s="14"/>
      <c r="C188" s="14"/>
      <c r="D188" s="14"/>
      <c r="F188" s="14"/>
      <c r="G188" s="14"/>
      <c r="H188" s="14"/>
      <c r="I188" s="14"/>
      <c r="J188" s="14"/>
      <c r="K188" s="14"/>
      <c r="L188" s="14"/>
      <c r="M188" s="14"/>
      <c r="N188" s="14"/>
      <c r="P188" s="14"/>
      <c r="Q188" s="14"/>
      <c r="R188" s="14"/>
    </row>
    <row r="189" spans="1:18">
      <c r="A189" s="14" t="s">
        <v>3911</v>
      </c>
      <c r="D189" s="14"/>
      <c r="F189" s="14"/>
      <c r="G189" s="14"/>
      <c r="H189" s="14"/>
      <c r="I189" s="14"/>
      <c r="J189" s="14"/>
      <c r="K189" s="14"/>
      <c r="L189" s="14"/>
      <c r="M189" s="14"/>
      <c r="N189" s="14"/>
      <c r="P189" s="14"/>
      <c r="Q189" s="14"/>
      <c r="R189" s="14"/>
    </row>
    <row r="190" spans="1:18">
      <c r="A190" s="14" t="s">
        <v>3912</v>
      </c>
      <c r="B190" s="14"/>
      <c r="C190" s="14"/>
      <c r="D190" s="14"/>
      <c r="F190" s="14"/>
      <c r="G190" s="14"/>
      <c r="H190" s="14"/>
      <c r="I190" s="14"/>
      <c r="J190" s="14"/>
      <c r="K190" s="14"/>
      <c r="L190" s="14"/>
      <c r="M190" s="14"/>
      <c r="N190" s="14"/>
      <c r="P190" s="14"/>
      <c r="Q190" s="14"/>
      <c r="R190" s="14"/>
    </row>
    <row r="191" spans="1:18">
      <c r="A191" s="9" t="s">
        <v>5611</v>
      </c>
      <c r="B191" s="14" t="s">
        <v>52</v>
      </c>
      <c r="C191" s="14" t="s">
        <v>185</v>
      </c>
      <c r="D191" s="14" t="s">
        <v>951</v>
      </c>
      <c r="E191" s="15" t="str">
        <f>HYPERLINK("https://stat100.ameba.jp/tnk47/ratio20/illustrations/card/ill_60633_0_harumaisentoin03.jpg?201903-3-RELEASE-dice-e-399", "■")</f>
        <v>■</v>
      </c>
      <c r="F191" s="14" t="s">
        <v>952</v>
      </c>
      <c r="G191" s="14">
        <v>133519</v>
      </c>
      <c r="H191" s="14">
        <v>143626</v>
      </c>
      <c r="I191" s="14">
        <v>21</v>
      </c>
      <c r="J191" s="14" t="s">
        <v>38</v>
      </c>
      <c r="K191" s="14" t="s">
        <v>953</v>
      </c>
      <c r="L191" s="14" t="s">
        <v>954</v>
      </c>
      <c r="M191" s="14" t="s">
        <v>9158</v>
      </c>
      <c r="N191" s="14" t="s">
        <v>9158</v>
      </c>
      <c r="O191" s="9" t="s">
        <v>2888</v>
      </c>
      <c r="P191" s="14" t="s">
        <v>3144</v>
      </c>
      <c r="Q191" s="14">
        <v>1</v>
      </c>
      <c r="R191" s="14"/>
    </row>
    <row r="192" spans="1:18">
      <c r="A192" s="9" t="s">
        <v>5899</v>
      </c>
      <c r="B192" s="14" t="s">
        <v>52</v>
      </c>
      <c r="C192" s="14" t="s">
        <v>205</v>
      </c>
      <c r="D192" s="14" t="s">
        <v>1185</v>
      </c>
      <c r="E192" s="15" t="str">
        <f>HYPERLINK("https://stat100.ameba.jp/tnk47/ratio20/illustrations/card/ill_73773_0_umibirakiinugamigyobu03.jpg?201903-3-RELEASE-dice-e-399", "■")</f>
        <v>■</v>
      </c>
      <c r="F192" s="14" t="s">
        <v>935</v>
      </c>
      <c r="G192" s="14">
        <v>182224</v>
      </c>
      <c r="H192" s="14">
        <v>196001</v>
      </c>
      <c r="I192" s="14">
        <v>21</v>
      </c>
      <c r="J192" s="14" t="s">
        <v>73</v>
      </c>
      <c r="K192" s="14" t="s">
        <v>1186</v>
      </c>
      <c r="L192" s="14" t="s">
        <v>1187</v>
      </c>
      <c r="M192" s="14" t="s">
        <v>9158</v>
      </c>
      <c r="N192" s="14" t="s">
        <v>9158</v>
      </c>
      <c r="O192" s="9" t="s">
        <v>3301</v>
      </c>
      <c r="P192" s="14" t="s">
        <v>3302</v>
      </c>
      <c r="Q192" s="14">
        <v>2</v>
      </c>
      <c r="R192" s="14"/>
    </row>
    <row r="193" spans="1:18">
      <c r="A193" s="9">
        <v>80173</v>
      </c>
      <c r="B193" s="14" t="s">
        <v>334</v>
      </c>
      <c r="C193" s="14" t="s">
        <v>47</v>
      </c>
      <c r="D193" s="14" t="s">
        <v>3913</v>
      </c>
      <c r="E193" s="15" t="str">
        <f>HYPERLINK("https://stat100.ameba.jp/tnk47/ratio20/illustrations/card/ill_80173_jusomedeia03.jpg?201903-3-RELEASE-dice-e-399", "■")</f>
        <v>■</v>
      </c>
      <c r="F193" s="14" t="s">
        <v>3914</v>
      </c>
      <c r="G193" s="14">
        <v>91876</v>
      </c>
      <c r="H193" s="14">
        <v>126858</v>
      </c>
      <c r="I193" s="14">
        <v>24</v>
      </c>
      <c r="J193" s="14" t="s">
        <v>73</v>
      </c>
      <c r="K193" s="14" t="s">
        <v>3915</v>
      </c>
      <c r="L193" s="14" t="s">
        <v>1033</v>
      </c>
      <c r="M193" s="14" t="s">
        <v>9158</v>
      </c>
      <c r="N193" s="14" t="s">
        <v>9158</v>
      </c>
      <c r="O193" s="17" t="s">
        <v>10053</v>
      </c>
      <c r="P193" s="14" t="s">
        <v>3592</v>
      </c>
      <c r="Q193" s="14">
        <v>1</v>
      </c>
      <c r="R193" s="14"/>
    </row>
    <row r="194" spans="1:18">
      <c r="A194" s="9">
        <v>67943</v>
      </c>
      <c r="B194" s="14" t="s">
        <v>0</v>
      </c>
      <c r="C194" s="14" t="s">
        <v>209</v>
      </c>
      <c r="D194" s="14" t="s">
        <v>1780</v>
      </c>
      <c r="E194" s="15" t="str">
        <f>HYPERLINK("https://stat100.ameba.jp/tnk47/ratio20/illustrations/card/ill_67943_hoshinamasayuki03.jpg?201903-3-RELEASE-dice-e-399", "■")</f>
        <v>■</v>
      </c>
      <c r="F194" s="14" t="s">
        <v>1781</v>
      </c>
      <c r="G194" s="14">
        <v>65335</v>
      </c>
      <c r="H194" s="14">
        <v>60733</v>
      </c>
      <c r="I194" s="14">
        <v>21</v>
      </c>
      <c r="J194" s="14" t="s">
        <v>10</v>
      </c>
      <c r="K194" s="14" t="s">
        <v>1782</v>
      </c>
      <c r="L194" s="14" t="s">
        <v>1783</v>
      </c>
      <c r="M194" s="14" t="s">
        <v>9158</v>
      </c>
      <c r="N194" s="14" t="s">
        <v>9158</v>
      </c>
      <c r="O194" s="14" t="s">
        <v>9158</v>
      </c>
      <c r="P194" s="14" t="s">
        <v>9158</v>
      </c>
      <c r="Q194" s="14" t="s">
        <v>9158</v>
      </c>
      <c r="R194" s="14"/>
    </row>
    <row r="195" spans="1:18">
      <c r="A195" s="9">
        <v>62043</v>
      </c>
      <c r="B195" s="14" t="s">
        <v>334</v>
      </c>
      <c r="C195" s="14" t="s">
        <v>158</v>
      </c>
      <c r="D195" s="14" t="s">
        <v>2493</v>
      </c>
      <c r="E195" s="15" t="str">
        <f>HYPERLINK("https://stat100.ameba.jp/tnk47/ratio20/illustrations/card/ill_62043_niutsuhimenookami03.jpg?201903-3-RELEASE-dice-e-399", "■")</f>
        <v>■</v>
      </c>
      <c r="F195" s="14" t="s">
        <v>1576</v>
      </c>
      <c r="G195" s="14">
        <v>69430</v>
      </c>
      <c r="H195" s="14">
        <v>95859</v>
      </c>
      <c r="I195" s="14">
        <v>21</v>
      </c>
      <c r="J195" s="14" t="s">
        <v>401</v>
      </c>
      <c r="K195" s="14" t="s">
        <v>1577</v>
      </c>
      <c r="L195" s="14" t="s">
        <v>1578</v>
      </c>
      <c r="M195" s="14" t="s">
        <v>9158</v>
      </c>
      <c r="N195" s="14" t="s">
        <v>9158</v>
      </c>
      <c r="O195" s="9" t="s">
        <v>3452</v>
      </c>
      <c r="P195" s="14" t="s">
        <v>13145</v>
      </c>
      <c r="Q195" s="14">
        <v>1</v>
      </c>
      <c r="R195" s="14"/>
    </row>
    <row r="196" spans="1:18">
      <c r="A196" s="9">
        <v>70383</v>
      </c>
      <c r="B196" s="14" t="s">
        <v>334</v>
      </c>
      <c r="C196" s="14" t="s">
        <v>41</v>
      </c>
      <c r="D196" s="14" t="s">
        <v>3486</v>
      </c>
      <c r="E196" s="15" t="str">
        <f>HYPERLINK("https://stat100.ameba.jp/tnk47/ratio20/illustrations/card/ill_70383_saraudon03.jpg?201903-3-RELEASE-dice-e-399", "■")</f>
        <v>■</v>
      </c>
      <c r="F196" s="14" t="s">
        <v>3487</v>
      </c>
      <c r="G196" s="14">
        <v>111000</v>
      </c>
      <c r="H196" s="14">
        <v>80391</v>
      </c>
      <c r="I196" s="14">
        <v>21</v>
      </c>
      <c r="J196" s="14" t="s">
        <v>104</v>
      </c>
      <c r="K196" s="14" t="s">
        <v>3488</v>
      </c>
      <c r="L196" s="14" t="s">
        <v>3489</v>
      </c>
      <c r="M196" s="14" t="s">
        <v>9158</v>
      </c>
      <c r="N196" s="14" t="s">
        <v>9158</v>
      </c>
      <c r="O196" s="14" t="s">
        <v>9158</v>
      </c>
      <c r="P196" s="14" t="s">
        <v>9158</v>
      </c>
      <c r="Q196" s="14" t="s">
        <v>9158</v>
      </c>
      <c r="R196" s="14"/>
    </row>
    <row r="197" spans="1:18">
      <c r="A197" s="9">
        <v>64873</v>
      </c>
      <c r="B197" s="14" t="s">
        <v>0</v>
      </c>
      <c r="C197" s="14" t="s">
        <v>158</v>
      </c>
      <c r="D197" s="14" t="s">
        <v>1952</v>
      </c>
      <c r="E197" s="15" t="str">
        <f>HYPERLINK("https://stat100.ameba.jp/tnk47/ratio20/illustrations/card/ill_64873_sessofujin03.jpg?201903-3-RELEASE-dice-e-399", "■")</f>
        <v>■</v>
      </c>
      <c r="F197" s="14" t="s">
        <v>1953</v>
      </c>
      <c r="G197" s="14">
        <v>66487</v>
      </c>
      <c r="H197" s="14">
        <v>91779</v>
      </c>
      <c r="I197" s="14">
        <v>21</v>
      </c>
      <c r="J197" s="14" t="s">
        <v>77</v>
      </c>
      <c r="K197" s="14" t="s">
        <v>1954</v>
      </c>
      <c r="L197" s="14" t="s">
        <v>1955</v>
      </c>
      <c r="M197" s="14" t="s">
        <v>9158</v>
      </c>
      <c r="N197" s="14" t="s">
        <v>9158</v>
      </c>
      <c r="O197" s="14" t="s">
        <v>9158</v>
      </c>
      <c r="P197" s="14" t="s">
        <v>9158</v>
      </c>
      <c r="Q197" s="14" t="s">
        <v>9158</v>
      </c>
      <c r="R197" s="14"/>
    </row>
    <row r="198" spans="1:18">
      <c r="A198" s="9">
        <v>69503</v>
      </c>
      <c r="B198" s="14" t="s">
        <v>334</v>
      </c>
      <c r="C198" s="14" t="s">
        <v>209</v>
      </c>
      <c r="D198" s="14" t="s">
        <v>2949</v>
      </c>
      <c r="E198" s="15" t="str">
        <f>HYPERLINK("https://stat100.ameba.jp/tnk47/ratio20/illustrations/card/ill_69503_azusayumi03.jpg?201903-3-RELEASE-dice-e-399", "■")</f>
        <v>■</v>
      </c>
      <c r="F198" s="14" t="s">
        <v>1684</v>
      </c>
      <c r="G198" s="14">
        <v>95307</v>
      </c>
      <c r="H198" s="14">
        <v>69051</v>
      </c>
      <c r="I198" s="14">
        <v>21</v>
      </c>
      <c r="J198" s="14" t="s">
        <v>155</v>
      </c>
      <c r="K198" s="14" t="s">
        <v>2950</v>
      </c>
      <c r="L198" s="14" t="s">
        <v>428</v>
      </c>
      <c r="M198" s="14" t="s">
        <v>9158</v>
      </c>
      <c r="N198" s="14" t="s">
        <v>9158</v>
      </c>
      <c r="O198" s="9" t="s">
        <v>2951</v>
      </c>
      <c r="P198" s="14" t="s">
        <v>13122</v>
      </c>
      <c r="Q198" s="14">
        <v>1</v>
      </c>
      <c r="R198" s="14"/>
    </row>
    <row r="199" spans="1:18">
      <c r="B199" s="14"/>
      <c r="C199" s="14"/>
      <c r="D199" s="14"/>
      <c r="F199" s="14"/>
      <c r="G199" s="14"/>
      <c r="H199" s="14"/>
      <c r="I199" s="14"/>
      <c r="J199" s="14"/>
      <c r="K199" s="14"/>
      <c r="L199" s="14"/>
      <c r="M199" s="14"/>
      <c r="N199" s="14"/>
      <c r="P199" s="14"/>
      <c r="Q199" s="14"/>
      <c r="R199" s="14"/>
    </row>
    <row r="200" spans="1:18">
      <c r="A200" s="14" t="s">
        <v>3916</v>
      </c>
      <c r="D200" s="14"/>
      <c r="F200" s="14"/>
      <c r="G200" s="14"/>
      <c r="H200" s="14"/>
      <c r="I200" s="14"/>
      <c r="J200" s="14"/>
      <c r="K200" s="14"/>
      <c r="L200" s="14"/>
      <c r="M200" s="14"/>
      <c r="N200" s="14"/>
      <c r="P200" s="14"/>
      <c r="Q200" s="14"/>
      <c r="R200" s="14"/>
    </row>
    <row r="201" spans="1:18">
      <c r="A201" s="14" t="s">
        <v>3917</v>
      </c>
      <c r="D201" s="14"/>
      <c r="F201" s="14"/>
      <c r="G201" s="14"/>
      <c r="H201" s="14"/>
      <c r="I201" s="14"/>
      <c r="J201" s="14"/>
      <c r="K201" s="14"/>
      <c r="L201" s="14"/>
      <c r="M201" s="14"/>
      <c r="N201" s="14"/>
      <c r="P201" s="14"/>
      <c r="Q201" s="14"/>
      <c r="R201" s="14"/>
    </row>
    <row r="202" spans="1:18">
      <c r="A202" s="9">
        <v>60363</v>
      </c>
      <c r="B202" s="14" t="s">
        <v>0</v>
      </c>
      <c r="C202" s="14" t="s">
        <v>209</v>
      </c>
      <c r="D202" s="14" t="s">
        <v>3918</v>
      </c>
      <c r="E202" s="15" t="str">
        <f>HYPERLINK("https://stat100.ameba.jp/tnk47/ratio20/illustrations/card/ill_60363_shirakaba03.jpg?201903-3-RELEASE-dice-e-399", "■")</f>
        <v>■</v>
      </c>
      <c r="F202" s="14" t="s">
        <v>3919</v>
      </c>
      <c r="G202" s="14">
        <v>88226</v>
      </c>
      <c r="H202" s="14">
        <v>94886</v>
      </c>
      <c r="I202" s="14">
        <v>22</v>
      </c>
      <c r="J202" s="14" t="s">
        <v>26</v>
      </c>
      <c r="K202" s="14" t="s">
        <v>3920</v>
      </c>
      <c r="L202" s="14" t="s">
        <v>3921</v>
      </c>
      <c r="M202" s="14" t="s">
        <v>9158</v>
      </c>
      <c r="N202" s="14" t="s">
        <v>9158</v>
      </c>
      <c r="O202" s="14" t="s">
        <v>9158</v>
      </c>
      <c r="P202" s="14" t="s">
        <v>9158</v>
      </c>
      <c r="Q202" s="14" t="s">
        <v>9158</v>
      </c>
      <c r="R202" s="14"/>
    </row>
    <row r="203" spans="1:18">
      <c r="A203" s="9">
        <v>59413</v>
      </c>
      <c r="B203" s="14" t="s">
        <v>334</v>
      </c>
      <c r="C203" s="14" t="s">
        <v>158</v>
      </c>
      <c r="D203" s="14" t="s">
        <v>3922</v>
      </c>
      <c r="E203" s="15" t="str">
        <f>HYPERLINK("https://stat100.ameba.jp/tnk47/ratio20/illustrations/card/ill_59413_otogosahime03.jpg?201903-3-RELEASE-dice-e-399", "■")</f>
        <v>■</v>
      </c>
      <c r="F203" s="14" t="s">
        <v>3923</v>
      </c>
      <c r="G203" s="14">
        <v>88226</v>
      </c>
      <c r="H203" s="14">
        <v>94886</v>
      </c>
      <c r="I203" s="14">
        <v>22</v>
      </c>
      <c r="J203" s="14" t="s">
        <v>38</v>
      </c>
      <c r="K203" s="14" t="s">
        <v>3924</v>
      </c>
      <c r="L203" s="14" t="s">
        <v>3925</v>
      </c>
      <c r="M203" s="14" t="s">
        <v>9158</v>
      </c>
      <c r="N203" s="14" t="s">
        <v>9158</v>
      </c>
      <c r="O203" s="14" t="s">
        <v>9158</v>
      </c>
      <c r="P203" s="14" t="s">
        <v>9158</v>
      </c>
      <c r="Q203" s="14" t="s">
        <v>9158</v>
      </c>
      <c r="R203" s="14"/>
    </row>
    <row r="204" spans="1:18">
      <c r="A204" s="9">
        <v>34823</v>
      </c>
      <c r="B204" s="14" t="s">
        <v>334</v>
      </c>
      <c r="C204" s="14" t="s">
        <v>158</v>
      </c>
      <c r="D204" s="14" t="s">
        <v>573</v>
      </c>
      <c r="E204" s="15" t="str">
        <f>HYPERLINK("https://stat100.ameba.jp/tnk47/ratio20/illustrations/card/ill_34823_kentokatsurakogoro03.jpg?201903-3-RELEASE-dice-e-399", "■")</f>
        <v>■</v>
      </c>
      <c r="F204" s="14" t="s">
        <v>574</v>
      </c>
      <c r="G204" s="14">
        <v>78838</v>
      </c>
      <c r="H204" s="14">
        <v>84796</v>
      </c>
      <c r="I204" s="14">
        <v>22</v>
      </c>
      <c r="J204" s="14" t="s">
        <v>351</v>
      </c>
      <c r="K204" s="14" t="s">
        <v>575</v>
      </c>
      <c r="L204" s="14" t="s">
        <v>13137</v>
      </c>
      <c r="M204" s="14" t="s">
        <v>9158</v>
      </c>
      <c r="N204" s="14" t="s">
        <v>9158</v>
      </c>
      <c r="O204" s="14" t="s">
        <v>9158</v>
      </c>
      <c r="P204" s="14" t="s">
        <v>9158</v>
      </c>
      <c r="Q204" s="14" t="s">
        <v>9158</v>
      </c>
      <c r="R204" s="14"/>
    </row>
    <row r="205" spans="1:18">
      <c r="A205" s="9">
        <v>73113</v>
      </c>
      <c r="B205" s="14" t="s">
        <v>334</v>
      </c>
      <c r="C205" s="14" t="s">
        <v>191</v>
      </c>
      <c r="D205" s="14" t="s">
        <v>3156</v>
      </c>
      <c r="E205" s="15" t="str">
        <f>HYPERLINK("https://stat100.ameba.jp/tnk47/ratio20/illustrations/card/ill_73113_kinasanosatokijomomiji03.jpg?201903-3-RELEASE-dice-e-399", "■")</f>
        <v>■</v>
      </c>
      <c r="F205" s="14" t="s">
        <v>3157</v>
      </c>
      <c r="G205" s="14">
        <v>91664</v>
      </c>
      <c r="H205" s="14">
        <v>85246</v>
      </c>
      <c r="I205" s="14">
        <v>22</v>
      </c>
      <c r="J205" s="14" t="s">
        <v>320</v>
      </c>
      <c r="K205" s="14" t="s">
        <v>3158</v>
      </c>
      <c r="L205" s="14" t="s">
        <v>2956</v>
      </c>
      <c r="M205" s="14" t="s">
        <v>9158</v>
      </c>
      <c r="N205" s="14" t="s">
        <v>9158</v>
      </c>
      <c r="O205" s="14" t="s">
        <v>9158</v>
      </c>
      <c r="P205" s="14" t="s">
        <v>9158</v>
      </c>
      <c r="Q205" s="14" t="s">
        <v>9158</v>
      </c>
      <c r="R205" s="14"/>
    </row>
    <row r="206" spans="1:18">
      <c r="B206" s="14"/>
      <c r="C206" s="14"/>
      <c r="D206" s="14"/>
      <c r="F206" s="14"/>
      <c r="G206" s="14"/>
      <c r="H206" s="14"/>
      <c r="I206" s="14"/>
      <c r="J206" s="14"/>
      <c r="K206" s="14"/>
      <c r="L206" s="14"/>
      <c r="M206" s="14"/>
      <c r="N206" s="14"/>
      <c r="P206" s="14"/>
      <c r="Q206" s="14"/>
      <c r="R206" s="14"/>
    </row>
    <row r="207" spans="1:18">
      <c r="A207" s="14" t="s">
        <v>1214</v>
      </c>
      <c r="D207" s="14"/>
      <c r="F207" s="14"/>
      <c r="G207" s="14"/>
      <c r="H207" s="14"/>
      <c r="I207" s="14"/>
      <c r="J207" s="14"/>
      <c r="K207" s="14"/>
      <c r="L207" s="14"/>
      <c r="M207" s="14"/>
      <c r="N207" s="14"/>
      <c r="P207" s="14"/>
      <c r="Q207" s="14"/>
      <c r="R207" s="14"/>
    </row>
    <row r="208" spans="1:18">
      <c r="A208" s="14" t="s">
        <v>3926</v>
      </c>
      <c r="B208" s="14"/>
      <c r="C208" s="14"/>
      <c r="D208" s="14"/>
      <c r="F208" s="14"/>
      <c r="G208" s="14"/>
      <c r="H208" s="14"/>
      <c r="I208" s="14"/>
      <c r="J208" s="14"/>
      <c r="K208" s="14"/>
      <c r="L208" s="14"/>
      <c r="M208" s="14"/>
      <c r="N208" s="14"/>
      <c r="P208" s="14"/>
      <c r="Q208" s="14"/>
      <c r="R208" s="14"/>
    </row>
    <row r="209" spans="1:18">
      <c r="A209" s="9">
        <v>76073</v>
      </c>
      <c r="B209" s="14" t="s">
        <v>334</v>
      </c>
      <c r="C209" s="14" t="s">
        <v>154</v>
      </c>
      <c r="D209" s="14" t="s">
        <v>1216</v>
      </c>
      <c r="E209" s="15" t="str">
        <f>HYPERLINK("https://stat100.ameba.jp/tnk47/ratio20/illustrations/card/ill_76073_kokidogatapatobatora03.jpg?201903-3-RELEASE-dice-e-399", "■")</f>
        <v>■</v>
      </c>
      <c r="F209" s="14" t="s">
        <v>1217</v>
      </c>
      <c r="G209" s="14">
        <v>134446</v>
      </c>
      <c r="H209" s="14">
        <v>125008</v>
      </c>
      <c r="I209" s="14">
        <v>22</v>
      </c>
      <c r="J209" s="14" t="s">
        <v>143</v>
      </c>
      <c r="K209" s="14" t="s">
        <v>1218</v>
      </c>
      <c r="L209" s="14" t="s">
        <v>1219</v>
      </c>
      <c r="M209" s="14" t="s">
        <v>9158</v>
      </c>
      <c r="N209" s="14" t="s">
        <v>9158</v>
      </c>
      <c r="O209" s="14" t="s">
        <v>9158</v>
      </c>
      <c r="P209" s="14" t="s">
        <v>9158</v>
      </c>
      <c r="Q209" s="14" t="s">
        <v>9158</v>
      </c>
      <c r="R209" s="14"/>
    </row>
    <row r="210" spans="1:18">
      <c r="A210" s="9">
        <v>76083</v>
      </c>
      <c r="B210" s="14" t="s">
        <v>334</v>
      </c>
      <c r="C210" s="14" t="s">
        <v>158</v>
      </c>
      <c r="D210" s="14" t="s">
        <v>1220</v>
      </c>
      <c r="E210" s="15" t="str">
        <f>HYPERLINK("https://stat100.ameba.jp/tnk47/ratio20/illustrations/card/ill_76083_dokutamedeikku03.jpg?201903-3-RELEASE-dice-e-399", "■")</f>
        <v>■</v>
      </c>
      <c r="F210" s="14" t="s">
        <v>1221</v>
      </c>
      <c r="G210" s="14">
        <v>96610</v>
      </c>
      <c r="H210" s="14">
        <v>103888</v>
      </c>
      <c r="I210" s="14">
        <v>22</v>
      </c>
      <c r="J210" s="14" t="s">
        <v>16</v>
      </c>
      <c r="K210" s="14" t="s">
        <v>1222</v>
      </c>
      <c r="L210" s="14" t="s">
        <v>1223</v>
      </c>
      <c r="M210" s="14" t="s">
        <v>9158</v>
      </c>
      <c r="N210" s="14" t="s">
        <v>9158</v>
      </c>
      <c r="O210" s="14" t="s">
        <v>9158</v>
      </c>
      <c r="P210" s="14" t="s">
        <v>9158</v>
      </c>
      <c r="Q210" s="14" t="s">
        <v>9158</v>
      </c>
      <c r="R210" s="14"/>
    </row>
    <row r="211" spans="1:18">
      <c r="A211" s="9">
        <v>76093</v>
      </c>
      <c r="B211" s="14" t="s">
        <v>334</v>
      </c>
      <c r="C211" s="14" t="s">
        <v>202</v>
      </c>
      <c r="D211" s="14" t="s">
        <v>1224</v>
      </c>
      <c r="E211" s="15" t="str">
        <f>HYPERLINK("https://stat100.ameba.jp/tnk47/ratio20/illustrations/card/ill_76093_fuaiafuaita03.jpg?201903-3-RELEASE-dice-e-399", "■")</f>
        <v>■</v>
      </c>
      <c r="F211" s="14" t="s">
        <v>1225</v>
      </c>
      <c r="G211" s="14">
        <v>96610</v>
      </c>
      <c r="H211" s="14">
        <v>103888</v>
      </c>
      <c r="I211" s="14">
        <v>22</v>
      </c>
      <c r="J211" s="14" t="s">
        <v>10</v>
      </c>
      <c r="K211" s="14" t="s">
        <v>1226</v>
      </c>
      <c r="L211" s="14" t="s">
        <v>1227</v>
      </c>
      <c r="M211" s="14" t="s">
        <v>9158</v>
      </c>
      <c r="N211" s="14" t="s">
        <v>9158</v>
      </c>
      <c r="O211" s="14" t="s">
        <v>9158</v>
      </c>
      <c r="P211" s="14" t="s">
        <v>9158</v>
      </c>
      <c r="Q211" s="14" t="s">
        <v>9158</v>
      </c>
      <c r="R211" s="14"/>
    </row>
    <row r="212" spans="1:18">
      <c r="A212" s="9">
        <v>74413</v>
      </c>
      <c r="B212" s="14" t="s">
        <v>334</v>
      </c>
      <c r="C212" s="14" t="s">
        <v>202</v>
      </c>
      <c r="D212" s="14" t="s">
        <v>36</v>
      </c>
      <c r="E212" s="15" t="str">
        <f>HYPERLINK("https://stat100.ameba.jp/tnk47/ratio20/illustrations/card/ill_74413_mutekisenkanyamato03.jpg?201903-3-RELEASE-dice-e-399", "■")</f>
        <v>■</v>
      </c>
      <c r="F212" s="14" t="s">
        <v>37</v>
      </c>
      <c r="G212" s="14">
        <v>129556</v>
      </c>
      <c r="H212" s="14">
        <v>120470</v>
      </c>
      <c r="I212" s="14">
        <v>22</v>
      </c>
      <c r="J212" s="14" t="s">
        <v>38</v>
      </c>
      <c r="K212" s="14" t="s">
        <v>39</v>
      </c>
      <c r="L212" s="14" t="s">
        <v>40</v>
      </c>
      <c r="M212" s="14" t="s">
        <v>9158</v>
      </c>
      <c r="N212" s="14" t="s">
        <v>9158</v>
      </c>
      <c r="O212" s="14" t="s">
        <v>9158</v>
      </c>
      <c r="P212" s="14" t="s">
        <v>9158</v>
      </c>
      <c r="Q212" s="14" t="s">
        <v>9158</v>
      </c>
      <c r="R212" s="14"/>
    </row>
    <row r="213" spans="1:18">
      <c r="A213" s="9">
        <v>74373</v>
      </c>
      <c r="B213" s="14" t="s">
        <v>334</v>
      </c>
      <c r="C213" s="14" t="s">
        <v>203</v>
      </c>
      <c r="D213" s="14" t="s">
        <v>42</v>
      </c>
      <c r="E213" s="15" t="str">
        <f>HYPERLINK("https://stat100.ameba.jp/tnk47/ratio20/illustrations/card/ill_74373_shirasaginomaihimejijou03.jpg?201903-3-RELEASE-dice-e-399", "■")</f>
        <v>■</v>
      </c>
      <c r="F213" s="14" t="s">
        <v>43</v>
      </c>
      <c r="G213" s="14">
        <v>86778</v>
      </c>
      <c r="H213" s="14">
        <v>80708</v>
      </c>
      <c r="I213" s="14">
        <v>22</v>
      </c>
      <c r="J213" s="14" t="s">
        <v>44</v>
      </c>
      <c r="K213" s="14" t="s">
        <v>45</v>
      </c>
      <c r="L213" s="14" t="s">
        <v>46</v>
      </c>
      <c r="M213" s="14" t="s">
        <v>9158</v>
      </c>
      <c r="N213" s="14" t="s">
        <v>9158</v>
      </c>
      <c r="O213" s="14" t="s">
        <v>9158</v>
      </c>
      <c r="P213" s="14" t="s">
        <v>9158</v>
      </c>
      <c r="Q213" s="14" t="s">
        <v>9158</v>
      </c>
      <c r="R213" s="14"/>
    </row>
    <row r="214" spans="1:18">
      <c r="A214" s="9">
        <v>74363</v>
      </c>
      <c r="B214" s="14" t="s">
        <v>334</v>
      </c>
      <c r="C214" s="14" t="s">
        <v>209</v>
      </c>
      <c r="D214" s="14" t="s">
        <v>48</v>
      </c>
      <c r="E214" s="15" t="str">
        <f>HYPERLINK("https://stat100.ameba.jp/tnk47/ratio20/illustrations/card/ill_74363_gantorikuren03.jpg?201903-3-RELEASE-dice-e-399", "■")</f>
        <v>■</v>
      </c>
      <c r="F214" s="14" t="s">
        <v>49</v>
      </c>
      <c r="G214" s="14">
        <v>82978</v>
      </c>
      <c r="H214" s="14">
        <v>89222</v>
      </c>
      <c r="I214" s="14">
        <v>22</v>
      </c>
      <c r="J214" s="14" t="s">
        <v>26</v>
      </c>
      <c r="K214" s="14" t="s">
        <v>50</v>
      </c>
      <c r="L214" s="14" t="s">
        <v>12</v>
      </c>
      <c r="M214" s="14" t="s">
        <v>9158</v>
      </c>
      <c r="N214" s="14" t="s">
        <v>9158</v>
      </c>
      <c r="O214" s="14" t="s">
        <v>9158</v>
      </c>
      <c r="P214" s="14" t="s">
        <v>9158</v>
      </c>
      <c r="Q214" s="14" t="s">
        <v>9158</v>
      </c>
      <c r="R214" s="14"/>
    </row>
    <row r="215" spans="1:18">
      <c r="B215" s="14"/>
      <c r="C215" s="14"/>
      <c r="D215" s="14"/>
      <c r="F215" s="14"/>
      <c r="G215" s="14"/>
      <c r="H215" s="14"/>
      <c r="I215" s="14"/>
      <c r="J215" s="14"/>
      <c r="K215" s="14"/>
      <c r="L215" s="14"/>
      <c r="M215" s="14"/>
      <c r="N215" s="14"/>
      <c r="P215" s="14"/>
      <c r="Q215" s="14"/>
      <c r="R215" s="14"/>
    </row>
    <row r="216" spans="1:18">
      <c r="A216" s="14" t="s">
        <v>222</v>
      </c>
      <c r="D216" s="14"/>
      <c r="F216" s="14"/>
      <c r="G216" s="14"/>
      <c r="H216" s="14"/>
      <c r="I216" s="14"/>
      <c r="J216" s="14"/>
      <c r="K216" s="14"/>
      <c r="L216" s="14"/>
      <c r="M216" s="14"/>
      <c r="N216" s="14"/>
      <c r="P216" s="14"/>
      <c r="Q216" s="14"/>
      <c r="R216" s="14"/>
    </row>
    <row r="217" spans="1:18">
      <c r="A217" s="14" t="s">
        <v>3927</v>
      </c>
      <c r="B217" s="14"/>
      <c r="C217" s="14"/>
      <c r="D217" s="14"/>
      <c r="F217" s="14"/>
      <c r="G217" s="14"/>
      <c r="H217" s="14"/>
      <c r="I217" s="14"/>
      <c r="J217" s="14"/>
      <c r="K217" s="14"/>
      <c r="L217" s="14"/>
      <c r="M217" s="14"/>
      <c r="N217" s="14"/>
      <c r="P217" s="14"/>
      <c r="Q217" s="14"/>
      <c r="R217" s="14"/>
    </row>
    <row r="218" spans="1:18">
      <c r="A218" s="9" t="s">
        <v>5603</v>
      </c>
      <c r="B218" s="14" t="s">
        <v>330</v>
      </c>
      <c r="C218" s="14" t="s">
        <v>205</v>
      </c>
      <c r="D218" s="14" t="s">
        <v>611</v>
      </c>
      <c r="E218" s="15" t="str">
        <f>HYPERLINK("https://stat100.ameba.jp/tnk47/ratio20/illustrations/card/ill_61893_0_onikirishumiyamotomusashi03.jpg?201903-4-RELEASE-guildbattle-400", "■")</f>
        <v>■</v>
      </c>
      <c r="F218" s="14" t="s">
        <v>612</v>
      </c>
      <c r="G218" s="14">
        <v>168020</v>
      </c>
      <c r="H218" s="14">
        <v>156232</v>
      </c>
      <c r="I218" s="14">
        <v>18</v>
      </c>
      <c r="J218" s="14" t="s">
        <v>310</v>
      </c>
      <c r="K218" s="14" t="s">
        <v>613</v>
      </c>
      <c r="L218" s="14" t="s">
        <v>312</v>
      </c>
      <c r="M218" s="14" t="s">
        <v>9158</v>
      </c>
      <c r="N218" s="14" t="s">
        <v>9158</v>
      </c>
      <c r="O218" s="9" t="s">
        <v>3252</v>
      </c>
      <c r="P218" s="14" t="s">
        <v>3253</v>
      </c>
      <c r="Q218" s="14">
        <v>1</v>
      </c>
      <c r="R218" s="14"/>
    </row>
    <row r="219" spans="1:18">
      <c r="A219" s="9" t="s">
        <v>5820</v>
      </c>
      <c r="B219" s="14" t="s">
        <v>330</v>
      </c>
      <c r="C219" s="14" t="s">
        <v>200</v>
      </c>
      <c r="D219" s="14" t="s">
        <v>2346</v>
      </c>
      <c r="E219" s="15" t="str">
        <f>HYPERLINK("https://stat100.ameba.jp/tnk47/ratio20/illustrations/card/ill_48283_0_kyuubitamamonomae03.jpg?201903-4-RELEASE-guildbattle-400", "■")</f>
        <v>■</v>
      </c>
      <c r="F219" s="14" t="s">
        <v>631</v>
      </c>
      <c r="G219" s="14">
        <v>113082</v>
      </c>
      <c r="H219" s="14">
        <v>100454</v>
      </c>
      <c r="I219" s="14">
        <v>18</v>
      </c>
      <c r="J219" s="14" t="s">
        <v>320</v>
      </c>
      <c r="K219" s="14" t="s">
        <v>632</v>
      </c>
      <c r="L219" s="14" t="s">
        <v>633</v>
      </c>
      <c r="M219" s="14" t="s">
        <v>9158</v>
      </c>
      <c r="N219" s="14" t="s">
        <v>9158</v>
      </c>
      <c r="O219" s="14" t="s">
        <v>9158</v>
      </c>
      <c r="P219" s="14" t="s">
        <v>9158</v>
      </c>
      <c r="Q219" s="14" t="s">
        <v>9158</v>
      </c>
      <c r="R219" s="14"/>
    </row>
    <row r="220" spans="1:18">
      <c r="A220" s="9">
        <v>77761</v>
      </c>
      <c r="B220" s="14" t="s">
        <v>334</v>
      </c>
      <c r="C220" s="14" t="s">
        <v>209</v>
      </c>
      <c r="D220" s="14" t="s">
        <v>1628</v>
      </c>
      <c r="E220" s="15" t="str">
        <f>HYPERLINK("https://stat100.ameba.jp/tnk47/ratio20/illustrations/card/ill_77761_higashinotoraiengi01.jpg?201903-4-RELEASE-guildbattle-400", "■")</f>
        <v>■</v>
      </c>
      <c r="F220" s="14" t="s">
        <v>1629</v>
      </c>
      <c r="G220" s="14">
        <v>54846</v>
      </c>
      <c r="H220" s="14">
        <v>51040</v>
      </c>
      <c r="I220" s="14">
        <v>22</v>
      </c>
      <c r="J220" s="14" t="s">
        <v>351</v>
      </c>
      <c r="K220" s="14" t="s">
        <v>1630</v>
      </c>
      <c r="L220" s="14" t="s">
        <v>1631</v>
      </c>
      <c r="M220" s="14" t="s">
        <v>9158</v>
      </c>
      <c r="N220" s="14" t="s">
        <v>9158</v>
      </c>
      <c r="O220" s="14" t="s">
        <v>9158</v>
      </c>
      <c r="P220" s="14" t="s">
        <v>9158</v>
      </c>
      <c r="Q220" s="14" t="s">
        <v>9158</v>
      </c>
      <c r="R220" s="14"/>
    </row>
    <row r="221" spans="1:18">
      <c r="A221" s="9">
        <v>77771</v>
      </c>
      <c r="B221" s="14" t="s">
        <v>334</v>
      </c>
      <c r="C221" s="14" t="s">
        <v>203</v>
      </c>
      <c r="D221" s="14" t="s">
        <v>1632</v>
      </c>
      <c r="E221" s="15" t="str">
        <f>HYPERLINK("https://stat100.ameba.jp/tnk47/ratio20/illustrations/card/ill_77771_nishinotoraiengi01.jpg?201903-4-RELEASE-guildbattle-400", "■")</f>
        <v>■</v>
      </c>
      <c r="F221" s="14" t="s">
        <v>1633</v>
      </c>
      <c r="G221" s="14">
        <v>54846</v>
      </c>
      <c r="H221" s="14">
        <v>51040</v>
      </c>
      <c r="I221" s="14">
        <v>22</v>
      </c>
      <c r="J221" s="14" t="s">
        <v>351</v>
      </c>
      <c r="K221" s="14" t="s">
        <v>1634</v>
      </c>
      <c r="L221" s="14" t="s">
        <v>1631</v>
      </c>
      <c r="M221" s="14" t="s">
        <v>9158</v>
      </c>
      <c r="N221" s="14" t="s">
        <v>9158</v>
      </c>
      <c r="O221" s="14" t="s">
        <v>9158</v>
      </c>
      <c r="P221" s="14" t="s">
        <v>9158</v>
      </c>
      <c r="Q221" s="14" t="s">
        <v>9158</v>
      </c>
      <c r="R221" s="14"/>
    </row>
    <row r="222" spans="1:18">
      <c r="A222" s="9">
        <v>77783</v>
      </c>
      <c r="B222" s="14" t="s">
        <v>334</v>
      </c>
      <c r="C222" s="14" t="s">
        <v>202</v>
      </c>
      <c r="D222" s="14" t="s">
        <v>1635</v>
      </c>
      <c r="E222" s="15" t="str">
        <f>HYPERLINK("https://stat100.ameba.jp/tnk47/ratio20/illustrations/card/ill_77783_ihotoraiengi03.jpg?201903-4-RELEASE-guildbattle-400", "■")</f>
        <v>■</v>
      </c>
      <c r="F222" s="14" t="s">
        <v>1636</v>
      </c>
      <c r="G222" s="14">
        <v>113920</v>
      </c>
      <c r="H222" s="14">
        <v>105900</v>
      </c>
      <c r="I222" s="14">
        <v>22</v>
      </c>
      <c r="J222" s="14" t="s">
        <v>351</v>
      </c>
      <c r="K222" s="14" t="s">
        <v>1637</v>
      </c>
      <c r="L222" s="14" t="s">
        <v>1638</v>
      </c>
      <c r="M222" s="14" t="s">
        <v>9158</v>
      </c>
      <c r="N222" s="14" t="s">
        <v>9158</v>
      </c>
      <c r="O222" s="14" t="s">
        <v>9158</v>
      </c>
      <c r="P222" s="14" t="s">
        <v>9158</v>
      </c>
      <c r="Q222" s="14" t="s">
        <v>9158</v>
      </c>
      <c r="R222" s="14"/>
    </row>
    <row r="223" spans="1:18">
      <c r="A223" s="9">
        <v>66901</v>
      </c>
      <c r="B223" s="14" t="s">
        <v>334</v>
      </c>
      <c r="C223" s="14" t="s">
        <v>209</v>
      </c>
      <c r="D223" s="14" t="s">
        <v>1639</v>
      </c>
      <c r="E223" s="15" t="str">
        <f>HYPERLINK("https://stat100.ameba.jp/tnk47/ratio20/illustrations/card/ill_66901_higashinoreichoengi01.jpg?201903-4-RELEASE-guildbattle-400", "■")</f>
        <v>■</v>
      </c>
      <c r="F223" s="14" t="s">
        <v>1640</v>
      </c>
      <c r="G223" s="14">
        <v>53306</v>
      </c>
      <c r="H223" s="14">
        <v>57266</v>
      </c>
      <c r="I223" s="14">
        <v>22</v>
      </c>
      <c r="J223" s="14" t="s">
        <v>401</v>
      </c>
      <c r="K223" s="14" t="s">
        <v>1641</v>
      </c>
      <c r="L223" s="14" t="s">
        <v>1642</v>
      </c>
      <c r="M223" s="14" t="s">
        <v>9158</v>
      </c>
      <c r="N223" s="14" t="s">
        <v>9158</v>
      </c>
      <c r="O223" s="14" t="s">
        <v>9158</v>
      </c>
      <c r="P223" s="14" t="s">
        <v>9158</v>
      </c>
      <c r="Q223" s="14" t="s">
        <v>9158</v>
      </c>
      <c r="R223" s="14"/>
    </row>
    <row r="224" spans="1:18">
      <c r="A224" s="9">
        <v>66911</v>
      </c>
      <c r="B224" s="14" t="s">
        <v>334</v>
      </c>
      <c r="C224" s="14" t="s">
        <v>203</v>
      </c>
      <c r="D224" s="14" t="s">
        <v>1643</v>
      </c>
      <c r="E224" s="15" t="str">
        <f>HYPERLINK("https://stat100.ameba.jp/tnk47/ratio20/illustrations/card/ill_66911_nishinoreichoengi01.jpg?201903-4-RELEASE-guildbattle-400", "■")</f>
        <v>■</v>
      </c>
      <c r="F224" s="14" t="s">
        <v>1644</v>
      </c>
      <c r="G224" s="14">
        <v>53306</v>
      </c>
      <c r="H224" s="14">
        <v>57266</v>
      </c>
      <c r="I224" s="14">
        <v>22</v>
      </c>
      <c r="J224" s="14" t="s">
        <v>401</v>
      </c>
      <c r="K224" s="14" t="s">
        <v>1645</v>
      </c>
      <c r="L224" s="14" t="s">
        <v>1646</v>
      </c>
      <c r="M224" s="14" t="s">
        <v>9158</v>
      </c>
      <c r="N224" s="14" t="s">
        <v>9158</v>
      </c>
      <c r="O224" s="14" t="s">
        <v>9158</v>
      </c>
      <c r="P224" s="14" t="s">
        <v>9158</v>
      </c>
      <c r="Q224" s="14" t="s">
        <v>9158</v>
      </c>
      <c r="R224" s="14"/>
    </row>
    <row r="225" spans="1:18">
      <c r="A225" s="9">
        <v>66923</v>
      </c>
      <c r="B225" s="14" t="s">
        <v>334</v>
      </c>
      <c r="C225" s="14" t="s">
        <v>202</v>
      </c>
      <c r="D225" s="14" t="s">
        <v>1647</v>
      </c>
      <c r="E225" s="15" t="str">
        <f>HYPERLINK("https://stat100.ameba.jp/tnk47/ratio20/illustrations/card/ill_66923_tembureichoengi03.jpg?201903-4-RELEASE-guildbattle-400", "■")</f>
        <v>■</v>
      </c>
      <c r="F225" s="14" t="s">
        <v>1648</v>
      </c>
      <c r="G225" s="14">
        <v>98810</v>
      </c>
      <c r="H225" s="14">
        <v>106122</v>
      </c>
      <c r="I225" s="14">
        <v>22</v>
      </c>
      <c r="J225" s="14" t="s">
        <v>401</v>
      </c>
      <c r="K225" s="14" t="s">
        <v>1649</v>
      </c>
      <c r="L225" s="14" t="s">
        <v>1650</v>
      </c>
      <c r="M225" s="14" t="s">
        <v>9158</v>
      </c>
      <c r="N225" s="14" t="s">
        <v>9158</v>
      </c>
      <c r="O225" s="14" t="s">
        <v>9158</v>
      </c>
      <c r="P225" s="14" t="s">
        <v>9158</v>
      </c>
      <c r="Q225" s="14" t="s">
        <v>9158</v>
      </c>
      <c r="R225" s="14"/>
    </row>
    <row r="226" spans="1:18">
      <c r="B226" s="14"/>
      <c r="C226" s="14"/>
      <c r="D226" s="14"/>
      <c r="F226" s="14"/>
      <c r="G226" s="14"/>
      <c r="H226" s="14"/>
      <c r="I226" s="14"/>
      <c r="J226" s="14"/>
      <c r="K226" s="14"/>
      <c r="L226" s="14"/>
      <c r="M226" s="14"/>
      <c r="N226" s="14"/>
      <c r="P226" s="14"/>
      <c r="Q226" s="14"/>
      <c r="R226" s="14"/>
    </row>
    <row r="227" spans="1:18">
      <c r="A227" s="14" t="s">
        <v>304</v>
      </c>
      <c r="D227" s="14"/>
      <c r="F227" s="14"/>
      <c r="G227" s="14"/>
      <c r="H227" s="14"/>
      <c r="I227" s="14"/>
      <c r="J227" s="14"/>
      <c r="K227" s="14"/>
      <c r="L227" s="14"/>
      <c r="M227" s="14"/>
      <c r="N227" s="14"/>
      <c r="P227" s="14"/>
      <c r="Q227" s="14"/>
      <c r="R227" s="14"/>
    </row>
    <row r="228" spans="1:18">
      <c r="A228" s="14" t="s">
        <v>3928</v>
      </c>
      <c r="B228" s="14"/>
      <c r="C228" s="14"/>
      <c r="D228" s="14"/>
      <c r="F228" s="14"/>
      <c r="G228" s="14"/>
      <c r="H228" s="14"/>
      <c r="I228" s="14"/>
      <c r="J228" s="14"/>
      <c r="K228" s="14"/>
      <c r="L228" s="14"/>
      <c r="M228" s="14"/>
      <c r="N228" s="14"/>
      <c r="P228" s="14"/>
      <c r="Q228" s="14"/>
      <c r="R228" s="14"/>
    </row>
    <row r="229" spans="1:18">
      <c r="A229" s="9" t="s">
        <v>5724</v>
      </c>
      <c r="B229" s="14" t="s">
        <v>52</v>
      </c>
      <c r="C229" s="14" t="s">
        <v>14</v>
      </c>
      <c r="D229" s="14" t="s">
        <v>2093</v>
      </c>
      <c r="E229" s="15" t="str">
        <f>HYPERLINK("https://stat100.ameba.jp/tnk47/ratio20/illustrations/card/ill_66433_0_haroinfujishirogozen03.jpg?201903-4-RELEASE-guildbattle-400", "■")</f>
        <v>■</v>
      </c>
      <c r="F229" s="14" t="s">
        <v>2094</v>
      </c>
      <c r="G229" s="14">
        <v>94236</v>
      </c>
      <c r="H229" s="14">
        <v>83712</v>
      </c>
      <c r="I229" s="14">
        <v>15</v>
      </c>
      <c r="J229" s="14" t="s">
        <v>10</v>
      </c>
      <c r="K229" s="14" t="s">
        <v>2095</v>
      </c>
      <c r="L229" s="14" t="s">
        <v>2096</v>
      </c>
      <c r="M229" s="14" t="s">
        <v>9158</v>
      </c>
      <c r="N229" s="14" t="s">
        <v>9158</v>
      </c>
      <c r="O229" s="9" t="s">
        <v>2733</v>
      </c>
      <c r="P229" s="14" t="s">
        <v>2734</v>
      </c>
      <c r="Q229" s="14">
        <v>1</v>
      </c>
      <c r="R229" s="14"/>
    </row>
    <row r="230" spans="1:18">
      <c r="A230" s="9" t="s">
        <v>5607</v>
      </c>
      <c r="B230" s="14" t="s">
        <v>330</v>
      </c>
      <c r="C230" s="14" t="s">
        <v>271</v>
      </c>
      <c r="D230" s="14" t="s">
        <v>421</v>
      </c>
      <c r="E230" s="15" t="str">
        <f>HYPERLINK("https://stat100.ameba.jp/tnk47/ratio20/illustrations/card/ill_58853_0_setsubumpanikkuhiratsukaraicho03.jpg?201903-4-RELEASE-guildbattle-400", "■")</f>
        <v>■</v>
      </c>
      <c r="F230" s="14" t="s">
        <v>422</v>
      </c>
      <c r="G230" s="14">
        <v>94236</v>
      </c>
      <c r="H230" s="14">
        <v>83712</v>
      </c>
      <c r="I230" s="14">
        <v>15</v>
      </c>
      <c r="J230" s="14" t="s">
        <v>414</v>
      </c>
      <c r="K230" s="14" t="s">
        <v>423</v>
      </c>
      <c r="L230" s="14" t="s">
        <v>424</v>
      </c>
      <c r="M230" s="14" t="s">
        <v>9158</v>
      </c>
      <c r="N230" s="14" t="s">
        <v>9158</v>
      </c>
      <c r="O230" s="17" t="s">
        <v>10059</v>
      </c>
      <c r="P230" s="14" t="s">
        <v>2870</v>
      </c>
      <c r="Q230" s="14">
        <v>1</v>
      </c>
      <c r="R230" s="14"/>
    </row>
    <row r="231" spans="1:18">
      <c r="A231" s="9" t="s">
        <v>5612</v>
      </c>
      <c r="B231" s="14" t="s">
        <v>52</v>
      </c>
      <c r="C231" s="14" t="s">
        <v>165</v>
      </c>
      <c r="D231" s="14" t="s">
        <v>1895</v>
      </c>
      <c r="E231" s="15" t="str">
        <f>HYPERLINK("https://stat100.ameba.jp/tnk47/ratio20/illustrations/card/ill_49193_0_onmyoudouabenoseimei03.jpg?201903-4-RELEASE-guildbattle-400", "■")</f>
        <v>■</v>
      </c>
      <c r="F231" s="14" t="s">
        <v>1896</v>
      </c>
      <c r="G231" s="14">
        <v>83712</v>
      </c>
      <c r="H231" s="14">
        <v>94236</v>
      </c>
      <c r="I231" s="14">
        <v>15</v>
      </c>
      <c r="J231" s="14" t="s">
        <v>10</v>
      </c>
      <c r="K231" s="14" t="s">
        <v>1897</v>
      </c>
      <c r="L231" s="14" t="s">
        <v>1898</v>
      </c>
      <c r="M231" s="14" t="s">
        <v>9158</v>
      </c>
      <c r="N231" s="14" t="s">
        <v>9158</v>
      </c>
      <c r="O231" s="14" t="s">
        <v>9158</v>
      </c>
      <c r="P231" s="14" t="s">
        <v>9158</v>
      </c>
      <c r="Q231" s="14" t="s">
        <v>9158</v>
      </c>
      <c r="R231" s="14"/>
    </row>
    <row r="232" spans="1:18">
      <c r="A232" s="9">
        <v>69213</v>
      </c>
      <c r="B232" s="14" t="s">
        <v>334</v>
      </c>
      <c r="C232" s="14" t="s">
        <v>23</v>
      </c>
      <c r="D232" s="14" t="s">
        <v>3929</v>
      </c>
      <c r="E232" s="15" t="str">
        <f>HYPERLINK("https://stat100.ameba.jp/tnk47/ratio20/illustrations/card/ill_69213_burodoeiimagawayaki03.jpg?201903-4-RELEASE-guildbattle-400", "■")</f>
        <v>■</v>
      </c>
      <c r="F232" s="14" t="s">
        <v>3930</v>
      </c>
      <c r="G232" s="14">
        <v>96610</v>
      </c>
      <c r="H232" s="14">
        <v>103896</v>
      </c>
      <c r="I232" s="14">
        <v>22</v>
      </c>
      <c r="J232" s="14" t="s">
        <v>104</v>
      </c>
      <c r="K232" s="14" t="s">
        <v>3931</v>
      </c>
      <c r="L232" s="14" t="s">
        <v>131</v>
      </c>
      <c r="M232" s="14" t="s">
        <v>9158</v>
      </c>
      <c r="N232" s="14" t="s">
        <v>9158</v>
      </c>
      <c r="O232" s="14" t="s">
        <v>9158</v>
      </c>
      <c r="P232" s="14" t="s">
        <v>9158</v>
      </c>
      <c r="Q232" s="14" t="s">
        <v>9158</v>
      </c>
      <c r="R232" s="14"/>
    </row>
    <row r="233" spans="1:18">
      <c r="A233" s="9">
        <v>77243</v>
      </c>
      <c r="B233" s="14" t="s">
        <v>334</v>
      </c>
      <c r="C233" s="14" t="s">
        <v>335</v>
      </c>
      <c r="D233" s="14" t="s">
        <v>1435</v>
      </c>
      <c r="E233" s="15" t="str">
        <f>HYPERLINK("https://stat100.ameba.jp/tnk47/ratio20/illustrations/card/ill_77243_seikimatsuniijimayae03.jpg?201903-4-RELEASE-guildbattle-400", "■")</f>
        <v>■</v>
      </c>
      <c r="F233" s="14" t="s">
        <v>1436</v>
      </c>
      <c r="G233" s="14">
        <v>85934</v>
      </c>
      <c r="H233" s="14">
        <v>79868</v>
      </c>
      <c r="I233" s="14">
        <v>22</v>
      </c>
      <c r="J233" s="14" t="s">
        <v>351</v>
      </c>
      <c r="K233" s="14" t="s">
        <v>1437</v>
      </c>
      <c r="L233" s="14" t="s">
        <v>1438</v>
      </c>
      <c r="M233" s="14" t="s">
        <v>9158</v>
      </c>
      <c r="N233" s="14" t="s">
        <v>9158</v>
      </c>
      <c r="O233" s="14" t="s">
        <v>9158</v>
      </c>
      <c r="P233" s="14" t="s">
        <v>9158</v>
      </c>
      <c r="Q233" s="14" t="s">
        <v>9158</v>
      </c>
      <c r="R233" s="14"/>
    </row>
    <row r="234" spans="1:18">
      <c r="A234" s="9">
        <v>72923</v>
      </c>
      <c r="B234" s="14" t="s">
        <v>334</v>
      </c>
      <c r="C234" s="14" t="s">
        <v>206</v>
      </c>
      <c r="D234" s="14" t="s">
        <v>3199</v>
      </c>
      <c r="E234" s="15" t="str">
        <f>HYPERLINK("https://stat100.ameba.jp/tnk47/ratio20/illustrations/card/ill_72923_amenohanayomemyorinni03.jpg?201903-4-RELEASE-guildbattle-400", "■")</f>
        <v>■</v>
      </c>
      <c r="F234" s="14" t="s">
        <v>3200</v>
      </c>
      <c r="G234" s="14">
        <v>121604</v>
      </c>
      <c r="H234" s="14">
        <v>130784</v>
      </c>
      <c r="I234" s="14">
        <v>22</v>
      </c>
      <c r="J234" s="14" t="s">
        <v>310</v>
      </c>
      <c r="K234" s="14" t="s">
        <v>3201</v>
      </c>
      <c r="L234" s="14" t="s">
        <v>407</v>
      </c>
      <c r="M234" s="14" t="s">
        <v>9158</v>
      </c>
      <c r="N234" s="14" t="s">
        <v>9158</v>
      </c>
      <c r="O234" s="9" t="s">
        <v>2752</v>
      </c>
      <c r="P234" s="14" t="s">
        <v>13123</v>
      </c>
      <c r="Q234" s="14">
        <v>1</v>
      </c>
      <c r="R234" s="14"/>
    </row>
    <row r="235" spans="1:18">
      <c r="B235" s="14"/>
      <c r="C235" s="14"/>
      <c r="D235" s="14"/>
      <c r="F235" s="14"/>
      <c r="G235" s="14"/>
      <c r="H235" s="14"/>
      <c r="I235" s="14"/>
      <c r="J235" s="14"/>
      <c r="K235" s="14"/>
      <c r="L235" s="14"/>
      <c r="M235" s="14"/>
      <c r="N235" s="14"/>
      <c r="P235" s="14"/>
      <c r="Q235" s="14"/>
      <c r="R235" s="14"/>
    </row>
    <row r="236" spans="1:18">
      <c r="A236" s="14" t="s">
        <v>3932</v>
      </c>
      <c r="F236" s="14"/>
      <c r="G236" s="14"/>
      <c r="H236" s="14"/>
      <c r="I236" s="14"/>
      <c r="J236" s="14"/>
      <c r="K236" s="14"/>
      <c r="L236" s="14"/>
      <c r="M236" s="14"/>
      <c r="N236" s="14"/>
      <c r="P236" s="14"/>
      <c r="Q236" s="14"/>
      <c r="R236" s="14"/>
    </row>
    <row r="237" spans="1:18">
      <c r="A237" s="14" t="s">
        <v>3933</v>
      </c>
      <c r="C237" s="14"/>
      <c r="D237" s="14"/>
      <c r="F237" s="14"/>
      <c r="G237" s="14"/>
      <c r="H237" s="14"/>
      <c r="I237" s="14"/>
      <c r="J237" s="14"/>
      <c r="K237" s="14"/>
      <c r="L237" s="14"/>
      <c r="M237" s="14"/>
      <c r="N237" s="14"/>
      <c r="P237" s="14"/>
      <c r="Q237" s="14"/>
      <c r="R237" s="14"/>
    </row>
    <row r="238" spans="1:18">
      <c r="A238" s="14" t="s">
        <v>11481</v>
      </c>
      <c r="B238" s="14"/>
      <c r="C238" s="14"/>
      <c r="D238" s="14"/>
      <c r="F238" s="14"/>
      <c r="G238" s="14"/>
      <c r="H238" s="14"/>
      <c r="I238" s="14"/>
      <c r="J238" s="14"/>
      <c r="K238" s="14"/>
      <c r="L238" s="14"/>
      <c r="M238" s="14"/>
      <c r="N238" s="14"/>
      <c r="P238" s="14"/>
      <c r="Q238" s="14"/>
      <c r="R238" s="14"/>
    </row>
    <row r="239" spans="1:18">
      <c r="A239" s="9" t="s">
        <v>6030</v>
      </c>
      <c r="B239" s="14" t="s">
        <v>330</v>
      </c>
      <c r="C239" s="14" t="s">
        <v>202</v>
      </c>
      <c r="D239" s="14" t="s">
        <v>3708</v>
      </c>
      <c r="E239" s="15" t="str">
        <f>HYPERLINK("https://stat100.ameba.jp/tnk47/ratio20/illustrations/card/ill_80023_0_hinamatsurikyogokumaria03.jpg?201903-4-RELEASE-guildbattle-400", "■")</f>
        <v>■</v>
      </c>
      <c r="F239" s="14" t="s">
        <v>3709</v>
      </c>
      <c r="G239" s="14">
        <v>202144</v>
      </c>
      <c r="H239" s="14">
        <v>223681</v>
      </c>
      <c r="I239" s="14">
        <v>15</v>
      </c>
      <c r="J239" s="14" t="s">
        <v>26</v>
      </c>
      <c r="K239" s="14" t="s">
        <v>3710</v>
      </c>
      <c r="L239" s="14" t="s">
        <v>3711</v>
      </c>
      <c r="M239" s="14" t="s">
        <v>9158</v>
      </c>
      <c r="N239" s="14" t="s">
        <v>9158</v>
      </c>
      <c r="O239" s="9" t="s">
        <v>3712</v>
      </c>
      <c r="P239" s="14" t="s">
        <v>3713</v>
      </c>
      <c r="Q239" s="14">
        <v>1</v>
      </c>
      <c r="R239" s="14"/>
    </row>
    <row r="240" spans="1:18">
      <c r="A240" s="9">
        <v>80283</v>
      </c>
      <c r="B240" s="14" t="s">
        <v>0</v>
      </c>
      <c r="C240" s="14" t="s">
        <v>200</v>
      </c>
      <c r="D240" s="14" t="s">
        <v>3934</v>
      </c>
      <c r="E240" s="15" t="str">
        <f>HYPERLINK("https://stat100.ameba.jp/tnk47/ratio20/illustrations/card/ill_80283_howaitodehanakosan03.jpg?201903-4-RELEASE-guildbattle-400", "■")</f>
        <v>■</v>
      </c>
      <c r="F240" s="14" t="s">
        <v>3935</v>
      </c>
      <c r="G240" s="14">
        <v>95830</v>
      </c>
      <c r="H240" s="14">
        <v>89121</v>
      </c>
      <c r="I240" s="14">
        <v>23</v>
      </c>
      <c r="J240" s="14" t="s">
        <v>73</v>
      </c>
      <c r="K240" s="14" t="s">
        <v>3936</v>
      </c>
      <c r="L240" s="14" t="s">
        <v>3937</v>
      </c>
      <c r="M240" s="14" t="s">
        <v>9158</v>
      </c>
      <c r="N240" s="14" t="s">
        <v>9158</v>
      </c>
      <c r="O240" s="14" t="s">
        <v>9158</v>
      </c>
      <c r="P240" s="14" t="s">
        <v>9158</v>
      </c>
      <c r="Q240" s="14" t="s">
        <v>9158</v>
      </c>
      <c r="R240" s="14"/>
    </row>
    <row r="241" spans="1:18">
      <c r="A241" s="9">
        <v>80293</v>
      </c>
      <c r="B241" s="14" t="s">
        <v>15</v>
      </c>
      <c r="C241" s="14" t="s">
        <v>185</v>
      </c>
      <c r="D241" s="14" t="s">
        <v>3938</v>
      </c>
      <c r="E241" s="15" t="str">
        <f>HYPERLINK("https://stat100.ameba.jp/tnk47/ratio20/illustrations/card/ill_80293_howaitodehowaitochokochan03.jpg?201903-4-RELEASE-guildbattle-400", "■")</f>
        <v>■</v>
      </c>
      <c r="F241" s="14" t="s">
        <v>3939</v>
      </c>
      <c r="G241" s="14">
        <v>61832</v>
      </c>
      <c r="H241" s="14">
        <v>68172</v>
      </c>
      <c r="I241" s="14">
        <v>23</v>
      </c>
      <c r="J241" s="14" t="s">
        <v>104</v>
      </c>
      <c r="K241" s="14" t="s">
        <v>3940</v>
      </c>
      <c r="L241" s="14" t="s">
        <v>1757</v>
      </c>
      <c r="M241" s="14" t="s">
        <v>9158</v>
      </c>
      <c r="N241" s="14" t="s">
        <v>9158</v>
      </c>
      <c r="O241" s="14" t="s">
        <v>9158</v>
      </c>
      <c r="P241" s="14" t="s">
        <v>9158</v>
      </c>
      <c r="Q241" s="14" t="s">
        <v>9158</v>
      </c>
      <c r="R241" s="14"/>
    </row>
    <row r="242" spans="1:18">
      <c r="A242" s="9">
        <v>80303</v>
      </c>
      <c r="B242" s="14" t="s">
        <v>22</v>
      </c>
      <c r="C242" s="14" t="s">
        <v>206</v>
      </c>
      <c r="D242" s="14" t="s">
        <v>3941</v>
      </c>
      <c r="E242" s="15" t="str">
        <f>HYPERLINK("https://stat100.ameba.jp/tnk47/ratio20/illustrations/card/ill_80303_detokuwahime03.jpg?201903-4-RELEASE-guildbattle-400", "■")</f>
        <v>■</v>
      </c>
      <c r="F242" s="14" t="s">
        <v>3942</v>
      </c>
      <c r="G242" s="14">
        <v>47820</v>
      </c>
      <c r="H242" s="14">
        <v>39762</v>
      </c>
      <c r="I242" s="14">
        <v>23</v>
      </c>
      <c r="J242" s="14" t="s">
        <v>77</v>
      </c>
      <c r="K242" s="14" t="s">
        <v>3943</v>
      </c>
      <c r="L242" s="14" t="s">
        <v>1732</v>
      </c>
      <c r="M242" s="14" t="s">
        <v>9158</v>
      </c>
      <c r="N242" s="14" t="s">
        <v>9158</v>
      </c>
      <c r="O242" s="14" t="s">
        <v>9158</v>
      </c>
      <c r="P242" s="14" t="s">
        <v>9158</v>
      </c>
      <c r="Q242" s="14" t="s">
        <v>9158</v>
      </c>
      <c r="R242" s="14"/>
    </row>
    <row r="243" spans="1:18">
      <c r="A243" s="9">
        <v>80313</v>
      </c>
      <c r="B243" s="14" t="s">
        <v>30</v>
      </c>
      <c r="C243" s="14" t="s">
        <v>201</v>
      </c>
      <c r="D243" s="14" t="s">
        <v>3944</v>
      </c>
      <c r="E243" s="15" t="str">
        <f>HYPERLINK("https://stat100.ameba.jp/tnk47/ratio20/illustrations/card/ill_80313_howaitoderaburetachan03.jpg?201903-4-RELEASE-guildbattle-400", "■")</f>
        <v>■</v>
      </c>
      <c r="F243" s="14" t="s">
        <v>3945</v>
      </c>
      <c r="G243" s="14">
        <v>24314</v>
      </c>
      <c r="H243" s="14">
        <v>28952</v>
      </c>
      <c r="I243" s="14">
        <v>23</v>
      </c>
      <c r="J243" s="14" t="s">
        <v>26</v>
      </c>
      <c r="K243" s="14" t="s">
        <v>3946</v>
      </c>
      <c r="L243" s="14" t="s">
        <v>3947</v>
      </c>
      <c r="M243" s="14" t="s">
        <v>9158</v>
      </c>
      <c r="N243" s="14" t="s">
        <v>9158</v>
      </c>
      <c r="O243" s="14" t="s">
        <v>9158</v>
      </c>
      <c r="P243" s="14" t="s">
        <v>9158</v>
      </c>
      <c r="Q243" s="14" t="s">
        <v>9158</v>
      </c>
      <c r="R243" s="14"/>
    </row>
    <row r="244" spans="1:18">
      <c r="B244" s="14"/>
      <c r="C244" s="14"/>
      <c r="D244" s="14"/>
      <c r="F244" s="14"/>
      <c r="G244" s="14"/>
      <c r="H244" s="14"/>
      <c r="I244" s="14"/>
      <c r="J244" s="14"/>
      <c r="K244" s="14"/>
      <c r="L244" s="14"/>
      <c r="M244" s="14"/>
      <c r="N244" s="14"/>
      <c r="P244" s="14"/>
      <c r="Q244" s="14"/>
      <c r="R244" s="14"/>
    </row>
    <row r="245" spans="1:18">
      <c r="A245" s="14" t="s">
        <v>3844</v>
      </c>
      <c r="D245" s="14"/>
      <c r="F245" s="14"/>
      <c r="G245" s="14"/>
      <c r="H245" s="14"/>
      <c r="I245" s="14"/>
      <c r="J245" s="14"/>
      <c r="K245" s="14"/>
      <c r="L245" s="14"/>
      <c r="M245" s="14"/>
      <c r="N245" s="14"/>
      <c r="P245" s="14"/>
      <c r="Q245" s="14"/>
      <c r="R245" s="14"/>
    </row>
    <row r="246" spans="1:18">
      <c r="A246" s="14" t="s">
        <v>3948</v>
      </c>
      <c r="B246" s="14"/>
      <c r="C246" s="14"/>
      <c r="D246" s="14"/>
      <c r="F246" s="14"/>
      <c r="G246" s="14"/>
      <c r="H246" s="14"/>
      <c r="I246" s="14"/>
      <c r="J246" s="14"/>
      <c r="K246" s="14"/>
      <c r="L246" s="14"/>
      <c r="M246" s="14"/>
      <c r="N246" s="14"/>
      <c r="P246" s="14"/>
      <c r="Q246" s="14"/>
      <c r="R246" s="14"/>
    </row>
    <row r="247" spans="1:18">
      <c r="A247" s="9" t="s">
        <v>5614</v>
      </c>
      <c r="B247" s="14" t="s">
        <v>330</v>
      </c>
      <c r="C247" s="14" t="s">
        <v>205</v>
      </c>
      <c r="D247" s="14" t="s">
        <v>313</v>
      </c>
      <c r="E247" s="15" t="str">
        <f>HYPERLINK("https://stat100.ameba.jp/tnk47/ratio20/illustrations/card/ill_56223_0_onsempanikkugohime03.jpg?201903-4-RELEASE-guildbattle-400", "■")</f>
        <v>■</v>
      </c>
      <c r="F247" s="14" t="s">
        <v>314</v>
      </c>
      <c r="G247" s="14">
        <v>106034</v>
      </c>
      <c r="H247" s="14">
        <v>119364</v>
      </c>
      <c r="I247" s="14">
        <v>19</v>
      </c>
      <c r="J247" s="14" t="s">
        <v>315</v>
      </c>
      <c r="K247" s="14" t="s">
        <v>316</v>
      </c>
      <c r="L247" s="14" t="s">
        <v>317</v>
      </c>
      <c r="M247" s="14" t="s">
        <v>9158</v>
      </c>
      <c r="N247" s="14" t="s">
        <v>9158</v>
      </c>
      <c r="O247" s="9" t="s">
        <v>3021</v>
      </c>
      <c r="P247" s="14" t="s">
        <v>2890</v>
      </c>
      <c r="Q247" s="14">
        <v>1</v>
      </c>
      <c r="R247" s="14"/>
    </row>
    <row r="248" spans="1:18">
      <c r="A248" s="9">
        <v>63273</v>
      </c>
      <c r="B248" s="14" t="s">
        <v>334</v>
      </c>
      <c r="C248" s="14" t="s">
        <v>158</v>
      </c>
      <c r="D248" s="14" t="s">
        <v>1210</v>
      </c>
      <c r="E248" s="15" t="str">
        <f>HYPERLINK("https://stat100.ameba.jp/tnk47/ratio20/illustrations/card/ill_63273_tsukushimai03.jpg?201903-4-RELEASE-guildbattle-400", "■")</f>
        <v>■</v>
      </c>
      <c r="F248" s="14" t="s">
        <v>1211</v>
      </c>
      <c r="G248" s="14">
        <v>107166</v>
      </c>
      <c r="H248" s="14">
        <v>77618</v>
      </c>
      <c r="I248" s="14">
        <v>21</v>
      </c>
      <c r="J248" s="14" t="s">
        <v>38</v>
      </c>
      <c r="K248" s="14" t="s">
        <v>1212</v>
      </c>
      <c r="L248" s="14" t="s">
        <v>1213</v>
      </c>
      <c r="M248" s="14" t="s">
        <v>9158</v>
      </c>
      <c r="N248" s="14" t="s">
        <v>9158</v>
      </c>
      <c r="O248" s="9" t="s">
        <v>3642</v>
      </c>
      <c r="P248" s="14" t="s">
        <v>13128</v>
      </c>
      <c r="Q248" s="14">
        <v>1</v>
      </c>
      <c r="R248" s="14"/>
    </row>
    <row r="249" spans="1:18">
      <c r="A249" s="9">
        <v>64043</v>
      </c>
      <c r="B249" s="14" t="s">
        <v>334</v>
      </c>
      <c r="C249" s="14" t="s">
        <v>154</v>
      </c>
      <c r="D249" s="14" t="s">
        <v>2079</v>
      </c>
      <c r="E249" s="15" t="str">
        <f>HYPERLINK("https://stat100.ameba.jp/tnk47/ratio20/illustrations/card/ill_64043_kegonnotaki03.jpg?201903-4-RELEASE-guildbattle-400", "■")</f>
        <v>■</v>
      </c>
      <c r="F249" s="14" t="s">
        <v>2080</v>
      </c>
      <c r="G249" s="14">
        <v>99889</v>
      </c>
      <c r="H249" s="14">
        <v>72356</v>
      </c>
      <c r="I249" s="14">
        <v>21</v>
      </c>
      <c r="J249" s="14" t="s">
        <v>26</v>
      </c>
      <c r="K249" s="14" t="s">
        <v>2081</v>
      </c>
      <c r="L249" s="14" t="s">
        <v>2082</v>
      </c>
      <c r="M249" s="14" t="s">
        <v>9158</v>
      </c>
      <c r="N249" s="14" t="s">
        <v>9158</v>
      </c>
      <c r="O249" s="9" t="s">
        <v>3578</v>
      </c>
      <c r="P249" s="14" t="s">
        <v>3579</v>
      </c>
      <c r="Q249" s="14">
        <v>1</v>
      </c>
      <c r="R249" s="14"/>
    </row>
    <row r="250" spans="1:18">
      <c r="A250" s="9">
        <v>51893</v>
      </c>
      <c r="B250" s="14" t="s">
        <v>0</v>
      </c>
      <c r="C250" s="14" t="s">
        <v>206</v>
      </c>
      <c r="D250" s="14" t="s">
        <v>2083</v>
      </c>
      <c r="E250" s="15" t="str">
        <f>HYPERLINK("https://stat100.ameba.jp/tnk47/ratio20/illustrations/card/ill_51893_kemonomizugitakachihonomine03.jpg?201903-4-RELEASE-guildbattle-400", "■")</f>
        <v>■</v>
      </c>
      <c r="F250" s="14" t="s">
        <v>2084</v>
      </c>
      <c r="G250" s="14">
        <v>75254</v>
      </c>
      <c r="H250" s="14">
        <v>80942</v>
      </c>
      <c r="I250" s="14">
        <v>21</v>
      </c>
      <c r="J250" s="14" t="s">
        <v>44</v>
      </c>
      <c r="K250" s="14" t="s">
        <v>2085</v>
      </c>
      <c r="L250" s="14" t="s">
        <v>2086</v>
      </c>
      <c r="M250" s="14" t="s">
        <v>9158</v>
      </c>
      <c r="N250" s="14" t="s">
        <v>9158</v>
      </c>
      <c r="O250" s="9" t="s">
        <v>3601</v>
      </c>
      <c r="P250" s="14" t="s">
        <v>13145</v>
      </c>
      <c r="Q250" s="14">
        <v>1</v>
      </c>
      <c r="R250" s="14"/>
    </row>
    <row r="251" spans="1:18">
      <c r="B251" s="14"/>
      <c r="C251" s="14"/>
      <c r="D251" s="14"/>
      <c r="F251" s="14"/>
      <c r="G251" s="14"/>
      <c r="H251" s="14"/>
      <c r="I251" s="14"/>
      <c r="J251" s="14"/>
      <c r="K251" s="14"/>
      <c r="L251" s="14"/>
      <c r="M251" s="14"/>
      <c r="N251" s="14"/>
      <c r="P251" s="14"/>
      <c r="Q251" s="14"/>
      <c r="R251" s="14"/>
    </row>
    <row r="252" spans="1:18">
      <c r="A252" s="14" t="s">
        <v>13346</v>
      </c>
      <c r="D252" s="14"/>
      <c r="F252" s="14"/>
      <c r="G252" s="14"/>
      <c r="H252" s="14"/>
      <c r="I252" s="14"/>
      <c r="J252" s="14"/>
      <c r="K252" s="14"/>
      <c r="L252" s="14"/>
      <c r="M252" s="14"/>
      <c r="N252" s="14"/>
      <c r="P252" s="14"/>
      <c r="Q252" s="14"/>
      <c r="R252" s="14"/>
    </row>
    <row r="253" spans="1:18">
      <c r="A253" s="14" t="s">
        <v>3949</v>
      </c>
      <c r="B253" s="14"/>
      <c r="C253" s="14"/>
      <c r="D253" s="14"/>
      <c r="F253" s="14"/>
      <c r="G253" s="14"/>
      <c r="H253" s="14"/>
      <c r="I253" s="14"/>
      <c r="J253" s="14"/>
      <c r="K253" s="14"/>
      <c r="L253" s="14"/>
      <c r="M253" s="14"/>
      <c r="N253" s="14"/>
      <c r="P253" s="14"/>
      <c r="Q253" s="14"/>
      <c r="R253" s="14"/>
    </row>
    <row r="254" spans="1:18">
      <c r="A254" s="9">
        <v>80145</v>
      </c>
      <c r="B254" s="14" t="s">
        <v>0</v>
      </c>
      <c r="C254" s="14" t="s">
        <v>202</v>
      </c>
      <c r="D254" s="14" t="s">
        <v>3950</v>
      </c>
      <c r="E254" s="15" t="str">
        <f>HYPERLINK("https://stat100.ameba.jp/tnk47/ratio20/illustrations/card/ill_80145_kajitsushunohebe05.jpg?201903-4-RELEASE-guildbattle-400", "■")</f>
        <v>■</v>
      </c>
      <c r="F254" s="14" t="s">
        <v>3951</v>
      </c>
      <c r="G254" s="14">
        <v>90580</v>
      </c>
      <c r="H254" s="14">
        <v>125086</v>
      </c>
      <c r="I254" s="14">
        <v>22</v>
      </c>
      <c r="J254" s="14" t="s">
        <v>104</v>
      </c>
      <c r="K254" s="14" t="s">
        <v>3952</v>
      </c>
      <c r="L254" s="14" t="s">
        <v>2118</v>
      </c>
      <c r="M254" s="14" t="s">
        <v>9158</v>
      </c>
      <c r="N254" s="14" t="s">
        <v>9158</v>
      </c>
      <c r="O254" s="14" t="s">
        <v>9158</v>
      </c>
      <c r="P254" s="14" t="s">
        <v>9158</v>
      </c>
      <c r="Q254" s="14" t="s">
        <v>9158</v>
      </c>
      <c r="R254" s="14" t="s">
        <v>174</v>
      </c>
    </row>
    <row r="255" spans="1:18">
      <c r="A255" s="9">
        <v>80143</v>
      </c>
      <c r="B255" s="14" t="s">
        <v>15</v>
      </c>
      <c r="C255" s="14" t="s">
        <v>154</v>
      </c>
      <c r="D255" s="14" t="s">
        <v>3950</v>
      </c>
      <c r="E255" s="15" t="str">
        <f>HYPERLINK("https://stat100.ameba.jp/tnk47/ratio20/illustrations/card/ill_80143_kajitsushunohebe03.jpg?201903-4-RELEASE-guildbattle-400", "■")</f>
        <v>■</v>
      </c>
      <c r="F255" s="14" t="s">
        <v>3951</v>
      </c>
      <c r="G255" s="14">
        <v>66738</v>
      </c>
      <c r="H255" s="14">
        <v>92170</v>
      </c>
      <c r="I255" s="14">
        <v>22</v>
      </c>
      <c r="J255" s="14" t="s">
        <v>104</v>
      </c>
      <c r="K255" s="14" t="s">
        <v>3952</v>
      </c>
      <c r="L255" s="14" t="s">
        <v>1757</v>
      </c>
      <c r="M255" s="14" t="s">
        <v>9158</v>
      </c>
      <c r="N255" s="14" t="s">
        <v>9158</v>
      </c>
      <c r="O255" s="14" t="s">
        <v>9158</v>
      </c>
      <c r="P255" s="14" t="s">
        <v>9158</v>
      </c>
      <c r="Q255" s="14" t="s">
        <v>9158</v>
      </c>
      <c r="R255" s="14" t="s">
        <v>175</v>
      </c>
    </row>
    <row r="256" spans="1:18">
      <c r="A256" s="9">
        <v>80141</v>
      </c>
      <c r="B256" s="14" t="s">
        <v>15</v>
      </c>
      <c r="C256" s="14" t="s">
        <v>209</v>
      </c>
      <c r="D256" s="14" t="s">
        <v>3950</v>
      </c>
      <c r="E256" s="15" t="str">
        <f>HYPERLINK("https://stat100.ameba.jp/tnk47/ratio20/illustrations/card/ill_80141_kajitsushunohebe01.jpg?201903-4-RELEASE-guildbattle-400", "■")</f>
        <v>■</v>
      </c>
      <c r="F256" s="14" t="s">
        <v>3951</v>
      </c>
      <c r="G256" s="14">
        <v>42460</v>
      </c>
      <c r="H256" s="14">
        <v>58630</v>
      </c>
      <c r="I256" s="14">
        <v>22</v>
      </c>
      <c r="J256" s="14" t="s">
        <v>104</v>
      </c>
      <c r="K256" s="14" t="s">
        <v>3952</v>
      </c>
      <c r="L256" s="14" t="s">
        <v>2119</v>
      </c>
      <c r="M256" s="14" t="s">
        <v>9158</v>
      </c>
      <c r="N256" s="14" t="s">
        <v>9158</v>
      </c>
      <c r="O256" s="14" t="s">
        <v>9158</v>
      </c>
      <c r="P256" s="14" t="s">
        <v>9158</v>
      </c>
      <c r="Q256" s="14" t="s">
        <v>9158</v>
      </c>
      <c r="R256" s="14" t="s">
        <v>176</v>
      </c>
    </row>
    <row r="257" spans="1:18">
      <c r="B257" s="14"/>
      <c r="C257" s="14"/>
      <c r="D257" s="14"/>
      <c r="F257" s="14"/>
      <c r="G257" s="14"/>
      <c r="H257" s="14"/>
      <c r="I257" s="14"/>
      <c r="J257" s="14"/>
      <c r="K257" s="14"/>
      <c r="L257" s="14"/>
      <c r="M257" s="14"/>
      <c r="N257" s="14"/>
      <c r="P257" s="14"/>
      <c r="Q257" s="14"/>
      <c r="R257" s="14"/>
    </row>
    <row r="258" spans="1:18">
      <c r="A258" s="14" t="s">
        <v>10437</v>
      </c>
      <c r="D258" s="14"/>
      <c r="F258" s="14"/>
      <c r="G258" s="14"/>
      <c r="H258" s="14"/>
      <c r="I258" s="14"/>
      <c r="J258" s="14"/>
      <c r="K258" s="14"/>
      <c r="L258" s="14"/>
      <c r="M258" s="14"/>
      <c r="N258" s="14"/>
      <c r="P258" s="14"/>
      <c r="Q258" s="14"/>
      <c r="R258" s="14"/>
    </row>
    <row r="259" spans="1:18">
      <c r="A259" s="14" t="s">
        <v>3953</v>
      </c>
      <c r="B259" s="14"/>
      <c r="C259" s="14"/>
      <c r="D259" s="14"/>
      <c r="F259" s="14"/>
      <c r="G259" s="14"/>
      <c r="H259" s="14"/>
      <c r="I259" s="14"/>
      <c r="J259" s="14"/>
      <c r="K259" s="14"/>
      <c r="L259" s="14"/>
      <c r="M259" s="14"/>
      <c r="N259" s="14"/>
      <c r="P259" s="14"/>
      <c r="Q259" s="14"/>
      <c r="R259" s="14"/>
    </row>
    <row r="260" spans="1:18">
      <c r="A260" s="9">
        <v>60093</v>
      </c>
      <c r="B260" s="14" t="s">
        <v>334</v>
      </c>
      <c r="C260" s="14" t="s">
        <v>200</v>
      </c>
      <c r="D260" s="14" t="s">
        <v>3954</v>
      </c>
      <c r="E260" s="15" t="str">
        <f>HYPERLINK("https://stat100.ameba.jp/tnk47/ratio20/illustrations/card/ill_60093_bukitakiyashahime03.jpg?201903-i_prefecture_active_user", "■")</f>
        <v>■</v>
      </c>
      <c r="F260" s="14" t="s">
        <v>3955</v>
      </c>
      <c r="G260" s="14">
        <v>82027</v>
      </c>
      <c r="H260" s="14">
        <v>76237</v>
      </c>
      <c r="I260" s="14">
        <v>21</v>
      </c>
      <c r="J260" s="14" t="s">
        <v>77</v>
      </c>
      <c r="K260" s="14" t="s">
        <v>3956</v>
      </c>
      <c r="L260" s="14" t="s">
        <v>76</v>
      </c>
      <c r="M260" s="14" t="s">
        <v>9158</v>
      </c>
      <c r="N260" s="14" t="s">
        <v>9158</v>
      </c>
      <c r="O260" s="14" t="s">
        <v>9158</v>
      </c>
      <c r="P260" s="14" t="s">
        <v>9158</v>
      </c>
      <c r="Q260" s="14" t="s">
        <v>9158</v>
      </c>
      <c r="R260" s="14"/>
    </row>
    <row r="261" spans="1:18">
      <c r="A261" s="9">
        <v>60943</v>
      </c>
      <c r="B261" s="14" t="s">
        <v>334</v>
      </c>
      <c r="C261" s="14" t="s">
        <v>206</v>
      </c>
      <c r="D261" s="14" t="s">
        <v>3957</v>
      </c>
      <c r="E261" s="15" t="str">
        <f>HYPERLINK("https://stat100.ameba.jp/tnk47/ratio20/illustrations/card/ill_60943_sukurugarutenshoin03.jpg?201903-i_prefecture_active_user", "■")</f>
        <v>■</v>
      </c>
      <c r="F261" s="14" t="s">
        <v>3958</v>
      </c>
      <c r="G261" s="14">
        <v>76237</v>
      </c>
      <c r="H261" s="14">
        <v>82027</v>
      </c>
      <c r="I261" s="14">
        <v>21</v>
      </c>
      <c r="J261" s="14" t="s">
        <v>10</v>
      </c>
      <c r="K261" s="14" t="s">
        <v>3959</v>
      </c>
      <c r="L261" s="14" t="s">
        <v>12</v>
      </c>
      <c r="M261" s="14" t="s">
        <v>9158</v>
      </c>
      <c r="N261" s="14" t="s">
        <v>9158</v>
      </c>
      <c r="O261" s="14" t="s">
        <v>9158</v>
      </c>
      <c r="P261" s="14" t="s">
        <v>9158</v>
      </c>
      <c r="Q261" s="14" t="s">
        <v>9158</v>
      </c>
      <c r="R261" s="14"/>
    </row>
    <row r="262" spans="1:18">
      <c r="A262" s="9">
        <v>51213</v>
      </c>
      <c r="B262" s="14" t="s">
        <v>334</v>
      </c>
      <c r="C262" s="14" t="s">
        <v>154</v>
      </c>
      <c r="D262" s="14" t="s">
        <v>3547</v>
      </c>
      <c r="E262" s="15" t="str">
        <f>HYPERLINK("https://stat100.ameba.jp/tnk47/ratio20/illustrations/card/ill_51213_kyugitochiotomechan03.jpg?201903-i_prefecture_active_user", "■")</f>
        <v>■</v>
      </c>
      <c r="F262" s="14" t="s">
        <v>3548</v>
      </c>
      <c r="G262" s="14">
        <v>99173</v>
      </c>
      <c r="H262" s="14">
        <v>92220</v>
      </c>
      <c r="I262" s="14">
        <v>21</v>
      </c>
      <c r="J262" s="14" t="s">
        <v>104</v>
      </c>
      <c r="K262" s="14" t="s">
        <v>3549</v>
      </c>
      <c r="L262" s="14" t="s">
        <v>1108</v>
      </c>
      <c r="M262" s="14" t="s">
        <v>9158</v>
      </c>
      <c r="N262" s="14" t="s">
        <v>9158</v>
      </c>
      <c r="O262" s="14" t="s">
        <v>9158</v>
      </c>
      <c r="P262" s="14" t="s">
        <v>9158</v>
      </c>
      <c r="Q262" s="14" t="s">
        <v>9158</v>
      </c>
      <c r="R262" s="14"/>
    </row>
    <row r="263" spans="1:18">
      <c r="A263" s="9">
        <v>51123</v>
      </c>
      <c r="B263" s="14" t="s">
        <v>15</v>
      </c>
      <c r="C263" s="14" t="s">
        <v>191</v>
      </c>
      <c r="D263" s="14" t="s">
        <v>3960</v>
      </c>
      <c r="E263" s="15" t="str">
        <f>HYPERLINK("https://stat100.ameba.jp/tnk47/ratio20/illustrations/card/ill_51123_tankentaiyamamotokansuke03.jpg?201903-i_prefecture_active_user", "■")</f>
        <v>■</v>
      </c>
      <c r="F263" s="14" t="s">
        <v>3961</v>
      </c>
      <c r="G263" s="14">
        <v>56316</v>
      </c>
      <c r="H263" s="14">
        <v>51078</v>
      </c>
      <c r="I263" s="14">
        <v>19</v>
      </c>
      <c r="J263" s="14" t="s">
        <v>143</v>
      </c>
      <c r="K263" s="14" t="s">
        <v>3962</v>
      </c>
      <c r="L263" s="14" t="s">
        <v>3963</v>
      </c>
      <c r="M263" s="14" t="s">
        <v>9158</v>
      </c>
      <c r="N263" s="14" t="s">
        <v>9158</v>
      </c>
      <c r="O263" s="14" t="s">
        <v>9158</v>
      </c>
      <c r="P263" s="14" t="s">
        <v>9158</v>
      </c>
      <c r="Q263" s="14" t="s">
        <v>9158</v>
      </c>
      <c r="R263" s="14"/>
    </row>
    <row r="264" spans="1:18">
      <c r="A264" s="9">
        <v>65783</v>
      </c>
      <c r="B264" s="14" t="s">
        <v>15</v>
      </c>
      <c r="C264" s="14" t="s">
        <v>185</v>
      </c>
      <c r="D264" s="14" t="s">
        <v>3964</v>
      </c>
      <c r="E264" s="15" t="str">
        <f>HYPERLINK("https://stat100.ameba.jp/tnk47/ratio20/illustrations/card/ill_65783_sankichioni03.jpg?201903-i_prefecture_active_user", "■")</f>
        <v>■</v>
      </c>
      <c r="F264" s="14" t="s">
        <v>3965</v>
      </c>
      <c r="G264" s="14">
        <v>51078</v>
      </c>
      <c r="H264" s="14">
        <v>56316</v>
      </c>
      <c r="I264" s="14">
        <v>19</v>
      </c>
      <c r="J264" s="14" t="s">
        <v>73</v>
      </c>
      <c r="K264" s="14" t="s">
        <v>3966</v>
      </c>
      <c r="L264" s="14" t="s">
        <v>1706</v>
      </c>
      <c r="M264" s="14" t="s">
        <v>9158</v>
      </c>
      <c r="N264" s="14" t="s">
        <v>9158</v>
      </c>
      <c r="O264" s="14" t="s">
        <v>9158</v>
      </c>
      <c r="P264" s="14" t="s">
        <v>9158</v>
      </c>
      <c r="Q264" s="14" t="s">
        <v>9158</v>
      </c>
      <c r="R264" s="14"/>
    </row>
    <row r="265" spans="1:18">
      <c r="A265" s="9">
        <v>56263</v>
      </c>
      <c r="B265" s="14" t="s">
        <v>15</v>
      </c>
      <c r="C265" s="14" t="s">
        <v>165</v>
      </c>
      <c r="D265" s="14" t="s">
        <v>3967</v>
      </c>
      <c r="E265" s="15" t="str">
        <f>HYPERLINK("https://stat100.ameba.jp/tnk47/ratio20/illustrations/card/ill_56263_ongakusaikujotakeko03.jpg?201903-i_prefecture_active_user", "■")</f>
        <v>■</v>
      </c>
      <c r="F265" s="14" t="s">
        <v>3968</v>
      </c>
      <c r="G265" s="14">
        <v>51078</v>
      </c>
      <c r="H265" s="14">
        <v>56316</v>
      </c>
      <c r="I265" s="14">
        <v>19</v>
      </c>
      <c r="J265" s="14" t="s">
        <v>16</v>
      </c>
      <c r="K265" s="14" t="s">
        <v>3969</v>
      </c>
      <c r="L265" s="14" t="s">
        <v>3970</v>
      </c>
      <c r="M265" s="14" t="s">
        <v>9158</v>
      </c>
      <c r="N265" s="14" t="s">
        <v>9158</v>
      </c>
      <c r="O265" s="14" t="s">
        <v>9158</v>
      </c>
      <c r="P265" s="14" t="s">
        <v>9158</v>
      </c>
      <c r="Q265" s="14" t="s">
        <v>9158</v>
      </c>
      <c r="R265" s="14"/>
    </row>
    <row r="266" spans="1:18">
      <c r="B266" s="14"/>
      <c r="C266" s="14"/>
      <c r="D266" s="14"/>
      <c r="F266" s="14"/>
      <c r="G266" s="14"/>
      <c r="H266" s="14"/>
      <c r="I266" s="14"/>
      <c r="J266" s="14"/>
      <c r="K266" s="14"/>
      <c r="L266" s="14"/>
      <c r="M266" s="14"/>
      <c r="N266" s="14"/>
      <c r="P266" s="14"/>
      <c r="Q266" s="14"/>
      <c r="R266" s="14"/>
    </row>
    <row r="267" spans="1:18">
      <c r="A267" s="14" t="s">
        <v>1711</v>
      </c>
      <c r="D267" s="14"/>
      <c r="F267" s="14"/>
      <c r="G267" s="14"/>
      <c r="H267" s="14"/>
      <c r="I267" s="14"/>
      <c r="J267" s="14"/>
      <c r="K267" s="14"/>
      <c r="L267" s="14"/>
      <c r="M267" s="14"/>
      <c r="N267" s="14"/>
      <c r="P267" s="14"/>
      <c r="Q267" s="14"/>
      <c r="R267" s="14"/>
    </row>
    <row r="268" spans="1:18">
      <c r="A268" s="14" t="s">
        <v>3983</v>
      </c>
      <c r="B268" s="14"/>
      <c r="C268" s="14"/>
      <c r="D268" s="14"/>
      <c r="F268" s="14"/>
      <c r="G268" s="14"/>
      <c r="H268" s="14"/>
      <c r="I268" s="14"/>
      <c r="J268" s="14"/>
      <c r="K268" s="14"/>
      <c r="L268" s="14"/>
      <c r="M268" s="14"/>
      <c r="N268" s="14"/>
      <c r="P268" s="14"/>
      <c r="Q268" s="14"/>
      <c r="R268" s="14"/>
    </row>
    <row r="269" spans="1:18">
      <c r="A269" s="9" t="s">
        <v>5611</v>
      </c>
      <c r="B269" s="14" t="s">
        <v>330</v>
      </c>
      <c r="C269" s="14" t="s">
        <v>185</v>
      </c>
      <c r="D269" s="14" t="s">
        <v>539</v>
      </c>
      <c r="E269" s="15" t="str">
        <f>HYPERLINK("https://stat100.ameba.jp/tnk47/ratio20/illustrations/card/ill_60633_0_harumaisentoin03.jpg?201903-i_prefecture_active_user", "■")</f>
        <v>■</v>
      </c>
      <c r="F269" s="14" t="s">
        <v>540</v>
      </c>
      <c r="G269" s="14">
        <v>139878</v>
      </c>
      <c r="H269" s="14">
        <v>150466</v>
      </c>
      <c r="I269" s="14">
        <v>22</v>
      </c>
      <c r="J269" s="14" t="s">
        <v>274</v>
      </c>
      <c r="K269" s="14" t="s">
        <v>541</v>
      </c>
      <c r="L269" s="14" t="s">
        <v>542</v>
      </c>
      <c r="M269" s="14" t="s">
        <v>9158</v>
      </c>
      <c r="N269" s="14" t="s">
        <v>9158</v>
      </c>
      <c r="O269" s="9" t="s">
        <v>2888</v>
      </c>
      <c r="P269" s="14" t="s">
        <v>3144</v>
      </c>
      <c r="Q269" s="14">
        <v>1</v>
      </c>
      <c r="R269" s="14"/>
    </row>
    <row r="270" spans="1:18">
      <c r="A270" s="9" t="s">
        <v>5902</v>
      </c>
      <c r="B270" s="14" t="s">
        <v>330</v>
      </c>
      <c r="C270" s="14" t="s">
        <v>344</v>
      </c>
      <c r="D270" s="14" t="s">
        <v>483</v>
      </c>
      <c r="E270" s="15" t="str">
        <f>HYPERLINK("https://stat100.ameba.jp/tnk47/ratio20/illustrations/card/ill_40343_0_heshikirihasebekurodakambe03.jpg?201903-i_prefecture_active_user", "■")</f>
        <v>■</v>
      </c>
      <c r="F270" s="14" t="s">
        <v>484</v>
      </c>
      <c r="G270" s="14">
        <v>128744</v>
      </c>
      <c r="H270" s="14">
        <v>120576</v>
      </c>
      <c r="I270" s="14">
        <v>22</v>
      </c>
      <c r="J270" s="14" t="s">
        <v>414</v>
      </c>
      <c r="K270" s="14" t="s">
        <v>485</v>
      </c>
      <c r="L270" s="14" t="s">
        <v>486</v>
      </c>
      <c r="M270" s="14" t="s">
        <v>9158</v>
      </c>
      <c r="N270" s="14" t="s">
        <v>9158</v>
      </c>
      <c r="O270" s="14" t="s">
        <v>9158</v>
      </c>
      <c r="P270" s="14" t="s">
        <v>9158</v>
      </c>
      <c r="Q270" s="14" t="s">
        <v>9158</v>
      </c>
      <c r="R270" s="14"/>
    </row>
    <row r="271" spans="1:18">
      <c r="A271" s="9" t="s">
        <v>5820</v>
      </c>
      <c r="B271" s="14" t="s">
        <v>330</v>
      </c>
      <c r="C271" s="14" t="s">
        <v>200</v>
      </c>
      <c r="D271" s="14" t="s">
        <v>630</v>
      </c>
      <c r="E271" s="15" t="str">
        <f>HYPERLINK("https://stat100.ameba.jp/tnk47/ratio20/illustrations/card/ill_48283_0_kyuubitamamonomae03.jpg?201903-i_prefecture_active_user", "■")</f>
        <v>■</v>
      </c>
      <c r="F271" s="14" t="s">
        <v>631</v>
      </c>
      <c r="G271" s="14">
        <v>138212</v>
      </c>
      <c r="H271" s="14">
        <v>122776</v>
      </c>
      <c r="I271" s="14">
        <v>22</v>
      </c>
      <c r="J271" s="14" t="s">
        <v>320</v>
      </c>
      <c r="K271" s="14" t="s">
        <v>632</v>
      </c>
      <c r="L271" s="14" t="s">
        <v>633</v>
      </c>
      <c r="M271" s="14" t="s">
        <v>9158</v>
      </c>
      <c r="N271" s="14" t="s">
        <v>9158</v>
      </c>
      <c r="O271" s="14" t="s">
        <v>9158</v>
      </c>
      <c r="P271" s="14" t="s">
        <v>9158</v>
      </c>
      <c r="Q271" s="14" t="s">
        <v>9158</v>
      </c>
      <c r="R271" s="14"/>
    </row>
    <row r="272" spans="1:18">
      <c r="A272" s="9">
        <v>80283</v>
      </c>
      <c r="B272" s="14" t="s">
        <v>334</v>
      </c>
      <c r="C272" s="14" t="s">
        <v>200</v>
      </c>
      <c r="D272" s="14" t="s">
        <v>3971</v>
      </c>
      <c r="E272" s="15" t="str">
        <f>HYPERLINK("https://stat100.ameba.jp/tnk47/ratio20/illustrations/card/ill_80283_howaitodehanakosan03.jpg?201903-i_prefecture_active_user", "■")</f>
        <v>■</v>
      </c>
      <c r="F272" s="14" t="s">
        <v>3972</v>
      </c>
      <c r="G272" s="14">
        <v>87496</v>
      </c>
      <c r="H272" s="14">
        <v>81371</v>
      </c>
      <c r="I272" s="14">
        <v>21</v>
      </c>
      <c r="J272" s="14" t="s">
        <v>320</v>
      </c>
      <c r="K272" s="14" t="s">
        <v>3973</v>
      </c>
      <c r="L272" s="14" t="s">
        <v>2956</v>
      </c>
      <c r="M272" s="14" t="s">
        <v>9158</v>
      </c>
      <c r="N272" s="14" t="s">
        <v>9158</v>
      </c>
      <c r="O272" s="14" t="s">
        <v>9158</v>
      </c>
      <c r="P272" s="14" t="s">
        <v>9158</v>
      </c>
      <c r="Q272" s="14" t="s">
        <v>9158</v>
      </c>
      <c r="R272" s="14"/>
    </row>
    <row r="273" spans="1:18">
      <c r="A273" s="9">
        <v>80293</v>
      </c>
      <c r="B273" s="14" t="s">
        <v>348</v>
      </c>
      <c r="C273" s="14" t="s">
        <v>185</v>
      </c>
      <c r="D273" s="14" t="s">
        <v>3974</v>
      </c>
      <c r="E273" s="15" t="str">
        <f>HYPERLINK("https://stat100.ameba.jp/tnk47/ratio20/illustrations/card/ill_80293_howaitodehowaitochokochan03.jpg?201903-i_prefecture_active_user", "■")</f>
        <v>■</v>
      </c>
      <c r="F273" s="14" t="s">
        <v>3975</v>
      </c>
      <c r="G273" s="14">
        <v>48390</v>
      </c>
      <c r="H273" s="14">
        <v>53352</v>
      </c>
      <c r="I273" s="14">
        <v>18</v>
      </c>
      <c r="J273" s="14" t="s">
        <v>283</v>
      </c>
      <c r="K273" s="14" t="s">
        <v>3976</v>
      </c>
      <c r="L273" s="14" t="s">
        <v>1442</v>
      </c>
      <c r="M273" s="14" t="s">
        <v>9158</v>
      </c>
      <c r="N273" s="14" t="s">
        <v>9158</v>
      </c>
      <c r="O273" s="14" t="s">
        <v>9158</v>
      </c>
      <c r="P273" s="14" t="s">
        <v>9158</v>
      </c>
      <c r="Q273" s="14" t="s">
        <v>9158</v>
      </c>
      <c r="R273" s="14"/>
    </row>
    <row r="274" spans="1:18">
      <c r="A274" s="9">
        <v>80303</v>
      </c>
      <c r="B274" s="14" t="s">
        <v>362</v>
      </c>
      <c r="C274" s="14" t="s">
        <v>206</v>
      </c>
      <c r="D274" s="14" t="s">
        <v>3977</v>
      </c>
      <c r="E274" s="15" t="str">
        <f>HYPERLINK("https://stat100.ameba.jp/tnk47/ratio20/illustrations/card/ill_80303_detokuwahime03.jpg?201903-i_prefecture_active_user", "■")</f>
        <v>■</v>
      </c>
      <c r="F274" s="14" t="s">
        <v>3978</v>
      </c>
      <c r="G274" s="14">
        <v>35346</v>
      </c>
      <c r="H274" s="14">
        <v>29388</v>
      </c>
      <c r="I274" s="14">
        <v>17</v>
      </c>
      <c r="J274" s="14" t="s">
        <v>315</v>
      </c>
      <c r="K274" s="14" t="s">
        <v>3979</v>
      </c>
      <c r="L274" s="14" t="s">
        <v>1672</v>
      </c>
      <c r="M274" s="14" t="s">
        <v>9158</v>
      </c>
      <c r="N274" s="14" t="s">
        <v>9158</v>
      </c>
      <c r="O274" s="14" t="s">
        <v>9158</v>
      </c>
      <c r="P274" s="14" t="s">
        <v>9158</v>
      </c>
      <c r="Q274" s="14" t="s">
        <v>9158</v>
      </c>
      <c r="R274" s="14"/>
    </row>
    <row r="275" spans="1:18">
      <c r="A275" s="9">
        <v>80313</v>
      </c>
      <c r="B275" s="14" t="s">
        <v>372</v>
      </c>
      <c r="C275" s="14" t="s">
        <v>201</v>
      </c>
      <c r="D275" s="14" t="s">
        <v>3980</v>
      </c>
      <c r="E275" s="15" t="str">
        <f>HYPERLINK("https://stat100.ameba.jp/tnk47/ratio20/illustrations/card/ill_80313_howaitoderaburetachan03.jpg?201903-i_prefecture_active_user", "■")</f>
        <v>■</v>
      </c>
      <c r="F275" s="14" t="s">
        <v>3981</v>
      </c>
      <c r="G275" s="14">
        <v>17972</v>
      </c>
      <c r="H275" s="14">
        <v>21398</v>
      </c>
      <c r="I275" s="14">
        <v>17</v>
      </c>
      <c r="J275" s="14" t="s">
        <v>369</v>
      </c>
      <c r="K275" s="14" t="s">
        <v>3982</v>
      </c>
      <c r="L275" s="14" t="s">
        <v>1449</v>
      </c>
      <c r="M275" s="14" t="s">
        <v>9158</v>
      </c>
      <c r="N275" s="14" t="s">
        <v>9158</v>
      </c>
      <c r="O275" s="14" t="s">
        <v>9158</v>
      </c>
      <c r="P275" s="14" t="s">
        <v>9158</v>
      </c>
      <c r="Q275" s="14" t="s">
        <v>9158</v>
      </c>
      <c r="R275" s="14"/>
    </row>
    <row r="276" spans="1:18">
      <c r="B276" s="14"/>
      <c r="C276" s="14"/>
      <c r="D276" s="14"/>
      <c r="F276" s="14"/>
      <c r="G276" s="14"/>
      <c r="H276" s="14"/>
      <c r="I276" s="14"/>
      <c r="J276" s="14"/>
      <c r="K276" s="14"/>
      <c r="L276" s="14"/>
      <c r="M276" s="14"/>
      <c r="N276" s="14"/>
      <c r="P276" s="14"/>
      <c r="Q276" s="14"/>
      <c r="R276" s="14"/>
    </row>
    <row r="277" spans="1:18">
      <c r="A277" s="14" t="s">
        <v>204</v>
      </c>
      <c r="D277" s="14"/>
      <c r="F277" s="14"/>
      <c r="G277" s="14"/>
      <c r="H277" s="14"/>
      <c r="I277" s="14"/>
      <c r="J277" s="14"/>
      <c r="K277" s="14"/>
      <c r="L277" s="14"/>
      <c r="M277" s="14"/>
      <c r="N277" s="14"/>
      <c r="P277" s="14"/>
      <c r="Q277" s="14"/>
      <c r="R277" s="14"/>
    </row>
    <row r="278" spans="1:18">
      <c r="A278" s="14" t="s">
        <v>3988</v>
      </c>
      <c r="C278" s="14"/>
      <c r="D278" s="14"/>
      <c r="F278" s="14"/>
      <c r="G278" s="14"/>
      <c r="H278" s="14"/>
      <c r="I278" s="14"/>
      <c r="J278" s="14"/>
      <c r="K278" s="14"/>
      <c r="L278" s="14"/>
      <c r="M278" s="14"/>
      <c r="N278" s="14"/>
      <c r="P278" s="14"/>
      <c r="Q278" s="14"/>
      <c r="R278" s="14"/>
    </row>
    <row r="279" spans="1:18">
      <c r="A279" s="9" t="s">
        <v>5622</v>
      </c>
      <c r="B279" s="14" t="s">
        <v>52</v>
      </c>
      <c r="C279" s="14" t="s">
        <v>185</v>
      </c>
      <c r="D279" s="14" t="s">
        <v>1043</v>
      </c>
      <c r="E279" s="15" t="str">
        <f>HYPERLINK("https://stat100.ameba.jp/tnk47/ratio20/illustrations/card/ill_49953_0_yushamarihime03.jpg?201903-i_prefecture_active_user", "■")</f>
        <v>■</v>
      </c>
      <c r="F279" s="14" t="s">
        <v>1044</v>
      </c>
      <c r="G279" s="14">
        <v>94236</v>
      </c>
      <c r="H279" s="14">
        <v>83712</v>
      </c>
      <c r="I279" s="14">
        <v>15</v>
      </c>
      <c r="J279" s="14" t="s">
        <v>77</v>
      </c>
      <c r="K279" s="14" t="s">
        <v>1045</v>
      </c>
      <c r="L279" s="14" t="s">
        <v>1046</v>
      </c>
      <c r="M279" s="14" t="s">
        <v>9158</v>
      </c>
      <c r="N279" s="14" t="s">
        <v>9158</v>
      </c>
      <c r="O279" s="14" t="s">
        <v>9158</v>
      </c>
      <c r="P279" s="14" t="s">
        <v>9158</v>
      </c>
      <c r="Q279" s="14" t="s">
        <v>9158</v>
      </c>
      <c r="R279" s="14"/>
    </row>
    <row r="280" spans="1:18">
      <c r="A280" s="9" t="s">
        <v>5787</v>
      </c>
      <c r="B280" s="14" t="s">
        <v>52</v>
      </c>
      <c r="C280" s="14" t="s">
        <v>202</v>
      </c>
      <c r="D280" s="14" t="s">
        <v>1101</v>
      </c>
      <c r="E280" s="15" t="str">
        <f>HYPERLINK("https://stat100.ameba.jp/tnk47/ratio20/illustrations/card/ill_76303_0_haroinkaguya03.jpg?201903-i_prefecture_active_user", "■")</f>
        <v>■</v>
      </c>
      <c r="F280" s="14" t="s">
        <v>1102</v>
      </c>
      <c r="G280" s="14">
        <v>178507</v>
      </c>
      <c r="H280" s="14">
        <v>165953</v>
      </c>
      <c r="I280" s="14">
        <v>15</v>
      </c>
      <c r="J280" s="14" t="s">
        <v>38</v>
      </c>
      <c r="K280" s="14" t="s">
        <v>1103</v>
      </c>
      <c r="L280" s="14" t="s">
        <v>1104</v>
      </c>
      <c r="M280" s="14" t="s">
        <v>9158</v>
      </c>
      <c r="N280" s="14" t="s">
        <v>9158</v>
      </c>
      <c r="O280" s="9" t="s">
        <v>2723</v>
      </c>
      <c r="P280" s="14" t="s">
        <v>2724</v>
      </c>
      <c r="Q280" s="14">
        <v>1</v>
      </c>
      <c r="R280" s="14"/>
    </row>
    <row r="281" spans="1:18">
      <c r="A281" s="9" t="s">
        <v>5820</v>
      </c>
      <c r="B281" s="14" t="s">
        <v>330</v>
      </c>
      <c r="C281" s="14" t="s">
        <v>200</v>
      </c>
      <c r="D281" s="14" t="s">
        <v>2346</v>
      </c>
      <c r="E281" s="15" t="str">
        <f>HYPERLINK("https://stat100.ameba.jp/tnk47/ratio20/illustrations/card/ill_48283_0_kyuubitamamonomae03.jpg?201903-i_prefecture_active_user", "■")</f>
        <v>■</v>
      </c>
      <c r="F281" s="14" t="s">
        <v>2347</v>
      </c>
      <c r="G281" s="14">
        <v>94236</v>
      </c>
      <c r="H281" s="14">
        <v>83712</v>
      </c>
      <c r="I281" s="14">
        <v>15</v>
      </c>
      <c r="J281" s="14" t="s">
        <v>73</v>
      </c>
      <c r="K281" s="14" t="s">
        <v>2348</v>
      </c>
      <c r="L281" s="14" t="s">
        <v>2349</v>
      </c>
      <c r="M281" s="14" t="s">
        <v>9158</v>
      </c>
      <c r="N281" s="14" t="s">
        <v>9158</v>
      </c>
      <c r="O281" s="14" t="s">
        <v>9158</v>
      </c>
      <c r="P281" s="14" t="s">
        <v>9158</v>
      </c>
      <c r="Q281" s="14" t="s">
        <v>9158</v>
      </c>
      <c r="R281" s="14"/>
    </row>
    <row r="282" spans="1:18">
      <c r="A282" s="9">
        <v>74913</v>
      </c>
      <c r="B282" s="14" t="s">
        <v>334</v>
      </c>
      <c r="C282" s="14" t="s">
        <v>191</v>
      </c>
      <c r="D282" s="14" t="s">
        <v>3984</v>
      </c>
      <c r="E282" s="15" t="str">
        <f>HYPERLINK("https://stat100.ameba.jp/tnk47/ratio20/illustrations/card/ill_74913_nekomatainari03.jpg?201903-i_prefecture_active_user", "■")</f>
        <v>■</v>
      </c>
      <c r="F282" s="14" t="s">
        <v>3985</v>
      </c>
      <c r="G282" s="14">
        <v>123870</v>
      </c>
      <c r="H282" s="14">
        <v>69714</v>
      </c>
      <c r="I282" s="14">
        <v>22</v>
      </c>
      <c r="J282" s="14" t="s">
        <v>38</v>
      </c>
      <c r="K282" s="14" t="s">
        <v>3986</v>
      </c>
      <c r="L282" s="14" t="s">
        <v>3987</v>
      </c>
      <c r="M282" s="14" t="s">
        <v>9158</v>
      </c>
      <c r="N282" s="14" t="s">
        <v>9158</v>
      </c>
      <c r="O282" s="14" t="s">
        <v>9158</v>
      </c>
      <c r="P282" s="14" t="s">
        <v>9158</v>
      </c>
      <c r="Q282" s="14" t="s">
        <v>9158</v>
      </c>
      <c r="R282" s="14"/>
    </row>
    <row r="283" spans="1:18">
      <c r="A283" s="9">
        <v>68383</v>
      </c>
      <c r="B283" s="14" t="s">
        <v>334</v>
      </c>
      <c r="C283" s="14" t="s">
        <v>206</v>
      </c>
      <c r="D283" s="14" t="s">
        <v>2223</v>
      </c>
      <c r="E283" s="15" t="str">
        <f>HYPERLINK("https://stat100.ameba.jp/tnk47/ratio20/illustrations/card/ill_68383_amudosukiasu03.jpg?201903-i_prefecture_active_user", "■")</f>
        <v>■</v>
      </c>
      <c r="F283" s="14" t="s">
        <v>2224</v>
      </c>
      <c r="G283" s="14">
        <v>161516</v>
      </c>
      <c r="H283" s="14">
        <v>90870</v>
      </c>
      <c r="I283" s="14">
        <v>22</v>
      </c>
      <c r="J283" s="14" t="s">
        <v>73</v>
      </c>
      <c r="K283" s="14" t="s">
        <v>2225</v>
      </c>
      <c r="L283" s="14" t="s">
        <v>2226</v>
      </c>
      <c r="M283" s="14" t="s">
        <v>9158</v>
      </c>
      <c r="N283" s="14" t="s">
        <v>9158</v>
      </c>
      <c r="O283" s="14" t="s">
        <v>9158</v>
      </c>
      <c r="P283" s="14" t="s">
        <v>9158</v>
      </c>
      <c r="Q283" s="14" t="s">
        <v>9158</v>
      </c>
      <c r="R283" s="14"/>
    </row>
    <row r="284" spans="1:18">
      <c r="A284" s="9">
        <v>67463</v>
      </c>
      <c r="B284" s="14" t="s">
        <v>334</v>
      </c>
      <c r="C284" s="14" t="s">
        <v>205</v>
      </c>
      <c r="D284" s="14" t="s">
        <v>2535</v>
      </c>
      <c r="E284" s="15" t="str">
        <f>HYPERLINK("https://stat100.ameba.jp/tnk47/ratio20/illustrations/card/ill_67463_yoigokochiizumonokuni03.jpg?201903-i_prefecture_active_user", "■")</f>
        <v>■</v>
      </c>
      <c r="F284" s="14" t="s">
        <v>2536</v>
      </c>
      <c r="G284" s="14">
        <v>89208</v>
      </c>
      <c r="H284" s="14">
        <v>82978</v>
      </c>
      <c r="I284" s="14">
        <v>22</v>
      </c>
      <c r="J284" s="14" t="s">
        <v>16</v>
      </c>
      <c r="K284" s="14" t="s">
        <v>2537</v>
      </c>
      <c r="L284" s="14" t="s">
        <v>920</v>
      </c>
      <c r="M284" s="14" t="s">
        <v>9158</v>
      </c>
      <c r="N284" s="14" t="s">
        <v>9158</v>
      </c>
      <c r="O284" s="14" t="s">
        <v>9158</v>
      </c>
      <c r="P284" s="14" t="s">
        <v>9158</v>
      </c>
      <c r="Q284" s="14" t="s">
        <v>9158</v>
      </c>
      <c r="R284" s="14"/>
    </row>
    <row r="285" spans="1:18">
      <c r="B285" s="14"/>
      <c r="C285" s="14"/>
      <c r="D285" s="14"/>
      <c r="F285" s="14"/>
      <c r="G285" s="14"/>
      <c r="H285" s="14"/>
      <c r="I285" s="14"/>
      <c r="J285" s="14"/>
      <c r="K285" s="14"/>
      <c r="L285" s="14"/>
      <c r="M285" s="14"/>
      <c r="N285" s="14"/>
      <c r="P285" s="14"/>
      <c r="Q285" s="14"/>
      <c r="R285" s="14"/>
    </row>
    <row r="286" spans="1:18">
      <c r="A286" s="14" t="s">
        <v>114</v>
      </c>
      <c r="D286" s="14"/>
      <c r="F286" s="14"/>
      <c r="G286" s="14"/>
      <c r="H286" s="14"/>
      <c r="I286" s="14"/>
      <c r="J286" s="14"/>
      <c r="K286" s="14"/>
      <c r="L286" s="14"/>
      <c r="M286" s="14"/>
      <c r="N286" s="14"/>
      <c r="P286" s="14"/>
      <c r="Q286" s="14"/>
      <c r="R286" s="14"/>
    </row>
    <row r="287" spans="1:18">
      <c r="A287" s="14" t="s">
        <v>3989</v>
      </c>
      <c r="B287" s="14"/>
      <c r="C287" s="14"/>
      <c r="D287" s="14"/>
      <c r="F287" s="14"/>
      <c r="G287" s="14"/>
      <c r="H287" s="14"/>
      <c r="I287" s="14"/>
      <c r="J287" s="14"/>
      <c r="K287" s="14"/>
      <c r="L287" s="14"/>
      <c r="M287" s="14"/>
      <c r="N287" s="14"/>
      <c r="P287" s="14"/>
      <c r="Q287" s="14"/>
      <c r="R287" s="14"/>
    </row>
    <row r="288" spans="1:18">
      <c r="A288" s="9" t="s">
        <v>5615</v>
      </c>
      <c r="B288" s="14" t="s">
        <v>330</v>
      </c>
      <c r="C288" s="14" t="s">
        <v>206</v>
      </c>
      <c r="D288" s="14" t="s">
        <v>1015</v>
      </c>
      <c r="E288" s="15" t="str">
        <f>HYPERLINK("https://stat100.ameba.jp/tnk47/ratio20/illustrations/card/ill_57733_0_shogatsunisenjunanaamakusashiro03.jpg?201903-i_prefecture_active_user", "■")</f>
        <v>■</v>
      </c>
      <c r="F288" s="14" t="s">
        <v>2815</v>
      </c>
      <c r="G288" s="14">
        <v>117196</v>
      </c>
      <c r="H288" s="14">
        <v>117196</v>
      </c>
      <c r="I288" s="14">
        <v>21</v>
      </c>
      <c r="J288" s="14" t="s">
        <v>351</v>
      </c>
      <c r="K288" s="14" t="s">
        <v>2816</v>
      </c>
      <c r="L288" s="14" t="s">
        <v>2817</v>
      </c>
      <c r="M288" s="14" t="s">
        <v>9158</v>
      </c>
      <c r="N288" s="14" t="s">
        <v>9158</v>
      </c>
      <c r="O288" s="17" t="s">
        <v>10063</v>
      </c>
      <c r="P288" s="14" t="s">
        <v>3062</v>
      </c>
      <c r="Q288" s="14">
        <v>1</v>
      </c>
      <c r="R288" s="14"/>
    </row>
    <row r="289" spans="1:18">
      <c r="A289" s="9" t="s">
        <v>5618</v>
      </c>
      <c r="B289" s="14" t="s">
        <v>52</v>
      </c>
      <c r="C289" s="14" t="s">
        <v>200</v>
      </c>
      <c r="D289" s="14" t="s">
        <v>83</v>
      </c>
      <c r="E289" s="15" t="str">
        <f>HYPERLINK("https://stat100.ameba.jp/tnk47/ratio20/illustrations/card/ill_63173_0_minazukikonakaiteruko03.jpg?201903-i_prefecture_active_user", "■")</f>
        <v>■</v>
      </c>
      <c r="F289" s="14" t="s">
        <v>1188</v>
      </c>
      <c r="G289" s="14">
        <v>182272</v>
      </c>
      <c r="H289" s="14">
        <v>196022</v>
      </c>
      <c r="I289" s="14">
        <v>21</v>
      </c>
      <c r="J289" s="14" t="s">
        <v>143</v>
      </c>
      <c r="K289" s="14" t="s">
        <v>1189</v>
      </c>
      <c r="L289" s="14" t="s">
        <v>1190</v>
      </c>
      <c r="M289" s="14" t="s">
        <v>9158</v>
      </c>
      <c r="N289" s="14" t="s">
        <v>9158</v>
      </c>
      <c r="O289" s="9" t="s">
        <v>3328</v>
      </c>
      <c r="P289" s="14" t="s">
        <v>3329</v>
      </c>
      <c r="Q289" s="14">
        <v>1</v>
      </c>
      <c r="R289" s="14"/>
    </row>
    <row r="290" spans="1:18">
      <c r="A290" s="9">
        <v>78143</v>
      </c>
      <c r="B290" s="14" t="s">
        <v>334</v>
      </c>
      <c r="C290" s="14" t="s">
        <v>203</v>
      </c>
      <c r="D290" s="14" t="s">
        <v>2686</v>
      </c>
      <c r="E290" s="15" t="str">
        <f>HYPERLINK("https://stat100.ameba.jp/tnk47/ratio20/illustrations/card/ill_78143_kanibarukuin03.jpg?201903-i_prefecture_active_user", "■")</f>
        <v>■</v>
      </c>
      <c r="F290" s="14" t="s">
        <v>2687</v>
      </c>
      <c r="G290" s="14">
        <v>88624</v>
      </c>
      <c r="H290" s="14">
        <v>122366</v>
      </c>
      <c r="I290" s="14">
        <v>24</v>
      </c>
      <c r="J290" s="14" t="s">
        <v>26</v>
      </c>
      <c r="K290" s="14" t="s">
        <v>2688</v>
      </c>
      <c r="L290" s="14" t="s">
        <v>2137</v>
      </c>
      <c r="M290" s="14" t="s">
        <v>9158</v>
      </c>
      <c r="N290" s="14" t="s">
        <v>9158</v>
      </c>
      <c r="O290" s="9" t="s">
        <v>3896</v>
      </c>
      <c r="P290" s="14" t="s">
        <v>3897</v>
      </c>
      <c r="Q290" s="14">
        <v>1</v>
      </c>
      <c r="R290" s="14"/>
    </row>
    <row r="291" spans="1:18">
      <c r="A291" s="9">
        <v>65623</v>
      </c>
      <c r="B291" s="14" t="s">
        <v>334</v>
      </c>
      <c r="C291" s="14" t="s">
        <v>209</v>
      </c>
      <c r="D291" s="14" t="s">
        <v>2490</v>
      </c>
      <c r="E291" s="15" t="str">
        <f>HYPERLINK("https://stat100.ameba.jp/tnk47/ratio20/illustrations/card/ill_65623_hosoyajudayu03.jpg?201903-i_prefecture_active_user", "■")</f>
        <v>■</v>
      </c>
      <c r="F291" s="14" t="s">
        <v>2491</v>
      </c>
      <c r="G291" s="14">
        <v>139716</v>
      </c>
      <c r="H291" s="14">
        <v>101199</v>
      </c>
      <c r="I291" s="14">
        <v>21</v>
      </c>
      <c r="J291" s="14" t="s">
        <v>143</v>
      </c>
      <c r="K291" s="14" t="s">
        <v>2492</v>
      </c>
      <c r="L291" s="14" t="s">
        <v>145</v>
      </c>
      <c r="M291" s="14" t="s">
        <v>9158</v>
      </c>
      <c r="N291" s="14" t="s">
        <v>9158</v>
      </c>
      <c r="O291" s="14" t="s">
        <v>9158</v>
      </c>
      <c r="P291" s="14" t="s">
        <v>9158</v>
      </c>
      <c r="Q291" s="14" t="s">
        <v>9158</v>
      </c>
      <c r="R291" s="14"/>
    </row>
    <row r="292" spans="1:18">
      <c r="A292" s="9">
        <v>61343</v>
      </c>
      <c r="B292" s="14" t="s">
        <v>334</v>
      </c>
      <c r="C292" s="14" t="s">
        <v>154</v>
      </c>
      <c r="D292" s="14" t="s">
        <v>2058</v>
      </c>
      <c r="E292" s="15" t="str">
        <f>HYPERLINK("https://stat100.ameba.jp/tnk47/ratio20/illustrations/card/ill_61343_amaiyumechacha03.jpg?201903-i_prefecture_active_user", "■")</f>
        <v>■</v>
      </c>
      <c r="F292" s="14" t="s">
        <v>683</v>
      </c>
      <c r="G292" s="14">
        <v>66487</v>
      </c>
      <c r="H292" s="14">
        <v>91779</v>
      </c>
      <c r="I292" s="14">
        <v>21</v>
      </c>
      <c r="J292" s="14" t="s">
        <v>315</v>
      </c>
      <c r="K292" s="14" t="s">
        <v>684</v>
      </c>
      <c r="L292" s="14" t="s">
        <v>608</v>
      </c>
      <c r="M292" s="14" t="s">
        <v>9158</v>
      </c>
      <c r="N292" s="14" t="s">
        <v>9158</v>
      </c>
      <c r="O292" s="14" t="s">
        <v>9158</v>
      </c>
      <c r="P292" s="14" t="s">
        <v>9158</v>
      </c>
      <c r="Q292" s="14" t="s">
        <v>9158</v>
      </c>
      <c r="R292" s="14"/>
    </row>
    <row r="293" spans="1:18">
      <c r="A293" s="9">
        <v>68693</v>
      </c>
      <c r="B293" s="14" t="s">
        <v>334</v>
      </c>
      <c r="C293" s="14" t="s">
        <v>154</v>
      </c>
      <c r="D293" s="14" t="s">
        <v>3465</v>
      </c>
      <c r="E293" s="15" t="str">
        <f>HYPERLINK("https://stat100.ameba.jp/tnk47/ratio20/illustrations/card/ill_68693_mayoiga03.jpg?201903-i_prefecture_active_user", "■")</f>
        <v>■</v>
      </c>
      <c r="F293" s="14" t="s">
        <v>3466</v>
      </c>
      <c r="G293" s="14">
        <v>111000</v>
      </c>
      <c r="H293" s="14">
        <v>80391</v>
      </c>
      <c r="I293" s="14">
        <v>21</v>
      </c>
      <c r="J293" s="14" t="s">
        <v>73</v>
      </c>
      <c r="K293" s="14" t="s">
        <v>3467</v>
      </c>
      <c r="L293" s="14" t="s">
        <v>3468</v>
      </c>
      <c r="M293" s="14" t="s">
        <v>9158</v>
      </c>
      <c r="N293" s="14" t="s">
        <v>9158</v>
      </c>
      <c r="O293" s="9" t="s">
        <v>3469</v>
      </c>
      <c r="P293" s="14" t="s">
        <v>13128</v>
      </c>
      <c r="Q293" s="14">
        <v>1</v>
      </c>
      <c r="R293" s="14"/>
    </row>
    <row r="294" spans="1:18">
      <c r="A294" s="9">
        <v>62043</v>
      </c>
      <c r="B294" s="14" t="s">
        <v>334</v>
      </c>
      <c r="C294" s="14" t="s">
        <v>203</v>
      </c>
      <c r="D294" s="14" t="s">
        <v>2493</v>
      </c>
      <c r="E294" s="15" t="str">
        <f>HYPERLINK("https://stat100.ameba.jp/tnk47/ratio20/illustrations/card/ill_62043_niutsuhimenookami03.jpg?201903-i_prefecture_active_user", "■")</f>
        <v>■</v>
      </c>
      <c r="F294" s="14" t="s">
        <v>2022</v>
      </c>
      <c r="G294" s="14">
        <v>69430</v>
      </c>
      <c r="H294" s="14">
        <v>95859</v>
      </c>
      <c r="I294" s="14">
        <v>21</v>
      </c>
      <c r="J294" s="14" t="s">
        <v>44</v>
      </c>
      <c r="K294" s="14" t="s">
        <v>2494</v>
      </c>
      <c r="L294" s="14" t="s">
        <v>2086</v>
      </c>
      <c r="M294" s="14" t="s">
        <v>9158</v>
      </c>
      <c r="N294" s="14" t="s">
        <v>9158</v>
      </c>
      <c r="O294" s="9" t="s">
        <v>3452</v>
      </c>
      <c r="P294" s="14" t="s">
        <v>13145</v>
      </c>
      <c r="Q294" s="14">
        <v>1</v>
      </c>
      <c r="R294" s="14"/>
    </row>
    <row r="295" spans="1:18">
      <c r="A295" s="9">
        <v>71333</v>
      </c>
      <c r="B295" s="14" t="s">
        <v>334</v>
      </c>
      <c r="C295" s="14" t="s">
        <v>203</v>
      </c>
      <c r="D295" s="14" t="s">
        <v>57</v>
      </c>
      <c r="E295" s="15" t="str">
        <f>HYPERLINK("https://stat100.ameba.jp/tnk47/ratio20/illustrations/card/ill_71333_fujiwaranokamatari03.jpg?201903-i_prefecture_active_user", "■")</f>
        <v>■</v>
      </c>
      <c r="F295" s="14" t="s">
        <v>58</v>
      </c>
      <c r="G295" s="14">
        <v>91779</v>
      </c>
      <c r="H295" s="14">
        <v>66487</v>
      </c>
      <c r="I295" s="14">
        <v>21</v>
      </c>
      <c r="J295" s="14" t="s">
        <v>10</v>
      </c>
      <c r="K295" s="14" t="s">
        <v>59</v>
      </c>
      <c r="L295" s="14" t="s">
        <v>60</v>
      </c>
      <c r="M295" s="14" t="s">
        <v>9158</v>
      </c>
      <c r="N295" s="14" t="s">
        <v>9158</v>
      </c>
      <c r="O295" s="9" t="s">
        <v>3490</v>
      </c>
      <c r="P295" s="14" t="s">
        <v>3491</v>
      </c>
      <c r="Q295" s="14">
        <v>1</v>
      </c>
      <c r="R295" s="14"/>
    </row>
    <row r="296" spans="1:18">
      <c r="B296" s="14"/>
      <c r="C296" s="14"/>
      <c r="D296" s="14"/>
      <c r="F296" s="14"/>
      <c r="G296" s="14"/>
      <c r="H296" s="14"/>
      <c r="I296" s="14"/>
      <c r="J296" s="14"/>
      <c r="K296" s="14"/>
      <c r="L296" s="14"/>
      <c r="M296" s="14"/>
      <c r="N296" s="14"/>
      <c r="P296" s="14"/>
      <c r="Q296" s="14"/>
      <c r="R296" s="14"/>
    </row>
    <row r="297" spans="1:18">
      <c r="A297" s="14" t="s">
        <v>135</v>
      </c>
      <c r="D297" s="14"/>
      <c r="F297" s="14"/>
      <c r="G297" s="14"/>
      <c r="H297" s="14"/>
      <c r="I297" s="14"/>
      <c r="J297" s="14"/>
      <c r="K297" s="14"/>
      <c r="L297" s="14"/>
      <c r="M297" s="14"/>
      <c r="N297" s="14"/>
      <c r="P297" s="14"/>
      <c r="Q297" s="14"/>
      <c r="R297" s="14"/>
    </row>
    <row r="298" spans="1:18">
      <c r="A298" s="14" t="s">
        <v>3990</v>
      </c>
      <c r="B298" s="14"/>
      <c r="C298" s="14"/>
      <c r="D298" s="14"/>
      <c r="F298" s="14"/>
      <c r="G298" s="14"/>
      <c r="H298" s="14"/>
      <c r="I298" s="14"/>
      <c r="J298" s="14"/>
      <c r="K298" s="14"/>
      <c r="L298" s="14"/>
      <c r="M298" s="14"/>
      <c r="N298" s="14"/>
      <c r="P298" s="14"/>
      <c r="Q298" s="14"/>
      <c r="R298" s="14"/>
    </row>
    <row r="299" spans="1:18">
      <c r="A299" s="9" t="s">
        <v>5734</v>
      </c>
      <c r="B299" s="14" t="s">
        <v>330</v>
      </c>
      <c r="C299" s="14" t="s">
        <v>202</v>
      </c>
      <c r="D299" s="14" t="s">
        <v>1497</v>
      </c>
      <c r="E299" s="15" t="str">
        <f>HYPERLINK("https://stat100.ameba.jp/tnk47/ratio20/illustrations/card/ill_74593_0_natsuyuenchikoshihikari03.jpg?201903-i_prefecture_active_user", "■")</f>
        <v>■</v>
      </c>
      <c r="F299" s="14" t="s">
        <v>1498</v>
      </c>
      <c r="G299" s="14">
        <v>249162</v>
      </c>
      <c r="H299" s="14">
        <v>231637</v>
      </c>
      <c r="I299" s="14">
        <v>23</v>
      </c>
      <c r="J299" s="14" t="s">
        <v>283</v>
      </c>
      <c r="K299" s="14" t="s">
        <v>1499</v>
      </c>
      <c r="L299" s="14" t="s">
        <v>1500</v>
      </c>
      <c r="M299" s="14" t="s">
        <v>9158</v>
      </c>
      <c r="N299" s="14" t="s">
        <v>9158</v>
      </c>
      <c r="O299" s="9" t="s">
        <v>2731</v>
      </c>
      <c r="P299" s="14" t="s">
        <v>2732</v>
      </c>
      <c r="Q299" s="14">
        <v>1</v>
      </c>
      <c r="R299" s="14"/>
    </row>
    <row r="300" spans="1:18">
      <c r="A300" s="9">
        <v>66363</v>
      </c>
      <c r="B300" s="14" t="s">
        <v>334</v>
      </c>
      <c r="C300" s="14" t="s">
        <v>158</v>
      </c>
      <c r="D300" s="14" t="s">
        <v>2910</v>
      </c>
      <c r="E300" s="15" t="str">
        <f>HYPERLINK("https://stat100.ameba.jp/tnk47/ratio20/illustrations/card/ill_66363_iharasaikaku03.jpg?201903-i_prefecture_active_user", "■")</f>
        <v>■</v>
      </c>
      <c r="F300" s="14" t="s">
        <v>537</v>
      </c>
      <c r="G300" s="14">
        <v>72340</v>
      </c>
      <c r="H300" s="14">
        <v>99846</v>
      </c>
      <c r="I300" s="14">
        <v>22</v>
      </c>
      <c r="J300" s="14" t="s">
        <v>414</v>
      </c>
      <c r="K300" s="14" t="s">
        <v>2911</v>
      </c>
      <c r="L300" s="14" t="s">
        <v>1575</v>
      </c>
      <c r="M300" s="14" t="s">
        <v>9158</v>
      </c>
      <c r="N300" s="14" t="s">
        <v>9158</v>
      </c>
      <c r="O300" s="17" t="s">
        <v>10053</v>
      </c>
      <c r="P300" s="14" t="s">
        <v>2822</v>
      </c>
      <c r="Q300" s="14">
        <v>1</v>
      </c>
      <c r="R300" s="14"/>
    </row>
    <row r="301" spans="1:18">
      <c r="A301" s="9">
        <v>58343</v>
      </c>
      <c r="B301" s="14" t="s">
        <v>334</v>
      </c>
      <c r="C301" s="14" t="s">
        <v>154</v>
      </c>
      <c r="D301" s="14" t="s">
        <v>585</v>
      </c>
      <c r="E301" s="15" t="str">
        <f>HYPERLINK("https://stat100.ameba.jp/tnk47/ratio20/illustrations/card/ill_58343_agemakidayu03.jpg?201903-i_prefecture_active_user", "■")</f>
        <v>■</v>
      </c>
      <c r="F301" s="14" t="s">
        <v>586</v>
      </c>
      <c r="G301" s="14">
        <v>90796</v>
      </c>
      <c r="H301" s="14">
        <v>66574</v>
      </c>
      <c r="I301" s="14">
        <v>22</v>
      </c>
      <c r="J301" s="14" t="s">
        <v>274</v>
      </c>
      <c r="K301" s="14" t="s">
        <v>587</v>
      </c>
      <c r="L301" s="14" t="s">
        <v>588</v>
      </c>
      <c r="M301" s="14" t="s">
        <v>9158</v>
      </c>
      <c r="N301" s="14" t="s">
        <v>9158</v>
      </c>
      <c r="O301" s="9" t="s">
        <v>2912</v>
      </c>
      <c r="P301" s="14" t="s">
        <v>13122</v>
      </c>
      <c r="Q301" s="14">
        <v>1</v>
      </c>
      <c r="R301" s="14"/>
    </row>
    <row r="302" spans="1:18">
      <c r="A302" s="9">
        <v>52083</v>
      </c>
      <c r="B302" s="14" t="s">
        <v>334</v>
      </c>
      <c r="C302" s="14" t="s">
        <v>158</v>
      </c>
      <c r="D302" s="14" t="s">
        <v>2913</v>
      </c>
      <c r="E302" s="15" t="str">
        <f>HYPERLINK("https://stat100.ameba.jp/tnk47/ratio20/illustrations/card/ill_52083_berubetto03.jpg?201903-i_prefecture_active_user", "■")</f>
        <v>■</v>
      </c>
      <c r="F302" s="14" t="s">
        <v>2914</v>
      </c>
      <c r="G302" s="14">
        <v>75802</v>
      </c>
      <c r="H302" s="14">
        <v>104646</v>
      </c>
      <c r="I302" s="14">
        <v>22</v>
      </c>
      <c r="J302" s="14" t="s">
        <v>369</v>
      </c>
      <c r="K302" s="14" t="s">
        <v>2915</v>
      </c>
      <c r="L302" s="14" t="s">
        <v>2916</v>
      </c>
      <c r="M302" s="14" t="s">
        <v>9158</v>
      </c>
      <c r="N302" s="14" t="s">
        <v>9158</v>
      </c>
      <c r="O302" s="9" t="s">
        <v>2917</v>
      </c>
      <c r="P302" s="14" t="s">
        <v>2918</v>
      </c>
      <c r="Q302" s="14">
        <v>1</v>
      </c>
      <c r="R302" s="14"/>
    </row>
    <row r="303" spans="1:18">
      <c r="B303" s="14"/>
      <c r="C303" s="14"/>
      <c r="D303" s="14"/>
      <c r="F303" s="14"/>
      <c r="G303" s="14"/>
      <c r="H303" s="14"/>
      <c r="I303" s="14"/>
      <c r="J303" s="14"/>
      <c r="K303" s="14"/>
      <c r="L303" s="14"/>
      <c r="M303" s="14"/>
      <c r="N303" s="14"/>
      <c r="P303" s="14"/>
      <c r="Q303" s="14"/>
      <c r="R303" s="14"/>
    </row>
    <row r="304" spans="1:18">
      <c r="A304" s="14" t="s">
        <v>3844</v>
      </c>
      <c r="D304" s="14"/>
      <c r="F304" s="14"/>
      <c r="G304" s="14"/>
      <c r="H304" s="14"/>
      <c r="I304" s="14"/>
      <c r="J304" s="14"/>
      <c r="K304" s="14"/>
      <c r="L304" s="14"/>
      <c r="M304" s="14"/>
      <c r="N304" s="14"/>
      <c r="P304" s="14"/>
      <c r="Q304" s="14"/>
      <c r="R304" s="14"/>
    </row>
    <row r="305" spans="1:18">
      <c r="A305" s="14" t="s">
        <v>3991</v>
      </c>
      <c r="B305" s="14"/>
      <c r="C305" s="14"/>
      <c r="D305" s="14"/>
      <c r="F305" s="14"/>
      <c r="G305" s="14"/>
      <c r="H305" s="14"/>
      <c r="I305" s="14"/>
      <c r="J305" s="14"/>
      <c r="K305" s="14"/>
      <c r="L305" s="14"/>
      <c r="M305" s="14"/>
      <c r="N305" s="14"/>
      <c r="P305" s="14"/>
      <c r="Q305" s="14"/>
      <c r="R305" s="14"/>
    </row>
    <row r="306" spans="1:18">
      <c r="A306" s="9" t="s">
        <v>5642</v>
      </c>
      <c r="B306" s="14" t="s">
        <v>52</v>
      </c>
      <c r="C306" s="14" t="s">
        <v>185</v>
      </c>
      <c r="D306" s="14" t="s">
        <v>2430</v>
      </c>
      <c r="E306" s="15" t="str">
        <f>HYPERLINK("https://stat100.ameba.jp/tnk47/ratio20/illustrations/card/ill_69593_0_setsubunyukionna03.jpg?201903-i_prefecture_active_user", "■")</f>
        <v>■</v>
      </c>
      <c r="F306" s="14" t="s">
        <v>2431</v>
      </c>
      <c r="G306" s="14">
        <v>135720</v>
      </c>
      <c r="H306" s="14">
        <v>145983</v>
      </c>
      <c r="I306" s="14">
        <v>19</v>
      </c>
      <c r="J306" s="14" t="s">
        <v>73</v>
      </c>
      <c r="K306" s="14" t="s">
        <v>2432</v>
      </c>
      <c r="L306" s="14" t="s">
        <v>2433</v>
      </c>
      <c r="M306" s="14" t="s">
        <v>9158</v>
      </c>
      <c r="N306" s="14" t="s">
        <v>9158</v>
      </c>
      <c r="O306" s="9" t="s">
        <v>3599</v>
      </c>
      <c r="P306" s="14" t="s">
        <v>3600</v>
      </c>
      <c r="Q306" s="14">
        <v>2</v>
      </c>
      <c r="R306" s="14"/>
    </row>
    <row r="307" spans="1:18">
      <c r="A307" s="9">
        <v>71343</v>
      </c>
      <c r="B307" s="14" t="s">
        <v>334</v>
      </c>
      <c r="C307" s="14" t="s">
        <v>185</v>
      </c>
      <c r="D307" s="14" t="s">
        <v>2505</v>
      </c>
      <c r="E307" s="15" t="str">
        <f>HYPERLINK("https://stat100.ameba.jp/tnk47/ratio20/illustrations/card/ill_71343_ohanamimatehime03.jpg?201903-i_prefecture_active_user", "■")</f>
        <v>■</v>
      </c>
      <c r="F307" s="14" t="s">
        <v>2506</v>
      </c>
      <c r="G307" s="14">
        <v>76237</v>
      </c>
      <c r="H307" s="14">
        <v>82027</v>
      </c>
      <c r="I307" s="14">
        <v>21</v>
      </c>
      <c r="J307" s="14" t="s">
        <v>77</v>
      </c>
      <c r="K307" s="14" t="s">
        <v>2507</v>
      </c>
      <c r="L307" s="14" t="s">
        <v>2508</v>
      </c>
      <c r="M307" s="14" t="s">
        <v>9158</v>
      </c>
      <c r="N307" s="14" t="s">
        <v>9158</v>
      </c>
      <c r="O307" s="9" t="s">
        <v>2717</v>
      </c>
      <c r="P307" s="14" t="s">
        <v>13123</v>
      </c>
      <c r="Q307" s="14">
        <v>1</v>
      </c>
      <c r="R307" s="14"/>
    </row>
    <row r="308" spans="1:18">
      <c r="A308" s="9">
        <v>75893</v>
      </c>
      <c r="B308" s="14" t="s">
        <v>0</v>
      </c>
      <c r="C308" s="14" t="s">
        <v>158</v>
      </c>
      <c r="D308" s="14" t="s">
        <v>3593</v>
      </c>
      <c r="E308" s="15" t="str">
        <f>HYPERLINK("https://stat100.ameba.jp/tnk47/ratio20/illustrations/card/ill_75893_hamamatsutakuni03.jpg?201903-i_prefecture_active_user", "■")</f>
        <v>■</v>
      </c>
      <c r="F308" s="14" t="s">
        <v>3594</v>
      </c>
      <c r="G308" s="14">
        <v>95307</v>
      </c>
      <c r="H308" s="14">
        <v>69051</v>
      </c>
      <c r="I308" s="14">
        <v>21</v>
      </c>
      <c r="J308" s="14" t="s">
        <v>16</v>
      </c>
      <c r="K308" s="14" t="s">
        <v>3595</v>
      </c>
      <c r="L308" s="14" t="s">
        <v>920</v>
      </c>
      <c r="M308" s="14" t="s">
        <v>9158</v>
      </c>
      <c r="N308" s="14" t="s">
        <v>9158</v>
      </c>
      <c r="O308" s="9" t="s">
        <v>3469</v>
      </c>
      <c r="P308" s="14" t="s">
        <v>13128</v>
      </c>
      <c r="Q308" s="14">
        <v>1</v>
      </c>
      <c r="R308" s="14"/>
    </row>
    <row r="309" spans="1:18">
      <c r="A309" s="9">
        <v>75083</v>
      </c>
      <c r="B309" s="14" t="s">
        <v>334</v>
      </c>
      <c r="C309" s="14" t="s">
        <v>209</v>
      </c>
      <c r="D309" s="14" t="s">
        <v>1019</v>
      </c>
      <c r="E309" s="15" t="str">
        <f>HYPERLINK("https://stat100.ameba.jp/tnk47/ratio20/illustrations/card/ill_75083_sukumizuhanakosan03.jpg?201903-i_prefecture_active_user", "■")</f>
        <v>■</v>
      </c>
      <c r="F309" s="14" t="s">
        <v>1020</v>
      </c>
      <c r="G309" s="14">
        <v>97925</v>
      </c>
      <c r="H309" s="14">
        <v>70942</v>
      </c>
      <c r="I309" s="14">
        <v>21</v>
      </c>
      <c r="J309" s="14" t="s">
        <v>73</v>
      </c>
      <c r="K309" s="14" t="s">
        <v>1021</v>
      </c>
      <c r="L309" s="14" t="s">
        <v>1022</v>
      </c>
      <c r="M309" s="14" t="s">
        <v>9158</v>
      </c>
      <c r="N309" s="14" t="s">
        <v>9158</v>
      </c>
      <c r="O309" s="9" t="s">
        <v>3415</v>
      </c>
      <c r="P309" s="14" t="s">
        <v>3416</v>
      </c>
      <c r="Q309" s="14">
        <v>1</v>
      </c>
      <c r="R309" s="14"/>
    </row>
    <row r="310" spans="1:18">
      <c r="B310" s="14"/>
      <c r="C310" s="14"/>
      <c r="D310" s="14"/>
      <c r="F310" s="14"/>
      <c r="G310" s="14"/>
      <c r="H310" s="14"/>
      <c r="I310" s="14"/>
      <c r="J310" s="14"/>
      <c r="K310" s="14"/>
      <c r="L310" s="14"/>
      <c r="M310" s="14"/>
      <c r="N310" s="14"/>
      <c r="P310" s="14"/>
      <c r="Q310" s="14"/>
      <c r="R310" s="14"/>
    </row>
    <row r="311" spans="1:18">
      <c r="A311" s="14" t="s">
        <v>13327</v>
      </c>
      <c r="D311" s="14"/>
      <c r="F311" s="14"/>
      <c r="G311" s="14"/>
      <c r="H311" s="14"/>
      <c r="I311" s="14"/>
      <c r="J311" s="14"/>
      <c r="K311" s="14"/>
      <c r="L311" s="14"/>
      <c r="M311" s="14"/>
      <c r="N311" s="14"/>
      <c r="P311" s="14"/>
      <c r="Q311" s="14"/>
      <c r="R311" s="14"/>
    </row>
    <row r="312" spans="1:18">
      <c r="A312" s="14" t="s">
        <v>3992</v>
      </c>
      <c r="B312" s="14"/>
      <c r="C312" s="14"/>
      <c r="D312" s="14"/>
      <c r="F312" s="14"/>
      <c r="G312" s="14"/>
      <c r="H312" s="14"/>
      <c r="I312" s="14"/>
      <c r="J312" s="14"/>
      <c r="K312" s="14"/>
      <c r="L312" s="14"/>
      <c r="M312" s="14"/>
      <c r="N312" s="14"/>
      <c r="P312" s="14"/>
      <c r="Q312" s="14"/>
      <c r="R312" s="14"/>
    </row>
    <row r="313" spans="1:18">
      <c r="A313" s="9">
        <v>75113</v>
      </c>
      <c r="B313" s="14" t="s">
        <v>334</v>
      </c>
      <c r="C313" s="14" t="s">
        <v>335</v>
      </c>
      <c r="D313" s="14" t="s">
        <v>448</v>
      </c>
      <c r="E313" s="15" t="str">
        <f>HYPERLINK("https://stat100.ameba.jp/tnk47/ratio20/illustrations/card/ill_75113_hatahata03.jpg?201903-i_prefecture_active_user", "■")</f>
        <v>■</v>
      </c>
      <c r="F313" s="14" t="s">
        <v>449</v>
      </c>
      <c r="G313" s="14">
        <v>113230</v>
      </c>
      <c r="H313" s="14">
        <v>105275</v>
      </c>
      <c r="I313" s="14">
        <v>23</v>
      </c>
      <c r="J313" s="14" t="s">
        <v>283</v>
      </c>
      <c r="K313" s="14" t="s">
        <v>450</v>
      </c>
      <c r="L313" s="14" t="s">
        <v>13129</v>
      </c>
      <c r="M313" s="14" t="s">
        <v>13130</v>
      </c>
      <c r="N313" s="14" t="s">
        <v>343</v>
      </c>
      <c r="O313" s="14" t="s">
        <v>9158</v>
      </c>
      <c r="P313" s="14" t="s">
        <v>9158</v>
      </c>
      <c r="Q313" s="14" t="s">
        <v>9158</v>
      </c>
      <c r="R313" s="14" t="s">
        <v>14748</v>
      </c>
    </row>
    <row r="314" spans="1:18">
      <c r="A314" s="9">
        <v>75112</v>
      </c>
      <c r="B314" s="14" t="s">
        <v>334</v>
      </c>
      <c r="C314" s="14" t="s">
        <v>335</v>
      </c>
      <c r="D314" s="14" t="s">
        <v>448</v>
      </c>
      <c r="E314" s="15" t="str">
        <f>HYPERLINK("https://stat100.ameba.jp/tnk47/ratio20/illustrations/card/ill_75112_hatahata02.jpg?201903-i_prefecture_active_user", "■")</f>
        <v>■</v>
      </c>
      <c r="F314" s="14" t="s">
        <v>449</v>
      </c>
      <c r="G314" s="14">
        <v>94653</v>
      </c>
      <c r="H314" s="14">
        <v>87192</v>
      </c>
      <c r="I314" s="14">
        <v>23</v>
      </c>
      <c r="J314" s="14" t="s">
        <v>283</v>
      </c>
      <c r="K314" s="14" t="s">
        <v>450</v>
      </c>
      <c r="L314" s="14" t="s">
        <v>13129</v>
      </c>
      <c r="M314" s="14" t="s">
        <v>13131</v>
      </c>
      <c r="N314" s="14" t="s">
        <v>251</v>
      </c>
      <c r="O314" s="14" t="s">
        <v>9158</v>
      </c>
      <c r="P314" s="14" t="s">
        <v>9158</v>
      </c>
      <c r="Q314" s="14" t="s">
        <v>9158</v>
      </c>
      <c r="R314" s="14" t="s">
        <v>14748</v>
      </c>
    </row>
    <row r="315" spans="1:18">
      <c r="A315" s="9">
        <v>75111</v>
      </c>
      <c r="B315" s="14" t="s">
        <v>334</v>
      </c>
      <c r="C315" s="14" t="s">
        <v>335</v>
      </c>
      <c r="D315" s="14" t="s">
        <v>448</v>
      </c>
      <c r="E315" s="15" t="str">
        <f>HYPERLINK("https://stat100.ameba.jp/tnk47/ratio20/illustrations/card/ill_75111_hatahata01.jpg?201903-i_prefecture_active_user", "■")</f>
        <v>■</v>
      </c>
      <c r="F315" s="14" t="s">
        <v>449</v>
      </c>
      <c r="G315" s="14">
        <v>72266</v>
      </c>
      <c r="H315" s="14">
        <v>67275</v>
      </c>
      <c r="I315" s="14">
        <v>23</v>
      </c>
      <c r="J315" s="14" t="s">
        <v>283</v>
      </c>
      <c r="K315" s="14" t="s">
        <v>450</v>
      </c>
      <c r="L315" s="14" t="s">
        <v>13129</v>
      </c>
      <c r="M315" s="14" t="s">
        <v>13131</v>
      </c>
      <c r="N315" s="14" t="s">
        <v>251</v>
      </c>
      <c r="O315" s="14" t="s">
        <v>9158</v>
      </c>
      <c r="P315" s="14" t="s">
        <v>9158</v>
      </c>
      <c r="Q315" s="14" t="s">
        <v>9158</v>
      </c>
      <c r="R315" s="14" t="s">
        <v>14748</v>
      </c>
    </row>
    <row r="316" spans="1:18">
      <c r="A316" s="9">
        <v>75123</v>
      </c>
      <c r="B316" s="14" t="s">
        <v>334</v>
      </c>
      <c r="C316" s="14" t="s">
        <v>307</v>
      </c>
      <c r="D316" s="14" t="s">
        <v>451</v>
      </c>
      <c r="E316" s="15" t="str">
        <f>HYPERLINK("https://stat100.ameba.jp/tnk47/ratio20/illustrations/card/ill_75123_nankintamasudare03.jpg?201903-i_prefecture_active_user", "■")</f>
        <v>■</v>
      </c>
      <c r="F316" s="14" t="s">
        <v>452</v>
      </c>
      <c r="G316" s="14">
        <v>105275</v>
      </c>
      <c r="H316" s="14">
        <v>113230</v>
      </c>
      <c r="I316" s="14">
        <v>23</v>
      </c>
      <c r="J316" s="14" t="s">
        <v>274</v>
      </c>
      <c r="K316" s="14" t="s">
        <v>453</v>
      </c>
      <c r="L316" s="14" t="s">
        <v>6711</v>
      </c>
      <c r="M316" s="14" t="s">
        <v>13130</v>
      </c>
      <c r="N316" s="14" t="s">
        <v>343</v>
      </c>
      <c r="O316" s="14" t="s">
        <v>9158</v>
      </c>
      <c r="P316" s="14" t="s">
        <v>9158</v>
      </c>
      <c r="Q316" s="14" t="s">
        <v>9158</v>
      </c>
      <c r="R316" s="14" t="s">
        <v>14748</v>
      </c>
    </row>
    <row r="317" spans="1:18">
      <c r="A317" s="9">
        <v>76013</v>
      </c>
      <c r="B317" s="14" t="s">
        <v>334</v>
      </c>
      <c r="C317" s="14" t="s">
        <v>344</v>
      </c>
      <c r="D317" s="14" t="s">
        <v>454</v>
      </c>
      <c r="E317" s="15" t="str">
        <f>HYPERLINK("https://stat100.ameba.jp/tnk47/ratio20/illustrations/card/ill_76013_miyakojima03.jpg?201903-i_prefecture_active_user", "■")</f>
        <v>■</v>
      </c>
      <c r="F317" s="14" t="s">
        <v>455</v>
      </c>
      <c r="G317" s="14">
        <v>113230</v>
      </c>
      <c r="H317" s="14">
        <v>105275</v>
      </c>
      <c r="I317" s="14">
        <v>23</v>
      </c>
      <c r="J317" s="14" t="s">
        <v>369</v>
      </c>
      <c r="K317" s="14" t="s">
        <v>456</v>
      </c>
      <c r="L317" s="14" t="s">
        <v>6712</v>
      </c>
      <c r="M317" s="14" t="s">
        <v>13130</v>
      </c>
      <c r="N317" s="14" t="s">
        <v>343</v>
      </c>
      <c r="O317" s="14" t="s">
        <v>9158</v>
      </c>
      <c r="P317" s="14" t="s">
        <v>9158</v>
      </c>
      <c r="Q317" s="14" t="s">
        <v>9158</v>
      </c>
      <c r="R317" s="14" t="s">
        <v>14748</v>
      </c>
    </row>
    <row r="318" spans="1:18">
      <c r="A318" s="9">
        <v>74333</v>
      </c>
      <c r="B318" s="14" t="s">
        <v>334</v>
      </c>
      <c r="C318" s="14" t="s">
        <v>271</v>
      </c>
      <c r="D318" s="14" t="s">
        <v>457</v>
      </c>
      <c r="E318" s="15" t="str">
        <f>HYPERLINK("https://stat100.ameba.jp/tnk47/ratio20/illustrations/card/ill_74333_iizukaigashichi03.jpg?201903-i_prefecture_active_user", "■")</f>
        <v>■</v>
      </c>
      <c r="F318" s="14" t="s">
        <v>458</v>
      </c>
      <c r="G318" s="14">
        <v>105275</v>
      </c>
      <c r="H318" s="14">
        <v>113230</v>
      </c>
      <c r="I318" s="14">
        <v>23</v>
      </c>
      <c r="J318" s="14" t="s">
        <v>414</v>
      </c>
      <c r="K318" s="14" t="s">
        <v>459</v>
      </c>
      <c r="L318" s="14" t="s">
        <v>6713</v>
      </c>
      <c r="M318" s="14" t="s">
        <v>13130</v>
      </c>
      <c r="N318" s="14" t="s">
        <v>343</v>
      </c>
      <c r="O318" s="14" t="s">
        <v>9158</v>
      </c>
      <c r="P318" s="14" t="s">
        <v>9158</v>
      </c>
      <c r="Q318" s="14" t="s">
        <v>9158</v>
      </c>
      <c r="R318" s="14" t="s">
        <v>14748</v>
      </c>
    </row>
    <row r="319" spans="1:18">
      <c r="A319" s="9">
        <v>74343</v>
      </c>
      <c r="B319" s="14" t="s">
        <v>334</v>
      </c>
      <c r="C319" s="14" t="s">
        <v>308</v>
      </c>
      <c r="D319" s="14" t="s">
        <v>460</v>
      </c>
      <c r="E319" s="15" t="str">
        <f>HYPERLINK("https://stat100.ameba.jp/tnk47/ratio20/illustrations/card/ill_74343_wadakoremasa03.jpg?201903-i_prefecture_active_user", "■")</f>
        <v>■</v>
      </c>
      <c r="F319" s="14" t="s">
        <v>461</v>
      </c>
      <c r="G319" s="14">
        <v>105275</v>
      </c>
      <c r="H319" s="14">
        <v>113230</v>
      </c>
      <c r="I319" s="14">
        <v>23</v>
      </c>
      <c r="J319" s="14" t="s">
        <v>310</v>
      </c>
      <c r="K319" s="14" t="s">
        <v>462</v>
      </c>
      <c r="L319" s="14" t="s">
        <v>6714</v>
      </c>
      <c r="M319" s="14" t="s">
        <v>13130</v>
      </c>
      <c r="N319" s="14" t="s">
        <v>343</v>
      </c>
      <c r="O319" s="14" t="s">
        <v>9158</v>
      </c>
      <c r="P319" s="14" t="s">
        <v>9158</v>
      </c>
      <c r="Q319" s="14" t="s">
        <v>9158</v>
      </c>
      <c r="R319" s="14" t="s">
        <v>14748</v>
      </c>
    </row>
    <row r="320" spans="1:18">
      <c r="A320" s="9">
        <v>74353</v>
      </c>
      <c r="B320" s="14" t="s">
        <v>334</v>
      </c>
      <c r="C320" s="14" t="s">
        <v>267</v>
      </c>
      <c r="D320" s="14" t="s">
        <v>463</v>
      </c>
      <c r="E320" s="15" t="str">
        <f>HYPERLINK("https://stat100.ameba.jp/tnk47/ratio20/illustrations/card/ill_74353_takechizuizan03.jpg?201903-i_prefecture_active_user", "■")</f>
        <v>■</v>
      </c>
      <c r="F320" s="14" t="s">
        <v>464</v>
      </c>
      <c r="G320" s="14">
        <v>113230</v>
      </c>
      <c r="H320" s="14">
        <v>105275</v>
      </c>
      <c r="I320" s="14">
        <v>23</v>
      </c>
      <c r="J320" s="14" t="s">
        <v>351</v>
      </c>
      <c r="K320" s="14" t="s">
        <v>465</v>
      </c>
      <c r="L320" s="14" t="s">
        <v>6715</v>
      </c>
      <c r="M320" s="14" t="s">
        <v>13130</v>
      </c>
      <c r="N320" s="14" t="s">
        <v>343</v>
      </c>
      <c r="O320" s="14" t="s">
        <v>9158</v>
      </c>
      <c r="P320" s="14" t="s">
        <v>9158</v>
      </c>
      <c r="Q320" s="14" t="s">
        <v>9158</v>
      </c>
      <c r="R320" s="14" t="s">
        <v>14748</v>
      </c>
    </row>
    <row r="321" spans="1:18">
      <c r="B321" s="14"/>
      <c r="C321" s="14"/>
      <c r="D321" s="14"/>
      <c r="F321" s="14"/>
      <c r="G321" s="14"/>
      <c r="H321" s="14"/>
      <c r="I321" s="14"/>
      <c r="J321" s="14"/>
      <c r="K321" s="14"/>
      <c r="L321" s="14"/>
      <c r="M321" s="14"/>
      <c r="N321" s="14"/>
      <c r="P321" s="14"/>
      <c r="Q321" s="14"/>
      <c r="R321" s="14"/>
    </row>
    <row r="322" spans="1:18">
      <c r="A322" s="14" t="s">
        <v>3643</v>
      </c>
      <c r="D322" s="14"/>
      <c r="F322" s="14"/>
      <c r="G322" s="14"/>
      <c r="H322" s="14"/>
      <c r="I322" s="14"/>
      <c r="J322" s="14"/>
      <c r="K322" s="14"/>
      <c r="L322" s="14"/>
      <c r="M322" s="14"/>
      <c r="N322" s="14"/>
      <c r="P322" s="14"/>
      <c r="Q322" s="14"/>
      <c r="R322" s="14"/>
    </row>
    <row r="323" spans="1:18">
      <c r="A323" s="14" t="s">
        <v>3993</v>
      </c>
      <c r="B323" s="14"/>
      <c r="C323" s="14"/>
      <c r="D323" s="14"/>
      <c r="F323" s="14"/>
      <c r="G323" s="14"/>
      <c r="H323" s="14"/>
      <c r="I323" s="14"/>
      <c r="J323" s="14"/>
      <c r="K323" s="14"/>
      <c r="L323" s="14"/>
      <c r="M323" s="14"/>
      <c r="N323" s="14"/>
      <c r="P323" s="14"/>
      <c r="Q323" s="14"/>
      <c r="R323" s="14"/>
    </row>
    <row r="324" spans="1:18">
      <c r="A324" s="9">
        <v>69475</v>
      </c>
      <c r="B324" s="14" t="s">
        <v>0</v>
      </c>
      <c r="C324" s="14" t="s">
        <v>202</v>
      </c>
      <c r="D324" s="14" t="s">
        <v>3649</v>
      </c>
      <c r="E324" s="15" t="str">
        <f>HYPERLINK("https://stat100.ameba.jp/tnk47/ratio20/illustrations/card/ill_69475_yukkorukamui05.jpg?201903-6-RELEASE-conquest-e-401", "■")</f>
        <v>■</v>
      </c>
      <c r="F324" s="14" t="s">
        <v>3650</v>
      </c>
      <c r="G324" s="14">
        <v>74886</v>
      </c>
      <c r="H324" s="14">
        <v>103428</v>
      </c>
      <c r="I324" s="14">
        <v>22</v>
      </c>
      <c r="J324" s="14" t="s">
        <v>44</v>
      </c>
      <c r="K324" s="14" t="s">
        <v>3651</v>
      </c>
      <c r="L324" s="14" t="s">
        <v>3652</v>
      </c>
      <c r="M324" s="14" t="s">
        <v>9158</v>
      </c>
      <c r="N324" s="14" t="s">
        <v>9158</v>
      </c>
      <c r="O324" s="14" t="s">
        <v>9158</v>
      </c>
      <c r="P324" s="14" t="s">
        <v>9158</v>
      </c>
      <c r="Q324" s="14" t="s">
        <v>9158</v>
      </c>
      <c r="R324" s="14" t="s">
        <v>174</v>
      </c>
    </row>
    <row r="325" spans="1:18">
      <c r="A325" s="9">
        <v>69473</v>
      </c>
      <c r="B325" s="14" t="s">
        <v>15</v>
      </c>
      <c r="C325" s="14" t="s">
        <v>209</v>
      </c>
      <c r="D325" s="14" t="s">
        <v>3649</v>
      </c>
      <c r="E325" s="15" t="str">
        <f>HYPERLINK("https://stat100.ameba.jp/tnk47/ratio20/illustrations/card/ill_69473_yukkorukamui03.jpg?201903-6-RELEASE-conquest-e-401", "■")</f>
        <v>■</v>
      </c>
      <c r="F325" s="14" t="s">
        <v>3650</v>
      </c>
      <c r="G325" s="14">
        <v>55170</v>
      </c>
      <c r="H325" s="14">
        <v>76196</v>
      </c>
      <c r="I325" s="14">
        <v>22</v>
      </c>
      <c r="J325" s="14" t="s">
        <v>44</v>
      </c>
      <c r="K325" s="14" t="s">
        <v>3651</v>
      </c>
      <c r="L325" s="14" t="s">
        <v>3653</v>
      </c>
      <c r="M325" s="14" t="s">
        <v>9158</v>
      </c>
      <c r="N325" s="14" t="s">
        <v>9158</v>
      </c>
      <c r="O325" s="14" t="s">
        <v>9158</v>
      </c>
      <c r="P325" s="14" t="s">
        <v>9158</v>
      </c>
      <c r="Q325" s="14" t="s">
        <v>9158</v>
      </c>
      <c r="R325" s="14" t="s">
        <v>175</v>
      </c>
    </row>
    <row r="326" spans="1:18">
      <c r="A326" s="9">
        <v>69471</v>
      </c>
      <c r="B326" s="14" t="s">
        <v>15</v>
      </c>
      <c r="C326" s="14" t="s">
        <v>209</v>
      </c>
      <c r="D326" s="14" t="s">
        <v>3649</v>
      </c>
      <c r="E326" s="15" t="str">
        <f>HYPERLINK("https://stat100.ameba.jp/tnk47/ratio20/illustrations/card/ill_69471_yukkorukamui01.jpg?201903-6-RELEASE-conquest-e-401", "■")</f>
        <v>■</v>
      </c>
      <c r="F326" s="14" t="s">
        <v>3650</v>
      </c>
      <c r="G326" s="14">
        <v>35090</v>
      </c>
      <c r="H326" s="14">
        <v>48466</v>
      </c>
      <c r="I326" s="14">
        <v>22</v>
      </c>
      <c r="J326" s="14" t="s">
        <v>44</v>
      </c>
      <c r="K326" s="14" t="s">
        <v>3651</v>
      </c>
      <c r="L326" s="14" t="s">
        <v>3654</v>
      </c>
      <c r="M326" s="14" t="s">
        <v>9158</v>
      </c>
      <c r="N326" s="14" t="s">
        <v>9158</v>
      </c>
      <c r="O326" s="14" t="s">
        <v>9158</v>
      </c>
      <c r="P326" s="14" t="s">
        <v>9158</v>
      </c>
      <c r="Q326" s="14" t="s">
        <v>9158</v>
      </c>
      <c r="R326" s="14" t="s">
        <v>176</v>
      </c>
    </row>
    <row r="327" spans="1:18">
      <c r="A327" s="9">
        <v>73855</v>
      </c>
      <c r="B327" s="14" t="s">
        <v>334</v>
      </c>
      <c r="C327" s="14" t="s">
        <v>270</v>
      </c>
      <c r="D327" s="14" t="s">
        <v>1476</v>
      </c>
      <c r="E327" s="15" t="str">
        <f>HYPERLINK("https://stat100.ameba.jp/tnk47/ratio20/illustrations/card/ill_73855_hirayamanarinobu05.jpg?201903-6-RELEASE-conquest-e-401", "■")</f>
        <v>■</v>
      </c>
      <c r="F327" s="14" t="s">
        <v>1477</v>
      </c>
      <c r="G327" s="14">
        <v>157434</v>
      </c>
      <c r="H327" s="14">
        <v>113992</v>
      </c>
      <c r="I327" s="14">
        <v>22</v>
      </c>
      <c r="J327" s="14" t="s">
        <v>351</v>
      </c>
      <c r="K327" s="14" t="s">
        <v>1478</v>
      </c>
      <c r="L327" s="14" t="s">
        <v>1479</v>
      </c>
      <c r="M327" s="14" t="s">
        <v>9158</v>
      </c>
      <c r="N327" s="14" t="s">
        <v>9158</v>
      </c>
      <c r="O327" s="14" t="s">
        <v>9158</v>
      </c>
      <c r="P327" s="14" t="s">
        <v>9158</v>
      </c>
      <c r="Q327" s="14" t="s">
        <v>9158</v>
      </c>
      <c r="R327" s="14" t="s">
        <v>174</v>
      </c>
    </row>
    <row r="328" spans="1:18">
      <c r="A328" s="9">
        <v>73853</v>
      </c>
      <c r="B328" s="14" t="s">
        <v>348</v>
      </c>
      <c r="C328" s="14" t="s">
        <v>154</v>
      </c>
      <c r="D328" s="14" t="s">
        <v>1476</v>
      </c>
      <c r="E328" s="15" t="str">
        <f>HYPERLINK("https://stat100.ameba.jp/tnk47/ratio20/illustrations/card/ill_73853_hirayamanarinobu03.jpg?201903-6-RELEASE-conquest-e-401", "■")</f>
        <v>■</v>
      </c>
      <c r="F328" s="14" t="s">
        <v>1477</v>
      </c>
      <c r="G328" s="14">
        <v>115996</v>
      </c>
      <c r="H328" s="14">
        <v>83986</v>
      </c>
      <c r="I328" s="14">
        <v>22</v>
      </c>
      <c r="J328" s="14" t="s">
        <v>351</v>
      </c>
      <c r="K328" s="14" t="s">
        <v>1478</v>
      </c>
      <c r="L328" s="14" t="s">
        <v>1480</v>
      </c>
      <c r="M328" s="14" t="s">
        <v>9158</v>
      </c>
      <c r="N328" s="14" t="s">
        <v>9158</v>
      </c>
      <c r="O328" s="14" t="s">
        <v>9158</v>
      </c>
      <c r="P328" s="14" t="s">
        <v>9158</v>
      </c>
      <c r="Q328" s="14" t="s">
        <v>9158</v>
      </c>
      <c r="R328" s="14" t="s">
        <v>175</v>
      </c>
    </row>
    <row r="329" spans="1:18">
      <c r="A329" s="9">
        <v>73851</v>
      </c>
      <c r="B329" s="14" t="s">
        <v>348</v>
      </c>
      <c r="C329" s="14" t="s">
        <v>154</v>
      </c>
      <c r="D329" s="14" t="s">
        <v>1476</v>
      </c>
      <c r="E329" s="15" t="str">
        <f>HYPERLINK("https://stat100.ameba.jp/tnk47/ratio20/illustrations/card/ill_73851_hirayamanarinobu01.jpg?201903-6-RELEASE-conquest-e-401", "■")</f>
        <v>■</v>
      </c>
      <c r="F329" s="14" t="s">
        <v>1477</v>
      </c>
      <c r="G329" s="14">
        <v>73788</v>
      </c>
      <c r="H329" s="14">
        <v>53438</v>
      </c>
      <c r="I329" s="14">
        <v>22</v>
      </c>
      <c r="J329" s="14" t="s">
        <v>351</v>
      </c>
      <c r="K329" s="14" t="s">
        <v>1478</v>
      </c>
      <c r="L329" s="14" t="s">
        <v>1481</v>
      </c>
      <c r="M329" s="14" t="s">
        <v>9158</v>
      </c>
      <c r="N329" s="14" t="s">
        <v>9158</v>
      </c>
      <c r="O329" s="14" t="s">
        <v>9158</v>
      </c>
      <c r="P329" s="14" t="s">
        <v>9158</v>
      </c>
      <c r="Q329" s="14" t="s">
        <v>9158</v>
      </c>
      <c r="R329" s="14" t="s">
        <v>176</v>
      </c>
    </row>
    <row r="330" spans="1:18">
      <c r="A330" s="9">
        <v>70335</v>
      </c>
      <c r="B330" s="14" t="s">
        <v>334</v>
      </c>
      <c r="C330" s="14" t="s">
        <v>35</v>
      </c>
      <c r="D330" s="14" t="s">
        <v>523</v>
      </c>
      <c r="E330" s="15" t="str">
        <f>HYPERLINK("https://stat100.ameba.jp/tnk47/ratio20/illustrations/card/ill_70335_kusakagenzui05.jpg?201903-6-RELEASE-conquest-e-401", "■")</f>
        <v>■</v>
      </c>
      <c r="F330" s="14" t="s">
        <v>524</v>
      </c>
      <c r="G330" s="14">
        <v>83902</v>
      </c>
      <c r="H330" s="14">
        <v>115856</v>
      </c>
      <c r="I330" s="14">
        <v>22</v>
      </c>
      <c r="J330" s="14" t="s">
        <v>310</v>
      </c>
      <c r="K330" s="14" t="s">
        <v>525</v>
      </c>
      <c r="L330" s="14" t="s">
        <v>526</v>
      </c>
      <c r="M330" s="14" t="s">
        <v>9158</v>
      </c>
      <c r="N330" s="14" t="s">
        <v>9158</v>
      </c>
      <c r="O330" s="14" t="s">
        <v>9158</v>
      </c>
      <c r="P330" s="14" t="s">
        <v>9158</v>
      </c>
      <c r="Q330" s="14" t="s">
        <v>9158</v>
      </c>
      <c r="R330" s="14" t="s">
        <v>174</v>
      </c>
    </row>
    <row r="331" spans="1:18">
      <c r="A331" s="9">
        <v>70333</v>
      </c>
      <c r="B331" s="14" t="s">
        <v>348</v>
      </c>
      <c r="C331" s="14" t="s">
        <v>269</v>
      </c>
      <c r="D331" s="14" t="s">
        <v>523</v>
      </c>
      <c r="E331" s="15" t="str">
        <f>HYPERLINK("https://stat100.ameba.jp/tnk47/ratio20/illustrations/card/ill_70333_kusakagenzui03.jpg?201903-6-RELEASE-conquest-e-401", "■")</f>
        <v>■</v>
      </c>
      <c r="F331" s="14" t="s">
        <v>524</v>
      </c>
      <c r="G331" s="14">
        <v>61798</v>
      </c>
      <c r="H331" s="14">
        <v>85358</v>
      </c>
      <c r="I331" s="14">
        <v>22</v>
      </c>
      <c r="J331" s="14" t="s">
        <v>310</v>
      </c>
      <c r="K331" s="14" t="s">
        <v>525</v>
      </c>
      <c r="L331" s="14" t="s">
        <v>527</v>
      </c>
      <c r="M331" s="14" t="s">
        <v>9158</v>
      </c>
      <c r="N331" s="14" t="s">
        <v>9158</v>
      </c>
      <c r="O331" s="14" t="s">
        <v>9158</v>
      </c>
      <c r="P331" s="14" t="s">
        <v>9158</v>
      </c>
      <c r="Q331" s="14" t="s">
        <v>9158</v>
      </c>
      <c r="R331" s="14" t="s">
        <v>175</v>
      </c>
    </row>
    <row r="332" spans="1:18">
      <c r="A332" s="9">
        <v>70331</v>
      </c>
      <c r="B332" s="14" t="s">
        <v>348</v>
      </c>
      <c r="C332" s="14" t="s">
        <v>269</v>
      </c>
      <c r="D332" s="14" t="s">
        <v>523</v>
      </c>
      <c r="E332" s="15" t="str">
        <f>HYPERLINK("https://stat100.ameba.jp/tnk47/ratio20/illustrations/card/ill_70331_kusakagenzui01.jpg?201903-6-RELEASE-conquest-e-401", "■")</f>
        <v>■</v>
      </c>
      <c r="F332" s="14" t="s">
        <v>524</v>
      </c>
      <c r="G332" s="14">
        <v>39314</v>
      </c>
      <c r="H332" s="14">
        <v>54296</v>
      </c>
      <c r="I332" s="14">
        <v>22</v>
      </c>
      <c r="J332" s="14" t="s">
        <v>310</v>
      </c>
      <c r="K332" s="14" t="s">
        <v>525</v>
      </c>
      <c r="L332" s="14" t="s">
        <v>528</v>
      </c>
      <c r="M332" s="14" t="s">
        <v>9158</v>
      </c>
      <c r="N332" s="14" t="s">
        <v>9158</v>
      </c>
      <c r="O332" s="14" t="s">
        <v>9158</v>
      </c>
      <c r="P332" s="14" t="s">
        <v>9158</v>
      </c>
      <c r="Q332" s="14" t="s">
        <v>9158</v>
      </c>
      <c r="R332" s="14" t="s">
        <v>176</v>
      </c>
    </row>
    <row r="333" spans="1:18">
      <c r="B333" s="14"/>
      <c r="C333" s="14"/>
      <c r="D333" s="14"/>
      <c r="F333" s="14"/>
      <c r="G333" s="14"/>
      <c r="H333" s="14"/>
      <c r="I333" s="14"/>
      <c r="J333" s="14"/>
      <c r="K333" s="14"/>
      <c r="L333" s="14"/>
      <c r="M333" s="14"/>
      <c r="N333" s="14"/>
      <c r="P333" s="14"/>
      <c r="Q333" s="14"/>
      <c r="R333" s="14"/>
    </row>
    <row r="334" spans="1:18">
      <c r="A334" s="14" t="s">
        <v>4012</v>
      </c>
      <c r="D334" s="14"/>
      <c r="F334" s="14"/>
      <c r="G334" s="14"/>
      <c r="H334" s="14"/>
      <c r="I334" s="14"/>
      <c r="J334" s="14"/>
      <c r="K334" s="14"/>
      <c r="L334" s="14"/>
      <c r="M334" s="14"/>
      <c r="N334" s="14"/>
      <c r="P334" s="14"/>
      <c r="Q334" s="14"/>
      <c r="R334" s="14"/>
    </row>
    <row r="335" spans="1:18">
      <c r="A335" s="14" t="s">
        <v>4013</v>
      </c>
      <c r="B335" s="14"/>
      <c r="C335" s="14"/>
      <c r="D335" s="14"/>
      <c r="F335" s="14"/>
      <c r="G335" s="14"/>
      <c r="H335" s="14"/>
      <c r="I335" s="14"/>
      <c r="J335" s="14"/>
      <c r="K335" s="14"/>
      <c r="L335" s="14"/>
      <c r="M335" s="14"/>
      <c r="N335" s="14"/>
      <c r="P335" s="14"/>
      <c r="Q335" s="14"/>
      <c r="R335" s="14"/>
    </row>
    <row r="336" spans="1:18">
      <c r="A336" s="9" t="s">
        <v>5822</v>
      </c>
      <c r="B336" s="14" t="s">
        <v>330</v>
      </c>
      <c r="C336" s="14" t="s">
        <v>307</v>
      </c>
      <c r="D336" s="14" t="s">
        <v>306</v>
      </c>
      <c r="E336" s="15" t="str">
        <f>HYPERLINK("https://stat100.ameba.jp/tnk47/ratio20/illustrations/card/ill_71403_0_ohanamisanadayukimura03.jpg?201903-6-RELEASE-conquest-e-401", "■")</f>
        <v>■</v>
      </c>
      <c r="F336" s="14" t="s">
        <v>309</v>
      </c>
      <c r="G336" s="14">
        <v>140016</v>
      </c>
      <c r="H336" s="14">
        <v>130194</v>
      </c>
      <c r="I336" s="14">
        <v>15</v>
      </c>
      <c r="J336" s="14" t="s">
        <v>310</v>
      </c>
      <c r="K336" s="14" t="s">
        <v>311</v>
      </c>
      <c r="L336" s="14" t="s">
        <v>312</v>
      </c>
      <c r="M336" s="14" t="s">
        <v>9158</v>
      </c>
      <c r="N336" s="14" t="s">
        <v>9158</v>
      </c>
      <c r="O336" s="17" t="s">
        <v>10060</v>
      </c>
      <c r="P336" s="14" t="s">
        <v>3418</v>
      </c>
      <c r="Q336" s="14">
        <v>2</v>
      </c>
      <c r="R336" s="14"/>
    </row>
    <row r="337" spans="1:19">
      <c r="A337" s="9" t="s">
        <v>5606</v>
      </c>
      <c r="B337" s="14" t="s">
        <v>52</v>
      </c>
      <c r="C337" s="14" t="s">
        <v>206</v>
      </c>
      <c r="D337" s="14" t="s">
        <v>1011</v>
      </c>
      <c r="E337" s="15" t="str">
        <f>HYPERLINK("https://stat100.ameba.jp/tnk47/ratio20/illustrations/card/ill_72233_0_koinoboriryugujin03.jpg?201903-6-RELEASE-conquest-e-401", "■")</f>
        <v>■</v>
      </c>
      <c r="F337" s="14" t="s">
        <v>1012</v>
      </c>
      <c r="G337" s="14">
        <v>98395</v>
      </c>
      <c r="H337" s="14">
        <v>105833</v>
      </c>
      <c r="I337" s="14">
        <v>15</v>
      </c>
      <c r="J337" s="14" t="s">
        <v>44</v>
      </c>
      <c r="K337" s="14" t="s">
        <v>1013</v>
      </c>
      <c r="L337" s="14" t="s">
        <v>1014</v>
      </c>
      <c r="M337" s="14" t="s">
        <v>9158</v>
      </c>
      <c r="N337" s="14" t="s">
        <v>9158</v>
      </c>
      <c r="O337" s="9" t="s">
        <v>3419</v>
      </c>
      <c r="P337" s="14" t="s">
        <v>3420</v>
      </c>
      <c r="Q337" s="14">
        <v>2</v>
      </c>
      <c r="R337" s="14"/>
    </row>
    <row r="338" spans="1:19">
      <c r="A338" s="9" t="s">
        <v>5721</v>
      </c>
      <c r="B338" s="14" t="s">
        <v>330</v>
      </c>
      <c r="C338" s="14" t="s">
        <v>205</v>
      </c>
      <c r="D338" s="14" t="s">
        <v>1715</v>
      </c>
      <c r="E338" s="15" t="str">
        <f>HYPERLINK("https://stat100.ameba.jp/tnk47/ratio20/illustrations/card/ill_44283_0_izumonokuni03.jpg?201903-6-RELEASE-conquest-e-401", "■")</f>
        <v>■</v>
      </c>
      <c r="F338" s="14" t="s">
        <v>514</v>
      </c>
      <c r="G338" s="14">
        <v>87780</v>
      </c>
      <c r="H338" s="14">
        <v>82212</v>
      </c>
      <c r="I338" s="14">
        <v>15</v>
      </c>
      <c r="J338" s="14" t="s">
        <v>159</v>
      </c>
      <c r="K338" s="14" t="s">
        <v>1717</v>
      </c>
      <c r="L338" s="14" t="s">
        <v>516</v>
      </c>
      <c r="M338" s="14" t="s">
        <v>9158</v>
      </c>
      <c r="N338" s="14" t="s">
        <v>9158</v>
      </c>
      <c r="O338" s="14" t="s">
        <v>9158</v>
      </c>
      <c r="P338" s="14" t="s">
        <v>9158</v>
      </c>
      <c r="Q338" s="14" t="s">
        <v>9158</v>
      </c>
      <c r="R338" s="14"/>
    </row>
    <row r="339" spans="1:19">
      <c r="A339" s="9">
        <v>63743</v>
      </c>
      <c r="B339" s="14" t="s">
        <v>334</v>
      </c>
      <c r="C339" s="14" t="s">
        <v>47</v>
      </c>
      <c r="D339" s="14" t="s">
        <v>3994</v>
      </c>
      <c r="E339" s="15" t="str">
        <f>HYPERLINK("https://stat100.ameba.jp/tnk47/ratio20/illustrations/card/ill_63743_ohotsukukare03.jpg?201903-6-RELEASE-conquest-e-401", "■")</f>
        <v>■</v>
      </c>
      <c r="F339" s="14" t="s">
        <v>3995</v>
      </c>
      <c r="G339" s="14">
        <v>113340</v>
      </c>
      <c r="H339" s="14">
        <v>105394</v>
      </c>
      <c r="I339" s="14">
        <v>24</v>
      </c>
      <c r="J339" s="14" t="s">
        <v>104</v>
      </c>
      <c r="K339" s="14" t="s">
        <v>3996</v>
      </c>
      <c r="L339" s="14" t="s">
        <v>1108</v>
      </c>
      <c r="M339" s="14" t="s">
        <v>9158</v>
      </c>
      <c r="N339" s="14" t="s">
        <v>9158</v>
      </c>
      <c r="O339" s="14" t="s">
        <v>9158</v>
      </c>
      <c r="P339" s="14" t="s">
        <v>9158</v>
      </c>
      <c r="Q339" s="14" t="s">
        <v>9158</v>
      </c>
      <c r="S339" s="14" t="s">
        <v>11758</v>
      </c>
    </row>
    <row r="340" spans="1:19">
      <c r="A340" s="9">
        <v>51623</v>
      </c>
      <c r="B340" s="14" t="s">
        <v>334</v>
      </c>
      <c r="C340" s="14" t="s">
        <v>3861</v>
      </c>
      <c r="D340" s="14" t="s">
        <v>3997</v>
      </c>
      <c r="E340" s="15" t="str">
        <f>HYPERLINK("https://stat100.ameba.jp/tnk47/ratio20/illustrations/card/ill_51623_yamagaruatsuhime03.jpg?201903-6-RELEASE-conquest-e-401", "■")</f>
        <v>■</v>
      </c>
      <c r="F340" s="14" t="s">
        <v>3998</v>
      </c>
      <c r="G340" s="14">
        <v>92504</v>
      </c>
      <c r="H340" s="14">
        <v>86006</v>
      </c>
      <c r="I340" s="14">
        <v>24</v>
      </c>
      <c r="J340" s="14" t="s">
        <v>77</v>
      </c>
      <c r="K340" s="14" t="s">
        <v>3999</v>
      </c>
      <c r="L340" s="14" t="s">
        <v>4000</v>
      </c>
      <c r="M340" s="14" t="s">
        <v>9158</v>
      </c>
      <c r="N340" s="14" t="s">
        <v>9158</v>
      </c>
      <c r="O340" s="14" t="s">
        <v>9158</v>
      </c>
      <c r="P340" s="14" t="s">
        <v>9158</v>
      </c>
      <c r="Q340" s="14" t="s">
        <v>9158</v>
      </c>
      <c r="S340" s="14" t="s">
        <v>11728</v>
      </c>
    </row>
    <row r="341" spans="1:19">
      <c r="A341" s="9">
        <v>70703</v>
      </c>
      <c r="B341" s="14" t="s">
        <v>334</v>
      </c>
      <c r="C341" s="14" t="s">
        <v>41</v>
      </c>
      <c r="D341" s="14" t="s">
        <v>4001</v>
      </c>
      <c r="E341" s="15" t="str">
        <f>HYPERLINK("https://stat100.ameba.jp/tnk47/ratio20/illustrations/card/ill_70703_howaitodebotan03.jpg?201903-6-RELEASE-conquest-e-401", "■")</f>
        <v>■</v>
      </c>
      <c r="F341" s="14" t="s">
        <v>4002</v>
      </c>
      <c r="G341" s="14">
        <v>101656</v>
      </c>
      <c r="H341" s="14">
        <v>101656</v>
      </c>
      <c r="I341" s="14">
        <v>24</v>
      </c>
      <c r="J341" s="14" t="s">
        <v>26</v>
      </c>
      <c r="K341" s="14" t="s">
        <v>4003</v>
      </c>
      <c r="L341" s="14" t="s">
        <v>4004</v>
      </c>
      <c r="M341" s="14" t="s">
        <v>9158</v>
      </c>
      <c r="N341" s="14" t="s">
        <v>9158</v>
      </c>
      <c r="O341" s="14" t="s">
        <v>9158</v>
      </c>
      <c r="P341" s="14" t="s">
        <v>9158</v>
      </c>
      <c r="Q341" s="14" t="s">
        <v>9158</v>
      </c>
      <c r="S341" s="14" t="s">
        <v>11759</v>
      </c>
    </row>
    <row r="342" spans="1:19">
      <c r="A342" s="9">
        <v>44633</v>
      </c>
      <c r="B342" s="14" t="s">
        <v>348</v>
      </c>
      <c r="C342" s="14" t="s">
        <v>14</v>
      </c>
      <c r="D342" s="14" t="s">
        <v>4005</v>
      </c>
      <c r="E342" s="15" t="str">
        <f>HYPERLINK("https://stat100.ameba.jp/tnk47/ratio20/illustrations/card/ill_44633_ainusokki03.jpg?201903-6-RELEASE-conquest-e-401", "■")</f>
        <v>■</v>
      </c>
      <c r="F342" s="14" t="s">
        <v>4006</v>
      </c>
      <c r="G342" s="14">
        <v>56316</v>
      </c>
      <c r="H342" s="14">
        <v>51078</v>
      </c>
      <c r="I342" s="14">
        <v>19</v>
      </c>
      <c r="J342" s="14" t="s">
        <v>73</v>
      </c>
      <c r="K342" s="14" t="s">
        <v>4007</v>
      </c>
      <c r="L342" s="14" t="s">
        <v>4008</v>
      </c>
      <c r="M342" s="14" t="s">
        <v>9158</v>
      </c>
      <c r="N342" s="14" t="s">
        <v>9158</v>
      </c>
      <c r="O342" s="14" t="s">
        <v>9158</v>
      </c>
      <c r="P342" s="14" t="s">
        <v>9158</v>
      </c>
      <c r="Q342" s="14" t="s">
        <v>9158</v>
      </c>
      <c r="S342" s="14" t="s">
        <v>12930</v>
      </c>
    </row>
    <row r="343" spans="1:19">
      <c r="A343" s="9">
        <v>47903</v>
      </c>
      <c r="B343" s="14" t="s">
        <v>348</v>
      </c>
      <c r="C343" s="14" t="s">
        <v>14</v>
      </c>
      <c r="D343" s="14" t="s">
        <v>4009</v>
      </c>
      <c r="E343" s="15" t="str">
        <f>HYPERLINK("https://stat100.ameba.jp/tnk47/ratio20/illustrations/card/ill_47903_shireitousafaia03.jpg?201903-6-RELEASE-conquest-e-401", "■")</f>
        <v>■</v>
      </c>
      <c r="F343" s="14" t="s">
        <v>4010</v>
      </c>
      <c r="G343" s="14">
        <v>51078</v>
      </c>
      <c r="H343" s="14">
        <v>56316</v>
      </c>
      <c r="I343" s="14">
        <v>19</v>
      </c>
      <c r="J343" s="14" t="s">
        <v>16</v>
      </c>
      <c r="K343" s="14" t="s">
        <v>4011</v>
      </c>
      <c r="L343" s="14" t="s">
        <v>100</v>
      </c>
      <c r="M343" s="14" t="s">
        <v>9158</v>
      </c>
      <c r="N343" s="14" t="s">
        <v>9158</v>
      </c>
      <c r="O343" s="14" t="s">
        <v>9158</v>
      </c>
      <c r="P343" s="14" t="s">
        <v>9158</v>
      </c>
      <c r="Q343" s="14" t="s">
        <v>9158</v>
      </c>
      <c r="S343" s="14" t="s">
        <v>12930</v>
      </c>
    </row>
    <row r="344" spans="1:19">
      <c r="A344" s="9">
        <v>67793</v>
      </c>
      <c r="B344" s="14" t="s">
        <v>348</v>
      </c>
      <c r="C344" s="14" t="s">
        <v>14</v>
      </c>
      <c r="D344" s="14" t="s">
        <v>3437</v>
      </c>
      <c r="E344" s="15" t="str">
        <f>HYPERLINK("https://stat100.ameba.jp/tnk47/ratio20/illustrations/card/ill_67793_yukioni03.jpg?201903-6-RELEASE-conquest-e-401", "■")</f>
        <v>■</v>
      </c>
      <c r="F344" s="14" t="s">
        <v>3438</v>
      </c>
      <c r="G344" s="14">
        <v>51078</v>
      </c>
      <c r="H344" s="14">
        <v>56316</v>
      </c>
      <c r="I344" s="14">
        <v>19</v>
      </c>
      <c r="J344" s="14" t="s">
        <v>38</v>
      </c>
      <c r="K344" s="14" t="s">
        <v>3439</v>
      </c>
      <c r="L344" s="14" t="s">
        <v>3440</v>
      </c>
      <c r="M344" s="14" t="s">
        <v>9158</v>
      </c>
      <c r="N344" s="14" t="s">
        <v>9158</v>
      </c>
      <c r="O344" s="14" t="s">
        <v>9158</v>
      </c>
      <c r="P344" s="14" t="s">
        <v>9158</v>
      </c>
      <c r="Q344" s="14" t="s">
        <v>9158</v>
      </c>
      <c r="S344" s="14" t="s">
        <v>11742</v>
      </c>
    </row>
    <row r="345" spans="1:19">
      <c r="B345" s="14"/>
      <c r="C345" s="14"/>
      <c r="D345" s="14"/>
      <c r="F345" s="14"/>
      <c r="G345" s="14"/>
      <c r="H345" s="14"/>
      <c r="I345" s="14"/>
      <c r="J345" s="14"/>
      <c r="K345" s="14"/>
      <c r="L345" s="14"/>
      <c r="M345" s="14"/>
      <c r="N345" s="14"/>
      <c r="P345" s="14"/>
      <c r="Q345" s="14"/>
      <c r="R345" s="14"/>
    </row>
    <row r="346" spans="1:19">
      <c r="A346" s="14" t="s">
        <v>4014</v>
      </c>
      <c r="D346" s="14"/>
      <c r="F346" s="14"/>
      <c r="G346" s="14"/>
      <c r="H346" s="14"/>
      <c r="I346" s="14"/>
      <c r="J346" s="14"/>
      <c r="K346" s="14"/>
      <c r="L346" s="14"/>
      <c r="M346" s="14"/>
      <c r="N346" s="14"/>
      <c r="P346" s="14"/>
      <c r="Q346" s="14"/>
      <c r="R346" s="14"/>
    </row>
    <row r="347" spans="1:19">
      <c r="A347" s="14" t="s">
        <v>4015</v>
      </c>
      <c r="B347" s="14"/>
      <c r="C347" s="14"/>
      <c r="D347" s="14"/>
      <c r="F347" s="14"/>
      <c r="G347" s="14"/>
      <c r="H347" s="14"/>
      <c r="I347" s="14"/>
      <c r="J347" s="14"/>
      <c r="K347" s="14"/>
      <c r="L347" s="14"/>
      <c r="M347" s="14"/>
      <c r="N347" s="14"/>
      <c r="P347" s="14"/>
      <c r="Q347" s="14"/>
      <c r="R347" s="14"/>
    </row>
    <row r="348" spans="1:19">
      <c r="A348" s="9" t="s">
        <v>6195</v>
      </c>
      <c r="B348" s="14" t="s">
        <v>52</v>
      </c>
      <c r="C348" s="14" t="s">
        <v>191</v>
      </c>
      <c r="D348" s="14" t="s">
        <v>1768</v>
      </c>
      <c r="E348" s="15" t="str">
        <f>HYPERLINK("https://stat100.ameba.jp/tnk47/ratio20/illustrations/card/ill_56493_0_poppukurisumasuikomakitsuno03.jpg?201903-6-RELEASE-conquest-e-401", "■")</f>
        <v>■</v>
      </c>
      <c r="F348" s="14" t="s">
        <v>1769</v>
      </c>
      <c r="G348" s="14">
        <v>94236</v>
      </c>
      <c r="H348" s="14">
        <v>83712</v>
      </c>
      <c r="I348" s="14">
        <v>15</v>
      </c>
      <c r="J348" s="14" t="s">
        <v>77</v>
      </c>
      <c r="K348" s="14" t="s">
        <v>1770</v>
      </c>
      <c r="L348" s="14" t="s">
        <v>1771</v>
      </c>
      <c r="M348" s="14" t="s">
        <v>9158</v>
      </c>
      <c r="N348" s="14" t="s">
        <v>9158</v>
      </c>
      <c r="O348" s="9" t="s">
        <v>3893</v>
      </c>
      <c r="P348" s="14" t="s">
        <v>2724</v>
      </c>
      <c r="Q348" s="14">
        <v>1</v>
      </c>
      <c r="R348" s="14"/>
    </row>
    <row r="349" spans="1:19">
      <c r="A349" s="9" t="s">
        <v>5778</v>
      </c>
      <c r="B349" s="14" t="s">
        <v>330</v>
      </c>
      <c r="C349" s="14" t="s">
        <v>205</v>
      </c>
      <c r="D349" s="14" t="s">
        <v>272</v>
      </c>
      <c r="E349" s="15" t="str">
        <f>HYPERLINK("https://stat100.ameba.jp/tnk47/ratio20/illustrations/card/ill_68783_0_gantammomotaro03.jpg?201903-6-RELEASE-conquest-e-401", "■")</f>
        <v>■</v>
      </c>
      <c r="F349" s="14" t="s">
        <v>273</v>
      </c>
      <c r="G349" s="14">
        <v>102590</v>
      </c>
      <c r="H349" s="14">
        <v>95371</v>
      </c>
      <c r="I349" s="14">
        <v>15</v>
      </c>
      <c r="J349" s="14" t="s">
        <v>274</v>
      </c>
      <c r="K349" s="14" t="s">
        <v>275</v>
      </c>
      <c r="L349" s="14" t="s">
        <v>276</v>
      </c>
      <c r="M349" s="14" t="s">
        <v>9158</v>
      </c>
      <c r="N349" s="14" t="s">
        <v>9158</v>
      </c>
      <c r="O349" s="17" t="s">
        <v>9992</v>
      </c>
      <c r="P349" s="14" t="s">
        <v>3085</v>
      </c>
      <c r="Q349" s="14">
        <v>1</v>
      </c>
      <c r="R349" s="14"/>
    </row>
    <row r="350" spans="1:19">
      <c r="A350" s="9" t="s">
        <v>5608</v>
      </c>
      <c r="B350" s="14" t="s">
        <v>330</v>
      </c>
      <c r="C350" s="14" t="s">
        <v>165</v>
      </c>
      <c r="D350" s="14" t="s">
        <v>634</v>
      </c>
      <c r="E350" s="15" t="str">
        <f>HYPERLINK("https://stat100.ameba.jp/tnk47/ratio20/illustrations/card/ill_40963_0_makami03.jpg?201903-6-RELEASE-conquest-e-401", "■")</f>
        <v>■</v>
      </c>
      <c r="F350" s="14" t="s">
        <v>635</v>
      </c>
      <c r="G350" s="14">
        <v>87780</v>
      </c>
      <c r="H350" s="14">
        <v>82212</v>
      </c>
      <c r="I350" s="14">
        <v>15</v>
      </c>
      <c r="J350" s="14" t="s">
        <v>401</v>
      </c>
      <c r="K350" s="14" t="s">
        <v>636</v>
      </c>
      <c r="L350" s="14" t="s">
        <v>637</v>
      </c>
      <c r="M350" s="14" t="s">
        <v>9158</v>
      </c>
      <c r="N350" s="14" t="s">
        <v>9158</v>
      </c>
      <c r="O350" s="14" t="s">
        <v>9158</v>
      </c>
      <c r="P350" s="14" t="s">
        <v>9158</v>
      </c>
      <c r="Q350" s="14" t="s">
        <v>9158</v>
      </c>
      <c r="R350" s="14"/>
    </row>
    <row r="351" spans="1:19">
      <c r="A351" s="9">
        <v>72653</v>
      </c>
      <c r="B351" s="14" t="s">
        <v>334</v>
      </c>
      <c r="C351" s="14" t="s">
        <v>23</v>
      </c>
      <c r="D351" s="14" t="s">
        <v>4016</v>
      </c>
      <c r="E351" s="15" t="str">
        <f>HYPERLINK("https://stat100.ameba.jp/tnk47/ratio20/illustrations/card/ill_72653_shokanoseisochin03.jpg?201903-6-RELEASE-conquest-e-401", "■")</f>
        <v>■</v>
      </c>
      <c r="F351" s="14" t="s">
        <v>4017</v>
      </c>
      <c r="G351" s="14">
        <v>100224</v>
      </c>
      <c r="H351" s="14">
        <v>93184</v>
      </c>
      <c r="I351" s="14">
        <v>22</v>
      </c>
      <c r="J351" s="14" t="s">
        <v>26</v>
      </c>
      <c r="K351" s="14" t="s">
        <v>4018</v>
      </c>
      <c r="L351" s="14" t="s">
        <v>4019</v>
      </c>
      <c r="M351" s="14" t="s">
        <v>9158</v>
      </c>
      <c r="N351" s="14" t="s">
        <v>9158</v>
      </c>
      <c r="O351" s="14" t="s">
        <v>9158</v>
      </c>
      <c r="P351" s="14" t="s">
        <v>9158</v>
      </c>
      <c r="Q351" s="14" t="s">
        <v>9158</v>
      </c>
      <c r="R351" s="14"/>
    </row>
    <row r="352" spans="1:19">
      <c r="A352" s="9">
        <v>70883</v>
      </c>
      <c r="B352" s="14" t="s">
        <v>334</v>
      </c>
      <c r="C352" s="14" t="s">
        <v>185</v>
      </c>
      <c r="D352" s="14" t="s">
        <v>917</v>
      </c>
      <c r="E352" s="15" t="str">
        <f>HYPERLINK("https://stat100.ameba.jp/tnk47/ratio20/illustrations/card/ill_70883_sotsugyoshikikishi03.jpg?201903-6-RELEASE-conquest-e-401", "■")</f>
        <v>■</v>
      </c>
      <c r="F352" s="14" t="s">
        <v>918</v>
      </c>
      <c r="G352" s="14">
        <v>89208</v>
      </c>
      <c r="H352" s="14">
        <v>82978</v>
      </c>
      <c r="I352" s="14">
        <v>22</v>
      </c>
      <c r="J352" s="14" t="s">
        <v>16</v>
      </c>
      <c r="K352" s="14" t="s">
        <v>919</v>
      </c>
      <c r="L352" s="14" t="s">
        <v>920</v>
      </c>
      <c r="M352" s="14" t="s">
        <v>9158</v>
      </c>
      <c r="N352" s="14" t="s">
        <v>9158</v>
      </c>
      <c r="O352" s="14" t="s">
        <v>9158</v>
      </c>
      <c r="P352" s="14" t="s">
        <v>9158</v>
      </c>
      <c r="Q352" s="14" t="s">
        <v>9158</v>
      </c>
      <c r="R352" s="14"/>
    </row>
    <row r="353" spans="1:18">
      <c r="A353" s="9">
        <v>62473</v>
      </c>
      <c r="B353" s="14" t="s">
        <v>334</v>
      </c>
      <c r="C353" s="14" t="s">
        <v>203</v>
      </c>
      <c r="D353" s="14" t="s">
        <v>937</v>
      </c>
      <c r="E353" s="15" t="str">
        <f>HYPERLINK("https://stat100.ameba.jp/tnk47/ratio20/illustrations/card/ill_62473_kokuriko03.jpg?201903-6-RELEASE-conquest-e-401", "■")</f>
        <v>■</v>
      </c>
      <c r="F353" s="14" t="s">
        <v>938</v>
      </c>
      <c r="G353" s="14">
        <v>100424</v>
      </c>
      <c r="H353" s="14">
        <v>72736</v>
      </c>
      <c r="I353" s="14">
        <v>22</v>
      </c>
      <c r="J353" s="14" t="s">
        <v>169</v>
      </c>
      <c r="K353" s="14" t="s">
        <v>939</v>
      </c>
      <c r="L353" s="14" t="s">
        <v>13148</v>
      </c>
      <c r="M353" s="14" t="s">
        <v>9158</v>
      </c>
      <c r="N353" s="14" t="s">
        <v>9158</v>
      </c>
      <c r="O353" s="9" t="s">
        <v>2838</v>
      </c>
      <c r="P353" s="14" t="s">
        <v>2839</v>
      </c>
      <c r="Q353" s="14">
        <v>1</v>
      </c>
      <c r="R353" s="14"/>
    </row>
    <row r="354" spans="1:18">
      <c r="B354" s="14"/>
      <c r="C354" s="14"/>
      <c r="D354" s="14"/>
      <c r="F354" s="14"/>
      <c r="G354" s="14"/>
      <c r="H354" s="14"/>
      <c r="I354" s="14"/>
      <c r="J354" s="14"/>
      <c r="K354" s="14"/>
      <c r="L354" s="14"/>
      <c r="M354" s="14"/>
      <c r="N354" s="14"/>
      <c r="P354" s="14"/>
      <c r="Q354" s="14"/>
      <c r="R354" s="14"/>
    </row>
    <row r="355" spans="1:18">
      <c r="A355" s="14" t="s">
        <v>4041</v>
      </c>
      <c r="D355" s="14"/>
      <c r="F355" s="14"/>
      <c r="G355" s="14"/>
      <c r="H355" s="14"/>
      <c r="I355" s="14"/>
      <c r="J355" s="14"/>
      <c r="K355" s="14"/>
      <c r="L355" s="14"/>
      <c r="M355" s="14"/>
      <c r="N355" s="14"/>
      <c r="P355" s="14"/>
      <c r="Q355" s="14"/>
      <c r="R355" s="14"/>
    </row>
    <row r="356" spans="1:18">
      <c r="A356" s="14" t="s">
        <v>4020</v>
      </c>
      <c r="B356" s="14"/>
      <c r="C356" s="14"/>
      <c r="D356" s="14"/>
      <c r="F356" s="14"/>
      <c r="G356" s="14"/>
      <c r="H356" s="14"/>
      <c r="I356" s="14"/>
      <c r="J356" s="14"/>
      <c r="K356" s="14"/>
      <c r="L356" s="14"/>
      <c r="M356" s="14"/>
      <c r="N356" s="14"/>
      <c r="P356" s="14"/>
      <c r="Q356" s="14"/>
      <c r="R356" s="14"/>
    </row>
    <row r="357" spans="1:18">
      <c r="A357" s="9" t="s">
        <v>5611</v>
      </c>
      <c r="B357" s="14" t="s">
        <v>330</v>
      </c>
      <c r="C357" s="14" t="s">
        <v>335</v>
      </c>
      <c r="D357" s="14" t="s">
        <v>539</v>
      </c>
      <c r="E357" s="15" t="str">
        <f>HYPERLINK("https://stat100.ameba.jp/tnk47/ratio20/illustrations/card/ill_60633_0_harumaisentoin03.jpg?201903-6-RELEASE-conquest-e-401", "■")</f>
        <v>■</v>
      </c>
      <c r="F357" s="14" t="s">
        <v>540</v>
      </c>
      <c r="G357" s="14">
        <v>114446</v>
      </c>
      <c r="H357" s="14">
        <v>123108</v>
      </c>
      <c r="I357" s="14">
        <v>18</v>
      </c>
      <c r="J357" s="14" t="s">
        <v>274</v>
      </c>
      <c r="K357" s="14" t="s">
        <v>541</v>
      </c>
      <c r="L357" s="14" t="s">
        <v>542</v>
      </c>
      <c r="M357" s="14" t="s">
        <v>9158</v>
      </c>
      <c r="N357" s="14" t="s">
        <v>9158</v>
      </c>
      <c r="O357" s="9" t="s">
        <v>2888</v>
      </c>
      <c r="P357" s="14" t="s">
        <v>3144</v>
      </c>
      <c r="Q357" s="14">
        <v>1</v>
      </c>
      <c r="R357" s="14"/>
    </row>
    <row r="358" spans="1:18">
      <c r="A358" s="9" t="s">
        <v>5612</v>
      </c>
      <c r="B358" s="14" t="s">
        <v>330</v>
      </c>
      <c r="C358" s="14" t="s">
        <v>308</v>
      </c>
      <c r="D358" s="14" t="s">
        <v>789</v>
      </c>
      <c r="E358" s="15" t="str">
        <f>HYPERLINK("https://stat100.ameba.jp/tnk47/ratio20/illustrations/card/ill_49193_0_onmyoudouabenoseimei03.jpg?201903-6-RELEASE-conquest-e-401", "■")</f>
        <v>■</v>
      </c>
      <c r="F358" s="14" t="s">
        <v>790</v>
      </c>
      <c r="G358" s="14">
        <v>100454</v>
      </c>
      <c r="H358" s="14">
        <v>113082</v>
      </c>
      <c r="I358" s="14">
        <v>18</v>
      </c>
      <c r="J358" s="14" t="s">
        <v>351</v>
      </c>
      <c r="K358" s="14" t="s">
        <v>791</v>
      </c>
      <c r="L358" s="14" t="s">
        <v>792</v>
      </c>
      <c r="M358" s="14" t="s">
        <v>9158</v>
      </c>
      <c r="N358" s="14" t="s">
        <v>9158</v>
      </c>
      <c r="O358" s="14" t="s">
        <v>9158</v>
      </c>
      <c r="P358" s="14" t="s">
        <v>9158</v>
      </c>
      <c r="Q358" s="14" t="s">
        <v>9158</v>
      </c>
      <c r="R358" s="14"/>
    </row>
    <row r="359" spans="1:18">
      <c r="A359" s="9">
        <v>75981</v>
      </c>
      <c r="B359" s="14" t="s">
        <v>334</v>
      </c>
      <c r="C359" s="14" t="s">
        <v>268</v>
      </c>
      <c r="D359" s="14" t="s">
        <v>4030</v>
      </c>
      <c r="E359" s="15" t="str">
        <f>HYPERLINK("https://stat100.ameba.jp/tnk47/ratio20/illustrations/card/ill_75981_higashinobugakuengi01.jpg?201903-6-RELEASE-conquest-e-401", "■")</f>
        <v>■</v>
      </c>
      <c r="F359" s="14" t="s">
        <v>4031</v>
      </c>
      <c r="G359" s="14">
        <v>48400</v>
      </c>
      <c r="H359" s="14">
        <v>44000</v>
      </c>
      <c r="I359" s="14">
        <v>22</v>
      </c>
      <c r="J359" s="14" t="s">
        <v>38</v>
      </c>
      <c r="K359" s="14" t="s">
        <v>4032</v>
      </c>
      <c r="L359" s="14" t="s">
        <v>4033</v>
      </c>
      <c r="M359" s="14" t="s">
        <v>9158</v>
      </c>
      <c r="N359" s="14" t="s">
        <v>9158</v>
      </c>
      <c r="O359" s="14" t="s">
        <v>9158</v>
      </c>
      <c r="P359" s="14" t="s">
        <v>9158</v>
      </c>
      <c r="Q359" s="14" t="s">
        <v>9158</v>
      </c>
      <c r="R359" s="14"/>
    </row>
    <row r="360" spans="1:18">
      <c r="A360" s="9">
        <v>75991</v>
      </c>
      <c r="B360" s="14" t="s">
        <v>334</v>
      </c>
      <c r="C360" s="14" t="s">
        <v>269</v>
      </c>
      <c r="D360" s="14" t="s">
        <v>4034</v>
      </c>
      <c r="E360" s="15" t="str">
        <f>HYPERLINK("https://stat100.ameba.jp/tnk47/ratio20/illustrations/card/ill_75991_nishinobugakuengi01.jpg?201903-6-RELEASE-conquest-e-401", "■")</f>
        <v>■</v>
      </c>
      <c r="F360" s="14" t="s">
        <v>4035</v>
      </c>
      <c r="G360" s="14">
        <v>48400</v>
      </c>
      <c r="H360" s="14">
        <v>44000</v>
      </c>
      <c r="I360" s="14">
        <v>22</v>
      </c>
      <c r="J360" s="14" t="s">
        <v>38</v>
      </c>
      <c r="K360" s="14" t="s">
        <v>4036</v>
      </c>
      <c r="L360" s="14" t="s">
        <v>4033</v>
      </c>
      <c r="M360" s="14" t="s">
        <v>9158</v>
      </c>
      <c r="N360" s="14" t="s">
        <v>9158</v>
      </c>
      <c r="O360" s="14" t="s">
        <v>9158</v>
      </c>
      <c r="P360" s="14" t="s">
        <v>9158</v>
      </c>
      <c r="Q360" s="14" t="s">
        <v>9158</v>
      </c>
      <c r="R360" s="14"/>
    </row>
    <row r="361" spans="1:18">
      <c r="A361" s="9">
        <v>76003</v>
      </c>
      <c r="B361" s="14" t="s">
        <v>334</v>
      </c>
      <c r="C361" s="14" t="s">
        <v>270</v>
      </c>
      <c r="D361" s="14" t="s">
        <v>4037</v>
      </c>
      <c r="E361" s="15" t="str">
        <f>HYPERLINK("https://stat100.ameba.jp/tnk47/ratio20/illustrations/card/ill_76003_meibibugakuengi03.jpg?201903-6-RELEASE-conquest-e-401", "■")</f>
        <v>■</v>
      </c>
      <c r="F361" s="14" t="s">
        <v>4038</v>
      </c>
      <c r="G361" s="14">
        <v>117334</v>
      </c>
      <c r="H361" s="14">
        <v>109456</v>
      </c>
      <c r="I361" s="14">
        <v>22</v>
      </c>
      <c r="J361" s="14" t="s">
        <v>38</v>
      </c>
      <c r="K361" s="14" t="s">
        <v>4039</v>
      </c>
      <c r="L361" s="14" t="s">
        <v>4040</v>
      </c>
      <c r="M361" s="14" t="s">
        <v>9158</v>
      </c>
      <c r="N361" s="14" t="s">
        <v>9158</v>
      </c>
      <c r="O361" s="14" t="s">
        <v>9158</v>
      </c>
      <c r="P361" s="14" t="s">
        <v>9158</v>
      </c>
      <c r="Q361" s="14" t="s">
        <v>9158</v>
      </c>
      <c r="R361" s="14"/>
    </row>
    <row r="362" spans="1:18">
      <c r="A362" s="9">
        <v>70101</v>
      </c>
      <c r="B362" s="14" t="s">
        <v>334</v>
      </c>
      <c r="C362" s="14" t="s">
        <v>268</v>
      </c>
      <c r="D362" s="14" t="s">
        <v>4021</v>
      </c>
      <c r="E362" s="15" t="str">
        <f>HYPERLINK("https://stat100.ameba.jp/tnk47/ratio20/illustrations/card/ill_70101_higashinosomeiengi01.jpg?201903-6-RELEASE-conquest-e-401", "■")</f>
        <v>■</v>
      </c>
      <c r="F362" s="14" t="s">
        <v>4022</v>
      </c>
      <c r="G362" s="14">
        <v>53856</v>
      </c>
      <c r="H362" s="14">
        <v>49940</v>
      </c>
      <c r="I362" s="14">
        <v>22</v>
      </c>
      <c r="J362" s="14" t="s">
        <v>414</v>
      </c>
      <c r="K362" s="14" t="s">
        <v>4023</v>
      </c>
      <c r="L362" s="14" t="s">
        <v>1410</v>
      </c>
      <c r="M362" s="14" t="s">
        <v>9158</v>
      </c>
      <c r="N362" s="14" t="s">
        <v>9158</v>
      </c>
      <c r="O362" s="14" t="s">
        <v>9158</v>
      </c>
      <c r="P362" s="14" t="s">
        <v>9158</v>
      </c>
      <c r="Q362" s="14" t="s">
        <v>9158</v>
      </c>
      <c r="R362" s="14"/>
    </row>
    <row r="363" spans="1:18">
      <c r="A363" s="9">
        <v>70111</v>
      </c>
      <c r="B363" s="14" t="s">
        <v>334</v>
      </c>
      <c r="C363" s="14" t="s">
        <v>269</v>
      </c>
      <c r="D363" s="14" t="s">
        <v>4024</v>
      </c>
      <c r="E363" s="15" t="str">
        <f>HYPERLINK("https://stat100.ameba.jp/tnk47/ratio20/illustrations/card/ill_70111_nishinosomeiengi01.jpg?201903-6-RELEASE-conquest-e-401", "■")</f>
        <v>■</v>
      </c>
      <c r="F363" s="14" t="s">
        <v>4025</v>
      </c>
      <c r="G363" s="14">
        <v>53856</v>
      </c>
      <c r="H363" s="14">
        <v>49940</v>
      </c>
      <c r="I363" s="14">
        <v>22</v>
      </c>
      <c r="J363" s="14" t="s">
        <v>414</v>
      </c>
      <c r="K363" s="14" t="s">
        <v>4026</v>
      </c>
      <c r="L363" s="14" t="s">
        <v>1410</v>
      </c>
      <c r="M363" s="14" t="s">
        <v>9158</v>
      </c>
      <c r="N363" s="14" t="s">
        <v>9158</v>
      </c>
      <c r="O363" s="14" t="s">
        <v>9158</v>
      </c>
      <c r="P363" s="14" t="s">
        <v>9158</v>
      </c>
      <c r="Q363" s="14" t="s">
        <v>9158</v>
      </c>
      <c r="R363" s="14"/>
    </row>
    <row r="364" spans="1:18">
      <c r="A364" s="9">
        <v>70123</v>
      </c>
      <c r="B364" s="14" t="s">
        <v>334</v>
      </c>
      <c r="C364" s="14" t="s">
        <v>270</v>
      </c>
      <c r="D364" s="14" t="s">
        <v>4027</v>
      </c>
      <c r="E364" s="15" t="str">
        <f>HYPERLINK("https://stat100.ameba.jp/tnk47/ratio20/illustrations/card/ill_70123_gogakusomeiengi03.jpg?201903-6-RELEASE-conquest-e-401", "■")</f>
        <v>■</v>
      </c>
      <c r="F364" s="14" t="s">
        <v>4028</v>
      </c>
      <c r="G364" s="14">
        <v>105366</v>
      </c>
      <c r="H364" s="14">
        <v>97942</v>
      </c>
      <c r="I364" s="14">
        <v>22</v>
      </c>
      <c r="J364" s="14" t="s">
        <v>414</v>
      </c>
      <c r="K364" s="14" t="s">
        <v>4029</v>
      </c>
      <c r="L364" s="14" t="s">
        <v>855</v>
      </c>
      <c r="M364" s="14" t="s">
        <v>9158</v>
      </c>
      <c r="N364" s="14" t="s">
        <v>9158</v>
      </c>
      <c r="O364" s="14" t="s">
        <v>9158</v>
      </c>
      <c r="P364" s="14" t="s">
        <v>9158</v>
      </c>
      <c r="Q364" s="14" t="s">
        <v>9158</v>
      </c>
      <c r="R364" s="14"/>
    </row>
    <row r="365" spans="1:18">
      <c r="B365" s="14"/>
      <c r="C365" s="14"/>
      <c r="D365" s="14"/>
      <c r="F365" s="14"/>
      <c r="G365" s="14"/>
      <c r="H365" s="14"/>
      <c r="I365" s="14"/>
      <c r="J365" s="14"/>
      <c r="K365" s="14"/>
      <c r="L365" s="14"/>
      <c r="M365" s="14"/>
      <c r="N365" s="14"/>
      <c r="P365" s="14"/>
      <c r="Q365" s="14"/>
      <c r="R365" s="14"/>
    </row>
    <row r="366" spans="1:18">
      <c r="A366" s="14" t="s">
        <v>897</v>
      </c>
      <c r="D366" s="14"/>
      <c r="F366" s="14"/>
      <c r="G366" s="14"/>
      <c r="H366" s="14"/>
      <c r="I366" s="14"/>
      <c r="J366" s="14"/>
      <c r="K366" s="14"/>
      <c r="L366" s="14"/>
      <c r="M366" s="14"/>
      <c r="N366" s="14"/>
      <c r="P366" s="14"/>
      <c r="Q366" s="14"/>
      <c r="R366" s="14"/>
    </row>
    <row r="367" spans="1:18">
      <c r="A367" s="14" t="s">
        <v>4042</v>
      </c>
      <c r="B367" s="14"/>
      <c r="C367" s="14"/>
      <c r="D367" s="14"/>
      <c r="F367" s="14"/>
      <c r="G367" s="14"/>
      <c r="H367" s="14"/>
      <c r="I367" s="14"/>
      <c r="J367" s="14"/>
      <c r="K367" s="14"/>
      <c r="L367" s="14"/>
      <c r="M367" s="14"/>
      <c r="N367" s="14"/>
      <c r="P367" s="14"/>
      <c r="Q367" s="14"/>
      <c r="R367" s="14"/>
    </row>
    <row r="368" spans="1:18">
      <c r="A368" s="9" t="s">
        <v>5804</v>
      </c>
      <c r="B368" s="14" t="s">
        <v>52</v>
      </c>
      <c r="C368" s="14" t="s">
        <v>14</v>
      </c>
      <c r="D368" s="14" t="s">
        <v>3247</v>
      </c>
      <c r="E368" s="15" t="str">
        <f>HYPERLINK("https://stat100.ameba.jp/tnk47/ratio20/illustrations/card/ill_75393_0_resukuinotsukisamaniittausagi03.jpg?201903-6-RELEASE-conquest-e-401", "■")</f>
        <v>■</v>
      </c>
      <c r="F368" s="14" t="s">
        <v>3248</v>
      </c>
      <c r="G368" s="14">
        <v>170856</v>
      </c>
      <c r="H368" s="14">
        <v>158850</v>
      </c>
      <c r="I368" s="14">
        <v>15</v>
      </c>
      <c r="J368" s="14" t="s">
        <v>26</v>
      </c>
      <c r="K368" s="14" t="s">
        <v>3249</v>
      </c>
      <c r="L368" s="14" t="s">
        <v>3250</v>
      </c>
      <c r="M368" s="14" t="s">
        <v>9158</v>
      </c>
      <c r="N368" s="14" t="s">
        <v>9158</v>
      </c>
      <c r="O368" s="17" t="s">
        <v>10051</v>
      </c>
      <c r="P368" s="14" t="s">
        <v>3251</v>
      </c>
      <c r="Q368" s="14">
        <v>2</v>
      </c>
      <c r="R368" s="14"/>
    </row>
    <row r="369" spans="1:18">
      <c r="A369" s="9" t="s">
        <v>5603</v>
      </c>
      <c r="B369" s="14" t="s">
        <v>330</v>
      </c>
      <c r="C369" s="14" t="s">
        <v>205</v>
      </c>
      <c r="D369" s="14" t="s">
        <v>1868</v>
      </c>
      <c r="E369" s="15" t="str">
        <f>HYPERLINK("https://stat100.ameba.jp/tnk47/ratio20/illustrations/card/ill_61893_0_onikirishumiyamotomusashi03.jpg?201903-6-RELEASE-conquest-e-401", "■")</f>
        <v>■</v>
      </c>
      <c r="F369" s="14" t="s">
        <v>612</v>
      </c>
      <c r="G369" s="14">
        <v>140016</v>
      </c>
      <c r="H369" s="14">
        <v>130194</v>
      </c>
      <c r="I369" s="14">
        <v>15</v>
      </c>
      <c r="J369" s="14" t="s">
        <v>310</v>
      </c>
      <c r="K369" s="14" t="s">
        <v>613</v>
      </c>
      <c r="L369" s="14" t="s">
        <v>312</v>
      </c>
      <c r="M369" s="14" t="s">
        <v>9158</v>
      </c>
      <c r="N369" s="14" t="s">
        <v>9158</v>
      </c>
      <c r="O369" s="9" t="s">
        <v>3252</v>
      </c>
      <c r="P369" s="14" t="s">
        <v>3253</v>
      </c>
      <c r="Q369" s="14">
        <v>1</v>
      </c>
      <c r="R369" s="14"/>
    </row>
    <row r="370" spans="1:18">
      <c r="A370" s="9" t="s">
        <v>5608</v>
      </c>
      <c r="B370" s="14" t="s">
        <v>330</v>
      </c>
      <c r="C370" s="14" t="s">
        <v>165</v>
      </c>
      <c r="D370" s="14" t="s">
        <v>634</v>
      </c>
      <c r="E370" s="15" t="str">
        <f>HYPERLINK("https://stat100.ameba.jp/tnk47/ratio20/illustrations/card/ill_40963_0_makami03.jpg?201903-6-RELEASE-conquest-e-401", "■")</f>
        <v>■</v>
      </c>
      <c r="F370" s="14" t="s">
        <v>635</v>
      </c>
      <c r="G370" s="14">
        <v>87780</v>
      </c>
      <c r="H370" s="14">
        <v>82212</v>
      </c>
      <c r="I370" s="14">
        <v>15</v>
      </c>
      <c r="J370" s="14" t="s">
        <v>401</v>
      </c>
      <c r="K370" s="14" t="s">
        <v>636</v>
      </c>
      <c r="L370" s="14" t="s">
        <v>637</v>
      </c>
      <c r="M370" s="14" t="s">
        <v>9158</v>
      </c>
      <c r="N370" s="14" t="s">
        <v>9158</v>
      </c>
      <c r="O370" s="14" t="s">
        <v>9158</v>
      </c>
      <c r="P370" s="14" t="s">
        <v>9158</v>
      </c>
      <c r="Q370" s="14" t="s">
        <v>9158</v>
      </c>
      <c r="R370" s="14"/>
    </row>
    <row r="371" spans="1:18">
      <c r="A371" s="9">
        <v>80423</v>
      </c>
      <c r="B371" s="14" t="s">
        <v>334</v>
      </c>
      <c r="C371" s="14" t="s">
        <v>165</v>
      </c>
      <c r="D371" s="14" t="s">
        <v>4043</v>
      </c>
      <c r="E371" s="15" t="str">
        <f>HYPERLINK("https://stat100.ameba.jp/tnk47/ratio20/illustrations/card/ill_80423_shikyushikimurasakishikibu03.jpg?201903-6-RELEASE-conquest-e-401", "■")</f>
        <v>■</v>
      </c>
      <c r="F371" s="14" t="s">
        <v>4044</v>
      </c>
      <c r="G371" s="14">
        <v>110924</v>
      </c>
      <c r="H371" s="14">
        <v>62414</v>
      </c>
      <c r="I371" s="14">
        <v>23</v>
      </c>
      <c r="J371" s="14" t="s">
        <v>16</v>
      </c>
      <c r="K371" s="14" t="s">
        <v>4045</v>
      </c>
      <c r="L371" s="14" t="s">
        <v>4046</v>
      </c>
      <c r="M371" s="14" t="s">
        <v>9158</v>
      </c>
      <c r="N371" s="14" t="s">
        <v>9158</v>
      </c>
      <c r="O371" s="14" t="s">
        <v>9158</v>
      </c>
      <c r="P371" s="14" t="s">
        <v>9158</v>
      </c>
      <c r="Q371" s="14" t="s">
        <v>9158</v>
      </c>
      <c r="R371" s="14"/>
    </row>
    <row r="372" spans="1:18">
      <c r="A372" s="9">
        <v>56083</v>
      </c>
      <c r="B372" s="14" t="s">
        <v>334</v>
      </c>
      <c r="C372" s="14" t="s">
        <v>200</v>
      </c>
      <c r="D372" s="14" t="s">
        <v>4047</v>
      </c>
      <c r="E372" s="15" t="str">
        <f>HYPERLINK("https://stat100.ameba.jp/tnk47/ratio20/illustrations/card/ill_56083_tanakashozo03.jpg?201903-6-RELEASE-conquest-e-401", "■")</f>
        <v>■</v>
      </c>
      <c r="F372" s="14" t="s">
        <v>4048</v>
      </c>
      <c r="G372" s="14">
        <v>82436</v>
      </c>
      <c r="H372" s="14">
        <v>59264</v>
      </c>
      <c r="I372" s="14">
        <v>19</v>
      </c>
      <c r="J372" s="14" t="s">
        <v>351</v>
      </c>
      <c r="K372" s="14" t="s">
        <v>4049</v>
      </c>
      <c r="L372" s="14" t="s">
        <v>4050</v>
      </c>
      <c r="M372" s="14" t="s">
        <v>9158</v>
      </c>
      <c r="N372" s="14" t="s">
        <v>9158</v>
      </c>
      <c r="O372" s="14" t="s">
        <v>9158</v>
      </c>
      <c r="P372" s="14" t="s">
        <v>9158</v>
      </c>
      <c r="Q372" s="14" t="s">
        <v>9158</v>
      </c>
      <c r="R372" s="14"/>
    </row>
    <row r="373" spans="1:18">
      <c r="A373" s="9">
        <v>65093</v>
      </c>
      <c r="B373" s="14" t="s">
        <v>334</v>
      </c>
      <c r="C373" s="14" t="s">
        <v>206</v>
      </c>
      <c r="D373" s="14" t="s">
        <v>4051</v>
      </c>
      <c r="E373" s="15" t="str">
        <f>HYPERLINK("https://stat100.ameba.jp/tnk47/ratio20/illustrations/card/ill_65093_kyusukumizutachibanaginchiyo03.jpg?201903-6-RELEASE-conquest-e-401", "■")</f>
        <v>■</v>
      </c>
      <c r="F373" s="14" t="s">
        <v>4052</v>
      </c>
      <c r="G373" s="14">
        <v>74215</v>
      </c>
      <c r="H373" s="14">
        <v>68977</v>
      </c>
      <c r="I373" s="14">
        <v>19</v>
      </c>
      <c r="J373" s="14" t="s">
        <v>77</v>
      </c>
      <c r="K373" s="14" t="s">
        <v>4053</v>
      </c>
      <c r="L373" s="14" t="s">
        <v>76</v>
      </c>
      <c r="M373" s="14" t="s">
        <v>9158</v>
      </c>
      <c r="N373" s="14" t="s">
        <v>9158</v>
      </c>
      <c r="O373" s="14" t="s">
        <v>9158</v>
      </c>
      <c r="P373" s="14" t="s">
        <v>9158</v>
      </c>
      <c r="Q373" s="14" t="s">
        <v>9158</v>
      </c>
      <c r="R373" s="14"/>
    </row>
    <row r="374" spans="1:18">
      <c r="A374" s="9">
        <v>70533</v>
      </c>
      <c r="B374" s="14" t="s">
        <v>348</v>
      </c>
      <c r="C374" s="14" t="s">
        <v>206</v>
      </c>
      <c r="D374" s="14" t="s">
        <v>4054</v>
      </c>
      <c r="E374" s="15" t="str">
        <f>HYPERLINK("https://stat100.ameba.jp/tnk47/ratio20/illustrations/card/ill_70533_shitsunaipuruchochofujin03.jpg?201903-6-RELEASE-conquest-e-401", "■")</f>
        <v>■</v>
      </c>
      <c r="F374" s="14" t="s">
        <v>4055</v>
      </c>
      <c r="G374" s="14">
        <v>68172</v>
      </c>
      <c r="H374" s="14">
        <v>61832</v>
      </c>
      <c r="I374" s="14">
        <v>23</v>
      </c>
      <c r="J374" s="14" t="s">
        <v>274</v>
      </c>
      <c r="K374" s="14" t="s">
        <v>4056</v>
      </c>
      <c r="L374" s="14" t="s">
        <v>4057</v>
      </c>
      <c r="M374" s="14" t="s">
        <v>9158</v>
      </c>
      <c r="N374" s="14" t="s">
        <v>9158</v>
      </c>
      <c r="O374" s="14" t="s">
        <v>9158</v>
      </c>
      <c r="P374" s="14" t="s">
        <v>9158</v>
      </c>
      <c r="Q374" s="14" t="s">
        <v>9158</v>
      </c>
      <c r="R374" s="14"/>
    </row>
    <row r="375" spans="1:18">
      <c r="A375" s="9">
        <v>68863</v>
      </c>
      <c r="B375" s="14" t="s">
        <v>348</v>
      </c>
      <c r="C375" s="14" t="s">
        <v>165</v>
      </c>
      <c r="D375" s="14" t="s">
        <v>4058</v>
      </c>
      <c r="E375" s="15" t="str">
        <f>HYPERLINK("https://stat100.ameba.jp/tnk47/ratio20/illustrations/card/ill_68863_karutawakaruhimenomikoto03.jpg?201903-6-RELEASE-conquest-e-401", "■")</f>
        <v>■</v>
      </c>
      <c r="F375" s="14" t="s">
        <v>4059</v>
      </c>
      <c r="G375" s="14">
        <v>68172</v>
      </c>
      <c r="H375" s="14">
        <v>61832</v>
      </c>
      <c r="I375" s="14">
        <v>23</v>
      </c>
      <c r="J375" s="14" t="s">
        <v>401</v>
      </c>
      <c r="K375" s="14" t="s">
        <v>4060</v>
      </c>
      <c r="L375" s="14" t="s">
        <v>4061</v>
      </c>
      <c r="M375" s="14" t="s">
        <v>9158</v>
      </c>
      <c r="N375" s="14" t="s">
        <v>9158</v>
      </c>
      <c r="O375" s="14" t="s">
        <v>9158</v>
      </c>
      <c r="P375" s="14" t="s">
        <v>9158</v>
      </c>
      <c r="Q375" s="14" t="s">
        <v>9158</v>
      </c>
      <c r="R375" s="14"/>
    </row>
    <row r="376" spans="1:18">
      <c r="A376" s="9">
        <v>73263</v>
      </c>
      <c r="B376" s="14" t="s">
        <v>348</v>
      </c>
      <c r="C376" s="14" t="s">
        <v>185</v>
      </c>
      <c r="D376" s="14" t="s">
        <v>4062</v>
      </c>
      <c r="E376" s="15" t="str">
        <f>HYPERLINK("https://stat100.ameba.jp/tnk47/ratio20/illustrations/card/ill_73263_ajisainiijimayae03.jpg?201903-6-RELEASE-conquest-e-401", "■")</f>
        <v>■</v>
      </c>
      <c r="F376" s="14" t="s">
        <v>4063</v>
      </c>
      <c r="G376" s="14">
        <v>68172</v>
      </c>
      <c r="H376" s="14">
        <v>61832</v>
      </c>
      <c r="I376" s="14">
        <v>23</v>
      </c>
      <c r="J376" s="14" t="s">
        <v>351</v>
      </c>
      <c r="K376" s="14" t="s">
        <v>4064</v>
      </c>
      <c r="L376" s="14" t="s">
        <v>473</v>
      </c>
      <c r="M376" s="14" t="s">
        <v>9158</v>
      </c>
      <c r="N376" s="14" t="s">
        <v>9158</v>
      </c>
      <c r="O376" s="14" t="s">
        <v>9158</v>
      </c>
      <c r="P376" s="14" t="s">
        <v>9158</v>
      </c>
      <c r="Q376" s="14" t="s">
        <v>9158</v>
      </c>
      <c r="R376" s="14"/>
    </row>
    <row r="377" spans="1:18">
      <c r="B377" s="14"/>
      <c r="C377" s="14"/>
      <c r="D377" s="14"/>
      <c r="F377" s="14"/>
      <c r="G377" s="14"/>
      <c r="H377" s="14"/>
      <c r="I377" s="14"/>
      <c r="J377" s="14"/>
      <c r="K377" s="14"/>
      <c r="L377" s="14"/>
      <c r="M377" s="14"/>
      <c r="N377" s="14"/>
      <c r="P377" s="14"/>
      <c r="Q377" s="14"/>
      <c r="R377" s="14"/>
    </row>
    <row r="378" spans="1:18">
      <c r="A378" s="14" t="s">
        <v>4065</v>
      </c>
      <c r="D378" s="14"/>
      <c r="F378" s="14"/>
      <c r="G378" s="14"/>
      <c r="H378" s="14"/>
      <c r="I378" s="14"/>
      <c r="J378" s="14"/>
      <c r="K378" s="14"/>
      <c r="L378" s="14"/>
      <c r="M378" s="14"/>
      <c r="N378" s="14"/>
      <c r="P378" s="14"/>
      <c r="Q378" s="14"/>
      <c r="R378" s="14"/>
    </row>
    <row r="379" spans="1:18">
      <c r="A379" s="14" t="s">
        <v>4066</v>
      </c>
      <c r="B379" s="14"/>
      <c r="C379" s="14"/>
      <c r="D379" s="14"/>
      <c r="F379" s="14"/>
      <c r="G379" s="14"/>
      <c r="H379" s="14"/>
      <c r="I379" s="14"/>
      <c r="J379" s="14"/>
      <c r="K379" s="14"/>
      <c r="L379" s="14"/>
      <c r="M379" s="14"/>
      <c r="N379" s="14"/>
      <c r="P379" s="14"/>
      <c r="Q379" s="14"/>
      <c r="R379" s="14"/>
    </row>
    <row r="380" spans="1:18">
      <c r="A380" s="9" t="s">
        <v>5891</v>
      </c>
      <c r="B380" s="14" t="s">
        <v>330</v>
      </c>
      <c r="C380" s="14" t="s">
        <v>202</v>
      </c>
      <c r="D380" s="14" t="s">
        <v>1371</v>
      </c>
      <c r="E380" s="15" t="str">
        <f>HYPERLINK("https://stat100.ameba.jp/tnk47/ratio20/illustrations/card/ill_77173_0_yukemuritomoegozen03.jpg?201903-6-RELEASE-conquest-e-401", "■")</f>
        <v>■</v>
      </c>
      <c r="F380" s="14" t="s">
        <v>1372</v>
      </c>
      <c r="G380" s="14">
        <v>230560</v>
      </c>
      <c r="H380" s="14">
        <v>255101</v>
      </c>
      <c r="I380" s="14">
        <v>23</v>
      </c>
      <c r="J380" s="14" t="s">
        <v>310</v>
      </c>
      <c r="K380" s="14" t="s">
        <v>1373</v>
      </c>
      <c r="L380" s="14" t="s">
        <v>1374</v>
      </c>
      <c r="M380" s="14" t="s">
        <v>9158</v>
      </c>
      <c r="N380" s="14" t="s">
        <v>9158</v>
      </c>
      <c r="O380" s="9" t="s">
        <v>4067</v>
      </c>
      <c r="P380" s="14" t="s">
        <v>4068</v>
      </c>
      <c r="Q380" s="14">
        <v>2</v>
      </c>
      <c r="R380" s="14"/>
    </row>
    <row r="381" spans="1:18">
      <c r="A381" s="9">
        <v>71343</v>
      </c>
      <c r="B381" s="14" t="s">
        <v>334</v>
      </c>
      <c r="C381" s="14" t="s">
        <v>185</v>
      </c>
      <c r="D381" s="14" t="s">
        <v>2505</v>
      </c>
      <c r="E381" s="15" t="str">
        <f>HYPERLINK("https://stat100.ameba.jp/tnk47/ratio20/illustrations/card/ill_71343_ohanamimatehime03.jpg?201903-6-RELEASE-conquest-e-401", "■")</f>
        <v>■</v>
      </c>
      <c r="F381" s="14" t="s">
        <v>536</v>
      </c>
      <c r="G381" s="14">
        <v>79868</v>
      </c>
      <c r="H381" s="14">
        <v>85934</v>
      </c>
      <c r="I381" s="14">
        <v>22</v>
      </c>
      <c r="J381" s="14" t="s">
        <v>315</v>
      </c>
      <c r="K381" s="14" t="s">
        <v>4069</v>
      </c>
      <c r="L381" s="14" t="s">
        <v>4070</v>
      </c>
      <c r="M381" s="14" t="s">
        <v>9158</v>
      </c>
      <c r="N381" s="14" t="s">
        <v>9158</v>
      </c>
      <c r="O381" s="9" t="s">
        <v>2752</v>
      </c>
      <c r="P381" s="14" t="s">
        <v>13123</v>
      </c>
      <c r="Q381" s="14">
        <v>1</v>
      </c>
      <c r="R381" s="14"/>
    </row>
    <row r="382" spans="1:18">
      <c r="A382" s="9">
        <v>69533</v>
      </c>
      <c r="B382" s="14" t="s">
        <v>334</v>
      </c>
      <c r="C382" s="14" t="s">
        <v>307</v>
      </c>
      <c r="D382" s="14" t="s">
        <v>137</v>
      </c>
      <c r="E382" s="15" t="str">
        <f>HYPERLINK("https://stat100.ameba.jp/tnk47/ratio20/illustrations/card/ill_69533_setsubunodainokata03.jpg?201903-6-RELEASE-conquest-e-401", "■")</f>
        <v>■</v>
      </c>
      <c r="F382" s="14" t="s">
        <v>538</v>
      </c>
      <c r="G382" s="14">
        <v>85934</v>
      </c>
      <c r="H382" s="14">
        <v>79868</v>
      </c>
      <c r="I382" s="14">
        <v>22</v>
      </c>
      <c r="J382" s="14" t="s">
        <v>351</v>
      </c>
      <c r="K382" s="14" t="s">
        <v>4071</v>
      </c>
      <c r="L382" s="14" t="s">
        <v>4072</v>
      </c>
      <c r="M382" s="14" t="s">
        <v>9158</v>
      </c>
      <c r="N382" s="14" t="s">
        <v>9158</v>
      </c>
      <c r="O382" s="17" t="s">
        <v>10055</v>
      </c>
      <c r="P382" s="14" t="s">
        <v>13124</v>
      </c>
      <c r="Q382" s="14">
        <v>1</v>
      </c>
      <c r="R382" s="14"/>
    </row>
    <row r="383" spans="1:18">
      <c r="A383" s="9">
        <v>67103</v>
      </c>
      <c r="B383" s="14" t="s">
        <v>334</v>
      </c>
      <c r="C383" s="14" t="s">
        <v>154</v>
      </c>
      <c r="D383" s="14" t="s">
        <v>1282</v>
      </c>
      <c r="E383" s="15" t="str">
        <f>HYPERLINK("https://stat100.ameba.jp/tnk47/ratio20/illustrations/card/ill_67103_ankonabe03.jpg?201903-6-RELEASE-conquest-e-401", "■")</f>
        <v>■</v>
      </c>
      <c r="F383" s="14" t="s">
        <v>4073</v>
      </c>
      <c r="G383" s="14">
        <v>84220</v>
      </c>
      <c r="H383" s="14">
        <v>116286</v>
      </c>
      <c r="I383" s="14">
        <v>22</v>
      </c>
      <c r="J383" s="14" t="s">
        <v>216</v>
      </c>
      <c r="K383" s="14" t="s">
        <v>1284</v>
      </c>
      <c r="L383" s="14" t="s">
        <v>13153</v>
      </c>
      <c r="M383" s="14" t="s">
        <v>9158</v>
      </c>
      <c r="N383" s="14" t="s">
        <v>9158</v>
      </c>
      <c r="O383" s="9" t="s">
        <v>4074</v>
      </c>
      <c r="P383" s="14" t="s">
        <v>4075</v>
      </c>
      <c r="Q383" s="14">
        <v>1</v>
      </c>
      <c r="R383" s="14"/>
    </row>
    <row r="384" spans="1:18">
      <c r="B384" s="14"/>
      <c r="C384" s="14"/>
      <c r="D384" s="14"/>
      <c r="F384" s="14"/>
      <c r="G384" s="14"/>
      <c r="H384" s="14"/>
      <c r="I384" s="14"/>
      <c r="J384" s="14"/>
      <c r="K384" s="14"/>
      <c r="L384" s="14"/>
      <c r="M384" s="14"/>
      <c r="N384" s="14"/>
      <c r="P384" s="14"/>
      <c r="Q384" s="14"/>
      <c r="R384" s="14"/>
    </row>
    <row r="385" spans="1:18">
      <c r="A385" s="14" t="s">
        <v>4076</v>
      </c>
      <c r="D385" s="14"/>
      <c r="F385" s="14"/>
      <c r="G385" s="14"/>
      <c r="H385" s="14"/>
      <c r="I385" s="14"/>
      <c r="J385" s="14"/>
      <c r="K385" s="14"/>
      <c r="L385" s="14"/>
      <c r="M385" s="14"/>
      <c r="N385" s="14"/>
      <c r="P385" s="14"/>
      <c r="Q385" s="14"/>
      <c r="R385" s="14"/>
    </row>
    <row r="386" spans="1:18">
      <c r="A386" s="14" t="s">
        <v>4077</v>
      </c>
      <c r="B386" s="14"/>
      <c r="C386" s="14"/>
      <c r="D386" s="14"/>
      <c r="F386" s="14"/>
      <c r="G386" s="14"/>
      <c r="H386" s="14"/>
      <c r="I386" s="14"/>
      <c r="J386" s="14"/>
      <c r="K386" s="14"/>
      <c r="L386" s="14"/>
      <c r="M386" s="14"/>
      <c r="N386" s="14"/>
      <c r="P386" s="14"/>
      <c r="Q386" s="14"/>
      <c r="R386" s="14"/>
    </row>
    <row r="387" spans="1:18">
      <c r="A387" s="9" t="s">
        <v>5899</v>
      </c>
      <c r="B387" s="14" t="s">
        <v>52</v>
      </c>
      <c r="C387" s="14" t="s">
        <v>205</v>
      </c>
      <c r="D387" s="14" t="s">
        <v>1185</v>
      </c>
      <c r="E387" s="15" t="str">
        <f>HYPERLINK("https://stat100.ameba.jp/tnk47/ratio20/illustrations/card/ill_73773_0_umibirakiinugamigyobu03.jpg?201903-6-RELEASE-conquest-e-401", "■")</f>
        <v>■</v>
      </c>
      <c r="F387" s="14" t="s">
        <v>935</v>
      </c>
      <c r="G387" s="14">
        <v>130160</v>
      </c>
      <c r="H387" s="14">
        <v>139999</v>
      </c>
      <c r="I387" s="14">
        <v>15</v>
      </c>
      <c r="J387" s="14" t="s">
        <v>73</v>
      </c>
      <c r="K387" s="14" t="s">
        <v>1186</v>
      </c>
      <c r="L387" s="14" t="s">
        <v>1187</v>
      </c>
      <c r="M387" s="14" t="s">
        <v>9158</v>
      </c>
      <c r="N387" s="14" t="s">
        <v>9158</v>
      </c>
      <c r="O387" s="9" t="s">
        <v>2978</v>
      </c>
      <c r="P387" s="14" t="s">
        <v>2979</v>
      </c>
      <c r="Q387" s="14">
        <v>2</v>
      </c>
      <c r="R387" s="14"/>
    </row>
    <row r="388" spans="1:18">
      <c r="A388" s="9" t="s">
        <v>5725</v>
      </c>
      <c r="B388" s="14" t="s">
        <v>52</v>
      </c>
      <c r="C388" s="14" t="s">
        <v>107</v>
      </c>
      <c r="D388" s="14" t="s">
        <v>55</v>
      </c>
      <c r="E388" s="15" t="str">
        <f>HYPERLINK("https://stat100.ameba.jp/tnk47/ratio20/illustrations/card/ill_52693_0_sengokumibirakiyanagiharabyakuren03.jpg?201903-6-RELEASE-conquest-e-401", "■")</f>
        <v>■</v>
      </c>
      <c r="F388" s="14" t="s">
        <v>1246</v>
      </c>
      <c r="G388" s="14">
        <v>83712</v>
      </c>
      <c r="H388" s="14">
        <v>94236</v>
      </c>
      <c r="I388" s="14">
        <v>15</v>
      </c>
      <c r="J388" s="14" t="s">
        <v>16</v>
      </c>
      <c r="K388" s="14" t="s">
        <v>1247</v>
      </c>
      <c r="L388" s="14" t="s">
        <v>1248</v>
      </c>
      <c r="M388" s="14" t="s">
        <v>9158</v>
      </c>
      <c r="N388" s="14" t="s">
        <v>9158</v>
      </c>
      <c r="O388" s="9" t="s">
        <v>3303</v>
      </c>
      <c r="P388" s="14" t="s">
        <v>3304</v>
      </c>
      <c r="Q388" s="14">
        <v>1</v>
      </c>
      <c r="R388" s="14"/>
    </row>
    <row r="389" spans="1:18">
      <c r="A389" s="9" t="s">
        <v>5830</v>
      </c>
      <c r="B389" s="14" t="s">
        <v>52</v>
      </c>
      <c r="C389" s="14" t="s">
        <v>191</v>
      </c>
      <c r="D389" s="14" t="s">
        <v>1719</v>
      </c>
      <c r="E389" s="15" t="str">
        <f>HYPERLINK("https://stat100.ameba.jp/tnk47/ratio20/illustrations/card/ill_39933_0_reihiiinaotora03.jpg?201903-6-RELEASE-conquest-e-401", "■")</f>
        <v>■</v>
      </c>
      <c r="F389" s="14" t="s">
        <v>1720</v>
      </c>
      <c r="G389" s="14">
        <v>82212</v>
      </c>
      <c r="H389" s="14">
        <v>87780</v>
      </c>
      <c r="I389" s="14">
        <v>15</v>
      </c>
      <c r="J389" s="14" t="s">
        <v>77</v>
      </c>
      <c r="K389" s="14" t="s">
        <v>1721</v>
      </c>
      <c r="L389" s="14" t="s">
        <v>1722</v>
      </c>
      <c r="M389" s="14" t="s">
        <v>9158</v>
      </c>
      <c r="N389" s="14" t="s">
        <v>9158</v>
      </c>
      <c r="O389" s="14" t="s">
        <v>9158</v>
      </c>
      <c r="P389" s="14" t="s">
        <v>9158</v>
      </c>
      <c r="Q389" s="14" t="s">
        <v>9158</v>
      </c>
      <c r="R389" s="14"/>
    </row>
    <row r="390" spans="1:18">
      <c r="A390" s="9">
        <v>80413</v>
      </c>
      <c r="B390" s="14" t="s">
        <v>334</v>
      </c>
      <c r="C390" s="14" t="s">
        <v>14</v>
      </c>
      <c r="D390" s="14" t="s">
        <v>4078</v>
      </c>
      <c r="E390" s="15" t="str">
        <f>HYPERLINK("https://stat100.ameba.jp/tnk47/ratio20/illustrations/card/ill_80413_shikyushikitadanomakuzu03.jpg?201903-6-RELEASE-conquest-e-401", "■")</f>
        <v>■</v>
      </c>
      <c r="F390" s="14" t="s">
        <v>4079</v>
      </c>
      <c r="G390" s="14">
        <v>65176</v>
      </c>
      <c r="H390" s="14">
        <v>115855</v>
      </c>
      <c r="I390" s="14">
        <v>23</v>
      </c>
      <c r="J390" s="14" t="s">
        <v>10</v>
      </c>
      <c r="K390" s="14" t="s">
        <v>4080</v>
      </c>
      <c r="L390" s="14" t="s">
        <v>4081</v>
      </c>
      <c r="M390" s="14" t="s">
        <v>9158</v>
      </c>
      <c r="N390" s="14" t="s">
        <v>9158</v>
      </c>
      <c r="O390" s="14" t="s">
        <v>9158</v>
      </c>
      <c r="P390" s="14" t="s">
        <v>9158</v>
      </c>
      <c r="Q390" s="14" t="s">
        <v>9158</v>
      </c>
      <c r="R390" s="14"/>
    </row>
    <row r="391" spans="1:18">
      <c r="A391" s="9">
        <v>73513</v>
      </c>
      <c r="B391" s="14" t="s">
        <v>334</v>
      </c>
      <c r="C391" s="14" t="s">
        <v>107</v>
      </c>
      <c r="D391" s="14" t="s">
        <v>4082</v>
      </c>
      <c r="E391" s="15" t="str">
        <f>HYPERLINK("https://stat100.ameba.jp/tnk47/ratio20/illustrations/card/ill_73513_shimazutokiwa03.jpg?201903-6-RELEASE-conquest-e-401", "■")</f>
        <v>■</v>
      </c>
      <c r="F391" s="14" t="s">
        <v>4083</v>
      </c>
      <c r="G391" s="14">
        <v>51560</v>
      </c>
      <c r="H391" s="14">
        <v>91632</v>
      </c>
      <c r="I391" s="14">
        <v>19</v>
      </c>
      <c r="J391" s="14" t="s">
        <v>77</v>
      </c>
      <c r="K391" s="14" t="s">
        <v>4084</v>
      </c>
      <c r="L391" s="14" t="s">
        <v>969</v>
      </c>
      <c r="M391" s="14" t="s">
        <v>9158</v>
      </c>
      <c r="N391" s="14" t="s">
        <v>9158</v>
      </c>
      <c r="O391" s="14" t="s">
        <v>9158</v>
      </c>
      <c r="P391" s="14" t="s">
        <v>9158</v>
      </c>
      <c r="Q391" s="14" t="s">
        <v>9158</v>
      </c>
      <c r="R391" s="14"/>
    </row>
    <row r="392" spans="1:18">
      <c r="A392" s="9">
        <v>70523</v>
      </c>
      <c r="B392" s="14" t="s">
        <v>0</v>
      </c>
      <c r="C392" s="14" t="s">
        <v>191</v>
      </c>
      <c r="D392" s="14" t="s">
        <v>1994</v>
      </c>
      <c r="E392" s="15" t="str">
        <f>HYPERLINK("https://stat100.ameba.jp/tnk47/ratio20/illustrations/card/ill_70523_shitsunaipurumochizukichiyome03.jpg?201903-6-RELEASE-conquest-e-401", "■")</f>
        <v>■</v>
      </c>
      <c r="F392" s="14" t="s">
        <v>1995</v>
      </c>
      <c r="G392" s="14">
        <v>71663</v>
      </c>
      <c r="H392" s="14">
        <v>77043</v>
      </c>
      <c r="I392" s="14">
        <v>19</v>
      </c>
      <c r="J392" s="14" t="s">
        <v>16</v>
      </c>
      <c r="K392" s="14" t="s">
        <v>1996</v>
      </c>
      <c r="L392" s="14" t="s">
        <v>1997</v>
      </c>
      <c r="M392" s="14" t="s">
        <v>9158</v>
      </c>
      <c r="N392" s="14" t="s">
        <v>9158</v>
      </c>
      <c r="O392" s="14" t="s">
        <v>9158</v>
      </c>
      <c r="P392" s="14" t="s">
        <v>9158</v>
      </c>
      <c r="Q392" s="14" t="s">
        <v>9158</v>
      </c>
      <c r="R392" s="14"/>
    </row>
    <row r="393" spans="1:18">
      <c r="A393" s="9">
        <v>63233</v>
      </c>
      <c r="B393" s="14" t="s">
        <v>348</v>
      </c>
      <c r="C393" s="14" t="s">
        <v>205</v>
      </c>
      <c r="D393" s="14" t="s">
        <v>3316</v>
      </c>
      <c r="E393" s="15" t="str">
        <f>HYPERLINK("https://stat100.ameba.jp/tnk47/ratio20/illustrations/card/ill_63233_kyupiddohayaakitsuhimenomikoto03.jpg?201903-6-RELEASE-conquest-e-401", "■")</f>
        <v>■</v>
      </c>
      <c r="F393" s="14" t="s">
        <v>3317</v>
      </c>
      <c r="G393" s="14">
        <v>61832</v>
      </c>
      <c r="H393" s="14">
        <v>68172</v>
      </c>
      <c r="I393" s="14">
        <v>23</v>
      </c>
      <c r="J393" s="14" t="s">
        <v>44</v>
      </c>
      <c r="K393" s="14" t="s">
        <v>3318</v>
      </c>
      <c r="L393" s="14" t="s">
        <v>3319</v>
      </c>
      <c r="M393" s="14" t="s">
        <v>9158</v>
      </c>
      <c r="N393" s="14" t="s">
        <v>9158</v>
      </c>
      <c r="O393" s="14" t="s">
        <v>9158</v>
      </c>
      <c r="P393" s="14" t="s">
        <v>9158</v>
      </c>
      <c r="Q393" s="14" t="s">
        <v>9158</v>
      </c>
      <c r="R393" s="14"/>
    </row>
    <row r="394" spans="1:18">
      <c r="A394" s="9">
        <v>64203</v>
      </c>
      <c r="B394" s="14" t="s">
        <v>348</v>
      </c>
      <c r="C394" s="14" t="s">
        <v>200</v>
      </c>
      <c r="D394" s="14" t="s">
        <v>3320</v>
      </c>
      <c r="E394" s="15" t="str">
        <f>HYPERLINK("https://stat100.ameba.jp/tnk47/ratio20/illustrations/card/ill_64203_meikoazabunooneko03.jpg?201903-6-RELEASE-conquest-e-401", "■")</f>
        <v>■</v>
      </c>
      <c r="F394" s="14" t="s">
        <v>3321</v>
      </c>
      <c r="G394" s="14">
        <v>61832</v>
      </c>
      <c r="H394" s="14">
        <v>68172</v>
      </c>
      <c r="I394" s="14">
        <v>23</v>
      </c>
      <c r="J394" s="14" t="s">
        <v>73</v>
      </c>
      <c r="K394" s="14" t="s">
        <v>3322</v>
      </c>
      <c r="L394" s="14" t="s">
        <v>1706</v>
      </c>
      <c r="M394" s="14" t="s">
        <v>9158</v>
      </c>
      <c r="N394" s="14" t="s">
        <v>9158</v>
      </c>
      <c r="O394" s="14" t="s">
        <v>9158</v>
      </c>
      <c r="P394" s="14" t="s">
        <v>9158</v>
      </c>
      <c r="Q394" s="14" t="s">
        <v>9158</v>
      </c>
      <c r="R394" s="14"/>
    </row>
    <row r="395" spans="1:18">
      <c r="A395" s="9">
        <v>68473</v>
      </c>
      <c r="B395" s="14" t="s">
        <v>348</v>
      </c>
      <c r="C395" s="14" t="s">
        <v>185</v>
      </c>
      <c r="D395" s="14" t="s">
        <v>3323</v>
      </c>
      <c r="E395" s="15" t="str">
        <f>HYPERLINK("https://stat100.ameba.jp/tnk47/ratio20/illustrations/card/ill_68473_sunogurabianakanotakeko03.jpg?201903-6-RELEASE-conquest-e-401", "■")</f>
        <v>■</v>
      </c>
      <c r="F395" s="14" t="s">
        <v>3324</v>
      </c>
      <c r="G395" s="14">
        <v>61832</v>
      </c>
      <c r="H395" s="14">
        <v>68172</v>
      </c>
      <c r="I395" s="14">
        <v>23</v>
      </c>
      <c r="J395" s="14" t="s">
        <v>143</v>
      </c>
      <c r="K395" s="14" t="s">
        <v>3325</v>
      </c>
      <c r="L395" s="14" t="s">
        <v>3326</v>
      </c>
      <c r="M395" s="14" t="s">
        <v>9158</v>
      </c>
      <c r="N395" s="14" t="s">
        <v>9158</v>
      </c>
      <c r="O395" s="14" t="s">
        <v>9158</v>
      </c>
      <c r="P395" s="14" t="s">
        <v>9158</v>
      </c>
      <c r="Q395" s="14" t="s">
        <v>9158</v>
      </c>
      <c r="R395" s="14"/>
    </row>
    <row r="396" spans="1:18">
      <c r="B396" s="14"/>
      <c r="C396" s="14"/>
      <c r="D396" s="14"/>
      <c r="F396" s="14"/>
      <c r="G396" s="14"/>
      <c r="H396" s="14"/>
      <c r="I396" s="14"/>
      <c r="J396" s="14"/>
      <c r="K396" s="14"/>
      <c r="L396" s="14"/>
      <c r="M396" s="14"/>
      <c r="N396" s="14"/>
      <c r="P396" s="14"/>
      <c r="Q396" s="14"/>
      <c r="R396" s="14"/>
    </row>
    <row r="397" spans="1:18">
      <c r="A397" s="14" t="s">
        <v>3795</v>
      </c>
      <c r="D397" s="14"/>
      <c r="F397" s="14"/>
      <c r="G397" s="14"/>
      <c r="H397" s="14"/>
      <c r="I397" s="14"/>
      <c r="J397" s="14"/>
      <c r="K397" s="14"/>
      <c r="L397" s="14"/>
      <c r="M397" s="14"/>
      <c r="N397" s="14"/>
      <c r="P397" s="14"/>
      <c r="Q397" s="14"/>
      <c r="R397" s="14"/>
    </row>
    <row r="398" spans="1:18">
      <c r="A398" s="14" t="s">
        <v>4085</v>
      </c>
      <c r="B398" s="14"/>
      <c r="C398" s="14"/>
      <c r="D398" s="14"/>
      <c r="F398" s="14"/>
      <c r="G398" s="14"/>
      <c r="H398" s="14"/>
      <c r="I398" s="14"/>
      <c r="J398" s="14"/>
      <c r="K398" s="14"/>
      <c r="L398" s="14"/>
      <c r="M398" s="14"/>
      <c r="N398" s="14"/>
      <c r="P398" s="14"/>
      <c r="Q398" s="14"/>
      <c r="R398" s="14"/>
    </row>
    <row r="399" spans="1:18">
      <c r="A399" s="9" t="s">
        <v>5617</v>
      </c>
      <c r="B399" s="14" t="s">
        <v>52</v>
      </c>
      <c r="C399" s="14" t="s">
        <v>165</v>
      </c>
      <c r="D399" s="14" t="s">
        <v>982</v>
      </c>
      <c r="E399" s="15" t="str">
        <f>HYPERLINK("https://stat100.ameba.jp/tnk47/ratio20/illustrations/card/ill_59673_0_oheyashutendoji03.jpg?201903-6-RELEASE-conquest-e-401", "■")</f>
        <v>■</v>
      </c>
      <c r="F399" s="14" t="s">
        <v>983</v>
      </c>
      <c r="G399" s="14">
        <v>105545</v>
      </c>
      <c r="H399" s="14">
        <v>113525</v>
      </c>
      <c r="I399" s="14">
        <v>15</v>
      </c>
      <c r="J399" s="14" t="s">
        <v>73</v>
      </c>
      <c r="K399" s="14" t="s">
        <v>984</v>
      </c>
      <c r="L399" s="14" t="s">
        <v>985</v>
      </c>
      <c r="M399" s="14" t="s">
        <v>9158</v>
      </c>
      <c r="N399" s="14" t="s">
        <v>9158</v>
      </c>
      <c r="O399" s="17" t="s">
        <v>10058</v>
      </c>
      <c r="P399" s="14" t="s">
        <v>3330</v>
      </c>
      <c r="Q399" s="14">
        <v>1</v>
      </c>
      <c r="R399" s="14"/>
    </row>
    <row r="400" spans="1:18">
      <c r="A400" s="9" t="s">
        <v>5609</v>
      </c>
      <c r="B400" s="14" t="s">
        <v>52</v>
      </c>
      <c r="C400" s="14" t="s">
        <v>200</v>
      </c>
      <c r="D400" s="14" t="s">
        <v>56</v>
      </c>
      <c r="E400" s="15" t="str">
        <f>HYPERLINK("https://stat100.ameba.jp/tnk47/ratio20/illustrations/card/ill_53753_0_natsumatsuritokugawaieyasu03.jpg?201903-6-RELEASE-conquest-e-401", "■")</f>
        <v>■</v>
      </c>
      <c r="F400" s="14" t="s">
        <v>902</v>
      </c>
      <c r="G400" s="14">
        <v>94236</v>
      </c>
      <c r="H400" s="14">
        <v>83712</v>
      </c>
      <c r="I400" s="14">
        <v>15</v>
      </c>
      <c r="J400" s="14" t="s">
        <v>143</v>
      </c>
      <c r="K400" s="14" t="s">
        <v>903</v>
      </c>
      <c r="L400" s="14" t="s">
        <v>904</v>
      </c>
      <c r="M400" s="14" t="s">
        <v>9158</v>
      </c>
      <c r="N400" s="14" t="s">
        <v>9158</v>
      </c>
      <c r="O400" s="17" t="s">
        <v>10052</v>
      </c>
      <c r="P400" s="14" t="s">
        <v>13121</v>
      </c>
      <c r="Q400" s="14">
        <v>1</v>
      </c>
      <c r="R400" s="14"/>
    </row>
    <row r="401" spans="1:18">
      <c r="A401" s="9" t="s">
        <v>9473</v>
      </c>
      <c r="B401" s="14" t="s">
        <v>330</v>
      </c>
      <c r="C401" s="14" t="s">
        <v>191</v>
      </c>
      <c r="D401" s="14" t="s">
        <v>1072</v>
      </c>
      <c r="E401" s="15" t="str">
        <f>HYPERLINK("https://stat100.ameba.jp/tnk47/ratio20/illustrations/card/ill_46283_0_odanobunaga03.jpg?201903-6-RELEASE-conquest-e-401", "■")</f>
        <v>■</v>
      </c>
      <c r="F401" s="14" t="s">
        <v>1073</v>
      </c>
      <c r="G401" s="14">
        <v>82212</v>
      </c>
      <c r="H401" s="14">
        <v>87780</v>
      </c>
      <c r="I401" s="14">
        <v>15</v>
      </c>
      <c r="J401" s="14" t="s">
        <v>143</v>
      </c>
      <c r="K401" s="14" t="s">
        <v>1074</v>
      </c>
      <c r="L401" s="14" t="s">
        <v>1075</v>
      </c>
      <c r="M401" s="14" t="s">
        <v>9158</v>
      </c>
      <c r="N401" s="14" t="s">
        <v>9158</v>
      </c>
      <c r="O401" s="14" t="s">
        <v>9158</v>
      </c>
      <c r="P401" s="14" t="s">
        <v>9158</v>
      </c>
      <c r="Q401" s="14" t="s">
        <v>9158</v>
      </c>
      <c r="R401" s="14"/>
    </row>
    <row r="402" spans="1:18">
      <c r="A402" s="9">
        <v>75193</v>
      </c>
      <c r="B402" s="14" t="s">
        <v>334</v>
      </c>
      <c r="C402" s="14" t="s">
        <v>269</v>
      </c>
      <c r="D402" s="14" t="s">
        <v>1935</v>
      </c>
      <c r="E402" s="15" t="str">
        <f>HYPERLINK("https://stat100.ameba.jp/tnk47/ratio20/illustrations/card/ill_75193_rabanommyonojiomansa03.jpg?201903-6-RELEASE-conquest-e-401", "■")</f>
        <v>■</v>
      </c>
      <c r="F402" s="14" t="s">
        <v>490</v>
      </c>
      <c r="G402" s="14">
        <v>88403</v>
      </c>
      <c r="H402" s="14">
        <v>95068</v>
      </c>
      <c r="I402" s="14">
        <v>23</v>
      </c>
      <c r="J402" s="14" t="s">
        <v>401</v>
      </c>
      <c r="K402" s="14" t="s">
        <v>491</v>
      </c>
      <c r="L402" s="14" t="s">
        <v>492</v>
      </c>
      <c r="M402" s="14" t="s">
        <v>9158</v>
      </c>
      <c r="N402" s="14" t="s">
        <v>9158</v>
      </c>
      <c r="O402" s="14" t="s">
        <v>9158</v>
      </c>
      <c r="P402" s="14" t="s">
        <v>9158</v>
      </c>
      <c r="Q402" s="14" t="s">
        <v>9158</v>
      </c>
      <c r="R402" s="14"/>
    </row>
    <row r="403" spans="1:18">
      <c r="A403" s="9">
        <v>76963</v>
      </c>
      <c r="B403" s="14" t="s">
        <v>334</v>
      </c>
      <c r="C403" s="14" t="s">
        <v>154</v>
      </c>
      <c r="D403" s="14" t="s">
        <v>2891</v>
      </c>
      <c r="E403" s="15" t="str">
        <f>HYPERLINK("https://stat100.ameba.jp/tnk47/ratio20/illustrations/card/ill_76963_pavariaojo03.jpg?201903-6-RELEASE-conquest-e-401", "■")</f>
        <v>■</v>
      </c>
      <c r="F403" s="14" t="s">
        <v>2892</v>
      </c>
      <c r="G403" s="14">
        <v>110924</v>
      </c>
      <c r="H403" s="14">
        <v>62414</v>
      </c>
      <c r="I403" s="14">
        <v>23</v>
      </c>
      <c r="J403" s="14" t="s">
        <v>315</v>
      </c>
      <c r="K403" s="14" t="s">
        <v>2893</v>
      </c>
      <c r="L403" s="14" t="s">
        <v>1432</v>
      </c>
      <c r="M403" s="14" t="s">
        <v>9158</v>
      </c>
      <c r="N403" s="14" t="s">
        <v>9158</v>
      </c>
      <c r="O403" s="14" t="s">
        <v>9158</v>
      </c>
      <c r="P403" s="14" t="s">
        <v>9158</v>
      </c>
      <c r="Q403" s="14" t="s">
        <v>9158</v>
      </c>
      <c r="R403" s="14"/>
    </row>
    <row r="404" spans="1:18">
      <c r="A404" s="9">
        <v>77743</v>
      </c>
      <c r="B404" s="14" t="s">
        <v>334</v>
      </c>
      <c r="C404" s="14" t="s">
        <v>269</v>
      </c>
      <c r="D404" s="14" t="s">
        <v>3857</v>
      </c>
      <c r="E404" s="15" t="str">
        <f>HYPERLINK("https://stat100.ameba.jp/tnk47/ratio20/illustrations/card/ill_77743_kaerude03.jpg?201903-6-RELEASE-conquest-e-401", "■")</f>
        <v>■</v>
      </c>
      <c r="F404" s="14" t="s">
        <v>494</v>
      </c>
      <c r="G404" s="14">
        <v>72813</v>
      </c>
      <c r="H404" s="14">
        <v>129385</v>
      </c>
      <c r="I404" s="14">
        <v>23</v>
      </c>
      <c r="J404" s="14" t="s">
        <v>369</v>
      </c>
      <c r="K404" s="14" t="s">
        <v>495</v>
      </c>
      <c r="L404" s="14" t="s">
        <v>496</v>
      </c>
      <c r="M404" s="14" t="s">
        <v>9158</v>
      </c>
      <c r="N404" s="14" t="s">
        <v>9158</v>
      </c>
      <c r="O404" s="14" t="s">
        <v>9158</v>
      </c>
      <c r="P404" s="14" t="s">
        <v>9158</v>
      </c>
      <c r="Q404" s="14" t="s">
        <v>9158</v>
      </c>
      <c r="R404" s="14"/>
    </row>
    <row r="405" spans="1:18">
      <c r="A405" s="9">
        <v>57853</v>
      </c>
      <c r="B405" s="14" t="s">
        <v>15</v>
      </c>
      <c r="C405" s="14" t="s">
        <v>200</v>
      </c>
      <c r="D405" s="14" t="s">
        <v>997</v>
      </c>
      <c r="E405" s="15" t="str">
        <f>HYPERLINK("https://stat100.ameba.jp/tnk47/ratio20/illustrations/card/ill_57853_otokuchuruakaiteruko03.jpg?201903-6-RELEASE-conquest-e-401", "■")</f>
        <v>■</v>
      </c>
      <c r="F405" s="14" t="s">
        <v>998</v>
      </c>
      <c r="G405" s="14">
        <v>65208</v>
      </c>
      <c r="H405" s="14">
        <v>59144</v>
      </c>
      <c r="I405" s="14">
        <v>22</v>
      </c>
      <c r="J405" s="14" t="s">
        <v>143</v>
      </c>
      <c r="K405" s="14" t="s">
        <v>999</v>
      </c>
      <c r="L405" s="14" t="s">
        <v>1000</v>
      </c>
      <c r="M405" s="14" t="s">
        <v>9158</v>
      </c>
      <c r="N405" s="14" t="s">
        <v>9158</v>
      </c>
      <c r="O405" s="14" t="s">
        <v>9158</v>
      </c>
      <c r="P405" s="14" t="s">
        <v>9158</v>
      </c>
      <c r="Q405" s="14" t="s">
        <v>9158</v>
      </c>
      <c r="R405" s="14"/>
    </row>
    <row r="406" spans="1:18">
      <c r="A406" s="9">
        <v>57913</v>
      </c>
      <c r="B406" s="14" t="s">
        <v>15</v>
      </c>
      <c r="C406" s="14" t="s">
        <v>165</v>
      </c>
      <c r="D406" s="14" t="s">
        <v>1001</v>
      </c>
      <c r="E406" s="15" t="str">
        <f>HYPERLINK("https://stat100.ameba.jp/tnk47/ratio20/illustrations/card/ill_57913_otokuchurusahohime03.jpg?201903-6-RELEASE-conquest-e-401", "■")</f>
        <v>■</v>
      </c>
      <c r="F406" s="14" t="s">
        <v>1002</v>
      </c>
      <c r="G406" s="14">
        <v>59144</v>
      </c>
      <c r="H406" s="14">
        <v>65208</v>
      </c>
      <c r="I406" s="14">
        <v>22</v>
      </c>
      <c r="J406" s="14" t="s">
        <v>44</v>
      </c>
      <c r="K406" s="14" t="s">
        <v>1003</v>
      </c>
      <c r="L406" s="14" t="s">
        <v>1004</v>
      </c>
      <c r="M406" s="14" t="s">
        <v>9158</v>
      </c>
      <c r="N406" s="14" t="s">
        <v>9158</v>
      </c>
      <c r="O406" s="14" t="s">
        <v>9158</v>
      </c>
      <c r="P406" s="14" t="s">
        <v>9158</v>
      </c>
      <c r="Q406" s="14" t="s">
        <v>9158</v>
      </c>
      <c r="R406" s="14"/>
    </row>
    <row r="407" spans="1:18">
      <c r="A407" s="9">
        <v>55433</v>
      </c>
      <c r="B407" s="14" t="s">
        <v>15</v>
      </c>
      <c r="C407" s="14" t="s">
        <v>191</v>
      </c>
      <c r="D407" s="14" t="s">
        <v>1005</v>
      </c>
      <c r="E407" s="15" t="str">
        <f>HYPERLINK("https://stat100.ameba.jp/tnk47/ratio20/illustrations/card/ill_55433_bunkasaiodainokata03.jpg?201903-6-RELEASE-conquest-e-401", "■")</f>
        <v>■</v>
      </c>
      <c r="F407" s="14" t="s">
        <v>1006</v>
      </c>
      <c r="G407" s="14">
        <v>59144</v>
      </c>
      <c r="H407" s="14">
        <v>65208</v>
      </c>
      <c r="I407" s="14">
        <v>22</v>
      </c>
      <c r="J407" s="14" t="s">
        <v>10</v>
      </c>
      <c r="K407" s="14" t="s">
        <v>1007</v>
      </c>
      <c r="L407" s="14" t="s">
        <v>1008</v>
      </c>
      <c r="M407" s="14" t="s">
        <v>9158</v>
      </c>
      <c r="N407" s="14" t="s">
        <v>9158</v>
      </c>
      <c r="O407" s="14" t="s">
        <v>9158</v>
      </c>
      <c r="P407" s="14" t="s">
        <v>9158</v>
      </c>
      <c r="Q407" s="14" t="s">
        <v>9158</v>
      </c>
      <c r="R407" s="14"/>
    </row>
    <row r="408" spans="1:18">
      <c r="B408" s="14"/>
      <c r="C408" s="14"/>
      <c r="D408" s="14"/>
      <c r="F408" s="14"/>
      <c r="G408" s="14"/>
      <c r="H408" s="14"/>
      <c r="I408" s="14"/>
      <c r="J408" s="14"/>
      <c r="K408" s="14"/>
      <c r="L408" s="14"/>
      <c r="M408" s="14"/>
      <c r="N408" s="14"/>
      <c r="P408" s="14"/>
      <c r="Q408" s="14"/>
      <c r="R408" s="14"/>
    </row>
    <row r="409" spans="1:18">
      <c r="A409" s="14" t="s">
        <v>3911</v>
      </c>
      <c r="D409" s="14"/>
      <c r="F409" s="14"/>
      <c r="G409" s="14"/>
      <c r="H409" s="14"/>
      <c r="I409" s="14"/>
      <c r="J409" s="14"/>
      <c r="K409" s="14"/>
      <c r="L409" s="14"/>
      <c r="M409" s="14"/>
      <c r="N409" s="14"/>
      <c r="P409" s="14"/>
      <c r="Q409" s="14"/>
      <c r="R409" s="14"/>
    </row>
    <row r="410" spans="1:18">
      <c r="A410" s="14" t="s">
        <v>4086</v>
      </c>
      <c r="B410" s="14"/>
      <c r="C410" s="14"/>
      <c r="D410" s="14"/>
      <c r="F410" s="14"/>
      <c r="G410" s="14"/>
      <c r="H410" s="14"/>
      <c r="I410" s="14"/>
      <c r="J410" s="14"/>
      <c r="K410" s="14"/>
      <c r="L410" s="14"/>
      <c r="M410" s="14"/>
      <c r="N410" s="14"/>
      <c r="P410" s="14"/>
      <c r="Q410" s="14"/>
      <c r="R410" s="14"/>
    </row>
    <row r="411" spans="1:18">
      <c r="A411" s="9" t="s">
        <v>5607</v>
      </c>
      <c r="B411" s="14" t="s">
        <v>52</v>
      </c>
      <c r="C411" s="14" t="s">
        <v>200</v>
      </c>
      <c r="D411" s="14" t="s">
        <v>1039</v>
      </c>
      <c r="E411" s="15" t="str">
        <f>HYPERLINK("https://stat100.ameba.jp/tnk47/ratio20/illustrations/card/ill_58853_0_setsubumpanikkuhiratsukaraicho03.jpg?201903-6-RELEASE-conquest-e-401", "■")</f>
        <v>■</v>
      </c>
      <c r="F411" s="14" t="s">
        <v>1040</v>
      </c>
      <c r="G411" s="14">
        <v>131930</v>
      </c>
      <c r="H411" s="14">
        <v>117196</v>
      </c>
      <c r="I411" s="14">
        <v>21</v>
      </c>
      <c r="J411" s="14" t="s">
        <v>16</v>
      </c>
      <c r="K411" s="14" t="s">
        <v>1041</v>
      </c>
      <c r="L411" s="14" t="s">
        <v>1042</v>
      </c>
      <c r="M411" s="14" t="s">
        <v>9158</v>
      </c>
      <c r="N411" s="14" t="s">
        <v>9158</v>
      </c>
      <c r="O411" s="17" t="s">
        <v>10059</v>
      </c>
      <c r="P411" s="14" t="s">
        <v>3277</v>
      </c>
      <c r="Q411" s="14">
        <v>1</v>
      </c>
      <c r="R411" s="14"/>
    </row>
    <row r="412" spans="1:18">
      <c r="A412" s="9" t="s">
        <v>5620</v>
      </c>
      <c r="B412" s="14" t="s">
        <v>330</v>
      </c>
      <c r="C412" s="14" t="s">
        <v>206</v>
      </c>
      <c r="D412" s="14" t="s">
        <v>669</v>
      </c>
      <c r="E412" s="15" t="str">
        <f>HYPERLINK("https://stat100.ameba.jp/tnk47/ratio20/illustrations/card/ill_67173_0_yukemuriawamorichan03.jpg?201903-6-RELEASE-conquest-e-401", "■")</f>
        <v>■</v>
      </c>
      <c r="F412" s="14" t="s">
        <v>670</v>
      </c>
      <c r="G412" s="14">
        <v>161349</v>
      </c>
      <c r="H412" s="14">
        <v>150006</v>
      </c>
      <c r="I412" s="14">
        <v>21</v>
      </c>
      <c r="J412" s="14" t="s">
        <v>283</v>
      </c>
      <c r="K412" s="14" t="s">
        <v>671</v>
      </c>
      <c r="L412" s="14" t="s">
        <v>672</v>
      </c>
      <c r="M412" s="14" t="s">
        <v>9158</v>
      </c>
      <c r="N412" s="14" t="s">
        <v>9158</v>
      </c>
      <c r="O412" s="17" t="s">
        <v>10061</v>
      </c>
      <c r="P412" s="14" t="s">
        <v>3164</v>
      </c>
      <c r="Q412" s="14">
        <v>1</v>
      </c>
      <c r="R412" s="14"/>
    </row>
    <row r="413" spans="1:18">
      <c r="A413" s="9">
        <v>81023</v>
      </c>
      <c r="B413" s="14" t="s">
        <v>334</v>
      </c>
      <c r="C413" s="14" t="s">
        <v>41</v>
      </c>
      <c r="D413" s="14" t="s">
        <v>4087</v>
      </c>
      <c r="E413" s="15" t="str">
        <f>HYPERLINK("https://stat100.ameba.jp/tnk47/ratio20/illustrations/card/ill_81023_momonokenki03.jpg?201903-6-RELEASE-conquest-e-401", "■")</f>
        <v>■</v>
      </c>
      <c r="F413" s="14" t="s">
        <v>4088</v>
      </c>
      <c r="G413" s="14">
        <v>126858</v>
      </c>
      <c r="H413" s="14">
        <v>91876</v>
      </c>
      <c r="I413" s="14">
        <v>24</v>
      </c>
      <c r="J413" s="14" t="s">
        <v>143</v>
      </c>
      <c r="K413" s="14" t="s">
        <v>4089</v>
      </c>
      <c r="L413" s="14" t="s">
        <v>2049</v>
      </c>
      <c r="M413" s="14" t="s">
        <v>9158</v>
      </c>
      <c r="N413" s="14" t="s">
        <v>9158</v>
      </c>
      <c r="O413" s="9" t="s">
        <v>3244</v>
      </c>
      <c r="P413" s="14" t="s">
        <v>3245</v>
      </c>
      <c r="Q413" s="14">
        <v>1</v>
      </c>
      <c r="R413" s="14"/>
    </row>
    <row r="414" spans="1:18">
      <c r="A414" s="9">
        <v>64883</v>
      </c>
      <c r="B414" s="14" t="s">
        <v>0</v>
      </c>
      <c r="C414" s="14" t="s">
        <v>47</v>
      </c>
      <c r="D414" s="14" t="s">
        <v>125</v>
      </c>
      <c r="E414" s="15" t="str">
        <f>HYPERLINK("https://stat100.ameba.jp/tnk47/ratio20/illustrations/card/ill_64883_kasane03.jpg?201903-6-RELEASE-conquest-e-401", "■")</f>
        <v>■</v>
      </c>
      <c r="F414" s="14" t="s">
        <v>126</v>
      </c>
      <c r="G414" s="14">
        <v>77618</v>
      </c>
      <c r="H414" s="14">
        <v>107166</v>
      </c>
      <c r="I414" s="14">
        <v>21</v>
      </c>
      <c r="J414" s="14" t="s">
        <v>38</v>
      </c>
      <c r="K414" s="14" t="s">
        <v>127</v>
      </c>
      <c r="L414" s="14" t="s">
        <v>128</v>
      </c>
      <c r="M414" s="14" t="s">
        <v>9158</v>
      </c>
      <c r="N414" s="14" t="s">
        <v>9158</v>
      </c>
      <c r="O414" s="14" t="s">
        <v>9158</v>
      </c>
      <c r="P414" s="14" t="s">
        <v>9158</v>
      </c>
      <c r="Q414" s="14" t="s">
        <v>9158</v>
      </c>
      <c r="R414" s="14"/>
    </row>
    <row r="415" spans="1:18">
      <c r="A415" s="9">
        <v>68703</v>
      </c>
      <c r="B415" s="14" t="s">
        <v>334</v>
      </c>
      <c r="C415" s="14" t="s">
        <v>209</v>
      </c>
      <c r="D415" s="14" t="s">
        <v>79</v>
      </c>
      <c r="E415" s="15" t="str">
        <f>HYPERLINK("https://stat100.ameba.jp/tnk47/ratio20/illustrations/card/ill_68703_manryu03.jpg?201903-6-RELEASE-conquest-e-401", "■")</f>
        <v>■</v>
      </c>
      <c r="F415" s="14" t="s">
        <v>80</v>
      </c>
      <c r="G415" s="14">
        <v>66487</v>
      </c>
      <c r="H415" s="14">
        <v>91779</v>
      </c>
      <c r="I415" s="14">
        <v>21</v>
      </c>
      <c r="J415" s="14" t="s">
        <v>16</v>
      </c>
      <c r="K415" s="14" t="s">
        <v>81</v>
      </c>
      <c r="L415" s="14" t="s">
        <v>82</v>
      </c>
      <c r="M415" s="14" t="s">
        <v>9158</v>
      </c>
      <c r="N415" s="14" t="s">
        <v>9158</v>
      </c>
      <c r="O415" s="14" t="s">
        <v>9158</v>
      </c>
      <c r="P415" s="14" t="s">
        <v>9158</v>
      </c>
      <c r="Q415" s="14" t="s">
        <v>9158</v>
      </c>
      <c r="R415" s="14"/>
    </row>
    <row r="416" spans="1:18">
      <c r="A416" s="9">
        <v>67643</v>
      </c>
      <c r="B416" s="14" t="s">
        <v>334</v>
      </c>
      <c r="C416" s="14" t="s">
        <v>209</v>
      </c>
      <c r="D416" s="14" t="s">
        <v>1195</v>
      </c>
      <c r="E416" s="15" t="str">
        <f>HYPERLINK("https://stat100.ameba.jp/tnk47/ratio20/illustrations/card/ill_67643_edokarakamichan03.jpg?201903-6-RELEASE-conquest-e-401", "■")</f>
        <v>■</v>
      </c>
      <c r="F416" s="14" t="s">
        <v>1196</v>
      </c>
      <c r="G416" s="14">
        <v>99171</v>
      </c>
      <c r="H416" s="14">
        <v>92220</v>
      </c>
      <c r="I416" s="14">
        <v>21</v>
      </c>
      <c r="J416" s="14" t="s">
        <v>26</v>
      </c>
      <c r="K416" s="14" t="s">
        <v>1197</v>
      </c>
      <c r="L416" s="14" t="s">
        <v>1198</v>
      </c>
      <c r="M416" s="14" t="s">
        <v>9158</v>
      </c>
      <c r="N416" s="14" t="s">
        <v>9158</v>
      </c>
      <c r="O416" s="9" t="s">
        <v>3037</v>
      </c>
      <c r="P416" s="14" t="s">
        <v>13128</v>
      </c>
      <c r="Q416" s="14">
        <v>1</v>
      </c>
      <c r="R416" s="14"/>
    </row>
    <row r="417" spans="1:18">
      <c r="A417" s="9">
        <v>75093</v>
      </c>
      <c r="B417" s="14" t="s">
        <v>334</v>
      </c>
      <c r="C417" s="14" t="s">
        <v>158</v>
      </c>
      <c r="D417" s="14" t="s">
        <v>2613</v>
      </c>
      <c r="E417" s="15" t="str">
        <f>HYPERLINK("https://stat100.ameba.jp/tnk47/ratio20/illustrations/card/ill_75093_hangonko03.jpg?201903-6-RELEASE-conquest-e-401", "■")</f>
        <v>■</v>
      </c>
      <c r="F417" s="14" t="s">
        <v>2614</v>
      </c>
      <c r="G417" s="14">
        <v>111000</v>
      </c>
      <c r="H417" s="14">
        <v>80391</v>
      </c>
      <c r="I417" s="14">
        <v>21</v>
      </c>
      <c r="J417" s="14" t="s">
        <v>44</v>
      </c>
      <c r="K417" s="14" t="s">
        <v>2615</v>
      </c>
      <c r="L417" s="14" t="s">
        <v>1108</v>
      </c>
      <c r="M417" s="14" t="s">
        <v>9158</v>
      </c>
      <c r="N417" s="14" t="s">
        <v>9158</v>
      </c>
      <c r="O417" s="9" t="s">
        <v>3414</v>
      </c>
      <c r="P417" s="14" t="s">
        <v>13122</v>
      </c>
      <c r="Q417" s="14">
        <v>1</v>
      </c>
      <c r="R417" s="14"/>
    </row>
    <row r="418" spans="1:18">
      <c r="A418" s="9">
        <v>72153</v>
      </c>
      <c r="B418" s="14" t="s">
        <v>334</v>
      </c>
      <c r="C418" s="14" t="s">
        <v>269</v>
      </c>
      <c r="D418" s="14" t="s">
        <v>1030</v>
      </c>
      <c r="E418" s="15" t="str">
        <f>HYPERLINK("https://stat100.ameba.jp/tnk47/ratio20/illustrations/card/ill_72153_bakki03.jpg?201903-6-RELEASE-conquest-e-401", "■")</f>
        <v>■</v>
      </c>
      <c r="F418" s="14" t="s">
        <v>437</v>
      </c>
      <c r="G418" s="14">
        <v>80391</v>
      </c>
      <c r="H418" s="14">
        <v>111000</v>
      </c>
      <c r="I418" s="14">
        <v>21</v>
      </c>
      <c r="J418" s="14" t="s">
        <v>320</v>
      </c>
      <c r="K418" s="14" t="s">
        <v>438</v>
      </c>
      <c r="L418" s="14" t="s">
        <v>439</v>
      </c>
      <c r="M418" s="14" t="s">
        <v>9158</v>
      </c>
      <c r="N418" s="14" t="s">
        <v>9158</v>
      </c>
      <c r="O418" s="14" t="s">
        <v>9158</v>
      </c>
      <c r="P418" s="14" t="s">
        <v>9158</v>
      </c>
      <c r="Q418" s="14" t="s">
        <v>9158</v>
      </c>
      <c r="R418" s="14"/>
    </row>
    <row r="419" spans="1:18">
      <c r="B419" s="14"/>
      <c r="C419" s="14"/>
      <c r="D419" s="14"/>
      <c r="F419" s="14"/>
      <c r="G419" s="14"/>
      <c r="H419" s="14"/>
      <c r="I419" s="14"/>
      <c r="J419" s="14"/>
      <c r="K419" s="14"/>
      <c r="L419" s="14"/>
      <c r="M419" s="14"/>
      <c r="N419" s="14"/>
      <c r="P419" s="14"/>
      <c r="Q419" s="14"/>
      <c r="R419" s="14"/>
    </row>
    <row r="420" spans="1:18">
      <c r="A420" s="14" t="s">
        <v>177</v>
      </c>
      <c r="D420" s="14"/>
      <c r="F420" s="14"/>
      <c r="G420" s="14"/>
      <c r="H420" s="14"/>
      <c r="I420" s="14"/>
      <c r="J420" s="14"/>
      <c r="K420" s="14"/>
      <c r="L420" s="14"/>
      <c r="M420" s="14"/>
      <c r="N420" s="14"/>
      <c r="P420" s="14"/>
      <c r="Q420" s="14"/>
      <c r="R420" s="14"/>
    </row>
    <row r="421" spans="1:18">
      <c r="A421" s="14" t="s">
        <v>4090</v>
      </c>
      <c r="B421" s="14"/>
      <c r="C421" s="14"/>
      <c r="D421" s="14"/>
      <c r="F421" s="14"/>
      <c r="G421" s="14"/>
      <c r="H421" s="14"/>
      <c r="I421" s="14"/>
      <c r="J421" s="14"/>
      <c r="K421" s="14"/>
      <c r="L421" s="14"/>
      <c r="M421" s="14"/>
      <c r="N421" s="14"/>
      <c r="P421" s="14"/>
      <c r="Q421" s="14"/>
      <c r="R421" s="14"/>
    </row>
    <row r="422" spans="1:18">
      <c r="A422" s="9" t="s">
        <v>5617</v>
      </c>
      <c r="B422" s="14" t="s">
        <v>52</v>
      </c>
      <c r="C422" s="14" t="s">
        <v>165</v>
      </c>
      <c r="D422" s="14" t="s">
        <v>982</v>
      </c>
      <c r="E422" s="15" t="str">
        <f>HYPERLINK("https://stat100.ameba.jp/tnk47/ratio20/illustrations/card/ill_59673_0_oheyashutendoji03.jpg?201903-6-RELEASE-conquest-e-401", "■")</f>
        <v>■</v>
      </c>
      <c r="F422" s="14" t="s">
        <v>983</v>
      </c>
      <c r="G422" s="14">
        <v>105545</v>
      </c>
      <c r="H422" s="14">
        <v>113525</v>
      </c>
      <c r="I422" s="14">
        <v>15</v>
      </c>
      <c r="J422" s="14" t="s">
        <v>73</v>
      </c>
      <c r="K422" s="14" t="s">
        <v>984</v>
      </c>
      <c r="L422" s="14" t="s">
        <v>985</v>
      </c>
      <c r="M422" s="14" t="s">
        <v>9158</v>
      </c>
      <c r="N422" s="14" t="s">
        <v>9158</v>
      </c>
      <c r="O422" s="17" t="s">
        <v>10058</v>
      </c>
      <c r="P422" s="14" t="s">
        <v>3330</v>
      </c>
      <c r="Q422" s="14">
        <v>1</v>
      </c>
      <c r="R422" s="14"/>
    </row>
    <row r="423" spans="1:18">
      <c r="A423" s="9" t="s">
        <v>5609</v>
      </c>
      <c r="B423" s="14" t="s">
        <v>52</v>
      </c>
      <c r="C423" s="14" t="s">
        <v>200</v>
      </c>
      <c r="D423" s="14" t="s">
        <v>56</v>
      </c>
      <c r="E423" s="15" t="str">
        <f>HYPERLINK("https://stat100.ameba.jp/tnk47/ratio20/illustrations/card/ill_53753_0_natsumatsuritokugawaieyasu03.jpg?201903-6-RELEASE-conquest-e-401", "■")</f>
        <v>■</v>
      </c>
      <c r="F423" s="14" t="s">
        <v>902</v>
      </c>
      <c r="G423" s="14">
        <v>94236</v>
      </c>
      <c r="H423" s="14">
        <v>83712</v>
      </c>
      <c r="I423" s="14">
        <v>15</v>
      </c>
      <c r="J423" s="14" t="s">
        <v>143</v>
      </c>
      <c r="K423" s="14" t="s">
        <v>903</v>
      </c>
      <c r="L423" s="14" t="s">
        <v>904</v>
      </c>
      <c r="M423" s="14" t="s">
        <v>9158</v>
      </c>
      <c r="N423" s="14" t="s">
        <v>9158</v>
      </c>
      <c r="O423" s="17" t="s">
        <v>10052</v>
      </c>
      <c r="P423" s="14" t="s">
        <v>13121</v>
      </c>
      <c r="Q423" s="14">
        <v>1</v>
      </c>
      <c r="R423" s="14"/>
    </row>
    <row r="424" spans="1:18">
      <c r="A424" s="9" t="s">
        <v>5604</v>
      </c>
      <c r="B424" s="14" t="s">
        <v>52</v>
      </c>
      <c r="C424" s="14" t="s">
        <v>206</v>
      </c>
      <c r="D424" s="14" t="s">
        <v>51</v>
      </c>
      <c r="E424" s="15" t="str">
        <f>HYPERLINK("https://stat100.ameba.jp/tnk47/ratio20/illustrations/card/ill_47263_0_oukyuuatsuhime03.jpg?201903-6-RELEASE-conquest-e-401", "■")</f>
        <v>■</v>
      </c>
      <c r="F424" s="14" t="s">
        <v>1178</v>
      </c>
      <c r="G424" s="14">
        <v>94236</v>
      </c>
      <c r="H424" s="14">
        <v>83712</v>
      </c>
      <c r="I424" s="14">
        <v>15</v>
      </c>
      <c r="J424" s="14" t="s">
        <v>77</v>
      </c>
      <c r="K424" s="14" t="s">
        <v>1179</v>
      </c>
      <c r="L424" s="14" t="s">
        <v>1180</v>
      </c>
      <c r="M424" s="14" t="s">
        <v>9158</v>
      </c>
      <c r="N424" s="14" t="s">
        <v>9158</v>
      </c>
      <c r="O424" s="14" t="s">
        <v>9158</v>
      </c>
      <c r="P424" s="14" t="s">
        <v>9158</v>
      </c>
      <c r="Q424" s="14" t="s">
        <v>9158</v>
      </c>
      <c r="R424" s="14"/>
    </row>
    <row r="425" spans="1:18">
      <c r="A425" s="9">
        <v>77723</v>
      </c>
      <c r="B425" s="14" t="s">
        <v>334</v>
      </c>
      <c r="C425" s="14" t="s">
        <v>271</v>
      </c>
      <c r="D425" s="14" t="s">
        <v>2341</v>
      </c>
      <c r="E425" s="15" t="str">
        <f>HYPERLINK("https://stat100.ameba.jp/tnk47/ratio20/illustrations/card/ill_77723_yami03.jpg?201903-6-RELEASE-conquest-e-401", "■")</f>
        <v>■</v>
      </c>
      <c r="F425" s="14" t="s">
        <v>400</v>
      </c>
      <c r="G425" s="14">
        <v>88403</v>
      </c>
      <c r="H425" s="14">
        <v>95066</v>
      </c>
      <c r="I425" s="14">
        <v>23</v>
      </c>
      <c r="J425" s="14" t="s">
        <v>401</v>
      </c>
      <c r="K425" s="14" t="s">
        <v>402</v>
      </c>
      <c r="L425" s="14" t="s">
        <v>403</v>
      </c>
      <c r="M425" s="14" t="s">
        <v>9158</v>
      </c>
      <c r="N425" s="14" t="s">
        <v>9158</v>
      </c>
      <c r="O425" s="14" t="s">
        <v>9158</v>
      </c>
      <c r="P425" s="14" t="s">
        <v>9158</v>
      </c>
      <c r="Q425" s="14" t="s">
        <v>9158</v>
      </c>
      <c r="R425" s="14"/>
    </row>
    <row r="426" spans="1:18">
      <c r="A426" s="9">
        <v>79183</v>
      </c>
      <c r="B426" s="14" t="s">
        <v>0</v>
      </c>
      <c r="C426" s="14" t="s">
        <v>202</v>
      </c>
      <c r="D426" s="14" t="s">
        <v>2185</v>
      </c>
      <c r="E426" s="15" t="str">
        <f>HYPERLINK("https://stat100.ameba.jp/tnk47/ratio20/illustrations/card/ill_79183_seiburijittorogan03.jpg?201903-6-RELEASE-conquest-e-401", "■")</f>
        <v>■</v>
      </c>
      <c r="F426" s="14" t="s">
        <v>2186</v>
      </c>
      <c r="G426" s="14">
        <v>116465</v>
      </c>
      <c r="H426" s="14">
        <v>65529</v>
      </c>
      <c r="I426" s="14">
        <v>23</v>
      </c>
      <c r="J426" s="14" t="s">
        <v>77</v>
      </c>
      <c r="K426" s="14" t="s">
        <v>2187</v>
      </c>
      <c r="L426" s="14" t="s">
        <v>76</v>
      </c>
      <c r="M426" s="14" t="s">
        <v>9158</v>
      </c>
      <c r="N426" s="14" t="s">
        <v>9158</v>
      </c>
      <c r="O426" s="14" t="s">
        <v>9158</v>
      </c>
      <c r="P426" s="14" t="s">
        <v>9158</v>
      </c>
      <c r="Q426" s="14" t="s">
        <v>9158</v>
      </c>
      <c r="R426" s="14"/>
    </row>
    <row r="427" spans="1:18">
      <c r="A427" s="9">
        <v>76863</v>
      </c>
      <c r="B427" s="14" t="s">
        <v>334</v>
      </c>
      <c r="C427" s="14" t="s">
        <v>165</v>
      </c>
      <c r="D427" s="14" t="s">
        <v>1083</v>
      </c>
      <c r="E427" s="15" t="str">
        <f>HYPERLINK("https://stat100.ameba.jp/tnk47/ratio20/illustrations/card/ill_76863_gyanguma03.jpg?201903-6-RELEASE-conquest-e-401", "■")</f>
        <v>■</v>
      </c>
      <c r="F427" s="14" t="s">
        <v>1084</v>
      </c>
      <c r="G427" s="14">
        <v>107334</v>
      </c>
      <c r="H427" s="14">
        <v>99813</v>
      </c>
      <c r="I427" s="14">
        <v>23</v>
      </c>
      <c r="J427" s="14" t="s">
        <v>26</v>
      </c>
      <c r="K427" s="14" t="s">
        <v>1085</v>
      </c>
      <c r="L427" s="14" t="s">
        <v>1086</v>
      </c>
      <c r="M427" s="14" t="s">
        <v>9158</v>
      </c>
      <c r="N427" s="14" t="s">
        <v>9158</v>
      </c>
      <c r="O427" s="14" t="s">
        <v>9158</v>
      </c>
      <c r="P427" s="14" t="s">
        <v>9158</v>
      </c>
      <c r="Q427" s="14" t="s">
        <v>9158</v>
      </c>
      <c r="R427" s="14"/>
    </row>
    <row r="428" spans="1:18">
      <c r="A428" s="9">
        <v>61883</v>
      </c>
      <c r="B428" s="14" t="s">
        <v>15</v>
      </c>
      <c r="C428" s="14" t="s">
        <v>205</v>
      </c>
      <c r="D428" s="14" t="s">
        <v>3388</v>
      </c>
      <c r="E428" s="15" t="str">
        <f>HYPERLINK("https://stat100.ameba.jp/tnk47/ratio20/illustrations/card/ill_61883_onikirishukurohime03.jpg?201903-6-RELEASE-conquest-e-401", "■")</f>
        <v>■</v>
      </c>
      <c r="F428" s="14" t="s">
        <v>3389</v>
      </c>
      <c r="G428" s="14">
        <v>59144</v>
      </c>
      <c r="H428" s="14">
        <v>65208</v>
      </c>
      <c r="I428" s="14">
        <v>22</v>
      </c>
      <c r="J428" s="14" t="s">
        <v>16</v>
      </c>
      <c r="K428" s="14" t="s">
        <v>3390</v>
      </c>
      <c r="L428" s="14" t="s">
        <v>3391</v>
      </c>
      <c r="M428" s="14" t="s">
        <v>9158</v>
      </c>
      <c r="N428" s="14" t="s">
        <v>9158</v>
      </c>
      <c r="O428" s="14" t="s">
        <v>9158</v>
      </c>
      <c r="P428" s="14" t="s">
        <v>9158</v>
      </c>
      <c r="Q428" s="14" t="s">
        <v>9158</v>
      </c>
      <c r="R428" s="14"/>
    </row>
    <row r="429" spans="1:18">
      <c r="A429" s="9">
        <v>60953</v>
      </c>
      <c r="B429" s="14" t="s">
        <v>15</v>
      </c>
      <c r="C429" s="14" t="s">
        <v>191</v>
      </c>
      <c r="D429" s="14" t="s">
        <v>3521</v>
      </c>
      <c r="E429" s="15" t="str">
        <f>HYPERLINK("https://stat100.ameba.jp/tnk47/ratio20/illustrations/card/ill_60953_sukurugaruikedasen03.jpg?201903-6-RELEASE-conquest-e-401", "■")</f>
        <v>■</v>
      </c>
      <c r="F429" s="14" t="s">
        <v>3522</v>
      </c>
      <c r="G429" s="14">
        <v>65208</v>
      </c>
      <c r="H429" s="14">
        <v>59144</v>
      </c>
      <c r="I429" s="14">
        <v>22</v>
      </c>
      <c r="J429" s="14" t="s">
        <v>143</v>
      </c>
      <c r="K429" s="14" t="s">
        <v>3523</v>
      </c>
      <c r="L429" s="14" t="s">
        <v>3524</v>
      </c>
      <c r="M429" s="14" t="s">
        <v>9158</v>
      </c>
      <c r="N429" s="14" t="s">
        <v>9158</v>
      </c>
      <c r="O429" s="14" t="s">
        <v>9158</v>
      </c>
      <c r="P429" s="14" t="s">
        <v>9158</v>
      </c>
      <c r="Q429" s="14" t="s">
        <v>9158</v>
      </c>
      <c r="R429" s="14"/>
    </row>
    <row r="430" spans="1:18">
      <c r="A430" s="9">
        <v>59873</v>
      </c>
      <c r="B430" s="14" t="s">
        <v>15</v>
      </c>
      <c r="C430" s="14" t="s">
        <v>200</v>
      </c>
      <c r="D430" s="14" t="s">
        <v>3525</v>
      </c>
      <c r="E430" s="15" t="str">
        <f>HYPERLINK("https://stat100.ameba.jp/tnk47/ratio20/illustrations/card/ill_59873_yoseinakajimautako03.jpg?201903-6-RELEASE-conquest-e-401", "■")</f>
        <v>■</v>
      </c>
      <c r="F430" s="14" t="s">
        <v>3526</v>
      </c>
      <c r="G430" s="14">
        <v>65208</v>
      </c>
      <c r="H430" s="14">
        <v>59144</v>
      </c>
      <c r="I430" s="14">
        <v>22</v>
      </c>
      <c r="J430" s="14" t="s">
        <v>10</v>
      </c>
      <c r="K430" s="14" t="s">
        <v>3527</v>
      </c>
      <c r="L430" s="14" t="s">
        <v>3275</v>
      </c>
      <c r="M430" s="14" t="s">
        <v>9158</v>
      </c>
      <c r="N430" s="14" t="s">
        <v>9158</v>
      </c>
      <c r="O430" s="14" t="s">
        <v>9158</v>
      </c>
      <c r="P430" s="14" t="s">
        <v>9158</v>
      </c>
      <c r="Q430" s="14" t="s">
        <v>9158</v>
      </c>
      <c r="R430" s="14"/>
    </row>
    <row r="431" spans="1:18">
      <c r="B431" s="14"/>
      <c r="C431" s="14"/>
      <c r="D431" s="14"/>
      <c r="F431" s="14"/>
      <c r="G431" s="14"/>
      <c r="H431" s="14"/>
      <c r="I431" s="14"/>
      <c r="J431" s="14"/>
      <c r="K431" s="14"/>
      <c r="L431" s="14"/>
      <c r="M431" s="14"/>
      <c r="N431" s="14"/>
      <c r="P431" s="14"/>
      <c r="Q431" s="14"/>
      <c r="R431" s="14"/>
    </row>
    <row r="432" spans="1:18">
      <c r="A432" s="14" t="s">
        <v>4091</v>
      </c>
      <c r="F432" s="14"/>
      <c r="G432" s="14"/>
      <c r="H432" s="14"/>
      <c r="I432" s="14"/>
      <c r="J432" s="14"/>
      <c r="K432" s="14"/>
      <c r="L432" s="14"/>
      <c r="M432" s="14"/>
      <c r="N432" s="14"/>
      <c r="P432" s="14"/>
      <c r="Q432" s="14"/>
      <c r="R432" s="14"/>
    </row>
    <row r="433" spans="1:18">
      <c r="A433" s="14" t="s">
        <v>4092</v>
      </c>
      <c r="B433" s="14"/>
      <c r="C433" s="14"/>
      <c r="D433" s="14"/>
      <c r="F433" s="14"/>
      <c r="G433" s="14"/>
      <c r="H433" s="14"/>
      <c r="I433" s="14"/>
      <c r="J433" s="14"/>
      <c r="K433" s="14"/>
      <c r="L433" s="14"/>
      <c r="M433" s="14"/>
      <c r="N433" s="14"/>
      <c r="P433" s="14"/>
      <c r="Q433" s="14"/>
      <c r="R433" s="14"/>
    </row>
    <row r="434" spans="1:18">
      <c r="A434" s="14" t="s">
        <v>11482</v>
      </c>
      <c r="B434" s="14"/>
      <c r="C434" s="14"/>
      <c r="D434" s="14"/>
      <c r="F434" s="14"/>
      <c r="G434" s="14"/>
      <c r="H434" s="14"/>
      <c r="I434" s="14"/>
      <c r="J434" s="14"/>
      <c r="K434" s="14"/>
      <c r="L434" s="14"/>
      <c r="M434" s="14"/>
      <c r="N434" s="14"/>
      <c r="P434" s="14"/>
      <c r="Q434" s="14"/>
      <c r="R434" s="14"/>
    </row>
    <row r="435" spans="1:18">
      <c r="A435" s="9" t="s">
        <v>6030</v>
      </c>
      <c r="B435" s="14" t="s">
        <v>52</v>
      </c>
      <c r="C435" s="14" t="s">
        <v>202</v>
      </c>
      <c r="D435" s="14" t="s">
        <v>3708</v>
      </c>
      <c r="E435" s="15" t="str">
        <f>HYPERLINK("https://stat100.ameba.jp/tnk47/ratio20/illustrations/card/ill_80023_0_hinamatsurikyogokumaria03.jpg?201903-6-RELEASE-conquest-e-401", "■")</f>
        <v>■</v>
      </c>
      <c r="F435" s="14" t="s">
        <v>3709</v>
      </c>
      <c r="G435" s="14">
        <v>202144</v>
      </c>
      <c r="H435" s="14">
        <v>223681</v>
      </c>
      <c r="I435" s="14">
        <v>15</v>
      </c>
      <c r="J435" s="14" t="s">
        <v>26</v>
      </c>
      <c r="K435" s="14" t="s">
        <v>3710</v>
      </c>
      <c r="L435" s="14" t="s">
        <v>3711</v>
      </c>
      <c r="M435" s="14" t="s">
        <v>9158</v>
      </c>
      <c r="N435" s="14" t="s">
        <v>9158</v>
      </c>
      <c r="O435" s="9" t="s">
        <v>3712</v>
      </c>
      <c r="P435" s="14" t="s">
        <v>3713</v>
      </c>
      <c r="Q435" s="14">
        <v>1</v>
      </c>
      <c r="R435" s="14"/>
    </row>
    <row r="436" spans="1:18">
      <c r="A436" s="9">
        <v>80353</v>
      </c>
      <c r="B436" s="14" t="s">
        <v>0</v>
      </c>
      <c r="C436" s="14" t="s">
        <v>14</v>
      </c>
      <c r="D436" s="14" t="s">
        <v>4093</v>
      </c>
      <c r="E436" s="15" t="str">
        <f>HYPERLINK("https://stat100.ameba.jp/tnk47/ratio20/illustrations/card/ill_80353_seibugekisentoin03.jpg?201903-6-RELEASE-conquest-e-401", "■")</f>
        <v>■</v>
      </c>
      <c r="F436" s="14" t="s">
        <v>4094</v>
      </c>
      <c r="G436" s="14">
        <v>85934</v>
      </c>
      <c r="H436" s="14">
        <v>79868</v>
      </c>
      <c r="I436" s="14">
        <v>22</v>
      </c>
      <c r="J436" s="14" t="s">
        <v>77</v>
      </c>
      <c r="K436" s="14" t="s">
        <v>4095</v>
      </c>
      <c r="L436" s="14" t="s">
        <v>4096</v>
      </c>
      <c r="M436" s="14" t="s">
        <v>9158</v>
      </c>
      <c r="N436" s="14" t="s">
        <v>9158</v>
      </c>
      <c r="O436" s="14" t="s">
        <v>9158</v>
      </c>
      <c r="P436" s="14" t="s">
        <v>9158</v>
      </c>
      <c r="Q436" s="14" t="s">
        <v>9158</v>
      </c>
      <c r="R436" s="14"/>
    </row>
    <row r="437" spans="1:18">
      <c r="A437" s="9">
        <v>80363</v>
      </c>
      <c r="B437" s="14" t="s">
        <v>15</v>
      </c>
      <c r="C437" s="14" t="s">
        <v>23</v>
      </c>
      <c r="D437" s="14" t="s">
        <v>4097</v>
      </c>
      <c r="E437" s="15" t="str">
        <f>HYPERLINK("https://stat100.ameba.jp/tnk47/ratio20/illustrations/card/ill_80363_hondatadakatsu03.jpg?201903-6-RELEASE-conquest-e-401", "■")</f>
        <v>■</v>
      </c>
      <c r="F437" s="14" t="s">
        <v>4098</v>
      </c>
      <c r="G437" s="14">
        <v>59144</v>
      </c>
      <c r="H437" s="14">
        <v>65208</v>
      </c>
      <c r="I437" s="14">
        <v>22</v>
      </c>
      <c r="J437" s="14" t="s">
        <v>143</v>
      </c>
      <c r="K437" s="14" t="s">
        <v>4099</v>
      </c>
      <c r="L437" s="14" t="s">
        <v>3326</v>
      </c>
      <c r="M437" s="14" t="s">
        <v>9158</v>
      </c>
      <c r="N437" s="14" t="s">
        <v>9158</v>
      </c>
      <c r="O437" s="14" t="s">
        <v>9158</v>
      </c>
      <c r="P437" s="14" t="s">
        <v>9158</v>
      </c>
      <c r="Q437" s="14" t="s">
        <v>9158</v>
      </c>
      <c r="R437" s="14"/>
    </row>
    <row r="438" spans="1:18">
      <c r="A438" s="9">
        <v>80373</v>
      </c>
      <c r="B438" s="14" t="s">
        <v>22</v>
      </c>
      <c r="C438" s="14" t="s">
        <v>4101</v>
      </c>
      <c r="D438" s="14" t="s">
        <v>4100</v>
      </c>
      <c r="E438" s="15" t="str">
        <f>HYPERLINK("https://stat100.ameba.jp/tnk47/ratio20/illustrations/card/ill_80373_jeanschan03.jpg?201903-6-RELEASE-conquest-e-401", "■")</f>
        <v>■</v>
      </c>
      <c r="F438" s="14" t="s">
        <v>4102</v>
      </c>
      <c r="G438" s="14">
        <v>45742</v>
      </c>
      <c r="H438" s="14">
        <v>38032</v>
      </c>
      <c r="I438" s="14">
        <v>22</v>
      </c>
      <c r="J438" s="14" t="s">
        <v>26</v>
      </c>
      <c r="K438" s="14" t="s">
        <v>4103</v>
      </c>
      <c r="L438" s="14" t="s">
        <v>2635</v>
      </c>
      <c r="M438" s="14" t="s">
        <v>9158</v>
      </c>
      <c r="N438" s="14" t="s">
        <v>9158</v>
      </c>
      <c r="O438" s="14" t="s">
        <v>9158</v>
      </c>
      <c r="P438" s="14" t="s">
        <v>9158</v>
      </c>
      <c r="Q438" s="14" t="s">
        <v>9158</v>
      </c>
      <c r="R438" s="14"/>
    </row>
    <row r="439" spans="1:18">
      <c r="A439" s="9">
        <v>80383</v>
      </c>
      <c r="B439" s="14" t="s">
        <v>30</v>
      </c>
      <c r="C439" s="14" t="s">
        <v>96</v>
      </c>
      <c r="D439" s="14" t="s">
        <v>4104</v>
      </c>
      <c r="E439" s="15" t="str">
        <f>HYPERLINK("https://stat100.ameba.jp/tnk47/ratio20/illustrations/card/ill_80383_uisukisan03.jpg?201903-6-RELEASE-conquest-e-401", "■")</f>
        <v>■</v>
      </c>
      <c r="F439" s="14" t="s">
        <v>4105</v>
      </c>
      <c r="G439" s="14">
        <v>23258</v>
      </c>
      <c r="H439" s="14">
        <v>27692</v>
      </c>
      <c r="I439" s="14">
        <v>22</v>
      </c>
      <c r="J439" s="14" t="s">
        <v>104</v>
      </c>
      <c r="K439" s="14" t="s">
        <v>4106</v>
      </c>
      <c r="L439" s="14" t="s">
        <v>2019</v>
      </c>
      <c r="M439" s="14" t="s">
        <v>9158</v>
      </c>
      <c r="N439" s="14" t="s">
        <v>9158</v>
      </c>
      <c r="O439" s="14" t="s">
        <v>9158</v>
      </c>
      <c r="P439" s="14" t="s">
        <v>9158</v>
      </c>
      <c r="Q439" s="14" t="s">
        <v>9158</v>
      </c>
      <c r="R439" s="14"/>
    </row>
    <row r="440" spans="1:18">
      <c r="B440" s="14"/>
      <c r="C440" s="14"/>
      <c r="D440" s="14"/>
      <c r="F440" s="14"/>
      <c r="G440" s="14"/>
      <c r="H440" s="14"/>
      <c r="I440" s="14"/>
      <c r="J440" s="14"/>
      <c r="K440" s="14"/>
      <c r="L440" s="14"/>
      <c r="M440" s="14"/>
      <c r="N440" s="14"/>
      <c r="P440" s="14"/>
      <c r="Q440" s="14"/>
      <c r="R440" s="14"/>
    </row>
    <row r="441" spans="1:18">
      <c r="A441" s="14" t="s">
        <v>135</v>
      </c>
      <c r="D441" s="14"/>
      <c r="F441" s="14"/>
      <c r="G441" s="14"/>
      <c r="H441" s="14"/>
      <c r="I441" s="14"/>
      <c r="J441" s="14"/>
      <c r="K441" s="14"/>
      <c r="L441" s="14"/>
      <c r="M441" s="14"/>
      <c r="N441" s="14"/>
      <c r="P441" s="14"/>
      <c r="Q441" s="14"/>
      <c r="R441" s="14"/>
    </row>
    <row r="442" spans="1:18">
      <c r="A442" s="14" t="s">
        <v>4107</v>
      </c>
      <c r="B442" s="14"/>
      <c r="C442" s="14"/>
      <c r="D442" s="14"/>
      <c r="F442" s="14"/>
      <c r="G442" s="14"/>
      <c r="H442" s="14"/>
      <c r="I442" s="14"/>
      <c r="J442" s="14"/>
      <c r="K442" s="14"/>
      <c r="L442" s="14"/>
      <c r="M442" s="14"/>
      <c r="N442" s="14"/>
      <c r="P442" s="14"/>
      <c r="Q442" s="14"/>
      <c r="R442" s="14"/>
    </row>
    <row r="443" spans="1:18">
      <c r="A443" s="9" t="s">
        <v>5787</v>
      </c>
      <c r="B443" s="14" t="s">
        <v>330</v>
      </c>
      <c r="C443" s="14" t="s">
        <v>270</v>
      </c>
      <c r="D443" s="14" t="s">
        <v>1101</v>
      </c>
      <c r="E443" s="15" t="str">
        <f>HYPERLINK("https://stat100.ameba.jp/tnk47/ratio20/illustrations/card/ill_76303_0_haroinkaguya03.jpg?201903-6-RELEASE-conquest-e-401", "■")</f>
        <v>■</v>
      </c>
      <c r="F443" s="14" t="s">
        <v>1102</v>
      </c>
      <c r="G443" s="14">
        <v>273713</v>
      </c>
      <c r="H443" s="14">
        <v>254461</v>
      </c>
      <c r="I443" s="14">
        <v>23</v>
      </c>
      <c r="J443" s="14" t="s">
        <v>38</v>
      </c>
      <c r="K443" s="14" t="s">
        <v>1103</v>
      </c>
      <c r="L443" s="14" t="s">
        <v>1104</v>
      </c>
      <c r="M443" s="14" t="s">
        <v>9158</v>
      </c>
      <c r="N443" s="14" t="s">
        <v>9158</v>
      </c>
      <c r="O443" s="9" t="s">
        <v>2723</v>
      </c>
      <c r="P443" s="14" t="s">
        <v>2724</v>
      </c>
      <c r="Q443" s="14">
        <v>1</v>
      </c>
      <c r="R443" s="14"/>
    </row>
    <row r="444" spans="1:18">
      <c r="A444" s="9">
        <v>72163</v>
      </c>
      <c r="B444" s="14" t="s">
        <v>334</v>
      </c>
      <c r="C444" s="14" t="s">
        <v>203</v>
      </c>
      <c r="D444" s="14" t="s">
        <v>2046</v>
      </c>
      <c r="E444" s="15" t="str">
        <f>HYPERLINK("https://stat100.ameba.jp/tnk47/ratio20/illustrations/card/ill_72163_yagyutoshiyoshi03.jpg?201903-6-RELEASE-conquest-e-401", "■")</f>
        <v>■</v>
      </c>
      <c r="F444" s="14" t="s">
        <v>2047</v>
      </c>
      <c r="G444" s="14">
        <v>116286</v>
      </c>
      <c r="H444" s="14">
        <v>84220</v>
      </c>
      <c r="I444" s="14">
        <v>22</v>
      </c>
      <c r="J444" s="14" t="s">
        <v>143</v>
      </c>
      <c r="K444" s="14" t="s">
        <v>2048</v>
      </c>
      <c r="L444" s="14" t="s">
        <v>2049</v>
      </c>
      <c r="M444" s="14" t="s">
        <v>9158</v>
      </c>
      <c r="N444" s="14" t="s">
        <v>9158</v>
      </c>
      <c r="O444" s="9" t="s">
        <v>3655</v>
      </c>
      <c r="P444" s="14" t="s">
        <v>3656</v>
      </c>
      <c r="Q444" s="14">
        <v>1</v>
      </c>
      <c r="R444" s="14"/>
    </row>
    <row r="445" spans="1:18">
      <c r="A445" s="9">
        <v>74553</v>
      </c>
      <c r="B445" s="14" t="s">
        <v>0</v>
      </c>
      <c r="C445" s="14" t="s">
        <v>107</v>
      </c>
      <c r="D445" s="14" t="s">
        <v>4108</v>
      </c>
      <c r="E445" s="15" t="str">
        <f>HYPERLINK("https://stat100.ameba.jp/tnk47/ratio20/illustrations/card/ill_74553_natsuyuenchikusumotoine03.jpg?201903-6-RELEASE-conquest-e-401", "■")</f>
        <v>■</v>
      </c>
      <c r="F445" s="14" t="s">
        <v>4109</v>
      </c>
      <c r="G445" s="14">
        <v>89208</v>
      </c>
      <c r="H445" s="14">
        <v>82978</v>
      </c>
      <c r="I445" s="14">
        <v>22</v>
      </c>
      <c r="J445" s="14" t="s">
        <v>16</v>
      </c>
      <c r="K445" s="14" t="s">
        <v>4110</v>
      </c>
      <c r="L445" s="14" t="s">
        <v>1149</v>
      </c>
      <c r="M445" s="14" t="s">
        <v>9158</v>
      </c>
      <c r="N445" s="14" t="s">
        <v>9158</v>
      </c>
      <c r="O445" s="17" t="s">
        <v>10057</v>
      </c>
      <c r="P445" s="14" t="s">
        <v>3460</v>
      </c>
      <c r="Q445" s="14">
        <v>1</v>
      </c>
      <c r="R445" s="14"/>
    </row>
    <row r="446" spans="1:18">
      <c r="A446" s="9">
        <v>70843</v>
      </c>
      <c r="B446" s="14" t="s">
        <v>0</v>
      </c>
      <c r="C446" s="14" t="s">
        <v>154</v>
      </c>
      <c r="D446" s="14" t="s">
        <v>3596</v>
      </c>
      <c r="E446" s="15" t="str">
        <f>HYPERLINK("https://stat100.ameba.jp/tnk47/ratio20/illustrations/card/ill_70843_indoshinwakurionechan03.jpg?201903-6-RELEASE-conquest-e-401", "■")</f>
        <v>■</v>
      </c>
      <c r="F446" s="14" t="s">
        <v>3597</v>
      </c>
      <c r="G446" s="14">
        <v>93184</v>
      </c>
      <c r="H446" s="14">
        <v>100224</v>
      </c>
      <c r="I446" s="14">
        <v>22</v>
      </c>
      <c r="J446" s="14" t="s">
        <v>26</v>
      </c>
      <c r="K446" s="14" t="s">
        <v>3598</v>
      </c>
      <c r="L446" s="14" t="s">
        <v>2137</v>
      </c>
      <c r="M446" s="14" t="s">
        <v>9158</v>
      </c>
      <c r="N446" s="14" t="s">
        <v>9158</v>
      </c>
      <c r="O446" s="17" t="s">
        <v>10053</v>
      </c>
      <c r="P446" s="14" t="s">
        <v>3592</v>
      </c>
      <c r="Q446" s="14">
        <v>1</v>
      </c>
      <c r="R446" s="14"/>
    </row>
    <row r="447" spans="1:18">
      <c r="B447" s="14"/>
      <c r="C447" s="14"/>
      <c r="D447" s="14"/>
      <c r="F447" s="14"/>
      <c r="G447" s="14"/>
      <c r="H447" s="14"/>
      <c r="I447" s="14"/>
      <c r="J447" s="14"/>
      <c r="K447" s="14"/>
      <c r="L447" s="14"/>
      <c r="M447" s="14"/>
      <c r="N447" s="14"/>
      <c r="P447" s="14"/>
      <c r="Q447" s="14"/>
      <c r="R447" s="14"/>
    </row>
    <row r="448" spans="1:18">
      <c r="A448" s="14" t="s">
        <v>4012</v>
      </c>
      <c r="D448" s="14"/>
      <c r="F448" s="14"/>
      <c r="G448" s="14"/>
      <c r="H448" s="14"/>
      <c r="I448" s="14"/>
      <c r="J448" s="14"/>
      <c r="K448" s="14"/>
      <c r="L448" s="14"/>
      <c r="M448" s="14"/>
      <c r="N448" s="14"/>
      <c r="P448" s="14"/>
      <c r="Q448" s="14"/>
      <c r="R448" s="14"/>
    </row>
    <row r="449" spans="1:19">
      <c r="A449" s="14" t="s">
        <v>4111</v>
      </c>
      <c r="B449" s="14"/>
      <c r="C449" s="14"/>
      <c r="D449" s="14"/>
      <c r="F449" s="14"/>
      <c r="G449" s="14"/>
      <c r="H449" s="14"/>
      <c r="I449" s="14"/>
      <c r="J449" s="14"/>
      <c r="K449" s="14"/>
      <c r="L449" s="14"/>
      <c r="M449" s="14"/>
      <c r="N449" s="14"/>
      <c r="P449" s="14"/>
      <c r="Q449" s="14"/>
      <c r="R449" s="14"/>
    </row>
    <row r="450" spans="1:19">
      <c r="A450" s="9" t="s">
        <v>5822</v>
      </c>
      <c r="B450" s="14" t="s">
        <v>330</v>
      </c>
      <c r="C450" s="14" t="s">
        <v>307</v>
      </c>
      <c r="D450" s="14" t="s">
        <v>306</v>
      </c>
      <c r="E450" s="15" t="str">
        <f>HYPERLINK("https://stat100.ameba.jp/tnk47/ratio20/illustrations/card/ill_71403_0_ohanamisanadayukimura03.jpg?201904-1-RELEASE-raid-402", "■")</f>
        <v>■</v>
      </c>
      <c r="F450" s="14" t="s">
        <v>309</v>
      </c>
      <c r="G450" s="14">
        <v>140016</v>
      </c>
      <c r="H450" s="14">
        <v>130194</v>
      </c>
      <c r="I450" s="14">
        <v>15</v>
      </c>
      <c r="J450" s="14" t="s">
        <v>310</v>
      </c>
      <c r="K450" s="14" t="s">
        <v>311</v>
      </c>
      <c r="L450" s="14" t="s">
        <v>312</v>
      </c>
      <c r="M450" s="14" t="s">
        <v>9158</v>
      </c>
      <c r="N450" s="14" t="s">
        <v>9158</v>
      </c>
      <c r="O450" s="17" t="s">
        <v>10060</v>
      </c>
      <c r="P450" s="14" t="s">
        <v>3418</v>
      </c>
      <c r="Q450" s="14">
        <v>2</v>
      </c>
      <c r="R450" s="14"/>
    </row>
    <row r="451" spans="1:19">
      <c r="A451" s="9" t="s">
        <v>5606</v>
      </c>
      <c r="B451" s="14" t="s">
        <v>52</v>
      </c>
      <c r="C451" s="14" t="s">
        <v>206</v>
      </c>
      <c r="D451" s="14" t="s">
        <v>1011</v>
      </c>
      <c r="E451" s="15" t="str">
        <f>HYPERLINK("https://stat100.ameba.jp/tnk47/ratio20/illustrations/card/ill_72233_0_koinoboriryugujin03.jpg?201904-1-RELEASE-raid-402", "■")</f>
        <v>■</v>
      </c>
      <c r="F451" s="14" t="s">
        <v>1012</v>
      </c>
      <c r="G451" s="14">
        <v>98395</v>
      </c>
      <c r="H451" s="14">
        <v>105833</v>
      </c>
      <c r="I451" s="14">
        <v>15</v>
      </c>
      <c r="J451" s="14" t="s">
        <v>44</v>
      </c>
      <c r="K451" s="14" t="s">
        <v>1013</v>
      </c>
      <c r="L451" s="14" t="s">
        <v>1014</v>
      </c>
      <c r="M451" s="14" t="s">
        <v>9158</v>
      </c>
      <c r="N451" s="14" t="s">
        <v>9158</v>
      </c>
      <c r="O451" s="9" t="s">
        <v>3419</v>
      </c>
      <c r="P451" s="14" t="s">
        <v>3420</v>
      </c>
      <c r="Q451" s="14">
        <v>2</v>
      </c>
      <c r="R451" s="14"/>
    </row>
    <row r="452" spans="1:19">
      <c r="A452" s="9" t="s">
        <v>5721</v>
      </c>
      <c r="B452" s="14" t="s">
        <v>330</v>
      </c>
      <c r="C452" s="14" t="s">
        <v>205</v>
      </c>
      <c r="D452" s="14" t="s">
        <v>1715</v>
      </c>
      <c r="E452" s="15" t="str">
        <f>HYPERLINK("https://stat100.ameba.jp/tnk47/ratio20/illustrations/card/ill_44283_0_izumonokuni03.jpg?201904-1-RELEASE-raid-402", "■")</f>
        <v>■</v>
      </c>
      <c r="F452" s="14" t="s">
        <v>514</v>
      </c>
      <c r="G452" s="14">
        <v>87780</v>
      </c>
      <c r="H452" s="14">
        <v>82212</v>
      </c>
      <c r="I452" s="14">
        <v>15</v>
      </c>
      <c r="J452" s="14" t="s">
        <v>159</v>
      </c>
      <c r="K452" s="14" t="s">
        <v>1717</v>
      </c>
      <c r="L452" s="14" t="s">
        <v>516</v>
      </c>
      <c r="M452" s="14" t="s">
        <v>9158</v>
      </c>
      <c r="N452" s="14" t="s">
        <v>9158</v>
      </c>
      <c r="O452" s="14" t="s">
        <v>9158</v>
      </c>
      <c r="P452" s="14" t="s">
        <v>9158</v>
      </c>
      <c r="Q452" s="14" t="s">
        <v>9158</v>
      </c>
      <c r="R452" s="14"/>
    </row>
    <row r="453" spans="1:19">
      <c r="A453" s="9">
        <v>66803</v>
      </c>
      <c r="B453" s="14" t="s">
        <v>334</v>
      </c>
      <c r="C453" s="14" t="s">
        <v>47</v>
      </c>
      <c r="D453" s="14" t="s">
        <v>4112</v>
      </c>
      <c r="E453" s="15" t="str">
        <f>HYPERLINK("https://stat100.ameba.jp/tnk47/ratio20/illustrations/card/ill_66803_shodainishikawasenzo03.jpg?201904-1-RELEASE-raid-402", "■")</f>
        <v>■</v>
      </c>
      <c r="F453" s="14" t="s">
        <v>4113</v>
      </c>
      <c r="G453" s="14">
        <v>93746</v>
      </c>
      <c r="H453" s="14">
        <v>87128</v>
      </c>
      <c r="I453" s="14">
        <v>24</v>
      </c>
      <c r="J453" s="14" t="s">
        <v>10</v>
      </c>
      <c r="K453" s="14" t="s">
        <v>4114</v>
      </c>
      <c r="L453" s="14" t="s">
        <v>3352</v>
      </c>
      <c r="M453" s="14" t="s">
        <v>9158</v>
      </c>
      <c r="N453" s="14" t="s">
        <v>9158</v>
      </c>
      <c r="O453" s="14" t="s">
        <v>9158</v>
      </c>
      <c r="P453" s="14" t="s">
        <v>9158</v>
      </c>
      <c r="Q453" s="14" t="s">
        <v>9158</v>
      </c>
      <c r="S453" s="14" t="s">
        <v>11760</v>
      </c>
    </row>
    <row r="454" spans="1:19">
      <c r="A454" s="9">
        <v>65993</v>
      </c>
      <c r="B454" s="14" t="s">
        <v>0</v>
      </c>
      <c r="C454" s="14" t="s">
        <v>41</v>
      </c>
      <c r="D454" s="14" t="s">
        <v>4115</v>
      </c>
      <c r="E454" s="15" t="str">
        <f>HYPERLINK("https://stat100.ameba.jp/tnk47/ratio20/illustrations/card/ill_65993_osanaikaoru03.jpg?201904-1-RELEASE-raid-402", "■")</f>
        <v>■</v>
      </c>
      <c r="F454" s="14" t="s">
        <v>4116</v>
      </c>
      <c r="G454" s="14">
        <v>97318</v>
      </c>
      <c r="H454" s="14">
        <v>90522</v>
      </c>
      <c r="I454" s="14">
        <v>24</v>
      </c>
      <c r="J454" s="14" t="s">
        <v>16</v>
      </c>
      <c r="K454" s="14" t="s">
        <v>4117</v>
      </c>
      <c r="L454" s="14" t="s">
        <v>920</v>
      </c>
      <c r="M454" s="14" t="s">
        <v>9158</v>
      </c>
      <c r="N454" s="14" t="s">
        <v>9158</v>
      </c>
      <c r="O454" s="14" t="s">
        <v>9158</v>
      </c>
      <c r="P454" s="14" t="s">
        <v>9158</v>
      </c>
      <c r="Q454" s="14" t="s">
        <v>9158</v>
      </c>
      <c r="S454" s="14" t="s">
        <v>11761</v>
      </c>
    </row>
    <row r="455" spans="1:19">
      <c r="A455" s="9">
        <v>69353</v>
      </c>
      <c r="B455" s="14" t="s">
        <v>334</v>
      </c>
      <c r="C455" s="14" t="s">
        <v>47</v>
      </c>
      <c r="D455" s="14" t="s">
        <v>4118</v>
      </c>
      <c r="E455" s="15" t="str">
        <f>HYPERLINK("https://stat100.ameba.jp/tnk47/ratio20/illustrations/card/ill_69353_shosenin03.jpg?201904-1-RELEASE-raid-402", "■")</f>
        <v>■</v>
      </c>
      <c r="F455" s="14" t="s">
        <v>4119</v>
      </c>
      <c r="G455" s="14">
        <v>87128</v>
      </c>
      <c r="H455" s="14">
        <v>93746</v>
      </c>
      <c r="I455" s="14">
        <v>24</v>
      </c>
      <c r="J455" s="14" t="s">
        <v>77</v>
      </c>
      <c r="K455" s="14" t="s">
        <v>4120</v>
      </c>
      <c r="L455" s="14" t="s">
        <v>969</v>
      </c>
      <c r="M455" s="14" t="s">
        <v>9158</v>
      </c>
      <c r="N455" s="14" t="s">
        <v>9158</v>
      </c>
      <c r="O455" s="14" t="s">
        <v>9158</v>
      </c>
      <c r="P455" s="14" t="s">
        <v>9158</v>
      </c>
      <c r="Q455" s="14" t="s">
        <v>9158</v>
      </c>
      <c r="S455" s="14" t="s">
        <v>11762</v>
      </c>
    </row>
    <row r="456" spans="1:19">
      <c r="A456" s="9">
        <v>44633</v>
      </c>
      <c r="B456" s="14" t="s">
        <v>348</v>
      </c>
      <c r="C456" s="14" t="s">
        <v>14</v>
      </c>
      <c r="D456" s="14" t="s">
        <v>4005</v>
      </c>
      <c r="E456" s="15" t="str">
        <f>HYPERLINK("https://stat100.ameba.jp/tnk47/ratio20/illustrations/card/ill_44633_ainusokki03.jpg?201904-1-RELEASE-raid-402", "■")</f>
        <v>■</v>
      </c>
      <c r="F456" s="14" t="s">
        <v>4006</v>
      </c>
      <c r="G456" s="14">
        <v>56316</v>
      </c>
      <c r="H456" s="14">
        <v>51078</v>
      </c>
      <c r="I456" s="14">
        <v>19</v>
      </c>
      <c r="J456" s="14" t="s">
        <v>73</v>
      </c>
      <c r="K456" s="14" t="s">
        <v>4007</v>
      </c>
      <c r="L456" s="14" t="s">
        <v>4008</v>
      </c>
      <c r="M456" s="14" t="s">
        <v>9158</v>
      </c>
      <c r="N456" s="14" t="s">
        <v>9158</v>
      </c>
      <c r="O456" s="14" t="s">
        <v>9158</v>
      </c>
      <c r="P456" s="14" t="s">
        <v>9158</v>
      </c>
      <c r="Q456" s="14" t="s">
        <v>9158</v>
      </c>
      <c r="S456" s="14" t="s">
        <v>12930</v>
      </c>
    </row>
    <row r="457" spans="1:19">
      <c r="A457" s="9">
        <v>47903</v>
      </c>
      <c r="B457" s="14" t="s">
        <v>348</v>
      </c>
      <c r="C457" s="14" t="s">
        <v>14</v>
      </c>
      <c r="D457" s="14" t="s">
        <v>4009</v>
      </c>
      <c r="E457" s="15" t="str">
        <f>HYPERLINK("https://stat100.ameba.jp/tnk47/ratio20/illustrations/card/ill_47903_shireitousafaia03.jpg?201904-1-RELEASE-raid-402", "■")</f>
        <v>■</v>
      </c>
      <c r="F457" s="14" t="s">
        <v>4010</v>
      </c>
      <c r="G457" s="14">
        <v>51078</v>
      </c>
      <c r="H457" s="14">
        <v>56316</v>
      </c>
      <c r="I457" s="14">
        <v>19</v>
      </c>
      <c r="J457" s="14" t="s">
        <v>16</v>
      </c>
      <c r="K457" s="14" t="s">
        <v>4011</v>
      </c>
      <c r="L457" s="14" t="s">
        <v>100</v>
      </c>
      <c r="M457" s="14" t="s">
        <v>9158</v>
      </c>
      <c r="N457" s="14" t="s">
        <v>9158</v>
      </c>
      <c r="O457" s="14" t="s">
        <v>9158</v>
      </c>
      <c r="P457" s="14" t="s">
        <v>9158</v>
      </c>
      <c r="Q457" s="14" t="s">
        <v>9158</v>
      </c>
      <c r="S457" s="14" t="s">
        <v>12930</v>
      </c>
    </row>
    <row r="458" spans="1:19">
      <c r="A458" s="9">
        <v>67793</v>
      </c>
      <c r="B458" s="14" t="s">
        <v>348</v>
      </c>
      <c r="C458" s="14" t="s">
        <v>14</v>
      </c>
      <c r="D458" s="14" t="s">
        <v>3437</v>
      </c>
      <c r="E458" s="15" t="str">
        <f>HYPERLINK("https://stat100.ameba.jp/tnk47/ratio20/illustrations/card/ill_67793_yukioni03.jpg?201904-1-RELEASE-raid-402", "■")</f>
        <v>■</v>
      </c>
      <c r="F458" s="14" t="s">
        <v>3438</v>
      </c>
      <c r="G458" s="14">
        <v>51078</v>
      </c>
      <c r="H458" s="14">
        <v>56316</v>
      </c>
      <c r="I458" s="14">
        <v>19</v>
      </c>
      <c r="J458" s="14" t="s">
        <v>38</v>
      </c>
      <c r="K458" s="14" t="s">
        <v>3439</v>
      </c>
      <c r="L458" s="14" t="s">
        <v>3440</v>
      </c>
      <c r="M458" s="14" t="s">
        <v>9158</v>
      </c>
      <c r="N458" s="14" t="s">
        <v>9158</v>
      </c>
      <c r="O458" s="14" t="s">
        <v>9158</v>
      </c>
      <c r="P458" s="14" t="s">
        <v>9158</v>
      </c>
      <c r="Q458" s="14" t="s">
        <v>9158</v>
      </c>
      <c r="S458" s="14" t="s">
        <v>11742</v>
      </c>
    </row>
    <row r="459" spans="1:19">
      <c r="B459" s="14"/>
      <c r="C459" s="14"/>
      <c r="D459" s="14"/>
      <c r="F459" s="14"/>
      <c r="G459" s="14"/>
      <c r="H459" s="14"/>
      <c r="I459" s="14"/>
      <c r="J459" s="14"/>
      <c r="K459" s="14"/>
      <c r="L459" s="14"/>
      <c r="M459" s="14"/>
      <c r="N459" s="14"/>
      <c r="P459" s="14"/>
      <c r="Q459" s="14"/>
      <c r="R459" s="14"/>
    </row>
    <row r="460" spans="1:19">
      <c r="A460" s="14" t="s">
        <v>13326</v>
      </c>
      <c r="D460" s="14"/>
      <c r="F460" s="14"/>
      <c r="G460" s="14"/>
      <c r="H460" s="14"/>
      <c r="I460" s="14"/>
      <c r="J460" s="14"/>
      <c r="K460" s="14"/>
      <c r="L460" s="14"/>
      <c r="M460" s="14"/>
      <c r="N460" s="14"/>
      <c r="P460" s="14"/>
      <c r="Q460" s="14"/>
      <c r="R460" s="14"/>
    </row>
    <row r="461" spans="1:19">
      <c r="A461" s="14" t="s">
        <v>4121</v>
      </c>
      <c r="B461" s="14"/>
      <c r="C461" s="14"/>
      <c r="D461" s="14"/>
      <c r="F461" s="14"/>
      <c r="G461" s="14"/>
      <c r="H461" s="14"/>
      <c r="I461" s="14"/>
      <c r="J461" s="14"/>
      <c r="K461" s="14"/>
      <c r="L461" s="14"/>
      <c r="M461" s="14"/>
      <c r="N461" s="14"/>
      <c r="P461" s="14"/>
      <c r="Q461" s="14"/>
      <c r="R461" s="14"/>
    </row>
    <row r="462" spans="1:19">
      <c r="A462" s="9">
        <v>66113</v>
      </c>
      <c r="B462" s="14" t="s">
        <v>334</v>
      </c>
      <c r="C462" s="14" t="s">
        <v>185</v>
      </c>
      <c r="D462" s="14" t="s">
        <v>1292</v>
      </c>
      <c r="E462" s="15" t="str">
        <f>HYPERLINK("https://stat100.ameba.jp/tnk47/ratio20/illustrations/card/ill_66113_shirarikahime03.jpg?201904-1-RELEASE-raid-402", "■")</f>
        <v>■</v>
      </c>
      <c r="F462" s="14" t="s">
        <v>1293</v>
      </c>
      <c r="G462" s="14">
        <v>113230</v>
      </c>
      <c r="H462" s="14">
        <v>105275</v>
      </c>
      <c r="I462" s="14">
        <v>23</v>
      </c>
      <c r="J462" s="14" t="s">
        <v>274</v>
      </c>
      <c r="K462" s="14" t="s">
        <v>1304</v>
      </c>
      <c r="L462" s="2" t="s">
        <v>9908</v>
      </c>
      <c r="M462" s="14" t="s">
        <v>13151</v>
      </c>
      <c r="N462" s="14" t="s">
        <v>251</v>
      </c>
      <c r="O462" s="14" t="s">
        <v>9158</v>
      </c>
      <c r="P462" s="14" t="s">
        <v>9158</v>
      </c>
      <c r="Q462" s="14" t="s">
        <v>9158</v>
      </c>
      <c r="R462" s="14" t="s">
        <v>14858</v>
      </c>
    </row>
    <row r="463" spans="1:19">
      <c r="A463" s="9">
        <v>66112</v>
      </c>
      <c r="B463" s="14" t="s">
        <v>334</v>
      </c>
      <c r="C463" s="14" t="s">
        <v>185</v>
      </c>
      <c r="D463" s="14" t="s">
        <v>1292</v>
      </c>
      <c r="E463" s="15" t="str">
        <f>HYPERLINK("https://stat100.ameba.jp/tnk47/ratio20/illustrations/card/ill_66112_shirarikahime02.jpg?201904-1-RELEASE-raid-402", "■")</f>
        <v>■</v>
      </c>
      <c r="F463" s="14" t="s">
        <v>1293</v>
      </c>
      <c r="G463" s="14">
        <v>94653</v>
      </c>
      <c r="H463" s="14">
        <v>87192</v>
      </c>
      <c r="I463" s="14">
        <v>23</v>
      </c>
      <c r="J463" s="14" t="s">
        <v>274</v>
      </c>
      <c r="K463" s="14" t="s">
        <v>1304</v>
      </c>
      <c r="L463" s="2" t="s">
        <v>9908</v>
      </c>
      <c r="M463" s="14" t="s">
        <v>13156</v>
      </c>
      <c r="N463" s="14" t="s">
        <v>1310</v>
      </c>
      <c r="O463" s="14" t="s">
        <v>9158</v>
      </c>
      <c r="P463" s="14" t="s">
        <v>9158</v>
      </c>
      <c r="Q463" s="14" t="s">
        <v>9158</v>
      </c>
      <c r="R463" s="14" t="s">
        <v>14858</v>
      </c>
    </row>
    <row r="464" spans="1:19">
      <c r="A464" s="9">
        <v>66111</v>
      </c>
      <c r="B464" s="14" t="s">
        <v>334</v>
      </c>
      <c r="C464" s="14" t="s">
        <v>185</v>
      </c>
      <c r="D464" s="14" t="s">
        <v>1292</v>
      </c>
      <c r="E464" s="15" t="str">
        <f>HYPERLINK("https://stat100.ameba.jp/tnk47/ratio20/illustrations/card/ill_66111_shirarikahime01.jpg?201904-1-RELEASE-raid-402", "■")</f>
        <v>■</v>
      </c>
      <c r="F464" s="14" t="s">
        <v>1293</v>
      </c>
      <c r="G464" s="14">
        <v>72266</v>
      </c>
      <c r="H464" s="14">
        <v>67275</v>
      </c>
      <c r="I464" s="14">
        <v>23</v>
      </c>
      <c r="J464" s="14" t="s">
        <v>274</v>
      </c>
      <c r="K464" s="14" t="s">
        <v>1304</v>
      </c>
      <c r="L464" s="2" t="s">
        <v>9908</v>
      </c>
      <c r="M464" s="14" t="s">
        <v>13156</v>
      </c>
      <c r="N464" s="14" t="s">
        <v>1310</v>
      </c>
      <c r="O464" s="14" t="s">
        <v>9158</v>
      </c>
      <c r="P464" s="14" t="s">
        <v>9158</v>
      </c>
      <c r="Q464" s="14" t="s">
        <v>9158</v>
      </c>
      <c r="R464" s="14" t="s">
        <v>14858</v>
      </c>
    </row>
    <row r="465" spans="1:18">
      <c r="A465" s="9">
        <v>65383</v>
      </c>
      <c r="B465" s="14" t="s">
        <v>334</v>
      </c>
      <c r="C465" s="14" t="s">
        <v>200</v>
      </c>
      <c r="D465" s="14" t="s">
        <v>1294</v>
      </c>
      <c r="E465" s="15" t="str">
        <f>HYPERLINK("https://stat100.ameba.jp/tnk47/ratio20/illustrations/card/ill_65383_aogashimachan03.jpg?201904-1-RELEASE-raid-402", "■")</f>
        <v>■</v>
      </c>
      <c r="F465" s="14" t="s">
        <v>1295</v>
      </c>
      <c r="G465" s="14">
        <v>105275</v>
      </c>
      <c r="H465" s="14">
        <v>113230</v>
      </c>
      <c r="I465" s="14">
        <v>23</v>
      </c>
      <c r="J465" s="14" t="s">
        <v>369</v>
      </c>
      <c r="K465" s="14" t="s">
        <v>1305</v>
      </c>
      <c r="L465" s="2" t="s">
        <v>9909</v>
      </c>
      <c r="M465" s="14" t="s">
        <v>13151</v>
      </c>
      <c r="N465" s="14" t="s">
        <v>251</v>
      </c>
      <c r="O465" s="14" t="s">
        <v>9158</v>
      </c>
      <c r="P465" s="14" t="s">
        <v>9158</v>
      </c>
      <c r="Q465" s="14" t="s">
        <v>9158</v>
      </c>
      <c r="R465" s="14" t="s">
        <v>14858</v>
      </c>
    </row>
    <row r="466" spans="1:18">
      <c r="A466" s="9">
        <v>66123</v>
      </c>
      <c r="B466" s="14" t="s">
        <v>334</v>
      </c>
      <c r="C466" s="14" t="s">
        <v>191</v>
      </c>
      <c r="D466" s="14" t="s">
        <v>1296</v>
      </c>
      <c r="E466" s="15" t="str">
        <f>HYPERLINK("https://stat100.ameba.jp/tnk47/ratio20/illustrations/card/ill_66123_taikemmoninnohorikawa03.jpg?201904-1-RELEASE-raid-402", "■")</f>
        <v>■</v>
      </c>
      <c r="F466" s="14" t="s">
        <v>1297</v>
      </c>
      <c r="G466" s="14">
        <v>113230</v>
      </c>
      <c r="H466" s="14">
        <v>105275</v>
      </c>
      <c r="I466" s="14">
        <v>23</v>
      </c>
      <c r="J466" s="14" t="s">
        <v>414</v>
      </c>
      <c r="K466" s="14" t="s">
        <v>1306</v>
      </c>
      <c r="L466" s="2" t="s">
        <v>9910</v>
      </c>
      <c r="M466" s="14" t="s">
        <v>13151</v>
      </c>
      <c r="N466" s="14" t="s">
        <v>251</v>
      </c>
      <c r="O466" s="14" t="s">
        <v>9158</v>
      </c>
      <c r="P466" s="14" t="s">
        <v>9158</v>
      </c>
      <c r="Q466" s="14" t="s">
        <v>9158</v>
      </c>
      <c r="R466" s="14" t="s">
        <v>14858</v>
      </c>
    </row>
    <row r="467" spans="1:18">
      <c r="A467" s="9">
        <v>66133</v>
      </c>
      <c r="B467" s="14" t="s">
        <v>334</v>
      </c>
      <c r="C467" s="14" t="s">
        <v>165</v>
      </c>
      <c r="D467" s="14" t="s">
        <v>1298</v>
      </c>
      <c r="E467" s="15" t="str">
        <f>HYPERLINK("https://stat100.ameba.jp/tnk47/ratio20/illustrations/card/ill_66133_iinaosuke03.jpg?201904-1-RELEASE-raid-402", "■")</f>
        <v>■</v>
      </c>
      <c r="F467" s="14" t="s">
        <v>1299</v>
      </c>
      <c r="G467" s="14">
        <v>105275</v>
      </c>
      <c r="H467" s="14">
        <v>113230</v>
      </c>
      <c r="I467" s="14">
        <v>23</v>
      </c>
      <c r="J467" s="14" t="s">
        <v>351</v>
      </c>
      <c r="K467" s="14" t="s">
        <v>1307</v>
      </c>
      <c r="L467" s="2" t="s">
        <v>9911</v>
      </c>
      <c r="M467" s="14" t="s">
        <v>13151</v>
      </c>
      <c r="N467" s="14" t="s">
        <v>251</v>
      </c>
      <c r="O467" s="14" t="s">
        <v>9158</v>
      </c>
      <c r="P467" s="14" t="s">
        <v>9158</v>
      </c>
      <c r="Q467" s="14" t="s">
        <v>9158</v>
      </c>
      <c r="R467" s="14" t="s">
        <v>14858</v>
      </c>
    </row>
    <row r="468" spans="1:18">
      <c r="A468" s="9">
        <v>65393</v>
      </c>
      <c r="B468" s="14" t="s">
        <v>334</v>
      </c>
      <c r="C468" s="14" t="s">
        <v>205</v>
      </c>
      <c r="D468" s="14" t="s">
        <v>1300</v>
      </c>
      <c r="E468" s="15" t="str">
        <f>HYPERLINK("https://stat100.ameba.jp/tnk47/ratio20/illustrations/card/ill_65393_motochikafujin03.jpg?201904-1-RELEASE-raid-402", "■")</f>
        <v>■</v>
      </c>
      <c r="F468" s="14" t="s">
        <v>1301</v>
      </c>
      <c r="G468" s="14">
        <v>105275</v>
      </c>
      <c r="H468" s="14">
        <v>113230</v>
      </c>
      <c r="I468" s="14">
        <v>23</v>
      </c>
      <c r="J468" s="14" t="s">
        <v>315</v>
      </c>
      <c r="K468" s="14" t="s">
        <v>1308</v>
      </c>
      <c r="L468" s="2" t="s">
        <v>9912</v>
      </c>
      <c r="M468" s="14" t="s">
        <v>13151</v>
      </c>
      <c r="N468" s="14" t="s">
        <v>251</v>
      </c>
      <c r="O468" s="14" t="s">
        <v>9158</v>
      </c>
      <c r="P468" s="14" t="s">
        <v>9158</v>
      </c>
      <c r="Q468" s="14" t="s">
        <v>9158</v>
      </c>
      <c r="R468" s="14" t="s">
        <v>14858</v>
      </c>
    </row>
    <row r="469" spans="1:18">
      <c r="A469" s="9">
        <v>65403</v>
      </c>
      <c r="B469" s="14" t="s">
        <v>334</v>
      </c>
      <c r="C469" s="14" t="s">
        <v>206</v>
      </c>
      <c r="D469" s="14" t="s">
        <v>1302</v>
      </c>
      <c r="E469" s="15" t="str">
        <f>HYPERLINK("https://stat100.ameba.jp/tnk47/ratio20/illustrations/card/ill_65403_amenokoyanenomikoto03.jpg?201904-1-RELEASE-raid-402", "■")</f>
        <v>■</v>
      </c>
      <c r="F469" s="14" t="s">
        <v>1303</v>
      </c>
      <c r="G469" s="14">
        <v>113230</v>
      </c>
      <c r="H469" s="14">
        <v>105275</v>
      </c>
      <c r="I469" s="14">
        <v>23</v>
      </c>
      <c r="J469" s="14" t="s">
        <v>401</v>
      </c>
      <c r="K469" s="14" t="s">
        <v>1309</v>
      </c>
      <c r="L469" s="2" t="s">
        <v>9913</v>
      </c>
      <c r="M469" s="14" t="s">
        <v>13151</v>
      </c>
      <c r="N469" s="14" t="s">
        <v>251</v>
      </c>
      <c r="O469" s="14" t="s">
        <v>9158</v>
      </c>
      <c r="P469" s="14" t="s">
        <v>9158</v>
      </c>
      <c r="Q469" s="14" t="s">
        <v>9158</v>
      </c>
      <c r="R469" s="14" t="s">
        <v>14858</v>
      </c>
    </row>
    <row r="470" spans="1:18">
      <c r="B470" s="14"/>
      <c r="C470" s="14"/>
      <c r="D470" s="14"/>
      <c r="F470" s="14"/>
      <c r="G470" s="14"/>
      <c r="H470" s="14"/>
      <c r="I470" s="14"/>
      <c r="J470" s="14"/>
      <c r="K470" s="14"/>
      <c r="L470" s="14"/>
      <c r="M470" s="14"/>
      <c r="N470" s="14"/>
      <c r="P470" s="14"/>
      <c r="Q470" s="14"/>
      <c r="R470" s="14"/>
    </row>
    <row r="471" spans="1:18">
      <c r="A471" s="14" t="s">
        <v>4137</v>
      </c>
      <c r="D471" s="14"/>
      <c r="F471" s="14"/>
      <c r="G471" s="14"/>
      <c r="H471" s="14"/>
      <c r="I471" s="14"/>
      <c r="J471" s="14"/>
      <c r="K471" s="14"/>
      <c r="L471" s="14"/>
      <c r="M471" s="14"/>
      <c r="N471" s="14"/>
      <c r="P471" s="14"/>
      <c r="Q471" s="14"/>
      <c r="R471" s="14"/>
    </row>
    <row r="472" spans="1:18">
      <c r="A472" s="14" t="s">
        <v>4138</v>
      </c>
      <c r="B472" s="14"/>
      <c r="C472" s="14"/>
      <c r="D472" s="14"/>
      <c r="F472" s="14"/>
      <c r="G472" s="14"/>
      <c r="H472" s="14"/>
      <c r="I472" s="14"/>
      <c r="J472" s="14"/>
      <c r="K472" s="14"/>
      <c r="L472" s="14"/>
      <c r="M472" s="14"/>
      <c r="N472" s="14"/>
      <c r="P472" s="14"/>
      <c r="Q472" s="14"/>
      <c r="R472" s="14"/>
    </row>
    <row r="473" spans="1:18">
      <c r="A473" s="9" t="s">
        <v>5621</v>
      </c>
      <c r="B473" s="14" t="s">
        <v>330</v>
      </c>
      <c r="C473" s="14" t="s">
        <v>191</v>
      </c>
      <c r="D473" s="14" t="s">
        <v>2871</v>
      </c>
      <c r="E473" s="15" t="str">
        <f>HYPERLINK("https://stat100.ameba.jp/tnk47/ratio20/illustrations/card/ill_51973_0_kemonomizugikuroyuridensetsu03.jpg?201904-1-RELEASE-raid-402xxx", "■")</f>
        <v>■</v>
      </c>
      <c r="F473" s="14" t="s">
        <v>2872</v>
      </c>
      <c r="G473" s="14">
        <v>138212</v>
      </c>
      <c r="H473" s="14">
        <v>122776</v>
      </c>
      <c r="I473" s="14">
        <v>22</v>
      </c>
      <c r="J473" s="14" t="s">
        <v>274</v>
      </c>
      <c r="K473" s="14" t="s">
        <v>2873</v>
      </c>
      <c r="L473" s="14" t="s">
        <v>2874</v>
      </c>
      <c r="M473" s="14" t="s">
        <v>9158</v>
      </c>
      <c r="N473" s="14" t="s">
        <v>9158</v>
      </c>
      <c r="O473" s="17" t="s">
        <v>10066</v>
      </c>
      <c r="P473" s="14" t="s">
        <v>13172</v>
      </c>
      <c r="Q473" s="14">
        <v>1</v>
      </c>
      <c r="R473" s="14"/>
    </row>
    <row r="474" spans="1:18">
      <c r="A474" s="9" t="s">
        <v>5612</v>
      </c>
      <c r="B474" s="14" t="s">
        <v>330</v>
      </c>
      <c r="C474" s="14" t="s">
        <v>165</v>
      </c>
      <c r="D474" s="14" t="s">
        <v>789</v>
      </c>
      <c r="E474" s="15" t="str">
        <f>HYPERLINK("https://stat100.ameba.jp/tnk47/ratio20/illustrations/card/ill_49193_0_onmyoudouabenoseimei03.jpg?201904-1-RELEASE-raid-402xxx", "■")</f>
        <v>■</v>
      </c>
      <c r="F474" s="14" t="s">
        <v>790</v>
      </c>
      <c r="G474" s="14">
        <v>122776</v>
      </c>
      <c r="H474" s="14">
        <v>138212</v>
      </c>
      <c r="I474" s="14">
        <v>22</v>
      </c>
      <c r="J474" s="14" t="s">
        <v>351</v>
      </c>
      <c r="K474" s="14" t="s">
        <v>791</v>
      </c>
      <c r="L474" s="14" t="s">
        <v>792</v>
      </c>
      <c r="M474" s="14" t="s">
        <v>9158</v>
      </c>
      <c r="N474" s="14" t="s">
        <v>9158</v>
      </c>
      <c r="O474" s="14" t="s">
        <v>9158</v>
      </c>
      <c r="P474" s="14" t="s">
        <v>9158</v>
      </c>
      <c r="Q474" s="14" t="s">
        <v>9158</v>
      </c>
      <c r="R474" s="14"/>
    </row>
    <row r="475" spans="1:18">
      <c r="A475" s="9" t="s">
        <v>5616</v>
      </c>
      <c r="B475" s="14" t="s">
        <v>330</v>
      </c>
      <c r="C475" s="14" t="s">
        <v>185</v>
      </c>
      <c r="D475" s="14" t="s">
        <v>638</v>
      </c>
      <c r="E475" s="15" t="str">
        <f>HYPERLINK("https://stat100.ameba.jp/tnk47/ratio20/illustrations/card/ill_44253_0_dokuganryudatemasamune03.jpg?201904-1-RELEASE-raid-402xxx", "■")</f>
        <v>■</v>
      </c>
      <c r="F475" s="14" t="s">
        <v>639</v>
      </c>
      <c r="G475" s="14">
        <v>120576</v>
      </c>
      <c r="H475" s="14">
        <v>128744</v>
      </c>
      <c r="I475" s="14">
        <v>22</v>
      </c>
      <c r="J475" s="14" t="s">
        <v>310</v>
      </c>
      <c r="K475" s="14" t="s">
        <v>640</v>
      </c>
      <c r="L475" s="14" t="s">
        <v>641</v>
      </c>
      <c r="M475" s="14" t="s">
        <v>9158</v>
      </c>
      <c r="N475" s="14" t="s">
        <v>9158</v>
      </c>
      <c r="O475" s="14" t="s">
        <v>9158</v>
      </c>
      <c r="P475" s="14" t="s">
        <v>9158</v>
      </c>
      <c r="Q475" s="14" t="s">
        <v>9158</v>
      </c>
      <c r="R475" s="14"/>
    </row>
    <row r="476" spans="1:18">
      <c r="A476" s="9">
        <v>80353</v>
      </c>
      <c r="B476" s="14" t="s">
        <v>334</v>
      </c>
      <c r="C476" s="14" t="s">
        <v>335</v>
      </c>
      <c r="D476" s="14" t="s">
        <v>4122</v>
      </c>
      <c r="E476" s="15" t="str">
        <f>HYPERLINK("https://stat100.ameba.jp/tnk47/ratio20/illustrations/card/ill_80353_seibugekisentoin03.jpg?201904-1-RELEASE-raid-402xxx", "■")</f>
        <v>■</v>
      </c>
      <c r="F476" s="14" t="s">
        <v>4123</v>
      </c>
      <c r="G476" s="14">
        <v>82027</v>
      </c>
      <c r="H476" s="14">
        <v>76237</v>
      </c>
      <c r="I476" s="14">
        <v>21</v>
      </c>
      <c r="J476" s="14" t="s">
        <v>315</v>
      </c>
      <c r="K476" s="14" t="s">
        <v>4124</v>
      </c>
      <c r="L476" s="14" t="s">
        <v>4125</v>
      </c>
      <c r="M476" s="14" t="s">
        <v>9158</v>
      </c>
      <c r="N476" s="14" t="s">
        <v>9158</v>
      </c>
      <c r="O476" s="14" t="s">
        <v>9158</v>
      </c>
      <c r="P476" s="14" t="s">
        <v>9158</v>
      </c>
      <c r="Q476" s="14" t="s">
        <v>9158</v>
      </c>
      <c r="R476" s="14"/>
    </row>
    <row r="477" spans="1:18">
      <c r="A477" s="9">
        <v>80363</v>
      </c>
      <c r="B477" s="14" t="s">
        <v>348</v>
      </c>
      <c r="C477" s="14" t="s">
        <v>271</v>
      </c>
      <c r="D477" s="14" t="s">
        <v>4126</v>
      </c>
      <c r="E477" s="15" t="str">
        <f>HYPERLINK("https://stat100.ameba.jp/tnk47/ratio20/illustrations/card/ill_80363_hondatadakatsu03.jpg?201904-1-RELEASE-raid-402xxx", "■")</f>
        <v>■</v>
      </c>
      <c r="F477" s="14" t="s">
        <v>4127</v>
      </c>
      <c r="G477" s="14">
        <v>48390</v>
      </c>
      <c r="H477" s="14">
        <v>53352</v>
      </c>
      <c r="I477" s="14">
        <v>18</v>
      </c>
      <c r="J477" s="14" t="s">
        <v>310</v>
      </c>
      <c r="K477" s="14" t="s">
        <v>4128</v>
      </c>
      <c r="L477" s="14" t="s">
        <v>2960</v>
      </c>
      <c r="M477" s="14" t="s">
        <v>9158</v>
      </c>
      <c r="N477" s="14" t="s">
        <v>9158</v>
      </c>
      <c r="O477" s="14" t="s">
        <v>9158</v>
      </c>
      <c r="P477" s="14" t="s">
        <v>9158</v>
      </c>
      <c r="Q477" s="14" t="s">
        <v>9158</v>
      </c>
      <c r="R477" s="14"/>
    </row>
    <row r="478" spans="1:18">
      <c r="A478" s="9">
        <v>80373</v>
      </c>
      <c r="B478" s="14" t="s">
        <v>362</v>
      </c>
      <c r="C478" s="14" t="s">
        <v>4129</v>
      </c>
      <c r="D478" s="14" t="s">
        <v>4130</v>
      </c>
      <c r="E478" s="15" t="str">
        <f>HYPERLINK("https://stat100.ameba.jp/tnk47/ratio20/illustrations/card/ill_80373_jeanschan03.jpg?201904-1-RELEASE-raid-402xxx", "■")</f>
        <v>■</v>
      </c>
      <c r="F478" s="14" t="s">
        <v>4131</v>
      </c>
      <c r="G478" s="14">
        <v>35346</v>
      </c>
      <c r="H478" s="14">
        <v>29388</v>
      </c>
      <c r="I478" s="14">
        <v>17</v>
      </c>
      <c r="J478" s="14" t="s">
        <v>369</v>
      </c>
      <c r="K478" s="14" t="s">
        <v>4132</v>
      </c>
      <c r="L478" s="14" t="s">
        <v>4133</v>
      </c>
      <c r="M478" s="14" t="s">
        <v>9158</v>
      </c>
      <c r="N478" s="14" t="s">
        <v>9158</v>
      </c>
      <c r="O478" s="14" t="s">
        <v>9158</v>
      </c>
      <c r="P478" s="14" t="s">
        <v>9158</v>
      </c>
      <c r="Q478" s="14" t="s">
        <v>9158</v>
      </c>
      <c r="R478" s="14"/>
    </row>
    <row r="479" spans="1:18">
      <c r="A479" s="9">
        <v>80383</v>
      </c>
      <c r="B479" s="14" t="s">
        <v>372</v>
      </c>
      <c r="C479" s="14" t="s">
        <v>308</v>
      </c>
      <c r="D479" s="14" t="s">
        <v>4134</v>
      </c>
      <c r="E479" s="15" t="str">
        <f>HYPERLINK("https://stat100.ameba.jp/tnk47/ratio20/illustrations/card/ill_80383_uisukisan03.jpg?201904-1-RELEASE-raid-402xxx", "■")</f>
        <v>■</v>
      </c>
      <c r="F479" s="14" t="s">
        <v>4135</v>
      </c>
      <c r="G479" s="14">
        <v>21398</v>
      </c>
      <c r="H479" s="14">
        <v>17972</v>
      </c>
      <c r="I479" s="14">
        <v>17</v>
      </c>
      <c r="J479" s="14" t="s">
        <v>283</v>
      </c>
      <c r="K479" s="14" t="s">
        <v>4136</v>
      </c>
      <c r="L479" s="14" t="s">
        <v>2867</v>
      </c>
      <c r="M479" s="14" t="s">
        <v>9158</v>
      </c>
      <c r="N479" s="14" t="s">
        <v>9158</v>
      </c>
      <c r="O479" s="14" t="s">
        <v>9158</v>
      </c>
      <c r="P479" s="14" t="s">
        <v>9158</v>
      </c>
      <c r="Q479" s="14" t="s">
        <v>9158</v>
      </c>
      <c r="R479" s="14"/>
    </row>
    <row r="480" spans="1:18">
      <c r="B480" s="14"/>
      <c r="C480" s="14"/>
      <c r="D480" s="14"/>
      <c r="F480" s="14"/>
      <c r="G480" s="14"/>
      <c r="H480" s="14"/>
      <c r="I480" s="14"/>
      <c r="J480" s="14"/>
      <c r="K480" s="14"/>
      <c r="L480" s="14"/>
      <c r="M480" s="14"/>
      <c r="N480" s="14"/>
      <c r="P480" s="14"/>
      <c r="Q480" s="14"/>
      <c r="R480" s="14"/>
    </row>
    <row r="481" spans="1:18">
      <c r="A481" s="14" t="s">
        <v>3911</v>
      </c>
      <c r="D481" s="14"/>
      <c r="F481" s="14"/>
      <c r="G481" s="14"/>
      <c r="H481" s="14"/>
      <c r="I481" s="14"/>
      <c r="J481" s="14"/>
      <c r="K481" s="14"/>
      <c r="L481" s="14"/>
      <c r="M481" s="14"/>
      <c r="N481" s="14"/>
      <c r="P481" s="14"/>
      <c r="Q481" s="14"/>
      <c r="R481" s="14"/>
    </row>
    <row r="482" spans="1:18">
      <c r="A482" s="14" t="s">
        <v>4139</v>
      </c>
      <c r="B482" s="14"/>
      <c r="C482" s="14"/>
      <c r="D482" s="14"/>
      <c r="F482" s="14"/>
      <c r="G482" s="14"/>
      <c r="H482" s="14"/>
      <c r="I482" s="14"/>
      <c r="J482" s="14"/>
      <c r="K482" s="14"/>
      <c r="L482" s="14"/>
      <c r="M482" s="14"/>
      <c r="N482" s="14"/>
      <c r="P482" s="14"/>
      <c r="Q482" s="14"/>
      <c r="R482" s="14"/>
    </row>
    <row r="483" spans="1:18">
      <c r="A483" s="9" t="s">
        <v>5901</v>
      </c>
      <c r="B483" s="14" t="s">
        <v>330</v>
      </c>
      <c r="C483" s="14" t="s">
        <v>307</v>
      </c>
      <c r="D483" s="14" t="s">
        <v>1426</v>
      </c>
      <c r="E483" s="15" t="str">
        <f>HYPERLINK("https://stat100.ameba.jp/tnk47/ratio20/illustrations/card/ill_64953_0_yukatatokugawayoshinobu03.jpg?201904-1-RELEASE-raid-402xxx", "■")</f>
        <v>■</v>
      </c>
      <c r="F483" s="14" t="s">
        <v>1427</v>
      </c>
      <c r="G483" s="14">
        <v>130830</v>
      </c>
      <c r="H483" s="14">
        <v>140704</v>
      </c>
      <c r="I483" s="14">
        <v>21</v>
      </c>
      <c r="J483" s="14" t="s">
        <v>351</v>
      </c>
      <c r="K483" s="14" t="s">
        <v>1428</v>
      </c>
      <c r="L483" s="14" t="s">
        <v>1429</v>
      </c>
      <c r="M483" s="14" t="s">
        <v>9158</v>
      </c>
      <c r="N483" s="14" t="s">
        <v>9158</v>
      </c>
      <c r="O483" s="9" t="s">
        <v>2889</v>
      </c>
      <c r="P483" s="14" t="s">
        <v>2890</v>
      </c>
      <c r="Q483" s="14">
        <v>1</v>
      </c>
      <c r="R483" s="14"/>
    </row>
    <row r="484" spans="1:18">
      <c r="A484" s="9" t="s">
        <v>5719</v>
      </c>
      <c r="B484" s="14" t="s">
        <v>52</v>
      </c>
      <c r="C484" s="14" t="s">
        <v>165</v>
      </c>
      <c r="D484" s="14" t="s">
        <v>1772</v>
      </c>
      <c r="E484" s="15" t="str">
        <f>HYPERLINK("https://stat100.ameba.jp/tnk47/ratio20/illustrations/card/ill_54523_0_yonshunennionohime03.jpg?201904-1-RELEASE-raid-402xxx", "■")</f>
        <v>■</v>
      </c>
      <c r="F484" s="14" t="s">
        <v>1773</v>
      </c>
      <c r="G484" s="14">
        <v>117196</v>
      </c>
      <c r="H484" s="14">
        <v>131930</v>
      </c>
      <c r="I484" s="14">
        <v>21</v>
      </c>
      <c r="J484" s="14" t="s">
        <v>38</v>
      </c>
      <c r="K484" s="14" t="s">
        <v>1774</v>
      </c>
      <c r="L484" s="14" t="s">
        <v>1775</v>
      </c>
      <c r="M484" s="14" t="s">
        <v>9158</v>
      </c>
      <c r="N484" s="14" t="s">
        <v>9158</v>
      </c>
      <c r="O484" s="9" t="s">
        <v>3576</v>
      </c>
      <c r="P484" s="14" t="s">
        <v>13168</v>
      </c>
      <c r="Q484" s="14">
        <v>1</v>
      </c>
      <c r="R484" s="14"/>
    </row>
    <row r="485" spans="1:18">
      <c r="A485" s="9">
        <v>78133</v>
      </c>
      <c r="B485" s="14" t="s">
        <v>0</v>
      </c>
      <c r="C485" s="14" t="s">
        <v>154</v>
      </c>
      <c r="D485" s="14" t="s">
        <v>2201</v>
      </c>
      <c r="E485" s="15" t="str">
        <f>HYPERLINK("https://stat100.ameba.jp/tnk47/ratio20/illustrations/card/ill_78133_akazukin03.jpg?201904-1-RELEASE-raid-402xxx", "■")</f>
        <v>■</v>
      </c>
      <c r="F485" s="14" t="s">
        <v>2202</v>
      </c>
      <c r="G485" s="14">
        <v>88706</v>
      </c>
      <c r="H485" s="14">
        <v>122476</v>
      </c>
      <c r="I485" s="14">
        <v>24</v>
      </c>
      <c r="J485" s="14" t="s">
        <v>38</v>
      </c>
      <c r="K485" s="14" t="s">
        <v>2203</v>
      </c>
      <c r="L485" s="14" t="s">
        <v>2204</v>
      </c>
      <c r="M485" s="14" t="s">
        <v>9158</v>
      </c>
      <c r="N485" s="14" t="s">
        <v>9158</v>
      </c>
      <c r="O485" s="9" t="s">
        <v>3530</v>
      </c>
      <c r="P485" s="14" t="s">
        <v>3531</v>
      </c>
      <c r="Q485" s="14">
        <v>1</v>
      </c>
      <c r="R485" s="14"/>
    </row>
    <row r="486" spans="1:18">
      <c r="A486" s="9">
        <v>75093</v>
      </c>
      <c r="B486" s="14" t="s">
        <v>334</v>
      </c>
      <c r="C486" s="14" t="s">
        <v>158</v>
      </c>
      <c r="D486" s="14" t="s">
        <v>2613</v>
      </c>
      <c r="E486" s="15" t="str">
        <f>HYPERLINK("https://stat100.ameba.jp/tnk47/ratio20/illustrations/card/ill_75093_hangonko03.jpg?201904-1-RELEASE-raid-402xxx", "■")</f>
        <v>■</v>
      </c>
      <c r="F486" s="14" t="s">
        <v>2614</v>
      </c>
      <c r="G486" s="14">
        <v>111000</v>
      </c>
      <c r="H486" s="14">
        <v>80391</v>
      </c>
      <c r="I486" s="14">
        <v>21</v>
      </c>
      <c r="J486" s="14" t="s">
        <v>44</v>
      </c>
      <c r="K486" s="14" t="s">
        <v>2615</v>
      </c>
      <c r="L486" s="14" t="s">
        <v>1108</v>
      </c>
      <c r="M486" s="14" t="s">
        <v>9158</v>
      </c>
      <c r="N486" s="14" t="s">
        <v>9158</v>
      </c>
      <c r="O486" s="9" t="s">
        <v>3414</v>
      </c>
      <c r="P486" s="14" t="s">
        <v>13122</v>
      </c>
      <c r="Q486" s="14">
        <v>1</v>
      </c>
      <c r="R486" s="14"/>
    </row>
    <row r="487" spans="1:18">
      <c r="A487" s="9">
        <v>67953</v>
      </c>
      <c r="B487" s="14" t="s">
        <v>334</v>
      </c>
      <c r="C487" s="14" t="s">
        <v>154</v>
      </c>
      <c r="D487" s="14" t="s">
        <v>2486</v>
      </c>
      <c r="E487" s="15" t="str">
        <f>HYPERLINK("https://stat100.ameba.jp/tnk47/ratio20/illustrations/card/ill_67953_kutaniyaki03.jpg?201904-1-RELEASE-raid-402xxx", "■")</f>
        <v>■</v>
      </c>
      <c r="F487" s="14" t="s">
        <v>2487</v>
      </c>
      <c r="G487" s="14">
        <v>69051</v>
      </c>
      <c r="H487" s="14">
        <v>95307</v>
      </c>
      <c r="I487" s="14">
        <v>21</v>
      </c>
      <c r="J487" s="14" t="s">
        <v>26</v>
      </c>
      <c r="K487" s="14" t="s">
        <v>2488</v>
      </c>
      <c r="L487" s="14" t="s">
        <v>2489</v>
      </c>
      <c r="M487" s="14" t="s">
        <v>9158</v>
      </c>
      <c r="N487" s="14" t="s">
        <v>9158</v>
      </c>
      <c r="O487" s="17" t="s">
        <v>10053</v>
      </c>
      <c r="P487" s="14" t="s">
        <v>3592</v>
      </c>
      <c r="Q487" s="14">
        <v>1</v>
      </c>
      <c r="R487" s="14"/>
    </row>
    <row r="488" spans="1:18">
      <c r="A488" s="9">
        <v>67963</v>
      </c>
      <c r="B488" s="14" t="s">
        <v>334</v>
      </c>
      <c r="C488" s="14" t="s">
        <v>203</v>
      </c>
      <c r="D488" s="14" t="s">
        <v>3866</v>
      </c>
      <c r="E488" s="15" t="str">
        <f>HYPERLINK("https://stat100.ameba.jp/tnk47/ratio20/illustrations/card/ill_67963_kinokuniyabunzaemon03.jpg?201904-1-RELEASE-raid-402xxx", "■")</f>
        <v>■</v>
      </c>
      <c r="F488" s="14" t="s">
        <v>825</v>
      </c>
      <c r="G488" s="14">
        <v>95307</v>
      </c>
      <c r="H488" s="14">
        <v>69051</v>
      </c>
      <c r="I488" s="14">
        <v>21</v>
      </c>
      <c r="J488" s="14" t="s">
        <v>414</v>
      </c>
      <c r="K488" s="14" t="s">
        <v>826</v>
      </c>
      <c r="L488" s="14" t="s">
        <v>827</v>
      </c>
      <c r="M488" s="14" t="s">
        <v>9158</v>
      </c>
      <c r="N488" s="14" t="s">
        <v>9158</v>
      </c>
      <c r="O488" s="14" t="s">
        <v>9158</v>
      </c>
      <c r="P488" s="14" t="s">
        <v>9158</v>
      </c>
      <c r="Q488" s="14" t="s">
        <v>9158</v>
      </c>
      <c r="R488" s="14"/>
    </row>
    <row r="489" spans="1:18">
      <c r="A489" s="9">
        <v>51353</v>
      </c>
      <c r="B489" s="14" t="s">
        <v>334</v>
      </c>
      <c r="C489" s="14" t="s">
        <v>200</v>
      </c>
      <c r="D489" s="14" t="s">
        <v>1203</v>
      </c>
      <c r="E489" s="15" t="str">
        <f>HYPERLINK("https://stat100.ameba.jp/tnk47/ratio20/illustrations/card/ill_51353_toriimototada03.jpg?201904-1-RELEASE-raid-402xxx", "■")</f>
        <v>■</v>
      </c>
      <c r="F489" s="14" t="s">
        <v>1204</v>
      </c>
      <c r="G489" s="14">
        <v>101199</v>
      </c>
      <c r="H489" s="14">
        <v>139716</v>
      </c>
      <c r="I489" s="14">
        <v>21</v>
      </c>
      <c r="J489" s="14" t="s">
        <v>143</v>
      </c>
      <c r="K489" s="14" t="s">
        <v>1205</v>
      </c>
      <c r="L489" s="14" t="s">
        <v>1148</v>
      </c>
      <c r="M489" s="14" t="s">
        <v>9158</v>
      </c>
      <c r="N489" s="14" t="s">
        <v>9158</v>
      </c>
      <c r="O489" s="14" t="s">
        <v>9158</v>
      </c>
      <c r="P489" s="14" t="s">
        <v>9158</v>
      </c>
      <c r="Q489" s="14" t="s">
        <v>9158</v>
      </c>
      <c r="R489" s="14"/>
    </row>
    <row r="490" spans="1:18">
      <c r="A490" s="9">
        <v>66343</v>
      </c>
      <c r="B490" s="14" t="s">
        <v>0</v>
      </c>
      <c r="C490" s="14" t="s">
        <v>209</v>
      </c>
      <c r="D490" s="14" t="s">
        <v>1253</v>
      </c>
      <c r="E490" s="15" t="str">
        <f>HYPERLINK("https://stat100.ameba.jp/tnk47/ratio20/illustrations/card/ill_66343_shunobon03.jpg?201904-1-RELEASE-raid-402xxx", "■")</f>
        <v>■</v>
      </c>
      <c r="F490" s="14" t="s">
        <v>1254</v>
      </c>
      <c r="G490" s="14">
        <v>70942</v>
      </c>
      <c r="H490" s="14">
        <v>97925</v>
      </c>
      <c r="I490" s="14">
        <v>21</v>
      </c>
      <c r="J490" s="14" t="s">
        <v>73</v>
      </c>
      <c r="K490" s="14" t="s">
        <v>1255</v>
      </c>
      <c r="L490" s="14" t="s">
        <v>1256</v>
      </c>
      <c r="M490" s="14" t="s">
        <v>9158</v>
      </c>
      <c r="N490" s="14" t="s">
        <v>9158</v>
      </c>
      <c r="O490" s="14" t="s">
        <v>9158</v>
      </c>
      <c r="P490" s="14" t="s">
        <v>9158</v>
      </c>
      <c r="Q490" s="14" t="s">
        <v>9158</v>
      </c>
      <c r="R490" s="14"/>
    </row>
    <row r="491" spans="1:18">
      <c r="B491" s="14"/>
      <c r="C491" s="14"/>
      <c r="D491" s="14"/>
      <c r="F491" s="14"/>
      <c r="G491" s="14"/>
      <c r="H491" s="14"/>
      <c r="I491" s="14"/>
      <c r="J491" s="14"/>
      <c r="K491" s="14"/>
      <c r="L491" s="14"/>
      <c r="M491" s="14"/>
      <c r="N491" s="14"/>
      <c r="P491" s="14"/>
      <c r="Q491" s="14"/>
      <c r="R491" s="14"/>
    </row>
    <row r="492" spans="1:18">
      <c r="A492" s="14" t="s">
        <v>195</v>
      </c>
      <c r="D492" s="14"/>
      <c r="F492" s="14"/>
      <c r="G492" s="14"/>
      <c r="H492" s="14"/>
      <c r="I492" s="14"/>
      <c r="J492" s="14"/>
      <c r="K492" s="14"/>
      <c r="L492" s="14"/>
      <c r="M492" s="14"/>
      <c r="N492" s="14"/>
      <c r="P492" s="14"/>
      <c r="Q492" s="14"/>
      <c r="R492" s="14"/>
    </row>
    <row r="493" spans="1:18">
      <c r="A493" s="14" t="s">
        <v>4140</v>
      </c>
      <c r="B493" s="14"/>
      <c r="C493" s="14"/>
      <c r="D493" s="14"/>
      <c r="F493" s="14"/>
      <c r="G493" s="14"/>
      <c r="H493" s="14"/>
      <c r="I493" s="14"/>
      <c r="J493" s="14"/>
      <c r="K493" s="14"/>
      <c r="L493" s="14"/>
      <c r="M493" s="14"/>
      <c r="N493" s="14"/>
      <c r="P493" s="14"/>
      <c r="Q493" s="14"/>
      <c r="R493" s="14"/>
    </row>
    <row r="494" spans="1:18">
      <c r="A494" s="9">
        <v>62203</v>
      </c>
      <c r="B494" s="14" t="s">
        <v>334</v>
      </c>
      <c r="C494" s="14" t="s">
        <v>154</v>
      </c>
      <c r="D494" s="14" t="s">
        <v>2260</v>
      </c>
      <c r="E494" s="15" t="str">
        <f>HYPERLINK("https://stat100.ameba.jp/tnk47/ratio20/illustrations/card/ill_62203_keishoimmasahime03.jpg?201904-1-RELEASE-raid-402xxx", "■")</f>
        <v>■</v>
      </c>
      <c r="F494" s="14" t="s">
        <v>2261</v>
      </c>
      <c r="G494" s="14">
        <v>88226</v>
      </c>
      <c r="H494" s="14">
        <v>94886</v>
      </c>
      <c r="I494" s="14">
        <v>22</v>
      </c>
      <c r="J494" s="14" t="s">
        <v>77</v>
      </c>
      <c r="K494" s="14" t="s">
        <v>2262</v>
      </c>
      <c r="L494" s="14" t="s">
        <v>2263</v>
      </c>
      <c r="M494" s="14" t="s">
        <v>9158</v>
      </c>
      <c r="N494" s="14" t="s">
        <v>9158</v>
      </c>
      <c r="O494" s="14" t="s">
        <v>9158</v>
      </c>
      <c r="P494" s="14" t="s">
        <v>9158</v>
      </c>
      <c r="Q494" s="14" t="s">
        <v>9158</v>
      </c>
      <c r="R494" s="14"/>
    </row>
    <row r="495" spans="1:18">
      <c r="A495" s="9">
        <v>69723</v>
      </c>
      <c r="B495" s="14" t="s">
        <v>334</v>
      </c>
      <c r="C495" s="14" t="s">
        <v>158</v>
      </c>
      <c r="D495" s="14" t="s">
        <v>2256</v>
      </c>
      <c r="E495" s="15" t="str">
        <f>HYPERLINK("https://stat100.ameba.jp/tnk47/ratio20/illustrations/card/ill_69723_nakaurajurian03.jpg?201904-1-RELEASE-raid-402xxx", "■")</f>
        <v>■</v>
      </c>
      <c r="F495" s="14" t="s">
        <v>2257</v>
      </c>
      <c r="G495" s="14">
        <v>88226</v>
      </c>
      <c r="H495" s="14">
        <v>94886</v>
      </c>
      <c r="I495" s="14">
        <v>22</v>
      </c>
      <c r="J495" s="14" t="s">
        <v>173</v>
      </c>
      <c r="K495" s="14" t="s">
        <v>2258</v>
      </c>
      <c r="L495" s="14" t="s">
        <v>2259</v>
      </c>
      <c r="M495" s="14" t="s">
        <v>9158</v>
      </c>
      <c r="N495" s="14" t="s">
        <v>9158</v>
      </c>
      <c r="O495" s="14" t="s">
        <v>9158</v>
      </c>
      <c r="P495" s="14" t="s">
        <v>9158</v>
      </c>
      <c r="Q495" s="14" t="s">
        <v>9158</v>
      </c>
      <c r="R495" s="14"/>
    </row>
    <row r="496" spans="1:18">
      <c r="A496" s="9">
        <v>66053</v>
      </c>
      <c r="B496" s="14" t="s">
        <v>334</v>
      </c>
      <c r="C496" s="14" t="s">
        <v>205</v>
      </c>
      <c r="D496" s="14" t="s">
        <v>2264</v>
      </c>
      <c r="E496" s="15" t="str">
        <f>HYPERLINK("https://stat100.ameba.jp/tnk47/ratio20/illustrations/card/ill_66053_serebukushiyatamanokami03.jpg?201904-1-RELEASE-raid-402xxx", "■")</f>
        <v>■</v>
      </c>
      <c r="F496" s="14" t="s">
        <v>2265</v>
      </c>
      <c r="G496" s="14">
        <v>89736</v>
      </c>
      <c r="H496" s="14">
        <v>83426</v>
      </c>
      <c r="I496" s="14">
        <v>22</v>
      </c>
      <c r="J496" s="14" t="s">
        <v>44</v>
      </c>
      <c r="K496" s="14" t="s">
        <v>2266</v>
      </c>
      <c r="L496" s="14" t="s">
        <v>1860</v>
      </c>
      <c r="M496" s="14" t="s">
        <v>9158</v>
      </c>
      <c r="N496" s="14" t="s">
        <v>9158</v>
      </c>
      <c r="O496" s="14" t="s">
        <v>9158</v>
      </c>
      <c r="P496" s="14" t="s">
        <v>9158</v>
      </c>
      <c r="Q496" s="14" t="s">
        <v>9158</v>
      </c>
      <c r="R496" s="14"/>
    </row>
    <row r="497" spans="1:18">
      <c r="A497" s="9">
        <v>69883</v>
      </c>
      <c r="B497" s="14" t="s">
        <v>334</v>
      </c>
      <c r="C497" s="14" t="s">
        <v>185</v>
      </c>
      <c r="D497" s="14" t="s">
        <v>4141</v>
      </c>
      <c r="E497" s="15" t="str">
        <f>HYPERLINK("https://stat100.ameba.jp/tnk47/ratio20/illustrations/card/ill_69883_kyupiddotominushihime03.jpg?201904-1-RELEASE-raid-402xxx", "■")</f>
        <v>■</v>
      </c>
      <c r="F497" s="14" t="s">
        <v>4142</v>
      </c>
      <c r="G497" s="14">
        <v>83426</v>
      </c>
      <c r="H497" s="14">
        <v>89736</v>
      </c>
      <c r="I497" s="14">
        <v>22</v>
      </c>
      <c r="J497" s="14" t="s">
        <v>169</v>
      </c>
      <c r="K497" s="14" t="s">
        <v>4143</v>
      </c>
      <c r="L497" s="14" t="s">
        <v>13190</v>
      </c>
      <c r="M497" s="14" t="s">
        <v>9158</v>
      </c>
      <c r="N497" s="14" t="s">
        <v>9158</v>
      </c>
      <c r="O497" s="14" t="s">
        <v>9158</v>
      </c>
      <c r="P497" s="14" t="s">
        <v>9158</v>
      </c>
      <c r="Q497" s="14" t="s">
        <v>9158</v>
      </c>
      <c r="R497" s="14"/>
    </row>
    <row r="498" spans="1:18">
      <c r="B498" s="14"/>
      <c r="C498" s="14"/>
      <c r="D498" s="14"/>
      <c r="F498" s="14"/>
      <c r="G498" s="14"/>
      <c r="H498" s="14"/>
      <c r="I498" s="14"/>
      <c r="J498" s="14"/>
      <c r="K498" s="14"/>
      <c r="L498" s="14"/>
      <c r="M498" s="14"/>
      <c r="N498" s="14"/>
      <c r="P498" s="14"/>
      <c r="Q498" s="14"/>
      <c r="R498" s="14"/>
    </row>
    <row r="499" spans="1:18">
      <c r="A499" s="14" t="s">
        <v>4065</v>
      </c>
      <c r="D499" s="14"/>
      <c r="F499" s="14"/>
      <c r="G499" s="14"/>
      <c r="H499" s="14"/>
      <c r="I499" s="14"/>
      <c r="J499" s="14"/>
      <c r="K499" s="14"/>
      <c r="L499" s="14"/>
      <c r="M499" s="14"/>
      <c r="N499" s="14"/>
      <c r="P499" s="14"/>
      <c r="Q499" s="14"/>
      <c r="R499" s="14"/>
    </row>
    <row r="500" spans="1:18">
      <c r="A500" s="14" t="s">
        <v>4144</v>
      </c>
      <c r="B500" s="14"/>
      <c r="C500" s="14"/>
      <c r="D500" s="14"/>
      <c r="F500" s="14"/>
      <c r="G500" s="14"/>
      <c r="H500" s="14"/>
      <c r="I500" s="14"/>
      <c r="J500" s="14"/>
      <c r="K500" s="14"/>
      <c r="L500" s="14"/>
      <c r="M500" s="14"/>
      <c r="N500" s="14"/>
      <c r="P500" s="14"/>
      <c r="Q500" s="14"/>
      <c r="R500" s="14"/>
    </row>
    <row r="501" spans="1:18">
      <c r="A501" s="9" t="s">
        <v>5804</v>
      </c>
      <c r="B501" s="14" t="s">
        <v>330</v>
      </c>
      <c r="C501" s="14" t="s">
        <v>185</v>
      </c>
      <c r="D501" s="14" t="s">
        <v>3247</v>
      </c>
      <c r="E501" s="15" t="str">
        <f>HYPERLINK("https://stat100.ameba.jp/tnk47/ratio20/illustrations/card/ill_75393_0_resukuinotsukisamaniittausagi03.jpg?201904-1-RELEASE-raid-402xxx", "■")</f>
        <v>■</v>
      </c>
      <c r="F501" s="14" t="s">
        <v>1679</v>
      </c>
      <c r="G501" s="14">
        <v>261978</v>
      </c>
      <c r="H501" s="14">
        <v>243570</v>
      </c>
      <c r="I501" s="14">
        <v>23</v>
      </c>
      <c r="J501" s="14" t="s">
        <v>369</v>
      </c>
      <c r="K501" s="14" t="s">
        <v>3196</v>
      </c>
      <c r="L501" s="14" t="s">
        <v>3197</v>
      </c>
      <c r="M501" s="14" t="s">
        <v>9158</v>
      </c>
      <c r="N501" s="14" t="s">
        <v>9158</v>
      </c>
      <c r="O501" s="17" t="s">
        <v>10051</v>
      </c>
      <c r="P501" s="14" t="s">
        <v>3198</v>
      </c>
      <c r="Q501" s="14">
        <v>2</v>
      </c>
      <c r="R501" s="14"/>
    </row>
    <row r="502" spans="1:18">
      <c r="A502" s="9">
        <v>72193</v>
      </c>
      <c r="B502" s="14" t="s">
        <v>334</v>
      </c>
      <c r="C502" s="14" t="s">
        <v>165</v>
      </c>
      <c r="D502" s="14" t="s">
        <v>2538</v>
      </c>
      <c r="E502" s="15" t="str">
        <f>HYPERLINK("https://stat100.ameba.jp/tnk47/ratio20/illustrations/card/ill_72193_koinoborikomyokogo03.jpg?201904-1-RELEASE-raid-402xxx", "■")</f>
        <v>■</v>
      </c>
      <c r="F502" s="14" t="s">
        <v>2539</v>
      </c>
      <c r="G502" s="14">
        <v>85934</v>
      </c>
      <c r="H502" s="14">
        <v>79868</v>
      </c>
      <c r="I502" s="14">
        <v>22</v>
      </c>
      <c r="J502" s="14" t="s">
        <v>10</v>
      </c>
      <c r="K502" s="14" t="s">
        <v>2540</v>
      </c>
      <c r="L502" s="14" t="s">
        <v>60</v>
      </c>
      <c r="M502" s="14" t="s">
        <v>9158</v>
      </c>
      <c r="N502" s="14" t="s">
        <v>9158</v>
      </c>
      <c r="O502" s="17" t="s">
        <v>10057</v>
      </c>
      <c r="P502" s="14" t="s">
        <v>3460</v>
      </c>
      <c r="Q502" s="14">
        <v>1</v>
      </c>
      <c r="R502" s="14"/>
    </row>
    <row r="503" spans="1:18">
      <c r="A503" s="9">
        <v>73913</v>
      </c>
      <c r="B503" s="14" t="s">
        <v>334</v>
      </c>
      <c r="C503" s="14" t="s">
        <v>209</v>
      </c>
      <c r="D503" s="14" t="s">
        <v>1206</v>
      </c>
      <c r="E503" s="15" t="str">
        <f>HYPERLINK("https://stat100.ameba.jp/tnk47/ratio20/illustrations/card/ill_73913_atsutajingu03.jpg?201904-1-RELEASE-raid-402xxx", "■")</f>
        <v>■</v>
      </c>
      <c r="F503" s="14" t="s">
        <v>1207</v>
      </c>
      <c r="G503" s="14">
        <v>72736</v>
      </c>
      <c r="H503" s="14">
        <v>100424</v>
      </c>
      <c r="I503" s="14">
        <v>22</v>
      </c>
      <c r="J503" s="14" t="s">
        <v>44</v>
      </c>
      <c r="K503" s="14" t="s">
        <v>1208</v>
      </c>
      <c r="L503" s="14" t="s">
        <v>1209</v>
      </c>
      <c r="M503" s="14" t="s">
        <v>9158</v>
      </c>
      <c r="N503" s="14" t="s">
        <v>9158</v>
      </c>
      <c r="O503" s="17" t="s">
        <v>10053</v>
      </c>
      <c r="P503" s="14" t="s">
        <v>2822</v>
      </c>
      <c r="Q503" s="14">
        <v>1</v>
      </c>
      <c r="R503" s="14"/>
    </row>
    <row r="504" spans="1:18">
      <c r="A504" s="9">
        <v>70373</v>
      </c>
      <c r="B504" s="14" t="s">
        <v>334</v>
      </c>
      <c r="C504" s="14" t="s">
        <v>209</v>
      </c>
      <c r="D504" s="14" t="s">
        <v>2616</v>
      </c>
      <c r="E504" s="15" t="str">
        <f>HYPERLINK("https://stat100.ameba.jp/tnk47/ratio20/illustrations/card/ill_70373_amanoyasukage03.jpg?201904-1-RELEASE-raid-402xxx", "■")</f>
        <v>■</v>
      </c>
      <c r="F504" s="14" t="s">
        <v>2617</v>
      </c>
      <c r="G504" s="14">
        <v>113644</v>
      </c>
      <c r="H504" s="14">
        <v>122224</v>
      </c>
      <c r="I504" s="14">
        <v>22</v>
      </c>
      <c r="J504" s="14" t="s">
        <v>143</v>
      </c>
      <c r="K504" s="14" t="s">
        <v>2618</v>
      </c>
      <c r="L504" s="14" t="s">
        <v>2619</v>
      </c>
      <c r="M504" s="14" t="s">
        <v>9158</v>
      </c>
      <c r="N504" s="14" t="s">
        <v>9158</v>
      </c>
      <c r="O504" s="9" t="s">
        <v>4145</v>
      </c>
      <c r="P504" s="14" t="s">
        <v>4146</v>
      </c>
      <c r="Q504" s="14">
        <v>1</v>
      </c>
      <c r="R504" s="14"/>
    </row>
    <row r="505" spans="1:18">
      <c r="B505" s="14"/>
      <c r="C505" s="14"/>
      <c r="D505" s="14"/>
      <c r="F505" s="14"/>
      <c r="G505" s="14"/>
      <c r="H505" s="14"/>
      <c r="I505" s="14"/>
      <c r="J505" s="14"/>
      <c r="K505" s="14"/>
      <c r="L505" s="14"/>
      <c r="M505" s="14"/>
      <c r="N505" s="14"/>
      <c r="P505" s="14"/>
      <c r="Q505" s="14"/>
      <c r="R505" s="14"/>
    </row>
    <row r="506" spans="1:18">
      <c r="A506" s="14" t="s">
        <v>4014</v>
      </c>
      <c r="D506" s="14"/>
      <c r="F506" s="14"/>
      <c r="G506" s="14"/>
      <c r="H506" s="14"/>
      <c r="I506" s="14"/>
      <c r="J506" s="14"/>
      <c r="K506" s="14"/>
      <c r="L506" s="14"/>
      <c r="M506" s="14"/>
      <c r="N506" s="14"/>
      <c r="P506" s="14"/>
      <c r="Q506" s="14"/>
      <c r="R506" s="14"/>
    </row>
    <row r="507" spans="1:18">
      <c r="A507" s="14" t="s">
        <v>4147</v>
      </c>
      <c r="B507" s="14"/>
      <c r="C507" s="14"/>
      <c r="D507" s="14"/>
      <c r="F507" s="14"/>
      <c r="G507" s="14"/>
      <c r="H507" s="14"/>
      <c r="I507" s="14"/>
      <c r="J507" s="14"/>
      <c r="K507" s="14"/>
      <c r="L507" s="14"/>
      <c r="M507" s="14"/>
      <c r="N507" s="14"/>
      <c r="P507" s="14"/>
      <c r="Q507" s="14"/>
      <c r="R507" s="14"/>
    </row>
    <row r="508" spans="1:18">
      <c r="A508" s="9" t="s">
        <v>5602</v>
      </c>
      <c r="B508" s="14" t="s">
        <v>52</v>
      </c>
      <c r="C508" s="14" t="s">
        <v>14</v>
      </c>
      <c r="D508" s="14" t="s">
        <v>2093</v>
      </c>
      <c r="E508" s="15" t="str">
        <f>HYPERLINK("https://stat100.ameba.jp/tnk47/ratio20/illustrations/card/ill_55313_0_haroinononokomachi03.jpg?201904-1-RELEASE-raid-402xxx", "■")</f>
        <v>■</v>
      </c>
      <c r="F508" s="14" t="s">
        <v>2094</v>
      </c>
      <c r="G508" s="14">
        <v>94236</v>
      </c>
      <c r="H508" s="14">
        <v>83712</v>
      </c>
      <c r="I508" s="14">
        <v>15</v>
      </c>
      <c r="J508" s="14" t="s">
        <v>10</v>
      </c>
      <c r="K508" s="14" t="s">
        <v>2095</v>
      </c>
      <c r="L508" s="14" t="s">
        <v>2096</v>
      </c>
      <c r="M508" s="14" t="s">
        <v>9158</v>
      </c>
      <c r="N508" s="14" t="s">
        <v>9158</v>
      </c>
      <c r="O508" s="9" t="s">
        <v>2733</v>
      </c>
      <c r="P508" s="14" t="s">
        <v>2734</v>
      </c>
      <c r="Q508" s="14">
        <v>1</v>
      </c>
      <c r="R508" s="14"/>
    </row>
    <row r="509" spans="1:18">
      <c r="A509" s="9" t="s">
        <v>5614</v>
      </c>
      <c r="B509" s="14" t="s">
        <v>330</v>
      </c>
      <c r="C509" s="14" t="s">
        <v>205</v>
      </c>
      <c r="D509" s="14" t="s">
        <v>313</v>
      </c>
      <c r="E509" s="15" t="str">
        <f>HYPERLINK("https://stat100.ameba.jp/tnk47/ratio20/illustrations/card/ill_56223_0_onsempanikkugohime03.jpg?201904-1-RELEASE-raid-402xxx", "■")</f>
        <v>■</v>
      </c>
      <c r="F509" s="14" t="s">
        <v>314</v>
      </c>
      <c r="G509" s="14">
        <v>83712</v>
      </c>
      <c r="H509" s="14">
        <v>94236</v>
      </c>
      <c r="I509" s="14">
        <v>15</v>
      </c>
      <c r="J509" s="14" t="s">
        <v>315</v>
      </c>
      <c r="K509" s="14" t="s">
        <v>316</v>
      </c>
      <c r="L509" s="14" t="s">
        <v>317</v>
      </c>
      <c r="M509" s="14" t="s">
        <v>9158</v>
      </c>
      <c r="N509" s="14" t="s">
        <v>9158</v>
      </c>
      <c r="O509" s="9" t="s">
        <v>3021</v>
      </c>
      <c r="P509" s="14" t="s">
        <v>2890</v>
      </c>
      <c r="Q509" s="14">
        <v>1</v>
      </c>
      <c r="R509" s="14"/>
    </row>
    <row r="510" spans="1:18">
      <c r="A510" s="9" t="s">
        <v>5902</v>
      </c>
      <c r="B510" s="14" t="s">
        <v>330</v>
      </c>
      <c r="C510" s="14" t="s">
        <v>206</v>
      </c>
      <c r="D510" s="14" t="s">
        <v>905</v>
      </c>
      <c r="E510" s="15" t="str">
        <f>HYPERLINK("https://stat100.ameba.jp/tnk47/ratio20/illustrations/card/ill_40343_0_heshikirihasebekurodakambe03.jpg?201904-1-RELEASE-raid-402xxx", "■")</f>
        <v>■</v>
      </c>
      <c r="F510" s="14" t="s">
        <v>906</v>
      </c>
      <c r="G510" s="14">
        <v>87780</v>
      </c>
      <c r="H510" s="14">
        <v>82212</v>
      </c>
      <c r="I510" s="14">
        <v>15</v>
      </c>
      <c r="J510" s="14" t="s">
        <v>16</v>
      </c>
      <c r="K510" s="14" t="s">
        <v>907</v>
      </c>
      <c r="L510" s="14" t="s">
        <v>908</v>
      </c>
      <c r="M510" s="14" t="s">
        <v>9158</v>
      </c>
      <c r="N510" s="14" t="s">
        <v>9158</v>
      </c>
      <c r="O510" s="14" t="s">
        <v>9158</v>
      </c>
      <c r="P510" s="14" t="s">
        <v>9158</v>
      </c>
      <c r="Q510" s="14" t="s">
        <v>9158</v>
      </c>
      <c r="R510" s="14"/>
    </row>
    <row r="511" spans="1:18">
      <c r="A511" s="9">
        <v>59103</v>
      </c>
      <c r="B511" s="14" t="s">
        <v>0</v>
      </c>
      <c r="C511" s="14" t="s">
        <v>203</v>
      </c>
      <c r="D511" s="14" t="s">
        <v>2289</v>
      </c>
      <c r="E511" s="15" t="str">
        <f>HYPERLINK("https://stat100.ameba.jp/tnk47/ratio20/illustrations/card/ill_59103_hananodayuamao03.jpg?201904-1-RELEASE-raid-402xxx", "■")</f>
        <v>■</v>
      </c>
      <c r="F511" s="14" t="s">
        <v>2290</v>
      </c>
      <c r="G511" s="14">
        <v>96610</v>
      </c>
      <c r="H511" s="14">
        <v>103896</v>
      </c>
      <c r="I511" s="14">
        <v>22</v>
      </c>
      <c r="J511" s="14" t="s">
        <v>104</v>
      </c>
      <c r="K511" s="14" t="s">
        <v>2291</v>
      </c>
      <c r="L511" s="14" t="s">
        <v>1079</v>
      </c>
      <c r="M511" s="14" t="s">
        <v>9158</v>
      </c>
      <c r="N511" s="14" t="s">
        <v>9158</v>
      </c>
      <c r="O511" s="14" t="s">
        <v>9158</v>
      </c>
      <c r="P511" s="14" t="s">
        <v>9158</v>
      </c>
      <c r="Q511" s="14" t="s">
        <v>9158</v>
      </c>
      <c r="R511" s="14"/>
    </row>
    <row r="512" spans="1:18">
      <c r="A512" s="9">
        <v>71693</v>
      </c>
      <c r="B512" s="14" t="s">
        <v>334</v>
      </c>
      <c r="C512" s="14" t="s">
        <v>200</v>
      </c>
      <c r="D512" s="14" t="s">
        <v>2598</v>
      </c>
      <c r="E512" s="15" t="str">
        <f>HYPERLINK("https://stat100.ameba.jp/tnk47/ratio20/illustrations/card/ill_71693_shokugyotaikenakaiteruko03.jpg?201904-1-RELEASE-raid-402xxx", "■")</f>
        <v>■</v>
      </c>
      <c r="F512" s="14" t="s">
        <v>2599</v>
      </c>
      <c r="G512" s="14">
        <v>121604</v>
      </c>
      <c r="H512" s="14">
        <v>130784</v>
      </c>
      <c r="I512" s="14">
        <v>22</v>
      </c>
      <c r="J512" s="14" t="s">
        <v>143</v>
      </c>
      <c r="K512" s="14" t="s">
        <v>2600</v>
      </c>
      <c r="L512" s="14" t="s">
        <v>1148</v>
      </c>
      <c r="M512" s="14" t="s">
        <v>9158</v>
      </c>
      <c r="N512" s="14" t="s">
        <v>9158</v>
      </c>
      <c r="O512" s="14" t="s">
        <v>9158</v>
      </c>
      <c r="P512" s="14" t="s">
        <v>9158</v>
      </c>
      <c r="Q512" s="14" t="s">
        <v>9158</v>
      </c>
      <c r="R512" s="14"/>
    </row>
    <row r="513" spans="1:18">
      <c r="A513" s="9">
        <v>67993</v>
      </c>
      <c r="B513" s="14" t="s">
        <v>334</v>
      </c>
      <c r="C513" s="14" t="s">
        <v>205</v>
      </c>
      <c r="D513" s="14" t="s">
        <v>2546</v>
      </c>
      <c r="E513" s="15" t="str">
        <f>HYPERLINK("https://stat100.ameba.jp/tnk47/ratio20/illustrations/card/ill_67993_kurisumasupateikanekomisuzu03.jpg?201904-1-RELEASE-raid-402xxx", "■")</f>
        <v>■</v>
      </c>
      <c r="F513" s="14" t="s">
        <v>1286</v>
      </c>
      <c r="G513" s="14">
        <v>85934</v>
      </c>
      <c r="H513" s="14">
        <v>79868</v>
      </c>
      <c r="I513" s="14">
        <v>22</v>
      </c>
      <c r="J513" s="14" t="s">
        <v>10</v>
      </c>
      <c r="K513" s="14" t="s">
        <v>2547</v>
      </c>
      <c r="L513" s="14" t="s">
        <v>2548</v>
      </c>
      <c r="M513" s="14" t="s">
        <v>9158</v>
      </c>
      <c r="N513" s="14" t="s">
        <v>9158</v>
      </c>
      <c r="O513" s="17" t="s">
        <v>10025</v>
      </c>
      <c r="P513" s="14" t="s">
        <v>3701</v>
      </c>
      <c r="Q513" s="14">
        <v>1</v>
      </c>
      <c r="R513" s="14"/>
    </row>
    <row r="514" spans="1:18">
      <c r="B514" s="14"/>
      <c r="C514" s="14"/>
      <c r="D514" s="14"/>
      <c r="F514" s="14"/>
      <c r="G514" s="14"/>
      <c r="H514" s="14"/>
      <c r="I514" s="14"/>
      <c r="J514" s="14"/>
      <c r="K514" s="14"/>
      <c r="L514" s="14"/>
      <c r="M514" s="14"/>
      <c r="N514" s="14"/>
      <c r="P514" s="14"/>
      <c r="Q514" s="14"/>
      <c r="R514" s="14"/>
    </row>
    <row r="515" spans="1:18">
      <c r="A515" s="14" t="s">
        <v>1236</v>
      </c>
      <c r="D515" s="14"/>
      <c r="F515" s="14"/>
      <c r="G515" s="14"/>
      <c r="H515" s="14"/>
      <c r="I515" s="14"/>
      <c r="J515" s="14"/>
      <c r="K515" s="14"/>
      <c r="L515" s="14"/>
      <c r="M515" s="14"/>
      <c r="N515" s="14"/>
      <c r="P515" s="14"/>
      <c r="Q515" s="14"/>
      <c r="R515" s="14"/>
    </row>
    <row r="516" spans="1:18">
      <c r="A516" s="14" t="s">
        <v>4148</v>
      </c>
      <c r="B516" s="14"/>
      <c r="C516" s="14"/>
      <c r="D516" s="14"/>
      <c r="F516" s="14"/>
      <c r="G516" s="14"/>
      <c r="H516" s="14"/>
      <c r="I516" s="14"/>
      <c r="J516" s="14"/>
      <c r="K516" s="14"/>
      <c r="L516" s="14"/>
      <c r="M516" s="14"/>
      <c r="N516" s="14"/>
      <c r="P516" s="14"/>
      <c r="Q516" s="14"/>
      <c r="R516" s="14"/>
    </row>
    <row r="517" spans="1:18">
      <c r="A517" s="9" t="s">
        <v>11508</v>
      </c>
      <c r="B517" s="14" t="s">
        <v>117</v>
      </c>
      <c r="C517" s="14" t="s">
        <v>202</v>
      </c>
      <c r="D517" s="14" t="s">
        <v>4149</v>
      </c>
      <c r="E517" s="15" t="str">
        <f>HYPERLINK("https://stat100.ameba.jp/tnk47/ratio20/illustrations/card/ill_70133_0_nihonsantokiko03.jpg?201904-1-RELEASE-raid-402xxx", "■")</f>
        <v>■</v>
      </c>
      <c r="F517" s="14" t="s">
        <v>4150</v>
      </c>
      <c r="G517" s="14">
        <v>100240</v>
      </c>
      <c r="H517" s="14">
        <v>93174</v>
      </c>
      <c r="I517" s="14">
        <v>28</v>
      </c>
      <c r="J517" s="14" t="s">
        <v>26</v>
      </c>
      <c r="K517" s="14" t="s">
        <v>4151</v>
      </c>
      <c r="L517" s="14" t="s">
        <v>4152</v>
      </c>
      <c r="M517" s="14" t="s">
        <v>9158</v>
      </c>
      <c r="N517" s="14" t="s">
        <v>9158</v>
      </c>
      <c r="O517" s="14" t="s">
        <v>9158</v>
      </c>
      <c r="P517" s="14" t="s">
        <v>9158</v>
      </c>
      <c r="Q517" s="14" t="s">
        <v>9158</v>
      </c>
      <c r="R517" s="14"/>
    </row>
    <row r="518" spans="1:18">
      <c r="A518" s="9" t="s">
        <v>6195</v>
      </c>
      <c r="B518" s="14" t="s">
        <v>52</v>
      </c>
      <c r="C518" s="14" t="s">
        <v>191</v>
      </c>
      <c r="D518" s="14" t="s">
        <v>1768</v>
      </c>
      <c r="E518" s="15" t="str">
        <f>HYPERLINK("https://stat100.ameba.jp/tnk47/ratio20/illustrations/card/ill_56493_0_poppukurisumasuikomakitsuno03.jpg?201904-1-RELEASE-raid-402xxx", "■")</f>
        <v>■</v>
      </c>
      <c r="F518" s="14" t="s">
        <v>1769</v>
      </c>
      <c r="G518" s="14">
        <v>119364</v>
      </c>
      <c r="H518" s="14">
        <v>106034</v>
      </c>
      <c r="I518" s="14">
        <v>19</v>
      </c>
      <c r="J518" s="14" t="s">
        <v>77</v>
      </c>
      <c r="K518" s="14" t="s">
        <v>1770</v>
      </c>
      <c r="L518" s="14" t="s">
        <v>1771</v>
      </c>
      <c r="M518" s="14" t="s">
        <v>9158</v>
      </c>
      <c r="N518" s="14" t="s">
        <v>9158</v>
      </c>
      <c r="O518" s="9" t="s">
        <v>3893</v>
      </c>
      <c r="P518" s="14" t="s">
        <v>2724</v>
      </c>
      <c r="Q518" s="14">
        <v>1</v>
      </c>
      <c r="R518" s="14"/>
    </row>
    <row r="519" spans="1:18">
      <c r="A519" s="9" t="s">
        <v>5603</v>
      </c>
      <c r="B519" s="14" t="s">
        <v>330</v>
      </c>
      <c r="C519" s="14" t="s">
        <v>205</v>
      </c>
      <c r="D519" s="14" t="s">
        <v>1868</v>
      </c>
      <c r="E519" s="15" t="str">
        <f>HYPERLINK("https://stat100.ameba.jp/tnk47/ratio20/illustrations/card/ill_61893_0_onikirishumiyamotomusashi03.jpg?201904-1-RELEASE-raid-402xxx", "■")</f>
        <v>■</v>
      </c>
      <c r="F519" s="14" t="s">
        <v>612</v>
      </c>
      <c r="G519" s="14">
        <v>177354</v>
      </c>
      <c r="H519" s="14">
        <v>164912</v>
      </c>
      <c r="I519" s="14">
        <v>19</v>
      </c>
      <c r="J519" s="14" t="s">
        <v>310</v>
      </c>
      <c r="K519" s="14" t="s">
        <v>613</v>
      </c>
      <c r="L519" s="14" t="s">
        <v>312</v>
      </c>
      <c r="M519" s="14" t="s">
        <v>9158</v>
      </c>
      <c r="N519" s="14" t="s">
        <v>9158</v>
      </c>
      <c r="O519" s="9" t="s">
        <v>3252</v>
      </c>
      <c r="P519" s="14" t="s">
        <v>3253</v>
      </c>
      <c r="Q519" s="14">
        <v>1</v>
      </c>
      <c r="R519" s="14"/>
    </row>
    <row r="520" spans="1:18">
      <c r="A520" s="9">
        <v>56053</v>
      </c>
      <c r="B520" s="14" t="s">
        <v>334</v>
      </c>
      <c r="C520" s="14" t="s">
        <v>263</v>
      </c>
      <c r="D520" s="14" t="s">
        <v>4153</v>
      </c>
      <c r="E520" s="15" t="str">
        <f>HYPERLINK("https://stat100.ameba.jp/tnk47/ratio20/illustrations/card/ill_56053_hyomondako03.jpg?201904-1-RELEASE-raid-402xxx", "■")</f>
        <v>■</v>
      </c>
      <c r="F520" s="14" t="s">
        <v>4154</v>
      </c>
      <c r="G520" s="14">
        <v>90796</v>
      </c>
      <c r="H520" s="14">
        <v>66574</v>
      </c>
      <c r="I520" s="14">
        <v>22</v>
      </c>
      <c r="J520" s="14" t="s">
        <v>26</v>
      </c>
      <c r="K520" s="14" t="s">
        <v>4155</v>
      </c>
      <c r="L520" s="14" t="s">
        <v>4156</v>
      </c>
      <c r="M520" s="14" t="s">
        <v>9158</v>
      </c>
      <c r="N520" s="14" t="s">
        <v>9158</v>
      </c>
      <c r="O520" s="14" t="s">
        <v>9158</v>
      </c>
      <c r="P520" s="14" t="s">
        <v>9158</v>
      </c>
      <c r="Q520" s="14" t="s">
        <v>9158</v>
      </c>
      <c r="R520" s="14"/>
    </row>
    <row r="521" spans="1:18">
      <c r="A521" s="9">
        <v>66353</v>
      </c>
      <c r="B521" s="14" t="s">
        <v>0</v>
      </c>
      <c r="C521" s="14" t="s">
        <v>41</v>
      </c>
      <c r="D521" s="14" t="s">
        <v>141</v>
      </c>
      <c r="E521" s="15" t="str">
        <f>HYPERLINK("https://stat100.ameba.jp/tnk47/ratio20/illustrations/card/ill_66353_kajiwaranyudotoan03.jpg?201904-1-RELEASE-raid-402xxx", "■")</f>
        <v>■</v>
      </c>
      <c r="F521" s="14" t="s">
        <v>142</v>
      </c>
      <c r="G521" s="14">
        <v>146368</v>
      </c>
      <c r="H521" s="14">
        <v>106018</v>
      </c>
      <c r="I521" s="14">
        <v>22</v>
      </c>
      <c r="J521" s="14" t="s">
        <v>143</v>
      </c>
      <c r="K521" s="14" t="s">
        <v>144</v>
      </c>
      <c r="L521" s="14" t="s">
        <v>145</v>
      </c>
      <c r="M521" s="14" t="s">
        <v>9158</v>
      </c>
      <c r="N521" s="14" t="s">
        <v>9158</v>
      </c>
      <c r="O521" s="17" t="s">
        <v>10054</v>
      </c>
      <c r="P521" s="14" t="s">
        <v>3672</v>
      </c>
      <c r="Q521" s="14">
        <v>1</v>
      </c>
      <c r="R521" s="14"/>
    </row>
    <row r="522" spans="1:18">
      <c r="A522" s="9">
        <v>71323</v>
      </c>
      <c r="B522" s="14" t="s">
        <v>0</v>
      </c>
      <c r="C522" s="14" t="s">
        <v>154</v>
      </c>
      <c r="D522" s="14" t="s">
        <v>1878</v>
      </c>
      <c r="E522" s="15" t="str">
        <f>HYPERLINK("https://stat100.ameba.jp/tnk47/ratio20/illustrations/card/ill_71323_kodanobu03.jpg?201904-1-RELEASE-raid-402xxx", "■")</f>
        <v>■</v>
      </c>
      <c r="F522" s="14" t="s">
        <v>1879</v>
      </c>
      <c r="G522" s="14">
        <v>110000</v>
      </c>
      <c r="H522" s="14">
        <v>102278</v>
      </c>
      <c r="I522" s="14">
        <v>22</v>
      </c>
      <c r="J522" s="14" t="s">
        <v>16</v>
      </c>
      <c r="K522" s="14" t="s">
        <v>1880</v>
      </c>
      <c r="L522" s="14" t="s">
        <v>1881</v>
      </c>
      <c r="M522" s="14" t="s">
        <v>9158</v>
      </c>
      <c r="N522" s="14" t="s">
        <v>9158</v>
      </c>
      <c r="O522" s="17" t="s">
        <v>10055</v>
      </c>
      <c r="P522" s="14" t="s">
        <v>13124</v>
      </c>
      <c r="Q522" s="14">
        <v>1</v>
      </c>
      <c r="R522" s="14"/>
    </row>
    <row r="523" spans="1:18">
      <c r="B523" s="14"/>
      <c r="C523" s="14"/>
      <c r="D523" s="14"/>
      <c r="F523" s="14"/>
      <c r="G523" s="14"/>
      <c r="H523" s="14"/>
      <c r="I523" s="14"/>
      <c r="J523" s="14"/>
      <c r="K523" s="14"/>
      <c r="L523" s="14"/>
      <c r="M523" s="14"/>
      <c r="N523" s="14"/>
      <c r="P523" s="14"/>
      <c r="Q523" s="14"/>
      <c r="R523" s="14"/>
    </row>
    <row r="524" spans="1:18">
      <c r="A524" s="14" t="s">
        <v>13326</v>
      </c>
      <c r="D524" s="14"/>
      <c r="F524" s="14"/>
      <c r="G524" s="14"/>
      <c r="H524" s="14"/>
      <c r="I524" s="14"/>
      <c r="J524" s="14"/>
      <c r="K524" s="14"/>
      <c r="L524" s="14"/>
      <c r="M524" s="14"/>
      <c r="N524" s="14"/>
      <c r="P524" s="14"/>
      <c r="Q524" s="14"/>
      <c r="R524" s="14"/>
    </row>
    <row r="525" spans="1:18">
      <c r="A525" s="14" t="s">
        <v>4157</v>
      </c>
      <c r="B525" s="14"/>
      <c r="C525" s="14"/>
      <c r="D525" s="14"/>
      <c r="F525" s="14"/>
      <c r="G525" s="14"/>
      <c r="H525" s="14"/>
      <c r="I525" s="14"/>
      <c r="J525" s="14"/>
      <c r="K525" s="14"/>
      <c r="L525" s="14"/>
      <c r="M525" s="14"/>
      <c r="N525" s="14"/>
      <c r="P525" s="14"/>
      <c r="Q525" s="14"/>
      <c r="R525" s="14"/>
    </row>
    <row r="526" spans="1:18">
      <c r="A526" s="9">
        <v>70073</v>
      </c>
      <c r="B526" s="14" t="s">
        <v>334</v>
      </c>
      <c r="C526" s="14" t="s">
        <v>185</v>
      </c>
      <c r="D526" s="14" t="s">
        <v>859</v>
      </c>
      <c r="E526" s="15" t="str">
        <f>HYPERLINK("https://stat100.ameba.jp/tnk47/ratio20/illustrations/card/ill_70073_muhime03.jpg?201904-1-RELEASE-raid-402xxx", "■")</f>
        <v>■</v>
      </c>
      <c r="F526" s="14" t="s">
        <v>860</v>
      </c>
      <c r="G526" s="14">
        <v>105275</v>
      </c>
      <c r="H526" s="14">
        <v>113230</v>
      </c>
      <c r="I526" s="14">
        <v>23</v>
      </c>
      <c r="J526" s="14" t="s">
        <v>315</v>
      </c>
      <c r="K526" s="14" t="s">
        <v>861</v>
      </c>
      <c r="L526" s="14" t="s">
        <v>862</v>
      </c>
      <c r="M526" s="14" t="s">
        <v>250</v>
      </c>
      <c r="N526" s="14" t="s">
        <v>251</v>
      </c>
      <c r="O526" s="14" t="s">
        <v>9158</v>
      </c>
      <c r="P526" s="14" t="s">
        <v>9158</v>
      </c>
      <c r="Q526" s="14" t="s">
        <v>9158</v>
      </c>
      <c r="R526" s="14"/>
    </row>
    <row r="527" spans="1:18">
      <c r="A527" s="9">
        <v>70072</v>
      </c>
      <c r="B527" s="14" t="s">
        <v>334</v>
      </c>
      <c r="C527" s="14" t="s">
        <v>185</v>
      </c>
      <c r="D527" s="14" t="s">
        <v>859</v>
      </c>
      <c r="E527" s="15" t="str">
        <f>HYPERLINK("https://stat100.ameba.jp/tnk47/ratio20/illustrations/card/ill_70072_muhime02.jpg?201904-1-RELEASE-raid-402xxx", "■")</f>
        <v>■</v>
      </c>
      <c r="F527" s="14" t="s">
        <v>860</v>
      </c>
      <c r="G527" s="14">
        <v>87192</v>
      </c>
      <c r="H527" s="14">
        <v>94653</v>
      </c>
      <c r="I527" s="14">
        <v>23</v>
      </c>
      <c r="J527" s="14" t="s">
        <v>315</v>
      </c>
      <c r="K527" s="14" t="s">
        <v>861</v>
      </c>
      <c r="L527" s="14" t="s">
        <v>862</v>
      </c>
      <c r="M527" s="14" t="s">
        <v>250</v>
      </c>
      <c r="N527" s="14" t="s">
        <v>251</v>
      </c>
      <c r="O527" s="14" t="s">
        <v>9158</v>
      </c>
      <c r="P527" s="14" t="s">
        <v>9158</v>
      </c>
      <c r="Q527" s="14" t="s">
        <v>9158</v>
      </c>
      <c r="R527" s="14"/>
    </row>
    <row r="528" spans="1:18">
      <c r="A528" s="9">
        <v>70071</v>
      </c>
      <c r="B528" s="14" t="s">
        <v>334</v>
      </c>
      <c r="C528" s="14" t="s">
        <v>185</v>
      </c>
      <c r="D528" s="14" t="s">
        <v>859</v>
      </c>
      <c r="E528" s="15" t="str">
        <f>HYPERLINK("https://stat100.ameba.jp/tnk47/ratio20/illustrations/card/ill_70071_muhime01.jpg?201904-1-RELEASE-raid-402xxx", "■")</f>
        <v>■</v>
      </c>
      <c r="F528" s="14" t="s">
        <v>860</v>
      </c>
      <c r="G528" s="14">
        <v>67275</v>
      </c>
      <c r="H528" s="14">
        <v>72266</v>
      </c>
      <c r="I528" s="14">
        <v>23</v>
      </c>
      <c r="J528" s="14" t="s">
        <v>315</v>
      </c>
      <c r="K528" s="14" t="s">
        <v>861</v>
      </c>
      <c r="L528" s="14" t="s">
        <v>862</v>
      </c>
      <c r="M528" s="14" t="s">
        <v>250</v>
      </c>
      <c r="N528" s="14" t="s">
        <v>251</v>
      </c>
      <c r="O528" s="14" t="s">
        <v>9158</v>
      </c>
      <c r="P528" s="14" t="s">
        <v>9158</v>
      </c>
      <c r="Q528" s="14" t="s">
        <v>9158</v>
      </c>
      <c r="R528" s="14"/>
    </row>
    <row r="529" spans="1:18">
      <c r="A529" s="9">
        <v>70083</v>
      </c>
      <c r="B529" s="14" t="s">
        <v>334</v>
      </c>
      <c r="C529" s="14" t="s">
        <v>200</v>
      </c>
      <c r="D529" s="14" t="s">
        <v>252</v>
      </c>
      <c r="E529" s="15" t="str">
        <f>HYPERLINK("https://stat100.ameba.jp/tnk47/ratio20/illustrations/card/ill_70083_kimurakaishu03.jpg?201904-1-RELEASE-raid-402xxx", "■")</f>
        <v>■</v>
      </c>
      <c r="F529" s="14" t="s">
        <v>863</v>
      </c>
      <c r="G529" s="14">
        <v>113230</v>
      </c>
      <c r="H529" s="14">
        <v>105275</v>
      </c>
      <c r="I529" s="14">
        <v>23</v>
      </c>
      <c r="J529" s="14" t="s">
        <v>173</v>
      </c>
      <c r="K529" s="14" t="s">
        <v>257</v>
      </c>
      <c r="L529" s="14" t="s">
        <v>9897</v>
      </c>
      <c r="M529" s="14" t="s">
        <v>250</v>
      </c>
      <c r="N529" s="14" t="s">
        <v>251</v>
      </c>
      <c r="O529" s="14" t="s">
        <v>9158</v>
      </c>
      <c r="P529" s="14" t="s">
        <v>9158</v>
      </c>
      <c r="Q529" s="14" t="s">
        <v>9158</v>
      </c>
      <c r="R529" s="14"/>
    </row>
    <row r="530" spans="1:18">
      <c r="A530" s="9">
        <v>70923</v>
      </c>
      <c r="B530" s="14" t="s">
        <v>334</v>
      </c>
      <c r="C530" s="14" t="s">
        <v>191</v>
      </c>
      <c r="D530" s="14" t="s">
        <v>253</v>
      </c>
      <c r="E530" s="15" t="str">
        <f>HYPERLINK("https://stat100.ameba.jp/tnk47/ratio20/illustrations/card/ill_70923_hidawagyu03.jpg?201904-1-RELEASE-raid-402xxx", "■")</f>
        <v>■</v>
      </c>
      <c r="F530" s="14" t="s">
        <v>864</v>
      </c>
      <c r="G530" s="14">
        <v>113230</v>
      </c>
      <c r="H530" s="14">
        <v>105275</v>
      </c>
      <c r="I530" s="14">
        <v>23</v>
      </c>
      <c r="J530" s="14" t="s">
        <v>216</v>
      </c>
      <c r="K530" s="14" t="s">
        <v>258</v>
      </c>
      <c r="L530" s="14" t="s">
        <v>9898</v>
      </c>
      <c r="M530" s="14" t="s">
        <v>250</v>
      </c>
      <c r="N530" s="14" t="s">
        <v>251</v>
      </c>
      <c r="O530" s="14" t="s">
        <v>9158</v>
      </c>
      <c r="P530" s="14" t="s">
        <v>9158</v>
      </c>
      <c r="Q530" s="14" t="s">
        <v>9158</v>
      </c>
      <c r="R530" s="14"/>
    </row>
    <row r="531" spans="1:18">
      <c r="A531" s="9">
        <v>70093</v>
      </c>
      <c r="B531" s="14" t="s">
        <v>334</v>
      </c>
      <c r="C531" s="14" t="s">
        <v>308</v>
      </c>
      <c r="D531" s="14" t="s">
        <v>254</v>
      </c>
      <c r="E531" s="15" t="str">
        <f>HYPERLINK("https://stat100.ameba.jp/tnk47/ratio20/illustrations/card/ill_70093_sarutahikonookami03.jpg?201904-1-RELEASE-raid-402xxx", "■")</f>
        <v>■</v>
      </c>
      <c r="F531" s="14" t="s">
        <v>865</v>
      </c>
      <c r="G531" s="14">
        <v>105275</v>
      </c>
      <c r="H531" s="14">
        <v>113230</v>
      </c>
      <c r="I531" s="14">
        <v>23</v>
      </c>
      <c r="J531" s="14" t="s">
        <v>169</v>
      </c>
      <c r="K531" s="14" t="s">
        <v>259</v>
      </c>
      <c r="L531" s="14" t="s">
        <v>9899</v>
      </c>
      <c r="M531" s="14" t="s">
        <v>250</v>
      </c>
      <c r="N531" s="14" t="s">
        <v>251</v>
      </c>
      <c r="O531" s="14" t="s">
        <v>9158</v>
      </c>
      <c r="P531" s="14" t="s">
        <v>9158</v>
      </c>
      <c r="Q531" s="14" t="s">
        <v>9158</v>
      </c>
      <c r="R531" s="14"/>
    </row>
    <row r="532" spans="1:18">
      <c r="A532" s="9">
        <v>70933</v>
      </c>
      <c r="B532" s="14" t="s">
        <v>334</v>
      </c>
      <c r="C532" s="14" t="s">
        <v>267</v>
      </c>
      <c r="D532" s="14" t="s">
        <v>255</v>
      </c>
      <c r="E532" s="15" t="str">
        <f>HYPERLINK("https://stat100.ameba.jp/tnk47/ratio20/illustrations/card/ill_70933_zenigatasunae03.jpg?201904-1-RELEASE-raid-402xxx", "■")</f>
        <v>■</v>
      </c>
      <c r="F532" s="14" t="s">
        <v>866</v>
      </c>
      <c r="G532" s="14">
        <v>105275</v>
      </c>
      <c r="H532" s="14">
        <v>113230</v>
      </c>
      <c r="I532" s="14">
        <v>23</v>
      </c>
      <c r="J532" s="14" t="s">
        <v>229</v>
      </c>
      <c r="K532" s="14" t="s">
        <v>260</v>
      </c>
      <c r="L532" s="14" t="s">
        <v>9900</v>
      </c>
      <c r="M532" s="14" t="s">
        <v>250</v>
      </c>
      <c r="N532" s="14" t="s">
        <v>251</v>
      </c>
      <c r="O532" s="14" t="s">
        <v>9158</v>
      </c>
      <c r="P532" s="14" t="s">
        <v>9158</v>
      </c>
      <c r="Q532" s="14" t="s">
        <v>9158</v>
      </c>
      <c r="R532" s="14"/>
    </row>
    <row r="533" spans="1:18">
      <c r="A533" s="9">
        <v>70943</v>
      </c>
      <c r="B533" s="14" t="s">
        <v>334</v>
      </c>
      <c r="C533" s="14" t="s">
        <v>344</v>
      </c>
      <c r="D533" s="14" t="s">
        <v>256</v>
      </c>
      <c r="E533" s="15" t="str">
        <f>HYPERLINK("https://stat100.ameba.jp/tnk47/ratio20/illustrations/card/ill_70943_tengunokakuremino03.jpg?201904-1-RELEASE-raid-402xxx", "■")</f>
        <v>■</v>
      </c>
      <c r="F533" s="14" t="s">
        <v>867</v>
      </c>
      <c r="G533" s="14">
        <v>113230</v>
      </c>
      <c r="H533" s="14">
        <v>105275</v>
      </c>
      <c r="I533" s="14">
        <v>23</v>
      </c>
      <c r="J533" s="14" t="s">
        <v>155</v>
      </c>
      <c r="K533" s="14" t="s">
        <v>261</v>
      </c>
      <c r="L533" s="14" t="s">
        <v>9901</v>
      </c>
      <c r="M533" s="14" t="s">
        <v>250</v>
      </c>
      <c r="N533" s="14" t="s">
        <v>251</v>
      </c>
      <c r="O533" s="14" t="s">
        <v>9158</v>
      </c>
      <c r="P533" s="14" t="s">
        <v>9158</v>
      </c>
      <c r="Q533" s="14" t="s">
        <v>9158</v>
      </c>
      <c r="R533" s="14"/>
    </row>
    <row r="534" spans="1:18">
      <c r="B534" s="14"/>
      <c r="C534" s="14"/>
      <c r="D534" s="14"/>
      <c r="F534" s="14"/>
      <c r="G534" s="14"/>
      <c r="H534" s="14"/>
      <c r="I534" s="14"/>
      <c r="J534" s="14"/>
      <c r="K534" s="14"/>
      <c r="L534" s="14"/>
      <c r="M534" s="14"/>
      <c r="N534" s="14"/>
      <c r="P534" s="14"/>
      <c r="Q534" s="14"/>
      <c r="R534" s="14"/>
    </row>
    <row r="535" spans="1:18">
      <c r="A535" s="14" t="s">
        <v>195</v>
      </c>
      <c r="D535" s="14"/>
      <c r="F535" s="14"/>
      <c r="G535" s="14"/>
      <c r="H535" s="14"/>
      <c r="I535" s="14"/>
      <c r="J535" s="14"/>
      <c r="K535" s="14"/>
      <c r="L535" s="14"/>
      <c r="M535" s="14"/>
      <c r="N535" s="14"/>
      <c r="P535" s="14"/>
      <c r="Q535" s="14"/>
      <c r="R535" s="14"/>
    </row>
    <row r="536" spans="1:18">
      <c r="A536" s="14" t="s">
        <v>4158</v>
      </c>
      <c r="B536" s="14"/>
      <c r="C536" s="14"/>
      <c r="D536" s="14"/>
      <c r="F536" s="14"/>
      <c r="G536" s="14"/>
      <c r="H536" s="14"/>
      <c r="I536" s="14"/>
      <c r="J536" s="14"/>
      <c r="K536" s="14"/>
      <c r="L536" s="14"/>
      <c r="M536" s="14"/>
      <c r="N536" s="14"/>
      <c r="P536" s="14"/>
      <c r="Q536" s="14"/>
      <c r="R536" s="14"/>
    </row>
    <row r="537" spans="1:18">
      <c r="A537" s="9">
        <v>71013</v>
      </c>
      <c r="B537" s="14" t="s">
        <v>334</v>
      </c>
      <c r="C537" s="14" t="s">
        <v>154</v>
      </c>
      <c r="D537" s="14" t="s">
        <v>1229</v>
      </c>
      <c r="E537" s="15" t="str">
        <f>HYPERLINK("https://stat100.ameba.jp/tnk47/ratio20/illustrations/card/ill_71013_fujutsushisarashina03.jpg?201904-1-RELEASE-raid-402xxx", "■")</f>
        <v>■</v>
      </c>
      <c r="F537" s="14" t="s">
        <v>838</v>
      </c>
      <c r="G537" s="14">
        <v>88226</v>
      </c>
      <c r="H537" s="14">
        <v>94886</v>
      </c>
      <c r="I537" s="14">
        <v>22</v>
      </c>
      <c r="J537" s="14" t="s">
        <v>155</v>
      </c>
      <c r="K537" s="14" t="s">
        <v>1231</v>
      </c>
      <c r="L537" s="14" t="s">
        <v>13152</v>
      </c>
      <c r="M537" s="14" t="s">
        <v>9158</v>
      </c>
      <c r="N537" s="14" t="s">
        <v>9158</v>
      </c>
      <c r="O537" s="14" t="s">
        <v>9158</v>
      </c>
      <c r="P537" s="14" t="s">
        <v>9158</v>
      </c>
      <c r="Q537" s="14" t="s">
        <v>9158</v>
      </c>
      <c r="R537" s="14"/>
    </row>
    <row r="538" spans="1:18">
      <c r="A538" s="9">
        <v>71023</v>
      </c>
      <c r="B538" s="14" t="s">
        <v>334</v>
      </c>
      <c r="C538" s="14" t="s">
        <v>158</v>
      </c>
      <c r="D538" s="14" t="s">
        <v>1230</v>
      </c>
      <c r="E538" s="15" t="str">
        <f>HYPERLINK("https://stat100.ameba.jp/tnk47/ratio20/illustrations/card/ill_71023_ommyojiiroha03.jpg?201904-1-RELEASE-raid-402xxx", "■")</f>
        <v>■</v>
      </c>
      <c r="F538" s="14" t="s">
        <v>842</v>
      </c>
      <c r="G538" s="14">
        <v>88226</v>
      </c>
      <c r="H538" s="14">
        <v>94886</v>
      </c>
      <c r="I538" s="14">
        <v>22</v>
      </c>
      <c r="J538" s="14" t="s">
        <v>159</v>
      </c>
      <c r="K538" s="14" t="s">
        <v>1232</v>
      </c>
      <c r="L538" s="14" t="s">
        <v>1233</v>
      </c>
      <c r="M538" s="14" t="s">
        <v>9158</v>
      </c>
      <c r="N538" s="14" t="s">
        <v>9158</v>
      </c>
      <c r="O538" s="14" t="s">
        <v>9158</v>
      </c>
      <c r="P538" s="14" t="s">
        <v>9158</v>
      </c>
      <c r="Q538" s="14" t="s">
        <v>9158</v>
      </c>
      <c r="R538" s="14"/>
    </row>
    <row r="539" spans="1:18">
      <c r="A539" s="9">
        <v>73113</v>
      </c>
      <c r="B539" s="14" t="s">
        <v>334</v>
      </c>
      <c r="C539" s="14" t="s">
        <v>191</v>
      </c>
      <c r="D539" s="14" t="s">
        <v>3156</v>
      </c>
      <c r="E539" s="15" t="str">
        <f>HYPERLINK("https://stat100.ameba.jp/tnk47/ratio20/illustrations/card/ill_73113_kinasanosatokijomomiji03.jpg?201904-1-RELEASE-raid-402xxx", "■")</f>
        <v>■</v>
      </c>
      <c r="F539" s="14" t="s">
        <v>3157</v>
      </c>
      <c r="G539" s="14">
        <v>91664</v>
      </c>
      <c r="H539" s="14">
        <v>85246</v>
      </c>
      <c r="I539" s="14">
        <v>22</v>
      </c>
      <c r="J539" s="14" t="s">
        <v>320</v>
      </c>
      <c r="K539" s="14" t="s">
        <v>3158</v>
      </c>
      <c r="L539" s="14" t="s">
        <v>2956</v>
      </c>
      <c r="M539" s="14" t="s">
        <v>9158</v>
      </c>
      <c r="N539" s="14" t="s">
        <v>9158</v>
      </c>
      <c r="O539" s="14" t="s">
        <v>9158</v>
      </c>
      <c r="P539" s="14" t="s">
        <v>9158</v>
      </c>
      <c r="Q539" s="14" t="s">
        <v>9158</v>
      </c>
      <c r="R539" s="14"/>
    </row>
    <row r="540" spans="1:18">
      <c r="A540" s="9">
        <v>65923</v>
      </c>
      <c r="B540" s="14" t="s">
        <v>334</v>
      </c>
      <c r="C540" s="14" t="s">
        <v>185</v>
      </c>
      <c r="D540" s="14" t="s">
        <v>3677</v>
      </c>
      <c r="E540" s="15" t="str">
        <f>HYPERLINK("https://stat100.ameba.jp/tnk47/ratio20/illustrations/card/ill_65923_arabianginko03.jpg?201904-1-RELEASE-raid-402xxx", "■")</f>
        <v>■</v>
      </c>
      <c r="F540" s="14" t="s">
        <v>3678</v>
      </c>
      <c r="G540" s="14">
        <v>91664</v>
      </c>
      <c r="H540" s="14">
        <v>85246</v>
      </c>
      <c r="I540" s="14">
        <v>22</v>
      </c>
      <c r="J540" s="14" t="s">
        <v>182</v>
      </c>
      <c r="K540" s="14" t="s">
        <v>3679</v>
      </c>
      <c r="L540" s="14" t="s">
        <v>13188</v>
      </c>
      <c r="M540" s="14" t="s">
        <v>9158</v>
      </c>
      <c r="N540" s="14" t="s">
        <v>9158</v>
      </c>
      <c r="O540" s="14" t="s">
        <v>9158</v>
      </c>
      <c r="P540" s="14" t="s">
        <v>9158</v>
      </c>
      <c r="Q540" s="14" t="s">
        <v>9158</v>
      </c>
      <c r="R540" s="14"/>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F3CFC-5DED-40F3-A386-0D29D9714B45}">
  <dimension ref="A1:S520"/>
  <sheetViews>
    <sheetView zoomScale="55" zoomScaleNormal="55" workbookViewId="0">
      <pane ySplit="1" topLeftCell="A257" activePane="bottomLeft" state="frozen"/>
      <selection pane="bottomLeft" activeCell="D271" sqref="D271"/>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4159</v>
      </c>
      <c r="E3" s="14"/>
      <c r="F3" s="14"/>
      <c r="G3" s="14"/>
      <c r="H3" s="14"/>
      <c r="I3" s="14"/>
      <c r="J3" s="14"/>
      <c r="K3" s="14"/>
      <c r="L3" s="14"/>
      <c r="M3" s="14"/>
      <c r="O3" s="14"/>
      <c r="P3" s="14"/>
      <c r="Q3" s="14"/>
      <c r="R3" s="14"/>
    </row>
    <row r="4" spans="1:19">
      <c r="A4" s="14" t="s">
        <v>4160</v>
      </c>
      <c r="C4" s="14"/>
      <c r="D4" s="14"/>
      <c r="E4" s="14"/>
      <c r="F4" s="14"/>
      <c r="G4" s="14"/>
      <c r="H4" s="14"/>
      <c r="I4" s="14"/>
      <c r="J4" s="14"/>
      <c r="K4" s="14"/>
      <c r="L4" s="14"/>
      <c r="M4" s="14"/>
      <c r="O4" s="14"/>
      <c r="P4" s="14"/>
      <c r="Q4" s="14"/>
      <c r="R4" s="14"/>
    </row>
    <row r="5" spans="1:19">
      <c r="A5" s="14" t="s">
        <v>11483</v>
      </c>
      <c r="C5" s="14"/>
      <c r="D5" s="14"/>
      <c r="E5" s="14"/>
      <c r="F5" s="14"/>
      <c r="G5" s="14"/>
      <c r="H5" s="14"/>
      <c r="I5" s="14"/>
      <c r="J5" s="14"/>
      <c r="K5" s="14"/>
      <c r="L5" s="14"/>
      <c r="M5" s="14"/>
      <c r="O5" s="14"/>
      <c r="P5" s="14"/>
      <c r="Q5" s="14"/>
      <c r="R5" s="14"/>
    </row>
    <row r="6" spans="1:19">
      <c r="A6" s="9" t="s">
        <v>6905</v>
      </c>
      <c r="B6" s="14" t="s">
        <v>330</v>
      </c>
      <c r="C6" s="14" t="s">
        <v>35</v>
      </c>
      <c r="D6" s="14" t="s">
        <v>4161</v>
      </c>
      <c r="E6" s="15" t="str">
        <f>HYPERLINK("https://stat100.ameba.jp/tnk47/ratio20/illustrations/card/ill_80623_0_ohanamigurampingutominushihime03.jpg?201904-1-RELEASE-raid-402xxx", "■")</f>
        <v>■</v>
      </c>
      <c r="F6" s="14" t="s">
        <v>4162</v>
      </c>
      <c r="G6" s="14">
        <v>325434</v>
      </c>
      <c r="H6" s="14">
        <v>294156</v>
      </c>
      <c r="I6" s="14">
        <v>27</v>
      </c>
      <c r="J6" s="14" t="s">
        <v>44</v>
      </c>
      <c r="K6" s="14" t="s">
        <v>4163</v>
      </c>
      <c r="L6" s="14" t="s">
        <v>4164</v>
      </c>
      <c r="M6" s="14" t="s">
        <v>9158</v>
      </c>
      <c r="N6" s="14" t="s">
        <v>9158</v>
      </c>
      <c r="O6" s="9" t="s">
        <v>4165</v>
      </c>
      <c r="P6" s="14" t="s">
        <v>4166</v>
      </c>
      <c r="Q6" s="14">
        <v>1</v>
      </c>
      <c r="R6" s="14"/>
    </row>
    <row r="7" spans="1:19">
      <c r="A7" s="9">
        <v>80563</v>
      </c>
      <c r="B7" s="14" t="s">
        <v>334</v>
      </c>
      <c r="C7" s="14" t="s">
        <v>185</v>
      </c>
      <c r="D7" s="14" t="s">
        <v>4171</v>
      </c>
      <c r="E7" s="15" t="str">
        <f>HYPERLINK("https://stat100.ameba.jp/tnk47/ratio20/illustrations/card/ill_80563_ohanamigurampingu03.jpg?201904-1-RELEASE-raid-402xxx", "■")</f>
        <v>■</v>
      </c>
      <c r="F7" s="14" t="s">
        <v>4172</v>
      </c>
      <c r="G7" s="14">
        <v>87218</v>
      </c>
      <c r="H7" s="14">
        <v>93813</v>
      </c>
      <c r="I7" s="14">
        <v>23</v>
      </c>
      <c r="J7" s="14" t="s">
        <v>44</v>
      </c>
      <c r="K7" s="14" t="s">
        <v>4173</v>
      </c>
      <c r="L7" s="14" t="s">
        <v>4174</v>
      </c>
      <c r="M7" s="14" t="s">
        <v>2138</v>
      </c>
      <c r="N7" s="14" t="s">
        <v>2139</v>
      </c>
      <c r="O7" s="14" t="s">
        <v>9158</v>
      </c>
      <c r="P7" s="14" t="s">
        <v>9158</v>
      </c>
      <c r="Q7" s="14" t="s">
        <v>9158</v>
      </c>
      <c r="R7" s="14" t="s">
        <v>13120</v>
      </c>
    </row>
    <row r="8" spans="1:19">
      <c r="A8" s="9">
        <v>80573</v>
      </c>
      <c r="B8" s="14" t="s">
        <v>334</v>
      </c>
      <c r="C8" s="14" t="s">
        <v>165</v>
      </c>
      <c r="D8" s="14" t="s">
        <v>4175</v>
      </c>
      <c r="E8" s="15" t="str">
        <f>HYPERLINK("https://stat100.ameba.jp/tnk47/ratio20/illustrations/card/ill_80573_ohanamigurampingusotorihime03.jpg?201904-1-RELEASE-raid-402xxx", "■")</f>
        <v>■</v>
      </c>
      <c r="F8" s="14" t="s">
        <v>4176</v>
      </c>
      <c r="G8" s="14">
        <v>104964</v>
      </c>
      <c r="H8" s="14">
        <v>97420</v>
      </c>
      <c r="I8" s="14">
        <v>23</v>
      </c>
      <c r="J8" s="14" t="s">
        <v>38</v>
      </c>
      <c r="K8" s="14" t="s">
        <v>4177</v>
      </c>
      <c r="L8" s="14" t="s">
        <v>4178</v>
      </c>
      <c r="M8" s="14" t="s">
        <v>9158</v>
      </c>
      <c r="N8" s="14" t="s">
        <v>9158</v>
      </c>
      <c r="O8" s="9" t="s">
        <v>3661</v>
      </c>
      <c r="P8" s="14" t="s">
        <v>3662</v>
      </c>
      <c r="Q8" s="14">
        <v>1</v>
      </c>
      <c r="R8" s="14"/>
    </row>
    <row r="9" spans="1:19">
      <c r="A9" s="9">
        <v>80583</v>
      </c>
      <c r="B9" s="14" t="s">
        <v>334</v>
      </c>
      <c r="C9" s="14" t="s">
        <v>206</v>
      </c>
      <c r="D9" s="14" t="s">
        <v>4179</v>
      </c>
      <c r="E9" s="15" t="str">
        <f>HYPERLINK("https://stat100.ameba.jp/tnk47/ratio20/illustrations/card/ill_80583_ohanamigurampingumijigokuchan03.jpg?201904-1-RELEASE-raid-402xxx", "■")</f>
        <v>■</v>
      </c>
      <c r="F9" s="14" t="s">
        <v>4180</v>
      </c>
      <c r="G9" s="14">
        <v>104778</v>
      </c>
      <c r="H9" s="14">
        <v>97420</v>
      </c>
      <c r="I9" s="14">
        <v>23</v>
      </c>
      <c r="J9" s="14" t="s">
        <v>26</v>
      </c>
      <c r="K9" s="14" t="s">
        <v>4181</v>
      </c>
      <c r="L9" s="14" t="s">
        <v>1086</v>
      </c>
      <c r="M9" s="14" t="s">
        <v>2138</v>
      </c>
      <c r="N9" s="14" t="s">
        <v>2139</v>
      </c>
      <c r="O9" s="14" t="s">
        <v>9158</v>
      </c>
      <c r="P9" s="14" t="s">
        <v>9158</v>
      </c>
      <c r="Q9" s="14" t="s">
        <v>9158</v>
      </c>
      <c r="R9" s="14" t="s">
        <v>13120</v>
      </c>
    </row>
    <row r="10" spans="1:19">
      <c r="A10" s="9">
        <v>80593</v>
      </c>
      <c r="B10" s="14" t="s">
        <v>348</v>
      </c>
      <c r="C10" s="14" t="s">
        <v>200</v>
      </c>
      <c r="D10" s="14" t="s">
        <v>4182</v>
      </c>
      <c r="E10" s="15" t="str">
        <f>HYPERLINK("https://stat100.ameba.jp/tnk47/ratio20/illustrations/card/ill_80593_futomakimatsurizushi03.jpg?201904-1-RELEASE-raid-402xxx", "■")</f>
        <v>■</v>
      </c>
      <c r="F10" s="14" t="s">
        <v>4183</v>
      </c>
      <c r="G10" s="14">
        <v>59144</v>
      </c>
      <c r="H10" s="14">
        <v>65208</v>
      </c>
      <c r="I10" s="14">
        <v>22</v>
      </c>
      <c r="J10" s="14" t="s">
        <v>104</v>
      </c>
      <c r="K10" s="14" t="s">
        <v>4184</v>
      </c>
      <c r="L10" s="14" t="s">
        <v>2154</v>
      </c>
      <c r="M10" s="14" t="s">
        <v>9158</v>
      </c>
      <c r="N10" s="14" t="s">
        <v>9158</v>
      </c>
      <c r="O10" s="14" t="s">
        <v>9158</v>
      </c>
      <c r="P10" s="14" t="s">
        <v>9158</v>
      </c>
      <c r="Q10" s="14" t="s">
        <v>9158</v>
      </c>
      <c r="R10" s="14"/>
    </row>
    <row r="11" spans="1:19">
      <c r="A11" s="9">
        <v>80603</v>
      </c>
      <c r="B11" s="14" t="s">
        <v>348</v>
      </c>
      <c r="C11" s="14" t="s">
        <v>191</v>
      </c>
      <c r="D11" s="14" t="s">
        <v>4185</v>
      </c>
      <c r="E11" s="15" t="str">
        <f>HYPERLINK("https://stat100.ameba.jp/tnk47/ratio20/illustrations/card/ill_80603_horoyoiikedasen03.jpg?201904-1-RELEASE-raid-402xxx", "■")</f>
        <v>■</v>
      </c>
      <c r="F11" s="14" t="s">
        <v>4186</v>
      </c>
      <c r="G11" s="14">
        <v>65208</v>
      </c>
      <c r="H11" s="14">
        <v>59144</v>
      </c>
      <c r="I11" s="14">
        <v>22</v>
      </c>
      <c r="J11" s="14" t="s">
        <v>143</v>
      </c>
      <c r="K11" s="14" t="s">
        <v>4187</v>
      </c>
      <c r="L11" s="14" t="s">
        <v>4188</v>
      </c>
      <c r="M11" s="14" t="s">
        <v>9158</v>
      </c>
      <c r="N11" s="14" t="s">
        <v>9158</v>
      </c>
      <c r="O11" s="14" t="s">
        <v>9158</v>
      </c>
      <c r="P11" s="14" t="s">
        <v>9158</v>
      </c>
      <c r="Q11" s="14" t="s">
        <v>9158</v>
      </c>
      <c r="R11" s="14"/>
    </row>
    <row r="12" spans="1:19">
      <c r="A12" s="9">
        <v>80613</v>
      </c>
      <c r="B12" s="14" t="s">
        <v>348</v>
      </c>
      <c r="C12" s="14" t="s">
        <v>158</v>
      </c>
      <c r="D12" s="14" t="s">
        <v>4189</v>
      </c>
      <c r="E12" s="15" t="str">
        <f>HYPERLINK("https://stat100.ameba.jp/tnk47/ratio20/illustrations/card/ill_80613_itchikutatchiku03.jpg?201904-1-RELEASE-raid-402xxx", "■")</f>
        <v>■</v>
      </c>
      <c r="F12" s="14" t="s">
        <v>4190</v>
      </c>
      <c r="G12" s="14">
        <v>59144</v>
      </c>
      <c r="H12" s="14">
        <v>65208</v>
      </c>
      <c r="I12" s="14">
        <v>22</v>
      </c>
      <c r="J12" s="14" t="s">
        <v>73</v>
      </c>
      <c r="K12" s="14" t="s">
        <v>4191</v>
      </c>
      <c r="L12" s="14" t="s">
        <v>2113</v>
      </c>
      <c r="M12" s="14" t="s">
        <v>9158</v>
      </c>
      <c r="N12" s="14" t="s">
        <v>9158</v>
      </c>
      <c r="O12" s="14" t="s">
        <v>9158</v>
      </c>
      <c r="P12" s="14" t="s">
        <v>9158</v>
      </c>
      <c r="Q12" s="14" t="s">
        <v>9158</v>
      </c>
      <c r="R12" s="14"/>
    </row>
    <row r="13" spans="1:19">
      <c r="A13" s="9">
        <v>80633</v>
      </c>
      <c r="B13" s="14" t="s">
        <v>362</v>
      </c>
      <c r="C13" s="14" t="s">
        <v>206</v>
      </c>
      <c r="D13" s="14" t="s">
        <v>4192</v>
      </c>
      <c r="E13" s="15" t="str">
        <f>HYPERLINK("https://stat100.ameba.jp/tnk47/ratio20/illustrations/card/ill_80633_kyampuwakanahime03.jpg?201904-1-RELEASE-raid-402xxx", "■")</f>
        <v>■</v>
      </c>
      <c r="F13" s="14" t="s">
        <v>4193</v>
      </c>
      <c r="G13" s="14">
        <v>38032</v>
      </c>
      <c r="H13" s="14">
        <v>45742</v>
      </c>
      <c r="I13" s="14">
        <v>22</v>
      </c>
      <c r="J13" s="14" t="s">
        <v>77</v>
      </c>
      <c r="K13" s="14" t="s">
        <v>4194</v>
      </c>
      <c r="L13" s="14" t="s">
        <v>3506</v>
      </c>
      <c r="M13" s="14" t="s">
        <v>9158</v>
      </c>
      <c r="N13" s="14" t="s">
        <v>9158</v>
      </c>
      <c r="O13" s="14" t="s">
        <v>9158</v>
      </c>
      <c r="P13" s="14" t="s">
        <v>9158</v>
      </c>
      <c r="Q13" s="14" t="s">
        <v>9158</v>
      </c>
      <c r="R13" s="14"/>
    </row>
    <row r="14" spans="1:19">
      <c r="A14" s="9">
        <v>80643</v>
      </c>
      <c r="B14" s="14" t="s">
        <v>362</v>
      </c>
      <c r="C14" s="14" t="s">
        <v>165</v>
      </c>
      <c r="D14" s="14" t="s">
        <v>4195</v>
      </c>
      <c r="E14" s="15" t="str">
        <f>HYPERLINK("https://stat100.ameba.jp/tnk47/ratio20/illustrations/card/ill_80643_sakuragoromoyosanoakiko03.jpg?201904-1-RELEASE-raid-402xxx", "■")</f>
        <v>■</v>
      </c>
      <c r="F14" s="14" t="s">
        <v>4196</v>
      </c>
      <c r="G14" s="14">
        <v>45742</v>
      </c>
      <c r="H14" s="14">
        <v>38032</v>
      </c>
      <c r="I14" s="14">
        <v>22</v>
      </c>
      <c r="J14" s="14" t="s">
        <v>16</v>
      </c>
      <c r="K14" s="14" t="s">
        <v>4197</v>
      </c>
      <c r="L14" s="14" t="s">
        <v>4198</v>
      </c>
      <c r="M14" s="14" t="s">
        <v>9158</v>
      </c>
      <c r="N14" s="14" t="s">
        <v>9158</v>
      </c>
      <c r="O14" s="14" t="s">
        <v>9158</v>
      </c>
      <c r="P14" s="14" t="s">
        <v>9158</v>
      </c>
      <c r="Q14" s="14" t="s">
        <v>9158</v>
      </c>
      <c r="R14" s="14"/>
    </row>
    <row r="15" spans="1:19">
      <c r="A15" s="9">
        <v>80653</v>
      </c>
      <c r="B15" s="14" t="s">
        <v>372</v>
      </c>
      <c r="C15" s="14" t="s">
        <v>4168</v>
      </c>
      <c r="D15" s="14" t="s">
        <v>4167</v>
      </c>
      <c r="E15" s="15" t="str">
        <f>HYPERLINK("https://stat100.ameba.jp/tnk47/ratio20/illustrations/card/ill_80653_sagaehinamatsuri03.jpg?201904-1-RELEASE-raid-402xxx", "■")</f>
        <v>■</v>
      </c>
      <c r="F15" s="14" t="s">
        <v>4201</v>
      </c>
      <c r="G15" s="14">
        <v>23258</v>
      </c>
      <c r="H15" s="14">
        <v>27692</v>
      </c>
      <c r="I15" s="14">
        <v>22</v>
      </c>
      <c r="J15" s="14" t="s">
        <v>155</v>
      </c>
      <c r="K15" s="14" t="s">
        <v>4202</v>
      </c>
      <c r="L15" s="14" t="s">
        <v>4204</v>
      </c>
      <c r="M15" s="14" t="s">
        <v>9158</v>
      </c>
      <c r="N15" s="14" t="s">
        <v>9158</v>
      </c>
      <c r="O15" s="14" t="s">
        <v>9158</v>
      </c>
      <c r="P15" s="14" t="s">
        <v>9158</v>
      </c>
      <c r="Q15" s="14" t="s">
        <v>9158</v>
      </c>
      <c r="R15" s="14"/>
    </row>
    <row r="16" spans="1:19">
      <c r="A16" s="9">
        <v>80663</v>
      </c>
      <c r="B16" s="14" t="s">
        <v>372</v>
      </c>
      <c r="C16" s="14" t="s">
        <v>4170</v>
      </c>
      <c r="D16" s="14" t="s">
        <v>4169</v>
      </c>
      <c r="E16" s="15" t="str">
        <f>HYPERLINK("https://stat100.ameba.jp/tnk47/ratio20/illustrations/card/ill_80663_himejijoukanoukai_ohanamidaiko03.jpg?201904-1-RELEASE-raid-402xxx", "■")</f>
        <v>■</v>
      </c>
      <c r="F16" s="14" t="s">
        <v>4199</v>
      </c>
      <c r="G16" s="14">
        <v>27692</v>
      </c>
      <c r="H16" s="14">
        <v>23258</v>
      </c>
      <c r="I16" s="14">
        <v>22</v>
      </c>
      <c r="J16" s="14" t="s">
        <v>229</v>
      </c>
      <c r="K16" s="14" t="s">
        <v>4200</v>
      </c>
      <c r="L16" s="14" t="s">
        <v>4205</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13347</v>
      </c>
      <c r="D18" s="14"/>
      <c r="F18" s="14"/>
      <c r="G18" s="14"/>
      <c r="H18" s="14"/>
      <c r="I18" s="14"/>
      <c r="J18" s="14"/>
      <c r="K18" s="14"/>
      <c r="L18" s="14"/>
      <c r="M18" s="14"/>
      <c r="N18" s="14"/>
      <c r="P18" s="14"/>
      <c r="Q18" s="14"/>
      <c r="R18" s="14"/>
    </row>
    <row r="19" spans="1:18">
      <c r="A19" s="14" t="s">
        <v>4203</v>
      </c>
      <c r="B19" s="14"/>
      <c r="C19" s="14"/>
      <c r="D19" s="14"/>
      <c r="F19" s="14"/>
      <c r="G19" s="14"/>
      <c r="H19" s="14"/>
      <c r="I19" s="14"/>
      <c r="J19" s="14"/>
      <c r="K19" s="14"/>
      <c r="L19" s="14"/>
      <c r="M19" s="14"/>
      <c r="N19" s="14"/>
      <c r="P19" s="14"/>
      <c r="Q19" s="14"/>
      <c r="R19" s="14"/>
    </row>
    <row r="20" spans="1:18">
      <c r="A20" s="9">
        <v>80715</v>
      </c>
      <c r="B20" s="14" t="s">
        <v>334</v>
      </c>
      <c r="C20" s="14" t="s">
        <v>35</v>
      </c>
      <c r="D20" s="14" t="s">
        <v>4206</v>
      </c>
      <c r="E20" s="15" t="str">
        <f>HYPERLINK("https://stat100.ameba.jp/tnk47/ratio20/illustrations/card/ill_80715_gyaruchikaramochiyurei05.jpg?201904-1-RELEASE-raid-402xxx", "■")</f>
        <v>■</v>
      </c>
      <c r="F20" s="14" t="s">
        <v>4207</v>
      </c>
      <c r="G20" s="14">
        <v>68444</v>
      </c>
      <c r="H20" s="14">
        <v>50276</v>
      </c>
      <c r="I20" s="14">
        <v>22</v>
      </c>
      <c r="J20" s="14" t="s">
        <v>73</v>
      </c>
      <c r="K20" s="14" t="s">
        <v>4208</v>
      </c>
      <c r="L20" s="14" t="s">
        <v>4209</v>
      </c>
      <c r="M20" s="14" t="s">
        <v>9158</v>
      </c>
      <c r="N20" s="14" t="s">
        <v>9158</v>
      </c>
      <c r="O20" s="14" t="s">
        <v>9158</v>
      </c>
      <c r="P20" s="14" t="s">
        <v>9158</v>
      </c>
      <c r="Q20" s="14" t="s">
        <v>9158</v>
      </c>
      <c r="R20" s="14" t="s">
        <v>174</v>
      </c>
    </row>
    <row r="21" spans="1:18">
      <c r="A21" s="9">
        <v>80713</v>
      </c>
      <c r="B21" s="14" t="s">
        <v>15</v>
      </c>
      <c r="C21" s="14" t="s">
        <v>209</v>
      </c>
      <c r="D21" s="14" t="s">
        <v>4206</v>
      </c>
      <c r="E21" s="15" t="str">
        <f>HYPERLINK("https://stat100.ameba.jp/tnk47/ratio20/illustrations/card/ill_80713_gyaruchikaramochiyurei03.jpg?201904-1-RELEASE-raid-402xxx", "■")</f>
        <v>■</v>
      </c>
      <c r="F21" s="14" t="s">
        <v>4207</v>
      </c>
      <c r="G21" s="14">
        <v>53966</v>
      </c>
      <c r="H21" s="14">
        <v>39204</v>
      </c>
      <c r="I21" s="14">
        <v>22</v>
      </c>
      <c r="J21" s="14" t="s">
        <v>73</v>
      </c>
      <c r="K21" s="14" t="s">
        <v>4208</v>
      </c>
      <c r="L21" s="14" t="s">
        <v>2150</v>
      </c>
      <c r="M21" s="14" t="s">
        <v>9158</v>
      </c>
      <c r="N21" s="14" t="s">
        <v>9158</v>
      </c>
      <c r="O21" s="14" t="s">
        <v>9158</v>
      </c>
      <c r="P21" s="14" t="s">
        <v>9158</v>
      </c>
      <c r="Q21" s="14" t="s">
        <v>9158</v>
      </c>
      <c r="R21" s="14" t="s">
        <v>175</v>
      </c>
    </row>
    <row r="22" spans="1:18">
      <c r="A22" s="9">
        <v>80711</v>
      </c>
      <c r="B22" s="14" t="s">
        <v>15</v>
      </c>
      <c r="C22" s="14" t="s">
        <v>209</v>
      </c>
      <c r="D22" s="14" t="s">
        <v>4206</v>
      </c>
      <c r="E22" s="15" t="str">
        <f>HYPERLINK("https://stat100.ameba.jp/tnk47/ratio20/illustrations/card/ill_80711_gyaruchikaramochiyurei01.jpg?201904-1-RELEASE-raid-402xxx", "■")</f>
        <v>■</v>
      </c>
      <c r="F22" s="14" t="s">
        <v>4207</v>
      </c>
      <c r="G22" s="14">
        <v>39600</v>
      </c>
      <c r="H22" s="14">
        <v>28600</v>
      </c>
      <c r="I22" s="14">
        <v>22</v>
      </c>
      <c r="J22" s="14" t="s">
        <v>73</v>
      </c>
      <c r="K22" s="14" t="s">
        <v>4208</v>
      </c>
      <c r="L22" s="14" t="s">
        <v>4210</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3785</v>
      </c>
      <c r="D24" s="14"/>
      <c r="F24" s="14"/>
      <c r="G24" s="14"/>
      <c r="H24" s="14"/>
      <c r="I24" s="14"/>
      <c r="J24" s="14"/>
      <c r="K24" s="14"/>
      <c r="L24" s="14"/>
      <c r="M24" s="14"/>
      <c r="N24" s="14"/>
      <c r="P24" s="14"/>
      <c r="Q24" s="14"/>
      <c r="R24" s="14"/>
    </row>
    <row r="25" spans="1:18">
      <c r="A25" s="14" t="s">
        <v>4214</v>
      </c>
      <c r="B25" s="14"/>
      <c r="C25" s="14"/>
      <c r="D25" s="14"/>
      <c r="F25" s="14"/>
      <c r="G25" s="14"/>
      <c r="H25" s="14"/>
      <c r="I25" s="14"/>
      <c r="J25" s="14"/>
      <c r="K25" s="14"/>
      <c r="L25" s="14"/>
      <c r="M25" s="14"/>
      <c r="N25" s="14"/>
      <c r="P25" s="14"/>
      <c r="Q25" s="14"/>
      <c r="R25" s="14"/>
    </row>
    <row r="26" spans="1:18">
      <c r="A26" s="9" t="s">
        <v>5622</v>
      </c>
      <c r="B26" s="14" t="s">
        <v>330</v>
      </c>
      <c r="C26" s="14" t="s">
        <v>335</v>
      </c>
      <c r="D26" s="14" t="s">
        <v>509</v>
      </c>
      <c r="E26" s="15" t="str">
        <f>HYPERLINK("https://stat100.ameba.jp/tnk47/ratio20/illustrations/card/ill_49953_0_yushamarihime03.jpg?201904-1-RELEASE-raid-402xxx", "■")</f>
        <v>■</v>
      </c>
      <c r="F26" s="14" t="s">
        <v>510</v>
      </c>
      <c r="G26" s="14">
        <v>94236</v>
      </c>
      <c r="H26" s="14">
        <v>83712</v>
      </c>
      <c r="I26" s="14">
        <v>15</v>
      </c>
      <c r="J26" s="14" t="s">
        <v>315</v>
      </c>
      <c r="K26" s="14" t="s">
        <v>511</v>
      </c>
      <c r="L26" s="14" t="s">
        <v>512</v>
      </c>
      <c r="M26" s="14" t="s">
        <v>9158</v>
      </c>
      <c r="N26" s="14" t="s">
        <v>9158</v>
      </c>
      <c r="O26" s="14" t="s">
        <v>9158</v>
      </c>
      <c r="P26" s="14" t="s">
        <v>9158</v>
      </c>
      <c r="Q26" s="14" t="s">
        <v>9158</v>
      </c>
      <c r="R26" s="14"/>
    </row>
    <row r="27" spans="1:18">
      <c r="A27" s="9" t="s">
        <v>5787</v>
      </c>
      <c r="B27" s="14" t="s">
        <v>330</v>
      </c>
      <c r="C27" s="14" t="s">
        <v>270</v>
      </c>
      <c r="D27" s="14" t="s">
        <v>331</v>
      </c>
      <c r="E27" s="15" t="str">
        <f>HYPERLINK("https://stat100.ameba.jp/tnk47/ratio20/illustrations/card/ill_76303_0_haroinkaguya03.jpg?201904-1-RELEASE-raid-402xxx", "■")</f>
        <v>■</v>
      </c>
      <c r="F27" s="14" t="s">
        <v>332</v>
      </c>
      <c r="G27" s="14">
        <v>178507</v>
      </c>
      <c r="H27" s="14">
        <v>165953</v>
      </c>
      <c r="I27" s="14">
        <v>15</v>
      </c>
      <c r="J27" s="14" t="s">
        <v>274</v>
      </c>
      <c r="K27" s="14" t="s">
        <v>333</v>
      </c>
      <c r="L27" s="14" t="s">
        <v>276</v>
      </c>
      <c r="M27" s="14" t="s">
        <v>9158</v>
      </c>
      <c r="N27" s="14" t="s">
        <v>9158</v>
      </c>
      <c r="O27" s="9" t="s">
        <v>2723</v>
      </c>
      <c r="P27" s="14" t="s">
        <v>2724</v>
      </c>
      <c r="Q27" s="14">
        <v>1</v>
      </c>
      <c r="R27" s="14"/>
    </row>
    <row r="28" spans="1:18">
      <c r="A28" s="9" t="s">
        <v>5820</v>
      </c>
      <c r="B28" s="14" t="s">
        <v>330</v>
      </c>
      <c r="C28" s="14" t="s">
        <v>271</v>
      </c>
      <c r="D28" s="14" t="s">
        <v>2346</v>
      </c>
      <c r="E28" s="15" t="str">
        <f>HYPERLINK("https://stat100.ameba.jp/tnk47/ratio20/illustrations/card/ill_48283_0_kyuubitamamonomae03.jpg?201904-1-RELEASE-raid-402xxx", "■")</f>
        <v>■</v>
      </c>
      <c r="F28" s="14" t="s">
        <v>631</v>
      </c>
      <c r="G28" s="14">
        <v>94236</v>
      </c>
      <c r="H28" s="14">
        <v>83712</v>
      </c>
      <c r="I28" s="14">
        <v>15</v>
      </c>
      <c r="J28" s="14" t="s">
        <v>320</v>
      </c>
      <c r="K28" s="14" t="s">
        <v>632</v>
      </c>
      <c r="L28" s="14" t="s">
        <v>633</v>
      </c>
      <c r="M28" s="14" t="s">
        <v>9158</v>
      </c>
      <c r="N28" s="14" t="s">
        <v>9158</v>
      </c>
      <c r="O28" s="14" t="s">
        <v>9158</v>
      </c>
      <c r="P28" s="14" t="s">
        <v>9158</v>
      </c>
      <c r="Q28" s="14" t="s">
        <v>9158</v>
      </c>
      <c r="R28" s="14"/>
    </row>
    <row r="29" spans="1:18">
      <c r="A29" s="9">
        <v>69943</v>
      </c>
      <c r="B29" s="14" t="s">
        <v>334</v>
      </c>
      <c r="C29" s="14" t="s">
        <v>165</v>
      </c>
      <c r="D29" s="14" t="s">
        <v>1886</v>
      </c>
      <c r="E29" s="15" t="str">
        <f>HYPERLINK("https://stat100.ameba.jp/tnk47/ratio20/illustrations/card/ill_69943_hanzaiopakabaro03.jpg?201904-1-RELEASE-raid-402xxx", "■")</f>
        <v>■</v>
      </c>
      <c r="F29" s="14" t="s">
        <v>1887</v>
      </c>
      <c r="G29" s="14">
        <v>110924</v>
      </c>
      <c r="H29" s="14">
        <v>62414</v>
      </c>
      <c r="I29" s="14">
        <v>23</v>
      </c>
      <c r="J29" s="14" t="s">
        <v>16</v>
      </c>
      <c r="K29" s="14" t="s">
        <v>1888</v>
      </c>
      <c r="L29" s="14" t="s">
        <v>1889</v>
      </c>
      <c r="M29" s="14" t="s">
        <v>9158</v>
      </c>
      <c r="N29" s="14" t="s">
        <v>9158</v>
      </c>
      <c r="O29" s="14" t="s">
        <v>9158</v>
      </c>
      <c r="P29" s="14" t="s">
        <v>9158</v>
      </c>
      <c r="Q29" s="14" t="s">
        <v>9158</v>
      </c>
      <c r="R29" s="14"/>
    </row>
    <row r="30" spans="1:18">
      <c r="A30" s="9">
        <v>67523</v>
      </c>
      <c r="B30" s="14" t="s">
        <v>334</v>
      </c>
      <c r="C30" s="14" t="s">
        <v>200</v>
      </c>
      <c r="D30" s="14" t="s">
        <v>5637</v>
      </c>
      <c r="E30" s="15" t="str">
        <f>HYPERLINK("https://stat100.ameba.jp/tnk47/ratio20/illustrations/card/ill_67523_shirazuyawatanomori03.jpg?201904-1-RELEASE-raid-402xxx", "■")</f>
        <v>■</v>
      </c>
      <c r="F30" s="14" t="s">
        <v>2601</v>
      </c>
      <c r="G30" s="14">
        <v>129501</v>
      </c>
      <c r="H30" s="14">
        <v>72883</v>
      </c>
      <c r="I30" s="14">
        <v>23</v>
      </c>
      <c r="J30" s="14" t="s">
        <v>274</v>
      </c>
      <c r="K30" s="14" t="s">
        <v>1415</v>
      </c>
      <c r="L30" s="14" t="s">
        <v>1416</v>
      </c>
      <c r="M30" s="14" t="s">
        <v>9158</v>
      </c>
      <c r="N30" s="14" t="s">
        <v>9158</v>
      </c>
      <c r="O30" s="14" t="s">
        <v>9158</v>
      </c>
      <c r="P30" s="14" t="s">
        <v>9158</v>
      </c>
      <c r="Q30" s="14" t="s">
        <v>9158</v>
      </c>
      <c r="R30" s="14"/>
    </row>
    <row r="31" spans="1:18">
      <c r="A31" s="9">
        <v>71473</v>
      </c>
      <c r="B31" s="14" t="s">
        <v>334</v>
      </c>
      <c r="C31" s="14" t="s">
        <v>1</v>
      </c>
      <c r="D31" s="14" t="s">
        <v>4211</v>
      </c>
      <c r="E31" s="15" t="str">
        <f>HYPERLINK("https://stat100.ameba.jp/tnk47/ratio20/illustrations/card/ill_71473_nyugakushikishirubaakusechan03.jpg?201904-1-RELEASE-raid-402xxx", "■")</f>
        <v>■</v>
      </c>
      <c r="F31" s="14" t="s">
        <v>4212</v>
      </c>
      <c r="G31" s="14">
        <v>104778</v>
      </c>
      <c r="H31" s="14">
        <v>97420</v>
      </c>
      <c r="I31" s="14">
        <v>23</v>
      </c>
      <c r="J31" s="14" t="s">
        <v>26</v>
      </c>
      <c r="K31" s="14" t="s">
        <v>4213</v>
      </c>
      <c r="L31" s="14" t="s">
        <v>2181</v>
      </c>
      <c r="M31" s="14" t="s">
        <v>9158</v>
      </c>
      <c r="N31" s="14" t="s">
        <v>9158</v>
      </c>
      <c r="O31" s="14" t="s">
        <v>9158</v>
      </c>
      <c r="P31" s="14" t="s">
        <v>9158</v>
      </c>
      <c r="Q31" s="14" t="s">
        <v>9158</v>
      </c>
      <c r="R31" s="14"/>
    </row>
    <row r="32" spans="1:18">
      <c r="B32" s="14"/>
      <c r="C32" s="14"/>
      <c r="D32" s="14"/>
      <c r="F32" s="14"/>
      <c r="G32" s="14"/>
      <c r="H32" s="14"/>
      <c r="I32" s="14"/>
      <c r="J32" s="14"/>
      <c r="K32" s="14"/>
      <c r="L32" s="14"/>
      <c r="M32" s="14"/>
      <c r="N32" s="14"/>
      <c r="P32" s="14"/>
      <c r="Q32" s="14"/>
      <c r="R32" s="14"/>
    </row>
    <row r="33" spans="1:18">
      <c r="A33" s="14" t="s">
        <v>4065</v>
      </c>
      <c r="D33" s="14"/>
      <c r="F33" s="14"/>
      <c r="G33" s="14"/>
      <c r="H33" s="14"/>
      <c r="I33" s="14"/>
      <c r="J33" s="14"/>
      <c r="K33" s="14"/>
      <c r="L33" s="14"/>
      <c r="M33" s="14"/>
      <c r="N33" s="14"/>
      <c r="P33" s="14"/>
      <c r="Q33" s="14"/>
      <c r="R33" s="14"/>
    </row>
    <row r="34" spans="1:18">
      <c r="A34" s="14" t="s">
        <v>4216</v>
      </c>
      <c r="B34" s="14"/>
      <c r="C34" s="14"/>
      <c r="D34" s="14"/>
      <c r="F34" s="14"/>
      <c r="G34" s="14"/>
      <c r="H34" s="14"/>
      <c r="I34" s="14"/>
      <c r="J34" s="14"/>
      <c r="K34" s="14"/>
      <c r="L34" s="14"/>
      <c r="M34" s="14"/>
      <c r="N34" s="14"/>
      <c r="P34" s="14"/>
      <c r="Q34" s="14"/>
      <c r="R34" s="14"/>
    </row>
    <row r="35" spans="1:18">
      <c r="A35" s="9" t="s">
        <v>5848</v>
      </c>
      <c r="B35" s="14" t="s">
        <v>52</v>
      </c>
      <c r="C35" s="14" t="s">
        <v>200</v>
      </c>
      <c r="D35" s="14" t="s">
        <v>1138</v>
      </c>
      <c r="E35" s="15" t="str">
        <f>HYPERLINK("https://stat100.ameba.jp/tnk47/ratio20/illustrations/card/ill_72963_0_amenohanayomehiguchiichiyo03.jpg?201904-2-RELEASE-unionbattle-403", "■")</f>
        <v>■</v>
      </c>
      <c r="F35" s="14" t="s">
        <v>1139</v>
      </c>
      <c r="G35" s="14">
        <v>160804</v>
      </c>
      <c r="H35" s="14">
        <v>149520</v>
      </c>
      <c r="I35" s="14">
        <v>24</v>
      </c>
      <c r="J35" s="14" t="s">
        <v>10</v>
      </c>
      <c r="K35" s="14" t="s">
        <v>1140</v>
      </c>
      <c r="L35" s="14" t="s">
        <v>1141</v>
      </c>
      <c r="M35" s="14" t="s">
        <v>9158</v>
      </c>
      <c r="N35" s="14" t="s">
        <v>9158</v>
      </c>
      <c r="O35" s="9" t="s">
        <v>3409</v>
      </c>
      <c r="P35" s="14" t="s">
        <v>3410</v>
      </c>
      <c r="Q35" s="14">
        <v>1</v>
      </c>
      <c r="R35" s="14"/>
    </row>
    <row r="36" spans="1:18">
      <c r="A36" s="9">
        <v>59613</v>
      </c>
      <c r="B36" s="14" t="s">
        <v>0</v>
      </c>
      <c r="C36" s="14" t="s">
        <v>185</v>
      </c>
      <c r="D36" s="14" t="s">
        <v>2292</v>
      </c>
      <c r="E36" s="15" t="str">
        <f>HYPERLINK("https://stat100.ameba.jp/tnk47/ratio20/illustrations/card/ill_59613_oheyadaria03.jpg?201904-2-RELEASE-unionbattle-403", "■")</f>
        <v>■</v>
      </c>
      <c r="F36" s="14" t="s">
        <v>2293</v>
      </c>
      <c r="G36" s="14">
        <v>93514</v>
      </c>
      <c r="H36" s="14">
        <v>86934</v>
      </c>
      <c r="I36" s="14">
        <v>22</v>
      </c>
      <c r="J36" s="14" t="s">
        <v>26</v>
      </c>
      <c r="K36" s="14" t="s">
        <v>2294</v>
      </c>
      <c r="L36" s="14" t="s">
        <v>2295</v>
      </c>
      <c r="M36" s="14" t="s">
        <v>9158</v>
      </c>
      <c r="N36" s="14" t="s">
        <v>9158</v>
      </c>
      <c r="O36" s="9" t="s">
        <v>3609</v>
      </c>
      <c r="P36" s="14" t="s">
        <v>3610</v>
      </c>
      <c r="Q36" s="14">
        <v>1</v>
      </c>
      <c r="R36" s="14"/>
    </row>
    <row r="37" spans="1:18">
      <c r="A37" s="9">
        <v>70363</v>
      </c>
      <c r="B37" s="14" t="s">
        <v>334</v>
      </c>
      <c r="C37" s="14" t="s">
        <v>209</v>
      </c>
      <c r="D37" s="14" t="s">
        <v>2501</v>
      </c>
      <c r="E37" s="15" t="str">
        <f>HYPERLINK("https://stat100.ameba.jp/tnk47/ratio20/illustrations/card/ill_70363_hokushimmyokembosatsu03.jpg?201904-2-RELEASE-unionbattle-403", "■")</f>
        <v>■</v>
      </c>
      <c r="F37" s="14" t="s">
        <v>2502</v>
      </c>
      <c r="G37" s="14">
        <v>146368</v>
      </c>
      <c r="H37" s="14">
        <v>106018</v>
      </c>
      <c r="I37" s="14">
        <v>22</v>
      </c>
      <c r="J37" s="14" t="s">
        <v>44</v>
      </c>
      <c r="K37" s="14" t="s">
        <v>2503</v>
      </c>
      <c r="L37" s="14" t="s">
        <v>2504</v>
      </c>
      <c r="M37" s="14" t="s">
        <v>9158</v>
      </c>
      <c r="N37" s="14" t="s">
        <v>9158</v>
      </c>
      <c r="O37" s="9" t="s">
        <v>3657</v>
      </c>
      <c r="P37" s="14" t="s">
        <v>3658</v>
      </c>
      <c r="Q37" s="14">
        <v>1</v>
      </c>
      <c r="R37" s="14"/>
    </row>
    <row r="38" spans="1:18">
      <c r="A38" s="9">
        <v>73893</v>
      </c>
      <c r="B38" s="14" t="s">
        <v>0</v>
      </c>
      <c r="C38" s="14" t="s">
        <v>158</v>
      </c>
      <c r="D38" s="14" t="s">
        <v>2061</v>
      </c>
      <c r="E38" s="15" t="str">
        <f>HYPERLINK("https://stat100.ameba.jp/tnk47/ratio20/illustrations/card/ill_73893_kurohachidaimyojintookami03.jpg?201904-2-RELEASE-unionbattle-403", "■")</f>
        <v>■</v>
      </c>
      <c r="F38" s="14" t="s">
        <v>2062</v>
      </c>
      <c r="G38" s="14">
        <v>112270</v>
      </c>
      <c r="H38" s="14">
        <v>81314</v>
      </c>
      <c r="I38" s="14">
        <v>22</v>
      </c>
      <c r="J38" s="14" t="s">
        <v>38</v>
      </c>
      <c r="K38" s="14" t="s">
        <v>2063</v>
      </c>
      <c r="L38" s="14" t="s">
        <v>68</v>
      </c>
      <c r="M38" s="14" t="s">
        <v>9158</v>
      </c>
      <c r="N38" s="14" t="s">
        <v>9158</v>
      </c>
      <c r="O38" s="9" t="s">
        <v>3809</v>
      </c>
      <c r="P38" s="14" t="s">
        <v>3810</v>
      </c>
      <c r="Q38" s="14">
        <v>1</v>
      </c>
      <c r="R38" s="14"/>
    </row>
    <row r="39" spans="1:18">
      <c r="B39" s="14"/>
      <c r="C39" s="14"/>
      <c r="D39" s="14"/>
      <c r="F39" s="14"/>
      <c r="G39" s="14"/>
      <c r="H39" s="14"/>
      <c r="I39" s="14"/>
      <c r="J39" s="14"/>
      <c r="K39" s="14"/>
      <c r="L39" s="14"/>
      <c r="M39" s="14"/>
      <c r="N39" s="14"/>
      <c r="P39" s="14"/>
      <c r="Q39" s="14"/>
      <c r="R39" s="14"/>
    </row>
    <row r="40" spans="1:18">
      <c r="A40" s="14" t="s">
        <v>13327</v>
      </c>
      <c r="D40" s="14"/>
      <c r="F40" s="14"/>
      <c r="G40" s="14"/>
      <c r="H40" s="14"/>
      <c r="I40" s="14"/>
      <c r="J40" s="14"/>
      <c r="K40" s="14"/>
      <c r="L40" s="14"/>
      <c r="M40" s="14"/>
      <c r="N40" s="14"/>
      <c r="P40" s="14"/>
      <c r="Q40" s="14"/>
      <c r="R40" s="14"/>
    </row>
    <row r="41" spans="1:18">
      <c r="A41" s="14" t="s">
        <v>4215</v>
      </c>
      <c r="B41" s="14"/>
      <c r="C41" s="14"/>
      <c r="D41" s="14"/>
      <c r="F41" s="14"/>
      <c r="G41" s="14"/>
      <c r="H41" s="14"/>
      <c r="I41" s="14"/>
      <c r="J41" s="14"/>
      <c r="K41" s="14"/>
      <c r="L41" s="14"/>
      <c r="M41" s="14"/>
      <c r="N41" s="14"/>
      <c r="P41" s="14"/>
      <c r="Q41" s="14"/>
      <c r="R41" s="14"/>
    </row>
    <row r="42" spans="1:18">
      <c r="A42" s="9">
        <v>75113</v>
      </c>
      <c r="B42" s="14" t="s">
        <v>334</v>
      </c>
      <c r="C42" s="14" t="s">
        <v>335</v>
      </c>
      <c r="D42" s="14" t="s">
        <v>448</v>
      </c>
      <c r="E42" s="15" t="str">
        <f>HYPERLINK("https://stat100.ameba.jp/tnk47/ratio20/illustrations/card/ill_75113_hatahata03.jpg?201904-2-RELEASE-unionbattle-403", "■")</f>
        <v>■</v>
      </c>
      <c r="F42" s="14" t="s">
        <v>449</v>
      </c>
      <c r="G42" s="14">
        <v>113230</v>
      </c>
      <c r="H42" s="14">
        <v>105275</v>
      </c>
      <c r="I42" s="14">
        <v>23</v>
      </c>
      <c r="J42" s="14" t="s">
        <v>283</v>
      </c>
      <c r="K42" s="14" t="s">
        <v>450</v>
      </c>
      <c r="L42" s="14" t="s">
        <v>13129</v>
      </c>
      <c r="M42" s="14" t="s">
        <v>13130</v>
      </c>
      <c r="N42" s="14" t="s">
        <v>343</v>
      </c>
      <c r="O42" s="14" t="s">
        <v>9158</v>
      </c>
      <c r="P42" s="14" t="s">
        <v>9158</v>
      </c>
      <c r="Q42" s="14" t="s">
        <v>9158</v>
      </c>
      <c r="R42" s="14" t="s">
        <v>14748</v>
      </c>
    </row>
    <row r="43" spans="1:18">
      <c r="A43" s="9">
        <v>75112</v>
      </c>
      <c r="B43" s="14" t="s">
        <v>334</v>
      </c>
      <c r="C43" s="14" t="s">
        <v>335</v>
      </c>
      <c r="D43" s="14" t="s">
        <v>448</v>
      </c>
      <c r="E43" s="15" t="str">
        <f>HYPERLINK("https://stat100.ameba.jp/tnk47/ratio20/illustrations/card/ill_75112_hatahata02.jpg?201904-2-RELEASE-unionbattle-403", "■")</f>
        <v>■</v>
      </c>
      <c r="F43" s="14" t="s">
        <v>449</v>
      </c>
      <c r="G43" s="14">
        <v>94653</v>
      </c>
      <c r="H43" s="14">
        <v>87192</v>
      </c>
      <c r="I43" s="14">
        <v>23</v>
      </c>
      <c r="J43" s="14" t="s">
        <v>283</v>
      </c>
      <c r="K43" s="14" t="s">
        <v>450</v>
      </c>
      <c r="L43" s="14" t="s">
        <v>13129</v>
      </c>
      <c r="M43" s="14" t="s">
        <v>13131</v>
      </c>
      <c r="N43" s="14" t="s">
        <v>251</v>
      </c>
      <c r="O43" s="14" t="s">
        <v>9158</v>
      </c>
      <c r="P43" s="14" t="s">
        <v>9158</v>
      </c>
      <c r="Q43" s="14" t="s">
        <v>9158</v>
      </c>
      <c r="R43" s="14" t="s">
        <v>14748</v>
      </c>
    </row>
    <row r="44" spans="1:18">
      <c r="A44" s="9">
        <v>75111</v>
      </c>
      <c r="B44" s="14" t="s">
        <v>334</v>
      </c>
      <c r="C44" s="14" t="s">
        <v>335</v>
      </c>
      <c r="D44" s="14" t="s">
        <v>448</v>
      </c>
      <c r="E44" s="15" t="str">
        <f>HYPERLINK("https://stat100.ameba.jp/tnk47/ratio20/illustrations/card/ill_75111_hatahata01.jpg?201904-2-RELEASE-unionbattle-403", "■")</f>
        <v>■</v>
      </c>
      <c r="F44" s="14" t="s">
        <v>449</v>
      </c>
      <c r="G44" s="14">
        <v>72266</v>
      </c>
      <c r="H44" s="14">
        <v>67275</v>
      </c>
      <c r="I44" s="14">
        <v>23</v>
      </c>
      <c r="J44" s="14" t="s">
        <v>283</v>
      </c>
      <c r="K44" s="14" t="s">
        <v>450</v>
      </c>
      <c r="L44" s="14" t="s">
        <v>13129</v>
      </c>
      <c r="M44" s="14" t="s">
        <v>13131</v>
      </c>
      <c r="N44" s="14" t="s">
        <v>251</v>
      </c>
      <c r="O44" s="14" t="s">
        <v>9158</v>
      </c>
      <c r="P44" s="14" t="s">
        <v>9158</v>
      </c>
      <c r="Q44" s="14" t="s">
        <v>9158</v>
      </c>
      <c r="R44" s="14" t="s">
        <v>14748</v>
      </c>
    </row>
    <row r="45" spans="1:18">
      <c r="A45" s="9">
        <v>75123</v>
      </c>
      <c r="B45" s="14" t="s">
        <v>334</v>
      </c>
      <c r="C45" s="14" t="s">
        <v>307</v>
      </c>
      <c r="D45" s="14" t="s">
        <v>451</v>
      </c>
      <c r="E45" s="15" t="str">
        <f>HYPERLINK("https://stat100.ameba.jp/tnk47/ratio20/illustrations/card/ill_75123_nankintamasudare03.jpg?201904-2-RELEASE-unionbattle-403", "■")</f>
        <v>■</v>
      </c>
      <c r="F45" s="14" t="s">
        <v>452</v>
      </c>
      <c r="G45" s="14">
        <v>105275</v>
      </c>
      <c r="H45" s="14">
        <v>113230</v>
      </c>
      <c r="I45" s="14">
        <v>23</v>
      </c>
      <c r="J45" s="14" t="s">
        <v>274</v>
      </c>
      <c r="K45" s="14" t="s">
        <v>453</v>
      </c>
      <c r="L45" s="14" t="s">
        <v>6711</v>
      </c>
      <c r="M45" s="14" t="s">
        <v>13130</v>
      </c>
      <c r="N45" s="14" t="s">
        <v>343</v>
      </c>
      <c r="O45" s="14" t="s">
        <v>9158</v>
      </c>
      <c r="P45" s="14" t="s">
        <v>9158</v>
      </c>
      <c r="Q45" s="14" t="s">
        <v>9158</v>
      </c>
      <c r="R45" s="14" t="s">
        <v>14748</v>
      </c>
    </row>
    <row r="46" spans="1:18">
      <c r="A46" s="9">
        <v>76013</v>
      </c>
      <c r="B46" s="14" t="s">
        <v>334</v>
      </c>
      <c r="C46" s="14" t="s">
        <v>344</v>
      </c>
      <c r="D46" s="14" t="s">
        <v>454</v>
      </c>
      <c r="E46" s="15" t="str">
        <f>HYPERLINK("https://stat100.ameba.jp/tnk47/ratio20/illustrations/card/ill_76013_miyakojima03.jpg?201904-2-RELEASE-unionbattle-403", "■")</f>
        <v>■</v>
      </c>
      <c r="F46" s="14" t="s">
        <v>455</v>
      </c>
      <c r="G46" s="14">
        <v>113230</v>
      </c>
      <c r="H46" s="14">
        <v>105275</v>
      </c>
      <c r="I46" s="14">
        <v>23</v>
      </c>
      <c r="J46" s="14" t="s">
        <v>369</v>
      </c>
      <c r="K46" s="14" t="s">
        <v>456</v>
      </c>
      <c r="L46" s="14" t="s">
        <v>6712</v>
      </c>
      <c r="M46" s="14" t="s">
        <v>13130</v>
      </c>
      <c r="N46" s="14" t="s">
        <v>343</v>
      </c>
      <c r="O46" s="14" t="s">
        <v>9158</v>
      </c>
      <c r="P46" s="14" t="s">
        <v>9158</v>
      </c>
      <c r="Q46" s="14" t="s">
        <v>9158</v>
      </c>
      <c r="R46" s="14" t="s">
        <v>14748</v>
      </c>
    </row>
    <row r="47" spans="1:18">
      <c r="A47" s="9">
        <v>74333</v>
      </c>
      <c r="B47" s="14" t="s">
        <v>334</v>
      </c>
      <c r="C47" s="14" t="s">
        <v>271</v>
      </c>
      <c r="D47" s="14" t="s">
        <v>457</v>
      </c>
      <c r="E47" s="15" t="str">
        <f>HYPERLINK("https://stat100.ameba.jp/tnk47/ratio20/illustrations/card/ill_74333_iizukaigashichi03.jpg?201904-2-RELEASE-unionbattle-403", "■")</f>
        <v>■</v>
      </c>
      <c r="F47" s="14" t="s">
        <v>458</v>
      </c>
      <c r="G47" s="14">
        <v>105275</v>
      </c>
      <c r="H47" s="14">
        <v>113230</v>
      </c>
      <c r="I47" s="14">
        <v>23</v>
      </c>
      <c r="J47" s="14" t="s">
        <v>414</v>
      </c>
      <c r="K47" s="14" t="s">
        <v>459</v>
      </c>
      <c r="L47" s="14" t="s">
        <v>6713</v>
      </c>
      <c r="M47" s="14" t="s">
        <v>13130</v>
      </c>
      <c r="N47" s="14" t="s">
        <v>343</v>
      </c>
      <c r="O47" s="14" t="s">
        <v>9158</v>
      </c>
      <c r="P47" s="14" t="s">
        <v>9158</v>
      </c>
      <c r="Q47" s="14" t="s">
        <v>9158</v>
      </c>
      <c r="R47" s="14" t="s">
        <v>14748</v>
      </c>
    </row>
    <row r="48" spans="1:18">
      <c r="A48" s="9">
        <v>74343</v>
      </c>
      <c r="B48" s="14" t="s">
        <v>334</v>
      </c>
      <c r="C48" s="14" t="s">
        <v>308</v>
      </c>
      <c r="D48" s="14" t="s">
        <v>460</v>
      </c>
      <c r="E48" s="15" t="str">
        <f>HYPERLINK("https://stat100.ameba.jp/tnk47/ratio20/illustrations/card/ill_74343_wadakoremasa03.jpg?201904-2-RELEASE-unionbattle-403", "■")</f>
        <v>■</v>
      </c>
      <c r="F48" s="14" t="s">
        <v>461</v>
      </c>
      <c r="G48" s="14">
        <v>105275</v>
      </c>
      <c r="H48" s="14">
        <v>113230</v>
      </c>
      <c r="I48" s="14">
        <v>23</v>
      </c>
      <c r="J48" s="14" t="s">
        <v>310</v>
      </c>
      <c r="K48" s="14" t="s">
        <v>462</v>
      </c>
      <c r="L48" s="14" t="s">
        <v>6714</v>
      </c>
      <c r="M48" s="14" t="s">
        <v>13130</v>
      </c>
      <c r="N48" s="14" t="s">
        <v>343</v>
      </c>
      <c r="O48" s="14" t="s">
        <v>9158</v>
      </c>
      <c r="P48" s="14" t="s">
        <v>9158</v>
      </c>
      <c r="Q48" s="14" t="s">
        <v>9158</v>
      </c>
      <c r="R48" s="14" t="s">
        <v>14748</v>
      </c>
    </row>
    <row r="49" spans="1:18">
      <c r="A49" s="9">
        <v>74353</v>
      </c>
      <c r="B49" s="14" t="s">
        <v>334</v>
      </c>
      <c r="C49" s="14" t="s">
        <v>267</v>
      </c>
      <c r="D49" s="14" t="s">
        <v>463</v>
      </c>
      <c r="E49" s="15" t="str">
        <f>HYPERLINK("https://stat100.ameba.jp/tnk47/ratio20/illustrations/card/ill_74353_takechizuizan03.jpg?201904-2-RELEASE-unionbattle-403", "■")</f>
        <v>■</v>
      </c>
      <c r="F49" s="14" t="s">
        <v>464</v>
      </c>
      <c r="G49" s="14">
        <v>113230</v>
      </c>
      <c r="H49" s="14">
        <v>105275</v>
      </c>
      <c r="I49" s="14">
        <v>23</v>
      </c>
      <c r="J49" s="14" t="s">
        <v>351</v>
      </c>
      <c r="K49" s="14" t="s">
        <v>465</v>
      </c>
      <c r="L49" s="14" t="s">
        <v>6715</v>
      </c>
      <c r="M49" s="14" t="s">
        <v>13130</v>
      </c>
      <c r="N49" s="14" t="s">
        <v>343</v>
      </c>
      <c r="O49" s="14" t="s">
        <v>9158</v>
      </c>
      <c r="P49" s="14" t="s">
        <v>9158</v>
      </c>
      <c r="Q49" s="14" t="s">
        <v>9158</v>
      </c>
      <c r="R49" s="14" t="s">
        <v>14748</v>
      </c>
    </row>
    <row r="50" spans="1:18">
      <c r="B50" s="14"/>
      <c r="C50" s="14"/>
      <c r="D50" s="14"/>
      <c r="F50" s="14"/>
      <c r="G50" s="14"/>
      <c r="H50" s="14"/>
      <c r="I50" s="14"/>
      <c r="J50" s="14"/>
      <c r="K50" s="14"/>
      <c r="L50" s="14"/>
      <c r="M50" s="14"/>
      <c r="N50" s="14"/>
      <c r="P50" s="14"/>
      <c r="Q50" s="14"/>
      <c r="R50" s="14"/>
    </row>
    <row r="51" spans="1:18">
      <c r="A51" s="14" t="s">
        <v>4217</v>
      </c>
      <c r="F51" s="14"/>
      <c r="G51" s="14"/>
      <c r="H51" s="14"/>
      <c r="I51" s="14"/>
      <c r="J51" s="14"/>
      <c r="K51" s="14"/>
      <c r="L51" s="14"/>
      <c r="M51" s="14"/>
      <c r="N51" s="14"/>
      <c r="P51" s="14"/>
      <c r="Q51" s="14"/>
      <c r="R51" s="14"/>
    </row>
    <row r="52" spans="1:18">
      <c r="A52" s="14" t="s">
        <v>4218</v>
      </c>
      <c r="C52" s="14"/>
      <c r="D52" s="14"/>
      <c r="F52" s="14"/>
      <c r="G52" s="14"/>
      <c r="H52" s="14"/>
      <c r="I52" s="14"/>
      <c r="J52" s="14"/>
      <c r="K52" s="14"/>
      <c r="L52" s="14"/>
      <c r="M52" s="14"/>
      <c r="N52" s="14"/>
      <c r="P52" s="14"/>
      <c r="Q52" s="14"/>
      <c r="R52" s="14"/>
    </row>
    <row r="53" spans="1:18">
      <c r="A53" s="14" t="s">
        <v>11484</v>
      </c>
      <c r="B53" s="14"/>
      <c r="C53" s="14"/>
      <c r="D53" s="14"/>
      <c r="F53" s="14"/>
      <c r="G53" s="14"/>
      <c r="H53" s="14"/>
      <c r="I53" s="14"/>
      <c r="J53" s="14"/>
      <c r="K53" s="14"/>
      <c r="L53" s="14"/>
      <c r="M53" s="14"/>
      <c r="N53" s="14"/>
      <c r="P53" s="14"/>
      <c r="Q53" s="14"/>
      <c r="R53" s="14"/>
    </row>
    <row r="54" spans="1:18">
      <c r="A54" s="9" t="s">
        <v>6905</v>
      </c>
      <c r="B54" s="14" t="s">
        <v>330</v>
      </c>
      <c r="C54" s="14" t="s">
        <v>35</v>
      </c>
      <c r="D54" s="14" t="s">
        <v>4161</v>
      </c>
      <c r="E54" s="15" t="str">
        <f>HYPERLINK("https://stat100.ameba.jp/tnk47/ratio20/illustrations/card/ill_80623_0_ohanamigurampingutominushihime03.jpg?201904-2-RELEASE-unionbattle-403", "■")</f>
        <v>■</v>
      </c>
      <c r="F54" s="14" t="s">
        <v>4162</v>
      </c>
      <c r="G54" s="14">
        <v>180796</v>
      </c>
      <c r="H54" s="14">
        <v>163420</v>
      </c>
      <c r="I54" s="14">
        <v>15</v>
      </c>
      <c r="J54" s="14" t="s">
        <v>44</v>
      </c>
      <c r="K54" s="14" t="s">
        <v>4163</v>
      </c>
      <c r="L54" s="14" t="s">
        <v>4164</v>
      </c>
      <c r="M54" s="14" t="s">
        <v>9158</v>
      </c>
      <c r="N54" s="14" t="s">
        <v>9158</v>
      </c>
      <c r="O54" s="9" t="s">
        <v>4165</v>
      </c>
      <c r="P54" s="14" t="s">
        <v>4166</v>
      </c>
      <c r="Q54" s="14">
        <v>1</v>
      </c>
      <c r="R54" s="14"/>
    </row>
    <row r="55" spans="1:18">
      <c r="A55" s="9">
        <v>80673</v>
      </c>
      <c r="B55" s="14" t="s">
        <v>0</v>
      </c>
      <c r="C55" s="14" t="s">
        <v>107</v>
      </c>
      <c r="D55" s="14" t="s">
        <v>4219</v>
      </c>
      <c r="E55" s="15" t="str">
        <f>HYPERLINK("https://stat100.ameba.jp/tnk47/ratio20/illustrations/card/ill_80673_banchoshishirianraisu03.jpg?201904-2-RELEASE-unionbattle-403", "■")</f>
        <v>■</v>
      </c>
      <c r="F55" s="14" t="s">
        <v>4220</v>
      </c>
      <c r="G55" s="14">
        <v>127130</v>
      </c>
      <c r="H55" s="14">
        <v>136729</v>
      </c>
      <c r="I55" s="14">
        <v>23</v>
      </c>
      <c r="J55" s="14" t="s">
        <v>104</v>
      </c>
      <c r="K55" s="14" t="s">
        <v>4221</v>
      </c>
      <c r="L55" s="14" t="s">
        <v>2304</v>
      </c>
      <c r="M55" s="14" t="s">
        <v>9158</v>
      </c>
      <c r="N55" s="14" t="s">
        <v>9158</v>
      </c>
      <c r="O55" s="14" t="s">
        <v>9158</v>
      </c>
      <c r="P55" s="14" t="s">
        <v>9158</v>
      </c>
      <c r="Q55" s="14" t="s">
        <v>9158</v>
      </c>
      <c r="R55" s="14"/>
    </row>
    <row r="56" spans="1:18">
      <c r="A56" s="9">
        <v>80683</v>
      </c>
      <c r="B56" s="14" t="s">
        <v>15</v>
      </c>
      <c r="C56" s="14" t="s">
        <v>101</v>
      </c>
      <c r="D56" s="14" t="s">
        <v>4222</v>
      </c>
      <c r="E56" s="15" t="str">
        <f>HYPERLINK("https://stat100.ameba.jp/tnk47/ratio20/illustrations/card/ill_80683_nyugakushikimaedatoshiie03.jpg?201904-2-RELEASE-unionbattle-403", "■")</f>
        <v>■</v>
      </c>
      <c r="F56" s="14" t="s">
        <v>4223</v>
      </c>
      <c r="G56" s="14">
        <v>65208</v>
      </c>
      <c r="H56" s="14">
        <v>59144</v>
      </c>
      <c r="I56" s="14">
        <v>22</v>
      </c>
      <c r="J56" s="14" t="s">
        <v>310</v>
      </c>
      <c r="K56" s="14" t="s">
        <v>4224</v>
      </c>
      <c r="L56" s="14" t="s">
        <v>3524</v>
      </c>
      <c r="M56" s="14" t="s">
        <v>9158</v>
      </c>
      <c r="N56" s="14" t="s">
        <v>9158</v>
      </c>
      <c r="O56" s="14" t="s">
        <v>9158</v>
      </c>
      <c r="P56" s="14" t="s">
        <v>9158</v>
      </c>
      <c r="Q56" s="14" t="s">
        <v>9158</v>
      </c>
      <c r="R56" s="14"/>
    </row>
    <row r="57" spans="1:18">
      <c r="A57" s="9">
        <v>80693</v>
      </c>
      <c r="B57" s="14" t="s">
        <v>22</v>
      </c>
      <c r="C57" s="14" t="s">
        <v>1</v>
      </c>
      <c r="D57" s="14" t="s">
        <v>4225</v>
      </c>
      <c r="E57" s="15" t="str">
        <f>HYPERLINK("https://stat100.ameba.jp/tnk47/ratio20/illustrations/card/ill_80693_bandoizumonookuni03.jpg?201904-2-RELEASE-unionbattle-403", "■")</f>
        <v>■</v>
      </c>
      <c r="F57" s="14" t="s">
        <v>4226</v>
      </c>
      <c r="G57" s="14">
        <v>36304</v>
      </c>
      <c r="H57" s="14">
        <v>43662</v>
      </c>
      <c r="I57" s="14">
        <v>21</v>
      </c>
      <c r="J57" s="14" t="s">
        <v>351</v>
      </c>
      <c r="K57" s="14" t="s">
        <v>4227</v>
      </c>
      <c r="L57" s="14" t="s">
        <v>4228</v>
      </c>
      <c r="M57" s="14" t="s">
        <v>9158</v>
      </c>
      <c r="N57" s="14" t="s">
        <v>9158</v>
      </c>
      <c r="O57" s="14" t="s">
        <v>9158</v>
      </c>
      <c r="P57" s="14" t="s">
        <v>9158</v>
      </c>
      <c r="Q57" s="14" t="s">
        <v>9158</v>
      </c>
      <c r="R57" s="14"/>
    </row>
    <row r="58" spans="1:18">
      <c r="A58" s="9">
        <v>80703</v>
      </c>
      <c r="B58" s="14" t="s">
        <v>30</v>
      </c>
      <c r="C58" s="14" t="s">
        <v>4230</v>
      </c>
      <c r="D58" s="14" t="s">
        <v>4229</v>
      </c>
      <c r="E58" s="15" t="str">
        <f>HYPERLINK("https://stat100.ameba.jp/tnk47/ratio20/illustrations/card/ill_80703_okosamaranchi03.jpg?201904-2-RELEASE-unionbattle-403", "■")</f>
        <v>■</v>
      </c>
      <c r="F58" s="14" t="s">
        <v>4231</v>
      </c>
      <c r="G58" s="14">
        <v>26434</v>
      </c>
      <c r="H58" s="14">
        <v>22200</v>
      </c>
      <c r="I58" s="14">
        <v>21</v>
      </c>
      <c r="J58" s="14" t="s">
        <v>283</v>
      </c>
      <c r="K58" s="14" t="s">
        <v>4232</v>
      </c>
      <c r="L58" s="14" t="s">
        <v>4233</v>
      </c>
      <c r="M58" s="14" t="s">
        <v>9158</v>
      </c>
      <c r="N58" s="14" t="s">
        <v>9158</v>
      </c>
      <c r="O58" s="14" t="s">
        <v>9158</v>
      </c>
      <c r="P58" s="14" t="s">
        <v>9158</v>
      </c>
      <c r="Q58" s="14" t="s">
        <v>9158</v>
      </c>
      <c r="R58" s="14"/>
    </row>
    <row r="59" spans="1:18">
      <c r="B59" s="14"/>
      <c r="C59" s="14"/>
      <c r="D59" s="14"/>
      <c r="F59" s="14"/>
      <c r="G59" s="14"/>
      <c r="H59" s="14"/>
      <c r="I59" s="14"/>
      <c r="J59" s="14"/>
      <c r="K59" s="14"/>
      <c r="L59" s="14"/>
      <c r="M59" s="14"/>
      <c r="N59" s="14"/>
      <c r="P59" s="14"/>
      <c r="Q59" s="14"/>
      <c r="R59" s="14"/>
    </row>
    <row r="60" spans="1:18">
      <c r="A60" s="14" t="s">
        <v>3795</v>
      </c>
      <c r="D60" s="14"/>
      <c r="F60" s="14"/>
      <c r="G60" s="14"/>
      <c r="H60" s="14"/>
      <c r="I60" s="14"/>
      <c r="J60" s="14"/>
      <c r="K60" s="14"/>
      <c r="L60" s="14"/>
      <c r="M60" s="14"/>
      <c r="N60" s="14"/>
      <c r="P60" s="14"/>
      <c r="Q60" s="14"/>
      <c r="R60" s="14"/>
    </row>
    <row r="61" spans="1:18">
      <c r="A61" s="14" t="s">
        <v>4234</v>
      </c>
      <c r="B61" s="14"/>
      <c r="C61" s="14"/>
      <c r="D61" s="14"/>
      <c r="F61" s="14"/>
      <c r="G61" s="14"/>
      <c r="H61" s="14"/>
      <c r="I61" s="14"/>
      <c r="J61" s="14"/>
      <c r="K61" s="14"/>
      <c r="L61" s="14"/>
      <c r="M61" s="14"/>
      <c r="N61" s="14"/>
      <c r="P61" s="14"/>
      <c r="Q61" s="14"/>
      <c r="R61" s="14"/>
    </row>
    <row r="62" spans="1:18">
      <c r="A62" s="9" t="s">
        <v>5734</v>
      </c>
      <c r="B62" s="14" t="s">
        <v>52</v>
      </c>
      <c r="C62" s="14" t="s">
        <v>202</v>
      </c>
      <c r="D62" s="14" t="s">
        <v>2297</v>
      </c>
      <c r="E62" s="15" t="str">
        <f>HYPERLINK("https://stat100.ameba.jp/tnk47/ratio20/illustrations/card/ill_74593_0_natsuyuenchikoshihikari03.jpg?201904-2-RELEASE-unionbattle-403", "■")</f>
        <v>■</v>
      </c>
      <c r="F62" s="14" t="s">
        <v>2298</v>
      </c>
      <c r="G62" s="14">
        <v>162496</v>
      </c>
      <c r="H62" s="14">
        <v>151067</v>
      </c>
      <c r="I62" s="14">
        <v>15</v>
      </c>
      <c r="J62" s="14" t="s">
        <v>104</v>
      </c>
      <c r="K62" s="14" t="s">
        <v>2299</v>
      </c>
      <c r="L62" s="14" t="s">
        <v>2300</v>
      </c>
      <c r="M62" s="14" t="s">
        <v>9158</v>
      </c>
      <c r="N62" s="14" t="s">
        <v>9158</v>
      </c>
      <c r="O62" s="9" t="s">
        <v>2731</v>
      </c>
      <c r="P62" s="14" t="s">
        <v>2732</v>
      </c>
      <c r="Q62" s="14">
        <v>1</v>
      </c>
      <c r="R62" s="14"/>
    </row>
    <row r="63" spans="1:18">
      <c r="A63" s="9" t="s">
        <v>5897</v>
      </c>
      <c r="B63" s="14" t="s">
        <v>52</v>
      </c>
      <c r="C63" s="14" t="s">
        <v>200</v>
      </c>
      <c r="D63" s="14" t="s">
        <v>53</v>
      </c>
      <c r="E63" s="15" t="str">
        <f>HYPERLINK("https://stat100.ameba.jp/tnk47/ratio20/illustrations/card/ill_40913_0_reigyokudensetsufusehime03.jpg?201904-2-RELEASE-unionbattle-403", "■")</f>
        <v>■</v>
      </c>
      <c r="F63" s="14" t="s">
        <v>955</v>
      </c>
      <c r="G63" s="14">
        <v>82212</v>
      </c>
      <c r="H63" s="14">
        <v>87780</v>
      </c>
      <c r="I63" s="14">
        <v>15</v>
      </c>
      <c r="J63" s="14" t="s">
        <v>38</v>
      </c>
      <c r="K63" s="14" t="s">
        <v>956</v>
      </c>
      <c r="L63" s="14" t="s">
        <v>957</v>
      </c>
      <c r="M63" s="14" t="s">
        <v>9158</v>
      </c>
      <c r="N63" s="14" t="s">
        <v>9158</v>
      </c>
      <c r="O63" s="14" t="s">
        <v>9158</v>
      </c>
      <c r="P63" s="14" t="s">
        <v>9158</v>
      </c>
      <c r="Q63" s="14" t="s">
        <v>9158</v>
      </c>
      <c r="R63" s="14"/>
    </row>
    <row r="64" spans="1:18">
      <c r="A64" s="9" t="s">
        <v>5612</v>
      </c>
      <c r="B64" s="14" t="s">
        <v>52</v>
      </c>
      <c r="C64" s="14" t="s">
        <v>165</v>
      </c>
      <c r="D64" s="14" t="s">
        <v>1895</v>
      </c>
      <c r="E64" s="15" t="str">
        <f>HYPERLINK("https://stat100.ameba.jp/tnk47/ratio20/illustrations/card/ill_49193_0_onmyoudouabenoseimei03.jpg?201904-2-RELEASE-unionbattle-403", "■")</f>
        <v>■</v>
      </c>
      <c r="F64" s="14" t="s">
        <v>1896</v>
      </c>
      <c r="G64" s="14">
        <v>83712</v>
      </c>
      <c r="H64" s="14">
        <v>94236</v>
      </c>
      <c r="I64" s="14">
        <v>15</v>
      </c>
      <c r="J64" s="14" t="s">
        <v>10</v>
      </c>
      <c r="K64" s="14" t="s">
        <v>1897</v>
      </c>
      <c r="L64" s="14" t="s">
        <v>1898</v>
      </c>
      <c r="M64" s="14" t="s">
        <v>9158</v>
      </c>
      <c r="N64" s="14" t="s">
        <v>9158</v>
      </c>
      <c r="O64" s="14" t="s">
        <v>9158</v>
      </c>
      <c r="P64" s="14" t="s">
        <v>9158</v>
      </c>
      <c r="Q64" s="14" t="s">
        <v>9158</v>
      </c>
      <c r="R64" s="14"/>
    </row>
    <row r="65" spans="1:18">
      <c r="A65" s="9">
        <v>77753</v>
      </c>
      <c r="B65" s="14" t="s">
        <v>334</v>
      </c>
      <c r="C65" s="14" t="s">
        <v>203</v>
      </c>
      <c r="D65" s="14" t="s">
        <v>994</v>
      </c>
      <c r="E65" s="15" t="str">
        <f>HYPERLINK("https://stat100.ameba.jp/tnk47/ratio20/illustrations/card/ill_77753_sekiennotorisu03.jpg?201904-2-RELEASE-unionbattle-403", "■")</f>
        <v>■</v>
      </c>
      <c r="F65" s="14" t="s">
        <v>995</v>
      </c>
      <c r="G65" s="14">
        <v>168858</v>
      </c>
      <c r="H65" s="14">
        <v>95001</v>
      </c>
      <c r="I65" s="14">
        <v>23</v>
      </c>
      <c r="J65" s="14" t="s">
        <v>143</v>
      </c>
      <c r="K65" s="14" t="s">
        <v>996</v>
      </c>
      <c r="L65" s="14" t="s">
        <v>145</v>
      </c>
      <c r="M65" s="14" t="s">
        <v>9158</v>
      </c>
      <c r="N65" s="14" t="s">
        <v>9158</v>
      </c>
      <c r="O65" s="14" t="s">
        <v>9158</v>
      </c>
      <c r="P65" s="14" t="s">
        <v>9158</v>
      </c>
      <c r="Q65" s="14" t="s">
        <v>9158</v>
      </c>
      <c r="R65" s="14"/>
    </row>
    <row r="66" spans="1:18">
      <c r="A66" s="9">
        <v>76873</v>
      </c>
      <c r="B66" s="14" t="s">
        <v>334</v>
      </c>
      <c r="C66" s="14" t="s">
        <v>209</v>
      </c>
      <c r="D66" s="14" t="s">
        <v>1939</v>
      </c>
      <c r="E66" s="15" t="str">
        <f>HYPERLINK("https://stat100.ameba.jp/tnk47/ratio20/illustrations/card/ill_76873_torerokamomiro03.jpg?201904-2-RELEASE-unionbattle-403", "■")</f>
        <v>■</v>
      </c>
      <c r="F66" s="14" t="s">
        <v>1940</v>
      </c>
      <c r="G66" s="14">
        <v>168858</v>
      </c>
      <c r="H66" s="14">
        <v>95001</v>
      </c>
      <c r="I66" s="14">
        <v>23</v>
      </c>
      <c r="J66" s="14" t="s">
        <v>10</v>
      </c>
      <c r="K66" s="14" t="s">
        <v>1941</v>
      </c>
      <c r="L66" s="14" t="s">
        <v>1942</v>
      </c>
      <c r="M66" s="14" t="s">
        <v>9158</v>
      </c>
      <c r="N66" s="14" t="s">
        <v>9158</v>
      </c>
      <c r="O66" s="14" t="s">
        <v>9158</v>
      </c>
      <c r="P66" s="14" t="s">
        <v>9158</v>
      </c>
      <c r="Q66" s="14" t="s">
        <v>9158</v>
      </c>
      <c r="R66" s="14"/>
    </row>
    <row r="67" spans="1:18">
      <c r="A67" s="9">
        <v>78113</v>
      </c>
      <c r="B67" s="14" t="s">
        <v>334</v>
      </c>
      <c r="C67" s="14" t="s">
        <v>158</v>
      </c>
      <c r="D67" s="14" t="s">
        <v>2602</v>
      </c>
      <c r="E67" s="15" t="str">
        <f>HYPERLINK("https://stat100.ameba.jp/tnk47/ratio20/illustrations/card/ill_78113_santaokokusantakuin03.jpg?201904-2-RELEASE-unionbattle-403", "■")</f>
        <v>■</v>
      </c>
      <c r="F67" s="14" t="s">
        <v>2603</v>
      </c>
      <c r="G67" s="14">
        <v>88403</v>
      </c>
      <c r="H67" s="14">
        <v>95068</v>
      </c>
      <c r="I67" s="14">
        <v>23</v>
      </c>
      <c r="J67" s="14" t="s">
        <v>44</v>
      </c>
      <c r="K67" s="14" t="s">
        <v>2604</v>
      </c>
      <c r="L67" s="14" t="s">
        <v>2605</v>
      </c>
      <c r="M67" s="14" t="s">
        <v>9158</v>
      </c>
      <c r="N67" s="14" t="s">
        <v>9158</v>
      </c>
      <c r="O67" s="14" t="s">
        <v>9158</v>
      </c>
      <c r="P67" s="14" t="s">
        <v>9158</v>
      </c>
      <c r="Q67" s="14" t="s">
        <v>9158</v>
      </c>
      <c r="R67" s="14"/>
    </row>
    <row r="68" spans="1:18">
      <c r="A68" s="9">
        <v>71843</v>
      </c>
      <c r="B68" s="14" t="s">
        <v>15</v>
      </c>
      <c r="C68" s="14" t="s">
        <v>200</v>
      </c>
      <c r="D68" s="14" t="s">
        <v>4235</v>
      </c>
      <c r="E68" s="15" t="str">
        <f>HYPERLINK("https://stat100.ameba.jp/tnk47/ratio20/illustrations/card/ill_71843_autodoatakatsukasanobuko03.jpg?201904-2-RELEASE-unionbattle-403", "■")</f>
        <v>■</v>
      </c>
      <c r="F68" s="14" t="s">
        <v>4236</v>
      </c>
      <c r="G68" s="14">
        <v>65208</v>
      </c>
      <c r="H68" s="14">
        <v>59144</v>
      </c>
      <c r="I68" s="14">
        <v>22</v>
      </c>
      <c r="J68" s="14" t="s">
        <v>77</v>
      </c>
      <c r="K68" s="14" t="s">
        <v>4237</v>
      </c>
      <c r="L68" s="14" t="s">
        <v>932</v>
      </c>
      <c r="M68" s="14" t="s">
        <v>9158</v>
      </c>
      <c r="N68" s="14" t="s">
        <v>9158</v>
      </c>
      <c r="O68" s="14" t="s">
        <v>9158</v>
      </c>
      <c r="P68" s="14" t="s">
        <v>9158</v>
      </c>
      <c r="Q68" s="14" t="s">
        <v>9158</v>
      </c>
      <c r="R68" s="14"/>
    </row>
    <row r="69" spans="1:18">
      <c r="A69" s="9">
        <v>71703</v>
      </c>
      <c r="B69" s="14" t="s">
        <v>15</v>
      </c>
      <c r="C69" s="14" t="s">
        <v>206</v>
      </c>
      <c r="D69" s="14" t="s">
        <v>4238</v>
      </c>
      <c r="E69" s="15" t="str">
        <f>HYPERLINK("https://stat100.ameba.jp/tnk47/ratio20/illustrations/card/ill_71703_shokugyotaikenkusumotoine03.jpg?201904-2-RELEASE-unionbattle-403", "■")</f>
        <v>■</v>
      </c>
      <c r="F69" s="14" t="s">
        <v>4239</v>
      </c>
      <c r="G69" s="14">
        <v>65208</v>
      </c>
      <c r="H69" s="14">
        <v>59144</v>
      </c>
      <c r="I69" s="14">
        <v>22</v>
      </c>
      <c r="J69" s="14" t="s">
        <v>16</v>
      </c>
      <c r="K69" s="14" t="s">
        <v>4240</v>
      </c>
      <c r="L69" s="14" t="s">
        <v>21</v>
      </c>
      <c r="M69" s="14" t="s">
        <v>9158</v>
      </c>
      <c r="N69" s="14" t="s">
        <v>9158</v>
      </c>
      <c r="O69" s="14" t="s">
        <v>9158</v>
      </c>
      <c r="P69" s="14" t="s">
        <v>9158</v>
      </c>
      <c r="Q69" s="14" t="s">
        <v>9158</v>
      </c>
      <c r="R69" s="14"/>
    </row>
    <row r="70" spans="1:18">
      <c r="A70" s="9">
        <v>76713</v>
      </c>
      <c r="B70" s="14" t="s">
        <v>15</v>
      </c>
      <c r="C70" s="14" t="s">
        <v>165</v>
      </c>
      <c r="D70" s="14" t="s">
        <v>1109</v>
      </c>
      <c r="E70" s="15" t="str">
        <f>HYPERLINK("https://stat100.ameba.jp/tnk47/ratio20/illustrations/card/ill_76713_byofuoinhoodo03.jpg?201904-2-RELEASE-unionbattle-403", "■")</f>
        <v>■</v>
      </c>
      <c r="F70" s="14" t="s">
        <v>1110</v>
      </c>
      <c r="G70" s="14">
        <v>59144</v>
      </c>
      <c r="H70" s="14">
        <v>65208</v>
      </c>
      <c r="I70" s="14">
        <v>22</v>
      </c>
      <c r="J70" s="14" t="s">
        <v>26</v>
      </c>
      <c r="K70" s="14" t="s">
        <v>1111</v>
      </c>
      <c r="L70" s="14" t="s">
        <v>977</v>
      </c>
      <c r="M70" s="14" t="s">
        <v>9158</v>
      </c>
      <c r="N70" s="14" t="s">
        <v>9158</v>
      </c>
      <c r="O70" s="14" t="s">
        <v>9158</v>
      </c>
      <c r="P70" s="14" t="s">
        <v>9158</v>
      </c>
      <c r="Q70" s="14" t="s">
        <v>9158</v>
      </c>
      <c r="R70" s="14"/>
    </row>
    <row r="71" spans="1:18">
      <c r="B71" s="14"/>
      <c r="C71" s="14"/>
      <c r="D71" s="14"/>
      <c r="F71" s="14"/>
      <c r="G71" s="14"/>
      <c r="H71" s="14"/>
      <c r="I71" s="14"/>
      <c r="J71" s="14"/>
      <c r="K71" s="14"/>
      <c r="L71" s="14"/>
      <c r="M71" s="14"/>
      <c r="N71" s="14"/>
      <c r="P71" s="14"/>
      <c r="Q71" s="14"/>
      <c r="R71" s="14"/>
    </row>
    <row r="72" spans="1:18">
      <c r="A72" s="14" t="s">
        <v>180</v>
      </c>
      <c r="D72" s="14"/>
      <c r="F72" s="14"/>
      <c r="G72" s="14"/>
      <c r="H72" s="14"/>
      <c r="I72" s="14"/>
      <c r="J72" s="14"/>
      <c r="K72" s="14"/>
      <c r="L72" s="14"/>
      <c r="M72" s="14"/>
      <c r="N72" s="14"/>
      <c r="P72" s="14"/>
      <c r="Q72" s="14"/>
      <c r="R72" s="14"/>
    </row>
    <row r="73" spans="1:18">
      <c r="A73" s="14" t="s">
        <v>4241</v>
      </c>
      <c r="B73" s="14"/>
      <c r="C73" s="14"/>
      <c r="D73" s="14"/>
      <c r="F73" s="14"/>
      <c r="G73" s="14"/>
      <c r="H73" s="14"/>
      <c r="I73" s="14"/>
      <c r="J73" s="14"/>
      <c r="K73" s="14"/>
      <c r="L73" s="14"/>
      <c r="M73" s="14"/>
      <c r="N73" s="14"/>
      <c r="P73" s="14"/>
      <c r="Q73" s="14"/>
      <c r="R73" s="14"/>
    </row>
    <row r="74" spans="1:18">
      <c r="A74" s="9" t="s">
        <v>5609</v>
      </c>
      <c r="B74" s="14" t="s">
        <v>52</v>
      </c>
      <c r="C74" s="14" t="s">
        <v>200</v>
      </c>
      <c r="D74" s="14" t="s">
        <v>1713</v>
      </c>
      <c r="E74" s="15" t="str">
        <f>HYPERLINK("https://stat100.ameba.jp/tnk47/ratio20/illustrations/card/ill_53753_0_natsumatsuritokugawaieyasu03.jpg?201904-2-RELEASE-unionbattle-403x", "■")</f>
        <v>■</v>
      </c>
      <c r="F74" s="14" t="s">
        <v>902</v>
      </c>
      <c r="G74" s="14">
        <v>138212</v>
      </c>
      <c r="H74" s="14">
        <v>122776</v>
      </c>
      <c r="I74" s="14">
        <v>22</v>
      </c>
      <c r="J74" s="14" t="s">
        <v>194</v>
      </c>
      <c r="K74" s="14" t="s">
        <v>1714</v>
      </c>
      <c r="L74" s="14" t="s">
        <v>904</v>
      </c>
      <c r="M74" s="14" t="s">
        <v>9158</v>
      </c>
      <c r="N74" s="14" t="s">
        <v>9158</v>
      </c>
      <c r="O74" s="17" t="s">
        <v>10052</v>
      </c>
      <c r="P74" s="14" t="s">
        <v>13121</v>
      </c>
      <c r="Q74" s="14">
        <v>1</v>
      </c>
      <c r="R74" s="14"/>
    </row>
    <row r="75" spans="1:18">
      <c r="A75" s="9" t="s">
        <v>5721</v>
      </c>
      <c r="B75" s="14" t="s">
        <v>52</v>
      </c>
      <c r="C75" s="14" t="s">
        <v>1</v>
      </c>
      <c r="D75" s="14" t="s">
        <v>2253</v>
      </c>
      <c r="E75" s="15" t="str">
        <f>HYPERLINK("https://stat100.ameba.jp/tnk47/ratio20/illustrations/card/ill_44283_0_izumonokuni03.jpg?201904-2-RELEASE-unionbattle-403x", "■")</f>
        <v>■</v>
      </c>
      <c r="F75" s="14" t="s">
        <v>1716</v>
      </c>
      <c r="G75" s="14">
        <v>128744</v>
      </c>
      <c r="H75" s="14">
        <v>120576</v>
      </c>
      <c r="I75" s="14">
        <v>22</v>
      </c>
      <c r="J75" s="14" t="s">
        <v>16</v>
      </c>
      <c r="K75" s="14" t="s">
        <v>2254</v>
      </c>
      <c r="L75" s="14" t="s">
        <v>1718</v>
      </c>
      <c r="M75" s="14" t="s">
        <v>9158</v>
      </c>
      <c r="N75" s="14" t="s">
        <v>9158</v>
      </c>
      <c r="O75" s="14" t="s">
        <v>9158</v>
      </c>
      <c r="P75" s="14" t="s">
        <v>9158</v>
      </c>
      <c r="Q75" s="14" t="s">
        <v>9158</v>
      </c>
      <c r="R75" s="14"/>
    </row>
    <row r="76" spans="1:18">
      <c r="A76" s="9" t="s">
        <v>5616</v>
      </c>
      <c r="B76" s="14" t="s">
        <v>330</v>
      </c>
      <c r="C76" s="14" t="s">
        <v>185</v>
      </c>
      <c r="D76" s="14" t="s">
        <v>638</v>
      </c>
      <c r="E76" s="15" t="str">
        <f>HYPERLINK("https://stat100.ameba.jp/tnk47/ratio20/illustrations/card/ill_44253_0_dokuganryudatemasamune03.jpg?201904-2-RELEASE-unionbattle-403x", "■")</f>
        <v>■</v>
      </c>
      <c r="F76" s="14" t="s">
        <v>639</v>
      </c>
      <c r="G76" s="14">
        <v>120576</v>
      </c>
      <c r="H76" s="14">
        <v>128744</v>
      </c>
      <c r="I76" s="14">
        <v>22</v>
      </c>
      <c r="J76" s="14" t="s">
        <v>310</v>
      </c>
      <c r="K76" s="14" t="s">
        <v>640</v>
      </c>
      <c r="L76" s="14" t="s">
        <v>641</v>
      </c>
      <c r="M76" s="14" t="s">
        <v>9158</v>
      </c>
      <c r="N76" s="14" t="s">
        <v>9158</v>
      </c>
      <c r="O76" s="14" t="s">
        <v>9158</v>
      </c>
      <c r="P76" s="14" t="s">
        <v>9158</v>
      </c>
      <c r="Q76" s="14" t="s">
        <v>9158</v>
      </c>
      <c r="R76" s="14"/>
    </row>
    <row r="77" spans="1:18">
      <c r="A77" s="9">
        <v>80673</v>
      </c>
      <c r="B77" s="14" t="s">
        <v>0</v>
      </c>
      <c r="C77" s="14" t="s">
        <v>107</v>
      </c>
      <c r="D77" s="14" t="s">
        <v>4219</v>
      </c>
      <c r="E77" s="15" t="str">
        <f>HYPERLINK("https://stat100.ameba.jp/tnk47/ratio20/illustrations/card/ill_80673_banchoshishirianraisu03.jpg?201904-2-RELEASE-unionbattle-403x", "■")</f>
        <v>■</v>
      </c>
      <c r="F77" s="14" t="s">
        <v>4220</v>
      </c>
      <c r="G77" s="14">
        <v>121604</v>
      </c>
      <c r="H77" s="14">
        <v>130784</v>
      </c>
      <c r="I77" s="14">
        <v>22</v>
      </c>
      <c r="J77" s="14" t="s">
        <v>104</v>
      </c>
      <c r="K77" s="14" t="s">
        <v>4221</v>
      </c>
      <c r="L77" s="14" t="s">
        <v>2304</v>
      </c>
      <c r="M77" s="14" t="s">
        <v>9158</v>
      </c>
      <c r="N77" s="14" t="s">
        <v>9158</v>
      </c>
      <c r="O77" s="14" t="s">
        <v>9158</v>
      </c>
      <c r="P77" s="14" t="s">
        <v>9158</v>
      </c>
      <c r="Q77" s="14" t="s">
        <v>9158</v>
      </c>
      <c r="R77" s="14"/>
    </row>
    <row r="78" spans="1:18">
      <c r="A78" s="9">
        <v>80683</v>
      </c>
      <c r="B78" s="14" t="s">
        <v>15</v>
      </c>
      <c r="C78" s="14" t="s">
        <v>101</v>
      </c>
      <c r="D78" s="14" t="s">
        <v>4222</v>
      </c>
      <c r="E78" s="15" t="str">
        <f>HYPERLINK("https://stat100.ameba.jp/tnk47/ratio20/illustrations/card/ill_80683_nyugakushikimaedatoshiie03.jpg?201904-2-RELEASE-unionbattle-403x", "■")</f>
        <v>■</v>
      </c>
      <c r="F78" s="14" t="s">
        <v>4223</v>
      </c>
      <c r="G78" s="14">
        <v>53352</v>
      </c>
      <c r="H78" s="14">
        <v>48390</v>
      </c>
      <c r="I78" s="14">
        <v>18</v>
      </c>
      <c r="J78" s="14" t="s">
        <v>310</v>
      </c>
      <c r="K78" s="14" t="s">
        <v>4224</v>
      </c>
      <c r="L78" s="14" t="s">
        <v>3524</v>
      </c>
      <c r="M78" s="14" t="s">
        <v>9158</v>
      </c>
      <c r="N78" s="14" t="s">
        <v>9158</v>
      </c>
      <c r="O78" s="14" t="s">
        <v>9158</v>
      </c>
      <c r="P78" s="14" t="s">
        <v>9158</v>
      </c>
      <c r="Q78" s="14" t="s">
        <v>9158</v>
      </c>
      <c r="R78" s="14"/>
    </row>
    <row r="79" spans="1:18">
      <c r="A79" s="9">
        <v>80693</v>
      </c>
      <c r="B79" s="14" t="s">
        <v>22</v>
      </c>
      <c r="C79" s="14" t="s">
        <v>1</v>
      </c>
      <c r="D79" s="14" t="s">
        <v>4225</v>
      </c>
      <c r="E79" s="15" t="str">
        <f>HYPERLINK("https://stat100.ameba.jp/tnk47/ratio20/illustrations/card/ill_80693_bandoizumonookuni03.jpg?201904-2-RELEASE-unionbattle-403x", "■")</f>
        <v>■</v>
      </c>
      <c r="F79" s="14" t="s">
        <v>4226</v>
      </c>
      <c r="G79" s="14">
        <v>29388</v>
      </c>
      <c r="H79" s="14">
        <v>35346</v>
      </c>
      <c r="I79" s="14">
        <v>17</v>
      </c>
      <c r="J79" s="14" t="s">
        <v>351</v>
      </c>
      <c r="K79" s="14" t="s">
        <v>4227</v>
      </c>
      <c r="L79" s="14" t="s">
        <v>4228</v>
      </c>
      <c r="M79" s="14" t="s">
        <v>9158</v>
      </c>
      <c r="N79" s="14" t="s">
        <v>9158</v>
      </c>
      <c r="O79" s="14" t="s">
        <v>9158</v>
      </c>
      <c r="P79" s="14" t="s">
        <v>9158</v>
      </c>
      <c r="Q79" s="14" t="s">
        <v>9158</v>
      </c>
      <c r="R79" s="14"/>
    </row>
    <row r="80" spans="1:18">
      <c r="A80" s="9">
        <v>80703</v>
      </c>
      <c r="B80" s="14" t="s">
        <v>30</v>
      </c>
      <c r="C80" s="14" t="s">
        <v>4230</v>
      </c>
      <c r="D80" s="14" t="s">
        <v>4229</v>
      </c>
      <c r="E80" s="15" t="str">
        <f>HYPERLINK("https://stat100.ameba.jp/tnk47/ratio20/illustrations/card/ill_80703_okosamaranchi03.jpg?201904-2-RELEASE-unionbattle-403x", "■")</f>
        <v>■</v>
      </c>
      <c r="F80" s="14" t="s">
        <v>4231</v>
      </c>
      <c r="G80" s="14">
        <v>21398</v>
      </c>
      <c r="H80" s="14">
        <v>17972</v>
      </c>
      <c r="I80" s="14">
        <v>17</v>
      </c>
      <c r="J80" s="14" t="s">
        <v>283</v>
      </c>
      <c r="K80" s="14" t="s">
        <v>4232</v>
      </c>
      <c r="L80" s="14" t="s">
        <v>4233</v>
      </c>
      <c r="M80" s="14" t="s">
        <v>9158</v>
      </c>
      <c r="N80" s="14" t="s">
        <v>9158</v>
      </c>
      <c r="O80" s="14" t="s">
        <v>9158</v>
      </c>
      <c r="P80" s="14" t="s">
        <v>9158</v>
      </c>
      <c r="Q80" s="14" t="s">
        <v>9158</v>
      </c>
      <c r="R80" s="14"/>
    </row>
    <row r="81" spans="1:18">
      <c r="B81" s="14"/>
      <c r="C81" s="14"/>
      <c r="D81" s="14"/>
      <c r="F81" s="14"/>
      <c r="G81" s="14"/>
      <c r="H81" s="14"/>
      <c r="I81" s="14"/>
      <c r="J81" s="14"/>
      <c r="K81" s="14"/>
      <c r="L81" s="14"/>
      <c r="M81" s="14"/>
      <c r="N81" s="14"/>
      <c r="P81" s="14"/>
      <c r="Q81" s="14"/>
      <c r="R81" s="14"/>
    </row>
    <row r="82" spans="1:18">
      <c r="A82" s="14" t="s">
        <v>3905</v>
      </c>
      <c r="D82" s="14"/>
      <c r="F82" s="14"/>
      <c r="G82" s="14"/>
      <c r="H82" s="14"/>
      <c r="I82" s="14"/>
      <c r="J82" s="14"/>
      <c r="K82" s="14"/>
      <c r="L82" s="14"/>
      <c r="M82" s="14"/>
      <c r="N82" s="14"/>
      <c r="P82" s="14"/>
      <c r="Q82" s="14"/>
      <c r="R82" s="14"/>
    </row>
    <row r="83" spans="1:18">
      <c r="A83" s="14" t="s">
        <v>4242</v>
      </c>
      <c r="B83" s="14"/>
      <c r="C83" s="14"/>
      <c r="D83" s="14"/>
      <c r="F83" s="14"/>
      <c r="G83" s="14"/>
      <c r="H83" s="14"/>
      <c r="I83" s="14"/>
      <c r="J83" s="14"/>
      <c r="K83" s="14"/>
      <c r="L83" s="14"/>
      <c r="M83" s="14"/>
      <c r="N83" s="14"/>
      <c r="P83" s="14"/>
      <c r="Q83" s="14"/>
      <c r="R83" s="14"/>
    </row>
    <row r="84" spans="1:18">
      <c r="A84" s="9" t="s">
        <v>5616</v>
      </c>
      <c r="B84" s="14" t="s">
        <v>52</v>
      </c>
      <c r="C84" s="14" t="s">
        <v>14</v>
      </c>
      <c r="D84" s="14" t="s">
        <v>54</v>
      </c>
      <c r="E84" s="15" t="str">
        <f>HYPERLINK("https://stat100.ameba.jp/tnk47/ratio20/illustrations/card/ill_44253_0_dokuganryudatemasamune03.jpg?201904-2-RELEASE-unionbattle-403x", "■")</f>
        <v>■</v>
      </c>
      <c r="F84" s="14" t="s">
        <v>1181</v>
      </c>
      <c r="G84" s="14">
        <v>82212</v>
      </c>
      <c r="H84" s="14">
        <v>87780</v>
      </c>
      <c r="I84" s="14">
        <v>15</v>
      </c>
      <c r="J84" s="14" t="s">
        <v>143</v>
      </c>
      <c r="K84" s="14" t="s">
        <v>1182</v>
      </c>
      <c r="L84" s="14" t="s">
        <v>1183</v>
      </c>
      <c r="M84" s="14" t="s">
        <v>9158</v>
      </c>
      <c r="N84" s="14" t="s">
        <v>9158</v>
      </c>
      <c r="O84" s="14" t="s">
        <v>9158</v>
      </c>
      <c r="P84" s="14" t="s">
        <v>9158</v>
      </c>
      <c r="Q84" s="14" t="s">
        <v>9158</v>
      </c>
      <c r="R84" s="14"/>
    </row>
    <row r="85" spans="1:18">
      <c r="A85" s="9" t="s">
        <v>5650</v>
      </c>
      <c r="B85" s="14" t="s">
        <v>52</v>
      </c>
      <c r="C85" s="14" t="s">
        <v>200</v>
      </c>
      <c r="D85" s="14" t="s">
        <v>136</v>
      </c>
      <c r="E85" s="15" t="str">
        <f>HYPERLINK("https://stat100.ameba.jp/tnk47/ratio20/illustrations/card/ill_68033_0_kurisumasupateikandamyojin03.jpg?201904-2-RELEASE-unionbattle-403x", "■")</f>
        <v>■</v>
      </c>
      <c r="F85" s="14" t="s">
        <v>1871</v>
      </c>
      <c r="G85" s="14">
        <v>95371</v>
      </c>
      <c r="H85" s="14">
        <v>102590</v>
      </c>
      <c r="I85" s="14">
        <v>15</v>
      </c>
      <c r="J85" s="14" t="s">
        <v>44</v>
      </c>
      <c r="K85" s="14" t="s">
        <v>1872</v>
      </c>
      <c r="L85" s="14" t="s">
        <v>1873</v>
      </c>
      <c r="M85" s="14" t="s">
        <v>9158</v>
      </c>
      <c r="N85" s="14" t="s">
        <v>9158</v>
      </c>
      <c r="O85" s="9" t="s">
        <v>3482</v>
      </c>
      <c r="P85" s="14" t="s">
        <v>3483</v>
      </c>
      <c r="Q85" s="14">
        <v>2</v>
      </c>
      <c r="R85" s="14"/>
    </row>
    <row r="86" spans="1:18">
      <c r="A86" s="9" t="s">
        <v>5901</v>
      </c>
      <c r="B86" s="14" t="s">
        <v>52</v>
      </c>
      <c r="C86" s="14" t="s">
        <v>101</v>
      </c>
      <c r="D86" s="14" t="s">
        <v>2089</v>
      </c>
      <c r="E86" s="15" t="str">
        <f>HYPERLINK("https://stat100.ameba.jp/tnk47/ratio20/illustrations/card/ill_64953_0_yukatatokugawayoshinobu03.jpg?201904-2-RELEASE-unionbattle-403x", "■")</f>
        <v>■</v>
      </c>
      <c r="F86" s="14" t="s">
        <v>2090</v>
      </c>
      <c r="G86" s="14">
        <v>93450</v>
      </c>
      <c r="H86" s="14">
        <v>100502</v>
      </c>
      <c r="I86" s="14">
        <v>15</v>
      </c>
      <c r="J86" s="14" t="s">
        <v>10</v>
      </c>
      <c r="K86" s="14" t="s">
        <v>2091</v>
      </c>
      <c r="L86" s="14" t="s">
        <v>2092</v>
      </c>
      <c r="M86" s="14" t="s">
        <v>9158</v>
      </c>
      <c r="N86" s="14" t="s">
        <v>9158</v>
      </c>
      <c r="O86" s="9" t="s">
        <v>2889</v>
      </c>
      <c r="P86" s="14" t="s">
        <v>2890</v>
      </c>
      <c r="Q86" s="14">
        <v>1</v>
      </c>
      <c r="R86" s="14"/>
    </row>
    <row r="87" spans="1:18">
      <c r="A87" s="9">
        <v>77613</v>
      </c>
      <c r="B87" s="14" t="s">
        <v>0</v>
      </c>
      <c r="C87" s="14" t="s">
        <v>200</v>
      </c>
      <c r="D87" s="14" t="s">
        <v>1921</v>
      </c>
      <c r="E87" s="15" t="str">
        <f>HYPERLINK("https://stat100.ameba.jp/tnk47/ratio20/illustrations/card/ill_77613_kajinotochiotomechan03.jpg?201904-2-RELEASE-unionbattle-403x", "■")</f>
        <v>■</v>
      </c>
      <c r="F87" s="14" t="s">
        <v>1922</v>
      </c>
      <c r="G87" s="14">
        <v>75467</v>
      </c>
      <c r="H87" s="14">
        <v>134152</v>
      </c>
      <c r="I87" s="14">
        <v>23</v>
      </c>
      <c r="J87" s="14" t="s">
        <v>104</v>
      </c>
      <c r="K87" s="14" t="s">
        <v>1923</v>
      </c>
      <c r="L87" s="14" t="s">
        <v>1924</v>
      </c>
      <c r="M87" s="14" t="s">
        <v>9158</v>
      </c>
      <c r="N87" s="14" t="s">
        <v>9158</v>
      </c>
      <c r="O87" s="14" t="s">
        <v>9158</v>
      </c>
      <c r="P87" s="14" t="s">
        <v>9158</v>
      </c>
      <c r="Q87" s="14" t="s">
        <v>9158</v>
      </c>
      <c r="R87" s="14"/>
    </row>
    <row r="88" spans="1:18">
      <c r="A88" s="9">
        <v>65243</v>
      </c>
      <c r="B88" s="14" t="s">
        <v>0</v>
      </c>
      <c r="C88" s="14" t="s">
        <v>205</v>
      </c>
      <c r="D88" s="14" t="s">
        <v>1925</v>
      </c>
      <c r="E88" s="15" t="str">
        <f>HYPERLINK("https://stat100.ameba.jp/tnk47/ratio20/illustrations/card/ill_65243_kagawayukikage03.jpg?201904-2-RELEASE-unionbattle-403x", "■")</f>
        <v>■</v>
      </c>
      <c r="F88" s="14" t="s">
        <v>1926</v>
      </c>
      <c r="G88" s="14">
        <v>95001</v>
      </c>
      <c r="H88" s="14">
        <v>168858</v>
      </c>
      <c r="I88" s="14">
        <v>23</v>
      </c>
      <c r="J88" s="14" t="s">
        <v>143</v>
      </c>
      <c r="K88" s="14" t="s">
        <v>1927</v>
      </c>
      <c r="L88" s="14" t="s">
        <v>1148</v>
      </c>
      <c r="M88" s="14" t="s">
        <v>9158</v>
      </c>
      <c r="N88" s="14" t="s">
        <v>9158</v>
      </c>
      <c r="O88" s="14" t="s">
        <v>9158</v>
      </c>
      <c r="P88" s="14" t="s">
        <v>9158</v>
      </c>
      <c r="Q88" s="14" t="s">
        <v>9158</v>
      </c>
      <c r="R88" s="14"/>
    </row>
    <row r="89" spans="1:18">
      <c r="A89" s="9">
        <v>71833</v>
      </c>
      <c r="B89" s="14" t="s">
        <v>334</v>
      </c>
      <c r="C89" s="14" t="s">
        <v>165</v>
      </c>
      <c r="D89" s="14" t="s">
        <v>4243</v>
      </c>
      <c r="E89" s="15" t="str">
        <f>HYPERLINK("https://stat100.ameba.jp/tnk47/ratio20/illustrations/card/ill_71833_autodoanuregamidoji03.jpg?201904-2-RELEASE-unionbattle-403x", "■")</f>
        <v>■</v>
      </c>
      <c r="F89" s="14" t="s">
        <v>5291</v>
      </c>
      <c r="G89" s="14">
        <v>89121</v>
      </c>
      <c r="H89" s="14">
        <v>95830</v>
      </c>
      <c r="I89" s="14">
        <v>23</v>
      </c>
      <c r="J89" s="14" t="s">
        <v>320</v>
      </c>
      <c r="K89" s="14" t="s">
        <v>4244</v>
      </c>
      <c r="L89" s="14" t="s">
        <v>4245</v>
      </c>
      <c r="M89" s="14" t="s">
        <v>9158</v>
      </c>
      <c r="N89" s="14" t="s">
        <v>9158</v>
      </c>
      <c r="O89" s="14" t="s">
        <v>9158</v>
      </c>
      <c r="P89" s="14" t="s">
        <v>9158</v>
      </c>
      <c r="Q89" s="14" t="s">
        <v>9158</v>
      </c>
      <c r="R89" s="14"/>
    </row>
    <row r="90" spans="1:18">
      <c r="B90" s="14"/>
      <c r="C90" s="14"/>
      <c r="D90" s="14"/>
      <c r="F90" s="14"/>
      <c r="G90" s="14"/>
      <c r="H90" s="14"/>
      <c r="I90" s="14"/>
      <c r="J90" s="14"/>
      <c r="K90" s="14"/>
      <c r="L90" s="14"/>
      <c r="M90" s="14"/>
      <c r="N90" s="14"/>
      <c r="P90" s="14"/>
      <c r="Q90" s="14"/>
      <c r="R90" s="14"/>
    </row>
    <row r="91" spans="1:18">
      <c r="A91" s="14" t="s">
        <v>114</v>
      </c>
      <c r="D91" s="14"/>
      <c r="F91" s="14"/>
      <c r="G91" s="14"/>
      <c r="H91" s="14"/>
      <c r="I91" s="14"/>
      <c r="J91" s="14"/>
      <c r="K91" s="14"/>
      <c r="L91" s="14"/>
      <c r="M91" s="14"/>
      <c r="N91" s="14"/>
      <c r="P91" s="14"/>
      <c r="Q91" s="14"/>
      <c r="R91" s="14"/>
    </row>
    <row r="92" spans="1:18">
      <c r="A92" s="14" t="s">
        <v>4247</v>
      </c>
      <c r="B92" s="14"/>
      <c r="C92" s="14"/>
      <c r="D92" s="14"/>
      <c r="F92" s="14"/>
      <c r="G92" s="14"/>
      <c r="H92" s="14"/>
      <c r="I92" s="14"/>
      <c r="J92" s="14"/>
      <c r="K92" s="14"/>
      <c r="L92" s="14"/>
      <c r="M92" s="14"/>
      <c r="N92" s="14"/>
      <c r="P92" s="14"/>
      <c r="Q92" s="14"/>
      <c r="R92" s="14"/>
    </row>
    <row r="93" spans="1:18">
      <c r="A93" s="9" t="s">
        <v>5734</v>
      </c>
      <c r="B93" s="14" t="s">
        <v>330</v>
      </c>
      <c r="C93" s="14" t="s">
        <v>202</v>
      </c>
      <c r="D93" s="14" t="s">
        <v>1497</v>
      </c>
      <c r="E93" s="15" t="str">
        <f>HYPERLINK("https://stat100.ameba.jp/tnk47/ratio20/illustrations/card/ill_74593_0_natsuyuenchikoshihikari03.jpg?201904-2-RELEASE-unionbattle-403x", "■")</f>
        <v>■</v>
      </c>
      <c r="F93" s="14" t="s">
        <v>1498</v>
      </c>
      <c r="G93" s="14">
        <v>227496</v>
      </c>
      <c r="H93" s="14">
        <v>211495</v>
      </c>
      <c r="I93" s="14">
        <v>21</v>
      </c>
      <c r="J93" s="14" t="s">
        <v>283</v>
      </c>
      <c r="K93" s="14" t="s">
        <v>1499</v>
      </c>
      <c r="L93" s="14" t="s">
        <v>1500</v>
      </c>
      <c r="M93" s="14" t="s">
        <v>9158</v>
      </c>
      <c r="N93" s="14" t="s">
        <v>9158</v>
      </c>
      <c r="O93" s="9" t="s">
        <v>2731</v>
      </c>
      <c r="P93" s="14" t="s">
        <v>2732</v>
      </c>
      <c r="Q93" s="14">
        <v>1</v>
      </c>
      <c r="R93" s="14"/>
    </row>
    <row r="94" spans="1:18">
      <c r="A94" s="9" t="s">
        <v>5617</v>
      </c>
      <c r="B94" s="14" t="s">
        <v>330</v>
      </c>
      <c r="C94" s="14" t="s">
        <v>308</v>
      </c>
      <c r="D94" s="14" t="s">
        <v>982</v>
      </c>
      <c r="E94" s="15" t="str">
        <f>HYPERLINK("https://stat100.ameba.jp/tnk47/ratio20/illustrations/card/ill_59673_0_oheyashutendoji03.jpg?201904-2-RELEASE-unionbattle-403x", "■")</f>
        <v>■</v>
      </c>
      <c r="F94" s="14" t="s">
        <v>386</v>
      </c>
      <c r="G94" s="14">
        <v>147765</v>
      </c>
      <c r="H94" s="14">
        <v>158935</v>
      </c>
      <c r="I94" s="14">
        <v>21</v>
      </c>
      <c r="J94" s="14" t="s">
        <v>320</v>
      </c>
      <c r="K94" s="14" t="s">
        <v>387</v>
      </c>
      <c r="L94" s="14" t="s">
        <v>388</v>
      </c>
      <c r="M94" s="14" t="s">
        <v>9158</v>
      </c>
      <c r="N94" s="14" t="s">
        <v>9158</v>
      </c>
      <c r="O94" s="17" t="s">
        <v>10058</v>
      </c>
      <c r="P94" s="14" t="s">
        <v>3022</v>
      </c>
      <c r="Q94" s="14">
        <v>1</v>
      </c>
      <c r="R94" s="14"/>
    </row>
    <row r="95" spans="1:18">
      <c r="A95" s="9">
        <v>80743</v>
      </c>
      <c r="B95" s="14" t="s">
        <v>0</v>
      </c>
      <c r="C95" s="14" t="s">
        <v>209</v>
      </c>
      <c r="D95" s="14" t="s">
        <v>4248</v>
      </c>
      <c r="E95" s="15" t="str">
        <f>HYPERLINK("https://stat100.ameba.jp/tnk47/ratio20/illustrations/card/ill_80743_senseijutsushi03.jpg?201904-2-RELEASE-unionbattle-403x", "■")</f>
        <v>■</v>
      </c>
      <c r="F95" s="14" t="s">
        <v>4249</v>
      </c>
      <c r="G95" s="14">
        <v>75984</v>
      </c>
      <c r="H95" s="14">
        <v>104890</v>
      </c>
      <c r="I95" s="14">
        <v>24</v>
      </c>
      <c r="J95" s="14" t="s">
        <v>16</v>
      </c>
      <c r="K95" s="14" t="s">
        <v>4250</v>
      </c>
      <c r="L95" s="14" t="s">
        <v>4251</v>
      </c>
      <c r="M95" s="14" t="s">
        <v>9158</v>
      </c>
      <c r="N95" s="14" t="s">
        <v>9158</v>
      </c>
      <c r="O95" s="9" t="s">
        <v>3624</v>
      </c>
      <c r="P95" s="14" t="s">
        <v>3625</v>
      </c>
      <c r="Q95" s="14">
        <v>1</v>
      </c>
      <c r="R95" s="14"/>
    </row>
    <row r="96" spans="1:18">
      <c r="A96" s="9">
        <v>75073</v>
      </c>
      <c r="B96" s="14" t="s">
        <v>334</v>
      </c>
      <c r="C96" s="14" t="s">
        <v>154</v>
      </c>
      <c r="D96" s="14" t="s">
        <v>4252</v>
      </c>
      <c r="E96" s="15" t="str">
        <f>HYPERLINK("https://stat100.ameba.jp/tnk47/ratio20/illustrations/card/ill_75073_puruchacha03.jpg?201904-2-RELEASE-unionbattle-403x", "■")</f>
        <v>■</v>
      </c>
      <c r="F96" s="14" t="s">
        <v>4253</v>
      </c>
      <c r="G96" s="14">
        <v>91779</v>
      </c>
      <c r="H96" s="14">
        <v>66487</v>
      </c>
      <c r="I96" s="14">
        <v>21</v>
      </c>
      <c r="J96" s="14" t="s">
        <v>315</v>
      </c>
      <c r="K96" s="14" t="s">
        <v>4254</v>
      </c>
      <c r="L96" s="14" t="s">
        <v>1432</v>
      </c>
      <c r="M96" s="14" t="s">
        <v>9158</v>
      </c>
      <c r="N96" s="14" t="s">
        <v>9158</v>
      </c>
      <c r="O96" s="17" t="s">
        <v>10055</v>
      </c>
      <c r="P96" s="14" t="s">
        <v>13124</v>
      </c>
      <c r="Q96" s="14">
        <v>1</v>
      </c>
      <c r="R96" s="14"/>
    </row>
    <row r="97" spans="1:18">
      <c r="A97" s="9">
        <v>47703</v>
      </c>
      <c r="B97" s="14" t="s">
        <v>334</v>
      </c>
      <c r="C97" s="14" t="s">
        <v>35</v>
      </c>
      <c r="D97" s="14" t="s">
        <v>4255</v>
      </c>
      <c r="E97" s="15" t="str">
        <f>HYPERLINK("https://stat100.ameba.jp/tnk47/ratio20/illustrations/card/ill_47703_kobayakawahideaki03.jpg?201904-2-RELEASE-unionbattle-403x", "■")</f>
        <v>■</v>
      </c>
      <c r="F97" s="14" t="s">
        <v>4256</v>
      </c>
      <c r="G97" s="14">
        <v>124487</v>
      </c>
      <c r="H97" s="14">
        <v>75254</v>
      </c>
      <c r="I97" s="14">
        <v>21</v>
      </c>
      <c r="J97" s="14" t="s">
        <v>310</v>
      </c>
      <c r="K97" s="14" t="s">
        <v>4257</v>
      </c>
      <c r="L97" s="14" t="s">
        <v>4258</v>
      </c>
      <c r="M97" s="14" t="s">
        <v>9158</v>
      </c>
      <c r="N97" s="14" t="s">
        <v>9158</v>
      </c>
      <c r="O97" s="14" t="s">
        <v>9158</v>
      </c>
      <c r="P97" s="14" t="s">
        <v>9158</v>
      </c>
      <c r="Q97" s="14" t="s">
        <v>9158</v>
      </c>
      <c r="R97" s="14"/>
    </row>
    <row r="98" spans="1:18">
      <c r="A98" s="9">
        <v>73083</v>
      </c>
      <c r="B98" s="14" t="s">
        <v>334</v>
      </c>
      <c r="C98" s="14" t="s">
        <v>154</v>
      </c>
      <c r="D98" s="14" t="s">
        <v>3349</v>
      </c>
      <c r="E98" s="15" t="str">
        <f>HYPERLINK("https://stat100.ameba.jp/tnk47/ratio20/illustrations/card/ill_73083_inochinoamekobayashiissa03.jpg?201904-2-RELEASE-unionbattle-403x", "■")</f>
        <v>■</v>
      </c>
      <c r="F98" s="14" t="s">
        <v>3350</v>
      </c>
      <c r="G98" s="14">
        <v>91779</v>
      </c>
      <c r="H98" s="14">
        <v>66487</v>
      </c>
      <c r="I98" s="14">
        <v>21</v>
      </c>
      <c r="J98" s="14" t="s">
        <v>10</v>
      </c>
      <c r="K98" s="14" t="s">
        <v>3351</v>
      </c>
      <c r="L98" s="14" t="s">
        <v>3352</v>
      </c>
      <c r="M98" s="14" t="s">
        <v>9158</v>
      </c>
      <c r="N98" s="14" t="s">
        <v>9158</v>
      </c>
      <c r="O98" s="14" t="s">
        <v>9158</v>
      </c>
      <c r="P98" s="14" t="s">
        <v>9158</v>
      </c>
      <c r="Q98" s="14" t="s">
        <v>9158</v>
      </c>
      <c r="R98" s="14"/>
    </row>
    <row r="99" spans="1:18">
      <c r="A99" s="9">
        <v>58333</v>
      </c>
      <c r="B99" s="14" t="s">
        <v>334</v>
      </c>
      <c r="C99" s="14" t="s">
        <v>158</v>
      </c>
      <c r="D99" s="14" t="s">
        <v>1788</v>
      </c>
      <c r="E99" s="15" t="str">
        <f>HYPERLINK("https://stat100.ameba.jp/tnk47/ratio20/illustrations/card/ill_58333_chikinnamban03.jpg?201904-2-RELEASE-unionbattle-403x", "■")</f>
        <v>■</v>
      </c>
      <c r="F99" s="14" t="s">
        <v>1789</v>
      </c>
      <c r="G99" s="14">
        <v>86668</v>
      </c>
      <c r="H99" s="14">
        <v>63547</v>
      </c>
      <c r="I99" s="14">
        <v>21</v>
      </c>
      <c r="J99" s="14" t="s">
        <v>104</v>
      </c>
      <c r="K99" s="14" t="s">
        <v>1790</v>
      </c>
      <c r="L99" s="14" t="s">
        <v>1791</v>
      </c>
      <c r="M99" s="14" t="s">
        <v>9158</v>
      </c>
      <c r="N99" s="14" t="s">
        <v>9158</v>
      </c>
      <c r="O99" s="14" t="s">
        <v>9158</v>
      </c>
      <c r="P99" s="14" t="s">
        <v>9158</v>
      </c>
      <c r="Q99" s="14" t="s">
        <v>9158</v>
      </c>
      <c r="R99" s="14"/>
    </row>
    <row r="100" spans="1:18">
      <c r="A100" s="9">
        <v>52083</v>
      </c>
      <c r="B100" s="14" t="s">
        <v>0</v>
      </c>
      <c r="C100" s="14" t="s">
        <v>158</v>
      </c>
      <c r="D100" s="14" t="s">
        <v>943</v>
      </c>
      <c r="E100" s="15" t="str">
        <f>HYPERLINK("https://stat100.ameba.jp/tnk47/ratio20/illustrations/card/ill_52083_berubetto03.jpg?201904-2-RELEASE-unionbattle-403x", "■")</f>
        <v>■</v>
      </c>
      <c r="F100" s="14" t="s">
        <v>944</v>
      </c>
      <c r="G100" s="14">
        <v>72356</v>
      </c>
      <c r="H100" s="14">
        <v>99889</v>
      </c>
      <c r="I100" s="14">
        <v>21</v>
      </c>
      <c r="J100" s="14" t="s">
        <v>26</v>
      </c>
      <c r="K100" s="14" t="s">
        <v>1864</v>
      </c>
      <c r="L100" s="14" t="s">
        <v>1865</v>
      </c>
      <c r="M100" s="14" t="s">
        <v>9158</v>
      </c>
      <c r="N100" s="14" t="s">
        <v>9158</v>
      </c>
      <c r="O100" s="9" t="s">
        <v>2917</v>
      </c>
      <c r="P100" s="14" t="s">
        <v>2918</v>
      </c>
      <c r="Q100" s="14">
        <v>1</v>
      </c>
      <c r="R100" s="14"/>
    </row>
    <row r="101" spans="1:18">
      <c r="B101" s="14"/>
      <c r="C101" s="14"/>
      <c r="D101" s="14"/>
      <c r="F101" s="14"/>
      <c r="G101" s="14"/>
      <c r="H101" s="14"/>
      <c r="I101" s="14"/>
      <c r="J101" s="14"/>
      <c r="K101" s="14"/>
      <c r="L101" s="14"/>
      <c r="M101" s="14"/>
      <c r="N101" s="14"/>
      <c r="P101" s="14"/>
      <c r="Q101" s="14"/>
      <c r="R101" s="14"/>
    </row>
    <row r="102" spans="1:18">
      <c r="A102" s="14" t="s">
        <v>195</v>
      </c>
      <c r="D102" s="14"/>
      <c r="F102" s="14"/>
      <c r="G102" s="14"/>
      <c r="H102" s="14"/>
      <c r="I102" s="14"/>
      <c r="J102" s="14"/>
      <c r="K102" s="14"/>
      <c r="L102" s="14"/>
      <c r="M102" s="14"/>
      <c r="N102" s="14"/>
      <c r="P102" s="14"/>
      <c r="Q102" s="14"/>
      <c r="R102" s="14"/>
    </row>
    <row r="103" spans="1:18">
      <c r="A103" s="14" t="s">
        <v>4246</v>
      </c>
      <c r="B103" s="14"/>
      <c r="C103" s="14"/>
      <c r="D103" s="14"/>
      <c r="F103" s="14"/>
      <c r="G103" s="14"/>
      <c r="H103" s="14"/>
      <c r="I103" s="14"/>
      <c r="J103" s="14"/>
      <c r="K103" s="14"/>
      <c r="L103" s="14"/>
      <c r="M103" s="14"/>
      <c r="N103" s="14"/>
      <c r="P103" s="14"/>
      <c r="Q103" s="14"/>
      <c r="R103" s="14"/>
    </row>
    <row r="104" spans="1:18">
      <c r="A104" s="9">
        <v>65363</v>
      </c>
      <c r="B104" s="14" t="s">
        <v>0</v>
      </c>
      <c r="C104" s="14" t="s">
        <v>209</v>
      </c>
      <c r="D104" s="14" t="s">
        <v>3627</v>
      </c>
      <c r="E104" s="15" t="str">
        <f>HYPERLINK("https://stat100.ameba.jp/tnk47/ratio20/illustrations/card/ill_65363_yukihimemomijihime03.jpg?201904-2-RELEASE-unionbattle-403x", "■")</f>
        <v>■</v>
      </c>
      <c r="F104" s="14" t="s">
        <v>3626</v>
      </c>
      <c r="G104" s="14">
        <v>94886</v>
      </c>
      <c r="H104" s="14">
        <v>88226</v>
      </c>
      <c r="I104" s="14">
        <v>22</v>
      </c>
      <c r="J104" s="14" t="s">
        <v>38</v>
      </c>
      <c r="K104" s="14" t="s">
        <v>3628</v>
      </c>
      <c r="L104" s="14" t="s">
        <v>3629</v>
      </c>
      <c r="M104" s="14" t="s">
        <v>9158</v>
      </c>
      <c r="N104" s="14" t="s">
        <v>9158</v>
      </c>
      <c r="O104" s="14" t="s">
        <v>9158</v>
      </c>
      <c r="P104" s="14" t="s">
        <v>9158</v>
      </c>
      <c r="Q104" s="14" t="s">
        <v>9158</v>
      </c>
      <c r="R104" s="14"/>
    </row>
    <row r="105" spans="1:18">
      <c r="A105" s="9">
        <v>65373</v>
      </c>
      <c r="B105" s="14" t="s">
        <v>0</v>
      </c>
      <c r="C105" s="14" t="s">
        <v>203</v>
      </c>
      <c r="D105" s="14" t="s">
        <v>3630</v>
      </c>
      <c r="E105" s="15" t="str">
        <f>HYPERLINK("https://stat100.ameba.jp/tnk47/ratio20/illustrations/card/ill_65373_kotetsu03.jpg?201904-2-RELEASE-unionbattle-403x", "■")</f>
        <v>■</v>
      </c>
      <c r="F105" s="14" t="s">
        <v>3631</v>
      </c>
      <c r="G105" s="14">
        <v>94886</v>
      </c>
      <c r="H105" s="14">
        <v>88226</v>
      </c>
      <c r="I105" s="14">
        <v>22</v>
      </c>
      <c r="J105" s="14" t="s">
        <v>16</v>
      </c>
      <c r="K105" s="14" t="s">
        <v>3632</v>
      </c>
      <c r="L105" s="14" t="s">
        <v>3633</v>
      </c>
      <c r="M105" s="14" t="s">
        <v>9158</v>
      </c>
      <c r="N105" s="14" t="s">
        <v>9158</v>
      </c>
      <c r="O105" s="14" t="s">
        <v>9158</v>
      </c>
      <c r="P105" s="14" t="s">
        <v>9158</v>
      </c>
      <c r="Q105" s="14" t="s">
        <v>9158</v>
      </c>
      <c r="R105" s="14"/>
    </row>
    <row r="106" spans="1:18">
      <c r="A106" s="9">
        <v>64273</v>
      </c>
      <c r="B106" s="14" t="s">
        <v>0</v>
      </c>
      <c r="C106" s="14" t="s">
        <v>203</v>
      </c>
      <c r="D106" s="14" t="s">
        <v>3634</v>
      </c>
      <c r="E106" s="15" t="str">
        <f>HYPERLINK("https://stat100.ameba.jp/tnk47/ratio20/illustrations/card/ill_64273_machingubandokinshi03.jpg?201904-2-RELEASE-unionbattle-403x", "■")</f>
        <v>■</v>
      </c>
      <c r="F106" s="14" t="s">
        <v>3635</v>
      </c>
      <c r="G106" s="14">
        <v>89736</v>
      </c>
      <c r="H106" s="14">
        <v>83426</v>
      </c>
      <c r="I106" s="14">
        <v>22</v>
      </c>
      <c r="J106" s="14" t="s">
        <v>44</v>
      </c>
      <c r="K106" s="14" t="s">
        <v>3636</v>
      </c>
      <c r="L106" s="14" t="s">
        <v>1860</v>
      </c>
      <c r="M106" s="14" t="s">
        <v>9158</v>
      </c>
      <c r="N106" s="14" t="s">
        <v>9158</v>
      </c>
      <c r="O106" s="14" t="s">
        <v>9158</v>
      </c>
      <c r="P106" s="14" t="s">
        <v>9158</v>
      </c>
      <c r="Q106" s="14" t="s">
        <v>9158</v>
      </c>
      <c r="R106" s="14"/>
    </row>
    <row r="107" spans="1:18">
      <c r="A107" s="9">
        <v>67243</v>
      </c>
      <c r="B107" s="14" t="s">
        <v>0</v>
      </c>
      <c r="C107" s="14" t="s">
        <v>205</v>
      </c>
      <c r="D107" s="14" t="s">
        <v>3637</v>
      </c>
      <c r="E107" s="15" t="str">
        <f>HYPERLINK("https://stat100.ameba.jp/tnk47/ratio20/illustrations/card/ill_67243_onsenyadomoryo03.jpg?201904-2-RELEASE-unionbattle-403x", "■")</f>
        <v>■</v>
      </c>
      <c r="F107" s="14" t="s">
        <v>3638</v>
      </c>
      <c r="G107" s="14">
        <v>85246</v>
      </c>
      <c r="H107" s="14">
        <v>91664</v>
      </c>
      <c r="I107" s="14">
        <v>22</v>
      </c>
      <c r="J107" s="14" t="s">
        <v>73</v>
      </c>
      <c r="K107" s="14" t="s">
        <v>3639</v>
      </c>
      <c r="L107" s="14" t="s">
        <v>3640</v>
      </c>
      <c r="M107" s="14" t="s">
        <v>9158</v>
      </c>
      <c r="N107" s="14" t="s">
        <v>9158</v>
      </c>
      <c r="O107" s="14" t="s">
        <v>9158</v>
      </c>
      <c r="P107" s="14" t="s">
        <v>9158</v>
      </c>
      <c r="Q107" s="14" t="s">
        <v>9158</v>
      </c>
      <c r="R107" s="14"/>
    </row>
    <row r="108" spans="1:18">
      <c r="B108" s="14"/>
      <c r="C108" s="14"/>
      <c r="D108" s="14"/>
      <c r="F108" s="14"/>
      <c r="G108" s="14"/>
      <c r="H108" s="14"/>
      <c r="I108" s="14"/>
      <c r="J108" s="14"/>
      <c r="K108" s="14"/>
      <c r="L108" s="14"/>
      <c r="M108" s="14"/>
      <c r="N108" s="14"/>
      <c r="P108" s="14"/>
      <c r="Q108" s="14"/>
      <c r="R108" s="14"/>
    </row>
    <row r="109" spans="1:18">
      <c r="A109" s="14" t="s">
        <v>132</v>
      </c>
      <c r="D109" s="14"/>
      <c r="F109" s="14"/>
      <c r="G109" s="14"/>
      <c r="H109" s="14"/>
      <c r="I109" s="14"/>
      <c r="J109" s="14"/>
      <c r="K109" s="14"/>
      <c r="L109" s="14"/>
      <c r="M109" s="14"/>
      <c r="N109" s="14"/>
      <c r="P109" s="14"/>
      <c r="Q109" s="14"/>
      <c r="R109" s="14"/>
    </row>
    <row r="110" spans="1:18">
      <c r="A110" s="14" t="s">
        <v>4259</v>
      </c>
      <c r="B110" s="14"/>
      <c r="C110" s="14"/>
      <c r="D110" s="14"/>
      <c r="F110" s="14"/>
      <c r="G110" s="14"/>
      <c r="H110" s="14"/>
      <c r="I110" s="14"/>
      <c r="J110" s="14"/>
      <c r="K110" s="14"/>
      <c r="L110" s="14"/>
      <c r="M110" s="14"/>
      <c r="N110" s="14"/>
      <c r="P110" s="14"/>
      <c r="Q110" s="14"/>
      <c r="R110" s="14"/>
    </row>
    <row r="111" spans="1:18">
      <c r="A111" s="9">
        <v>69465</v>
      </c>
      <c r="B111" s="14" t="s">
        <v>334</v>
      </c>
      <c r="C111" s="14" t="s">
        <v>202</v>
      </c>
      <c r="D111" s="14" t="s">
        <v>880</v>
      </c>
      <c r="E111" s="15" t="str">
        <f>HYPERLINK("https://stat100.ameba.jp/tnk47/ratio20/illustrations/card/ill_69465_kinnokaminohi05.jpg?201904-2-RELEASE-unionbattle-403x", "■")</f>
        <v>■</v>
      </c>
      <c r="F111" s="14" t="s">
        <v>881</v>
      </c>
      <c r="G111" s="14">
        <v>68444</v>
      </c>
      <c r="H111" s="14">
        <v>50276</v>
      </c>
      <c r="I111" s="14">
        <v>22</v>
      </c>
      <c r="J111" s="14" t="s">
        <v>320</v>
      </c>
      <c r="K111" s="14" t="s">
        <v>882</v>
      </c>
      <c r="L111" s="14" t="s">
        <v>883</v>
      </c>
      <c r="M111" s="14" t="s">
        <v>9158</v>
      </c>
      <c r="N111" s="14" t="s">
        <v>9158</v>
      </c>
      <c r="O111" s="14" t="s">
        <v>9158</v>
      </c>
      <c r="P111" s="14" t="s">
        <v>9158</v>
      </c>
      <c r="Q111" s="14" t="s">
        <v>9158</v>
      </c>
      <c r="R111" s="14" t="s">
        <v>174</v>
      </c>
    </row>
    <row r="112" spans="1:18">
      <c r="A112" s="9">
        <v>69463</v>
      </c>
      <c r="B112" s="14" t="s">
        <v>348</v>
      </c>
      <c r="C112" s="14" t="s">
        <v>203</v>
      </c>
      <c r="D112" s="14" t="s">
        <v>880</v>
      </c>
      <c r="E112" s="15" t="str">
        <f>HYPERLINK("https://stat100.ameba.jp/tnk47/ratio20/illustrations/card/ill_69463_kinnokaminohi03.jpg?201904-2-RELEASE-unionbattle-403x", "■")</f>
        <v>■</v>
      </c>
      <c r="F112" s="14" t="s">
        <v>881</v>
      </c>
      <c r="G112" s="14">
        <v>53966</v>
      </c>
      <c r="H112" s="14">
        <v>39204</v>
      </c>
      <c r="I112" s="14">
        <v>22</v>
      </c>
      <c r="J112" s="14" t="s">
        <v>320</v>
      </c>
      <c r="K112" s="14" t="s">
        <v>882</v>
      </c>
      <c r="L112" s="14" t="s">
        <v>884</v>
      </c>
      <c r="M112" s="14" t="s">
        <v>9158</v>
      </c>
      <c r="N112" s="14" t="s">
        <v>9158</v>
      </c>
      <c r="O112" s="14" t="s">
        <v>9158</v>
      </c>
      <c r="P112" s="14" t="s">
        <v>9158</v>
      </c>
      <c r="Q112" s="14" t="s">
        <v>9158</v>
      </c>
      <c r="R112" s="14" t="s">
        <v>175</v>
      </c>
    </row>
    <row r="113" spans="1:18">
      <c r="A113" s="9">
        <v>69461</v>
      </c>
      <c r="B113" s="14" t="s">
        <v>348</v>
      </c>
      <c r="C113" s="14" t="s">
        <v>203</v>
      </c>
      <c r="D113" s="14" t="s">
        <v>880</v>
      </c>
      <c r="E113" s="15" t="str">
        <f>HYPERLINK("https://stat100.ameba.jp/tnk47/ratio20/illustrations/card/ill_69461_kinnokaminohi01.jpg?201904-2-RELEASE-unionbattle-403x", "■")</f>
        <v>■</v>
      </c>
      <c r="F113" s="14" t="s">
        <v>881</v>
      </c>
      <c r="G113" s="14">
        <v>39600</v>
      </c>
      <c r="H113" s="14">
        <v>28600</v>
      </c>
      <c r="I113" s="14">
        <v>22</v>
      </c>
      <c r="J113" s="14" t="s">
        <v>320</v>
      </c>
      <c r="K113" s="14" t="s">
        <v>882</v>
      </c>
      <c r="L113" s="14" t="s">
        <v>885</v>
      </c>
      <c r="M113" s="14" t="s">
        <v>9158</v>
      </c>
      <c r="N113" s="14" t="s">
        <v>9158</v>
      </c>
      <c r="O113" s="14" t="s">
        <v>9158</v>
      </c>
      <c r="P113" s="14" t="s">
        <v>9158</v>
      </c>
      <c r="Q113" s="14" t="s">
        <v>9158</v>
      </c>
      <c r="R113" s="14" t="s">
        <v>176</v>
      </c>
    </row>
    <row r="114" spans="1:18">
      <c r="A114" s="9">
        <v>70575</v>
      </c>
      <c r="B114" s="14" t="s">
        <v>334</v>
      </c>
      <c r="C114" s="14" t="s">
        <v>209</v>
      </c>
      <c r="D114" s="14" t="s">
        <v>1312</v>
      </c>
      <c r="E114" s="15" t="str">
        <f>HYPERLINK("https://stat100.ameba.jp/tnk47/ratio20/illustrations/card/ill_70575_hayashikimuko05.jpg?201904-2-RELEASE-unionbattle-403x", "■")</f>
        <v>■</v>
      </c>
      <c r="F114" s="14" t="s">
        <v>1313</v>
      </c>
      <c r="G114" s="14">
        <v>108588</v>
      </c>
      <c r="H114" s="14">
        <v>78612</v>
      </c>
      <c r="I114" s="14">
        <v>22</v>
      </c>
      <c r="J114" s="14" t="s">
        <v>77</v>
      </c>
      <c r="K114" s="14" t="s">
        <v>1314</v>
      </c>
      <c r="L114" s="14" t="s">
        <v>76</v>
      </c>
      <c r="M114" s="14" t="s">
        <v>9158</v>
      </c>
      <c r="N114" s="14" t="s">
        <v>9158</v>
      </c>
      <c r="O114" s="14" t="s">
        <v>9158</v>
      </c>
      <c r="P114" s="14" t="s">
        <v>9158</v>
      </c>
      <c r="Q114" s="14" t="s">
        <v>9158</v>
      </c>
      <c r="R114" s="14" t="s">
        <v>174</v>
      </c>
    </row>
    <row r="115" spans="1:18">
      <c r="A115" s="9">
        <v>70573</v>
      </c>
      <c r="B115" s="14" t="s">
        <v>15</v>
      </c>
      <c r="C115" s="14" t="s">
        <v>200</v>
      </c>
      <c r="D115" s="14" t="s">
        <v>1312</v>
      </c>
      <c r="E115" s="15" t="str">
        <f>HYPERLINK("https://stat100.ameba.jp/tnk47/ratio20/illustrations/card/ill_70573_hayashikimuko03.jpg?201904-2-RELEASE-unionbattle-403x", "■")</f>
        <v>■</v>
      </c>
      <c r="F115" s="14" t="s">
        <v>1313</v>
      </c>
      <c r="G115" s="14">
        <v>79998</v>
      </c>
      <c r="H115" s="14">
        <v>57916</v>
      </c>
      <c r="I115" s="14">
        <v>22</v>
      </c>
      <c r="J115" s="14" t="s">
        <v>77</v>
      </c>
      <c r="K115" s="14" t="s">
        <v>1314</v>
      </c>
      <c r="L115" s="14" t="s">
        <v>1315</v>
      </c>
      <c r="M115" s="14" t="s">
        <v>9158</v>
      </c>
      <c r="N115" s="14" t="s">
        <v>9158</v>
      </c>
      <c r="O115" s="14" t="s">
        <v>9158</v>
      </c>
      <c r="P115" s="14" t="s">
        <v>9158</v>
      </c>
      <c r="Q115" s="14" t="s">
        <v>9158</v>
      </c>
      <c r="R115" s="14" t="s">
        <v>175</v>
      </c>
    </row>
    <row r="116" spans="1:18">
      <c r="A116" s="9">
        <v>70571</v>
      </c>
      <c r="B116" s="14" t="s">
        <v>15</v>
      </c>
      <c r="C116" s="14" t="s">
        <v>200</v>
      </c>
      <c r="D116" s="14" t="s">
        <v>1312</v>
      </c>
      <c r="E116" s="15" t="str">
        <f>HYPERLINK("https://stat100.ameba.jp/tnk47/ratio20/illustrations/card/ill_70571_hayashikimuko01.jpg?201904-2-RELEASE-unionbattle-403x", "■")</f>
        <v>■</v>
      </c>
      <c r="F116" s="14" t="s">
        <v>1313</v>
      </c>
      <c r="G116" s="14">
        <v>50886</v>
      </c>
      <c r="H116" s="14">
        <v>36828</v>
      </c>
      <c r="I116" s="14">
        <v>22</v>
      </c>
      <c r="J116" s="14" t="s">
        <v>77</v>
      </c>
      <c r="K116" s="14" t="s">
        <v>1314</v>
      </c>
      <c r="L116" s="14" t="s">
        <v>1316</v>
      </c>
      <c r="M116" s="14" t="s">
        <v>9158</v>
      </c>
      <c r="N116" s="14" t="s">
        <v>9158</v>
      </c>
      <c r="O116" s="14" t="s">
        <v>9158</v>
      </c>
      <c r="P116" s="14" t="s">
        <v>9158</v>
      </c>
      <c r="Q116" s="14" t="s">
        <v>9158</v>
      </c>
      <c r="R116" s="14" t="s">
        <v>176</v>
      </c>
    </row>
    <row r="117" spans="1:18">
      <c r="A117" s="9">
        <v>68655</v>
      </c>
      <c r="B117" s="14" t="s">
        <v>334</v>
      </c>
      <c r="C117" s="14" t="s">
        <v>41</v>
      </c>
      <c r="D117" s="14" t="s">
        <v>529</v>
      </c>
      <c r="E117" s="15" t="str">
        <f>HYPERLINK("https://stat100.ameba.jp/tnk47/ratio20/illustrations/card/ill_68655_hariharinabe05.jpg?201904-2-RELEASE-unionbattle-403x", "■")</f>
        <v>■</v>
      </c>
      <c r="F117" s="14" t="s">
        <v>530</v>
      </c>
      <c r="G117" s="14">
        <v>110348</v>
      </c>
      <c r="H117" s="14">
        <v>79912</v>
      </c>
      <c r="I117" s="14">
        <v>22</v>
      </c>
      <c r="J117" s="14" t="s">
        <v>283</v>
      </c>
      <c r="K117" s="14" t="s">
        <v>531</v>
      </c>
      <c r="L117" s="14" t="s">
        <v>532</v>
      </c>
      <c r="M117" s="14" t="s">
        <v>9158</v>
      </c>
      <c r="N117" s="14" t="s">
        <v>9158</v>
      </c>
      <c r="O117" s="14" t="s">
        <v>9158</v>
      </c>
      <c r="P117" s="14" t="s">
        <v>9158</v>
      </c>
      <c r="Q117" s="14" t="s">
        <v>9158</v>
      </c>
      <c r="R117" s="14" t="s">
        <v>174</v>
      </c>
    </row>
    <row r="118" spans="1:18">
      <c r="A118" s="9">
        <v>68653</v>
      </c>
      <c r="B118" s="14" t="s">
        <v>348</v>
      </c>
      <c r="C118" s="14" t="s">
        <v>165</v>
      </c>
      <c r="D118" s="14" t="s">
        <v>529</v>
      </c>
      <c r="E118" s="15" t="str">
        <f>HYPERLINK("https://stat100.ameba.jp/tnk47/ratio20/illustrations/card/ill_68653_hariharinabe03.jpg?201904-2-RELEASE-unionbattle-403x", "■")</f>
        <v>■</v>
      </c>
      <c r="F118" s="14" t="s">
        <v>530</v>
      </c>
      <c r="G118" s="14">
        <v>81316</v>
      </c>
      <c r="H118" s="14">
        <v>58868</v>
      </c>
      <c r="I118" s="14">
        <v>22</v>
      </c>
      <c r="J118" s="14" t="s">
        <v>283</v>
      </c>
      <c r="K118" s="14" t="s">
        <v>531</v>
      </c>
      <c r="L118" s="14" t="s">
        <v>533</v>
      </c>
      <c r="M118" s="14" t="s">
        <v>9158</v>
      </c>
      <c r="N118" s="14" t="s">
        <v>9158</v>
      </c>
      <c r="O118" s="14" t="s">
        <v>9158</v>
      </c>
      <c r="P118" s="14" t="s">
        <v>9158</v>
      </c>
      <c r="Q118" s="14" t="s">
        <v>9158</v>
      </c>
      <c r="R118" s="14" t="s">
        <v>175</v>
      </c>
    </row>
    <row r="119" spans="1:18">
      <c r="A119" s="9">
        <v>68651</v>
      </c>
      <c r="B119" s="14" t="s">
        <v>348</v>
      </c>
      <c r="C119" s="14" t="s">
        <v>165</v>
      </c>
      <c r="D119" s="14" t="s">
        <v>529</v>
      </c>
      <c r="E119" s="15" t="str">
        <f>HYPERLINK("https://stat100.ameba.jp/tnk47/ratio20/illustrations/card/ill_68651_hariharinabe01.jpg?201904-2-RELEASE-unionbattle-403x", "■")</f>
        <v>■</v>
      </c>
      <c r="F119" s="14" t="s">
        <v>530</v>
      </c>
      <c r="G119" s="14">
        <v>51722</v>
      </c>
      <c r="H119" s="14">
        <v>37444</v>
      </c>
      <c r="I119" s="14">
        <v>22</v>
      </c>
      <c r="J119" s="14" t="s">
        <v>283</v>
      </c>
      <c r="K119" s="14" t="s">
        <v>531</v>
      </c>
      <c r="L119" s="14" t="s">
        <v>534</v>
      </c>
      <c r="M119" s="14" t="s">
        <v>9158</v>
      </c>
      <c r="N119" s="14" t="s">
        <v>9158</v>
      </c>
      <c r="O119" s="14" t="s">
        <v>9158</v>
      </c>
      <c r="P119" s="14" t="s">
        <v>9158</v>
      </c>
      <c r="Q119" s="14" t="s">
        <v>9158</v>
      </c>
      <c r="R119" s="14" t="s">
        <v>176</v>
      </c>
    </row>
    <row r="120" spans="1:18">
      <c r="B120" s="14"/>
      <c r="C120" s="14"/>
      <c r="D120" s="14"/>
      <c r="F120" s="14"/>
      <c r="G120" s="14"/>
      <c r="H120" s="14"/>
      <c r="I120" s="14"/>
      <c r="J120" s="14"/>
      <c r="K120" s="14"/>
      <c r="L120" s="14"/>
      <c r="M120" s="14"/>
      <c r="N120" s="14"/>
      <c r="P120" s="14"/>
      <c r="Q120" s="14"/>
      <c r="R120" s="14"/>
    </row>
    <row r="121" spans="1:18">
      <c r="A121" s="14" t="s">
        <v>199</v>
      </c>
      <c r="D121" s="14"/>
      <c r="F121" s="14"/>
      <c r="G121" s="14"/>
      <c r="H121" s="14"/>
      <c r="I121" s="14"/>
      <c r="J121" s="14"/>
      <c r="K121" s="14"/>
      <c r="L121" s="14"/>
      <c r="M121" s="14"/>
      <c r="N121" s="14"/>
      <c r="P121" s="14"/>
      <c r="Q121" s="14"/>
      <c r="R121" s="14"/>
    </row>
    <row r="122" spans="1:18">
      <c r="A122" s="14" t="s">
        <v>4260</v>
      </c>
      <c r="B122" s="14"/>
      <c r="C122" s="14"/>
      <c r="D122" s="14"/>
      <c r="F122" s="14"/>
      <c r="G122" s="14"/>
      <c r="H122" s="14"/>
      <c r="I122" s="14"/>
      <c r="J122" s="14"/>
      <c r="K122" s="14"/>
      <c r="L122" s="14"/>
      <c r="M122" s="14"/>
      <c r="N122" s="14"/>
      <c r="P122" s="14"/>
      <c r="Q122" s="14"/>
      <c r="R122" s="14"/>
    </row>
    <row r="123" spans="1:18">
      <c r="A123" s="9" t="s">
        <v>5618</v>
      </c>
      <c r="B123" s="14" t="s">
        <v>52</v>
      </c>
      <c r="C123" s="14" t="s">
        <v>23</v>
      </c>
      <c r="D123" s="14" t="s">
        <v>83</v>
      </c>
      <c r="E123" s="15" t="str">
        <f>HYPERLINK("https://stat100.ameba.jp/tnk47/ratio20/illustrations/card/ill_63173_0_minazukikonakaiteruko03.jpg?201904-2-RELEASE-unionbattle-403x", "■")</f>
        <v>■</v>
      </c>
      <c r="F123" s="14" t="s">
        <v>1188</v>
      </c>
      <c r="G123" s="14">
        <v>130194</v>
      </c>
      <c r="H123" s="14">
        <v>140016</v>
      </c>
      <c r="I123" s="14">
        <v>15</v>
      </c>
      <c r="J123" s="14" t="s">
        <v>143</v>
      </c>
      <c r="K123" s="14" t="s">
        <v>1189</v>
      </c>
      <c r="L123" s="14" t="s">
        <v>1190</v>
      </c>
      <c r="M123" s="14" t="s">
        <v>9158</v>
      </c>
      <c r="N123" s="14" t="s">
        <v>9158</v>
      </c>
      <c r="O123" s="9" t="s">
        <v>3328</v>
      </c>
      <c r="P123" s="14" t="s">
        <v>3329</v>
      </c>
      <c r="Q123" s="14">
        <v>1</v>
      </c>
      <c r="R123" s="14"/>
    </row>
    <row r="124" spans="1:18">
      <c r="A124" s="9" t="s">
        <v>5724</v>
      </c>
      <c r="B124" s="14" t="s">
        <v>330</v>
      </c>
      <c r="C124" s="14" t="s">
        <v>335</v>
      </c>
      <c r="D124" s="14" t="s">
        <v>698</v>
      </c>
      <c r="E124" s="15" t="str">
        <f>HYPERLINK("https://stat100.ameba.jp/tnk47/ratio20/illustrations/card/ill_66433_0_haroinfujishirogozen03.jpg?201904-2-RELEASE-unionbattle-403x", "■")</f>
        <v>■</v>
      </c>
      <c r="F124" s="14" t="s">
        <v>699</v>
      </c>
      <c r="G124" s="14">
        <v>91807</v>
      </c>
      <c r="H124" s="14">
        <v>98751</v>
      </c>
      <c r="I124" s="14">
        <v>15</v>
      </c>
      <c r="J124" s="14" t="s">
        <v>315</v>
      </c>
      <c r="K124" s="14" t="s">
        <v>700</v>
      </c>
      <c r="L124" s="14" t="s">
        <v>701</v>
      </c>
      <c r="M124" s="14" t="s">
        <v>9158</v>
      </c>
      <c r="N124" s="14" t="s">
        <v>9158</v>
      </c>
      <c r="O124" s="17" t="s">
        <v>10062</v>
      </c>
      <c r="P124" s="14" t="s">
        <v>3345</v>
      </c>
      <c r="Q124" s="14">
        <v>1</v>
      </c>
      <c r="R124" s="14"/>
    </row>
    <row r="125" spans="1:18">
      <c r="A125" s="9" t="s">
        <v>5608</v>
      </c>
      <c r="B125" s="14" t="s">
        <v>330</v>
      </c>
      <c r="C125" s="14" t="s">
        <v>165</v>
      </c>
      <c r="D125" s="14" t="s">
        <v>1359</v>
      </c>
      <c r="E125" s="15" t="str">
        <f>HYPERLINK("https://stat100.ameba.jp/tnk47/ratio20/illustrations/card/ill_40963_0_makami03.jpg?201904-2-RELEASE-unionbattle-403x", "■")</f>
        <v>■</v>
      </c>
      <c r="F125" s="14" t="s">
        <v>635</v>
      </c>
      <c r="G125" s="14">
        <v>87780</v>
      </c>
      <c r="H125" s="14">
        <v>82212</v>
      </c>
      <c r="I125" s="14">
        <v>15</v>
      </c>
      <c r="J125" s="14" t="s">
        <v>401</v>
      </c>
      <c r="K125" s="14" t="s">
        <v>636</v>
      </c>
      <c r="L125" s="14" t="s">
        <v>637</v>
      </c>
      <c r="M125" s="14" t="s">
        <v>9158</v>
      </c>
      <c r="N125" s="14" t="s">
        <v>9158</v>
      </c>
      <c r="O125" s="14" t="s">
        <v>9158</v>
      </c>
      <c r="P125" s="14" t="s">
        <v>9158</v>
      </c>
      <c r="Q125" s="14" t="s">
        <v>9158</v>
      </c>
      <c r="R125" s="14"/>
    </row>
    <row r="126" spans="1:18">
      <c r="A126" s="9">
        <v>73113</v>
      </c>
      <c r="B126" s="14" t="s">
        <v>334</v>
      </c>
      <c r="C126" s="14" t="s">
        <v>191</v>
      </c>
      <c r="D126" s="14" t="s">
        <v>3156</v>
      </c>
      <c r="E126" s="15" t="str">
        <f>HYPERLINK("https://stat100.ameba.jp/tnk47/ratio20/illustrations/card/ill_73113_kinasanosatokijomomiji03.jpg?201904-2-RELEASE-unionbattle-403x", "■")</f>
        <v>■</v>
      </c>
      <c r="F126" s="14" t="s">
        <v>3157</v>
      </c>
      <c r="G126" s="14">
        <v>95830</v>
      </c>
      <c r="H126" s="14">
        <v>89121</v>
      </c>
      <c r="I126" s="14">
        <v>23</v>
      </c>
      <c r="J126" s="14" t="s">
        <v>320</v>
      </c>
      <c r="K126" s="14" t="s">
        <v>3158</v>
      </c>
      <c r="L126" s="14" t="s">
        <v>2956</v>
      </c>
      <c r="M126" s="14" t="s">
        <v>9158</v>
      </c>
      <c r="N126" s="14" t="s">
        <v>9158</v>
      </c>
      <c r="O126" s="14" t="s">
        <v>9158</v>
      </c>
      <c r="P126" s="14" t="s">
        <v>9158</v>
      </c>
      <c r="Q126" s="14" t="s">
        <v>9158</v>
      </c>
      <c r="R126" s="14"/>
    </row>
    <row r="127" spans="1:18">
      <c r="A127" s="9">
        <v>72523</v>
      </c>
      <c r="B127" s="14" t="s">
        <v>334</v>
      </c>
      <c r="C127" s="14" t="s">
        <v>96</v>
      </c>
      <c r="D127" s="14" t="s">
        <v>4261</v>
      </c>
      <c r="E127" s="15" t="str">
        <f>HYPERLINK("https://stat100.ameba.jp/tnk47/ratio20/illustrations/card/ill_72523_safuaripakunakisawame03.jpg?201904-2-RELEASE-unionbattle-403x", "■")</f>
        <v>■</v>
      </c>
      <c r="F127" s="14" t="s">
        <v>4264</v>
      </c>
      <c r="G127" s="14">
        <v>87218</v>
      </c>
      <c r="H127" s="14">
        <v>93813</v>
      </c>
      <c r="I127" s="14">
        <v>23</v>
      </c>
      <c r="J127" s="14" t="s">
        <v>401</v>
      </c>
      <c r="K127" s="14" t="s">
        <v>4262</v>
      </c>
      <c r="L127" s="14" t="s">
        <v>4263</v>
      </c>
      <c r="M127" s="14" t="s">
        <v>9158</v>
      </c>
      <c r="N127" s="14" t="s">
        <v>9158</v>
      </c>
      <c r="O127" s="14" t="s">
        <v>9158</v>
      </c>
      <c r="P127" s="14" t="s">
        <v>9158</v>
      </c>
      <c r="Q127" s="14" t="s">
        <v>9158</v>
      </c>
      <c r="R127" s="14"/>
    </row>
    <row r="128" spans="1:18">
      <c r="A128" s="9">
        <v>61433</v>
      </c>
      <c r="B128" s="14" t="s">
        <v>0</v>
      </c>
      <c r="C128" s="14" t="s">
        <v>23</v>
      </c>
      <c r="D128" s="14" t="s">
        <v>74</v>
      </c>
      <c r="E128" s="15" t="str">
        <f>HYPERLINK("https://stat100.ameba.jp/tnk47/ratio20/illustrations/card/ill_61433_isehime03.jpg?201904-2-RELEASE-unionbattle-403x", "■")</f>
        <v>■</v>
      </c>
      <c r="F128" s="14" t="s">
        <v>78</v>
      </c>
      <c r="G128" s="14">
        <v>100519</v>
      </c>
      <c r="H128" s="14">
        <v>72819</v>
      </c>
      <c r="I128" s="14">
        <v>23</v>
      </c>
      <c r="J128" s="14" t="s">
        <v>77</v>
      </c>
      <c r="K128" s="14" t="s">
        <v>75</v>
      </c>
      <c r="L128" s="14" t="s">
        <v>76</v>
      </c>
      <c r="M128" s="14" t="s">
        <v>9158</v>
      </c>
      <c r="N128" s="14" t="s">
        <v>9158</v>
      </c>
      <c r="O128" s="9" t="s">
        <v>2717</v>
      </c>
      <c r="P128" s="14" t="s">
        <v>13123</v>
      </c>
      <c r="Q128" s="14">
        <v>1</v>
      </c>
      <c r="R128" s="14"/>
    </row>
    <row r="129" spans="1:18">
      <c r="B129" s="14"/>
      <c r="C129" s="14"/>
      <c r="D129" s="14"/>
      <c r="F129" s="14"/>
      <c r="G129" s="14"/>
      <c r="H129" s="14"/>
      <c r="I129" s="14"/>
      <c r="J129" s="14"/>
      <c r="K129" s="14"/>
      <c r="L129" s="14"/>
      <c r="M129" s="14"/>
      <c r="N129" s="14"/>
      <c r="P129" s="14"/>
      <c r="Q129" s="14"/>
      <c r="R129" s="14"/>
    </row>
    <row r="130" spans="1:18">
      <c r="A130" s="14" t="s">
        <v>4265</v>
      </c>
      <c r="F130" s="14"/>
      <c r="G130" s="14"/>
      <c r="H130" s="14"/>
      <c r="I130" s="14"/>
      <c r="J130" s="14"/>
      <c r="K130" s="14"/>
      <c r="L130" s="14"/>
      <c r="M130" s="14"/>
      <c r="N130" s="14"/>
      <c r="P130" s="14"/>
      <c r="Q130" s="14"/>
      <c r="R130" s="14"/>
    </row>
    <row r="131" spans="1:18">
      <c r="A131" s="14" t="s">
        <v>4266</v>
      </c>
      <c r="C131" s="14"/>
      <c r="D131" s="14"/>
      <c r="F131" s="14"/>
      <c r="G131" s="14"/>
      <c r="H131" s="14"/>
      <c r="I131" s="14"/>
      <c r="J131" s="14"/>
      <c r="K131" s="14"/>
      <c r="L131" s="14"/>
      <c r="M131" s="14"/>
      <c r="N131" s="14"/>
      <c r="P131" s="14"/>
      <c r="Q131" s="14"/>
      <c r="R131" s="14"/>
    </row>
    <row r="132" spans="1:18">
      <c r="A132" s="14" t="s">
        <v>11485</v>
      </c>
      <c r="B132" s="14"/>
      <c r="C132" s="14"/>
      <c r="D132" s="14"/>
      <c r="F132" s="14"/>
      <c r="G132" s="14"/>
      <c r="H132" s="14"/>
      <c r="I132" s="14"/>
      <c r="J132" s="14"/>
      <c r="K132" s="14"/>
      <c r="L132" s="14"/>
      <c r="M132" s="14"/>
      <c r="N132" s="14"/>
      <c r="P132" s="14"/>
      <c r="Q132" s="14"/>
      <c r="R132" s="14"/>
    </row>
    <row r="133" spans="1:18">
      <c r="A133" s="9" t="s">
        <v>6905</v>
      </c>
      <c r="B133" s="14" t="s">
        <v>330</v>
      </c>
      <c r="C133" s="14" t="s">
        <v>35</v>
      </c>
      <c r="D133" s="14" t="s">
        <v>4161</v>
      </c>
      <c r="E133" s="15" t="str">
        <f>HYPERLINK("https://stat100.ameba.jp/tnk47/ratio20/illustrations/card/ill_80623_0_ohanamigurampingutominushihime03.jpg?201904-2-RELEASE-unionbattle-403x", "■")</f>
        <v>■</v>
      </c>
      <c r="F133" s="14" t="s">
        <v>4162</v>
      </c>
      <c r="G133" s="14">
        <v>180796</v>
      </c>
      <c r="H133" s="14">
        <v>163420</v>
      </c>
      <c r="I133" s="14">
        <v>15</v>
      </c>
      <c r="J133" s="14" t="s">
        <v>44</v>
      </c>
      <c r="K133" s="14" t="s">
        <v>4163</v>
      </c>
      <c r="L133" s="14" t="s">
        <v>4164</v>
      </c>
      <c r="M133" s="14" t="s">
        <v>9158</v>
      </c>
      <c r="N133" s="14" t="s">
        <v>9158</v>
      </c>
      <c r="O133" s="9" t="s">
        <v>4165</v>
      </c>
      <c r="P133" s="14" t="s">
        <v>4166</v>
      </c>
      <c r="Q133" s="14">
        <v>1</v>
      </c>
      <c r="R133" s="14"/>
    </row>
    <row r="134" spans="1:18">
      <c r="A134" s="9">
        <v>80823</v>
      </c>
      <c r="B134" s="14" t="s">
        <v>334</v>
      </c>
      <c r="C134" s="14" t="s">
        <v>96</v>
      </c>
      <c r="D134" s="14" t="s">
        <v>4267</v>
      </c>
      <c r="E134" s="15" t="str">
        <f>HYPERLINK("https://stat100.ameba.jp/tnk47/ratio20/illustrations/card/ill_80823_utatanekitanokata03.jpg?201904-2-RELEASE-unionbattle-403x", "■")</f>
        <v>■</v>
      </c>
      <c r="F134" s="14" t="s">
        <v>4268</v>
      </c>
      <c r="G134" s="14">
        <v>127130</v>
      </c>
      <c r="H134" s="14">
        <v>136729</v>
      </c>
      <c r="I134" s="14">
        <v>23</v>
      </c>
      <c r="J134" s="14" t="s">
        <v>143</v>
      </c>
      <c r="K134" s="14" t="s">
        <v>4269</v>
      </c>
      <c r="L134" s="14" t="s">
        <v>1148</v>
      </c>
      <c r="M134" s="14" t="s">
        <v>9158</v>
      </c>
      <c r="N134" s="14" t="s">
        <v>9158</v>
      </c>
      <c r="O134" s="14" t="s">
        <v>9158</v>
      </c>
      <c r="P134" s="14" t="s">
        <v>9158</v>
      </c>
      <c r="Q134" s="14" t="s">
        <v>9158</v>
      </c>
      <c r="R134" s="14"/>
    </row>
    <row r="135" spans="1:18">
      <c r="A135" s="9">
        <v>80833</v>
      </c>
      <c r="B135" s="14" t="s">
        <v>15</v>
      </c>
      <c r="C135" s="14" t="s">
        <v>14</v>
      </c>
      <c r="D135" s="14" t="s">
        <v>4270</v>
      </c>
      <c r="E135" s="15" t="str">
        <f>HYPERLINK("https://stat100.ameba.jp/tnk47/ratio20/illustrations/card/ill_80833_hanamiononokomachi03.jpg?201904-2-RELEASE-unionbattle-403x", "■")</f>
        <v>■</v>
      </c>
      <c r="F135" s="14" t="s">
        <v>4271</v>
      </c>
      <c r="G135" s="14">
        <v>65208</v>
      </c>
      <c r="H135" s="14">
        <v>59144</v>
      </c>
      <c r="I135" s="14">
        <v>22</v>
      </c>
      <c r="J135" s="14" t="s">
        <v>173</v>
      </c>
      <c r="K135" s="14" t="s">
        <v>4272</v>
      </c>
      <c r="L135" s="14" t="s">
        <v>3275</v>
      </c>
      <c r="M135" s="14" t="s">
        <v>9158</v>
      </c>
      <c r="N135" s="14" t="s">
        <v>9158</v>
      </c>
      <c r="O135" s="14" t="s">
        <v>9158</v>
      </c>
      <c r="P135" s="14" t="s">
        <v>9158</v>
      </c>
      <c r="Q135" s="14" t="s">
        <v>9158</v>
      </c>
      <c r="R135" s="14"/>
    </row>
    <row r="136" spans="1:18">
      <c r="A136" s="9">
        <v>80843</v>
      </c>
      <c r="B136" s="14" t="s">
        <v>22</v>
      </c>
      <c r="C136" s="14" t="s">
        <v>107</v>
      </c>
      <c r="D136" s="14" t="s">
        <v>4273</v>
      </c>
      <c r="E136" s="15" t="str">
        <f>HYPERLINK("https://stat100.ameba.jp/tnk47/ratio20/illustrations/card/ill_80843_sakezushi03.jpg?201904-2-RELEASE-unionbattle-403x", "■")</f>
        <v>■</v>
      </c>
      <c r="F136" s="14" t="s">
        <v>4274</v>
      </c>
      <c r="G136" s="14">
        <v>36304</v>
      </c>
      <c r="H136" s="14">
        <v>43662</v>
      </c>
      <c r="I136" s="14">
        <v>21</v>
      </c>
      <c r="J136" s="14" t="s">
        <v>104</v>
      </c>
      <c r="K136" s="14" t="s">
        <v>4275</v>
      </c>
      <c r="L136" s="14" t="s">
        <v>3839</v>
      </c>
      <c r="M136" s="14" t="s">
        <v>9158</v>
      </c>
      <c r="N136" s="14" t="s">
        <v>9158</v>
      </c>
      <c r="O136" s="14" t="s">
        <v>9158</v>
      </c>
      <c r="P136" s="14" t="s">
        <v>9158</v>
      </c>
      <c r="Q136" s="14" t="s">
        <v>9158</v>
      </c>
      <c r="R136" s="14"/>
    </row>
    <row r="137" spans="1:18">
      <c r="A137" s="9">
        <v>80853</v>
      </c>
      <c r="B137" s="14" t="s">
        <v>30</v>
      </c>
      <c r="C137" s="14" t="s">
        <v>4277</v>
      </c>
      <c r="D137" s="14" t="s">
        <v>4276</v>
      </c>
      <c r="E137" s="15" t="str">
        <f>HYPERLINK("https://stat100.ameba.jp/tnk47/ratio20/illustrations/card/ill_80853_matsu03.jpg?201904-2-RELEASE-unionbattle-403x", "■")</f>
        <v>■</v>
      </c>
      <c r="F137" s="14" t="s">
        <v>4278</v>
      </c>
      <c r="G137" s="14">
        <v>26434</v>
      </c>
      <c r="H137" s="14">
        <v>22200</v>
      </c>
      <c r="I137" s="14">
        <v>21</v>
      </c>
      <c r="J137" s="14" t="s">
        <v>77</v>
      </c>
      <c r="K137" s="14" t="s">
        <v>4279</v>
      </c>
      <c r="L137" s="14" t="s">
        <v>1818</v>
      </c>
      <c r="M137" s="14" t="s">
        <v>9158</v>
      </c>
      <c r="N137" s="14" t="s">
        <v>9158</v>
      </c>
      <c r="O137" s="14" t="s">
        <v>9158</v>
      </c>
      <c r="P137" s="14" t="s">
        <v>9158</v>
      </c>
      <c r="Q137" s="14" t="s">
        <v>9158</v>
      </c>
      <c r="R137" s="14"/>
    </row>
    <row r="138" spans="1:18">
      <c r="B138" s="14"/>
      <c r="C138" s="14"/>
      <c r="D138" s="14"/>
      <c r="F138" s="14"/>
      <c r="G138" s="14"/>
      <c r="H138" s="14"/>
      <c r="I138" s="14"/>
      <c r="J138" s="14"/>
      <c r="K138" s="14"/>
      <c r="L138" s="14"/>
      <c r="M138" s="14"/>
      <c r="N138" s="14"/>
      <c r="P138" s="14"/>
      <c r="Q138" s="14"/>
      <c r="R138" s="14"/>
    </row>
    <row r="139" spans="1:18">
      <c r="A139" s="14" t="s">
        <v>223</v>
      </c>
      <c r="D139" s="14"/>
      <c r="F139" s="14"/>
      <c r="G139" s="14"/>
      <c r="H139" s="14"/>
      <c r="I139" s="14"/>
      <c r="J139" s="14"/>
      <c r="K139" s="14"/>
      <c r="L139" s="14"/>
      <c r="M139" s="14"/>
      <c r="N139" s="14"/>
      <c r="P139" s="14"/>
      <c r="Q139" s="14"/>
      <c r="R139" s="14"/>
    </row>
    <row r="140" spans="1:18">
      <c r="A140" s="14" t="s">
        <v>4280</v>
      </c>
      <c r="B140" s="14"/>
      <c r="C140" s="14"/>
      <c r="D140" s="14"/>
      <c r="F140" s="14"/>
      <c r="G140" s="14"/>
      <c r="H140" s="14"/>
      <c r="I140" s="14"/>
      <c r="J140" s="14"/>
      <c r="K140" s="14"/>
      <c r="L140" s="14"/>
      <c r="M140" s="14"/>
      <c r="N140" s="14"/>
      <c r="P140" s="14"/>
      <c r="Q140" s="14"/>
      <c r="R140" s="14"/>
    </row>
    <row r="141" spans="1:18">
      <c r="A141" s="9" t="s">
        <v>5620</v>
      </c>
      <c r="B141" s="14" t="s">
        <v>330</v>
      </c>
      <c r="C141" s="14" t="s">
        <v>206</v>
      </c>
      <c r="D141" s="14" t="s">
        <v>669</v>
      </c>
      <c r="E141" s="15" t="str">
        <f>HYPERLINK("https://stat100.ameba.jp/tnk47/ratio20/illustrations/card/ill_67173_0_yukemuriawamorichan03.jpg?201904-2-RELEASE-unionbattle-403x", "■")</f>
        <v>■</v>
      </c>
      <c r="F141" s="14" t="s">
        <v>670</v>
      </c>
      <c r="G141" s="14">
        <v>145983</v>
      </c>
      <c r="H141" s="14">
        <v>135720</v>
      </c>
      <c r="I141" s="14">
        <v>19</v>
      </c>
      <c r="J141" s="14" t="s">
        <v>283</v>
      </c>
      <c r="K141" s="14" t="s">
        <v>671</v>
      </c>
      <c r="L141" s="14" t="s">
        <v>672</v>
      </c>
      <c r="M141" s="14" t="s">
        <v>9158</v>
      </c>
      <c r="N141" s="14" t="s">
        <v>9158</v>
      </c>
      <c r="O141" s="17" t="s">
        <v>10061</v>
      </c>
      <c r="P141" s="14" t="s">
        <v>3455</v>
      </c>
      <c r="Q141" s="14">
        <v>1</v>
      </c>
      <c r="R141" s="14"/>
    </row>
    <row r="142" spans="1:18">
      <c r="A142" s="9">
        <v>60173</v>
      </c>
      <c r="B142" s="14" t="s">
        <v>0</v>
      </c>
      <c r="C142" s="14" t="s">
        <v>41</v>
      </c>
      <c r="D142" s="14" t="s">
        <v>4281</v>
      </c>
      <c r="E142" s="15" t="str">
        <f>HYPERLINK("https://stat100.ameba.jp/tnk47/ratio20/illustrations/card/ill_60173_kugutsushi03.jpg?201904-2-RELEASE-unionbattle-403x", "■")</f>
        <v>■</v>
      </c>
      <c r="F142" s="14" t="s">
        <v>4282</v>
      </c>
      <c r="G142" s="14">
        <v>77618</v>
      </c>
      <c r="H142" s="14">
        <v>107166</v>
      </c>
      <c r="I142" s="14">
        <v>21</v>
      </c>
      <c r="J142" s="14" t="s">
        <v>38</v>
      </c>
      <c r="K142" s="14" t="s">
        <v>4283</v>
      </c>
      <c r="L142" s="14" t="s">
        <v>2714</v>
      </c>
      <c r="M142" s="14" t="s">
        <v>9158</v>
      </c>
      <c r="N142" s="14" t="s">
        <v>9158</v>
      </c>
      <c r="O142" s="9" t="s">
        <v>4284</v>
      </c>
      <c r="P142" s="14" t="s">
        <v>4285</v>
      </c>
      <c r="Q142" s="14">
        <v>1</v>
      </c>
      <c r="R142" s="14"/>
    </row>
    <row r="143" spans="1:18">
      <c r="A143" s="9">
        <v>56443</v>
      </c>
      <c r="B143" s="14" t="s">
        <v>334</v>
      </c>
      <c r="C143" s="14" t="s">
        <v>205</v>
      </c>
      <c r="D143" s="14" t="s">
        <v>1350</v>
      </c>
      <c r="E143" s="15" t="str">
        <f>HYPERLINK("https://stat100.ameba.jp/tnk47/ratio20/illustrations/card/ill_56443_poppukurisumasuizumonokuni03.jpg?201904-2-RELEASE-unionbattle-403x", "■")</f>
        <v>■</v>
      </c>
      <c r="F143" s="14" t="s">
        <v>1492</v>
      </c>
      <c r="G143" s="14">
        <v>75254</v>
      </c>
      <c r="H143" s="14">
        <v>80942</v>
      </c>
      <c r="I143" s="14">
        <v>21</v>
      </c>
      <c r="J143" s="14" t="s">
        <v>173</v>
      </c>
      <c r="K143" s="14" t="s">
        <v>1351</v>
      </c>
      <c r="L143" s="14" t="s">
        <v>13161</v>
      </c>
      <c r="M143" s="14" t="s">
        <v>9158</v>
      </c>
      <c r="N143" s="14" t="s">
        <v>9158</v>
      </c>
      <c r="O143" s="9" t="s">
        <v>3661</v>
      </c>
      <c r="P143" s="14" t="s">
        <v>3662</v>
      </c>
      <c r="Q143" s="14">
        <v>1</v>
      </c>
      <c r="R143" s="14"/>
    </row>
    <row r="144" spans="1:18">
      <c r="A144" s="9">
        <v>63283</v>
      </c>
      <c r="B144" s="14" t="s">
        <v>334</v>
      </c>
      <c r="C144" s="14" t="s">
        <v>154</v>
      </c>
      <c r="D144" s="14" t="s">
        <v>2434</v>
      </c>
      <c r="E144" s="15" t="str">
        <f>HYPERLINK("https://stat100.ameba.jp/tnk47/ratio20/illustrations/card/ill_63283_mizuyokanchan03.jpg?201904-2-RELEASE-unionbattle-403x", "■")</f>
        <v>■</v>
      </c>
      <c r="F144" s="14" t="s">
        <v>2434</v>
      </c>
      <c r="G144" s="14">
        <v>99173</v>
      </c>
      <c r="H144" s="14">
        <v>92220</v>
      </c>
      <c r="I144" s="14">
        <v>21</v>
      </c>
      <c r="J144" s="14" t="s">
        <v>216</v>
      </c>
      <c r="K144" s="14" t="s">
        <v>3562</v>
      </c>
      <c r="L144" s="14" t="s">
        <v>13184</v>
      </c>
      <c r="M144" s="14" t="s">
        <v>9158</v>
      </c>
      <c r="N144" s="14" t="s">
        <v>9158</v>
      </c>
      <c r="O144" s="9" t="s">
        <v>3870</v>
      </c>
      <c r="P144" s="14" t="s">
        <v>3563</v>
      </c>
      <c r="Q144" s="14">
        <v>1</v>
      </c>
      <c r="R144" s="14"/>
    </row>
    <row r="145" spans="1:18">
      <c r="B145" s="14"/>
      <c r="C145" s="14"/>
      <c r="D145" s="14"/>
      <c r="F145" s="14"/>
      <c r="G145" s="14"/>
      <c r="H145" s="14"/>
      <c r="I145" s="14"/>
      <c r="J145" s="14"/>
      <c r="K145" s="14"/>
      <c r="L145" s="14"/>
      <c r="M145" s="14"/>
      <c r="N145" s="14"/>
      <c r="P145" s="14"/>
      <c r="Q145" s="14"/>
      <c r="R145" s="14"/>
    </row>
    <row r="146" spans="1:18">
      <c r="A146" s="14" t="s">
        <v>13348</v>
      </c>
      <c r="D146" s="14"/>
      <c r="F146" s="14"/>
      <c r="G146" s="14"/>
      <c r="H146" s="14"/>
      <c r="I146" s="14"/>
      <c r="J146" s="14"/>
      <c r="K146" s="14"/>
      <c r="L146" s="14"/>
      <c r="M146" s="14"/>
      <c r="N146" s="14"/>
      <c r="P146" s="14"/>
      <c r="Q146" s="14"/>
      <c r="R146" s="14"/>
    </row>
    <row r="147" spans="1:18">
      <c r="A147" s="14" t="s">
        <v>4286</v>
      </c>
      <c r="B147" s="14"/>
      <c r="C147" s="14"/>
      <c r="D147" s="14"/>
      <c r="F147" s="14"/>
      <c r="G147" s="14"/>
      <c r="H147" s="14"/>
      <c r="I147" s="14"/>
      <c r="J147" s="14"/>
      <c r="K147" s="14"/>
      <c r="L147" s="14"/>
      <c r="M147" s="14"/>
      <c r="N147" s="14"/>
      <c r="P147" s="14"/>
      <c r="Q147" s="14"/>
      <c r="R147" s="14"/>
    </row>
    <row r="148" spans="1:18">
      <c r="A148" s="9">
        <v>80735</v>
      </c>
      <c r="B148" s="14" t="s">
        <v>0</v>
      </c>
      <c r="C148" s="14" t="s">
        <v>35</v>
      </c>
      <c r="D148" s="14" t="s">
        <v>4287</v>
      </c>
      <c r="E148" s="15" t="str">
        <f>HYPERLINK("https://stat100.ameba.jp/tnk47/ratio20/illustrations/card/ill_80735_chesu05.jpg?201904-2-RELEASE-unionbattle-403xx", "■")</f>
        <v>■</v>
      </c>
      <c r="F148" s="14" t="s">
        <v>4288</v>
      </c>
      <c r="G148" s="14">
        <v>119682</v>
      </c>
      <c r="H148" s="14">
        <v>165280</v>
      </c>
      <c r="I148" s="14">
        <v>22</v>
      </c>
      <c r="J148" s="14" t="s">
        <v>16</v>
      </c>
      <c r="K148" s="14" t="s">
        <v>4289</v>
      </c>
      <c r="L148" s="14" t="s">
        <v>4290</v>
      </c>
      <c r="M148" s="14" t="s">
        <v>9158</v>
      </c>
      <c r="N148" s="14" t="s">
        <v>9158</v>
      </c>
      <c r="O148" s="14" t="s">
        <v>9158</v>
      </c>
      <c r="P148" s="14" t="s">
        <v>9158</v>
      </c>
      <c r="Q148" s="14" t="s">
        <v>9158</v>
      </c>
      <c r="R148" s="14" t="s">
        <v>174</v>
      </c>
    </row>
    <row r="149" spans="1:18">
      <c r="A149" s="9">
        <v>80733</v>
      </c>
      <c r="B149" s="14" t="s">
        <v>15</v>
      </c>
      <c r="C149" s="14" t="s">
        <v>154</v>
      </c>
      <c r="D149" s="14" t="s">
        <v>4287</v>
      </c>
      <c r="E149" s="15" t="str">
        <f>HYPERLINK("https://stat100.ameba.jp/tnk47/ratio20/illustrations/card/ill_80733_chesu03.jpg?201904-2-RELEASE-unionbattle-403xx", "■")</f>
        <v>■</v>
      </c>
      <c r="F149" s="14" t="s">
        <v>4288</v>
      </c>
      <c r="G149" s="14">
        <v>88184</v>
      </c>
      <c r="H149" s="14">
        <v>121778</v>
      </c>
      <c r="I149" s="14">
        <v>22</v>
      </c>
      <c r="J149" s="14" t="s">
        <v>16</v>
      </c>
      <c r="K149" s="14" t="s">
        <v>4289</v>
      </c>
      <c r="L149" s="14" t="s">
        <v>4291</v>
      </c>
      <c r="M149" s="14" t="s">
        <v>9158</v>
      </c>
      <c r="N149" s="14" t="s">
        <v>9158</v>
      </c>
      <c r="O149" s="14" t="s">
        <v>9158</v>
      </c>
      <c r="P149" s="14" t="s">
        <v>9158</v>
      </c>
      <c r="Q149" s="14" t="s">
        <v>9158</v>
      </c>
      <c r="R149" s="14" t="s">
        <v>175</v>
      </c>
    </row>
    <row r="150" spans="1:18">
      <c r="A150" s="9">
        <v>80731</v>
      </c>
      <c r="B150" s="14" t="s">
        <v>15</v>
      </c>
      <c r="C150" s="14" t="s">
        <v>154</v>
      </c>
      <c r="D150" s="14" t="s">
        <v>4287</v>
      </c>
      <c r="E150" s="15" t="str">
        <f>HYPERLINK("https://stat100.ameba.jp/tnk47/ratio20/illustrations/card/ill_80731_chesu01.jpg?201904-2-RELEASE-unionbattle-403xx", "■")</f>
        <v>■</v>
      </c>
      <c r="F150" s="14" t="s">
        <v>4288</v>
      </c>
      <c r="G150" s="14">
        <v>56100</v>
      </c>
      <c r="H150" s="14">
        <v>77462</v>
      </c>
      <c r="I150" s="14">
        <v>22</v>
      </c>
      <c r="J150" s="14" t="s">
        <v>16</v>
      </c>
      <c r="K150" s="14" t="s">
        <v>4289</v>
      </c>
      <c r="L150" s="14" t="s">
        <v>4292</v>
      </c>
      <c r="M150" s="14" t="s">
        <v>9158</v>
      </c>
      <c r="N150" s="14" t="s">
        <v>9158</v>
      </c>
      <c r="O150" s="14" t="s">
        <v>9158</v>
      </c>
      <c r="P150" s="14" t="s">
        <v>9158</v>
      </c>
      <c r="Q150" s="14" t="s">
        <v>9158</v>
      </c>
      <c r="R150" s="14" t="s">
        <v>176</v>
      </c>
    </row>
    <row r="151" spans="1:18">
      <c r="B151" s="14"/>
      <c r="C151" s="14"/>
      <c r="D151" s="14"/>
      <c r="F151" s="14"/>
      <c r="G151" s="14"/>
      <c r="H151" s="14"/>
      <c r="I151" s="14"/>
      <c r="J151" s="14"/>
      <c r="K151" s="14"/>
      <c r="L151" s="14"/>
      <c r="M151" s="14"/>
      <c r="N151" s="14"/>
      <c r="P151" s="14"/>
      <c r="Q151" s="14"/>
      <c r="R151" s="14"/>
    </row>
    <row r="152" spans="1:18">
      <c r="A152" s="14" t="s">
        <v>13326</v>
      </c>
      <c r="D152" s="14"/>
      <c r="F152" s="14"/>
      <c r="G152" s="14"/>
      <c r="H152" s="14"/>
      <c r="I152" s="14"/>
      <c r="J152" s="14"/>
      <c r="K152" s="14"/>
      <c r="L152" s="14"/>
      <c r="M152" s="14"/>
      <c r="N152" s="14"/>
      <c r="P152" s="14"/>
      <c r="Q152" s="14"/>
      <c r="R152" s="14"/>
    </row>
    <row r="153" spans="1:18">
      <c r="A153" s="14" t="s">
        <v>4293</v>
      </c>
      <c r="B153" s="14"/>
      <c r="C153" s="14"/>
      <c r="D153" s="14"/>
      <c r="F153" s="14"/>
      <c r="G153" s="14"/>
      <c r="H153" s="14"/>
      <c r="I153" s="14"/>
      <c r="J153" s="14"/>
      <c r="K153" s="14"/>
      <c r="L153" s="14"/>
      <c r="M153" s="14"/>
      <c r="N153" s="14"/>
      <c r="P153" s="14"/>
      <c r="Q153" s="14"/>
      <c r="R153" s="14"/>
    </row>
    <row r="154" spans="1:18">
      <c r="A154" s="9">
        <v>69293</v>
      </c>
      <c r="B154" s="14" t="s">
        <v>334</v>
      </c>
      <c r="C154" s="14" t="s">
        <v>185</v>
      </c>
      <c r="D154" s="14" t="s">
        <v>1155</v>
      </c>
      <c r="E154" s="15" t="str">
        <f>HYPERLINK("https://stat100.ameba.jp/tnk47/ratio20/illustrations/card/ill_69293_merukishiru03.jpg?201904-2-RELEASE-unionbattle-403xx", "■")</f>
        <v>■</v>
      </c>
      <c r="F154" s="14" t="s">
        <v>1156</v>
      </c>
      <c r="G154" s="14">
        <v>113230</v>
      </c>
      <c r="H154" s="14">
        <v>105275</v>
      </c>
      <c r="I154" s="14">
        <v>23</v>
      </c>
      <c r="J154" s="14" t="s">
        <v>414</v>
      </c>
      <c r="K154" s="14" t="s">
        <v>1170</v>
      </c>
      <c r="L154" s="14" t="s">
        <v>9902</v>
      </c>
      <c r="M154" s="14" t="s">
        <v>13151</v>
      </c>
      <c r="N154" s="14" t="s">
        <v>251</v>
      </c>
      <c r="O154" s="14" t="s">
        <v>9158</v>
      </c>
      <c r="P154" s="14" t="s">
        <v>9158</v>
      </c>
      <c r="Q154" s="14" t="s">
        <v>9158</v>
      </c>
      <c r="R154" s="14"/>
    </row>
    <row r="155" spans="1:18">
      <c r="A155" s="9">
        <v>69292</v>
      </c>
      <c r="B155" s="14" t="s">
        <v>334</v>
      </c>
      <c r="C155" s="14" t="s">
        <v>185</v>
      </c>
      <c r="D155" s="14" t="s">
        <v>1155</v>
      </c>
      <c r="E155" s="15" t="str">
        <f>HYPERLINK("https://stat100.ameba.jp/tnk47/ratio20/illustrations/card/ill_69292_merukishiru02.jpg?201904-2-RELEASE-unionbattle-403xx", "■")</f>
        <v>■</v>
      </c>
      <c r="F155" s="14" t="s">
        <v>1156</v>
      </c>
      <c r="G155" s="14">
        <v>94653</v>
      </c>
      <c r="H155" s="14">
        <v>87192</v>
      </c>
      <c r="I155" s="14">
        <v>23</v>
      </c>
      <c r="J155" s="14" t="s">
        <v>414</v>
      </c>
      <c r="K155" s="14" t="s">
        <v>1170</v>
      </c>
      <c r="L155" s="14" t="s">
        <v>9902</v>
      </c>
      <c r="M155" s="14" t="s">
        <v>13151</v>
      </c>
      <c r="N155" s="14" t="s">
        <v>251</v>
      </c>
      <c r="O155" s="14" t="s">
        <v>9158</v>
      </c>
      <c r="P155" s="14" t="s">
        <v>9158</v>
      </c>
      <c r="Q155" s="14" t="s">
        <v>9158</v>
      </c>
      <c r="R155" s="14"/>
    </row>
    <row r="156" spans="1:18">
      <c r="A156" s="9">
        <v>69291</v>
      </c>
      <c r="B156" s="14" t="s">
        <v>334</v>
      </c>
      <c r="C156" s="14" t="s">
        <v>185</v>
      </c>
      <c r="D156" s="14" t="s">
        <v>1155</v>
      </c>
      <c r="E156" s="15" t="str">
        <f>HYPERLINK("https://stat100.ameba.jp/tnk47/ratio20/illustrations/card/ill_69291_merukishiru01.jpg?201904-2-RELEASE-unionbattle-403xx", "■")</f>
        <v>■</v>
      </c>
      <c r="F156" s="14" t="s">
        <v>1156</v>
      </c>
      <c r="G156" s="14">
        <v>72266</v>
      </c>
      <c r="H156" s="14">
        <v>67275</v>
      </c>
      <c r="I156" s="14">
        <v>23</v>
      </c>
      <c r="J156" s="14" t="s">
        <v>414</v>
      </c>
      <c r="K156" s="14" t="s">
        <v>1170</v>
      </c>
      <c r="L156" s="14" t="s">
        <v>9902</v>
      </c>
      <c r="M156" s="14" t="s">
        <v>13151</v>
      </c>
      <c r="N156" s="14" t="s">
        <v>251</v>
      </c>
      <c r="O156" s="14" t="s">
        <v>9158</v>
      </c>
      <c r="P156" s="14" t="s">
        <v>9158</v>
      </c>
      <c r="Q156" s="14" t="s">
        <v>9158</v>
      </c>
      <c r="R156" s="14"/>
    </row>
    <row r="157" spans="1:18">
      <c r="A157" s="9">
        <v>69303</v>
      </c>
      <c r="B157" s="14" t="s">
        <v>334</v>
      </c>
      <c r="C157" s="14" t="s">
        <v>200</v>
      </c>
      <c r="D157" s="14" t="s">
        <v>1157</v>
      </c>
      <c r="E157" s="15" t="str">
        <f>HYPERLINK("https://stat100.ameba.jp/tnk47/ratio20/illustrations/card/ill_69303_torumushaito03.jpg?201904-2-RELEASE-unionbattle-403xx", "■")</f>
        <v>■</v>
      </c>
      <c r="F157" s="14" t="s">
        <v>1162</v>
      </c>
      <c r="G157" s="14">
        <v>113230</v>
      </c>
      <c r="H157" s="14">
        <v>105275</v>
      </c>
      <c r="I157" s="14">
        <v>23</v>
      </c>
      <c r="J157" s="14" t="s">
        <v>369</v>
      </c>
      <c r="K157" s="14" t="s">
        <v>1171</v>
      </c>
      <c r="L157" s="14" t="s">
        <v>9903</v>
      </c>
      <c r="M157" s="14" t="s">
        <v>13151</v>
      </c>
      <c r="N157" s="14" t="s">
        <v>251</v>
      </c>
      <c r="O157" s="14" t="s">
        <v>9158</v>
      </c>
      <c r="P157" s="14" t="s">
        <v>9158</v>
      </c>
      <c r="Q157" s="14" t="s">
        <v>9158</v>
      </c>
      <c r="R157" s="14"/>
    </row>
    <row r="158" spans="1:18">
      <c r="A158" s="9">
        <v>69313</v>
      </c>
      <c r="B158" s="14" t="s">
        <v>334</v>
      </c>
      <c r="C158" s="14" t="s">
        <v>191</v>
      </c>
      <c r="D158" s="14" t="s">
        <v>1158</v>
      </c>
      <c r="E158" s="15" t="str">
        <f>HYPERLINK("https://stat100.ameba.jp/tnk47/ratio20/illustrations/card/ill_69313_teishutoriya03.jpg?201904-2-RELEASE-unionbattle-403xx", "■")</f>
        <v>■</v>
      </c>
      <c r="F158" s="14" t="s">
        <v>1163</v>
      </c>
      <c r="G158" s="14">
        <v>105275</v>
      </c>
      <c r="H158" s="14">
        <v>113230</v>
      </c>
      <c r="I158" s="14">
        <v>23</v>
      </c>
      <c r="J158" s="14" t="s">
        <v>401</v>
      </c>
      <c r="K158" s="14" t="s">
        <v>1172</v>
      </c>
      <c r="L158" s="14" t="s">
        <v>9904</v>
      </c>
      <c r="M158" s="14" t="s">
        <v>13151</v>
      </c>
      <c r="N158" s="14" t="s">
        <v>251</v>
      </c>
      <c r="O158" s="14" t="s">
        <v>9158</v>
      </c>
      <c r="P158" s="14" t="s">
        <v>9158</v>
      </c>
      <c r="Q158" s="14" t="s">
        <v>9158</v>
      </c>
      <c r="R158" s="14"/>
    </row>
    <row r="159" spans="1:18">
      <c r="A159" s="9">
        <v>69323</v>
      </c>
      <c r="B159" s="14" t="s">
        <v>334</v>
      </c>
      <c r="C159" s="14" t="s">
        <v>165</v>
      </c>
      <c r="D159" s="14" t="s">
        <v>1159</v>
      </c>
      <c r="E159" s="15" t="str">
        <f>HYPERLINK("https://stat100.ameba.jp/tnk47/ratio20/illustrations/card/ill_69323_fujitsubonomiya03.jpg?201904-2-RELEASE-unionbattle-403xx", "■")</f>
        <v>■</v>
      </c>
      <c r="F159" s="14" t="s">
        <v>1164</v>
      </c>
      <c r="G159" s="14">
        <v>105275</v>
      </c>
      <c r="H159" s="14">
        <v>113230</v>
      </c>
      <c r="I159" s="14">
        <v>23</v>
      </c>
      <c r="J159" s="14" t="s">
        <v>1167</v>
      </c>
      <c r="K159" s="14" t="s">
        <v>1173</v>
      </c>
      <c r="L159" s="14" t="s">
        <v>9905</v>
      </c>
      <c r="M159" s="14" t="s">
        <v>13151</v>
      </c>
      <c r="N159" s="14" t="s">
        <v>251</v>
      </c>
      <c r="O159" s="14" t="s">
        <v>9158</v>
      </c>
      <c r="P159" s="14" t="s">
        <v>9158</v>
      </c>
      <c r="Q159" s="14" t="s">
        <v>9158</v>
      </c>
      <c r="R159" s="14"/>
    </row>
    <row r="160" spans="1:18">
      <c r="A160" s="9">
        <v>69333</v>
      </c>
      <c r="B160" s="14" t="s">
        <v>334</v>
      </c>
      <c r="C160" s="14" t="s">
        <v>205</v>
      </c>
      <c r="D160" s="14" t="s">
        <v>1160</v>
      </c>
      <c r="E160" s="15" t="str">
        <f>HYPERLINK("https://stat100.ameba.jp/tnk47/ratio20/illustrations/card/ill_69333_mefuisutofueresu03.jpg?201904-2-RELEASE-unionbattle-403xx", "■")</f>
        <v>■</v>
      </c>
      <c r="F160" s="14" t="s">
        <v>1165</v>
      </c>
      <c r="G160" s="14">
        <v>113230</v>
      </c>
      <c r="H160" s="14">
        <v>105275</v>
      </c>
      <c r="I160" s="14">
        <v>23</v>
      </c>
      <c r="J160" s="14" t="s">
        <v>1168</v>
      </c>
      <c r="K160" s="14" t="s">
        <v>1174</v>
      </c>
      <c r="L160" s="14" t="s">
        <v>9906</v>
      </c>
      <c r="M160" s="14" t="s">
        <v>13151</v>
      </c>
      <c r="N160" s="14" t="s">
        <v>251</v>
      </c>
      <c r="O160" s="14" t="s">
        <v>9158</v>
      </c>
      <c r="P160" s="14" t="s">
        <v>9158</v>
      </c>
      <c r="Q160" s="14" t="s">
        <v>9158</v>
      </c>
      <c r="R160" s="14"/>
    </row>
    <row r="161" spans="1:18">
      <c r="A161" s="9">
        <v>69343</v>
      </c>
      <c r="B161" s="14" t="s">
        <v>334</v>
      </c>
      <c r="C161" s="14" t="s">
        <v>206</v>
      </c>
      <c r="D161" s="14" t="s">
        <v>1161</v>
      </c>
      <c r="E161" s="15" t="str">
        <f>HYPERLINK("https://stat100.ameba.jp/tnk47/ratio20/illustrations/card/ill_69343_teikinnofuire03.jpg?201904-2-RELEASE-unionbattle-403xx", "■")</f>
        <v>■</v>
      </c>
      <c r="F161" s="14" t="s">
        <v>1166</v>
      </c>
      <c r="G161" s="14">
        <v>105275</v>
      </c>
      <c r="H161" s="14">
        <v>113230</v>
      </c>
      <c r="I161" s="14">
        <v>23</v>
      </c>
      <c r="J161" s="14" t="s">
        <v>1169</v>
      </c>
      <c r="K161" s="14" t="s">
        <v>1175</v>
      </c>
      <c r="L161" s="14" t="s">
        <v>9907</v>
      </c>
      <c r="M161" s="14" t="s">
        <v>13151</v>
      </c>
      <c r="N161" s="14" t="s">
        <v>251</v>
      </c>
      <c r="O161" s="14" t="s">
        <v>9158</v>
      </c>
      <c r="P161" s="14" t="s">
        <v>9158</v>
      </c>
      <c r="Q161" s="14" t="s">
        <v>9158</v>
      </c>
      <c r="R161" s="14"/>
    </row>
    <row r="162" spans="1:18">
      <c r="B162" s="14"/>
      <c r="C162" s="14"/>
      <c r="D162" s="14"/>
      <c r="F162" s="14"/>
      <c r="G162" s="14"/>
      <c r="H162" s="14"/>
      <c r="I162" s="14"/>
      <c r="J162" s="14"/>
      <c r="K162" s="14"/>
      <c r="L162" s="14"/>
      <c r="M162" s="14"/>
      <c r="N162" s="14"/>
      <c r="P162" s="14"/>
      <c r="Q162" s="14"/>
      <c r="R162" s="14"/>
    </row>
    <row r="163" spans="1:18">
      <c r="A163" s="14" t="s">
        <v>207</v>
      </c>
      <c r="D163" s="14"/>
      <c r="F163" s="14"/>
      <c r="G163" s="14"/>
      <c r="H163" s="14"/>
      <c r="I163" s="14"/>
      <c r="J163" s="14"/>
      <c r="K163" s="14"/>
      <c r="L163" s="14"/>
      <c r="M163" s="14"/>
      <c r="N163" s="14"/>
      <c r="P163" s="14"/>
      <c r="Q163" s="14"/>
      <c r="R163" s="14"/>
    </row>
    <row r="164" spans="1:18">
      <c r="A164" s="14" t="s">
        <v>4294</v>
      </c>
      <c r="B164" s="14"/>
      <c r="C164" s="14"/>
      <c r="D164" s="14"/>
      <c r="F164" s="14"/>
      <c r="G164" s="14"/>
      <c r="H164" s="14"/>
      <c r="I164" s="14"/>
      <c r="J164" s="14"/>
      <c r="K164" s="14"/>
      <c r="L164" s="14"/>
      <c r="M164" s="14"/>
      <c r="N164" s="14"/>
      <c r="P164" s="14"/>
      <c r="Q164" s="14"/>
      <c r="R164" s="14"/>
    </row>
    <row r="165" spans="1:18">
      <c r="A165" s="9" t="s">
        <v>5611</v>
      </c>
      <c r="B165" s="14" t="s">
        <v>330</v>
      </c>
      <c r="C165" s="14" t="s">
        <v>185</v>
      </c>
      <c r="D165" s="14" t="s">
        <v>539</v>
      </c>
      <c r="E165" s="15" t="str">
        <f>HYPERLINK("https://stat100.ameba.jp/tnk47/ratio20/illustrations/card/ill_60633_0_harumaisentoin03.jpg?201904-3-RELEASE-dice-e-404", "■")</f>
        <v>■</v>
      </c>
      <c r="F165" s="14" t="s">
        <v>540</v>
      </c>
      <c r="G165" s="14">
        <v>139878</v>
      </c>
      <c r="H165" s="14">
        <v>150466</v>
      </c>
      <c r="I165" s="14">
        <v>22</v>
      </c>
      <c r="J165" s="14" t="s">
        <v>274</v>
      </c>
      <c r="K165" s="14" t="s">
        <v>541</v>
      </c>
      <c r="L165" s="14" t="s">
        <v>542</v>
      </c>
      <c r="M165" s="14" t="s">
        <v>9158</v>
      </c>
      <c r="N165" s="14" t="s">
        <v>9158</v>
      </c>
      <c r="O165" s="9" t="s">
        <v>2888</v>
      </c>
      <c r="P165" s="14" t="s">
        <v>3144</v>
      </c>
      <c r="Q165" s="14">
        <v>1</v>
      </c>
      <c r="R165" s="14"/>
    </row>
    <row r="166" spans="1:18">
      <c r="A166" s="9" t="s">
        <v>5612</v>
      </c>
      <c r="B166" s="14" t="s">
        <v>330</v>
      </c>
      <c r="C166" s="14" t="s">
        <v>165</v>
      </c>
      <c r="D166" s="14" t="s">
        <v>789</v>
      </c>
      <c r="E166" s="15" t="str">
        <f>HYPERLINK("https://stat100.ameba.jp/tnk47/ratio20/illustrations/card/ill_49193_0_onmyoudouabenoseimei03.jpg?201904-3-RELEASE-dice-e-404", "■")</f>
        <v>■</v>
      </c>
      <c r="F166" s="14" t="s">
        <v>790</v>
      </c>
      <c r="G166" s="14">
        <v>122776</v>
      </c>
      <c r="H166" s="14">
        <v>138212</v>
      </c>
      <c r="I166" s="14">
        <v>22</v>
      </c>
      <c r="J166" s="14" t="s">
        <v>351</v>
      </c>
      <c r="K166" s="14" t="s">
        <v>791</v>
      </c>
      <c r="L166" s="14" t="s">
        <v>792</v>
      </c>
      <c r="M166" s="14" t="s">
        <v>9158</v>
      </c>
      <c r="N166" s="14" t="s">
        <v>9158</v>
      </c>
      <c r="O166" s="14" t="s">
        <v>9158</v>
      </c>
      <c r="P166" s="14" t="s">
        <v>9158</v>
      </c>
      <c r="Q166" s="14" t="s">
        <v>9158</v>
      </c>
      <c r="R166" s="14"/>
    </row>
    <row r="167" spans="1:18">
      <c r="A167" s="9" t="s">
        <v>5820</v>
      </c>
      <c r="B167" s="14" t="s">
        <v>330</v>
      </c>
      <c r="C167" s="14" t="s">
        <v>200</v>
      </c>
      <c r="D167" s="14" t="s">
        <v>630</v>
      </c>
      <c r="E167" s="15" t="str">
        <f>HYPERLINK("https://stat100.ameba.jp/tnk47/ratio20/illustrations/card/ill_48283_0_kyuubitamamonomae03.jpg?201904-3-RELEASE-dice-e-404", "■")</f>
        <v>■</v>
      </c>
      <c r="F167" s="14" t="s">
        <v>631</v>
      </c>
      <c r="G167" s="14">
        <v>138212</v>
      </c>
      <c r="H167" s="14">
        <v>122776</v>
      </c>
      <c r="I167" s="14">
        <v>22</v>
      </c>
      <c r="J167" s="14" t="s">
        <v>320</v>
      </c>
      <c r="K167" s="14" t="s">
        <v>632</v>
      </c>
      <c r="L167" s="14" t="s">
        <v>633</v>
      </c>
      <c r="M167" s="14" t="s">
        <v>9158</v>
      </c>
      <c r="N167" s="14" t="s">
        <v>9158</v>
      </c>
      <c r="O167" s="14" t="s">
        <v>9158</v>
      </c>
      <c r="P167" s="14" t="s">
        <v>9158</v>
      </c>
      <c r="Q167" s="14" t="s">
        <v>9158</v>
      </c>
      <c r="R167" s="14"/>
    </row>
    <row r="168" spans="1:18">
      <c r="A168" s="9">
        <v>80823</v>
      </c>
      <c r="B168" s="14" t="s">
        <v>334</v>
      </c>
      <c r="C168" s="14" t="s">
        <v>96</v>
      </c>
      <c r="D168" s="14" t="s">
        <v>4267</v>
      </c>
      <c r="E168" s="15" t="str">
        <f>HYPERLINK("https://stat100.ameba.jp/tnk47/ratio20/illustrations/card/ill_80823_utatanekitanokata03.jpg?201904-3-RELEASE-dice-e-404", "■")</f>
        <v>■</v>
      </c>
      <c r="F168" s="14" t="s">
        <v>4268</v>
      </c>
      <c r="G168" s="14">
        <v>121604</v>
      </c>
      <c r="H168" s="14">
        <v>130784</v>
      </c>
      <c r="I168" s="14">
        <v>22</v>
      </c>
      <c r="J168" s="14" t="s">
        <v>143</v>
      </c>
      <c r="K168" s="14" t="s">
        <v>4269</v>
      </c>
      <c r="L168" s="14" t="s">
        <v>1148</v>
      </c>
      <c r="M168" s="14" t="s">
        <v>9158</v>
      </c>
      <c r="N168" s="14" t="s">
        <v>9158</v>
      </c>
      <c r="O168" s="14" t="s">
        <v>9158</v>
      </c>
      <c r="P168" s="14" t="s">
        <v>9158</v>
      </c>
      <c r="Q168" s="14" t="s">
        <v>9158</v>
      </c>
      <c r="R168" s="14"/>
    </row>
    <row r="169" spans="1:18">
      <c r="A169" s="9">
        <v>80833</v>
      </c>
      <c r="B169" s="14" t="s">
        <v>15</v>
      </c>
      <c r="C169" s="14" t="s">
        <v>14</v>
      </c>
      <c r="D169" s="14" t="s">
        <v>4270</v>
      </c>
      <c r="E169" s="15" t="str">
        <f>HYPERLINK("https://stat100.ameba.jp/tnk47/ratio20/illustrations/card/ill_80833_hanamiononokomachi03.jpg?201904-3-RELEASE-dice-e-404", "■")</f>
        <v>■</v>
      </c>
      <c r="F169" s="14" t="s">
        <v>4271</v>
      </c>
      <c r="G169" s="14">
        <v>53352</v>
      </c>
      <c r="H169" s="14">
        <v>48390</v>
      </c>
      <c r="I169" s="14">
        <v>18</v>
      </c>
      <c r="J169" s="14" t="s">
        <v>173</v>
      </c>
      <c r="K169" s="14" t="s">
        <v>4272</v>
      </c>
      <c r="L169" s="14" t="s">
        <v>3275</v>
      </c>
      <c r="M169" s="14" t="s">
        <v>9158</v>
      </c>
      <c r="N169" s="14" t="s">
        <v>9158</v>
      </c>
      <c r="O169" s="14" t="s">
        <v>9158</v>
      </c>
      <c r="P169" s="14" t="s">
        <v>9158</v>
      </c>
      <c r="Q169" s="14" t="s">
        <v>9158</v>
      </c>
      <c r="R169" s="14"/>
    </row>
    <row r="170" spans="1:18">
      <c r="A170" s="9">
        <v>80843</v>
      </c>
      <c r="B170" s="14" t="s">
        <v>22</v>
      </c>
      <c r="C170" s="14" t="s">
        <v>107</v>
      </c>
      <c r="D170" s="14" t="s">
        <v>4273</v>
      </c>
      <c r="E170" s="15" t="str">
        <f>HYPERLINK("https://stat100.ameba.jp/tnk47/ratio20/illustrations/card/ill_80843_sakezushi03.jpg?201904-3-RELEASE-dice-e-404", "■")</f>
        <v>■</v>
      </c>
      <c r="F170" s="14" t="s">
        <v>4274</v>
      </c>
      <c r="G170" s="14">
        <v>29388</v>
      </c>
      <c r="H170" s="14">
        <v>35346</v>
      </c>
      <c r="I170" s="14">
        <v>17</v>
      </c>
      <c r="J170" s="14" t="s">
        <v>104</v>
      </c>
      <c r="K170" s="14" t="s">
        <v>4275</v>
      </c>
      <c r="L170" s="14" t="s">
        <v>3839</v>
      </c>
      <c r="M170" s="14" t="s">
        <v>9158</v>
      </c>
      <c r="N170" s="14" t="s">
        <v>9158</v>
      </c>
      <c r="O170" s="14" t="s">
        <v>9158</v>
      </c>
      <c r="P170" s="14" t="s">
        <v>9158</v>
      </c>
      <c r="Q170" s="14" t="s">
        <v>9158</v>
      </c>
      <c r="R170" s="14"/>
    </row>
    <row r="171" spans="1:18">
      <c r="A171" s="9">
        <v>80853</v>
      </c>
      <c r="B171" s="14" t="s">
        <v>30</v>
      </c>
      <c r="C171" s="14" t="s">
        <v>4277</v>
      </c>
      <c r="D171" s="14" t="s">
        <v>4276</v>
      </c>
      <c r="E171" s="15" t="str">
        <f>HYPERLINK("https://stat100.ameba.jp/tnk47/ratio20/illustrations/card/ill_80853_matsu03.jpg?201904-3-RELEASE-dice-e-404", "■")</f>
        <v>■</v>
      </c>
      <c r="F171" s="14" t="s">
        <v>4278</v>
      </c>
      <c r="G171" s="14">
        <v>21398</v>
      </c>
      <c r="H171" s="14">
        <v>17972</v>
      </c>
      <c r="I171" s="14">
        <v>17</v>
      </c>
      <c r="J171" s="14" t="s">
        <v>77</v>
      </c>
      <c r="K171" s="14" t="s">
        <v>4279</v>
      </c>
      <c r="L171" s="14" t="s">
        <v>1818</v>
      </c>
      <c r="M171" s="14" t="s">
        <v>9158</v>
      </c>
      <c r="N171" s="14" t="s">
        <v>9158</v>
      </c>
      <c r="O171" s="14" t="s">
        <v>9158</v>
      </c>
      <c r="P171" s="14" t="s">
        <v>9158</v>
      </c>
      <c r="Q171" s="14" t="s">
        <v>9158</v>
      </c>
      <c r="R171" s="14"/>
    </row>
    <row r="172" spans="1:18">
      <c r="B172" s="14"/>
      <c r="C172" s="14"/>
      <c r="D172" s="14"/>
      <c r="F172" s="14"/>
      <c r="G172" s="14"/>
      <c r="H172" s="14"/>
      <c r="I172" s="14"/>
      <c r="J172" s="14"/>
      <c r="K172" s="14"/>
      <c r="L172" s="14"/>
      <c r="M172" s="14"/>
      <c r="N172" s="14"/>
      <c r="P172" s="14"/>
      <c r="Q172" s="14"/>
      <c r="R172" s="14"/>
    </row>
    <row r="173" spans="1:18">
      <c r="A173" s="14" t="s">
        <v>208</v>
      </c>
      <c r="D173" s="14"/>
      <c r="F173" s="14"/>
      <c r="G173" s="14"/>
      <c r="H173" s="14"/>
      <c r="I173" s="14"/>
      <c r="J173" s="14"/>
      <c r="K173" s="14"/>
      <c r="L173" s="14"/>
      <c r="M173" s="14"/>
      <c r="N173" s="14"/>
      <c r="P173" s="14"/>
      <c r="Q173" s="14"/>
      <c r="R173" s="14"/>
    </row>
    <row r="174" spans="1:18">
      <c r="A174" s="14" t="s">
        <v>4295</v>
      </c>
      <c r="B174" s="14"/>
      <c r="C174" s="14"/>
      <c r="D174" s="14"/>
      <c r="F174" s="14"/>
      <c r="G174" s="14"/>
      <c r="H174" s="14"/>
      <c r="I174" s="14"/>
      <c r="J174" s="14"/>
      <c r="K174" s="14"/>
      <c r="L174" s="14"/>
      <c r="M174" s="14"/>
      <c r="N174" s="14"/>
      <c r="P174" s="14"/>
      <c r="Q174" s="14"/>
      <c r="R174" s="14"/>
    </row>
    <row r="175" spans="1:18">
      <c r="A175" s="9" t="s">
        <v>5602</v>
      </c>
      <c r="B175" s="14" t="s">
        <v>52</v>
      </c>
      <c r="C175" s="14" t="s">
        <v>14</v>
      </c>
      <c r="D175" s="14" t="s">
        <v>2093</v>
      </c>
      <c r="E175" s="15" t="str">
        <f>HYPERLINK("https://stat100.ameba.jp/tnk47/ratio20/illustrations/card/ill_55313_0_haroinononokomachi03.jpg?201904-3-RELEASE-dice-e-404", "■")</f>
        <v>■</v>
      </c>
      <c r="F175" s="14" t="s">
        <v>2094</v>
      </c>
      <c r="G175" s="14">
        <v>94236</v>
      </c>
      <c r="H175" s="14">
        <v>83712</v>
      </c>
      <c r="I175" s="14">
        <v>15</v>
      </c>
      <c r="J175" s="14" t="s">
        <v>10</v>
      </c>
      <c r="K175" s="14" t="s">
        <v>2095</v>
      </c>
      <c r="L175" s="14" t="s">
        <v>2096</v>
      </c>
      <c r="M175" s="14" t="s">
        <v>9158</v>
      </c>
      <c r="N175" s="14" t="s">
        <v>9158</v>
      </c>
      <c r="O175" s="9" t="s">
        <v>2733</v>
      </c>
      <c r="P175" s="14" t="s">
        <v>2734</v>
      </c>
      <c r="Q175" s="14">
        <v>1</v>
      </c>
      <c r="R175" s="14"/>
    </row>
    <row r="176" spans="1:18">
      <c r="A176" s="9" t="s">
        <v>5607</v>
      </c>
      <c r="B176" s="14" t="s">
        <v>330</v>
      </c>
      <c r="C176" s="14" t="s">
        <v>200</v>
      </c>
      <c r="D176" s="14" t="s">
        <v>1039</v>
      </c>
      <c r="E176" s="15" t="str">
        <f>HYPERLINK("https://stat100.ameba.jp/tnk47/ratio20/illustrations/card/ill_58853_0_setsubumpanikkuhiratsukaraicho03.jpg?201904-3-RELEASE-dice-e-404", "■")</f>
        <v>■</v>
      </c>
      <c r="F176" s="14" t="s">
        <v>1040</v>
      </c>
      <c r="G176" s="14">
        <v>94236</v>
      </c>
      <c r="H176" s="14">
        <v>83712</v>
      </c>
      <c r="I176" s="14">
        <v>15</v>
      </c>
      <c r="J176" s="14" t="s">
        <v>16</v>
      </c>
      <c r="K176" s="14" t="s">
        <v>1041</v>
      </c>
      <c r="L176" s="14" t="s">
        <v>1042</v>
      </c>
      <c r="M176" s="14" t="s">
        <v>9158</v>
      </c>
      <c r="N176" s="14" t="s">
        <v>9158</v>
      </c>
      <c r="O176" s="17" t="s">
        <v>10059</v>
      </c>
      <c r="P176" s="14" t="s">
        <v>2870</v>
      </c>
      <c r="Q176" s="14">
        <v>1</v>
      </c>
      <c r="R176" s="14"/>
    </row>
    <row r="177" spans="1:19">
      <c r="A177" s="9" t="s">
        <v>5830</v>
      </c>
      <c r="B177" s="14" t="s">
        <v>330</v>
      </c>
      <c r="C177" s="14" t="s">
        <v>191</v>
      </c>
      <c r="D177" s="14" t="s">
        <v>793</v>
      </c>
      <c r="E177" s="15" t="str">
        <f>HYPERLINK("https://stat100.ameba.jp/tnk47/ratio20/illustrations/card/ill_39933_0_reihiiinaotora03.jpg?201904-3-RELEASE-dice-e-404", "■")</f>
        <v>■</v>
      </c>
      <c r="F177" s="14" t="s">
        <v>794</v>
      </c>
      <c r="G177" s="14">
        <v>82212</v>
      </c>
      <c r="H177" s="14">
        <v>87780</v>
      </c>
      <c r="I177" s="14">
        <v>15</v>
      </c>
      <c r="J177" s="14" t="s">
        <v>315</v>
      </c>
      <c r="K177" s="14" t="s">
        <v>795</v>
      </c>
      <c r="L177" s="14" t="s">
        <v>796</v>
      </c>
      <c r="M177" s="14" t="s">
        <v>9158</v>
      </c>
      <c r="N177" s="14" t="s">
        <v>9158</v>
      </c>
      <c r="O177" s="14" t="s">
        <v>9158</v>
      </c>
      <c r="P177" s="14" t="s">
        <v>9158</v>
      </c>
      <c r="Q177" s="14" t="s">
        <v>9158</v>
      </c>
      <c r="R177" s="14"/>
    </row>
    <row r="178" spans="1:19">
      <c r="A178" s="9">
        <v>69153</v>
      </c>
      <c r="B178" s="14" t="s">
        <v>334</v>
      </c>
      <c r="C178" s="14" t="s">
        <v>154</v>
      </c>
      <c r="D178" s="14" t="s">
        <v>4296</v>
      </c>
      <c r="E178" s="15" t="str">
        <f>HYPERLINK("https://stat100.ameba.jp/tnk47/ratio20/illustrations/card/ill_69153_sempukubanraizashikiwarashi03.jpg?201904-3-RELEASE-dice-e-404", "■")</f>
        <v>■</v>
      </c>
      <c r="F178" s="14" t="s">
        <v>4297</v>
      </c>
      <c r="G178" s="14">
        <v>99996</v>
      </c>
      <c r="H178" s="14">
        <v>92996</v>
      </c>
      <c r="I178" s="14">
        <v>24</v>
      </c>
      <c r="J178" s="14" t="s">
        <v>73</v>
      </c>
      <c r="K178" s="14" t="s">
        <v>4298</v>
      </c>
      <c r="L178" s="14" t="s">
        <v>4299</v>
      </c>
      <c r="M178" s="14" t="s">
        <v>9158</v>
      </c>
      <c r="N178" s="14" t="s">
        <v>9158</v>
      </c>
      <c r="O178" s="14" t="s">
        <v>9158</v>
      </c>
      <c r="P178" s="14" t="s">
        <v>9158</v>
      </c>
      <c r="Q178" s="14" t="s">
        <v>9158</v>
      </c>
      <c r="S178" s="14" t="s">
        <v>11763</v>
      </c>
    </row>
    <row r="179" spans="1:19">
      <c r="A179" s="9">
        <v>68143</v>
      </c>
      <c r="B179" s="14" t="s">
        <v>334</v>
      </c>
      <c r="C179" s="14" t="s">
        <v>209</v>
      </c>
      <c r="D179" s="14" t="s">
        <v>4300</v>
      </c>
      <c r="E179" s="15" t="str">
        <f>HYPERLINK("https://stat100.ameba.jp/tnk47/ratio20/illustrations/card/ill_68143_kuwagamiajisukitakahikone03.jpg?201904-3-RELEASE-dice-e-404", "■")</f>
        <v>■</v>
      </c>
      <c r="F179" s="14" t="s">
        <v>4301</v>
      </c>
      <c r="G179" s="14">
        <v>97894</v>
      </c>
      <c r="H179" s="14">
        <v>91010</v>
      </c>
      <c r="I179" s="14">
        <v>24</v>
      </c>
      <c r="J179" s="14" t="s">
        <v>44</v>
      </c>
      <c r="K179" s="14" t="s">
        <v>4302</v>
      </c>
      <c r="L179" s="14" t="s">
        <v>2211</v>
      </c>
      <c r="M179" s="14" t="s">
        <v>9158</v>
      </c>
      <c r="N179" s="14" t="s">
        <v>9158</v>
      </c>
      <c r="O179" s="14" t="s">
        <v>9158</v>
      </c>
      <c r="P179" s="14" t="s">
        <v>9158</v>
      </c>
      <c r="Q179" s="14" t="s">
        <v>9158</v>
      </c>
      <c r="S179" s="14" t="s">
        <v>11764</v>
      </c>
    </row>
    <row r="180" spans="1:19">
      <c r="A180" s="9">
        <v>68893</v>
      </c>
      <c r="B180" s="14" t="s">
        <v>334</v>
      </c>
      <c r="C180" s="14" t="s">
        <v>158</v>
      </c>
      <c r="D180" s="14" t="s">
        <v>4303</v>
      </c>
      <c r="E180" s="15" t="str">
        <f>HYPERLINK("https://stat100.ameba.jp/tnk47/ratio20/illustrations/card/ill_68893_niramitai03.jpg?201904-3-RELEASE-dice-e-404", "■")</f>
        <v>■</v>
      </c>
      <c r="F180" s="14" t="s">
        <v>4304</v>
      </c>
      <c r="G180" s="14">
        <v>101656</v>
      </c>
      <c r="H180" s="14">
        <v>109528</v>
      </c>
      <c r="I180" s="14">
        <v>24</v>
      </c>
      <c r="J180" s="14" t="s">
        <v>38</v>
      </c>
      <c r="K180" s="14" t="s">
        <v>4305</v>
      </c>
      <c r="L180" s="14" t="s">
        <v>4306</v>
      </c>
      <c r="M180" s="14" t="s">
        <v>9158</v>
      </c>
      <c r="N180" s="14" t="s">
        <v>9158</v>
      </c>
      <c r="O180" s="14" t="s">
        <v>9158</v>
      </c>
      <c r="P180" s="14" t="s">
        <v>9158</v>
      </c>
      <c r="Q180" s="14" t="s">
        <v>9158</v>
      </c>
      <c r="S180" s="14" t="s">
        <v>11765</v>
      </c>
    </row>
    <row r="181" spans="1:19">
      <c r="A181" s="9">
        <v>55743</v>
      </c>
      <c r="B181" s="14" t="s">
        <v>15</v>
      </c>
      <c r="C181" s="14" t="s">
        <v>165</v>
      </c>
      <c r="D181" s="14" t="s">
        <v>4307</v>
      </c>
      <c r="E181" s="15" t="str">
        <f>HYPERLINK("https://stat100.ameba.jp/tnk47/ratio20/illustrations/card/ill_55743_nankoume03.jpg?201904-3-RELEASE-dice-e-404", "■")</f>
        <v>■</v>
      </c>
      <c r="F181" s="14" t="s">
        <v>4308</v>
      </c>
      <c r="G181" s="14">
        <v>51078</v>
      </c>
      <c r="H181" s="14">
        <v>56316</v>
      </c>
      <c r="I181" s="14">
        <v>19</v>
      </c>
      <c r="J181" s="14" t="s">
        <v>104</v>
      </c>
      <c r="K181" s="14" t="s">
        <v>4310</v>
      </c>
      <c r="L181" s="14" t="s">
        <v>4311</v>
      </c>
      <c r="M181" s="14" t="s">
        <v>9158</v>
      </c>
      <c r="N181" s="14" t="s">
        <v>9158</v>
      </c>
      <c r="O181" s="14" t="s">
        <v>9158</v>
      </c>
      <c r="P181" s="14" t="s">
        <v>9158</v>
      </c>
      <c r="Q181" s="14" t="s">
        <v>9158</v>
      </c>
      <c r="S181" s="14" t="s">
        <v>12930</v>
      </c>
    </row>
    <row r="182" spans="1:19">
      <c r="A182" s="9">
        <v>59193</v>
      </c>
      <c r="B182" s="14" t="s">
        <v>15</v>
      </c>
      <c r="C182" s="14" t="s">
        <v>165</v>
      </c>
      <c r="D182" s="14" t="s">
        <v>4312</v>
      </c>
      <c r="E182" s="15" t="str">
        <f>HYPERLINK("https://stat100.ameba.jp/tnk47/ratio20/illustrations/card/ill_59193_otonanoasobiokiku03.jpg?201904-3-RELEASE-dice-e-404", "■")</f>
        <v>■</v>
      </c>
      <c r="F182" s="14" t="s">
        <v>4313</v>
      </c>
      <c r="G182" s="14">
        <v>56316</v>
      </c>
      <c r="H182" s="14">
        <v>51078</v>
      </c>
      <c r="I182" s="14">
        <v>19</v>
      </c>
      <c r="J182" s="14" t="s">
        <v>38</v>
      </c>
      <c r="K182" s="14" t="s">
        <v>4314</v>
      </c>
      <c r="L182" s="14" t="s">
        <v>4315</v>
      </c>
      <c r="M182" s="14" t="s">
        <v>9158</v>
      </c>
      <c r="N182" s="14" t="s">
        <v>9158</v>
      </c>
      <c r="O182" s="14" t="s">
        <v>9158</v>
      </c>
      <c r="P182" s="14" t="s">
        <v>9158</v>
      </c>
      <c r="Q182" s="14" t="s">
        <v>9158</v>
      </c>
      <c r="S182" s="14" t="s">
        <v>12930</v>
      </c>
    </row>
    <row r="183" spans="1:19">
      <c r="A183" s="9">
        <v>66513</v>
      </c>
      <c r="B183" s="14" t="s">
        <v>348</v>
      </c>
      <c r="C183" s="14" t="s">
        <v>165</v>
      </c>
      <c r="D183" s="14" t="s">
        <v>3334</v>
      </c>
      <c r="E183" s="15" t="str">
        <f>HYPERLINK("https://stat100.ameba.jp/tnk47/ratio20/illustrations/card/ill_66513_yuenchigishumoninnotango03.jpg?201904-3-RELEASE-dice-e-404", "■")</f>
        <v>■</v>
      </c>
      <c r="F183" s="14" t="s">
        <v>3335</v>
      </c>
      <c r="G183" s="14">
        <v>51078</v>
      </c>
      <c r="H183" s="14">
        <v>56316</v>
      </c>
      <c r="I183" s="14">
        <v>19</v>
      </c>
      <c r="J183" s="14" t="s">
        <v>10</v>
      </c>
      <c r="K183" s="14" t="s">
        <v>3336</v>
      </c>
      <c r="L183" s="14" t="s">
        <v>3337</v>
      </c>
      <c r="M183" s="14" t="s">
        <v>9158</v>
      </c>
      <c r="N183" s="14" t="s">
        <v>9158</v>
      </c>
      <c r="O183" s="14" t="s">
        <v>9158</v>
      </c>
      <c r="P183" s="14" t="s">
        <v>9158</v>
      </c>
      <c r="Q183" s="14" t="s">
        <v>9158</v>
      </c>
      <c r="S183" s="14" t="s">
        <v>12930</v>
      </c>
    </row>
    <row r="184" spans="1:19">
      <c r="B184" s="14"/>
      <c r="C184" s="14"/>
      <c r="D184" s="14"/>
      <c r="F184" s="14"/>
      <c r="G184" s="14"/>
      <c r="H184" s="14"/>
      <c r="I184" s="14"/>
      <c r="J184" s="14"/>
      <c r="K184" s="14"/>
      <c r="L184" s="14"/>
      <c r="M184" s="14"/>
      <c r="N184" s="14"/>
      <c r="P184" s="14"/>
      <c r="Q184" s="14"/>
      <c r="R184" s="14"/>
    </row>
    <row r="185" spans="1:19">
      <c r="A185" s="14" t="s">
        <v>114</v>
      </c>
      <c r="D185" s="14"/>
      <c r="F185" s="14"/>
      <c r="G185" s="14"/>
      <c r="H185" s="14"/>
      <c r="I185" s="14"/>
      <c r="J185" s="14"/>
      <c r="K185" s="14"/>
      <c r="L185" s="14"/>
      <c r="M185" s="14"/>
      <c r="N185" s="14"/>
      <c r="P185" s="14"/>
      <c r="Q185" s="14"/>
      <c r="R185" s="14"/>
    </row>
    <row r="186" spans="1:19">
      <c r="A186" s="14" t="s">
        <v>4316</v>
      </c>
      <c r="B186" s="14"/>
      <c r="C186" s="14"/>
      <c r="D186" s="14"/>
      <c r="F186" s="14"/>
      <c r="G186" s="14"/>
      <c r="H186" s="14"/>
      <c r="I186" s="14"/>
      <c r="J186" s="14"/>
      <c r="K186" s="14"/>
      <c r="L186" s="14"/>
      <c r="M186" s="14"/>
      <c r="N186" s="14"/>
      <c r="P186" s="14"/>
      <c r="Q186" s="14"/>
      <c r="R186" s="14"/>
    </row>
    <row r="187" spans="1:19">
      <c r="A187" s="9" t="s">
        <v>5822</v>
      </c>
      <c r="B187" s="14" t="s">
        <v>330</v>
      </c>
      <c r="C187" s="14" t="s">
        <v>307</v>
      </c>
      <c r="D187" s="14" t="s">
        <v>306</v>
      </c>
      <c r="E187" s="15" t="str">
        <f>HYPERLINK("https://stat100.ameba.jp/tnk47/ratio20/illustrations/card/ill_71403_0_ohanamisanadayukimura03.jpg?201904-3-RELEASE-dice-e-404", "■")</f>
        <v>■</v>
      </c>
      <c r="F187" s="14" t="s">
        <v>309</v>
      </c>
      <c r="G187" s="14">
        <v>196022</v>
      </c>
      <c r="H187" s="14">
        <v>182272</v>
      </c>
      <c r="I187" s="14">
        <v>21</v>
      </c>
      <c r="J187" s="14" t="s">
        <v>310</v>
      </c>
      <c r="K187" s="14" t="s">
        <v>311</v>
      </c>
      <c r="L187" s="14" t="s">
        <v>312</v>
      </c>
      <c r="M187" s="14" t="s">
        <v>9158</v>
      </c>
      <c r="N187" s="14" t="s">
        <v>9158</v>
      </c>
      <c r="O187" s="17" t="s">
        <v>10060</v>
      </c>
      <c r="P187" s="14" t="s">
        <v>3418</v>
      </c>
      <c r="Q187" s="14">
        <v>2</v>
      </c>
      <c r="R187" s="14"/>
    </row>
    <row r="188" spans="1:19">
      <c r="A188" s="9" t="s">
        <v>5615</v>
      </c>
      <c r="B188" s="14" t="s">
        <v>330</v>
      </c>
      <c r="C188" s="14" t="s">
        <v>206</v>
      </c>
      <c r="D188" s="14" t="s">
        <v>1015</v>
      </c>
      <c r="E188" s="15" t="str">
        <f>HYPERLINK("https://stat100.ameba.jp/tnk47/ratio20/illustrations/card/ill_57733_0_shogatsunisenjunanaamakusashiro03.jpg?201904-3-RELEASE-dice-e-404", "■")</f>
        <v>■</v>
      </c>
      <c r="F188" s="14" t="s">
        <v>2815</v>
      </c>
      <c r="G188" s="14">
        <v>117196</v>
      </c>
      <c r="H188" s="14">
        <v>117196</v>
      </c>
      <c r="I188" s="14">
        <v>21</v>
      </c>
      <c r="J188" s="14" t="s">
        <v>351</v>
      </c>
      <c r="K188" s="14" t="s">
        <v>2816</v>
      </c>
      <c r="L188" s="14" t="s">
        <v>2817</v>
      </c>
      <c r="M188" s="14" t="s">
        <v>9158</v>
      </c>
      <c r="N188" s="14" t="s">
        <v>9158</v>
      </c>
      <c r="O188" s="17" t="s">
        <v>10063</v>
      </c>
      <c r="P188" s="14" t="s">
        <v>3062</v>
      </c>
      <c r="Q188" s="14">
        <v>1</v>
      </c>
      <c r="R188" s="14"/>
    </row>
    <row r="189" spans="1:19">
      <c r="A189" s="9">
        <v>80753</v>
      </c>
      <c r="B189" s="14" t="s">
        <v>334</v>
      </c>
      <c r="C189" s="14" t="s">
        <v>41</v>
      </c>
      <c r="D189" s="14" t="s">
        <v>4317</v>
      </c>
      <c r="E189" s="15" t="str">
        <f>HYPERLINK("https://stat100.ameba.jp/tnk47/ratio20/illustrations/card/ill_80753_hakubutsukannojoze03.jpg?201904-3-RELEASE-dice-e-404", "■")</f>
        <v>■</v>
      </c>
      <c r="F189" s="14" t="s">
        <v>4318</v>
      </c>
      <c r="G189" s="14">
        <v>78916</v>
      </c>
      <c r="H189" s="14">
        <v>108924</v>
      </c>
      <c r="I189" s="14">
        <v>24</v>
      </c>
      <c r="J189" s="14" t="s">
        <v>38</v>
      </c>
      <c r="K189" s="14" t="s">
        <v>4319</v>
      </c>
      <c r="L189" s="14" t="s">
        <v>4320</v>
      </c>
      <c r="M189" s="14" t="s">
        <v>9158</v>
      </c>
      <c r="N189" s="14" t="s">
        <v>9158</v>
      </c>
      <c r="O189" s="17" t="s">
        <v>10053</v>
      </c>
      <c r="P189" s="14" t="s">
        <v>3592</v>
      </c>
      <c r="Q189" s="14">
        <v>1</v>
      </c>
      <c r="R189" s="14"/>
    </row>
    <row r="190" spans="1:19">
      <c r="A190" s="9">
        <v>65633</v>
      </c>
      <c r="B190" s="14" t="s">
        <v>0</v>
      </c>
      <c r="C190" s="14" t="s">
        <v>41</v>
      </c>
      <c r="D190" s="14" t="s">
        <v>69</v>
      </c>
      <c r="E190" s="15" t="str">
        <f>HYPERLINK("https://stat100.ameba.jp/tnk47/ratio20/illustrations/card/ill_65633_shinnoakugoro03.jpg?201904-3-RELEASE-dice-e-404", "■")</f>
        <v>■</v>
      </c>
      <c r="F190" s="14" t="s">
        <v>70</v>
      </c>
      <c r="G190" s="14">
        <v>97925</v>
      </c>
      <c r="H190" s="14">
        <v>70942</v>
      </c>
      <c r="I190" s="14">
        <v>21</v>
      </c>
      <c r="J190" s="14" t="s">
        <v>73</v>
      </c>
      <c r="K190" s="14" t="s">
        <v>71</v>
      </c>
      <c r="L190" s="14" t="s">
        <v>72</v>
      </c>
      <c r="M190" s="14" t="s">
        <v>9158</v>
      </c>
      <c r="N190" s="14" t="s">
        <v>9158</v>
      </c>
      <c r="O190" s="14" t="s">
        <v>9158</v>
      </c>
      <c r="P190" s="14" t="s">
        <v>9158</v>
      </c>
      <c r="Q190" s="14" t="s">
        <v>9158</v>
      </c>
      <c r="R190" s="14"/>
    </row>
    <row r="191" spans="1:19">
      <c r="A191" s="9">
        <v>64033</v>
      </c>
      <c r="B191" s="14" t="s">
        <v>0</v>
      </c>
      <c r="C191" s="14" t="s">
        <v>41</v>
      </c>
      <c r="D191" s="14" t="s">
        <v>129</v>
      </c>
      <c r="E191" s="15" t="str">
        <f>HYPERLINK("https://stat100.ameba.jp/tnk47/ratio20/illustrations/card/ill_64033_sobameshi03.jpg?201904-3-RELEASE-dice-e-404", "■")</f>
        <v>■</v>
      </c>
      <c r="F191" s="14" t="s">
        <v>129</v>
      </c>
      <c r="G191" s="14">
        <v>80391</v>
      </c>
      <c r="H191" s="14">
        <v>111000</v>
      </c>
      <c r="I191" s="14">
        <v>21</v>
      </c>
      <c r="J191" s="14" t="s">
        <v>104</v>
      </c>
      <c r="K191" s="14" t="s">
        <v>130</v>
      </c>
      <c r="L191" s="14" t="s">
        <v>131</v>
      </c>
      <c r="M191" s="14" t="s">
        <v>9158</v>
      </c>
      <c r="N191" s="14" t="s">
        <v>9158</v>
      </c>
      <c r="O191" s="14" t="s">
        <v>9158</v>
      </c>
      <c r="P191" s="14" t="s">
        <v>9158</v>
      </c>
      <c r="Q191" s="14" t="s">
        <v>9158</v>
      </c>
      <c r="R191" s="14"/>
    </row>
    <row r="192" spans="1:19">
      <c r="A192" s="9">
        <v>64043</v>
      </c>
      <c r="B192" s="14" t="s">
        <v>334</v>
      </c>
      <c r="C192" s="14" t="s">
        <v>154</v>
      </c>
      <c r="D192" s="14" t="s">
        <v>2079</v>
      </c>
      <c r="E192" s="15" t="str">
        <f>HYPERLINK("https://stat100.ameba.jp/tnk47/ratio20/illustrations/card/ill_64043_kegonnotaki03.jpg?201904-3-RELEASE-dice-e-404", "■")</f>
        <v>■</v>
      </c>
      <c r="F192" s="14" t="s">
        <v>2080</v>
      </c>
      <c r="G192" s="14">
        <v>99889</v>
      </c>
      <c r="H192" s="14">
        <v>72356</v>
      </c>
      <c r="I192" s="14">
        <v>21</v>
      </c>
      <c r="J192" s="14" t="s">
        <v>26</v>
      </c>
      <c r="K192" s="14" t="s">
        <v>2081</v>
      </c>
      <c r="L192" s="14" t="s">
        <v>2082</v>
      </c>
      <c r="M192" s="14" t="s">
        <v>9158</v>
      </c>
      <c r="N192" s="14" t="s">
        <v>9158</v>
      </c>
      <c r="O192" s="9" t="s">
        <v>3578</v>
      </c>
      <c r="P192" s="14" t="s">
        <v>3579</v>
      </c>
      <c r="Q192" s="14">
        <v>1</v>
      </c>
      <c r="R192" s="14"/>
    </row>
    <row r="193" spans="1:18">
      <c r="A193" s="9">
        <v>64873</v>
      </c>
      <c r="B193" s="14" t="s">
        <v>0</v>
      </c>
      <c r="C193" s="14" t="s">
        <v>158</v>
      </c>
      <c r="D193" s="14" t="s">
        <v>1952</v>
      </c>
      <c r="E193" s="15" t="str">
        <f>HYPERLINK("https://stat100.ameba.jp/tnk47/ratio20/illustrations/card/ill_64873_sessofujin03.jpg?201904-3-RELEASE-dice-e-404", "■")</f>
        <v>■</v>
      </c>
      <c r="F193" s="14" t="s">
        <v>1953</v>
      </c>
      <c r="G193" s="14">
        <v>66487</v>
      </c>
      <c r="H193" s="14">
        <v>91779</v>
      </c>
      <c r="I193" s="14">
        <v>21</v>
      </c>
      <c r="J193" s="14" t="s">
        <v>77</v>
      </c>
      <c r="K193" s="14" t="s">
        <v>1954</v>
      </c>
      <c r="L193" s="14" t="s">
        <v>1955</v>
      </c>
      <c r="M193" s="14" t="s">
        <v>9158</v>
      </c>
      <c r="N193" s="14" t="s">
        <v>9158</v>
      </c>
      <c r="O193" s="14" t="s">
        <v>9158</v>
      </c>
      <c r="P193" s="14" t="s">
        <v>9158</v>
      </c>
      <c r="Q193" s="14" t="s">
        <v>9158</v>
      </c>
      <c r="R193" s="14"/>
    </row>
    <row r="194" spans="1:18">
      <c r="A194" s="9">
        <v>58743</v>
      </c>
      <c r="B194" s="14" t="s">
        <v>334</v>
      </c>
      <c r="C194" s="14" t="s">
        <v>209</v>
      </c>
      <c r="D194" s="14" t="s">
        <v>2549</v>
      </c>
      <c r="E194" s="15" t="str">
        <f>HYPERLINK("https://stat100.ameba.jp/tnk47/ratio20/illustrations/card/ill_58743_enkirienoki03.jpg?201904-3-RELEASE-dice-e-404", "■")</f>
        <v>■</v>
      </c>
      <c r="F194" s="14" t="s">
        <v>2550</v>
      </c>
      <c r="G194" s="14">
        <v>63547</v>
      </c>
      <c r="H194" s="14">
        <v>86668</v>
      </c>
      <c r="I194" s="14">
        <v>21</v>
      </c>
      <c r="J194" s="14" t="s">
        <v>44</v>
      </c>
      <c r="K194" s="14" t="s">
        <v>2551</v>
      </c>
      <c r="L194" s="14" t="s">
        <v>95</v>
      </c>
      <c r="M194" s="14" t="s">
        <v>9158</v>
      </c>
      <c r="N194" s="14" t="s">
        <v>9158</v>
      </c>
      <c r="O194" s="17" t="s">
        <v>10065</v>
      </c>
      <c r="P194" s="14" t="s">
        <v>3670</v>
      </c>
      <c r="Q194" s="14">
        <v>1</v>
      </c>
      <c r="R194" s="14"/>
    </row>
    <row r="195" spans="1:18">
      <c r="B195" s="14"/>
      <c r="C195" s="14"/>
      <c r="D195" s="14"/>
      <c r="F195" s="14"/>
      <c r="G195" s="14"/>
      <c r="H195" s="14"/>
      <c r="I195" s="14"/>
      <c r="J195" s="14"/>
      <c r="K195" s="14"/>
      <c r="L195" s="14"/>
      <c r="M195" s="14"/>
      <c r="N195" s="14"/>
      <c r="P195" s="14"/>
      <c r="Q195" s="14"/>
      <c r="R195" s="14"/>
    </row>
    <row r="196" spans="1:18">
      <c r="A196" s="14" t="s">
        <v>3785</v>
      </c>
      <c r="D196" s="14"/>
      <c r="F196" s="14"/>
      <c r="G196" s="14"/>
      <c r="H196" s="14"/>
      <c r="I196" s="14"/>
      <c r="J196" s="14"/>
      <c r="K196" s="14"/>
      <c r="L196" s="14"/>
      <c r="M196" s="14"/>
      <c r="N196" s="14"/>
      <c r="P196" s="14"/>
      <c r="Q196" s="14"/>
      <c r="R196" s="14"/>
    </row>
    <row r="197" spans="1:18">
      <c r="A197" s="14" t="s">
        <v>4321</v>
      </c>
      <c r="B197" s="14"/>
      <c r="C197" s="14"/>
      <c r="D197" s="14"/>
      <c r="F197" s="14"/>
      <c r="G197" s="14"/>
      <c r="H197" s="14"/>
      <c r="I197" s="14"/>
      <c r="J197" s="14"/>
      <c r="K197" s="14"/>
      <c r="L197" s="14"/>
      <c r="M197" s="14"/>
      <c r="N197" s="14"/>
      <c r="P197" s="14"/>
      <c r="Q197" s="14"/>
      <c r="R197" s="14"/>
    </row>
    <row r="198" spans="1:18">
      <c r="A198" s="9" t="s">
        <v>5622</v>
      </c>
      <c r="B198" s="14" t="s">
        <v>330</v>
      </c>
      <c r="C198" s="14" t="s">
        <v>335</v>
      </c>
      <c r="D198" s="14" t="s">
        <v>509</v>
      </c>
      <c r="E198" s="15" t="str">
        <f>HYPERLINK("https://stat100.ameba.jp/tnk47/ratio20/illustrations/card/ill_49953_0_yushamarihime03.jpg?201904-3-RELEASE-dice-e-404", "■")</f>
        <v>■</v>
      </c>
      <c r="F198" s="14" t="s">
        <v>510</v>
      </c>
      <c r="G198" s="14">
        <v>94236</v>
      </c>
      <c r="H198" s="14">
        <v>83712</v>
      </c>
      <c r="I198" s="14">
        <v>15</v>
      </c>
      <c r="J198" s="14" t="s">
        <v>315</v>
      </c>
      <c r="K198" s="14" t="s">
        <v>511</v>
      </c>
      <c r="L198" s="14" t="s">
        <v>512</v>
      </c>
      <c r="M198" s="14" t="s">
        <v>9158</v>
      </c>
      <c r="N198" s="14" t="s">
        <v>9158</v>
      </c>
      <c r="O198" s="14" t="s">
        <v>9158</v>
      </c>
      <c r="P198" s="14" t="s">
        <v>9158</v>
      </c>
      <c r="Q198" s="14" t="s">
        <v>9158</v>
      </c>
      <c r="R198" s="14"/>
    </row>
    <row r="199" spans="1:18">
      <c r="A199" s="9" t="s">
        <v>5787</v>
      </c>
      <c r="B199" s="14" t="s">
        <v>330</v>
      </c>
      <c r="C199" s="14" t="s">
        <v>270</v>
      </c>
      <c r="D199" s="14" t="s">
        <v>331</v>
      </c>
      <c r="E199" s="15" t="str">
        <f>HYPERLINK("https://stat100.ameba.jp/tnk47/ratio20/illustrations/card/ill_76303_0_haroinkaguya03.jpg?201904-3-RELEASE-dice-e-404", "■")</f>
        <v>■</v>
      </c>
      <c r="F199" s="14" t="s">
        <v>332</v>
      </c>
      <c r="G199" s="14">
        <v>178507</v>
      </c>
      <c r="H199" s="14">
        <v>165953</v>
      </c>
      <c r="I199" s="14">
        <v>15</v>
      </c>
      <c r="J199" s="14" t="s">
        <v>274</v>
      </c>
      <c r="K199" s="14" t="s">
        <v>333</v>
      </c>
      <c r="L199" s="14" t="s">
        <v>276</v>
      </c>
      <c r="M199" s="14" t="s">
        <v>9158</v>
      </c>
      <c r="N199" s="14" t="s">
        <v>9158</v>
      </c>
      <c r="O199" s="9" t="s">
        <v>2723</v>
      </c>
      <c r="P199" s="14" t="s">
        <v>2724</v>
      </c>
      <c r="Q199" s="14">
        <v>1</v>
      </c>
      <c r="R199" s="14"/>
    </row>
    <row r="200" spans="1:18">
      <c r="A200" s="9" t="s">
        <v>5820</v>
      </c>
      <c r="B200" s="14" t="s">
        <v>330</v>
      </c>
      <c r="C200" s="14" t="s">
        <v>271</v>
      </c>
      <c r="D200" s="14" t="s">
        <v>2346</v>
      </c>
      <c r="E200" s="15" t="str">
        <f>HYPERLINK("https://stat100.ameba.jp/tnk47/ratio20/illustrations/card/ill_48283_0_kyuubitamamonomae03.jpg?201904-3-RELEASE-dice-e-404", "■")</f>
        <v>■</v>
      </c>
      <c r="F200" s="14" t="s">
        <v>631</v>
      </c>
      <c r="G200" s="14">
        <v>94236</v>
      </c>
      <c r="H200" s="14">
        <v>83712</v>
      </c>
      <c r="I200" s="14">
        <v>15</v>
      </c>
      <c r="J200" s="14" t="s">
        <v>320</v>
      </c>
      <c r="K200" s="14" t="s">
        <v>632</v>
      </c>
      <c r="L200" s="14" t="s">
        <v>633</v>
      </c>
      <c r="M200" s="14" t="s">
        <v>9158</v>
      </c>
      <c r="N200" s="14" t="s">
        <v>9158</v>
      </c>
      <c r="O200" s="14" t="s">
        <v>9158</v>
      </c>
      <c r="P200" s="14" t="s">
        <v>9158</v>
      </c>
      <c r="Q200" s="14" t="s">
        <v>9158</v>
      </c>
      <c r="R200" s="14"/>
    </row>
    <row r="201" spans="1:18">
      <c r="A201" s="9">
        <v>70793</v>
      </c>
      <c r="B201" s="14" t="s">
        <v>334</v>
      </c>
      <c r="C201" s="14" t="s">
        <v>191</v>
      </c>
      <c r="D201" s="14" t="s">
        <v>3257</v>
      </c>
      <c r="E201" s="15" t="str">
        <f>HYPERLINK("https://stat100.ameba.jp/tnk47/ratio20/illustrations/card/ill_70793_tojimbo03.jpg?201904-3-RELEASE-dice-e-404", "■")</f>
        <v>■</v>
      </c>
      <c r="F201" s="14" t="s">
        <v>3258</v>
      </c>
      <c r="G201" s="14">
        <v>110924</v>
      </c>
      <c r="H201" s="14">
        <v>62414</v>
      </c>
      <c r="I201" s="14">
        <v>23</v>
      </c>
      <c r="J201" s="14" t="s">
        <v>26</v>
      </c>
      <c r="K201" s="14" t="s">
        <v>3259</v>
      </c>
      <c r="L201" s="14" t="s">
        <v>3260</v>
      </c>
      <c r="M201" s="14" t="s">
        <v>9158</v>
      </c>
      <c r="N201" s="14" t="s">
        <v>9158</v>
      </c>
      <c r="O201" s="14" t="s">
        <v>9158</v>
      </c>
      <c r="P201" s="14" t="s">
        <v>9158</v>
      </c>
      <c r="Q201" s="14" t="s">
        <v>9158</v>
      </c>
      <c r="R201" s="14"/>
    </row>
    <row r="202" spans="1:18">
      <c r="A202" s="9">
        <v>76633</v>
      </c>
      <c r="B202" s="14" t="s">
        <v>334</v>
      </c>
      <c r="C202" s="14" t="s">
        <v>165</v>
      </c>
      <c r="D202" s="14" t="s">
        <v>909</v>
      </c>
      <c r="E202" s="15" t="str">
        <f>HYPERLINK("https://stat100.ameba.jp/tnk47/ratio20/illustrations/card/ill_76633_terazawahirotaka03.jpg?201904-3-RELEASE-dice-e-404", "■")</f>
        <v>■</v>
      </c>
      <c r="F202" s="14" t="s">
        <v>910</v>
      </c>
      <c r="G202" s="14">
        <v>110924</v>
      </c>
      <c r="H202" s="14">
        <v>62414</v>
      </c>
      <c r="I202" s="14">
        <v>23</v>
      </c>
      <c r="J202" s="14" t="s">
        <v>143</v>
      </c>
      <c r="K202" s="14" t="s">
        <v>911</v>
      </c>
      <c r="L202" s="14" t="s">
        <v>912</v>
      </c>
      <c r="M202" s="14" t="s">
        <v>9158</v>
      </c>
      <c r="N202" s="14" t="s">
        <v>9158</v>
      </c>
      <c r="O202" s="14" t="s">
        <v>9158</v>
      </c>
      <c r="P202" s="14" t="s">
        <v>9158</v>
      </c>
      <c r="Q202" s="14" t="s">
        <v>9158</v>
      </c>
      <c r="R202" s="14"/>
    </row>
    <row r="203" spans="1:18">
      <c r="A203" s="9">
        <v>68993</v>
      </c>
      <c r="B203" s="14" t="s">
        <v>334</v>
      </c>
      <c r="C203" s="14" t="s">
        <v>206</v>
      </c>
      <c r="D203" s="14" t="s">
        <v>2406</v>
      </c>
      <c r="E203" s="15" t="str">
        <f>HYPERLINK("https://stat100.ameba.jp/tnk47/ratio20/illustrations/card/ill_68993_namahageyoriyorichan03.jpg?201904-3-RELEASE-dice-e-404", "■")</f>
        <v>■</v>
      </c>
      <c r="F203" s="14" t="s">
        <v>2407</v>
      </c>
      <c r="G203" s="14">
        <v>108617</v>
      </c>
      <c r="H203" s="14">
        <v>101002</v>
      </c>
      <c r="I203" s="14">
        <v>23</v>
      </c>
      <c r="J203" s="14" t="s">
        <v>104</v>
      </c>
      <c r="K203" s="14" t="s">
        <v>2408</v>
      </c>
      <c r="L203" s="14" t="s">
        <v>2409</v>
      </c>
      <c r="M203" s="14" t="s">
        <v>9158</v>
      </c>
      <c r="N203" s="14" t="s">
        <v>9158</v>
      </c>
      <c r="O203" s="14" t="s">
        <v>9158</v>
      </c>
      <c r="P203" s="14" t="s">
        <v>9158</v>
      </c>
      <c r="Q203" s="14" t="s">
        <v>9158</v>
      </c>
      <c r="R203" s="14"/>
    </row>
    <row r="204" spans="1:18">
      <c r="B204" s="14"/>
      <c r="C204" s="14"/>
      <c r="D204" s="14"/>
      <c r="F204" s="14"/>
      <c r="G204" s="14"/>
      <c r="H204" s="14"/>
      <c r="I204" s="14"/>
      <c r="J204" s="14"/>
      <c r="K204" s="14"/>
      <c r="L204" s="14"/>
      <c r="M204" s="14"/>
      <c r="N204" s="14"/>
      <c r="P204" s="14"/>
      <c r="Q204" s="14"/>
      <c r="R204" s="14"/>
    </row>
    <row r="205" spans="1:18">
      <c r="A205" s="14" t="s">
        <v>223</v>
      </c>
      <c r="D205" s="14"/>
      <c r="F205" s="14"/>
      <c r="G205" s="14"/>
      <c r="H205" s="14"/>
      <c r="I205" s="14"/>
      <c r="J205" s="14"/>
      <c r="K205" s="14"/>
      <c r="L205" s="14"/>
      <c r="M205" s="14"/>
      <c r="N205" s="14"/>
      <c r="P205" s="14"/>
      <c r="Q205" s="14"/>
      <c r="R205" s="14"/>
    </row>
    <row r="206" spans="1:18">
      <c r="A206" s="14" t="s">
        <v>4322</v>
      </c>
      <c r="B206" s="14"/>
      <c r="C206" s="14"/>
      <c r="D206" s="14"/>
      <c r="F206" s="14"/>
      <c r="G206" s="14"/>
      <c r="H206" s="14"/>
      <c r="I206" s="14"/>
      <c r="J206" s="14"/>
      <c r="K206" s="14"/>
      <c r="L206" s="14"/>
      <c r="M206" s="14"/>
      <c r="N206" s="14"/>
      <c r="P206" s="14"/>
      <c r="Q206" s="14"/>
      <c r="R206" s="14"/>
    </row>
    <row r="207" spans="1:18">
      <c r="A207" s="9" t="s">
        <v>5614</v>
      </c>
      <c r="B207" s="14" t="s">
        <v>330</v>
      </c>
      <c r="C207" s="14" t="s">
        <v>205</v>
      </c>
      <c r="D207" s="14" t="s">
        <v>313</v>
      </c>
      <c r="E207" s="15" t="str">
        <f>HYPERLINK("https://stat100.ameba.jp/tnk47/ratio20/illustrations/card/ill_56223_0_onsempanikkugohime03.jpg?201904-3-RELEASE-dice-e-404", "■")</f>
        <v>■</v>
      </c>
      <c r="F207" s="14" t="s">
        <v>314</v>
      </c>
      <c r="G207" s="14">
        <v>106034</v>
      </c>
      <c r="H207" s="14">
        <v>119364</v>
      </c>
      <c r="I207" s="14">
        <v>19</v>
      </c>
      <c r="J207" s="14" t="s">
        <v>315</v>
      </c>
      <c r="K207" s="14" t="s">
        <v>316</v>
      </c>
      <c r="L207" s="14" t="s">
        <v>317</v>
      </c>
      <c r="M207" s="14" t="s">
        <v>9158</v>
      </c>
      <c r="N207" s="14" t="s">
        <v>9158</v>
      </c>
      <c r="O207" s="9" t="s">
        <v>3021</v>
      </c>
      <c r="P207" s="14" t="s">
        <v>2890</v>
      </c>
      <c r="Q207" s="14">
        <v>1</v>
      </c>
      <c r="R207" s="14"/>
    </row>
    <row r="208" spans="1:18">
      <c r="A208" s="9">
        <v>76783</v>
      </c>
      <c r="B208" s="14" t="s">
        <v>334</v>
      </c>
      <c r="C208" s="14" t="s">
        <v>203</v>
      </c>
      <c r="D208" s="14" t="s">
        <v>1191</v>
      </c>
      <c r="E208" s="15" t="str">
        <f>HYPERLINK("https://stat100.ameba.jp/tnk47/ratio20/illustrations/card/ill_76783_monsutaakashirejina03.jpg?201904-3-RELEASE-dice-e-404", "■")</f>
        <v>■</v>
      </c>
      <c r="F208" s="14" t="s">
        <v>1192</v>
      </c>
      <c r="G208" s="14">
        <v>66487</v>
      </c>
      <c r="H208" s="14">
        <v>91779</v>
      </c>
      <c r="I208" s="14">
        <v>21</v>
      </c>
      <c r="J208" s="14" t="s">
        <v>10</v>
      </c>
      <c r="K208" s="14" t="s">
        <v>1193</v>
      </c>
      <c r="L208" s="14" t="s">
        <v>1194</v>
      </c>
      <c r="M208" s="14" t="s">
        <v>9158</v>
      </c>
      <c r="N208" s="14" t="s">
        <v>9158</v>
      </c>
      <c r="O208" s="9" t="s">
        <v>2717</v>
      </c>
      <c r="P208" s="14" t="s">
        <v>13123</v>
      </c>
      <c r="Q208" s="14">
        <v>1</v>
      </c>
      <c r="R208" s="14"/>
    </row>
    <row r="209" spans="1:18">
      <c r="A209" s="9">
        <v>56613</v>
      </c>
      <c r="B209" s="14" t="s">
        <v>0</v>
      </c>
      <c r="C209" s="14" t="s">
        <v>150</v>
      </c>
      <c r="D209" s="14" t="s">
        <v>146</v>
      </c>
      <c r="E209" s="15" t="str">
        <f>HYPERLINK("https://stat100.ameba.jp/tnk47/ratio20/illustrations/card/ill_56613_genjushimasakon03.jpg?201904-3-RELEASE-dice-e-404", "■")</f>
        <v>■</v>
      </c>
      <c r="F209" s="14" t="s">
        <v>147</v>
      </c>
      <c r="G209" s="14">
        <v>124487</v>
      </c>
      <c r="H209" s="14">
        <v>75254</v>
      </c>
      <c r="I209" s="14">
        <v>21</v>
      </c>
      <c r="J209" s="14" t="s">
        <v>143</v>
      </c>
      <c r="K209" s="14" t="s">
        <v>148</v>
      </c>
      <c r="L209" s="14" t="s">
        <v>149</v>
      </c>
      <c r="M209" s="14" t="s">
        <v>9158</v>
      </c>
      <c r="N209" s="14" t="s">
        <v>9158</v>
      </c>
      <c r="O209" s="17" t="s">
        <v>10056</v>
      </c>
      <c r="P209" s="14" t="s">
        <v>3853</v>
      </c>
      <c r="Q209" s="14">
        <v>1</v>
      </c>
      <c r="R209" s="14"/>
    </row>
    <row r="210" spans="1:18">
      <c r="A210" s="9">
        <v>65653</v>
      </c>
      <c r="B210" s="14" t="s">
        <v>334</v>
      </c>
      <c r="C210" s="14" t="s">
        <v>185</v>
      </c>
      <c r="D210" s="14" t="s">
        <v>3411</v>
      </c>
      <c r="E210" s="15" t="str">
        <f>HYPERLINK("https://stat100.ameba.jp/tnk47/ratio20/illustrations/card/ill_65653_undokaitakamurachieko03.jpg?201904-3-RELEASE-dice-e-404", "■")</f>
        <v>■</v>
      </c>
      <c r="F210" s="14" t="s">
        <v>3412</v>
      </c>
      <c r="G210" s="14">
        <v>85153</v>
      </c>
      <c r="H210" s="14">
        <v>79207</v>
      </c>
      <c r="I210" s="14">
        <v>21</v>
      </c>
      <c r="J210" s="14" t="s">
        <v>16</v>
      </c>
      <c r="K210" s="14" t="s">
        <v>3413</v>
      </c>
      <c r="L210" s="14" t="s">
        <v>1149</v>
      </c>
      <c r="M210" s="14" t="s">
        <v>9158</v>
      </c>
      <c r="N210" s="14" t="s">
        <v>9158</v>
      </c>
      <c r="O210" s="9" t="s">
        <v>3414</v>
      </c>
      <c r="P210" s="14" t="s">
        <v>13122</v>
      </c>
      <c r="Q210" s="14">
        <v>1</v>
      </c>
      <c r="R210" s="14"/>
    </row>
    <row r="211" spans="1:18">
      <c r="B211" s="14"/>
      <c r="C211" s="14"/>
      <c r="D211" s="14"/>
      <c r="F211" s="14"/>
      <c r="G211" s="14"/>
      <c r="H211" s="14"/>
      <c r="I211" s="14"/>
      <c r="J211" s="14"/>
      <c r="K211" s="14"/>
      <c r="L211" s="14"/>
      <c r="M211" s="14"/>
      <c r="N211" s="14"/>
      <c r="P211" s="14"/>
      <c r="Q211" s="14"/>
      <c r="R211" s="14"/>
    </row>
    <row r="212" spans="1:18">
      <c r="A212" s="14" t="s">
        <v>135</v>
      </c>
      <c r="D212" s="14"/>
      <c r="F212" s="14"/>
      <c r="G212" s="14"/>
      <c r="H212" s="14"/>
      <c r="I212" s="14"/>
      <c r="J212" s="14"/>
      <c r="K212" s="14"/>
      <c r="L212" s="14"/>
      <c r="M212" s="14"/>
      <c r="N212" s="14"/>
      <c r="P212" s="14"/>
      <c r="Q212" s="14"/>
      <c r="R212" s="14"/>
    </row>
    <row r="213" spans="1:18">
      <c r="A213" s="14" t="s">
        <v>4323</v>
      </c>
      <c r="B213" s="14"/>
      <c r="C213" s="14"/>
      <c r="D213" s="14"/>
      <c r="F213" s="14"/>
      <c r="G213" s="14"/>
      <c r="H213" s="14"/>
      <c r="I213" s="14"/>
      <c r="J213" s="14"/>
      <c r="K213" s="14"/>
      <c r="L213" s="14"/>
      <c r="M213" s="14"/>
      <c r="N213" s="14"/>
      <c r="P213" s="14"/>
      <c r="Q213" s="14"/>
      <c r="R213" s="14"/>
    </row>
    <row r="214" spans="1:18">
      <c r="A214" s="9" t="s">
        <v>5899</v>
      </c>
      <c r="B214" s="14" t="s">
        <v>330</v>
      </c>
      <c r="C214" s="14" t="s">
        <v>205</v>
      </c>
      <c r="D214" s="14" t="s">
        <v>1185</v>
      </c>
      <c r="E214" s="15" t="str">
        <f>HYPERLINK("https://stat100.ameba.jp/tnk47/ratio20/illustrations/card/ill_73773_0_umibirakiinugamigyobu03.jpg?201904-3-RELEASE-dice-e-404", "■")</f>
        <v>■</v>
      </c>
      <c r="F214" s="14" t="s">
        <v>935</v>
      </c>
      <c r="G214" s="14">
        <v>208256</v>
      </c>
      <c r="H214" s="14">
        <v>224000</v>
      </c>
      <c r="I214" s="14">
        <v>24</v>
      </c>
      <c r="J214" s="14" t="s">
        <v>73</v>
      </c>
      <c r="K214" s="14" t="s">
        <v>1186</v>
      </c>
      <c r="L214" s="14" t="s">
        <v>1187</v>
      </c>
      <c r="M214" s="14" t="s">
        <v>9158</v>
      </c>
      <c r="N214" s="14" t="s">
        <v>9158</v>
      </c>
      <c r="O214" s="9" t="s">
        <v>2978</v>
      </c>
      <c r="P214" s="14" t="s">
        <v>2979</v>
      </c>
      <c r="Q214" s="14">
        <v>2</v>
      </c>
      <c r="R214" s="14"/>
    </row>
    <row r="215" spans="1:18">
      <c r="A215" s="9">
        <v>63853</v>
      </c>
      <c r="B215" s="14" t="s">
        <v>334</v>
      </c>
      <c r="C215" s="14" t="s">
        <v>200</v>
      </c>
      <c r="D215" s="14" t="s">
        <v>940</v>
      </c>
      <c r="E215" s="15" t="str">
        <f>HYPERLINK("https://stat100.ameba.jp/tnk47/ratio20/illustrations/card/ill_63853_daikokaijidainansosatomihakkenden03.jpg?201904-3-RELEASE-dice-e-404", "■")</f>
        <v>■</v>
      </c>
      <c r="F215" s="14" t="s">
        <v>941</v>
      </c>
      <c r="G215" s="14">
        <v>93184</v>
      </c>
      <c r="H215" s="14">
        <v>100400</v>
      </c>
      <c r="I215" s="14">
        <v>22</v>
      </c>
      <c r="J215" s="14" t="s">
        <v>155</v>
      </c>
      <c r="K215" s="14" t="s">
        <v>942</v>
      </c>
      <c r="L215" s="14" t="s">
        <v>13149</v>
      </c>
      <c r="M215" s="14" t="s">
        <v>9158</v>
      </c>
      <c r="N215" s="14" t="s">
        <v>9158</v>
      </c>
      <c r="O215" s="9" t="s">
        <v>3619</v>
      </c>
      <c r="P215" s="14" t="s">
        <v>3330</v>
      </c>
      <c r="Q215" s="14">
        <v>1</v>
      </c>
      <c r="R215" s="14"/>
    </row>
    <row r="216" spans="1:18">
      <c r="A216" s="9">
        <v>77123</v>
      </c>
      <c r="B216" s="14" t="s">
        <v>334</v>
      </c>
      <c r="C216" s="14" t="s">
        <v>191</v>
      </c>
      <c r="D216" s="14" t="s">
        <v>3659</v>
      </c>
      <c r="E216" s="15" t="str">
        <f>HYPERLINK("https://stat100.ameba.jp/tnk47/ratio20/illustrations/card/ill_77123_yukemuriizuna03.jpg?201904-3-RELEASE-dice-e-404", "■")</f>
        <v>■</v>
      </c>
      <c r="F216" s="14" t="s">
        <v>1377</v>
      </c>
      <c r="G216" s="14">
        <v>91664</v>
      </c>
      <c r="H216" s="14">
        <v>85246</v>
      </c>
      <c r="I216" s="14">
        <v>22</v>
      </c>
      <c r="J216" s="14" t="s">
        <v>320</v>
      </c>
      <c r="K216" s="14" t="s">
        <v>1378</v>
      </c>
      <c r="L216" s="14" t="s">
        <v>1379</v>
      </c>
      <c r="M216" s="14" t="s">
        <v>9158</v>
      </c>
      <c r="N216" s="14" t="s">
        <v>9158</v>
      </c>
      <c r="O216" s="9" t="s">
        <v>3660</v>
      </c>
      <c r="P216" s="14" t="s">
        <v>3579</v>
      </c>
      <c r="Q216" s="14">
        <v>1</v>
      </c>
      <c r="R216" s="14"/>
    </row>
    <row r="217" spans="1:18">
      <c r="A217" s="9">
        <v>71323</v>
      </c>
      <c r="B217" s="14" t="s">
        <v>0</v>
      </c>
      <c r="C217" s="14" t="s">
        <v>154</v>
      </c>
      <c r="D217" s="14" t="s">
        <v>1878</v>
      </c>
      <c r="E217" s="15" t="str">
        <f>HYPERLINK("https://stat100.ameba.jp/tnk47/ratio20/illustrations/card/ill_71323_kodanobu03.jpg?201904-3-RELEASE-dice-e-404", "■")</f>
        <v>■</v>
      </c>
      <c r="F217" s="14" t="s">
        <v>1879</v>
      </c>
      <c r="G217" s="14">
        <v>110000</v>
      </c>
      <c r="H217" s="14">
        <v>102278</v>
      </c>
      <c r="I217" s="14">
        <v>22</v>
      </c>
      <c r="J217" s="14" t="s">
        <v>16</v>
      </c>
      <c r="K217" s="14" t="s">
        <v>1880</v>
      </c>
      <c r="L217" s="14" t="s">
        <v>1881</v>
      </c>
      <c r="M217" s="14" t="s">
        <v>9158</v>
      </c>
      <c r="N217" s="14" t="s">
        <v>9158</v>
      </c>
      <c r="O217" s="17" t="s">
        <v>10055</v>
      </c>
      <c r="P217" s="14" t="s">
        <v>13124</v>
      </c>
      <c r="Q217" s="14">
        <v>1</v>
      </c>
      <c r="R217" s="14"/>
    </row>
    <row r="218" spans="1:18">
      <c r="B218" s="14"/>
      <c r="C218" s="14"/>
      <c r="D218" s="14"/>
      <c r="F218" s="14"/>
      <c r="G218" s="14"/>
      <c r="H218" s="14"/>
      <c r="I218" s="14"/>
      <c r="J218" s="14"/>
      <c r="K218" s="14"/>
      <c r="L218" s="14"/>
      <c r="M218" s="14"/>
      <c r="N218" s="14"/>
      <c r="P218" s="14"/>
      <c r="Q218" s="14"/>
      <c r="R218" s="14"/>
    </row>
    <row r="219" spans="1:18">
      <c r="A219" s="14" t="s">
        <v>3916</v>
      </c>
      <c r="D219" s="14"/>
      <c r="F219" s="14"/>
      <c r="G219" s="14"/>
      <c r="H219" s="14"/>
      <c r="I219" s="14"/>
      <c r="J219" s="14"/>
      <c r="K219" s="14"/>
      <c r="L219" s="14"/>
      <c r="M219" s="14"/>
      <c r="N219" s="14"/>
      <c r="P219" s="14"/>
      <c r="Q219" s="14"/>
      <c r="R219" s="14"/>
    </row>
    <row r="220" spans="1:18">
      <c r="A220" s="14" t="s">
        <v>4324</v>
      </c>
      <c r="B220" s="14"/>
      <c r="C220" s="14"/>
      <c r="D220" s="14"/>
      <c r="F220" s="14"/>
      <c r="G220" s="14"/>
      <c r="H220" s="14"/>
      <c r="I220" s="14"/>
      <c r="J220" s="14"/>
      <c r="K220" s="14"/>
      <c r="L220" s="14"/>
      <c r="M220" s="14"/>
      <c r="N220" s="14"/>
      <c r="P220" s="14"/>
      <c r="Q220" s="14"/>
      <c r="R220" s="14"/>
    </row>
    <row r="221" spans="1:18">
      <c r="A221" s="9">
        <v>76103</v>
      </c>
      <c r="B221" s="14" t="s">
        <v>334</v>
      </c>
      <c r="C221" s="14" t="s">
        <v>154</v>
      </c>
      <c r="D221" s="14" t="s">
        <v>1121</v>
      </c>
      <c r="E221" s="15" t="str">
        <f>HYPERLINK("https://stat100.ameba.jp/tnk47/ratio20/illustrations/card/ill_76103_shibuaji03.jpg?201904-3-RELEASE-dice-e-404", "■")</f>
        <v>■</v>
      </c>
      <c r="F221" s="14" t="s">
        <v>1122</v>
      </c>
      <c r="G221" s="14">
        <v>94886</v>
      </c>
      <c r="H221" s="14">
        <v>88226</v>
      </c>
      <c r="I221" s="14">
        <v>22</v>
      </c>
      <c r="J221" s="14" t="s">
        <v>143</v>
      </c>
      <c r="K221" s="14" t="s">
        <v>1123</v>
      </c>
      <c r="L221" s="14" t="s">
        <v>1124</v>
      </c>
      <c r="M221" s="14" t="s">
        <v>9158</v>
      </c>
      <c r="N221" s="14" t="s">
        <v>9158</v>
      </c>
      <c r="O221" s="14" t="s">
        <v>9158</v>
      </c>
      <c r="P221" s="14" t="s">
        <v>9158</v>
      </c>
      <c r="Q221" s="14" t="s">
        <v>9158</v>
      </c>
      <c r="R221" s="14"/>
    </row>
    <row r="222" spans="1:18">
      <c r="A222" s="9">
        <v>76113</v>
      </c>
      <c r="B222" s="14" t="s">
        <v>334</v>
      </c>
      <c r="C222" s="14" t="s">
        <v>158</v>
      </c>
      <c r="D222" s="14" t="s">
        <v>1125</v>
      </c>
      <c r="E222" s="15" t="str">
        <f>HYPERLINK("https://stat100.ameba.jp/tnk47/ratio20/illustrations/card/ill_76113_jannudaruku03.jpg?201904-3-RELEASE-dice-e-404", "■")</f>
        <v>■</v>
      </c>
      <c r="F222" s="14" t="s">
        <v>1126</v>
      </c>
      <c r="G222" s="14">
        <v>94886</v>
      </c>
      <c r="H222" s="14">
        <v>88226</v>
      </c>
      <c r="I222" s="14">
        <v>22</v>
      </c>
      <c r="J222" s="14" t="s">
        <v>10</v>
      </c>
      <c r="K222" s="14" t="s">
        <v>1127</v>
      </c>
      <c r="L222" s="14" t="s">
        <v>1128</v>
      </c>
      <c r="M222" s="14" t="s">
        <v>9158</v>
      </c>
      <c r="N222" s="14" t="s">
        <v>9158</v>
      </c>
      <c r="O222" s="14" t="s">
        <v>9158</v>
      </c>
      <c r="P222" s="14" t="s">
        <v>9158</v>
      </c>
      <c r="Q222" s="14" t="s">
        <v>9158</v>
      </c>
      <c r="R222" s="14"/>
    </row>
    <row r="223" spans="1:18">
      <c r="A223" s="9">
        <v>59863</v>
      </c>
      <c r="B223" s="14" t="s">
        <v>334</v>
      </c>
      <c r="C223" s="14" t="s">
        <v>165</v>
      </c>
      <c r="D223" s="14" t="s">
        <v>318</v>
      </c>
      <c r="E223" s="15" t="str">
        <f>HYPERLINK("https://stat100.ameba.jp/tnk47/ratio20/illustrations/card/ill_59863_yoseiichimokuren03.jpg?201904-3-RELEASE-dice-e-404", "■")</f>
        <v>■</v>
      </c>
      <c r="F223" s="14" t="s">
        <v>319</v>
      </c>
      <c r="G223" s="14">
        <v>91664</v>
      </c>
      <c r="H223" s="14">
        <v>85246</v>
      </c>
      <c r="I223" s="14">
        <v>22</v>
      </c>
      <c r="J223" s="14" t="s">
        <v>320</v>
      </c>
      <c r="K223" s="14" t="s">
        <v>321</v>
      </c>
      <c r="L223" s="14" t="s">
        <v>322</v>
      </c>
      <c r="M223" s="14" t="s">
        <v>9158</v>
      </c>
      <c r="N223" s="14" t="s">
        <v>9158</v>
      </c>
      <c r="O223" s="14" t="s">
        <v>9158</v>
      </c>
      <c r="P223" s="14" t="s">
        <v>9158</v>
      </c>
      <c r="Q223" s="14" t="s">
        <v>9158</v>
      </c>
      <c r="R223" s="14"/>
    </row>
    <row r="224" spans="1:18">
      <c r="A224" s="9">
        <v>63323</v>
      </c>
      <c r="B224" s="14" t="s">
        <v>0</v>
      </c>
      <c r="C224" s="14" t="s">
        <v>200</v>
      </c>
      <c r="D224" s="14" t="s">
        <v>3582</v>
      </c>
      <c r="E224" s="15" t="str">
        <f>HYPERLINK("https://stat100.ameba.jp/tnk47/ratio20/illustrations/card/ill_63323_ajisaikushinadahime03.jpg?201904-3-RELEASE-dice-e-404", "■")</f>
        <v>■</v>
      </c>
      <c r="F224" s="14" t="s">
        <v>3583</v>
      </c>
      <c r="G224" s="14">
        <v>83426</v>
      </c>
      <c r="H224" s="14">
        <v>89736</v>
      </c>
      <c r="I224" s="14">
        <v>22</v>
      </c>
      <c r="J224" s="14" t="s">
        <v>44</v>
      </c>
      <c r="K224" s="14" t="s">
        <v>3584</v>
      </c>
      <c r="L224" s="14" t="s">
        <v>2400</v>
      </c>
      <c r="M224" s="14" t="s">
        <v>9158</v>
      </c>
      <c r="N224" s="14" t="s">
        <v>9158</v>
      </c>
      <c r="O224" s="14" t="s">
        <v>9158</v>
      </c>
      <c r="P224" s="14" t="s">
        <v>9158</v>
      </c>
      <c r="Q224" s="14" t="s">
        <v>9158</v>
      </c>
      <c r="R224" s="14"/>
    </row>
    <row r="225" spans="1:18">
      <c r="B225" s="14"/>
      <c r="C225" s="14"/>
      <c r="D225" s="14"/>
      <c r="F225" s="14"/>
      <c r="G225" s="14"/>
      <c r="H225" s="14"/>
      <c r="I225" s="14"/>
      <c r="J225" s="14"/>
      <c r="K225" s="14"/>
      <c r="L225" s="14"/>
      <c r="M225" s="14"/>
      <c r="N225" s="14"/>
      <c r="P225" s="14"/>
      <c r="Q225" s="14"/>
      <c r="R225" s="14"/>
    </row>
    <row r="226" spans="1:18">
      <c r="A226" s="14" t="s">
        <v>4325</v>
      </c>
      <c r="F226" s="14"/>
      <c r="G226" s="14"/>
      <c r="H226" s="14"/>
      <c r="I226" s="14"/>
      <c r="J226" s="14"/>
      <c r="K226" s="14"/>
      <c r="L226" s="14"/>
      <c r="M226" s="14"/>
      <c r="N226" s="14"/>
      <c r="P226" s="14"/>
      <c r="Q226" s="14"/>
      <c r="R226" s="14"/>
    </row>
    <row r="227" spans="1:18">
      <c r="A227" s="14" t="s">
        <v>4326</v>
      </c>
      <c r="B227" s="14"/>
      <c r="C227" s="14"/>
      <c r="D227" s="14"/>
      <c r="F227" s="14"/>
      <c r="G227" s="14"/>
      <c r="H227" s="14"/>
      <c r="I227" s="14"/>
      <c r="J227" s="14"/>
      <c r="K227" s="14"/>
      <c r="L227" s="14"/>
      <c r="M227" s="14"/>
      <c r="N227" s="14"/>
      <c r="P227" s="14"/>
      <c r="Q227" s="14"/>
      <c r="R227" s="14"/>
    </row>
    <row r="228" spans="1:18">
      <c r="A228" s="14" t="s">
        <v>11486</v>
      </c>
      <c r="B228" s="14"/>
      <c r="C228" s="14"/>
      <c r="D228" s="14"/>
      <c r="F228" s="14"/>
      <c r="G228" s="14"/>
      <c r="H228" s="14"/>
      <c r="I228" s="14"/>
      <c r="J228" s="14"/>
      <c r="K228" s="14"/>
      <c r="L228" s="14"/>
      <c r="M228" s="14"/>
      <c r="N228" s="14"/>
      <c r="P228" s="14"/>
      <c r="Q228" s="14"/>
      <c r="R228" s="14"/>
    </row>
    <row r="229" spans="1:18">
      <c r="A229" s="9" t="s">
        <v>6905</v>
      </c>
      <c r="B229" s="14" t="s">
        <v>330</v>
      </c>
      <c r="C229" s="14" t="s">
        <v>35</v>
      </c>
      <c r="D229" s="14" t="s">
        <v>4161</v>
      </c>
      <c r="E229" s="15" t="str">
        <f>HYPERLINK("https://stat100.ameba.jp/tnk47/ratio20/illustrations/card/ill_80623_0_ohanamigurampingutominushihime03.jpg?201904-3-RELEASE-dice-e-404", "■")</f>
        <v>■</v>
      </c>
      <c r="F229" s="14" t="s">
        <v>4162</v>
      </c>
      <c r="G229" s="14">
        <v>180796</v>
      </c>
      <c r="H229" s="14">
        <v>163420</v>
      </c>
      <c r="I229" s="14">
        <v>15</v>
      </c>
      <c r="J229" s="14" t="s">
        <v>44</v>
      </c>
      <c r="K229" s="14" t="s">
        <v>4163</v>
      </c>
      <c r="L229" s="14" t="s">
        <v>4164</v>
      </c>
      <c r="M229" s="14" t="s">
        <v>9158</v>
      </c>
      <c r="N229" s="14" t="s">
        <v>9158</v>
      </c>
      <c r="O229" s="9" t="s">
        <v>4165</v>
      </c>
      <c r="P229" s="14" t="s">
        <v>4166</v>
      </c>
      <c r="Q229" s="14">
        <v>1</v>
      </c>
      <c r="R229" s="14"/>
    </row>
    <row r="230" spans="1:18">
      <c r="A230" s="9">
        <v>80873</v>
      </c>
      <c r="B230" s="14" t="s">
        <v>0</v>
      </c>
      <c r="C230" s="14" t="s">
        <v>191</v>
      </c>
      <c r="D230" s="14" t="s">
        <v>4327</v>
      </c>
      <c r="E230" s="15" t="str">
        <f>HYPERLINK("https://stat100.ameba.jp/tnk47/ratio20/illustrations/card/ill_80873_fukkatsusaikawashimayoshiko03.jpg?201904-3-RELEASE-dice-e-404", "■")</f>
        <v>■</v>
      </c>
      <c r="F230" s="14" t="s">
        <v>4328</v>
      </c>
      <c r="G230" s="14">
        <v>89839</v>
      </c>
      <c r="H230" s="14">
        <v>83499</v>
      </c>
      <c r="I230" s="14">
        <v>23</v>
      </c>
      <c r="J230" s="14" t="s">
        <v>10</v>
      </c>
      <c r="K230" s="14" t="s">
        <v>4329</v>
      </c>
      <c r="L230" s="14" t="s">
        <v>3352</v>
      </c>
      <c r="M230" s="14" t="s">
        <v>9158</v>
      </c>
      <c r="N230" s="14" t="s">
        <v>9158</v>
      </c>
      <c r="O230" s="14" t="s">
        <v>9158</v>
      </c>
      <c r="P230" s="14" t="s">
        <v>9158</v>
      </c>
      <c r="Q230" s="14" t="s">
        <v>9158</v>
      </c>
      <c r="R230" s="14"/>
    </row>
    <row r="231" spans="1:18">
      <c r="A231" s="9">
        <v>80883</v>
      </c>
      <c r="B231" s="14" t="s">
        <v>15</v>
      </c>
      <c r="C231" s="14" t="s">
        <v>185</v>
      </c>
      <c r="D231" s="14" t="s">
        <v>4330</v>
      </c>
      <c r="E231" s="15" t="str">
        <f>HYPERLINK("https://stat100.ameba.jp/tnk47/ratio20/illustrations/card/ill_80883_isutabaniyamamurokieko03.jpg?201904-3-RELEASE-dice-e-404", "■")</f>
        <v>■</v>
      </c>
      <c r="F231" s="14" t="s">
        <v>4331</v>
      </c>
      <c r="G231" s="14">
        <v>59144</v>
      </c>
      <c r="H231" s="14">
        <v>65208</v>
      </c>
      <c r="I231" s="14">
        <v>22</v>
      </c>
      <c r="J231" s="14" t="s">
        <v>10</v>
      </c>
      <c r="K231" s="14" t="s">
        <v>3585</v>
      </c>
      <c r="L231" s="14" t="s">
        <v>3337</v>
      </c>
      <c r="M231" s="14" t="s">
        <v>9158</v>
      </c>
      <c r="N231" s="14" t="s">
        <v>9158</v>
      </c>
      <c r="O231" s="14" t="s">
        <v>9158</v>
      </c>
      <c r="P231" s="14" t="s">
        <v>9158</v>
      </c>
      <c r="Q231" s="14" t="s">
        <v>9158</v>
      </c>
      <c r="R231" s="14"/>
    </row>
    <row r="232" spans="1:18">
      <c r="A232" s="9">
        <v>80893</v>
      </c>
      <c r="B232" s="14" t="s">
        <v>22</v>
      </c>
      <c r="C232" s="14" t="s">
        <v>107</v>
      </c>
      <c r="D232" s="14" t="s">
        <v>4332</v>
      </c>
      <c r="E232" s="15" t="str">
        <f>HYPERLINK("https://stat100.ameba.jp/tnk47/ratio20/illustrations/card/ill_80893_morimasenshia03.jpg?201904-3-RELEASE-dice-e-404", "■")</f>
        <v>■</v>
      </c>
      <c r="F232" s="14" t="s">
        <v>4333</v>
      </c>
      <c r="G232" s="14">
        <v>43662</v>
      </c>
      <c r="H232" s="14">
        <v>36304</v>
      </c>
      <c r="I232" s="14">
        <v>21</v>
      </c>
      <c r="J232" s="14" t="s">
        <v>315</v>
      </c>
      <c r="K232" s="14" t="s">
        <v>4334</v>
      </c>
      <c r="L232" s="14" t="s">
        <v>1732</v>
      </c>
      <c r="M232" s="14" t="s">
        <v>9158</v>
      </c>
      <c r="N232" s="14" t="s">
        <v>9158</v>
      </c>
      <c r="O232" s="14" t="s">
        <v>9158</v>
      </c>
      <c r="P232" s="14" t="s">
        <v>9158</v>
      </c>
      <c r="Q232" s="14" t="s">
        <v>9158</v>
      </c>
      <c r="R232" s="14"/>
    </row>
    <row r="233" spans="1:18">
      <c r="A233" s="9">
        <v>80903</v>
      </c>
      <c r="B233" s="14" t="s">
        <v>30</v>
      </c>
      <c r="C233" s="14" t="s">
        <v>3693</v>
      </c>
      <c r="D233" s="14" t="s">
        <v>4335</v>
      </c>
      <c r="E233" s="15" t="str">
        <f>HYPERLINK("https://stat100.ameba.jp/tnk47/ratio20/illustrations/card/ill_80903_umibirakiyukiusagichan03.jpg?201904-3-RELEASE-dice-e-404", "■")</f>
        <v>■</v>
      </c>
      <c r="F233" s="14" t="s">
        <v>4336</v>
      </c>
      <c r="G233" s="14">
        <v>22200</v>
      </c>
      <c r="H233" s="14">
        <v>26434</v>
      </c>
      <c r="I233" s="14">
        <v>21</v>
      </c>
      <c r="J233" s="14" t="s">
        <v>26</v>
      </c>
      <c r="K233" s="14" t="s">
        <v>4337</v>
      </c>
      <c r="L233" s="14" t="s">
        <v>2221</v>
      </c>
      <c r="M233" s="14" t="s">
        <v>9158</v>
      </c>
      <c r="N233" s="14" t="s">
        <v>9158</v>
      </c>
      <c r="O233" s="14" t="s">
        <v>9158</v>
      </c>
      <c r="P233" s="14" t="s">
        <v>9158</v>
      </c>
      <c r="Q233" s="14" t="s">
        <v>9158</v>
      </c>
      <c r="R233" s="14"/>
    </row>
    <row r="234" spans="1:18">
      <c r="B234" s="14"/>
      <c r="C234" s="14"/>
      <c r="D234" s="14"/>
      <c r="F234" s="14"/>
      <c r="G234" s="14"/>
      <c r="H234" s="14"/>
      <c r="I234" s="14"/>
      <c r="J234" s="14"/>
      <c r="K234" s="14"/>
      <c r="L234" s="14"/>
      <c r="M234" s="14"/>
      <c r="N234" s="14"/>
      <c r="P234" s="14"/>
      <c r="Q234" s="14"/>
      <c r="R234" s="14"/>
    </row>
    <row r="235" spans="1:18">
      <c r="A235" s="14" t="s">
        <v>3905</v>
      </c>
      <c r="D235" s="14"/>
      <c r="F235" s="14"/>
      <c r="G235" s="14"/>
      <c r="H235" s="14"/>
      <c r="I235" s="14"/>
      <c r="J235" s="14"/>
      <c r="K235" s="14"/>
      <c r="L235" s="14"/>
      <c r="M235" s="14"/>
      <c r="N235" s="14"/>
      <c r="P235" s="14"/>
      <c r="Q235" s="14"/>
      <c r="R235" s="14"/>
    </row>
    <row r="236" spans="1:18">
      <c r="A236" s="14" t="s">
        <v>4338</v>
      </c>
      <c r="B236" s="14"/>
      <c r="C236" s="14"/>
      <c r="D236" s="14"/>
      <c r="F236" s="14"/>
      <c r="G236" s="14"/>
      <c r="H236" s="14"/>
      <c r="I236" s="14"/>
      <c r="J236" s="14"/>
      <c r="K236" s="14"/>
      <c r="L236" s="14"/>
      <c r="M236" s="14"/>
      <c r="N236" s="14"/>
      <c r="P236" s="14"/>
      <c r="Q236" s="14"/>
      <c r="R236" s="14"/>
    </row>
    <row r="237" spans="1:18">
      <c r="A237" s="9" t="s">
        <v>5616</v>
      </c>
      <c r="B237" s="14" t="s">
        <v>52</v>
      </c>
      <c r="C237" s="14" t="s">
        <v>14</v>
      </c>
      <c r="D237" s="14" t="s">
        <v>54</v>
      </c>
      <c r="E237" s="15" t="str">
        <f>HYPERLINK("https://stat100.ameba.jp/tnk47/ratio20/illustrations/card/ill_44253_0_dokuganryudatemasamune03.jpg?201904-3-RELEASE-dice-e-404", "■")</f>
        <v>■</v>
      </c>
      <c r="F237" s="14" t="s">
        <v>1181</v>
      </c>
      <c r="G237" s="14">
        <v>82212</v>
      </c>
      <c r="H237" s="14">
        <v>87780</v>
      </c>
      <c r="I237" s="14">
        <v>15</v>
      </c>
      <c r="J237" s="14" t="s">
        <v>143</v>
      </c>
      <c r="K237" s="14" t="s">
        <v>1182</v>
      </c>
      <c r="L237" s="14" t="s">
        <v>1183</v>
      </c>
      <c r="M237" s="14" t="s">
        <v>9158</v>
      </c>
      <c r="N237" s="14" t="s">
        <v>9158</v>
      </c>
      <c r="O237" s="14" t="s">
        <v>9158</v>
      </c>
      <c r="P237" s="14" t="s">
        <v>9158</v>
      </c>
      <c r="Q237" s="14" t="s">
        <v>9158</v>
      </c>
      <c r="R237" s="14"/>
    </row>
    <row r="238" spans="1:18">
      <c r="A238" s="9" t="s">
        <v>5650</v>
      </c>
      <c r="B238" s="14" t="s">
        <v>52</v>
      </c>
      <c r="C238" s="14" t="s">
        <v>200</v>
      </c>
      <c r="D238" s="14" t="s">
        <v>136</v>
      </c>
      <c r="E238" s="15" t="str">
        <f>HYPERLINK("https://stat100.ameba.jp/tnk47/ratio20/illustrations/card/ill_68033_0_kurisumasupateikandamyojin03.jpg?201904-3-RELEASE-dice-e-404", "■")</f>
        <v>■</v>
      </c>
      <c r="F238" s="14" t="s">
        <v>1871</v>
      </c>
      <c r="G238" s="14">
        <v>95371</v>
      </c>
      <c r="H238" s="14">
        <v>102590</v>
      </c>
      <c r="I238" s="14">
        <v>15</v>
      </c>
      <c r="J238" s="14" t="s">
        <v>44</v>
      </c>
      <c r="K238" s="14" t="s">
        <v>1872</v>
      </c>
      <c r="L238" s="14" t="s">
        <v>1873</v>
      </c>
      <c r="M238" s="14" t="s">
        <v>9158</v>
      </c>
      <c r="N238" s="14" t="s">
        <v>9158</v>
      </c>
      <c r="O238" s="9" t="s">
        <v>3482</v>
      </c>
      <c r="P238" s="14" t="s">
        <v>3483</v>
      </c>
      <c r="Q238" s="14">
        <v>2</v>
      </c>
      <c r="R238" s="14"/>
    </row>
    <row r="239" spans="1:18">
      <c r="A239" s="9" t="s">
        <v>5901</v>
      </c>
      <c r="B239" s="14" t="s">
        <v>52</v>
      </c>
      <c r="C239" s="14" t="s">
        <v>101</v>
      </c>
      <c r="D239" s="14" t="s">
        <v>2089</v>
      </c>
      <c r="E239" s="15" t="str">
        <f>HYPERLINK("https://stat100.ameba.jp/tnk47/ratio20/illustrations/card/ill_64953_0_yukatatokugawayoshinobu03.jpg?201904-3-RELEASE-dice-e-404", "■")</f>
        <v>■</v>
      </c>
      <c r="F239" s="14" t="s">
        <v>2090</v>
      </c>
      <c r="G239" s="14">
        <v>93450</v>
      </c>
      <c r="H239" s="14">
        <v>100502</v>
      </c>
      <c r="I239" s="14">
        <v>15</v>
      </c>
      <c r="J239" s="14" t="s">
        <v>10</v>
      </c>
      <c r="K239" s="14" t="s">
        <v>2091</v>
      </c>
      <c r="L239" s="14" t="s">
        <v>2092</v>
      </c>
      <c r="M239" s="14" t="s">
        <v>9158</v>
      </c>
      <c r="N239" s="14" t="s">
        <v>9158</v>
      </c>
      <c r="O239" s="9" t="s">
        <v>2889</v>
      </c>
      <c r="P239" s="14" t="s">
        <v>2890</v>
      </c>
      <c r="Q239" s="14">
        <v>1</v>
      </c>
      <c r="R239" s="14"/>
    </row>
    <row r="240" spans="1:18">
      <c r="A240" s="9">
        <v>60223</v>
      </c>
      <c r="B240" s="14" t="s">
        <v>334</v>
      </c>
      <c r="C240" s="14" t="s">
        <v>344</v>
      </c>
      <c r="D240" s="14" t="s">
        <v>728</v>
      </c>
      <c r="E240" s="15" t="str">
        <f>HYPERLINK("https://stat100.ameba.jp/tnk47/ratio20/illustrations/card/ill_60223_soyoshitoshi03.jpg?201904-3-RELEASE-dice-e-404", "■")</f>
        <v>■</v>
      </c>
      <c r="F240" s="14" t="s">
        <v>729</v>
      </c>
      <c r="G240" s="14">
        <v>118482</v>
      </c>
      <c r="H240" s="14">
        <v>163595</v>
      </c>
      <c r="I240" s="14">
        <v>23</v>
      </c>
      <c r="J240" s="14" t="s">
        <v>310</v>
      </c>
      <c r="K240" s="14" t="s">
        <v>730</v>
      </c>
      <c r="L240" s="14" t="s">
        <v>731</v>
      </c>
      <c r="M240" s="14" t="s">
        <v>9158</v>
      </c>
      <c r="N240" s="14" t="s">
        <v>9158</v>
      </c>
      <c r="O240" s="14" t="s">
        <v>9158</v>
      </c>
      <c r="P240" s="14" t="s">
        <v>9158</v>
      </c>
      <c r="Q240" s="14" t="s">
        <v>9158</v>
      </c>
      <c r="R240" s="14"/>
    </row>
    <row r="241" spans="1:18">
      <c r="A241" s="9">
        <v>72593</v>
      </c>
      <c r="B241" s="14" t="s">
        <v>334</v>
      </c>
      <c r="C241" s="14" t="s">
        <v>307</v>
      </c>
      <c r="D241" s="14" t="s">
        <v>3003</v>
      </c>
      <c r="E241" s="15" t="str">
        <f>HYPERLINK("https://stat100.ameba.jp/tnk47/ratio20/illustrations/card/ill_72593_ononomichikaze03.jpg?201904-3-RELEASE-dice-e-404", "■")</f>
        <v>■</v>
      </c>
      <c r="F241" s="14" t="s">
        <v>3004</v>
      </c>
      <c r="G241" s="14">
        <v>64817</v>
      </c>
      <c r="H241" s="14">
        <v>115195</v>
      </c>
      <c r="I241" s="14">
        <v>23</v>
      </c>
      <c r="J241" s="14" t="s">
        <v>414</v>
      </c>
      <c r="K241" s="14" t="s">
        <v>3005</v>
      </c>
      <c r="L241" s="14" t="s">
        <v>1575</v>
      </c>
      <c r="M241" s="14" t="s">
        <v>9158</v>
      </c>
      <c r="N241" s="14" t="s">
        <v>9158</v>
      </c>
      <c r="O241" s="14" t="s">
        <v>9158</v>
      </c>
      <c r="P241" s="14" t="s">
        <v>9158</v>
      </c>
      <c r="Q241" s="14" t="s">
        <v>9158</v>
      </c>
      <c r="R241" s="14"/>
    </row>
    <row r="242" spans="1:18">
      <c r="A242" s="9">
        <v>56373</v>
      </c>
      <c r="B242" s="14" t="s">
        <v>0</v>
      </c>
      <c r="C242" s="14" t="s">
        <v>3860</v>
      </c>
      <c r="D242" s="14" t="s">
        <v>4339</v>
      </c>
      <c r="E242" s="15" t="str">
        <f>HYPERLINK("https://stat100.ameba.jp/tnk47/ratio20/illustrations/card/ill_56373_chisembotan03.jpg?201904-3-RELEASE-dice-e-404", "■")</f>
        <v>■</v>
      </c>
      <c r="F242" s="14" t="s">
        <v>4340</v>
      </c>
      <c r="G242" s="14">
        <v>82422</v>
      </c>
      <c r="H242" s="14">
        <v>88650</v>
      </c>
      <c r="I242" s="14">
        <v>23</v>
      </c>
      <c r="J242" s="14" t="s">
        <v>26</v>
      </c>
      <c r="K242" s="14" t="s">
        <v>4341</v>
      </c>
      <c r="L242" s="14" t="s">
        <v>4342</v>
      </c>
      <c r="M242" s="14" t="s">
        <v>9158</v>
      </c>
      <c r="N242" s="14" t="s">
        <v>9158</v>
      </c>
      <c r="O242" s="14" t="s">
        <v>9158</v>
      </c>
      <c r="P242" s="14" t="s">
        <v>9158</v>
      </c>
      <c r="Q242" s="14" t="s">
        <v>9158</v>
      </c>
      <c r="R242" s="14"/>
    </row>
    <row r="243" spans="1:18">
      <c r="B243" s="14"/>
      <c r="C243" s="14"/>
      <c r="D243" s="14"/>
      <c r="F243" s="14"/>
      <c r="G243" s="14"/>
      <c r="H243" s="14"/>
      <c r="I243" s="14"/>
      <c r="J243" s="14"/>
      <c r="K243" s="14"/>
      <c r="L243" s="14"/>
      <c r="M243" s="14"/>
      <c r="N243" s="14"/>
      <c r="P243" s="14"/>
      <c r="Q243" s="14"/>
      <c r="R243" s="14"/>
    </row>
    <row r="244" spans="1:18">
      <c r="A244" s="14" t="s">
        <v>13349</v>
      </c>
      <c r="D244" s="14"/>
      <c r="F244" s="14"/>
      <c r="G244" s="14"/>
      <c r="H244" s="14"/>
      <c r="I244" s="14"/>
      <c r="J244" s="14"/>
      <c r="K244" s="14"/>
      <c r="L244" s="14"/>
      <c r="M244" s="14"/>
      <c r="N244" s="14"/>
      <c r="P244" s="14"/>
      <c r="Q244" s="14"/>
      <c r="R244" s="14"/>
    </row>
    <row r="245" spans="1:18">
      <c r="A245" s="14" t="s">
        <v>4343</v>
      </c>
      <c r="B245" s="14"/>
      <c r="C245" s="14"/>
      <c r="D245" s="14"/>
      <c r="F245" s="14"/>
      <c r="G245" s="14"/>
      <c r="H245" s="14"/>
      <c r="I245" s="14"/>
      <c r="J245" s="14"/>
      <c r="K245" s="14"/>
      <c r="L245" s="14"/>
      <c r="M245" s="14"/>
      <c r="N245" s="14"/>
      <c r="P245" s="14"/>
      <c r="Q245" s="14"/>
      <c r="R245" s="14"/>
    </row>
    <row r="246" spans="1:18">
      <c r="A246" s="9">
        <v>80725</v>
      </c>
      <c r="B246" s="14" t="s">
        <v>0</v>
      </c>
      <c r="C246" s="14" t="s">
        <v>202</v>
      </c>
      <c r="D246" s="14" t="s">
        <v>4344</v>
      </c>
      <c r="E246" s="15" t="str">
        <f>HYPERLINK("https://stat100.ameba.jp/tnk47/ratio20/illustrations/card/ill_80725_denkakenkyushagennai05.jpg?201904-3-RELEASE-dice-e-404", "■")</f>
        <v>■</v>
      </c>
      <c r="F246" s="14" t="s">
        <v>4345</v>
      </c>
      <c r="G246" s="14">
        <v>103428</v>
      </c>
      <c r="H246" s="14">
        <v>74886</v>
      </c>
      <c r="I246" s="14">
        <v>22</v>
      </c>
      <c r="J246" s="14" t="s">
        <v>10</v>
      </c>
      <c r="K246" s="14" t="s">
        <v>4346</v>
      </c>
      <c r="L246" s="14" t="s">
        <v>4347</v>
      </c>
      <c r="M246" s="14" t="s">
        <v>9158</v>
      </c>
      <c r="N246" s="14" t="s">
        <v>9158</v>
      </c>
      <c r="O246" s="14" t="s">
        <v>9158</v>
      </c>
      <c r="P246" s="14" t="s">
        <v>9158</v>
      </c>
      <c r="Q246" s="14" t="s">
        <v>9158</v>
      </c>
      <c r="R246" s="14" t="s">
        <v>174</v>
      </c>
    </row>
    <row r="247" spans="1:18">
      <c r="A247" s="9">
        <v>80723</v>
      </c>
      <c r="B247" s="14" t="s">
        <v>15</v>
      </c>
      <c r="C247" s="14" t="s">
        <v>158</v>
      </c>
      <c r="D247" s="14" t="s">
        <v>4344</v>
      </c>
      <c r="E247" s="15" t="str">
        <f>HYPERLINK("https://stat100.ameba.jp/tnk47/ratio20/illustrations/card/ill_80723_denkakenkyushagennai03.jpg?201904-3-RELEASE-dice-e-404", "■")</f>
        <v>■</v>
      </c>
      <c r="F247" s="14" t="s">
        <v>4345</v>
      </c>
      <c r="G247" s="14">
        <v>76196</v>
      </c>
      <c r="H247" s="14">
        <v>55170</v>
      </c>
      <c r="I247" s="14">
        <v>22</v>
      </c>
      <c r="J247" s="14" t="s">
        <v>10</v>
      </c>
      <c r="K247" s="14" t="s">
        <v>4346</v>
      </c>
      <c r="L247" s="14" t="s">
        <v>4348</v>
      </c>
      <c r="M247" s="14" t="s">
        <v>9158</v>
      </c>
      <c r="N247" s="14" t="s">
        <v>9158</v>
      </c>
      <c r="O247" s="14" t="s">
        <v>9158</v>
      </c>
      <c r="P247" s="14" t="s">
        <v>9158</v>
      </c>
      <c r="Q247" s="14" t="s">
        <v>9158</v>
      </c>
      <c r="R247" s="14" t="s">
        <v>175</v>
      </c>
    </row>
    <row r="248" spans="1:18">
      <c r="A248" s="9">
        <v>80721</v>
      </c>
      <c r="B248" s="14" t="s">
        <v>15</v>
      </c>
      <c r="C248" s="14" t="s">
        <v>158</v>
      </c>
      <c r="D248" s="14" t="s">
        <v>4344</v>
      </c>
      <c r="E248" s="15" t="str">
        <f>HYPERLINK("https://stat100.ameba.jp/tnk47/ratio20/illustrations/card/ill_80721_denkakenkyushagennai01.jpg?201904-3-RELEASE-dice-e-404", "■")</f>
        <v>■</v>
      </c>
      <c r="F248" s="14" t="s">
        <v>4345</v>
      </c>
      <c r="G248" s="14">
        <v>48466</v>
      </c>
      <c r="H248" s="14">
        <v>35090</v>
      </c>
      <c r="I248" s="14">
        <v>22</v>
      </c>
      <c r="J248" s="14" t="s">
        <v>10</v>
      </c>
      <c r="K248" s="14" t="s">
        <v>4346</v>
      </c>
      <c r="L248" s="14" t="s">
        <v>4349</v>
      </c>
      <c r="M248" s="14" t="s">
        <v>9158</v>
      </c>
      <c r="N248" s="14" t="s">
        <v>9158</v>
      </c>
      <c r="O248" s="14" t="s">
        <v>9158</v>
      </c>
      <c r="P248" s="14" t="s">
        <v>9158</v>
      </c>
      <c r="Q248" s="14" t="s">
        <v>9158</v>
      </c>
      <c r="R248" s="14" t="s">
        <v>176</v>
      </c>
    </row>
    <row r="249" spans="1:18">
      <c r="B249" s="14"/>
      <c r="C249" s="14"/>
      <c r="D249" s="14"/>
      <c r="F249" s="14"/>
      <c r="G249" s="14"/>
      <c r="H249" s="14"/>
      <c r="I249" s="14"/>
      <c r="J249" s="14"/>
      <c r="K249" s="14"/>
      <c r="L249" s="14"/>
      <c r="M249" s="14"/>
      <c r="N249" s="14"/>
      <c r="P249" s="14"/>
      <c r="Q249" s="14"/>
      <c r="R249" s="14"/>
    </row>
    <row r="250" spans="1:18">
      <c r="A250" s="14" t="s">
        <v>10436</v>
      </c>
      <c r="D250" s="14"/>
      <c r="F250" s="14"/>
      <c r="G250" s="14"/>
      <c r="H250" s="14"/>
      <c r="I250" s="14"/>
      <c r="J250" s="14"/>
      <c r="K250" s="14"/>
      <c r="L250" s="14"/>
      <c r="M250" s="14"/>
      <c r="N250" s="14"/>
      <c r="P250" s="14"/>
      <c r="Q250" s="14"/>
      <c r="R250" s="14"/>
    </row>
    <row r="251" spans="1:18">
      <c r="A251" s="14" t="s">
        <v>4350</v>
      </c>
      <c r="B251" s="14"/>
      <c r="C251" s="14"/>
      <c r="D251" s="14"/>
      <c r="F251" s="14"/>
      <c r="G251" s="14"/>
      <c r="H251" s="14"/>
      <c r="I251" s="14"/>
      <c r="J251" s="14"/>
      <c r="K251" s="14"/>
      <c r="L251" s="14"/>
      <c r="M251" s="14"/>
      <c r="N251" s="14"/>
      <c r="P251" s="14"/>
      <c r="Q251" s="14"/>
      <c r="R251" s="14"/>
    </row>
    <row r="252" spans="1:18">
      <c r="A252" s="9">
        <v>68243</v>
      </c>
      <c r="B252" s="14" t="s">
        <v>334</v>
      </c>
      <c r="C252" s="14" t="s">
        <v>191</v>
      </c>
      <c r="D252" s="14" t="s">
        <v>4351</v>
      </c>
      <c r="E252" s="15" t="str">
        <f>HYPERLINK("https://stat100.ameba.jp/tnk47/ratio20/illustrations/card/ill_68243_yakeiorugoru03.jpg?201904-4-RELEASE-guildbattle-405", "■")</f>
        <v>■</v>
      </c>
      <c r="F252" s="14" t="s">
        <v>4352</v>
      </c>
      <c r="G252" s="14">
        <v>86934</v>
      </c>
      <c r="H252" s="14">
        <v>93514</v>
      </c>
      <c r="I252" s="14">
        <v>22</v>
      </c>
      <c r="J252" s="14" t="s">
        <v>26</v>
      </c>
      <c r="K252" s="14" t="s">
        <v>4353</v>
      </c>
      <c r="L252" s="14" t="s">
        <v>4354</v>
      </c>
      <c r="M252" s="14" t="s">
        <v>9158</v>
      </c>
      <c r="N252" s="14" t="s">
        <v>9158</v>
      </c>
      <c r="O252" s="14" t="s">
        <v>9158</v>
      </c>
      <c r="P252" s="14" t="s">
        <v>9158</v>
      </c>
      <c r="Q252" s="14" t="s">
        <v>9158</v>
      </c>
      <c r="R252" s="14"/>
    </row>
    <row r="253" spans="1:18">
      <c r="A253" s="9">
        <v>74993</v>
      </c>
      <c r="B253" s="14" t="s">
        <v>334</v>
      </c>
      <c r="C253" s="14" t="s">
        <v>205</v>
      </c>
      <c r="D253" s="14" t="s">
        <v>3261</v>
      </c>
      <c r="E253" s="15" t="str">
        <f>HYPERLINK("https://stat100.ameba.jp/tnk47/ratio20/illustrations/card/ill_74993_demikatsudon03.jpg?201904-4-RELEASE-guildbattle-405", "■")</f>
        <v>■</v>
      </c>
      <c r="F253" s="14" t="s">
        <v>3262</v>
      </c>
      <c r="G253" s="14">
        <v>130784</v>
      </c>
      <c r="H253" s="14">
        <v>121604</v>
      </c>
      <c r="I253" s="14">
        <v>22</v>
      </c>
      <c r="J253" s="14" t="s">
        <v>104</v>
      </c>
      <c r="K253" s="14" t="s">
        <v>3263</v>
      </c>
      <c r="L253" s="14" t="s">
        <v>1029</v>
      </c>
      <c r="M253" s="14" t="s">
        <v>9158</v>
      </c>
      <c r="N253" s="14" t="s">
        <v>9158</v>
      </c>
      <c r="O253" s="14" t="s">
        <v>9158</v>
      </c>
      <c r="P253" s="14" t="s">
        <v>9158</v>
      </c>
      <c r="Q253" s="14" t="s">
        <v>9158</v>
      </c>
      <c r="R253" s="14"/>
    </row>
    <row r="254" spans="1:18">
      <c r="A254" s="9">
        <v>67603</v>
      </c>
      <c r="B254" s="14" t="s">
        <v>0</v>
      </c>
      <c r="C254" s="14" t="s">
        <v>165</v>
      </c>
      <c r="D254" s="14" t="s">
        <v>4355</v>
      </c>
      <c r="E254" s="15" t="str">
        <f>HYPERLINK("https://stat100.ameba.jp/tnk47/ratio20/illustrations/card/ill_67603_girishiashinwafujiwaratokihime03.jpg?201904-4-RELEASE-guildbattle-405", "■")</f>
        <v>■</v>
      </c>
      <c r="F254" s="14" t="s">
        <v>4356</v>
      </c>
      <c r="G254" s="14">
        <v>85934</v>
      </c>
      <c r="H254" s="14">
        <v>79868</v>
      </c>
      <c r="I254" s="14">
        <v>22</v>
      </c>
      <c r="J254" s="14" t="s">
        <v>77</v>
      </c>
      <c r="K254" s="14" t="s">
        <v>4357</v>
      </c>
      <c r="L254" s="14" t="s">
        <v>4096</v>
      </c>
      <c r="M254" s="14" t="s">
        <v>9158</v>
      </c>
      <c r="N254" s="14" t="s">
        <v>9158</v>
      </c>
      <c r="O254" s="14" t="s">
        <v>9158</v>
      </c>
      <c r="P254" s="14" t="s">
        <v>9158</v>
      </c>
      <c r="Q254" s="14" t="s">
        <v>9158</v>
      </c>
      <c r="R254" s="14"/>
    </row>
    <row r="255" spans="1:18">
      <c r="A255" s="9">
        <v>66723</v>
      </c>
      <c r="B255" s="14" t="s">
        <v>15</v>
      </c>
      <c r="C255" s="14" t="s">
        <v>206</v>
      </c>
      <c r="D255" s="14" t="s">
        <v>4358</v>
      </c>
      <c r="E255" s="15" t="str">
        <f>HYPERLINK("https://stat100.ameba.jp/tnk47/ratio20/illustrations/card/ill_66723_shogiamanozume03.jpg?201904-4-RELEASE-guildbattle-405", "■")</f>
        <v>■</v>
      </c>
      <c r="F255" s="14" t="s">
        <v>4359</v>
      </c>
      <c r="G255" s="14">
        <v>56316</v>
      </c>
      <c r="H255" s="14">
        <v>51078</v>
      </c>
      <c r="I255" s="14">
        <v>19</v>
      </c>
      <c r="J255" s="14" t="s">
        <v>44</v>
      </c>
      <c r="K255" s="14" t="s">
        <v>3541</v>
      </c>
      <c r="L255" s="14" t="s">
        <v>3271</v>
      </c>
      <c r="M255" s="14" t="s">
        <v>9158</v>
      </c>
      <c r="N255" s="14" t="s">
        <v>9158</v>
      </c>
      <c r="O255" s="14" t="s">
        <v>9158</v>
      </c>
      <c r="P255" s="14" t="s">
        <v>9158</v>
      </c>
      <c r="Q255" s="14" t="s">
        <v>9158</v>
      </c>
      <c r="R255" s="14"/>
    </row>
    <row r="256" spans="1:18">
      <c r="A256" s="9">
        <v>51263</v>
      </c>
      <c r="B256" s="14" t="s">
        <v>15</v>
      </c>
      <c r="C256" s="14" t="s">
        <v>185</v>
      </c>
      <c r="D256" s="14" t="s">
        <v>4360</v>
      </c>
      <c r="E256" s="15" t="str">
        <f>HYPERLINK("https://stat100.ameba.jp/tnk47/ratio20/illustrations/card/ill_51263_baretsuraraonna03.jpg?201904-4-RELEASE-guildbattle-405", "■")</f>
        <v>■</v>
      </c>
      <c r="F256" s="14" t="s">
        <v>4361</v>
      </c>
      <c r="G256" s="14">
        <v>56316</v>
      </c>
      <c r="H256" s="14">
        <v>51078</v>
      </c>
      <c r="I256" s="14">
        <v>19</v>
      </c>
      <c r="J256" s="14" t="s">
        <v>73</v>
      </c>
      <c r="K256" s="14" t="s">
        <v>4362</v>
      </c>
      <c r="L256" s="14" t="s">
        <v>4363</v>
      </c>
      <c r="M256" s="14" t="s">
        <v>9158</v>
      </c>
      <c r="N256" s="14" t="s">
        <v>9158</v>
      </c>
      <c r="O256" s="14" t="s">
        <v>9158</v>
      </c>
      <c r="P256" s="14" t="s">
        <v>9158</v>
      </c>
      <c r="Q256" s="14" t="s">
        <v>9158</v>
      </c>
      <c r="R256" s="14"/>
    </row>
    <row r="257" spans="1:18">
      <c r="A257" s="9">
        <v>66063</v>
      </c>
      <c r="B257" s="14" t="s">
        <v>348</v>
      </c>
      <c r="C257" s="14" t="s">
        <v>200</v>
      </c>
      <c r="D257" s="14" t="s">
        <v>1750</v>
      </c>
      <c r="E257" s="15" t="str">
        <f>HYPERLINK("https://stat100.ameba.jp/tnk47/ratio20/illustrations/card/ill_66063_serebuedomurasaki03.jpg?201904-4-RELEASE-guildbattle-405", "■")</f>
        <v>■</v>
      </c>
      <c r="F257" s="14" t="s">
        <v>1751</v>
      </c>
      <c r="G257" s="14">
        <v>51078</v>
      </c>
      <c r="H257" s="14">
        <v>56316</v>
      </c>
      <c r="I257" s="14">
        <v>19</v>
      </c>
      <c r="J257" s="14" t="s">
        <v>38</v>
      </c>
      <c r="K257" s="14" t="s">
        <v>1752</v>
      </c>
      <c r="L257" s="14" t="s">
        <v>1753</v>
      </c>
      <c r="M257" s="14" t="s">
        <v>9158</v>
      </c>
      <c r="N257" s="14" t="s">
        <v>9158</v>
      </c>
      <c r="O257" s="14" t="s">
        <v>9158</v>
      </c>
      <c r="P257" s="14" t="s">
        <v>9158</v>
      </c>
      <c r="Q257" s="14" t="s">
        <v>9158</v>
      </c>
      <c r="R257" s="14"/>
    </row>
    <row r="258" spans="1:18">
      <c r="B258" s="14"/>
      <c r="C258" s="14"/>
      <c r="D258" s="14"/>
      <c r="F258" s="14"/>
      <c r="G258" s="14"/>
      <c r="H258" s="14"/>
      <c r="I258" s="14"/>
      <c r="J258" s="14"/>
      <c r="K258" s="14"/>
      <c r="L258" s="14"/>
      <c r="M258" s="14"/>
      <c r="N258" s="14"/>
      <c r="P258" s="14"/>
      <c r="Q258" s="14"/>
      <c r="R258" s="14"/>
    </row>
    <row r="259" spans="1:18">
      <c r="A259" s="14" t="s">
        <v>1711</v>
      </c>
      <c r="D259" s="14"/>
      <c r="F259" s="14"/>
      <c r="G259" s="14"/>
      <c r="H259" s="14"/>
      <c r="I259" s="14"/>
      <c r="J259" s="14"/>
      <c r="K259" s="14"/>
      <c r="L259" s="14"/>
      <c r="M259" s="14"/>
      <c r="N259" s="14"/>
      <c r="P259" s="14"/>
      <c r="Q259" s="14"/>
      <c r="R259" s="14"/>
    </row>
    <row r="260" spans="1:18">
      <c r="A260" s="14" t="s">
        <v>4364</v>
      </c>
      <c r="B260" s="14"/>
      <c r="C260" s="14"/>
      <c r="D260" s="14"/>
      <c r="F260" s="14"/>
      <c r="G260" s="14"/>
      <c r="H260" s="14"/>
      <c r="I260" s="14"/>
      <c r="J260" s="14"/>
      <c r="K260" s="14"/>
      <c r="L260" s="14"/>
      <c r="M260" s="14"/>
      <c r="N260" s="14"/>
      <c r="P260" s="14"/>
      <c r="Q260" s="14"/>
      <c r="R260" s="14"/>
    </row>
    <row r="261" spans="1:18">
      <c r="A261" s="9" t="s">
        <v>5621</v>
      </c>
      <c r="B261" s="14" t="s">
        <v>330</v>
      </c>
      <c r="C261" s="14" t="s">
        <v>191</v>
      </c>
      <c r="D261" s="14" t="s">
        <v>2871</v>
      </c>
      <c r="E261" s="15" t="str">
        <f>HYPERLINK("https://stat100.ameba.jp/tnk47/ratio20/illustrations/card/ill_51973_0_kemonomizugikuroyuridensetsu03.jpg?201904-i_prefecture_active_user", "■")</f>
        <v>■</v>
      </c>
      <c r="F261" s="14" t="s">
        <v>2872</v>
      </c>
      <c r="G261" s="14">
        <v>138212</v>
      </c>
      <c r="H261" s="14">
        <v>122776</v>
      </c>
      <c r="I261" s="14">
        <v>22</v>
      </c>
      <c r="J261" s="14" t="s">
        <v>274</v>
      </c>
      <c r="K261" s="14" t="s">
        <v>2873</v>
      </c>
      <c r="L261" s="14" t="s">
        <v>2874</v>
      </c>
      <c r="M261" s="14" t="s">
        <v>9158</v>
      </c>
      <c r="N261" s="14" t="s">
        <v>9158</v>
      </c>
      <c r="O261" s="17" t="s">
        <v>10066</v>
      </c>
      <c r="P261" s="14" t="s">
        <v>13172</v>
      </c>
      <c r="Q261" s="14">
        <v>1</v>
      </c>
      <c r="R261" s="14"/>
    </row>
    <row r="262" spans="1:18">
      <c r="A262" s="9" t="s">
        <v>5897</v>
      </c>
      <c r="B262" s="14" t="s">
        <v>52</v>
      </c>
      <c r="C262" s="14" t="s">
        <v>23</v>
      </c>
      <c r="D262" s="14" t="s">
        <v>53</v>
      </c>
      <c r="E262" s="15" t="str">
        <f>HYPERLINK("https://stat100.ameba.jp/tnk47/ratio20/illustrations/card/ill_40913_0_reigyokudensetsufusehime03.jpg?201904-i_prefecture_active_user", "■")</f>
        <v>■</v>
      </c>
      <c r="F262" s="14" t="s">
        <v>955</v>
      </c>
      <c r="G262" s="14">
        <v>120576</v>
      </c>
      <c r="H262" s="14">
        <v>128744</v>
      </c>
      <c r="I262" s="14">
        <v>22</v>
      </c>
      <c r="J262" s="14" t="s">
        <v>38</v>
      </c>
      <c r="K262" s="14" t="s">
        <v>956</v>
      </c>
      <c r="L262" s="14" t="s">
        <v>957</v>
      </c>
      <c r="M262" s="14" t="s">
        <v>9158</v>
      </c>
      <c r="N262" s="14" t="s">
        <v>9158</v>
      </c>
      <c r="O262" s="14" t="s">
        <v>9158</v>
      </c>
      <c r="P262" s="14" t="s">
        <v>9158</v>
      </c>
      <c r="Q262" s="14" t="s">
        <v>9158</v>
      </c>
      <c r="R262" s="14"/>
    </row>
    <row r="263" spans="1:18">
      <c r="A263" s="9" t="s">
        <v>5902</v>
      </c>
      <c r="B263" s="14" t="s">
        <v>330</v>
      </c>
      <c r="C263" s="14" t="s">
        <v>344</v>
      </c>
      <c r="D263" s="14" t="s">
        <v>483</v>
      </c>
      <c r="E263" s="15" t="str">
        <f>HYPERLINK("https://stat100.ameba.jp/tnk47/ratio20/illustrations/card/ill_40343_0_heshikirihasebekurodakambe03.jpg?201904-i_prefecture_active_user", "■")</f>
        <v>■</v>
      </c>
      <c r="F263" s="14" t="s">
        <v>484</v>
      </c>
      <c r="G263" s="14">
        <v>128744</v>
      </c>
      <c r="H263" s="14">
        <v>120576</v>
      </c>
      <c r="I263" s="14">
        <v>22</v>
      </c>
      <c r="J263" s="14" t="s">
        <v>414</v>
      </c>
      <c r="K263" s="14" t="s">
        <v>485</v>
      </c>
      <c r="L263" s="14" t="s">
        <v>486</v>
      </c>
      <c r="M263" s="14" t="s">
        <v>9158</v>
      </c>
      <c r="N263" s="14" t="s">
        <v>9158</v>
      </c>
      <c r="O263" s="14" t="s">
        <v>9158</v>
      </c>
      <c r="P263" s="14" t="s">
        <v>9158</v>
      </c>
      <c r="Q263" s="14" t="s">
        <v>9158</v>
      </c>
      <c r="R263" s="14"/>
    </row>
    <row r="264" spans="1:18">
      <c r="A264" s="9">
        <v>80873</v>
      </c>
      <c r="B264" s="14" t="s">
        <v>0</v>
      </c>
      <c r="C264" s="14" t="s">
        <v>191</v>
      </c>
      <c r="D264" s="14" t="s">
        <v>4327</v>
      </c>
      <c r="E264" s="15" t="str">
        <f>HYPERLINK("https://stat100.ameba.jp/tnk47/ratio20/illustrations/card/ill_80873_fukkatsusaikawashimayoshiko03.jpg?201904-i_prefecture_active_user", "■")</f>
        <v>■</v>
      </c>
      <c r="F264" s="14" t="s">
        <v>4328</v>
      </c>
      <c r="G264" s="14">
        <v>85934</v>
      </c>
      <c r="H264" s="14">
        <v>79868</v>
      </c>
      <c r="I264" s="14">
        <v>22</v>
      </c>
      <c r="J264" s="14" t="s">
        <v>10</v>
      </c>
      <c r="K264" s="14" t="s">
        <v>4329</v>
      </c>
      <c r="L264" s="14" t="s">
        <v>3352</v>
      </c>
      <c r="M264" s="14" t="s">
        <v>9158</v>
      </c>
      <c r="N264" s="14" t="s">
        <v>9158</v>
      </c>
      <c r="O264" s="14" t="s">
        <v>9158</v>
      </c>
      <c r="P264" s="14" t="s">
        <v>9158</v>
      </c>
      <c r="Q264" s="14" t="s">
        <v>9158</v>
      </c>
      <c r="R264" s="14"/>
    </row>
    <row r="265" spans="1:18">
      <c r="A265" s="9">
        <v>80883</v>
      </c>
      <c r="B265" s="14" t="s">
        <v>15</v>
      </c>
      <c r="C265" s="14" t="s">
        <v>185</v>
      </c>
      <c r="D265" s="14" t="s">
        <v>4330</v>
      </c>
      <c r="E265" s="15" t="str">
        <f>HYPERLINK("https://stat100.ameba.jp/tnk47/ratio20/illustrations/card/ill_80883_isutabaniyamamurokieko03.jpg?201904-i_prefecture_active_user", "■")</f>
        <v>■</v>
      </c>
      <c r="F265" s="14" t="s">
        <v>4331</v>
      </c>
      <c r="G265" s="14">
        <v>48390</v>
      </c>
      <c r="H265" s="14">
        <v>53352</v>
      </c>
      <c r="I265" s="14">
        <v>18</v>
      </c>
      <c r="J265" s="14" t="s">
        <v>10</v>
      </c>
      <c r="K265" s="14" t="s">
        <v>3585</v>
      </c>
      <c r="L265" s="14" t="s">
        <v>3337</v>
      </c>
      <c r="M265" s="14" t="s">
        <v>9158</v>
      </c>
      <c r="N265" s="14" t="s">
        <v>9158</v>
      </c>
      <c r="O265" s="14" t="s">
        <v>9158</v>
      </c>
      <c r="P265" s="14" t="s">
        <v>9158</v>
      </c>
      <c r="Q265" s="14" t="s">
        <v>9158</v>
      </c>
      <c r="R265" s="14"/>
    </row>
    <row r="266" spans="1:18">
      <c r="A266" s="9">
        <v>80893</v>
      </c>
      <c r="B266" s="14" t="s">
        <v>22</v>
      </c>
      <c r="C266" s="14" t="s">
        <v>107</v>
      </c>
      <c r="D266" s="14" t="s">
        <v>4332</v>
      </c>
      <c r="E266" s="15" t="str">
        <f>HYPERLINK("https://stat100.ameba.jp/tnk47/ratio20/illustrations/card/ill_80893_morimasenshia03.jpg?201904-i_prefecture_active_user", "■")</f>
        <v>■</v>
      </c>
      <c r="F266" s="14" t="s">
        <v>4333</v>
      </c>
      <c r="G266" s="14">
        <v>35346</v>
      </c>
      <c r="H266" s="14">
        <v>29388</v>
      </c>
      <c r="I266" s="14">
        <v>17</v>
      </c>
      <c r="J266" s="14" t="s">
        <v>315</v>
      </c>
      <c r="K266" s="14" t="s">
        <v>4334</v>
      </c>
      <c r="L266" s="14" t="s">
        <v>1732</v>
      </c>
      <c r="M266" s="14" t="s">
        <v>9158</v>
      </c>
      <c r="N266" s="14" t="s">
        <v>9158</v>
      </c>
      <c r="O266" s="14" t="s">
        <v>9158</v>
      </c>
      <c r="P266" s="14" t="s">
        <v>9158</v>
      </c>
      <c r="Q266" s="14" t="s">
        <v>9158</v>
      </c>
      <c r="R266" s="14"/>
    </row>
    <row r="267" spans="1:18">
      <c r="A267" s="9">
        <v>80903</v>
      </c>
      <c r="B267" s="14" t="s">
        <v>30</v>
      </c>
      <c r="C267" s="14" t="s">
        <v>3693</v>
      </c>
      <c r="D267" s="14" t="s">
        <v>4335</v>
      </c>
      <c r="E267" s="15" t="str">
        <f>HYPERLINK("https://stat100.ameba.jp/tnk47/ratio20/illustrations/card/ill_80903_umibirakiyukiusagichan03.jpg?201904-i_prefecture_active_user", "■")</f>
        <v>■</v>
      </c>
      <c r="F267" s="14" t="s">
        <v>4336</v>
      </c>
      <c r="G267" s="14">
        <v>17972</v>
      </c>
      <c r="H267" s="14">
        <v>21398</v>
      </c>
      <c r="I267" s="14">
        <v>17</v>
      </c>
      <c r="J267" s="14" t="s">
        <v>26</v>
      </c>
      <c r="K267" s="14" t="s">
        <v>4337</v>
      </c>
      <c r="L267" s="14" t="s">
        <v>2221</v>
      </c>
      <c r="M267" s="14" t="s">
        <v>9158</v>
      </c>
      <c r="N267" s="14" t="s">
        <v>9158</v>
      </c>
      <c r="O267" s="14" t="s">
        <v>9158</v>
      </c>
      <c r="P267" s="14" t="s">
        <v>9158</v>
      </c>
      <c r="Q267" s="14" t="s">
        <v>9158</v>
      </c>
      <c r="R267" s="14"/>
    </row>
    <row r="268" spans="1:18">
      <c r="B268" s="14"/>
      <c r="C268" s="14"/>
      <c r="D268" s="14"/>
      <c r="F268" s="14"/>
      <c r="G268" s="14"/>
      <c r="H268" s="14"/>
      <c r="I268" s="14"/>
      <c r="J268" s="14"/>
      <c r="K268" s="14"/>
      <c r="L268" s="14"/>
      <c r="M268" s="14"/>
      <c r="N268" s="14"/>
      <c r="P268" s="14"/>
      <c r="Q268" s="14"/>
      <c r="R268" s="14"/>
    </row>
    <row r="269" spans="1:18">
      <c r="A269" s="14" t="s">
        <v>199</v>
      </c>
      <c r="D269" s="14"/>
      <c r="F269" s="14"/>
      <c r="G269" s="14"/>
      <c r="H269" s="14"/>
      <c r="I269" s="14"/>
      <c r="J269" s="14"/>
      <c r="K269" s="14"/>
      <c r="L269" s="14"/>
      <c r="M269" s="14"/>
      <c r="N269" s="14"/>
      <c r="P269" s="14"/>
      <c r="Q269" s="14"/>
      <c r="R269" s="14"/>
    </row>
    <row r="270" spans="1:18">
      <c r="A270" s="14" t="s">
        <v>4365</v>
      </c>
      <c r="B270" s="14"/>
      <c r="C270" s="14"/>
      <c r="D270" s="14"/>
      <c r="F270" s="14"/>
      <c r="G270" s="14"/>
      <c r="H270" s="14"/>
      <c r="I270" s="14"/>
      <c r="J270" s="14"/>
      <c r="K270" s="14"/>
      <c r="L270" s="14"/>
      <c r="M270" s="14"/>
      <c r="N270" s="14"/>
      <c r="P270" s="14"/>
      <c r="Q270" s="14"/>
      <c r="R270" s="14"/>
    </row>
    <row r="271" spans="1:18">
      <c r="A271" s="9" t="s">
        <v>5606</v>
      </c>
      <c r="B271" s="14" t="s">
        <v>52</v>
      </c>
      <c r="C271" s="14" t="s">
        <v>206</v>
      </c>
      <c r="D271" s="14" t="s">
        <v>1011</v>
      </c>
      <c r="E271" s="15" t="str">
        <f>HYPERLINK("https://stat100.ameba.jp/tnk47/ratio20/illustrations/card/ill_72233_0_koinoboriryugujin03.jpg?201904-i_prefecture_active_user", "■")</f>
        <v>■</v>
      </c>
      <c r="F271" s="14" t="s">
        <v>1012</v>
      </c>
      <c r="G271" s="14">
        <v>98395</v>
      </c>
      <c r="H271" s="14">
        <v>105833</v>
      </c>
      <c r="I271" s="14">
        <v>15</v>
      </c>
      <c r="J271" s="14" t="s">
        <v>44</v>
      </c>
      <c r="K271" s="14" t="s">
        <v>1013</v>
      </c>
      <c r="L271" s="14" t="s">
        <v>1014</v>
      </c>
      <c r="M271" s="14" t="s">
        <v>9158</v>
      </c>
      <c r="N271" s="14" t="s">
        <v>9158</v>
      </c>
      <c r="O271" s="9" t="s">
        <v>3419</v>
      </c>
      <c r="P271" s="14" t="s">
        <v>3420</v>
      </c>
      <c r="Q271" s="14">
        <v>2</v>
      </c>
      <c r="R271" s="14"/>
    </row>
    <row r="272" spans="1:18">
      <c r="A272" s="9" t="s">
        <v>5623</v>
      </c>
      <c r="B272" s="14" t="s">
        <v>52</v>
      </c>
      <c r="C272" s="14" t="s">
        <v>165</v>
      </c>
      <c r="D272" s="14" t="s">
        <v>2542</v>
      </c>
      <c r="E272" s="15" t="str">
        <f>HYPERLINK("https://stat100.ameba.jp/tnk47/ratio20/illustrations/card/ill_65713_0_undokaionikirimaru03.jpg?201904-i_prefecture_active_user", "■")</f>
        <v>■</v>
      </c>
      <c r="F272" s="14" t="s">
        <v>2543</v>
      </c>
      <c r="G272" s="14">
        <v>113525</v>
      </c>
      <c r="H272" s="14">
        <v>105545</v>
      </c>
      <c r="I272" s="14">
        <v>15</v>
      </c>
      <c r="J272" s="14" t="s">
        <v>73</v>
      </c>
      <c r="K272" s="14" t="s">
        <v>2544</v>
      </c>
      <c r="L272" s="14" t="s">
        <v>2545</v>
      </c>
      <c r="M272" s="14" t="s">
        <v>9158</v>
      </c>
      <c r="N272" s="14" t="s">
        <v>9158</v>
      </c>
      <c r="O272" s="9" t="s">
        <v>3542</v>
      </c>
      <c r="P272" s="14" t="s">
        <v>3277</v>
      </c>
      <c r="Q272" s="14">
        <v>1</v>
      </c>
      <c r="R272" s="14"/>
    </row>
    <row r="273" spans="1:18">
      <c r="A273" s="9" t="s">
        <v>6132</v>
      </c>
      <c r="B273" s="14" t="s">
        <v>52</v>
      </c>
      <c r="C273" s="14" t="s">
        <v>205</v>
      </c>
      <c r="D273" s="14" t="s">
        <v>2281</v>
      </c>
      <c r="E273" s="15" t="str">
        <f>HYPERLINK("https://stat100.ameba.jp/tnk47/ratio20/illustrations/card/ill_50693_0_hanamizugimimuratsuru03.jpg?201904-i_prefecture_active_user", "■")</f>
        <v>■</v>
      </c>
      <c r="F273" s="14" t="s">
        <v>2282</v>
      </c>
      <c r="G273" s="14">
        <v>83712</v>
      </c>
      <c r="H273" s="14">
        <v>94236</v>
      </c>
      <c r="I273" s="14">
        <v>15</v>
      </c>
      <c r="J273" s="14" t="s">
        <v>143</v>
      </c>
      <c r="K273" s="14" t="s">
        <v>2283</v>
      </c>
      <c r="L273" s="14" t="s">
        <v>2284</v>
      </c>
      <c r="M273" s="14" t="s">
        <v>9158</v>
      </c>
      <c r="N273" s="14" t="s">
        <v>9158</v>
      </c>
      <c r="O273" s="14" t="s">
        <v>9158</v>
      </c>
      <c r="P273" s="14" t="s">
        <v>9158</v>
      </c>
      <c r="Q273" s="14" t="s">
        <v>9158</v>
      </c>
      <c r="R273" s="14"/>
    </row>
    <row r="274" spans="1:18">
      <c r="A274" s="9">
        <v>60813</v>
      </c>
      <c r="B274" s="14" t="s">
        <v>334</v>
      </c>
      <c r="C274" s="14" t="s">
        <v>200</v>
      </c>
      <c r="D274" s="14" t="s">
        <v>3543</v>
      </c>
      <c r="E274" s="15" t="str">
        <f>HYPERLINK("https://stat100.ameba.jp/tnk47/ratio20/illustrations/card/ill_60813_hieigo03.jpg?201904-i_prefecture_active_user", "■")</f>
        <v>■</v>
      </c>
      <c r="F274" s="14" t="s">
        <v>3544</v>
      </c>
      <c r="G274" s="14">
        <v>89839</v>
      </c>
      <c r="H274" s="14">
        <v>83499</v>
      </c>
      <c r="I274" s="14">
        <v>23</v>
      </c>
      <c r="J274" s="14" t="s">
        <v>77</v>
      </c>
      <c r="K274" s="14" t="s">
        <v>3545</v>
      </c>
      <c r="L274" s="14" t="s">
        <v>76</v>
      </c>
      <c r="M274" s="14" t="s">
        <v>9158</v>
      </c>
      <c r="N274" s="14" t="s">
        <v>9158</v>
      </c>
      <c r="O274" s="14" t="s">
        <v>9158</v>
      </c>
      <c r="P274" s="14" t="s">
        <v>9158</v>
      </c>
      <c r="Q274" s="14" t="s">
        <v>9158</v>
      </c>
      <c r="R274" s="14"/>
    </row>
    <row r="275" spans="1:18">
      <c r="A275" s="9">
        <v>65853</v>
      </c>
      <c r="B275" s="14" t="s">
        <v>334</v>
      </c>
      <c r="C275" s="14" t="s">
        <v>107</v>
      </c>
      <c r="D275" s="14" t="s">
        <v>4366</v>
      </c>
      <c r="E275" s="15" t="str">
        <f>HYPERLINK("https://stat100.ameba.jp/tnk47/ratio20/illustrations/card/ill_65853_jokyusugitahisajo03.jpg?201904-i_prefecture_active_user", "■")</f>
        <v>■</v>
      </c>
      <c r="F275" s="14" t="s">
        <v>4367</v>
      </c>
      <c r="G275" s="14">
        <v>86751</v>
      </c>
      <c r="H275" s="14">
        <v>93263</v>
      </c>
      <c r="I275" s="14">
        <v>23</v>
      </c>
      <c r="J275" s="14" t="s">
        <v>414</v>
      </c>
      <c r="K275" s="14" t="s">
        <v>4368</v>
      </c>
      <c r="L275" s="14" t="s">
        <v>1997</v>
      </c>
      <c r="M275" s="14" t="s">
        <v>9158</v>
      </c>
      <c r="N275" s="14" t="s">
        <v>9158</v>
      </c>
      <c r="O275" s="14" t="s">
        <v>9158</v>
      </c>
      <c r="P275" s="14" t="s">
        <v>9158</v>
      </c>
      <c r="Q275" s="14" t="s">
        <v>9158</v>
      </c>
      <c r="R275" s="14"/>
    </row>
    <row r="276" spans="1:18">
      <c r="A276" s="9">
        <v>54713</v>
      </c>
      <c r="B276" s="14" t="s">
        <v>334</v>
      </c>
      <c r="C276" s="14" t="s">
        <v>264</v>
      </c>
      <c r="D276" s="14" t="s">
        <v>4369</v>
      </c>
      <c r="E276" s="15" t="str">
        <f>HYPERLINK("https://stat100.ameba.jp/tnk47/ratio20/illustrations/card/ill_54713_okashiononokomachi03.jpg?201904-i_prefecture_active_user", "■")</f>
        <v>■</v>
      </c>
      <c r="F276" s="14" t="s">
        <v>4370</v>
      </c>
      <c r="G276" s="14">
        <v>88650</v>
      </c>
      <c r="H276" s="14">
        <v>82422</v>
      </c>
      <c r="I276" s="14">
        <v>23</v>
      </c>
      <c r="J276" s="14" t="s">
        <v>10</v>
      </c>
      <c r="K276" s="14" t="s">
        <v>4371</v>
      </c>
      <c r="L276" s="14" t="s">
        <v>4372</v>
      </c>
      <c r="M276" s="14" t="s">
        <v>9158</v>
      </c>
      <c r="N276" s="14" t="s">
        <v>9158</v>
      </c>
      <c r="O276" s="9" t="s">
        <v>4373</v>
      </c>
      <c r="P276" s="14" t="s">
        <v>4374</v>
      </c>
      <c r="Q276" s="14">
        <v>1</v>
      </c>
      <c r="R276" s="14"/>
    </row>
    <row r="277" spans="1:18">
      <c r="B277" s="14"/>
      <c r="C277" s="14"/>
      <c r="D277" s="14"/>
      <c r="F277" s="14"/>
      <c r="G277" s="14"/>
      <c r="H277" s="14"/>
      <c r="I277" s="14"/>
      <c r="J277" s="14"/>
      <c r="K277" s="14"/>
      <c r="L277" s="14"/>
      <c r="M277" s="14"/>
      <c r="N277" s="14"/>
      <c r="P277" s="14"/>
      <c r="Q277" s="14"/>
      <c r="R277" s="14"/>
    </row>
    <row r="278" spans="1:18">
      <c r="A278" s="14" t="s">
        <v>114</v>
      </c>
      <c r="D278" s="14"/>
      <c r="F278" s="14"/>
      <c r="G278" s="14"/>
      <c r="H278" s="14"/>
      <c r="I278" s="14"/>
      <c r="J278" s="14"/>
      <c r="K278" s="14"/>
      <c r="L278" s="14"/>
      <c r="M278" s="14"/>
      <c r="N278" s="14"/>
      <c r="P278" s="14"/>
      <c r="Q278" s="14"/>
      <c r="R278" s="14"/>
    </row>
    <row r="279" spans="1:18">
      <c r="A279" s="14" t="s">
        <v>4375</v>
      </c>
      <c r="B279" s="14"/>
      <c r="C279" s="14"/>
      <c r="D279" s="14"/>
      <c r="F279" s="14"/>
      <c r="G279" s="14"/>
      <c r="H279" s="14"/>
      <c r="I279" s="14"/>
      <c r="J279" s="14"/>
      <c r="K279" s="14"/>
      <c r="L279" s="14"/>
      <c r="M279" s="14"/>
      <c r="N279" s="14"/>
      <c r="P279" s="14"/>
      <c r="Q279" s="14"/>
      <c r="R279" s="14"/>
    </row>
    <row r="280" spans="1:18">
      <c r="A280" s="9" t="s">
        <v>5650</v>
      </c>
      <c r="B280" s="14" t="s">
        <v>330</v>
      </c>
      <c r="C280" s="14" t="s">
        <v>23</v>
      </c>
      <c r="D280" s="14" t="s">
        <v>136</v>
      </c>
      <c r="E280" s="15" t="str">
        <f>HYPERLINK("https://stat100.ameba.jp/tnk47/ratio20/illustrations/card/ill_68033_0_kurisumasupateikandamyojin03.jpg?201904-i_prefecture_active_user", "■")</f>
        <v>■</v>
      </c>
      <c r="F280" s="14" t="s">
        <v>1871</v>
      </c>
      <c r="G280" s="14">
        <v>133519</v>
      </c>
      <c r="H280" s="14">
        <v>143626</v>
      </c>
      <c r="I280" s="14">
        <v>21</v>
      </c>
      <c r="J280" s="14" t="s">
        <v>44</v>
      </c>
      <c r="K280" s="14" t="s">
        <v>1872</v>
      </c>
      <c r="L280" s="14" t="s">
        <v>1873</v>
      </c>
      <c r="M280" s="14" t="s">
        <v>9158</v>
      </c>
      <c r="N280" s="14" t="s">
        <v>9158</v>
      </c>
      <c r="O280" s="9" t="s">
        <v>3482</v>
      </c>
      <c r="P280" s="14" t="s">
        <v>3483</v>
      </c>
      <c r="Q280" s="14">
        <v>2</v>
      </c>
      <c r="R280" s="14"/>
    </row>
    <row r="281" spans="1:18">
      <c r="A281" s="9" t="s">
        <v>5719</v>
      </c>
      <c r="B281" s="14" t="s">
        <v>52</v>
      </c>
      <c r="C281" s="14" t="s">
        <v>165</v>
      </c>
      <c r="D281" s="14" t="s">
        <v>1772</v>
      </c>
      <c r="E281" s="15" t="str">
        <f>HYPERLINK("https://stat100.ameba.jp/tnk47/ratio20/illustrations/card/ill_54523_0_yonshunennionohime03.jpg?201904-i_prefecture_active_user", "■")</f>
        <v>■</v>
      </c>
      <c r="F281" s="14" t="s">
        <v>1773</v>
      </c>
      <c r="G281" s="14">
        <v>117196</v>
      </c>
      <c r="H281" s="14">
        <v>131930</v>
      </c>
      <c r="I281" s="14">
        <v>21</v>
      </c>
      <c r="J281" s="14" t="s">
        <v>38</v>
      </c>
      <c r="K281" s="14" t="s">
        <v>1774</v>
      </c>
      <c r="L281" s="14" t="s">
        <v>1775</v>
      </c>
      <c r="M281" s="14" t="s">
        <v>9158</v>
      </c>
      <c r="N281" s="14" t="s">
        <v>9158</v>
      </c>
      <c r="O281" s="9" t="s">
        <v>3576</v>
      </c>
      <c r="P281" s="14" t="s">
        <v>13168</v>
      </c>
      <c r="Q281" s="14">
        <v>1</v>
      </c>
      <c r="R281" s="14"/>
    </row>
    <row r="282" spans="1:18">
      <c r="A282" s="9">
        <v>60763</v>
      </c>
      <c r="B282" s="14" t="s">
        <v>334</v>
      </c>
      <c r="C282" s="14" t="s">
        <v>203</v>
      </c>
      <c r="D282" s="14" t="s">
        <v>1145</v>
      </c>
      <c r="E282" s="15" t="str">
        <f>HYPERLINK("https://stat100.ameba.jp/tnk47/ratio20/illustrations/card/ill_60763_fujiwarakagekiyo03.jpg?201904-i_prefecture_active_user", "■")</f>
        <v>■</v>
      </c>
      <c r="F282" s="14" t="s">
        <v>1146</v>
      </c>
      <c r="G282" s="14">
        <v>115656</v>
      </c>
      <c r="H282" s="14">
        <v>159674</v>
      </c>
      <c r="I282" s="14">
        <v>24</v>
      </c>
      <c r="J282" s="14" t="s">
        <v>143</v>
      </c>
      <c r="K282" s="14" t="s">
        <v>1147</v>
      </c>
      <c r="L282" s="14" t="s">
        <v>1148</v>
      </c>
      <c r="M282" s="14" t="s">
        <v>9158</v>
      </c>
      <c r="N282" s="14" t="s">
        <v>9158</v>
      </c>
      <c r="O282" s="17" t="s">
        <v>10064</v>
      </c>
      <c r="P282" s="14" t="s">
        <v>13150</v>
      </c>
      <c r="Q282" s="14">
        <v>1</v>
      </c>
      <c r="R282" s="14"/>
    </row>
    <row r="283" spans="1:18">
      <c r="A283" s="9">
        <v>64023</v>
      </c>
      <c r="B283" s="14" t="s">
        <v>334</v>
      </c>
      <c r="C283" s="14" t="s">
        <v>154</v>
      </c>
      <c r="D283" s="14" t="s">
        <v>1784</v>
      </c>
      <c r="E283" s="15" t="str">
        <f>HYPERLINK("https://stat100.ameba.jp/tnk47/ratio20/illustrations/card/ill_64023_mojabune03.jpg?201904-i_prefecture_active_user", "■")</f>
        <v>■</v>
      </c>
      <c r="F283" s="14" t="s">
        <v>1785</v>
      </c>
      <c r="G283" s="14">
        <v>70942</v>
      </c>
      <c r="H283" s="14">
        <v>97925</v>
      </c>
      <c r="I283" s="14">
        <v>21</v>
      </c>
      <c r="J283" s="14" t="s">
        <v>73</v>
      </c>
      <c r="K283" s="14" t="s">
        <v>1786</v>
      </c>
      <c r="L283" s="14" t="s">
        <v>1787</v>
      </c>
      <c r="M283" s="14" t="s">
        <v>9158</v>
      </c>
      <c r="N283" s="14" t="s">
        <v>9158</v>
      </c>
      <c r="O283" s="14" t="s">
        <v>9158</v>
      </c>
      <c r="P283" s="14" t="s">
        <v>9158</v>
      </c>
      <c r="Q283" s="14" t="s">
        <v>9158</v>
      </c>
      <c r="R283" s="14"/>
    </row>
    <row r="284" spans="1:18">
      <c r="A284" s="9">
        <v>67643</v>
      </c>
      <c r="B284" s="14" t="s">
        <v>334</v>
      </c>
      <c r="C284" s="14" t="s">
        <v>209</v>
      </c>
      <c r="D284" s="14" t="s">
        <v>1195</v>
      </c>
      <c r="E284" s="15" t="str">
        <f>HYPERLINK("https://stat100.ameba.jp/tnk47/ratio20/illustrations/card/ill_67643_edokarakamichan03.jpg?201904-i_prefecture_active_user", "■")</f>
        <v>■</v>
      </c>
      <c r="F284" s="14" t="s">
        <v>1196</v>
      </c>
      <c r="G284" s="14">
        <v>99171</v>
      </c>
      <c r="H284" s="14">
        <v>92220</v>
      </c>
      <c r="I284" s="14">
        <v>21</v>
      </c>
      <c r="J284" s="14" t="s">
        <v>26</v>
      </c>
      <c r="K284" s="14" t="s">
        <v>1197</v>
      </c>
      <c r="L284" s="14" t="s">
        <v>1198</v>
      </c>
      <c r="M284" s="14" t="s">
        <v>9158</v>
      </c>
      <c r="N284" s="14" t="s">
        <v>9158</v>
      </c>
      <c r="O284" s="9" t="s">
        <v>3037</v>
      </c>
      <c r="P284" s="14" t="s">
        <v>13128</v>
      </c>
      <c r="Q284" s="14">
        <v>1</v>
      </c>
      <c r="R284" s="14"/>
    </row>
    <row r="285" spans="1:18">
      <c r="A285" s="9">
        <v>71313</v>
      </c>
      <c r="B285" s="14" t="s">
        <v>334</v>
      </c>
      <c r="C285" s="14" t="s">
        <v>203</v>
      </c>
      <c r="D285" s="14" t="s">
        <v>2823</v>
      </c>
      <c r="E285" s="15" t="str">
        <f>HYPERLINK("https://stat100.ameba.jp/tnk47/ratio20/illustrations/card/ill_71313_kagewani03.jpg?201904-i_prefecture_active_user", "■")</f>
        <v>■</v>
      </c>
      <c r="F285" s="14" t="s">
        <v>2824</v>
      </c>
      <c r="G285" s="14">
        <v>77618</v>
      </c>
      <c r="H285" s="14">
        <v>107166</v>
      </c>
      <c r="I285" s="14">
        <v>21</v>
      </c>
      <c r="J285" s="14" t="s">
        <v>274</v>
      </c>
      <c r="K285" s="14" t="s">
        <v>2825</v>
      </c>
      <c r="L285" s="14" t="s">
        <v>2826</v>
      </c>
      <c r="M285" s="14" t="s">
        <v>9158</v>
      </c>
      <c r="N285" s="14" t="s">
        <v>9158</v>
      </c>
      <c r="O285" s="14" t="s">
        <v>9158</v>
      </c>
      <c r="P285" s="14" t="s">
        <v>9158</v>
      </c>
      <c r="Q285" s="14" t="s">
        <v>9158</v>
      </c>
      <c r="R285" s="14"/>
    </row>
    <row r="286" spans="1:18">
      <c r="A286" s="9">
        <v>76773</v>
      </c>
      <c r="B286" s="14" t="s">
        <v>334</v>
      </c>
      <c r="C286" s="14" t="s">
        <v>154</v>
      </c>
      <c r="D286" s="14" t="s">
        <v>3353</v>
      </c>
      <c r="E286" s="15" t="str">
        <f>HYPERLINK("https://stat100.ameba.jp/tnk47/ratio20/illustrations/card/ill_76773_monsutatominushihime03.jpg?201904-i_prefecture_active_user", "■")</f>
        <v>■</v>
      </c>
      <c r="F286" s="14" t="s">
        <v>3354</v>
      </c>
      <c r="G286" s="14">
        <v>95859</v>
      </c>
      <c r="H286" s="14">
        <v>69430</v>
      </c>
      <c r="I286" s="14">
        <v>21</v>
      </c>
      <c r="J286" s="14" t="s">
        <v>44</v>
      </c>
      <c r="K286" s="14" t="s">
        <v>3355</v>
      </c>
      <c r="L286" s="14" t="s">
        <v>3356</v>
      </c>
      <c r="M286" s="14" t="s">
        <v>9158</v>
      </c>
      <c r="N286" s="14" t="s">
        <v>9158</v>
      </c>
      <c r="O286" s="14" t="s">
        <v>9158</v>
      </c>
      <c r="P286" s="14" t="s">
        <v>9158</v>
      </c>
      <c r="Q286" s="14" t="s">
        <v>9158</v>
      </c>
      <c r="R286" s="14"/>
    </row>
    <row r="287" spans="1:18">
      <c r="A287" s="9">
        <v>67103</v>
      </c>
      <c r="B287" s="14" t="s">
        <v>0</v>
      </c>
      <c r="C287" s="14" t="s">
        <v>154</v>
      </c>
      <c r="D287" s="14" t="s">
        <v>1282</v>
      </c>
      <c r="E287" s="15" t="str">
        <f>HYPERLINK("https://stat100.ameba.jp/tnk47/ratio20/illustrations/card/ill_67103_ankonabe03.jpg?201904-i_prefecture_active_user", "■")</f>
        <v>■</v>
      </c>
      <c r="F287" s="14" t="s">
        <v>1283</v>
      </c>
      <c r="G287" s="14">
        <v>80391</v>
      </c>
      <c r="H287" s="14">
        <v>111000</v>
      </c>
      <c r="I287" s="14">
        <v>21</v>
      </c>
      <c r="J287" s="14" t="s">
        <v>216</v>
      </c>
      <c r="K287" s="14" t="s">
        <v>1284</v>
      </c>
      <c r="L287" s="14" t="s">
        <v>13153</v>
      </c>
      <c r="M287" s="14" t="s">
        <v>9158</v>
      </c>
      <c r="N287" s="14" t="s">
        <v>9158</v>
      </c>
      <c r="O287" s="9" t="s">
        <v>3461</v>
      </c>
      <c r="P287" s="14" t="s">
        <v>3462</v>
      </c>
      <c r="Q287" s="14">
        <v>1</v>
      </c>
      <c r="R287" s="14"/>
    </row>
    <row r="288" spans="1:18">
      <c r="B288" s="14"/>
      <c r="C288" s="14"/>
      <c r="D288" s="14"/>
      <c r="F288" s="14"/>
      <c r="G288" s="14"/>
      <c r="H288" s="14"/>
      <c r="I288" s="14"/>
      <c r="J288" s="14"/>
      <c r="K288" s="14"/>
      <c r="L288" s="14"/>
      <c r="M288" s="14"/>
      <c r="N288" s="14"/>
      <c r="P288" s="14"/>
      <c r="Q288" s="14"/>
      <c r="R288" s="14"/>
    </row>
    <row r="289" spans="1:18">
      <c r="A289" s="14" t="s">
        <v>3643</v>
      </c>
      <c r="D289" s="14"/>
      <c r="F289" s="14"/>
      <c r="G289" s="14"/>
      <c r="H289" s="14"/>
      <c r="I289" s="14"/>
      <c r="J289" s="14"/>
      <c r="K289" s="14"/>
      <c r="L289" s="14"/>
      <c r="M289" s="14"/>
      <c r="N289" s="14"/>
      <c r="P289" s="14"/>
      <c r="Q289" s="14"/>
      <c r="R289" s="14"/>
    </row>
    <row r="290" spans="1:18">
      <c r="A290" s="14" t="s">
        <v>4376</v>
      </c>
      <c r="B290" s="14"/>
      <c r="C290" s="14"/>
      <c r="D290" s="14"/>
      <c r="F290" s="14"/>
      <c r="G290" s="14"/>
      <c r="H290" s="14"/>
      <c r="I290" s="14"/>
      <c r="J290" s="14"/>
      <c r="K290" s="14"/>
      <c r="L290" s="14"/>
      <c r="M290" s="14"/>
      <c r="N290" s="14"/>
      <c r="P290" s="14"/>
      <c r="Q290" s="14"/>
      <c r="R290" s="14"/>
    </row>
    <row r="291" spans="1:18">
      <c r="A291" s="9">
        <v>73045</v>
      </c>
      <c r="B291" s="14" t="s">
        <v>334</v>
      </c>
      <c r="C291" s="14" t="s">
        <v>202</v>
      </c>
      <c r="D291" s="14" t="s">
        <v>1482</v>
      </c>
      <c r="E291" s="15" t="str">
        <f>HYPERLINK("https://stat100.ameba.jp/tnk47/ratio20/illustrations/card/ill_73045_takabaosamu05.jpg?201904-i_prefecture_active_user", "■")</f>
        <v>■</v>
      </c>
      <c r="F291" s="14" t="s">
        <v>1483</v>
      </c>
      <c r="G291" s="14">
        <v>112746</v>
      </c>
      <c r="H291" s="14">
        <v>81640</v>
      </c>
      <c r="I291" s="14">
        <v>22</v>
      </c>
      <c r="J291" s="14" t="s">
        <v>414</v>
      </c>
      <c r="K291" s="14" t="s">
        <v>1484</v>
      </c>
      <c r="L291" s="14" t="s">
        <v>1485</v>
      </c>
      <c r="M291" s="14" t="s">
        <v>9158</v>
      </c>
      <c r="N291" s="14" t="s">
        <v>9158</v>
      </c>
      <c r="O291" s="14" t="s">
        <v>9158</v>
      </c>
      <c r="P291" s="14" t="s">
        <v>9158</v>
      </c>
      <c r="Q291" s="14" t="s">
        <v>9158</v>
      </c>
      <c r="R291" s="14" t="s">
        <v>174</v>
      </c>
    </row>
    <row r="292" spans="1:18">
      <c r="A292" s="9">
        <v>73043</v>
      </c>
      <c r="B292" s="14" t="s">
        <v>15</v>
      </c>
      <c r="C292" s="14" t="s">
        <v>158</v>
      </c>
      <c r="D292" s="14" t="s">
        <v>1482</v>
      </c>
      <c r="E292" s="15" t="str">
        <f>HYPERLINK("https://stat100.ameba.jp/tnk47/ratio20/illustrations/card/ill_73043_takabaosamu03.jpg?201904-i_prefecture_active_user", "■")</f>
        <v>■</v>
      </c>
      <c r="F292" s="14" t="s">
        <v>1483</v>
      </c>
      <c r="G292" s="14">
        <v>83064</v>
      </c>
      <c r="H292" s="14">
        <v>60138</v>
      </c>
      <c r="I292" s="14">
        <v>22</v>
      </c>
      <c r="J292" s="14" t="s">
        <v>414</v>
      </c>
      <c r="K292" s="14" t="s">
        <v>1484</v>
      </c>
      <c r="L292" s="14" t="s">
        <v>1486</v>
      </c>
      <c r="M292" s="14" t="s">
        <v>9158</v>
      </c>
      <c r="N292" s="14" t="s">
        <v>9158</v>
      </c>
      <c r="O292" s="14" t="s">
        <v>9158</v>
      </c>
      <c r="P292" s="14" t="s">
        <v>9158</v>
      </c>
      <c r="Q292" s="14" t="s">
        <v>9158</v>
      </c>
      <c r="R292" s="14" t="s">
        <v>175</v>
      </c>
    </row>
    <row r="293" spans="1:18">
      <c r="A293" s="9">
        <v>73041</v>
      </c>
      <c r="B293" s="14" t="s">
        <v>15</v>
      </c>
      <c r="C293" s="14" t="s">
        <v>158</v>
      </c>
      <c r="D293" s="14" t="s">
        <v>1482</v>
      </c>
      <c r="E293" s="15" t="str">
        <f>HYPERLINK("https://stat100.ameba.jp/tnk47/ratio20/illustrations/card/ill_73041_takabaosamu01.jpg?201904-i_prefecture_active_user", "■")</f>
        <v>■</v>
      </c>
      <c r="F293" s="14" t="s">
        <v>1483</v>
      </c>
      <c r="G293" s="14">
        <v>52844</v>
      </c>
      <c r="H293" s="14">
        <v>38258</v>
      </c>
      <c r="I293" s="14">
        <v>22</v>
      </c>
      <c r="J293" s="14" t="s">
        <v>414</v>
      </c>
      <c r="K293" s="14" t="s">
        <v>1484</v>
      </c>
      <c r="L293" s="14" t="s">
        <v>1487</v>
      </c>
      <c r="M293" s="14" t="s">
        <v>9158</v>
      </c>
      <c r="N293" s="14" t="s">
        <v>9158</v>
      </c>
      <c r="O293" s="14" t="s">
        <v>9158</v>
      </c>
      <c r="P293" s="14" t="s">
        <v>9158</v>
      </c>
      <c r="Q293" s="14" t="s">
        <v>9158</v>
      </c>
      <c r="R293" s="14" t="s">
        <v>176</v>
      </c>
    </row>
    <row r="294" spans="1:18">
      <c r="A294" s="9">
        <v>55735</v>
      </c>
      <c r="B294" s="14" t="s">
        <v>334</v>
      </c>
      <c r="C294" s="14" t="s">
        <v>202</v>
      </c>
      <c r="D294" s="14" t="s">
        <v>3680</v>
      </c>
      <c r="E294" s="15" t="str">
        <f>HYPERLINK("https://stat100.ameba.jp/tnk47/ratio20/illustrations/card/ill_55735_egawahidetatsu05.jpg?201904-i_prefecture_active_user", "■")</f>
        <v>■</v>
      </c>
      <c r="F294" s="14" t="s">
        <v>3681</v>
      </c>
      <c r="G294" s="14">
        <v>113992</v>
      </c>
      <c r="H294" s="14">
        <v>157434</v>
      </c>
      <c r="I294" s="14">
        <v>22</v>
      </c>
      <c r="J294" s="14" t="s">
        <v>10</v>
      </c>
      <c r="K294" s="14" t="s">
        <v>3682</v>
      </c>
      <c r="L294" s="14" t="s">
        <v>3683</v>
      </c>
      <c r="M294" s="14" t="s">
        <v>9158</v>
      </c>
      <c r="N294" s="14" t="s">
        <v>9158</v>
      </c>
      <c r="O294" s="14" t="s">
        <v>9158</v>
      </c>
      <c r="P294" s="14" t="s">
        <v>9158</v>
      </c>
      <c r="Q294" s="14" t="s">
        <v>9158</v>
      </c>
      <c r="R294" s="14" t="s">
        <v>174</v>
      </c>
    </row>
    <row r="295" spans="1:18">
      <c r="A295" s="9">
        <v>55733</v>
      </c>
      <c r="B295" s="14" t="s">
        <v>15</v>
      </c>
      <c r="C295" s="14" t="s">
        <v>154</v>
      </c>
      <c r="D295" s="14" t="s">
        <v>3680</v>
      </c>
      <c r="E295" s="15" t="str">
        <f>HYPERLINK("https://stat100.ameba.jp/tnk47/ratio20/illustrations/card/ill_55733_egawahidetatsu03.jpg?201904-i_prefecture_active_user", "■")</f>
        <v>■</v>
      </c>
      <c r="F295" s="14" t="s">
        <v>3681</v>
      </c>
      <c r="G295" s="14">
        <v>83986</v>
      </c>
      <c r="H295" s="14">
        <v>115996</v>
      </c>
      <c r="I295" s="14">
        <v>22</v>
      </c>
      <c r="J295" s="14" t="s">
        <v>10</v>
      </c>
      <c r="K295" s="14" t="s">
        <v>3682</v>
      </c>
      <c r="L295" s="14" t="s">
        <v>3684</v>
      </c>
      <c r="M295" s="14" t="s">
        <v>9158</v>
      </c>
      <c r="N295" s="14" t="s">
        <v>9158</v>
      </c>
      <c r="O295" s="14" t="s">
        <v>9158</v>
      </c>
      <c r="P295" s="14" t="s">
        <v>9158</v>
      </c>
      <c r="Q295" s="14" t="s">
        <v>9158</v>
      </c>
      <c r="R295" s="14" t="s">
        <v>175</v>
      </c>
    </row>
    <row r="296" spans="1:18">
      <c r="A296" s="9">
        <v>55731</v>
      </c>
      <c r="B296" s="14" t="s">
        <v>15</v>
      </c>
      <c r="C296" s="14" t="s">
        <v>154</v>
      </c>
      <c r="D296" s="14" t="s">
        <v>3680</v>
      </c>
      <c r="E296" s="15" t="str">
        <f>HYPERLINK("https://stat100.ameba.jp/tnk47/ratio20/illustrations/card/ill_55731_egawahidetatsu01.jpg?201904-i_prefecture_active_user", "■")</f>
        <v>■</v>
      </c>
      <c r="F296" s="14" t="s">
        <v>3681</v>
      </c>
      <c r="G296" s="14">
        <v>53438</v>
      </c>
      <c r="H296" s="14">
        <v>73788</v>
      </c>
      <c r="I296" s="14">
        <v>22</v>
      </c>
      <c r="J296" s="14" t="s">
        <v>10</v>
      </c>
      <c r="K296" s="14" t="s">
        <v>3682</v>
      </c>
      <c r="L296" s="14" t="s">
        <v>3685</v>
      </c>
      <c r="M296" s="14" t="s">
        <v>9158</v>
      </c>
      <c r="N296" s="14" t="s">
        <v>9158</v>
      </c>
      <c r="O296" s="14" t="s">
        <v>9158</v>
      </c>
      <c r="P296" s="14" t="s">
        <v>9158</v>
      </c>
      <c r="Q296" s="14" t="s">
        <v>9158</v>
      </c>
      <c r="R296" s="14" t="s">
        <v>176</v>
      </c>
    </row>
    <row r="297" spans="1:18">
      <c r="A297" s="9">
        <v>65605</v>
      </c>
      <c r="B297" s="14" t="s">
        <v>334</v>
      </c>
      <c r="C297" s="14" t="s">
        <v>202</v>
      </c>
      <c r="D297" s="14" t="s">
        <v>4377</v>
      </c>
      <c r="E297" s="15" t="str">
        <f>HYPERLINK("https://stat100.ameba.jp/tnk47/ratio20/illustrations/card/ill_65605_zushio05.jpg?201904-i_prefecture_active_user", "■")</f>
        <v>■</v>
      </c>
      <c r="F297" s="14" t="s">
        <v>4378</v>
      </c>
      <c r="G297" s="14">
        <v>120774</v>
      </c>
      <c r="H297" s="14">
        <v>87442</v>
      </c>
      <c r="I297" s="14">
        <v>22</v>
      </c>
      <c r="J297" s="14" t="s">
        <v>38</v>
      </c>
      <c r="K297" s="14" t="s">
        <v>4379</v>
      </c>
      <c r="L297" s="14" t="s">
        <v>4380</v>
      </c>
      <c r="M297" s="14" t="s">
        <v>9158</v>
      </c>
      <c r="N297" s="14" t="s">
        <v>9158</v>
      </c>
      <c r="O297" s="14" t="s">
        <v>9158</v>
      </c>
      <c r="P297" s="14" t="s">
        <v>9158</v>
      </c>
      <c r="Q297" s="14" t="s">
        <v>9158</v>
      </c>
      <c r="R297" s="14" t="s">
        <v>174</v>
      </c>
    </row>
    <row r="298" spans="1:18">
      <c r="A298" s="9">
        <v>65603</v>
      </c>
      <c r="B298" s="14" t="s">
        <v>15</v>
      </c>
      <c r="C298" s="14" t="s">
        <v>154</v>
      </c>
      <c r="D298" s="14" t="s">
        <v>4377</v>
      </c>
      <c r="E298" s="15" t="str">
        <f>HYPERLINK("https://stat100.ameba.jp/tnk47/ratio20/illustrations/card/ill_65603_zushio03.jpg?201904-i_prefecture_active_user", "■")</f>
        <v>■</v>
      </c>
      <c r="F298" s="14" t="s">
        <v>4378</v>
      </c>
      <c r="G298" s="14">
        <v>88978</v>
      </c>
      <c r="H298" s="14">
        <v>64418</v>
      </c>
      <c r="I298" s="14">
        <v>22</v>
      </c>
      <c r="J298" s="14" t="s">
        <v>38</v>
      </c>
      <c r="K298" s="14" t="s">
        <v>4379</v>
      </c>
      <c r="L298" s="14" t="s">
        <v>4381</v>
      </c>
      <c r="M298" s="14" t="s">
        <v>9158</v>
      </c>
      <c r="N298" s="14" t="s">
        <v>9158</v>
      </c>
      <c r="O298" s="14" t="s">
        <v>9158</v>
      </c>
      <c r="P298" s="14" t="s">
        <v>9158</v>
      </c>
      <c r="Q298" s="14" t="s">
        <v>9158</v>
      </c>
      <c r="R298" s="14" t="s">
        <v>175</v>
      </c>
    </row>
    <row r="299" spans="1:18">
      <c r="A299" s="9">
        <v>65601</v>
      </c>
      <c r="B299" s="14" t="s">
        <v>15</v>
      </c>
      <c r="C299" s="14" t="s">
        <v>154</v>
      </c>
      <c r="D299" s="14" t="s">
        <v>4377</v>
      </c>
      <c r="E299" s="15" t="str">
        <f>HYPERLINK("https://stat100.ameba.jp/tnk47/ratio20/illustrations/card/ill_65601_zushio01.jpg?201904-i_prefecture_active_user", "■")</f>
        <v>■</v>
      </c>
      <c r="F299" s="14" t="s">
        <v>4378</v>
      </c>
      <c r="G299" s="14">
        <v>56606</v>
      </c>
      <c r="H299" s="14">
        <v>40986</v>
      </c>
      <c r="I299" s="14">
        <v>22</v>
      </c>
      <c r="J299" s="14" t="s">
        <v>38</v>
      </c>
      <c r="K299" s="14" t="s">
        <v>4379</v>
      </c>
      <c r="L299" s="14" t="s">
        <v>4382</v>
      </c>
      <c r="M299" s="14" t="s">
        <v>9158</v>
      </c>
      <c r="N299" s="14" t="s">
        <v>9158</v>
      </c>
      <c r="O299" s="14" t="s">
        <v>9158</v>
      </c>
      <c r="P299" s="14" t="s">
        <v>9158</v>
      </c>
      <c r="Q299" s="14" t="s">
        <v>9158</v>
      </c>
      <c r="R299" s="14" t="s">
        <v>176</v>
      </c>
    </row>
    <row r="300" spans="1:18">
      <c r="B300" s="14"/>
      <c r="C300" s="14"/>
      <c r="D300" s="14"/>
      <c r="F300" s="14"/>
      <c r="G300" s="14"/>
      <c r="H300" s="14"/>
      <c r="I300" s="14"/>
      <c r="J300" s="14"/>
      <c r="K300" s="14"/>
      <c r="L300" s="14"/>
      <c r="M300" s="14"/>
      <c r="N300" s="14"/>
      <c r="P300" s="14"/>
      <c r="Q300" s="14"/>
      <c r="R300" s="14"/>
    </row>
    <row r="301" spans="1:18">
      <c r="A301" s="14" t="s">
        <v>3795</v>
      </c>
      <c r="D301" s="14"/>
      <c r="F301" s="14"/>
      <c r="G301" s="14"/>
      <c r="H301" s="14"/>
      <c r="I301" s="14"/>
      <c r="J301" s="14"/>
      <c r="K301" s="14"/>
      <c r="L301" s="14"/>
      <c r="M301" s="14"/>
      <c r="N301" s="14"/>
      <c r="P301" s="14"/>
      <c r="Q301" s="14"/>
      <c r="R301" s="14"/>
    </row>
    <row r="302" spans="1:18">
      <c r="A302" s="14" t="s">
        <v>4383</v>
      </c>
      <c r="B302" s="14"/>
      <c r="C302" s="14"/>
      <c r="D302" s="14"/>
      <c r="F302" s="14"/>
      <c r="G302" s="14"/>
      <c r="H302" s="14"/>
      <c r="I302" s="14"/>
      <c r="J302" s="14"/>
      <c r="K302" s="14"/>
      <c r="L302" s="14"/>
      <c r="M302" s="14"/>
      <c r="N302" s="14"/>
      <c r="P302" s="14"/>
      <c r="Q302" s="14"/>
      <c r="R302" s="14"/>
    </row>
    <row r="303" spans="1:18">
      <c r="A303" s="9" t="s">
        <v>5609</v>
      </c>
      <c r="B303" s="14" t="s">
        <v>52</v>
      </c>
      <c r="C303" s="14" t="s">
        <v>200</v>
      </c>
      <c r="D303" s="14" t="s">
        <v>56</v>
      </c>
      <c r="E303" s="15" t="str">
        <f>HYPERLINK("https://stat100.ameba.jp/tnk47/ratio20/illustrations/card/ill_53753_0_natsumatsuritokugawaieyasu03.jpg?201904-i_prefecture_active_user", "■")</f>
        <v>■</v>
      </c>
      <c r="F303" s="14" t="s">
        <v>902</v>
      </c>
      <c r="G303" s="14">
        <v>94236</v>
      </c>
      <c r="H303" s="14">
        <v>83712</v>
      </c>
      <c r="I303" s="14">
        <v>15</v>
      </c>
      <c r="J303" s="14" t="s">
        <v>143</v>
      </c>
      <c r="K303" s="14" t="s">
        <v>903</v>
      </c>
      <c r="L303" s="14" t="s">
        <v>904</v>
      </c>
      <c r="M303" s="14" t="s">
        <v>9158</v>
      </c>
      <c r="N303" s="14" t="s">
        <v>9158</v>
      </c>
      <c r="O303" s="17" t="s">
        <v>10052</v>
      </c>
      <c r="P303" s="14" t="s">
        <v>13121</v>
      </c>
      <c r="Q303" s="14">
        <v>1</v>
      </c>
      <c r="R303" s="14"/>
    </row>
    <row r="304" spans="1:18">
      <c r="A304" s="9" t="s">
        <v>6195</v>
      </c>
      <c r="B304" s="14" t="s">
        <v>52</v>
      </c>
      <c r="C304" s="14" t="s">
        <v>191</v>
      </c>
      <c r="D304" s="14" t="s">
        <v>1768</v>
      </c>
      <c r="E304" s="15" t="str">
        <f>HYPERLINK("https://stat100.ameba.jp/tnk47/ratio20/illustrations/card/ill_56493_0_poppukurisumasuikomakitsuno03.jpg?201904-i_prefecture_active_user", "■")</f>
        <v>■</v>
      </c>
      <c r="F304" s="14" t="s">
        <v>1769</v>
      </c>
      <c r="G304" s="14">
        <v>94236</v>
      </c>
      <c r="H304" s="14">
        <v>83712</v>
      </c>
      <c r="I304" s="14">
        <v>15</v>
      </c>
      <c r="J304" s="14" t="s">
        <v>77</v>
      </c>
      <c r="K304" s="14" t="s">
        <v>1770</v>
      </c>
      <c r="L304" s="14" t="s">
        <v>1771</v>
      </c>
      <c r="M304" s="14" t="s">
        <v>9158</v>
      </c>
      <c r="N304" s="14" t="s">
        <v>9158</v>
      </c>
      <c r="O304" s="9" t="s">
        <v>3893</v>
      </c>
      <c r="P304" s="14" t="s">
        <v>2724</v>
      </c>
      <c r="Q304" s="14">
        <v>1</v>
      </c>
      <c r="R304" s="14"/>
    </row>
    <row r="305" spans="1:18">
      <c r="A305" s="9" t="s">
        <v>5721</v>
      </c>
      <c r="B305" s="14" t="s">
        <v>330</v>
      </c>
      <c r="C305" s="14" t="s">
        <v>205</v>
      </c>
      <c r="D305" s="14" t="s">
        <v>1715</v>
      </c>
      <c r="E305" s="15" t="str">
        <f>HYPERLINK("https://stat100.ameba.jp/tnk47/ratio20/illustrations/card/ill_44283_0_izumonokuni03.jpg?201904-i_prefecture_active_user", "■")</f>
        <v>■</v>
      </c>
      <c r="F305" s="14" t="s">
        <v>514</v>
      </c>
      <c r="G305" s="14">
        <v>87780</v>
      </c>
      <c r="H305" s="14">
        <v>82212</v>
      </c>
      <c r="I305" s="14">
        <v>15</v>
      </c>
      <c r="J305" s="14" t="s">
        <v>159</v>
      </c>
      <c r="K305" s="14" t="s">
        <v>1717</v>
      </c>
      <c r="L305" s="14" t="s">
        <v>516</v>
      </c>
      <c r="M305" s="14" t="s">
        <v>9158</v>
      </c>
      <c r="N305" s="14" t="s">
        <v>9158</v>
      </c>
      <c r="O305" s="14" t="s">
        <v>9158</v>
      </c>
      <c r="P305" s="14" t="s">
        <v>9158</v>
      </c>
      <c r="Q305" s="14" t="s">
        <v>9158</v>
      </c>
      <c r="R305" s="14"/>
    </row>
    <row r="306" spans="1:18">
      <c r="A306" s="9">
        <v>76123</v>
      </c>
      <c r="B306" s="14" t="s">
        <v>334</v>
      </c>
      <c r="C306" s="14" t="s">
        <v>203</v>
      </c>
      <c r="D306" s="14" t="s">
        <v>986</v>
      </c>
      <c r="E306" s="15" t="str">
        <f>HYPERLINK("https://stat100.ameba.jp/tnk47/ratio20/illustrations/card/ill_76123_hoshiyominotemmongakusha03.jpg?201904-i_prefecture_active_user", "■")</f>
        <v>■</v>
      </c>
      <c r="F306" s="14" t="s">
        <v>987</v>
      </c>
      <c r="G306" s="14">
        <v>168858</v>
      </c>
      <c r="H306" s="14">
        <v>95001</v>
      </c>
      <c r="I306" s="14">
        <v>23</v>
      </c>
      <c r="J306" s="14" t="s">
        <v>16</v>
      </c>
      <c r="K306" s="14" t="s">
        <v>988</v>
      </c>
      <c r="L306" s="14" t="s">
        <v>989</v>
      </c>
      <c r="M306" s="14" t="s">
        <v>9158</v>
      </c>
      <c r="N306" s="14" t="s">
        <v>9158</v>
      </c>
      <c r="O306" s="14" t="s">
        <v>9158</v>
      </c>
      <c r="P306" s="14" t="s">
        <v>9158</v>
      </c>
      <c r="Q306" s="14" t="s">
        <v>9158</v>
      </c>
      <c r="R306" s="14"/>
    </row>
    <row r="307" spans="1:18">
      <c r="A307" s="9">
        <v>76953</v>
      </c>
      <c r="B307" s="14" t="s">
        <v>334</v>
      </c>
      <c r="C307" s="14" t="s">
        <v>154</v>
      </c>
      <c r="D307" s="14" t="s">
        <v>1931</v>
      </c>
      <c r="E307" s="15" t="str">
        <f>HYPERLINK("https://stat100.ameba.jp/tnk47/ratio20/illustrations/card/ill_76953_gureteru03.jpg?201904-i_prefecture_active_user", "■")</f>
        <v>■</v>
      </c>
      <c r="F307" s="14" t="s">
        <v>1932</v>
      </c>
      <c r="G307" s="14">
        <v>72883</v>
      </c>
      <c r="H307" s="14">
        <v>129501</v>
      </c>
      <c r="I307" s="14">
        <v>23</v>
      </c>
      <c r="J307" s="14" t="s">
        <v>38</v>
      </c>
      <c r="K307" s="14" t="s">
        <v>1933</v>
      </c>
      <c r="L307" s="14" t="s">
        <v>1934</v>
      </c>
      <c r="M307" s="14" t="s">
        <v>9158</v>
      </c>
      <c r="N307" s="14" t="s">
        <v>9158</v>
      </c>
      <c r="O307" s="14" t="s">
        <v>9158</v>
      </c>
      <c r="P307" s="14" t="s">
        <v>9158</v>
      </c>
      <c r="Q307" s="14" t="s">
        <v>9158</v>
      </c>
      <c r="R307" s="14"/>
    </row>
    <row r="308" spans="1:18">
      <c r="A308" s="9">
        <v>78103</v>
      </c>
      <c r="B308" s="14" t="s">
        <v>0</v>
      </c>
      <c r="C308" s="14" t="s">
        <v>154</v>
      </c>
      <c r="D308" s="14" t="s">
        <v>2305</v>
      </c>
      <c r="E308" s="15" t="str">
        <f>HYPERLINK("https://stat100.ameba.jp/tnk47/ratio20/illustrations/card/ill_78103_santaokokunaitomea03.jpg?201904-i_prefecture_active_user", "■")</f>
        <v>■</v>
      </c>
      <c r="F308" s="14" t="s">
        <v>2306</v>
      </c>
      <c r="G308" s="14">
        <v>118343</v>
      </c>
      <c r="H308" s="14">
        <v>66606</v>
      </c>
      <c r="I308" s="14">
        <v>23</v>
      </c>
      <c r="J308" s="14" t="s">
        <v>73</v>
      </c>
      <c r="K308" s="14" t="s">
        <v>2307</v>
      </c>
      <c r="L308" s="14" t="s">
        <v>2308</v>
      </c>
      <c r="M308" s="14" t="s">
        <v>9158</v>
      </c>
      <c r="N308" s="14" t="s">
        <v>9158</v>
      </c>
      <c r="O308" s="14" t="s">
        <v>9158</v>
      </c>
      <c r="P308" s="14" t="s">
        <v>9158</v>
      </c>
      <c r="Q308" s="14" t="s">
        <v>9158</v>
      </c>
      <c r="R308" s="14"/>
    </row>
    <row r="309" spans="1:18">
      <c r="A309" s="9">
        <v>67393</v>
      </c>
      <c r="B309" s="14" t="s">
        <v>15</v>
      </c>
      <c r="C309" s="14" t="s">
        <v>206</v>
      </c>
      <c r="D309" s="14" t="s">
        <v>970</v>
      </c>
      <c r="E309" s="15" t="str">
        <f>HYPERLINK("https://stat100.ameba.jp/tnk47/ratio20/illustrations/card/ill_67393_jobaamahime03.jpg?201904-i_prefecture_active_user", "■")</f>
        <v>■</v>
      </c>
      <c r="F309" s="14" t="s">
        <v>971</v>
      </c>
      <c r="G309" s="14">
        <v>59144</v>
      </c>
      <c r="H309" s="14">
        <v>65208</v>
      </c>
      <c r="I309" s="14">
        <v>22</v>
      </c>
      <c r="J309" s="14" t="s">
        <v>77</v>
      </c>
      <c r="K309" s="14" t="s">
        <v>972</v>
      </c>
      <c r="L309" s="14" t="s">
        <v>973</v>
      </c>
      <c r="M309" s="14" t="s">
        <v>9158</v>
      </c>
      <c r="N309" s="14" t="s">
        <v>9158</v>
      </c>
      <c r="O309" s="14" t="s">
        <v>9158</v>
      </c>
      <c r="P309" s="14" t="s">
        <v>9158</v>
      </c>
      <c r="Q309" s="14" t="s">
        <v>9158</v>
      </c>
      <c r="R309" s="14"/>
    </row>
    <row r="310" spans="1:18">
      <c r="A310" s="9">
        <v>66653</v>
      </c>
      <c r="B310" s="14" t="s">
        <v>348</v>
      </c>
      <c r="C310" s="14" t="s">
        <v>205</v>
      </c>
      <c r="D310" s="14" t="s">
        <v>2901</v>
      </c>
      <c r="E310" s="15" t="str">
        <f>HYPERLINK("https://stat100.ameba.jp/tnk47/ratio20/illustrations/card/ill_66653_oryoriehimenomikoto03.jpg?201904-i_prefecture_active_user", "■")</f>
        <v>■</v>
      </c>
      <c r="F310" s="14" t="s">
        <v>2902</v>
      </c>
      <c r="G310" s="14">
        <v>59144</v>
      </c>
      <c r="H310" s="14">
        <v>65208</v>
      </c>
      <c r="I310" s="14">
        <v>22</v>
      </c>
      <c r="J310" s="14" t="s">
        <v>401</v>
      </c>
      <c r="K310" s="14" t="s">
        <v>2903</v>
      </c>
      <c r="L310" s="14" t="s">
        <v>2904</v>
      </c>
      <c r="M310" s="14" t="s">
        <v>9158</v>
      </c>
      <c r="N310" s="14" t="s">
        <v>9158</v>
      </c>
      <c r="O310" s="14" t="s">
        <v>9158</v>
      </c>
      <c r="P310" s="14" t="s">
        <v>9158</v>
      </c>
      <c r="Q310" s="14" t="s">
        <v>9158</v>
      </c>
      <c r="R310" s="14"/>
    </row>
    <row r="311" spans="1:18">
      <c r="A311" s="9">
        <v>74073</v>
      </c>
      <c r="B311" s="14" t="s">
        <v>15</v>
      </c>
      <c r="C311" s="14" t="s">
        <v>191</v>
      </c>
      <c r="D311" s="14" t="s">
        <v>4384</v>
      </c>
      <c r="E311" s="15" t="str">
        <f>HYPERLINK("https://stat100.ameba.jp/tnk47/ratio20/illustrations/card/ill_74073_toyotakerosho03.jpg?201904-i_prefecture_active_user", "■")</f>
        <v>■</v>
      </c>
      <c r="F311" s="14" t="s">
        <v>4385</v>
      </c>
      <c r="G311" s="14">
        <v>65208</v>
      </c>
      <c r="H311" s="14">
        <v>59144</v>
      </c>
      <c r="I311" s="14">
        <v>22</v>
      </c>
      <c r="J311" s="14" t="s">
        <v>10</v>
      </c>
      <c r="K311" s="14" t="s">
        <v>4386</v>
      </c>
      <c r="L311" s="14" t="s">
        <v>3275</v>
      </c>
      <c r="M311" s="14" t="s">
        <v>9158</v>
      </c>
      <c r="N311" s="14" t="s">
        <v>9158</v>
      </c>
      <c r="O311" s="14" t="s">
        <v>9158</v>
      </c>
      <c r="P311" s="14" t="s">
        <v>9158</v>
      </c>
      <c r="Q311" s="14" t="s">
        <v>9158</v>
      </c>
      <c r="R311" s="14"/>
    </row>
    <row r="312" spans="1:18">
      <c r="B312" s="14"/>
      <c r="C312" s="14"/>
      <c r="D312" s="14"/>
      <c r="F312" s="14"/>
      <c r="G312" s="14"/>
      <c r="H312" s="14"/>
      <c r="I312" s="14"/>
      <c r="J312" s="14"/>
      <c r="K312" s="14"/>
      <c r="L312" s="14"/>
      <c r="M312" s="14"/>
      <c r="N312" s="14"/>
      <c r="P312" s="14"/>
      <c r="Q312" s="14"/>
      <c r="R312" s="14"/>
    </row>
    <row r="313" spans="1:18">
      <c r="A313" s="14" t="s">
        <v>223</v>
      </c>
      <c r="D313" s="14"/>
      <c r="F313" s="14"/>
      <c r="G313" s="14"/>
      <c r="H313" s="14"/>
      <c r="I313" s="14"/>
      <c r="J313" s="14"/>
      <c r="K313" s="14"/>
      <c r="L313" s="14"/>
      <c r="M313" s="14"/>
      <c r="N313" s="14"/>
      <c r="P313" s="14"/>
      <c r="Q313" s="14"/>
      <c r="R313" s="14"/>
    </row>
    <row r="314" spans="1:18">
      <c r="A314" s="14" t="s">
        <v>4387</v>
      </c>
      <c r="C314" s="14"/>
      <c r="D314" s="14"/>
      <c r="F314" s="14"/>
      <c r="G314" s="14"/>
      <c r="H314" s="14"/>
      <c r="I314" s="14"/>
      <c r="J314" s="14"/>
      <c r="K314" s="14"/>
      <c r="L314" s="14"/>
      <c r="M314" s="14"/>
      <c r="N314" s="14"/>
      <c r="P314" s="14"/>
      <c r="Q314" s="14"/>
      <c r="R314" s="14"/>
    </row>
    <row r="315" spans="1:18">
      <c r="A315" s="9" t="s">
        <v>6195</v>
      </c>
      <c r="B315" s="14" t="s">
        <v>52</v>
      </c>
      <c r="C315" s="14" t="s">
        <v>191</v>
      </c>
      <c r="D315" s="14" t="s">
        <v>1768</v>
      </c>
      <c r="E315" s="15" t="str">
        <f>HYPERLINK("https://stat100.ameba.jp/tnk47/ratio20/illustrations/card/ill_56493_0_poppukurisumasuikomakitsuno03.jpg?201904-i_prefecture_active_user", "■")</f>
        <v>■</v>
      </c>
      <c r="F315" s="14" t="s">
        <v>1769</v>
      </c>
      <c r="G315" s="14">
        <v>119364</v>
      </c>
      <c r="H315" s="14">
        <v>106034</v>
      </c>
      <c r="I315" s="14">
        <v>19</v>
      </c>
      <c r="J315" s="14" t="s">
        <v>77</v>
      </c>
      <c r="K315" s="14" t="s">
        <v>1770</v>
      </c>
      <c r="L315" s="14" t="s">
        <v>1771</v>
      </c>
      <c r="M315" s="14" t="s">
        <v>9158</v>
      </c>
      <c r="N315" s="14" t="s">
        <v>9158</v>
      </c>
      <c r="O315" s="9" t="s">
        <v>3893</v>
      </c>
      <c r="P315" s="14" t="s">
        <v>2724</v>
      </c>
      <c r="Q315" s="14">
        <v>1</v>
      </c>
      <c r="R315" s="14"/>
    </row>
    <row r="316" spans="1:18">
      <c r="A316" s="9">
        <v>62473</v>
      </c>
      <c r="B316" s="14" t="s">
        <v>0</v>
      </c>
      <c r="C316" s="14" t="s">
        <v>158</v>
      </c>
      <c r="D316" s="14" t="s">
        <v>1858</v>
      </c>
      <c r="E316" s="15" t="str">
        <f>HYPERLINK("https://stat100.ameba.jp/tnk47/ratio20/illustrations/card/ill_62473_kokuriko03.jpg?201904-i_prefecture_active_user", "■")</f>
        <v>■</v>
      </c>
      <c r="F316" s="14" t="s">
        <v>938</v>
      </c>
      <c r="G316" s="14">
        <v>95859</v>
      </c>
      <c r="H316" s="14">
        <v>69430</v>
      </c>
      <c r="I316" s="14">
        <v>21</v>
      </c>
      <c r="J316" s="14" t="s">
        <v>44</v>
      </c>
      <c r="K316" s="14" t="s">
        <v>1859</v>
      </c>
      <c r="L316" s="14" t="s">
        <v>1860</v>
      </c>
      <c r="M316" s="14" t="s">
        <v>9158</v>
      </c>
      <c r="N316" s="14" t="s">
        <v>9158</v>
      </c>
      <c r="O316" s="9" t="s">
        <v>2838</v>
      </c>
      <c r="P316" s="14" t="s">
        <v>2839</v>
      </c>
      <c r="Q316" s="14">
        <v>1</v>
      </c>
      <c r="R316" s="14"/>
    </row>
    <row r="317" spans="1:18">
      <c r="A317" s="9">
        <v>52593</v>
      </c>
      <c r="B317" s="14" t="s">
        <v>334</v>
      </c>
      <c r="C317" s="14" t="s">
        <v>185</v>
      </c>
      <c r="D317" s="14" t="s">
        <v>3550</v>
      </c>
      <c r="E317" s="15" t="str">
        <f>HYPERLINK("https://stat100.ameba.jp/tnk47/ratio20/illustrations/card/ill_52593_sengokumibirakikitsunenohoju03.jpg?201904-i_prefecture_active_user", "■")</f>
        <v>■</v>
      </c>
      <c r="F317" s="14" t="s">
        <v>3551</v>
      </c>
      <c r="G317" s="14">
        <v>80942</v>
      </c>
      <c r="H317" s="14">
        <v>75254</v>
      </c>
      <c r="I317" s="14">
        <v>21</v>
      </c>
      <c r="J317" s="14" t="s">
        <v>38</v>
      </c>
      <c r="K317" s="14" t="s">
        <v>3552</v>
      </c>
      <c r="L317" s="14" t="s">
        <v>3553</v>
      </c>
      <c r="M317" s="14" t="s">
        <v>9158</v>
      </c>
      <c r="N317" s="14" t="s">
        <v>9158</v>
      </c>
      <c r="O317" s="9" t="s">
        <v>3554</v>
      </c>
      <c r="P317" s="14" t="s">
        <v>13124</v>
      </c>
      <c r="Q317" s="14">
        <v>1</v>
      </c>
      <c r="R317" s="14"/>
    </row>
    <row r="318" spans="1:18">
      <c r="A318" s="9">
        <v>69533</v>
      </c>
      <c r="B318" s="14" t="s">
        <v>0</v>
      </c>
      <c r="C318" s="14" t="s">
        <v>191</v>
      </c>
      <c r="D318" s="14" t="s">
        <v>1835</v>
      </c>
      <c r="E318" s="15" t="str">
        <f>HYPERLINK("https://stat100.ameba.jp/tnk47/ratio20/illustrations/card/ill_69533_setsubunodainokata03.jpg?201904-i_prefecture_active_user", "■")</f>
        <v>■</v>
      </c>
      <c r="F318" s="14" t="s">
        <v>138</v>
      </c>
      <c r="G318" s="14">
        <v>82027</v>
      </c>
      <c r="H318" s="14">
        <v>76237</v>
      </c>
      <c r="I318" s="14">
        <v>21</v>
      </c>
      <c r="J318" s="14" t="s">
        <v>173</v>
      </c>
      <c r="K318" s="14" t="s">
        <v>193</v>
      </c>
      <c r="L318" s="14" t="s">
        <v>13134</v>
      </c>
      <c r="M318" s="14" t="s">
        <v>9158</v>
      </c>
      <c r="N318" s="14" t="s">
        <v>9158</v>
      </c>
      <c r="O318" s="17" t="s">
        <v>10055</v>
      </c>
      <c r="P318" s="14" t="s">
        <v>13124</v>
      </c>
      <c r="Q318" s="14">
        <v>1</v>
      </c>
      <c r="R318" s="14"/>
    </row>
    <row r="319" spans="1:18">
      <c r="B319" s="14"/>
      <c r="C319" s="14"/>
      <c r="D319" s="14"/>
      <c r="F319" s="14"/>
      <c r="G319" s="14"/>
      <c r="H319" s="14"/>
      <c r="I319" s="14"/>
      <c r="J319" s="14"/>
      <c r="K319" s="14"/>
      <c r="L319" s="14"/>
      <c r="M319" s="14"/>
      <c r="N319" s="14"/>
      <c r="P319" s="14"/>
      <c r="Q319" s="14"/>
      <c r="R319" s="14"/>
    </row>
    <row r="320" spans="1:18">
      <c r="A320" s="14" t="s">
        <v>208</v>
      </c>
      <c r="D320" s="14"/>
      <c r="F320" s="14"/>
      <c r="G320" s="14"/>
      <c r="H320" s="14"/>
      <c r="I320" s="14"/>
      <c r="J320" s="14"/>
      <c r="K320" s="14"/>
      <c r="L320" s="14"/>
      <c r="M320" s="14"/>
      <c r="N320" s="14"/>
      <c r="P320" s="14"/>
      <c r="Q320" s="14"/>
      <c r="R320" s="14"/>
    </row>
    <row r="321" spans="1:19">
      <c r="A321" s="14" t="s">
        <v>4399</v>
      </c>
      <c r="B321" s="14"/>
      <c r="C321" s="14"/>
      <c r="D321" s="14"/>
      <c r="F321" s="14"/>
      <c r="G321" s="14"/>
      <c r="H321" s="14"/>
      <c r="I321" s="14"/>
      <c r="J321" s="14"/>
      <c r="K321" s="14"/>
      <c r="L321" s="14"/>
      <c r="M321" s="14"/>
      <c r="N321" s="14"/>
      <c r="P321" s="14"/>
      <c r="Q321" s="14"/>
      <c r="R321" s="14"/>
    </row>
    <row r="322" spans="1:19">
      <c r="A322" s="9" t="s">
        <v>5602</v>
      </c>
      <c r="B322" s="14" t="s">
        <v>52</v>
      </c>
      <c r="C322" s="14" t="s">
        <v>14</v>
      </c>
      <c r="D322" s="14" t="s">
        <v>2093</v>
      </c>
      <c r="E322" s="15" t="str">
        <f>HYPERLINK("https://stat100.ameba.jp/tnk47/ratio20/illustrations/card/ill_55313_0_haroinononokomachi03.jpg?201904-i_prefecture_active_user", "■")</f>
        <v>■</v>
      </c>
      <c r="F322" s="14" t="s">
        <v>2094</v>
      </c>
      <c r="G322" s="14">
        <v>94236</v>
      </c>
      <c r="H322" s="14">
        <v>83712</v>
      </c>
      <c r="I322" s="14">
        <v>15</v>
      </c>
      <c r="J322" s="14" t="s">
        <v>10</v>
      </c>
      <c r="K322" s="14" t="s">
        <v>2095</v>
      </c>
      <c r="L322" s="14" t="s">
        <v>2096</v>
      </c>
      <c r="M322" s="14" t="s">
        <v>9158</v>
      </c>
      <c r="N322" s="14" t="s">
        <v>9158</v>
      </c>
      <c r="O322" s="9" t="s">
        <v>2733</v>
      </c>
      <c r="P322" s="14" t="s">
        <v>2734</v>
      </c>
      <c r="Q322" s="14">
        <v>1</v>
      </c>
      <c r="R322" s="14"/>
    </row>
    <row r="323" spans="1:19">
      <c r="A323" s="9" t="s">
        <v>5607</v>
      </c>
      <c r="B323" s="14" t="s">
        <v>330</v>
      </c>
      <c r="C323" s="14" t="s">
        <v>200</v>
      </c>
      <c r="D323" s="14" t="s">
        <v>1039</v>
      </c>
      <c r="E323" s="15" t="str">
        <f>HYPERLINK("https://stat100.ameba.jp/tnk47/ratio20/illustrations/card/ill_58853_0_setsubumpanikkuhiratsukaraicho03.jpg?201904-i_prefecture_active_user", "■")</f>
        <v>■</v>
      </c>
      <c r="F323" s="14" t="s">
        <v>1040</v>
      </c>
      <c r="G323" s="14">
        <v>94236</v>
      </c>
      <c r="H323" s="14">
        <v>83712</v>
      </c>
      <c r="I323" s="14">
        <v>15</v>
      </c>
      <c r="J323" s="14" t="s">
        <v>16</v>
      </c>
      <c r="K323" s="14" t="s">
        <v>1041</v>
      </c>
      <c r="L323" s="14" t="s">
        <v>1042</v>
      </c>
      <c r="M323" s="14" t="s">
        <v>9158</v>
      </c>
      <c r="N323" s="14" t="s">
        <v>9158</v>
      </c>
      <c r="O323" s="17" t="s">
        <v>10059</v>
      </c>
      <c r="P323" s="14" t="s">
        <v>2870</v>
      </c>
      <c r="Q323" s="14">
        <v>1</v>
      </c>
      <c r="R323" s="14"/>
    </row>
    <row r="324" spans="1:19">
      <c r="A324" s="9" t="s">
        <v>5830</v>
      </c>
      <c r="B324" s="14" t="s">
        <v>330</v>
      </c>
      <c r="C324" s="14" t="s">
        <v>191</v>
      </c>
      <c r="D324" s="14" t="s">
        <v>793</v>
      </c>
      <c r="E324" s="15" t="str">
        <f>HYPERLINK("https://stat100.ameba.jp/tnk47/ratio20/illustrations/card/ill_39933_0_reihiiinaotora03.jpg?201904-i_prefecture_active_user", "■")</f>
        <v>■</v>
      </c>
      <c r="F324" s="14" t="s">
        <v>794</v>
      </c>
      <c r="G324" s="14">
        <v>82212</v>
      </c>
      <c r="H324" s="14">
        <v>87780</v>
      </c>
      <c r="I324" s="14">
        <v>15</v>
      </c>
      <c r="J324" s="14" t="s">
        <v>315</v>
      </c>
      <c r="K324" s="14" t="s">
        <v>795</v>
      </c>
      <c r="L324" s="14" t="s">
        <v>796</v>
      </c>
      <c r="M324" s="14" t="s">
        <v>9158</v>
      </c>
      <c r="N324" s="14" t="s">
        <v>9158</v>
      </c>
      <c r="O324" s="14" t="s">
        <v>9158</v>
      </c>
      <c r="P324" s="14" t="s">
        <v>9158</v>
      </c>
      <c r="Q324" s="14" t="s">
        <v>9158</v>
      </c>
      <c r="R324" s="14"/>
    </row>
    <row r="325" spans="1:19">
      <c r="A325" s="9">
        <v>66543</v>
      </c>
      <c r="B325" s="14" t="s">
        <v>334</v>
      </c>
      <c r="C325" s="14" t="s">
        <v>158</v>
      </c>
      <c r="D325" s="14" t="s">
        <v>4390</v>
      </c>
      <c r="E325" s="15" t="str">
        <f>HYPERLINK("https://stat100.ameba.jp/tnk47/ratio20/illustrations/card/ill_66543_kanimeshibentochan03.jpg?201904-i_prefecture_active_user", "■")</f>
        <v>■</v>
      </c>
      <c r="F325" s="14" t="s">
        <v>4391</v>
      </c>
      <c r="G325" s="14">
        <v>113340</v>
      </c>
      <c r="H325" s="14">
        <v>105394</v>
      </c>
      <c r="I325" s="14">
        <v>24</v>
      </c>
      <c r="J325" s="14" t="s">
        <v>104</v>
      </c>
      <c r="K325" s="14" t="s">
        <v>4392</v>
      </c>
      <c r="L325" s="14" t="s">
        <v>2409</v>
      </c>
      <c r="M325" s="14" t="s">
        <v>9158</v>
      </c>
      <c r="N325" s="14" t="s">
        <v>9158</v>
      </c>
      <c r="O325" s="14" t="s">
        <v>9158</v>
      </c>
      <c r="P325" s="14" t="s">
        <v>9158</v>
      </c>
      <c r="Q325" s="14" t="s">
        <v>9158</v>
      </c>
      <c r="S325" s="14" t="s">
        <v>11766</v>
      </c>
    </row>
    <row r="326" spans="1:19">
      <c r="A326" s="9">
        <v>73963</v>
      </c>
      <c r="B326" s="14" t="s">
        <v>334</v>
      </c>
      <c r="C326" s="14" t="s">
        <v>209</v>
      </c>
      <c r="D326" s="14" t="s">
        <v>4393</v>
      </c>
      <c r="E326" s="15" t="str">
        <f>HYPERLINK("https://stat100.ameba.jp/tnk47/ratio20/illustrations/card/ill_73963_tanabatachokeshin03.jpg?201904-i_prefecture_active_user", "■")</f>
        <v>■</v>
      </c>
      <c r="F326" s="14" t="s">
        <v>4394</v>
      </c>
      <c r="G326" s="14">
        <v>99996</v>
      </c>
      <c r="H326" s="14">
        <v>92996</v>
      </c>
      <c r="I326" s="14">
        <v>24</v>
      </c>
      <c r="J326" s="14" t="s">
        <v>73</v>
      </c>
      <c r="K326" s="14" t="s">
        <v>4395</v>
      </c>
      <c r="L326" s="14" t="s">
        <v>2308</v>
      </c>
      <c r="M326" s="14" t="s">
        <v>9158</v>
      </c>
      <c r="N326" s="14" t="s">
        <v>9158</v>
      </c>
      <c r="O326" s="14" t="s">
        <v>9158</v>
      </c>
      <c r="P326" s="14" t="s">
        <v>9158</v>
      </c>
      <c r="Q326" s="14" t="s">
        <v>9158</v>
      </c>
      <c r="S326" s="14" t="s">
        <v>11768</v>
      </c>
    </row>
    <row r="327" spans="1:19">
      <c r="A327" s="9">
        <v>66193</v>
      </c>
      <c r="B327" s="14" t="s">
        <v>334</v>
      </c>
      <c r="C327" s="14" t="s">
        <v>209</v>
      </c>
      <c r="D327" s="14" t="s">
        <v>4396</v>
      </c>
      <c r="E327" s="15" t="str">
        <f>HYPERLINK("https://stat100.ameba.jp/tnk47/ratio20/illustrations/card/ill_66193_uesugijinjauesugikenshin03.jpg?201904-i_prefecture_active_user", "■")</f>
        <v>■</v>
      </c>
      <c r="F327" s="14" t="s">
        <v>4397</v>
      </c>
      <c r="G327" s="14">
        <v>132658</v>
      </c>
      <c r="H327" s="14">
        <v>142674</v>
      </c>
      <c r="I327" s="14">
        <v>24</v>
      </c>
      <c r="J327" s="14" t="s">
        <v>143</v>
      </c>
      <c r="K327" s="14" t="s">
        <v>4398</v>
      </c>
      <c r="L327" s="14" t="s">
        <v>1148</v>
      </c>
      <c r="M327" s="14" t="s">
        <v>9158</v>
      </c>
      <c r="N327" s="14" t="s">
        <v>9158</v>
      </c>
      <c r="O327" s="14" t="s">
        <v>9158</v>
      </c>
      <c r="P327" s="14" t="s">
        <v>9158</v>
      </c>
      <c r="Q327" s="14" t="s">
        <v>9158</v>
      </c>
      <c r="S327" s="14" t="s">
        <v>11767</v>
      </c>
    </row>
    <row r="328" spans="1:19">
      <c r="A328" s="9">
        <v>55743</v>
      </c>
      <c r="B328" s="14" t="s">
        <v>15</v>
      </c>
      <c r="C328" s="14" t="s">
        <v>165</v>
      </c>
      <c r="D328" s="14" t="s">
        <v>4307</v>
      </c>
      <c r="E328" s="15" t="str">
        <f>HYPERLINK("https://stat100.ameba.jp/tnk47/ratio20/illustrations/card/ill_55743_nankoume03.jpg?201904-i_prefecture_active_user", "■")</f>
        <v>■</v>
      </c>
      <c r="F328" s="14" t="s">
        <v>4308</v>
      </c>
      <c r="G328" s="14">
        <v>51078</v>
      </c>
      <c r="H328" s="14">
        <v>56316</v>
      </c>
      <c r="I328" s="14">
        <v>19</v>
      </c>
      <c r="J328" s="14" t="s">
        <v>104</v>
      </c>
      <c r="K328" s="14" t="s">
        <v>4310</v>
      </c>
      <c r="L328" s="14" t="s">
        <v>4311</v>
      </c>
      <c r="M328" s="14" t="s">
        <v>9158</v>
      </c>
      <c r="N328" s="14" t="s">
        <v>9158</v>
      </c>
      <c r="O328" s="14" t="s">
        <v>9158</v>
      </c>
      <c r="P328" s="14" t="s">
        <v>9158</v>
      </c>
      <c r="Q328" s="14" t="s">
        <v>9158</v>
      </c>
      <c r="S328" s="14" t="s">
        <v>12930</v>
      </c>
    </row>
    <row r="329" spans="1:19">
      <c r="A329" s="9">
        <v>59193</v>
      </c>
      <c r="B329" s="14" t="s">
        <v>15</v>
      </c>
      <c r="C329" s="14" t="s">
        <v>165</v>
      </c>
      <c r="D329" s="14" t="s">
        <v>4312</v>
      </c>
      <c r="E329" s="15" t="str">
        <f>HYPERLINK("https://stat100.ameba.jp/tnk47/ratio20/illustrations/card/ill_59193_otonanoasobiokiku03.jpg?201904-i_prefecture_active_user", "■")</f>
        <v>■</v>
      </c>
      <c r="F329" s="14" t="s">
        <v>4313</v>
      </c>
      <c r="G329" s="14">
        <v>56316</v>
      </c>
      <c r="H329" s="14">
        <v>51078</v>
      </c>
      <c r="I329" s="14">
        <v>19</v>
      </c>
      <c r="J329" s="14" t="s">
        <v>38</v>
      </c>
      <c r="K329" s="14" t="s">
        <v>4314</v>
      </c>
      <c r="L329" s="14" t="s">
        <v>4315</v>
      </c>
      <c r="M329" s="14" t="s">
        <v>9158</v>
      </c>
      <c r="N329" s="14" t="s">
        <v>9158</v>
      </c>
      <c r="O329" s="14" t="s">
        <v>9158</v>
      </c>
      <c r="P329" s="14" t="s">
        <v>9158</v>
      </c>
      <c r="Q329" s="14" t="s">
        <v>9158</v>
      </c>
      <c r="S329" s="14" t="s">
        <v>12930</v>
      </c>
    </row>
    <row r="330" spans="1:19">
      <c r="A330" s="9">
        <v>66513</v>
      </c>
      <c r="B330" s="14" t="s">
        <v>348</v>
      </c>
      <c r="C330" s="14" t="s">
        <v>165</v>
      </c>
      <c r="D330" s="14" t="s">
        <v>3334</v>
      </c>
      <c r="E330" s="15" t="str">
        <f>HYPERLINK("https://stat100.ameba.jp/tnk47/ratio20/illustrations/card/ill_66513_yuenchigishumoninnotango03.jpg?201904-i_prefecture_active_user", "■")</f>
        <v>■</v>
      </c>
      <c r="F330" s="14" t="s">
        <v>3335</v>
      </c>
      <c r="G330" s="14">
        <v>51078</v>
      </c>
      <c r="H330" s="14">
        <v>56316</v>
      </c>
      <c r="I330" s="14">
        <v>19</v>
      </c>
      <c r="J330" s="14" t="s">
        <v>10</v>
      </c>
      <c r="K330" s="14" t="s">
        <v>3336</v>
      </c>
      <c r="L330" s="14" t="s">
        <v>3337</v>
      </c>
      <c r="M330" s="14" t="s">
        <v>9158</v>
      </c>
      <c r="N330" s="14" t="s">
        <v>9158</v>
      </c>
      <c r="O330" s="14" t="s">
        <v>9158</v>
      </c>
      <c r="P330" s="14" t="s">
        <v>9158</v>
      </c>
      <c r="Q330" s="14" t="s">
        <v>9158</v>
      </c>
      <c r="S330" s="14" t="s">
        <v>12930</v>
      </c>
    </row>
    <row r="331" spans="1:19">
      <c r="B331" s="14"/>
      <c r="C331" s="14"/>
      <c r="D331" s="14"/>
      <c r="F331" s="14"/>
      <c r="G331" s="14"/>
      <c r="H331" s="14"/>
      <c r="I331" s="14"/>
      <c r="J331" s="14"/>
      <c r="K331" s="14"/>
      <c r="L331" s="14"/>
      <c r="M331" s="14"/>
      <c r="N331" s="14"/>
      <c r="P331" s="14"/>
      <c r="Q331" s="14"/>
      <c r="R331" s="14"/>
    </row>
    <row r="332" spans="1:19">
      <c r="A332" s="14" t="s">
        <v>4065</v>
      </c>
      <c r="D332" s="14"/>
      <c r="F332" s="14"/>
      <c r="G332" s="14"/>
      <c r="H332" s="14"/>
      <c r="I332" s="14"/>
      <c r="J332" s="14"/>
      <c r="K332" s="14"/>
      <c r="L332" s="14"/>
      <c r="M332" s="14"/>
      <c r="N332" s="14"/>
      <c r="P332" s="14"/>
      <c r="Q332" s="14"/>
      <c r="R332" s="14"/>
    </row>
    <row r="333" spans="1:19">
      <c r="A333" s="14" t="s">
        <v>4404</v>
      </c>
      <c r="B333" s="14"/>
      <c r="C333" s="14"/>
      <c r="D333" s="14"/>
      <c r="F333" s="14"/>
      <c r="G333" s="14"/>
      <c r="H333" s="14"/>
      <c r="I333" s="14"/>
      <c r="J333" s="14"/>
      <c r="K333" s="14"/>
      <c r="L333" s="14"/>
      <c r="M333" s="14"/>
      <c r="N333" s="14"/>
      <c r="P333" s="14"/>
      <c r="Q333" s="14"/>
      <c r="R333" s="14"/>
    </row>
    <row r="334" spans="1:19">
      <c r="A334" s="9" t="s">
        <v>5618</v>
      </c>
      <c r="B334" s="14" t="s">
        <v>52</v>
      </c>
      <c r="C334" s="14" t="s">
        <v>23</v>
      </c>
      <c r="D334" s="14" t="s">
        <v>83</v>
      </c>
      <c r="E334" s="15" t="str">
        <f>HYPERLINK("https://stat100.ameba.jp/tnk47/ratio20/illustrations/card/ill_63173_0_minazukikonakaiteruko03.jpg?201904-i_prefecture_active_user", "■")</f>
        <v>■</v>
      </c>
      <c r="F334" s="14" t="s">
        <v>1188</v>
      </c>
      <c r="G334" s="14">
        <v>208310</v>
      </c>
      <c r="H334" s="14">
        <v>224026</v>
      </c>
      <c r="I334" s="14">
        <v>24</v>
      </c>
      <c r="J334" s="14" t="s">
        <v>143</v>
      </c>
      <c r="K334" s="14" t="s">
        <v>1189</v>
      </c>
      <c r="L334" s="14" t="s">
        <v>1190</v>
      </c>
      <c r="M334" s="14" t="s">
        <v>9158</v>
      </c>
      <c r="N334" s="14" t="s">
        <v>9158</v>
      </c>
      <c r="O334" s="9" t="s">
        <v>3328</v>
      </c>
      <c r="P334" s="14" t="s">
        <v>3329</v>
      </c>
      <c r="Q334" s="14">
        <v>1</v>
      </c>
      <c r="R334" s="14"/>
    </row>
    <row r="335" spans="1:19">
      <c r="A335" s="9">
        <v>66353</v>
      </c>
      <c r="B335" s="14" t="s">
        <v>0</v>
      </c>
      <c r="C335" s="14" t="s">
        <v>41</v>
      </c>
      <c r="D335" s="14" t="s">
        <v>141</v>
      </c>
      <c r="E335" s="15" t="str">
        <f>HYPERLINK("https://stat100.ameba.jp/tnk47/ratio20/illustrations/card/ill_66353_kajiwaranyudotoan03.jpg?201904-i_prefecture_active_user", "■")</f>
        <v>■</v>
      </c>
      <c r="F335" s="14" t="s">
        <v>142</v>
      </c>
      <c r="G335" s="14">
        <v>146368</v>
      </c>
      <c r="H335" s="14">
        <v>106018</v>
      </c>
      <c r="I335" s="14">
        <v>22</v>
      </c>
      <c r="J335" s="14" t="s">
        <v>143</v>
      </c>
      <c r="K335" s="14" t="s">
        <v>144</v>
      </c>
      <c r="L335" s="14" t="s">
        <v>145</v>
      </c>
      <c r="M335" s="14" t="s">
        <v>9158</v>
      </c>
      <c r="N335" s="14" t="s">
        <v>9158</v>
      </c>
      <c r="O335" s="17" t="s">
        <v>10054</v>
      </c>
      <c r="P335" s="14" t="s">
        <v>3672</v>
      </c>
      <c r="Q335" s="14">
        <v>1</v>
      </c>
      <c r="R335" s="14"/>
    </row>
    <row r="336" spans="1:19">
      <c r="A336" s="9">
        <v>66143</v>
      </c>
      <c r="B336" s="14" t="s">
        <v>0</v>
      </c>
      <c r="C336" s="14" t="s">
        <v>202</v>
      </c>
      <c r="D336" s="14" t="s">
        <v>2277</v>
      </c>
      <c r="E336" s="15" t="str">
        <f>HYPERLINK("https://stat100.ameba.jp/tnk47/ratio20/illustrations/card/ill_66143_goshunenanibasarikekichan03.jpg?201904-i_prefecture_active_user", "■")</f>
        <v>■</v>
      </c>
      <c r="F336" s="14" t="s">
        <v>2278</v>
      </c>
      <c r="G336" s="14">
        <v>96610</v>
      </c>
      <c r="H336" s="14">
        <v>103896</v>
      </c>
      <c r="I336" s="14">
        <v>22</v>
      </c>
      <c r="J336" s="14" t="s">
        <v>216</v>
      </c>
      <c r="K336" s="14" t="s">
        <v>2279</v>
      </c>
      <c r="L336" s="14" t="s">
        <v>13176</v>
      </c>
      <c r="M336" s="14" t="s">
        <v>9158</v>
      </c>
      <c r="N336" s="14" t="s">
        <v>9158</v>
      </c>
      <c r="O336" s="9" t="s">
        <v>3577</v>
      </c>
      <c r="P336" s="14" t="s">
        <v>13177</v>
      </c>
      <c r="Q336" s="14">
        <v>1</v>
      </c>
      <c r="R336" s="14"/>
    </row>
    <row r="337" spans="1:18">
      <c r="A337" s="9">
        <v>68693</v>
      </c>
      <c r="B337" s="14" t="s">
        <v>334</v>
      </c>
      <c r="C337" s="14" t="s">
        <v>154</v>
      </c>
      <c r="D337" s="14" t="s">
        <v>3465</v>
      </c>
      <c r="E337" s="15" t="str">
        <f>HYPERLINK("https://stat100.ameba.jp/tnk47/ratio20/illustrations/card/ill_68693_mayoiga03.jpg?201904-i_prefecture_active_user", "■")</f>
        <v>■</v>
      </c>
      <c r="F337" s="14" t="s">
        <v>3466</v>
      </c>
      <c r="G337" s="14">
        <v>116286</v>
      </c>
      <c r="H337" s="14">
        <v>84220</v>
      </c>
      <c r="I337" s="14">
        <v>22</v>
      </c>
      <c r="J337" s="14" t="s">
        <v>73</v>
      </c>
      <c r="K337" s="14" t="s">
        <v>3467</v>
      </c>
      <c r="L337" s="14" t="s">
        <v>3468</v>
      </c>
      <c r="M337" s="14" t="s">
        <v>9158</v>
      </c>
      <c r="N337" s="14" t="s">
        <v>9158</v>
      </c>
      <c r="O337" s="9" t="s">
        <v>3469</v>
      </c>
      <c r="P337" s="14" t="s">
        <v>13128</v>
      </c>
      <c r="Q337" s="14">
        <v>1</v>
      </c>
      <c r="R337" s="14"/>
    </row>
    <row r="338" spans="1:18">
      <c r="B338" s="14"/>
      <c r="C338" s="14"/>
      <c r="D338" s="14"/>
      <c r="F338" s="14"/>
      <c r="G338" s="14"/>
      <c r="H338" s="14"/>
      <c r="I338" s="14"/>
      <c r="J338" s="14"/>
      <c r="K338" s="14"/>
      <c r="L338" s="14"/>
      <c r="M338" s="14"/>
      <c r="N338" s="14"/>
      <c r="P338" s="14"/>
      <c r="Q338" s="14"/>
      <c r="R338" s="14"/>
    </row>
    <row r="339" spans="1:18">
      <c r="A339" s="14" t="s">
        <v>195</v>
      </c>
      <c r="D339" s="14"/>
      <c r="F339" s="14"/>
      <c r="G339" s="14"/>
      <c r="H339" s="14"/>
      <c r="I339" s="14"/>
      <c r="J339" s="14"/>
      <c r="K339" s="14"/>
      <c r="L339" s="14"/>
      <c r="M339" s="14"/>
      <c r="N339" s="14"/>
      <c r="P339" s="14"/>
      <c r="Q339" s="14"/>
      <c r="R339" s="14"/>
    </row>
    <row r="340" spans="1:18">
      <c r="A340" s="14" t="s">
        <v>4400</v>
      </c>
      <c r="B340" s="14"/>
      <c r="C340" s="14"/>
      <c r="D340" s="14"/>
      <c r="F340" s="14"/>
      <c r="G340" s="14"/>
      <c r="H340" s="14"/>
      <c r="I340" s="14"/>
      <c r="J340" s="14"/>
      <c r="K340" s="14"/>
      <c r="L340" s="14"/>
      <c r="M340" s="14"/>
      <c r="N340" s="14"/>
      <c r="P340" s="14"/>
      <c r="Q340" s="14"/>
      <c r="R340" s="14"/>
    </row>
    <row r="341" spans="1:18">
      <c r="A341" s="9">
        <v>71013</v>
      </c>
      <c r="B341" s="14" t="s">
        <v>334</v>
      </c>
      <c r="C341" s="14" t="s">
        <v>154</v>
      </c>
      <c r="D341" s="14" t="s">
        <v>1229</v>
      </c>
      <c r="E341" s="15" t="str">
        <f>HYPERLINK("https://stat100.ameba.jp/tnk47/ratio20/illustrations/card/ill_71013_fujutsushisarashina03.jpg?201904-i_prefecture_active_user", "■")</f>
        <v>■</v>
      </c>
      <c r="F341" s="14" t="s">
        <v>838</v>
      </c>
      <c r="G341" s="14">
        <v>88226</v>
      </c>
      <c r="H341" s="14">
        <v>94886</v>
      </c>
      <c r="I341" s="14">
        <v>22</v>
      </c>
      <c r="J341" s="14" t="s">
        <v>155</v>
      </c>
      <c r="K341" s="14" t="s">
        <v>1231</v>
      </c>
      <c r="L341" s="14" t="s">
        <v>13152</v>
      </c>
      <c r="M341" s="14" t="s">
        <v>9158</v>
      </c>
      <c r="N341" s="14" t="s">
        <v>9158</v>
      </c>
      <c r="O341" s="14" t="s">
        <v>9158</v>
      </c>
      <c r="P341" s="14" t="s">
        <v>9158</v>
      </c>
      <c r="Q341" s="14" t="s">
        <v>9158</v>
      </c>
      <c r="R341" s="14"/>
    </row>
    <row r="342" spans="1:18">
      <c r="A342" s="9">
        <v>71023</v>
      </c>
      <c r="B342" s="14" t="s">
        <v>334</v>
      </c>
      <c r="C342" s="14" t="s">
        <v>158</v>
      </c>
      <c r="D342" s="14" t="s">
        <v>1230</v>
      </c>
      <c r="E342" s="15" t="str">
        <f>HYPERLINK("https://stat100.ameba.jp/tnk47/ratio20/illustrations/card/ill_71023_ommyojiiroha03.jpg?201904-i_prefecture_active_user", "■")</f>
        <v>■</v>
      </c>
      <c r="F342" s="14" t="s">
        <v>842</v>
      </c>
      <c r="G342" s="14">
        <v>88226</v>
      </c>
      <c r="H342" s="14">
        <v>94886</v>
      </c>
      <c r="I342" s="14">
        <v>22</v>
      </c>
      <c r="J342" s="14" t="s">
        <v>159</v>
      </c>
      <c r="K342" s="14" t="s">
        <v>1232</v>
      </c>
      <c r="L342" s="14" t="s">
        <v>1233</v>
      </c>
      <c r="M342" s="14" t="s">
        <v>9158</v>
      </c>
      <c r="N342" s="14" t="s">
        <v>9158</v>
      </c>
      <c r="O342" s="14" t="s">
        <v>9158</v>
      </c>
      <c r="P342" s="14" t="s">
        <v>9158</v>
      </c>
      <c r="Q342" s="14" t="s">
        <v>9158</v>
      </c>
      <c r="R342" s="14"/>
    </row>
    <row r="343" spans="1:18">
      <c r="A343" s="9">
        <v>64063</v>
      </c>
      <c r="B343" s="14" t="s">
        <v>334</v>
      </c>
      <c r="C343" s="14" t="s">
        <v>200</v>
      </c>
      <c r="D343" s="14" t="s">
        <v>4401</v>
      </c>
      <c r="E343" s="15" t="str">
        <f>HYPERLINK("https://stat100.ameba.jp/tnk47/ratio20/illustrations/card/ill_64063_yusuzumishinshishika03.jpg?201904-i_prefecture_active_user", "■")</f>
        <v>■</v>
      </c>
      <c r="F343" s="14" t="s">
        <v>4402</v>
      </c>
      <c r="G343" s="14">
        <v>83426</v>
      </c>
      <c r="H343" s="14">
        <v>89736</v>
      </c>
      <c r="I343" s="14">
        <v>22</v>
      </c>
      <c r="J343" s="14" t="s">
        <v>44</v>
      </c>
      <c r="K343" s="14" t="s">
        <v>4403</v>
      </c>
      <c r="L343" s="14" t="s">
        <v>965</v>
      </c>
      <c r="M343" s="14" t="s">
        <v>9158</v>
      </c>
      <c r="N343" s="14" t="s">
        <v>9158</v>
      </c>
      <c r="O343" s="14" t="s">
        <v>9158</v>
      </c>
      <c r="P343" s="14" t="s">
        <v>9158</v>
      </c>
      <c r="Q343" s="14" t="s">
        <v>9158</v>
      </c>
      <c r="R343" s="14"/>
    </row>
    <row r="344" spans="1:18">
      <c r="A344" s="9">
        <v>65923</v>
      </c>
      <c r="B344" s="14" t="s">
        <v>334</v>
      </c>
      <c r="C344" s="14" t="s">
        <v>185</v>
      </c>
      <c r="D344" s="14" t="s">
        <v>3677</v>
      </c>
      <c r="E344" s="15" t="str">
        <f>HYPERLINK("https://stat100.ameba.jp/tnk47/ratio20/illustrations/card/ill_65923_arabianginko03.jpg?201904-i_prefecture_active_user", "■")</f>
        <v>■</v>
      </c>
      <c r="F344" s="14" t="s">
        <v>3678</v>
      </c>
      <c r="G344" s="14">
        <v>91664</v>
      </c>
      <c r="H344" s="14">
        <v>85246</v>
      </c>
      <c r="I344" s="14">
        <v>22</v>
      </c>
      <c r="J344" s="14" t="s">
        <v>182</v>
      </c>
      <c r="K344" s="14" t="s">
        <v>3679</v>
      </c>
      <c r="L344" s="14" t="s">
        <v>13188</v>
      </c>
      <c r="M344" s="14" t="s">
        <v>9158</v>
      </c>
      <c r="N344" s="14" t="s">
        <v>9158</v>
      </c>
      <c r="O344" s="14" t="s">
        <v>9158</v>
      </c>
      <c r="P344" s="14" t="s">
        <v>9158</v>
      </c>
      <c r="Q344" s="14" t="s">
        <v>9158</v>
      </c>
      <c r="R344" s="14"/>
    </row>
    <row r="345" spans="1:18">
      <c r="B345" s="14"/>
      <c r="C345" s="14"/>
      <c r="D345" s="14"/>
      <c r="F345" s="14"/>
      <c r="G345" s="14"/>
      <c r="H345" s="14"/>
      <c r="I345" s="14"/>
      <c r="J345" s="14"/>
      <c r="K345" s="14"/>
      <c r="L345" s="14"/>
      <c r="M345" s="14"/>
      <c r="N345" s="14"/>
      <c r="P345" s="14"/>
      <c r="Q345" s="14"/>
      <c r="R345" s="14"/>
    </row>
    <row r="346" spans="1:18">
      <c r="A346" s="14" t="s">
        <v>4422</v>
      </c>
      <c r="D346" s="14"/>
      <c r="F346" s="14"/>
      <c r="G346" s="14"/>
      <c r="H346" s="14"/>
      <c r="I346" s="14"/>
      <c r="J346" s="14"/>
      <c r="K346" s="14"/>
      <c r="L346" s="14"/>
      <c r="M346" s="14"/>
      <c r="N346" s="14"/>
      <c r="P346" s="14"/>
      <c r="Q346" s="14"/>
      <c r="R346" s="14"/>
    </row>
    <row r="347" spans="1:18">
      <c r="A347" s="14" t="s">
        <v>4423</v>
      </c>
      <c r="B347" s="14"/>
      <c r="C347" s="14"/>
      <c r="D347" s="14"/>
      <c r="F347" s="14"/>
      <c r="G347" s="14"/>
      <c r="H347" s="14"/>
      <c r="I347" s="14"/>
      <c r="J347" s="14"/>
      <c r="K347" s="14"/>
      <c r="L347" s="14"/>
      <c r="M347" s="14"/>
      <c r="N347" s="14"/>
      <c r="P347" s="14"/>
      <c r="Q347" s="14"/>
      <c r="R347" s="14"/>
    </row>
    <row r="348" spans="1:18">
      <c r="A348" s="9" t="s">
        <v>5620</v>
      </c>
      <c r="B348" s="14" t="s">
        <v>330</v>
      </c>
      <c r="C348" s="14" t="s">
        <v>206</v>
      </c>
      <c r="D348" s="14" t="s">
        <v>2042</v>
      </c>
      <c r="E348" s="15" t="str">
        <f>HYPERLINK("https://stat100.ameba.jp/tnk47/ratio20/illustrations/card/ill_67173_0_yukemuriawamorichan03.jpg?201904-i_prefecture_active_user", "■")</f>
        <v>■</v>
      </c>
      <c r="F348" s="14" t="s">
        <v>670</v>
      </c>
      <c r="G348" s="14">
        <v>115249</v>
      </c>
      <c r="H348" s="14">
        <v>107146</v>
      </c>
      <c r="I348" s="14">
        <v>15</v>
      </c>
      <c r="J348" s="14" t="s">
        <v>283</v>
      </c>
      <c r="K348" s="14" t="s">
        <v>671</v>
      </c>
      <c r="L348" s="14" t="s">
        <v>672</v>
      </c>
      <c r="M348" s="14" t="s">
        <v>9158</v>
      </c>
      <c r="N348" s="14" t="s">
        <v>9158</v>
      </c>
      <c r="O348" s="17" t="s">
        <v>10061</v>
      </c>
      <c r="P348" s="14" t="s">
        <v>3455</v>
      </c>
      <c r="Q348" s="14">
        <v>1</v>
      </c>
      <c r="R348" s="14"/>
    </row>
    <row r="349" spans="1:18">
      <c r="A349" s="9" t="s">
        <v>5848</v>
      </c>
      <c r="B349" s="14" t="s">
        <v>330</v>
      </c>
      <c r="C349" s="14" t="s">
        <v>200</v>
      </c>
      <c r="D349" s="14" t="s">
        <v>1138</v>
      </c>
      <c r="E349" s="15" t="str">
        <f>HYPERLINK("https://stat100.ameba.jp/tnk47/ratio20/illustrations/card/ill_72963_0_amenohanayomehiguchiichiyo03.jpg?201904-i_prefecture_active_user", "■")</f>
        <v>■</v>
      </c>
      <c r="F349" s="14" t="s">
        <v>1139</v>
      </c>
      <c r="G349" s="14">
        <v>100502</v>
      </c>
      <c r="H349" s="14">
        <v>93450</v>
      </c>
      <c r="I349" s="14">
        <v>15</v>
      </c>
      <c r="J349" s="14" t="s">
        <v>173</v>
      </c>
      <c r="K349" s="14" t="s">
        <v>1140</v>
      </c>
      <c r="L349" s="14" t="s">
        <v>1141</v>
      </c>
      <c r="M349" s="14" t="s">
        <v>9158</v>
      </c>
      <c r="N349" s="14" t="s">
        <v>9158</v>
      </c>
      <c r="O349" s="9" t="s">
        <v>3409</v>
      </c>
      <c r="P349" s="14" t="s">
        <v>3410</v>
      </c>
      <c r="Q349" s="14">
        <v>1</v>
      </c>
      <c r="R349" s="14"/>
    </row>
    <row r="350" spans="1:18">
      <c r="A350" s="9" t="s">
        <v>5622</v>
      </c>
      <c r="B350" s="14" t="s">
        <v>330</v>
      </c>
      <c r="C350" s="14" t="s">
        <v>335</v>
      </c>
      <c r="D350" s="14" t="s">
        <v>509</v>
      </c>
      <c r="E350" s="15" t="str">
        <f>HYPERLINK("https://stat100.ameba.jp/tnk47/ratio20/illustrations/card/ill_49953_0_yushamarihime03.jpg?201904-i_prefecture_active_user", "■")</f>
        <v>■</v>
      </c>
      <c r="F350" s="14" t="s">
        <v>510</v>
      </c>
      <c r="G350" s="14">
        <v>94236</v>
      </c>
      <c r="H350" s="14">
        <v>83712</v>
      </c>
      <c r="I350" s="14">
        <v>15</v>
      </c>
      <c r="J350" s="14" t="s">
        <v>315</v>
      </c>
      <c r="K350" s="14" t="s">
        <v>511</v>
      </c>
      <c r="L350" s="14" t="s">
        <v>512</v>
      </c>
      <c r="M350" s="14" t="s">
        <v>9158</v>
      </c>
      <c r="N350" s="14" t="s">
        <v>9158</v>
      </c>
      <c r="O350" s="14" t="s">
        <v>9158</v>
      </c>
      <c r="P350" s="14" t="s">
        <v>9158</v>
      </c>
      <c r="Q350" s="14" t="s">
        <v>9158</v>
      </c>
      <c r="R350" s="14"/>
    </row>
    <row r="351" spans="1:18">
      <c r="A351" s="9">
        <v>81013</v>
      </c>
      <c r="B351" s="14" t="s">
        <v>334</v>
      </c>
      <c r="C351" s="14" t="s">
        <v>267</v>
      </c>
      <c r="D351" s="14" t="s">
        <v>4412</v>
      </c>
      <c r="E351" s="15" t="str">
        <f>HYPERLINK("https://stat100.ameba.jp/tnk47/ratio20/illustrations/card/ill_81013_furudenshagoshikihime03.jpg?201904-i_prefecture_active_user", "■")</f>
        <v>■</v>
      </c>
      <c r="F351" s="14" t="s">
        <v>4413</v>
      </c>
      <c r="G351" s="14">
        <v>129501</v>
      </c>
      <c r="H351" s="14">
        <v>72883</v>
      </c>
      <c r="I351" s="14">
        <v>23</v>
      </c>
      <c r="J351" s="14" t="s">
        <v>38</v>
      </c>
      <c r="K351" s="14" t="s">
        <v>4414</v>
      </c>
      <c r="L351" s="14" t="s">
        <v>2557</v>
      </c>
      <c r="M351" s="14" t="s">
        <v>9158</v>
      </c>
      <c r="N351" s="14" t="s">
        <v>9158</v>
      </c>
      <c r="O351" s="14" t="s">
        <v>9158</v>
      </c>
      <c r="P351" s="14" t="s">
        <v>9158</v>
      </c>
      <c r="Q351" s="14" t="s">
        <v>9158</v>
      </c>
      <c r="R351" s="14"/>
    </row>
    <row r="352" spans="1:18">
      <c r="A352" s="9">
        <v>69133</v>
      </c>
      <c r="B352" s="14" t="s">
        <v>334</v>
      </c>
      <c r="C352" s="14" t="s">
        <v>14</v>
      </c>
      <c r="D352" s="14" t="s">
        <v>4415</v>
      </c>
      <c r="E352" s="15" t="str">
        <f>HYPERLINK("https://stat100.ameba.jp/tnk47/ratio20/illustrations/card/ill_69133_payokakamui03.jpg?201904-i_prefecture_active_user", "■")</f>
        <v>■</v>
      </c>
      <c r="F352" s="14" t="s">
        <v>4416</v>
      </c>
      <c r="G352" s="14">
        <v>95707</v>
      </c>
      <c r="H352" s="14">
        <v>53842</v>
      </c>
      <c r="I352" s="14">
        <v>19</v>
      </c>
      <c r="J352" s="14" t="s">
        <v>44</v>
      </c>
      <c r="K352" s="14" t="s">
        <v>4417</v>
      </c>
      <c r="L352" s="14" t="s">
        <v>4418</v>
      </c>
      <c r="M352" s="14" t="s">
        <v>9158</v>
      </c>
      <c r="N352" s="14" t="s">
        <v>9158</v>
      </c>
      <c r="O352" s="14" t="s">
        <v>9158</v>
      </c>
      <c r="P352" s="14" t="s">
        <v>9158</v>
      </c>
      <c r="Q352" s="14" t="s">
        <v>9158</v>
      </c>
      <c r="R352" s="14"/>
    </row>
    <row r="353" spans="1:18">
      <c r="A353" s="9">
        <v>75463</v>
      </c>
      <c r="B353" s="14" t="s">
        <v>334</v>
      </c>
      <c r="C353" s="14" t="s">
        <v>308</v>
      </c>
      <c r="D353" s="14" t="s">
        <v>4419</v>
      </c>
      <c r="E353" s="15" t="str">
        <f>HYPERLINK("https://stat100.ameba.jp/tnk47/ratio20/illustrations/card/ill_75463_kiiui03.jpg?201904-i_prefecture_active_user", "■")</f>
        <v>■</v>
      </c>
      <c r="F353" s="14" t="s">
        <v>4420</v>
      </c>
      <c r="G353" s="14">
        <v>86556</v>
      </c>
      <c r="H353" s="14">
        <v>80476</v>
      </c>
      <c r="I353" s="14">
        <v>19</v>
      </c>
      <c r="J353" s="14" t="s">
        <v>26</v>
      </c>
      <c r="K353" s="14" t="s">
        <v>4421</v>
      </c>
      <c r="L353" s="14" t="s">
        <v>1086</v>
      </c>
      <c r="M353" s="14" t="s">
        <v>9158</v>
      </c>
      <c r="N353" s="14" t="s">
        <v>9158</v>
      </c>
      <c r="O353" s="14" t="s">
        <v>9158</v>
      </c>
      <c r="P353" s="14" t="s">
        <v>9158</v>
      </c>
      <c r="Q353" s="14" t="s">
        <v>9158</v>
      </c>
      <c r="R353" s="14"/>
    </row>
    <row r="354" spans="1:18">
      <c r="A354" s="9">
        <v>65863</v>
      </c>
      <c r="B354" s="14" t="s">
        <v>348</v>
      </c>
      <c r="C354" s="14" t="s">
        <v>191</v>
      </c>
      <c r="D354" s="14" t="s">
        <v>2905</v>
      </c>
      <c r="E354" s="15" t="str">
        <f>HYPERLINK("https://stat100.ameba.jp/tnk47/ratio20/illustrations/card/ill_65863_jokyurengeso03.jpg?201904-i_prefecture_active_user", "■")</f>
        <v>■</v>
      </c>
      <c r="F354" s="14" t="s">
        <v>2906</v>
      </c>
      <c r="G354" s="14">
        <v>56316</v>
      </c>
      <c r="H354" s="14">
        <v>51078</v>
      </c>
      <c r="I354" s="14">
        <v>19</v>
      </c>
      <c r="J354" s="14" t="s">
        <v>369</v>
      </c>
      <c r="K354" s="14" t="s">
        <v>2907</v>
      </c>
      <c r="L354" s="14" t="s">
        <v>2908</v>
      </c>
      <c r="M354" s="14" t="s">
        <v>9158</v>
      </c>
      <c r="N354" s="14" t="s">
        <v>9158</v>
      </c>
      <c r="O354" s="14" t="s">
        <v>9158</v>
      </c>
      <c r="P354" s="14" t="s">
        <v>9158</v>
      </c>
      <c r="Q354" s="14" t="s">
        <v>9158</v>
      </c>
      <c r="R354" s="14"/>
    </row>
    <row r="355" spans="1:18">
      <c r="A355" s="9">
        <v>65323</v>
      </c>
      <c r="B355" s="14" t="s">
        <v>348</v>
      </c>
      <c r="C355" s="14" t="s">
        <v>96</v>
      </c>
      <c r="D355" s="14" t="s">
        <v>4406</v>
      </c>
      <c r="E355" s="15" t="str">
        <f>HYPERLINK("https://stat100.ameba.jp/tnk47/ratio20/illustrations/card/ill_65323_viranzutoyotomihideyori03.jpg?201904-i_prefecture_active_user", "■")</f>
        <v>■</v>
      </c>
      <c r="F355" s="14" t="s">
        <v>4407</v>
      </c>
      <c r="G355" s="14">
        <v>56316</v>
      </c>
      <c r="H355" s="14">
        <v>51078</v>
      </c>
      <c r="I355" s="14">
        <v>19</v>
      </c>
      <c r="J355" s="14" t="s">
        <v>143</v>
      </c>
      <c r="K355" s="14" t="s">
        <v>4408</v>
      </c>
      <c r="L355" s="14" t="s">
        <v>3524</v>
      </c>
      <c r="M355" s="14" t="s">
        <v>9158</v>
      </c>
      <c r="N355" s="14" t="s">
        <v>9158</v>
      </c>
      <c r="O355" s="14" t="s">
        <v>9158</v>
      </c>
      <c r="P355" s="14" t="s">
        <v>9158</v>
      </c>
      <c r="Q355" s="14" t="s">
        <v>9158</v>
      </c>
      <c r="R355" s="14"/>
    </row>
    <row r="356" spans="1:18">
      <c r="A356" s="9">
        <v>71953</v>
      </c>
      <c r="B356" s="14" t="s">
        <v>348</v>
      </c>
      <c r="C356" s="14" t="s">
        <v>1</v>
      </c>
      <c r="D356" s="14" t="s">
        <v>4409</v>
      </c>
      <c r="E356" s="15" t="str">
        <f>HYPERLINK("https://stat100.ameba.jp/tnk47/ratio20/illustrations/card/ill_71953_tenshikannabiyama03.jpg?201904-i_prefecture_active_user", "■")</f>
        <v>■</v>
      </c>
      <c r="F356" s="14" t="s">
        <v>4410</v>
      </c>
      <c r="G356" s="14">
        <v>56316</v>
      </c>
      <c r="H356" s="14">
        <v>51078</v>
      </c>
      <c r="I356" s="14">
        <v>19</v>
      </c>
      <c r="J356" s="14" t="s">
        <v>44</v>
      </c>
      <c r="K356" s="14" t="s">
        <v>4411</v>
      </c>
      <c r="L356" s="14" t="s">
        <v>3271</v>
      </c>
      <c r="M356" s="14" t="s">
        <v>9158</v>
      </c>
      <c r="N356" s="14" t="s">
        <v>9158</v>
      </c>
      <c r="O356" s="14" t="s">
        <v>9158</v>
      </c>
      <c r="P356" s="14" t="s">
        <v>9158</v>
      </c>
      <c r="Q356" s="14" t="s">
        <v>9158</v>
      </c>
      <c r="R356" s="14"/>
    </row>
    <row r="357" spans="1:18">
      <c r="B357" s="14"/>
      <c r="C357" s="14"/>
      <c r="D357" s="14"/>
      <c r="F357" s="14"/>
      <c r="G357" s="14"/>
      <c r="H357" s="14"/>
      <c r="I357" s="14"/>
      <c r="J357" s="14"/>
      <c r="K357" s="14"/>
      <c r="L357" s="14"/>
      <c r="M357" s="14"/>
      <c r="N357" s="14"/>
      <c r="P357" s="14"/>
      <c r="Q357" s="14"/>
      <c r="R357" s="14"/>
    </row>
    <row r="358" spans="1:18">
      <c r="A358" s="14" t="s">
        <v>13326</v>
      </c>
      <c r="D358" s="14"/>
      <c r="F358" s="14"/>
      <c r="G358" s="14"/>
      <c r="H358" s="14"/>
      <c r="I358" s="14"/>
      <c r="J358" s="14"/>
      <c r="K358" s="14"/>
      <c r="L358" s="14"/>
      <c r="M358" s="14"/>
      <c r="N358" s="14"/>
      <c r="P358" s="14"/>
      <c r="Q358" s="14"/>
      <c r="R358" s="14"/>
    </row>
    <row r="359" spans="1:18">
      <c r="A359" s="14" t="s">
        <v>4405</v>
      </c>
      <c r="B359" s="14"/>
      <c r="C359" s="14"/>
      <c r="D359" s="14"/>
      <c r="F359" s="14"/>
      <c r="G359" s="14"/>
      <c r="H359" s="14"/>
      <c r="I359" s="14"/>
      <c r="J359" s="14"/>
      <c r="K359" s="14"/>
      <c r="L359" s="14"/>
      <c r="M359" s="14"/>
      <c r="N359" s="14"/>
      <c r="P359" s="14"/>
      <c r="Q359" s="14"/>
      <c r="R359" s="14"/>
    </row>
    <row r="360" spans="1:18">
      <c r="A360" s="9">
        <v>70073</v>
      </c>
      <c r="B360" s="14" t="s">
        <v>334</v>
      </c>
      <c r="C360" s="14" t="s">
        <v>185</v>
      </c>
      <c r="D360" s="14" t="s">
        <v>859</v>
      </c>
      <c r="E360" s="15" t="str">
        <f>HYPERLINK("https://stat100.ameba.jp/tnk47/ratio20/illustrations/card/ill_70073_muhime03.jpg?201904-i_prefecture_active_user", "■")</f>
        <v>■</v>
      </c>
      <c r="F360" s="14" t="s">
        <v>860</v>
      </c>
      <c r="G360" s="14">
        <v>105275</v>
      </c>
      <c r="H360" s="14">
        <v>113230</v>
      </c>
      <c r="I360" s="14">
        <v>23</v>
      </c>
      <c r="J360" s="14" t="s">
        <v>315</v>
      </c>
      <c r="K360" s="14" t="s">
        <v>861</v>
      </c>
      <c r="L360" s="14" t="s">
        <v>862</v>
      </c>
      <c r="M360" s="14" t="s">
        <v>250</v>
      </c>
      <c r="N360" s="14" t="s">
        <v>251</v>
      </c>
      <c r="O360" s="14" t="s">
        <v>9158</v>
      </c>
      <c r="P360" s="14" t="s">
        <v>9158</v>
      </c>
      <c r="Q360" s="14" t="s">
        <v>9158</v>
      </c>
      <c r="R360" s="14"/>
    </row>
    <row r="361" spans="1:18">
      <c r="A361" s="9">
        <v>70072</v>
      </c>
      <c r="B361" s="14" t="s">
        <v>334</v>
      </c>
      <c r="C361" s="14" t="s">
        <v>185</v>
      </c>
      <c r="D361" s="14" t="s">
        <v>859</v>
      </c>
      <c r="E361" s="15" t="str">
        <f>HYPERLINK("https://stat100.ameba.jp/tnk47/ratio20/illustrations/card/ill_70072_muhime02.jpg?201904-i_prefecture_active_user", "■")</f>
        <v>■</v>
      </c>
      <c r="F361" s="14" t="s">
        <v>860</v>
      </c>
      <c r="G361" s="14">
        <v>87192</v>
      </c>
      <c r="H361" s="14">
        <v>94653</v>
      </c>
      <c r="I361" s="14">
        <v>23</v>
      </c>
      <c r="J361" s="14" t="s">
        <v>315</v>
      </c>
      <c r="K361" s="14" t="s">
        <v>861</v>
      </c>
      <c r="L361" s="14" t="s">
        <v>862</v>
      </c>
      <c r="M361" s="14" t="s">
        <v>250</v>
      </c>
      <c r="N361" s="14" t="s">
        <v>251</v>
      </c>
      <c r="O361" s="14" t="s">
        <v>9158</v>
      </c>
      <c r="P361" s="14" t="s">
        <v>9158</v>
      </c>
      <c r="Q361" s="14" t="s">
        <v>9158</v>
      </c>
      <c r="R361" s="14"/>
    </row>
    <row r="362" spans="1:18">
      <c r="A362" s="9">
        <v>70071</v>
      </c>
      <c r="B362" s="14" t="s">
        <v>334</v>
      </c>
      <c r="C362" s="14" t="s">
        <v>185</v>
      </c>
      <c r="D362" s="14" t="s">
        <v>859</v>
      </c>
      <c r="E362" s="15" t="str">
        <f>HYPERLINK("https://stat100.ameba.jp/tnk47/ratio20/illustrations/card/ill_70071_muhime01.jpg?201904-i_prefecture_active_user", "■")</f>
        <v>■</v>
      </c>
      <c r="F362" s="14" t="s">
        <v>860</v>
      </c>
      <c r="G362" s="14">
        <v>67275</v>
      </c>
      <c r="H362" s="14">
        <v>72266</v>
      </c>
      <c r="I362" s="14">
        <v>23</v>
      </c>
      <c r="J362" s="14" t="s">
        <v>315</v>
      </c>
      <c r="K362" s="14" t="s">
        <v>861</v>
      </c>
      <c r="L362" s="14" t="s">
        <v>862</v>
      </c>
      <c r="M362" s="14" t="s">
        <v>250</v>
      </c>
      <c r="N362" s="14" t="s">
        <v>251</v>
      </c>
      <c r="O362" s="14" t="s">
        <v>9158</v>
      </c>
      <c r="P362" s="14" t="s">
        <v>9158</v>
      </c>
      <c r="Q362" s="14" t="s">
        <v>9158</v>
      </c>
      <c r="R362" s="14"/>
    </row>
    <row r="363" spans="1:18">
      <c r="A363" s="9">
        <v>70083</v>
      </c>
      <c r="B363" s="14" t="s">
        <v>334</v>
      </c>
      <c r="C363" s="14" t="s">
        <v>200</v>
      </c>
      <c r="D363" s="14" t="s">
        <v>252</v>
      </c>
      <c r="E363" s="15" t="str">
        <f>HYPERLINK("https://stat100.ameba.jp/tnk47/ratio20/illustrations/card/ill_70083_kimurakaishu03.jpg?201904-i_prefecture_active_user", "■")</f>
        <v>■</v>
      </c>
      <c r="F363" s="14" t="s">
        <v>863</v>
      </c>
      <c r="G363" s="14">
        <v>113230</v>
      </c>
      <c r="H363" s="14">
        <v>105275</v>
      </c>
      <c r="I363" s="14">
        <v>23</v>
      </c>
      <c r="J363" s="14" t="s">
        <v>173</v>
      </c>
      <c r="K363" s="14" t="s">
        <v>257</v>
      </c>
      <c r="L363" s="14" t="s">
        <v>9897</v>
      </c>
      <c r="M363" s="14" t="s">
        <v>250</v>
      </c>
      <c r="N363" s="14" t="s">
        <v>251</v>
      </c>
      <c r="O363" s="14" t="s">
        <v>9158</v>
      </c>
      <c r="P363" s="14" t="s">
        <v>9158</v>
      </c>
      <c r="Q363" s="14" t="s">
        <v>9158</v>
      </c>
      <c r="R363" s="14"/>
    </row>
    <row r="364" spans="1:18">
      <c r="A364" s="9">
        <v>70923</v>
      </c>
      <c r="B364" s="14" t="s">
        <v>334</v>
      </c>
      <c r="C364" s="14" t="s">
        <v>191</v>
      </c>
      <c r="D364" s="14" t="s">
        <v>253</v>
      </c>
      <c r="E364" s="15" t="str">
        <f>HYPERLINK("https://stat100.ameba.jp/tnk47/ratio20/illustrations/card/ill_70923_hidawagyu03.jpg?201904-i_prefecture_active_user", "■")</f>
        <v>■</v>
      </c>
      <c r="F364" s="14" t="s">
        <v>864</v>
      </c>
      <c r="G364" s="14">
        <v>113230</v>
      </c>
      <c r="H364" s="14">
        <v>105275</v>
      </c>
      <c r="I364" s="14">
        <v>23</v>
      </c>
      <c r="J364" s="14" t="s">
        <v>216</v>
      </c>
      <c r="K364" s="14" t="s">
        <v>258</v>
      </c>
      <c r="L364" s="14" t="s">
        <v>9898</v>
      </c>
      <c r="M364" s="14" t="s">
        <v>250</v>
      </c>
      <c r="N364" s="14" t="s">
        <v>251</v>
      </c>
      <c r="O364" s="14" t="s">
        <v>9158</v>
      </c>
      <c r="P364" s="14" t="s">
        <v>9158</v>
      </c>
      <c r="Q364" s="14" t="s">
        <v>9158</v>
      </c>
      <c r="R364" s="14"/>
    </row>
    <row r="365" spans="1:18">
      <c r="A365" s="9">
        <v>70093</v>
      </c>
      <c r="B365" s="14" t="s">
        <v>334</v>
      </c>
      <c r="C365" s="14" t="s">
        <v>308</v>
      </c>
      <c r="D365" s="14" t="s">
        <v>254</v>
      </c>
      <c r="E365" s="15" t="str">
        <f>HYPERLINK("https://stat100.ameba.jp/tnk47/ratio20/illustrations/card/ill_70093_sarutahikonookami03.jpg?201904-i_prefecture_active_user", "■")</f>
        <v>■</v>
      </c>
      <c r="F365" s="14" t="s">
        <v>865</v>
      </c>
      <c r="G365" s="14">
        <v>105275</v>
      </c>
      <c r="H365" s="14">
        <v>113230</v>
      </c>
      <c r="I365" s="14">
        <v>23</v>
      </c>
      <c r="J365" s="14" t="s">
        <v>169</v>
      </c>
      <c r="K365" s="14" t="s">
        <v>259</v>
      </c>
      <c r="L365" s="14" t="s">
        <v>9899</v>
      </c>
      <c r="M365" s="14" t="s">
        <v>250</v>
      </c>
      <c r="N365" s="14" t="s">
        <v>251</v>
      </c>
      <c r="O365" s="14" t="s">
        <v>9158</v>
      </c>
      <c r="P365" s="14" t="s">
        <v>9158</v>
      </c>
      <c r="Q365" s="14" t="s">
        <v>9158</v>
      </c>
      <c r="R365" s="14"/>
    </row>
    <row r="366" spans="1:18">
      <c r="A366" s="9">
        <v>70933</v>
      </c>
      <c r="B366" s="14" t="s">
        <v>334</v>
      </c>
      <c r="C366" s="14" t="s">
        <v>267</v>
      </c>
      <c r="D366" s="14" t="s">
        <v>255</v>
      </c>
      <c r="E366" s="15" t="str">
        <f>HYPERLINK("https://stat100.ameba.jp/tnk47/ratio20/illustrations/card/ill_70933_zenigatasunae03.jpg?201904-i_prefecture_active_user", "■")</f>
        <v>■</v>
      </c>
      <c r="F366" s="14" t="s">
        <v>866</v>
      </c>
      <c r="G366" s="14">
        <v>105275</v>
      </c>
      <c r="H366" s="14">
        <v>113230</v>
      </c>
      <c r="I366" s="14">
        <v>23</v>
      </c>
      <c r="J366" s="14" t="s">
        <v>229</v>
      </c>
      <c r="K366" s="14" t="s">
        <v>260</v>
      </c>
      <c r="L366" s="14" t="s">
        <v>9900</v>
      </c>
      <c r="M366" s="14" t="s">
        <v>250</v>
      </c>
      <c r="N366" s="14" t="s">
        <v>251</v>
      </c>
      <c r="O366" s="14" t="s">
        <v>9158</v>
      </c>
      <c r="P366" s="14" t="s">
        <v>9158</v>
      </c>
      <c r="Q366" s="14" t="s">
        <v>9158</v>
      </c>
      <c r="R366" s="14"/>
    </row>
    <row r="367" spans="1:18">
      <c r="A367" s="9">
        <v>70943</v>
      </c>
      <c r="B367" s="14" t="s">
        <v>334</v>
      </c>
      <c r="C367" s="14" t="s">
        <v>344</v>
      </c>
      <c r="D367" s="14" t="s">
        <v>256</v>
      </c>
      <c r="E367" s="15" t="str">
        <f>HYPERLINK("https://stat100.ameba.jp/tnk47/ratio20/illustrations/card/ill_70943_tengunokakuremino03.jpg?201904-i_prefecture_active_user", "■")</f>
        <v>■</v>
      </c>
      <c r="F367" s="14" t="s">
        <v>867</v>
      </c>
      <c r="G367" s="14">
        <v>113230</v>
      </c>
      <c r="H367" s="14">
        <v>105275</v>
      </c>
      <c r="I367" s="14">
        <v>23</v>
      </c>
      <c r="J367" s="14" t="s">
        <v>155</v>
      </c>
      <c r="K367" s="14" t="s">
        <v>261</v>
      </c>
      <c r="L367" s="14" t="s">
        <v>9901</v>
      </c>
      <c r="M367" s="14" t="s">
        <v>250</v>
      </c>
      <c r="N367" s="14" t="s">
        <v>251</v>
      </c>
      <c r="O367" s="14" t="s">
        <v>9158</v>
      </c>
      <c r="P367" s="14" t="s">
        <v>9158</v>
      </c>
      <c r="Q367" s="14" t="s">
        <v>9158</v>
      </c>
      <c r="R367" s="14"/>
    </row>
    <row r="368" spans="1:18">
      <c r="B368" s="14"/>
      <c r="C368" s="14"/>
      <c r="D368" s="14"/>
      <c r="F368" s="14"/>
      <c r="G368" s="14"/>
      <c r="H368" s="14"/>
      <c r="I368" s="14"/>
      <c r="J368" s="14"/>
      <c r="K368" s="14"/>
      <c r="L368" s="14"/>
      <c r="M368" s="14"/>
      <c r="N368" s="14"/>
      <c r="P368" s="14"/>
      <c r="Q368" s="14"/>
      <c r="R368" s="14"/>
    </row>
    <row r="369" spans="1:18">
      <c r="A369" s="14" t="s">
        <v>3911</v>
      </c>
      <c r="D369" s="14"/>
      <c r="F369" s="14"/>
      <c r="G369" s="14"/>
      <c r="H369" s="14"/>
      <c r="I369" s="14"/>
      <c r="J369" s="14"/>
      <c r="K369" s="14"/>
      <c r="L369" s="14"/>
      <c r="M369" s="14"/>
      <c r="N369" s="14"/>
      <c r="P369" s="14"/>
      <c r="Q369" s="14"/>
      <c r="R369" s="14"/>
    </row>
    <row r="370" spans="1:18">
      <c r="A370" s="14" t="s">
        <v>4424</v>
      </c>
      <c r="B370" s="14"/>
      <c r="C370" s="14"/>
      <c r="D370" s="14"/>
      <c r="F370" s="14"/>
      <c r="G370" s="14"/>
      <c r="H370" s="14"/>
      <c r="I370" s="14"/>
      <c r="J370" s="14"/>
      <c r="K370" s="14"/>
      <c r="L370" s="14"/>
      <c r="M370" s="14"/>
      <c r="N370" s="14"/>
      <c r="P370" s="14"/>
      <c r="Q370" s="14"/>
      <c r="R370" s="14"/>
    </row>
    <row r="371" spans="1:18">
      <c r="A371" s="9" t="s">
        <v>5602</v>
      </c>
      <c r="B371" s="14" t="s">
        <v>52</v>
      </c>
      <c r="C371" s="14" t="s">
        <v>14</v>
      </c>
      <c r="D371" s="14" t="s">
        <v>2093</v>
      </c>
      <c r="E371" s="15" t="str">
        <f>HYPERLINK("https://stat100.ameba.jp/tnk47/ratio20/illustrations/card/ill_55313_0_haroinononokomachi03.jpg?201904-5-RELEASE-marathon-406", "■")</f>
        <v>■</v>
      </c>
      <c r="F371" s="14" t="s">
        <v>2094</v>
      </c>
      <c r="G371" s="14">
        <v>131930</v>
      </c>
      <c r="H371" s="14">
        <v>117196</v>
      </c>
      <c r="I371" s="14">
        <v>21</v>
      </c>
      <c r="J371" s="14" t="s">
        <v>10</v>
      </c>
      <c r="K371" s="14" t="s">
        <v>2095</v>
      </c>
      <c r="L371" s="14" t="s">
        <v>2096</v>
      </c>
      <c r="M371" s="14" t="s">
        <v>9158</v>
      </c>
      <c r="N371" s="14" t="s">
        <v>9158</v>
      </c>
      <c r="O371" s="9" t="s">
        <v>2733</v>
      </c>
      <c r="P371" s="14" t="s">
        <v>2734</v>
      </c>
      <c r="Q371" s="14">
        <v>1</v>
      </c>
      <c r="R371" s="14"/>
    </row>
    <row r="372" spans="1:18">
      <c r="A372" s="9" t="s">
        <v>5614</v>
      </c>
      <c r="B372" s="14" t="s">
        <v>330</v>
      </c>
      <c r="C372" s="14" t="s">
        <v>205</v>
      </c>
      <c r="D372" s="14" t="s">
        <v>313</v>
      </c>
      <c r="E372" s="15" t="str">
        <f>HYPERLINK("https://stat100.ameba.jp/tnk47/ratio20/illustrations/card/ill_56223_0_onsempanikkugohime03.jpg?201904-5-RELEASE-marathon-406", "■")</f>
        <v>■</v>
      </c>
      <c r="F372" s="14" t="s">
        <v>314</v>
      </c>
      <c r="G372" s="14">
        <v>117196</v>
      </c>
      <c r="H372" s="14">
        <v>131930</v>
      </c>
      <c r="I372" s="14">
        <v>21</v>
      </c>
      <c r="J372" s="14" t="s">
        <v>315</v>
      </c>
      <c r="K372" s="14" t="s">
        <v>316</v>
      </c>
      <c r="L372" s="14" t="s">
        <v>317</v>
      </c>
      <c r="M372" s="14" t="s">
        <v>9158</v>
      </c>
      <c r="N372" s="14" t="s">
        <v>9158</v>
      </c>
      <c r="O372" s="9" t="s">
        <v>3021</v>
      </c>
      <c r="P372" s="14" t="s">
        <v>2890</v>
      </c>
      <c r="Q372" s="14">
        <v>1</v>
      </c>
      <c r="R372" s="14"/>
    </row>
    <row r="373" spans="1:18">
      <c r="A373" s="9">
        <v>78873</v>
      </c>
      <c r="B373" s="14" t="s">
        <v>334</v>
      </c>
      <c r="C373" s="14" t="s">
        <v>209</v>
      </c>
      <c r="D373" s="14" t="s">
        <v>2818</v>
      </c>
      <c r="E373" s="15" t="str">
        <f>HYPERLINK("https://stat100.ameba.jp/tnk47/ratio20/illustrations/card/ill_78873_furutsutomato03.jpg?201904-5-RELEASE-marathon-406", "■")</f>
        <v>■</v>
      </c>
      <c r="F373" s="14" t="s">
        <v>2819</v>
      </c>
      <c r="G373" s="14">
        <v>91876</v>
      </c>
      <c r="H373" s="14">
        <v>126858</v>
      </c>
      <c r="I373" s="14">
        <v>24</v>
      </c>
      <c r="J373" s="14" t="s">
        <v>283</v>
      </c>
      <c r="K373" s="14" t="s">
        <v>2820</v>
      </c>
      <c r="L373" s="14" t="s">
        <v>2821</v>
      </c>
      <c r="M373" s="14" t="s">
        <v>9158</v>
      </c>
      <c r="N373" s="14" t="s">
        <v>9158</v>
      </c>
      <c r="O373" s="17" t="s">
        <v>10053</v>
      </c>
      <c r="P373" s="14" t="s">
        <v>2822</v>
      </c>
      <c r="Q373" s="14">
        <v>1</v>
      </c>
      <c r="R373" s="14"/>
    </row>
    <row r="374" spans="1:18">
      <c r="A374" s="9">
        <v>67943</v>
      </c>
      <c r="B374" s="14" t="s">
        <v>0</v>
      </c>
      <c r="C374" s="14" t="s">
        <v>209</v>
      </c>
      <c r="D374" s="14" t="s">
        <v>1780</v>
      </c>
      <c r="E374" s="15" t="str">
        <f>HYPERLINK("https://stat100.ameba.jp/tnk47/ratio20/illustrations/card/ill_67943_hoshinamasayuki03.jpg?201904-5-RELEASE-marathon-406", "■")</f>
        <v>■</v>
      </c>
      <c r="F374" s="14" t="s">
        <v>1781</v>
      </c>
      <c r="G374" s="14">
        <v>65335</v>
      </c>
      <c r="H374" s="14">
        <v>60733</v>
      </c>
      <c r="I374" s="14">
        <v>21</v>
      </c>
      <c r="J374" s="14" t="s">
        <v>10</v>
      </c>
      <c r="K374" s="14" t="s">
        <v>1782</v>
      </c>
      <c r="L374" s="14" t="s">
        <v>1783</v>
      </c>
      <c r="M374" s="14" t="s">
        <v>9158</v>
      </c>
      <c r="N374" s="14" t="s">
        <v>9158</v>
      </c>
      <c r="O374" s="14" t="s">
        <v>9158</v>
      </c>
      <c r="P374" s="14" t="s">
        <v>9158</v>
      </c>
      <c r="Q374" s="14" t="s">
        <v>9158</v>
      </c>
      <c r="R374" s="14"/>
    </row>
    <row r="375" spans="1:18">
      <c r="A375" s="9">
        <v>73103</v>
      </c>
      <c r="B375" s="14" t="s">
        <v>334</v>
      </c>
      <c r="C375" s="14" t="s">
        <v>203</v>
      </c>
      <c r="D375" s="14" t="s">
        <v>3557</v>
      </c>
      <c r="E375" s="15" t="str">
        <f>HYPERLINK("https://stat100.ameba.jp/tnk47/ratio20/illustrations/card/ill_73103_nominookata03.jpg?201904-5-RELEASE-marathon-406", "■")</f>
        <v>■</v>
      </c>
      <c r="F375" s="14" t="s">
        <v>2106</v>
      </c>
      <c r="G375" s="14">
        <v>66487</v>
      </c>
      <c r="H375" s="14">
        <v>91779</v>
      </c>
      <c r="I375" s="14">
        <v>21</v>
      </c>
      <c r="J375" s="14" t="s">
        <v>187</v>
      </c>
      <c r="K375" s="14" t="s">
        <v>3558</v>
      </c>
      <c r="L375" s="14" t="s">
        <v>13142</v>
      </c>
      <c r="M375" s="14" t="s">
        <v>9158</v>
      </c>
      <c r="N375" s="14" t="s">
        <v>9158</v>
      </c>
      <c r="O375" s="9" t="s">
        <v>2717</v>
      </c>
      <c r="P375" s="14" t="s">
        <v>13173</v>
      </c>
      <c r="Q375" s="14">
        <v>1</v>
      </c>
      <c r="R375" s="14"/>
    </row>
    <row r="376" spans="1:18">
      <c r="A376" s="9">
        <v>61443</v>
      </c>
      <c r="B376" s="14" t="s">
        <v>334</v>
      </c>
      <c r="C376" s="14" t="s">
        <v>165</v>
      </c>
      <c r="D376" s="14" t="s">
        <v>3026</v>
      </c>
      <c r="E376" s="15" t="str">
        <f>HYPERLINK("https://stat100.ameba.jp/tnk47/ratio20/illustrations/card/ill_61443_junihitoe03.jpg?201904-5-RELEASE-marathon-406", "■")</f>
        <v>■</v>
      </c>
      <c r="F376" s="14" t="s">
        <v>3027</v>
      </c>
      <c r="G376" s="14">
        <v>107166</v>
      </c>
      <c r="H376" s="14">
        <v>77618</v>
      </c>
      <c r="I376" s="14">
        <v>21</v>
      </c>
      <c r="J376" s="14" t="s">
        <v>274</v>
      </c>
      <c r="K376" s="14" t="s">
        <v>3028</v>
      </c>
      <c r="L376" s="14" t="s">
        <v>3029</v>
      </c>
      <c r="M376" s="14" t="s">
        <v>9158</v>
      </c>
      <c r="N376" s="14" t="s">
        <v>9158</v>
      </c>
      <c r="O376" s="14" t="s">
        <v>9158</v>
      </c>
      <c r="P376" s="14" t="s">
        <v>9158</v>
      </c>
      <c r="Q376" s="14" t="s">
        <v>9158</v>
      </c>
      <c r="R376" s="14"/>
    </row>
    <row r="377" spans="1:18">
      <c r="A377" s="9">
        <v>70383</v>
      </c>
      <c r="B377" s="14" t="s">
        <v>334</v>
      </c>
      <c r="C377" s="14" t="s">
        <v>41</v>
      </c>
      <c r="D377" s="14" t="s">
        <v>3486</v>
      </c>
      <c r="E377" s="15" t="str">
        <f>HYPERLINK("https://stat100.ameba.jp/tnk47/ratio20/illustrations/card/ill_70383_saraudon03.jpg?201904-5-RELEASE-marathon-406", "■")</f>
        <v>■</v>
      </c>
      <c r="F377" s="14" t="s">
        <v>3487</v>
      </c>
      <c r="G377" s="14">
        <v>111000</v>
      </c>
      <c r="H377" s="14">
        <v>80391</v>
      </c>
      <c r="I377" s="14">
        <v>21</v>
      </c>
      <c r="J377" s="14" t="s">
        <v>104</v>
      </c>
      <c r="K377" s="14" t="s">
        <v>3488</v>
      </c>
      <c r="L377" s="14" t="s">
        <v>3489</v>
      </c>
      <c r="M377" s="14" t="s">
        <v>9158</v>
      </c>
      <c r="N377" s="14" t="s">
        <v>9158</v>
      </c>
      <c r="O377" s="14" t="s">
        <v>9158</v>
      </c>
      <c r="P377" s="14" t="s">
        <v>9158</v>
      </c>
      <c r="Q377" s="14" t="s">
        <v>9158</v>
      </c>
      <c r="R377" s="14"/>
    </row>
    <row r="378" spans="1:18">
      <c r="A378" s="9">
        <v>67953</v>
      </c>
      <c r="B378" s="14" t="s">
        <v>334</v>
      </c>
      <c r="C378" s="14" t="s">
        <v>154</v>
      </c>
      <c r="D378" s="14" t="s">
        <v>2486</v>
      </c>
      <c r="E378" s="15" t="str">
        <f>HYPERLINK("https://stat100.ameba.jp/tnk47/ratio20/illustrations/card/ill_67953_kutaniyaki03.jpg?201904-5-RELEASE-marathon-406", "■")</f>
        <v>■</v>
      </c>
      <c r="F378" s="14" t="s">
        <v>2487</v>
      </c>
      <c r="G378" s="14">
        <v>69051</v>
      </c>
      <c r="H378" s="14">
        <v>95307</v>
      </c>
      <c r="I378" s="14">
        <v>21</v>
      </c>
      <c r="J378" s="14" t="s">
        <v>26</v>
      </c>
      <c r="K378" s="14" t="s">
        <v>2488</v>
      </c>
      <c r="L378" s="14" t="s">
        <v>2489</v>
      </c>
      <c r="M378" s="14" t="s">
        <v>9158</v>
      </c>
      <c r="N378" s="14" t="s">
        <v>9158</v>
      </c>
      <c r="O378" s="17" t="s">
        <v>10053</v>
      </c>
      <c r="P378" s="14" t="s">
        <v>3592</v>
      </c>
      <c r="Q378" s="14">
        <v>1</v>
      </c>
      <c r="R378" s="14"/>
    </row>
    <row r="379" spans="1:18">
      <c r="B379" s="14"/>
      <c r="C379" s="14"/>
      <c r="D379" s="14"/>
      <c r="F379" s="14"/>
      <c r="G379" s="14"/>
      <c r="H379" s="14"/>
      <c r="I379" s="14"/>
      <c r="J379" s="14"/>
      <c r="K379" s="14"/>
      <c r="L379" s="14"/>
      <c r="M379" s="14"/>
      <c r="N379" s="14"/>
      <c r="P379" s="14"/>
      <c r="Q379" s="14"/>
      <c r="R379" s="14"/>
    </row>
    <row r="380" spans="1:18">
      <c r="A380" s="14" t="s">
        <v>946</v>
      </c>
      <c r="D380" s="14"/>
      <c r="F380" s="14"/>
      <c r="G380" s="14"/>
      <c r="H380" s="14"/>
      <c r="I380" s="14"/>
      <c r="J380" s="14"/>
      <c r="K380" s="14"/>
      <c r="L380" s="14"/>
      <c r="M380" s="14"/>
      <c r="N380" s="14"/>
      <c r="P380" s="14"/>
      <c r="Q380" s="14"/>
      <c r="R380" s="14"/>
    </row>
    <row r="381" spans="1:18">
      <c r="A381" s="14" t="s">
        <v>4425</v>
      </c>
      <c r="B381" s="14"/>
      <c r="C381" s="14"/>
      <c r="D381" s="14"/>
      <c r="F381" s="14"/>
      <c r="G381" s="14"/>
      <c r="H381" s="14"/>
      <c r="I381" s="14"/>
      <c r="J381" s="14"/>
      <c r="K381" s="14"/>
      <c r="L381" s="14"/>
      <c r="M381" s="14"/>
      <c r="N381" s="14"/>
      <c r="P381" s="14"/>
      <c r="Q381" s="14"/>
      <c r="R381" s="14"/>
    </row>
    <row r="382" spans="1:18">
      <c r="A382" s="9" t="s">
        <v>5617</v>
      </c>
      <c r="B382" s="14" t="s">
        <v>330</v>
      </c>
      <c r="C382" s="14" t="s">
        <v>308</v>
      </c>
      <c r="D382" s="14" t="s">
        <v>385</v>
      </c>
      <c r="E382" s="15" t="str">
        <f>HYPERLINK("https://stat100.ameba.jp/tnk47/ratio20/illustrations/card/ill_59673_0_oheyashutendoji03.jpg?201904-5-RELEASE-marathon-406", "■")</f>
        <v>■</v>
      </c>
      <c r="F382" s="14" t="s">
        <v>386</v>
      </c>
      <c r="G382" s="14">
        <v>105545</v>
      </c>
      <c r="H382" s="14">
        <v>113525</v>
      </c>
      <c r="I382" s="14">
        <v>15</v>
      </c>
      <c r="J382" s="14" t="s">
        <v>320</v>
      </c>
      <c r="K382" s="14" t="s">
        <v>387</v>
      </c>
      <c r="L382" s="14" t="s">
        <v>388</v>
      </c>
      <c r="M382" s="14" t="s">
        <v>9158</v>
      </c>
      <c r="N382" s="14" t="s">
        <v>9158</v>
      </c>
      <c r="O382" s="17" t="s">
        <v>10058</v>
      </c>
      <c r="P382" s="14" t="s">
        <v>3022</v>
      </c>
      <c r="Q382" s="14">
        <v>1</v>
      </c>
      <c r="R382" s="14"/>
    </row>
    <row r="383" spans="1:18">
      <c r="A383" s="9" t="s">
        <v>5615</v>
      </c>
      <c r="B383" s="14" t="s">
        <v>330</v>
      </c>
      <c r="C383" s="14" t="s">
        <v>206</v>
      </c>
      <c r="D383" s="14" t="s">
        <v>1015</v>
      </c>
      <c r="E383" s="15" t="str">
        <f>HYPERLINK("https://stat100.ameba.jp/tnk47/ratio20/illustrations/card/ill_57733_0_shogatsunisenjunanaamakusashiro03.jpg?201904-5-RELEASE-marathon-406", "■")</f>
        <v>■</v>
      </c>
      <c r="F383" s="14" t="s">
        <v>2815</v>
      </c>
      <c r="G383" s="14">
        <v>83712</v>
      </c>
      <c r="H383" s="14">
        <v>94236</v>
      </c>
      <c r="I383" s="14">
        <v>15</v>
      </c>
      <c r="J383" s="14" t="s">
        <v>351</v>
      </c>
      <c r="K383" s="14" t="s">
        <v>2816</v>
      </c>
      <c r="L383" s="14" t="s">
        <v>2817</v>
      </c>
      <c r="M383" s="14" t="s">
        <v>9158</v>
      </c>
      <c r="N383" s="14" t="s">
        <v>9158</v>
      </c>
      <c r="O383" s="17" t="s">
        <v>10063</v>
      </c>
      <c r="P383" s="14" t="s">
        <v>3062</v>
      </c>
      <c r="Q383" s="14">
        <v>1</v>
      </c>
      <c r="R383" s="14"/>
    </row>
    <row r="384" spans="1:18">
      <c r="A384" s="9" t="s">
        <v>5612</v>
      </c>
      <c r="B384" s="14" t="s">
        <v>52</v>
      </c>
      <c r="C384" s="14" t="s">
        <v>165</v>
      </c>
      <c r="D384" s="14" t="s">
        <v>1895</v>
      </c>
      <c r="E384" s="15" t="str">
        <f>HYPERLINK("https://stat100.ameba.jp/tnk47/ratio20/illustrations/card/ill_49193_0_onmyoudouabenoseimei03.jpg?201904-5-RELEASE-marathon-406", "■")</f>
        <v>■</v>
      </c>
      <c r="F384" s="14" t="s">
        <v>1896</v>
      </c>
      <c r="G384" s="14">
        <v>83712</v>
      </c>
      <c r="H384" s="14">
        <v>94236</v>
      </c>
      <c r="I384" s="14">
        <v>15</v>
      </c>
      <c r="J384" s="14" t="s">
        <v>10</v>
      </c>
      <c r="K384" s="14" t="s">
        <v>1897</v>
      </c>
      <c r="L384" s="14" t="s">
        <v>1898</v>
      </c>
      <c r="M384" s="14" t="s">
        <v>9158</v>
      </c>
      <c r="N384" s="14" t="s">
        <v>9158</v>
      </c>
      <c r="O384" s="14" t="s">
        <v>9158</v>
      </c>
      <c r="P384" s="14" t="s">
        <v>9158</v>
      </c>
      <c r="Q384" s="14" t="s">
        <v>9158</v>
      </c>
      <c r="R384" s="14"/>
    </row>
    <row r="385" spans="1:18">
      <c r="A385" s="9">
        <v>81003</v>
      </c>
      <c r="B385" s="14" t="s">
        <v>334</v>
      </c>
      <c r="C385" s="14" t="s">
        <v>200</v>
      </c>
      <c r="D385" s="14" t="s">
        <v>4426</v>
      </c>
      <c r="E385" s="15" t="str">
        <f>HYPERLINK("https://stat100.ameba.jp/tnk47/ratio20/illustrations/card/ill_81003_furudenshago03.jpg?201904-5-RELEASE-marathon-406", "■")</f>
        <v>■</v>
      </c>
      <c r="F385" s="14" t="s">
        <v>4427</v>
      </c>
      <c r="G385" s="14">
        <v>62414</v>
      </c>
      <c r="H385" s="14">
        <v>110924</v>
      </c>
      <c r="I385" s="14">
        <v>23</v>
      </c>
      <c r="J385" s="14" t="s">
        <v>187</v>
      </c>
      <c r="K385" s="14" t="s">
        <v>4428</v>
      </c>
      <c r="L385" s="14" t="s">
        <v>969</v>
      </c>
      <c r="M385" s="14" t="s">
        <v>9158</v>
      </c>
      <c r="N385" s="14" t="s">
        <v>9158</v>
      </c>
      <c r="O385" s="14" t="s">
        <v>9158</v>
      </c>
      <c r="P385" s="14" t="s">
        <v>9158</v>
      </c>
      <c r="Q385" s="14" t="s">
        <v>9158</v>
      </c>
      <c r="R385" s="14"/>
    </row>
    <row r="386" spans="1:18">
      <c r="A386" s="9">
        <v>69143</v>
      </c>
      <c r="B386" s="14" t="s">
        <v>334</v>
      </c>
      <c r="C386" s="14" t="s">
        <v>205</v>
      </c>
      <c r="D386" s="14" t="s">
        <v>1451</v>
      </c>
      <c r="E386" s="15" t="str">
        <f>HYPERLINK("https://stat100.ameba.jp/tnk47/ratio20/illustrations/card/ill_69143_marukamejo03.jpg?201904-5-RELEASE-marathon-406", "■")</f>
        <v>■</v>
      </c>
      <c r="F386" s="14" t="s">
        <v>1452</v>
      </c>
      <c r="G386" s="14">
        <v>62343</v>
      </c>
      <c r="H386" s="14">
        <v>110822</v>
      </c>
      <c r="I386" s="14">
        <v>19</v>
      </c>
      <c r="J386" s="14" t="s">
        <v>369</v>
      </c>
      <c r="K386" s="14" t="s">
        <v>1453</v>
      </c>
      <c r="L386" s="14" t="s">
        <v>1454</v>
      </c>
      <c r="M386" s="14" t="s">
        <v>9158</v>
      </c>
      <c r="N386" s="14" t="s">
        <v>9158</v>
      </c>
      <c r="O386" s="14" t="s">
        <v>9158</v>
      </c>
      <c r="P386" s="14" t="s">
        <v>9158</v>
      </c>
      <c r="Q386" s="14" t="s">
        <v>9158</v>
      </c>
      <c r="R386" s="14"/>
    </row>
    <row r="387" spans="1:18">
      <c r="A387" s="9">
        <v>74063</v>
      </c>
      <c r="B387" s="14" t="s">
        <v>334</v>
      </c>
      <c r="C387" s="14" t="s">
        <v>14</v>
      </c>
      <c r="D387" s="14" t="s">
        <v>4429</v>
      </c>
      <c r="E387" s="15" t="str">
        <f>HYPERLINK("https://stat100.ameba.jp/tnk47/ratio20/illustrations/card/ill_74063_yokoyamamatsusaburo03.jpg?201904-5-RELEASE-marathon-406", "■")</f>
        <v>■</v>
      </c>
      <c r="F387" s="14" t="s">
        <v>4430</v>
      </c>
      <c r="G387" s="14">
        <v>71663</v>
      </c>
      <c r="H387" s="14">
        <v>77043</v>
      </c>
      <c r="I387" s="14">
        <v>19</v>
      </c>
      <c r="J387" s="14" t="s">
        <v>159</v>
      </c>
      <c r="K387" s="14" t="s">
        <v>4431</v>
      </c>
      <c r="L387" s="14" t="s">
        <v>124</v>
      </c>
      <c r="M387" s="14" t="s">
        <v>9158</v>
      </c>
      <c r="N387" s="14" t="s">
        <v>9158</v>
      </c>
      <c r="O387" s="14" t="s">
        <v>9158</v>
      </c>
      <c r="P387" s="14" t="s">
        <v>9158</v>
      </c>
      <c r="Q387" s="14" t="s">
        <v>9158</v>
      </c>
      <c r="R387" s="14"/>
    </row>
    <row r="388" spans="1:18">
      <c r="A388" s="9">
        <v>59883</v>
      </c>
      <c r="B388" s="14" t="s">
        <v>348</v>
      </c>
      <c r="C388" s="14" t="s">
        <v>206</v>
      </c>
      <c r="D388" s="14" t="s">
        <v>4432</v>
      </c>
      <c r="E388" s="15" t="str">
        <f>HYPERLINK("https://stat100.ameba.jp/tnk47/ratio20/illustrations/card/ill_59883_yoseienshininden03.jpg?201904-5-RELEASE-marathon-406", "■")</f>
        <v>■</v>
      </c>
      <c r="F388" s="14" t="s">
        <v>4433</v>
      </c>
      <c r="G388" s="14">
        <v>51078</v>
      </c>
      <c r="H388" s="14">
        <v>56316</v>
      </c>
      <c r="I388" s="14">
        <v>19</v>
      </c>
      <c r="J388" s="14" t="s">
        <v>77</v>
      </c>
      <c r="K388" s="14" t="s">
        <v>4434</v>
      </c>
      <c r="L388" s="14" t="s">
        <v>973</v>
      </c>
      <c r="M388" s="14" t="s">
        <v>9158</v>
      </c>
      <c r="N388" s="14" t="s">
        <v>9158</v>
      </c>
      <c r="O388" s="14" t="s">
        <v>9158</v>
      </c>
      <c r="P388" s="14" t="s">
        <v>9158</v>
      </c>
      <c r="Q388" s="14" t="s">
        <v>9158</v>
      </c>
      <c r="R388" s="14"/>
    </row>
    <row r="389" spans="1:18">
      <c r="A389" s="9">
        <v>65103</v>
      </c>
      <c r="B389" s="14" t="s">
        <v>348</v>
      </c>
      <c r="C389" s="14" t="s">
        <v>14</v>
      </c>
      <c r="D389" s="14" t="s">
        <v>2456</v>
      </c>
      <c r="E389" s="15" t="str">
        <f>HYPERLINK("https://stat100.ameba.jp/tnk47/ratio20/illustrations/card/ill_65103_kyusukumizutsuraraonna03.jpg?201904-5-RELEASE-marathon-406", "■")</f>
        <v>■</v>
      </c>
      <c r="F389" s="14" t="s">
        <v>2457</v>
      </c>
      <c r="G389" s="14">
        <v>51078</v>
      </c>
      <c r="H389" s="14">
        <v>56316</v>
      </c>
      <c r="I389" s="14">
        <v>19</v>
      </c>
      <c r="J389" s="14" t="s">
        <v>73</v>
      </c>
      <c r="K389" s="14" t="s">
        <v>2458</v>
      </c>
      <c r="L389" s="14" t="s">
        <v>1706</v>
      </c>
      <c r="M389" s="14" t="s">
        <v>9158</v>
      </c>
      <c r="N389" s="14" t="s">
        <v>9158</v>
      </c>
      <c r="O389" s="14" t="s">
        <v>9158</v>
      </c>
      <c r="P389" s="14" t="s">
        <v>9158</v>
      </c>
      <c r="Q389" s="14" t="s">
        <v>9158</v>
      </c>
      <c r="R389" s="14"/>
    </row>
    <row r="390" spans="1:18">
      <c r="A390" s="9">
        <v>73123</v>
      </c>
      <c r="B390" s="14" t="s">
        <v>348</v>
      </c>
      <c r="C390" s="14" t="s">
        <v>206</v>
      </c>
      <c r="D390" s="14" t="s">
        <v>4435</v>
      </c>
      <c r="E390" s="15" t="str">
        <f>HYPERLINK("https://stat100.ameba.jp/tnk47/ratio20/illustrations/card/ill_73123_raikiri03.jpg?201904-5-RELEASE-marathon-406", "■")</f>
        <v>■</v>
      </c>
      <c r="F390" s="14" t="s">
        <v>4436</v>
      </c>
      <c r="G390" s="14">
        <v>51078</v>
      </c>
      <c r="H390" s="14">
        <v>56316</v>
      </c>
      <c r="I390" s="14">
        <v>19</v>
      </c>
      <c r="J390" s="14" t="s">
        <v>169</v>
      </c>
      <c r="K390" s="14" t="s">
        <v>4437</v>
      </c>
      <c r="L390" s="14" t="s">
        <v>3319</v>
      </c>
      <c r="M390" s="14" t="s">
        <v>9158</v>
      </c>
      <c r="N390" s="14" t="s">
        <v>9158</v>
      </c>
      <c r="O390" s="14" t="s">
        <v>9158</v>
      </c>
      <c r="P390" s="14" t="s">
        <v>9158</v>
      </c>
      <c r="Q390" s="14" t="s">
        <v>9158</v>
      </c>
      <c r="R390" s="14"/>
    </row>
    <row r="391" spans="1:18">
      <c r="B391" s="14"/>
      <c r="C391" s="14"/>
      <c r="D391" s="14"/>
      <c r="F391" s="14"/>
      <c r="G391" s="14"/>
      <c r="H391" s="14"/>
      <c r="I391" s="14"/>
      <c r="J391" s="14"/>
      <c r="K391" s="14"/>
      <c r="L391" s="14"/>
      <c r="M391" s="14"/>
      <c r="N391" s="14"/>
      <c r="P391" s="14"/>
      <c r="Q391" s="14"/>
      <c r="R391" s="14"/>
    </row>
    <row r="392" spans="1:18">
      <c r="A392" s="14" t="s">
        <v>3643</v>
      </c>
      <c r="D392" s="14"/>
      <c r="F392" s="14"/>
      <c r="G392" s="14"/>
      <c r="H392" s="14"/>
      <c r="I392" s="14"/>
      <c r="J392" s="14"/>
      <c r="K392" s="14"/>
      <c r="L392" s="14"/>
      <c r="M392" s="14"/>
      <c r="N392" s="14"/>
      <c r="P392" s="14"/>
      <c r="Q392" s="14"/>
      <c r="R392" s="14"/>
    </row>
    <row r="393" spans="1:18">
      <c r="A393" s="14" t="s">
        <v>4438</v>
      </c>
      <c r="B393" s="14"/>
      <c r="C393" s="14"/>
      <c r="D393" s="14"/>
      <c r="F393" s="14"/>
      <c r="G393" s="14"/>
      <c r="H393" s="14"/>
      <c r="I393" s="14"/>
      <c r="J393" s="14"/>
      <c r="K393" s="14"/>
      <c r="L393" s="14"/>
      <c r="M393" s="14"/>
      <c r="N393" s="14"/>
      <c r="P393" s="14"/>
      <c r="Q393" s="14"/>
      <c r="R393" s="14"/>
    </row>
    <row r="394" spans="1:18">
      <c r="A394" s="9">
        <v>73035</v>
      </c>
      <c r="B394" s="14" t="s">
        <v>334</v>
      </c>
      <c r="C394" s="14" t="s">
        <v>202</v>
      </c>
      <c r="D394" s="14" t="s">
        <v>4439</v>
      </c>
      <c r="E394" s="15" t="str">
        <f>HYPERLINK("https://stat100.ameba.jp/tnk47/ratio20/illustrations/card/ill_73035_biwako05.jpg?201904-5-RELEASE-marathon-406", "■")</f>
        <v>■</v>
      </c>
      <c r="F394" s="14" t="s">
        <v>2512</v>
      </c>
      <c r="G394" s="14">
        <v>121144</v>
      </c>
      <c r="H394" s="14">
        <v>87710</v>
      </c>
      <c r="I394" s="14">
        <v>22</v>
      </c>
      <c r="J394" s="14" t="s">
        <v>26</v>
      </c>
      <c r="K394" s="14" t="s">
        <v>2513</v>
      </c>
      <c r="L394" s="14" t="s">
        <v>1325</v>
      </c>
      <c r="M394" s="14" t="s">
        <v>9158</v>
      </c>
      <c r="N394" s="14" t="s">
        <v>9158</v>
      </c>
      <c r="O394" s="14" t="s">
        <v>9158</v>
      </c>
      <c r="P394" s="14" t="s">
        <v>9158</v>
      </c>
      <c r="Q394" s="14" t="s">
        <v>9158</v>
      </c>
      <c r="R394" s="14" t="s">
        <v>174</v>
      </c>
    </row>
    <row r="395" spans="1:18">
      <c r="A395" s="9">
        <v>73033</v>
      </c>
      <c r="B395" s="14" t="s">
        <v>348</v>
      </c>
      <c r="C395" s="14" t="s">
        <v>158</v>
      </c>
      <c r="D395" s="14" t="s">
        <v>4439</v>
      </c>
      <c r="E395" s="15" t="str">
        <f>HYPERLINK("https://stat100.ameba.jp/tnk47/ratio20/illustrations/card/ill_73033_biwako03.jpg?201904-5-RELEASE-marathon-406", "■")</f>
        <v>■</v>
      </c>
      <c r="F395" s="14" t="s">
        <v>2512</v>
      </c>
      <c r="G395" s="14">
        <v>87540</v>
      </c>
      <c r="H395" s="14">
        <v>63378</v>
      </c>
      <c r="I395" s="14">
        <v>22</v>
      </c>
      <c r="J395" s="14" t="s">
        <v>26</v>
      </c>
      <c r="K395" s="14" t="s">
        <v>2513</v>
      </c>
      <c r="L395" s="14" t="s">
        <v>1326</v>
      </c>
      <c r="M395" s="14" t="s">
        <v>9158</v>
      </c>
      <c r="N395" s="14" t="s">
        <v>9158</v>
      </c>
      <c r="O395" s="14" t="s">
        <v>9158</v>
      </c>
      <c r="P395" s="14" t="s">
        <v>9158</v>
      </c>
      <c r="Q395" s="14" t="s">
        <v>9158</v>
      </c>
      <c r="R395" s="14" t="s">
        <v>175</v>
      </c>
    </row>
    <row r="396" spans="1:18">
      <c r="A396" s="9">
        <v>73031</v>
      </c>
      <c r="B396" s="14" t="s">
        <v>348</v>
      </c>
      <c r="C396" s="14" t="s">
        <v>158</v>
      </c>
      <c r="D396" s="14" t="s">
        <v>4439</v>
      </c>
      <c r="E396" s="15" t="str">
        <f>HYPERLINK("https://stat100.ameba.jp/tnk47/ratio20/illustrations/card/ill_73031_biwako01.jpg?201904-5-RELEASE-marathon-406", "■")</f>
        <v>■</v>
      </c>
      <c r="F396" s="14" t="s">
        <v>2512</v>
      </c>
      <c r="G396" s="14">
        <v>50776</v>
      </c>
      <c r="H396" s="14">
        <v>36762</v>
      </c>
      <c r="I396" s="14">
        <v>22</v>
      </c>
      <c r="J396" s="14" t="s">
        <v>26</v>
      </c>
      <c r="K396" s="14" t="s">
        <v>2513</v>
      </c>
      <c r="L396" s="14" t="s">
        <v>1327</v>
      </c>
      <c r="M396" s="14" t="s">
        <v>9158</v>
      </c>
      <c r="N396" s="14" t="s">
        <v>9158</v>
      </c>
      <c r="O396" s="14" t="s">
        <v>9158</v>
      </c>
      <c r="P396" s="14" t="s">
        <v>9158</v>
      </c>
      <c r="Q396" s="14" t="s">
        <v>9158</v>
      </c>
      <c r="R396" s="14" t="s">
        <v>176</v>
      </c>
    </row>
    <row r="397" spans="1:18">
      <c r="A397" s="9">
        <v>71265</v>
      </c>
      <c r="B397" s="14" t="s">
        <v>334</v>
      </c>
      <c r="C397" s="14" t="s">
        <v>202</v>
      </c>
      <c r="D397" s="14" t="s">
        <v>3644</v>
      </c>
      <c r="E397" s="15" t="str">
        <f>HYPERLINK("https://stat100.ameba.jp/tnk47/ratio20/illustrations/card/ill_71265_kisoyoshinaka05.jpg?201904-5-RELEASE-marathon-406", "■")</f>
        <v>■</v>
      </c>
      <c r="F397" s="14" t="s">
        <v>3645</v>
      </c>
      <c r="G397" s="14">
        <v>165280</v>
      </c>
      <c r="H397" s="14">
        <v>119682</v>
      </c>
      <c r="I397" s="14">
        <v>22</v>
      </c>
      <c r="J397" s="14" t="s">
        <v>143</v>
      </c>
      <c r="K397" s="14" t="s">
        <v>3646</v>
      </c>
      <c r="L397" s="14" t="s">
        <v>145</v>
      </c>
      <c r="M397" s="14" t="s">
        <v>9158</v>
      </c>
      <c r="N397" s="14" t="s">
        <v>9158</v>
      </c>
      <c r="O397" s="14" t="s">
        <v>9158</v>
      </c>
      <c r="P397" s="14" t="s">
        <v>9158</v>
      </c>
      <c r="Q397" s="14" t="s">
        <v>9158</v>
      </c>
      <c r="R397" s="14" t="s">
        <v>174</v>
      </c>
    </row>
    <row r="398" spans="1:18">
      <c r="A398" s="9">
        <v>71263</v>
      </c>
      <c r="B398" s="14" t="s">
        <v>348</v>
      </c>
      <c r="C398" s="14" t="s">
        <v>154</v>
      </c>
      <c r="D398" s="14" t="s">
        <v>3644</v>
      </c>
      <c r="E398" s="15" t="str">
        <f>HYPERLINK("https://stat100.ameba.jp/tnk47/ratio20/illustrations/card/ill_71263_kisoyoshinaka03.jpg?201904-5-RELEASE-marathon-406", "■")</f>
        <v>■</v>
      </c>
      <c r="F398" s="14" t="s">
        <v>3645</v>
      </c>
      <c r="G398" s="14">
        <v>121778</v>
      </c>
      <c r="H398" s="14">
        <v>88184</v>
      </c>
      <c r="I398" s="14">
        <v>22</v>
      </c>
      <c r="J398" s="14" t="s">
        <v>143</v>
      </c>
      <c r="K398" s="14" t="s">
        <v>3646</v>
      </c>
      <c r="L398" s="14" t="s">
        <v>3647</v>
      </c>
      <c r="M398" s="14" t="s">
        <v>9158</v>
      </c>
      <c r="N398" s="14" t="s">
        <v>9158</v>
      </c>
      <c r="O398" s="14" t="s">
        <v>9158</v>
      </c>
      <c r="P398" s="14" t="s">
        <v>9158</v>
      </c>
      <c r="Q398" s="14" t="s">
        <v>9158</v>
      </c>
      <c r="R398" s="14" t="s">
        <v>175</v>
      </c>
    </row>
    <row r="399" spans="1:18">
      <c r="A399" s="9">
        <v>71261</v>
      </c>
      <c r="B399" s="14" t="s">
        <v>348</v>
      </c>
      <c r="C399" s="14" t="s">
        <v>154</v>
      </c>
      <c r="D399" s="14" t="s">
        <v>3644</v>
      </c>
      <c r="E399" s="15" t="str">
        <f>HYPERLINK("https://stat100.ameba.jp/tnk47/ratio20/illustrations/card/ill_71261_kisoyoshinaka01.jpg?201904-5-RELEASE-marathon-406", "■")</f>
        <v>■</v>
      </c>
      <c r="F399" s="14" t="s">
        <v>3645</v>
      </c>
      <c r="G399" s="14">
        <v>77462</v>
      </c>
      <c r="H399" s="14">
        <v>56100</v>
      </c>
      <c r="I399" s="14">
        <v>22</v>
      </c>
      <c r="J399" s="14" t="s">
        <v>143</v>
      </c>
      <c r="K399" s="14" t="s">
        <v>3646</v>
      </c>
      <c r="L399" s="14" t="s">
        <v>3648</v>
      </c>
      <c r="M399" s="14" t="s">
        <v>9158</v>
      </c>
      <c r="N399" s="14" t="s">
        <v>9158</v>
      </c>
      <c r="O399" s="14" t="s">
        <v>9158</v>
      </c>
      <c r="P399" s="14" t="s">
        <v>9158</v>
      </c>
      <c r="Q399" s="14" t="s">
        <v>9158</v>
      </c>
      <c r="R399" s="14" t="s">
        <v>176</v>
      </c>
    </row>
    <row r="400" spans="1:18">
      <c r="A400" s="9">
        <v>61975</v>
      </c>
      <c r="B400" s="14" t="s">
        <v>334</v>
      </c>
      <c r="C400" s="14" t="s">
        <v>202</v>
      </c>
      <c r="D400" s="14" t="s">
        <v>4440</v>
      </c>
      <c r="E400" s="15" t="str">
        <f>HYPERLINK("https://stat100.ameba.jp/tnk47/ratio20/illustrations/card/ill_61975_yamematcha05.jpg?201904-5-RELEASE-marathon-406", "■")</f>
        <v>■</v>
      </c>
      <c r="F400" s="14" t="s">
        <v>4441</v>
      </c>
      <c r="G400" s="14">
        <v>125086</v>
      </c>
      <c r="H400" s="14">
        <v>90580</v>
      </c>
      <c r="I400" s="14">
        <v>22</v>
      </c>
      <c r="J400" s="14" t="s">
        <v>104</v>
      </c>
      <c r="K400" s="14" t="s">
        <v>4442</v>
      </c>
      <c r="L400" s="14" t="s">
        <v>2409</v>
      </c>
      <c r="M400" s="14" t="s">
        <v>9158</v>
      </c>
      <c r="N400" s="14" t="s">
        <v>9158</v>
      </c>
      <c r="O400" s="14" t="s">
        <v>9158</v>
      </c>
      <c r="P400" s="14" t="s">
        <v>9158</v>
      </c>
      <c r="Q400" s="14" t="s">
        <v>9158</v>
      </c>
      <c r="R400" s="14" t="s">
        <v>174</v>
      </c>
    </row>
    <row r="401" spans="1:18">
      <c r="A401" s="9">
        <v>61973</v>
      </c>
      <c r="B401" s="14" t="s">
        <v>348</v>
      </c>
      <c r="C401" s="14" t="s">
        <v>158</v>
      </c>
      <c r="D401" s="14" t="s">
        <v>4440</v>
      </c>
      <c r="E401" s="15" t="str">
        <f>HYPERLINK("https://stat100.ameba.jp/tnk47/ratio20/illustrations/card/ill_61973_yamematcha03.jpg?201904-5-RELEASE-marathon-406", "■")</f>
        <v>■</v>
      </c>
      <c r="F401" s="14" t="s">
        <v>4441</v>
      </c>
      <c r="G401" s="14">
        <v>92170</v>
      </c>
      <c r="H401" s="14">
        <v>66738</v>
      </c>
      <c r="I401" s="14">
        <v>22</v>
      </c>
      <c r="J401" s="14" t="s">
        <v>104</v>
      </c>
      <c r="K401" s="14" t="s">
        <v>4442</v>
      </c>
      <c r="L401" s="14" t="s">
        <v>4443</v>
      </c>
      <c r="M401" s="14" t="s">
        <v>9158</v>
      </c>
      <c r="N401" s="14" t="s">
        <v>9158</v>
      </c>
      <c r="O401" s="14" t="s">
        <v>9158</v>
      </c>
      <c r="P401" s="14" t="s">
        <v>9158</v>
      </c>
      <c r="Q401" s="14" t="s">
        <v>9158</v>
      </c>
      <c r="R401" s="14" t="s">
        <v>175</v>
      </c>
    </row>
    <row r="402" spans="1:18">
      <c r="A402" s="9">
        <v>61971</v>
      </c>
      <c r="B402" s="14" t="s">
        <v>348</v>
      </c>
      <c r="C402" s="14" t="s">
        <v>158</v>
      </c>
      <c r="D402" s="14" t="s">
        <v>4440</v>
      </c>
      <c r="E402" s="15" t="str">
        <f>HYPERLINK("https://stat100.ameba.jp/tnk47/ratio20/illustrations/card/ill_61971_yamematcha01.jpg?201904-5-RELEASE-marathon-406", "■")</f>
        <v>■</v>
      </c>
      <c r="F402" s="14" t="s">
        <v>4441</v>
      </c>
      <c r="G402" s="14">
        <v>58630</v>
      </c>
      <c r="H402" s="14">
        <v>42460</v>
      </c>
      <c r="I402" s="14">
        <v>22</v>
      </c>
      <c r="J402" s="14" t="s">
        <v>104</v>
      </c>
      <c r="K402" s="14" t="s">
        <v>4442</v>
      </c>
      <c r="L402" s="14" t="s">
        <v>4444</v>
      </c>
      <c r="M402" s="14" t="s">
        <v>9158</v>
      </c>
      <c r="N402" s="14" t="s">
        <v>9158</v>
      </c>
      <c r="O402" s="14" t="s">
        <v>9158</v>
      </c>
      <c r="P402" s="14" t="s">
        <v>9158</v>
      </c>
      <c r="Q402" s="14" t="s">
        <v>9158</v>
      </c>
      <c r="R402" s="14" t="s">
        <v>176</v>
      </c>
    </row>
    <row r="403" spans="1:18">
      <c r="B403" s="14"/>
      <c r="C403" s="14"/>
      <c r="D403" s="14"/>
      <c r="F403" s="14"/>
      <c r="G403" s="14"/>
      <c r="H403" s="14"/>
      <c r="I403" s="14"/>
      <c r="J403" s="14"/>
      <c r="K403" s="14"/>
      <c r="L403" s="14"/>
      <c r="M403" s="14"/>
      <c r="N403" s="14"/>
      <c r="P403" s="14"/>
      <c r="Q403" s="14"/>
      <c r="R403" s="14"/>
    </row>
    <row r="404" spans="1:18">
      <c r="A404" s="14" t="s">
        <v>199</v>
      </c>
      <c r="D404" s="14"/>
      <c r="F404" s="14"/>
      <c r="G404" s="14"/>
      <c r="H404" s="14"/>
      <c r="I404" s="14"/>
      <c r="J404" s="14"/>
      <c r="K404" s="14"/>
      <c r="L404" s="14"/>
      <c r="M404" s="14"/>
      <c r="N404" s="14"/>
      <c r="P404" s="14"/>
      <c r="Q404" s="14"/>
      <c r="R404" s="14"/>
    </row>
    <row r="405" spans="1:18">
      <c r="A405" s="14" t="s">
        <v>4445</v>
      </c>
      <c r="B405" s="14"/>
      <c r="C405" s="14"/>
      <c r="D405" s="14"/>
      <c r="F405" s="14"/>
      <c r="G405" s="14"/>
      <c r="H405" s="14"/>
      <c r="I405" s="14"/>
      <c r="J405" s="14"/>
      <c r="K405" s="14"/>
      <c r="L405" s="14"/>
      <c r="M405" s="14"/>
      <c r="N405" s="14"/>
      <c r="P405" s="14"/>
      <c r="Q405" s="14"/>
      <c r="R405" s="14"/>
    </row>
    <row r="406" spans="1:18">
      <c r="A406" s="9" t="s">
        <v>5642</v>
      </c>
      <c r="B406" s="14" t="s">
        <v>330</v>
      </c>
      <c r="C406" s="14" t="s">
        <v>185</v>
      </c>
      <c r="D406" s="14" t="s">
        <v>3086</v>
      </c>
      <c r="E406" s="15" t="str">
        <f>HYPERLINK("https://stat100.ameba.jp/tnk47/ratio20/illustrations/card/ill_69593_0_setsubunyukionna03.jpg?201904-5-RELEASE-marathon-406", "■")</f>
        <v>■</v>
      </c>
      <c r="F406" s="14" t="s">
        <v>3087</v>
      </c>
      <c r="G406" s="14">
        <v>107146</v>
      </c>
      <c r="H406" s="14">
        <v>115249</v>
      </c>
      <c r="I406" s="14">
        <v>15</v>
      </c>
      <c r="J406" s="14" t="s">
        <v>320</v>
      </c>
      <c r="K406" s="14" t="s">
        <v>3088</v>
      </c>
      <c r="L406" s="14" t="s">
        <v>3089</v>
      </c>
      <c r="M406" s="14" t="s">
        <v>9158</v>
      </c>
      <c r="N406" s="14" t="s">
        <v>9158</v>
      </c>
      <c r="O406" s="9" t="s">
        <v>3090</v>
      </c>
      <c r="P406" s="14" t="s">
        <v>3091</v>
      </c>
      <c r="Q406" s="14">
        <v>2</v>
      </c>
      <c r="R406" s="14"/>
    </row>
    <row r="407" spans="1:18">
      <c r="A407" s="9" t="s">
        <v>5603</v>
      </c>
      <c r="B407" s="14" t="s">
        <v>330</v>
      </c>
      <c r="C407" s="14" t="s">
        <v>205</v>
      </c>
      <c r="D407" s="14" t="s">
        <v>1868</v>
      </c>
      <c r="E407" s="15" t="str">
        <f>HYPERLINK("https://stat100.ameba.jp/tnk47/ratio20/illustrations/card/ill_61893_0_onikirishumiyamotomusashi03.jpg?201904-5-RELEASE-marathon-406", "■")</f>
        <v>■</v>
      </c>
      <c r="F407" s="14" t="s">
        <v>612</v>
      </c>
      <c r="G407" s="14">
        <v>140016</v>
      </c>
      <c r="H407" s="14">
        <v>130194</v>
      </c>
      <c r="I407" s="14">
        <v>15</v>
      </c>
      <c r="J407" s="14" t="s">
        <v>310</v>
      </c>
      <c r="K407" s="14" t="s">
        <v>613</v>
      </c>
      <c r="L407" s="14" t="s">
        <v>312</v>
      </c>
      <c r="M407" s="14" t="s">
        <v>9158</v>
      </c>
      <c r="N407" s="14" t="s">
        <v>9158</v>
      </c>
      <c r="O407" s="9" t="s">
        <v>3252</v>
      </c>
      <c r="P407" s="14" t="s">
        <v>3253</v>
      </c>
      <c r="Q407" s="14">
        <v>1</v>
      </c>
      <c r="R407" s="14"/>
    </row>
    <row r="408" spans="1:18">
      <c r="A408" s="9" t="s">
        <v>9473</v>
      </c>
      <c r="B408" s="14" t="s">
        <v>330</v>
      </c>
      <c r="C408" s="14" t="s">
        <v>191</v>
      </c>
      <c r="D408" s="14" t="s">
        <v>1072</v>
      </c>
      <c r="E408" s="15" t="str">
        <f>HYPERLINK("https://stat100.ameba.jp/tnk47/ratio20/illustrations/card/ill_46283_0_odanobunaga03.jpg?201904-5-RELEASE-marathon-406", "■")</f>
        <v>■</v>
      </c>
      <c r="F408" s="14" t="s">
        <v>1073</v>
      </c>
      <c r="G408" s="14">
        <v>82212</v>
      </c>
      <c r="H408" s="14">
        <v>87780</v>
      </c>
      <c r="I408" s="14">
        <v>15</v>
      </c>
      <c r="J408" s="14" t="s">
        <v>143</v>
      </c>
      <c r="K408" s="14" t="s">
        <v>1074</v>
      </c>
      <c r="L408" s="14" t="s">
        <v>1075</v>
      </c>
      <c r="M408" s="14" t="s">
        <v>9158</v>
      </c>
      <c r="N408" s="14" t="s">
        <v>9158</v>
      </c>
      <c r="O408" s="14" t="s">
        <v>9158</v>
      </c>
      <c r="P408" s="14" t="s">
        <v>9158</v>
      </c>
      <c r="Q408" s="14" t="s">
        <v>9158</v>
      </c>
      <c r="R408" s="14"/>
    </row>
    <row r="409" spans="1:18">
      <c r="A409" s="9">
        <v>69663</v>
      </c>
      <c r="B409" s="14" t="s">
        <v>0</v>
      </c>
      <c r="C409" s="14" t="s">
        <v>200</v>
      </c>
      <c r="D409" s="14" t="s">
        <v>3568</v>
      </c>
      <c r="E409" s="15" t="str">
        <f>HYPERLINK("https://stat100.ameba.jp/tnk47/ratio20/illustrations/card/ill_69663_massajiuenopandachan03.jpg?201904-5-RELEASE-marathon-406", "■")</f>
        <v>■</v>
      </c>
      <c r="F409" s="14" t="s">
        <v>3569</v>
      </c>
      <c r="G409" s="14">
        <v>90885</v>
      </c>
      <c r="H409" s="14">
        <v>97766</v>
      </c>
      <c r="I409" s="14">
        <v>23</v>
      </c>
      <c r="J409" s="14" t="s">
        <v>229</v>
      </c>
      <c r="K409" s="14" t="s">
        <v>3570</v>
      </c>
      <c r="L409" s="14" t="s">
        <v>13186</v>
      </c>
      <c r="M409" s="14" t="s">
        <v>9158</v>
      </c>
      <c r="N409" s="14" t="s">
        <v>9158</v>
      </c>
      <c r="O409" s="14" t="s">
        <v>9158</v>
      </c>
      <c r="P409" s="14" t="s">
        <v>9158</v>
      </c>
      <c r="Q409" s="14" t="s">
        <v>9158</v>
      </c>
      <c r="R409" s="14"/>
    </row>
    <row r="410" spans="1:18">
      <c r="A410" s="9">
        <v>71613</v>
      </c>
      <c r="B410" s="14" t="s">
        <v>334</v>
      </c>
      <c r="C410" s="14" t="s">
        <v>101</v>
      </c>
      <c r="D410" s="14" t="s">
        <v>4446</v>
      </c>
      <c r="E410" s="15" t="str">
        <f>HYPERLINK("https://stat100.ameba.jp/tnk47/ratio20/illustrations/card/ill_71613_ikegamishuho03.jpg?201904-5-RELEASE-marathon-406", "■")</f>
        <v>■</v>
      </c>
      <c r="F410" s="14" t="s">
        <v>4447</v>
      </c>
      <c r="G410" s="14">
        <v>93263</v>
      </c>
      <c r="H410" s="14">
        <v>86751</v>
      </c>
      <c r="I410" s="14">
        <v>23</v>
      </c>
      <c r="J410" s="14" t="s">
        <v>16</v>
      </c>
      <c r="K410" s="14" t="s">
        <v>4448</v>
      </c>
      <c r="L410" s="14" t="s">
        <v>920</v>
      </c>
      <c r="M410" s="14" t="s">
        <v>9158</v>
      </c>
      <c r="N410" s="14" t="s">
        <v>9158</v>
      </c>
      <c r="O410" s="14" t="s">
        <v>9158</v>
      </c>
      <c r="P410" s="14" t="s">
        <v>9158</v>
      </c>
      <c r="Q410" s="14" t="s">
        <v>9158</v>
      </c>
      <c r="R410" s="14"/>
    </row>
    <row r="411" spans="1:18">
      <c r="A411" s="9">
        <v>75883</v>
      </c>
      <c r="B411" s="14" t="s">
        <v>334</v>
      </c>
      <c r="C411" s="14" t="s">
        <v>154</v>
      </c>
      <c r="D411" s="14" t="s">
        <v>2410</v>
      </c>
      <c r="E411" s="15" t="str">
        <f>HYPERLINK("https://stat100.ameba.jp/tnk47/ratio20/illustrations/card/ill_75883_kitajokagehiro03.jpg?201904-5-RELEASE-marathon-406", "■")</f>
        <v>■</v>
      </c>
      <c r="F411" s="14" t="s">
        <v>2411</v>
      </c>
      <c r="G411" s="14">
        <v>110837</v>
      </c>
      <c r="H411" s="14">
        <v>153022</v>
      </c>
      <c r="I411" s="14">
        <v>23</v>
      </c>
      <c r="J411" s="14" t="s">
        <v>143</v>
      </c>
      <c r="K411" s="14" t="s">
        <v>2412</v>
      </c>
      <c r="L411" s="14" t="s">
        <v>1148</v>
      </c>
      <c r="M411" s="14" t="s">
        <v>9158</v>
      </c>
      <c r="N411" s="14" t="s">
        <v>9158</v>
      </c>
      <c r="O411" s="9" t="s">
        <v>3641</v>
      </c>
      <c r="P411" s="14" t="s">
        <v>3330</v>
      </c>
      <c r="Q411" s="14">
        <v>2</v>
      </c>
      <c r="R411" s="14"/>
    </row>
    <row r="412" spans="1:18">
      <c r="B412" s="14"/>
      <c r="C412" s="14"/>
      <c r="D412" s="14"/>
      <c r="F412" s="14"/>
      <c r="G412" s="14"/>
      <c r="H412" s="14"/>
      <c r="I412" s="14"/>
      <c r="J412" s="14"/>
      <c r="K412" s="14"/>
      <c r="L412" s="14"/>
      <c r="M412" s="14"/>
      <c r="N412" s="14"/>
      <c r="P412" s="14"/>
      <c r="Q412" s="14"/>
      <c r="R412" s="14"/>
    </row>
    <row r="413" spans="1:18">
      <c r="A413" s="14" t="s">
        <v>4065</v>
      </c>
      <c r="D413" s="14"/>
      <c r="F413" s="14"/>
      <c r="G413" s="14"/>
      <c r="H413" s="14"/>
      <c r="I413" s="14"/>
      <c r="J413" s="14"/>
      <c r="K413" s="14"/>
      <c r="L413" s="14"/>
      <c r="M413" s="14"/>
      <c r="N413" s="14"/>
      <c r="P413" s="14"/>
      <c r="Q413" s="14"/>
      <c r="R413" s="14"/>
    </row>
    <row r="414" spans="1:18">
      <c r="A414" s="14" t="s">
        <v>4449</v>
      </c>
      <c r="B414" s="14"/>
      <c r="C414" s="14"/>
      <c r="D414" s="14"/>
      <c r="F414" s="14"/>
      <c r="G414" s="14"/>
      <c r="H414" s="14"/>
      <c r="I414" s="14"/>
      <c r="J414" s="14"/>
      <c r="K414" s="14"/>
      <c r="L414" s="14"/>
      <c r="M414" s="14"/>
      <c r="N414" s="14"/>
      <c r="P414" s="14"/>
      <c r="Q414" s="14"/>
      <c r="R414" s="14"/>
    </row>
    <row r="415" spans="1:18">
      <c r="A415" s="9" t="s">
        <v>5607</v>
      </c>
      <c r="B415" s="14" t="s">
        <v>330</v>
      </c>
      <c r="C415" s="14" t="s">
        <v>271</v>
      </c>
      <c r="D415" s="14" t="s">
        <v>1039</v>
      </c>
      <c r="E415" s="15" t="str">
        <f>HYPERLINK("https://stat100.ameba.jp/tnk47/ratio20/illustrations/card/ill_58853_0_setsubumpanikkuhiratsukaraicho03.jpg?201904-5-RELEASE-marathon-406", "■")</f>
        <v>■</v>
      </c>
      <c r="F415" s="14" t="s">
        <v>422</v>
      </c>
      <c r="G415" s="14">
        <v>150776</v>
      </c>
      <c r="H415" s="14">
        <v>133938</v>
      </c>
      <c r="I415" s="14">
        <v>24</v>
      </c>
      <c r="J415" s="14" t="s">
        <v>414</v>
      </c>
      <c r="K415" s="14" t="s">
        <v>423</v>
      </c>
      <c r="L415" s="14" t="s">
        <v>424</v>
      </c>
      <c r="M415" s="14" t="s">
        <v>9158</v>
      </c>
      <c r="N415" s="14" t="s">
        <v>9158</v>
      </c>
      <c r="O415" s="17" t="s">
        <v>10059</v>
      </c>
      <c r="P415" s="14" t="s">
        <v>2870</v>
      </c>
      <c r="Q415" s="14">
        <v>1</v>
      </c>
      <c r="R415" s="14"/>
    </row>
    <row r="416" spans="1:18">
      <c r="A416" s="9">
        <v>58343</v>
      </c>
      <c r="B416" s="14" t="s">
        <v>334</v>
      </c>
      <c r="C416" s="14" t="s">
        <v>268</v>
      </c>
      <c r="D416" s="14" t="s">
        <v>1792</v>
      </c>
      <c r="E416" s="15" t="str">
        <f>HYPERLINK("https://stat100.ameba.jp/tnk47/ratio20/illustrations/card/ill_58343_agemakidayu03.jpg?201904-5-RELEASE-marathon-406", "■")</f>
        <v>■</v>
      </c>
      <c r="F416" s="14" t="s">
        <v>586</v>
      </c>
      <c r="G416" s="14">
        <v>90796</v>
      </c>
      <c r="H416" s="14">
        <v>66574</v>
      </c>
      <c r="I416" s="14">
        <v>22</v>
      </c>
      <c r="J416" s="14" t="s">
        <v>274</v>
      </c>
      <c r="K416" s="14" t="s">
        <v>587</v>
      </c>
      <c r="L416" s="14" t="s">
        <v>588</v>
      </c>
      <c r="M416" s="14" t="s">
        <v>9158</v>
      </c>
      <c r="N416" s="14" t="s">
        <v>9158</v>
      </c>
      <c r="O416" s="9" t="s">
        <v>2912</v>
      </c>
      <c r="P416" s="14" t="s">
        <v>13122</v>
      </c>
      <c r="Q416" s="14">
        <v>1</v>
      </c>
      <c r="R416" s="14"/>
    </row>
    <row r="417" spans="1:18">
      <c r="A417" s="9">
        <v>71333</v>
      </c>
      <c r="B417" s="14" t="s">
        <v>0</v>
      </c>
      <c r="C417" s="14" t="s">
        <v>41</v>
      </c>
      <c r="D417" s="14" t="s">
        <v>57</v>
      </c>
      <c r="E417" s="15" t="str">
        <f>HYPERLINK("https://stat100.ameba.jp/tnk47/ratio20/illustrations/card/ill_71333_fujiwaranokamatari03.jpg?201904-5-RELEASE-marathon-406", "■")</f>
        <v>■</v>
      </c>
      <c r="F417" s="14" t="s">
        <v>58</v>
      </c>
      <c r="G417" s="14">
        <v>96148</v>
      </c>
      <c r="H417" s="14">
        <v>69652</v>
      </c>
      <c r="I417" s="14">
        <v>22</v>
      </c>
      <c r="J417" s="14" t="s">
        <v>10</v>
      </c>
      <c r="K417" s="14" t="s">
        <v>59</v>
      </c>
      <c r="L417" s="14" t="s">
        <v>60</v>
      </c>
      <c r="M417" s="14" t="s">
        <v>9158</v>
      </c>
      <c r="N417" s="14" t="s">
        <v>9158</v>
      </c>
      <c r="O417" s="9" t="s">
        <v>3490</v>
      </c>
      <c r="P417" s="14" t="s">
        <v>3491</v>
      </c>
      <c r="Q417" s="14">
        <v>1</v>
      </c>
      <c r="R417" s="14"/>
    </row>
    <row r="418" spans="1:18">
      <c r="A418" s="9">
        <v>59423</v>
      </c>
      <c r="B418" s="14" t="s">
        <v>334</v>
      </c>
      <c r="C418" s="14" t="s">
        <v>154</v>
      </c>
      <c r="D418" s="14" t="s">
        <v>1346</v>
      </c>
      <c r="E418" s="15" t="str">
        <f>HYPERLINK("https://stat100.ameba.jp/tnk47/ratio20/illustrations/card/ill_59423_yuishosetsu03.jpg?201904-5-RELEASE-marathon-406", "■")</f>
        <v>■</v>
      </c>
      <c r="F418" s="14" t="s">
        <v>1490</v>
      </c>
      <c r="G418" s="14">
        <v>99846</v>
      </c>
      <c r="H418" s="14">
        <v>72340</v>
      </c>
      <c r="I418" s="14">
        <v>22</v>
      </c>
      <c r="J418" s="14" t="s">
        <v>159</v>
      </c>
      <c r="K418" s="14" t="s">
        <v>1347</v>
      </c>
      <c r="L418" s="14" t="s">
        <v>13159</v>
      </c>
      <c r="M418" s="14" t="s">
        <v>9158</v>
      </c>
      <c r="N418" s="14" t="s">
        <v>9158</v>
      </c>
      <c r="O418" s="9" t="s">
        <v>3414</v>
      </c>
      <c r="P418" s="14" t="s">
        <v>13122</v>
      </c>
      <c r="Q418" s="14">
        <v>1</v>
      </c>
      <c r="R418" s="14"/>
    </row>
    <row r="419" spans="1:18">
      <c r="B419" s="14"/>
      <c r="C419" s="14"/>
      <c r="D419" s="14"/>
      <c r="F419" s="14"/>
      <c r="G419" s="14"/>
      <c r="H419" s="14"/>
      <c r="I419" s="14"/>
      <c r="J419" s="14"/>
      <c r="K419" s="14"/>
      <c r="L419" s="14"/>
      <c r="M419" s="14"/>
      <c r="N419" s="14"/>
      <c r="P419" s="14"/>
      <c r="Q419" s="14"/>
      <c r="R419" s="14"/>
    </row>
    <row r="420" spans="1:18">
      <c r="A420" s="14" t="s">
        <v>4450</v>
      </c>
      <c r="F420" s="14"/>
      <c r="G420" s="14"/>
      <c r="H420" s="14"/>
      <c r="I420" s="14"/>
      <c r="J420" s="14"/>
      <c r="K420" s="14"/>
      <c r="L420" s="14"/>
      <c r="M420" s="14"/>
      <c r="N420" s="14"/>
      <c r="P420" s="14"/>
      <c r="Q420" s="14"/>
      <c r="R420" s="14"/>
    </row>
    <row r="421" spans="1:18">
      <c r="A421" s="14" t="s">
        <v>4451</v>
      </c>
      <c r="B421" s="14"/>
      <c r="C421" s="14"/>
      <c r="D421" s="14"/>
      <c r="F421" s="14"/>
      <c r="G421" s="14"/>
      <c r="H421" s="14"/>
      <c r="I421" s="14"/>
      <c r="J421" s="14"/>
      <c r="K421" s="14"/>
      <c r="L421" s="14"/>
      <c r="M421" s="14"/>
      <c r="N421" s="14"/>
      <c r="P421" s="14"/>
      <c r="Q421" s="14"/>
      <c r="R421" s="14"/>
    </row>
    <row r="422" spans="1:18">
      <c r="A422" s="14" t="s">
        <v>11487</v>
      </c>
      <c r="B422" s="14"/>
      <c r="C422" s="14"/>
      <c r="D422" s="14"/>
      <c r="F422" s="14"/>
      <c r="G422" s="14"/>
      <c r="H422" s="14"/>
      <c r="I422" s="14"/>
      <c r="J422" s="14"/>
      <c r="K422" s="14"/>
      <c r="L422" s="14"/>
      <c r="M422" s="14"/>
      <c r="N422" s="14"/>
      <c r="P422" s="14"/>
      <c r="Q422" s="14"/>
      <c r="R422" s="14"/>
    </row>
    <row r="423" spans="1:18">
      <c r="A423" s="9" t="s">
        <v>6905</v>
      </c>
      <c r="B423" s="14" t="s">
        <v>330</v>
      </c>
      <c r="C423" s="14" t="s">
        <v>35</v>
      </c>
      <c r="D423" s="14" t="s">
        <v>4161</v>
      </c>
      <c r="E423" s="15" t="str">
        <f>HYPERLINK("https://stat100.ameba.jp/tnk47/ratio20/illustrations/card/ill_80623_0_ohanamigurampingutominushihime03.jpg?201905-1-RELEASE-raid-407", "■")</f>
        <v>■</v>
      </c>
      <c r="F423" s="14" t="s">
        <v>4162</v>
      </c>
      <c r="G423" s="14">
        <v>180796</v>
      </c>
      <c r="H423" s="14">
        <v>163420</v>
      </c>
      <c r="I423" s="14">
        <v>15</v>
      </c>
      <c r="J423" s="14" t="s">
        <v>44</v>
      </c>
      <c r="K423" s="14" t="s">
        <v>4163</v>
      </c>
      <c r="L423" s="14" t="s">
        <v>4164</v>
      </c>
      <c r="M423" s="14" t="s">
        <v>9158</v>
      </c>
      <c r="N423" s="14" t="s">
        <v>9158</v>
      </c>
      <c r="O423" s="9" t="s">
        <v>4165</v>
      </c>
      <c r="P423" s="14" t="s">
        <v>4166</v>
      </c>
      <c r="Q423" s="14">
        <v>1</v>
      </c>
      <c r="R423" s="14"/>
    </row>
    <row r="424" spans="1:18">
      <c r="A424" s="9">
        <v>80943</v>
      </c>
      <c r="B424" s="14" t="s">
        <v>334</v>
      </c>
      <c r="C424" s="14" t="s">
        <v>107</v>
      </c>
      <c r="D424" s="14" t="s">
        <v>4452</v>
      </c>
      <c r="E424" s="15" t="str">
        <f>HYPERLINK("https://stat100.ameba.jp/tnk47/ratio20/illustrations/card/ill_80943_shinshakaijimburakkuparu03.jpg?201905-1-RELEASE-raid-407", "■")</f>
        <v>■</v>
      </c>
      <c r="F424" s="14" t="s">
        <v>4453</v>
      </c>
      <c r="G424" s="14">
        <v>89839</v>
      </c>
      <c r="H424" s="14">
        <v>83499</v>
      </c>
      <c r="I424" s="14">
        <v>23</v>
      </c>
      <c r="J424" s="14" t="s">
        <v>16</v>
      </c>
      <c r="K424" s="14" t="s">
        <v>4454</v>
      </c>
      <c r="L424" s="14" t="s">
        <v>4455</v>
      </c>
      <c r="M424" s="14" t="s">
        <v>9158</v>
      </c>
      <c r="N424" s="14" t="s">
        <v>9158</v>
      </c>
      <c r="O424" s="14" t="s">
        <v>9158</v>
      </c>
      <c r="P424" s="14" t="s">
        <v>9158</v>
      </c>
      <c r="Q424" s="14" t="s">
        <v>9158</v>
      </c>
      <c r="R424" s="14"/>
    </row>
    <row r="425" spans="1:18">
      <c r="A425" s="9">
        <v>80953</v>
      </c>
      <c r="B425" s="14" t="s">
        <v>15</v>
      </c>
      <c r="C425" s="14" t="s">
        <v>101</v>
      </c>
      <c r="D425" s="14" t="s">
        <v>4456</v>
      </c>
      <c r="E425" s="15" t="str">
        <f>HYPERLINK("https://stat100.ameba.jp/tnk47/ratio20/illustrations/card/ill_80953_akazomemon03.jpg?201905-1-RELEASE-raid-407", "■")</f>
        <v>■</v>
      </c>
      <c r="F425" s="14" t="s">
        <v>4457</v>
      </c>
      <c r="G425" s="14">
        <v>59144</v>
      </c>
      <c r="H425" s="14">
        <v>65208</v>
      </c>
      <c r="I425" s="14">
        <v>22</v>
      </c>
      <c r="J425" s="14" t="s">
        <v>10</v>
      </c>
      <c r="K425" s="14" t="s">
        <v>4458</v>
      </c>
      <c r="L425" s="14" t="s">
        <v>3337</v>
      </c>
      <c r="M425" s="14" t="s">
        <v>9158</v>
      </c>
      <c r="N425" s="14" t="s">
        <v>9158</v>
      </c>
      <c r="O425" s="14" t="s">
        <v>9158</v>
      </c>
      <c r="P425" s="14" t="s">
        <v>9158</v>
      </c>
      <c r="Q425" s="14" t="s">
        <v>9158</v>
      </c>
      <c r="R425" s="14"/>
    </row>
    <row r="426" spans="1:18">
      <c r="A426" s="9">
        <v>80963</v>
      </c>
      <c r="B426" s="14" t="s">
        <v>22</v>
      </c>
      <c r="C426" s="14" t="s">
        <v>23</v>
      </c>
      <c r="D426" s="14" t="s">
        <v>4459</v>
      </c>
      <c r="E426" s="15" t="str">
        <f>HYPERLINK("https://stat100.ameba.jp/tnk47/ratio20/illustrations/card/ill_80963_resukyuiinaomasa03.jpg?201905-1-RELEASE-raid-407", "■")</f>
        <v>■</v>
      </c>
      <c r="F426" s="14" t="s">
        <v>4465</v>
      </c>
      <c r="G426" s="14">
        <v>43662</v>
      </c>
      <c r="H426" s="14">
        <v>36304</v>
      </c>
      <c r="I426" s="14">
        <v>21</v>
      </c>
      <c r="J426" s="14" t="s">
        <v>143</v>
      </c>
      <c r="K426" s="14" t="s">
        <v>4460</v>
      </c>
      <c r="L426" s="14" t="s">
        <v>4461</v>
      </c>
      <c r="M426" s="14" t="s">
        <v>9158</v>
      </c>
      <c r="N426" s="14" t="s">
        <v>9158</v>
      </c>
      <c r="O426" s="14" t="s">
        <v>9158</v>
      </c>
      <c r="P426" s="14" t="s">
        <v>9158</v>
      </c>
      <c r="Q426" s="14" t="s">
        <v>9158</v>
      </c>
      <c r="R426" s="14"/>
    </row>
    <row r="427" spans="1:18">
      <c r="A427" s="9">
        <v>80973</v>
      </c>
      <c r="B427" s="14" t="s">
        <v>30</v>
      </c>
      <c r="C427" s="14" t="s">
        <v>4463</v>
      </c>
      <c r="D427" s="14" t="s">
        <v>4462</v>
      </c>
      <c r="E427" s="15" t="str">
        <f>HYPERLINK("https://stat100.ameba.jp/tnk47/ratio20/illustrations/card/ill_80973_shireitoukujoutakeko03.jpg?201905-1-RELEASE-raid-407", "■")</f>
        <v>■</v>
      </c>
      <c r="F427" s="14" t="s">
        <v>4464</v>
      </c>
      <c r="G427" s="14">
        <v>22200</v>
      </c>
      <c r="H427" s="14">
        <v>26434</v>
      </c>
      <c r="I427" s="14">
        <v>21</v>
      </c>
      <c r="J427" s="14" t="s">
        <v>159</v>
      </c>
      <c r="K427" s="14" t="s">
        <v>4466</v>
      </c>
      <c r="L427" s="14" t="s">
        <v>3694</v>
      </c>
      <c r="M427" s="14" t="s">
        <v>9158</v>
      </c>
      <c r="N427" s="14" t="s">
        <v>9158</v>
      </c>
      <c r="O427" s="14" t="s">
        <v>9158</v>
      </c>
      <c r="P427" s="14" t="s">
        <v>9158</v>
      </c>
      <c r="Q427" s="14" t="s">
        <v>9158</v>
      </c>
      <c r="R427" s="14"/>
    </row>
    <row r="428" spans="1:18">
      <c r="B428" s="14"/>
      <c r="C428" s="14"/>
      <c r="D428" s="14"/>
      <c r="F428" s="14"/>
      <c r="G428" s="14"/>
      <c r="H428" s="14"/>
      <c r="I428" s="14"/>
      <c r="J428" s="14"/>
      <c r="K428" s="14"/>
      <c r="L428" s="14"/>
      <c r="M428" s="14"/>
      <c r="N428" s="14"/>
      <c r="P428" s="14"/>
      <c r="Q428" s="14"/>
      <c r="R428" s="14"/>
    </row>
    <row r="429" spans="1:18">
      <c r="A429" s="14" t="s">
        <v>1357</v>
      </c>
      <c r="D429" s="14"/>
      <c r="F429" s="14"/>
      <c r="G429" s="14"/>
      <c r="H429" s="14"/>
      <c r="I429" s="14"/>
      <c r="J429" s="14"/>
      <c r="K429" s="14"/>
      <c r="L429" s="14"/>
      <c r="M429" s="14"/>
      <c r="N429" s="14"/>
      <c r="P429" s="14"/>
      <c r="Q429" s="14"/>
      <c r="R429" s="14"/>
    </row>
    <row r="430" spans="1:18">
      <c r="A430" s="14" t="s">
        <v>4467</v>
      </c>
      <c r="B430" s="14"/>
      <c r="C430" s="14"/>
      <c r="D430" s="14"/>
      <c r="F430" s="14"/>
      <c r="G430" s="14"/>
      <c r="H430" s="14"/>
      <c r="I430" s="14"/>
      <c r="J430" s="14"/>
      <c r="K430" s="14"/>
      <c r="L430" s="14"/>
      <c r="M430" s="14"/>
      <c r="N430" s="14"/>
      <c r="P430" s="14"/>
      <c r="Q430" s="14"/>
      <c r="R430" s="14"/>
    </row>
    <row r="431" spans="1:18">
      <c r="A431" s="9" t="s">
        <v>5778</v>
      </c>
      <c r="B431" s="14" t="s">
        <v>330</v>
      </c>
      <c r="C431" s="14" t="s">
        <v>205</v>
      </c>
      <c r="D431" s="14" t="s">
        <v>272</v>
      </c>
      <c r="E431" s="15" t="str">
        <f>HYPERLINK("https://stat100.ameba.jp/tnk47/ratio20/illustrations/card/ill_68783_0_gantammomotaro03.jpg?201905-1-RELEASE-raid-407", "■")</f>
        <v>■</v>
      </c>
      <c r="F431" s="14" t="s">
        <v>273</v>
      </c>
      <c r="G431" s="14">
        <v>102590</v>
      </c>
      <c r="H431" s="14">
        <v>95371</v>
      </c>
      <c r="I431" s="14">
        <v>15</v>
      </c>
      <c r="J431" s="14" t="s">
        <v>274</v>
      </c>
      <c r="K431" s="14" t="s">
        <v>275</v>
      </c>
      <c r="L431" s="14" t="s">
        <v>276</v>
      </c>
      <c r="M431" s="14" t="s">
        <v>9158</v>
      </c>
      <c r="N431" s="14" t="s">
        <v>9158</v>
      </c>
      <c r="O431" s="17" t="s">
        <v>9992</v>
      </c>
      <c r="P431" s="14" t="s">
        <v>3085</v>
      </c>
      <c r="Q431" s="14">
        <v>1</v>
      </c>
      <c r="R431" s="14"/>
    </row>
    <row r="432" spans="1:18">
      <c r="A432" s="9" t="s">
        <v>5901</v>
      </c>
      <c r="B432" s="14" t="s">
        <v>52</v>
      </c>
      <c r="C432" s="14" t="s">
        <v>101</v>
      </c>
      <c r="D432" s="14" t="s">
        <v>2089</v>
      </c>
      <c r="E432" s="15" t="str">
        <f>HYPERLINK("https://stat100.ameba.jp/tnk47/ratio20/illustrations/card/ill_64953_0_yukatatokugawayoshinobu03.jpg?201905-1-RELEASE-raid-407", "■")</f>
        <v>■</v>
      </c>
      <c r="F432" s="14" t="s">
        <v>2090</v>
      </c>
      <c r="G432" s="14">
        <v>93450</v>
      </c>
      <c r="H432" s="14">
        <v>100502</v>
      </c>
      <c r="I432" s="14">
        <v>15</v>
      </c>
      <c r="J432" s="14" t="s">
        <v>10</v>
      </c>
      <c r="K432" s="14" t="s">
        <v>2091</v>
      </c>
      <c r="L432" s="14" t="s">
        <v>2092</v>
      </c>
      <c r="M432" s="14" t="s">
        <v>9158</v>
      </c>
      <c r="N432" s="14" t="s">
        <v>9158</v>
      </c>
      <c r="O432" s="9" t="s">
        <v>2889</v>
      </c>
      <c r="P432" s="14" t="s">
        <v>2890</v>
      </c>
      <c r="Q432" s="14">
        <v>1</v>
      </c>
      <c r="R432" s="14"/>
    </row>
    <row r="433" spans="1:18">
      <c r="A433" s="9" t="s">
        <v>5820</v>
      </c>
      <c r="B433" s="14" t="s">
        <v>330</v>
      </c>
      <c r="C433" s="14" t="s">
        <v>271</v>
      </c>
      <c r="D433" s="14" t="s">
        <v>2346</v>
      </c>
      <c r="E433" s="15" t="str">
        <f>HYPERLINK("https://stat100.ameba.jp/tnk47/ratio20/illustrations/card/ill_48283_0_kyuubitamamonomae03.jpg?201905-1-RELEASE-raid-407", "■")</f>
        <v>■</v>
      </c>
      <c r="F433" s="14" t="s">
        <v>631</v>
      </c>
      <c r="G433" s="14">
        <v>94236</v>
      </c>
      <c r="H433" s="14">
        <v>83712</v>
      </c>
      <c r="I433" s="14">
        <v>15</v>
      </c>
      <c r="J433" s="14" t="s">
        <v>320</v>
      </c>
      <c r="K433" s="14" t="s">
        <v>632</v>
      </c>
      <c r="L433" s="14" t="s">
        <v>633</v>
      </c>
      <c r="M433" s="14" t="s">
        <v>9158</v>
      </c>
      <c r="N433" s="14" t="s">
        <v>9158</v>
      </c>
      <c r="O433" s="14" t="s">
        <v>9158</v>
      </c>
      <c r="P433" s="14" t="s">
        <v>9158</v>
      </c>
      <c r="Q433" s="14" t="s">
        <v>9158</v>
      </c>
      <c r="R433" s="14"/>
    </row>
    <row r="434" spans="1:18">
      <c r="A434" s="9">
        <v>76963</v>
      </c>
      <c r="B434" s="14" t="s">
        <v>334</v>
      </c>
      <c r="C434" s="14" t="s">
        <v>154</v>
      </c>
      <c r="D434" s="14" t="s">
        <v>2891</v>
      </c>
      <c r="E434" s="15" t="str">
        <f>HYPERLINK("https://stat100.ameba.jp/tnk47/ratio20/illustrations/card/ill_76963_pavariaojo03.jpg?201905-1-RELEASE-raid-407", "■")</f>
        <v>■</v>
      </c>
      <c r="F434" s="14" t="s">
        <v>2892</v>
      </c>
      <c r="G434" s="14">
        <v>110924</v>
      </c>
      <c r="H434" s="14">
        <v>62414</v>
      </c>
      <c r="I434" s="14">
        <v>23</v>
      </c>
      <c r="J434" s="14" t="s">
        <v>315</v>
      </c>
      <c r="K434" s="14" t="s">
        <v>2893</v>
      </c>
      <c r="L434" s="14" t="s">
        <v>1432</v>
      </c>
      <c r="M434" s="14" t="s">
        <v>9158</v>
      </c>
      <c r="N434" s="14" t="s">
        <v>9158</v>
      </c>
      <c r="O434" s="14" t="s">
        <v>9158</v>
      </c>
      <c r="P434" s="14" t="s">
        <v>9158</v>
      </c>
      <c r="Q434" s="14" t="s">
        <v>9158</v>
      </c>
      <c r="R434" s="14"/>
    </row>
    <row r="435" spans="1:18">
      <c r="A435" s="9">
        <v>75213</v>
      </c>
      <c r="B435" s="14" t="s">
        <v>0</v>
      </c>
      <c r="C435" s="14" t="s">
        <v>41</v>
      </c>
      <c r="D435" s="14" t="s">
        <v>3797</v>
      </c>
      <c r="E435" s="15" t="str">
        <f>HYPERLINK("https://stat100.ameba.jp/tnk47/ratio20/illustrations/card/ill_75213_rengokunoshishapuratea03.jpg?201905-1-RELEASE-raid-407", "■")</f>
        <v>■</v>
      </c>
      <c r="F435" s="14" t="s">
        <v>3798</v>
      </c>
      <c r="G435" s="14">
        <v>88625</v>
      </c>
      <c r="H435" s="14">
        <v>95322</v>
      </c>
      <c r="I435" s="14">
        <v>23</v>
      </c>
      <c r="J435" s="14" t="s">
        <v>73</v>
      </c>
      <c r="K435" s="14" t="s">
        <v>3799</v>
      </c>
      <c r="L435" s="14" t="s">
        <v>3379</v>
      </c>
      <c r="M435" s="14" t="s">
        <v>9158</v>
      </c>
      <c r="N435" s="14" t="s">
        <v>9158</v>
      </c>
      <c r="O435" s="9" t="s">
        <v>3800</v>
      </c>
      <c r="P435" s="14" t="s">
        <v>13189</v>
      </c>
      <c r="Q435" s="14">
        <v>1</v>
      </c>
      <c r="R435" s="14"/>
    </row>
    <row r="436" spans="1:18">
      <c r="A436" s="9">
        <v>75193</v>
      </c>
      <c r="B436" s="14" t="s">
        <v>334</v>
      </c>
      <c r="C436" s="14" t="s">
        <v>269</v>
      </c>
      <c r="D436" s="14" t="s">
        <v>1935</v>
      </c>
      <c r="E436" s="15" t="str">
        <f>HYPERLINK("https://stat100.ameba.jp/tnk47/ratio20/illustrations/card/ill_75193_rabanommyonojiomansa03.jpg?201905-1-RELEASE-raid-407", "■")</f>
        <v>■</v>
      </c>
      <c r="F436" s="14" t="s">
        <v>490</v>
      </c>
      <c r="G436" s="14">
        <v>88403</v>
      </c>
      <c r="H436" s="14">
        <v>95068</v>
      </c>
      <c r="I436" s="14">
        <v>23</v>
      </c>
      <c r="J436" s="14" t="s">
        <v>401</v>
      </c>
      <c r="K436" s="14" t="s">
        <v>491</v>
      </c>
      <c r="L436" s="14" t="s">
        <v>492</v>
      </c>
      <c r="M436" s="14" t="s">
        <v>9158</v>
      </c>
      <c r="N436" s="14" t="s">
        <v>9158</v>
      </c>
      <c r="O436" s="14" t="s">
        <v>9158</v>
      </c>
      <c r="P436" s="14" t="s">
        <v>9158</v>
      </c>
      <c r="Q436" s="14" t="s">
        <v>9158</v>
      </c>
      <c r="R436" s="14"/>
    </row>
    <row r="437" spans="1:18">
      <c r="A437" s="9">
        <v>60863</v>
      </c>
      <c r="B437" s="14" t="s">
        <v>15</v>
      </c>
      <c r="C437" s="14" t="s">
        <v>205</v>
      </c>
      <c r="D437" s="14" t="s">
        <v>974</v>
      </c>
      <c r="E437" s="15" t="str">
        <f>HYPERLINK("https://stat100.ameba.jp/tnk47/ratio20/illustrations/card/ill_60863_hieinihonrisuchan03.jpg?201905-1-RELEASE-raid-407", "■")</f>
        <v>■</v>
      </c>
      <c r="F437" s="14" t="s">
        <v>975</v>
      </c>
      <c r="G437" s="14">
        <v>59144</v>
      </c>
      <c r="H437" s="14">
        <v>65208</v>
      </c>
      <c r="I437" s="14">
        <v>22</v>
      </c>
      <c r="J437" s="14" t="s">
        <v>26</v>
      </c>
      <c r="K437" s="14" t="s">
        <v>976</v>
      </c>
      <c r="L437" s="14" t="s">
        <v>977</v>
      </c>
      <c r="M437" s="14" t="s">
        <v>9158</v>
      </c>
      <c r="N437" s="14" t="s">
        <v>9158</v>
      </c>
      <c r="O437" s="14" t="s">
        <v>9158</v>
      </c>
      <c r="P437" s="14" t="s">
        <v>9158</v>
      </c>
      <c r="Q437" s="14" t="s">
        <v>9158</v>
      </c>
      <c r="R437" s="14"/>
    </row>
    <row r="438" spans="1:18">
      <c r="A438" s="9">
        <v>66873</v>
      </c>
      <c r="B438" s="14" t="s">
        <v>15</v>
      </c>
      <c r="C438" s="14" t="s">
        <v>191</v>
      </c>
      <c r="D438" s="14" t="s">
        <v>929</v>
      </c>
      <c r="E438" s="15" t="str">
        <f>HYPERLINK("https://stat100.ameba.jp/tnk47/ratio20/illustrations/card/ill_66873_haikaramomijinishigorinotsubone03.jpg?201905-1-RELEASE-raid-407", "■")</f>
        <v>■</v>
      </c>
      <c r="F438" s="14" t="s">
        <v>930</v>
      </c>
      <c r="G438" s="14">
        <v>65208</v>
      </c>
      <c r="H438" s="14">
        <v>59144</v>
      </c>
      <c r="I438" s="14">
        <v>22</v>
      </c>
      <c r="J438" s="14" t="s">
        <v>77</v>
      </c>
      <c r="K438" s="14" t="s">
        <v>931</v>
      </c>
      <c r="L438" s="14" t="s">
        <v>932</v>
      </c>
      <c r="M438" s="14" t="s">
        <v>9158</v>
      </c>
      <c r="N438" s="14" t="s">
        <v>9158</v>
      </c>
      <c r="O438" s="14" t="s">
        <v>9158</v>
      </c>
      <c r="P438" s="14" t="s">
        <v>9158</v>
      </c>
      <c r="Q438" s="14" t="s">
        <v>9158</v>
      </c>
      <c r="R438" s="14"/>
    </row>
    <row r="439" spans="1:18">
      <c r="A439" s="9">
        <v>77363</v>
      </c>
      <c r="B439" s="14" t="s">
        <v>348</v>
      </c>
      <c r="C439" s="14" t="s">
        <v>185</v>
      </c>
      <c r="D439" s="14" t="s">
        <v>1533</v>
      </c>
      <c r="E439" s="15" t="str">
        <f>HYPERLINK("https://stat100.ameba.jp/tnk47/ratio20/illustrations/card/ill_77363_samonchan03.jpg?201905-1-RELEASE-raid-407", "■")</f>
        <v>■</v>
      </c>
      <c r="F439" s="14" t="s">
        <v>1534</v>
      </c>
      <c r="G439" s="14">
        <v>65208</v>
      </c>
      <c r="H439" s="14">
        <v>59144</v>
      </c>
      <c r="I439" s="14">
        <v>22</v>
      </c>
      <c r="J439" s="14" t="s">
        <v>283</v>
      </c>
      <c r="K439" s="14" t="s">
        <v>1535</v>
      </c>
      <c r="L439" s="14" t="s">
        <v>1536</v>
      </c>
      <c r="M439" s="14" t="s">
        <v>9158</v>
      </c>
      <c r="N439" s="14" t="s">
        <v>9158</v>
      </c>
      <c r="O439" s="14" t="s">
        <v>9158</v>
      </c>
      <c r="P439" s="14" t="s">
        <v>9158</v>
      </c>
      <c r="Q439" s="14" t="s">
        <v>9158</v>
      </c>
      <c r="R439" s="14"/>
    </row>
    <row r="440" spans="1:18">
      <c r="B440" s="14"/>
      <c r="C440" s="14"/>
      <c r="D440" s="14"/>
      <c r="F440" s="14"/>
      <c r="G440" s="14"/>
      <c r="H440" s="14"/>
      <c r="I440" s="14"/>
      <c r="J440" s="14"/>
      <c r="K440" s="14"/>
      <c r="L440" s="14"/>
      <c r="M440" s="14"/>
      <c r="N440" s="14"/>
      <c r="P440" s="14"/>
      <c r="Q440" s="14"/>
      <c r="R440" s="14"/>
    </row>
    <row r="441" spans="1:18">
      <c r="A441" s="14" t="s">
        <v>222</v>
      </c>
      <c r="D441" s="14"/>
      <c r="F441" s="14"/>
      <c r="G441" s="14"/>
      <c r="H441" s="14"/>
      <c r="I441" s="14"/>
      <c r="J441" s="14"/>
      <c r="K441" s="14"/>
      <c r="L441" s="14"/>
      <c r="M441" s="14"/>
      <c r="N441" s="14"/>
      <c r="P441" s="14"/>
      <c r="Q441" s="14"/>
      <c r="R441" s="14"/>
    </row>
    <row r="442" spans="1:18">
      <c r="A442" s="14" t="s">
        <v>4469</v>
      </c>
      <c r="B442" s="14"/>
      <c r="C442" s="14"/>
      <c r="D442" s="14"/>
      <c r="F442" s="14"/>
      <c r="G442" s="14"/>
      <c r="H442" s="14"/>
      <c r="I442" s="14"/>
      <c r="J442" s="14"/>
      <c r="K442" s="14"/>
      <c r="L442" s="14"/>
      <c r="M442" s="14"/>
      <c r="N442" s="14"/>
      <c r="P442" s="14"/>
      <c r="Q442" s="14"/>
      <c r="R442" s="14"/>
    </row>
    <row r="443" spans="1:18">
      <c r="A443" s="9" t="s">
        <v>5724</v>
      </c>
      <c r="B443" s="14" t="s">
        <v>52</v>
      </c>
      <c r="C443" s="14" t="s">
        <v>185</v>
      </c>
      <c r="D443" s="14" t="s">
        <v>1242</v>
      </c>
      <c r="E443" s="15" t="str">
        <f>HYPERLINK("https://stat100.ameba.jp/tnk47/ratio20/illustrations/card/ill_66433_0_haroinfujishirogozen03.jpg?201905-1-RELEASE-raid-407", "■")</f>
        <v>■</v>
      </c>
      <c r="F443" s="14" t="s">
        <v>1243</v>
      </c>
      <c r="G443" s="14">
        <v>116289</v>
      </c>
      <c r="H443" s="14">
        <v>125083</v>
      </c>
      <c r="I443" s="14">
        <v>19</v>
      </c>
      <c r="J443" s="14" t="s">
        <v>77</v>
      </c>
      <c r="K443" s="14" t="s">
        <v>1244</v>
      </c>
      <c r="L443" s="14" t="s">
        <v>1245</v>
      </c>
      <c r="M443" s="14" t="s">
        <v>9158</v>
      </c>
      <c r="N443" s="14" t="s">
        <v>9158</v>
      </c>
      <c r="O443" s="17" t="s">
        <v>10062</v>
      </c>
      <c r="P443" s="14" t="s">
        <v>3345</v>
      </c>
      <c r="Q443" s="14">
        <v>1</v>
      </c>
      <c r="R443" s="14"/>
    </row>
    <row r="444" spans="1:18">
      <c r="A444" s="9" t="s">
        <v>6132</v>
      </c>
      <c r="B444" s="14" t="s">
        <v>330</v>
      </c>
      <c r="C444" s="14" t="s">
        <v>1</v>
      </c>
      <c r="D444" s="14" t="s">
        <v>2281</v>
      </c>
      <c r="E444" s="15" t="str">
        <f>HYPERLINK("https://stat100.ameba.jp/tnk47/ratio20/illustrations/card/ill_50693_0_hanamizugimimuratsuru03.jpg?201905-1-RELEASE-raid-407", "■")</f>
        <v>■</v>
      </c>
      <c r="F444" s="14" t="s">
        <v>2282</v>
      </c>
      <c r="G444" s="14">
        <v>106034</v>
      </c>
      <c r="H444" s="14">
        <v>119364</v>
      </c>
      <c r="I444" s="14">
        <v>19</v>
      </c>
      <c r="J444" s="14" t="s">
        <v>143</v>
      </c>
      <c r="K444" s="14" t="s">
        <v>2283</v>
      </c>
      <c r="L444" s="14" t="s">
        <v>2284</v>
      </c>
      <c r="M444" s="14" t="s">
        <v>9158</v>
      </c>
      <c r="N444" s="14" t="s">
        <v>9158</v>
      </c>
      <c r="O444" s="14" t="s">
        <v>9158</v>
      </c>
      <c r="P444" s="14" t="s">
        <v>9158</v>
      </c>
      <c r="Q444" s="14" t="s">
        <v>9158</v>
      </c>
      <c r="R444" s="14"/>
    </row>
    <row r="445" spans="1:18">
      <c r="A445" s="9">
        <v>76971</v>
      </c>
      <c r="B445" s="14" t="s">
        <v>334</v>
      </c>
      <c r="C445" s="14" t="s">
        <v>154</v>
      </c>
      <c r="D445" s="14" t="s">
        <v>3278</v>
      </c>
      <c r="E445" s="15" t="str">
        <f>HYPERLINK("https://stat100.ameba.jp/tnk47/ratio20/illustrations/card/ill_76971_higashinokaidanengi01.jpg?201905-1-RELEASE-raid-407", "■")</f>
        <v>■</v>
      </c>
      <c r="F445" s="14" t="s">
        <v>3279</v>
      </c>
      <c r="G445" s="14">
        <v>50715</v>
      </c>
      <c r="H445" s="14">
        <v>54947</v>
      </c>
      <c r="I445" s="14">
        <v>23</v>
      </c>
      <c r="J445" s="14" t="s">
        <v>73</v>
      </c>
      <c r="K445" s="14" t="s">
        <v>3280</v>
      </c>
      <c r="L445" s="14" t="s">
        <v>3281</v>
      </c>
      <c r="M445" s="14" t="s">
        <v>9158</v>
      </c>
      <c r="N445" s="14" t="s">
        <v>9158</v>
      </c>
      <c r="O445" s="14" t="s">
        <v>9158</v>
      </c>
      <c r="P445" s="14" t="s">
        <v>9158</v>
      </c>
      <c r="Q445" s="14" t="s">
        <v>9158</v>
      </c>
      <c r="R445" s="14"/>
    </row>
    <row r="446" spans="1:18">
      <c r="A446" s="9">
        <v>76981</v>
      </c>
      <c r="B446" s="14" t="s">
        <v>0</v>
      </c>
      <c r="C446" s="14" t="s">
        <v>41</v>
      </c>
      <c r="D446" s="14" t="s">
        <v>3282</v>
      </c>
      <c r="E446" s="15" t="str">
        <f>HYPERLINK("https://stat100.ameba.jp/tnk47/ratio20/illustrations/card/ill_76981_nishinokaidanengi01.jpg?201905-1-RELEASE-raid-407", "■")</f>
        <v>■</v>
      </c>
      <c r="F446" s="14" t="s">
        <v>3283</v>
      </c>
      <c r="G446" s="14">
        <v>50715</v>
      </c>
      <c r="H446" s="14">
        <v>54947</v>
      </c>
      <c r="I446" s="14">
        <v>23</v>
      </c>
      <c r="J446" s="14" t="s">
        <v>73</v>
      </c>
      <c r="K446" s="14" t="s">
        <v>3284</v>
      </c>
      <c r="L446" s="14" t="s">
        <v>3281</v>
      </c>
      <c r="M446" s="14" t="s">
        <v>9158</v>
      </c>
      <c r="N446" s="14" t="s">
        <v>9158</v>
      </c>
      <c r="O446" s="14" t="s">
        <v>9158</v>
      </c>
      <c r="P446" s="14" t="s">
        <v>9158</v>
      </c>
      <c r="Q446" s="14" t="s">
        <v>9158</v>
      </c>
      <c r="R446" s="14"/>
    </row>
    <row r="447" spans="1:18">
      <c r="A447" s="9">
        <v>76993</v>
      </c>
      <c r="B447" s="14" t="s">
        <v>334</v>
      </c>
      <c r="C447" s="14" t="s">
        <v>35</v>
      </c>
      <c r="D447" s="14" t="s">
        <v>3285</v>
      </c>
      <c r="E447" s="15" t="str">
        <f>HYPERLINK("https://stat100.ameba.jp/tnk47/ratio20/illustrations/card/ill_76993_kaikokaidanengi03.jpg?201905-1-RELEASE-raid-407", "■")</f>
        <v>■</v>
      </c>
      <c r="F447" s="14" t="s">
        <v>3286</v>
      </c>
      <c r="G447" s="14">
        <v>118639</v>
      </c>
      <c r="H447" s="14">
        <v>118639</v>
      </c>
      <c r="I447" s="14">
        <v>23</v>
      </c>
      <c r="J447" s="14" t="s">
        <v>73</v>
      </c>
      <c r="K447" s="14" t="s">
        <v>3287</v>
      </c>
      <c r="L447" s="14" t="s">
        <v>3288</v>
      </c>
      <c r="M447" s="14" t="s">
        <v>9158</v>
      </c>
      <c r="N447" s="14" t="s">
        <v>9158</v>
      </c>
      <c r="O447" s="14" t="s">
        <v>9158</v>
      </c>
      <c r="P447" s="14" t="s">
        <v>9158</v>
      </c>
      <c r="Q447" s="14" t="s">
        <v>9158</v>
      </c>
      <c r="R447" s="14"/>
    </row>
    <row r="448" spans="1:18">
      <c r="A448" s="9">
        <v>70981</v>
      </c>
      <c r="B448" s="14" t="s">
        <v>334</v>
      </c>
      <c r="C448" s="14" t="s">
        <v>154</v>
      </c>
      <c r="D448" s="14" t="s">
        <v>2568</v>
      </c>
      <c r="E448" s="15" t="str">
        <f>HYPERLINK("https://stat100.ameba.jp/tnk47/ratio20/illustrations/card/ill_70981_higashinogokuhimengi01.jpg?201905-1-RELEASE-raid-407", "■")</f>
        <v>■</v>
      </c>
      <c r="F448" s="14" t="s">
        <v>2569</v>
      </c>
      <c r="G448" s="14">
        <v>53360</v>
      </c>
      <c r="H448" s="14">
        <v>58650</v>
      </c>
      <c r="I448" s="14">
        <v>23</v>
      </c>
      <c r="J448" s="14" t="s">
        <v>77</v>
      </c>
      <c r="K448" s="14" t="s">
        <v>2570</v>
      </c>
      <c r="L448" s="14" t="s">
        <v>2571</v>
      </c>
      <c r="M448" s="14" t="s">
        <v>9158</v>
      </c>
      <c r="N448" s="14" t="s">
        <v>9158</v>
      </c>
      <c r="O448" s="14" t="s">
        <v>9158</v>
      </c>
      <c r="P448" s="14" t="s">
        <v>9158</v>
      </c>
      <c r="Q448" s="14" t="s">
        <v>9158</v>
      </c>
      <c r="R448" s="14"/>
    </row>
    <row r="449" spans="1:18">
      <c r="A449" s="9">
        <v>70991</v>
      </c>
      <c r="B449" s="14" t="s">
        <v>334</v>
      </c>
      <c r="C449" s="14" t="s">
        <v>41</v>
      </c>
      <c r="D449" s="14" t="s">
        <v>2572</v>
      </c>
      <c r="E449" s="15" t="str">
        <f>HYPERLINK("https://stat100.ameba.jp/tnk47/ratio20/illustrations/card/ill_70991_nishinogokuhimengi01.jpg?201905-1-RELEASE-raid-407", "■")</f>
        <v>■</v>
      </c>
      <c r="F449" s="14" t="s">
        <v>2573</v>
      </c>
      <c r="G449" s="14">
        <v>53360</v>
      </c>
      <c r="H449" s="14">
        <v>58650</v>
      </c>
      <c r="I449" s="14">
        <v>23</v>
      </c>
      <c r="J449" s="14" t="s">
        <v>77</v>
      </c>
      <c r="K449" s="14" t="s">
        <v>2574</v>
      </c>
      <c r="L449" s="14" t="s">
        <v>2571</v>
      </c>
      <c r="M449" s="14" t="s">
        <v>9158</v>
      </c>
      <c r="N449" s="14" t="s">
        <v>9158</v>
      </c>
      <c r="O449" s="14" t="s">
        <v>9158</v>
      </c>
      <c r="P449" s="14" t="s">
        <v>9158</v>
      </c>
      <c r="Q449" s="14" t="s">
        <v>9158</v>
      </c>
      <c r="R449" s="14"/>
    </row>
    <row r="450" spans="1:18">
      <c r="A450" s="9">
        <v>71003</v>
      </c>
      <c r="B450" s="14" t="s">
        <v>334</v>
      </c>
      <c r="C450" s="14" t="s">
        <v>35</v>
      </c>
      <c r="D450" s="14" t="s">
        <v>2575</v>
      </c>
      <c r="E450" s="15" t="str">
        <f>HYPERLINK("https://stat100.ameba.jp/tnk47/ratio20/illustrations/card/ill_71003_retsujitsugokuhimengi03.jpg?201905-1-RELEASE-raid-407", "■")</f>
        <v>■</v>
      </c>
      <c r="F450" s="14" t="s">
        <v>2576</v>
      </c>
      <c r="G450" s="14">
        <v>95074</v>
      </c>
      <c r="H450" s="14">
        <v>101845</v>
      </c>
      <c r="I450" s="14">
        <v>23</v>
      </c>
      <c r="J450" s="14" t="s">
        <v>77</v>
      </c>
      <c r="K450" s="14" t="s">
        <v>2577</v>
      </c>
      <c r="L450" s="14" t="s">
        <v>2578</v>
      </c>
      <c r="M450" s="14" t="s">
        <v>9158</v>
      </c>
      <c r="N450" s="14" t="s">
        <v>9158</v>
      </c>
      <c r="O450" s="14" t="s">
        <v>9158</v>
      </c>
      <c r="P450" s="14" t="s">
        <v>9158</v>
      </c>
      <c r="Q450" s="14" t="s">
        <v>9158</v>
      </c>
      <c r="R450" s="14"/>
    </row>
    <row r="451" spans="1:18">
      <c r="B451" s="14"/>
      <c r="C451" s="14"/>
      <c r="D451" s="14"/>
      <c r="F451" s="14"/>
      <c r="G451" s="14"/>
      <c r="H451" s="14"/>
      <c r="I451" s="14"/>
      <c r="J451" s="14"/>
      <c r="K451" s="14"/>
      <c r="L451" s="14"/>
      <c r="M451" s="14"/>
      <c r="N451" s="14"/>
      <c r="P451" s="14"/>
      <c r="Q451" s="14"/>
      <c r="R451" s="14"/>
    </row>
    <row r="452" spans="1:18">
      <c r="A452" s="14" t="s">
        <v>13326</v>
      </c>
      <c r="D452" s="14"/>
      <c r="F452" s="14"/>
      <c r="G452" s="14"/>
      <c r="H452" s="14"/>
      <c r="I452" s="14"/>
      <c r="J452" s="14"/>
      <c r="K452" s="14"/>
      <c r="L452" s="14"/>
      <c r="M452" s="14"/>
      <c r="N452" s="14"/>
      <c r="P452" s="14"/>
      <c r="Q452" s="14"/>
      <c r="R452" s="14"/>
    </row>
    <row r="453" spans="1:18">
      <c r="A453" s="14" t="s">
        <v>4468</v>
      </c>
      <c r="B453" s="14"/>
      <c r="C453" s="14"/>
      <c r="D453" s="14"/>
      <c r="F453" s="14"/>
      <c r="G453" s="14"/>
      <c r="H453" s="14"/>
      <c r="I453" s="14"/>
      <c r="J453" s="14"/>
      <c r="K453" s="14"/>
      <c r="L453" s="14"/>
      <c r="M453" s="14"/>
      <c r="N453" s="14"/>
      <c r="P453" s="14"/>
      <c r="Q453" s="14"/>
      <c r="R453" s="14"/>
    </row>
    <row r="454" spans="1:18">
      <c r="A454" s="9">
        <v>66113</v>
      </c>
      <c r="B454" s="14" t="s">
        <v>334</v>
      </c>
      <c r="C454" s="14" t="s">
        <v>185</v>
      </c>
      <c r="D454" s="14" t="s">
        <v>1292</v>
      </c>
      <c r="E454" s="15" t="str">
        <f>HYPERLINK("https://stat100.ameba.jp/tnk47/ratio20/illustrations/card/ill_66113_shirarikahime03.jpg?201905-1-RELEASE-raid-407", "■")</f>
        <v>■</v>
      </c>
      <c r="F454" s="14" t="s">
        <v>1293</v>
      </c>
      <c r="G454" s="14">
        <v>113230</v>
      </c>
      <c r="H454" s="14">
        <v>105275</v>
      </c>
      <c r="I454" s="14">
        <v>23</v>
      </c>
      <c r="J454" s="14" t="s">
        <v>274</v>
      </c>
      <c r="K454" s="14" t="s">
        <v>1304</v>
      </c>
      <c r="L454" s="2" t="s">
        <v>9908</v>
      </c>
      <c r="M454" s="14" t="s">
        <v>13151</v>
      </c>
      <c r="N454" s="14" t="s">
        <v>251</v>
      </c>
      <c r="O454" s="14" t="s">
        <v>9158</v>
      </c>
      <c r="P454" s="14" t="s">
        <v>9158</v>
      </c>
      <c r="Q454" s="14" t="s">
        <v>9158</v>
      </c>
      <c r="R454" s="14" t="s">
        <v>14858</v>
      </c>
    </row>
    <row r="455" spans="1:18">
      <c r="A455" s="9">
        <v>66112</v>
      </c>
      <c r="B455" s="14" t="s">
        <v>334</v>
      </c>
      <c r="C455" s="14" t="s">
        <v>185</v>
      </c>
      <c r="D455" s="14" t="s">
        <v>1292</v>
      </c>
      <c r="E455" s="15" t="str">
        <f>HYPERLINK("https://stat100.ameba.jp/tnk47/ratio20/illustrations/card/ill_66112_shirarikahime02.jpg?201905-1-RELEASE-raid-407", "■")</f>
        <v>■</v>
      </c>
      <c r="F455" s="14" t="s">
        <v>1293</v>
      </c>
      <c r="G455" s="14">
        <v>94653</v>
      </c>
      <c r="H455" s="14">
        <v>87192</v>
      </c>
      <c r="I455" s="14">
        <v>23</v>
      </c>
      <c r="J455" s="14" t="s">
        <v>274</v>
      </c>
      <c r="K455" s="14" t="s">
        <v>1304</v>
      </c>
      <c r="L455" s="2" t="s">
        <v>9908</v>
      </c>
      <c r="M455" s="14" t="s">
        <v>13156</v>
      </c>
      <c r="N455" s="14" t="s">
        <v>1310</v>
      </c>
      <c r="O455" s="14" t="s">
        <v>9158</v>
      </c>
      <c r="P455" s="14" t="s">
        <v>9158</v>
      </c>
      <c r="Q455" s="14" t="s">
        <v>9158</v>
      </c>
      <c r="R455" s="14" t="s">
        <v>14858</v>
      </c>
    </row>
    <row r="456" spans="1:18">
      <c r="A456" s="9">
        <v>66111</v>
      </c>
      <c r="B456" s="14" t="s">
        <v>334</v>
      </c>
      <c r="C456" s="14" t="s">
        <v>185</v>
      </c>
      <c r="D456" s="14" t="s">
        <v>1292</v>
      </c>
      <c r="E456" s="15" t="str">
        <f>HYPERLINK("https://stat100.ameba.jp/tnk47/ratio20/illustrations/card/ill_66111_shirarikahime01.jpg?201905-1-RELEASE-raid-407", "■")</f>
        <v>■</v>
      </c>
      <c r="F456" s="14" t="s">
        <v>1293</v>
      </c>
      <c r="G456" s="14">
        <v>72266</v>
      </c>
      <c r="H456" s="14">
        <v>67275</v>
      </c>
      <c r="I456" s="14">
        <v>23</v>
      </c>
      <c r="J456" s="14" t="s">
        <v>274</v>
      </c>
      <c r="K456" s="14" t="s">
        <v>1304</v>
      </c>
      <c r="L456" s="2" t="s">
        <v>9908</v>
      </c>
      <c r="M456" s="14" t="s">
        <v>13156</v>
      </c>
      <c r="N456" s="14" t="s">
        <v>1310</v>
      </c>
      <c r="O456" s="14" t="s">
        <v>9158</v>
      </c>
      <c r="P456" s="14" t="s">
        <v>9158</v>
      </c>
      <c r="Q456" s="14" t="s">
        <v>9158</v>
      </c>
      <c r="R456" s="14" t="s">
        <v>14858</v>
      </c>
    </row>
    <row r="457" spans="1:18">
      <c r="A457" s="9">
        <v>65383</v>
      </c>
      <c r="B457" s="14" t="s">
        <v>334</v>
      </c>
      <c r="C457" s="14" t="s">
        <v>200</v>
      </c>
      <c r="D457" s="14" t="s">
        <v>1294</v>
      </c>
      <c r="E457" s="15" t="str">
        <f>HYPERLINK("https://stat100.ameba.jp/tnk47/ratio20/illustrations/card/ill_65383_aogashimachan03.jpg?201905-1-RELEASE-raid-407", "■")</f>
        <v>■</v>
      </c>
      <c r="F457" s="14" t="s">
        <v>1295</v>
      </c>
      <c r="G457" s="14">
        <v>105275</v>
      </c>
      <c r="H457" s="14">
        <v>113230</v>
      </c>
      <c r="I457" s="14">
        <v>23</v>
      </c>
      <c r="J457" s="14" t="s">
        <v>369</v>
      </c>
      <c r="K457" s="14" t="s">
        <v>1305</v>
      </c>
      <c r="L457" s="2" t="s">
        <v>9909</v>
      </c>
      <c r="M457" s="14" t="s">
        <v>13151</v>
      </c>
      <c r="N457" s="14" t="s">
        <v>251</v>
      </c>
      <c r="O457" s="14" t="s">
        <v>9158</v>
      </c>
      <c r="P457" s="14" t="s">
        <v>9158</v>
      </c>
      <c r="Q457" s="14" t="s">
        <v>9158</v>
      </c>
      <c r="R457" s="14" t="s">
        <v>14858</v>
      </c>
    </row>
    <row r="458" spans="1:18">
      <c r="A458" s="9">
        <v>66123</v>
      </c>
      <c r="B458" s="14" t="s">
        <v>334</v>
      </c>
      <c r="C458" s="14" t="s">
        <v>191</v>
      </c>
      <c r="D458" s="14" t="s">
        <v>1296</v>
      </c>
      <c r="E458" s="15" t="str">
        <f>HYPERLINK("https://stat100.ameba.jp/tnk47/ratio20/illustrations/card/ill_66123_taikemmoninnohorikawa03.jpg?201905-1-RELEASE-raid-407", "■")</f>
        <v>■</v>
      </c>
      <c r="F458" s="14" t="s">
        <v>1297</v>
      </c>
      <c r="G458" s="14">
        <v>113230</v>
      </c>
      <c r="H458" s="14">
        <v>105275</v>
      </c>
      <c r="I458" s="14">
        <v>23</v>
      </c>
      <c r="J458" s="14" t="s">
        <v>414</v>
      </c>
      <c r="K458" s="14" t="s">
        <v>1306</v>
      </c>
      <c r="L458" s="2" t="s">
        <v>9910</v>
      </c>
      <c r="M458" s="14" t="s">
        <v>13151</v>
      </c>
      <c r="N458" s="14" t="s">
        <v>251</v>
      </c>
      <c r="O458" s="14" t="s">
        <v>9158</v>
      </c>
      <c r="P458" s="14" t="s">
        <v>9158</v>
      </c>
      <c r="Q458" s="14" t="s">
        <v>9158</v>
      </c>
      <c r="R458" s="14" t="s">
        <v>14858</v>
      </c>
    </row>
    <row r="459" spans="1:18">
      <c r="A459" s="9">
        <v>66133</v>
      </c>
      <c r="B459" s="14" t="s">
        <v>334</v>
      </c>
      <c r="C459" s="14" t="s">
        <v>165</v>
      </c>
      <c r="D459" s="14" t="s">
        <v>1298</v>
      </c>
      <c r="E459" s="15" t="str">
        <f>HYPERLINK("https://stat100.ameba.jp/tnk47/ratio20/illustrations/card/ill_66133_iinaosuke03.jpg?201905-1-RELEASE-raid-407", "■")</f>
        <v>■</v>
      </c>
      <c r="F459" s="14" t="s">
        <v>1299</v>
      </c>
      <c r="G459" s="14">
        <v>105275</v>
      </c>
      <c r="H459" s="14">
        <v>113230</v>
      </c>
      <c r="I459" s="14">
        <v>23</v>
      </c>
      <c r="J459" s="14" t="s">
        <v>351</v>
      </c>
      <c r="K459" s="14" t="s">
        <v>1307</v>
      </c>
      <c r="L459" s="2" t="s">
        <v>9911</v>
      </c>
      <c r="M459" s="14" t="s">
        <v>13151</v>
      </c>
      <c r="N459" s="14" t="s">
        <v>251</v>
      </c>
      <c r="O459" s="14" t="s">
        <v>9158</v>
      </c>
      <c r="P459" s="14" t="s">
        <v>9158</v>
      </c>
      <c r="Q459" s="14" t="s">
        <v>9158</v>
      </c>
      <c r="R459" s="14" t="s">
        <v>14858</v>
      </c>
    </row>
    <row r="460" spans="1:18">
      <c r="A460" s="9">
        <v>65393</v>
      </c>
      <c r="B460" s="14" t="s">
        <v>334</v>
      </c>
      <c r="C460" s="14" t="s">
        <v>205</v>
      </c>
      <c r="D460" s="14" t="s">
        <v>1300</v>
      </c>
      <c r="E460" s="15" t="str">
        <f>HYPERLINK("https://stat100.ameba.jp/tnk47/ratio20/illustrations/card/ill_65393_motochikafujin03.jpg?201905-1-RELEASE-raid-407", "■")</f>
        <v>■</v>
      </c>
      <c r="F460" s="14" t="s">
        <v>1301</v>
      </c>
      <c r="G460" s="14">
        <v>105275</v>
      </c>
      <c r="H460" s="14">
        <v>113230</v>
      </c>
      <c r="I460" s="14">
        <v>23</v>
      </c>
      <c r="J460" s="14" t="s">
        <v>315</v>
      </c>
      <c r="K460" s="14" t="s">
        <v>1308</v>
      </c>
      <c r="L460" s="2" t="s">
        <v>9912</v>
      </c>
      <c r="M460" s="14" t="s">
        <v>13151</v>
      </c>
      <c r="N460" s="14" t="s">
        <v>251</v>
      </c>
      <c r="O460" s="14" t="s">
        <v>9158</v>
      </c>
      <c r="P460" s="14" t="s">
        <v>9158</v>
      </c>
      <c r="Q460" s="14" t="s">
        <v>9158</v>
      </c>
      <c r="R460" s="14" t="s">
        <v>14858</v>
      </c>
    </row>
    <row r="461" spans="1:18">
      <c r="A461" s="9">
        <v>65403</v>
      </c>
      <c r="B461" s="14" t="s">
        <v>334</v>
      </c>
      <c r="C461" s="14" t="s">
        <v>206</v>
      </c>
      <c r="D461" s="14" t="s">
        <v>1302</v>
      </c>
      <c r="E461" s="15" t="str">
        <f>HYPERLINK("https://stat100.ameba.jp/tnk47/ratio20/illustrations/card/ill_65403_amenokoyanenomikoto03.jpg?201905-1-RELEASE-raid-407", "■")</f>
        <v>■</v>
      </c>
      <c r="F461" s="14" t="s">
        <v>1303</v>
      </c>
      <c r="G461" s="14">
        <v>113230</v>
      </c>
      <c r="H461" s="14">
        <v>105275</v>
      </c>
      <c r="I461" s="14">
        <v>23</v>
      </c>
      <c r="J461" s="14" t="s">
        <v>401</v>
      </c>
      <c r="K461" s="14" t="s">
        <v>1309</v>
      </c>
      <c r="L461" s="2" t="s">
        <v>9913</v>
      </c>
      <c r="M461" s="14" t="s">
        <v>13151</v>
      </c>
      <c r="N461" s="14" t="s">
        <v>251</v>
      </c>
      <c r="O461" s="14" t="s">
        <v>9158</v>
      </c>
      <c r="P461" s="14" t="s">
        <v>9158</v>
      </c>
      <c r="Q461" s="14" t="s">
        <v>9158</v>
      </c>
      <c r="R461" s="14" t="s">
        <v>14858</v>
      </c>
    </row>
    <row r="462" spans="1:18">
      <c r="B462" s="14"/>
      <c r="C462" s="14"/>
      <c r="D462" s="14"/>
      <c r="F462" s="14"/>
      <c r="G462" s="14"/>
      <c r="H462" s="14"/>
      <c r="I462" s="14"/>
      <c r="J462" s="14"/>
      <c r="K462" s="14"/>
      <c r="L462" s="14"/>
      <c r="M462" s="14"/>
      <c r="N462" s="14"/>
      <c r="P462" s="14"/>
      <c r="Q462" s="14"/>
      <c r="R462" s="14"/>
    </row>
    <row r="463" spans="1:18">
      <c r="A463" s="14" t="s">
        <v>1176</v>
      </c>
      <c r="D463" s="14"/>
      <c r="F463" s="14"/>
      <c r="G463" s="14"/>
      <c r="H463" s="14"/>
      <c r="I463" s="14"/>
      <c r="J463" s="14"/>
      <c r="K463" s="14"/>
      <c r="L463" s="14"/>
      <c r="M463" s="14"/>
      <c r="N463" s="14"/>
      <c r="P463" s="14"/>
      <c r="Q463" s="14"/>
      <c r="R463" s="14"/>
    </row>
    <row r="464" spans="1:18">
      <c r="A464" s="14" t="s">
        <v>4470</v>
      </c>
      <c r="B464" s="14"/>
      <c r="C464" s="14"/>
      <c r="D464" s="14"/>
      <c r="F464" s="14"/>
      <c r="G464" s="14"/>
      <c r="H464" s="14"/>
      <c r="I464" s="14"/>
      <c r="J464" s="14"/>
      <c r="K464" s="14"/>
      <c r="L464" s="14"/>
      <c r="M464" s="14"/>
      <c r="N464" s="14"/>
      <c r="P464" s="14"/>
      <c r="Q464" s="14"/>
      <c r="R464" s="14"/>
    </row>
    <row r="465" spans="1:18">
      <c r="A465" s="9" t="s">
        <v>5725</v>
      </c>
      <c r="B465" s="14" t="s">
        <v>52</v>
      </c>
      <c r="C465" s="14" t="s">
        <v>107</v>
      </c>
      <c r="D465" s="14" t="s">
        <v>55</v>
      </c>
      <c r="E465" s="15" t="str">
        <f>HYPERLINK("https://stat100.ameba.jp/tnk47/ratio20/illustrations/card/ill_52693_0_sengokumibirakiyanagiharabyakuren03.jpg?201905-1-RELEASE-raid-407", "■")</f>
        <v>■</v>
      </c>
      <c r="F465" s="14" t="s">
        <v>1246</v>
      </c>
      <c r="G465" s="14">
        <v>122776</v>
      </c>
      <c r="H465" s="14">
        <v>138212</v>
      </c>
      <c r="I465" s="14">
        <v>22</v>
      </c>
      <c r="J465" s="14" t="s">
        <v>16</v>
      </c>
      <c r="K465" s="14" t="s">
        <v>1247</v>
      </c>
      <c r="L465" s="14" t="s">
        <v>1248</v>
      </c>
      <c r="M465" s="14" t="s">
        <v>9158</v>
      </c>
      <c r="N465" s="14" t="s">
        <v>9158</v>
      </c>
      <c r="O465" s="9" t="s">
        <v>3303</v>
      </c>
      <c r="P465" s="14" t="s">
        <v>3304</v>
      </c>
      <c r="Q465" s="14">
        <v>1</v>
      </c>
      <c r="R465" s="14"/>
    </row>
    <row r="466" spans="1:18">
      <c r="A466" s="9" t="s">
        <v>5830</v>
      </c>
      <c r="B466" s="14" t="s">
        <v>330</v>
      </c>
      <c r="C466" s="14" t="s">
        <v>191</v>
      </c>
      <c r="D466" s="14" t="s">
        <v>1719</v>
      </c>
      <c r="E466" s="15" t="str">
        <f>HYPERLINK("https://stat100.ameba.jp/tnk47/ratio20/illustrations/card/ill_39933_0_reihiiinaotora03.jpg?201905-1-RELEASE-raid-407", "■")</f>
        <v>■</v>
      </c>
      <c r="F466" s="14" t="s">
        <v>794</v>
      </c>
      <c r="G466" s="14">
        <v>120576</v>
      </c>
      <c r="H466" s="14">
        <v>128744</v>
      </c>
      <c r="I466" s="14">
        <v>22</v>
      </c>
      <c r="J466" s="14" t="s">
        <v>315</v>
      </c>
      <c r="K466" s="14" t="s">
        <v>795</v>
      </c>
      <c r="L466" s="14" t="s">
        <v>796</v>
      </c>
      <c r="M466" s="14" t="s">
        <v>9158</v>
      </c>
      <c r="N466" s="14" t="s">
        <v>9158</v>
      </c>
      <c r="O466" s="14" t="s">
        <v>9158</v>
      </c>
      <c r="P466" s="14" t="s">
        <v>9158</v>
      </c>
      <c r="Q466" s="14" t="s">
        <v>9158</v>
      </c>
      <c r="R466" s="14"/>
    </row>
    <row r="467" spans="1:18">
      <c r="A467" s="9" t="s">
        <v>5608</v>
      </c>
      <c r="B467" s="14" t="s">
        <v>330</v>
      </c>
      <c r="C467" s="14" t="s">
        <v>308</v>
      </c>
      <c r="D467" s="14" t="s">
        <v>2037</v>
      </c>
      <c r="E467" s="15" t="str">
        <f>HYPERLINK("https://stat100.ameba.jp/tnk47/ratio20/illustrations/card/ill_40963_0_makami03.jpg?201905-1-RELEASE-raid-407", "■")</f>
        <v>■</v>
      </c>
      <c r="F467" s="14" t="s">
        <v>635</v>
      </c>
      <c r="G467" s="14">
        <v>128744</v>
      </c>
      <c r="H467" s="14">
        <v>120576</v>
      </c>
      <c r="I467" s="14">
        <v>22</v>
      </c>
      <c r="J467" s="14" t="s">
        <v>401</v>
      </c>
      <c r="K467" s="14" t="s">
        <v>636</v>
      </c>
      <c r="L467" s="14" t="s">
        <v>637</v>
      </c>
      <c r="M467" s="14" t="s">
        <v>9158</v>
      </c>
      <c r="N467" s="14" t="s">
        <v>9158</v>
      </c>
      <c r="O467" s="14" t="s">
        <v>9158</v>
      </c>
      <c r="P467" s="14" t="s">
        <v>9158</v>
      </c>
      <c r="Q467" s="14" t="s">
        <v>9158</v>
      </c>
      <c r="R467" s="14"/>
    </row>
    <row r="468" spans="1:18">
      <c r="A468" s="9">
        <v>80943</v>
      </c>
      <c r="B468" s="14" t="s">
        <v>334</v>
      </c>
      <c r="C468" s="14" t="s">
        <v>107</v>
      </c>
      <c r="D468" s="14" t="s">
        <v>4452</v>
      </c>
      <c r="E468" s="15" t="str">
        <f>HYPERLINK("https://stat100.ameba.jp/tnk47/ratio20/illustrations/card/ill_80943_shinshakaijimburakkuparu03.jpg?201905-1-RELEASE-raid-407", "■")</f>
        <v>■</v>
      </c>
      <c r="F468" s="14" t="s">
        <v>4453</v>
      </c>
      <c r="G468" s="14">
        <v>85934</v>
      </c>
      <c r="H468" s="14">
        <v>79868</v>
      </c>
      <c r="I468" s="14">
        <v>22</v>
      </c>
      <c r="J468" s="14" t="s">
        <v>16</v>
      </c>
      <c r="K468" s="14" t="s">
        <v>4454</v>
      </c>
      <c r="L468" s="14" t="s">
        <v>4455</v>
      </c>
      <c r="M468" s="14" t="s">
        <v>9158</v>
      </c>
      <c r="N468" s="14" t="s">
        <v>9158</v>
      </c>
      <c r="O468" s="14" t="s">
        <v>9158</v>
      </c>
      <c r="P468" s="14" t="s">
        <v>9158</v>
      </c>
      <c r="Q468" s="14" t="s">
        <v>9158</v>
      </c>
      <c r="R468" s="14"/>
    </row>
    <row r="469" spans="1:18">
      <c r="A469" s="9">
        <v>80953</v>
      </c>
      <c r="B469" s="14" t="s">
        <v>15</v>
      </c>
      <c r="C469" s="14" t="s">
        <v>101</v>
      </c>
      <c r="D469" s="14" t="s">
        <v>4456</v>
      </c>
      <c r="E469" s="15" t="str">
        <f>HYPERLINK("https://stat100.ameba.jp/tnk47/ratio20/illustrations/card/ill_80953_akazomemon03.jpg?201905-1-RELEASE-raid-407", "■")</f>
        <v>■</v>
      </c>
      <c r="F469" s="14" t="s">
        <v>4457</v>
      </c>
      <c r="G469" s="14">
        <v>48390</v>
      </c>
      <c r="H469" s="14">
        <v>53352</v>
      </c>
      <c r="I469" s="14">
        <v>18</v>
      </c>
      <c r="J469" s="14" t="s">
        <v>10</v>
      </c>
      <c r="K469" s="14" t="s">
        <v>4458</v>
      </c>
      <c r="L469" s="14" t="s">
        <v>3337</v>
      </c>
      <c r="M469" s="14" t="s">
        <v>9158</v>
      </c>
      <c r="N469" s="14" t="s">
        <v>9158</v>
      </c>
      <c r="O469" s="14" t="s">
        <v>9158</v>
      </c>
      <c r="P469" s="14" t="s">
        <v>9158</v>
      </c>
      <c r="Q469" s="14" t="s">
        <v>9158</v>
      </c>
      <c r="R469" s="14"/>
    </row>
    <row r="470" spans="1:18">
      <c r="A470" s="9">
        <v>80963</v>
      </c>
      <c r="B470" s="14" t="s">
        <v>22</v>
      </c>
      <c r="C470" s="14" t="s">
        <v>23</v>
      </c>
      <c r="D470" s="14" t="s">
        <v>4459</v>
      </c>
      <c r="E470" s="15" t="str">
        <f>HYPERLINK("https://stat100.ameba.jp/tnk47/ratio20/illustrations/card/ill_80963_resukyuiinaomasa03.jpg?201905-1-RELEASE-raid-407", "■")</f>
        <v>■</v>
      </c>
      <c r="F470" s="14" t="s">
        <v>4465</v>
      </c>
      <c r="G470" s="14">
        <v>35346</v>
      </c>
      <c r="H470" s="14">
        <v>29388</v>
      </c>
      <c r="I470" s="14">
        <v>17</v>
      </c>
      <c r="J470" s="14" t="s">
        <v>143</v>
      </c>
      <c r="K470" s="14" t="s">
        <v>4460</v>
      </c>
      <c r="L470" s="14" t="s">
        <v>4461</v>
      </c>
      <c r="M470" s="14" t="s">
        <v>9158</v>
      </c>
      <c r="N470" s="14" t="s">
        <v>9158</v>
      </c>
      <c r="O470" s="14" t="s">
        <v>9158</v>
      </c>
      <c r="P470" s="14" t="s">
        <v>9158</v>
      </c>
      <c r="Q470" s="14" t="s">
        <v>9158</v>
      </c>
      <c r="R470" s="14"/>
    </row>
    <row r="471" spans="1:18">
      <c r="A471" s="9">
        <v>80973</v>
      </c>
      <c r="B471" s="14" t="s">
        <v>30</v>
      </c>
      <c r="C471" s="14" t="s">
        <v>4463</v>
      </c>
      <c r="D471" s="14" t="s">
        <v>4462</v>
      </c>
      <c r="E471" s="15" t="str">
        <f>HYPERLINK("https://stat100.ameba.jp/tnk47/ratio20/illustrations/card/ill_80973_shireitoukujoutakeko03.jpg?201905-1-RELEASE-raid-407", "■")</f>
        <v>■</v>
      </c>
      <c r="F471" s="14" t="s">
        <v>4464</v>
      </c>
      <c r="G471" s="14">
        <v>17972</v>
      </c>
      <c r="H471" s="14">
        <v>21398</v>
      </c>
      <c r="I471" s="14">
        <v>17</v>
      </c>
      <c r="J471" s="14" t="s">
        <v>159</v>
      </c>
      <c r="K471" s="14" t="s">
        <v>4466</v>
      </c>
      <c r="L471" s="14" t="s">
        <v>3694</v>
      </c>
      <c r="M471" s="14" t="s">
        <v>9158</v>
      </c>
      <c r="N471" s="14" t="s">
        <v>9158</v>
      </c>
      <c r="O471" s="14" t="s">
        <v>9158</v>
      </c>
      <c r="P471" s="14" t="s">
        <v>9158</v>
      </c>
      <c r="Q471" s="14" t="s">
        <v>9158</v>
      </c>
      <c r="R471" s="14"/>
    </row>
    <row r="472" spans="1:18">
      <c r="B472" s="14"/>
      <c r="C472" s="14"/>
      <c r="D472" s="14"/>
      <c r="F472" s="14"/>
      <c r="G472" s="14"/>
      <c r="H472" s="14"/>
      <c r="I472" s="14"/>
      <c r="J472" s="14"/>
      <c r="K472" s="14"/>
      <c r="L472" s="14"/>
      <c r="M472" s="14"/>
      <c r="N472" s="14"/>
      <c r="P472" s="14"/>
      <c r="Q472" s="14"/>
      <c r="R472" s="14"/>
    </row>
    <row r="473" spans="1:18">
      <c r="A473" s="14" t="s">
        <v>195</v>
      </c>
      <c r="D473" s="14"/>
      <c r="F473" s="14"/>
      <c r="G473" s="14"/>
      <c r="H473" s="14"/>
      <c r="I473" s="14"/>
      <c r="J473" s="14"/>
      <c r="K473" s="14"/>
      <c r="L473" s="14"/>
      <c r="M473" s="14"/>
      <c r="N473" s="14"/>
      <c r="P473" s="14"/>
      <c r="Q473" s="14"/>
      <c r="R473" s="14"/>
    </row>
    <row r="474" spans="1:18">
      <c r="A474" s="14" t="s">
        <v>4471</v>
      </c>
      <c r="B474" s="14"/>
      <c r="C474" s="14"/>
      <c r="D474" s="14"/>
      <c r="F474" s="14"/>
      <c r="G474" s="14"/>
      <c r="H474" s="14"/>
      <c r="I474" s="14"/>
      <c r="J474" s="14"/>
      <c r="K474" s="14"/>
      <c r="L474" s="14"/>
      <c r="M474" s="14"/>
      <c r="N474" s="14"/>
      <c r="P474" s="14"/>
      <c r="Q474" s="14"/>
      <c r="R474" s="14"/>
    </row>
    <row r="475" spans="1:18">
      <c r="A475" s="9">
        <v>62203</v>
      </c>
      <c r="B475" s="14" t="s">
        <v>334</v>
      </c>
      <c r="C475" s="14" t="s">
        <v>154</v>
      </c>
      <c r="D475" s="14" t="s">
        <v>2260</v>
      </c>
      <c r="E475" s="15" t="str">
        <f>HYPERLINK("https://stat100.ameba.jp/tnk47/ratio20/illustrations/card/ill_62203_keishoimmasahime03.jpg?201905-1-RELEASE-raid-407", "■")</f>
        <v>■</v>
      </c>
      <c r="F475" s="14" t="s">
        <v>2261</v>
      </c>
      <c r="G475" s="14">
        <v>88226</v>
      </c>
      <c r="H475" s="14">
        <v>94886</v>
      </c>
      <c r="I475" s="14">
        <v>22</v>
      </c>
      <c r="J475" s="14" t="s">
        <v>77</v>
      </c>
      <c r="K475" s="14" t="s">
        <v>2262</v>
      </c>
      <c r="L475" s="14" t="s">
        <v>2263</v>
      </c>
      <c r="M475" s="14" t="s">
        <v>9158</v>
      </c>
      <c r="N475" s="14" t="s">
        <v>9158</v>
      </c>
      <c r="O475" s="14" t="s">
        <v>9158</v>
      </c>
      <c r="P475" s="14" t="s">
        <v>9158</v>
      </c>
      <c r="Q475" s="14" t="s">
        <v>9158</v>
      </c>
      <c r="R475" s="14"/>
    </row>
    <row r="476" spans="1:18">
      <c r="A476" s="9">
        <v>69723</v>
      </c>
      <c r="B476" s="14" t="s">
        <v>334</v>
      </c>
      <c r="C476" s="14" t="s">
        <v>158</v>
      </c>
      <c r="D476" s="14" t="s">
        <v>2256</v>
      </c>
      <c r="E476" s="15" t="str">
        <f>HYPERLINK("https://stat100.ameba.jp/tnk47/ratio20/illustrations/card/ill_69723_nakaurajurian03.jpg?201905-1-RELEASE-raid-407", "■")</f>
        <v>■</v>
      </c>
      <c r="F476" s="14" t="s">
        <v>2257</v>
      </c>
      <c r="G476" s="14">
        <v>88226</v>
      </c>
      <c r="H476" s="14">
        <v>94886</v>
      </c>
      <c r="I476" s="14">
        <v>22</v>
      </c>
      <c r="J476" s="14" t="s">
        <v>173</v>
      </c>
      <c r="K476" s="14" t="s">
        <v>2258</v>
      </c>
      <c r="L476" s="14" t="s">
        <v>2259</v>
      </c>
      <c r="M476" s="14" t="s">
        <v>9158</v>
      </c>
      <c r="N476" s="14" t="s">
        <v>9158</v>
      </c>
      <c r="O476" s="14" t="s">
        <v>9158</v>
      </c>
      <c r="P476" s="14" t="s">
        <v>9158</v>
      </c>
      <c r="Q476" s="14" t="s">
        <v>9158</v>
      </c>
      <c r="R476" s="14"/>
    </row>
    <row r="477" spans="1:18">
      <c r="A477" s="9">
        <v>66053</v>
      </c>
      <c r="B477" s="14" t="s">
        <v>334</v>
      </c>
      <c r="C477" s="14" t="s">
        <v>205</v>
      </c>
      <c r="D477" s="14" t="s">
        <v>2264</v>
      </c>
      <c r="E477" s="15" t="str">
        <f>HYPERLINK("https://stat100.ameba.jp/tnk47/ratio20/illustrations/card/ill_66053_serebukushiyatamanokami03.jpg?201905-1-RELEASE-raid-407", "■")</f>
        <v>■</v>
      </c>
      <c r="F477" s="14" t="s">
        <v>2265</v>
      </c>
      <c r="G477" s="14">
        <v>89736</v>
      </c>
      <c r="H477" s="14">
        <v>83426</v>
      </c>
      <c r="I477" s="14">
        <v>22</v>
      </c>
      <c r="J477" s="14" t="s">
        <v>44</v>
      </c>
      <c r="K477" s="14" t="s">
        <v>2266</v>
      </c>
      <c r="L477" s="14" t="s">
        <v>1860</v>
      </c>
      <c r="M477" s="14" t="s">
        <v>9158</v>
      </c>
      <c r="N477" s="14" t="s">
        <v>9158</v>
      </c>
      <c r="O477" s="14" t="s">
        <v>9158</v>
      </c>
      <c r="P477" s="14" t="s">
        <v>9158</v>
      </c>
      <c r="Q477" s="14" t="s">
        <v>9158</v>
      </c>
      <c r="R477" s="14"/>
    </row>
    <row r="478" spans="1:18">
      <c r="A478" s="9">
        <v>69883</v>
      </c>
      <c r="B478" s="14" t="s">
        <v>334</v>
      </c>
      <c r="C478" s="14" t="s">
        <v>185</v>
      </c>
      <c r="D478" s="14" t="s">
        <v>4141</v>
      </c>
      <c r="E478" s="15" t="str">
        <f>HYPERLINK("https://stat100.ameba.jp/tnk47/ratio20/illustrations/card/ill_69883_kyupiddotominushihime03.jpg?201905-1-RELEASE-raid-407", "■")</f>
        <v>■</v>
      </c>
      <c r="F478" s="14" t="s">
        <v>4142</v>
      </c>
      <c r="G478" s="14">
        <v>83426</v>
      </c>
      <c r="H478" s="14">
        <v>89736</v>
      </c>
      <c r="I478" s="14">
        <v>22</v>
      </c>
      <c r="J478" s="14" t="s">
        <v>169</v>
      </c>
      <c r="K478" s="14" t="s">
        <v>4143</v>
      </c>
      <c r="L478" s="14" t="s">
        <v>13190</v>
      </c>
      <c r="M478" s="14" t="s">
        <v>9158</v>
      </c>
      <c r="N478" s="14" t="s">
        <v>9158</v>
      </c>
      <c r="O478" s="14" t="s">
        <v>9158</v>
      </c>
      <c r="P478" s="14" t="s">
        <v>9158</v>
      </c>
      <c r="Q478" s="14" t="s">
        <v>9158</v>
      </c>
      <c r="R478" s="14"/>
    </row>
    <row r="479" spans="1:18">
      <c r="B479" s="14"/>
      <c r="C479" s="14"/>
      <c r="D479" s="14"/>
      <c r="F479" s="14"/>
      <c r="G479" s="14"/>
      <c r="H479" s="14"/>
      <c r="I479" s="14"/>
      <c r="J479" s="14"/>
      <c r="K479" s="14"/>
      <c r="L479" s="14"/>
      <c r="M479" s="14"/>
      <c r="N479" s="14"/>
      <c r="P479" s="14"/>
      <c r="Q479" s="14"/>
      <c r="R479" s="14"/>
    </row>
    <row r="480" spans="1:18">
      <c r="A480" s="14" t="s">
        <v>135</v>
      </c>
      <c r="D480" s="14"/>
      <c r="F480" s="14"/>
      <c r="G480" s="14"/>
      <c r="H480" s="14"/>
      <c r="I480" s="14"/>
      <c r="J480" s="14"/>
      <c r="K480" s="14"/>
      <c r="L480" s="14"/>
      <c r="M480" s="14"/>
      <c r="N480" s="14"/>
      <c r="P480" s="14"/>
      <c r="Q480" s="14"/>
      <c r="R480" s="14"/>
    </row>
    <row r="481" spans="1:19">
      <c r="A481" s="14" t="s">
        <v>4472</v>
      </c>
      <c r="B481" s="14"/>
      <c r="C481" s="14"/>
      <c r="D481" s="14"/>
      <c r="F481" s="14"/>
      <c r="G481" s="14"/>
      <c r="H481" s="14"/>
      <c r="I481" s="14"/>
      <c r="J481" s="14"/>
      <c r="K481" s="14"/>
      <c r="L481" s="14"/>
      <c r="M481" s="14"/>
      <c r="N481" s="14"/>
      <c r="P481" s="14"/>
      <c r="Q481" s="14"/>
      <c r="R481" s="14"/>
    </row>
    <row r="482" spans="1:19">
      <c r="A482" s="9" t="s">
        <v>5620</v>
      </c>
      <c r="B482" s="14" t="s">
        <v>52</v>
      </c>
      <c r="C482" s="14" t="s">
        <v>344</v>
      </c>
      <c r="D482" s="14" t="s">
        <v>2042</v>
      </c>
      <c r="E482" s="15" t="str">
        <f>HYPERLINK("https://stat100.ameba.jp/tnk47/ratio20/illustrations/card/ill_67173_0_yukemuriawamorichan03.jpg?201905-1-RELEASE-raid-407", "■")</f>
        <v>■</v>
      </c>
      <c r="F482" s="14" t="s">
        <v>2043</v>
      </c>
      <c r="G482" s="14">
        <v>184400</v>
      </c>
      <c r="H482" s="14">
        <v>171436</v>
      </c>
      <c r="I482" s="14">
        <v>24</v>
      </c>
      <c r="J482" s="14" t="s">
        <v>104</v>
      </c>
      <c r="K482" s="14" t="s">
        <v>2044</v>
      </c>
      <c r="L482" s="14" t="s">
        <v>2045</v>
      </c>
      <c r="M482" s="14" t="s">
        <v>9158</v>
      </c>
      <c r="N482" s="14" t="s">
        <v>9158</v>
      </c>
      <c r="O482" s="17" t="s">
        <v>10061</v>
      </c>
      <c r="P482" s="14" t="s">
        <v>3455</v>
      </c>
      <c r="Q482" s="14">
        <v>1</v>
      </c>
      <c r="R482" s="14"/>
    </row>
    <row r="483" spans="1:19">
      <c r="A483" s="9">
        <v>73723</v>
      </c>
      <c r="B483" s="14" t="s">
        <v>334</v>
      </c>
      <c r="C483" s="14" t="s">
        <v>191</v>
      </c>
      <c r="D483" s="14" t="s">
        <v>3456</v>
      </c>
      <c r="E483" s="15" t="str">
        <f>HYPERLINK("https://stat100.ameba.jp/tnk47/ratio20/illustrations/card/ill_73723_umibirakitomoegozen03.jpg?201905-1-RELEASE-raid-407", "■")</f>
        <v>■</v>
      </c>
      <c r="F483" s="14" t="s">
        <v>3457</v>
      </c>
      <c r="G483" s="14">
        <v>130784</v>
      </c>
      <c r="H483" s="14">
        <v>121604</v>
      </c>
      <c r="I483" s="14">
        <v>22</v>
      </c>
      <c r="J483" s="14" t="s">
        <v>143</v>
      </c>
      <c r="K483" s="14" t="s">
        <v>3458</v>
      </c>
      <c r="L483" s="14" t="s">
        <v>3459</v>
      </c>
      <c r="M483" s="14" t="s">
        <v>9158</v>
      </c>
      <c r="N483" s="14" t="s">
        <v>9158</v>
      </c>
      <c r="O483" s="17" t="s">
        <v>10057</v>
      </c>
      <c r="P483" s="14" t="s">
        <v>3460</v>
      </c>
      <c r="Q483" s="14">
        <v>1</v>
      </c>
      <c r="R483" s="14"/>
    </row>
    <row r="484" spans="1:19">
      <c r="A484" s="9">
        <v>65643</v>
      </c>
      <c r="B484" s="14" t="s">
        <v>0</v>
      </c>
      <c r="C484" s="14" t="s">
        <v>209</v>
      </c>
      <c r="D484" s="14" t="s">
        <v>1249</v>
      </c>
      <c r="E484" s="15" t="str">
        <f>HYPERLINK("https://stat100.ameba.jp/tnk47/ratio20/illustrations/card/ill_65643_shitompekamui03.jpg?201905-1-RELEASE-raid-407", "■")</f>
        <v>■</v>
      </c>
      <c r="F484" s="14" t="s">
        <v>1250</v>
      </c>
      <c r="G484" s="14">
        <v>72736</v>
      </c>
      <c r="H484" s="14">
        <v>100424</v>
      </c>
      <c r="I484" s="14">
        <v>22</v>
      </c>
      <c r="J484" s="14" t="s">
        <v>44</v>
      </c>
      <c r="K484" s="14" t="s">
        <v>1251</v>
      </c>
      <c r="L484" s="14" t="s">
        <v>1252</v>
      </c>
      <c r="M484" s="14" t="s">
        <v>9158</v>
      </c>
      <c r="N484" s="14" t="s">
        <v>9158</v>
      </c>
      <c r="O484" s="9" t="s">
        <v>3244</v>
      </c>
      <c r="P484" s="14" t="s">
        <v>3245</v>
      </c>
      <c r="Q484" s="14">
        <v>1</v>
      </c>
      <c r="R484" s="14"/>
    </row>
    <row r="485" spans="1:19">
      <c r="A485" s="9">
        <v>67993</v>
      </c>
      <c r="B485" s="14" t="s">
        <v>334</v>
      </c>
      <c r="C485" s="14" t="s">
        <v>205</v>
      </c>
      <c r="D485" s="14" t="s">
        <v>2546</v>
      </c>
      <c r="E485" s="15" t="str">
        <f>HYPERLINK("https://stat100.ameba.jp/tnk47/ratio20/illustrations/card/ill_67993_kurisumasupateikanekomisuzu03.jpg?201905-1-RELEASE-raid-407", "■")</f>
        <v>■</v>
      </c>
      <c r="F485" s="14" t="s">
        <v>1286</v>
      </c>
      <c r="G485" s="14">
        <v>85934</v>
      </c>
      <c r="H485" s="14">
        <v>79868</v>
      </c>
      <c r="I485" s="14">
        <v>22</v>
      </c>
      <c r="J485" s="14" t="s">
        <v>10</v>
      </c>
      <c r="K485" s="14" t="s">
        <v>2547</v>
      </c>
      <c r="L485" s="14" t="s">
        <v>2548</v>
      </c>
      <c r="M485" s="14" t="s">
        <v>9158</v>
      </c>
      <c r="N485" s="14" t="s">
        <v>9158</v>
      </c>
      <c r="O485" s="17" t="s">
        <v>10025</v>
      </c>
      <c r="P485" s="14" t="s">
        <v>3701</v>
      </c>
      <c r="Q485" s="14">
        <v>1</v>
      </c>
      <c r="R485" s="14"/>
    </row>
    <row r="486" spans="1:19">
      <c r="B486" s="14"/>
      <c r="C486" s="14"/>
      <c r="D486" s="14"/>
      <c r="F486" s="14"/>
      <c r="G486" s="14"/>
      <c r="H486" s="14"/>
      <c r="I486" s="14"/>
      <c r="J486" s="14"/>
      <c r="K486" s="14"/>
      <c r="L486" s="14"/>
      <c r="M486" s="14"/>
      <c r="N486" s="14"/>
      <c r="P486" s="14"/>
      <c r="Q486" s="14"/>
      <c r="R486" s="14"/>
    </row>
    <row r="487" spans="1:19">
      <c r="A487" s="14" t="s">
        <v>4473</v>
      </c>
      <c r="D487" s="14"/>
      <c r="F487" s="14"/>
      <c r="G487" s="14"/>
      <c r="H487" s="14"/>
      <c r="I487" s="14"/>
      <c r="J487" s="14"/>
      <c r="K487" s="14"/>
      <c r="L487" s="14"/>
      <c r="M487" s="14"/>
      <c r="N487" s="14"/>
      <c r="P487" s="14"/>
      <c r="Q487" s="14"/>
      <c r="R487" s="14"/>
    </row>
    <row r="488" spans="1:19">
      <c r="A488" s="14" t="s">
        <v>4474</v>
      </c>
      <c r="B488" s="14"/>
      <c r="C488" s="14"/>
      <c r="D488" s="14"/>
      <c r="F488" s="14"/>
      <c r="G488" s="14"/>
      <c r="H488" s="14"/>
      <c r="I488" s="14"/>
      <c r="J488" s="14"/>
      <c r="K488" s="14"/>
      <c r="L488" s="14"/>
      <c r="M488" s="14"/>
      <c r="N488" s="14"/>
      <c r="P488" s="14"/>
      <c r="Q488" s="14"/>
      <c r="R488" s="14"/>
    </row>
    <row r="489" spans="1:19">
      <c r="A489" s="9" t="s">
        <v>5602</v>
      </c>
      <c r="B489" s="14" t="s">
        <v>52</v>
      </c>
      <c r="C489" s="14" t="s">
        <v>14</v>
      </c>
      <c r="D489" s="14" t="s">
        <v>2093</v>
      </c>
      <c r="E489" s="15" t="str">
        <f>HYPERLINK("https://stat100.ameba.jp/tnk47/ratio20/illustrations/card/ill_55313_0_haroinononokomachi03.jpg?201905-1-RELEASE-raid-407", "■")</f>
        <v>■</v>
      </c>
      <c r="F489" s="14" t="s">
        <v>2094</v>
      </c>
      <c r="G489" s="14">
        <v>94236</v>
      </c>
      <c r="H489" s="14">
        <v>83712</v>
      </c>
      <c r="I489" s="14">
        <v>15</v>
      </c>
      <c r="J489" s="14" t="s">
        <v>10</v>
      </c>
      <c r="K489" s="14" t="s">
        <v>2095</v>
      </c>
      <c r="L489" s="14" t="s">
        <v>2096</v>
      </c>
      <c r="M489" s="14" t="s">
        <v>9158</v>
      </c>
      <c r="N489" s="14" t="s">
        <v>9158</v>
      </c>
      <c r="O489" s="9" t="s">
        <v>2733</v>
      </c>
      <c r="P489" s="14" t="s">
        <v>2734</v>
      </c>
      <c r="Q489" s="14">
        <v>1</v>
      </c>
      <c r="R489" s="14"/>
    </row>
    <row r="490" spans="1:19">
      <c r="A490" s="9" t="s">
        <v>5607</v>
      </c>
      <c r="B490" s="14" t="s">
        <v>330</v>
      </c>
      <c r="C490" s="14" t="s">
        <v>200</v>
      </c>
      <c r="D490" s="14" t="s">
        <v>1039</v>
      </c>
      <c r="E490" s="15" t="str">
        <f>HYPERLINK("https://stat100.ameba.jp/tnk47/ratio20/illustrations/card/ill_58853_0_setsubumpanikkuhiratsukaraicho03.jpg?201905-1-RELEASE-raid-407", "■")</f>
        <v>■</v>
      </c>
      <c r="F490" s="14" t="s">
        <v>1040</v>
      </c>
      <c r="G490" s="14">
        <v>94236</v>
      </c>
      <c r="H490" s="14">
        <v>83712</v>
      </c>
      <c r="I490" s="14">
        <v>15</v>
      </c>
      <c r="J490" s="14" t="s">
        <v>16</v>
      </c>
      <c r="K490" s="14" t="s">
        <v>1041</v>
      </c>
      <c r="L490" s="14" t="s">
        <v>1042</v>
      </c>
      <c r="M490" s="14" t="s">
        <v>9158</v>
      </c>
      <c r="N490" s="14" t="s">
        <v>9158</v>
      </c>
      <c r="O490" s="17" t="s">
        <v>10059</v>
      </c>
      <c r="P490" s="14" t="s">
        <v>2870</v>
      </c>
      <c r="Q490" s="14">
        <v>1</v>
      </c>
      <c r="R490" s="14"/>
    </row>
    <row r="491" spans="1:19">
      <c r="A491" s="9" t="s">
        <v>5830</v>
      </c>
      <c r="B491" s="14" t="s">
        <v>330</v>
      </c>
      <c r="C491" s="14" t="s">
        <v>191</v>
      </c>
      <c r="D491" s="14" t="s">
        <v>793</v>
      </c>
      <c r="E491" s="15" t="str">
        <f>HYPERLINK("https://stat100.ameba.jp/tnk47/ratio20/illustrations/card/ill_39933_0_reihiiinaotora03.jpg?201905-1-RELEASE-raid-407", "■")</f>
        <v>■</v>
      </c>
      <c r="F491" s="14" t="s">
        <v>794</v>
      </c>
      <c r="G491" s="14">
        <v>82212</v>
      </c>
      <c r="H491" s="14">
        <v>87780</v>
      </c>
      <c r="I491" s="14">
        <v>15</v>
      </c>
      <c r="J491" s="14" t="s">
        <v>315</v>
      </c>
      <c r="K491" s="14" t="s">
        <v>795</v>
      </c>
      <c r="L491" s="14" t="s">
        <v>796</v>
      </c>
      <c r="M491" s="14" t="s">
        <v>9158</v>
      </c>
      <c r="N491" s="14" t="s">
        <v>9158</v>
      </c>
      <c r="O491" s="14" t="s">
        <v>9158</v>
      </c>
      <c r="P491" s="14" t="s">
        <v>9158</v>
      </c>
      <c r="Q491" s="14" t="s">
        <v>9158</v>
      </c>
      <c r="R491" s="14"/>
    </row>
    <row r="492" spans="1:19">
      <c r="A492" s="9">
        <v>76133</v>
      </c>
      <c r="B492" s="14" t="s">
        <v>334</v>
      </c>
      <c r="C492" s="14" t="s">
        <v>209</v>
      </c>
      <c r="D492" s="14" t="s">
        <v>4475</v>
      </c>
      <c r="E492" s="15" t="str">
        <f>HYPERLINK("https://stat100.ameba.jp/tnk47/ratio20/illustrations/card/ill_76133_shinobinishinadaisuke03.jpg?201905-1-RELEASE-raid-407", "■")</f>
        <v>■</v>
      </c>
      <c r="F492" s="14" t="s">
        <v>4476</v>
      </c>
      <c r="G492" s="14">
        <v>90522</v>
      </c>
      <c r="H492" s="14">
        <v>97318</v>
      </c>
      <c r="I492" s="14">
        <v>24</v>
      </c>
      <c r="J492" s="14" t="s">
        <v>16</v>
      </c>
      <c r="K492" s="14" t="s">
        <v>4477</v>
      </c>
      <c r="L492" s="14" t="s">
        <v>124</v>
      </c>
      <c r="M492" s="14" t="s">
        <v>9158</v>
      </c>
      <c r="N492" s="14" t="s">
        <v>9158</v>
      </c>
      <c r="O492" s="14" t="s">
        <v>9158</v>
      </c>
      <c r="P492" s="14" t="s">
        <v>9158</v>
      </c>
      <c r="Q492" s="14" t="s">
        <v>9158</v>
      </c>
      <c r="S492" s="14" t="s">
        <v>11770</v>
      </c>
    </row>
    <row r="493" spans="1:19">
      <c r="A493" s="9">
        <v>62253</v>
      </c>
      <c r="B493" s="14" t="s">
        <v>334</v>
      </c>
      <c r="C493" s="14" t="s">
        <v>158</v>
      </c>
      <c r="D493" s="14" t="s">
        <v>4478</v>
      </c>
      <c r="E493" s="15" t="str">
        <f>HYPERLINK("https://stat100.ameba.jp/tnk47/ratio20/illustrations/card/ill_62253_gogatsubyosakyogabashinohebi03.jpg?201905-1-RELEASE-raid-407", "■")</f>
        <v>■</v>
      </c>
      <c r="F493" s="14" t="s">
        <v>4479</v>
      </c>
      <c r="G493" s="14">
        <v>109528</v>
      </c>
      <c r="H493" s="14">
        <v>101656</v>
      </c>
      <c r="I493" s="14">
        <v>24</v>
      </c>
      <c r="J493" s="14" t="s">
        <v>38</v>
      </c>
      <c r="K493" s="14" t="s">
        <v>4480</v>
      </c>
      <c r="L493" s="14" t="s">
        <v>4481</v>
      </c>
      <c r="M493" s="14" t="s">
        <v>9158</v>
      </c>
      <c r="N493" s="14" t="s">
        <v>9158</v>
      </c>
      <c r="O493" s="14" t="s">
        <v>9158</v>
      </c>
      <c r="P493" s="14" t="s">
        <v>9158</v>
      </c>
      <c r="Q493" s="14" t="s">
        <v>9158</v>
      </c>
      <c r="S493" s="14" t="s">
        <v>11769</v>
      </c>
    </row>
    <row r="494" spans="1:19">
      <c r="A494" s="9">
        <v>66803</v>
      </c>
      <c r="B494" s="14" t="s">
        <v>334</v>
      </c>
      <c r="C494" s="14" t="s">
        <v>209</v>
      </c>
      <c r="D494" s="14" t="s">
        <v>4112</v>
      </c>
      <c r="E494" s="15" t="str">
        <f>HYPERLINK("https://stat100.ameba.jp/tnk47/ratio20/illustrations/card/ill_66803_shodainishikawasenzo03.jpg?201905-1-RELEASE-raid-407", "■")</f>
        <v>■</v>
      </c>
      <c r="F494" s="14" t="s">
        <v>4113</v>
      </c>
      <c r="G494" s="14">
        <v>93746</v>
      </c>
      <c r="H494" s="14">
        <v>87128</v>
      </c>
      <c r="I494" s="14">
        <v>24</v>
      </c>
      <c r="J494" s="14" t="s">
        <v>10</v>
      </c>
      <c r="K494" s="14" t="s">
        <v>4114</v>
      </c>
      <c r="L494" s="14" t="s">
        <v>3352</v>
      </c>
      <c r="M494" s="14" t="s">
        <v>9158</v>
      </c>
      <c r="N494" s="14" t="s">
        <v>9158</v>
      </c>
      <c r="O494" s="14" t="s">
        <v>9158</v>
      </c>
      <c r="P494" s="14" t="s">
        <v>9158</v>
      </c>
      <c r="Q494" s="14" t="s">
        <v>9158</v>
      </c>
      <c r="S494" s="14" t="s">
        <v>11760</v>
      </c>
    </row>
    <row r="495" spans="1:19">
      <c r="A495" s="9">
        <v>55743</v>
      </c>
      <c r="B495" s="14" t="s">
        <v>15</v>
      </c>
      <c r="C495" s="14" t="s">
        <v>165</v>
      </c>
      <c r="D495" s="14" t="s">
        <v>4307</v>
      </c>
      <c r="E495" s="15" t="str">
        <f>HYPERLINK("https://stat100.ameba.jp/tnk47/ratio20/illustrations/card/ill_55743_nankoume03.jpg?201905-1-RELEASE-raid-407", "■")</f>
        <v>■</v>
      </c>
      <c r="F495" s="14" t="s">
        <v>4308</v>
      </c>
      <c r="G495" s="14">
        <v>51078</v>
      </c>
      <c r="H495" s="14">
        <v>56316</v>
      </c>
      <c r="I495" s="14">
        <v>19</v>
      </c>
      <c r="J495" s="14" t="s">
        <v>104</v>
      </c>
      <c r="K495" s="14" t="s">
        <v>4310</v>
      </c>
      <c r="L495" s="14" t="s">
        <v>4311</v>
      </c>
      <c r="M495" s="14" t="s">
        <v>9158</v>
      </c>
      <c r="N495" s="14" t="s">
        <v>9158</v>
      </c>
      <c r="O495" s="14" t="s">
        <v>9158</v>
      </c>
      <c r="P495" s="14" t="s">
        <v>9158</v>
      </c>
      <c r="Q495" s="14" t="s">
        <v>9158</v>
      </c>
      <c r="S495" s="14" t="s">
        <v>12930</v>
      </c>
    </row>
    <row r="496" spans="1:19">
      <c r="A496" s="9">
        <v>59193</v>
      </c>
      <c r="B496" s="14" t="s">
        <v>15</v>
      </c>
      <c r="C496" s="14" t="s">
        <v>165</v>
      </c>
      <c r="D496" s="14" t="s">
        <v>4312</v>
      </c>
      <c r="E496" s="15" t="str">
        <f>HYPERLINK("https://stat100.ameba.jp/tnk47/ratio20/illustrations/card/ill_59193_otonanoasobiokiku03.jpg?201905-1-RELEASE-raid-407", "■")</f>
        <v>■</v>
      </c>
      <c r="F496" s="14" t="s">
        <v>4313</v>
      </c>
      <c r="G496" s="14">
        <v>56316</v>
      </c>
      <c r="H496" s="14">
        <v>51078</v>
      </c>
      <c r="I496" s="14">
        <v>19</v>
      </c>
      <c r="J496" s="14" t="s">
        <v>38</v>
      </c>
      <c r="K496" s="14" t="s">
        <v>4314</v>
      </c>
      <c r="L496" s="14" t="s">
        <v>4315</v>
      </c>
      <c r="M496" s="14" t="s">
        <v>9158</v>
      </c>
      <c r="N496" s="14" t="s">
        <v>9158</v>
      </c>
      <c r="O496" s="14" t="s">
        <v>9158</v>
      </c>
      <c r="P496" s="14" t="s">
        <v>9158</v>
      </c>
      <c r="Q496" s="14" t="s">
        <v>9158</v>
      </c>
      <c r="S496" s="14" t="s">
        <v>12930</v>
      </c>
    </row>
    <row r="497" spans="1:19">
      <c r="A497" s="9">
        <v>66513</v>
      </c>
      <c r="B497" s="14" t="s">
        <v>348</v>
      </c>
      <c r="C497" s="14" t="s">
        <v>165</v>
      </c>
      <c r="D497" s="14" t="s">
        <v>3334</v>
      </c>
      <c r="E497" s="15" t="str">
        <f>HYPERLINK("https://stat100.ameba.jp/tnk47/ratio20/illustrations/card/ill_66513_yuenchigishumoninnotango03.jpg?201905-1-RELEASE-raid-407", "■")</f>
        <v>■</v>
      </c>
      <c r="F497" s="14" t="s">
        <v>3335</v>
      </c>
      <c r="G497" s="14">
        <v>51078</v>
      </c>
      <c r="H497" s="14">
        <v>56316</v>
      </c>
      <c r="I497" s="14">
        <v>19</v>
      </c>
      <c r="J497" s="14" t="s">
        <v>10</v>
      </c>
      <c r="K497" s="14" t="s">
        <v>3336</v>
      </c>
      <c r="L497" s="14" t="s">
        <v>3337</v>
      </c>
      <c r="M497" s="14" t="s">
        <v>9158</v>
      </c>
      <c r="N497" s="14" t="s">
        <v>9158</v>
      </c>
      <c r="O497" s="14" t="s">
        <v>9158</v>
      </c>
      <c r="P497" s="14" t="s">
        <v>9158</v>
      </c>
      <c r="Q497" s="14" t="s">
        <v>9158</v>
      </c>
      <c r="S497" s="14" t="s">
        <v>12930</v>
      </c>
    </row>
    <row r="498" spans="1:19">
      <c r="B498" s="14"/>
      <c r="C498" s="14"/>
      <c r="D498" s="14"/>
      <c r="F498" s="14"/>
      <c r="G498" s="14"/>
      <c r="H498" s="14"/>
      <c r="I498" s="14"/>
      <c r="J498" s="14"/>
      <c r="K498" s="14"/>
      <c r="L498" s="14"/>
      <c r="M498" s="14"/>
      <c r="N498" s="14"/>
      <c r="P498" s="14"/>
      <c r="Q498" s="14"/>
      <c r="R498" s="14"/>
    </row>
    <row r="499" spans="1:19">
      <c r="A499" s="14" t="s">
        <v>223</v>
      </c>
      <c r="D499" s="14"/>
      <c r="F499" s="14"/>
      <c r="G499" s="14"/>
      <c r="H499" s="14"/>
      <c r="I499" s="14"/>
      <c r="J499" s="14"/>
      <c r="K499" s="14"/>
      <c r="L499" s="14"/>
      <c r="M499" s="14"/>
      <c r="N499" s="14"/>
      <c r="P499" s="14"/>
      <c r="Q499" s="14"/>
      <c r="R499" s="14"/>
    </row>
    <row r="500" spans="1:19">
      <c r="A500" s="14" t="s">
        <v>4482</v>
      </c>
      <c r="B500" s="14"/>
      <c r="C500" s="14"/>
      <c r="D500" s="14"/>
      <c r="F500" s="14"/>
      <c r="G500" s="14"/>
      <c r="H500" s="14"/>
      <c r="I500" s="14"/>
      <c r="J500" s="14"/>
      <c r="K500" s="14"/>
      <c r="L500" s="14"/>
      <c r="M500" s="14"/>
      <c r="N500" s="14"/>
      <c r="P500" s="14"/>
      <c r="Q500" s="14"/>
      <c r="R500" s="14"/>
    </row>
    <row r="501" spans="1:19">
      <c r="A501" s="9" t="s">
        <v>5787</v>
      </c>
      <c r="B501" s="14" t="s">
        <v>52</v>
      </c>
      <c r="C501" s="14" t="s">
        <v>202</v>
      </c>
      <c r="D501" s="14" t="s">
        <v>1101</v>
      </c>
      <c r="E501" s="15" t="str">
        <f>HYPERLINK("https://stat100.ameba.jp/tnk47/ratio20/illustrations/card/ill_76303_0_haroinkaguya03.jpg?201905-1-RELEASE-raid-407", "■")</f>
        <v>■</v>
      </c>
      <c r="F501" s="14" t="s">
        <v>1102</v>
      </c>
      <c r="G501" s="14">
        <v>226111</v>
      </c>
      <c r="H501" s="14">
        <v>210207</v>
      </c>
      <c r="I501" s="14">
        <v>19</v>
      </c>
      <c r="J501" s="14" t="s">
        <v>38</v>
      </c>
      <c r="K501" s="14" t="s">
        <v>1103</v>
      </c>
      <c r="L501" s="14" t="s">
        <v>1104</v>
      </c>
      <c r="M501" s="14" t="s">
        <v>9158</v>
      </c>
      <c r="N501" s="14" t="s">
        <v>9158</v>
      </c>
      <c r="O501" s="9" t="s">
        <v>2723</v>
      </c>
      <c r="P501" s="14" t="s">
        <v>2724</v>
      </c>
      <c r="Q501" s="14">
        <v>1</v>
      </c>
      <c r="R501" s="14"/>
    </row>
    <row r="502" spans="1:19">
      <c r="A502" s="9">
        <v>77673</v>
      </c>
      <c r="B502" s="14" t="s">
        <v>0</v>
      </c>
      <c r="C502" s="14" t="s">
        <v>203</v>
      </c>
      <c r="D502" s="14" t="s">
        <v>1776</v>
      </c>
      <c r="E502" s="15" t="str">
        <f>HYPERLINK("https://stat100.ameba.jp/tnk47/ratio20/illustrations/card/ill_77673_ryunochoji03.jpg?201905-1-RELEASE-raid-407", "■")</f>
        <v>■</v>
      </c>
      <c r="F502" s="14" t="s">
        <v>1777</v>
      </c>
      <c r="G502" s="14">
        <v>97925</v>
      </c>
      <c r="H502" s="14">
        <v>70942</v>
      </c>
      <c r="I502" s="14">
        <v>21</v>
      </c>
      <c r="J502" s="14" t="s">
        <v>73</v>
      </c>
      <c r="K502" s="14" t="s">
        <v>1778</v>
      </c>
      <c r="L502" s="14" t="s">
        <v>1779</v>
      </c>
      <c r="M502" s="14" t="s">
        <v>9158</v>
      </c>
      <c r="N502" s="14" t="s">
        <v>9158</v>
      </c>
      <c r="O502" s="17" t="s">
        <v>10057</v>
      </c>
      <c r="P502" s="14" t="s">
        <v>3460</v>
      </c>
      <c r="Q502" s="14">
        <v>1</v>
      </c>
      <c r="R502" s="14"/>
    </row>
    <row r="503" spans="1:19">
      <c r="A503" s="9">
        <v>67103</v>
      </c>
      <c r="B503" s="14" t="s">
        <v>0</v>
      </c>
      <c r="C503" s="14" t="s">
        <v>154</v>
      </c>
      <c r="D503" s="14" t="s">
        <v>1282</v>
      </c>
      <c r="E503" s="15" t="str">
        <f>HYPERLINK("https://stat100.ameba.jp/tnk47/ratio20/illustrations/card/ill_67103_ankonabe03.jpg?201905-1-RELEASE-raid-407", "■")</f>
        <v>■</v>
      </c>
      <c r="F503" s="14" t="s">
        <v>1283</v>
      </c>
      <c r="G503" s="14">
        <v>80391</v>
      </c>
      <c r="H503" s="14">
        <v>111000</v>
      </c>
      <c r="I503" s="14">
        <v>21</v>
      </c>
      <c r="J503" s="14" t="s">
        <v>216</v>
      </c>
      <c r="K503" s="14" t="s">
        <v>1284</v>
      </c>
      <c r="L503" s="14" t="s">
        <v>13153</v>
      </c>
      <c r="M503" s="14" t="s">
        <v>9158</v>
      </c>
      <c r="N503" s="14" t="s">
        <v>9158</v>
      </c>
      <c r="O503" s="9" t="s">
        <v>3461</v>
      </c>
      <c r="P503" s="14" t="s">
        <v>3462</v>
      </c>
      <c r="Q503" s="14">
        <v>1</v>
      </c>
      <c r="R503" s="14"/>
    </row>
    <row r="504" spans="1:19">
      <c r="A504" s="9">
        <v>64893</v>
      </c>
      <c r="B504" s="14" t="s">
        <v>334</v>
      </c>
      <c r="C504" s="14" t="s">
        <v>185</v>
      </c>
      <c r="D504" s="14" t="s">
        <v>1288</v>
      </c>
      <c r="E504" s="15" t="str">
        <f>HYPERLINK("https://stat100.ameba.jp/tnk47/ratio20/illustrations/card/ill_64893_yukataonamihime03.jpg?201905-1-RELEASE-raid-407", "■")</f>
        <v>■</v>
      </c>
      <c r="F504" s="14" t="s">
        <v>1289</v>
      </c>
      <c r="G504" s="14">
        <v>124839</v>
      </c>
      <c r="H504" s="14">
        <v>116076</v>
      </c>
      <c r="I504" s="14">
        <v>21</v>
      </c>
      <c r="J504" s="14" t="s">
        <v>194</v>
      </c>
      <c r="K504" s="14" t="s">
        <v>1290</v>
      </c>
      <c r="L504" s="14" t="s">
        <v>13155</v>
      </c>
      <c r="M504" s="14" t="s">
        <v>9158</v>
      </c>
      <c r="N504" s="14" t="s">
        <v>9158</v>
      </c>
      <c r="O504" s="9" t="s">
        <v>3854</v>
      </c>
      <c r="P504" s="14" t="s">
        <v>13124</v>
      </c>
      <c r="Q504" s="14">
        <v>1</v>
      </c>
      <c r="R504" s="14"/>
    </row>
    <row r="505" spans="1:19">
      <c r="B505" s="14"/>
      <c r="C505" s="14"/>
      <c r="D505" s="14"/>
      <c r="F505" s="14"/>
      <c r="G505" s="14"/>
      <c r="H505" s="14"/>
      <c r="I505" s="14"/>
      <c r="J505" s="14"/>
      <c r="K505" s="14"/>
      <c r="L505" s="14"/>
      <c r="M505" s="14"/>
      <c r="N505" s="14"/>
      <c r="P505" s="14"/>
      <c r="Q505" s="14"/>
      <c r="R505" s="14"/>
    </row>
    <row r="506" spans="1:19">
      <c r="A506" s="14" t="s">
        <v>14613</v>
      </c>
      <c r="D506" s="14"/>
      <c r="F506" s="14"/>
      <c r="G506" s="14"/>
      <c r="H506" s="14"/>
      <c r="I506" s="14"/>
      <c r="J506" s="14"/>
      <c r="K506" s="14"/>
      <c r="L506" s="14"/>
      <c r="M506" s="14"/>
      <c r="N506" s="14"/>
      <c r="P506" s="14"/>
      <c r="Q506" s="14"/>
      <c r="R506" s="14"/>
    </row>
    <row r="507" spans="1:19">
      <c r="A507" s="14" t="s">
        <v>4493</v>
      </c>
      <c r="B507" s="14"/>
      <c r="C507" s="14"/>
      <c r="D507" s="14"/>
      <c r="F507" s="14"/>
      <c r="G507" s="14"/>
      <c r="H507" s="14"/>
      <c r="I507" s="14"/>
      <c r="J507" s="14"/>
      <c r="K507" s="14"/>
      <c r="L507" s="14"/>
      <c r="M507" s="14"/>
      <c r="N507" s="14"/>
      <c r="P507" s="14"/>
      <c r="Q507" s="14"/>
      <c r="R507" s="14"/>
    </row>
    <row r="508" spans="1:19">
      <c r="A508" s="9">
        <v>73865</v>
      </c>
      <c r="B508" s="14" t="s">
        <v>334</v>
      </c>
      <c r="C508" s="14" t="s">
        <v>202</v>
      </c>
      <c r="D508" s="14" t="s">
        <v>2236</v>
      </c>
      <c r="E508" s="15" t="str">
        <f>HYPERLINK("https://stat100.ameba.jp/tnk47/ratio20/illustrations/card/ill_73865_nyunaisuzume05.jpg?201905-1-RELEASE-raid-407", "■")</f>
        <v>■</v>
      </c>
      <c r="F508" s="14" t="s">
        <v>2237</v>
      </c>
      <c r="G508" s="14">
        <v>49558</v>
      </c>
      <c r="H508" s="14">
        <v>68446</v>
      </c>
      <c r="I508" s="14">
        <v>22</v>
      </c>
      <c r="J508" s="14" t="s">
        <v>73</v>
      </c>
      <c r="K508" s="14" t="s">
        <v>2239</v>
      </c>
      <c r="L508" s="14" t="s">
        <v>2238</v>
      </c>
      <c r="M508" s="14" t="s">
        <v>9158</v>
      </c>
      <c r="N508" s="14" t="s">
        <v>9158</v>
      </c>
      <c r="O508" s="14" t="s">
        <v>9158</v>
      </c>
      <c r="P508" s="14" t="s">
        <v>9158</v>
      </c>
      <c r="Q508" s="14" t="s">
        <v>9158</v>
      </c>
      <c r="R508" s="14" t="s">
        <v>174</v>
      </c>
    </row>
    <row r="509" spans="1:19">
      <c r="A509" s="9">
        <v>73863</v>
      </c>
      <c r="B509" s="14" t="s">
        <v>15</v>
      </c>
      <c r="C509" s="14" t="s">
        <v>158</v>
      </c>
      <c r="D509" s="14" t="s">
        <v>2236</v>
      </c>
      <c r="E509" s="15" t="str">
        <f>HYPERLINK("https://stat100.ameba.jp/tnk47/ratio20/illustrations/card/ill_73863_nyunaisuzume03.jpg?201905-1-RELEASE-raid-407", "■")</f>
        <v>■</v>
      </c>
      <c r="F509" s="14" t="s">
        <v>2237</v>
      </c>
      <c r="G509" s="14">
        <v>35814</v>
      </c>
      <c r="H509" s="14">
        <v>49506</v>
      </c>
      <c r="I509" s="14">
        <v>22</v>
      </c>
      <c r="J509" s="14" t="s">
        <v>73</v>
      </c>
      <c r="K509" s="14" t="s">
        <v>2239</v>
      </c>
      <c r="L509" s="14" t="s">
        <v>2240</v>
      </c>
      <c r="M509" s="14" t="s">
        <v>9158</v>
      </c>
      <c r="N509" s="14" t="s">
        <v>9158</v>
      </c>
      <c r="O509" s="14" t="s">
        <v>9158</v>
      </c>
      <c r="P509" s="14" t="s">
        <v>9158</v>
      </c>
      <c r="Q509" s="14" t="s">
        <v>9158</v>
      </c>
      <c r="R509" s="14" t="s">
        <v>175</v>
      </c>
    </row>
    <row r="510" spans="1:19">
      <c r="A510" s="9">
        <v>73861</v>
      </c>
      <c r="B510" s="14" t="s">
        <v>15</v>
      </c>
      <c r="C510" s="14" t="s">
        <v>158</v>
      </c>
      <c r="D510" s="14" t="s">
        <v>2236</v>
      </c>
      <c r="E510" s="15" t="str">
        <f>HYPERLINK("https://stat100.ameba.jp/tnk47/ratio20/illustrations/card/ill_73861_nyunaisuzume01.jpg?201905-1-RELEASE-raid-407", "■")</f>
        <v>■</v>
      </c>
      <c r="F510" s="14" t="s">
        <v>2237</v>
      </c>
      <c r="G510" s="14">
        <v>20768</v>
      </c>
      <c r="H510" s="14">
        <v>28688</v>
      </c>
      <c r="I510" s="14">
        <v>22</v>
      </c>
      <c r="J510" s="14" t="s">
        <v>73</v>
      </c>
      <c r="K510" s="14" t="s">
        <v>2239</v>
      </c>
      <c r="L510" s="14" t="s">
        <v>2241</v>
      </c>
      <c r="M510" s="14" t="s">
        <v>9158</v>
      </c>
      <c r="N510" s="14" t="s">
        <v>9158</v>
      </c>
      <c r="O510" s="14" t="s">
        <v>9158</v>
      </c>
      <c r="P510" s="14" t="s">
        <v>9158</v>
      </c>
      <c r="Q510" s="14" t="s">
        <v>9158</v>
      </c>
      <c r="R510" s="14" t="s">
        <v>176</v>
      </c>
    </row>
    <row r="511" spans="1:19">
      <c r="A511" s="9">
        <v>75835</v>
      </c>
      <c r="B511" s="14" t="s">
        <v>334</v>
      </c>
      <c r="C511" s="14" t="s">
        <v>202</v>
      </c>
      <c r="D511" s="14" t="s">
        <v>4483</v>
      </c>
      <c r="E511" s="15" t="str">
        <f>HYPERLINK("https://stat100.ameba.jp/tnk47/ratio20/illustrations/card/ill_75835_amenofuyukinunokami05.jpg?201905-1-RELEASE-raid-407", "■")</f>
        <v>■</v>
      </c>
      <c r="F511" s="14" t="s">
        <v>4484</v>
      </c>
      <c r="G511" s="14">
        <v>113428</v>
      </c>
      <c r="H511" s="14">
        <v>82120</v>
      </c>
      <c r="I511" s="14">
        <v>22</v>
      </c>
      <c r="J511" s="14" t="s">
        <v>44</v>
      </c>
      <c r="K511" s="14" t="s">
        <v>4485</v>
      </c>
      <c r="L511" s="14" t="s">
        <v>4486</v>
      </c>
      <c r="M511" s="14" t="s">
        <v>9158</v>
      </c>
      <c r="N511" s="14" t="s">
        <v>9158</v>
      </c>
      <c r="O511" s="14" t="s">
        <v>9158</v>
      </c>
      <c r="P511" s="14" t="s">
        <v>9158</v>
      </c>
      <c r="Q511" s="14" t="s">
        <v>9158</v>
      </c>
      <c r="R511" s="14" t="s">
        <v>174</v>
      </c>
      <c r="S511" s="9" t="s">
        <v>14612</v>
      </c>
    </row>
    <row r="512" spans="1:19">
      <c r="A512" s="9">
        <v>75833</v>
      </c>
      <c r="B512" s="14" t="s">
        <v>15</v>
      </c>
      <c r="C512" s="14" t="s">
        <v>154</v>
      </c>
      <c r="D512" s="14" t="s">
        <v>4483</v>
      </c>
      <c r="E512" s="15" t="str">
        <f>HYPERLINK("https://stat100.ameba.jp/tnk47/ratio20/illustrations/card/ill_75833_amenofuyukinunokami03.jpg?201905-1-RELEASE-raid-407", "■")</f>
        <v>■</v>
      </c>
      <c r="F512" s="14" t="s">
        <v>4484</v>
      </c>
      <c r="G512" s="14">
        <v>83542</v>
      </c>
      <c r="H512" s="14">
        <v>60503</v>
      </c>
      <c r="I512" s="14">
        <v>22</v>
      </c>
      <c r="J512" s="14" t="s">
        <v>44</v>
      </c>
      <c r="K512" s="14" t="s">
        <v>4485</v>
      </c>
      <c r="L512" s="14" t="s">
        <v>4487</v>
      </c>
      <c r="M512" s="14" t="s">
        <v>9158</v>
      </c>
      <c r="N512" s="14" t="s">
        <v>9158</v>
      </c>
      <c r="O512" s="14" t="s">
        <v>9158</v>
      </c>
      <c r="P512" s="14" t="s">
        <v>9158</v>
      </c>
      <c r="Q512" s="14" t="s">
        <v>9158</v>
      </c>
      <c r="R512" s="14" t="s">
        <v>175</v>
      </c>
      <c r="S512" s="9" t="s">
        <v>14612</v>
      </c>
    </row>
    <row r="513" spans="1:18">
      <c r="A513" s="9">
        <v>75831</v>
      </c>
      <c r="B513" s="14" t="s">
        <v>15</v>
      </c>
      <c r="C513" s="14" t="s">
        <v>154</v>
      </c>
      <c r="D513" s="14" t="s">
        <v>4483</v>
      </c>
      <c r="E513" s="15" t="str">
        <f>HYPERLINK("https://stat100.ameba.jp/tnk47/ratio20/illustrations/card/ill_75831_amenofuyukinunokami01.jpg?201905-1-RELEASE-raid-407", "■")</f>
        <v>■</v>
      </c>
      <c r="F513" s="14" t="s">
        <v>4484</v>
      </c>
      <c r="G513" s="14">
        <v>53152</v>
      </c>
      <c r="H513" s="14">
        <v>38478</v>
      </c>
      <c r="I513" s="14">
        <v>22</v>
      </c>
      <c r="J513" s="14" t="s">
        <v>44</v>
      </c>
      <c r="K513" s="14" t="s">
        <v>4485</v>
      </c>
      <c r="L513" s="14" t="s">
        <v>4488</v>
      </c>
      <c r="M513" s="14" t="s">
        <v>9158</v>
      </c>
      <c r="N513" s="14" t="s">
        <v>9158</v>
      </c>
      <c r="O513" s="14" t="s">
        <v>9158</v>
      </c>
      <c r="P513" s="14" t="s">
        <v>9158</v>
      </c>
      <c r="Q513" s="14" t="s">
        <v>9158</v>
      </c>
      <c r="R513" s="14" t="s">
        <v>176</v>
      </c>
    </row>
    <row r="514" spans="1:18">
      <c r="A514" s="9">
        <v>75845</v>
      </c>
      <c r="B514" s="14" t="s">
        <v>334</v>
      </c>
      <c r="C514" s="14" t="s">
        <v>202</v>
      </c>
      <c r="D514" s="14" t="s">
        <v>4489</v>
      </c>
      <c r="E514" s="15" t="str">
        <f>HYPERLINK("https://stat100.ameba.jp/tnk47/ratio20/illustrations/card/ill_75845_tokugawanoriko05.jpg?201905-1-RELEASE-raid-407", "■")</f>
        <v>■</v>
      </c>
      <c r="F514" s="14" t="s">
        <v>4490</v>
      </c>
      <c r="G514" s="14">
        <v>74886</v>
      </c>
      <c r="H514" s="14">
        <v>103428</v>
      </c>
      <c r="I514" s="14">
        <v>22</v>
      </c>
      <c r="J514" s="14" t="s">
        <v>77</v>
      </c>
      <c r="K514" s="14" t="s">
        <v>4491</v>
      </c>
      <c r="L514" s="14" t="s">
        <v>9925</v>
      </c>
      <c r="M514" s="14" t="s">
        <v>9158</v>
      </c>
      <c r="N514" s="14" t="s">
        <v>9158</v>
      </c>
      <c r="O514" s="14" t="s">
        <v>9158</v>
      </c>
      <c r="P514" s="14" t="s">
        <v>9158</v>
      </c>
      <c r="Q514" s="14" t="s">
        <v>9158</v>
      </c>
      <c r="R514" s="14" t="s">
        <v>174</v>
      </c>
    </row>
    <row r="515" spans="1:18">
      <c r="A515" s="9">
        <v>75843</v>
      </c>
      <c r="B515" s="14" t="s">
        <v>15</v>
      </c>
      <c r="C515" s="14" t="s">
        <v>203</v>
      </c>
      <c r="D515" s="14" t="s">
        <v>4489</v>
      </c>
      <c r="E515" s="15" t="str">
        <f>HYPERLINK("https://stat100.ameba.jp/tnk47/ratio20/illustrations/card/ill_75843_tokugawanoriko03.jpg?201905-1-RELEASE-raid-407", "■")</f>
        <v>■</v>
      </c>
      <c r="F515" s="14" t="s">
        <v>4490</v>
      </c>
      <c r="G515" s="14">
        <v>55170</v>
      </c>
      <c r="H515" s="14">
        <v>76196</v>
      </c>
      <c r="I515" s="14">
        <v>22</v>
      </c>
      <c r="J515" s="14" t="s">
        <v>77</v>
      </c>
      <c r="K515" s="14" t="s">
        <v>4491</v>
      </c>
      <c r="L515" s="14" t="s">
        <v>326</v>
      </c>
      <c r="M515" s="14" t="s">
        <v>9158</v>
      </c>
      <c r="N515" s="14" t="s">
        <v>9158</v>
      </c>
      <c r="O515" s="14" t="s">
        <v>9158</v>
      </c>
      <c r="P515" s="14" t="s">
        <v>9158</v>
      </c>
      <c r="Q515" s="14" t="s">
        <v>9158</v>
      </c>
      <c r="R515" s="14" t="s">
        <v>175</v>
      </c>
    </row>
    <row r="516" spans="1:18">
      <c r="A516" s="9">
        <v>75841</v>
      </c>
      <c r="B516" s="14" t="s">
        <v>15</v>
      </c>
      <c r="C516" s="14" t="s">
        <v>203</v>
      </c>
      <c r="D516" s="14" t="s">
        <v>4489</v>
      </c>
      <c r="E516" s="15" t="str">
        <f>HYPERLINK("https://stat100.ameba.jp/tnk47/ratio20/illustrations/card/ill_75841_tokugawanoriko01.jpg?201905-1-RELEASE-raid-407", "■")</f>
        <v>■</v>
      </c>
      <c r="F516" s="14" t="s">
        <v>4490</v>
      </c>
      <c r="G516" s="14">
        <v>35090</v>
      </c>
      <c r="H516" s="14">
        <v>48466</v>
      </c>
      <c r="I516" s="14">
        <v>22</v>
      </c>
      <c r="J516" s="14" t="s">
        <v>77</v>
      </c>
      <c r="K516" s="14" t="s">
        <v>4491</v>
      </c>
      <c r="L516" s="14" t="s">
        <v>9926</v>
      </c>
      <c r="M516" s="14" t="s">
        <v>9158</v>
      </c>
      <c r="N516" s="14" t="s">
        <v>9158</v>
      </c>
      <c r="O516" s="14" t="s">
        <v>9158</v>
      </c>
      <c r="P516" s="14" t="s">
        <v>9158</v>
      </c>
      <c r="Q516" s="14" t="s">
        <v>9158</v>
      </c>
      <c r="R516" s="14" t="s">
        <v>176</v>
      </c>
    </row>
    <row r="518" spans="1:18">
      <c r="G518" s="14"/>
      <c r="H518" s="14"/>
      <c r="I518" s="14"/>
    </row>
    <row r="519" spans="1:18">
      <c r="G519" s="14"/>
      <c r="H519" s="14"/>
      <c r="I519" s="14"/>
    </row>
    <row r="520" spans="1:18">
      <c r="G520" s="14"/>
      <c r="H520" s="14"/>
      <c r="I520" s="14"/>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4BA04-800C-4F1B-83A9-211EC611A3E1}">
  <dimension ref="A1:S540"/>
  <sheetViews>
    <sheetView zoomScale="55" zoomScaleNormal="55" workbookViewId="0">
      <pane ySplit="1" topLeftCell="A453" activePane="bottomLeft" state="frozen"/>
      <selection pane="bottomLeft" activeCell="D467" sqref="D467"/>
    </sheetView>
  </sheetViews>
  <sheetFormatPr defaultColWidth="8.9140625" defaultRowHeight="18"/>
  <cols>
    <col min="1" max="1" width="6.4140625" style="9" customWidth="1"/>
    <col min="2" max="2" width="3.9140625" style="9" customWidth="1"/>
    <col min="3" max="3" width="8.75" style="9" customWidth="1"/>
    <col min="4" max="4" width="25.75" style="9" customWidth="1"/>
    <col min="5" max="5" width="3.75" style="9" customWidth="1"/>
    <col min="6" max="6" width="8.9140625" style="9" customWidth="1"/>
    <col min="7" max="8" width="7.08203125" style="9" customWidth="1"/>
    <col min="9" max="9" width="3.75" style="9" customWidth="1"/>
    <col min="10" max="10" width="5.4140625" style="9" customWidth="1"/>
    <col min="11" max="11" width="8.9140625" style="9" customWidth="1"/>
    <col min="12" max="12" width="50.75" style="9" customWidth="1"/>
    <col min="13" max="16" width="8.9140625" style="9" customWidth="1"/>
    <col min="17" max="17" width="3.9140625" style="9" customWidth="1"/>
    <col min="18" max="19" width="14.33203125" style="9" customWidth="1"/>
    <col min="20" max="16384" width="8.9140625" style="9"/>
  </cols>
  <sheetData>
    <row r="1" spans="1:19">
      <c r="A1" s="5" t="s">
        <v>5600</v>
      </c>
      <c r="B1" s="5" t="s">
        <v>3</v>
      </c>
      <c r="C1" s="5" t="s">
        <v>4</v>
      </c>
      <c r="D1" s="5" t="s">
        <v>6</v>
      </c>
      <c r="E1" s="5" t="s">
        <v>13</v>
      </c>
      <c r="F1" s="5" t="s">
        <v>5442</v>
      </c>
      <c r="G1" s="5" t="s">
        <v>7</v>
      </c>
      <c r="H1" s="5" t="s">
        <v>8</v>
      </c>
      <c r="I1" s="5" t="s">
        <v>17</v>
      </c>
      <c r="J1" s="5" t="s">
        <v>5</v>
      </c>
      <c r="K1" s="5" t="s">
        <v>9</v>
      </c>
      <c r="L1" s="5" t="s">
        <v>11962</v>
      </c>
      <c r="M1" s="5" t="s">
        <v>152</v>
      </c>
      <c r="N1" s="5" t="s">
        <v>11960</v>
      </c>
      <c r="O1" s="5" t="s">
        <v>2722</v>
      </c>
      <c r="P1" s="5" t="s">
        <v>11961</v>
      </c>
      <c r="Q1" s="5" t="s">
        <v>2725</v>
      </c>
      <c r="R1" s="5" t="s">
        <v>12964</v>
      </c>
      <c r="S1" s="5" t="s">
        <v>12965</v>
      </c>
    </row>
    <row r="3" spans="1:19">
      <c r="A3" s="14" t="s">
        <v>4494</v>
      </c>
      <c r="E3" s="14"/>
      <c r="F3" s="14"/>
      <c r="G3" s="14"/>
      <c r="H3" s="14"/>
      <c r="I3" s="14"/>
      <c r="J3" s="14"/>
      <c r="K3" s="14"/>
      <c r="L3" s="14"/>
      <c r="M3" s="14"/>
      <c r="O3" s="14"/>
      <c r="P3" s="14"/>
      <c r="Q3" s="14"/>
      <c r="R3" s="14"/>
    </row>
    <row r="4" spans="1:19">
      <c r="A4" s="14" t="s">
        <v>4495</v>
      </c>
      <c r="B4" s="14"/>
      <c r="C4" s="14"/>
      <c r="D4" s="14"/>
      <c r="E4" s="14"/>
      <c r="F4" s="14"/>
      <c r="G4" s="14"/>
      <c r="H4" s="14"/>
      <c r="I4" s="14"/>
      <c r="J4" s="14"/>
      <c r="K4" s="14"/>
      <c r="L4" s="14"/>
      <c r="M4" s="14"/>
      <c r="O4" s="14"/>
      <c r="P4" s="14"/>
      <c r="Q4" s="14"/>
      <c r="R4" s="14"/>
    </row>
    <row r="5" spans="1:19">
      <c r="A5" s="14" t="s">
        <v>11488</v>
      </c>
      <c r="B5" s="14"/>
      <c r="C5" s="14"/>
      <c r="D5" s="14"/>
      <c r="E5" s="14"/>
      <c r="F5" s="14"/>
      <c r="G5" s="14"/>
      <c r="H5" s="14"/>
      <c r="I5" s="14"/>
      <c r="J5" s="14"/>
      <c r="K5" s="14"/>
      <c r="L5" s="14"/>
      <c r="M5" s="14"/>
      <c r="O5" s="14"/>
      <c r="P5" s="14"/>
      <c r="Q5" s="14"/>
      <c r="R5" s="14"/>
    </row>
    <row r="6" spans="1:19">
      <c r="A6" s="9" t="s">
        <v>5619</v>
      </c>
      <c r="B6" s="14" t="s">
        <v>330</v>
      </c>
      <c r="C6" s="14" t="s">
        <v>202</v>
      </c>
      <c r="D6" s="14" t="s">
        <v>4504</v>
      </c>
      <c r="E6" s="15" t="str">
        <f>HYPERLINK("https://stat100.ameba.jp/tnk47/ratio20/illustrations/card/ill_81183_0_shinryokunokisetsuamaterasu03.jpg?201905-1-RELEASE-raid-407", "■")</f>
        <v>■</v>
      </c>
      <c r="F6" s="14" t="s">
        <v>4505</v>
      </c>
      <c r="G6" s="14">
        <v>294142</v>
      </c>
      <c r="H6" s="14">
        <v>325482</v>
      </c>
      <c r="I6" s="14">
        <v>28</v>
      </c>
      <c r="J6" s="14" t="s">
        <v>44</v>
      </c>
      <c r="K6" s="14" t="s">
        <v>4506</v>
      </c>
      <c r="L6" s="14" t="s">
        <v>4507</v>
      </c>
      <c r="M6" s="14" t="s">
        <v>9158</v>
      </c>
      <c r="N6" s="14" t="s">
        <v>9158</v>
      </c>
      <c r="O6" s="9" t="s">
        <v>4508</v>
      </c>
      <c r="P6" s="14" t="s">
        <v>4509</v>
      </c>
      <c r="Q6" s="14">
        <v>0</v>
      </c>
      <c r="R6" s="14"/>
    </row>
    <row r="7" spans="1:19">
      <c r="A7" s="9">
        <v>81123</v>
      </c>
      <c r="B7" s="14" t="s">
        <v>334</v>
      </c>
      <c r="C7" s="14" t="s">
        <v>200</v>
      </c>
      <c r="D7" s="14" t="s">
        <v>4510</v>
      </c>
      <c r="E7" s="15" t="str">
        <f>HYPERLINK("https://stat100.ameba.jp/tnk47/ratio20/illustrations/card/ill_81123_shinryokunokisetsushiratakihime03.jpg?201905-1-RELEASE-raid-407", "■")</f>
        <v>■</v>
      </c>
      <c r="F7" s="14" t="s">
        <v>4511</v>
      </c>
      <c r="G7" s="14">
        <v>97420</v>
      </c>
      <c r="H7" s="14">
        <v>104964</v>
      </c>
      <c r="I7" s="14">
        <v>23</v>
      </c>
      <c r="J7" s="14" t="s">
        <v>38</v>
      </c>
      <c r="K7" s="14" t="s">
        <v>4512</v>
      </c>
      <c r="L7" s="14" t="s">
        <v>2204</v>
      </c>
      <c r="M7" s="14" t="s">
        <v>2138</v>
      </c>
      <c r="N7" s="14" t="s">
        <v>2139</v>
      </c>
      <c r="O7" s="14" t="s">
        <v>9158</v>
      </c>
      <c r="P7" s="14" t="s">
        <v>9158</v>
      </c>
      <c r="Q7" s="14" t="s">
        <v>9158</v>
      </c>
      <c r="R7" s="14" t="s">
        <v>13120</v>
      </c>
    </row>
    <row r="8" spans="1:19">
      <c r="A8" s="9">
        <v>81133</v>
      </c>
      <c r="B8" s="14" t="s">
        <v>334</v>
      </c>
      <c r="C8" s="14" t="s">
        <v>191</v>
      </c>
      <c r="D8" s="14" t="s">
        <v>4513</v>
      </c>
      <c r="E8" s="15" t="str">
        <f>HYPERLINK("https://stat100.ameba.jp/tnk47/ratio20/illustrations/card/ill_81133_shinryokunokisetsuhisui03.jpg?201905-1-RELEASE-raid-407", "■")</f>
        <v>■</v>
      </c>
      <c r="F8" s="14" t="s">
        <v>4514</v>
      </c>
      <c r="G8" s="14">
        <v>104778</v>
      </c>
      <c r="H8" s="14">
        <v>97420</v>
      </c>
      <c r="I8" s="14">
        <v>23</v>
      </c>
      <c r="J8" s="14" t="s">
        <v>26</v>
      </c>
      <c r="K8" s="14" t="s">
        <v>4515</v>
      </c>
      <c r="L8" s="14" t="s">
        <v>1086</v>
      </c>
      <c r="M8" s="14" t="s">
        <v>2138</v>
      </c>
      <c r="N8" s="14" t="s">
        <v>2139</v>
      </c>
      <c r="O8" s="14" t="s">
        <v>9158</v>
      </c>
      <c r="P8" s="14" t="s">
        <v>9158</v>
      </c>
      <c r="Q8" s="14" t="s">
        <v>9158</v>
      </c>
      <c r="R8" s="14" t="s">
        <v>13120</v>
      </c>
    </row>
    <row r="9" spans="1:19">
      <c r="A9" s="9">
        <v>81143</v>
      </c>
      <c r="B9" s="14" t="s">
        <v>334</v>
      </c>
      <c r="C9" s="14" t="s">
        <v>205</v>
      </c>
      <c r="D9" s="14" t="s">
        <v>4516</v>
      </c>
      <c r="E9" s="15" t="str">
        <f>HYPERLINK("https://stat100.ameba.jp/tnk47/ratio20/illustrations/card/ill_81143_shinryokunokisetsumerompan03.jpg?201905-1-RELEASE-raid-407", "■")</f>
        <v>■</v>
      </c>
      <c r="F9" s="14" t="s">
        <v>4517</v>
      </c>
      <c r="G9" s="14">
        <v>108617</v>
      </c>
      <c r="H9" s="14">
        <v>101002</v>
      </c>
      <c r="I9" s="14">
        <v>23</v>
      </c>
      <c r="J9" s="14" t="s">
        <v>104</v>
      </c>
      <c r="K9" s="14" t="s">
        <v>4518</v>
      </c>
      <c r="L9" s="14" t="s">
        <v>3489</v>
      </c>
      <c r="M9" s="14" t="s">
        <v>9158</v>
      </c>
      <c r="N9" s="14" t="s">
        <v>9158</v>
      </c>
      <c r="O9" s="9" t="s">
        <v>3609</v>
      </c>
      <c r="P9" s="14" t="s">
        <v>3610</v>
      </c>
      <c r="Q9" s="14">
        <v>1</v>
      </c>
      <c r="R9" s="14"/>
    </row>
    <row r="10" spans="1:19">
      <c r="A10" s="9">
        <v>81153</v>
      </c>
      <c r="B10" s="14" t="s">
        <v>348</v>
      </c>
      <c r="C10" s="14" t="s">
        <v>206</v>
      </c>
      <c r="D10" s="14" t="s">
        <v>4519</v>
      </c>
      <c r="E10" s="15" t="str">
        <f>HYPERLINK("https://stat100.ameba.jp/tnk47/ratio20/illustrations/card/ill_81153_yoseienshininden03.jpg?201905-1-RELEASE-raid-407", "■")</f>
        <v>■</v>
      </c>
      <c r="F10" s="14" t="s">
        <v>4520</v>
      </c>
      <c r="G10" s="14">
        <v>61832</v>
      </c>
      <c r="H10" s="14">
        <v>68172</v>
      </c>
      <c r="I10" s="14">
        <v>23</v>
      </c>
      <c r="J10" s="14" t="s">
        <v>77</v>
      </c>
      <c r="K10" s="14" t="s">
        <v>4434</v>
      </c>
      <c r="L10" s="14" t="s">
        <v>3730</v>
      </c>
      <c r="M10" s="14" t="s">
        <v>9158</v>
      </c>
      <c r="N10" s="14" t="s">
        <v>9158</v>
      </c>
      <c r="O10" s="14" t="s">
        <v>9158</v>
      </c>
      <c r="P10" s="14" t="s">
        <v>9158</v>
      </c>
      <c r="Q10" s="14" t="s">
        <v>9158</v>
      </c>
      <c r="R10" s="14"/>
    </row>
    <row r="11" spans="1:19">
      <c r="A11" s="9">
        <v>81163</v>
      </c>
      <c r="B11" s="14" t="s">
        <v>348</v>
      </c>
      <c r="C11" s="14" t="s">
        <v>185</v>
      </c>
      <c r="D11" s="14" t="s">
        <v>4521</v>
      </c>
      <c r="E11" s="15" t="str">
        <f>HYPERLINK("https://stat100.ameba.jp/tnk47/ratio20/illustrations/card/ill_81163_mogamitokunai03.jpg?201905-1-RELEASE-raid-407", "■")</f>
        <v>■</v>
      </c>
      <c r="F11" s="14" t="s">
        <v>4522</v>
      </c>
      <c r="G11" s="14">
        <v>68172</v>
      </c>
      <c r="H11" s="14">
        <v>68172</v>
      </c>
      <c r="I11" s="14">
        <v>23</v>
      </c>
      <c r="J11" s="14" t="s">
        <v>10</v>
      </c>
      <c r="K11" s="14" t="s">
        <v>4523</v>
      </c>
      <c r="L11" s="14" t="s">
        <v>4524</v>
      </c>
      <c r="M11" s="14" t="s">
        <v>9158</v>
      </c>
      <c r="N11" s="14" t="s">
        <v>9158</v>
      </c>
      <c r="O11" s="14" t="s">
        <v>9158</v>
      </c>
      <c r="P11" s="14" t="s">
        <v>9158</v>
      </c>
      <c r="Q11" s="14" t="s">
        <v>9158</v>
      </c>
      <c r="R11" s="14"/>
    </row>
    <row r="12" spans="1:19">
      <c r="A12" s="9">
        <v>81173</v>
      </c>
      <c r="B12" s="14" t="s">
        <v>348</v>
      </c>
      <c r="C12" s="14" t="s">
        <v>205</v>
      </c>
      <c r="D12" s="14" t="s">
        <v>4525</v>
      </c>
      <c r="E12" s="15" t="str">
        <f>HYPERLINK("https://stat100.ameba.jp/tnk47/ratio20/illustrations/card/ill_81173_koinoboriizumonokuni03.jpg?201905-1-RELEASE-raid-407", "■")</f>
        <v>■</v>
      </c>
      <c r="F12" s="14" t="s">
        <v>4526</v>
      </c>
      <c r="G12" s="14">
        <v>61832</v>
      </c>
      <c r="H12" s="14">
        <v>68172</v>
      </c>
      <c r="I12" s="14">
        <v>23</v>
      </c>
      <c r="J12" s="14" t="s">
        <v>16</v>
      </c>
      <c r="K12" s="14" t="s">
        <v>4527</v>
      </c>
      <c r="L12" s="14" t="s">
        <v>3760</v>
      </c>
      <c r="M12" s="14" t="s">
        <v>9158</v>
      </c>
      <c r="N12" s="14" t="s">
        <v>9158</v>
      </c>
      <c r="O12" s="14" t="s">
        <v>9158</v>
      </c>
      <c r="P12" s="14" t="s">
        <v>9158</v>
      </c>
      <c r="Q12" s="14" t="s">
        <v>9158</v>
      </c>
      <c r="R12" s="14"/>
    </row>
    <row r="13" spans="1:19">
      <c r="A13" s="9">
        <v>81193</v>
      </c>
      <c r="B13" s="14" t="s">
        <v>362</v>
      </c>
      <c r="C13" s="14" t="s">
        <v>165</v>
      </c>
      <c r="D13" s="14" t="s">
        <v>4528</v>
      </c>
      <c r="E13" s="15" t="str">
        <f>HYPERLINK("https://stat100.ameba.jp/tnk47/ratio20/illustrations/card/ill_81193_kemonomizugikukunochi03.jpg?201905-1-RELEASE-raid-407", "■")</f>
        <v>■</v>
      </c>
      <c r="F13" s="14" t="s">
        <v>4529</v>
      </c>
      <c r="G13" s="14">
        <v>45742</v>
      </c>
      <c r="H13" s="14">
        <v>38032</v>
      </c>
      <c r="I13" s="14">
        <v>22</v>
      </c>
      <c r="J13" s="14" t="s">
        <v>44</v>
      </c>
      <c r="K13" s="14" t="s">
        <v>4530</v>
      </c>
      <c r="L13" s="14" t="s">
        <v>4531</v>
      </c>
      <c r="M13" s="14" t="s">
        <v>9158</v>
      </c>
      <c r="N13" s="14" t="s">
        <v>9158</v>
      </c>
      <c r="O13" s="14" t="s">
        <v>9158</v>
      </c>
      <c r="P13" s="14" t="s">
        <v>9158</v>
      </c>
      <c r="Q13" s="14" t="s">
        <v>9158</v>
      </c>
      <c r="R13" s="14"/>
    </row>
    <row r="14" spans="1:19">
      <c r="A14" s="9">
        <v>81203</v>
      </c>
      <c r="B14" s="14" t="s">
        <v>362</v>
      </c>
      <c r="C14" s="14" t="s">
        <v>206</v>
      </c>
      <c r="D14" s="14" t="s">
        <v>4532</v>
      </c>
      <c r="E14" s="15" t="str">
        <f>HYPERLINK("https://stat100.ameba.jp/tnk47/ratio20/illustrations/card/ill_81203_nabeshimanaoshige03.jpg?201905-1-RELEASE-raid-407", "■")</f>
        <v>■</v>
      </c>
      <c r="F14" s="14" t="s">
        <v>4533</v>
      </c>
      <c r="G14" s="14">
        <v>38032</v>
      </c>
      <c r="H14" s="14">
        <v>45742</v>
      </c>
      <c r="I14" s="14">
        <v>22</v>
      </c>
      <c r="J14" s="14" t="s">
        <v>143</v>
      </c>
      <c r="K14" s="14" t="s">
        <v>4534</v>
      </c>
      <c r="L14" s="14" t="s">
        <v>4535</v>
      </c>
      <c r="M14" s="14" t="s">
        <v>9158</v>
      </c>
      <c r="N14" s="14" t="s">
        <v>9158</v>
      </c>
      <c r="O14" s="14" t="s">
        <v>9158</v>
      </c>
      <c r="P14" s="14" t="s">
        <v>9158</v>
      </c>
      <c r="Q14" s="14" t="s">
        <v>9158</v>
      </c>
      <c r="R14" s="14"/>
    </row>
    <row r="15" spans="1:19">
      <c r="A15" s="9">
        <v>81213</v>
      </c>
      <c r="B15" s="14" t="s">
        <v>372</v>
      </c>
      <c r="C15" s="14" t="s">
        <v>1712</v>
      </c>
      <c r="D15" s="14" t="s">
        <v>4496</v>
      </c>
      <c r="E15" s="15" t="str">
        <f>HYPERLINK("https://stat100.ameba.jp/tnk47/ratio20/illustrations/card/ill_81213_chimaki03.jpg?201905-1-RELEASE-raid-407", "■")</f>
        <v>■</v>
      </c>
      <c r="F15" s="14" t="s">
        <v>4497</v>
      </c>
      <c r="G15" s="14">
        <v>27692</v>
      </c>
      <c r="H15" s="14">
        <v>23258</v>
      </c>
      <c r="I15" s="14">
        <v>22</v>
      </c>
      <c r="J15" s="14" t="s">
        <v>104</v>
      </c>
      <c r="K15" s="14" t="s">
        <v>4498</v>
      </c>
      <c r="L15" s="14" t="s">
        <v>4502</v>
      </c>
      <c r="M15" s="14" t="s">
        <v>9158</v>
      </c>
      <c r="N15" s="14" t="s">
        <v>9158</v>
      </c>
      <c r="O15" s="14" t="s">
        <v>9158</v>
      </c>
      <c r="P15" s="14" t="s">
        <v>9158</v>
      </c>
      <c r="Q15" s="14" t="s">
        <v>9158</v>
      </c>
      <c r="R15" s="14"/>
    </row>
    <row r="16" spans="1:19">
      <c r="A16" s="9">
        <v>81223</v>
      </c>
      <c r="B16" s="14" t="s">
        <v>372</v>
      </c>
      <c r="C16" s="14" t="s">
        <v>4170</v>
      </c>
      <c r="D16" s="14" t="s">
        <v>4499</v>
      </c>
      <c r="E16" s="15" t="str">
        <f>HYPERLINK("https://stat100.ameba.jp/tnk47/ratio20/illustrations/card/ill_81223_tankentaikinoko03.jpg?201905-1-RELEASE-raid-407", "■")</f>
        <v>■</v>
      </c>
      <c r="F16" s="14" t="s">
        <v>4500</v>
      </c>
      <c r="G16" s="14">
        <v>23258</v>
      </c>
      <c r="H16" s="14">
        <v>27692</v>
      </c>
      <c r="I16" s="14">
        <v>22</v>
      </c>
      <c r="J16" s="14" t="s">
        <v>73</v>
      </c>
      <c r="K16" s="14" t="s">
        <v>4501</v>
      </c>
      <c r="L16" s="14" t="s">
        <v>4503</v>
      </c>
      <c r="M16" s="14" t="s">
        <v>9158</v>
      </c>
      <c r="N16" s="14" t="s">
        <v>9158</v>
      </c>
      <c r="O16" s="14" t="s">
        <v>9158</v>
      </c>
      <c r="P16" s="14" t="s">
        <v>9158</v>
      </c>
      <c r="Q16" s="14" t="s">
        <v>9158</v>
      </c>
      <c r="R16" s="14"/>
    </row>
    <row r="17" spans="1:18">
      <c r="B17" s="14"/>
      <c r="C17" s="14"/>
      <c r="D17" s="14"/>
      <c r="F17" s="14"/>
      <c r="G17" s="14"/>
      <c r="H17" s="14"/>
      <c r="I17" s="14"/>
      <c r="J17" s="14"/>
      <c r="K17" s="14"/>
      <c r="L17" s="14"/>
      <c r="M17" s="14"/>
      <c r="N17" s="14"/>
      <c r="P17" s="14"/>
      <c r="Q17" s="14"/>
      <c r="R17" s="14"/>
    </row>
    <row r="18" spans="1:18">
      <c r="A18" s="14" t="s">
        <v>13350</v>
      </c>
      <c r="D18" s="14"/>
      <c r="F18" s="14"/>
      <c r="G18" s="14"/>
      <c r="H18" s="14"/>
      <c r="I18" s="14"/>
      <c r="J18" s="14"/>
      <c r="K18" s="14"/>
      <c r="L18" s="14"/>
      <c r="M18" s="14"/>
      <c r="N18" s="14"/>
      <c r="P18" s="14"/>
      <c r="Q18" s="14"/>
      <c r="R18" s="14"/>
    </row>
    <row r="19" spans="1:18">
      <c r="A19" s="14" t="s">
        <v>4536</v>
      </c>
      <c r="B19" s="14"/>
      <c r="C19" s="14"/>
      <c r="D19" s="14"/>
      <c r="F19" s="14"/>
      <c r="G19" s="14"/>
      <c r="H19" s="14"/>
      <c r="I19" s="14"/>
      <c r="J19" s="14"/>
      <c r="K19" s="14"/>
      <c r="L19" s="14"/>
      <c r="M19" s="14"/>
      <c r="N19" s="14"/>
      <c r="P19" s="14"/>
      <c r="Q19" s="14"/>
      <c r="R19" s="14"/>
    </row>
    <row r="20" spans="1:18">
      <c r="A20" s="9">
        <v>81275</v>
      </c>
      <c r="B20" s="14" t="s">
        <v>334</v>
      </c>
      <c r="C20" s="14" t="s">
        <v>202</v>
      </c>
      <c r="D20" s="14" t="s">
        <v>4537</v>
      </c>
      <c r="E20" s="15" t="str">
        <f>HYPERLINK("https://stat100.ameba.jp/tnk47/ratio20/illustrations/card/ill_81275_gogatsubyogohime05.jpg?201905-1-RELEASE-raid-407", "■")</f>
        <v>■</v>
      </c>
      <c r="F20" s="14" t="s">
        <v>4538</v>
      </c>
      <c r="G20" s="14">
        <v>108130</v>
      </c>
      <c r="H20" s="14">
        <v>78289</v>
      </c>
      <c r="I20" s="14">
        <v>23</v>
      </c>
      <c r="J20" s="14" t="s">
        <v>77</v>
      </c>
      <c r="K20" s="14" t="s">
        <v>4539</v>
      </c>
      <c r="L20" s="14" t="s">
        <v>4096</v>
      </c>
      <c r="M20" s="14" t="s">
        <v>9158</v>
      </c>
      <c r="N20" s="14" t="s">
        <v>9158</v>
      </c>
      <c r="O20" s="14" t="s">
        <v>9158</v>
      </c>
      <c r="P20" s="14" t="s">
        <v>9158</v>
      </c>
      <c r="Q20" s="14" t="s">
        <v>9158</v>
      </c>
      <c r="R20" s="14" t="s">
        <v>174</v>
      </c>
    </row>
    <row r="21" spans="1:18">
      <c r="A21" s="9">
        <v>81273</v>
      </c>
      <c r="B21" s="14" t="s">
        <v>348</v>
      </c>
      <c r="C21" s="14" t="s">
        <v>158</v>
      </c>
      <c r="D21" s="14" t="s">
        <v>4537</v>
      </c>
      <c r="E21" s="15" t="str">
        <f>HYPERLINK("https://stat100.ameba.jp/tnk47/ratio20/illustrations/card/ill_81273_gogatsubyogohime03.jpg?201905-1-RELEASE-raid-407", "■")</f>
        <v>■</v>
      </c>
      <c r="F21" s="14" t="s">
        <v>4538</v>
      </c>
      <c r="G21" s="14">
        <v>79659</v>
      </c>
      <c r="H21" s="14">
        <v>57679</v>
      </c>
      <c r="I21" s="14">
        <v>23</v>
      </c>
      <c r="J21" s="14" t="s">
        <v>77</v>
      </c>
      <c r="K21" s="14" t="s">
        <v>4539</v>
      </c>
      <c r="L21" s="14" t="s">
        <v>2246</v>
      </c>
      <c r="M21" s="14" t="s">
        <v>9158</v>
      </c>
      <c r="N21" s="14" t="s">
        <v>9158</v>
      </c>
      <c r="O21" s="14" t="s">
        <v>9158</v>
      </c>
      <c r="P21" s="14" t="s">
        <v>9158</v>
      </c>
      <c r="Q21" s="14" t="s">
        <v>9158</v>
      </c>
      <c r="R21" s="14" t="s">
        <v>175</v>
      </c>
    </row>
    <row r="22" spans="1:18">
      <c r="A22" s="9">
        <v>81271</v>
      </c>
      <c r="B22" s="14" t="s">
        <v>348</v>
      </c>
      <c r="C22" s="14" t="s">
        <v>158</v>
      </c>
      <c r="D22" s="14" t="s">
        <v>4537</v>
      </c>
      <c r="E22" s="15" t="str">
        <f>HYPERLINK("https://stat100.ameba.jp/tnk47/ratio20/illustrations/card/ill_81271_gogatsubyogohime01.jpg?201905-1-RELEASE-raid-407", "■")</f>
        <v>■</v>
      </c>
      <c r="F22" s="14" t="s">
        <v>4538</v>
      </c>
      <c r="G22" s="14">
        <v>50669</v>
      </c>
      <c r="H22" s="14">
        <v>36685</v>
      </c>
      <c r="I22" s="14">
        <v>23</v>
      </c>
      <c r="J22" s="14" t="s">
        <v>77</v>
      </c>
      <c r="K22" s="14" t="s">
        <v>4539</v>
      </c>
      <c r="L22" s="14" t="s">
        <v>4540</v>
      </c>
      <c r="M22" s="14" t="s">
        <v>9158</v>
      </c>
      <c r="N22" s="14" t="s">
        <v>9158</v>
      </c>
      <c r="O22" s="14" t="s">
        <v>9158</v>
      </c>
      <c r="P22" s="14" t="s">
        <v>9158</v>
      </c>
      <c r="Q22" s="14" t="s">
        <v>9158</v>
      </c>
      <c r="R22" s="14" t="s">
        <v>176</v>
      </c>
    </row>
    <row r="23" spans="1:18">
      <c r="B23" s="14"/>
      <c r="C23" s="14"/>
      <c r="D23" s="14"/>
      <c r="F23" s="14"/>
      <c r="G23" s="14"/>
      <c r="H23" s="14"/>
      <c r="I23" s="14"/>
      <c r="J23" s="14"/>
      <c r="K23" s="14"/>
      <c r="L23" s="14"/>
      <c r="M23" s="14"/>
      <c r="N23" s="14"/>
      <c r="P23" s="14"/>
      <c r="Q23" s="14"/>
      <c r="R23" s="14"/>
    </row>
    <row r="24" spans="1:18">
      <c r="A24" s="14" t="s">
        <v>204</v>
      </c>
      <c r="D24" s="14"/>
      <c r="F24" s="14"/>
      <c r="G24" s="14"/>
      <c r="H24" s="14"/>
      <c r="I24" s="14"/>
      <c r="J24" s="14"/>
      <c r="K24" s="14"/>
      <c r="L24" s="14"/>
      <c r="M24" s="14"/>
      <c r="N24" s="14"/>
      <c r="P24" s="14"/>
      <c r="Q24" s="14"/>
      <c r="R24" s="14"/>
    </row>
    <row r="25" spans="1:18">
      <c r="A25" s="14" t="s">
        <v>4541</v>
      </c>
      <c r="B25" s="14"/>
      <c r="C25" s="14"/>
      <c r="D25" s="14"/>
      <c r="F25" s="14"/>
      <c r="G25" s="14"/>
      <c r="H25" s="14"/>
      <c r="I25" s="14"/>
      <c r="J25" s="14"/>
      <c r="K25" s="14"/>
      <c r="L25" s="14"/>
      <c r="M25" s="14"/>
      <c r="N25" s="14"/>
      <c r="P25" s="14"/>
      <c r="Q25" s="14"/>
      <c r="R25" s="14"/>
    </row>
    <row r="26" spans="1:18">
      <c r="A26" s="9" t="s">
        <v>5822</v>
      </c>
      <c r="B26" s="14" t="s">
        <v>330</v>
      </c>
      <c r="C26" s="14" t="s">
        <v>191</v>
      </c>
      <c r="D26" s="14" t="s">
        <v>898</v>
      </c>
      <c r="E26" s="15" t="str">
        <f>HYPERLINK("https://stat100.ameba.jp/tnk47/ratio20/illustrations/card/ill_71403_0_ohanamisanadayukimura03.jpg?201905-1-RELEASE-raid-407", "■")</f>
        <v>■</v>
      </c>
      <c r="F26" s="14" t="s">
        <v>899</v>
      </c>
      <c r="G26" s="14">
        <v>140016</v>
      </c>
      <c r="H26" s="14">
        <v>140016</v>
      </c>
      <c r="I26" s="14">
        <v>15</v>
      </c>
      <c r="J26" s="14" t="s">
        <v>143</v>
      </c>
      <c r="K26" s="14" t="s">
        <v>900</v>
      </c>
      <c r="L26" s="14" t="s">
        <v>901</v>
      </c>
      <c r="M26" s="14" t="s">
        <v>9158</v>
      </c>
      <c r="N26" s="14" t="s">
        <v>9158</v>
      </c>
      <c r="O26" s="17" t="s">
        <v>10060</v>
      </c>
      <c r="P26" s="14" t="s">
        <v>3418</v>
      </c>
      <c r="Q26" s="14">
        <v>2</v>
      </c>
      <c r="R26" s="14"/>
    </row>
    <row r="27" spans="1:18">
      <c r="A27" s="9" t="s">
        <v>5609</v>
      </c>
      <c r="B27" s="14" t="s">
        <v>330</v>
      </c>
      <c r="C27" s="14" t="s">
        <v>200</v>
      </c>
      <c r="D27" s="14" t="s">
        <v>56</v>
      </c>
      <c r="E27" s="15" t="str">
        <f>HYPERLINK("https://stat100.ameba.jp/tnk47/ratio20/illustrations/card/ill_53753_0_natsumatsuritokugawaieyasu03.jpg?201905-1-RELEASE-raid-407", "■")</f>
        <v>■</v>
      </c>
      <c r="F27" s="14" t="s">
        <v>902</v>
      </c>
      <c r="G27" s="14">
        <v>94236</v>
      </c>
      <c r="H27" s="14">
        <v>83712</v>
      </c>
      <c r="I27" s="14">
        <v>15</v>
      </c>
      <c r="J27" s="14" t="s">
        <v>143</v>
      </c>
      <c r="K27" s="14" t="s">
        <v>903</v>
      </c>
      <c r="L27" s="14" t="s">
        <v>904</v>
      </c>
      <c r="M27" s="14" t="s">
        <v>9158</v>
      </c>
      <c r="N27" s="14" t="s">
        <v>9158</v>
      </c>
      <c r="O27" s="17" t="s">
        <v>10052</v>
      </c>
      <c r="P27" s="14" t="s">
        <v>13121</v>
      </c>
      <c r="Q27" s="14">
        <v>1</v>
      </c>
      <c r="R27" s="14"/>
    </row>
    <row r="28" spans="1:18">
      <c r="A28" s="9" t="s">
        <v>5608</v>
      </c>
      <c r="B28" s="14" t="s">
        <v>330</v>
      </c>
      <c r="C28" s="14" t="s">
        <v>165</v>
      </c>
      <c r="D28" s="14" t="s">
        <v>1359</v>
      </c>
      <c r="E28" s="15" t="str">
        <f>HYPERLINK("https://stat100.ameba.jp/tnk47/ratio20/illustrations/card/ill_40963_0_makami03.jpg?201905-1-RELEASE-raid-407", "■")</f>
        <v>■</v>
      </c>
      <c r="F28" s="14" t="s">
        <v>635</v>
      </c>
      <c r="G28" s="14">
        <v>87780</v>
      </c>
      <c r="H28" s="14">
        <v>82212</v>
      </c>
      <c r="I28" s="14">
        <v>15</v>
      </c>
      <c r="J28" s="14" t="s">
        <v>401</v>
      </c>
      <c r="K28" s="14" t="s">
        <v>636</v>
      </c>
      <c r="L28" s="14" t="s">
        <v>637</v>
      </c>
      <c r="M28" s="14" t="s">
        <v>9158</v>
      </c>
      <c r="N28" s="14" t="s">
        <v>9158</v>
      </c>
      <c r="O28" s="14" t="s">
        <v>9158</v>
      </c>
      <c r="P28" s="14" t="s">
        <v>9158</v>
      </c>
      <c r="Q28" s="14" t="s">
        <v>9158</v>
      </c>
      <c r="R28" s="14"/>
    </row>
    <row r="29" spans="1:18">
      <c r="A29" s="9">
        <v>73503</v>
      </c>
      <c r="B29" s="14" t="s">
        <v>334</v>
      </c>
      <c r="C29" s="14" t="s">
        <v>200</v>
      </c>
      <c r="D29" s="14" t="s">
        <v>2875</v>
      </c>
      <c r="E29" s="15" t="str">
        <f>HYPERLINK("https://stat100.ameba.jp/tnk47/ratio20/illustrations/card/ill_73503_nagashirahanokami03.jpg?201905-1-RELEASE-raid-407", "■")</f>
        <v>■</v>
      </c>
      <c r="F29" s="14" t="s">
        <v>2876</v>
      </c>
      <c r="G29" s="14">
        <v>115855</v>
      </c>
      <c r="H29" s="14">
        <v>65176</v>
      </c>
      <c r="I29" s="14">
        <v>23</v>
      </c>
      <c r="J29" s="14" t="s">
        <v>401</v>
      </c>
      <c r="K29" s="14" t="s">
        <v>2877</v>
      </c>
      <c r="L29" s="14" t="s">
        <v>2878</v>
      </c>
      <c r="M29" s="14" t="s">
        <v>9158</v>
      </c>
      <c r="N29" s="14" t="s">
        <v>9158</v>
      </c>
      <c r="O29" s="14" t="s">
        <v>9158</v>
      </c>
      <c r="P29" s="14" t="s">
        <v>9158</v>
      </c>
      <c r="Q29" s="14" t="s">
        <v>9158</v>
      </c>
      <c r="R29" s="14"/>
    </row>
    <row r="30" spans="1:18">
      <c r="A30" s="9">
        <v>64393</v>
      </c>
      <c r="B30" s="14" t="s">
        <v>0</v>
      </c>
      <c r="C30" s="14" t="s">
        <v>206</v>
      </c>
      <c r="D30" s="14" t="s">
        <v>3665</v>
      </c>
      <c r="E30" s="15" t="str">
        <f>HYPERLINK("https://stat100.ameba.jp/tnk47/ratio20/illustrations/card/ill_64393_shijuhachitenguhikozambuzembo03.jpg?201905-1-RELEASE-raid-407", "■")</f>
        <v>■</v>
      </c>
      <c r="F30" s="14" t="s">
        <v>3666</v>
      </c>
      <c r="G30" s="14">
        <v>118343</v>
      </c>
      <c r="H30" s="14">
        <v>66606</v>
      </c>
      <c r="I30" s="14">
        <v>23</v>
      </c>
      <c r="J30" s="14" t="s">
        <v>73</v>
      </c>
      <c r="K30" s="14" t="s">
        <v>3667</v>
      </c>
      <c r="L30" s="14" t="s">
        <v>3518</v>
      </c>
      <c r="M30" s="14" t="s">
        <v>9158</v>
      </c>
      <c r="N30" s="14" t="s">
        <v>9158</v>
      </c>
      <c r="O30" s="14" t="s">
        <v>9158</v>
      </c>
      <c r="P30" s="14" t="s">
        <v>9158</v>
      </c>
      <c r="Q30" s="14" t="s">
        <v>9158</v>
      </c>
      <c r="R30" s="14"/>
    </row>
    <row r="31" spans="1:18">
      <c r="A31" s="9">
        <v>73333</v>
      </c>
      <c r="B31" s="14" t="s">
        <v>334</v>
      </c>
      <c r="C31" s="14" t="s">
        <v>205</v>
      </c>
      <c r="D31" s="14" t="s">
        <v>3474</v>
      </c>
      <c r="E31" s="15" t="str">
        <f>HYPERLINK("https://stat100.ameba.jp/tnk47/ratio20/illustrations/card/ill_73333_akikunitora03.jpg?201905-1-RELEASE-raid-407", "■")</f>
        <v>■</v>
      </c>
      <c r="F31" s="14" t="s">
        <v>3475</v>
      </c>
      <c r="G31" s="14">
        <v>136729</v>
      </c>
      <c r="H31" s="14">
        <v>127130</v>
      </c>
      <c r="I31" s="14">
        <v>23</v>
      </c>
      <c r="J31" s="14" t="s">
        <v>143</v>
      </c>
      <c r="K31" s="14" t="s">
        <v>3476</v>
      </c>
      <c r="L31" s="14" t="s">
        <v>145</v>
      </c>
      <c r="M31" s="14" t="s">
        <v>9158</v>
      </c>
      <c r="N31" s="14" t="s">
        <v>9158</v>
      </c>
      <c r="O31" s="14" t="s">
        <v>9158</v>
      </c>
      <c r="P31" s="14" t="s">
        <v>9158</v>
      </c>
      <c r="Q31" s="14" t="s">
        <v>9158</v>
      </c>
      <c r="R31" s="14"/>
    </row>
    <row r="32" spans="1:18">
      <c r="B32" s="14"/>
      <c r="C32" s="14"/>
      <c r="D32" s="14"/>
      <c r="F32" s="14"/>
      <c r="G32" s="14"/>
      <c r="H32" s="14"/>
      <c r="I32" s="14"/>
      <c r="J32" s="14"/>
      <c r="K32" s="14"/>
      <c r="L32" s="14"/>
      <c r="M32" s="14"/>
      <c r="N32" s="14"/>
      <c r="P32" s="14"/>
      <c r="Q32" s="14"/>
      <c r="R32" s="14"/>
    </row>
    <row r="33" spans="1:18">
      <c r="A33" s="14" t="s">
        <v>4065</v>
      </c>
      <c r="D33" s="14"/>
      <c r="F33" s="14"/>
      <c r="G33" s="14"/>
      <c r="H33" s="14"/>
      <c r="I33" s="14"/>
      <c r="J33" s="14"/>
      <c r="K33" s="14"/>
      <c r="L33" s="14"/>
      <c r="M33" s="14"/>
      <c r="N33" s="14"/>
      <c r="P33" s="14"/>
      <c r="Q33" s="14"/>
      <c r="R33" s="14"/>
    </row>
    <row r="34" spans="1:18">
      <c r="A34" s="14" t="s">
        <v>4542</v>
      </c>
      <c r="B34" s="14"/>
      <c r="C34" s="14"/>
      <c r="D34" s="14"/>
      <c r="F34" s="14"/>
      <c r="G34" s="14"/>
      <c r="H34" s="14"/>
      <c r="I34" s="14"/>
      <c r="J34" s="14"/>
      <c r="K34" s="14"/>
      <c r="L34" s="14"/>
      <c r="M34" s="14"/>
      <c r="N34" s="14"/>
      <c r="P34" s="14"/>
      <c r="Q34" s="14"/>
      <c r="R34" s="14"/>
    </row>
    <row r="35" spans="1:18">
      <c r="A35" s="9" t="s">
        <v>5843</v>
      </c>
      <c r="B35" s="14" t="s">
        <v>52</v>
      </c>
      <c r="C35" s="14" t="s">
        <v>202</v>
      </c>
      <c r="D35" s="14" t="s">
        <v>2126</v>
      </c>
      <c r="E35" s="15" t="str">
        <f>HYPERLINK("https://stat100.ameba.jp/tnk47/ratio20/illustrations/card/ill_77963_0_kurisumasudaisakusentakiyashahime03.jpg?201905-1-RELEASE-raid-407", "■")</f>
        <v>■</v>
      </c>
      <c r="F35" s="14" t="s">
        <v>2127</v>
      </c>
      <c r="G35" s="14">
        <v>294746</v>
      </c>
      <c r="H35" s="14">
        <v>266388</v>
      </c>
      <c r="I35" s="14">
        <v>24</v>
      </c>
      <c r="J35" s="14" t="s">
        <v>77</v>
      </c>
      <c r="K35" s="14" t="s">
        <v>2128</v>
      </c>
      <c r="L35" s="14" t="s">
        <v>2129</v>
      </c>
      <c r="M35" s="14" t="s">
        <v>9158</v>
      </c>
      <c r="N35" s="14" t="s">
        <v>9158</v>
      </c>
      <c r="O35" s="9" t="s">
        <v>3588</v>
      </c>
      <c r="P35" s="14" t="s">
        <v>3589</v>
      </c>
      <c r="Q35" s="14">
        <v>2</v>
      </c>
      <c r="R35" s="14"/>
    </row>
    <row r="36" spans="1:18">
      <c r="A36" s="9">
        <v>58803</v>
      </c>
      <c r="B36" s="14" t="s">
        <v>0</v>
      </c>
      <c r="C36" s="14" t="s">
        <v>205</v>
      </c>
      <c r="D36" s="14" t="s">
        <v>2027</v>
      </c>
      <c r="E36" s="15" t="str">
        <f>HYPERLINK("https://stat100.ameba.jp/tnk47/ratio20/illustrations/card/ill_58803_setsubumpanikkumimuratsuru03.jpg?201905-1-RELEASE-raid-407", "■")</f>
        <v>■</v>
      </c>
      <c r="F36" s="14" t="s">
        <v>2028</v>
      </c>
      <c r="G36" s="14">
        <v>136343</v>
      </c>
      <c r="H36" s="14">
        <v>82422</v>
      </c>
      <c r="I36" s="14">
        <v>23</v>
      </c>
      <c r="J36" s="14" t="s">
        <v>194</v>
      </c>
      <c r="K36" s="14" t="s">
        <v>2029</v>
      </c>
      <c r="L36" s="14" t="s">
        <v>13171</v>
      </c>
      <c r="M36" s="14" t="s">
        <v>9158</v>
      </c>
      <c r="N36" s="14" t="s">
        <v>9158</v>
      </c>
      <c r="O36" s="9" t="s">
        <v>3703</v>
      </c>
      <c r="P36" s="14" t="s">
        <v>3704</v>
      </c>
      <c r="Q36" s="14">
        <v>1</v>
      </c>
      <c r="R36" s="14"/>
    </row>
    <row r="37" spans="1:18">
      <c r="A37" s="9">
        <v>73093</v>
      </c>
      <c r="B37" s="14" t="s">
        <v>334</v>
      </c>
      <c r="C37" s="14" t="s">
        <v>209</v>
      </c>
      <c r="D37" s="14" t="s">
        <v>1027</v>
      </c>
      <c r="E37" s="15" t="str">
        <f>HYPERLINK("https://stat100.ameba.jp/tnk47/ratio20/illustrations/card/ill_73093_aisukurinchan03.jpg?201905-1-RELEASE-raid-407", "■")</f>
        <v>■</v>
      </c>
      <c r="F37" s="14" t="s">
        <v>1027</v>
      </c>
      <c r="G37" s="14">
        <v>153022</v>
      </c>
      <c r="H37" s="14">
        <v>110837</v>
      </c>
      <c r="I37" s="14">
        <v>23</v>
      </c>
      <c r="J37" s="14" t="s">
        <v>104</v>
      </c>
      <c r="K37" s="14" t="s">
        <v>1028</v>
      </c>
      <c r="L37" s="14" t="s">
        <v>1029</v>
      </c>
      <c r="M37" s="14" t="s">
        <v>9158</v>
      </c>
      <c r="N37" s="14" t="s">
        <v>9158</v>
      </c>
      <c r="O37" s="9" t="s">
        <v>2741</v>
      </c>
      <c r="P37" s="14" t="s">
        <v>2742</v>
      </c>
      <c r="Q37" s="14">
        <v>1</v>
      </c>
      <c r="R37" s="14"/>
    </row>
    <row r="38" spans="1:18">
      <c r="A38" s="9">
        <v>56183</v>
      </c>
      <c r="B38" s="14" t="s">
        <v>0</v>
      </c>
      <c r="C38" s="14" t="s">
        <v>191</v>
      </c>
      <c r="D38" s="14" t="s">
        <v>2024</v>
      </c>
      <c r="E38" s="15" t="str">
        <f>HYPERLINK("https://stat100.ameba.jp/tnk47/ratio20/illustrations/card/ill_56183_onsempanikkukoteipenginchan03.jpg?201905-1-RELEASE-raid-407", "■")</f>
        <v>■</v>
      </c>
      <c r="F38" s="14" t="s">
        <v>2025</v>
      </c>
      <c r="G38" s="14">
        <v>88650</v>
      </c>
      <c r="H38" s="14">
        <v>82422</v>
      </c>
      <c r="I38" s="14">
        <v>23</v>
      </c>
      <c r="J38" s="14" t="s">
        <v>229</v>
      </c>
      <c r="K38" s="14" t="s">
        <v>2026</v>
      </c>
      <c r="L38" s="14" t="s">
        <v>13170</v>
      </c>
      <c r="M38" s="14" t="s">
        <v>9158</v>
      </c>
      <c r="N38" s="14" t="s">
        <v>9158</v>
      </c>
      <c r="O38" s="9" t="s">
        <v>3894</v>
      </c>
      <c r="P38" s="14" t="s">
        <v>3895</v>
      </c>
      <c r="Q38" s="14">
        <v>1</v>
      </c>
      <c r="R38" s="14"/>
    </row>
    <row r="39" spans="1:18">
      <c r="B39" s="14"/>
      <c r="C39" s="14"/>
      <c r="D39" s="14"/>
      <c r="F39" s="14"/>
      <c r="G39" s="14"/>
      <c r="H39" s="14"/>
      <c r="I39" s="14"/>
      <c r="J39" s="14"/>
      <c r="K39" s="14"/>
      <c r="L39" s="14"/>
      <c r="M39" s="14"/>
      <c r="N39" s="14"/>
      <c r="P39" s="14"/>
      <c r="Q39" s="14"/>
      <c r="R39" s="14"/>
    </row>
    <row r="40" spans="1:18">
      <c r="A40" s="14" t="s">
        <v>13326</v>
      </c>
      <c r="D40" s="14"/>
      <c r="F40" s="14"/>
      <c r="G40" s="14"/>
      <c r="H40" s="14"/>
      <c r="I40" s="14"/>
      <c r="J40" s="14"/>
      <c r="K40" s="14"/>
      <c r="L40" s="14"/>
      <c r="M40" s="14"/>
      <c r="N40" s="14"/>
      <c r="P40" s="14"/>
      <c r="Q40" s="14"/>
      <c r="R40" s="14"/>
    </row>
    <row r="41" spans="1:18">
      <c r="A41" s="14" t="s">
        <v>4543</v>
      </c>
      <c r="B41" s="14"/>
      <c r="C41" s="14"/>
      <c r="D41" s="14"/>
      <c r="F41" s="14"/>
      <c r="G41" s="14"/>
      <c r="H41" s="14"/>
      <c r="I41" s="14"/>
      <c r="J41" s="14"/>
      <c r="K41" s="14"/>
      <c r="L41" s="14"/>
      <c r="M41" s="14"/>
      <c r="N41" s="14"/>
      <c r="P41" s="14"/>
      <c r="Q41" s="14"/>
      <c r="R41" s="14"/>
    </row>
    <row r="42" spans="1:18">
      <c r="A42" s="9">
        <v>69293</v>
      </c>
      <c r="B42" s="14" t="s">
        <v>334</v>
      </c>
      <c r="C42" s="14" t="s">
        <v>185</v>
      </c>
      <c r="D42" s="14" t="s">
        <v>1155</v>
      </c>
      <c r="E42" s="15" t="str">
        <f>HYPERLINK("https://stat100.ameba.jp/tnk47/ratio20/illustrations/card/ill_69293_merukishiru03.jpg?201905-1-RELEASE-raid-407", "■")</f>
        <v>■</v>
      </c>
      <c r="F42" s="14" t="s">
        <v>1156</v>
      </c>
      <c r="G42" s="14">
        <v>113230</v>
      </c>
      <c r="H42" s="14">
        <v>105275</v>
      </c>
      <c r="I42" s="14">
        <v>23</v>
      </c>
      <c r="J42" s="14" t="s">
        <v>414</v>
      </c>
      <c r="K42" s="14" t="s">
        <v>1170</v>
      </c>
      <c r="L42" s="14" t="s">
        <v>9902</v>
      </c>
      <c r="M42" s="14" t="s">
        <v>13151</v>
      </c>
      <c r="N42" s="14" t="s">
        <v>251</v>
      </c>
      <c r="O42" s="14" t="s">
        <v>9158</v>
      </c>
      <c r="P42" s="14" t="s">
        <v>9158</v>
      </c>
      <c r="Q42" s="14" t="s">
        <v>9158</v>
      </c>
      <c r="R42" s="14"/>
    </row>
    <row r="43" spans="1:18">
      <c r="A43" s="9">
        <v>69292</v>
      </c>
      <c r="B43" s="14" t="s">
        <v>334</v>
      </c>
      <c r="C43" s="14" t="s">
        <v>185</v>
      </c>
      <c r="D43" s="14" t="s">
        <v>1155</v>
      </c>
      <c r="E43" s="15" t="str">
        <f>HYPERLINK("https://stat100.ameba.jp/tnk47/ratio20/illustrations/card/ill_69292_merukishiru02.jpg?201905-1-RELEASE-raid-407", "■")</f>
        <v>■</v>
      </c>
      <c r="F43" s="14" t="s">
        <v>1156</v>
      </c>
      <c r="G43" s="14">
        <v>94653</v>
      </c>
      <c r="H43" s="14">
        <v>87192</v>
      </c>
      <c r="I43" s="14">
        <v>23</v>
      </c>
      <c r="J43" s="14" t="s">
        <v>414</v>
      </c>
      <c r="K43" s="14" t="s">
        <v>1170</v>
      </c>
      <c r="L43" s="14" t="s">
        <v>9902</v>
      </c>
      <c r="M43" s="14" t="s">
        <v>13151</v>
      </c>
      <c r="N43" s="14" t="s">
        <v>251</v>
      </c>
      <c r="O43" s="14" t="s">
        <v>9158</v>
      </c>
      <c r="P43" s="14" t="s">
        <v>9158</v>
      </c>
      <c r="Q43" s="14" t="s">
        <v>9158</v>
      </c>
      <c r="R43" s="14"/>
    </row>
    <row r="44" spans="1:18">
      <c r="A44" s="9">
        <v>69291</v>
      </c>
      <c r="B44" s="14" t="s">
        <v>334</v>
      </c>
      <c r="C44" s="14" t="s">
        <v>185</v>
      </c>
      <c r="D44" s="14" t="s">
        <v>1155</v>
      </c>
      <c r="E44" s="15" t="str">
        <f>HYPERLINK("https://stat100.ameba.jp/tnk47/ratio20/illustrations/card/ill_69291_merukishiru01.jpg?201905-1-RELEASE-raid-407", "■")</f>
        <v>■</v>
      </c>
      <c r="F44" s="14" t="s">
        <v>1156</v>
      </c>
      <c r="G44" s="14">
        <v>72266</v>
      </c>
      <c r="H44" s="14">
        <v>67275</v>
      </c>
      <c r="I44" s="14">
        <v>23</v>
      </c>
      <c r="J44" s="14" t="s">
        <v>414</v>
      </c>
      <c r="K44" s="14" t="s">
        <v>1170</v>
      </c>
      <c r="L44" s="14" t="s">
        <v>9902</v>
      </c>
      <c r="M44" s="14" t="s">
        <v>13151</v>
      </c>
      <c r="N44" s="14" t="s">
        <v>251</v>
      </c>
      <c r="O44" s="14" t="s">
        <v>9158</v>
      </c>
      <c r="P44" s="14" t="s">
        <v>9158</v>
      </c>
      <c r="Q44" s="14" t="s">
        <v>9158</v>
      </c>
      <c r="R44" s="14"/>
    </row>
    <row r="45" spans="1:18">
      <c r="A45" s="9">
        <v>69303</v>
      </c>
      <c r="B45" s="14" t="s">
        <v>334</v>
      </c>
      <c r="C45" s="14" t="s">
        <v>200</v>
      </c>
      <c r="D45" s="14" t="s">
        <v>4309</v>
      </c>
      <c r="E45" s="15" t="str">
        <f>HYPERLINK("https://stat100.ameba.jp/tnk47/ratio20/illustrations/card/ill_69303_torumushaito03.jpg?201905-1-RELEASE-raid-407", "■")</f>
        <v>■</v>
      </c>
      <c r="F45" s="14" t="s">
        <v>1162</v>
      </c>
      <c r="G45" s="14">
        <v>113230</v>
      </c>
      <c r="H45" s="14">
        <v>105275</v>
      </c>
      <c r="I45" s="14">
        <v>23</v>
      </c>
      <c r="J45" s="14" t="s">
        <v>369</v>
      </c>
      <c r="K45" s="14" t="s">
        <v>1171</v>
      </c>
      <c r="L45" s="14" t="s">
        <v>9903</v>
      </c>
      <c r="M45" s="14" t="s">
        <v>13151</v>
      </c>
      <c r="N45" s="14" t="s">
        <v>251</v>
      </c>
      <c r="O45" s="14" t="s">
        <v>9158</v>
      </c>
      <c r="P45" s="14" t="s">
        <v>9158</v>
      </c>
      <c r="Q45" s="14" t="s">
        <v>9158</v>
      </c>
      <c r="R45" s="14"/>
    </row>
    <row r="46" spans="1:18">
      <c r="A46" s="9">
        <v>69313</v>
      </c>
      <c r="B46" s="14" t="s">
        <v>334</v>
      </c>
      <c r="C46" s="14" t="s">
        <v>191</v>
      </c>
      <c r="D46" s="14" t="s">
        <v>1158</v>
      </c>
      <c r="E46" s="15" t="str">
        <f>HYPERLINK("https://stat100.ameba.jp/tnk47/ratio20/illustrations/card/ill_69313_teishutoriya03.jpg?201905-1-RELEASE-raid-407", "■")</f>
        <v>■</v>
      </c>
      <c r="F46" s="14" t="s">
        <v>1163</v>
      </c>
      <c r="G46" s="14">
        <v>105275</v>
      </c>
      <c r="H46" s="14">
        <v>113230</v>
      </c>
      <c r="I46" s="14">
        <v>23</v>
      </c>
      <c r="J46" s="14" t="s">
        <v>401</v>
      </c>
      <c r="K46" s="14" t="s">
        <v>1172</v>
      </c>
      <c r="L46" s="14" t="s">
        <v>9904</v>
      </c>
      <c r="M46" s="14" t="s">
        <v>13151</v>
      </c>
      <c r="N46" s="14" t="s">
        <v>251</v>
      </c>
      <c r="O46" s="14" t="s">
        <v>9158</v>
      </c>
      <c r="P46" s="14" t="s">
        <v>9158</v>
      </c>
      <c r="Q46" s="14" t="s">
        <v>9158</v>
      </c>
      <c r="R46" s="14"/>
    </row>
    <row r="47" spans="1:18">
      <c r="A47" s="9">
        <v>69323</v>
      </c>
      <c r="B47" s="14" t="s">
        <v>334</v>
      </c>
      <c r="C47" s="14" t="s">
        <v>165</v>
      </c>
      <c r="D47" s="14" t="s">
        <v>1159</v>
      </c>
      <c r="E47" s="15" t="str">
        <f>HYPERLINK("https://stat100.ameba.jp/tnk47/ratio20/illustrations/card/ill_69323_fujitsubonomiya03.jpg?201905-1-RELEASE-raid-407", "■")</f>
        <v>■</v>
      </c>
      <c r="F47" s="14" t="s">
        <v>1164</v>
      </c>
      <c r="G47" s="14">
        <v>105275</v>
      </c>
      <c r="H47" s="14">
        <v>113230</v>
      </c>
      <c r="I47" s="14">
        <v>23</v>
      </c>
      <c r="J47" s="14" t="s">
        <v>1167</v>
      </c>
      <c r="K47" s="14" t="s">
        <v>1173</v>
      </c>
      <c r="L47" s="14" t="s">
        <v>9905</v>
      </c>
      <c r="M47" s="14" t="s">
        <v>13151</v>
      </c>
      <c r="N47" s="14" t="s">
        <v>251</v>
      </c>
      <c r="O47" s="14" t="s">
        <v>9158</v>
      </c>
      <c r="P47" s="14" t="s">
        <v>9158</v>
      </c>
      <c r="Q47" s="14" t="s">
        <v>9158</v>
      </c>
      <c r="R47" s="14"/>
    </row>
    <row r="48" spans="1:18">
      <c r="A48" s="9">
        <v>69333</v>
      </c>
      <c r="B48" s="14" t="s">
        <v>334</v>
      </c>
      <c r="C48" s="14" t="s">
        <v>205</v>
      </c>
      <c r="D48" s="14" t="s">
        <v>1160</v>
      </c>
      <c r="E48" s="15" t="str">
        <f>HYPERLINK("https://stat100.ameba.jp/tnk47/ratio20/illustrations/card/ill_69333_mefuisutofueresu03.jpg?201905-1-RELEASE-raid-407", "■")</f>
        <v>■</v>
      </c>
      <c r="F48" s="14" t="s">
        <v>1165</v>
      </c>
      <c r="G48" s="14">
        <v>113230</v>
      </c>
      <c r="H48" s="14">
        <v>105275</v>
      </c>
      <c r="I48" s="14">
        <v>23</v>
      </c>
      <c r="J48" s="14" t="s">
        <v>1168</v>
      </c>
      <c r="K48" s="14" t="s">
        <v>1174</v>
      </c>
      <c r="L48" s="14" t="s">
        <v>9906</v>
      </c>
      <c r="M48" s="14" t="s">
        <v>13151</v>
      </c>
      <c r="N48" s="14" t="s">
        <v>251</v>
      </c>
      <c r="O48" s="14" t="s">
        <v>9158</v>
      </c>
      <c r="P48" s="14" t="s">
        <v>9158</v>
      </c>
      <c r="Q48" s="14" t="s">
        <v>9158</v>
      </c>
      <c r="R48" s="14"/>
    </row>
    <row r="49" spans="1:18">
      <c r="A49" s="9">
        <v>69343</v>
      </c>
      <c r="B49" s="14" t="s">
        <v>334</v>
      </c>
      <c r="C49" s="14" t="s">
        <v>206</v>
      </c>
      <c r="D49" s="14" t="s">
        <v>1161</v>
      </c>
      <c r="E49" s="15" t="str">
        <f>HYPERLINK("https://stat100.ameba.jp/tnk47/ratio20/illustrations/card/ill_69343_teikinnofuire03.jpg?201905-1-RELEASE-raid-407", "■")</f>
        <v>■</v>
      </c>
      <c r="F49" s="14" t="s">
        <v>1166</v>
      </c>
      <c r="G49" s="14">
        <v>105275</v>
      </c>
      <c r="H49" s="14">
        <v>113230</v>
      </c>
      <c r="I49" s="14">
        <v>23</v>
      </c>
      <c r="J49" s="14" t="s">
        <v>1169</v>
      </c>
      <c r="K49" s="14" t="s">
        <v>1175</v>
      </c>
      <c r="L49" s="14" t="s">
        <v>9907</v>
      </c>
      <c r="M49" s="14" t="s">
        <v>13151</v>
      </c>
      <c r="N49" s="14" t="s">
        <v>251</v>
      </c>
      <c r="O49" s="14" t="s">
        <v>9158</v>
      </c>
      <c r="P49" s="14" t="s">
        <v>9158</v>
      </c>
      <c r="Q49" s="14" t="s">
        <v>9158</v>
      </c>
      <c r="R49" s="14"/>
    </row>
    <row r="50" spans="1:18">
      <c r="B50" s="14"/>
      <c r="C50" s="14"/>
      <c r="D50" s="14"/>
      <c r="F50" s="14"/>
      <c r="G50" s="14"/>
      <c r="H50" s="14"/>
      <c r="I50" s="14"/>
      <c r="J50" s="14"/>
      <c r="K50" s="14"/>
      <c r="L50" s="14"/>
      <c r="M50" s="14"/>
      <c r="N50" s="14"/>
      <c r="P50" s="14"/>
      <c r="Q50" s="14"/>
      <c r="R50" s="14"/>
    </row>
    <row r="51" spans="1:18">
      <c r="A51" s="14" t="s">
        <v>4544</v>
      </c>
      <c r="F51" s="14"/>
      <c r="G51" s="14"/>
      <c r="H51" s="14"/>
      <c r="I51" s="14"/>
      <c r="J51" s="14"/>
      <c r="K51" s="14"/>
      <c r="L51" s="14"/>
      <c r="M51" s="14"/>
      <c r="N51" s="14"/>
      <c r="P51" s="14"/>
      <c r="Q51" s="14"/>
      <c r="R51" s="14"/>
    </row>
    <row r="52" spans="1:18">
      <c r="A52" s="14" t="s">
        <v>4545</v>
      </c>
      <c r="B52" s="14"/>
      <c r="C52" s="14"/>
      <c r="D52" s="14"/>
      <c r="F52" s="14"/>
      <c r="G52" s="14"/>
      <c r="H52" s="14"/>
      <c r="I52" s="14"/>
      <c r="J52" s="14"/>
      <c r="K52" s="14"/>
      <c r="L52" s="14"/>
      <c r="M52" s="14"/>
      <c r="N52" s="14"/>
      <c r="P52" s="14"/>
      <c r="Q52" s="14"/>
      <c r="R52" s="14"/>
    </row>
    <row r="53" spans="1:18">
      <c r="A53" s="14" t="s">
        <v>11489</v>
      </c>
      <c r="B53" s="14"/>
      <c r="C53" s="14"/>
      <c r="D53" s="14"/>
      <c r="F53" s="14"/>
      <c r="G53" s="14"/>
      <c r="H53" s="14"/>
      <c r="I53" s="14"/>
      <c r="J53" s="14"/>
      <c r="K53" s="14"/>
      <c r="L53" s="14"/>
      <c r="M53" s="14"/>
      <c r="N53" s="14"/>
      <c r="P53" s="14"/>
      <c r="Q53" s="14"/>
      <c r="R53" s="14"/>
    </row>
    <row r="54" spans="1:18">
      <c r="A54" s="9" t="s">
        <v>5619</v>
      </c>
      <c r="B54" s="14" t="s">
        <v>330</v>
      </c>
      <c r="C54" s="14" t="s">
        <v>202</v>
      </c>
      <c r="D54" s="14" t="s">
        <v>4504</v>
      </c>
      <c r="E54" s="15" t="str">
        <f>HYPERLINK("https://stat100.ameba.jp/tnk47/ratio20/illustrations/card/ill_81183_0_shinryokunokisetsuamaterasu03.jpg?201905-1-RELEASE-raid-407", "■")</f>
        <v>■</v>
      </c>
      <c r="F54" s="14" t="s">
        <v>4505</v>
      </c>
      <c r="G54" s="14">
        <v>157575</v>
      </c>
      <c r="H54" s="14">
        <v>174365</v>
      </c>
      <c r="I54" s="14">
        <v>15</v>
      </c>
      <c r="J54" s="14" t="s">
        <v>44</v>
      </c>
      <c r="K54" s="14" t="s">
        <v>4506</v>
      </c>
      <c r="L54" s="14" t="s">
        <v>4507</v>
      </c>
      <c r="M54" s="14" t="s">
        <v>9158</v>
      </c>
      <c r="N54" s="14" t="s">
        <v>9158</v>
      </c>
      <c r="O54" s="9" t="s">
        <v>4508</v>
      </c>
      <c r="P54" s="14" t="s">
        <v>4509</v>
      </c>
      <c r="Q54" s="14">
        <v>0</v>
      </c>
      <c r="R54" s="14"/>
    </row>
    <row r="55" spans="1:18">
      <c r="A55" s="9">
        <v>81233</v>
      </c>
      <c r="B55" s="14" t="s">
        <v>334</v>
      </c>
      <c r="C55" s="14" t="s">
        <v>165</v>
      </c>
      <c r="D55" s="14" t="s">
        <v>4546</v>
      </c>
      <c r="E55" s="15" t="str">
        <f>HYPERLINK("https://stat100.ameba.jp/tnk47/ratio20/illustrations/card/ill_81233_sakasutengaihata03.jpg?201905-1-RELEASE-raid-407", "■")</f>
        <v>■</v>
      </c>
      <c r="F55" s="14" t="s">
        <v>4547</v>
      </c>
      <c r="G55" s="14">
        <v>93813</v>
      </c>
      <c r="H55" s="14">
        <v>87218</v>
      </c>
      <c r="I55" s="14">
        <v>23</v>
      </c>
      <c r="J55" s="14" t="s">
        <v>44</v>
      </c>
      <c r="K55" s="14" t="s">
        <v>4548</v>
      </c>
      <c r="L55" s="14" t="s">
        <v>4549</v>
      </c>
      <c r="M55" s="14" t="s">
        <v>9158</v>
      </c>
      <c r="N55" s="14" t="s">
        <v>9158</v>
      </c>
      <c r="O55" s="14" t="s">
        <v>9158</v>
      </c>
      <c r="P55" s="14" t="s">
        <v>9158</v>
      </c>
      <c r="Q55" s="14" t="s">
        <v>9158</v>
      </c>
      <c r="R55" s="14"/>
    </row>
    <row r="56" spans="1:18">
      <c r="A56" s="9">
        <v>81243</v>
      </c>
      <c r="B56" s="14" t="s">
        <v>15</v>
      </c>
      <c r="C56" s="14" t="s">
        <v>206</v>
      </c>
      <c r="D56" s="14" t="s">
        <v>4550</v>
      </c>
      <c r="E56" s="15" t="str">
        <f>HYPERLINK("https://stat100.ameba.jp/tnk47/ratio20/illustrations/card/ill_81243_sakasuochihime03.jpg?201905-1-RELEASE-raid-407", "■")</f>
        <v>■</v>
      </c>
      <c r="F56" s="14" t="s">
        <v>4551</v>
      </c>
      <c r="G56" s="14">
        <v>59144</v>
      </c>
      <c r="H56" s="14">
        <v>65208</v>
      </c>
      <c r="I56" s="14">
        <v>22</v>
      </c>
      <c r="J56" s="14" t="s">
        <v>38</v>
      </c>
      <c r="K56" s="14" t="s">
        <v>4552</v>
      </c>
      <c r="L56" s="14" t="s">
        <v>1753</v>
      </c>
      <c r="M56" s="14" t="s">
        <v>9158</v>
      </c>
      <c r="N56" s="14" t="s">
        <v>9158</v>
      </c>
      <c r="O56" s="14" t="s">
        <v>9158</v>
      </c>
      <c r="P56" s="14" t="s">
        <v>9158</v>
      </c>
      <c r="Q56" s="14" t="s">
        <v>9158</v>
      </c>
      <c r="R56" s="14"/>
    </row>
    <row r="57" spans="1:18">
      <c r="A57" s="9">
        <v>81253</v>
      </c>
      <c r="B57" s="14" t="s">
        <v>22</v>
      </c>
      <c r="C57" s="14" t="s">
        <v>2611</v>
      </c>
      <c r="D57" s="14" t="s">
        <v>4553</v>
      </c>
      <c r="E57" s="15" t="str">
        <f>HYPERLINK("https://stat100.ameba.jp/tnk47/ratio20/illustrations/card/ill_81253_okuriokami03.jpg?201905-1-RELEASE-raid-407", "■")</f>
        <v>■</v>
      </c>
      <c r="F57" s="14" t="s">
        <v>4554</v>
      </c>
      <c r="G57" s="14">
        <v>43662</v>
      </c>
      <c r="H57" s="14">
        <v>36304</v>
      </c>
      <c r="I57" s="14">
        <v>21</v>
      </c>
      <c r="J57" s="14" t="s">
        <v>73</v>
      </c>
      <c r="K57" s="14" t="s">
        <v>4555</v>
      </c>
      <c r="L57" s="14" t="s">
        <v>4556</v>
      </c>
      <c r="M57" s="14" t="s">
        <v>9158</v>
      </c>
      <c r="N57" s="14" t="s">
        <v>9158</v>
      </c>
      <c r="O57" s="14" t="s">
        <v>9158</v>
      </c>
      <c r="P57" s="14" t="s">
        <v>9158</v>
      </c>
      <c r="Q57" s="14" t="s">
        <v>9158</v>
      </c>
      <c r="R57" s="14"/>
    </row>
    <row r="58" spans="1:18">
      <c r="A58" s="9">
        <v>81263</v>
      </c>
      <c r="B58" s="14" t="s">
        <v>30</v>
      </c>
      <c r="C58" s="14" t="s">
        <v>248</v>
      </c>
      <c r="D58" s="14" t="s">
        <v>4557</v>
      </c>
      <c r="E58" s="15" t="str">
        <f>HYPERLINK("https://stat100.ameba.jp/tnk47/ratio20/illustrations/card/ill_81263_dobutsuhiroshimafuokonomiyakichan03.jpg?201905-1-RELEASE-raid-407", "■")</f>
        <v>■</v>
      </c>
      <c r="F58" s="14" t="s">
        <v>4558</v>
      </c>
      <c r="G58" s="14">
        <v>22200</v>
      </c>
      <c r="H58" s="14">
        <v>26434</v>
      </c>
      <c r="I58" s="14">
        <v>21</v>
      </c>
      <c r="J58" s="14" t="s">
        <v>104</v>
      </c>
      <c r="K58" s="14" t="s">
        <v>4559</v>
      </c>
      <c r="L58" s="14" t="s">
        <v>4560</v>
      </c>
      <c r="M58" s="14" t="s">
        <v>9158</v>
      </c>
      <c r="N58" s="14" t="s">
        <v>9158</v>
      </c>
      <c r="O58" s="14" t="s">
        <v>9158</v>
      </c>
      <c r="P58" s="14" t="s">
        <v>9158</v>
      </c>
      <c r="Q58" s="14" t="s">
        <v>9158</v>
      </c>
      <c r="R58" s="14"/>
    </row>
    <row r="59" spans="1:18">
      <c r="B59" s="14"/>
      <c r="C59" s="14"/>
      <c r="D59" s="14"/>
      <c r="F59" s="14"/>
      <c r="G59" s="14"/>
      <c r="H59" s="14"/>
      <c r="I59" s="14"/>
      <c r="J59" s="14"/>
      <c r="K59" s="14"/>
      <c r="L59" s="14"/>
      <c r="M59" s="14"/>
      <c r="N59" s="14"/>
      <c r="P59" s="14"/>
      <c r="Q59" s="14"/>
      <c r="R59" s="14"/>
    </row>
    <row r="60" spans="1:18">
      <c r="A60" s="14" t="s">
        <v>1357</v>
      </c>
      <c r="D60" s="14"/>
      <c r="F60" s="14"/>
      <c r="G60" s="14"/>
      <c r="H60" s="14"/>
      <c r="I60" s="14"/>
      <c r="J60" s="14"/>
      <c r="K60" s="14"/>
      <c r="L60" s="14"/>
      <c r="M60" s="14"/>
      <c r="N60" s="14"/>
      <c r="P60" s="14"/>
      <c r="Q60" s="14"/>
      <c r="R60" s="14"/>
    </row>
    <row r="61" spans="1:18">
      <c r="A61" s="14" t="s">
        <v>4561</v>
      </c>
      <c r="B61" s="14"/>
      <c r="C61" s="14"/>
      <c r="D61" s="14"/>
      <c r="F61" s="14"/>
      <c r="G61" s="14"/>
      <c r="H61" s="14"/>
      <c r="I61" s="14"/>
      <c r="J61" s="14"/>
      <c r="K61" s="14"/>
      <c r="L61" s="14"/>
      <c r="M61" s="14"/>
      <c r="N61" s="14"/>
      <c r="P61" s="14"/>
      <c r="Q61" s="14"/>
      <c r="R61" s="14"/>
    </row>
    <row r="62" spans="1:18">
      <c r="A62" s="9" t="s">
        <v>5606</v>
      </c>
      <c r="B62" s="14" t="s">
        <v>330</v>
      </c>
      <c r="C62" s="14" t="s">
        <v>344</v>
      </c>
      <c r="D62" s="14" t="s">
        <v>1011</v>
      </c>
      <c r="E62" s="15" t="str">
        <f>HYPERLINK("https://stat100.ameba.jp/tnk47/ratio20/illustrations/card/ill_72233_0_koinoboriryugujin03.jpg?201905-1-RELEASE-raid-407", "■")</f>
        <v>■</v>
      </c>
      <c r="F62" s="14" t="s">
        <v>1012</v>
      </c>
      <c r="G62" s="14">
        <v>98395</v>
      </c>
      <c r="H62" s="14">
        <v>105833</v>
      </c>
      <c r="I62" s="14">
        <v>15</v>
      </c>
      <c r="J62" s="14" t="s">
        <v>44</v>
      </c>
      <c r="K62" s="14" t="s">
        <v>1013</v>
      </c>
      <c r="L62" s="14" t="s">
        <v>1014</v>
      </c>
      <c r="M62" s="14" t="s">
        <v>9158</v>
      </c>
      <c r="N62" s="14" t="s">
        <v>9158</v>
      </c>
      <c r="O62" s="9" t="s">
        <v>3419</v>
      </c>
      <c r="P62" s="14" t="s">
        <v>3420</v>
      </c>
      <c r="Q62" s="14">
        <v>2</v>
      </c>
      <c r="R62" s="14"/>
    </row>
    <row r="63" spans="1:18">
      <c r="A63" s="9" t="s">
        <v>6195</v>
      </c>
      <c r="B63" s="14" t="s">
        <v>52</v>
      </c>
      <c r="C63" s="14" t="s">
        <v>191</v>
      </c>
      <c r="D63" s="14" t="s">
        <v>1768</v>
      </c>
      <c r="E63" s="15" t="str">
        <f>HYPERLINK("https://stat100.ameba.jp/tnk47/ratio20/illustrations/card/ill_56493_0_poppukurisumasuikomakitsuno03.jpg?201905-1-RELEASE-raid-407", "■")</f>
        <v>■</v>
      </c>
      <c r="F63" s="14" t="s">
        <v>1769</v>
      </c>
      <c r="G63" s="14">
        <v>94236</v>
      </c>
      <c r="H63" s="14">
        <v>83712</v>
      </c>
      <c r="I63" s="14">
        <v>15</v>
      </c>
      <c r="J63" s="14" t="s">
        <v>77</v>
      </c>
      <c r="K63" s="14" t="s">
        <v>1770</v>
      </c>
      <c r="L63" s="14" t="s">
        <v>1771</v>
      </c>
      <c r="M63" s="14" t="s">
        <v>9158</v>
      </c>
      <c r="N63" s="14" t="s">
        <v>9158</v>
      </c>
      <c r="O63" s="9" t="s">
        <v>3893</v>
      </c>
      <c r="P63" s="14" t="s">
        <v>2724</v>
      </c>
      <c r="Q63" s="14">
        <v>1</v>
      </c>
      <c r="R63" s="14"/>
    </row>
    <row r="64" spans="1:18">
      <c r="A64" s="9" t="s">
        <v>5622</v>
      </c>
      <c r="B64" s="14" t="s">
        <v>330</v>
      </c>
      <c r="C64" s="14" t="s">
        <v>185</v>
      </c>
      <c r="D64" s="14" t="s">
        <v>1043</v>
      </c>
      <c r="E64" s="15" t="str">
        <f>HYPERLINK("https://stat100.ameba.jp/tnk47/ratio20/illustrations/card/ill_49953_0_yushamarihime03.jpg?201905-1-RELEASE-raid-407", "■")</f>
        <v>■</v>
      </c>
      <c r="F64" s="14" t="s">
        <v>1044</v>
      </c>
      <c r="G64" s="14">
        <v>94236</v>
      </c>
      <c r="H64" s="14">
        <v>83712</v>
      </c>
      <c r="I64" s="14">
        <v>15</v>
      </c>
      <c r="J64" s="14" t="s">
        <v>187</v>
      </c>
      <c r="K64" s="14" t="s">
        <v>1045</v>
      </c>
      <c r="L64" s="14" t="s">
        <v>1046</v>
      </c>
      <c r="M64" s="14" t="s">
        <v>9158</v>
      </c>
      <c r="N64" s="14" t="s">
        <v>9158</v>
      </c>
      <c r="O64" s="14" t="s">
        <v>9158</v>
      </c>
      <c r="P64" s="14" t="s">
        <v>9158</v>
      </c>
      <c r="Q64" s="14" t="s">
        <v>9158</v>
      </c>
      <c r="R64" s="14"/>
    </row>
    <row r="65" spans="1:18">
      <c r="A65" s="9">
        <v>79833</v>
      </c>
      <c r="B65" s="14" t="s">
        <v>334</v>
      </c>
      <c r="C65" s="14" t="s">
        <v>154</v>
      </c>
      <c r="D65" s="14" t="s">
        <v>3331</v>
      </c>
      <c r="E65" s="15" t="str">
        <f>HYPERLINK("https://stat100.ameba.jp/tnk47/ratio20/illustrations/card/ill_79833_jiyunomegamimariannu03.jpg?201905-1-RELEASE-raid-407", "■")</f>
        <v>■</v>
      </c>
      <c r="F65" s="14" t="s">
        <v>3332</v>
      </c>
      <c r="G65" s="14">
        <v>95050</v>
      </c>
      <c r="H65" s="14">
        <v>102236</v>
      </c>
      <c r="I65" s="14">
        <v>23</v>
      </c>
      <c r="J65" s="14" t="s">
        <v>10</v>
      </c>
      <c r="K65" s="14" t="s">
        <v>3333</v>
      </c>
      <c r="L65" s="14" t="s">
        <v>12</v>
      </c>
      <c r="M65" s="14" t="s">
        <v>9158</v>
      </c>
      <c r="N65" s="14" t="s">
        <v>9158</v>
      </c>
      <c r="O65" s="14" t="s">
        <v>9158</v>
      </c>
      <c r="P65" s="14" t="s">
        <v>9158</v>
      </c>
      <c r="Q65" s="14" t="s">
        <v>9158</v>
      </c>
      <c r="R65" s="14"/>
    </row>
    <row r="66" spans="1:18">
      <c r="A66" s="9">
        <v>77753</v>
      </c>
      <c r="B66" s="14" t="s">
        <v>334</v>
      </c>
      <c r="C66" s="14" t="s">
        <v>203</v>
      </c>
      <c r="D66" s="14" t="s">
        <v>994</v>
      </c>
      <c r="E66" s="15" t="str">
        <f>HYPERLINK("https://stat100.ameba.jp/tnk47/ratio20/illustrations/card/ill_77753_sekiennotorisu03.jpg?201905-1-RELEASE-raid-407", "■")</f>
        <v>■</v>
      </c>
      <c r="F66" s="14" t="s">
        <v>995</v>
      </c>
      <c r="G66" s="14">
        <v>168858</v>
      </c>
      <c r="H66" s="14">
        <v>95001</v>
      </c>
      <c r="I66" s="14">
        <v>23</v>
      </c>
      <c r="J66" s="14" t="s">
        <v>143</v>
      </c>
      <c r="K66" s="14" t="s">
        <v>996</v>
      </c>
      <c r="L66" s="14" t="s">
        <v>145</v>
      </c>
      <c r="M66" s="14" t="s">
        <v>9158</v>
      </c>
      <c r="N66" s="14" t="s">
        <v>9158</v>
      </c>
      <c r="O66" s="14" t="s">
        <v>9158</v>
      </c>
      <c r="P66" s="14" t="s">
        <v>9158</v>
      </c>
      <c r="Q66" s="14" t="s">
        <v>9158</v>
      </c>
      <c r="R66" s="14"/>
    </row>
    <row r="67" spans="1:18">
      <c r="A67" s="9">
        <v>76123</v>
      </c>
      <c r="B67" s="14" t="s">
        <v>334</v>
      </c>
      <c r="C67" s="14" t="s">
        <v>203</v>
      </c>
      <c r="D67" s="14" t="s">
        <v>986</v>
      </c>
      <c r="E67" s="15" t="str">
        <f>HYPERLINK("https://stat100.ameba.jp/tnk47/ratio20/illustrations/card/ill_76123_hoshiyominotemmongakusha03.jpg?201905-1-RELEASE-raid-407", "■")</f>
        <v>■</v>
      </c>
      <c r="F67" s="14" t="s">
        <v>987</v>
      </c>
      <c r="G67" s="14">
        <v>168858</v>
      </c>
      <c r="H67" s="14">
        <v>95001</v>
      </c>
      <c r="I67" s="14">
        <v>23</v>
      </c>
      <c r="J67" s="14" t="s">
        <v>16</v>
      </c>
      <c r="K67" s="14" t="s">
        <v>988</v>
      </c>
      <c r="L67" s="14" t="s">
        <v>989</v>
      </c>
      <c r="M67" s="14" t="s">
        <v>9158</v>
      </c>
      <c r="N67" s="14" t="s">
        <v>9158</v>
      </c>
      <c r="O67" s="14" t="s">
        <v>9158</v>
      </c>
      <c r="P67" s="14" t="s">
        <v>9158</v>
      </c>
      <c r="Q67" s="14" t="s">
        <v>9158</v>
      </c>
      <c r="R67" s="14"/>
    </row>
    <row r="68" spans="1:18">
      <c r="A68" s="9">
        <v>68253</v>
      </c>
      <c r="B68" s="14" t="s">
        <v>15</v>
      </c>
      <c r="C68" s="14" t="s">
        <v>1</v>
      </c>
      <c r="D68" s="14" t="s">
        <v>4562</v>
      </c>
      <c r="E68" s="15" t="str">
        <f>HYPERLINK("https://stat100.ameba.jp/tnk47/ratio20/illustrations/card/ill_68253_yakeimimuratsuru03.jpg?201905-1-RELEASE-raid-407", "■")</f>
        <v>■</v>
      </c>
      <c r="F68" s="14" t="s">
        <v>4563</v>
      </c>
      <c r="G68" s="14">
        <v>68172</v>
      </c>
      <c r="H68" s="14">
        <v>61832</v>
      </c>
      <c r="I68" s="14">
        <v>23</v>
      </c>
      <c r="J68" s="14" t="s">
        <v>143</v>
      </c>
      <c r="K68" s="14" t="s">
        <v>4564</v>
      </c>
      <c r="L68" s="14" t="s">
        <v>3524</v>
      </c>
      <c r="M68" s="14" t="s">
        <v>9158</v>
      </c>
      <c r="N68" s="14" t="s">
        <v>9158</v>
      </c>
      <c r="O68" s="14" t="s">
        <v>9158</v>
      </c>
      <c r="P68" s="14" t="s">
        <v>9158</v>
      </c>
      <c r="Q68" s="14" t="s">
        <v>9158</v>
      </c>
      <c r="R68" s="14"/>
    </row>
    <row r="69" spans="1:18">
      <c r="A69" s="9">
        <v>73343</v>
      </c>
      <c r="B69" s="14" t="s">
        <v>15</v>
      </c>
      <c r="C69" s="14" t="s">
        <v>23</v>
      </c>
      <c r="D69" s="14" t="s">
        <v>4565</v>
      </c>
      <c r="E69" s="15" t="str">
        <f>HYPERLINK("https://stat100.ameba.jp/tnk47/ratio20/illustrations/card/ill_73343_takenokozokuchan03.jpg?201905-1-RELEASE-raid-407", "■")</f>
        <v>■</v>
      </c>
      <c r="F69" s="14" t="s">
        <v>4566</v>
      </c>
      <c r="G69" s="14">
        <v>61832</v>
      </c>
      <c r="H69" s="14">
        <v>68172</v>
      </c>
      <c r="I69" s="14">
        <v>23</v>
      </c>
      <c r="J69" s="14" t="s">
        <v>26</v>
      </c>
      <c r="K69" s="14" t="s">
        <v>4567</v>
      </c>
      <c r="L69" s="14" t="s">
        <v>977</v>
      </c>
      <c r="M69" s="14" t="s">
        <v>9158</v>
      </c>
      <c r="N69" s="14" t="s">
        <v>9158</v>
      </c>
      <c r="O69" s="14" t="s">
        <v>9158</v>
      </c>
      <c r="P69" s="14" t="s">
        <v>9158</v>
      </c>
      <c r="Q69" s="14" t="s">
        <v>9158</v>
      </c>
      <c r="R69" s="14"/>
    </row>
    <row r="70" spans="1:18">
      <c r="A70" s="9">
        <v>65183</v>
      </c>
      <c r="B70" s="14" t="s">
        <v>15</v>
      </c>
      <c r="C70" s="14" t="s">
        <v>96</v>
      </c>
      <c r="D70" s="14" t="s">
        <v>4568</v>
      </c>
      <c r="E70" s="15" t="str">
        <f>HYPERLINK("https://stat100.ameba.jp/tnk47/ratio20/illustrations/card/ill_65183_kimodameshihorakagaminookimi03.jpg?201905-1-RELEASE-raid-407", "■")</f>
        <v>■</v>
      </c>
      <c r="F70" s="14" t="s">
        <v>4569</v>
      </c>
      <c r="G70" s="14">
        <v>68172</v>
      </c>
      <c r="H70" s="14">
        <v>61832</v>
      </c>
      <c r="I70" s="14">
        <v>23</v>
      </c>
      <c r="J70" s="14" t="s">
        <v>16</v>
      </c>
      <c r="K70" s="14" t="s">
        <v>4570</v>
      </c>
      <c r="L70" s="14" t="s">
        <v>21</v>
      </c>
      <c r="M70" s="14" t="s">
        <v>9158</v>
      </c>
      <c r="N70" s="14" t="s">
        <v>9158</v>
      </c>
      <c r="O70" s="14" t="s">
        <v>9158</v>
      </c>
      <c r="P70" s="14" t="s">
        <v>9158</v>
      </c>
      <c r="Q70" s="14" t="s">
        <v>9158</v>
      </c>
      <c r="R70" s="14"/>
    </row>
    <row r="71" spans="1:18">
      <c r="B71" s="14"/>
      <c r="C71" s="14"/>
      <c r="D71" s="14"/>
      <c r="F71" s="14"/>
      <c r="G71" s="14"/>
      <c r="H71" s="14"/>
      <c r="I71" s="14"/>
      <c r="J71" s="14"/>
      <c r="K71" s="14"/>
      <c r="L71" s="14"/>
      <c r="M71" s="14"/>
      <c r="N71" s="14"/>
      <c r="P71" s="14"/>
      <c r="Q71" s="14"/>
      <c r="R71" s="14"/>
    </row>
    <row r="72" spans="1:18">
      <c r="A72" s="14" t="s">
        <v>180</v>
      </c>
      <c r="D72" s="14"/>
      <c r="F72" s="14"/>
      <c r="G72" s="14"/>
      <c r="H72" s="14"/>
      <c r="I72" s="14"/>
      <c r="J72" s="14"/>
      <c r="K72" s="14"/>
      <c r="L72" s="14"/>
      <c r="M72" s="14"/>
      <c r="N72" s="14"/>
      <c r="P72" s="14"/>
      <c r="Q72" s="14"/>
      <c r="R72" s="14"/>
    </row>
    <row r="73" spans="1:18">
      <c r="A73" s="14" t="s">
        <v>4571</v>
      </c>
      <c r="B73" s="14"/>
      <c r="C73" s="14"/>
      <c r="D73" s="14"/>
      <c r="F73" s="14"/>
      <c r="G73" s="14"/>
      <c r="H73" s="14"/>
      <c r="I73" s="14"/>
      <c r="J73" s="14"/>
      <c r="K73" s="14"/>
      <c r="L73" s="14"/>
      <c r="M73" s="14"/>
      <c r="N73" s="14"/>
      <c r="P73" s="14"/>
      <c r="Q73" s="14"/>
      <c r="R73" s="14"/>
    </row>
    <row r="74" spans="1:18">
      <c r="A74" s="9" t="s">
        <v>5611</v>
      </c>
      <c r="B74" s="14" t="s">
        <v>330</v>
      </c>
      <c r="C74" s="14" t="s">
        <v>185</v>
      </c>
      <c r="D74" s="14" t="s">
        <v>539</v>
      </c>
      <c r="E74" s="15" t="str">
        <f>HYPERLINK("https://stat100.ameba.jp/tnk47/ratio20/illustrations/card/ill_60633_0_harumaisentoin03.jpg?201905-1-RELEASE-raid-407", "■")</f>
        <v>■</v>
      </c>
      <c r="F74" s="14" t="s">
        <v>540</v>
      </c>
      <c r="G74" s="14">
        <v>139878</v>
      </c>
      <c r="H74" s="14">
        <v>150466</v>
      </c>
      <c r="I74" s="14">
        <v>22</v>
      </c>
      <c r="J74" s="14" t="s">
        <v>274</v>
      </c>
      <c r="K74" s="14" t="s">
        <v>541</v>
      </c>
      <c r="L74" s="14" t="s">
        <v>542</v>
      </c>
      <c r="M74" s="14" t="s">
        <v>9158</v>
      </c>
      <c r="N74" s="14" t="s">
        <v>9158</v>
      </c>
      <c r="O74" s="9" t="s">
        <v>2888</v>
      </c>
      <c r="P74" s="14" t="s">
        <v>3144</v>
      </c>
      <c r="Q74" s="14">
        <v>1</v>
      </c>
      <c r="R74" s="14"/>
    </row>
    <row r="75" spans="1:18">
      <c r="A75" s="9" t="s">
        <v>5612</v>
      </c>
      <c r="B75" s="14" t="s">
        <v>330</v>
      </c>
      <c r="C75" s="14" t="s">
        <v>165</v>
      </c>
      <c r="D75" s="14" t="s">
        <v>789</v>
      </c>
      <c r="E75" s="15" t="str">
        <f>HYPERLINK("https://stat100.ameba.jp/tnk47/ratio20/illustrations/card/ill_49193_0_onmyoudouabenoseimei03.jpg?201905-1-RELEASE-raid-407", "■")</f>
        <v>■</v>
      </c>
      <c r="F75" s="14" t="s">
        <v>790</v>
      </c>
      <c r="G75" s="14">
        <v>122776</v>
      </c>
      <c r="H75" s="14">
        <v>138212</v>
      </c>
      <c r="I75" s="14">
        <v>22</v>
      </c>
      <c r="J75" s="14" t="s">
        <v>351</v>
      </c>
      <c r="K75" s="14" t="s">
        <v>791</v>
      </c>
      <c r="L75" s="14" t="s">
        <v>792</v>
      </c>
      <c r="M75" s="14" t="s">
        <v>9158</v>
      </c>
      <c r="N75" s="14" t="s">
        <v>9158</v>
      </c>
      <c r="O75" s="14" t="s">
        <v>9158</v>
      </c>
      <c r="P75" s="14" t="s">
        <v>9158</v>
      </c>
      <c r="Q75" s="14" t="s">
        <v>9158</v>
      </c>
      <c r="R75" s="14"/>
    </row>
    <row r="76" spans="1:18">
      <c r="A76" s="9" t="s">
        <v>5820</v>
      </c>
      <c r="B76" s="14" t="s">
        <v>330</v>
      </c>
      <c r="C76" s="14" t="s">
        <v>200</v>
      </c>
      <c r="D76" s="14" t="s">
        <v>630</v>
      </c>
      <c r="E76" s="15" t="str">
        <f>HYPERLINK("https://stat100.ameba.jp/tnk47/ratio20/illustrations/card/ill_48283_0_kyuubitamamonomae03.jpg?201905-1-RELEASE-raid-407", "■")</f>
        <v>■</v>
      </c>
      <c r="F76" s="14" t="s">
        <v>631</v>
      </c>
      <c r="G76" s="14">
        <v>138212</v>
      </c>
      <c r="H76" s="14">
        <v>122776</v>
      </c>
      <c r="I76" s="14">
        <v>22</v>
      </c>
      <c r="J76" s="14" t="s">
        <v>320</v>
      </c>
      <c r="K76" s="14" t="s">
        <v>632</v>
      </c>
      <c r="L76" s="14" t="s">
        <v>633</v>
      </c>
      <c r="M76" s="14" t="s">
        <v>9158</v>
      </c>
      <c r="N76" s="14" t="s">
        <v>9158</v>
      </c>
      <c r="O76" s="14" t="s">
        <v>9158</v>
      </c>
      <c r="P76" s="14" t="s">
        <v>9158</v>
      </c>
      <c r="Q76" s="14" t="s">
        <v>9158</v>
      </c>
      <c r="R76" s="14"/>
    </row>
    <row r="77" spans="1:18">
      <c r="A77" s="9">
        <v>81233</v>
      </c>
      <c r="B77" s="14" t="s">
        <v>334</v>
      </c>
      <c r="C77" s="14" t="s">
        <v>165</v>
      </c>
      <c r="D77" s="14" t="s">
        <v>4546</v>
      </c>
      <c r="E77" s="15" t="str">
        <f>HYPERLINK("https://stat100.ameba.jp/tnk47/ratio20/illustrations/card/ill_81233_sakasutengaihata03.jpg?201905-1-RELEASE-raid-407", "■")</f>
        <v>■</v>
      </c>
      <c r="F77" s="14" t="s">
        <v>4547</v>
      </c>
      <c r="G77" s="14">
        <v>89736</v>
      </c>
      <c r="H77" s="14">
        <v>83426</v>
      </c>
      <c r="I77" s="14">
        <v>22</v>
      </c>
      <c r="J77" s="14" t="s">
        <v>44</v>
      </c>
      <c r="K77" s="14" t="s">
        <v>4548</v>
      </c>
      <c r="L77" s="14" t="s">
        <v>4549</v>
      </c>
      <c r="M77" s="14" t="s">
        <v>9158</v>
      </c>
      <c r="N77" s="14" t="s">
        <v>9158</v>
      </c>
      <c r="O77" s="14" t="s">
        <v>9158</v>
      </c>
      <c r="P77" s="14" t="s">
        <v>9158</v>
      </c>
      <c r="Q77" s="14" t="s">
        <v>9158</v>
      </c>
      <c r="R77" s="14"/>
    </row>
    <row r="78" spans="1:18">
      <c r="A78" s="9">
        <v>81243</v>
      </c>
      <c r="B78" s="14" t="s">
        <v>15</v>
      </c>
      <c r="C78" s="14" t="s">
        <v>206</v>
      </c>
      <c r="D78" s="14" t="s">
        <v>4550</v>
      </c>
      <c r="E78" s="15" t="str">
        <f>HYPERLINK("https://stat100.ameba.jp/tnk47/ratio20/illustrations/card/ill_81243_sakasuochihime03.jpg?201905-1-RELEASE-raid-407", "■")</f>
        <v>■</v>
      </c>
      <c r="F78" s="14" t="s">
        <v>4551</v>
      </c>
      <c r="G78" s="14">
        <v>48390</v>
      </c>
      <c r="H78" s="14">
        <v>53352</v>
      </c>
      <c r="I78" s="14">
        <v>18</v>
      </c>
      <c r="J78" s="14" t="s">
        <v>38</v>
      </c>
      <c r="K78" s="14" t="s">
        <v>4552</v>
      </c>
      <c r="L78" s="14" t="s">
        <v>1753</v>
      </c>
      <c r="M78" s="14" t="s">
        <v>9158</v>
      </c>
      <c r="N78" s="14" t="s">
        <v>9158</v>
      </c>
      <c r="O78" s="14" t="s">
        <v>9158</v>
      </c>
      <c r="P78" s="14" t="s">
        <v>9158</v>
      </c>
      <c r="Q78" s="14" t="s">
        <v>9158</v>
      </c>
      <c r="R78" s="14"/>
    </row>
    <row r="79" spans="1:18">
      <c r="A79" s="9">
        <v>81253</v>
      </c>
      <c r="B79" s="14" t="s">
        <v>22</v>
      </c>
      <c r="C79" s="14" t="s">
        <v>2611</v>
      </c>
      <c r="D79" s="14" t="s">
        <v>4553</v>
      </c>
      <c r="E79" s="15" t="str">
        <f>HYPERLINK("https://stat100.ameba.jp/tnk47/ratio20/illustrations/card/ill_81253_okuriokami03.jpg?201905-1-RELEASE-raid-407", "■")</f>
        <v>■</v>
      </c>
      <c r="F79" s="14" t="s">
        <v>4554</v>
      </c>
      <c r="G79" s="14">
        <v>35346</v>
      </c>
      <c r="H79" s="14">
        <v>29388</v>
      </c>
      <c r="I79" s="14">
        <v>17</v>
      </c>
      <c r="J79" s="14" t="s">
        <v>73</v>
      </c>
      <c r="K79" s="14" t="s">
        <v>4555</v>
      </c>
      <c r="L79" s="14" t="s">
        <v>4556</v>
      </c>
      <c r="M79" s="14" t="s">
        <v>9158</v>
      </c>
      <c r="N79" s="14" t="s">
        <v>9158</v>
      </c>
      <c r="O79" s="14" t="s">
        <v>9158</v>
      </c>
      <c r="P79" s="14" t="s">
        <v>9158</v>
      </c>
      <c r="Q79" s="14" t="s">
        <v>9158</v>
      </c>
      <c r="R79" s="14"/>
    </row>
    <row r="80" spans="1:18">
      <c r="A80" s="9">
        <v>81263</v>
      </c>
      <c r="B80" s="14" t="s">
        <v>30</v>
      </c>
      <c r="C80" s="14" t="s">
        <v>248</v>
      </c>
      <c r="D80" s="14" t="s">
        <v>4557</v>
      </c>
      <c r="E80" s="15" t="str">
        <f>HYPERLINK("https://stat100.ameba.jp/tnk47/ratio20/illustrations/card/ill_81263_dobutsuhiroshimafuokonomiyakichan03.jpg?201905-1-RELEASE-raid-407", "■")</f>
        <v>■</v>
      </c>
      <c r="F80" s="14" t="s">
        <v>4558</v>
      </c>
      <c r="G80" s="14">
        <v>17972</v>
      </c>
      <c r="H80" s="14">
        <v>21398</v>
      </c>
      <c r="I80" s="14">
        <v>17</v>
      </c>
      <c r="J80" s="14" t="s">
        <v>104</v>
      </c>
      <c r="K80" s="14" t="s">
        <v>4559</v>
      </c>
      <c r="L80" s="14" t="s">
        <v>4560</v>
      </c>
      <c r="M80" s="14" t="s">
        <v>9158</v>
      </c>
      <c r="N80" s="14" t="s">
        <v>9158</v>
      </c>
      <c r="O80" s="14" t="s">
        <v>9158</v>
      </c>
      <c r="P80" s="14" t="s">
        <v>9158</v>
      </c>
      <c r="Q80" s="14" t="s">
        <v>9158</v>
      </c>
      <c r="R80" s="14"/>
    </row>
    <row r="81" spans="1:18">
      <c r="B81" s="14"/>
      <c r="C81" s="14"/>
      <c r="D81" s="14"/>
      <c r="F81" s="14"/>
      <c r="G81" s="14"/>
      <c r="H81" s="14"/>
      <c r="I81" s="14"/>
      <c r="J81" s="14"/>
      <c r="K81" s="14"/>
      <c r="L81" s="14"/>
      <c r="M81" s="14"/>
      <c r="N81" s="14"/>
      <c r="P81" s="14"/>
      <c r="Q81" s="14"/>
      <c r="R81" s="14"/>
    </row>
    <row r="82" spans="1:18">
      <c r="A82" s="14" t="s">
        <v>115</v>
      </c>
      <c r="D82" s="14"/>
      <c r="F82" s="14"/>
      <c r="G82" s="14"/>
      <c r="H82" s="14"/>
      <c r="I82" s="14"/>
      <c r="J82" s="14"/>
      <c r="K82" s="14"/>
      <c r="L82" s="14"/>
      <c r="M82" s="14"/>
      <c r="N82" s="14"/>
      <c r="P82" s="14"/>
      <c r="Q82" s="14"/>
      <c r="R82" s="14"/>
    </row>
    <row r="83" spans="1:18">
      <c r="A83" s="14" t="s">
        <v>4572</v>
      </c>
      <c r="B83" s="14"/>
      <c r="C83" s="14"/>
      <c r="D83" s="14"/>
      <c r="F83" s="14"/>
      <c r="G83" s="14"/>
      <c r="H83" s="14"/>
      <c r="I83" s="14"/>
      <c r="J83" s="14"/>
      <c r="K83" s="14"/>
      <c r="L83" s="14"/>
      <c r="M83" s="14"/>
      <c r="N83" s="14"/>
      <c r="P83" s="14"/>
      <c r="Q83" s="14"/>
      <c r="R83" s="14"/>
    </row>
    <row r="84" spans="1:18">
      <c r="A84" s="9" t="s">
        <v>5724</v>
      </c>
      <c r="B84" s="14" t="s">
        <v>330</v>
      </c>
      <c r="C84" s="14" t="s">
        <v>335</v>
      </c>
      <c r="D84" s="14" t="s">
        <v>698</v>
      </c>
      <c r="E84" s="15" t="str">
        <f>HYPERLINK("https://stat100.ameba.jp/tnk47/ratio20/illustrations/card/ill_66433_0_haroinfujishirogozen03.jpg?201905-1-RELEASE-raid-407", "■")</f>
        <v>■</v>
      </c>
      <c r="F84" s="14" t="s">
        <v>699</v>
      </c>
      <c r="G84" s="14">
        <v>91807</v>
      </c>
      <c r="H84" s="14">
        <v>98751</v>
      </c>
      <c r="I84" s="14">
        <v>15</v>
      </c>
      <c r="J84" s="14" t="s">
        <v>315</v>
      </c>
      <c r="K84" s="14" t="s">
        <v>700</v>
      </c>
      <c r="L84" s="14" t="s">
        <v>701</v>
      </c>
      <c r="M84" s="14" t="s">
        <v>9158</v>
      </c>
      <c r="N84" s="14" t="s">
        <v>9158</v>
      </c>
      <c r="O84" s="17" t="s">
        <v>10062</v>
      </c>
      <c r="P84" s="14" t="s">
        <v>3345</v>
      </c>
      <c r="Q84" s="14">
        <v>1</v>
      </c>
      <c r="R84" s="14"/>
    </row>
    <row r="85" spans="1:18">
      <c r="A85" s="9" t="s">
        <v>5617</v>
      </c>
      <c r="B85" s="14" t="s">
        <v>330</v>
      </c>
      <c r="C85" s="14" t="s">
        <v>308</v>
      </c>
      <c r="D85" s="14" t="s">
        <v>982</v>
      </c>
      <c r="E85" s="15" t="str">
        <f>HYPERLINK("https://stat100.ameba.jp/tnk47/ratio20/illustrations/card/ill_59673_0_oheyashutendoji03.jpg?201905-1-RELEASE-raid-407", "■")</f>
        <v>■</v>
      </c>
      <c r="F85" s="14" t="s">
        <v>386</v>
      </c>
      <c r="G85" s="14">
        <v>105545</v>
      </c>
      <c r="H85" s="14">
        <v>113525</v>
      </c>
      <c r="I85" s="14">
        <v>15</v>
      </c>
      <c r="J85" s="14" t="s">
        <v>320</v>
      </c>
      <c r="K85" s="14" t="s">
        <v>387</v>
      </c>
      <c r="L85" s="14" t="s">
        <v>388</v>
      </c>
      <c r="M85" s="14" t="s">
        <v>9158</v>
      </c>
      <c r="N85" s="14" t="s">
        <v>9158</v>
      </c>
      <c r="O85" s="17" t="s">
        <v>10058</v>
      </c>
      <c r="P85" s="14" t="s">
        <v>3022</v>
      </c>
      <c r="Q85" s="14">
        <v>1</v>
      </c>
      <c r="R85" s="14"/>
    </row>
    <row r="86" spans="1:18">
      <c r="A86" s="9" t="s">
        <v>5897</v>
      </c>
      <c r="B86" s="14" t="s">
        <v>330</v>
      </c>
      <c r="C86" s="14" t="s">
        <v>271</v>
      </c>
      <c r="D86" s="14" t="s">
        <v>53</v>
      </c>
      <c r="E86" s="15" t="str">
        <f>HYPERLINK("https://stat100.ameba.jp/tnk47/ratio20/illustrations/card/ill_40913_0_reigyokudensetsufusehime03.jpg?201905-1-RELEASE-raid-407", "■")</f>
        <v>■</v>
      </c>
      <c r="F86" s="14" t="s">
        <v>278</v>
      </c>
      <c r="G86" s="14">
        <v>82212</v>
      </c>
      <c r="H86" s="14">
        <v>87780</v>
      </c>
      <c r="I86" s="14">
        <v>15</v>
      </c>
      <c r="J86" s="14" t="s">
        <v>155</v>
      </c>
      <c r="K86" s="14" t="s">
        <v>279</v>
      </c>
      <c r="L86" s="14" t="s">
        <v>280</v>
      </c>
      <c r="M86" s="14" t="s">
        <v>9158</v>
      </c>
      <c r="N86" s="14" t="s">
        <v>9158</v>
      </c>
      <c r="O86" s="14" t="s">
        <v>9158</v>
      </c>
      <c r="P86" s="14" t="s">
        <v>9158</v>
      </c>
      <c r="Q86" s="14" t="s">
        <v>9158</v>
      </c>
      <c r="R86" s="14"/>
    </row>
    <row r="87" spans="1:18">
      <c r="A87" s="9">
        <v>74923</v>
      </c>
      <c r="B87" s="14" t="s">
        <v>334</v>
      </c>
      <c r="C87" s="14" t="s">
        <v>1</v>
      </c>
      <c r="D87" s="14" t="s">
        <v>4573</v>
      </c>
      <c r="E87" s="15" t="str">
        <f>HYPERLINK("https://stat100.ameba.jp/tnk47/ratio20/illustrations/card/ill_74923_amenoshihomimi03.jpg?201905-1-RELEASE-raid-407", "■")</f>
        <v>■</v>
      </c>
      <c r="F87" s="14" t="s">
        <v>4574</v>
      </c>
      <c r="G87" s="14">
        <v>65176</v>
      </c>
      <c r="H87" s="14">
        <v>115855</v>
      </c>
      <c r="I87" s="14">
        <v>23</v>
      </c>
      <c r="J87" s="14" t="s">
        <v>44</v>
      </c>
      <c r="K87" s="14" t="s">
        <v>4575</v>
      </c>
      <c r="L87" s="14" t="s">
        <v>1209</v>
      </c>
      <c r="M87" s="14" t="s">
        <v>9158</v>
      </c>
      <c r="N87" s="14" t="s">
        <v>9158</v>
      </c>
      <c r="O87" s="14" t="s">
        <v>9158</v>
      </c>
      <c r="P87" s="14" t="s">
        <v>9158</v>
      </c>
      <c r="Q87" s="14" t="s">
        <v>9158</v>
      </c>
      <c r="R87" s="14"/>
    </row>
    <row r="88" spans="1:18">
      <c r="A88" s="9">
        <v>73513</v>
      </c>
      <c r="B88" s="14" t="s">
        <v>334</v>
      </c>
      <c r="C88" s="14" t="s">
        <v>107</v>
      </c>
      <c r="D88" s="14" t="s">
        <v>4082</v>
      </c>
      <c r="E88" s="15" t="str">
        <f>HYPERLINK("https://stat100.ameba.jp/tnk47/ratio20/illustrations/card/ill_73513_shimazutokiwa03.jpg?201905-1-RELEASE-raid-407", "■")</f>
        <v>■</v>
      </c>
      <c r="F88" s="14" t="s">
        <v>4083</v>
      </c>
      <c r="G88" s="14">
        <v>62414</v>
      </c>
      <c r="H88" s="14">
        <v>110924</v>
      </c>
      <c r="I88" s="14">
        <v>23</v>
      </c>
      <c r="J88" s="14" t="s">
        <v>77</v>
      </c>
      <c r="K88" s="14" t="s">
        <v>4084</v>
      </c>
      <c r="L88" s="14" t="s">
        <v>969</v>
      </c>
      <c r="M88" s="14" t="s">
        <v>9158</v>
      </c>
      <c r="N88" s="14" t="s">
        <v>9158</v>
      </c>
      <c r="O88" s="14" t="s">
        <v>9158</v>
      </c>
      <c r="P88" s="14" t="s">
        <v>9158</v>
      </c>
      <c r="Q88" s="14" t="s">
        <v>9158</v>
      </c>
      <c r="R88" s="14"/>
    </row>
    <row r="89" spans="1:18">
      <c r="A89" s="9">
        <v>68853</v>
      </c>
      <c r="B89" s="14" t="s">
        <v>334</v>
      </c>
      <c r="C89" s="14" t="s">
        <v>200</v>
      </c>
      <c r="D89" s="14" t="s">
        <v>4576</v>
      </c>
      <c r="E89" s="15" t="str">
        <f>HYPERLINK("https://stat100.ameba.jp/tnk47/ratio20/illustrations/card/ill_68853_karutateneiin03.jpg?201905-1-RELEASE-raid-407", "■")</f>
        <v>■</v>
      </c>
      <c r="F89" s="14" t="s">
        <v>4577</v>
      </c>
      <c r="G89" s="14">
        <v>83499</v>
      </c>
      <c r="H89" s="14">
        <v>89839</v>
      </c>
      <c r="I89" s="14">
        <v>23</v>
      </c>
      <c r="J89" s="14" t="s">
        <v>351</v>
      </c>
      <c r="K89" s="14" t="s">
        <v>4578</v>
      </c>
      <c r="L89" s="14" t="s">
        <v>2489</v>
      </c>
      <c r="M89" s="14" t="s">
        <v>9158</v>
      </c>
      <c r="N89" s="14" t="s">
        <v>9158</v>
      </c>
      <c r="O89" s="14" t="s">
        <v>9158</v>
      </c>
      <c r="P89" s="14" t="s">
        <v>9158</v>
      </c>
      <c r="Q89" s="14" t="s">
        <v>9158</v>
      </c>
      <c r="R89" s="14"/>
    </row>
    <row r="90" spans="1:18">
      <c r="B90" s="14"/>
      <c r="C90" s="14"/>
      <c r="D90" s="14"/>
      <c r="F90" s="14"/>
      <c r="G90" s="14"/>
      <c r="H90" s="14"/>
      <c r="I90" s="14"/>
      <c r="J90" s="14"/>
      <c r="K90" s="14"/>
      <c r="L90" s="14"/>
      <c r="M90" s="14"/>
      <c r="N90" s="14"/>
      <c r="P90" s="14"/>
      <c r="Q90" s="14"/>
      <c r="R90" s="14"/>
    </row>
    <row r="91" spans="1:18">
      <c r="A91" s="14" t="s">
        <v>114</v>
      </c>
      <c r="D91" s="14"/>
      <c r="F91" s="14"/>
      <c r="G91" s="14"/>
      <c r="H91" s="14"/>
      <c r="I91" s="14"/>
      <c r="J91" s="14"/>
      <c r="K91" s="14"/>
      <c r="L91" s="14"/>
      <c r="M91" s="14"/>
      <c r="N91" s="14"/>
      <c r="P91" s="14"/>
      <c r="Q91" s="14"/>
      <c r="R91" s="14"/>
    </row>
    <row r="92" spans="1:18">
      <c r="A92" s="14" t="s">
        <v>4579</v>
      </c>
      <c r="B92" s="14"/>
      <c r="C92" s="14"/>
      <c r="D92" s="14"/>
      <c r="F92" s="14"/>
      <c r="G92" s="14"/>
      <c r="H92" s="14"/>
      <c r="I92" s="14"/>
      <c r="J92" s="14"/>
      <c r="K92" s="14"/>
      <c r="L92" s="14"/>
      <c r="M92" s="14"/>
      <c r="N92" s="14"/>
      <c r="P92" s="14"/>
      <c r="Q92" s="14"/>
      <c r="R92" s="14"/>
    </row>
    <row r="93" spans="1:18">
      <c r="A93" s="9" t="s">
        <v>5618</v>
      </c>
      <c r="B93" s="14" t="s">
        <v>330</v>
      </c>
      <c r="C93" s="14" t="s">
        <v>200</v>
      </c>
      <c r="D93" s="14" t="s">
        <v>665</v>
      </c>
      <c r="E93" s="15" t="str">
        <f>HYPERLINK("https://stat100.ameba.jp/tnk47/ratio20/illustrations/card/ill_63173_0_minazukikonakaiteruko03.jpg?201905-1-RELEASE-raid-407", "■")</f>
        <v>■</v>
      </c>
      <c r="F93" s="14" t="s">
        <v>666</v>
      </c>
      <c r="G93" s="14">
        <v>190952</v>
      </c>
      <c r="H93" s="14">
        <v>205358</v>
      </c>
      <c r="I93" s="14">
        <v>22</v>
      </c>
      <c r="J93" s="14" t="s">
        <v>310</v>
      </c>
      <c r="K93" s="14" t="s">
        <v>667</v>
      </c>
      <c r="L93" s="14" t="s">
        <v>668</v>
      </c>
      <c r="M93" s="14" t="s">
        <v>9158</v>
      </c>
      <c r="N93" s="14" t="s">
        <v>9158</v>
      </c>
      <c r="O93" s="9" t="s">
        <v>3328</v>
      </c>
      <c r="P93" s="14" t="s">
        <v>3329</v>
      </c>
      <c r="Q93" s="14">
        <v>1</v>
      </c>
      <c r="R93" s="14"/>
    </row>
    <row r="94" spans="1:18">
      <c r="A94" s="9" t="s">
        <v>5623</v>
      </c>
      <c r="B94" s="14" t="s">
        <v>330</v>
      </c>
      <c r="C94" s="14" t="s">
        <v>165</v>
      </c>
      <c r="D94" s="14" t="s">
        <v>181</v>
      </c>
      <c r="E94" s="15" t="str">
        <f>HYPERLINK("https://stat100.ameba.jp/tnk47/ratio20/illustrations/card/ill_65713_0_undokaionikirimaru03.jpg?201905-1-RELEASE-raid-407", "■")</f>
        <v>■</v>
      </c>
      <c r="F94" s="14" t="s">
        <v>535</v>
      </c>
      <c r="G94" s="14">
        <v>166504</v>
      </c>
      <c r="H94" s="14">
        <v>154800</v>
      </c>
      <c r="I94" s="14">
        <v>22</v>
      </c>
      <c r="J94" s="14" t="s">
        <v>182</v>
      </c>
      <c r="K94" s="14" t="s">
        <v>183</v>
      </c>
      <c r="L94" s="14" t="s">
        <v>184</v>
      </c>
      <c r="M94" s="14" t="s">
        <v>9158</v>
      </c>
      <c r="N94" s="14" t="s">
        <v>9158</v>
      </c>
      <c r="O94" s="9" t="s">
        <v>2869</v>
      </c>
      <c r="P94" s="14" t="s">
        <v>2870</v>
      </c>
      <c r="Q94" s="14">
        <v>1</v>
      </c>
      <c r="R94" s="14"/>
    </row>
    <row r="95" spans="1:18">
      <c r="A95" s="9">
        <v>81303</v>
      </c>
      <c r="B95" s="14" t="s">
        <v>334</v>
      </c>
      <c r="C95" s="14" t="s">
        <v>41</v>
      </c>
      <c r="D95" s="14" t="s">
        <v>4580</v>
      </c>
      <c r="E95" s="15" t="str">
        <f>HYPERLINK("https://stat100.ameba.jp/tnk47/ratio20/illustrations/card/ill_81303_suteirukuin03.jpg?201905-1-RELEASE-raid-407", "■")</f>
        <v>■</v>
      </c>
      <c r="F95" s="14" t="s">
        <v>4581</v>
      </c>
      <c r="G95" s="14">
        <v>115656</v>
      </c>
      <c r="H95" s="14">
        <v>159674</v>
      </c>
      <c r="I95" s="14">
        <v>24</v>
      </c>
      <c r="J95" s="14" t="s">
        <v>104</v>
      </c>
      <c r="K95" s="14" t="s">
        <v>4582</v>
      </c>
      <c r="L95" s="14" t="s">
        <v>2304</v>
      </c>
      <c r="M95" s="14" t="s">
        <v>9158</v>
      </c>
      <c r="N95" s="14" t="s">
        <v>9158</v>
      </c>
      <c r="O95" s="9" t="s">
        <v>4583</v>
      </c>
      <c r="P95" s="14" t="s">
        <v>4584</v>
      </c>
      <c r="Q95" s="14">
        <v>1</v>
      </c>
      <c r="R95" s="14"/>
    </row>
    <row r="96" spans="1:18">
      <c r="A96" s="9">
        <v>64873</v>
      </c>
      <c r="B96" s="14" t="s">
        <v>0</v>
      </c>
      <c r="C96" s="14" t="s">
        <v>158</v>
      </c>
      <c r="D96" s="14" t="s">
        <v>1952</v>
      </c>
      <c r="E96" s="15" t="str">
        <f>HYPERLINK("https://stat100.ameba.jp/tnk47/ratio20/illustrations/card/ill_64873_sessofujin03.jpg?201905-1-RELEASE-raid-407", "■")</f>
        <v>■</v>
      </c>
      <c r="F96" s="14" t="s">
        <v>1953</v>
      </c>
      <c r="G96" s="14">
        <v>66487</v>
      </c>
      <c r="H96" s="14">
        <v>91779</v>
      </c>
      <c r="I96" s="14">
        <v>21</v>
      </c>
      <c r="J96" s="14" t="s">
        <v>77</v>
      </c>
      <c r="K96" s="14" t="s">
        <v>1954</v>
      </c>
      <c r="L96" s="14" t="s">
        <v>1955</v>
      </c>
      <c r="M96" s="14" t="s">
        <v>9158</v>
      </c>
      <c r="N96" s="14" t="s">
        <v>9158</v>
      </c>
      <c r="O96" s="14" t="s">
        <v>9158</v>
      </c>
      <c r="P96" s="14" t="s">
        <v>9158</v>
      </c>
      <c r="Q96" s="14" t="s">
        <v>9158</v>
      </c>
      <c r="R96" s="14"/>
    </row>
    <row r="97" spans="1:18">
      <c r="A97" s="9">
        <v>61353</v>
      </c>
      <c r="B97" s="14" t="s">
        <v>334</v>
      </c>
      <c r="C97" s="14" t="s">
        <v>203</v>
      </c>
      <c r="D97" s="14" t="s">
        <v>1199</v>
      </c>
      <c r="E97" s="15" t="str">
        <f>HYPERLINK("https://stat100.ameba.jp/tnk47/ratio20/illustrations/card/ill_61353_shinkidohimiko03.jpg?201905-1-RELEASE-raid-407", "■")</f>
        <v>■</v>
      </c>
      <c r="F97" s="14" t="s">
        <v>1200</v>
      </c>
      <c r="G97" s="14">
        <v>91779</v>
      </c>
      <c r="H97" s="14">
        <v>66487</v>
      </c>
      <c r="I97" s="14">
        <v>21</v>
      </c>
      <c r="J97" s="14" t="s">
        <v>10</v>
      </c>
      <c r="K97" s="14" t="s">
        <v>1201</v>
      </c>
      <c r="L97" s="14" t="s">
        <v>1202</v>
      </c>
      <c r="M97" s="14" t="s">
        <v>9158</v>
      </c>
      <c r="N97" s="14" t="s">
        <v>9158</v>
      </c>
      <c r="O97" s="14" t="s">
        <v>9158</v>
      </c>
      <c r="P97" s="14" t="s">
        <v>9158</v>
      </c>
      <c r="Q97" s="14" t="s">
        <v>9158</v>
      </c>
      <c r="R97" s="14"/>
    </row>
    <row r="98" spans="1:18">
      <c r="A98" s="9">
        <v>65623</v>
      </c>
      <c r="B98" s="14" t="s">
        <v>334</v>
      </c>
      <c r="C98" s="14" t="s">
        <v>209</v>
      </c>
      <c r="D98" s="14" t="s">
        <v>2490</v>
      </c>
      <c r="E98" s="15" t="str">
        <f>HYPERLINK("https://stat100.ameba.jp/tnk47/ratio20/illustrations/card/ill_65623_hosoyajudayu03.jpg?201905-1-RELEASE-raid-407", "■")</f>
        <v>■</v>
      </c>
      <c r="F98" s="14" t="s">
        <v>823</v>
      </c>
      <c r="G98" s="14">
        <v>139716</v>
      </c>
      <c r="H98" s="14">
        <v>101199</v>
      </c>
      <c r="I98" s="14">
        <v>21</v>
      </c>
      <c r="J98" s="14" t="s">
        <v>310</v>
      </c>
      <c r="K98" s="14" t="s">
        <v>824</v>
      </c>
      <c r="L98" s="14" t="s">
        <v>443</v>
      </c>
      <c r="M98" s="14" t="s">
        <v>9158</v>
      </c>
      <c r="N98" s="14" t="s">
        <v>9158</v>
      </c>
      <c r="O98" s="14" t="s">
        <v>9158</v>
      </c>
      <c r="P98" s="14" t="s">
        <v>9158</v>
      </c>
      <c r="Q98" s="14" t="s">
        <v>9158</v>
      </c>
      <c r="R98" s="14"/>
    </row>
    <row r="99" spans="1:18">
      <c r="A99" s="9">
        <v>64043</v>
      </c>
      <c r="B99" s="14" t="s">
        <v>334</v>
      </c>
      <c r="C99" s="14" t="s">
        <v>154</v>
      </c>
      <c r="D99" s="14" t="s">
        <v>2079</v>
      </c>
      <c r="E99" s="15" t="str">
        <f>HYPERLINK("https://stat100.ameba.jp/tnk47/ratio20/illustrations/card/ill_64043_kegonnotaki03.jpg?201905-1-RELEASE-raid-407", "■")</f>
        <v>■</v>
      </c>
      <c r="F99" s="14" t="s">
        <v>2080</v>
      </c>
      <c r="G99" s="14">
        <v>99889</v>
      </c>
      <c r="H99" s="14">
        <v>72356</v>
      </c>
      <c r="I99" s="14">
        <v>21</v>
      </c>
      <c r="J99" s="14" t="s">
        <v>26</v>
      </c>
      <c r="K99" s="14" t="s">
        <v>2081</v>
      </c>
      <c r="L99" s="14" t="s">
        <v>2082</v>
      </c>
      <c r="M99" s="14" t="s">
        <v>9158</v>
      </c>
      <c r="N99" s="14" t="s">
        <v>9158</v>
      </c>
      <c r="O99" s="9" t="s">
        <v>3578</v>
      </c>
      <c r="P99" s="14" t="s">
        <v>3579</v>
      </c>
      <c r="Q99" s="14">
        <v>1</v>
      </c>
      <c r="R99" s="14"/>
    </row>
    <row r="100" spans="1:18">
      <c r="A100" s="9">
        <v>65643</v>
      </c>
      <c r="B100" s="14" t="s">
        <v>0</v>
      </c>
      <c r="C100" s="14" t="s">
        <v>209</v>
      </c>
      <c r="D100" s="14" t="s">
        <v>1249</v>
      </c>
      <c r="E100" s="15" t="str">
        <f>HYPERLINK("https://stat100.ameba.jp/tnk47/ratio20/illustrations/card/ill_65643_shitompekamui03.jpg?201905-1-RELEASE-raid-407", "■")</f>
        <v>■</v>
      </c>
      <c r="F100" s="14" t="s">
        <v>1250</v>
      </c>
      <c r="G100" s="14">
        <v>69430</v>
      </c>
      <c r="H100" s="14">
        <v>95859</v>
      </c>
      <c r="I100" s="14">
        <v>21</v>
      </c>
      <c r="J100" s="14" t="s">
        <v>44</v>
      </c>
      <c r="K100" s="14" t="s">
        <v>1251</v>
      </c>
      <c r="L100" s="14" t="s">
        <v>1252</v>
      </c>
      <c r="M100" s="14" t="s">
        <v>9158</v>
      </c>
      <c r="N100" s="14" t="s">
        <v>9158</v>
      </c>
      <c r="O100" s="9" t="s">
        <v>3244</v>
      </c>
      <c r="P100" s="14" t="s">
        <v>3245</v>
      </c>
      <c r="Q100" s="14">
        <v>1</v>
      </c>
      <c r="R100" s="14"/>
    </row>
    <row r="101" spans="1:18">
      <c r="B101" s="14"/>
      <c r="C101" s="14"/>
      <c r="D101" s="14"/>
      <c r="F101" s="14"/>
      <c r="G101" s="14"/>
      <c r="H101" s="14"/>
      <c r="I101" s="14"/>
      <c r="J101" s="14"/>
      <c r="K101" s="14"/>
      <c r="L101" s="14"/>
      <c r="M101" s="14"/>
      <c r="N101" s="14"/>
      <c r="P101" s="14"/>
      <c r="Q101" s="14"/>
      <c r="R101" s="14"/>
    </row>
    <row r="102" spans="1:18">
      <c r="A102" s="14" t="s">
        <v>195</v>
      </c>
      <c r="D102" s="14"/>
      <c r="F102" s="14"/>
      <c r="G102" s="14"/>
      <c r="H102" s="14"/>
      <c r="I102" s="14"/>
      <c r="J102" s="14"/>
      <c r="K102" s="14"/>
      <c r="L102" s="14"/>
      <c r="M102" s="14"/>
      <c r="N102" s="14"/>
      <c r="P102" s="14"/>
      <c r="Q102" s="14"/>
      <c r="R102" s="14"/>
    </row>
    <row r="103" spans="1:18">
      <c r="A103" s="14" t="s">
        <v>4585</v>
      </c>
      <c r="B103" s="14"/>
      <c r="C103" s="14"/>
      <c r="D103" s="14"/>
      <c r="F103" s="14"/>
      <c r="G103" s="14"/>
      <c r="H103" s="14"/>
      <c r="I103" s="14"/>
      <c r="J103" s="14"/>
      <c r="K103" s="14"/>
      <c r="L103" s="14"/>
      <c r="M103" s="14"/>
      <c r="N103" s="14"/>
      <c r="P103" s="14"/>
      <c r="Q103" s="14"/>
      <c r="R103" s="14"/>
    </row>
    <row r="104" spans="1:18">
      <c r="A104" s="9">
        <v>66093</v>
      </c>
      <c r="B104" s="14" t="s">
        <v>0</v>
      </c>
      <c r="C104" s="14" t="s">
        <v>209</v>
      </c>
      <c r="D104" s="14" t="s">
        <v>1759</v>
      </c>
      <c r="E104" s="15" t="str">
        <f>HYPERLINK("https://stat100.ameba.jp/tnk47/ratio20/illustrations/card/ill_66093_sasanishiki03.jpg?201905-1-RELEASE-raid-407", "■")</f>
        <v>■</v>
      </c>
      <c r="F104" s="14" t="s">
        <v>1760</v>
      </c>
      <c r="G104" s="14">
        <v>94886</v>
      </c>
      <c r="H104" s="14">
        <v>88226</v>
      </c>
      <c r="I104" s="14">
        <v>22</v>
      </c>
      <c r="J104" s="14" t="s">
        <v>104</v>
      </c>
      <c r="K104" s="14" t="s">
        <v>1761</v>
      </c>
      <c r="L104" s="14" t="s">
        <v>1762</v>
      </c>
      <c r="M104" s="14" t="s">
        <v>9158</v>
      </c>
      <c r="N104" s="14" t="s">
        <v>9158</v>
      </c>
      <c r="O104" s="14" t="s">
        <v>9158</v>
      </c>
      <c r="P104" s="14" t="s">
        <v>9158</v>
      </c>
      <c r="Q104" s="14" t="s">
        <v>9158</v>
      </c>
      <c r="R104" s="14"/>
    </row>
    <row r="105" spans="1:18">
      <c r="A105" s="9">
        <v>66103</v>
      </c>
      <c r="B105" s="14" t="s">
        <v>0</v>
      </c>
      <c r="C105" s="14" t="s">
        <v>158</v>
      </c>
      <c r="D105" s="14" t="s">
        <v>1763</v>
      </c>
      <c r="E105" s="15" t="str">
        <f>HYPERLINK("https://stat100.ameba.jp/tnk47/ratio20/illustrations/card/ill_66103_kokentenno03.jpg?201905-1-RELEASE-raid-407", "■")</f>
        <v>■</v>
      </c>
      <c r="F105" s="14" t="s">
        <v>1764</v>
      </c>
      <c r="G105" s="14">
        <v>94886</v>
      </c>
      <c r="H105" s="14">
        <v>88226</v>
      </c>
      <c r="I105" s="14">
        <v>22</v>
      </c>
      <c r="J105" s="14" t="s">
        <v>77</v>
      </c>
      <c r="K105" s="14" t="s">
        <v>1765</v>
      </c>
      <c r="L105" s="14" t="s">
        <v>1766</v>
      </c>
      <c r="M105" s="14" t="s">
        <v>9158</v>
      </c>
      <c r="N105" s="14" t="s">
        <v>9158</v>
      </c>
      <c r="O105" s="14" t="s">
        <v>9158</v>
      </c>
      <c r="P105" s="14" t="s">
        <v>9158</v>
      </c>
      <c r="Q105" s="14" t="s">
        <v>9158</v>
      </c>
      <c r="R105" s="14"/>
    </row>
    <row r="106" spans="1:18">
      <c r="A106" s="9">
        <v>76483</v>
      </c>
      <c r="B106" s="14" t="s">
        <v>334</v>
      </c>
      <c r="C106" s="14" t="s">
        <v>307</v>
      </c>
      <c r="D106" s="14" t="s">
        <v>589</v>
      </c>
      <c r="E106" s="15" t="str">
        <f>HYPERLINK("https://stat100.ameba.jp/tnk47/ratio20/illustrations/card/ill_76483_yukemurimizuhanome03.jpg?201905-1-RELEASE-raid-407", "■")</f>
        <v>■</v>
      </c>
      <c r="F106" s="14" t="s">
        <v>590</v>
      </c>
      <c r="G106" s="14">
        <v>89736</v>
      </c>
      <c r="H106" s="14">
        <v>83426</v>
      </c>
      <c r="I106" s="14">
        <v>22</v>
      </c>
      <c r="J106" s="14" t="s">
        <v>401</v>
      </c>
      <c r="K106" s="14" t="s">
        <v>591</v>
      </c>
      <c r="L106" s="14" t="s">
        <v>592</v>
      </c>
      <c r="M106" s="14" t="s">
        <v>9158</v>
      </c>
      <c r="N106" s="14" t="s">
        <v>9158</v>
      </c>
      <c r="O106" s="14" t="s">
        <v>9158</v>
      </c>
      <c r="P106" s="14" t="s">
        <v>9158</v>
      </c>
      <c r="Q106" s="14" t="s">
        <v>9158</v>
      </c>
      <c r="R106" s="14"/>
    </row>
    <row r="107" spans="1:18">
      <c r="A107" s="9">
        <v>62153</v>
      </c>
      <c r="B107" s="14" t="s">
        <v>334</v>
      </c>
      <c r="C107" s="14" t="s">
        <v>205</v>
      </c>
      <c r="D107" s="14" t="s">
        <v>3127</v>
      </c>
      <c r="E107" s="15" t="str">
        <f>HYPERLINK("https://stat100.ameba.jp/tnk47/ratio20/illustrations/card/ill_62153_obentonekodanuki03.jpg?201905-1-RELEASE-raid-407", "■")</f>
        <v>■</v>
      </c>
      <c r="F107" s="14" t="s">
        <v>3128</v>
      </c>
      <c r="G107" s="14">
        <v>91664</v>
      </c>
      <c r="H107" s="14">
        <v>85246</v>
      </c>
      <c r="I107" s="14">
        <v>22</v>
      </c>
      <c r="J107" s="14" t="s">
        <v>320</v>
      </c>
      <c r="K107" s="14" t="s">
        <v>3129</v>
      </c>
      <c r="L107" s="14" t="s">
        <v>3130</v>
      </c>
      <c r="M107" s="14" t="s">
        <v>9158</v>
      </c>
      <c r="N107" s="14" t="s">
        <v>9158</v>
      </c>
      <c r="O107" s="14" t="s">
        <v>9158</v>
      </c>
      <c r="P107" s="14" t="s">
        <v>9158</v>
      </c>
      <c r="Q107" s="14" t="s">
        <v>9158</v>
      </c>
      <c r="R107" s="14"/>
    </row>
    <row r="108" spans="1:18">
      <c r="B108" s="14"/>
      <c r="C108" s="14"/>
      <c r="D108" s="14"/>
      <c r="F108" s="14"/>
      <c r="G108" s="14"/>
      <c r="H108" s="14"/>
      <c r="I108" s="14"/>
      <c r="J108" s="14"/>
      <c r="K108" s="14"/>
      <c r="L108" s="14"/>
      <c r="M108" s="14"/>
      <c r="N108" s="14"/>
      <c r="P108" s="14"/>
      <c r="Q108" s="14"/>
      <c r="R108" s="14"/>
    </row>
    <row r="109" spans="1:18">
      <c r="A109" s="14" t="s">
        <v>3643</v>
      </c>
      <c r="D109" s="14"/>
      <c r="F109" s="14"/>
      <c r="G109" s="14"/>
      <c r="H109" s="14"/>
      <c r="I109" s="14"/>
      <c r="J109" s="14"/>
      <c r="K109" s="14"/>
      <c r="L109" s="14"/>
      <c r="M109" s="14"/>
      <c r="N109" s="14"/>
      <c r="P109" s="14"/>
      <c r="Q109" s="14"/>
      <c r="R109" s="14"/>
    </row>
    <row r="110" spans="1:18">
      <c r="A110" s="14" t="s">
        <v>4586</v>
      </c>
      <c r="B110" s="14"/>
      <c r="C110" s="14"/>
      <c r="D110" s="14"/>
      <c r="F110" s="14"/>
      <c r="G110" s="14"/>
      <c r="H110" s="14"/>
      <c r="I110" s="14"/>
      <c r="J110" s="14"/>
      <c r="K110" s="14"/>
      <c r="L110" s="14"/>
      <c r="M110" s="14"/>
      <c r="N110" s="14"/>
      <c r="P110" s="14"/>
      <c r="Q110" s="14"/>
      <c r="R110" s="14"/>
    </row>
    <row r="111" spans="1:18">
      <c r="A111" s="9">
        <v>77575</v>
      </c>
      <c r="B111" s="14" t="s">
        <v>0</v>
      </c>
      <c r="C111" s="14" t="s">
        <v>202</v>
      </c>
      <c r="D111" s="14" t="s">
        <v>4587</v>
      </c>
      <c r="E111" s="15" t="str">
        <f>HYPERLINK("https://stat100.ameba.jp/tnk47/ratio20/illustrations/card/ill_77575_chayamusumewakaruhimenomikoto05.jpg?201905-2-RELEASE-unionbattle-408", "■")</f>
        <v>■</v>
      </c>
      <c r="F111" s="14" t="s">
        <v>4588</v>
      </c>
      <c r="G111" s="14">
        <v>103428</v>
      </c>
      <c r="H111" s="14">
        <v>74886</v>
      </c>
      <c r="I111" s="14">
        <v>22</v>
      </c>
      <c r="J111" s="14" t="s">
        <v>44</v>
      </c>
      <c r="K111" s="14" t="s">
        <v>4589</v>
      </c>
      <c r="L111" s="14" t="s">
        <v>3613</v>
      </c>
      <c r="M111" s="14" t="s">
        <v>9158</v>
      </c>
      <c r="N111" s="14" t="s">
        <v>9158</v>
      </c>
      <c r="O111" s="14" t="s">
        <v>9158</v>
      </c>
      <c r="P111" s="14" t="s">
        <v>9158</v>
      </c>
      <c r="Q111" s="14" t="s">
        <v>9158</v>
      </c>
      <c r="R111" s="14" t="s">
        <v>174</v>
      </c>
    </row>
    <row r="112" spans="1:18">
      <c r="A112" s="9">
        <v>77573</v>
      </c>
      <c r="B112" s="14" t="s">
        <v>15</v>
      </c>
      <c r="C112" s="14" t="s">
        <v>158</v>
      </c>
      <c r="D112" s="14" t="s">
        <v>4587</v>
      </c>
      <c r="E112" s="15" t="str">
        <f>HYPERLINK("https://stat100.ameba.jp/tnk47/ratio20/illustrations/card/ill_77573_chayamusumewakaruhimenomikoto03.jpg?201905-2-RELEASE-unionbattle-408", "■")</f>
        <v>■</v>
      </c>
      <c r="F112" s="14" t="s">
        <v>4588</v>
      </c>
      <c r="G112" s="14">
        <v>76196</v>
      </c>
      <c r="H112" s="14">
        <v>55170</v>
      </c>
      <c r="I112" s="14">
        <v>22</v>
      </c>
      <c r="J112" s="14" t="s">
        <v>44</v>
      </c>
      <c r="K112" s="14" t="s">
        <v>4589</v>
      </c>
      <c r="L112" s="14" t="s">
        <v>4590</v>
      </c>
      <c r="M112" s="14" t="s">
        <v>9158</v>
      </c>
      <c r="N112" s="14" t="s">
        <v>9158</v>
      </c>
      <c r="O112" s="14" t="s">
        <v>9158</v>
      </c>
      <c r="P112" s="14" t="s">
        <v>9158</v>
      </c>
      <c r="Q112" s="14" t="s">
        <v>9158</v>
      </c>
      <c r="R112" s="14" t="s">
        <v>175</v>
      </c>
    </row>
    <row r="113" spans="1:18">
      <c r="A113" s="9">
        <v>77571</v>
      </c>
      <c r="B113" s="14" t="s">
        <v>15</v>
      </c>
      <c r="C113" s="14" t="s">
        <v>158</v>
      </c>
      <c r="D113" s="14" t="s">
        <v>4587</v>
      </c>
      <c r="E113" s="15" t="str">
        <f>HYPERLINK("https://stat100.ameba.jp/tnk47/ratio20/illustrations/card/ill_77571_chayamusumewakaruhimenomikoto01.jpg?201905-2-RELEASE-unionbattle-408", "■")</f>
        <v>■</v>
      </c>
      <c r="F113" s="14" t="s">
        <v>4588</v>
      </c>
      <c r="G113" s="14">
        <v>48466</v>
      </c>
      <c r="H113" s="14">
        <v>35090</v>
      </c>
      <c r="I113" s="14">
        <v>22</v>
      </c>
      <c r="J113" s="14" t="s">
        <v>44</v>
      </c>
      <c r="K113" s="14" t="s">
        <v>4589</v>
      </c>
      <c r="L113" s="14" t="s">
        <v>4591</v>
      </c>
      <c r="M113" s="14" t="s">
        <v>9158</v>
      </c>
      <c r="N113" s="14" t="s">
        <v>9158</v>
      </c>
      <c r="O113" s="14" t="s">
        <v>9158</v>
      </c>
      <c r="P113" s="14" t="s">
        <v>9158</v>
      </c>
      <c r="Q113" s="14" t="s">
        <v>9158</v>
      </c>
      <c r="R113" s="14" t="s">
        <v>176</v>
      </c>
    </row>
    <row r="114" spans="1:18">
      <c r="A114" s="9">
        <v>75045</v>
      </c>
      <c r="B114" s="14" t="s">
        <v>0</v>
      </c>
      <c r="C114" s="14" t="s">
        <v>202</v>
      </c>
      <c r="D114" s="14" t="s">
        <v>4592</v>
      </c>
      <c r="E114" s="15" t="str">
        <f>HYPERLINK("https://stat100.ameba.jp/tnk47/ratio20/illustrations/card/ill_75045_yamazakikataie05.jpg?201905-2-RELEASE-unionbattle-408", "■")</f>
        <v>■</v>
      </c>
      <c r="F114" s="14" t="s">
        <v>4593</v>
      </c>
      <c r="G114" s="14">
        <v>157434</v>
      </c>
      <c r="H114" s="14">
        <v>113992</v>
      </c>
      <c r="I114" s="14">
        <v>22</v>
      </c>
      <c r="J114" s="14" t="s">
        <v>143</v>
      </c>
      <c r="K114" s="14" t="s">
        <v>4594</v>
      </c>
      <c r="L114" s="14" t="s">
        <v>145</v>
      </c>
      <c r="M114" s="14" t="s">
        <v>9158</v>
      </c>
      <c r="N114" s="14" t="s">
        <v>9158</v>
      </c>
      <c r="O114" s="14" t="s">
        <v>9158</v>
      </c>
      <c r="P114" s="14" t="s">
        <v>9158</v>
      </c>
      <c r="Q114" s="14" t="s">
        <v>9158</v>
      </c>
      <c r="R114" s="14" t="s">
        <v>174</v>
      </c>
    </row>
    <row r="115" spans="1:18">
      <c r="A115" s="9">
        <v>75043</v>
      </c>
      <c r="B115" s="14" t="s">
        <v>15</v>
      </c>
      <c r="C115" s="14" t="s">
        <v>158</v>
      </c>
      <c r="D115" s="14" t="s">
        <v>4592</v>
      </c>
      <c r="E115" s="15" t="str">
        <f>HYPERLINK("https://stat100.ameba.jp/tnk47/ratio20/illustrations/card/ill_75043_yamazakikataie03.jpg?201905-2-RELEASE-unionbattle-408", "■")</f>
        <v>■</v>
      </c>
      <c r="F115" s="14" t="s">
        <v>4593</v>
      </c>
      <c r="G115" s="14">
        <v>115996</v>
      </c>
      <c r="H115" s="14">
        <v>83986</v>
      </c>
      <c r="I115" s="14">
        <v>22</v>
      </c>
      <c r="J115" s="14" t="s">
        <v>143</v>
      </c>
      <c r="K115" s="14" t="s">
        <v>4594</v>
      </c>
      <c r="L115" s="14" t="s">
        <v>3647</v>
      </c>
      <c r="M115" s="14" t="s">
        <v>9158</v>
      </c>
      <c r="N115" s="14" t="s">
        <v>9158</v>
      </c>
      <c r="O115" s="14" t="s">
        <v>9158</v>
      </c>
      <c r="P115" s="14" t="s">
        <v>9158</v>
      </c>
      <c r="Q115" s="14" t="s">
        <v>9158</v>
      </c>
      <c r="R115" s="14" t="s">
        <v>175</v>
      </c>
    </row>
    <row r="116" spans="1:18">
      <c r="A116" s="9">
        <v>75041</v>
      </c>
      <c r="B116" s="14" t="s">
        <v>15</v>
      </c>
      <c r="C116" s="14" t="s">
        <v>158</v>
      </c>
      <c r="D116" s="14" t="s">
        <v>4592</v>
      </c>
      <c r="E116" s="15" t="str">
        <f>HYPERLINK("https://stat100.ameba.jp/tnk47/ratio20/illustrations/card/ill_75041_yamazakikataie01.jpg?201905-2-RELEASE-unionbattle-408", "■")</f>
        <v>■</v>
      </c>
      <c r="F116" s="14" t="s">
        <v>4593</v>
      </c>
      <c r="G116" s="14">
        <v>73788</v>
      </c>
      <c r="H116" s="14">
        <v>53438</v>
      </c>
      <c r="I116" s="14">
        <v>22</v>
      </c>
      <c r="J116" s="14" t="s">
        <v>143</v>
      </c>
      <c r="K116" s="14" t="s">
        <v>4594</v>
      </c>
      <c r="L116" s="14" t="s">
        <v>3648</v>
      </c>
      <c r="M116" s="14" t="s">
        <v>9158</v>
      </c>
      <c r="N116" s="14" t="s">
        <v>9158</v>
      </c>
      <c r="O116" s="14" t="s">
        <v>9158</v>
      </c>
      <c r="P116" s="14" t="s">
        <v>9158</v>
      </c>
      <c r="Q116" s="14" t="s">
        <v>9158</v>
      </c>
      <c r="R116" s="14" t="s">
        <v>176</v>
      </c>
    </row>
    <row r="117" spans="1:18">
      <c r="A117" s="9">
        <v>64855</v>
      </c>
      <c r="B117" s="14" t="s">
        <v>0</v>
      </c>
      <c r="C117" s="14" t="s">
        <v>202</v>
      </c>
      <c r="D117" s="14" t="s">
        <v>4595</v>
      </c>
      <c r="E117" s="15" t="str">
        <f>HYPERLINK("https://stat100.ameba.jp/tnk47/ratio20/illustrations/card/ill_64855_janomegasa05.jpg?201905-2-RELEASE-unionbattle-408", "■")</f>
        <v>■</v>
      </c>
      <c r="F117" s="14" t="s">
        <v>4596</v>
      </c>
      <c r="G117" s="14">
        <v>79912</v>
      </c>
      <c r="H117" s="14">
        <v>110348</v>
      </c>
      <c r="I117" s="14">
        <v>22</v>
      </c>
      <c r="J117" s="14" t="s">
        <v>73</v>
      </c>
      <c r="K117" s="14" t="s">
        <v>4597</v>
      </c>
      <c r="L117" s="14" t="s">
        <v>1256</v>
      </c>
      <c r="M117" s="14" t="s">
        <v>9158</v>
      </c>
      <c r="N117" s="14" t="s">
        <v>9158</v>
      </c>
      <c r="O117" s="14" t="s">
        <v>9158</v>
      </c>
      <c r="P117" s="14" t="s">
        <v>9158</v>
      </c>
      <c r="Q117" s="14" t="s">
        <v>9158</v>
      </c>
      <c r="R117" s="14" t="s">
        <v>174</v>
      </c>
    </row>
    <row r="118" spans="1:18">
      <c r="A118" s="9">
        <v>64853</v>
      </c>
      <c r="B118" s="14" t="s">
        <v>15</v>
      </c>
      <c r="C118" s="14" t="s">
        <v>154</v>
      </c>
      <c r="D118" s="14" t="s">
        <v>4595</v>
      </c>
      <c r="E118" s="15" t="str">
        <f>HYPERLINK("https://stat100.ameba.jp/tnk47/ratio20/illustrations/card/ill_64853_janomegasa03.jpg?201905-2-RELEASE-unionbattle-408", "■")</f>
        <v>■</v>
      </c>
      <c r="F118" s="14" t="s">
        <v>4596</v>
      </c>
      <c r="G118" s="14">
        <v>58868</v>
      </c>
      <c r="H118" s="14">
        <v>81316</v>
      </c>
      <c r="I118" s="14">
        <v>22</v>
      </c>
      <c r="J118" s="14" t="s">
        <v>73</v>
      </c>
      <c r="K118" s="14" t="s">
        <v>4597</v>
      </c>
      <c r="L118" s="14" t="s">
        <v>4598</v>
      </c>
      <c r="M118" s="14" t="s">
        <v>9158</v>
      </c>
      <c r="N118" s="14" t="s">
        <v>9158</v>
      </c>
      <c r="O118" s="14" t="s">
        <v>9158</v>
      </c>
      <c r="P118" s="14" t="s">
        <v>9158</v>
      </c>
      <c r="Q118" s="14" t="s">
        <v>9158</v>
      </c>
      <c r="R118" s="14" t="s">
        <v>175</v>
      </c>
    </row>
    <row r="119" spans="1:18">
      <c r="A119" s="9">
        <v>64851</v>
      </c>
      <c r="B119" s="14" t="s">
        <v>15</v>
      </c>
      <c r="C119" s="14" t="s">
        <v>154</v>
      </c>
      <c r="D119" s="14" t="s">
        <v>4595</v>
      </c>
      <c r="E119" s="15" t="str">
        <f>HYPERLINK("https://stat100.ameba.jp/tnk47/ratio20/illustrations/card/ill_64851_janomegasa01.jpg?201905-2-RELEASE-unionbattle-408", "■")</f>
        <v>■</v>
      </c>
      <c r="F119" s="14" t="s">
        <v>4596</v>
      </c>
      <c r="G119" s="14">
        <v>37444</v>
      </c>
      <c r="H119" s="14">
        <v>51722</v>
      </c>
      <c r="I119" s="14">
        <v>22</v>
      </c>
      <c r="J119" s="14" t="s">
        <v>73</v>
      </c>
      <c r="K119" s="14" t="s">
        <v>4597</v>
      </c>
      <c r="L119" s="14" t="s">
        <v>4599</v>
      </c>
      <c r="M119" s="14" t="s">
        <v>9158</v>
      </c>
      <c r="N119" s="14" t="s">
        <v>9158</v>
      </c>
      <c r="O119" s="14" t="s">
        <v>9158</v>
      </c>
      <c r="P119" s="14" t="s">
        <v>9158</v>
      </c>
      <c r="Q119" s="14" t="s">
        <v>9158</v>
      </c>
      <c r="R119" s="14" t="s">
        <v>176</v>
      </c>
    </row>
    <row r="120" spans="1:18">
      <c r="B120" s="14"/>
      <c r="C120" s="14"/>
      <c r="D120" s="14"/>
      <c r="F120" s="14"/>
      <c r="G120" s="14"/>
      <c r="H120" s="14"/>
      <c r="I120" s="14"/>
      <c r="J120" s="14"/>
      <c r="K120" s="14"/>
      <c r="L120" s="14"/>
      <c r="M120" s="14"/>
      <c r="N120" s="14"/>
      <c r="P120" s="14"/>
      <c r="Q120" s="14"/>
      <c r="R120" s="14"/>
    </row>
    <row r="121" spans="1:18">
      <c r="A121" s="14" t="s">
        <v>2695</v>
      </c>
      <c r="D121" s="14"/>
      <c r="F121" s="14"/>
      <c r="G121" s="14"/>
      <c r="H121" s="14"/>
      <c r="I121" s="14"/>
      <c r="J121" s="14"/>
      <c r="K121" s="14"/>
      <c r="L121" s="14"/>
      <c r="M121" s="14"/>
      <c r="N121" s="14"/>
      <c r="P121" s="14"/>
      <c r="Q121" s="14"/>
      <c r="R121" s="14"/>
    </row>
    <row r="122" spans="1:18">
      <c r="A122" s="14" t="s">
        <v>4600</v>
      </c>
      <c r="B122" s="14"/>
      <c r="C122" s="14"/>
      <c r="D122" s="14"/>
      <c r="F122" s="14"/>
      <c r="G122" s="14"/>
      <c r="H122" s="14"/>
      <c r="I122" s="14"/>
      <c r="J122" s="14"/>
      <c r="K122" s="14"/>
      <c r="L122" s="14"/>
      <c r="M122" s="14"/>
      <c r="N122" s="14"/>
      <c r="P122" s="14"/>
      <c r="Q122" s="14"/>
      <c r="R122" s="14"/>
    </row>
    <row r="123" spans="1:18">
      <c r="A123" s="9" t="s">
        <v>5607</v>
      </c>
      <c r="B123" s="14" t="s">
        <v>330</v>
      </c>
      <c r="C123" s="14" t="s">
        <v>271</v>
      </c>
      <c r="D123" s="14" t="s">
        <v>421</v>
      </c>
      <c r="E123" s="15" t="str">
        <f>HYPERLINK("https://stat100.ameba.jp/tnk47/ratio20/illustrations/card/ill_58853_0_setsubumpanikkuhiratsukaraicho03.jpg?201905-2-RELEASE-unionbattle-408", "■")</f>
        <v>■</v>
      </c>
      <c r="F123" s="14" t="s">
        <v>422</v>
      </c>
      <c r="G123" s="14">
        <v>94236</v>
      </c>
      <c r="H123" s="14">
        <v>83712</v>
      </c>
      <c r="I123" s="14">
        <v>15</v>
      </c>
      <c r="J123" s="14" t="s">
        <v>414</v>
      </c>
      <c r="K123" s="14" t="s">
        <v>423</v>
      </c>
      <c r="L123" s="14" t="s">
        <v>424</v>
      </c>
      <c r="M123" s="14" t="s">
        <v>9158</v>
      </c>
      <c r="N123" s="14" t="s">
        <v>9158</v>
      </c>
      <c r="O123" s="17" t="s">
        <v>10059</v>
      </c>
      <c r="P123" s="14" t="s">
        <v>2870</v>
      </c>
      <c r="Q123" s="14">
        <v>1</v>
      </c>
      <c r="R123" s="14"/>
    </row>
    <row r="124" spans="1:18">
      <c r="A124" s="9" t="s">
        <v>5719</v>
      </c>
      <c r="B124" s="14" t="s">
        <v>52</v>
      </c>
      <c r="C124" s="14" t="s">
        <v>165</v>
      </c>
      <c r="D124" s="14" t="s">
        <v>1772</v>
      </c>
      <c r="E124" s="15" t="str">
        <f>HYPERLINK("https://stat100.ameba.jp/tnk47/ratio20/illustrations/card/ill_54523_0_yonshunennionohime03.jpg?201905-2-RELEASE-unionbattle-408", "■")</f>
        <v>■</v>
      </c>
      <c r="F124" s="14" t="s">
        <v>1773</v>
      </c>
      <c r="G124" s="14">
        <v>83712</v>
      </c>
      <c r="H124" s="14">
        <v>94236</v>
      </c>
      <c r="I124" s="14">
        <v>15</v>
      </c>
      <c r="J124" s="14" t="s">
        <v>38</v>
      </c>
      <c r="K124" s="14" t="s">
        <v>1774</v>
      </c>
      <c r="L124" s="14" t="s">
        <v>1775</v>
      </c>
      <c r="M124" s="14" t="s">
        <v>9158</v>
      </c>
      <c r="N124" s="14" t="s">
        <v>9158</v>
      </c>
      <c r="O124" s="9" t="s">
        <v>3576</v>
      </c>
      <c r="P124" s="14" t="s">
        <v>13168</v>
      </c>
      <c r="Q124" s="14">
        <v>1</v>
      </c>
      <c r="R124" s="14"/>
    </row>
    <row r="125" spans="1:18">
      <c r="A125" s="9" t="s">
        <v>5721</v>
      </c>
      <c r="B125" s="14" t="s">
        <v>330</v>
      </c>
      <c r="C125" s="14" t="s">
        <v>205</v>
      </c>
      <c r="D125" s="14" t="s">
        <v>1715</v>
      </c>
      <c r="E125" s="15" t="str">
        <f>HYPERLINK("https://stat100.ameba.jp/tnk47/ratio20/illustrations/card/ill_44283_0_izumonokuni03.jpg?201905-2-RELEASE-unionbattle-408", "■")</f>
        <v>■</v>
      </c>
      <c r="F125" s="14" t="s">
        <v>514</v>
      </c>
      <c r="G125" s="14">
        <v>87780</v>
      </c>
      <c r="H125" s="14">
        <v>82212</v>
      </c>
      <c r="I125" s="14">
        <v>15</v>
      </c>
      <c r="J125" s="14" t="s">
        <v>159</v>
      </c>
      <c r="K125" s="14" t="s">
        <v>1717</v>
      </c>
      <c r="L125" s="14" t="s">
        <v>516</v>
      </c>
      <c r="M125" s="14" t="s">
        <v>9158</v>
      </c>
      <c r="N125" s="14" t="s">
        <v>9158</v>
      </c>
      <c r="O125" s="14" t="s">
        <v>9158</v>
      </c>
      <c r="P125" s="14" t="s">
        <v>9158</v>
      </c>
      <c r="Q125" s="14" t="s">
        <v>9158</v>
      </c>
      <c r="R125" s="14"/>
    </row>
    <row r="126" spans="1:18">
      <c r="A126" s="9">
        <v>60803</v>
      </c>
      <c r="B126" s="14" t="s">
        <v>334</v>
      </c>
      <c r="C126" s="14" t="s">
        <v>191</v>
      </c>
      <c r="D126" s="14" t="s">
        <v>4601</v>
      </c>
      <c r="E126" s="15" t="str">
        <f>HYPERLINK("https://stat100.ameba.jp/tnk47/ratio20/illustrations/card/ill_60803_intonkonohatengu03.jpg?201905-2-RELEASE-unionbattle-408", "■")</f>
        <v>■</v>
      </c>
      <c r="F126" s="14" t="s">
        <v>4602</v>
      </c>
      <c r="G126" s="14">
        <v>95830</v>
      </c>
      <c r="H126" s="14">
        <v>89121</v>
      </c>
      <c r="I126" s="14">
        <v>23</v>
      </c>
      <c r="J126" s="14" t="s">
        <v>73</v>
      </c>
      <c r="K126" s="14" t="s">
        <v>4603</v>
      </c>
      <c r="L126" s="14" t="s">
        <v>4604</v>
      </c>
      <c r="M126" s="14" t="s">
        <v>9158</v>
      </c>
      <c r="N126" s="14" t="s">
        <v>9158</v>
      </c>
      <c r="O126" s="14" t="s">
        <v>9158</v>
      </c>
      <c r="P126" s="14" t="s">
        <v>9158</v>
      </c>
      <c r="Q126" s="14" t="s">
        <v>9158</v>
      </c>
      <c r="R126" s="14"/>
    </row>
    <row r="127" spans="1:18">
      <c r="A127" s="9">
        <v>74143</v>
      </c>
      <c r="B127" s="14" t="s">
        <v>334</v>
      </c>
      <c r="C127" s="14" t="s">
        <v>206</v>
      </c>
      <c r="D127" s="14" t="s">
        <v>4605</v>
      </c>
      <c r="E127" s="15" t="str">
        <f>HYPERLINK("https://stat100.ameba.jp/tnk47/ratio20/illustrations/card/ill_74143_sasagitsune03.jpg?201905-2-RELEASE-unionbattle-408", "■")</f>
        <v>■</v>
      </c>
      <c r="F127" s="14" t="s">
        <v>4605</v>
      </c>
      <c r="G127" s="14">
        <v>97420</v>
      </c>
      <c r="H127" s="14">
        <v>104964</v>
      </c>
      <c r="I127" s="14">
        <v>23</v>
      </c>
      <c r="J127" s="14" t="s">
        <v>38</v>
      </c>
      <c r="K127" s="14" t="s">
        <v>4606</v>
      </c>
      <c r="L127" s="14" t="s">
        <v>1934</v>
      </c>
      <c r="M127" s="14" t="s">
        <v>9158</v>
      </c>
      <c r="N127" s="14" t="s">
        <v>9158</v>
      </c>
      <c r="O127" s="14" t="s">
        <v>9158</v>
      </c>
      <c r="P127" s="14" t="s">
        <v>9158</v>
      </c>
      <c r="Q127" s="14" t="s">
        <v>9158</v>
      </c>
      <c r="R127" s="14"/>
    </row>
    <row r="128" spans="1:18">
      <c r="A128" s="9">
        <v>75093</v>
      </c>
      <c r="B128" s="14" t="s">
        <v>334</v>
      </c>
      <c r="C128" s="14" t="s">
        <v>158</v>
      </c>
      <c r="D128" s="14" t="s">
        <v>2613</v>
      </c>
      <c r="E128" s="15" t="str">
        <f>HYPERLINK("https://stat100.ameba.jp/tnk47/ratio20/illustrations/card/ill_75093_hangonko03.jpg?201905-2-RELEASE-unionbattle-408", "■")</f>
        <v>■</v>
      </c>
      <c r="F128" s="14" t="s">
        <v>2614</v>
      </c>
      <c r="G128" s="14">
        <v>121572</v>
      </c>
      <c r="H128" s="14">
        <v>88047</v>
      </c>
      <c r="I128" s="14">
        <v>23</v>
      </c>
      <c r="J128" s="14" t="s">
        <v>44</v>
      </c>
      <c r="K128" s="14" t="s">
        <v>2615</v>
      </c>
      <c r="L128" s="14" t="s">
        <v>1108</v>
      </c>
      <c r="M128" s="14" t="s">
        <v>9158</v>
      </c>
      <c r="N128" s="14" t="s">
        <v>9158</v>
      </c>
      <c r="O128" s="9" t="s">
        <v>3414</v>
      </c>
      <c r="P128" s="14" t="s">
        <v>13122</v>
      </c>
      <c r="Q128" s="14">
        <v>1</v>
      </c>
      <c r="R128" s="14"/>
    </row>
    <row r="129" spans="1:18">
      <c r="B129" s="14"/>
      <c r="C129" s="14"/>
      <c r="D129" s="14"/>
      <c r="F129" s="14"/>
      <c r="G129" s="14"/>
      <c r="H129" s="14"/>
      <c r="I129" s="14"/>
      <c r="J129" s="14"/>
      <c r="K129" s="14"/>
      <c r="L129" s="14"/>
      <c r="M129" s="14"/>
      <c r="N129" s="14"/>
      <c r="P129" s="14"/>
      <c r="Q129" s="14"/>
      <c r="R129" s="14"/>
    </row>
    <row r="130" spans="1:18">
      <c r="A130" s="14" t="s">
        <v>4607</v>
      </c>
      <c r="D130" s="14"/>
      <c r="F130" s="14"/>
      <c r="G130" s="14"/>
      <c r="H130" s="14"/>
      <c r="I130" s="14"/>
      <c r="J130" s="14"/>
      <c r="K130" s="14"/>
      <c r="L130" s="14"/>
      <c r="M130" s="14"/>
      <c r="N130" s="14"/>
      <c r="P130" s="14"/>
      <c r="Q130" s="14"/>
      <c r="R130" s="14"/>
    </row>
    <row r="131" spans="1:18">
      <c r="A131" s="14" t="s">
        <v>11491</v>
      </c>
      <c r="B131" s="14"/>
      <c r="C131" s="14"/>
      <c r="D131" s="14"/>
      <c r="F131" s="14"/>
      <c r="G131" s="14"/>
      <c r="H131" s="14"/>
      <c r="I131" s="14"/>
      <c r="J131" s="14"/>
      <c r="K131" s="14"/>
      <c r="L131" s="14"/>
      <c r="M131" s="14"/>
      <c r="N131" s="14"/>
      <c r="P131" s="14"/>
      <c r="Q131" s="14"/>
      <c r="R131" s="14"/>
    </row>
    <row r="132" spans="1:18">
      <c r="A132" s="14" t="s">
        <v>11490</v>
      </c>
      <c r="B132" s="14"/>
      <c r="C132" s="14"/>
      <c r="D132" s="14"/>
      <c r="F132" s="14"/>
      <c r="G132" s="14"/>
      <c r="H132" s="14"/>
      <c r="I132" s="14"/>
      <c r="J132" s="14"/>
      <c r="K132" s="14"/>
      <c r="L132" s="14"/>
      <c r="M132" s="14"/>
      <c r="N132" s="14"/>
      <c r="P132" s="14"/>
      <c r="Q132" s="14"/>
      <c r="R132" s="14"/>
    </row>
    <row r="133" spans="1:18">
      <c r="A133" s="9" t="s">
        <v>5619</v>
      </c>
      <c r="B133" s="14" t="s">
        <v>330</v>
      </c>
      <c r="C133" s="14" t="s">
        <v>202</v>
      </c>
      <c r="D133" s="14" t="s">
        <v>4504</v>
      </c>
      <c r="E133" s="15" t="str">
        <f>HYPERLINK("https://stat100.ameba.jp/tnk47/ratio20/illustrations/card/ill_81183_0_shinryokunokisetsuamaterasu03.jpg?201905-2-RELEASE-unionbattle-408", "■")</f>
        <v>■</v>
      </c>
      <c r="F133" s="14" t="s">
        <v>4505</v>
      </c>
      <c r="G133" s="14">
        <v>157575</v>
      </c>
      <c r="H133" s="14">
        <v>174365</v>
      </c>
      <c r="I133" s="14">
        <v>15</v>
      </c>
      <c r="J133" s="14" t="s">
        <v>44</v>
      </c>
      <c r="K133" s="14" t="s">
        <v>4506</v>
      </c>
      <c r="L133" s="14" t="s">
        <v>4507</v>
      </c>
      <c r="M133" s="14" t="s">
        <v>9158</v>
      </c>
      <c r="N133" s="14" t="s">
        <v>9158</v>
      </c>
      <c r="O133" s="9" t="s">
        <v>4508</v>
      </c>
      <c r="P133" s="14" t="s">
        <v>4509</v>
      </c>
      <c r="Q133" s="14">
        <v>0</v>
      </c>
      <c r="R133" s="14"/>
    </row>
    <row r="134" spans="1:18">
      <c r="A134" s="9">
        <v>81373</v>
      </c>
      <c r="B134" s="14" t="s">
        <v>0</v>
      </c>
      <c r="C134" s="14" t="s">
        <v>165</v>
      </c>
      <c r="D134" s="14" t="s">
        <v>4608</v>
      </c>
      <c r="E134" s="15" t="str">
        <f>HYPERLINK("https://stat100.ameba.jp/tnk47/ratio20/illustrations/card/ill_81373_hakatadontakuhayamisosei03.jpg?201905-2-RELEASE-unionbattle-408", "■")</f>
        <v>■</v>
      </c>
      <c r="F134" s="14" t="s">
        <v>4610</v>
      </c>
      <c r="G134" s="14">
        <v>83499</v>
      </c>
      <c r="H134" s="14">
        <v>89839</v>
      </c>
      <c r="I134" s="14">
        <v>23</v>
      </c>
      <c r="J134" s="14" t="s">
        <v>10</v>
      </c>
      <c r="K134" s="14" t="s">
        <v>4611</v>
      </c>
      <c r="L134" s="14" t="s">
        <v>4612</v>
      </c>
      <c r="M134" s="14" t="s">
        <v>9158</v>
      </c>
      <c r="N134" s="14" t="s">
        <v>9158</v>
      </c>
      <c r="O134" s="14" t="s">
        <v>9158</v>
      </c>
      <c r="P134" s="14" t="s">
        <v>9158</v>
      </c>
      <c r="Q134" s="14" t="s">
        <v>9158</v>
      </c>
      <c r="R134" s="14"/>
    </row>
    <row r="135" spans="1:18">
      <c r="A135" s="9">
        <v>81383</v>
      </c>
      <c r="B135" s="14" t="s">
        <v>15</v>
      </c>
      <c r="C135" s="14" t="s">
        <v>206</v>
      </c>
      <c r="D135" s="14" t="s">
        <v>4613</v>
      </c>
      <c r="E135" s="15" t="str">
        <f>HYPERLINK("https://stat100.ameba.jp/tnk47/ratio20/illustrations/card/ill_81383_hakatadontaku03.jpg?201905-2-RELEASE-unionbattle-408", "■")</f>
        <v>■</v>
      </c>
      <c r="F135" s="14" t="s">
        <v>4614</v>
      </c>
      <c r="G135" s="14">
        <v>65208</v>
      </c>
      <c r="H135" s="14">
        <v>59144</v>
      </c>
      <c r="I135" s="14">
        <v>22</v>
      </c>
      <c r="J135" s="14" t="s">
        <v>26</v>
      </c>
      <c r="K135" s="14" t="s">
        <v>4615</v>
      </c>
      <c r="L135" s="14" t="s">
        <v>2011</v>
      </c>
      <c r="M135" s="14" t="s">
        <v>9158</v>
      </c>
      <c r="N135" s="14" t="s">
        <v>9158</v>
      </c>
      <c r="O135" s="14" t="s">
        <v>9158</v>
      </c>
      <c r="P135" s="14" t="s">
        <v>9158</v>
      </c>
      <c r="Q135" s="14" t="s">
        <v>9158</v>
      </c>
      <c r="R135" s="14"/>
    </row>
    <row r="136" spans="1:18">
      <c r="A136" s="9">
        <v>81393</v>
      </c>
      <c r="B136" s="14" t="s">
        <v>22</v>
      </c>
      <c r="C136" s="14" t="s">
        <v>200</v>
      </c>
      <c r="D136" s="14" t="s">
        <v>4616</v>
      </c>
      <c r="E136" s="15" t="str">
        <f>HYPERLINK("https://stat100.ameba.jp/tnk47/ratio20/illustrations/card/ill_81393_zenhanshiromatsuriohisanokata03.jpg?201905-2-RELEASE-unionbattle-408", "■")</f>
        <v>■</v>
      </c>
      <c r="F136" s="14" t="s">
        <v>4617</v>
      </c>
      <c r="G136" s="14">
        <v>36304</v>
      </c>
      <c r="H136" s="14">
        <v>43662</v>
      </c>
      <c r="I136" s="14">
        <v>21</v>
      </c>
      <c r="J136" s="14" t="s">
        <v>77</v>
      </c>
      <c r="K136" s="14" t="s">
        <v>4618</v>
      </c>
      <c r="L136" s="14" t="s">
        <v>2424</v>
      </c>
      <c r="M136" s="14" t="s">
        <v>9158</v>
      </c>
      <c r="N136" s="14" t="s">
        <v>9158</v>
      </c>
      <c r="O136" s="14" t="s">
        <v>9158</v>
      </c>
      <c r="P136" s="14" t="s">
        <v>9158</v>
      </c>
      <c r="Q136" s="14" t="s">
        <v>9158</v>
      </c>
      <c r="R136" s="14"/>
    </row>
    <row r="137" spans="1:18">
      <c r="A137" s="9">
        <v>81403</v>
      </c>
      <c r="B137" s="14" t="s">
        <v>30</v>
      </c>
      <c r="C137" s="14" t="s">
        <v>4609</v>
      </c>
      <c r="D137" s="14" t="s">
        <v>4619</v>
      </c>
      <c r="E137" s="15" t="str">
        <f>HYPERLINK("https://stat100.ameba.jp/tnk47/ratio20/illustrations/card/ill_81403_gameni03.jpg?201905-2-RELEASE-unionbattle-408", "■")</f>
        <v>■</v>
      </c>
      <c r="F137" s="14" t="s">
        <v>4620</v>
      </c>
      <c r="G137" s="14">
        <v>26434</v>
      </c>
      <c r="H137" s="14">
        <v>22200</v>
      </c>
      <c r="I137" s="14">
        <v>21</v>
      </c>
      <c r="J137" s="14" t="s">
        <v>104</v>
      </c>
      <c r="K137" s="14" t="s">
        <v>4621</v>
      </c>
      <c r="L137" s="14" t="s">
        <v>4233</v>
      </c>
      <c r="M137" s="14" t="s">
        <v>9158</v>
      </c>
      <c r="N137" s="14" t="s">
        <v>9158</v>
      </c>
      <c r="O137" s="14" t="s">
        <v>9158</v>
      </c>
      <c r="P137" s="14" t="s">
        <v>9158</v>
      </c>
      <c r="Q137" s="14" t="s">
        <v>9158</v>
      </c>
      <c r="R137" s="14"/>
    </row>
    <row r="138" spans="1:18">
      <c r="B138" s="14"/>
      <c r="C138" s="14"/>
      <c r="D138" s="14"/>
      <c r="F138" s="14"/>
      <c r="G138" s="14"/>
      <c r="H138" s="14"/>
      <c r="I138" s="14"/>
      <c r="J138" s="14"/>
      <c r="K138" s="14"/>
      <c r="L138" s="14"/>
      <c r="M138" s="14"/>
      <c r="N138" s="14"/>
      <c r="P138" s="14"/>
      <c r="Q138" s="14"/>
      <c r="R138" s="14"/>
    </row>
    <row r="139" spans="1:18">
      <c r="A139" s="14" t="s">
        <v>3844</v>
      </c>
      <c r="D139" s="14"/>
      <c r="F139" s="14"/>
      <c r="G139" s="14"/>
      <c r="H139" s="14"/>
      <c r="I139" s="14"/>
      <c r="J139" s="14"/>
      <c r="K139" s="14"/>
      <c r="L139" s="14"/>
      <c r="M139" s="14"/>
      <c r="N139" s="14"/>
      <c r="P139" s="14"/>
      <c r="Q139" s="14"/>
      <c r="R139" s="14"/>
    </row>
    <row r="140" spans="1:18">
      <c r="A140" s="14" t="s">
        <v>4622</v>
      </c>
      <c r="B140" s="14"/>
      <c r="C140" s="14"/>
      <c r="D140" s="14"/>
      <c r="F140" s="14"/>
      <c r="G140" s="14"/>
      <c r="H140" s="14"/>
      <c r="I140" s="14"/>
      <c r="J140" s="14"/>
      <c r="K140" s="14"/>
      <c r="L140" s="14"/>
      <c r="M140" s="14"/>
      <c r="N140" s="14"/>
      <c r="P140" s="14"/>
      <c r="Q140" s="14"/>
      <c r="R140" s="14"/>
    </row>
    <row r="141" spans="1:18">
      <c r="A141" s="9" t="s">
        <v>5650</v>
      </c>
      <c r="B141" s="14" t="s">
        <v>52</v>
      </c>
      <c r="C141" s="14" t="s">
        <v>200</v>
      </c>
      <c r="D141" s="14" t="s">
        <v>136</v>
      </c>
      <c r="E141" s="15" t="str">
        <f>HYPERLINK("https://stat100.ameba.jp/tnk47/ratio20/illustrations/card/ill_68033_0_kurisumasupateikandamyojin03.jpg?201905-2-RELEASE-unionbattle-408", "■")</f>
        <v>■</v>
      </c>
      <c r="F141" s="14" t="s">
        <v>1871</v>
      </c>
      <c r="G141" s="14">
        <v>127162</v>
      </c>
      <c r="H141" s="14">
        <v>136788</v>
      </c>
      <c r="I141" s="14">
        <v>20</v>
      </c>
      <c r="J141" s="14" t="s">
        <v>44</v>
      </c>
      <c r="K141" s="14" t="s">
        <v>1872</v>
      </c>
      <c r="L141" s="14" t="s">
        <v>1873</v>
      </c>
      <c r="M141" s="14" t="s">
        <v>9158</v>
      </c>
      <c r="N141" s="14" t="s">
        <v>9158</v>
      </c>
      <c r="O141" s="9" t="s">
        <v>3482</v>
      </c>
      <c r="P141" s="14" t="s">
        <v>3483</v>
      </c>
      <c r="Q141" s="14">
        <v>2</v>
      </c>
      <c r="R141" s="14"/>
    </row>
    <row r="142" spans="1:18">
      <c r="A142" s="9">
        <v>52083</v>
      </c>
      <c r="B142" s="14" t="s">
        <v>334</v>
      </c>
      <c r="C142" s="14" t="s">
        <v>158</v>
      </c>
      <c r="D142" s="14" t="s">
        <v>2913</v>
      </c>
      <c r="E142" s="15" t="str">
        <f>HYPERLINK("https://stat100.ameba.jp/tnk47/ratio20/illustrations/card/ill_52083_berubetto03.jpg?201905-2-RELEASE-unionbattle-408", "■")</f>
        <v>■</v>
      </c>
      <c r="F142" s="14" t="s">
        <v>2914</v>
      </c>
      <c r="G142" s="14">
        <v>75802</v>
      </c>
      <c r="H142" s="14">
        <v>104646</v>
      </c>
      <c r="I142" s="14">
        <v>22</v>
      </c>
      <c r="J142" s="14" t="s">
        <v>369</v>
      </c>
      <c r="K142" s="14" t="s">
        <v>2915</v>
      </c>
      <c r="L142" s="14" t="s">
        <v>2916</v>
      </c>
      <c r="M142" s="14" t="s">
        <v>9158</v>
      </c>
      <c r="N142" s="14" t="s">
        <v>9158</v>
      </c>
      <c r="O142" s="9" t="s">
        <v>2917</v>
      </c>
      <c r="P142" s="14" t="s">
        <v>2918</v>
      </c>
      <c r="Q142" s="14">
        <v>1</v>
      </c>
      <c r="R142" s="14"/>
    </row>
    <row r="143" spans="1:18">
      <c r="A143" s="9">
        <v>61433</v>
      </c>
      <c r="B143" s="14" t="s">
        <v>334</v>
      </c>
      <c r="C143" s="14" t="s">
        <v>200</v>
      </c>
      <c r="D143" s="14" t="s">
        <v>74</v>
      </c>
      <c r="E143" s="15" t="str">
        <f>HYPERLINK("https://stat100.ameba.jp/tnk47/ratio20/illustrations/card/ill_61433_isehime03.jpg?201905-2-RELEASE-unionbattle-408", "■")</f>
        <v>■</v>
      </c>
      <c r="F143" s="14" t="s">
        <v>78</v>
      </c>
      <c r="G143" s="14">
        <v>96148</v>
      </c>
      <c r="H143" s="14">
        <v>69652</v>
      </c>
      <c r="I143" s="14">
        <v>22</v>
      </c>
      <c r="J143" s="14" t="s">
        <v>77</v>
      </c>
      <c r="K143" s="14" t="s">
        <v>75</v>
      </c>
      <c r="L143" s="14" t="s">
        <v>76</v>
      </c>
      <c r="M143" s="14" t="s">
        <v>9158</v>
      </c>
      <c r="N143" s="14" t="s">
        <v>9158</v>
      </c>
      <c r="O143" s="9" t="s">
        <v>2717</v>
      </c>
      <c r="P143" s="14" t="s">
        <v>13123</v>
      </c>
      <c r="Q143" s="14">
        <v>1</v>
      </c>
      <c r="R143" s="14"/>
    </row>
    <row r="144" spans="1:18">
      <c r="A144" s="9">
        <v>73913</v>
      </c>
      <c r="B144" s="14" t="s">
        <v>334</v>
      </c>
      <c r="C144" s="14" t="s">
        <v>209</v>
      </c>
      <c r="D144" s="14" t="s">
        <v>1206</v>
      </c>
      <c r="E144" s="15" t="str">
        <f>HYPERLINK("https://stat100.ameba.jp/tnk47/ratio20/illustrations/card/ill_73913_atsutajingu03.jpg?201905-2-RELEASE-unionbattle-408", "■")</f>
        <v>■</v>
      </c>
      <c r="F144" s="14" t="s">
        <v>1207</v>
      </c>
      <c r="G144" s="14">
        <v>72736</v>
      </c>
      <c r="H144" s="14">
        <v>100424</v>
      </c>
      <c r="I144" s="14">
        <v>22</v>
      </c>
      <c r="J144" s="14" t="s">
        <v>44</v>
      </c>
      <c r="K144" s="14" t="s">
        <v>1208</v>
      </c>
      <c r="L144" s="14" t="s">
        <v>1209</v>
      </c>
      <c r="M144" s="14" t="s">
        <v>9158</v>
      </c>
      <c r="N144" s="14" t="s">
        <v>9158</v>
      </c>
      <c r="O144" s="17" t="s">
        <v>10053</v>
      </c>
      <c r="P144" s="14" t="s">
        <v>2822</v>
      </c>
      <c r="Q144" s="14">
        <v>1</v>
      </c>
      <c r="R144" s="14"/>
    </row>
    <row r="145" spans="1:18">
      <c r="B145" s="14"/>
      <c r="C145" s="14"/>
      <c r="D145" s="14"/>
      <c r="F145" s="14"/>
      <c r="G145" s="14"/>
      <c r="H145" s="14"/>
      <c r="I145" s="14"/>
      <c r="J145" s="14"/>
      <c r="K145" s="14"/>
      <c r="L145" s="14"/>
      <c r="M145" s="14"/>
      <c r="N145" s="14"/>
      <c r="P145" s="14"/>
      <c r="Q145" s="14"/>
      <c r="R145" s="14"/>
    </row>
    <row r="146" spans="1:18">
      <c r="A146" s="14" t="s">
        <v>13351</v>
      </c>
      <c r="D146" s="14"/>
      <c r="F146" s="14"/>
      <c r="G146" s="14"/>
      <c r="H146" s="14"/>
      <c r="I146" s="14"/>
      <c r="J146" s="14"/>
      <c r="K146" s="14"/>
      <c r="L146" s="14"/>
      <c r="M146" s="14"/>
      <c r="N146" s="14"/>
      <c r="P146" s="14"/>
      <c r="Q146" s="14"/>
      <c r="R146" s="14"/>
    </row>
    <row r="147" spans="1:18">
      <c r="A147" s="14" t="s">
        <v>4623</v>
      </c>
      <c r="B147" s="14"/>
      <c r="C147" s="14"/>
      <c r="D147" s="14"/>
      <c r="F147" s="14"/>
      <c r="G147" s="14"/>
      <c r="H147" s="14"/>
      <c r="I147" s="14"/>
      <c r="J147" s="14"/>
      <c r="K147" s="14"/>
      <c r="L147" s="14"/>
      <c r="M147" s="14"/>
      <c r="N147" s="14"/>
      <c r="P147" s="14"/>
      <c r="Q147" s="14"/>
      <c r="R147" s="14"/>
    </row>
    <row r="148" spans="1:18">
      <c r="A148" s="9">
        <v>81295</v>
      </c>
      <c r="B148" s="14" t="s">
        <v>0</v>
      </c>
      <c r="C148" s="14" t="s">
        <v>202</v>
      </c>
      <c r="D148" s="14" t="s">
        <v>4624</v>
      </c>
      <c r="E148" s="15" t="str">
        <f>HYPERLINK("https://stat100.ameba.jp/tnk47/ratio20/illustrations/card/ill_81295_ningyozuka05.jpg?201905-2-RELEASE-unionbattle-408", "■")</f>
        <v>■</v>
      </c>
      <c r="F148" s="14" t="s">
        <v>4625</v>
      </c>
      <c r="G148" s="14">
        <v>126264</v>
      </c>
      <c r="H148" s="14">
        <v>91417</v>
      </c>
      <c r="I148" s="14">
        <v>23</v>
      </c>
      <c r="J148" s="14" t="s">
        <v>38</v>
      </c>
      <c r="K148" s="14" t="s">
        <v>4626</v>
      </c>
      <c r="L148" s="14" t="s">
        <v>4627</v>
      </c>
      <c r="M148" s="14" t="s">
        <v>9158</v>
      </c>
      <c r="N148" s="14" t="s">
        <v>9158</v>
      </c>
      <c r="O148" s="14" t="s">
        <v>9158</v>
      </c>
      <c r="P148" s="14" t="s">
        <v>9158</v>
      </c>
      <c r="Q148" s="14" t="s">
        <v>9158</v>
      </c>
      <c r="R148" s="14" t="s">
        <v>174</v>
      </c>
    </row>
    <row r="149" spans="1:18">
      <c r="A149" s="9">
        <v>81293</v>
      </c>
      <c r="B149" s="14" t="s">
        <v>15</v>
      </c>
      <c r="C149" s="14" t="s">
        <v>158</v>
      </c>
      <c r="D149" s="14" t="s">
        <v>4624</v>
      </c>
      <c r="E149" s="15" t="str">
        <f>HYPERLINK("https://stat100.ameba.jp/tnk47/ratio20/illustrations/card/ill_81293_ningyozuka03.jpg?201905-2-RELEASE-unionbattle-408", "■")</f>
        <v>■</v>
      </c>
      <c r="F149" s="14" t="s">
        <v>4625</v>
      </c>
      <c r="G149" s="14">
        <v>93023</v>
      </c>
      <c r="H149" s="14">
        <v>67345</v>
      </c>
      <c r="I149" s="14">
        <v>23</v>
      </c>
      <c r="J149" s="14" t="s">
        <v>38</v>
      </c>
      <c r="K149" s="14" t="s">
        <v>4626</v>
      </c>
      <c r="L149" s="14" t="s">
        <v>4628</v>
      </c>
      <c r="M149" s="14" t="s">
        <v>9158</v>
      </c>
      <c r="N149" s="14" t="s">
        <v>9158</v>
      </c>
      <c r="O149" s="14" t="s">
        <v>9158</v>
      </c>
      <c r="P149" s="14" t="s">
        <v>9158</v>
      </c>
      <c r="Q149" s="14" t="s">
        <v>9158</v>
      </c>
      <c r="R149" s="14" t="s">
        <v>175</v>
      </c>
    </row>
    <row r="150" spans="1:18">
      <c r="A150" s="9">
        <v>81291</v>
      </c>
      <c r="B150" s="14" t="s">
        <v>15</v>
      </c>
      <c r="C150" s="14" t="s">
        <v>158</v>
      </c>
      <c r="D150" s="14" t="s">
        <v>4624</v>
      </c>
      <c r="E150" s="15" t="str">
        <f>HYPERLINK("https://stat100.ameba.jp/tnk47/ratio20/illustrations/card/ill_81291_ningyozuka01.jpg?201905-2-RELEASE-unionbattle-408", "■")</f>
        <v>■</v>
      </c>
      <c r="F150" s="14" t="s">
        <v>4625</v>
      </c>
      <c r="G150" s="14">
        <v>59179</v>
      </c>
      <c r="H150" s="14">
        <v>42849</v>
      </c>
      <c r="I150" s="14">
        <v>23</v>
      </c>
      <c r="J150" s="14" t="s">
        <v>38</v>
      </c>
      <c r="K150" s="14" t="s">
        <v>4626</v>
      </c>
      <c r="L150" s="14" t="s">
        <v>4629</v>
      </c>
      <c r="M150" s="14" t="s">
        <v>9158</v>
      </c>
      <c r="N150" s="14" t="s">
        <v>9158</v>
      </c>
      <c r="O150" s="14" t="s">
        <v>9158</v>
      </c>
      <c r="P150" s="14" t="s">
        <v>9158</v>
      </c>
      <c r="Q150" s="14" t="s">
        <v>9158</v>
      </c>
      <c r="R150" s="14" t="s">
        <v>176</v>
      </c>
    </row>
    <row r="151" spans="1:18">
      <c r="B151" s="14"/>
      <c r="C151" s="14"/>
      <c r="D151" s="14"/>
      <c r="F151" s="14"/>
      <c r="G151" s="14"/>
      <c r="H151" s="14"/>
      <c r="I151" s="14"/>
      <c r="J151" s="14"/>
      <c r="K151" s="14"/>
      <c r="L151" s="14"/>
      <c r="M151" s="14"/>
      <c r="N151" s="14"/>
      <c r="P151" s="14"/>
      <c r="Q151" s="14"/>
      <c r="R151" s="14"/>
    </row>
    <row r="152" spans="1:18">
      <c r="A152" s="14" t="s">
        <v>13327</v>
      </c>
      <c r="D152" s="14"/>
      <c r="F152" s="14"/>
      <c r="G152" s="14"/>
      <c r="H152" s="14"/>
      <c r="I152" s="14"/>
      <c r="J152" s="14"/>
      <c r="K152" s="14"/>
      <c r="L152" s="14"/>
      <c r="M152" s="14"/>
      <c r="N152" s="14"/>
      <c r="P152" s="14"/>
      <c r="Q152" s="14"/>
      <c r="R152" s="14"/>
    </row>
    <row r="153" spans="1:18">
      <c r="A153" s="14" t="s">
        <v>4630</v>
      </c>
      <c r="B153" s="14"/>
      <c r="C153" s="14"/>
      <c r="D153" s="14"/>
      <c r="F153" s="14"/>
      <c r="G153" s="14"/>
      <c r="H153" s="14"/>
      <c r="I153" s="14"/>
      <c r="J153" s="14"/>
      <c r="K153" s="14"/>
      <c r="L153" s="14"/>
      <c r="M153" s="14"/>
      <c r="N153" s="14"/>
      <c r="P153" s="14"/>
      <c r="Q153" s="14"/>
      <c r="R153" s="14"/>
    </row>
    <row r="154" spans="1:18">
      <c r="A154" s="9">
        <v>75113</v>
      </c>
      <c r="B154" s="14" t="s">
        <v>334</v>
      </c>
      <c r="C154" s="14" t="s">
        <v>335</v>
      </c>
      <c r="D154" s="14" t="s">
        <v>448</v>
      </c>
      <c r="E154" s="15" t="str">
        <f>HYPERLINK("https://stat100.ameba.jp/tnk47/ratio20/illustrations/card/ill_75113_hatahata03.jpg?201905-2-RELEASE-unionbattle-408", "■")</f>
        <v>■</v>
      </c>
      <c r="F154" s="14" t="s">
        <v>449</v>
      </c>
      <c r="G154" s="14">
        <v>118152</v>
      </c>
      <c r="H154" s="14">
        <v>109852</v>
      </c>
      <c r="I154" s="14">
        <v>24</v>
      </c>
      <c r="J154" s="14" t="s">
        <v>283</v>
      </c>
      <c r="K154" s="14" t="s">
        <v>450</v>
      </c>
      <c r="L154" s="14" t="s">
        <v>13129</v>
      </c>
      <c r="M154" s="14" t="s">
        <v>13130</v>
      </c>
      <c r="N154" s="14" t="s">
        <v>343</v>
      </c>
      <c r="O154" s="14" t="s">
        <v>9158</v>
      </c>
      <c r="P154" s="14" t="s">
        <v>9158</v>
      </c>
      <c r="Q154" s="14" t="s">
        <v>9158</v>
      </c>
      <c r="R154" s="14" t="s">
        <v>14748</v>
      </c>
    </row>
    <row r="155" spans="1:18">
      <c r="A155" s="9">
        <v>75112</v>
      </c>
      <c r="B155" s="14" t="s">
        <v>334</v>
      </c>
      <c r="C155" s="14" t="s">
        <v>335</v>
      </c>
      <c r="D155" s="14" t="s">
        <v>448</v>
      </c>
      <c r="E155" s="15" t="str">
        <f>HYPERLINK("https://stat100.ameba.jp/tnk47/ratio20/illustrations/card/ill_75112_hatahata02.jpg?201905-2-RELEASE-unionbattle-408", "■")</f>
        <v>■</v>
      </c>
      <c r="F155" s="14" t="s">
        <v>449</v>
      </c>
      <c r="G155" s="14">
        <v>98768</v>
      </c>
      <c r="H155" s="14">
        <v>90984</v>
      </c>
      <c r="I155" s="14">
        <v>24</v>
      </c>
      <c r="J155" s="14" t="s">
        <v>283</v>
      </c>
      <c r="K155" s="14" t="s">
        <v>450</v>
      </c>
      <c r="L155" s="14" t="s">
        <v>13129</v>
      </c>
      <c r="M155" s="14" t="s">
        <v>13131</v>
      </c>
      <c r="N155" s="14" t="s">
        <v>251</v>
      </c>
      <c r="O155" s="14" t="s">
        <v>9158</v>
      </c>
      <c r="P155" s="14" t="s">
        <v>9158</v>
      </c>
      <c r="Q155" s="14" t="s">
        <v>9158</v>
      </c>
      <c r="R155" s="14" t="s">
        <v>14748</v>
      </c>
    </row>
    <row r="156" spans="1:18">
      <c r="A156" s="9">
        <v>75111</v>
      </c>
      <c r="B156" s="14" t="s">
        <v>334</v>
      </c>
      <c r="C156" s="14" t="s">
        <v>335</v>
      </c>
      <c r="D156" s="14" t="s">
        <v>448</v>
      </c>
      <c r="E156" s="15" t="str">
        <f>HYPERLINK("https://stat100.ameba.jp/tnk47/ratio20/illustrations/card/ill_75111_hatahata01.jpg?201905-2-RELEASE-unionbattle-408", "■")</f>
        <v>■</v>
      </c>
      <c r="F156" s="14" t="s">
        <v>449</v>
      </c>
      <c r="G156" s="14">
        <v>75408</v>
      </c>
      <c r="H156" s="14">
        <v>70200</v>
      </c>
      <c r="I156" s="14">
        <v>24</v>
      </c>
      <c r="J156" s="14" t="s">
        <v>283</v>
      </c>
      <c r="K156" s="14" t="s">
        <v>450</v>
      </c>
      <c r="L156" s="14" t="s">
        <v>13129</v>
      </c>
      <c r="M156" s="14" t="s">
        <v>13131</v>
      </c>
      <c r="N156" s="14" t="s">
        <v>251</v>
      </c>
      <c r="O156" s="14" t="s">
        <v>9158</v>
      </c>
      <c r="P156" s="14" t="s">
        <v>9158</v>
      </c>
      <c r="Q156" s="14" t="s">
        <v>9158</v>
      </c>
      <c r="R156" s="14" t="s">
        <v>14748</v>
      </c>
    </row>
    <row r="157" spans="1:18">
      <c r="A157" s="9">
        <v>75123</v>
      </c>
      <c r="B157" s="14" t="s">
        <v>334</v>
      </c>
      <c r="C157" s="14" t="s">
        <v>307</v>
      </c>
      <c r="D157" s="14" t="s">
        <v>451</v>
      </c>
      <c r="E157" s="15" t="str">
        <f>HYPERLINK("https://stat100.ameba.jp/tnk47/ratio20/illustrations/card/ill_75123_nankintamasudare03.jpg?201905-2-RELEASE-unionbattle-408", "■")</f>
        <v>■</v>
      </c>
      <c r="F157" s="14" t="s">
        <v>452</v>
      </c>
      <c r="G157" s="14">
        <v>109852</v>
      </c>
      <c r="H157" s="14">
        <v>118152</v>
      </c>
      <c r="I157" s="14">
        <v>24</v>
      </c>
      <c r="J157" s="14" t="s">
        <v>274</v>
      </c>
      <c r="K157" s="14" t="s">
        <v>453</v>
      </c>
      <c r="L157" s="14" t="s">
        <v>6711</v>
      </c>
      <c r="M157" s="14" t="s">
        <v>13130</v>
      </c>
      <c r="N157" s="14" t="s">
        <v>343</v>
      </c>
      <c r="O157" s="14" t="s">
        <v>9158</v>
      </c>
      <c r="P157" s="14" t="s">
        <v>9158</v>
      </c>
      <c r="Q157" s="14" t="s">
        <v>9158</v>
      </c>
      <c r="R157" s="14" t="s">
        <v>14748</v>
      </c>
    </row>
    <row r="158" spans="1:18">
      <c r="A158" s="9">
        <v>76013</v>
      </c>
      <c r="B158" s="14" t="s">
        <v>334</v>
      </c>
      <c r="C158" s="14" t="s">
        <v>344</v>
      </c>
      <c r="D158" s="14" t="s">
        <v>454</v>
      </c>
      <c r="E158" s="15" t="str">
        <f>HYPERLINK("https://stat100.ameba.jp/tnk47/ratio20/illustrations/card/ill_76013_miyakojima03.jpg?201905-2-RELEASE-unionbattle-408", "■")</f>
        <v>■</v>
      </c>
      <c r="F158" s="14" t="s">
        <v>455</v>
      </c>
      <c r="G158" s="14">
        <v>118152</v>
      </c>
      <c r="H158" s="14">
        <v>109852</v>
      </c>
      <c r="I158" s="14">
        <v>24</v>
      </c>
      <c r="J158" s="14" t="s">
        <v>369</v>
      </c>
      <c r="K158" s="14" t="s">
        <v>456</v>
      </c>
      <c r="L158" s="14" t="s">
        <v>6712</v>
      </c>
      <c r="M158" s="14" t="s">
        <v>13130</v>
      </c>
      <c r="N158" s="14" t="s">
        <v>343</v>
      </c>
      <c r="O158" s="14" t="s">
        <v>9158</v>
      </c>
      <c r="P158" s="14" t="s">
        <v>9158</v>
      </c>
      <c r="Q158" s="14" t="s">
        <v>9158</v>
      </c>
      <c r="R158" s="14" t="s">
        <v>14748</v>
      </c>
    </row>
    <row r="159" spans="1:18">
      <c r="A159" s="9">
        <v>74333</v>
      </c>
      <c r="B159" s="14" t="s">
        <v>334</v>
      </c>
      <c r="C159" s="14" t="s">
        <v>271</v>
      </c>
      <c r="D159" s="14" t="s">
        <v>457</v>
      </c>
      <c r="E159" s="15" t="str">
        <f>HYPERLINK("https://stat100.ameba.jp/tnk47/ratio20/illustrations/card/ill_74333_iizukaigashichi03.jpg?201905-2-RELEASE-unionbattle-408", "■")</f>
        <v>■</v>
      </c>
      <c r="F159" s="14" t="s">
        <v>458</v>
      </c>
      <c r="G159" s="14">
        <v>109852</v>
      </c>
      <c r="H159" s="14">
        <v>118152</v>
      </c>
      <c r="I159" s="14">
        <v>24</v>
      </c>
      <c r="J159" s="14" t="s">
        <v>414</v>
      </c>
      <c r="K159" s="14" t="s">
        <v>459</v>
      </c>
      <c r="L159" s="14" t="s">
        <v>6713</v>
      </c>
      <c r="M159" s="14" t="s">
        <v>13130</v>
      </c>
      <c r="N159" s="14" t="s">
        <v>343</v>
      </c>
      <c r="O159" s="14" t="s">
        <v>9158</v>
      </c>
      <c r="P159" s="14" t="s">
        <v>9158</v>
      </c>
      <c r="Q159" s="14" t="s">
        <v>9158</v>
      </c>
      <c r="R159" s="14" t="s">
        <v>14748</v>
      </c>
    </row>
    <row r="160" spans="1:18">
      <c r="A160" s="9">
        <v>74343</v>
      </c>
      <c r="B160" s="14" t="s">
        <v>334</v>
      </c>
      <c r="C160" s="14" t="s">
        <v>308</v>
      </c>
      <c r="D160" s="14" t="s">
        <v>460</v>
      </c>
      <c r="E160" s="15" t="str">
        <f>HYPERLINK("https://stat100.ameba.jp/tnk47/ratio20/illustrations/card/ill_74343_wadakoremasa03.jpg?201905-2-RELEASE-unionbattle-408", "■")</f>
        <v>■</v>
      </c>
      <c r="F160" s="14" t="s">
        <v>461</v>
      </c>
      <c r="G160" s="14">
        <v>109852</v>
      </c>
      <c r="H160" s="14">
        <v>118152</v>
      </c>
      <c r="I160" s="14">
        <v>24</v>
      </c>
      <c r="J160" s="14" t="s">
        <v>310</v>
      </c>
      <c r="K160" s="14" t="s">
        <v>462</v>
      </c>
      <c r="L160" s="14" t="s">
        <v>6714</v>
      </c>
      <c r="M160" s="14" t="s">
        <v>13130</v>
      </c>
      <c r="N160" s="14" t="s">
        <v>343</v>
      </c>
      <c r="O160" s="14" t="s">
        <v>9158</v>
      </c>
      <c r="P160" s="14" t="s">
        <v>9158</v>
      </c>
      <c r="Q160" s="14" t="s">
        <v>9158</v>
      </c>
      <c r="R160" s="14" t="s">
        <v>14748</v>
      </c>
    </row>
    <row r="161" spans="1:18">
      <c r="A161" s="9">
        <v>74353</v>
      </c>
      <c r="B161" s="14" t="s">
        <v>334</v>
      </c>
      <c r="C161" s="14" t="s">
        <v>267</v>
      </c>
      <c r="D161" s="14" t="s">
        <v>463</v>
      </c>
      <c r="E161" s="15" t="str">
        <f>HYPERLINK("https://stat100.ameba.jp/tnk47/ratio20/illustrations/card/ill_74353_takechizuizan03.jpg?201905-2-RELEASE-unionbattle-408", "■")</f>
        <v>■</v>
      </c>
      <c r="F161" s="14" t="s">
        <v>464</v>
      </c>
      <c r="G161" s="14">
        <v>118152</v>
      </c>
      <c r="H161" s="14">
        <v>109852</v>
      </c>
      <c r="I161" s="14">
        <v>24</v>
      </c>
      <c r="J161" s="14" t="s">
        <v>351</v>
      </c>
      <c r="K161" s="14" t="s">
        <v>465</v>
      </c>
      <c r="L161" s="14" t="s">
        <v>6715</v>
      </c>
      <c r="M161" s="14" t="s">
        <v>13130</v>
      </c>
      <c r="N161" s="14" t="s">
        <v>343</v>
      </c>
      <c r="O161" s="14" t="s">
        <v>9158</v>
      </c>
      <c r="P161" s="14" t="s">
        <v>9158</v>
      </c>
      <c r="Q161" s="14" t="s">
        <v>9158</v>
      </c>
      <c r="R161" s="14" t="s">
        <v>14748</v>
      </c>
    </row>
    <row r="162" spans="1:18">
      <c r="B162" s="14"/>
      <c r="C162" s="14"/>
      <c r="D162" s="14"/>
      <c r="F162" s="14"/>
      <c r="G162" s="14"/>
      <c r="H162" s="14"/>
      <c r="I162" s="14"/>
      <c r="J162" s="14"/>
      <c r="K162" s="14"/>
      <c r="L162" s="14"/>
      <c r="M162" s="14"/>
      <c r="N162" s="14"/>
      <c r="P162" s="14"/>
      <c r="Q162" s="14"/>
      <c r="R162" s="14"/>
    </row>
    <row r="163" spans="1:18">
      <c r="A163" s="14" t="s">
        <v>207</v>
      </c>
      <c r="D163" s="14"/>
      <c r="F163" s="14"/>
      <c r="G163" s="14"/>
      <c r="H163" s="14"/>
      <c r="I163" s="14"/>
      <c r="J163" s="14"/>
      <c r="K163" s="14"/>
      <c r="L163" s="14"/>
      <c r="M163" s="14"/>
      <c r="N163" s="14"/>
      <c r="P163" s="14"/>
      <c r="Q163" s="14"/>
      <c r="R163" s="14"/>
    </row>
    <row r="164" spans="1:18">
      <c r="A164" s="14" t="s">
        <v>4631</v>
      </c>
      <c r="B164" s="14"/>
      <c r="C164" s="14"/>
      <c r="D164" s="14"/>
      <c r="F164" s="14"/>
      <c r="G164" s="14"/>
      <c r="H164" s="14"/>
      <c r="I164" s="14"/>
      <c r="J164" s="14"/>
      <c r="K164" s="14"/>
      <c r="L164" s="14"/>
      <c r="M164" s="14"/>
      <c r="N164" s="14"/>
      <c r="P164" s="14"/>
      <c r="Q164" s="14"/>
      <c r="R164" s="14"/>
    </row>
    <row r="165" spans="1:18">
      <c r="A165" s="9" t="s">
        <v>5614</v>
      </c>
      <c r="B165" s="14" t="s">
        <v>52</v>
      </c>
      <c r="C165" s="14" t="s">
        <v>205</v>
      </c>
      <c r="D165" s="14" t="s">
        <v>947</v>
      </c>
      <c r="E165" s="15" t="str">
        <f>HYPERLINK("https://stat100.ameba.jp/tnk47/ratio20/illustrations/card/ill_56223_0_onsempanikkugohime03.jpg?201905-2-RELEASE-unionbattle-408", "■")</f>
        <v>■</v>
      </c>
      <c r="F165" s="14" t="s">
        <v>948</v>
      </c>
      <c r="G165" s="14">
        <v>122776</v>
      </c>
      <c r="H165" s="14">
        <v>138212</v>
      </c>
      <c r="I165" s="14">
        <v>22</v>
      </c>
      <c r="J165" s="14" t="s">
        <v>77</v>
      </c>
      <c r="K165" s="14" t="s">
        <v>949</v>
      </c>
      <c r="L165" s="14" t="s">
        <v>950</v>
      </c>
      <c r="M165" s="14" t="s">
        <v>9158</v>
      </c>
      <c r="N165" s="14" t="s">
        <v>9158</v>
      </c>
      <c r="O165" s="9" t="s">
        <v>3021</v>
      </c>
      <c r="P165" s="14" t="s">
        <v>2890</v>
      </c>
      <c r="Q165" s="14">
        <v>1</v>
      </c>
      <c r="R165" s="14"/>
    </row>
    <row r="166" spans="1:18">
      <c r="A166" s="9" t="s">
        <v>5897</v>
      </c>
      <c r="B166" s="14" t="s">
        <v>52</v>
      </c>
      <c r="C166" s="14" t="s">
        <v>23</v>
      </c>
      <c r="D166" s="14" t="s">
        <v>53</v>
      </c>
      <c r="E166" s="15" t="str">
        <f>HYPERLINK("https://stat100.ameba.jp/tnk47/ratio20/illustrations/card/ill_40913_0_reigyokudensetsufusehime03.jpg?201905-2-RELEASE-unionbattle-408", "■")</f>
        <v>■</v>
      </c>
      <c r="F166" s="14" t="s">
        <v>955</v>
      </c>
      <c r="G166" s="14">
        <v>120576</v>
      </c>
      <c r="H166" s="14">
        <v>128744</v>
      </c>
      <c r="I166" s="14">
        <v>22</v>
      </c>
      <c r="J166" s="14" t="s">
        <v>38</v>
      </c>
      <c r="K166" s="14" t="s">
        <v>956</v>
      </c>
      <c r="L166" s="14" t="s">
        <v>957</v>
      </c>
      <c r="M166" s="14" t="s">
        <v>9158</v>
      </c>
      <c r="N166" s="14" t="s">
        <v>9158</v>
      </c>
      <c r="O166" s="14" t="s">
        <v>9158</v>
      </c>
      <c r="P166" s="14" t="s">
        <v>9158</v>
      </c>
      <c r="Q166" s="14" t="s">
        <v>9158</v>
      </c>
      <c r="R166" s="14"/>
    </row>
    <row r="167" spans="1:18">
      <c r="A167" s="9" t="s">
        <v>5902</v>
      </c>
      <c r="B167" s="14" t="s">
        <v>330</v>
      </c>
      <c r="C167" s="14" t="s">
        <v>344</v>
      </c>
      <c r="D167" s="14" t="s">
        <v>483</v>
      </c>
      <c r="E167" s="15" t="str">
        <f>HYPERLINK("https://stat100.ameba.jp/tnk47/ratio20/illustrations/card/ill_40343_0_heshikirihasebekurodakambe03.jpg?201905-2-RELEASE-unionbattle-408", "■")</f>
        <v>■</v>
      </c>
      <c r="F167" s="14" t="s">
        <v>484</v>
      </c>
      <c r="G167" s="14">
        <v>128744</v>
      </c>
      <c r="H167" s="14">
        <v>120576</v>
      </c>
      <c r="I167" s="14">
        <v>22</v>
      </c>
      <c r="J167" s="14" t="s">
        <v>414</v>
      </c>
      <c r="K167" s="14" t="s">
        <v>485</v>
      </c>
      <c r="L167" s="14" t="s">
        <v>486</v>
      </c>
      <c r="M167" s="14" t="s">
        <v>9158</v>
      </c>
      <c r="N167" s="14" t="s">
        <v>9158</v>
      </c>
      <c r="O167" s="14" t="s">
        <v>9158</v>
      </c>
      <c r="P167" s="14" t="s">
        <v>9158</v>
      </c>
      <c r="Q167" s="14" t="s">
        <v>9158</v>
      </c>
      <c r="R167" s="14"/>
    </row>
    <row r="168" spans="1:18">
      <c r="A168" s="9">
        <v>81373</v>
      </c>
      <c r="B168" s="14" t="s">
        <v>0</v>
      </c>
      <c r="C168" s="14" t="s">
        <v>165</v>
      </c>
      <c r="D168" s="14" t="s">
        <v>4608</v>
      </c>
      <c r="E168" s="15" t="str">
        <f>HYPERLINK("https://stat100.ameba.jp/tnk47/ratio20/illustrations/card/ill_81373_hakatadontakuhayamisosei03.jpg?201905-2-RELEASE-unionbattle-408", "■")</f>
        <v>■</v>
      </c>
      <c r="F168" s="14" t="s">
        <v>4610</v>
      </c>
      <c r="G168" s="14">
        <v>79868</v>
      </c>
      <c r="H168" s="14">
        <v>85934</v>
      </c>
      <c r="I168" s="14">
        <v>22</v>
      </c>
      <c r="J168" s="14" t="s">
        <v>10</v>
      </c>
      <c r="K168" s="14" t="s">
        <v>4611</v>
      </c>
      <c r="L168" s="14" t="s">
        <v>4612</v>
      </c>
      <c r="M168" s="14" t="s">
        <v>9158</v>
      </c>
      <c r="N168" s="14" t="s">
        <v>9158</v>
      </c>
      <c r="O168" s="14" t="s">
        <v>9158</v>
      </c>
      <c r="P168" s="14" t="s">
        <v>9158</v>
      </c>
      <c r="Q168" s="14" t="s">
        <v>9158</v>
      </c>
      <c r="R168" s="14"/>
    </row>
    <row r="169" spans="1:18">
      <c r="A169" s="9">
        <v>81383</v>
      </c>
      <c r="B169" s="14" t="s">
        <v>15</v>
      </c>
      <c r="C169" s="14" t="s">
        <v>206</v>
      </c>
      <c r="D169" s="14" t="s">
        <v>4613</v>
      </c>
      <c r="E169" s="15" t="str">
        <f>HYPERLINK("https://stat100.ameba.jp/tnk47/ratio20/illustrations/card/ill_81383_hakatadontaku03.jpg?201905-2-RELEASE-unionbattle-408", "■")</f>
        <v>■</v>
      </c>
      <c r="F169" s="14" t="s">
        <v>4614</v>
      </c>
      <c r="G169" s="14">
        <v>53352</v>
      </c>
      <c r="H169" s="14">
        <v>48390</v>
      </c>
      <c r="I169" s="14">
        <v>18</v>
      </c>
      <c r="J169" s="14" t="s">
        <v>26</v>
      </c>
      <c r="K169" s="14" t="s">
        <v>4615</v>
      </c>
      <c r="L169" s="14" t="s">
        <v>2011</v>
      </c>
      <c r="M169" s="14" t="s">
        <v>9158</v>
      </c>
      <c r="N169" s="14" t="s">
        <v>9158</v>
      </c>
      <c r="O169" s="14" t="s">
        <v>9158</v>
      </c>
      <c r="P169" s="14" t="s">
        <v>9158</v>
      </c>
      <c r="Q169" s="14" t="s">
        <v>9158</v>
      </c>
      <c r="R169" s="14"/>
    </row>
    <row r="170" spans="1:18">
      <c r="A170" s="9">
        <v>81393</v>
      </c>
      <c r="B170" s="14" t="s">
        <v>22</v>
      </c>
      <c r="C170" s="14" t="s">
        <v>200</v>
      </c>
      <c r="D170" s="14" t="s">
        <v>4616</v>
      </c>
      <c r="E170" s="15" t="str">
        <f>HYPERLINK("https://stat100.ameba.jp/tnk47/ratio20/illustrations/card/ill_81393_zenhanshiromatsuriohisanokata03.jpg?201905-2-RELEASE-unionbattle-408", "■")</f>
        <v>■</v>
      </c>
      <c r="F170" s="14" t="s">
        <v>4617</v>
      </c>
      <c r="G170" s="14">
        <v>29388</v>
      </c>
      <c r="H170" s="14">
        <v>35346</v>
      </c>
      <c r="I170" s="14">
        <v>17</v>
      </c>
      <c r="J170" s="14" t="s">
        <v>77</v>
      </c>
      <c r="K170" s="14" t="s">
        <v>4618</v>
      </c>
      <c r="L170" s="14" t="s">
        <v>2424</v>
      </c>
      <c r="M170" s="14" t="s">
        <v>9158</v>
      </c>
      <c r="N170" s="14" t="s">
        <v>9158</v>
      </c>
      <c r="O170" s="14" t="s">
        <v>9158</v>
      </c>
      <c r="P170" s="14" t="s">
        <v>9158</v>
      </c>
      <c r="Q170" s="14" t="s">
        <v>9158</v>
      </c>
      <c r="R170" s="14"/>
    </row>
    <row r="171" spans="1:18">
      <c r="A171" s="9">
        <v>81403</v>
      </c>
      <c r="B171" s="14" t="s">
        <v>30</v>
      </c>
      <c r="C171" s="14" t="s">
        <v>4609</v>
      </c>
      <c r="D171" s="14" t="s">
        <v>4619</v>
      </c>
      <c r="E171" s="15" t="str">
        <f>HYPERLINK("https://stat100.ameba.jp/tnk47/ratio20/illustrations/card/ill_81403_gameni03.jpg?201905-2-RELEASE-unionbattle-408", "■")</f>
        <v>■</v>
      </c>
      <c r="F171" s="14" t="s">
        <v>4620</v>
      </c>
      <c r="G171" s="14">
        <v>21398</v>
      </c>
      <c r="H171" s="14">
        <v>17972</v>
      </c>
      <c r="I171" s="14">
        <v>17</v>
      </c>
      <c r="J171" s="14" t="s">
        <v>104</v>
      </c>
      <c r="K171" s="14" t="s">
        <v>4621</v>
      </c>
      <c r="L171" s="14" t="s">
        <v>4233</v>
      </c>
      <c r="M171" s="14" t="s">
        <v>9158</v>
      </c>
      <c r="N171" s="14" t="s">
        <v>9158</v>
      </c>
      <c r="O171" s="14" t="s">
        <v>9158</v>
      </c>
      <c r="P171" s="14" t="s">
        <v>9158</v>
      </c>
      <c r="Q171" s="14" t="s">
        <v>9158</v>
      </c>
      <c r="R171" s="14"/>
    </row>
    <row r="172" spans="1:18">
      <c r="B172" s="14"/>
      <c r="C172" s="14"/>
      <c r="D172" s="14"/>
      <c r="F172" s="14"/>
      <c r="G172" s="14"/>
      <c r="H172" s="14"/>
      <c r="I172" s="14"/>
      <c r="J172" s="14"/>
      <c r="K172" s="14"/>
      <c r="L172" s="14"/>
      <c r="M172" s="14"/>
      <c r="N172" s="14"/>
      <c r="P172" s="14"/>
      <c r="Q172" s="14"/>
      <c r="R172" s="14"/>
    </row>
    <row r="173" spans="1:18">
      <c r="A173" s="14" t="s">
        <v>208</v>
      </c>
      <c r="D173" s="14"/>
      <c r="F173" s="14"/>
      <c r="G173" s="14"/>
      <c r="H173" s="14"/>
      <c r="I173" s="14"/>
      <c r="J173" s="14"/>
      <c r="K173" s="14"/>
      <c r="L173" s="14"/>
      <c r="M173" s="14"/>
      <c r="N173" s="14"/>
      <c r="P173" s="14"/>
      <c r="Q173" s="14"/>
      <c r="R173" s="14"/>
    </row>
    <row r="174" spans="1:18">
      <c r="A174" s="14" t="s">
        <v>4632</v>
      </c>
      <c r="B174" s="14"/>
      <c r="C174" s="14"/>
      <c r="D174" s="14"/>
      <c r="F174" s="14"/>
      <c r="G174" s="14"/>
      <c r="H174" s="14"/>
      <c r="I174" s="14"/>
      <c r="J174" s="14"/>
      <c r="K174" s="14"/>
      <c r="L174" s="14"/>
      <c r="M174" s="14"/>
      <c r="N174" s="14"/>
      <c r="P174" s="14"/>
      <c r="Q174" s="14"/>
      <c r="R174" s="14"/>
    </row>
    <row r="175" spans="1:18">
      <c r="A175" s="9" t="s">
        <v>5603</v>
      </c>
      <c r="B175" s="14" t="s">
        <v>330</v>
      </c>
      <c r="C175" s="14" t="s">
        <v>205</v>
      </c>
      <c r="D175" s="14" t="s">
        <v>1868</v>
      </c>
      <c r="E175" s="15" t="str">
        <f>HYPERLINK("https://stat100.ameba.jp/tnk47/ratio20/illustrations/card/ill_61893_0_onikirishumiyamotomusashi03.jpg?201905-2-RELEASE-unionbattle-408", "■")</f>
        <v>■</v>
      </c>
      <c r="F175" s="14" t="s">
        <v>612</v>
      </c>
      <c r="G175" s="14">
        <v>140016</v>
      </c>
      <c r="H175" s="14">
        <v>130194</v>
      </c>
      <c r="I175" s="14">
        <v>15</v>
      </c>
      <c r="J175" s="14" t="s">
        <v>310</v>
      </c>
      <c r="K175" s="14" t="s">
        <v>613</v>
      </c>
      <c r="L175" s="14" t="s">
        <v>312</v>
      </c>
      <c r="M175" s="14" t="s">
        <v>9158</v>
      </c>
      <c r="N175" s="14" t="s">
        <v>9158</v>
      </c>
      <c r="O175" s="9" t="s">
        <v>3252</v>
      </c>
      <c r="P175" s="14" t="s">
        <v>3253</v>
      </c>
      <c r="Q175" s="14">
        <v>1</v>
      </c>
      <c r="R175" s="14"/>
    </row>
    <row r="176" spans="1:18">
      <c r="A176" s="9" t="s">
        <v>5618</v>
      </c>
      <c r="B176" s="14" t="s">
        <v>52</v>
      </c>
      <c r="C176" s="14" t="s">
        <v>23</v>
      </c>
      <c r="D176" s="14" t="s">
        <v>83</v>
      </c>
      <c r="E176" s="15" t="str">
        <f>HYPERLINK("https://stat100.ameba.jp/tnk47/ratio20/illustrations/card/ill_63173_0_minazukikonakaiteruko03.jpg?201905-2-RELEASE-unionbattle-408", "■")</f>
        <v>■</v>
      </c>
      <c r="F176" s="14" t="s">
        <v>1188</v>
      </c>
      <c r="G176" s="14">
        <v>130194</v>
      </c>
      <c r="H176" s="14">
        <v>140016</v>
      </c>
      <c r="I176" s="14">
        <v>15</v>
      </c>
      <c r="J176" s="14" t="s">
        <v>143</v>
      </c>
      <c r="K176" s="14" t="s">
        <v>1189</v>
      </c>
      <c r="L176" s="14" t="s">
        <v>1190</v>
      </c>
      <c r="M176" s="14" t="s">
        <v>9158</v>
      </c>
      <c r="N176" s="14" t="s">
        <v>9158</v>
      </c>
      <c r="O176" s="9" t="s">
        <v>3328</v>
      </c>
      <c r="P176" s="14" t="s">
        <v>3329</v>
      </c>
      <c r="Q176" s="14">
        <v>1</v>
      </c>
      <c r="R176" s="14"/>
    </row>
    <row r="177" spans="1:19">
      <c r="A177" s="9" t="s">
        <v>5604</v>
      </c>
      <c r="B177" s="14" t="s">
        <v>330</v>
      </c>
      <c r="C177" s="14" t="s">
        <v>206</v>
      </c>
      <c r="D177" s="14" t="s">
        <v>614</v>
      </c>
      <c r="E177" s="15" t="str">
        <f>HYPERLINK("https://stat100.ameba.jp/tnk47/ratio20/illustrations/card/ill_47263_0_oukyuuatsuhime03.jpg?201905-2-RELEASE-unionbattle-408", "■")</f>
        <v>■</v>
      </c>
      <c r="F177" s="14" t="s">
        <v>615</v>
      </c>
      <c r="G177" s="14">
        <v>94236</v>
      </c>
      <c r="H177" s="14">
        <v>83712</v>
      </c>
      <c r="I177" s="14">
        <v>15</v>
      </c>
      <c r="J177" s="14" t="s">
        <v>315</v>
      </c>
      <c r="K177" s="14" t="s">
        <v>616</v>
      </c>
      <c r="L177" s="14" t="s">
        <v>617</v>
      </c>
      <c r="M177" s="14" t="s">
        <v>9158</v>
      </c>
      <c r="N177" s="14" t="s">
        <v>9158</v>
      </c>
      <c r="O177" s="14" t="s">
        <v>9158</v>
      </c>
      <c r="P177" s="14" t="s">
        <v>9158</v>
      </c>
      <c r="Q177" s="14" t="s">
        <v>9158</v>
      </c>
      <c r="R177" s="14"/>
    </row>
    <row r="178" spans="1:19">
      <c r="A178" s="9">
        <v>72003</v>
      </c>
      <c r="B178" s="14" t="s">
        <v>0</v>
      </c>
      <c r="C178" s="14" t="s">
        <v>41</v>
      </c>
      <c r="D178" s="14" t="s">
        <v>4633</v>
      </c>
      <c r="E178" s="15" t="str">
        <f>HYPERLINK("https://stat100.ameba.jp/tnk47/ratio20/illustrations/card/ill_72003_nihongomoritomonobu03.jpg?201905-2-RELEASE-unionbattle-408", "■")</f>
        <v>■</v>
      </c>
      <c r="F178" s="14" t="s">
        <v>4634</v>
      </c>
      <c r="G178" s="14">
        <v>97318</v>
      </c>
      <c r="H178" s="14">
        <v>90522</v>
      </c>
      <c r="I178" s="14">
        <v>24</v>
      </c>
      <c r="J178" s="14" t="s">
        <v>143</v>
      </c>
      <c r="K178" s="14" t="s">
        <v>4635</v>
      </c>
      <c r="L178" s="14" t="s">
        <v>68</v>
      </c>
      <c r="M178" s="14" t="s">
        <v>9158</v>
      </c>
      <c r="N178" s="14" t="s">
        <v>9158</v>
      </c>
      <c r="O178" s="14" t="s">
        <v>9158</v>
      </c>
      <c r="P178" s="14" t="s">
        <v>9158</v>
      </c>
      <c r="Q178" s="14" t="s">
        <v>9158</v>
      </c>
      <c r="S178" s="14" t="s">
        <v>11775</v>
      </c>
    </row>
    <row r="179" spans="1:19">
      <c r="A179" s="9">
        <v>74813</v>
      </c>
      <c r="B179" s="14" t="s">
        <v>0</v>
      </c>
      <c r="C179" s="14" t="s">
        <v>47</v>
      </c>
      <c r="D179" s="14" t="s">
        <v>4636</v>
      </c>
      <c r="E179" s="15" t="str">
        <f>HYPERLINK("https://stat100.ameba.jp/tnk47/ratio20/illustrations/card/ill_74813_ennichinambuhimemari03.jpg?201905-2-RELEASE-unionbattle-408", "■")</f>
        <v>■</v>
      </c>
      <c r="F179" s="14" t="s">
        <v>4637</v>
      </c>
      <c r="G179" s="14">
        <v>101656</v>
      </c>
      <c r="H179" s="14">
        <v>109334</v>
      </c>
      <c r="I179" s="14">
        <v>24</v>
      </c>
      <c r="J179" s="14" t="s">
        <v>26</v>
      </c>
      <c r="K179" s="14" t="s">
        <v>4638</v>
      </c>
      <c r="L179" s="14" t="s">
        <v>2137</v>
      </c>
      <c r="M179" s="14" t="s">
        <v>9158</v>
      </c>
      <c r="N179" s="14" t="s">
        <v>9158</v>
      </c>
      <c r="O179" s="14" t="s">
        <v>9158</v>
      </c>
      <c r="P179" s="14" t="s">
        <v>9158</v>
      </c>
      <c r="Q179" s="14" t="s">
        <v>9158</v>
      </c>
      <c r="S179" s="14" t="s">
        <v>11776</v>
      </c>
    </row>
    <row r="180" spans="1:19">
      <c r="A180" s="9">
        <v>71153</v>
      </c>
      <c r="B180" s="14" t="s">
        <v>0</v>
      </c>
      <c r="C180" s="14" t="s">
        <v>41</v>
      </c>
      <c r="D180" s="14" t="s">
        <v>4639</v>
      </c>
      <c r="E180" s="15" t="str">
        <f>HYPERLINK("https://stat100.ameba.jp/tnk47/ratio20/illustrations/card/ill_71153_dekamoriokonomiyaki03.jpg?201905-2-RELEASE-unionbattle-408", "■")</f>
        <v>■</v>
      </c>
      <c r="F180" s="14" t="s">
        <v>4640</v>
      </c>
      <c r="G180" s="14">
        <v>113340</v>
      </c>
      <c r="H180" s="14">
        <v>105394</v>
      </c>
      <c r="I180" s="14">
        <v>24</v>
      </c>
      <c r="J180" s="14" t="s">
        <v>104</v>
      </c>
      <c r="K180" s="14" t="s">
        <v>4641</v>
      </c>
      <c r="L180" s="14" t="s">
        <v>1108</v>
      </c>
      <c r="M180" s="14" t="s">
        <v>9158</v>
      </c>
      <c r="N180" s="14" t="s">
        <v>9158</v>
      </c>
      <c r="O180" s="14" t="s">
        <v>9158</v>
      </c>
      <c r="P180" s="14" t="s">
        <v>9158</v>
      </c>
      <c r="Q180" s="14" t="s">
        <v>9158</v>
      </c>
      <c r="S180" s="14" t="s">
        <v>11777</v>
      </c>
    </row>
    <row r="181" spans="1:19">
      <c r="A181" s="9">
        <v>74953</v>
      </c>
      <c r="B181" s="14" t="s">
        <v>15</v>
      </c>
      <c r="C181" s="14" t="s">
        <v>101</v>
      </c>
      <c r="D181" s="14" t="s">
        <v>4642</v>
      </c>
      <c r="E181" s="15" t="str">
        <f>HYPERLINK("https://stat100.ameba.jp/tnk47/ratio20/illustrations/card/ill_74953_amenowaharunomikoto03.jpg?201905-2-RELEASE-unionbattle-408", "■")</f>
        <v>■</v>
      </c>
      <c r="F181" s="14" t="s">
        <v>4643</v>
      </c>
      <c r="G181" s="14">
        <v>51078</v>
      </c>
      <c r="H181" s="14">
        <v>56316</v>
      </c>
      <c r="I181" s="14">
        <v>19</v>
      </c>
      <c r="J181" s="14" t="s">
        <v>44</v>
      </c>
      <c r="K181" s="14" t="s">
        <v>4644</v>
      </c>
      <c r="L181" s="14" t="s">
        <v>4645</v>
      </c>
      <c r="M181" s="14" t="s">
        <v>9158</v>
      </c>
      <c r="N181" s="14" t="s">
        <v>9158</v>
      </c>
      <c r="O181" s="14" t="s">
        <v>9158</v>
      </c>
      <c r="P181" s="14" t="s">
        <v>9158</v>
      </c>
      <c r="Q181" s="14" t="s">
        <v>9158</v>
      </c>
      <c r="S181" s="14" t="s">
        <v>11773</v>
      </c>
    </row>
    <row r="182" spans="1:19">
      <c r="A182" s="9">
        <v>70233</v>
      </c>
      <c r="B182" s="14" t="s">
        <v>15</v>
      </c>
      <c r="C182" s="14" t="s">
        <v>101</v>
      </c>
      <c r="D182" s="14" t="s">
        <v>4646</v>
      </c>
      <c r="E182" s="15" t="str">
        <f>HYPERLINK("https://stat100.ameba.jp/tnk47/ratio20/illustrations/card/ill_70233_enjunojashin03.jpg?201905-2-RELEASE-unionbattle-408", "■")</f>
        <v>■</v>
      </c>
      <c r="F182" s="14" t="s">
        <v>4647</v>
      </c>
      <c r="G182" s="14">
        <v>56316</v>
      </c>
      <c r="H182" s="14">
        <v>51078</v>
      </c>
      <c r="I182" s="14">
        <v>19</v>
      </c>
      <c r="J182" s="14" t="s">
        <v>73</v>
      </c>
      <c r="K182" s="14" t="s">
        <v>4648</v>
      </c>
      <c r="L182" s="14" t="s">
        <v>4649</v>
      </c>
      <c r="M182" s="14" t="s">
        <v>9158</v>
      </c>
      <c r="N182" s="14" t="s">
        <v>9158</v>
      </c>
      <c r="O182" s="14" t="s">
        <v>9158</v>
      </c>
      <c r="P182" s="14" t="s">
        <v>9158</v>
      </c>
      <c r="Q182" s="14" t="s">
        <v>9158</v>
      </c>
      <c r="S182" s="14" t="s">
        <v>11774</v>
      </c>
    </row>
    <row r="183" spans="1:19">
      <c r="A183" s="9">
        <v>59573</v>
      </c>
      <c r="B183" s="14" t="s">
        <v>15</v>
      </c>
      <c r="C183" s="14" t="s">
        <v>101</v>
      </c>
      <c r="D183" s="14" t="s">
        <v>4650</v>
      </c>
      <c r="E183" s="15" t="str">
        <f>HYPERLINK("https://stat100.ameba.jp/tnk47/ratio20/illustrations/card/ill_59573_hidaikibinamatsuri03.jpg?201905-2-RELEASE-unionbattle-408", "■")</f>
        <v>■</v>
      </c>
      <c r="F183" s="14" t="s">
        <v>4651</v>
      </c>
      <c r="G183" s="14">
        <v>56316</v>
      </c>
      <c r="H183" s="14">
        <v>51078</v>
      </c>
      <c r="I183" s="14">
        <v>19</v>
      </c>
      <c r="J183" s="14" t="s">
        <v>38</v>
      </c>
      <c r="K183" s="14" t="s">
        <v>4652</v>
      </c>
      <c r="L183" s="14" t="s">
        <v>4653</v>
      </c>
      <c r="M183" s="14" t="s">
        <v>9158</v>
      </c>
      <c r="N183" s="14" t="s">
        <v>9158</v>
      </c>
      <c r="O183" s="14" t="s">
        <v>9158</v>
      </c>
      <c r="P183" s="14" t="s">
        <v>9158</v>
      </c>
      <c r="Q183" s="14" t="s">
        <v>9158</v>
      </c>
      <c r="S183" s="14" t="s">
        <v>11735</v>
      </c>
    </row>
    <row r="184" spans="1:19">
      <c r="B184" s="14"/>
      <c r="C184" s="14"/>
      <c r="D184" s="14"/>
      <c r="F184" s="14"/>
      <c r="G184" s="14"/>
      <c r="H184" s="14"/>
      <c r="I184" s="14"/>
      <c r="J184" s="14"/>
      <c r="K184" s="14"/>
      <c r="L184" s="14"/>
      <c r="M184" s="14"/>
      <c r="N184" s="14"/>
      <c r="P184" s="14"/>
      <c r="Q184" s="14"/>
      <c r="R184" s="14"/>
    </row>
    <row r="185" spans="1:19">
      <c r="A185" s="14" t="s">
        <v>4654</v>
      </c>
      <c r="D185" s="14"/>
      <c r="F185" s="14"/>
      <c r="G185" s="14"/>
      <c r="H185" s="14"/>
      <c r="I185" s="14"/>
      <c r="J185" s="14"/>
      <c r="K185" s="14"/>
      <c r="L185" s="14"/>
      <c r="M185" s="14"/>
      <c r="N185" s="14"/>
      <c r="P185" s="14"/>
      <c r="Q185" s="14"/>
      <c r="R185" s="14"/>
    </row>
    <row r="186" spans="1:19">
      <c r="A186" s="14" t="s">
        <v>4655</v>
      </c>
      <c r="B186" s="14"/>
      <c r="C186" s="14"/>
      <c r="D186" s="14"/>
      <c r="F186" s="14"/>
      <c r="G186" s="14"/>
      <c r="H186" s="14"/>
      <c r="I186" s="14"/>
      <c r="J186" s="14"/>
      <c r="K186" s="14"/>
      <c r="L186" s="14"/>
      <c r="M186" s="14"/>
      <c r="N186" s="14"/>
      <c r="P186" s="14"/>
      <c r="Q186" s="14"/>
      <c r="R186" s="14"/>
    </row>
    <row r="187" spans="1:19">
      <c r="A187" s="9" t="s">
        <v>5891</v>
      </c>
      <c r="B187" s="14" t="s">
        <v>330</v>
      </c>
      <c r="C187" s="14" t="s">
        <v>202</v>
      </c>
      <c r="D187" s="14" t="s">
        <v>1371</v>
      </c>
      <c r="E187" s="15" t="str">
        <f>HYPERLINK("https://stat100.ameba.jp/tnk47/ratio20/illustrations/card/ill_77173_0_yukemuritomoegozen03.jpg?201905-2-RELEASE-unionbattle-408", "■")</f>
        <v>■</v>
      </c>
      <c r="F187" s="14" t="s">
        <v>1372</v>
      </c>
      <c r="G187" s="14">
        <v>240586</v>
      </c>
      <c r="H187" s="14">
        <v>266192</v>
      </c>
      <c r="I187" s="14">
        <v>24</v>
      </c>
      <c r="J187" s="14" t="s">
        <v>310</v>
      </c>
      <c r="K187" s="14" t="s">
        <v>1373</v>
      </c>
      <c r="L187" s="14" t="s">
        <v>1374</v>
      </c>
      <c r="M187" s="14" t="s">
        <v>9158</v>
      </c>
      <c r="N187" s="14" t="s">
        <v>9158</v>
      </c>
      <c r="O187" s="9" t="s">
        <v>3878</v>
      </c>
      <c r="P187" s="14" t="s">
        <v>3879</v>
      </c>
      <c r="Q187" s="14">
        <v>2</v>
      </c>
      <c r="R187" s="14"/>
    </row>
    <row r="188" spans="1:19">
      <c r="A188" s="9">
        <v>63273</v>
      </c>
      <c r="B188" s="14" t="s">
        <v>334</v>
      </c>
      <c r="C188" s="14" t="s">
        <v>203</v>
      </c>
      <c r="D188" s="14" t="s">
        <v>1210</v>
      </c>
      <c r="E188" s="15" t="str">
        <f>HYPERLINK("https://stat100.ameba.jp/tnk47/ratio20/illustrations/card/ill_63273_tsukushimai03.jpg?201905-2-RELEASE-unionbattle-408", "■")</f>
        <v>■</v>
      </c>
      <c r="F188" s="14" t="s">
        <v>829</v>
      </c>
      <c r="G188" s="14">
        <v>117374</v>
      </c>
      <c r="H188" s="14">
        <v>85010</v>
      </c>
      <c r="I188" s="14">
        <v>23</v>
      </c>
      <c r="J188" s="14" t="s">
        <v>274</v>
      </c>
      <c r="K188" s="14" t="s">
        <v>830</v>
      </c>
      <c r="L188" s="14" t="s">
        <v>831</v>
      </c>
      <c r="M188" s="14" t="s">
        <v>9158</v>
      </c>
      <c r="N188" s="14" t="s">
        <v>9158</v>
      </c>
      <c r="O188" s="9" t="s">
        <v>3642</v>
      </c>
      <c r="P188" s="14" t="s">
        <v>13128</v>
      </c>
      <c r="Q188" s="14">
        <v>1</v>
      </c>
      <c r="R188" s="14"/>
    </row>
    <row r="189" spans="1:19">
      <c r="A189" s="9">
        <v>58743</v>
      </c>
      <c r="B189" s="14" t="s">
        <v>334</v>
      </c>
      <c r="C189" s="14" t="s">
        <v>209</v>
      </c>
      <c r="D189" s="14" t="s">
        <v>2549</v>
      </c>
      <c r="E189" s="15" t="str">
        <f>HYPERLINK("https://stat100.ameba.jp/tnk47/ratio20/illustrations/card/ill_58743_enkirienoki03.jpg?201905-2-RELEASE-unionbattle-408", "■")</f>
        <v>■</v>
      </c>
      <c r="F189" s="14" t="s">
        <v>2550</v>
      </c>
      <c r="G189" s="14">
        <v>69599</v>
      </c>
      <c r="H189" s="14">
        <v>94922</v>
      </c>
      <c r="I189" s="14">
        <v>23</v>
      </c>
      <c r="J189" s="14" t="s">
        <v>44</v>
      </c>
      <c r="K189" s="14" t="s">
        <v>2551</v>
      </c>
      <c r="L189" s="14" t="s">
        <v>95</v>
      </c>
      <c r="M189" s="14" t="s">
        <v>9158</v>
      </c>
      <c r="N189" s="14" t="s">
        <v>9158</v>
      </c>
      <c r="O189" s="17" t="s">
        <v>10065</v>
      </c>
      <c r="P189" s="14" t="s">
        <v>3670</v>
      </c>
      <c r="Q189" s="14">
        <v>1</v>
      </c>
      <c r="R189" s="14"/>
    </row>
    <row r="190" spans="1:19">
      <c r="A190" s="9">
        <v>54433</v>
      </c>
      <c r="B190" s="14" t="s">
        <v>0</v>
      </c>
      <c r="C190" s="14" t="s">
        <v>14</v>
      </c>
      <c r="D190" s="14" t="s">
        <v>4656</v>
      </c>
      <c r="E190" s="15" t="str">
        <f>HYPERLINK("https://stat100.ameba.jp/tnk47/ratio20/illustrations/card/ill_54433_yonshunentsuraraonna03.jpg?201905-2-RELEASE-unionbattle-408", "■")</f>
        <v>■</v>
      </c>
      <c r="F190" s="14" t="s">
        <v>4657</v>
      </c>
      <c r="G190" s="14">
        <v>88650</v>
      </c>
      <c r="H190" s="14">
        <v>82422</v>
      </c>
      <c r="I190" s="14">
        <v>23</v>
      </c>
      <c r="J190" s="14" t="s">
        <v>73</v>
      </c>
      <c r="K190" s="14" t="s">
        <v>4658</v>
      </c>
      <c r="L190" s="14" t="s">
        <v>4659</v>
      </c>
      <c r="M190" s="14" t="s">
        <v>9158</v>
      </c>
      <c r="N190" s="14" t="s">
        <v>9158</v>
      </c>
      <c r="O190" s="9" t="s">
        <v>4660</v>
      </c>
      <c r="P190" s="14" t="s">
        <v>4661</v>
      </c>
      <c r="Q190" s="14">
        <v>1</v>
      </c>
      <c r="R190" s="14"/>
    </row>
    <row r="191" spans="1:19">
      <c r="B191" s="14"/>
      <c r="C191" s="14"/>
      <c r="D191" s="14"/>
      <c r="F191" s="14"/>
      <c r="G191" s="14"/>
      <c r="H191" s="14"/>
      <c r="I191" s="14"/>
      <c r="J191" s="14"/>
      <c r="K191" s="14"/>
      <c r="L191" s="14"/>
      <c r="M191" s="14"/>
      <c r="N191" s="14"/>
      <c r="P191" s="14"/>
      <c r="Q191" s="14"/>
      <c r="R191" s="14"/>
    </row>
    <row r="192" spans="1:19">
      <c r="A192" s="14" t="s">
        <v>4662</v>
      </c>
      <c r="D192" s="14"/>
      <c r="F192" s="14"/>
      <c r="G192" s="14"/>
      <c r="H192" s="14"/>
      <c r="I192" s="14"/>
      <c r="J192" s="14"/>
      <c r="K192" s="14"/>
      <c r="L192" s="14"/>
      <c r="M192" s="14"/>
      <c r="N192" s="14"/>
      <c r="P192" s="14"/>
      <c r="Q192" s="14"/>
      <c r="R192" s="14"/>
    </row>
    <row r="193" spans="1:18">
      <c r="A193" s="14" t="s">
        <v>4663</v>
      </c>
      <c r="B193" s="14"/>
      <c r="C193" s="14"/>
      <c r="D193" s="14"/>
      <c r="F193" s="14"/>
      <c r="G193" s="14"/>
      <c r="H193" s="14"/>
      <c r="I193" s="14"/>
      <c r="J193" s="14"/>
      <c r="K193" s="14"/>
      <c r="L193" s="14"/>
      <c r="M193" s="14"/>
      <c r="N193" s="14"/>
      <c r="P193" s="14"/>
      <c r="Q193" s="14"/>
      <c r="R193" s="14"/>
    </row>
    <row r="194" spans="1:18">
      <c r="A194" s="9" t="s">
        <v>5822</v>
      </c>
      <c r="B194" s="14" t="s">
        <v>330</v>
      </c>
      <c r="C194" s="14" t="s">
        <v>191</v>
      </c>
      <c r="D194" s="14" t="s">
        <v>898</v>
      </c>
      <c r="E194" s="15" t="str">
        <f>HYPERLINK("https://stat100.ameba.jp/tnk47/ratio20/illustrations/card/ill_71403_0_ohanamisanadayukimura03.jpg?201905-2-RELEASE-unionbattle-408", "■")</f>
        <v>■</v>
      </c>
      <c r="F194" s="14" t="s">
        <v>899</v>
      </c>
      <c r="G194" s="14">
        <v>140016</v>
      </c>
      <c r="H194" s="14">
        <v>140016</v>
      </c>
      <c r="I194" s="14">
        <v>15</v>
      </c>
      <c r="J194" s="14" t="s">
        <v>143</v>
      </c>
      <c r="K194" s="14" t="s">
        <v>900</v>
      </c>
      <c r="L194" s="14" t="s">
        <v>901</v>
      </c>
      <c r="M194" s="14" t="s">
        <v>9158</v>
      </c>
      <c r="N194" s="14" t="s">
        <v>9158</v>
      </c>
      <c r="O194" s="17" t="s">
        <v>10060</v>
      </c>
      <c r="P194" s="14" t="s">
        <v>3418</v>
      </c>
      <c r="Q194" s="14">
        <v>2</v>
      </c>
      <c r="R194" s="14"/>
    </row>
    <row r="195" spans="1:18">
      <c r="A195" s="9" t="s">
        <v>5609</v>
      </c>
      <c r="B195" s="14" t="s">
        <v>330</v>
      </c>
      <c r="C195" s="14" t="s">
        <v>200</v>
      </c>
      <c r="D195" s="14" t="s">
        <v>56</v>
      </c>
      <c r="E195" s="15" t="str">
        <f>HYPERLINK("https://stat100.ameba.jp/tnk47/ratio20/illustrations/card/ill_53753_0_natsumatsuritokugawaieyasu03.jpg?201905-2-RELEASE-unionbattle-408", "■")</f>
        <v>■</v>
      </c>
      <c r="F195" s="14" t="s">
        <v>902</v>
      </c>
      <c r="G195" s="14">
        <v>94236</v>
      </c>
      <c r="H195" s="14">
        <v>83712</v>
      </c>
      <c r="I195" s="14">
        <v>15</v>
      </c>
      <c r="J195" s="14" t="s">
        <v>143</v>
      </c>
      <c r="K195" s="14" t="s">
        <v>903</v>
      </c>
      <c r="L195" s="14" t="s">
        <v>904</v>
      </c>
      <c r="M195" s="14" t="s">
        <v>9158</v>
      </c>
      <c r="N195" s="14" t="s">
        <v>9158</v>
      </c>
      <c r="O195" s="17" t="s">
        <v>10052</v>
      </c>
      <c r="P195" s="14" t="s">
        <v>13121</v>
      </c>
      <c r="Q195" s="14">
        <v>1</v>
      </c>
      <c r="R195" s="14"/>
    </row>
    <row r="196" spans="1:18">
      <c r="A196" s="9" t="s">
        <v>5608</v>
      </c>
      <c r="B196" s="14" t="s">
        <v>330</v>
      </c>
      <c r="C196" s="14" t="s">
        <v>165</v>
      </c>
      <c r="D196" s="14" t="s">
        <v>1359</v>
      </c>
      <c r="E196" s="15" t="str">
        <f>HYPERLINK("https://stat100.ameba.jp/tnk47/ratio20/illustrations/card/ill_40963_0_makami03.jpg?201905-2-RELEASE-unionbattle-408", "■")</f>
        <v>■</v>
      </c>
      <c r="F196" s="14" t="s">
        <v>635</v>
      </c>
      <c r="G196" s="14">
        <v>87780</v>
      </c>
      <c r="H196" s="14">
        <v>82212</v>
      </c>
      <c r="I196" s="14">
        <v>15</v>
      </c>
      <c r="J196" s="14" t="s">
        <v>401</v>
      </c>
      <c r="K196" s="14" t="s">
        <v>636</v>
      </c>
      <c r="L196" s="14" t="s">
        <v>637</v>
      </c>
      <c r="M196" s="14" t="s">
        <v>9158</v>
      </c>
      <c r="N196" s="14" t="s">
        <v>9158</v>
      </c>
      <c r="O196" s="14" t="s">
        <v>9158</v>
      </c>
      <c r="P196" s="14" t="s">
        <v>9158</v>
      </c>
      <c r="Q196" s="14" t="s">
        <v>9158</v>
      </c>
      <c r="R196" s="14"/>
    </row>
    <row r="197" spans="1:18">
      <c r="A197" s="9">
        <v>77603</v>
      </c>
      <c r="B197" s="14" t="s">
        <v>0</v>
      </c>
      <c r="C197" s="14" t="s">
        <v>191</v>
      </c>
      <c r="D197" s="14" t="s">
        <v>1883</v>
      </c>
      <c r="E197" s="15" t="str">
        <f>HYPERLINK("https://stat100.ameba.jp/tnk47/ratio20/illustrations/card/ill_77603_kajinoikedasen03.jpg?201905-2-RELEASE-unionbattle-408", "■")</f>
        <v>■</v>
      </c>
      <c r="F197" s="14" t="s">
        <v>1884</v>
      </c>
      <c r="G197" s="14">
        <v>168858</v>
      </c>
      <c r="H197" s="14">
        <v>95001</v>
      </c>
      <c r="I197" s="14">
        <v>23</v>
      </c>
      <c r="J197" s="14" t="s">
        <v>143</v>
      </c>
      <c r="K197" s="14" t="s">
        <v>1885</v>
      </c>
      <c r="L197" s="14" t="s">
        <v>145</v>
      </c>
      <c r="M197" s="14" t="s">
        <v>9158</v>
      </c>
      <c r="N197" s="14" t="s">
        <v>9158</v>
      </c>
      <c r="O197" s="14" t="s">
        <v>9158</v>
      </c>
      <c r="P197" s="14" t="s">
        <v>9158</v>
      </c>
      <c r="Q197" s="14" t="s">
        <v>9158</v>
      </c>
      <c r="R197" s="14"/>
    </row>
    <row r="198" spans="1:18">
      <c r="A198" s="9">
        <v>63413</v>
      </c>
      <c r="B198" s="14" t="s">
        <v>334</v>
      </c>
      <c r="C198" s="14" t="s">
        <v>23</v>
      </c>
      <c r="D198" s="14" t="s">
        <v>2097</v>
      </c>
      <c r="E198" s="15" t="str">
        <f>HYPERLINK("https://stat100.ameba.jp/tnk47/ratio20/illustrations/card/ill_63413_nidaimeichikawadanjuro03.jpg?201905-2-RELEASE-unionbattle-408", "■")</f>
        <v>■</v>
      </c>
      <c r="F198" s="14" t="s">
        <v>2098</v>
      </c>
      <c r="G198" s="14">
        <v>115195</v>
      </c>
      <c r="H198" s="14">
        <v>64817</v>
      </c>
      <c r="I198" s="14">
        <v>23</v>
      </c>
      <c r="J198" s="14" t="s">
        <v>16</v>
      </c>
      <c r="K198" s="14" t="s">
        <v>2099</v>
      </c>
      <c r="L198" s="14" t="s">
        <v>2100</v>
      </c>
      <c r="M198" s="14" t="s">
        <v>9158</v>
      </c>
      <c r="N198" s="14" t="s">
        <v>9158</v>
      </c>
      <c r="O198" s="14" t="s">
        <v>9158</v>
      </c>
      <c r="P198" s="14" t="s">
        <v>9158</v>
      </c>
      <c r="Q198" s="14" t="s">
        <v>9158</v>
      </c>
      <c r="R198" s="14"/>
    </row>
    <row r="199" spans="1:18">
      <c r="A199" s="9">
        <v>73923</v>
      </c>
      <c r="B199" s="14" t="s">
        <v>334</v>
      </c>
      <c r="C199" s="14" t="s">
        <v>206</v>
      </c>
      <c r="D199" s="14" t="s">
        <v>3092</v>
      </c>
      <c r="E199" s="15" t="str">
        <f>HYPERLINK("https://stat100.ameba.jp/tnk47/ratio20/illustrations/card/ill_73923_hiryugama03.jpg?201905-2-RELEASE-unionbattle-408", "■")</f>
        <v>■</v>
      </c>
      <c r="F199" s="14" t="s">
        <v>3093</v>
      </c>
      <c r="G199" s="14">
        <v>104778</v>
      </c>
      <c r="H199" s="14">
        <v>97420</v>
      </c>
      <c r="I199" s="14">
        <v>23</v>
      </c>
      <c r="J199" s="14" t="s">
        <v>369</v>
      </c>
      <c r="K199" s="14" t="s">
        <v>3094</v>
      </c>
      <c r="L199" s="14" t="s">
        <v>1532</v>
      </c>
      <c r="M199" s="14" t="s">
        <v>9158</v>
      </c>
      <c r="N199" s="14" t="s">
        <v>9158</v>
      </c>
      <c r="O199" s="14" t="s">
        <v>9158</v>
      </c>
      <c r="P199" s="14" t="s">
        <v>9158</v>
      </c>
      <c r="Q199" s="14" t="s">
        <v>9158</v>
      </c>
      <c r="R199" s="14"/>
    </row>
    <row r="200" spans="1:18">
      <c r="B200" s="14"/>
      <c r="C200" s="14"/>
      <c r="D200" s="14"/>
      <c r="F200" s="14"/>
      <c r="G200" s="14"/>
      <c r="H200" s="14"/>
      <c r="I200" s="14"/>
      <c r="J200" s="14"/>
      <c r="K200" s="14"/>
      <c r="L200" s="14"/>
      <c r="M200" s="14"/>
      <c r="N200" s="14"/>
      <c r="P200" s="14"/>
      <c r="Q200" s="14"/>
      <c r="R200" s="14"/>
    </row>
    <row r="201" spans="1:18">
      <c r="A201" s="14" t="s">
        <v>114</v>
      </c>
      <c r="D201" s="14"/>
      <c r="F201" s="14"/>
      <c r="G201" s="14"/>
      <c r="H201" s="14"/>
      <c r="I201" s="14"/>
      <c r="J201" s="14"/>
      <c r="K201" s="14"/>
      <c r="L201" s="14"/>
      <c r="M201" s="14"/>
      <c r="N201" s="14"/>
      <c r="P201" s="14"/>
      <c r="Q201" s="14"/>
      <c r="R201" s="14"/>
    </row>
    <row r="202" spans="1:18">
      <c r="A202" s="14" t="s">
        <v>4665</v>
      </c>
      <c r="B202" s="14"/>
      <c r="C202" s="14"/>
      <c r="D202" s="14"/>
      <c r="F202" s="14"/>
      <c r="G202" s="14"/>
      <c r="H202" s="14"/>
      <c r="I202" s="14"/>
      <c r="J202" s="14"/>
      <c r="K202" s="14"/>
      <c r="L202" s="14"/>
      <c r="M202" s="14"/>
      <c r="N202" s="14"/>
      <c r="P202" s="14"/>
      <c r="Q202" s="14"/>
      <c r="R202" s="14"/>
    </row>
    <row r="203" spans="1:18">
      <c r="A203" s="9" t="s">
        <v>5642</v>
      </c>
      <c r="B203" s="14" t="s">
        <v>52</v>
      </c>
      <c r="C203" s="14" t="s">
        <v>185</v>
      </c>
      <c r="D203" s="14" t="s">
        <v>2430</v>
      </c>
      <c r="E203" s="15" t="str">
        <f>HYPERLINK("https://stat100.ameba.jp/tnk47/ratio20/illustrations/card/ill_69593_0_setsubunyukionna03.jpg?201905-2-RELEASE-unionbattle-408", "■")</f>
        <v>■</v>
      </c>
      <c r="F203" s="14" t="s">
        <v>2431</v>
      </c>
      <c r="G203" s="14">
        <v>157150</v>
      </c>
      <c r="H203" s="14">
        <v>169032</v>
      </c>
      <c r="I203" s="14">
        <v>22</v>
      </c>
      <c r="J203" s="14" t="s">
        <v>73</v>
      </c>
      <c r="K203" s="14" t="s">
        <v>2432</v>
      </c>
      <c r="L203" s="14" t="s">
        <v>2433</v>
      </c>
      <c r="M203" s="14" t="s">
        <v>9158</v>
      </c>
      <c r="N203" s="14" t="s">
        <v>9158</v>
      </c>
      <c r="O203" s="9" t="s">
        <v>3599</v>
      </c>
      <c r="P203" s="14" t="s">
        <v>3600</v>
      </c>
      <c r="Q203" s="14">
        <v>2</v>
      </c>
      <c r="R203" s="14"/>
    </row>
    <row r="204" spans="1:18">
      <c r="A204" s="9" t="s">
        <v>5615</v>
      </c>
      <c r="B204" s="14" t="s">
        <v>330</v>
      </c>
      <c r="C204" s="14" t="s">
        <v>206</v>
      </c>
      <c r="D204" s="14" t="s">
        <v>1015</v>
      </c>
      <c r="E204" s="15" t="str">
        <f>HYPERLINK("https://stat100.ameba.jp/tnk47/ratio20/illustrations/card/ill_57733_0_shogatsunisenjunanaamakusashiro03.jpg?201905-2-RELEASE-unionbattle-408", "■")</f>
        <v>■</v>
      </c>
      <c r="F204" s="14" t="s">
        <v>1016</v>
      </c>
      <c r="G204" s="14">
        <v>122776</v>
      </c>
      <c r="H204" s="14">
        <v>138212</v>
      </c>
      <c r="I204" s="14">
        <v>22</v>
      </c>
      <c r="J204" s="14" t="s">
        <v>10</v>
      </c>
      <c r="K204" s="14" t="s">
        <v>1017</v>
      </c>
      <c r="L204" s="14" t="s">
        <v>1018</v>
      </c>
      <c r="M204" s="14" t="s">
        <v>9158</v>
      </c>
      <c r="N204" s="14" t="s">
        <v>9158</v>
      </c>
      <c r="O204" s="17" t="s">
        <v>10063</v>
      </c>
      <c r="P204" s="14" t="s">
        <v>3062</v>
      </c>
      <c r="Q204" s="14">
        <v>1</v>
      </c>
      <c r="R204" s="14"/>
    </row>
    <row r="205" spans="1:18">
      <c r="A205" s="9">
        <v>81313</v>
      </c>
      <c r="B205" s="14" t="s">
        <v>0</v>
      </c>
      <c r="C205" s="14" t="s">
        <v>154</v>
      </c>
      <c r="D205" s="14" t="s">
        <v>4666</v>
      </c>
      <c r="E205" s="15" t="str">
        <f>HYPERLINK("https://stat100.ameba.jp/tnk47/ratio20/illustrations/card/ill_81313_harihara03.jpg?201905-2-RELEASE-unionbattle-408", "■")</f>
        <v>■</v>
      </c>
      <c r="F205" s="14" t="s">
        <v>4667</v>
      </c>
      <c r="G205" s="14">
        <v>159674</v>
      </c>
      <c r="H205" s="14">
        <v>115656</v>
      </c>
      <c r="I205" s="14">
        <v>24</v>
      </c>
      <c r="J205" s="14" t="s">
        <v>44</v>
      </c>
      <c r="K205" s="14" t="s">
        <v>4668</v>
      </c>
      <c r="L205" s="14" t="s">
        <v>4669</v>
      </c>
      <c r="M205" s="14" t="s">
        <v>9158</v>
      </c>
      <c r="N205" s="14" t="s">
        <v>9158</v>
      </c>
      <c r="O205" s="9" t="s">
        <v>3657</v>
      </c>
      <c r="P205" s="14" t="s">
        <v>3658</v>
      </c>
      <c r="Q205" s="14">
        <v>1</v>
      </c>
      <c r="R205" s="14"/>
    </row>
    <row r="206" spans="1:18">
      <c r="A206" s="9">
        <v>71313</v>
      </c>
      <c r="B206" s="14" t="s">
        <v>334</v>
      </c>
      <c r="C206" s="14" t="s">
        <v>203</v>
      </c>
      <c r="D206" s="14" t="s">
        <v>2823</v>
      </c>
      <c r="E206" s="15" t="str">
        <f>HYPERLINK("https://stat100.ameba.jp/tnk47/ratio20/illustrations/card/ill_71313_kagewani03.jpg?201905-2-RELEASE-unionbattle-408", "■")</f>
        <v>■</v>
      </c>
      <c r="F206" s="14" t="s">
        <v>2824</v>
      </c>
      <c r="G206" s="14">
        <v>77618</v>
      </c>
      <c r="H206" s="14">
        <v>107166</v>
      </c>
      <c r="I206" s="14">
        <v>21</v>
      </c>
      <c r="J206" s="14" t="s">
        <v>274</v>
      </c>
      <c r="K206" s="14" t="s">
        <v>2825</v>
      </c>
      <c r="L206" s="14" t="s">
        <v>2826</v>
      </c>
      <c r="M206" s="14" t="s">
        <v>9158</v>
      </c>
      <c r="N206" s="14" t="s">
        <v>9158</v>
      </c>
      <c r="O206" s="14" t="s">
        <v>9158</v>
      </c>
      <c r="P206" s="14" t="s">
        <v>9158</v>
      </c>
      <c r="Q206" s="14" t="s">
        <v>9158</v>
      </c>
      <c r="R206" s="14"/>
    </row>
    <row r="207" spans="1:18">
      <c r="A207" s="9">
        <v>67943</v>
      </c>
      <c r="B207" s="14" t="s">
        <v>334</v>
      </c>
      <c r="C207" s="14" t="s">
        <v>154</v>
      </c>
      <c r="D207" s="14" t="s">
        <v>1780</v>
      </c>
      <c r="E207" s="15" t="str">
        <f>HYPERLINK("https://stat100.ameba.jp/tnk47/ratio20/illustrations/card/ill_67943_hoshinamasayuki03.jpg?201905-2-RELEASE-unionbattle-408", "■")</f>
        <v>■</v>
      </c>
      <c r="F207" s="14" t="s">
        <v>1781</v>
      </c>
      <c r="G207" s="14">
        <v>65335</v>
      </c>
      <c r="H207" s="14">
        <v>60733</v>
      </c>
      <c r="I207" s="14">
        <v>21</v>
      </c>
      <c r="J207" s="14" t="s">
        <v>10</v>
      </c>
      <c r="K207" s="14" t="s">
        <v>1782</v>
      </c>
      <c r="L207" s="14" t="s">
        <v>1783</v>
      </c>
      <c r="M207" s="14" t="s">
        <v>9158</v>
      </c>
      <c r="N207" s="14" t="s">
        <v>9158</v>
      </c>
      <c r="O207" s="14" t="s">
        <v>9158</v>
      </c>
      <c r="P207" s="14" t="s">
        <v>9158</v>
      </c>
      <c r="Q207" s="14" t="s">
        <v>9158</v>
      </c>
      <c r="R207" s="14"/>
    </row>
    <row r="208" spans="1:18">
      <c r="A208" s="9">
        <v>69513</v>
      </c>
      <c r="B208" s="14" t="s">
        <v>0</v>
      </c>
      <c r="C208" s="14" t="s">
        <v>158</v>
      </c>
      <c r="D208" s="14" t="s">
        <v>3673</v>
      </c>
      <c r="E208" s="15" t="str">
        <f>HYPERLINK("https://stat100.ameba.jp/tnk47/ratio20/illustrations/card/ill_69513_somedononokisaki03.jpg?201905-2-RELEASE-unionbattle-408", "■")</f>
        <v>■</v>
      </c>
      <c r="F208" s="14" t="s">
        <v>3674</v>
      </c>
      <c r="G208" s="14">
        <v>69430</v>
      </c>
      <c r="H208" s="14">
        <v>95859</v>
      </c>
      <c r="I208" s="14">
        <v>21</v>
      </c>
      <c r="J208" s="14" t="s">
        <v>187</v>
      </c>
      <c r="K208" s="14" t="s">
        <v>3675</v>
      </c>
      <c r="L208" s="14" t="s">
        <v>13187</v>
      </c>
      <c r="M208" s="14" t="s">
        <v>9158</v>
      </c>
      <c r="N208" s="14" t="s">
        <v>9158</v>
      </c>
      <c r="O208" s="9" t="s">
        <v>4670</v>
      </c>
      <c r="P208" s="14" t="s">
        <v>13173</v>
      </c>
      <c r="Q208" s="14">
        <v>1</v>
      </c>
      <c r="R208" s="14"/>
    </row>
    <row r="209" spans="1:18">
      <c r="A209" s="9">
        <v>64033</v>
      </c>
      <c r="B209" s="14" t="s">
        <v>0</v>
      </c>
      <c r="C209" s="14" t="s">
        <v>41</v>
      </c>
      <c r="D209" s="14" t="s">
        <v>129</v>
      </c>
      <c r="E209" s="15" t="str">
        <f>HYPERLINK("https://stat100.ameba.jp/tnk47/ratio20/illustrations/card/ill_64033_sobameshi03.jpg?201905-2-RELEASE-unionbattle-408", "■")</f>
        <v>■</v>
      </c>
      <c r="F209" s="14" t="s">
        <v>129</v>
      </c>
      <c r="G209" s="14">
        <v>80391</v>
      </c>
      <c r="H209" s="14">
        <v>111000</v>
      </c>
      <c r="I209" s="14">
        <v>21</v>
      </c>
      <c r="J209" s="14" t="s">
        <v>104</v>
      </c>
      <c r="K209" s="14" t="s">
        <v>130</v>
      </c>
      <c r="L209" s="14" t="s">
        <v>131</v>
      </c>
      <c r="M209" s="14" t="s">
        <v>9158</v>
      </c>
      <c r="N209" s="14" t="s">
        <v>9158</v>
      </c>
      <c r="O209" s="14" t="s">
        <v>9158</v>
      </c>
      <c r="P209" s="14" t="s">
        <v>9158</v>
      </c>
      <c r="Q209" s="14" t="s">
        <v>9158</v>
      </c>
      <c r="R209" s="14"/>
    </row>
    <row r="210" spans="1:18">
      <c r="A210" s="9">
        <v>67643</v>
      </c>
      <c r="B210" s="14" t="s">
        <v>334</v>
      </c>
      <c r="C210" s="14" t="s">
        <v>209</v>
      </c>
      <c r="D210" s="14" t="s">
        <v>1195</v>
      </c>
      <c r="E210" s="15" t="str">
        <f>HYPERLINK("https://stat100.ameba.jp/tnk47/ratio20/illustrations/card/ill_67643_edokarakamichan03.jpg?201905-2-RELEASE-unionbattle-408", "■")</f>
        <v>■</v>
      </c>
      <c r="F210" s="14" t="s">
        <v>1196</v>
      </c>
      <c r="G210" s="14">
        <v>99171</v>
      </c>
      <c r="H210" s="14">
        <v>92220</v>
      </c>
      <c r="I210" s="14">
        <v>21</v>
      </c>
      <c r="J210" s="14" t="s">
        <v>26</v>
      </c>
      <c r="K210" s="14" t="s">
        <v>1197</v>
      </c>
      <c r="L210" s="14" t="s">
        <v>1198</v>
      </c>
      <c r="M210" s="14" t="s">
        <v>9158</v>
      </c>
      <c r="N210" s="14" t="s">
        <v>9158</v>
      </c>
      <c r="O210" s="9" t="s">
        <v>3037</v>
      </c>
      <c r="P210" s="14" t="s">
        <v>13128</v>
      </c>
      <c r="Q210" s="14">
        <v>1</v>
      </c>
      <c r="R210" s="14"/>
    </row>
    <row r="211" spans="1:18">
      <c r="B211" s="14"/>
      <c r="C211" s="14"/>
      <c r="D211" s="14"/>
      <c r="F211" s="14"/>
      <c r="G211" s="14"/>
      <c r="H211" s="14"/>
      <c r="I211" s="14"/>
      <c r="J211" s="14"/>
      <c r="K211" s="14"/>
      <c r="L211" s="14"/>
      <c r="M211" s="14"/>
      <c r="N211" s="14"/>
      <c r="P211" s="14"/>
      <c r="Q211" s="14"/>
      <c r="R211" s="14"/>
    </row>
    <row r="212" spans="1:18">
      <c r="A212" s="14" t="s">
        <v>195</v>
      </c>
      <c r="D212" s="14"/>
      <c r="F212" s="14"/>
      <c r="G212" s="14"/>
      <c r="H212" s="14"/>
      <c r="I212" s="14"/>
      <c r="J212" s="14"/>
      <c r="K212" s="14"/>
      <c r="L212" s="14"/>
      <c r="M212" s="14"/>
      <c r="N212" s="14"/>
      <c r="P212" s="14"/>
      <c r="Q212" s="14"/>
      <c r="R212" s="14"/>
    </row>
    <row r="213" spans="1:18">
      <c r="A213" s="14" t="s">
        <v>4664</v>
      </c>
      <c r="B213" s="14"/>
      <c r="C213" s="14"/>
      <c r="D213" s="14"/>
      <c r="F213" s="14"/>
      <c r="G213" s="14"/>
      <c r="H213" s="14"/>
      <c r="I213" s="14"/>
      <c r="J213" s="14"/>
      <c r="K213" s="14"/>
      <c r="L213" s="14"/>
      <c r="M213" s="14"/>
      <c r="N213" s="14"/>
      <c r="P213" s="14"/>
      <c r="Q213" s="14"/>
      <c r="R213" s="14"/>
    </row>
    <row r="214" spans="1:18">
      <c r="A214" s="9">
        <v>71013</v>
      </c>
      <c r="B214" s="14" t="s">
        <v>334</v>
      </c>
      <c r="C214" s="14" t="s">
        <v>154</v>
      </c>
      <c r="D214" s="14" t="s">
        <v>1229</v>
      </c>
      <c r="E214" s="15" t="str">
        <f>HYPERLINK("https://stat100.ameba.jp/tnk47/ratio20/illustrations/card/ill_71013_fujutsushisarashina03.jpg?201905-2-RELEASE-unionbattle-408", "■")</f>
        <v>■</v>
      </c>
      <c r="F214" s="14" t="s">
        <v>838</v>
      </c>
      <c r="G214" s="14">
        <v>88226</v>
      </c>
      <c r="H214" s="14">
        <v>94886</v>
      </c>
      <c r="I214" s="14">
        <v>22</v>
      </c>
      <c r="J214" s="14" t="s">
        <v>155</v>
      </c>
      <c r="K214" s="14" t="s">
        <v>1231</v>
      </c>
      <c r="L214" s="14" t="s">
        <v>13152</v>
      </c>
      <c r="M214" s="14" t="s">
        <v>9158</v>
      </c>
      <c r="N214" s="14" t="s">
        <v>9158</v>
      </c>
      <c r="O214" s="14" t="s">
        <v>9158</v>
      </c>
      <c r="P214" s="14" t="s">
        <v>9158</v>
      </c>
      <c r="Q214" s="14" t="s">
        <v>9158</v>
      </c>
      <c r="R214" s="14"/>
    </row>
    <row r="215" spans="1:18">
      <c r="A215" s="9">
        <v>71023</v>
      </c>
      <c r="B215" s="14" t="s">
        <v>334</v>
      </c>
      <c r="C215" s="14" t="s">
        <v>158</v>
      </c>
      <c r="D215" s="14" t="s">
        <v>1230</v>
      </c>
      <c r="E215" s="15" t="str">
        <f>HYPERLINK("https://stat100.ameba.jp/tnk47/ratio20/illustrations/card/ill_71023_ommyojiiroha03.jpg?201905-2-RELEASE-unionbattle-408", "■")</f>
        <v>■</v>
      </c>
      <c r="F215" s="14" t="s">
        <v>842</v>
      </c>
      <c r="G215" s="14">
        <v>88226</v>
      </c>
      <c r="H215" s="14">
        <v>94886</v>
      </c>
      <c r="I215" s="14">
        <v>22</v>
      </c>
      <c r="J215" s="14" t="s">
        <v>159</v>
      </c>
      <c r="K215" s="14" t="s">
        <v>1232</v>
      </c>
      <c r="L215" s="14" t="s">
        <v>1233</v>
      </c>
      <c r="M215" s="14" t="s">
        <v>9158</v>
      </c>
      <c r="N215" s="14" t="s">
        <v>9158</v>
      </c>
      <c r="O215" s="14" t="s">
        <v>9158</v>
      </c>
      <c r="P215" s="14" t="s">
        <v>9158</v>
      </c>
      <c r="Q215" s="14" t="s">
        <v>9158</v>
      </c>
      <c r="R215" s="14"/>
    </row>
    <row r="216" spans="1:18">
      <c r="A216" s="9">
        <v>64063</v>
      </c>
      <c r="B216" s="14" t="s">
        <v>334</v>
      </c>
      <c r="C216" s="14" t="s">
        <v>200</v>
      </c>
      <c r="D216" s="14" t="s">
        <v>4401</v>
      </c>
      <c r="E216" s="15" t="str">
        <f>HYPERLINK("https://stat100.ameba.jp/tnk47/ratio20/illustrations/card/ill_64063_yusuzumishinshishika03.jpg?201905-2-RELEASE-unionbattle-408", "■")</f>
        <v>■</v>
      </c>
      <c r="F216" s="14" t="s">
        <v>4402</v>
      </c>
      <c r="G216" s="14">
        <v>83426</v>
      </c>
      <c r="H216" s="14">
        <v>89736</v>
      </c>
      <c r="I216" s="14">
        <v>22</v>
      </c>
      <c r="J216" s="14" t="s">
        <v>44</v>
      </c>
      <c r="K216" s="14" t="s">
        <v>4403</v>
      </c>
      <c r="L216" s="14" t="s">
        <v>965</v>
      </c>
      <c r="M216" s="14" t="s">
        <v>9158</v>
      </c>
      <c r="N216" s="14" t="s">
        <v>9158</v>
      </c>
      <c r="O216" s="14" t="s">
        <v>9158</v>
      </c>
      <c r="P216" s="14" t="s">
        <v>9158</v>
      </c>
      <c r="Q216" s="14" t="s">
        <v>9158</v>
      </c>
      <c r="R216" s="14"/>
    </row>
    <row r="217" spans="1:18">
      <c r="A217" s="9">
        <v>65923</v>
      </c>
      <c r="B217" s="14" t="s">
        <v>334</v>
      </c>
      <c r="C217" s="14" t="s">
        <v>185</v>
      </c>
      <c r="D217" s="14" t="s">
        <v>3677</v>
      </c>
      <c r="E217" s="15" t="str">
        <f>HYPERLINK("https://stat100.ameba.jp/tnk47/ratio20/illustrations/card/ill_65923_arabianginko03.jpg?201905-2-RELEASE-unionbattle-408", "■")</f>
        <v>■</v>
      </c>
      <c r="F217" s="14" t="s">
        <v>3678</v>
      </c>
      <c r="G217" s="14">
        <v>91664</v>
      </c>
      <c r="H217" s="14">
        <v>85246</v>
      </c>
      <c r="I217" s="14">
        <v>22</v>
      </c>
      <c r="J217" s="14" t="s">
        <v>182</v>
      </c>
      <c r="K217" s="14" t="s">
        <v>3679</v>
      </c>
      <c r="L217" s="14" t="s">
        <v>13188</v>
      </c>
      <c r="M217" s="14" t="s">
        <v>9158</v>
      </c>
      <c r="N217" s="14" t="s">
        <v>9158</v>
      </c>
      <c r="O217" s="14" t="s">
        <v>9158</v>
      </c>
      <c r="P217" s="14" t="s">
        <v>9158</v>
      </c>
      <c r="Q217" s="14" t="s">
        <v>9158</v>
      </c>
      <c r="R217" s="14"/>
    </row>
    <row r="218" spans="1:18">
      <c r="B218" s="14"/>
      <c r="C218" s="14"/>
      <c r="D218" s="14"/>
      <c r="F218" s="14"/>
      <c r="G218" s="14"/>
      <c r="H218" s="14"/>
      <c r="I218" s="14"/>
      <c r="J218" s="14"/>
      <c r="K218" s="14"/>
      <c r="L218" s="14"/>
      <c r="M218" s="14"/>
      <c r="N218" s="14"/>
      <c r="P218" s="14"/>
      <c r="Q218" s="14"/>
      <c r="R218" s="14"/>
    </row>
    <row r="219" spans="1:18">
      <c r="A219" s="14" t="s">
        <v>3844</v>
      </c>
      <c r="D219" s="14"/>
      <c r="F219" s="14"/>
      <c r="G219" s="14"/>
      <c r="H219" s="14"/>
      <c r="I219" s="14"/>
      <c r="J219" s="14"/>
      <c r="K219" s="14"/>
      <c r="L219" s="14"/>
      <c r="M219" s="14"/>
      <c r="N219" s="14"/>
      <c r="P219" s="14"/>
      <c r="Q219" s="14"/>
      <c r="R219" s="14"/>
    </row>
    <row r="220" spans="1:18">
      <c r="A220" s="14" t="s">
        <v>4671</v>
      </c>
      <c r="B220" s="14"/>
      <c r="C220" s="14"/>
      <c r="D220" s="14"/>
      <c r="F220" s="14"/>
      <c r="G220" s="14"/>
      <c r="H220" s="14"/>
      <c r="I220" s="14"/>
      <c r="J220" s="14"/>
      <c r="K220" s="14"/>
      <c r="L220" s="14"/>
      <c r="M220" s="14"/>
      <c r="N220" s="14"/>
      <c r="P220" s="14"/>
      <c r="Q220" s="14"/>
      <c r="R220" s="14"/>
    </row>
    <row r="221" spans="1:18">
      <c r="A221" s="9" t="s">
        <v>5602</v>
      </c>
      <c r="B221" s="14" t="s">
        <v>52</v>
      </c>
      <c r="C221" s="14" t="s">
        <v>14</v>
      </c>
      <c r="D221" s="14" t="s">
        <v>2093</v>
      </c>
      <c r="E221" s="15" t="str">
        <f>HYPERLINK("https://stat100.ameba.jp/tnk47/ratio20/illustrations/card/ill_55313_0_haroinononokomachi03.jpg?201905-3-RELEASE-dice-e-409", "■")</f>
        <v>■</v>
      </c>
      <c r="F221" s="14" t="s">
        <v>2094</v>
      </c>
      <c r="G221" s="14">
        <v>125648</v>
      </c>
      <c r="H221" s="14">
        <v>111616</v>
      </c>
      <c r="I221" s="14">
        <v>20</v>
      </c>
      <c r="J221" s="14" t="s">
        <v>10</v>
      </c>
      <c r="K221" s="14" t="s">
        <v>2095</v>
      </c>
      <c r="L221" s="14" t="s">
        <v>2096</v>
      </c>
      <c r="M221" s="14" t="s">
        <v>9158</v>
      </c>
      <c r="N221" s="14" t="s">
        <v>9158</v>
      </c>
      <c r="O221" s="9" t="s">
        <v>2733</v>
      </c>
      <c r="P221" s="14" t="s">
        <v>2734</v>
      </c>
      <c r="Q221" s="14">
        <v>1</v>
      </c>
      <c r="R221" s="14"/>
    </row>
    <row r="222" spans="1:18">
      <c r="A222" s="9">
        <v>70373</v>
      </c>
      <c r="B222" s="14" t="s">
        <v>334</v>
      </c>
      <c r="C222" s="14" t="s">
        <v>209</v>
      </c>
      <c r="D222" s="14" t="s">
        <v>2616</v>
      </c>
      <c r="E222" s="15" t="str">
        <f>HYPERLINK("https://stat100.ameba.jp/tnk47/ratio20/illustrations/card/ill_70373_amanoyasukage03.jpg?201905-3-RELEASE-dice-e-409", "■")</f>
        <v>■</v>
      </c>
      <c r="F222" s="14" t="s">
        <v>2617</v>
      </c>
      <c r="G222" s="14">
        <v>113644</v>
      </c>
      <c r="H222" s="14">
        <v>122224</v>
      </c>
      <c r="I222" s="14">
        <v>22</v>
      </c>
      <c r="J222" s="14" t="s">
        <v>143</v>
      </c>
      <c r="K222" s="14" t="s">
        <v>2618</v>
      </c>
      <c r="L222" s="14" t="s">
        <v>2619</v>
      </c>
      <c r="M222" s="14" t="s">
        <v>9158</v>
      </c>
      <c r="N222" s="14" t="s">
        <v>9158</v>
      </c>
      <c r="O222" s="9" t="s">
        <v>4145</v>
      </c>
      <c r="P222" s="14" t="s">
        <v>4146</v>
      </c>
      <c r="Q222" s="14">
        <v>1</v>
      </c>
      <c r="R222" s="14"/>
    </row>
    <row r="223" spans="1:18">
      <c r="A223" s="9">
        <v>72193</v>
      </c>
      <c r="B223" s="14" t="s">
        <v>334</v>
      </c>
      <c r="C223" s="14" t="s">
        <v>165</v>
      </c>
      <c r="D223" s="14" t="s">
        <v>2538</v>
      </c>
      <c r="E223" s="15" t="str">
        <f>HYPERLINK("https://stat100.ameba.jp/tnk47/ratio20/illustrations/card/ill_72193_koinoborikomyokogo03.jpg?201905-3-RELEASE-dice-e-409", "■")</f>
        <v>■</v>
      </c>
      <c r="F223" s="14" t="s">
        <v>2539</v>
      </c>
      <c r="G223" s="14">
        <v>85934</v>
      </c>
      <c r="H223" s="14">
        <v>79868</v>
      </c>
      <c r="I223" s="14">
        <v>22</v>
      </c>
      <c r="J223" s="14" t="s">
        <v>10</v>
      </c>
      <c r="K223" s="14" t="s">
        <v>2540</v>
      </c>
      <c r="L223" s="14" t="s">
        <v>60</v>
      </c>
      <c r="M223" s="14" t="s">
        <v>9158</v>
      </c>
      <c r="N223" s="14" t="s">
        <v>9158</v>
      </c>
      <c r="O223" s="17" t="s">
        <v>10057</v>
      </c>
      <c r="P223" s="14" t="s">
        <v>3460</v>
      </c>
      <c r="Q223" s="14">
        <v>1</v>
      </c>
      <c r="R223" s="14"/>
    </row>
    <row r="224" spans="1:18">
      <c r="A224" s="9">
        <v>66363</v>
      </c>
      <c r="B224" s="14" t="s">
        <v>334</v>
      </c>
      <c r="C224" s="14" t="s">
        <v>158</v>
      </c>
      <c r="D224" s="14" t="s">
        <v>2910</v>
      </c>
      <c r="E224" s="15" t="str">
        <f>HYPERLINK("https://stat100.ameba.jp/tnk47/ratio20/illustrations/card/ill_66363_iharasaikaku03.jpg?201905-3-RELEASE-dice-e-409", "■")</f>
        <v>■</v>
      </c>
      <c r="F224" s="14" t="s">
        <v>537</v>
      </c>
      <c r="G224" s="14">
        <v>72340</v>
      </c>
      <c r="H224" s="14">
        <v>99846</v>
      </c>
      <c r="I224" s="14">
        <v>22</v>
      </c>
      <c r="J224" s="14" t="s">
        <v>414</v>
      </c>
      <c r="K224" s="14" t="s">
        <v>2911</v>
      </c>
      <c r="L224" s="14" t="s">
        <v>1575</v>
      </c>
      <c r="M224" s="14" t="s">
        <v>9158</v>
      </c>
      <c r="N224" s="14" t="s">
        <v>9158</v>
      </c>
      <c r="O224" s="17" t="s">
        <v>10053</v>
      </c>
      <c r="P224" s="14" t="s">
        <v>2822</v>
      </c>
      <c r="Q224" s="14">
        <v>1</v>
      </c>
      <c r="R224" s="14"/>
    </row>
    <row r="225" spans="1:18">
      <c r="B225" s="14"/>
      <c r="C225" s="14"/>
      <c r="D225" s="14"/>
      <c r="F225" s="14"/>
      <c r="G225" s="14"/>
      <c r="H225" s="14"/>
      <c r="I225" s="14"/>
      <c r="J225" s="14"/>
      <c r="K225" s="14"/>
      <c r="L225" s="14"/>
      <c r="M225" s="14"/>
      <c r="N225" s="14"/>
      <c r="P225" s="14"/>
      <c r="Q225" s="14"/>
      <c r="R225" s="14"/>
    </row>
    <row r="226" spans="1:18">
      <c r="A226" s="14" t="s">
        <v>4672</v>
      </c>
      <c r="F226" s="14"/>
      <c r="G226" s="14"/>
      <c r="H226" s="14"/>
      <c r="I226" s="14"/>
      <c r="J226" s="14"/>
      <c r="K226" s="14"/>
      <c r="L226" s="14"/>
      <c r="M226" s="14"/>
      <c r="N226" s="14"/>
      <c r="P226" s="14"/>
      <c r="Q226" s="14"/>
      <c r="R226" s="14"/>
    </row>
    <row r="227" spans="1:18">
      <c r="A227" s="14" t="s">
        <v>4673</v>
      </c>
      <c r="B227" s="14"/>
      <c r="C227" s="14"/>
      <c r="D227" s="14"/>
      <c r="F227" s="14"/>
      <c r="G227" s="14"/>
      <c r="H227" s="14"/>
      <c r="I227" s="14"/>
      <c r="J227" s="14"/>
      <c r="K227" s="14"/>
      <c r="L227" s="14"/>
      <c r="M227" s="14"/>
      <c r="N227" s="14"/>
      <c r="P227" s="14"/>
      <c r="Q227" s="14"/>
      <c r="R227" s="14"/>
    </row>
    <row r="228" spans="1:18">
      <c r="A228" s="14" t="s">
        <v>11492</v>
      </c>
      <c r="B228" s="14"/>
      <c r="C228" s="14"/>
      <c r="D228" s="14"/>
      <c r="F228" s="14"/>
      <c r="G228" s="14"/>
      <c r="H228" s="14"/>
      <c r="I228" s="14"/>
      <c r="J228" s="14"/>
      <c r="K228" s="14"/>
      <c r="L228" s="14"/>
      <c r="M228" s="14"/>
      <c r="N228" s="14"/>
      <c r="P228" s="14"/>
      <c r="Q228" s="14"/>
      <c r="R228" s="14"/>
    </row>
    <row r="229" spans="1:18">
      <c r="A229" s="9" t="s">
        <v>5619</v>
      </c>
      <c r="B229" s="14" t="s">
        <v>330</v>
      </c>
      <c r="C229" s="14" t="s">
        <v>202</v>
      </c>
      <c r="D229" s="14" t="s">
        <v>4504</v>
      </c>
      <c r="E229" s="15" t="str">
        <f>HYPERLINK("https://stat100.ameba.jp/tnk47/ratio20/illustrations/card/ill_81183_0_shinryokunokisetsuamaterasu03.jpg?201905-3-RELEASE-dice-e-409", "■")</f>
        <v>■</v>
      </c>
      <c r="F229" s="14" t="s">
        <v>4505</v>
      </c>
      <c r="G229" s="14">
        <v>157575</v>
      </c>
      <c r="H229" s="14">
        <v>174365</v>
      </c>
      <c r="I229" s="14">
        <v>15</v>
      </c>
      <c r="J229" s="14" t="s">
        <v>44</v>
      </c>
      <c r="K229" s="14" t="s">
        <v>4506</v>
      </c>
      <c r="L229" s="14" t="s">
        <v>4507</v>
      </c>
      <c r="M229" s="14" t="s">
        <v>9158</v>
      </c>
      <c r="N229" s="14" t="s">
        <v>9158</v>
      </c>
      <c r="O229" s="9" t="s">
        <v>4508</v>
      </c>
      <c r="P229" s="14" t="s">
        <v>4509</v>
      </c>
      <c r="Q229" s="14">
        <v>0</v>
      </c>
      <c r="R229" s="14"/>
    </row>
    <row r="230" spans="1:18">
      <c r="A230" s="9">
        <v>81423</v>
      </c>
      <c r="B230" s="14" t="s">
        <v>0</v>
      </c>
      <c r="C230" s="14" t="s">
        <v>206</v>
      </c>
      <c r="D230" s="14" t="s">
        <v>4675</v>
      </c>
      <c r="E230" s="15" t="str">
        <f>HYPERLINK("https://stat100.ameba.jp/tnk47/ratio20/illustrations/card/ill_81423_harunotaiikusaiamahime03.jpg?201905-3-RELEASE-dice-e-409", "■")</f>
        <v>■</v>
      </c>
      <c r="F230" s="14" t="s">
        <v>4676</v>
      </c>
      <c r="G230" s="14">
        <v>89839</v>
      </c>
      <c r="H230" s="14">
        <v>83499</v>
      </c>
      <c r="I230" s="14">
        <v>23</v>
      </c>
      <c r="J230" s="14" t="s">
        <v>77</v>
      </c>
      <c r="K230" s="14" t="s">
        <v>4677</v>
      </c>
      <c r="L230" s="14" t="s">
        <v>4678</v>
      </c>
      <c r="M230" s="14" t="s">
        <v>9158</v>
      </c>
      <c r="N230" s="14" t="s">
        <v>9158</v>
      </c>
      <c r="O230" s="14" t="s">
        <v>9158</v>
      </c>
      <c r="P230" s="14" t="s">
        <v>9158</v>
      </c>
      <c r="Q230" s="14" t="s">
        <v>9158</v>
      </c>
      <c r="R230" s="14"/>
    </row>
    <row r="231" spans="1:18">
      <c r="A231" s="9">
        <v>81433</v>
      </c>
      <c r="B231" s="14" t="s">
        <v>15</v>
      </c>
      <c r="C231" s="14" t="s">
        <v>165</v>
      </c>
      <c r="D231" s="14" t="s">
        <v>4679</v>
      </c>
      <c r="E231" s="15" t="str">
        <f>HYPERLINK("https://stat100.ameba.jp/tnk47/ratio20/illustrations/card/ill_81433_undokaikyosensuchan03.jpg?201905-3-RELEASE-dice-e-409", "■")</f>
        <v>■</v>
      </c>
      <c r="F231" s="14" t="s">
        <v>4680</v>
      </c>
      <c r="G231" s="14">
        <v>59144</v>
      </c>
      <c r="H231" s="14">
        <v>65208</v>
      </c>
      <c r="I231" s="14">
        <v>22</v>
      </c>
      <c r="J231" s="14" t="s">
        <v>26</v>
      </c>
      <c r="K231" s="14" t="s">
        <v>4681</v>
      </c>
      <c r="L231" s="14" t="s">
        <v>977</v>
      </c>
      <c r="M231" s="14" t="s">
        <v>9158</v>
      </c>
      <c r="N231" s="14" t="s">
        <v>9158</v>
      </c>
      <c r="O231" s="14" t="s">
        <v>9158</v>
      </c>
      <c r="P231" s="14" t="s">
        <v>9158</v>
      </c>
      <c r="Q231" s="14" t="s">
        <v>9158</v>
      </c>
      <c r="R231" s="14"/>
    </row>
    <row r="232" spans="1:18">
      <c r="A232" s="9">
        <v>81443</v>
      </c>
      <c r="B232" s="14" t="s">
        <v>22</v>
      </c>
      <c r="C232" s="14" t="s">
        <v>185</v>
      </c>
      <c r="D232" s="14" t="s">
        <v>4682</v>
      </c>
      <c r="E232" s="15" t="str">
        <f>HYPERLINK("https://stat100.ameba.jp/tnk47/ratio20/illustrations/card/ill_81443_nininsankyakusakurambochan03.jpg?201905-3-RELEASE-dice-e-409", "■")</f>
        <v>■</v>
      </c>
      <c r="F232" s="14" t="s">
        <v>4683</v>
      </c>
      <c r="G232" s="14">
        <v>43662</v>
      </c>
      <c r="H232" s="14">
        <v>36304</v>
      </c>
      <c r="I232" s="14">
        <v>21</v>
      </c>
      <c r="J232" s="14" t="s">
        <v>104</v>
      </c>
      <c r="K232" s="14" t="s">
        <v>4684</v>
      </c>
      <c r="L232" s="14" t="s">
        <v>2674</v>
      </c>
      <c r="M232" s="14" t="s">
        <v>9158</v>
      </c>
      <c r="N232" s="14" t="s">
        <v>9158</v>
      </c>
      <c r="O232" s="14" t="s">
        <v>9158</v>
      </c>
      <c r="P232" s="14" t="s">
        <v>9158</v>
      </c>
      <c r="Q232" s="14" t="s">
        <v>9158</v>
      </c>
      <c r="R232" s="14"/>
    </row>
    <row r="233" spans="1:18">
      <c r="A233" s="9">
        <v>81453</v>
      </c>
      <c r="B233" s="14" t="s">
        <v>30</v>
      </c>
      <c r="C233" s="14" t="s">
        <v>2611</v>
      </c>
      <c r="D233" s="14" t="s">
        <v>4685</v>
      </c>
      <c r="E233" s="15" t="str">
        <f>HYPERLINK("https://stat100.ameba.jp/tnk47/ratio20/illustrations/card/ill_81453_tokyosomerosu03.jpg?201905-3-RELEASE-dice-e-409", "■")</f>
        <v>■</v>
      </c>
      <c r="F233" s="14" t="s">
        <v>4686</v>
      </c>
      <c r="G233" s="14">
        <v>22200</v>
      </c>
      <c r="H233" s="14">
        <v>26434</v>
      </c>
      <c r="I233" s="14">
        <v>21</v>
      </c>
      <c r="J233" s="14" t="s">
        <v>38</v>
      </c>
      <c r="K233" s="14" t="s">
        <v>4687</v>
      </c>
      <c r="L233" s="14" t="s">
        <v>1736</v>
      </c>
      <c r="M233" s="14" t="s">
        <v>9158</v>
      </c>
      <c r="N233" s="14" t="s">
        <v>9158</v>
      </c>
      <c r="O233" s="14" t="s">
        <v>9158</v>
      </c>
      <c r="P233" s="14" t="s">
        <v>9158</v>
      </c>
      <c r="Q233" s="14" t="s">
        <v>9158</v>
      </c>
      <c r="R233" s="14"/>
    </row>
    <row r="234" spans="1:18">
      <c r="B234" s="14"/>
      <c r="C234" s="14"/>
      <c r="D234" s="14"/>
      <c r="F234" s="14"/>
      <c r="G234" s="14"/>
      <c r="H234" s="14"/>
      <c r="I234" s="14"/>
      <c r="J234" s="14"/>
      <c r="K234" s="14"/>
      <c r="L234" s="14"/>
      <c r="M234" s="14"/>
      <c r="N234" s="14"/>
      <c r="P234" s="14"/>
      <c r="Q234" s="14"/>
      <c r="R234" s="14"/>
    </row>
    <row r="235" spans="1:18">
      <c r="A235" s="14" t="s">
        <v>115</v>
      </c>
      <c r="D235" s="14"/>
      <c r="F235" s="14"/>
      <c r="G235" s="14"/>
      <c r="H235" s="14"/>
      <c r="I235" s="14"/>
      <c r="J235" s="14"/>
      <c r="K235" s="14"/>
      <c r="L235" s="14"/>
      <c r="M235" s="14"/>
      <c r="N235" s="14"/>
      <c r="P235" s="14"/>
      <c r="Q235" s="14"/>
      <c r="R235" s="14"/>
    </row>
    <row r="236" spans="1:18">
      <c r="A236" s="14" t="s">
        <v>4674</v>
      </c>
      <c r="B236" s="14"/>
      <c r="C236" s="14"/>
      <c r="D236" s="14"/>
      <c r="F236" s="14"/>
      <c r="G236" s="14"/>
      <c r="H236" s="14"/>
      <c r="I236" s="14"/>
      <c r="J236" s="14"/>
      <c r="K236" s="14"/>
      <c r="L236" s="14"/>
      <c r="M236" s="14"/>
      <c r="N236" s="14"/>
      <c r="P236" s="14"/>
      <c r="Q236" s="14"/>
      <c r="R236" s="14"/>
    </row>
    <row r="237" spans="1:18">
      <c r="A237" s="9" t="s">
        <v>5724</v>
      </c>
      <c r="B237" s="14" t="s">
        <v>330</v>
      </c>
      <c r="C237" s="14" t="s">
        <v>335</v>
      </c>
      <c r="D237" s="14" t="s">
        <v>698</v>
      </c>
      <c r="E237" s="15" t="str">
        <f>HYPERLINK("https://stat100.ameba.jp/tnk47/ratio20/illustrations/card/ill_66433_0_haroinfujishirogozen03.jpg?201905-3-RELEASE-dice-e-409", "■")</f>
        <v>■</v>
      </c>
      <c r="F237" s="14" t="s">
        <v>699</v>
      </c>
      <c r="G237" s="14">
        <v>91807</v>
      </c>
      <c r="H237" s="14">
        <v>98751</v>
      </c>
      <c r="I237" s="14">
        <v>15</v>
      </c>
      <c r="J237" s="14" t="s">
        <v>315</v>
      </c>
      <c r="K237" s="14" t="s">
        <v>700</v>
      </c>
      <c r="L237" s="14" t="s">
        <v>701</v>
      </c>
      <c r="M237" s="14" t="s">
        <v>9158</v>
      </c>
      <c r="N237" s="14" t="s">
        <v>9158</v>
      </c>
      <c r="O237" s="17" t="s">
        <v>10062</v>
      </c>
      <c r="P237" s="14" t="s">
        <v>3345</v>
      </c>
      <c r="Q237" s="14">
        <v>1</v>
      </c>
      <c r="R237" s="14"/>
    </row>
    <row r="238" spans="1:18">
      <c r="A238" s="9" t="s">
        <v>5617</v>
      </c>
      <c r="B238" s="14" t="s">
        <v>330</v>
      </c>
      <c r="C238" s="14" t="s">
        <v>308</v>
      </c>
      <c r="D238" s="14" t="s">
        <v>982</v>
      </c>
      <c r="E238" s="15" t="str">
        <f>HYPERLINK("https://stat100.ameba.jp/tnk47/ratio20/illustrations/card/ill_59673_0_oheyashutendoji03.jpg?201905-3-RELEASE-dice-e-409", "■")</f>
        <v>■</v>
      </c>
      <c r="F238" s="14" t="s">
        <v>386</v>
      </c>
      <c r="G238" s="14">
        <v>105545</v>
      </c>
      <c r="H238" s="14">
        <v>113525</v>
      </c>
      <c r="I238" s="14">
        <v>15</v>
      </c>
      <c r="J238" s="14" t="s">
        <v>320</v>
      </c>
      <c r="K238" s="14" t="s">
        <v>387</v>
      </c>
      <c r="L238" s="14" t="s">
        <v>388</v>
      </c>
      <c r="M238" s="14" t="s">
        <v>9158</v>
      </c>
      <c r="N238" s="14" t="s">
        <v>9158</v>
      </c>
      <c r="O238" s="17" t="s">
        <v>10058</v>
      </c>
      <c r="P238" s="14" t="s">
        <v>3022</v>
      </c>
      <c r="Q238" s="14">
        <v>1</v>
      </c>
      <c r="R238" s="14"/>
    </row>
    <row r="239" spans="1:18">
      <c r="A239" s="9" t="s">
        <v>5897</v>
      </c>
      <c r="B239" s="14" t="s">
        <v>330</v>
      </c>
      <c r="C239" s="14" t="s">
        <v>271</v>
      </c>
      <c r="D239" s="14" t="s">
        <v>53</v>
      </c>
      <c r="E239" s="15" t="str">
        <f>HYPERLINK("https://stat100.ameba.jp/tnk47/ratio20/illustrations/card/ill_40913_0_reigyokudensetsufusehime03.jpg?201905-3-RELEASE-dice-e-409", "■")</f>
        <v>■</v>
      </c>
      <c r="F239" s="14" t="s">
        <v>278</v>
      </c>
      <c r="G239" s="14">
        <v>82212</v>
      </c>
      <c r="H239" s="14">
        <v>87780</v>
      </c>
      <c r="I239" s="14">
        <v>15</v>
      </c>
      <c r="J239" s="14" t="s">
        <v>155</v>
      </c>
      <c r="K239" s="14" t="s">
        <v>279</v>
      </c>
      <c r="L239" s="14" t="s">
        <v>280</v>
      </c>
      <c r="M239" s="14" t="s">
        <v>9158</v>
      </c>
      <c r="N239" s="14" t="s">
        <v>9158</v>
      </c>
      <c r="O239" s="14" t="s">
        <v>9158</v>
      </c>
      <c r="P239" s="14" t="s">
        <v>9158</v>
      </c>
      <c r="Q239" s="14" t="s">
        <v>9158</v>
      </c>
      <c r="R239" s="14"/>
    </row>
    <row r="240" spans="1:18">
      <c r="A240" s="9">
        <v>74313</v>
      </c>
      <c r="B240" s="14" t="s">
        <v>0</v>
      </c>
      <c r="C240" s="14" t="s">
        <v>185</v>
      </c>
      <c r="D240" s="14" t="s">
        <v>4688</v>
      </c>
      <c r="E240" s="15" t="str">
        <f>HYPERLINK("https://stat100.ameba.jp/tnk47/ratio20/illustrations/card/ill_74313_towadako03.jpg?201905-3-RELEASE-dice-e-409", "■")</f>
        <v>■</v>
      </c>
      <c r="F240" s="14" t="s">
        <v>4689</v>
      </c>
      <c r="G240" s="14">
        <v>72813</v>
      </c>
      <c r="H240" s="14">
        <v>129385</v>
      </c>
      <c r="I240" s="14">
        <v>23</v>
      </c>
      <c r="J240" s="14" t="s">
        <v>26</v>
      </c>
      <c r="K240" s="14" t="s">
        <v>4690</v>
      </c>
      <c r="L240" s="14" t="s">
        <v>2137</v>
      </c>
      <c r="M240" s="14" t="s">
        <v>9158</v>
      </c>
      <c r="N240" s="14" t="s">
        <v>9158</v>
      </c>
      <c r="O240" s="14" t="s">
        <v>9158</v>
      </c>
      <c r="P240" s="14" t="s">
        <v>9158</v>
      </c>
      <c r="Q240" s="14" t="s">
        <v>9158</v>
      </c>
      <c r="R240" s="14"/>
    </row>
    <row r="241" spans="1:18">
      <c r="A241" s="9">
        <v>76623</v>
      </c>
      <c r="B241" s="14" t="s">
        <v>334</v>
      </c>
      <c r="C241" s="14" t="s">
        <v>200</v>
      </c>
      <c r="D241" s="14" t="s">
        <v>958</v>
      </c>
      <c r="E241" s="15" t="str">
        <f>HYPERLINK("https://stat100.ameba.jp/tnk47/ratio20/illustrations/card/ill_76623_futakuchionna03.jpg?201905-3-RELEASE-dice-e-409", "■")</f>
        <v>■</v>
      </c>
      <c r="F241" s="14" t="s">
        <v>959</v>
      </c>
      <c r="G241" s="14">
        <v>66606</v>
      </c>
      <c r="H241" s="14">
        <v>118343</v>
      </c>
      <c r="I241" s="14">
        <v>23</v>
      </c>
      <c r="J241" s="14" t="s">
        <v>73</v>
      </c>
      <c r="K241" s="14" t="s">
        <v>960</v>
      </c>
      <c r="L241" s="14" t="s">
        <v>961</v>
      </c>
      <c r="M241" s="14" t="s">
        <v>9158</v>
      </c>
      <c r="N241" s="14" t="s">
        <v>9158</v>
      </c>
      <c r="O241" s="14" t="s">
        <v>9158</v>
      </c>
      <c r="P241" s="14" t="s">
        <v>9158</v>
      </c>
      <c r="Q241" s="14" t="s">
        <v>9158</v>
      </c>
      <c r="R241" s="14"/>
    </row>
    <row r="242" spans="1:18">
      <c r="A242" s="9">
        <v>54603</v>
      </c>
      <c r="B242" s="14" t="s">
        <v>334</v>
      </c>
      <c r="C242" s="14" t="s">
        <v>262</v>
      </c>
      <c r="D242" s="14" t="s">
        <v>4388</v>
      </c>
      <c r="E242" s="15" t="str">
        <f>HYPERLINK("https://stat100.ameba.jp/tnk47/ratio20/illustrations/card/ill_54603_kurokishisanadayukimura03.jpg?201905-3-RELEASE-dice-e-409", "■")</f>
        <v>■</v>
      </c>
      <c r="F242" s="14" t="s">
        <v>4691</v>
      </c>
      <c r="G242" s="14">
        <v>82422</v>
      </c>
      <c r="H242" s="14">
        <v>88650</v>
      </c>
      <c r="I242" s="14">
        <v>23</v>
      </c>
      <c r="J242" s="14" t="s">
        <v>143</v>
      </c>
      <c r="K242" s="14" t="s">
        <v>4692</v>
      </c>
      <c r="L242" s="14" t="s">
        <v>4693</v>
      </c>
      <c r="M242" s="14" t="s">
        <v>9158</v>
      </c>
      <c r="N242" s="14" t="s">
        <v>9158</v>
      </c>
      <c r="O242" s="14" t="s">
        <v>9158</v>
      </c>
      <c r="P242" s="14" t="s">
        <v>9158</v>
      </c>
      <c r="Q242" s="14" t="s">
        <v>9158</v>
      </c>
      <c r="R242" s="14"/>
    </row>
    <row r="243" spans="1:18">
      <c r="B243" s="14"/>
      <c r="C243" s="14"/>
      <c r="D243" s="14"/>
      <c r="F243" s="14"/>
      <c r="G243" s="14"/>
      <c r="H243" s="14"/>
      <c r="I243" s="14"/>
      <c r="J243" s="14"/>
      <c r="K243" s="14"/>
      <c r="L243" s="14"/>
      <c r="M243" s="14"/>
      <c r="N243" s="14"/>
      <c r="P243" s="14"/>
      <c r="Q243" s="14"/>
      <c r="R243" s="14"/>
    </row>
    <row r="244" spans="1:18">
      <c r="A244" s="14" t="s">
        <v>13352</v>
      </c>
      <c r="D244" s="14"/>
      <c r="F244" s="14"/>
      <c r="G244" s="14"/>
      <c r="H244" s="14"/>
      <c r="I244" s="14"/>
      <c r="J244" s="14"/>
      <c r="K244" s="14"/>
      <c r="L244" s="14"/>
      <c r="M244" s="14"/>
      <c r="N244" s="14"/>
      <c r="P244" s="14"/>
      <c r="Q244" s="14"/>
      <c r="R244" s="14"/>
    </row>
    <row r="245" spans="1:18">
      <c r="A245" s="14" t="s">
        <v>4694</v>
      </c>
      <c r="B245" s="14"/>
      <c r="C245" s="14"/>
      <c r="D245" s="14"/>
      <c r="F245" s="14"/>
      <c r="G245" s="14"/>
      <c r="H245" s="14"/>
      <c r="I245" s="14"/>
      <c r="J245" s="14"/>
      <c r="K245" s="14"/>
      <c r="L245" s="14"/>
      <c r="M245" s="14"/>
      <c r="N245" s="14"/>
      <c r="P245" s="14"/>
      <c r="Q245" s="14"/>
      <c r="R245" s="14"/>
    </row>
    <row r="246" spans="1:18">
      <c r="A246" s="9">
        <v>81285</v>
      </c>
      <c r="B246" s="14" t="s">
        <v>0</v>
      </c>
      <c r="C246" s="14" t="s">
        <v>202</v>
      </c>
      <c r="D246" s="14" t="s">
        <v>4695</v>
      </c>
      <c r="E246" s="15" t="str">
        <f>HYPERLINK("https://stat100.ameba.jp/tnk47/ratio20/illustrations/card/ill_81285_iwaposoinkara05.jpg?201905-3-RELEASE-dice-e-409", "■")</f>
        <v>■</v>
      </c>
      <c r="F246" s="14" t="s">
        <v>4696</v>
      </c>
      <c r="G246" s="14">
        <v>78289</v>
      </c>
      <c r="H246" s="14">
        <v>108130</v>
      </c>
      <c r="I246" s="14">
        <v>23</v>
      </c>
      <c r="J246" s="14" t="s">
        <v>73</v>
      </c>
      <c r="K246" s="14" t="s">
        <v>4697</v>
      </c>
      <c r="L246" s="14" t="s">
        <v>4612</v>
      </c>
      <c r="M246" s="14" t="s">
        <v>9158</v>
      </c>
      <c r="N246" s="14" t="s">
        <v>9158</v>
      </c>
      <c r="O246" s="14" t="s">
        <v>9158</v>
      </c>
      <c r="P246" s="14" t="s">
        <v>9158</v>
      </c>
      <c r="Q246" s="14" t="s">
        <v>9158</v>
      </c>
      <c r="R246" s="14" t="s">
        <v>174</v>
      </c>
    </row>
    <row r="247" spans="1:18">
      <c r="A247" s="9">
        <v>81283</v>
      </c>
      <c r="B247" s="14" t="s">
        <v>15</v>
      </c>
      <c r="C247" s="14" t="s">
        <v>154</v>
      </c>
      <c r="D247" s="14" t="s">
        <v>4695</v>
      </c>
      <c r="E247" s="15" t="str">
        <f>HYPERLINK("https://stat100.ameba.jp/tnk47/ratio20/illustrations/card/ill_81283_iwaposoinkara03.jpg?201905-3-RELEASE-dice-e-409", "■")</f>
        <v>■</v>
      </c>
      <c r="F247" s="14" t="s">
        <v>4696</v>
      </c>
      <c r="G247" s="14">
        <v>57679</v>
      </c>
      <c r="H247" s="14">
        <v>79659</v>
      </c>
      <c r="I247" s="14">
        <v>23</v>
      </c>
      <c r="J247" s="14" t="s">
        <v>73</v>
      </c>
      <c r="K247" s="14" t="s">
        <v>4697</v>
      </c>
      <c r="L247" s="14" t="s">
        <v>4698</v>
      </c>
      <c r="M247" s="14" t="s">
        <v>9158</v>
      </c>
      <c r="N247" s="14" t="s">
        <v>9158</v>
      </c>
      <c r="O247" s="14" t="s">
        <v>9158</v>
      </c>
      <c r="P247" s="14" t="s">
        <v>9158</v>
      </c>
      <c r="Q247" s="14" t="s">
        <v>9158</v>
      </c>
      <c r="R247" s="14" t="s">
        <v>175</v>
      </c>
    </row>
    <row r="248" spans="1:18">
      <c r="A248" s="9">
        <v>81281</v>
      </c>
      <c r="B248" s="14" t="s">
        <v>15</v>
      </c>
      <c r="C248" s="14" t="s">
        <v>154</v>
      </c>
      <c r="D248" s="14" t="s">
        <v>4695</v>
      </c>
      <c r="E248" s="15" t="str">
        <f>HYPERLINK("https://stat100.ameba.jp/tnk47/ratio20/illustrations/card/ill_81281_iwaposoinkara01.jpg?201905-3-RELEASE-dice-e-409", "■")</f>
        <v>■</v>
      </c>
      <c r="F248" s="14" t="s">
        <v>4696</v>
      </c>
      <c r="G248" s="14">
        <v>36685</v>
      </c>
      <c r="H248" s="14">
        <v>50669</v>
      </c>
      <c r="I248" s="14">
        <v>23</v>
      </c>
      <c r="J248" s="14" t="s">
        <v>73</v>
      </c>
      <c r="K248" s="14" t="s">
        <v>4697</v>
      </c>
      <c r="L248" s="14" t="s">
        <v>4699</v>
      </c>
      <c r="M248" s="14" t="s">
        <v>9158</v>
      </c>
      <c r="N248" s="14" t="s">
        <v>9158</v>
      </c>
      <c r="O248" s="14" t="s">
        <v>9158</v>
      </c>
      <c r="P248" s="14" t="s">
        <v>9158</v>
      </c>
      <c r="Q248" s="14" t="s">
        <v>9158</v>
      </c>
      <c r="R248" s="14" t="s">
        <v>176</v>
      </c>
    </row>
    <row r="249" spans="1:18">
      <c r="B249" s="14"/>
      <c r="C249" s="14"/>
      <c r="D249" s="14"/>
      <c r="F249" s="14"/>
      <c r="G249" s="14"/>
      <c r="H249" s="14"/>
      <c r="I249" s="14"/>
      <c r="J249" s="14"/>
      <c r="K249" s="14"/>
      <c r="L249" s="14"/>
      <c r="M249" s="14"/>
      <c r="N249" s="14"/>
      <c r="P249" s="14"/>
      <c r="Q249" s="14"/>
      <c r="R249" s="14"/>
    </row>
    <row r="250" spans="1:18">
      <c r="A250" s="14" t="s">
        <v>10435</v>
      </c>
      <c r="D250" s="14"/>
      <c r="F250" s="14"/>
      <c r="G250" s="14"/>
      <c r="H250" s="14"/>
      <c r="I250" s="14"/>
      <c r="J250" s="14"/>
      <c r="K250" s="14"/>
      <c r="L250" s="14"/>
      <c r="M250" s="14"/>
      <c r="N250" s="14"/>
      <c r="P250" s="14"/>
      <c r="Q250" s="14"/>
      <c r="R250" s="14"/>
    </row>
    <row r="251" spans="1:18">
      <c r="A251" s="14" t="s">
        <v>4700</v>
      </c>
      <c r="B251" s="14"/>
      <c r="C251" s="14"/>
      <c r="D251" s="14"/>
      <c r="F251" s="14"/>
      <c r="G251" s="14"/>
      <c r="H251" s="14"/>
      <c r="I251" s="14"/>
      <c r="J251" s="14"/>
      <c r="K251" s="14"/>
      <c r="L251" s="14"/>
      <c r="M251" s="14"/>
      <c r="N251" s="14"/>
      <c r="P251" s="14"/>
      <c r="Q251" s="14"/>
      <c r="R251" s="14"/>
    </row>
    <row r="252" spans="1:18">
      <c r="A252" s="9">
        <v>57843</v>
      </c>
      <c r="B252" s="14" t="s">
        <v>334</v>
      </c>
      <c r="C252" s="14" t="s">
        <v>203</v>
      </c>
      <c r="D252" s="14" t="s">
        <v>3892</v>
      </c>
      <c r="E252" s="15" t="str">
        <f>HYPERLINK("https://stat100.ameba.jp/tnk47/ratio20/illustrations/card/ill_57843_otokuchurunijisseikinashichan03.jpg?201905-3-RELEASE-dice-e-409", "■")</f>
        <v>■</v>
      </c>
      <c r="F252" s="14" t="s">
        <v>1660</v>
      </c>
      <c r="G252" s="14">
        <v>84796</v>
      </c>
      <c r="H252" s="14">
        <v>78838</v>
      </c>
      <c r="I252" s="14">
        <v>22</v>
      </c>
      <c r="J252" s="14" t="s">
        <v>283</v>
      </c>
      <c r="K252" s="14" t="s">
        <v>1661</v>
      </c>
      <c r="L252" s="14" t="s">
        <v>1662</v>
      </c>
      <c r="M252" s="14" t="s">
        <v>9158</v>
      </c>
      <c r="N252" s="14" t="s">
        <v>9158</v>
      </c>
      <c r="O252" s="14" t="s">
        <v>9158</v>
      </c>
      <c r="P252" s="14" t="s">
        <v>9158</v>
      </c>
      <c r="Q252" s="14" t="s">
        <v>9158</v>
      </c>
      <c r="R252" s="14"/>
    </row>
    <row r="253" spans="1:18">
      <c r="A253" s="9">
        <v>76373</v>
      </c>
      <c r="B253" s="14" t="s">
        <v>334</v>
      </c>
      <c r="C253" s="14" t="s">
        <v>200</v>
      </c>
      <c r="D253" s="14" t="s">
        <v>466</v>
      </c>
      <c r="E253" s="15" t="str">
        <f>HYPERLINK("https://stat100.ameba.jp/tnk47/ratio20/illustrations/card/ill_76373_marishitenho03.jpg?201905-3-RELEASE-dice-e-409", "■")</f>
        <v>■</v>
      </c>
      <c r="F253" s="14" t="s">
        <v>467</v>
      </c>
      <c r="G253" s="14">
        <v>93184</v>
      </c>
      <c r="H253" s="14">
        <v>100400</v>
      </c>
      <c r="I253" s="14">
        <v>22</v>
      </c>
      <c r="J253" s="14" t="s">
        <v>274</v>
      </c>
      <c r="K253" s="14" t="s">
        <v>468</v>
      </c>
      <c r="L253" s="14" t="s">
        <v>469</v>
      </c>
      <c r="M253" s="14" t="s">
        <v>9158</v>
      </c>
      <c r="N253" s="14" t="s">
        <v>9158</v>
      </c>
      <c r="O253" s="14" t="s">
        <v>9158</v>
      </c>
      <c r="P253" s="14" t="s">
        <v>9158</v>
      </c>
      <c r="Q253" s="14" t="s">
        <v>9158</v>
      </c>
      <c r="R253" s="14"/>
    </row>
    <row r="254" spans="1:18">
      <c r="A254" s="9">
        <v>70663</v>
      </c>
      <c r="B254" s="14" t="s">
        <v>334</v>
      </c>
      <c r="C254" s="14" t="s">
        <v>185</v>
      </c>
      <c r="D254" s="14" t="s">
        <v>4701</v>
      </c>
      <c r="E254" s="15" t="str">
        <f>HYPERLINK("https://stat100.ameba.jp/tnk47/ratio20/illustrations/card/ill_70663_shitsujikissanagasawarosetsu03.jpg?201905-3-RELEASE-dice-e-409", "■")</f>
        <v>■</v>
      </c>
      <c r="F254" s="14" t="s">
        <v>4702</v>
      </c>
      <c r="G254" s="14">
        <v>79868</v>
      </c>
      <c r="H254" s="14">
        <v>85934</v>
      </c>
      <c r="I254" s="14">
        <v>22</v>
      </c>
      <c r="J254" s="14" t="s">
        <v>10</v>
      </c>
      <c r="K254" s="14" t="s">
        <v>4703</v>
      </c>
      <c r="L254" s="14" t="s">
        <v>2057</v>
      </c>
      <c r="M254" s="14" t="s">
        <v>9158</v>
      </c>
      <c r="N254" s="14" t="s">
        <v>9158</v>
      </c>
      <c r="O254" s="14" t="s">
        <v>9158</v>
      </c>
      <c r="P254" s="14" t="s">
        <v>9158</v>
      </c>
      <c r="Q254" s="14" t="s">
        <v>9158</v>
      </c>
      <c r="R254" s="14"/>
    </row>
    <row r="255" spans="1:18">
      <c r="A255" s="9">
        <v>77443</v>
      </c>
      <c r="B255" s="14" t="s">
        <v>348</v>
      </c>
      <c r="C255" s="14" t="s">
        <v>307</v>
      </c>
      <c r="D255" s="14" t="s">
        <v>1666</v>
      </c>
      <c r="E255" s="15" t="str">
        <f>HYPERLINK("https://stat100.ameba.jp/tnk47/ratio20/illustrations/card/ill_77443_kaiinu03.jpg?201905-3-RELEASE-dice-e-409", "■")</f>
        <v>■</v>
      </c>
      <c r="F255" s="14" t="s">
        <v>1667</v>
      </c>
      <c r="G255" s="14">
        <v>51078</v>
      </c>
      <c r="H255" s="14">
        <v>56316</v>
      </c>
      <c r="I255" s="14">
        <v>19</v>
      </c>
      <c r="J255" s="14" t="s">
        <v>369</v>
      </c>
      <c r="K255" s="14" t="s">
        <v>1668</v>
      </c>
      <c r="L255" s="14" t="s">
        <v>747</v>
      </c>
      <c r="M255" s="14" t="s">
        <v>9158</v>
      </c>
      <c r="N255" s="14" t="s">
        <v>9158</v>
      </c>
      <c r="O255" s="14" t="s">
        <v>9158</v>
      </c>
      <c r="P255" s="14" t="s">
        <v>9158</v>
      </c>
      <c r="Q255" s="14" t="s">
        <v>9158</v>
      </c>
      <c r="R255" s="14"/>
    </row>
    <row r="256" spans="1:18">
      <c r="A256" s="9">
        <v>75473</v>
      </c>
      <c r="B256" s="14" t="s">
        <v>15</v>
      </c>
      <c r="C256" s="14" t="s">
        <v>206</v>
      </c>
      <c r="D256" s="14" t="s">
        <v>4704</v>
      </c>
      <c r="E256" s="15" t="str">
        <f>HYPERLINK("https://stat100.ameba.jp/tnk47/ratio20/illustrations/card/ill_75473_akizukitanetoki03.jpg?201905-3-RELEASE-dice-e-409", "■")</f>
        <v>■</v>
      </c>
      <c r="F256" s="14" t="s">
        <v>4705</v>
      </c>
      <c r="G256" s="14">
        <v>51078</v>
      </c>
      <c r="H256" s="14">
        <v>56316</v>
      </c>
      <c r="I256" s="14">
        <v>19</v>
      </c>
      <c r="J256" s="14" t="s">
        <v>143</v>
      </c>
      <c r="K256" s="14" t="s">
        <v>4706</v>
      </c>
      <c r="L256" s="14" t="s">
        <v>3326</v>
      </c>
      <c r="M256" s="14" t="s">
        <v>9158</v>
      </c>
      <c r="N256" s="14" t="s">
        <v>9158</v>
      </c>
      <c r="O256" s="14" t="s">
        <v>9158</v>
      </c>
      <c r="P256" s="14" t="s">
        <v>9158</v>
      </c>
      <c r="Q256" s="14" t="s">
        <v>9158</v>
      </c>
      <c r="R256" s="14"/>
    </row>
    <row r="257" spans="1:18">
      <c r="A257" s="9">
        <v>74153</v>
      </c>
      <c r="B257" s="14" t="s">
        <v>15</v>
      </c>
      <c r="C257" s="14" t="s">
        <v>205</v>
      </c>
      <c r="D257" s="14" t="s">
        <v>4707</v>
      </c>
      <c r="E257" s="15" t="str">
        <f>HYPERLINK("https://stat100.ameba.jp/tnk47/ratio20/illustrations/card/ill_74153_okamototemmei03.jpg?201905-3-RELEASE-dice-e-409", "■")</f>
        <v>■</v>
      </c>
      <c r="F257" s="14" t="s">
        <v>4708</v>
      </c>
      <c r="G257" s="14">
        <v>56316</v>
      </c>
      <c r="H257" s="14">
        <v>51078</v>
      </c>
      <c r="I257" s="14">
        <v>19</v>
      </c>
      <c r="J257" s="14" t="s">
        <v>16</v>
      </c>
      <c r="K257" s="14" t="s">
        <v>4709</v>
      </c>
      <c r="L257" s="14" t="s">
        <v>21</v>
      </c>
      <c r="M257" s="14" t="s">
        <v>9158</v>
      </c>
      <c r="N257" s="14" t="s">
        <v>9158</v>
      </c>
      <c r="O257" s="14" t="s">
        <v>9158</v>
      </c>
      <c r="P257" s="14" t="s">
        <v>9158</v>
      </c>
      <c r="Q257" s="14" t="s">
        <v>9158</v>
      </c>
      <c r="R257" s="14"/>
    </row>
    <row r="258" spans="1:18">
      <c r="B258" s="14"/>
      <c r="C258" s="14"/>
      <c r="D258" s="14"/>
      <c r="F258" s="14"/>
      <c r="G258" s="14"/>
      <c r="H258" s="14"/>
      <c r="I258" s="14"/>
      <c r="J258" s="14"/>
      <c r="K258" s="14"/>
      <c r="L258" s="14"/>
      <c r="M258" s="14"/>
      <c r="N258" s="14"/>
      <c r="P258" s="14"/>
      <c r="Q258" s="14"/>
      <c r="R258" s="14"/>
    </row>
    <row r="259" spans="1:18">
      <c r="A259" s="14" t="s">
        <v>1711</v>
      </c>
      <c r="D259" s="14"/>
      <c r="F259" s="14"/>
      <c r="G259" s="14"/>
      <c r="H259" s="14"/>
      <c r="I259" s="14"/>
      <c r="J259" s="14"/>
      <c r="K259" s="14"/>
      <c r="L259" s="14"/>
      <c r="M259" s="14"/>
      <c r="N259" s="14"/>
      <c r="P259" s="14"/>
      <c r="Q259" s="14"/>
      <c r="R259" s="14"/>
    </row>
    <row r="260" spans="1:18">
      <c r="A260" s="14" t="s">
        <v>4710</v>
      </c>
      <c r="B260" s="14"/>
      <c r="C260" s="14"/>
      <c r="D260" s="14"/>
      <c r="F260" s="14"/>
      <c r="G260" s="14"/>
      <c r="H260" s="14"/>
      <c r="I260" s="14"/>
      <c r="J260" s="14"/>
      <c r="K260" s="14"/>
      <c r="L260" s="14"/>
      <c r="M260" s="14"/>
      <c r="N260" s="14"/>
      <c r="P260" s="14"/>
      <c r="Q260" s="14"/>
      <c r="R260" s="14"/>
    </row>
    <row r="261" spans="1:18">
      <c r="A261" s="9" t="s">
        <v>5609</v>
      </c>
      <c r="B261" s="14" t="s">
        <v>52</v>
      </c>
      <c r="C261" s="14" t="s">
        <v>200</v>
      </c>
      <c r="D261" s="14" t="s">
        <v>1713</v>
      </c>
      <c r="E261" s="15" t="str">
        <f>HYPERLINK("https://stat100.ameba.jp/tnk47/ratio20/illustrations/card/ill_53753_0_natsumatsuritokugawaieyasu03.jpg?201905-3-RELEASE-dice-e-409", "■")</f>
        <v>■</v>
      </c>
      <c r="F261" s="14" t="s">
        <v>902</v>
      </c>
      <c r="G261" s="14">
        <v>138212</v>
      </c>
      <c r="H261" s="14">
        <v>122776</v>
      </c>
      <c r="I261" s="14">
        <v>22</v>
      </c>
      <c r="J261" s="14" t="s">
        <v>194</v>
      </c>
      <c r="K261" s="14" t="s">
        <v>1714</v>
      </c>
      <c r="L261" s="14" t="s">
        <v>904</v>
      </c>
      <c r="M261" s="14" t="s">
        <v>9158</v>
      </c>
      <c r="N261" s="14" t="s">
        <v>9158</v>
      </c>
      <c r="O261" s="17" t="s">
        <v>10052</v>
      </c>
      <c r="P261" s="14" t="s">
        <v>13121</v>
      </c>
      <c r="Q261" s="14">
        <v>1</v>
      </c>
      <c r="R261" s="14"/>
    </row>
    <row r="262" spans="1:18">
      <c r="A262" s="9" t="s">
        <v>5721</v>
      </c>
      <c r="B262" s="14" t="s">
        <v>52</v>
      </c>
      <c r="C262" s="14" t="s">
        <v>1</v>
      </c>
      <c r="D262" s="14" t="s">
        <v>2253</v>
      </c>
      <c r="E262" s="15" t="str">
        <f>HYPERLINK("https://stat100.ameba.jp/tnk47/ratio20/illustrations/card/ill_44283_0_izumonokuni03.jpg?201905-3-RELEASE-dice-e-409", "■")</f>
        <v>■</v>
      </c>
      <c r="F262" s="14" t="s">
        <v>1716</v>
      </c>
      <c r="G262" s="14">
        <v>128744</v>
      </c>
      <c r="H262" s="14">
        <v>120576</v>
      </c>
      <c r="I262" s="14">
        <v>22</v>
      </c>
      <c r="J262" s="14" t="s">
        <v>16</v>
      </c>
      <c r="K262" s="14" t="s">
        <v>2254</v>
      </c>
      <c r="L262" s="14" t="s">
        <v>1718</v>
      </c>
      <c r="M262" s="14" t="s">
        <v>9158</v>
      </c>
      <c r="N262" s="14" t="s">
        <v>9158</v>
      </c>
      <c r="O262" s="14" t="s">
        <v>9158</v>
      </c>
      <c r="P262" s="14" t="s">
        <v>9158</v>
      </c>
      <c r="Q262" s="14" t="s">
        <v>9158</v>
      </c>
      <c r="R262" s="14"/>
    </row>
    <row r="263" spans="1:18">
      <c r="A263" s="9" t="s">
        <v>5616</v>
      </c>
      <c r="B263" s="14" t="s">
        <v>330</v>
      </c>
      <c r="C263" s="14" t="s">
        <v>185</v>
      </c>
      <c r="D263" s="14" t="s">
        <v>638</v>
      </c>
      <c r="E263" s="15" t="str">
        <f>HYPERLINK("https://stat100.ameba.jp/tnk47/ratio20/illustrations/card/ill_44253_0_dokuganryudatemasamune03.jpg?201905-3-RELEASE-dice-e-409", "■")</f>
        <v>■</v>
      </c>
      <c r="F263" s="14" t="s">
        <v>639</v>
      </c>
      <c r="G263" s="14">
        <v>120576</v>
      </c>
      <c r="H263" s="14">
        <v>128744</v>
      </c>
      <c r="I263" s="14">
        <v>22</v>
      </c>
      <c r="J263" s="14" t="s">
        <v>310</v>
      </c>
      <c r="K263" s="14" t="s">
        <v>640</v>
      </c>
      <c r="L263" s="14" t="s">
        <v>641</v>
      </c>
      <c r="M263" s="14" t="s">
        <v>9158</v>
      </c>
      <c r="N263" s="14" t="s">
        <v>9158</v>
      </c>
      <c r="O263" s="14" t="s">
        <v>9158</v>
      </c>
      <c r="P263" s="14" t="s">
        <v>9158</v>
      </c>
      <c r="Q263" s="14" t="s">
        <v>9158</v>
      </c>
      <c r="R263" s="14"/>
    </row>
    <row r="264" spans="1:18">
      <c r="A264" s="9">
        <v>81423</v>
      </c>
      <c r="B264" s="14" t="s">
        <v>0</v>
      </c>
      <c r="C264" s="14" t="s">
        <v>206</v>
      </c>
      <c r="D264" s="14" t="s">
        <v>4675</v>
      </c>
      <c r="E264" s="15" t="str">
        <f>HYPERLINK("https://stat100.ameba.jp/tnk47/ratio20/illustrations/card/ill_81423_harunotaiikusaiamahime03.jpg?201905-3-RELEASE-dice-e-409", "■")</f>
        <v>■</v>
      </c>
      <c r="F264" s="14" t="s">
        <v>4676</v>
      </c>
      <c r="G264" s="14">
        <v>85934</v>
      </c>
      <c r="H264" s="14">
        <v>79868</v>
      </c>
      <c r="I264" s="14">
        <v>22</v>
      </c>
      <c r="J264" s="14" t="s">
        <v>77</v>
      </c>
      <c r="K264" s="14" t="s">
        <v>4677</v>
      </c>
      <c r="L264" s="14" t="s">
        <v>4678</v>
      </c>
      <c r="M264" s="14" t="s">
        <v>9158</v>
      </c>
      <c r="N264" s="14" t="s">
        <v>9158</v>
      </c>
      <c r="O264" s="14" t="s">
        <v>9158</v>
      </c>
      <c r="P264" s="14" t="s">
        <v>9158</v>
      </c>
      <c r="Q264" s="14" t="s">
        <v>9158</v>
      </c>
      <c r="R264" s="14"/>
    </row>
    <row r="265" spans="1:18">
      <c r="A265" s="9">
        <v>81433</v>
      </c>
      <c r="B265" s="14" t="s">
        <v>15</v>
      </c>
      <c r="C265" s="14" t="s">
        <v>165</v>
      </c>
      <c r="D265" s="14" t="s">
        <v>4679</v>
      </c>
      <c r="E265" s="15" t="str">
        <f>HYPERLINK("https://stat100.ameba.jp/tnk47/ratio20/illustrations/card/ill_81433_undokaikyosensuchan03.jpg?201905-3-RELEASE-dice-e-409", "■")</f>
        <v>■</v>
      </c>
      <c r="F265" s="14" t="s">
        <v>4680</v>
      </c>
      <c r="G265" s="14">
        <v>48390</v>
      </c>
      <c r="H265" s="14">
        <v>53352</v>
      </c>
      <c r="I265" s="14">
        <v>18</v>
      </c>
      <c r="J265" s="14" t="s">
        <v>26</v>
      </c>
      <c r="K265" s="14" t="s">
        <v>4681</v>
      </c>
      <c r="L265" s="14" t="s">
        <v>977</v>
      </c>
      <c r="M265" s="14" t="s">
        <v>9158</v>
      </c>
      <c r="N265" s="14" t="s">
        <v>9158</v>
      </c>
      <c r="O265" s="14" t="s">
        <v>9158</v>
      </c>
      <c r="P265" s="14" t="s">
        <v>9158</v>
      </c>
      <c r="Q265" s="14" t="s">
        <v>9158</v>
      </c>
      <c r="R265" s="14"/>
    </row>
    <row r="266" spans="1:18">
      <c r="A266" s="9">
        <v>81443</v>
      </c>
      <c r="B266" s="14" t="s">
        <v>22</v>
      </c>
      <c r="C266" s="14" t="s">
        <v>185</v>
      </c>
      <c r="D266" s="14" t="s">
        <v>4682</v>
      </c>
      <c r="E266" s="15" t="str">
        <f>HYPERLINK("https://stat100.ameba.jp/tnk47/ratio20/illustrations/card/ill_81443_nininsankyakusakurambochan03.jpg?201905-3-RELEASE-dice-e-409", "■")</f>
        <v>■</v>
      </c>
      <c r="F266" s="14" t="s">
        <v>4683</v>
      </c>
      <c r="G266" s="14">
        <v>35346</v>
      </c>
      <c r="H266" s="14">
        <v>29388</v>
      </c>
      <c r="I266" s="14">
        <v>17</v>
      </c>
      <c r="J266" s="14" t="s">
        <v>104</v>
      </c>
      <c r="K266" s="14" t="s">
        <v>4684</v>
      </c>
      <c r="L266" s="14" t="s">
        <v>2674</v>
      </c>
      <c r="M266" s="14" t="s">
        <v>9158</v>
      </c>
      <c r="N266" s="14" t="s">
        <v>9158</v>
      </c>
      <c r="O266" s="14" t="s">
        <v>9158</v>
      </c>
      <c r="P266" s="14" t="s">
        <v>9158</v>
      </c>
      <c r="Q266" s="14" t="s">
        <v>9158</v>
      </c>
      <c r="R266" s="14"/>
    </row>
    <row r="267" spans="1:18">
      <c r="A267" s="9">
        <v>81453</v>
      </c>
      <c r="B267" s="14" t="s">
        <v>30</v>
      </c>
      <c r="C267" s="14" t="s">
        <v>2611</v>
      </c>
      <c r="D267" s="14" t="s">
        <v>4685</v>
      </c>
      <c r="E267" s="15" t="str">
        <f>HYPERLINK("https://stat100.ameba.jp/tnk47/ratio20/illustrations/card/ill_81453_tokyosomerosu03.jpg?201905-3-RELEASE-dice-e-409", "■")</f>
        <v>■</v>
      </c>
      <c r="F267" s="14" t="s">
        <v>4686</v>
      </c>
      <c r="G267" s="14">
        <v>17972</v>
      </c>
      <c r="H267" s="14">
        <v>21398</v>
      </c>
      <c r="I267" s="14">
        <v>17</v>
      </c>
      <c r="J267" s="14" t="s">
        <v>38</v>
      </c>
      <c r="K267" s="14" t="s">
        <v>4687</v>
      </c>
      <c r="L267" s="14" t="s">
        <v>1736</v>
      </c>
      <c r="M267" s="14" t="s">
        <v>9158</v>
      </c>
      <c r="N267" s="14" t="s">
        <v>9158</v>
      </c>
      <c r="O267" s="14" t="s">
        <v>9158</v>
      </c>
      <c r="P267" s="14" t="s">
        <v>9158</v>
      </c>
      <c r="Q267" s="14" t="s">
        <v>9158</v>
      </c>
      <c r="R267" s="14"/>
    </row>
    <row r="268" spans="1:18">
      <c r="B268" s="14"/>
      <c r="C268" s="14"/>
      <c r="D268" s="14"/>
      <c r="F268" s="14"/>
      <c r="G268" s="14"/>
      <c r="H268" s="14"/>
      <c r="I268" s="14"/>
      <c r="J268" s="14"/>
      <c r="K268" s="14"/>
      <c r="L268" s="14"/>
      <c r="M268" s="14"/>
      <c r="N268" s="14"/>
      <c r="P268" s="14"/>
      <c r="Q268" s="14"/>
      <c r="R268" s="14"/>
    </row>
    <row r="269" spans="1:18">
      <c r="A269" s="14" t="s">
        <v>199</v>
      </c>
      <c r="D269" s="14"/>
      <c r="F269" s="14"/>
      <c r="G269" s="14"/>
      <c r="H269" s="14"/>
      <c r="I269" s="14"/>
      <c r="J269" s="14"/>
      <c r="K269" s="14"/>
      <c r="L269" s="14"/>
      <c r="M269" s="14"/>
      <c r="N269" s="14"/>
      <c r="P269" s="14"/>
      <c r="Q269" s="14"/>
      <c r="R269" s="14"/>
    </row>
    <row r="270" spans="1:18">
      <c r="A270" s="14" t="s">
        <v>4711</v>
      </c>
      <c r="B270" s="14"/>
      <c r="C270" s="14"/>
      <c r="D270" s="14"/>
      <c r="F270" s="14"/>
      <c r="G270" s="14"/>
      <c r="H270" s="14"/>
      <c r="I270" s="14"/>
      <c r="J270" s="14"/>
      <c r="K270" s="14"/>
      <c r="L270" s="14"/>
      <c r="M270" s="14"/>
      <c r="N270" s="14"/>
      <c r="P270" s="14"/>
      <c r="Q270" s="14"/>
      <c r="R270" s="14"/>
    </row>
    <row r="271" spans="1:18">
      <c r="A271" s="9" t="s">
        <v>5901</v>
      </c>
      <c r="B271" s="14" t="s">
        <v>52</v>
      </c>
      <c r="C271" s="14" t="s">
        <v>101</v>
      </c>
      <c r="D271" s="14" t="s">
        <v>2089</v>
      </c>
      <c r="E271" s="15" t="str">
        <f>HYPERLINK("https://stat100.ameba.jp/tnk47/ratio20/illustrations/card/ill_64953_0_yukatatokugawayoshinobu03.jpg?201905-3-RELEASE-dice-e-409", "■")</f>
        <v>■</v>
      </c>
      <c r="F271" s="14" t="s">
        <v>2090</v>
      </c>
      <c r="G271" s="14">
        <v>93450</v>
      </c>
      <c r="H271" s="14">
        <v>100502</v>
      </c>
      <c r="I271" s="14">
        <v>15</v>
      </c>
      <c r="J271" s="14" t="s">
        <v>10</v>
      </c>
      <c r="K271" s="14" t="s">
        <v>2091</v>
      </c>
      <c r="L271" s="14" t="s">
        <v>2092</v>
      </c>
      <c r="M271" s="14" t="s">
        <v>9158</v>
      </c>
      <c r="N271" s="14" t="s">
        <v>9158</v>
      </c>
      <c r="O271" s="9" t="s">
        <v>2889</v>
      </c>
      <c r="P271" s="14" t="s">
        <v>2890</v>
      </c>
      <c r="Q271" s="14">
        <v>1</v>
      </c>
      <c r="R271" s="14"/>
    </row>
    <row r="272" spans="1:18">
      <c r="A272" s="9" t="s">
        <v>5848</v>
      </c>
      <c r="B272" s="14" t="s">
        <v>330</v>
      </c>
      <c r="C272" s="14" t="s">
        <v>200</v>
      </c>
      <c r="D272" s="14" t="s">
        <v>1138</v>
      </c>
      <c r="E272" s="15" t="str">
        <f>HYPERLINK("https://stat100.ameba.jp/tnk47/ratio20/illustrations/card/ill_72963_0_amenohanayomehiguchiichiyo03.jpg?201905-3-RELEASE-dice-e-409", "■")</f>
        <v>■</v>
      </c>
      <c r="F272" s="14" t="s">
        <v>1139</v>
      </c>
      <c r="G272" s="14">
        <v>100502</v>
      </c>
      <c r="H272" s="14">
        <v>93450</v>
      </c>
      <c r="I272" s="14">
        <v>15</v>
      </c>
      <c r="J272" s="14" t="s">
        <v>173</v>
      </c>
      <c r="K272" s="14" t="s">
        <v>1140</v>
      </c>
      <c r="L272" s="14" t="s">
        <v>1141</v>
      </c>
      <c r="M272" s="14" t="s">
        <v>9158</v>
      </c>
      <c r="N272" s="14" t="s">
        <v>9158</v>
      </c>
      <c r="O272" s="9" t="s">
        <v>3409</v>
      </c>
      <c r="P272" s="14" t="s">
        <v>3410</v>
      </c>
      <c r="Q272" s="14">
        <v>1</v>
      </c>
      <c r="R272" s="14"/>
    </row>
    <row r="273" spans="1:18">
      <c r="A273" s="9" t="s">
        <v>5604</v>
      </c>
      <c r="B273" s="14" t="s">
        <v>330</v>
      </c>
      <c r="C273" s="14" t="s">
        <v>206</v>
      </c>
      <c r="D273" s="14" t="s">
        <v>614</v>
      </c>
      <c r="E273" s="15" t="str">
        <f>HYPERLINK("https://stat100.ameba.jp/tnk47/ratio20/illustrations/card/ill_47263_0_oukyuuatsuhime03.jpg?201905-3-RELEASE-dice-e-409", "■")</f>
        <v>■</v>
      </c>
      <c r="F273" s="14" t="s">
        <v>615</v>
      </c>
      <c r="G273" s="14">
        <v>94236</v>
      </c>
      <c r="H273" s="14">
        <v>83712</v>
      </c>
      <c r="I273" s="14">
        <v>15</v>
      </c>
      <c r="J273" s="14" t="s">
        <v>315</v>
      </c>
      <c r="K273" s="14" t="s">
        <v>616</v>
      </c>
      <c r="L273" s="14" t="s">
        <v>617</v>
      </c>
      <c r="M273" s="14" t="s">
        <v>9158</v>
      </c>
      <c r="N273" s="14" t="s">
        <v>9158</v>
      </c>
      <c r="O273" s="14" t="s">
        <v>9158</v>
      </c>
      <c r="P273" s="14" t="s">
        <v>9158</v>
      </c>
      <c r="Q273" s="14" t="s">
        <v>9158</v>
      </c>
      <c r="R273" s="14"/>
    </row>
    <row r="274" spans="1:18">
      <c r="A274" s="9">
        <v>66643</v>
      </c>
      <c r="B274" s="14" t="s">
        <v>0</v>
      </c>
      <c r="C274" s="14" t="s">
        <v>14</v>
      </c>
      <c r="D274" s="14" t="s">
        <v>4712</v>
      </c>
      <c r="E274" s="15" t="str">
        <f>HYPERLINK("https://stat100.ameba.jp/tnk47/ratio20/illustrations/card/ill_66643_oryorisonobehideo03.jpg?201905-3-RELEASE-dice-e-409", "■")</f>
        <v>■</v>
      </c>
      <c r="F274" s="14" t="s">
        <v>4713</v>
      </c>
      <c r="G274" s="14">
        <v>89839</v>
      </c>
      <c r="H274" s="14">
        <v>83499</v>
      </c>
      <c r="I274" s="14">
        <v>23</v>
      </c>
      <c r="J274" s="14" t="s">
        <v>10</v>
      </c>
      <c r="K274" s="14" t="s">
        <v>4714</v>
      </c>
      <c r="L274" s="14" t="s">
        <v>1202</v>
      </c>
      <c r="M274" s="14" t="s">
        <v>9158</v>
      </c>
      <c r="N274" s="14" t="s">
        <v>9158</v>
      </c>
      <c r="O274" s="14" t="s">
        <v>9158</v>
      </c>
      <c r="P274" s="14" t="s">
        <v>9158</v>
      </c>
      <c r="Q274" s="14" t="s">
        <v>9158</v>
      </c>
      <c r="R274" s="14"/>
    </row>
    <row r="275" spans="1:18">
      <c r="A275" s="9">
        <v>67603</v>
      </c>
      <c r="B275" s="14" t="s">
        <v>0</v>
      </c>
      <c r="C275" s="14" t="s">
        <v>165</v>
      </c>
      <c r="D275" s="14" t="s">
        <v>4355</v>
      </c>
      <c r="E275" s="15" t="str">
        <f>HYPERLINK("https://stat100.ameba.jp/tnk47/ratio20/illustrations/card/ill_67603_girishiashinwafujiwaratokihime03.jpg?201905-3-RELEASE-dice-e-409", "■")</f>
        <v>■</v>
      </c>
      <c r="F275" s="14" t="s">
        <v>4356</v>
      </c>
      <c r="G275" s="14">
        <v>89839</v>
      </c>
      <c r="H275" s="14">
        <v>83499</v>
      </c>
      <c r="I275" s="14">
        <v>23</v>
      </c>
      <c r="J275" s="14" t="s">
        <v>77</v>
      </c>
      <c r="K275" s="14" t="s">
        <v>4357</v>
      </c>
      <c r="L275" s="14" t="s">
        <v>4096</v>
      </c>
      <c r="M275" s="14" t="s">
        <v>9158</v>
      </c>
      <c r="N275" s="14" t="s">
        <v>9158</v>
      </c>
      <c r="O275" s="14" t="s">
        <v>9158</v>
      </c>
      <c r="P275" s="14" t="s">
        <v>9158</v>
      </c>
      <c r="Q275" s="14" t="s">
        <v>9158</v>
      </c>
      <c r="R275" s="14"/>
    </row>
    <row r="276" spans="1:18">
      <c r="A276" s="9">
        <v>53423</v>
      </c>
      <c r="B276" s="14" t="s">
        <v>0</v>
      </c>
      <c r="C276" s="14" t="s">
        <v>191</v>
      </c>
      <c r="D276" s="14" t="s">
        <v>3620</v>
      </c>
      <c r="E276" s="15" t="str">
        <f>HYPERLINK("https://stat100.ameba.jp/tnk47/ratio20/illustrations/card/ill_53423_natsumatsuriikumatsu03.jpg?201905-3-RELEASE-dice-e-409", "■")</f>
        <v>■</v>
      </c>
      <c r="F276" s="14" t="s">
        <v>3621</v>
      </c>
      <c r="G276" s="14">
        <v>82422</v>
      </c>
      <c r="H276" s="14">
        <v>88650</v>
      </c>
      <c r="I276" s="14">
        <v>23</v>
      </c>
      <c r="J276" s="14" t="s">
        <v>16</v>
      </c>
      <c r="K276" s="14" t="s">
        <v>3622</v>
      </c>
      <c r="L276" s="14" t="s">
        <v>3623</v>
      </c>
      <c r="M276" s="14" t="s">
        <v>9158</v>
      </c>
      <c r="N276" s="14" t="s">
        <v>9158</v>
      </c>
      <c r="O276" s="9" t="s">
        <v>3624</v>
      </c>
      <c r="P276" s="14" t="s">
        <v>3625</v>
      </c>
      <c r="Q276" s="14">
        <v>1</v>
      </c>
      <c r="R276" s="14"/>
    </row>
    <row r="277" spans="1:18">
      <c r="B277" s="14"/>
      <c r="C277" s="14"/>
      <c r="D277" s="14"/>
      <c r="F277" s="14"/>
      <c r="G277" s="14"/>
      <c r="H277" s="14"/>
      <c r="I277" s="14"/>
      <c r="J277" s="14"/>
      <c r="K277" s="14"/>
      <c r="L277" s="14"/>
      <c r="M277" s="14"/>
      <c r="N277" s="14"/>
      <c r="P277" s="14"/>
      <c r="Q277" s="14"/>
      <c r="R277" s="14"/>
    </row>
    <row r="278" spans="1:18">
      <c r="A278" s="14" t="s">
        <v>13326</v>
      </c>
      <c r="D278" s="14"/>
      <c r="F278" s="14"/>
      <c r="G278" s="14"/>
      <c r="H278" s="14"/>
      <c r="I278" s="14"/>
      <c r="J278" s="14"/>
      <c r="K278" s="14"/>
      <c r="L278" s="14"/>
      <c r="M278" s="14"/>
      <c r="N278" s="14"/>
      <c r="P278" s="14"/>
      <c r="Q278" s="14"/>
      <c r="R278" s="14"/>
    </row>
    <row r="279" spans="1:18">
      <c r="A279" s="14" t="s">
        <v>4715</v>
      </c>
      <c r="B279" s="14"/>
      <c r="C279" s="14"/>
      <c r="D279" s="14"/>
      <c r="F279" s="14"/>
      <c r="G279" s="14"/>
      <c r="H279" s="14"/>
      <c r="I279" s="14"/>
      <c r="J279" s="14"/>
      <c r="K279" s="14"/>
      <c r="L279" s="14"/>
      <c r="M279" s="14"/>
      <c r="N279" s="14"/>
      <c r="P279" s="14"/>
      <c r="Q279" s="14"/>
      <c r="R279" s="14"/>
    </row>
    <row r="280" spans="1:18">
      <c r="A280" s="9">
        <v>70073</v>
      </c>
      <c r="B280" s="14" t="s">
        <v>334</v>
      </c>
      <c r="C280" s="14" t="s">
        <v>185</v>
      </c>
      <c r="D280" s="14" t="s">
        <v>859</v>
      </c>
      <c r="E280" s="15" t="str">
        <f>HYPERLINK("https://stat100.ameba.jp/tnk47/ratio20/illustrations/card/ill_70073_muhime03.jpg?201905-4-RELEASE-guildbattle-410", "■")</f>
        <v>■</v>
      </c>
      <c r="F280" s="14" t="s">
        <v>860</v>
      </c>
      <c r="G280" s="14">
        <v>105275</v>
      </c>
      <c r="H280" s="14">
        <v>113230</v>
      </c>
      <c r="I280" s="14">
        <v>23</v>
      </c>
      <c r="J280" s="14" t="s">
        <v>315</v>
      </c>
      <c r="K280" s="14" t="s">
        <v>861</v>
      </c>
      <c r="L280" s="14" t="s">
        <v>862</v>
      </c>
      <c r="M280" s="14" t="s">
        <v>250</v>
      </c>
      <c r="N280" s="14" t="s">
        <v>251</v>
      </c>
      <c r="O280" s="14" t="s">
        <v>9158</v>
      </c>
      <c r="P280" s="14" t="s">
        <v>9158</v>
      </c>
      <c r="Q280" s="14" t="s">
        <v>9158</v>
      </c>
      <c r="R280" s="14"/>
    </row>
    <row r="281" spans="1:18">
      <c r="A281" s="9">
        <v>70072</v>
      </c>
      <c r="B281" s="14" t="s">
        <v>334</v>
      </c>
      <c r="C281" s="14" t="s">
        <v>185</v>
      </c>
      <c r="D281" s="14" t="s">
        <v>859</v>
      </c>
      <c r="E281" s="15" t="str">
        <f>HYPERLINK("https://stat100.ameba.jp/tnk47/ratio20/illustrations/card/ill_70072_muhime02.jpg?201905-4-RELEASE-guildbattle-410", "■")</f>
        <v>■</v>
      </c>
      <c r="F281" s="14" t="s">
        <v>860</v>
      </c>
      <c r="G281" s="14">
        <v>87192</v>
      </c>
      <c r="H281" s="14">
        <v>94653</v>
      </c>
      <c r="I281" s="14">
        <v>23</v>
      </c>
      <c r="J281" s="14" t="s">
        <v>315</v>
      </c>
      <c r="K281" s="14" t="s">
        <v>861</v>
      </c>
      <c r="L281" s="14" t="s">
        <v>862</v>
      </c>
      <c r="M281" s="14" t="s">
        <v>250</v>
      </c>
      <c r="N281" s="14" t="s">
        <v>251</v>
      </c>
      <c r="O281" s="14" t="s">
        <v>9158</v>
      </c>
      <c r="P281" s="14" t="s">
        <v>9158</v>
      </c>
      <c r="Q281" s="14" t="s">
        <v>9158</v>
      </c>
      <c r="R281" s="14"/>
    </row>
    <row r="282" spans="1:18">
      <c r="A282" s="9">
        <v>70071</v>
      </c>
      <c r="B282" s="14" t="s">
        <v>334</v>
      </c>
      <c r="C282" s="14" t="s">
        <v>185</v>
      </c>
      <c r="D282" s="14" t="s">
        <v>859</v>
      </c>
      <c r="E282" s="15" t="str">
        <f>HYPERLINK("https://stat100.ameba.jp/tnk47/ratio20/illustrations/card/ill_70071_muhime01.jpg?201905-4-RELEASE-guildbattle-410", "■")</f>
        <v>■</v>
      </c>
      <c r="F282" s="14" t="s">
        <v>860</v>
      </c>
      <c r="G282" s="14">
        <v>67275</v>
      </c>
      <c r="H282" s="14">
        <v>72266</v>
      </c>
      <c r="I282" s="14">
        <v>23</v>
      </c>
      <c r="J282" s="14" t="s">
        <v>315</v>
      </c>
      <c r="K282" s="14" t="s">
        <v>861</v>
      </c>
      <c r="L282" s="14" t="s">
        <v>862</v>
      </c>
      <c r="M282" s="14" t="s">
        <v>250</v>
      </c>
      <c r="N282" s="14" t="s">
        <v>251</v>
      </c>
      <c r="O282" s="14" t="s">
        <v>9158</v>
      </c>
      <c r="P282" s="14" t="s">
        <v>9158</v>
      </c>
      <c r="Q282" s="14" t="s">
        <v>9158</v>
      </c>
      <c r="R282" s="14"/>
    </row>
    <row r="283" spans="1:18">
      <c r="A283" s="9">
        <v>70083</v>
      </c>
      <c r="B283" s="14" t="s">
        <v>334</v>
      </c>
      <c r="C283" s="14" t="s">
        <v>200</v>
      </c>
      <c r="D283" s="14" t="s">
        <v>252</v>
      </c>
      <c r="E283" s="15" t="str">
        <f>HYPERLINK("https://stat100.ameba.jp/tnk47/ratio20/illustrations/card/ill_70083_kimurakaishu03.jpg?201905-4-RELEASE-guildbattle-410", "■")</f>
        <v>■</v>
      </c>
      <c r="F283" s="14" t="s">
        <v>863</v>
      </c>
      <c r="G283" s="14">
        <v>113230</v>
      </c>
      <c r="H283" s="14">
        <v>105275</v>
      </c>
      <c r="I283" s="14">
        <v>23</v>
      </c>
      <c r="J283" s="14" t="s">
        <v>173</v>
      </c>
      <c r="K283" s="14" t="s">
        <v>257</v>
      </c>
      <c r="L283" s="14" t="s">
        <v>9897</v>
      </c>
      <c r="M283" s="14" t="s">
        <v>250</v>
      </c>
      <c r="N283" s="14" t="s">
        <v>251</v>
      </c>
      <c r="O283" s="14" t="s">
        <v>9158</v>
      </c>
      <c r="P283" s="14" t="s">
        <v>9158</v>
      </c>
      <c r="Q283" s="14" t="s">
        <v>9158</v>
      </c>
      <c r="R283" s="14"/>
    </row>
    <row r="284" spans="1:18">
      <c r="A284" s="9">
        <v>70923</v>
      </c>
      <c r="B284" s="14" t="s">
        <v>334</v>
      </c>
      <c r="C284" s="14" t="s">
        <v>191</v>
      </c>
      <c r="D284" s="14" t="s">
        <v>253</v>
      </c>
      <c r="E284" s="15" t="str">
        <f>HYPERLINK("https://stat100.ameba.jp/tnk47/ratio20/illustrations/card/ill_70923_hidawagyu03.jpg?201905-4-RELEASE-guildbattle-410", "■")</f>
        <v>■</v>
      </c>
      <c r="F284" s="14" t="s">
        <v>864</v>
      </c>
      <c r="G284" s="14">
        <v>113230</v>
      </c>
      <c r="H284" s="14">
        <v>105275</v>
      </c>
      <c r="I284" s="14">
        <v>23</v>
      </c>
      <c r="J284" s="14" t="s">
        <v>216</v>
      </c>
      <c r="K284" s="14" t="s">
        <v>258</v>
      </c>
      <c r="L284" s="14" t="s">
        <v>9898</v>
      </c>
      <c r="M284" s="14" t="s">
        <v>250</v>
      </c>
      <c r="N284" s="14" t="s">
        <v>251</v>
      </c>
      <c r="O284" s="14" t="s">
        <v>9158</v>
      </c>
      <c r="P284" s="14" t="s">
        <v>9158</v>
      </c>
      <c r="Q284" s="14" t="s">
        <v>9158</v>
      </c>
      <c r="R284" s="14"/>
    </row>
    <row r="285" spans="1:18">
      <c r="A285" s="9">
        <v>70093</v>
      </c>
      <c r="B285" s="14" t="s">
        <v>334</v>
      </c>
      <c r="C285" s="14" t="s">
        <v>308</v>
      </c>
      <c r="D285" s="14" t="s">
        <v>254</v>
      </c>
      <c r="E285" s="15" t="str">
        <f>HYPERLINK("https://stat100.ameba.jp/tnk47/ratio20/illustrations/card/ill_70093_sarutahikonookami03.jpg?201905-4-RELEASE-guildbattle-410", "■")</f>
        <v>■</v>
      </c>
      <c r="F285" s="14" t="s">
        <v>865</v>
      </c>
      <c r="G285" s="14">
        <v>105275</v>
      </c>
      <c r="H285" s="14">
        <v>113230</v>
      </c>
      <c r="I285" s="14">
        <v>23</v>
      </c>
      <c r="J285" s="14" t="s">
        <v>169</v>
      </c>
      <c r="K285" s="14" t="s">
        <v>259</v>
      </c>
      <c r="L285" s="14" t="s">
        <v>9899</v>
      </c>
      <c r="M285" s="14" t="s">
        <v>250</v>
      </c>
      <c r="N285" s="14" t="s">
        <v>251</v>
      </c>
      <c r="O285" s="14" t="s">
        <v>9158</v>
      </c>
      <c r="P285" s="14" t="s">
        <v>9158</v>
      </c>
      <c r="Q285" s="14" t="s">
        <v>9158</v>
      </c>
      <c r="R285" s="14"/>
    </row>
    <row r="286" spans="1:18">
      <c r="A286" s="9">
        <v>70933</v>
      </c>
      <c r="B286" s="14" t="s">
        <v>334</v>
      </c>
      <c r="C286" s="14" t="s">
        <v>267</v>
      </c>
      <c r="D286" s="14" t="s">
        <v>255</v>
      </c>
      <c r="E286" s="15" t="str">
        <f>HYPERLINK("https://stat100.ameba.jp/tnk47/ratio20/illustrations/card/ill_70933_zenigatasunae03.jpg?201905-4-RELEASE-guildbattle-410", "■")</f>
        <v>■</v>
      </c>
      <c r="F286" s="14" t="s">
        <v>866</v>
      </c>
      <c r="G286" s="14">
        <v>105275</v>
      </c>
      <c r="H286" s="14">
        <v>113230</v>
      </c>
      <c r="I286" s="14">
        <v>23</v>
      </c>
      <c r="J286" s="14" t="s">
        <v>229</v>
      </c>
      <c r="K286" s="14" t="s">
        <v>260</v>
      </c>
      <c r="L286" s="14" t="s">
        <v>9900</v>
      </c>
      <c r="M286" s="14" t="s">
        <v>250</v>
      </c>
      <c r="N286" s="14" t="s">
        <v>251</v>
      </c>
      <c r="O286" s="14" t="s">
        <v>9158</v>
      </c>
      <c r="P286" s="14" t="s">
        <v>9158</v>
      </c>
      <c r="Q286" s="14" t="s">
        <v>9158</v>
      </c>
      <c r="R286" s="14"/>
    </row>
    <row r="287" spans="1:18">
      <c r="A287" s="9">
        <v>70943</v>
      </c>
      <c r="B287" s="14" t="s">
        <v>334</v>
      </c>
      <c r="C287" s="14" t="s">
        <v>344</v>
      </c>
      <c r="D287" s="14" t="s">
        <v>256</v>
      </c>
      <c r="E287" s="15" t="str">
        <f>HYPERLINK("https://stat100.ameba.jp/tnk47/ratio20/illustrations/card/ill_70943_tengunokakuremino03.jpg?201905-4-RELEASE-guildbattle-410", "■")</f>
        <v>■</v>
      </c>
      <c r="F287" s="14" t="s">
        <v>867</v>
      </c>
      <c r="G287" s="14">
        <v>113230</v>
      </c>
      <c r="H287" s="14">
        <v>105275</v>
      </c>
      <c r="I287" s="14">
        <v>23</v>
      </c>
      <c r="J287" s="14" t="s">
        <v>155</v>
      </c>
      <c r="K287" s="14" t="s">
        <v>261</v>
      </c>
      <c r="L287" s="14" t="s">
        <v>9901</v>
      </c>
      <c r="M287" s="14" t="s">
        <v>250</v>
      </c>
      <c r="N287" s="14" t="s">
        <v>251</v>
      </c>
      <c r="O287" s="14" t="s">
        <v>9158</v>
      </c>
      <c r="P287" s="14" t="s">
        <v>9158</v>
      </c>
      <c r="Q287" s="14" t="s">
        <v>9158</v>
      </c>
      <c r="R287" s="14"/>
    </row>
    <row r="288" spans="1:18">
      <c r="B288" s="14"/>
      <c r="C288" s="14"/>
      <c r="D288" s="14"/>
      <c r="F288" s="14"/>
      <c r="G288" s="14"/>
      <c r="H288" s="14"/>
      <c r="I288" s="14"/>
      <c r="J288" s="14"/>
      <c r="K288" s="14"/>
      <c r="L288" s="14"/>
      <c r="M288" s="14"/>
      <c r="N288" s="14"/>
      <c r="P288" s="14"/>
      <c r="Q288" s="14"/>
      <c r="R288" s="14"/>
    </row>
    <row r="289" spans="1:18">
      <c r="A289" s="14" t="s">
        <v>114</v>
      </c>
      <c r="D289" s="14"/>
      <c r="F289" s="14"/>
      <c r="G289" s="14"/>
      <c r="H289" s="14"/>
      <c r="I289" s="14"/>
      <c r="J289" s="14"/>
      <c r="K289" s="14"/>
      <c r="L289" s="14"/>
      <c r="M289" s="14"/>
      <c r="N289" s="14"/>
      <c r="P289" s="14"/>
      <c r="Q289" s="14"/>
      <c r="R289" s="14"/>
    </row>
    <row r="290" spans="1:18">
      <c r="A290" s="14" t="s">
        <v>4716</v>
      </c>
      <c r="B290" s="14"/>
      <c r="C290" s="14"/>
      <c r="D290" s="14"/>
      <c r="F290" s="14"/>
      <c r="G290" s="14"/>
      <c r="H290" s="14"/>
      <c r="I290" s="14"/>
      <c r="J290" s="14"/>
      <c r="K290" s="14"/>
      <c r="L290" s="14"/>
      <c r="M290" s="14"/>
      <c r="N290" s="14"/>
      <c r="P290" s="14"/>
      <c r="Q290" s="14"/>
      <c r="R290" s="14"/>
    </row>
    <row r="291" spans="1:18">
      <c r="A291" s="9" t="s">
        <v>5899</v>
      </c>
      <c r="B291" s="14" t="s">
        <v>330</v>
      </c>
      <c r="C291" s="14" t="s">
        <v>205</v>
      </c>
      <c r="D291" s="14" t="s">
        <v>934</v>
      </c>
      <c r="E291" s="15" t="str">
        <f>HYPERLINK("https://stat100.ameba.jp/tnk47/ratio20/illustrations/card/ill_73773_0_umibirakiinugamigyobu03.jpg?201905-4-RELEASE-guildbattle-410", "■")</f>
        <v>■</v>
      </c>
      <c r="F291" s="14" t="s">
        <v>935</v>
      </c>
      <c r="G291" s="14">
        <v>190902</v>
      </c>
      <c r="H291" s="14">
        <v>205334</v>
      </c>
      <c r="I291" s="14">
        <v>22</v>
      </c>
      <c r="J291" s="14" t="s">
        <v>182</v>
      </c>
      <c r="K291" s="14" t="s">
        <v>936</v>
      </c>
      <c r="L291" s="14" t="s">
        <v>13147</v>
      </c>
      <c r="M291" s="14" t="s">
        <v>9158</v>
      </c>
      <c r="N291" s="14" t="s">
        <v>9158</v>
      </c>
      <c r="O291" s="9" t="s">
        <v>2978</v>
      </c>
      <c r="P291" s="14" t="s">
        <v>2979</v>
      </c>
      <c r="Q291" s="14">
        <v>2</v>
      </c>
      <c r="R291" s="14"/>
    </row>
    <row r="292" spans="1:18">
      <c r="A292" s="9" t="s">
        <v>5620</v>
      </c>
      <c r="B292" s="14" t="s">
        <v>330</v>
      </c>
      <c r="C292" s="14" t="s">
        <v>206</v>
      </c>
      <c r="D292" s="14" t="s">
        <v>669</v>
      </c>
      <c r="E292" s="15" t="str">
        <f>HYPERLINK("https://stat100.ameba.jp/tnk47/ratio20/illustrations/card/ill_67173_0_yukemuriawamorichan03.jpg?201905-4-RELEASE-guildbattle-410", "■")</f>
        <v>■</v>
      </c>
      <c r="F292" s="14" t="s">
        <v>670</v>
      </c>
      <c r="G292" s="14">
        <v>169032</v>
      </c>
      <c r="H292" s="14">
        <v>157150</v>
      </c>
      <c r="I292" s="14">
        <v>22</v>
      </c>
      <c r="J292" s="14" t="s">
        <v>283</v>
      </c>
      <c r="K292" s="14" t="s">
        <v>671</v>
      </c>
      <c r="L292" s="14" t="s">
        <v>672</v>
      </c>
      <c r="M292" s="14" t="s">
        <v>9158</v>
      </c>
      <c r="N292" s="14" t="s">
        <v>9158</v>
      </c>
      <c r="O292" s="17" t="s">
        <v>10061</v>
      </c>
      <c r="P292" s="14" t="s">
        <v>3455</v>
      </c>
      <c r="Q292" s="14">
        <v>1</v>
      </c>
      <c r="R292" s="14"/>
    </row>
    <row r="293" spans="1:18">
      <c r="A293" s="9">
        <v>77663</v>
      </c>
      <c r="B293" s="14" t="s">
        <v>334</v>
      </c>
      <c r="C293" s="14" t="s">
        <v>202</v>
      </c>
      <c r="D293" s="14" t="s">
        <v>3890</v>
      </c>
      <c r="E293" s="15" t="str">
        <f>HYPERLINK("https://stat100.ameba.jp/tnk47/ratio20/illustrations/card/ill_77663_deipuburu03.jpg?201905-4-RELEASE-guildbattle-410", "■")</f>
        <v>■</v>
      </c>
      <c r="F293" s="14" t="s">
        <v>1573</v>
      </c>
      <c r="G293" s="14">
        <v>78916</v>
      </c>
      <c r="H293" s="14">
        <v>108924</v>
      </c>
      <c r="I293" s="14">
        <v>24</v>
      </c>
      <c r="J293" s="14" t="s">
        <v>414</v>
      </c>
      <c r="K293" s="14" t="s">
        <v>1574</v>
      </c>
      <c r="L293" s="14" t="s">
        <v>1575</v>
      </c>
      <c r="M293" s="14" t="s">
        <v>9158</v>
      </c>
      <c r="N293" s="14" t="s">
        <v>9158</v>
      </c>
      <c r="O293" s="9" t="s">
        <v>3891</v>
      </c>
      <c r="P293" s="14" t="s">
        <v>3625</v>
      </c>
      <c r="Q293" s="14">
        <v>1</v>
      </c>
      <c r="R293" s="14"/>
    </row>
    <row r="294" spans="1:18">
      <c r="A294" s="9">
        <v>66343</v>
      </c>
      <c r="B294" s="14" t="s">
        <v>0</v>
      </c>
      <c r="C294" s="14" t="s">
        <v>209</v>
      </c>
      <c r="D294" s="14" t="s">
        <v>1253</v>
      </c>
      <c r="E294" s="15" t="str">
        <f>HYPERLINK("https://stat100.ameba.jp/tnk47/ratio20/illustrations/card/ill_66343_shunobon03.jpg?201905-4-RELEASE-guildbattle-410", "■")</f>
        <v>■</v>
      </c>
      <c r="F294" s="14" t="s">
        <v>1254</v>
      </c>
      <c r="G294" s="14">
        <v>70942</v>
      </c>
      <c r="H294" s="14">
        <v>97925</v>
      </c>
      <c r="I294" s="14">
        <v>21</v>
      </c>
      <c r="J294" s="14" t="s">
        <v>73</v>
      </c>
      <c r="K294" s="14" t="s">
        <v>1255</v>
      </c>
      <c r="L294" s="14" t="s">
        <v>1256</v>
      </c>
      <c r="M294" s="14" t="s">
        <v>9158</v>
      </c>
      <c r="N294" s="14" t="s">
        <v>9158</v>
      </c>
      <c r="O294" s="14" t="s">
        <v>9158</v>
      </c>
      <c r="P294" s="14" t="s">
        <v>9158</v>
      </c>
      <c r="Q294" s="14" t="s">
        <v>9158</v>
      </c>
      <c r="R294" s="14"/>
    </row>
    <row r="295" spans="1:18">
      <c r="A295" s="9">
        <v>62453</v>
      </c>
      <c r="B295" s="14" t="s">
        <v>0</v>
      </c>
      <c r="C295" s="14" t="s">
        <v>101</v>
      </c>
      <c r="D295" s="14" t="s">
        <v>4717</v>
      </c>
      <c r="E295" s="15" t="str">
        <f>HYPERLINK("https://stat100.ameba.jp/tnk47/ratio20/illustrations/card/ill_62453_ondanohatsuren03.jpg?201905-4-RELEASE-guildbattle-410", "■")</f>
        <v>■</v>
      </c>
      <c r="F295" s="14" t="s">
        <v>4718</v>
      </c>
      <c r="G295" s="14">
        <v>107166</v>
      </c>
      <c r="H295" s="14">
        <v>77618</v>
      </c>
      <c r="I295" s="14">
        <v>21</v>
      </c>
      <c r="J295" s="14" t="s">
        <v>38</v>
      </c>
      <c r="K295" s="14" t="s">
        <v>4719</v>
      </c>
      <c r="L295" s="14" t="s">
        <v>4720</v>
      </c>
      <c r="M295" s="14" t="s">
        <v>9158</v>
      </c>
      <c r="N295" s="14" t="s">
        <v>9158</v>
      </c>
      <c r="O295" s="14" t="s">
        <v>9158</v>
      </c>
      <c r="P295" s="14" t="s">
        <v>9158</v>
      </c>
      <c r="Q295" s="14" t="s">
        <v>9158</v>
      </c>
      <c r="R295" s="14"/>
    </row>
    <row r="296" spans="1:18">
      <c r="A296" s="9">
        <v>66353</v>
      </c>
      <c r="B296" s="14" t="s">
        <v>334</v>
      </c>
      <c r="C296" s="14" t="s">
        <v>269</v>
      </c>
      <c r="D296" s="14" t="s">
        <v>440</v>
      </c>
      <c r="E296" s="15" t="str">
        <f>HYPERLINK("https://stat100.ameba.jp/tnk47/ratio20/illustrations/card/ill_66353_kajiwaranyudotoan03.jpg?201905-4-RELEASE-guildbattle-410", "■")</f>
        <v>■</v>
      </c>
      <c r="F296" s="14" t="s">
        <v>441</v>
      </c>
      <c r="G296" s="14">
        <v>139716</v>
      </c>
      <c r="H296" s="14">
        <v>101199</v>
      </c>
      <c r="I296" s="14">
        <v>21</v>
      </c>
      <c r="J296" s="14" t="s">
        <v>310</v>
      </c>
      <c r="K296" s="14" t="s">
        <v>442</v>
      </c>
      <c r="L296" s="14" t="s">
        <v>443</v>
      </c>
      <c r="M296" s="14" t="s">
        <v>9158</v>
      </c>
      <c r="N296" s="14" t="s">
        <v>9158</v>
      </c>
      <c r="O296" s="17" t="s">
        <v>10054</v>
      </c>
      <c r="P296" s="14" t="s">
        <v>3672</v>
      </c>
      <c r="Q296" s="14">
        <v>1</v>
      </c>
      <c r="R296" s="14"/>
    </row>
    <row r="297" spans="1:18">
      <c r="A297" s="9">
        <v>70383</v>
      </c>
      <c r="B297" s="14" t="s">
        <v>334</v>
      </c>
      <c r="C297" s="14" t="s">
        <v>41</v>
      </c>
      <c r="D297" s="14" t="s">
        <v>3486</v>
      </c>
      <c r="E297" s="15" t="str">
        <f>HYPERLINK("https://stat100.ameba.jp/tnk47/ratio20/illustrations/card/ill_70383_saraudon03.jpg?201905-4-RELEASE-guildbattle-410", "■")</f>
        <v>■</v>
      </c>
      <c r="F297" s="14" t="s">
        <v>3487</v>
      </c>
      <c r="G297" s="14">
        <v>111000</v>
      </c>
      <c r="H297" s="14">
        <v>80391</v>
      </c>
      <c r="I297" s="14">
        <v>21</v>
      </c>
      <c r="J297" s="14" t="s">
        <v>104</v>
      </c>
      <c r="K297" s="14" t="s">
        <v>3488</v>
      </c>
      <c r="L297" s="14" t="s">
        <v>3489</v>
      </c>
      <c r="M297" s="14" t="s">
        <v>9158</v>
      </c>
      <c r="N297" s="14" t="s">
        <v>9158</v>
      </c>
      <c r="O297" s="14" t="s">
        <v>9158</v>
      </c>
      <c r="P297" s="14" t="s">
        <v>9158</v>
      </c>
      <c r="Q297" s="14" t="s">
        <v>9158</v>
      </c>
      <c r="R297" s="14"/>
    </row>
    <row r="298" spans="1:18">
      <c r="A298" s="9">
        <v>76783</v>
      </c>
      <c r="B298" s="14" t="s">
        <v>0</v>
      </c>
      <c r="C298" s="14" t="s">
        <v>203</v>
      </c>
      <c r="D298" s="14" t="s">
        <v>1191</v>
      </c>
      <c r="E298" s="15" t="str">
        <f>HYPERLINK("https://stat100.ameba.jp/tnk47/ratio20/illustrations/card/ill_76783_monsutaakashirejina03.jpg?201905-4-RELEASE-guildbattle-410", "■")</f>
        <v>■</v>
      </c>
      <c r="F298" s="14" t="s">
        <v>1192</v>
      </c>
      <c r="G298" s="14">
        <v>66487</v>
      </c>
      <c r="H298" s="14">
        <v>91779</v>
      </c>
      <c r="I298" s="14">
        <v>21</v>
      </c>
      <c r="J298" s="14" t="s">
        <v>10</v>
      </c>
      <c r="K298" s="14" t="s">
        <v>1193</v>
      </c>
      <c r="L298" s="14" t="s">
        <v>1194</v>
      </c>
      <c r="M298" s="14" t="s">
        <v>9158</v>
      </c>
      <c r="N298" s="14" t="s">
        <v>9158</v>
      </c>
      <c r="O298" s="9" t="s">
        <v>2717</v>
      </c>
      <c r="P298" s="14" t="s">
        <v>13123</v>
      </c>
      <c r="Q298" s="14">
        <v>1</v>
      </c>
      <c r="R298" s="14"/>
    </row>
    <row r="299" spans="1:18">
      <c r="B299" s="14"/>
      <c r="C299" s="14"/>
      <c r="D299" s="14"/>
      <c r="F299" s="14"/>
      <c r="G299" s="14"/>
      <c r="H299" s="14"/>
      <c r="I299" s="14"/>
      <c r="J299" s="14"/>
      <c r="K299" s="14"/>
      <c r="L299" s="14"/>
      <c r="M299" s="14"/>
      <c r="N299" s="14"/>
      <c r="P299" s="14"/>
      <c r="Q299" s="14"/>
      <c r="R299" s="14"/>
    </row>
    <row r="300" spans="1:18">
      <c r="A300" s="14" t="s">
        <v>132</v>
      </c>
      <c r="D300" s="14"/>
      <c r="F300" s="14"/>
      <c r="G300" s="14"/>
      <c r="H300" s="14"/>
      <c r="I300" s="14"/>
      <c r="J300" s="14"/>
      <c r="K300" s="14"/>
      <c r="L300" s="14"/>
      <c r="M300" s="14"/>
      <c r="N300" s="14"/>
      <c r="P300" s="14"/>
      <c r="Q300" s="14"/>
      <c r="R300" s="14"/>
    </row>
    <row r="301" spans="1:18">
      <c r="A301" s="14" t="s">
        <v>4721</v>
      </c>
      <c r="B301" s="14"/>
      <c r="C301" s="14"/>
      <c r="D301" s="14"/>
      <c r="F301" s="14"/>
      <c r="G301" s="14"/>
      <c r="H301" s="14"/>
      <c r="I301" s="14"/>
      <c r="J301" s="14"/>
      <c r="K301" s="14"/>
      <c r="L301" s="14"/>
      <c r="M301" s="14"/>
      <c r="N301" s="14"/>
      <c r="P301" s="14"/>
      <c r="Q301" s="14"/>
      <c r="R301" s="14"/>
    </row>
    <row r="302" spans="1:18">
      <c r="A302" s="9">
        <v>76755</v>
      </c>
      <c r="B302" s="14" t="s">
        <v>0</v>
      </c>
      <c r="C302" s="14" t="s">
        <v>202</v>
      </c>
      <c r="D302" s="14" t="s">
        <v>3686</v>
      </c>
      <c r="E302" s="15" t="str">
        <f>HYPERLINK("https://stat100.ameba.jp/tnk47/ratio20/illustrations/card/ill_76755_igamenchi05.jpg?201905-4-RELEASE-guildbattle-410", "■")</f>
        <v>■</v>
      </c>
      <c r="F302" s="14" t="s">
        <v>3686</v>
      </c>
      <c r="G302" s="14">
        <v>125086</v>
      </c>
      <c r="H302" s="14">
        <v>90580</v>
      </c>
      <c r="I302" s="14">
        <v>22</v>
      </c>
      <c r="J302" s="14" t="s">
        <v>104</v>
      </c>
      <c r="K302" s="14" t="s">
        <v>3687</v>
      </c>
      <c r="L302" s="14" t="s">
        <v>1320</v>
      </c>
      <c r="M302" s="14" t="s">
        <v>9158</v>
      </c>
      <c r="N302" s="14" t="s">
        <v>9158</v>
      </c>
      <c r="O302" s="14" t="s">
        <v>9158</v>
      </c>
      <c r="P302" s="14" t="s">
        <v>9158</v>
      </c>
      <c r="Q302" s="14" t="s">
        <v>9158</v>
      </c>
      <c r="R302" s="14" t="s">
        <v>174</v>
      </c>
    </row>
    <row r="303" spans="1:18">
      <c r="A303" s="9">
        <v>76753</v>
      </c>
      <c r="B303" s="14" t="s">
        <v>15</v>
      </c>
      <c r="C303" s="14" t="s">
        <v>154</v>
      </c>
      <c r="D303" s="14" t="s">
        <v>3686</v>
      </c>
      <c r="E303" s="15" t="str">
        <f>HYPERLINK("https://stat100.ameba.jp/tnk47/ratio20/illustrations/card/ill_76753_igamenchi03.jpg?201905-4-RELEASE-guildbattle-410", "■")</f>
        <v>■</v>
      </c>
      <c r="F303" s="14" t="s">
        <v>3686</v>
      </c>
      <c r="G303" s="14">
        <v>92170</v>
      </c>
      <c r="H303" s="14">
        <v>66738</v>
      </c>
      <c r="I303" s="14">
        <v>22</v>
      </c>
      <c r="J303" s="14" t="s">
        <v>104</v>
      </c>
      <c r="K303" s="14" t="s">
        <v>3687</v>
      </c>
      <c r="L303" s="14" t="s">
        <v>1321</v>
      </c>
      <c r="M303" s="14" t="s">
        <v>9158</v>
      </c>
      <c r="N303" s="14" t="s">
        <v>9158</v>
      </c>
      <c r="O303" s="14" t="s">
        <v>9158</v>
      </c>
      <c r="P303" s="14" t="s">
        <v>9158</v>
      </c>
      <c r="Q303" s="14" t="s">
        <v>9158</v>
      </c>
      <c r="R303" s="14" t="s">
        <v>175</v>
      </c>
    </row>
    <row r="304" spans="1:18">
      <c r="A304" s="9">
        <v>76751</v>
      </c>
      <c r="B304" s="14" t="s">
        <v>15</v>
      </c>
      <c r="C304" s="14" t="s">
        <v>154</v>
      </c>
      <c r="D304" s="14" t="s">
        <v>3686</v>
      </c>
      <c r="E304" s="15" t="str">
        <f>HYPERLINK("https://stat100.ameba.jp/tnk47/ratio20/illustrations/card/ill_76751_igamenchi01.jpg?201905-4-RELEASE-guildbattle-410", "■")</f>
        <v>■</v>
      </c>
      <c r="F304" s="14" t="s">
        <v>3686</v>
      </c>
      <c r="G304" s="14">
        <v>58630</v>
      </c>
      <c r="H304" s="14">
        <v>42460</v>
      </c>
      <c r="I304" s="14">
        <v>22</v>
      </c>
      <c r="J304" s="14" t="s">
        <v>104</v>
      </c>
      <c r="K304" s="14" t="s">
        <v>3687</v>
      </c>
      <c r="L304" s="14" t="s">
        <v>1322</v>
      </c>
      <c r="M304" s="14" t="s">
        <v>9158</v>
      </c>
      <c r="N304" s="14" t="s">
        <v>9158</v>
      </c>
      <c r="O304" s="14" t="s">
        <v>9158</v>
      </c>
      <c r="P304" s="14" t="s">
        <v>9158</v>
      </c>
      <c r="Q304" s="14" t="s">
        <v>9158</v>
      </c>
      <c r="R304" s="14" t="s">
        <v>176</v>
      </c>
    </row>
    <row r="305" spans="1:18">
      <c r="A305" s="9">
        <v>68665</v>
      </c>
      <c r="B305" s="14" t="s">
        <v>0</v>
      </c>
      <c r="C305" s="14" t="s">
        <v>154</v>
      </c>
      <c r="D305" s="14" t="s">
        <v>4492</v>
      </c>
      <c r="E305" s="15" t="str">
        <f>HYPERLINK("https://stat100.ameba.jp/tnk47/ratio20/illustrations/card/ill_68665_matsushitaotome05.jpg?201905-4-RELEASE-guildbattle-410", "■")</f>
        <v>■</v>
      </c>
      <c r="F305" s="14" t="s">
        <v>4722</v>
      </c>
      <c r="G305" s="14">
        <v>74886</v>
      </c>
      <c r="H305" s="14">
        <v>103428</v>
      </c>
      <c r="I305" s="14">
        <v>22</v>
      </c>
      <c r="J305" s="14" t="s">
        <v>77</v>
      </c>
      <c r="K305" s="14" t="s">
        <v>4723</v>
      </c>
      <c r="L305" s="14" t="s">
        <v>969</v>
      </c>
      <c r="M305" s="14" t="s">
        <v>9158</v>
      </c>
      <c r="N305" s="14" t="s">
        <v>9158</v>
      </c>
      <c r="O305" s="14" t="s">
        <v>9158</v>
      </c>
      <c r="P305" s="14" t="s">
        <v>9158</v>
      </c>
      <c r="Q305" s="14" t="s">
        <v>9158</v>
      </c>
      <c r="R305" s="14" t="s">
        <v>174</v>
      </c>
    </row>
    <row r="306" spans="1:18">
      <c r="A306" s="9">
        <v>68663</v>
      </c>
      <c r="B306" s="14" t="s">
        <v>15</v>
      </c>
      <c r="C306" s="14" t="s">
        <v>191</v>
      </c>
      <c r="D306" s="14" t="s">
        <v>4492</v>
      </c>
      <c r="E306" s="15" t="str">
        <f>HYPERLINK("https://stat100.ameba.jp/tnk47/ratio20/illustrations/card/ill_68663_matsushitaotome03.jpg?201905-4-RELEASE-guildbattle-410", "■")</f>
        <v>■</v>
      </c>
      <c r="F306" s="14" t="s">
        <v>4722</v>
      </c>
      <c r="G306" s="14">
        <v>55170</v>
      </c>
      <c r="H306" s="14">
        <v>76196</v>
      </c>
      <c r="I306" s="14">
        <v>22</v>
      </c>
      <c r="J306" s="14" t="s">
        <v>77</v>
      </c>
      <c r="K306" s="14" t="s">
        <v>4723</v>
      </c>
      <c r="L306" s="14" t="s">
        <v>2123</v>
      </c>
      <c r="M306" s="14" t="s">
        <v>9158</v>
      </c>
      <c r="N306" s="14" t="s">
        <v>9158</v>
      </c>
      <c r="O306" s="14" t="s">
        <v>9158</v>
      </c>
      <c r="P306" s="14" t="s">
        <v>9158</v>
      </c>
      <c r="Q306" s="14" t="s">
        <v>9158</v>
      </c>
      <c r="R306" s="14" t="s">
        <v>175</v>
      </c>
    </row>
    <row r="307" spans="1:18">
      <c r="A307" s="9">
        <v>68661</v>
      </c>
      <c r="B307" s="14" t="s">
        <v>15</v>
      </c>
      <c r="C307" s="14" t="s">
        <v>191</v>
      </c>
      <c r="D307" s="14" t="s">
        <v>4492</v>
      </c>
      <c r="E307" s="15" t="str">
        <f>HYPERLINK("https://stat100.ameba.jp/tnk47/ratio20/illustrations/card/ill_68661_matsushitaotome01.jpg?201905-4-RELEASE-guildbattle-410", "■")</f>
        <v>■</v>
      </c>
      <c r="F307" s="14" t="s">
        <v>4722</v>
      </c>
      <c r="G307" s="14">
        <v>35090</v>
      </c>
      <c r="H307" s="14">
        <v>48466</v>
      </c>
      <c r="I307" s="14">
        <v>22</v>
      </c>
      <c r="J307" s="14" t="s">
        <v>77</v>
      </c>
      <c r="K307" s="14" t="s">
        <v>4723</v>
      </c>
      <c r="L307" s="14" t="s">
        <v>2124</v>
      </c>
      <c r="M307" s="14" t="s">
        <v>9158</v>
      </c>
      <c r="N307" s="14" t="s">
        <v>9158</v>
      </c>
      <c r="O307" s="14" t="s">
        <v>9158</v>
      </c>
      <c r="P307" s="14" t="s">
        <v>9158</v>
      </c>
      <c r="Q307" s="14" t="s">
        <v>9158</v>
      </c>
      <c r="R307" s="14" t="s">
        <v>176</v>
      </c>
    </row>
    <row r="308" spans="1:18">
      <c r="A308" s="9">
        <v>79215</v>
      </c>
      <c r="B308" s="14" t="s">
        <v>0</v>
      </c>
      <c r="C308" s="14" t="s">
        <v>202</v>
      </c>
      <c r="D308" s="14" t="s">
        <v>2442</v>
      </c>
      <c r="E308" s="15" t="str">
        <f>HYPERLINK("https://stat100.ameba.jp/tnk47/ratio20/illustrations/card/ill_79215_jizainoimpu05.jpg?201905-4-RELEASE-guildbattle-410", "■")</f>
        <v>■</v>
      </c>
      <c r="F308" s="14" t="s">
        <v>2443</v>
      </c>
      <c r="G308" s="14">
        <v>68446</v>
      </c>
      <c r="H308" s="14">
        <v>49558</v>
      </c>
      <c r="I308" s="14">
        <v>22</v>
      </c>
      <c r="J308" s="14" t="s">
        <v>73</v>
      </c>
      <c r="K308" s="14" t="s">
        <v>2444</v>
      </c>
      <c r="L308" s="14" t="s">
        <v>2445</v>
      </c>
      <c r="M308" s="14" t="s">
        <v>9158</v>
      </c>
      <c r="N308" s="14" t="s">
        <v>9158</v>
      </c>
      <c r="O308" s="14" t="s">
        <v>9158</v>
      </c>
      <c r="P308" s="14" t="s">
        <v>9158</v>
      </c>
      <c r="Q308" s="14" t="s">
        <v>9158</v>
      </c>
      <c r="R308" s="14" t="s">
        <v>174</v>
      </c>
    </row>
    <row r="309" spans="1:18">
      <c r="A309" s="9">
        <v>79213</v>
      </c>
      <c r="B309" s="14" t="s">
        <v>15</v>
      </c>
      <c r="C309" s="14" t="s">
        <v>158</v>
      </c>
      <c r="D309" s="14" t="s">
        <v>2442</v>
      </c>
      <c r="E309" s="15" t="str">
        <f>HYPERLINK("https://stat100.ameba.jp/tnk47/ratio20/illustrations/card/ill_79213_jizainoimpu03.jpg?201905-4-RELEASE-guildbattle-410", "■")</f>
        <v>■</v>
      </c>
      <c r="F309" s="14" t="s">
        <v>2443</v>
      </c>
      <c r="G309" s="14">
        <v>49506</v>
      </c>
      <c r="H309" s="14">
        <v>35814</v>
      </c>
      <c r="I309" s="14">
        <v>22</v>
      </c>
      <c r="J309" s="14" t="s">
        <v>73</v>
      </c>
      <c r="K309" s="14" t="s">
        <v>2444</v>
      </c>
      <c r="L309" s="14" t="s">
        <v>2446</v>
      </c>
      <c r="M309" s="14" t="s">
        <v>9158</v>
      </c>
      <c r="N309" s="14" t="s">
        <v>9158</v>
      </c>
      <c r="O309" s="14" t="s">
        <v>9158</v>
      </c>
      <c r="P309" s="14" t="s">
        <v>9158</v>
      </c>
      <c r="Q309" s="14" t="s">
        <v>9158</v>
      </c>
      <c r="R309" s="14" t="s">
        <v>175</v>
      </c>
    </row>
    <row r="310" spans="1:18">
      <c r="A310" s="9">
        <v>79211</v>
      </c>
      <c r="B310" s="14" t="s">
        <v>15</v>
      </c>
      <c r="C310" s="14" t="s">
        <v>158</v>
      </c>
      <c r="D310" s="14" t="s">
        <v>2442</v>
      </c>
      <c r="E310" s="15" t="str">
        <f>HYPERLINK("https://stat100.ameba.jp/tnk47/ratio20/illustrations/card/ill_79211_jizainoimpu01.jpg?201905-4-RELEASE-guildbattle-410", "■")</f>
        <v>■</v>
      </c>
      <c r="F310" s="14" t="s">
        <v>2443</v>
      </c>
      <c r="G310" s="14">
        <v>28688</v>
      </c>
      <c r="H310" s="14">
        <v>20768</v>
      </c>
      <c r="I310" s="14">
        <v>22</v>
      </c>
      <c r="J310" s="14" t="s">
        <v>73</v>
      </c>
      <c r="K310" s="14" t="s">
        <v>2444</v>
      </c>
      <c r="L310" s="14" t="s">
        <v>2447</v>
      </c>
      <c r="M310" s="14" t="s">
        <v>9158</v>
      </c>
      <c r="N310" s="14" t="s">
        <v>9158</v>
      </c>
      <c r="O310" s="14" t="s">
        <v>9158</v>
      </c>
      <c r="P310" s="14" t="s">
        <v>9158</v>
      </c>
      <c r="Q310" s="14" t="s">
        <v>9158</v>
      </c>
      <c r="R310" s="14" t="s">
        <v>176</v>
      </c>
    </row>
    <row r="311" spans="1:18">
      <c r="B311" s="14"/>
      <c r="C311" s="14"/>
      <c r="D311" s="14"/>
      <c r="F311" s="14"/>
      <c r="G311" s="14"/>
      <c r="H311" s="14"/>
      <c r="I311" s="14"/>
      <c r="J311" s="14"/>
      <c r="K311" s="14"/>
      <c r="L311" s="14"/>
      <c r="M311" s="14"/>
      <c r="N311" s="14"/>
      <c r="P311" s="14"/>
      <c r="Q311" s="14"/>
      <c r="R311" s="14"/>
    </row>
    <row r="312" spans="1:18">
      <c r="A312" s="14" t="s">
        <v>1357</v>
      </c>
      <c r="D312" s="14"/>
      <c r="F312" s="14"/>
      <c r="G312" s="14"/>
      <c r="H312" s="14"/>
      <c r="I312" s="14"/>
      <c r="J312" s="14"/>
      <c r="K312" s="14"/>
      <c r="L312" s="14"/>
      <c r="M312" s="14"/>
      <c r="N312" s="14"/>
      <c r="P312" s="14"/>
      <c r="Q312" s="14"/>
      <c r="R312" s="14"/>
    </row>
    <row r="313" spans="1:18">
      <c r="A313" s="14" t="s">
        <v>4724</v>
      </c>
      <c r="B313" s="14"/>
      <c r="C313" s="14"/>
      <c r="D313" s="14"/>
      <c r="F313" s="14"/>
      <c r="G313" s="14"/>
      <c r="H313" s="14"/>
      <c r="I313" s="14"/>
      <c r="J313" s="14"/>
      <c r="K313" s="14"/>
      <c r="L313" s="14"/>
      <c r="M313" s="14"/>
      <c r="N313" s="14"/>
      <c r="P313" s="14"/>
      <c r="Q313" s="14"/>
      <c r="R313" s="14"/>
    </row>
    <row r="314" spans="1:18">
      <c r="A314" s="9" t="s">
        <v>5725</v>
      </c>
      <c r="B314" s="14" t="s">
        <v>52</v>
      </c>
      <c r="C314" s="14" t="s">
        <v>206</v>
      </c>
      <c r="D314" s="14" t="s">
        <v>55</v>
      </c>
      <c r="E314" s="15" t="str">
        <f>HYPERLINK("https://stat100.ameba.jp/tnk47/ratio20/illustrations/card/ill_52693_0_sengokumibirakiyanagiharabyakuren03.jpg?201905-4-RELEASE-guildbattle-410", "■")</f>
        <v>■</v>
      </c>
      <c r="F314" s="14" t="s">
        <v>1246</v>
      </c>
      <c r="G314" s="14">
        <v>83712</v>
      </c>
      <c r="H314" s="14">
        <v>94236</v>
      </c>
      <c r="I314" s="14">
        <v>15</v>
      </c>
      <c r="J314" s="14" t="s">
        <v>16</v>
      </c>
      <c r="K314" s="14" t="s">
        <v>1247</v>
      </c>
      <c r="L314" s="14" t="s">
        <v>1248</v>
      </c>
      <c r="M314" s="14" t="s">
        <v>9158</v>
      </c>
      <c r="N314" s="14" t="s">
        <v>9158</v>
      </c>
      <c r="O314" s="9" t="s">
        <v>3303</v>
      </c>
      <c r="P314" s="14" t="s">
        <v>3304</v>
      </c>
      <c r="Q314" s="14">
        <v>1</v>
      </c>
      <c r="R314" s="14"/>
    </row>
    <row r="315" spans="1:18">
      <c r="A315" s="9" t="s">
        <v>5778</v>
      </c>
      <c r="B315" s="14" t="s">
        <v>330</v>
      </c>
      <c r="C315" s="14" t="s">
        <v>205</v>
      </c>
      <c r="D315" s="14" t="s">
        <v>272</v>
      </c>
      <c r="E315" s="15" t="str">
        <f>HYPERLINK("https://stat100.ameba.jp/tnk47/ratio20/illustrations/card/ill_68783_0_gantammomotaro03.jpg?201905-4-RELEASE-guildbattle-410", "■")</f>
        <v>■</v>
      </c>
      <c r="F315" s="14" t="s">
        <v>273</v>
      </c>
      <c r="G315" s="14">
        <v>102590</v>
      </c>
      <c r="H315" s="14">
        <v>95371</v>
      </c>
      <c r="I315" s="14">
        <v>15</v>
      </c>
      <c r="J315" s="14" t="s">
        <v>274</v>
      </c>
      <c r="K315" s="14" t="s">
        <v>275</v>
      </c>
      <c r="L315" s="14" t="s">
        <v>276</v>
      </c>
      <c r="M315" s="14" t="s">
        <v>9158</v>
      </c>
      <c r="N315" s="14" t="s">
        <v>9158</v>
      </c>
      <c r="O315" s="17" t="s">
        <v>9992</v>
      </c>
      <c r="P315" s="14" t="s">
        <v>3085</v>
      </c>
      <c r="Q315" s="14">
        <v>1</v>
      </c>
      <c r="R315" s="14"/>
    </row>
    <row r="316" spans="1:18">
      <c r="A316" s="9" t="s">
        <v>5830</v>
      </c>
      <c r="B316" s="14" t="s">
        <v>330</v>
      </c>
      <c r="C316" s="14" t="s">
        <v>191</v>
      </c>
      <c r="D316" s="14" t="s">
        <v>793</v>
      </c>
      <c r="E316" s="15" t="str">
        <f>HYPERLINK("https://stat100.ameba.jp/tnk47/ratio20/illustrations/card/ill_39933_0_reihiiinaotora03.jpg?201905-4-RELEASE-guildbattle-410", "■")</f>
        <v>■</v>
      </c>
      <c r="F316" s="14" t="s">
        <v>794</v>
      </c>
      <c r="G316" s="14">
        <v>82212</v>
      </c>
      <c r="H316" s="14">
        <v>87780</v>
      </c>
      <c r="I316" s="14">
        <v>15</v>
      </c>
      <c r="J316" s="14" t="s">
        <v>315</v>
      </c>
      <c r="K316" s="14" t="s">
        <v>795</v>
      </c>
      <c r="L316" s="14" t="s">
        <v>796</v>
      </c>
      <c r="M316" s="14" t="s">
        <v>9158</v>
      </c>
      <c r="N316" s="14" t="s">
        <v>9158</v>
      </c>
      <c r="O316" s="14" t="s">
        <v>9158</v>
      </c>
      <c r="P316" s="14" t="s">
        <v>9158</v>
      </c>
      <c r="Q316" s="14" t="s">
        <v>9158</v>
      </c>
      <c r="R316" s="14"/>
    </row>
    <row r="317" spans="1:18">
      <c r="A317" s="9">
        <v>77743</v>
      </c>
      <c r="B317" s="14" t="s">
        <v>334</v>
      </c>
      <c r="C317" s="14" t="s">
        <v>269</v>
      </c>
      <c r="D317" s="14" t="s">
        <v>3857</v>
      </c>
      <c r="E317" s="15" t="str">
        <f>HYPERLINK("https://stat100.ameba.jp/tnk47/ratio20/illustrations/card/ill_77743_kaerude03.jpg?201905-4-RELEASE-guildbattle-410", "■")</f>
        <v>■</v>
      </c>
      <c r="F317" s="14" t="s">
        <v>494</v>
      </c>
      <c r="G317" s="14">
        <v>72813</v>
      </c>
      <c r="H317" s="14">
        <v>129385</v>
      </c>
      <c r="I317" s="14">
        <v>23</v>
      </c>
      <c r="J317" s="14" t="s">
        <v>369</v>
      </c>
      <c r="K317" s="14" t="s">
        <v>495</v>
      </c>
      <c r="L317" s="14" t="s">
        <v>496</v>
      </c>
      <c r="M317" s="14" t="s">
        <v>9158</v>
      </c>
      <c r="N317" s="14" t="s">
        <v>9158</v>
      </c>
      <c r="O317" s="14" t="s">
        <v>9158</v>
      </c>
      <c r="P317" s="14" t="s">
        <v>9158</v>
      </c>
      <c r="Q317" s="14" t="s">
        <v>9158</v>
      </c>
      <c r="R317" s="14"/>
    </row>
    <row r="318" spans="1:18">
      <c r="A318" s="9">
        <v>76953</v>
      </c>
      <c r="B318" s="14" t="s">
        <v>334</v>
      </c>
      <c r="C318" s="14" t="s">
        <v>154</v>
      </c>
      <c r="D318" s="14" t="s">
        <v>1931</v>
      </c>
      <c r="E318" s="15" t="str">
        <f>HYPERLINK("https://stat100.ameba.jp/tnk47/ratio20/illustrations/card/ill_76953_gureteru03.jpg?201905-4-RELEASE-guildbattle-410", "■")</f>
        <v>■</v>
      </c>
      <c r="F318" s="14" t="s">
        <v>1932</v>
      </c>
      <c r="G318" s="14">
        <v>72883</v>
      </c>
      <c r="H318" s="14">
        <v>129501</v>
      </c>
      <c r="I318" s="14">
        <v>23</v>
      </c>
      <c r="J318" s="14" t="s">
        <v>38</v>
      </c>
      <c r="K318" s="14" t="s">
        <v>1933</v>
      </c>
      <c r="L318" s="14" t="s">
        <v>1934</v>
      </c>
      <c r="M318" s="14" t="s">
        <v>9158</v>
      </c>
      <c r="N318" s="14" t="s">
        <v>9158</v>
      </c>
      <c r="O318" s="14" t="s">
        <v>9158</v>
      </c>
      <c r="P318" s="14" t="s">
        <v>9158</v>
      </c>
      <c r="Q318" s="14" t="s">
        <v>9158</v>
      </c>
      <c r="R318" s="14"/>
    </row>
    <row r="319" spans="1:18">
      <c r="A319" s="9">
        <v>75973</v>
      </c>
      <c r="B319" s="14" t="s">
        <v>0</v>
      </c>
      <c r="C319" s="14" t="s">
        <v>154</v>
      </c>
      <c r="D319" s="14" t="s">
        <v>2301</v>
      </c>
      <c r="E319" s="15" t="str">
        <f>HYPERLINK("https://stat100.ameba.jp/tnk47/ratio20/illustrations/card/ill_75973_hojonomegamifuriggu03.jpg?201905-4-RELEASE-guildbattle-410", "■")</f>
        <v>■</v>
      </c>
      <c r="F319" s="14" t="s">
        <v>2302</v>
      </c>
      <c r="G319" s="14">
        <v>95001</v>
      </c>
      <c r="H319" s="14">
        <v>168858</v>
      </c>
      <c r="I319" s="14">
        <v>23</v>
      </c>
      <c r="J319" s="14" t="s">
        <v>104</v>
      </c>
      <c r="K319" s="14" t="s">
        <v>2303</v>
      </c>
      <c r="L319" s="14" t="s">
        <v>2304</v>
      </c>
      <c r="M319" s="14" t="s">
        <v>9158</v>
      </c>
      <c r="N319" s="14" t="s">
        <v>9158</v>
      </c>
      <c r="O319" s="14" t="s">
        <v>9158</v>
      </c>
      <c r="P319" s="14" t="s">
        <v>9158</v>
      </c>
      <c r="Q319" s="14" t="s">
        <v>9158</v>
      </c>
      <c r="R319" s="14"/>
    </row>
    <row r="320" spans="1:18">
      <c r="A320" s="9">
        <v>72313</v>
      </c>
      <c r="B320" s="14" t="s">
        <v>15</v>
      </c>
      <c r="C320" s="14" t="s">
        <v>165</v>
      </c>
      <c r="D320" s="14" t="s">
        <v>4725</v>
      </c>
      <c r="E320" s="15" t="str">
        <f>HYPERLINK("https://stat100.ameba.jp/tnk47/ratio20/illustrations/card/ill_72313_inei03.jpg?201905-4-RELEASE-guildbattle-410", "■")</f>
        <v>■</v>
      </c>
      <c r="F320" s="14" t="s">
        <v>4726</v>
      </c>
      <c r="G320" s="14">
        <v>61832</v>
      </c>
      <c r="H320" s="14">
        <v>68172</v>
      </c>
      <c r="I320" s="14">
        <v>23</v>
      </c>
      <c r="J320" s="14" t="s">
        <v>194</v>
      </c>
      <c r="K320" s="14" t="s">
        <v>4727</v>
      </c>
      <c r="L320" s="14" t="s">
        <v>3326</v>
      </c>
      <c r="M320" s="14" t="s">
        <v>9158</v>
      </c>
      <c r="N320" s="14" t="s">
        <v>9158</v>
      </c>
      <c r="O320" s="14" t="s">
        <v>9158</v>
      </c>
      <c r="P320" s="14" t="s">
        <v>9158</v>
      </c>
      <c r="Q320" s="14" t="s">
        <v>9158</v>
      </c>
      <c r="R320" s="14"/>
    </row>
    <row r="321" spans="1:19">
      <c r="A321" s="9">
        <v>67613</v>
      </c>
      <c r="B321" s="14" t="s">
        <v>15</v>
      </c>
      <c r="C321" s="14" t="s">
        <v>185</v>
      </c>
      <c r="D321" s="14" t="s">
        <v>1470</v>
      </c>
      <c r="E321" s="15" t="str">
        <f>HYPERLINK("https://stat100.ameba.jp/tnk47/ratio20/illustrations/card/ill_67613_girishiashinwaringochan03.jpg?201905-4-RELEASE-guildbattle-410", "■")</f>
        <v>■</v>
      </c>
      <c r="F321" s="14" t="s">
        <v>1471</v>
      </c>
      <c r="G321" s="14">
        <v>61832</v>
      </c>
      <c r="H321" s="14">
        <v>68172</v>
      </c>
      <c r="I321" s="14">
        <v>23</v>
      </c>
      <c r="J321" s="14" t="s">
        <v>283</v>
      </c>
      <c r="K321" s="14" t="s">
        <v>1472</v>
      </c>
      <c r="L321" s="14" t="s">
        <v>1442</v>
      </c>
      <c r="M321" s="14" t="s">
        <v>9158</v>
      </c>
      <c r="N321" s="14" t="s">
        <v>9158</v>
      </c>
      <c r="O321" s="14" t="s">
        <v>9158</v>
      </c>
      <c r="P321" s="14" t="s">
        <v>9158</v>
      </c>
      <c r="Q321" s="14" t="s">
        <v>9158</v>
      </c>
      <c r="R321" s="14"/>
    </row>
    <row r="322" spans="1:19">
      <c r="A322" s="9">
        <v>59873</v>
      </c>
      <c r="B322" s="14" t="s">
        <v>15</v>
      </c>
      <c r="C322" s="14" t="s">
        <v>200</v>
      </c>
      <c r="D322" s="14" t="s">
        <v>3525</v>
      </c>
      <c r="E322" s="15" t="str">
        <f>HYPERLINK("https://stat100.ameba.jp/tnk47/ratio20/illustrations/card/ill_59873_yoseinakajimautako03.jpg?201905-4-RELEASE-guildbattle-410", "■")</f>
        <v>■</v>
      </c>
      <c r="F322" s="14" t="s">
        <v>3526</v>
      </c>
      <c r="G322" s="14">
        <v>68172</v>
      </c>
      <c r="H322" s="14">
        <v>61832</v>
      </c>
      <c r="I322" s="14">
        <v>23</v>
      </c>
      <c r="J322" s="14" t="s">
        <v>10</v>
      </c>
      <c r="K322" s="14" t="s">
        <v>3527</v>
      </c>
      <c r="L322" s="14" t="s">
        <v>3275</v>
      </c>
      <c r="M322" s="14" t="s">
        <v>9158</v>
      </c>
      <c r="N322" s="14" t="s">
        <v>9158</v>
      </c>
      <c r="O322" s="14" t="s">
        <v>9158</v>
      </c>
      <c r="P322" s="14" t="s">
        <v>9158</v>
      </c>
      <c r="Q322" s="14" t="s">
        <v>9158</v>
      </c>
      <c r="R322" s="14"/>
    </row>
    <row r="323" spans="1:19">
      <c r="B323" s="14"/>
      <c r="C323" s="14"/>
      <c r="D323" s="14"/>
      <c r="F323" s="14"/>
      <c r="G323" s="14"/>
      <c r="H323" s="14"/>
      <c r="I323" s="14"/>
      <c r="J323" s="14"/>
      <c r="K323" s="14"/>
      <c r="L323" s="14"/>
      <c r="M323" s="14"/>
      <c r="N323" s="14"/>
      <c r="P323" s="14"/>
      <c r="Q323" s="14"/>
      <c r="R323" s="14"/>
    </row>
    <row r="324" spans="1:19">
      <c r="A324" s="14" t="s">
        <v>3844</v>
      </c>
      <c r="D324" s="14"/>
      <c r="F324" s="14"/>
      <c r="G324" s="14"/>
      <c r="H324" s="14"/>
      <c r="I324" s="14"/>
      <c r="J324" s="14"/>
      <c r="K324" s="14"/>
      <c r="L324" s="14"/>
      <c r="M324" s="14"/>
      <c r="N324" s="14"/>
      <c r="P324" s="14"/>
      <c r="Q324" s="14"/>
      <c r="R324" s="14"/>
    </row>
    <row r="325" spans="1:19">
      <c r="A325" s="14" t="s">
        <v>4728</v>
      </c>
      <c r="B325" s="14"/>
      <c r="C325" s="14"/>
      <c r="D325" s="14"/>
      <c r="F325" s="14"/>
      <c r="G325" s="14"/>
      <c r="H325" s="14"/>
      <c r="I325" s="14"/>
      <c r="J325" s="14"/>
      <c r="K325" s="14"/>
      <c r="L325" s="14"/>
      <c r="M325" s="14"/>
      <c r="N325" s="14"/>
      <c r="P325" s="14"/>
      <c r="Q325" s="14"/>
      <c r="R325" s="14"/>
    </row>
    <row r="326" spans="1:19">
      <c r="A326" s="9" t="s">
        <v>5804</v>
      </c>
      <c r="B326" s="14" t="s">
        <v>52</v>
      </c>
      <c r="C326" s="14" t="s">
        <v>14</v>
      </c>
      <c r="D326" s="14" t="s">
        <v>3247</v>
      </c>
      <c r="E326" s="15" t="str">
        <f>HYPERLINK("https://stat100.ameba.jp/tnk47/ratio20/illustrations/card/ill_75393_0_resukuinotsukisamaniittausagi03.jpg?201905-4-RELEASE-guildbattle-410", "■")</f>
        <v>■</v>
      </c>
      <c r="F326" s="14" t="s">
        <v>3248</v>
      </c>
      <c r="G326" s="14">
        <v>227808</v>
      </c>
      <c r="H326" s="14">
        <v>211800</v>
      </c>
      <c r="I326" s="14">
        <v>20</v>
      </c>
      <c r="J326" s="14" t="s">
        <v>26</v>
      </c>
      <c r="K326" s="14" t="s">
        <v>3249</v>
      </c>
      <c r="L326" s="14" t="s">
        <v>3250</v>
      </c>
      <c r="M326" s="14" t="s">
        <v>9158</v>
      </c>
      <c r="N326" s="14" t="s">
        <v>9158</v>
      </c>
      <c r="O326" s="17" t="s">
        <v>10051</v>
      </c>
      <c r="P326" s="14" t="s">
        <v>3251</v>
      </c>
      <c r="Q326" s="14">
        <v>2</v>
      </c>
      <c r="R326" s="14"/>
    </row>
    <row r="327" spans="1:19">
      <c r="A327" s="9">
        <v>69503</v>
      </c>
      <c r="B327" s="14" t="s">
        <v>334</v>
      </c>
      <c r="C327" s="14" t="s">
        <v>209</v>
      </c>
      <c r="D327" s="14" t="s">
        <v>2949</v>
      </c>
      <c r="E327" s="15" t="str">
        <f>HYPERLINK("https://stat100.ameba.jp/tnk47/ratio20/illustrations/card/ill_69503_azusayumi03.jpg?201905-4-RELEASE-guildbattle-410", "■")</f>
        <v>■</v>
      </c>
      <c r="F327" s="14" t="s">
        <v>1684</v>
      </c>
      <c r="G327" s="14">
        <v>99846</v>
      </c>
      <c r="H327" s="14">
        <v>72340</v>
      </c>
      <c r="I327" s="14">
        <v>22</v>
      </c>
      <c r="J327" s="14" t="s">
        <v>155</v>
      </c>
      <c r="K327" s="14" t="s">
        <v>2950</v>
      </c>
      <c r="L327" s="14" t="s">
        <v>428</v>
      </c>
      <c r="M327" s="14" t="s">
        <v>9158</v>
      </c>
      <c r="N327" s="14" t="s">
        <v>9158</v>
      </c>
      <c r="O327" s="9" t="s">
        <v>2951</v>
      </c>
      <c r="P327" s="14" t="s">
        <v>13122</v>
      </c>
      <c r="Q327" s="14">
        <v>1</v>
      </c>
      <c r="R327" s="14"/>
    </row>
    <row r="328" spans="1:19">
      <c r="A328" s="9">
        <v>75083</v>
      </c>
      <c r="B328" s="14" t="s">
        <v>334</v>
      </c>
      <c r="C328" s="14" t="s">
        <v>209</v>
      </c>
      <c r="D328" s="14" t="s">
        <v>1019</v>
      </c>
      <c r="E328" s="15" t="str">
        <f>HYPERLINK("https://stat100.ameba.jp/tnk47/ratio20/illustrations/card/ill_75083_sukumizuhanakosan03.jpg?201905-4-RELEASE-guildbattle-410", "■")</f>
        <v>■</v>
      </c>
      <c r="F328" s="14" t="s">
        <v>1020</v>
      </c>
      <c r="G328" s="14">
        <v>102588</v>
      </c>
      <c r="H328" s="14">
        <v>74322</v>
      </c>
      <c r="I328" s="14">
        <v>22</v>
      </c>
      <c r="J328" s="14" t="s">
        <v>73</v>
      </c>
      <c r="K328" s="14" t="s">
        <v>1021</v>
      </c>
      <c r="L328" s="14" t="s">
        <v>1022</v>
      </c>
      <c r="M328" s="14" t="s">
        <v>9158</v>
      </c>
      <c r="N328" s="14" t="s">
        <v>9158</v>
      </c>
      <c r="O328" s="9" t="s">
        <v>3415</v>
      </c>
      <c r="P328" s="14" t="s">
        <v>3416</v>
      </c>
      <c r="Q328" s="14">
        <v>1</v>
      </c>
      <c r="R328" s="14"/>
    </row>
    <row r="329" spans="1:19">
      <c r="A329" s="9">
        <v>51893</v>
      </c>
      <c r="B329" s="14" t="s">
        <v>0</v>
      </c>
      <c r="C329" s="14" t="s">
        <v>206</v>
      </c>
      <c r="D329" s="14" t="s">
        <v>2083</v>
      </c>
      <c r="E329" s="15" t="str">
        <f>HYPERLINK("https://stat100.ameba.jp/tnk47/ratio20/illustrations/card/ill_51893_kemonomizugitakachihonomine03.jpg?201905-4-RELEASE-guildbattle-410", "■")</f>
        <v>■</v>
      </c>
      <c r="F329" s="14" t="s">
        <v>2084</v>
      </c>
      <c r="G329" s="14">
        <v>78838</v>
      </c>
      <c r="H329" s="14">
        <v>84796</v>
      </c>
      <c r="I329" s="14">
        <v>22</v>
      </c>
      <c r="J329" s="14" t="s">
        <v>44</v>
      </c>
      <c r="K329" s="14" t="s">
        <v>2085</v>
      </c>
      <c r="L329" s="14" t="s">
        <v>2086</v>
      </c>
      <c r="M329" s="14" t="s">
        <v>9158</v>
      </c>
      <c r="N329" s="14" t="s">
        <v>9158</v>
      </c>
      <c r="O329" s="9" t="s">
        <v>3601</v>
      </c>
      <c r="P329" s="14" t="s">
        <v>13145</v>
      </c>
      <c r="Q329" s="14">
        <v>1</v>
      </c>
      <c r="R329" s="14"/>
    </row>
    <row r="330" spans="1:19">
      <c r="B330" s="14"/>
      <c r="C330" s="14"/>
      <c r="D330" s="14"/>
      <c r="F330" s="14"/>
      <c r="G330" s="14"/>
      <c r="H330" s="14"/>
      <c r="I330" s="14"/>
      <c r="J330" s="14"/>
      <c r="K330" s="14"/>
      <c r="L330" s="14"/>
      <c r="M330" s="14"/>
      <c r="N330" s="14"/>
      <c r="P330" s="14"/>
      <c r="Q330" s="14"/>
      <c r="R330" s="14"/>
    </row>
    <row r="331" spans="1:19">
      <c r="A331" s="14" t="s">
        <v>208</v>
      </c>
      <c r="D331" s="14"/>
      <c r="F331" s="14"/>
      <c r="G331" s="14"/>
      <c r="H331" s="14"/>
      <c r="I331" s="14"/>
      <c r="J331" s="14"/>
      <c r="K331" s="14"/>
      <c r="L331" s="14"/>
      <c r="M331" s="14"/>
      <c r="N331" s="14"/>
      <c r="P331" s="14"/>
      <c r="Q331" s="14"/>
      <c r="R331" s="14"/>
    </row>
    <row r="332" spans="1:19">
      <c r="A332" s="14" t="s">
        <v>4729</v>
      </c>
      <c r="B332" s="14"/>
      <c r="C332" s="14"/>
      <c r="D332" s="14"/>
      <c r="F332" s="14"/>
      <c r="G332" s="14"/>
      <c r="H332" s="14"/>
      <c r="I332" s="14"/>
      <c r="J332" s="14"/>
      <c r="K332" s="14"/>
      <c r="L332" s="14"/>
      <c r="M332" s="14"/>
      <c r="N332" s="14"/>
      <c r="P332" s="14"/>
      <c r="Q332" s="14"/>
      <c r="R332" s="14"/>
    </row>
    <row r="333" spans="1:19">
      <c r="A333" s="9" t="s">
        <v>5603</v>
      </c>
      <c r="B333" s="14" t="s">
        <v>52</v>
      </c>
      <c r="C333" s="14" t="s">
        <v>205</v>
      </c>
      <c r="D333" s="14" t="s">
        <v>1868</v>
      </c>
      <c r="E333" s="15" t="str">
        <f>HYPERLINK("https://stat100.ameba.jp/tnk47/ratio20/illustrations/card/ill_61893_0_onikirishumiyamotomusashi03.jpg?201905-4-RELEASE-guildbattle-410", "■")</f>
        <v>■</v>
      </c>
      <c r="F333" s="14" t="s">
        <v>612</v>
      </c>
      <c r="G333" s="14">
        <v>140016</v>
      </c>
      <c r="H333" s="14">
        <v>130194</v>
      </c>
      <c r="I333" s="14">
        <v>15</v>
      </c>
      <c r="J333" s="14" t="s">
        <v>310</v>
      </c>
      <c r="K333" s="14" t="s">
        <v>613</v>
      </c>
      <c r="L333" s="14" t="s">
        <v>312</v>
      </c>
      <c r="M333" s="14" t="s">
        <v>9158</v>
      </c>
      <c r="N333" s="14" t="s">
        <v>9158</v>
      </c>
      <c r="O333" s="9" t="s">
        <v>3252</v>
      </c>
      <c r="P333" s="14" t="s">
        <v>3253</v>
      </c>
      <c r="Q333" s="14">
        <v>1</v>
      </c>
      <c r="R333" s="14"/>
    </row>
    <row r="334" spans="1:19">
      <c r="A334" s="9" t="s">
        <v>5618</v>
      </c>
      <c r="B334" s="14" t="s">
        <v>330</v>
      </c>
      <c r="C334" s="14" t="s">
        <v>23</v>
      </c>
      <c r="D334" s="14" t="s">
        <v>83</v>
      </c>
      <c r="E334" s="15" t="str">
        <f>HYPERLINK("https://stat100.ameba.jp/tnk47/ratio20/illustrations/card/ill_63173_0_minazukikonakaiteruko03.jpg?201905-4-RELEASE-guildbattle-410", "■")</f>
        <v>■</v>
      </c>
      <c r="F334" s="14" t="s">
        <v>1188</v>
      </c>
      <c r="G334" s="14">
        <v>130194</v>
      </c>
      <c r="H334" s="14">
        <v>140016</v>
      </c>
      <c r="I334" s="14">
        <v>15</v>
      </c>
      <c r="J334" s="14" t="s">
        <v>143</v>
      </c>
      <c r="K334" s="14" t="s">
        <v>1189</v>
      </c>
      <c r="L334" s="14" t="s">
        <v>1190</v>
      </c>
      <c r="M334" s="14" t="s">
        <v>9158</v>
      </c>
      <c r="N334" s="14" t="s">
        <v>9158</v>
      </c>
      <c r="O334" s="9" t="s">
        <v>3328</v>
      </c>
      <c r="P334" s="14" t="s">
        <v>3329</v>
      </c>
      <c r="Q334" s="14">
        <v>1</v>
      </c>
      <c r="R334" s="14"/>
    </row>
    <row r="335" spans="1:19">
      <c r="A335" s="9" t="s">
        <v>5604</v>
      </c>
      <c r="B335" s="14" t="s">
        <v>330</v>
      </c>
      <c r="C335" s="14" t="s">
        <v>206</v>
      </c>
      <c r="D335" s="14" t="s">
        <v>614</v>
      </c>
      <c r="E335" s="15" t="str">
        <f>HYPERLINK("https://stat100.ameba.jp/tnk47/ratio20/illustrations/card/ill_47263_0_oukyuuatsuhime03.jpg?201905-4-RELEASE-guildbattle-410", "■")</f>
        <v>■</v>
      </c>
      <c r="F335" s="14" t="s">
        <v>615</v>
      </c>
      <c r="G335" s="14">
        <v>94236</v>
      </c>
      <c r="H335" s="14">
        <v>83712</v>
      </c>
      <c r="I335" s="14">
        <v>15</v>
      </c>
      <c r="J335" s="14" t="s">
        <v>315</v>
      </c>
      <c r="K335" s="14" t="s">
        <v>616</v>
      </c>
      <c r="L335" s="14" t="s">
        <v>617</v>
      </c>
      <c r="M335" s="14" t="s">
        <v>9158</v>
      </c>
      <c r="N335" s="14" t="s">
        <v>9158</v>
      </c>
      <c r="O335" s="14" t="s">
        <v>9158</v>
      </c>
      <c r="P335" s="14" t="s">
        <v>9158</v>
      </c>
      <c r="Q335" s="14" t="s">
        <v>9158</v>
      </c>
      <c r="R335" s="14"/>
    </row>
    <row r="336" spans="1:19">
      <c r="A336" s="9">
        <v>72483</v>
      </c>
      <c r="B336" s="14" t="s">
        <v>334</v>
      </c>
      <c r="C336" s="14" t="s">
        <v>47</v>
      </c>
      <c r="D336" s="14" t="s">
        <v>4730</v>
      </c>
      <c r="E336" s="15" t="str">
        <f>HYPERLINK("https://stat100.ameba.jp/tnk47/ratio20/illustrations/card/ill_72483_safuaripakutsuraraonna03.jpg?201905-4-RELEASE-guildbattle-410", "■")</f>
        <v>■</v>
      </c>
      <c r="F336" s="14" t="s">
        <v>4731</v>
      </c>
      <c r="G336" s="14">
        <v>92996</v>
      </c>
      <c r="H336" s="14">
        <v>99996</v>
      </c>
      <c r="I336" s="14">
        <v>24</v>
      </c>
      <c r="J336" s="14" t="s">
        <v>73</v>
      </c>
      <c r="K336" s="14" t="s">
        <v>4732</v>
      </c>
      <c r="L336" s="14" t="s">
        <v>961</v>
      </c>
      <c r="M336" s="14" t="s">
        <v>9158</v>
      </c>
      <c r="N336" s="14" t="s">
        <v>9158</v>
      </c>
      <c r="O336" s="14" t="s">
        <v>9158</v>
      </c>
      <c r="P336" s="14" t="s">
        <v>9158</v>
      </c>
      <c r="Q336" s="14" t="s">
        <v>9158</v>
      </c>
      <c r="S336" s="14" t="s">
        <v>11778</v>
      </c>
    </row>
    <row r="337" spans="1:19">
      <c r="A337" s="9">
        <v>47953</v>
      </c>
      <c r="B337" s="14" t="s">
        <v>334</v>
      </c>
      <c r="C337" s="14" t="s">
        <v>47</v>
      </c>
      <c r="D337" s="14" t="s">
        <v>4733</v>
      </c>
      <c r="E337" s="15" t="str">
        <f>HYPERLINK("https://stat100.ameba.jp/tnk47/ratio20/illustrations/card/ill_47953_nekomiminene03.jpg?201905-4-RELEASE-guildbattle-410", "■")</f>
        <v>■</v>
      </c>
      <c r="F337" s="14" t="s">
        <v>4734</v>
      </c>
      <c r="G337" s="14">
        <v>93746</v>
      </c>
      <c r="H337" s="14">
        <v>87128</v>
      </c>
      <c r="I337" s="14">
        <v>24</v>
      </c>
      <c r="J337" s="14" t="s">
        <v>77</v>
      </c>
      <c r="K337" s="14" t="s">
        <v>4735</v>
      </c>
      <c r="L337" s="14" t="s">
        <v>4096</v>
      </c>
      <c r="M337" s="14" t="s">
        <v>9158</v>
      </c>
      <c r="N337" s="14" t="s">
        <v>9158</v>
      </c>
      <c r="O337" s="14" t="s">
        <v>9158</v>
      </c>
      <c r="P337" s="14" t="s">
        <v>9158</v>
      </c>
      <c r="Q337" s="14" t="s">
        <v>9158</v>
      </c>
      <c r="S337" s="14" t="s">
        <v>11779</v>
      </c>
    </row>
    <row r="338" spans="1:19">
      <c r="A338" s="9">
        <v>73603</v>
      </c>
      <c r="B338" s="14" t="s">
        <v>0</v>
      </c>
      <c r="C338" s="14" t="s">
        <v>41</v>
      </c>
      <c r="D338" s="14" t="s">
        <v>4736</v>
      </c>
      <c r="E338" s="15" t="str">
        <f>HYPERLINK("https://stat100.ameba.jp/tnk47/ratio20/illustrations/card/ill_73603_midorogaike03.jpg?201905-4-RELEASE-guildbattle-410", "■")</f>
        <v>■</v>
      </c>
      <c r="F338" s="14" t="s">
        <v>4737</v>
      </c>
      <c r="G338" s="14">
        <v>101656</v>
      </c>
      <c r="H338" s="14">
        <v>109334</v>
      </c>
      <c r="I338" s="14">
        <v>24</v>
      </c>
      <c r="J338" s="14" t="s">
        <v>44</v>
      </c>
      <c r="K338" s="14" t="s">
        <v>4738</v>
      </c>
      <c r="L338" s="14" t="s">
        <v>4739</v>
      </c>
      <c r="M338" s="14" t="s">
        <v>9158</v>
      </c>
      <c r="N338" s="14" t="s">
        <v>9158</v>
      </c>
      <c r="O338" s="14" t="s">
        <v>9158</v>
      </c>
      <c r="P338" s="14" t="s">
        <v>9158</v>
      </c>
      <c r="Q338" s="14" t="s">
        <v>9158</v>
      </c>
      <c r="S338" s="14" t="s">
        <v>11780</v>
      </c>
    </row>
    <row r="339" spans="1:19">
      <c r="A339" s="9">
        <v>74953</v>
      </c>
      <c r="B339" s="14" t="s">
        <v>15</v>
      </c>
      <c r="C339" s="14" t="s">
        <v>101</v>
      </c>
      <c r="D339" s="14" t="s">
        <v>4642</v>
      </c>
      <c r="E339" s="15" t="str">
        <f>HYPERLINK("https://stat100.ameba.jp/tnk47/ratio20/illustrations/card/ill_74953_amenowaharunomikoto03.jpg?201905-4-RELEASE-guildbattle-410", "■")</f>
        <v>■</v>
      </c>
      <c r="F339" s="14" t="s">
        <v>4643</v>
      </c>
      <c r="G339" s="14">
        <v>51078</v>
      </c>
      <c r="H339" s="14">
        <v>56316</v>
      </c>
      <c r="I339" s="14">
        <v>19</v>
      </c>
      <c r="J339" s="14" t="s">
        <v>44</v>
      </c>
      <c r="K339" s="14" t="s">
        <v>4644</v>
      </c>
      <c r="L339" s="14" t="s">
        <v>4645</v>
      </c>
      <c r="M339" s="14" t="s">
        <v>9158</v>
      </c>
      <c r="N339" s="14" t="s">
        <v>9158</v>
      </c>
      <c r="O339" s="14" t="s">
        <v>9158</v>
      </c>
      <c r="P339" s="14" t="s">
        <v>9158</v>
      </c>
      <c r="Q339" s="14" t="s">
        <v>9158</v>
      </c>
      <c r="S339" s="14" t="s">
        <v>11773</v>
      </c>
    </row>
    <row r="340" spans="1:19">
      <c r="A340" s="9">
        <v>70233</v>
      </c>
      <c r="B340" s="14" t="s">
        <v>15</v>
      </c>
      <c r="C340" s="14" t="s">
        <v>101</v>
      </c>
      <c r="D340" s="14" t="s">
        <v>4646</v>
      </c>
      <c r="E340" s="15" t="str">
        <f>HYPERLINK("https://stat100.ameba.jp/tnk47/ratio20/illustrations/card/ill_70233_enjunojashin03.jpg?201905-4-RELEASE-guildbattle-410", "■")</f>
        <v>■</v>
      </c>
      <c r="F340" s="14" t="s">
        <v>4647</v>
      </c>
      <c r="G340" s="14">
        <v>56316</v>
      </c>
      <c r="H340" s="14">
        <v>51078</v>
      </c>
      <c r="I340" s="14">
        <v>19</v>
      </c>
      <c r="J340" s="14" t="s">
        <v>73</v>
      </c>
      <c r="K340" s="14" t="s">
        <v>4648</v>
      </c>
      <c r="L340" s="14" t="s">
        <v>4649</v>
      </c>
      <c r="M340" s="14" t="s">
        <v>9158</v>
      </c>
      <c r="N340" s="14" t="s">
        <v>9158</v>
      </c>
      <c r="O340" s="14" t="s">
        <v>9158</v>
      </c>
      <c r="P340" s="14" t="s">
        <v>9158</v>
      </c>
      <c r="Q340" s="14" t="s">
        <v>9158</v>
      </c>
      <c r="S340" s="14" t="s">
        <v>11774</v>
      </c>
    </row>
    <row r="341" spans="1:19">
      <c r="A341" s="9">
        <v>59573</v>
      </c>
      <c r="B341" s="14" t="s">
        <v>15</v>
      </c>
      <c r="C341" s="14" t="s">
        <v>101</v>
      </c>
      <c r="D341" s="14" t="s">
        <v>4650</v>
      </c>
      <c r="E341" s="15" t="str">
        <f>HYPERLINK("https://stat100.ameba.jp/tnk47/ratio20/illustrations/card/ill_59573_hidaikibinamatsuri03.jpg?201905-4-RELEASE-guildbattle-410", "■")</f>
        <v>■</v>
      </c>
      <c r="F341" s="14" t="s">
        <v>4651</v>
      </c>
      <c r="G341" s="14">
        <v>56316</v>
      </c>
      <c r="H341" s="14">
        <v>51078</v>
      </c>
      <c r="I341" s="14">
        <v>19</v>
      </c>
      <c r="J341" s="14" t="s">
        <v>38</v>
      </c>
      <c r="K341" s="14" t="s">
        <v>4652</v>
      </c>
      <c r="L341" s="14" t="s">
        <v>4653</v>
      </c>
      <c r="M341" s="14" t="s">
        <v>9158</v>
      </c>
      <c r="N341" s="14" t="s">
        <v>9158</v>
      </c>
      <c r="O341" s="14" t="s">
        <v>9158</v>
      </c>
      <c r="P341" s="14" t="s">
        <v>9158</v>
      </c>
      <c r="Q341" s="14" t="s">
        <v>9158</v>
      </c>
      <c r="S341" s="14" t="s">
        <v>11735</v>
      </c>
    </row>
    <row r="342" spans="1:19">
      <c r="B342" s="14"/>
      <c r="C342" s="14"/>
      <c r="D342" s="14"/>
      <c r="F342" s="14"/>
      <c r="G342" s="14"/>
      <c r="H342" s="14"/>
      <c r="I342" s="14"/>
      <c r="J342" s="14"/>
      <c r="K342" s="14"/>
      <c r="L342" s="14"/>
      <c r="M342" s="14"/>
      <c r="N342" s="14"/>
      <c r="P342" s="14"/>
      <c r="Q342" s="14"/>
      <c r="R342" s="14"/>
    </row>
    <row r="343" spans="1:19">
      <c r="A343" s="14" t="s">
        <v>4065</v>
      </c>
      <c r="D343" s="14"/>
      <c r="F343" s="14"/>
      <c r="G343" s="14"/>
      <c r="H343" s="14"/>
      <c r="I343" s="14"/>
      <c r="J343" s="14"/>
      <c r="K343" s="14"/>
      <c r="L343" s="14"/>
      <c r="M343" s="14"/>
      <c r="N343" s="14"/>
      <c r="P343" s="14"/>
      <c r="Q343" s="14"/>
      <c r="R343" s="14"/>
    </row>
    <row r="344" spans="1:19">
      <c r="A344" s="14" t="s">
        <v>4740</v>
      </c>
      <c r="B344" s="14"/>
      <c r="C344" s="14"/>
      <c r="D344" s="14"/>
      <c r="F344" s="14"/>
      <c r="G344" s="14"/>
      <c r="H344" s="14"/>
      <c r="I344" s="14"/>
      <c r="J344" s="14"/>
      <c r="K344" s="14"/>
      <c r="L344" s="14"/>
      <c r="M344" s="14"/>
      <c r="N344" s="14"/>
      <c r="P344" s="14"/>
      <c r="Q344" s="14"/>
      <c r="R344" s="14"/>
    </row>
    <row r="345" spans="1:19">
      <c r="A345" s="9" t="s">
        <v>5734</v>
      </c>
      <c r="B345" s="14" t="s">
        <v>330</v>
      </c>
      <c r="C345" s="14" t="s">
        <v>202</v>
      </c>
      <c r="D345" s="14" t="s">
        <v>2297</v>
      </c>
      <c r="E345" s="15" t="str">
        <f>HYPERLINK("https://stat100.ameba.jp/tnk47/ratio20/illustrations/card/ill_74593_0_natsuyuenchikoshihikari03.jpg?201905-i_prefecture_active_user", "■")</f>
        <v>■</v>
      </c>
      <c r="F345" s="14" t="s">
        <v>1498</v>
      </c>
      <c r="G345" s="14">
        <v>259994</v>
      </c>
      <c r="H345" s="14">
        <v>241708</v>
      </c>
      <c r="I345" s="14">
        <v>24</v>
      </c>
      <c r="J345" s="14" t="s">
        <v>283</v>
      </c>
      <c r="K345" s="14" t="s">
        <v>1499</v>
      </c>
      <c r="L345" s="14" t="s">
        <v>1500</v>
      </c>
      <c r="M345" s="14" t="s">
        <v>9158</v>
      </c>
      <c r="N345" s="14" t="s">
        <v>9158</v>
      </c>
      <c r="O345" s="9" t="s">
        <v>2731</v>
      </c>
      <c r="P345" s="14" t="s">
        <v>2732</v>
      </c>
      <c r="Q345" s="14">
        <v>1</v>
      </c>
      <c r="R345" s="14"/>
    </row>
    <row r="346" spans="1:19">
      <c r="A346" s="9">
        <v>76803</v>
      </c>
      <c r="B346" s="14" t="s">
        <v>334</v>
      </c>
      <c r="C346" s="14" t="s">
        <v>202</v>
      </c>
      <c r="D346" s="14" t="s">
        <v>2436</v>
      </c>
      <c r="E346" s="15" t="str">
        <f>HYPERLINK("https://stat100.ameba.jp/tnk47/ratio20/illustrations/card/ill_76803_monsutakujirachan03.jpg?201905-i_prefecture_active_user", "■")</f>
        <v>■</v>
      </c>
      <c r="F346" s="14" t="s">
        <v>674</v>
      </c>
      <c r="G346" s="14">
        <v>153022</v>
      </c>
      <c r="H346" s="14">
        <v>110837</v>
      </c>
      <c r="I346" s="14">
        <v>23</v>
      </c>
      <c r="J346" s="14" t="s">
        <v>283</v>
      </c>
      <c r="K346" s="14" t="s">
        <v>675</v>
      </c>
      <c r="L346" s="14" t="s">
        <v>435</v>
      </c>
      <c r="M346" s="14" t="s">
        <v>9158</v>
      </c>
      <c r="N346" s="14" t="s">
        <v>9158</v>
      </c>
      <c r="O346" s="9" t="s">
        <v>3165</v>
      </c>
      <c r="P346" s="14" t="s">
        <v>13139</v>
      </c>
      <c r="Q346" s="14">
        <v>1</v>
      </c>
      <c r="R346" s="14"/>
    </row>
    <row r="347" spans="1:19">
      <c r="A347" s="9">
        <v>56443</v>
      </c>
      <c r="B347" s="14" t="s">
        <v>0</v>
      </c>
      <c r="C347" s="14" t="s">
        <v>205</v>
      </c>
      <c r="D347" s="14" t="s">
        <v>1150</v>
      </c>
      <c r="E347" s="15" t="str">
        <f>HYPERLINK("https://stat100.ameba.jp/tnk47/ratio20/illustrations/card/ill_56443_poppukurisumasuizumonokuni03.jpg?201905-i_prefecture_active_user", "■")</f>
        <v>■</v>
      </c>
      <c r="F347" s="14" t="s">
        <v>1151</v>
      </c>
      <c r="G347" s="14">
        <v>82422</v>
      </c>
      <c r="H347" s="14">
        <v>88650</v>
      </c>
      <c r="I347" s="14">
        <v>23</v>
      </c>
      <c r="J347" s="14" t="s">
        <v>10</v>
      </c>
      <c r="K347" s="14" t="s">
        <v>1152</v>
      </c>
      <c r="L347" s="14" t="s">
        <v>1153</v>
      </c>
      <c r="M347" s="14" t="s">
        <v>9158</v>
      </c>
      <c r="N347" s="14" t="s">
        <v>9158</v>
      </c>
      <c r="O347" s="9" t="s">
        <v>3661</v>
      </c>
      <c r="P347" s="14" t="s">
        <v>3662</v>
      </c>
      <c r="Q347" s="14">
        <v>1</v>
      </c>
      <c r="R347" s="14"/>
    </row>
    <row r="348" spans="1:19">
      <c r="A348" s="9">
        <v>55273</v>
      </c>
      <c r="B348" s="14" t="s">
        <v>0</v>
      </c>
      <c r="C348" s="14" t="s">
        <v>206</v>
      </c>
      <c r="D348" s="14" t="s">
        <v>4741</v>
      </c>
      <c r="E348" s="15" t="str">
        <f>HYPERLINK("https://stat100.ameba.jp/tnk47/ratio20/illustrations/card/ill_55273_harointachibanamuneshige03.jpg?201905-i_prefecture_active_user", "■")</f>
        <v>■</v>
      </c>
      <c r="F348" s="14" t="s">
        <v>4742</v>
      </c>
      <c r="G348" s="14">
        <v>82422</v>
      </c>
      <c r="H348" s="14">
        <v>136343</v>
      </c>
      <c r="I348" s="14">
        <v>23</v>
      </c>
      <c r="J348" s="14" t="s">
        <v>143</v>
      </c>
      <c r="K348" s="14" t="s">
        <v>4743</v>
      </c>
      <c r="L348" s="14" t="s">
        <v>4744</v>
      </c>
      <c r="M348" s="14" t="s">
        <v>9158</v>
      </c>
      <c r="N348" s="14" t="s">
        <v>9158</v>
      </c>
      <c r="O348" s="9" t="s">
        <v>4745</v>
      </c>
      <c r="P348" s="14" t="s">
        <v>13145</v>
      </c>
      <c r="Q348" s="14">
        <v>1</v>
      </c>
      <c r="R348" s="14"/>
    </row>
    <row r="349" spans="1:19">
      <c r="B349" s="14"/>
      <c r="C349" s="14"/>
      <c r="D349" s="14"/>
      <c r="F349" s="14"/>
      <c r="G349" s="14"/>
      <c r="H349" s="14"/>
      <c r="I349" s="14"/>
      <c r="J349" s="14"/>
      <c r="K349" s="14"/>
      <c r="L349" s="14"/>
      <c r="M349" s="14"/>
      <c r="N349" s="14"/>
      <c r="P349" s="14"/>
      <c r="Q349" s="14"/>
      <c r="R349" s="14"/>
    </row>
    <row r="350" spans="1:19">
      <c r="A350" s="14" t="s">
        <v>195</v>
      </c>
      <c r="D350" s="14"/>
      <c r="F350" s="14"/>
      <c r="G350" s="14"/>
      <c r="H350" s="14"/>
      <c r="I350" s="14"/>
      <c r="J350" s="14"/>
      <c r="K350" s="14"/>
      <c r="L350" s="14"/>
      <c r="M350" s="14"/>
      <c r="N350" s="14"/>
      <c r="P350" s="14"/>
      <c r="Q350" s="14"/>
      <c r="R350" s="14"/>
    </row>
    <row r="351" spans="1:19">
      <c r="A351" s="14" t="s">
        <v>4746</v>
      </c>
      <c r="B351" s="14"/>
      <c r="C351" s="14"/>
      <c r="D351" s="14"/>
      <c r="F351" s="14"/>
      <c r="G351" s="14"/>
      <c r="H351" s="14"/>
      <c r="I351" s="14"/>
      <c r="J351" s="14"/>
      <c r="K351" s="14"/>
      <c r="L351" s="14"/>
      <c r="M351" s="14"/>
      <c r="N351" s="14"/>
      <c r="P351" s="14"/>
      <c r="Q351" s="14"/>
      <c r="R351" s="14"/>
    </row>
    <row r="352" spans="1:19">
      <c r="A352" s="9">
        <v>62203</v>
      </c>
      <c r="B352" s="14" t="s">
        <v>334</v>
      </c>
      <c r="C352" s="14" t="s">
        <v>154</v>
      </c>
      <c r="D352" s="14" t="s">
        <v>2260</v>
      </c>
      <c r="E352" s="15" t="str">
        <f>HYPERLINK("https://stat100.ameba.jp/tnk47/ratio20/illustrations/card/ill_62203_keishoimmasahime03.jpg?201905-i_prefecture_active_user", "■")</f>
        <v>■</v>
      </c>
      <c r="F352" s="14" t="s">
        <v>2261</v>
      </c>
      <c r="G352" s="14">
        <v>88226</v>
      </c>
      <c r="H352" s="14">
        <v>94886</v>
      </c>
      <c r="I352" s="14">
        <v>22</v>
      </c>
      <c r="J352" s="14" t="s">
        <v>77</v>
      </c>
      <c r="K352" s="14" t="s">
        <v>2262</v>
      </c>
      <c r="L352" s="14" t="s">
        <v>2263</v>
      </c>
      <c r="M352" s="14" t="s">
        <v>9158</v>
      </c>
      <c r="N352" s="14" t="s">
        <v>9158</v>
      </c>
      <c r="O352" s="14" t="s">
        <v>9158</v>
      </c>
      <c r="P352" s="14" t="s">
        <v>9158</v>
      </c>
      <c r="Q352" s="14" t="s">
        <v>9158</v>
      </c>
      <c r="R352" s="14"/>
    </row>
    <row r="353" spans="1:18">
      <c r="A353" s="9">
        <v>69723</v>
      </c>
      <c r="B353" s="14" t="s">
        <v>334</v>
      </c>
      <c r="C353" s="14" t="s">
        <v>158</v>
      </c>
      <c r="D353" s="14" t="s">
        <v>2256</v>
      </c>
      <c r="E353" s="15" t="str">
        <f>HYPERLINK("https://stat100.ameba.jp/tnk47/ratio20/illustrations/card/ill_69723_nakaurajurian03.jpg?201905-i_prefecture_active_user", "■")</f>
        <v>■</v>
      </c>
      <c r="F353" s="14" t="s">
        <v>2257</v>
      </c>
      <c r="G353" s="14">
        <v>88226</v>
      </c>
      <c r="H353" s="14">
        <v>94886</v>
      </c>
      <c r="I353" s="14">
        <v>22</v>
      </c>
      <c r="J353" s="14" t="s">
        <v>173</v>
      </c>
      <c r="K353" s="14" t="s">
        <v>2258</v>
      </c>
      <c r="L353" s="14" t="s">
        <v>2259</v>
      </c>
      <c r="M353" s="14" t="s">
        <v>9158</v>
      </c>
      <c r="N353" s="14" t="s">
        <v>9158</v>
      </c>
      <c r="O353" s="14" t="s">
        <v>9158</v>
      </c>
      <c r="P353" s="14" t="s">
        <v>9158</v>
      </c>
      <c r="Q353" s="14" t="s">
        <v>9158</v>
      </c>
      <c r="R353" s="14"/>
    </row>
    <row r="354" spans="1:18">
      <c r="A354" s="9">
        <v>66053</v>
      </c>
      <c r="B354" s="14" t="s">
        <v>334</v>
      </c>
      <c r="C354" s="14" t="s">
        <v>205</v>
      </c>
      <c r="D354" s="14" t="s">
        <v>2264</v>
      </c>
      <c r="E354" s="15" t="str">
        <f>HYPERLINK("https://stat100.ameba.jp/tnk47/ratio20/illustrations/card/ill_66053_serebukushiyatamanokami03.jpg?201905-i_prefecture_active_user", "■")</f>
        <v>■</v>
      </c>
      <c r="F354" s="14" t="s">
        <v>2265</v>
      </c>
      <c r="G354" s="14">
        <v>89736</v>
      </c>
      <c r="H354" s="14">
        <v>83426</v>
      </c>
      <c r="I354" s="14">
        <v>22</v>
      </c>
      <c r="J354" s="14" t="s">
        <v>44</v>
      </c>
      <c r="K354" s="14" t="s">
        <v>2266</v>
      </c>
      <c r="L354" s="14" t="s">
        <v>1860</v>
      </c>
      <c r="M354" s="14" t="s">
        <v>9158</v>
      </c>
      <c r="N354" s="14" t="s">
        <v>9158</v>
      </c>
      <c r="O354" s="14" t="s">
        <v>9158</v>
      </c>
      <c r="P354" s="14" t="s">
        <v>9158</v>
      </c>
      <c r="Q354" s="14" t="s">
        <v>9158</v>
      </c>
      <c r="R354" s="14"/>
    </row>
    <row r="355" spans="1:18">
      <c r="A355" s="9">
        <v>69883</v>
      </c>
      <c r="B355" s="14" t="s">
        <v>334</v>
      </c>
      <c r="C355" s="14" t="s">
        <v>185</v>
      </c>
      <c r="D355" s="14" t="s">
        <v>4141</v>
      </c>
      <c r="E355" s="15" t="str">
        <f>HYPERLINK("https://stat100.ameba.jp/tnk47/ratio20/illustrations/card/ill_69883_kyupiddotominushihime03.jpg?201905-i_prefecture_active_user", "■")</f>
        <v>■</v>
      </c>
      <c r="F355" s="14" t="s">
        <v>4142</v>
      </c>
      <c r="G355" s="14">
        <v>83426</v>
      </c>
      <c r="H355" s="14">
        <v>89736</v>
      </c>
      <c r="I355" s="14">
        <v>22</v>
      </c>
      <c r="J355" s="14" t="s">
        <v>169</v>
      </c>
      <c r="K355" s="14" t="s">
        <v>4143</v>
      </c>
      <c r="L355" s="14" t="s">
        <v>13190</v>
      </c>
      <c r="M355" s="14" t="s">
        <v>9158</v>
      </c>
      <c r="N355" s="14" t="s">
        <v>9158</v>
      </c>
      <c r="O355" s="14" t="s">
        <v>9158</v>
      </c>
      <c r="P355" s="14" t="s">
        <v>9158</v>
      </c>
      <c r="Q355" s="14" t="s">
        <v>9158</v>
      </c>
      <c r="R355" s="14"/>
    </row>
    <row r="356" spans="1:18">
      <c r="B356" s="14"/>
      <c r="C356" s="14"/>
      <c r="D356" s="14"/>
      <c r="F356" s="14"/>
      <c r="G356" s="14"/>
      <c r="H356" s="14"/>
      <c r="I356" s="14"/>
      <c r="J356" s="14"/>
      <c r="K356" s="14"/>
      <c r="L356" s="14"/>
      <c r="M356" s="14"/>
      <c r="N356" s="14"/>
      <c r="P356" s="14"/>
      <c r="Q356" s="14"/>
      <c r="R356" s="14"/>
    </row>
    <row r="357" spans="1:18">
      <c r="A357" s="14" t="s">
        <v>114</v>
      </c>
      <c r="D357" s="14"/>
      <c r="F357" s="14"/>
      <c r="G357" s="14"/>
      <c r="H357" s="14"/>
      <c r="I357" s="14"/>
      <c r="J357" s="14"/>
      <c r="K357" s="14"/>
      <c r="L357" s="14"/>
      <c r="M357" s="14"/>
      <c r="N357" s="14"/>
      <c r="P357" s="14"/>
      <c r="Q357" s="14"/>
      <c r="R357" s="14"/>
    </row>
    <row r="358" spans="1:18">
      <c r="A358" s="14" t="s">
        <v>4747</v>
      </c>
      <c r="B358" s="14"/>
      <c r="C358" s="14"/>
      <c r="D358" s="14"/>
      <c r="F358" s="14"/>
      <c r="G358" s="14"/>
      <c r="H358" s="14"/>
      <c r="I358" s="14"/>
      <c r="J358" s="14"/>
      <c r="K358" s="14"/>
      <c r="L358" s="14"/>
      <c r="M358" s="14"/>
      <c r="N358" s="14"/>
      <c r="P358" s="14"/>
      <c r="Q358" s="14"/>
      <c r="R358" s="14"/>
    </row>
    <row r="359" spans="1:18">
      <c r="A359" s="9" t="s">
        <v>5822</v>
      </c>
      <c r="B359" s="14" t="s">
        <v>330</v>
      </c>
      <c r="C359" s="14" t="s">
        <v>307</v>
      </c>
      <c r="D359" s="14" t="s">
        <v>306</v>
      </c>
      <c r="E359" s="15" t="str">
        <f>HYPERLINK("https://stat100.ameba.jp/tnk47/ratio20/illustrations/card/ill_71403_0_ohanamisanadayukimura03.jpg?201905-i_prefecture_active_user", "■")</f>
        <v>■</v>
      </c>
      <c r="F359" s="14" t="s">
        <v>309</v>
      </c>
      <c r="G359" s="14">
        <v>205358</v>
      </c>
      <c r="H359" s="14">
        <v>190952</v>
      </c>
      <c r="I359" s="14">
        <v>22</v>
      </c>
      <c r="J359" s="14" t="s">
        <v>310</v>
      </c>
      <c r="K359" s="14" t="s">
        <v>311</v>
      </c>
      <c r="L359" s="14" t="s">
        <v>312</v>
      </c>
      <c r="M359" s="14" t="s">
        <v>9158</v>
      </c>
      <c r="N359" s="14" t="s">
        <v>9158</v>
      </c>
      <c r="O359" s="17" t="s">
        <v>10060</v>
      </c>
      <c r="P359" s="14" t="s">
        <v>3418</v>
      </c>
      <c r="Q359" s="14">
        <v>2</v>
      </c>
      <c r="R359" s="14"/>
    </row>
    <row r="360" spans="1:18">
      <c r="A360" s="9" t="s">
        <v>5614</v>
      </c>
      <c r="B360" s="14" t="s">
        <v>330</v>
      </c>
      <c r="C360" s="14" t="s">
        <v>267</v>
      </c>
      <c r="D360" s="14" t="s">
        <v>947</v>
      </c>
      <c r="E360" s="15" t="str">
        <f>HYPERLINK("https://stat100.ameba.jp/tnk47/ratio20/illustrations/card/ill_56223_0_onsempanikkugohime03.jpg?201905-i_prefecture_active_user", "■")</f>
        <v>■</v>
      </c>
      <c r="F360" s="14" t="s">
        <v>314</v>
      </c>
      <c r="G360" s="14">
        <v>122776</v>
      </c>
      <c r="H360" s="14">
        <v>138212</v>
      </c>
      <c r="I360" s="14">
        <v>22</v>
      </c>
      <c r="J360" s="14" t="s">
        <v>315</v>
      </c>
      <c r="K360" s="14" t="s">
        <v>316</v>
      </c>
      <c r="L360" s="14" t="s">
        <v>317</v>
      </c>
      <c r="M360" s="14" t="s">
        <v>9158</v>
      </c>
      <c r="N360" s="14" t="s">
        <v>9158</v>
      </c>
      <c r="O360" s="9" t="s">
        <v>3021</v>
      </c>
      <c r="P360" s="14" t="s">
        <v>2890</v>
      </c>
      <c r="Q360" s="14">
        <v>1</v>
      </c>
      <c r="R360" s="14"/>
    </row>
    <row r="361" spans="1:18">
      <c r="A361" s="9">
        <v>79513</v>
      </c>
      <c r="B361" s="14" t="s">
        <v>334</v>
      </c>
      <c r="C361" s="14" t="s">
        <v>209</v>
      </c>
      <c r="D361" s="14" t="s">
        <v>3528</v>
      </c>
      <c r="E361" s="15" t="str">
        <f>HYPERLINK("https://stat100.ameba.jp/tnk47/ratio20/illustrations/card/ill_79513_suzafuonia03.jpg?201905-i_prefecture_active_user", "■")</f>
        <v>■</v>
      </c>
      <c r="F361" s="14" t="s">
        <v>3529</v>
      </c>
      <c r="G361" s="14">
        <v>75984</v>
      </c>
      <c r="H361" s="14">
        <v>104890</v>
      </c>
      <c r="I361" s="14">
        <v>24</v>
      </c>
      <c r="J361" s="14" t="s">
        <v>10</v>
      </c>
      <c r="K361" s="14" t="s">
        <v>3532</v>
      </c>
      <c r="L361" s="14" t="s">
        <v>12</v>
      </c>
      <c r="M361" s="14" t="s">
        <v>9158</v>
      </c>
      <c r="N361" s="14" t="s">
        <v>9158</v>
      </c>
      <c r="O361" s="9" t="s">
        <v>3530</v>
      </c>
      <c r="P361" s="14" t="s">
        <v>3531</v>
      </c>
      <c r="Q361" s="14">
        <v>1</v>
      </c>
      <c r="R361" s="14"/>
    </row>
    <row r="362" spans="1:18">
      <c r="A362" s="9">
        <v>67963</v>
      </c>
      <c r="B362" s="14" t="s">
        <v>334</v>
      </c>
      <c r="C362" s="14" t="s">
        <v>203</v>
      </c>
      <c r="D362" s="14" t="s">
        <v>3866</v>
      </c>
      <c r="E362" s="15" t="str">
        <f>HYPERLINK("https://stat100.ameba.jp/tnk47/ratio20/illustrations/card/ill_67963_kinokuniyabunzaemon03.jpg?201905-i_prefecture_active_user", "■")</f>
        <v>■</v>
      </c>
      <c r="F362" s="14" t="s">
        <v>825</v>
      </c>
      <c r="G362" s="14">
        <v>95307</v>
      </c>
      <c r="H362" s="14">
        <v>69051</v>
      </c>
      <c r="I362" s="14">
        <v>21</v>
      </c>
      <c r="J362" s="14" t="s">
        <v>414</v>
      </c>
      <c r="K362" s="14" t="s">
        <v>826</v>
      </c>
      <c r="L362" s="14" t="s">
        <v>827</v>
      </c>
      <c r="M362" s="14" t="s">
        <v>9158</v>
      </c>
      <c r="N362" s="14" t="s">
        <v>9158</v>
      </c>
      <c r="O362" s="14" t="s">
        <v>9158</v>
      </c>
      <c r="P362" s="14" t="s">
        <v>9158</v>
      </c>
      <c r="Q362" s="14" t="s">
        <v>9158</v>
      </c>
      <c r="R362" s="14"/>
    </row>
    <row r="363" spans="1:18">
      <c r="A363" s="9">
        <v>65633</v>
      </c>
      <c r="B363" s="14" t="s">
        <v>0</v>
      </c>
      <c r="C363" s="14" t="s">
        <v>41</v>
      </c>
      <c r="D363" s="14" t="s">
        <v>69</v>
      </c>
      <c r="E363" s="15" t="str">
        <f>HYPERLINK("https://stat100.ameba.jp/tnk47/ratio20/illustrations/card/ill_65633_shinnoakugoro03.jpg?201905-i_prefecture_active_user", "■")</f>
        <v>■</v>
      </c>
      <c r="F363" s="14" t="s">
        <v>70</v>
      </c>
      <c r="G363" s="14">
        <v>97925</v>
      </c>
      <c r="H363" s="14">
        <v>70942</v>
      </c>
      <c r="I363" s="14">
        <v>21</v>
      </c>
      <c r="J363" s="14" t="s">
        <v>73</v>
      </c>
      <c r="K363" s="14" t="s">
        <v>71</v>
      </c>
      <c r="L363" s="14" t="s">
        <v>72</v>
      </c>
      <c r="M363" s="14" t="s">
        <v>9158</v>
      </c>
      <c r="N363" s="14" t="s">
        <v>9158</v>
      </c>
      <c r="O363" s="14" t="s">
        <v>9158</v>
      </c>
      <c r="P363" s="14" t="s">
        <v>9158</v>
      </c>
      <c r="Q363" s="14" t="s">
        <v>9158</v>
      </c>
      <c r="R363" s="14"/>
    </row>
    <row r="364" spans="1:18">
      <c r="A364" s="9">
        <v>54153</v>
      </c>
      <c r="B364" s="14" t="s">
        <v>0</v>
      </c>
      <c r="C364" s="14" t="s">
        <v>264</v>
      </c>
      <c r="D364" s="14" t="s">
        <v>2071</v>
      </c>
      <c r="E364" s="15" t="str">
        <f>HYPERLINK("https://stat100.ameba.jp/tnk47/ratio20/illustrations/card/ill_54153_gekkao03.jpg?201905-i_prefecture_active_user", "■")</f>
        <v>■</v>
      </c>
      <c r="F364" s="14" t="s">
        <v>2072</v>
      </c>
      <c r="G364" s="14">
        <v>63547</v>
      </c>
      <c r="H364" s="14">
        <v>86668</v>
      </c>
      <c r="I364" s="14">
        <v>21</v>
      </c>
      <c r="J364" s="14" t="s">
        <v>44</v>
      </c>
      <c r="K364" s="14" t="s">
        <v>2073</v>
      </c>
      <c r="L364" s="14" t="s">
        <v>95</v>
      </c>
      <c r="M364" s="14" t="s">
        <v>9158</v>
      </c>
      <c r="N364" s="14" t="s">
        <v>9158</v>
      </c>
      <c r="O364" s="14" t="s">
        <v>9158</v>
      </c>
      <c r="P364" s="14" t="s">
        <v>9158</v>
      </c>
      <c r="Q364" s="14" t="s">
        <v>9158</v>
      </c>
      <c r="R364" s="14"/>
    </row>
    <row r="365" spans="1:18">
      <c r="A365" s="9">
        <v>73103</v>
      </c>
      <c r="B365" s="14" t="s">
        <v>334</v>
      </c>
      <c r="C365" s="14" t="s">
        <v>203</v>
      </c>
      <c r="D365" s="14" t="s">
        <v>3557</v>
      </c>
      <c r="E365" s="15" t="str">
        <f>HYPERLINK("https://stat100.ameba.jp/tnk47/ratio20/illustrations/card/ill_73103_nominookata03.jpg?201905-i_prefecture_active_user", "■")</f>
        <v>■</v>
      </c>
      <c r="F365" s="14" t="s">
        <v>2106</v>
      </c>
      <c r="G365" s="14">
        <v>66487</v>
      </c>
      <c r="H365" s="14">
        <v>91779</v>
      </c>
      <c r="I365" s="14">
        <v>21</v>
      </c>
      <c r="J365" s="14" t="s">
        <v>187</v>
      </c>
      <c r="K365" s="14" t="s">
        <v>3558</v>
      </c>
      <c r="L365" s="14" t="s">
        <v>13142</v>
      </c>
      <c r="M365" s="14" t="s">
        <v>9158</v>
      </c>
      <c r="N365" s="14" t="s">
        <v>9158</v>
      </c>
      <c r="O365" s="9" t="s">
        <v>2717</v>
      </c>
      <c r="P365" s="14" t="s">
        <v>13173</v>
      </c>
      <c r="Q365" s="14">
        <v>1</v>
      </c>
      <c r="R365" s="14"/>
    </row>
    <row r="366" spans="1:18">
      <c r="A366" s="9">
        <v>64043</v>
      </c>
      <c r="B366" s="14" t="s">
        <v>334</v>
      </c>
      <c r="C366" s="14" t="s">
        <v>154</v>
      </c>
      <c r="D366" s="14" t="s">
        <v>2079</v>
      </c>
      <c r="E366" s="15" t="str">
        <f>HYPERLINK("https://stat100.ameba.jp/tnk47/ratio20/illustrations/card/ill_64043_kegonnotaki03.jpg?201905-i_prefecture_active_user", "■")</f>
        <v>■</v>
      </c>
      <c r="F366" s="14" t="s">
        <v>2080</v>
      </c>
      <c r="G366" s="14">
        <v>99889</v>
      </c>
      <c r="H366" s="14">
        <v>72356</v>
      </c>
      <c r="I366" s="14">
        <v>21</v>
      </c>
      <c r="J366" s="14" t="s">
        <v>26</v>
      </c>
      <c r="K366" s="14" t="s">
        <v>2081</v>
      </c>
      <c r="L366" s="14" t="s">
        <v>2082</v>
      </c>
      <c r="M366" s="14" t="s">
        <v>9158</v>
      </c>
      <c r="N366" s="14" t="s">
        <v>9158</v>
      </c>
      <c r="O366" s="9" t="s">
        <v>3578</v>
      </c>
      <c r="P366" s="14" t="s">
        <v>3579</v>
      </c>
      <c r="Q366" s="14">
        <v>1</v>
      </c>
      <c r="R366" s="14"/>
    </row>
    <row r="367" spans="1:18">
      <c r="B367" s="14"/>
      <c r="C367" s="14"/>
      <c r="D367" s="14"/>
      <c r="F367" s="14"/>
      <c r="G367" s="14"/>
      <c r="H367" s="14"/>
      <c r="I367" s="14"/>
      <c r="J367" s="14"/>
      <c r="K367" s="14"/>
      <c r="L367" s="14"/>
      <c r="M367" s="14"/>
      <c r="N367" s="14"/>
      <c r="P367" s="14"/>
      <c r="Q367" s="14"/>
      <c r="R367" s="14"/>
    </row>
    <row r="368" spans="1:18">
      <c r="A368" s="14" t="s">
        <v>897</v>
      </c>
      <c r="D368" s="14"/>
      <c r="F368" s="14"/>
      <c r="G368" s="14"/>
      <c r="H368" s="14"/>
      <c r="I368" s="14"/>
      <c r="J368" s="14"/>
      <c r="K368" s="14"/>
      <c r="L368" s="14"/>
      <c r="M368" s="14"/>
      <c r="N368" s="14"/>
      <c r="P368" s="14"/>
      <c r="Q368" s="14"/>
      <c r="R368" s="14"/>
    </row>
    <row r="369" spans="1:18">
      <c r="A369" s="14" t="s">
        <v>4757</v>
      </c>
      <c r="B369" s="14"/>
      <c r="C369" s="14"/>
      <c r="D369" s="14"/>
      <c r="F369" s="14"/>
      <c r="G369" s="14"/>
      <c r="H369" s="14"/>
      <c r="I369" s="14"/>
      <c r="J369" s="14"/>
      <c r="K369" s="14"/>
      <c r="L369" s="14"/>
      <c r="M369" s="14"/>
      <c r="N369" s="14"/>
      <c r="P369" s="14"/>
      <c r="Q369" s="14"/>
      <c r="R369" s="14"/>
    </row>
    <row r="370" spans="1:18">
      <c r="A370" s="9" t="s">
        <v>5620</v>
      </c>
      <c r="B370" s="14" t="s">
        <v>330</v>
      </c>
      <c r="C370" s="14" t="s">
        <v>206</v>
      </c>
      <c r="D370" s="14" t="s">
        <v>2042</v>
      </c>
      <c r="E370" s="15" t="str">
        <f>HYPERLINK("https://stat100.ameba.jp/tnk47/ratio20/illustrations/card/ill_67173_0_yukemuriawamorichan03.jpg?201905-i_prefecture_active_user", "■")</f>
        <v>■</v>
      </c>
      <c r="F370" s="14" t="s">
        <v>670</v>
      </c>
      <c r="G370" s="14">
        <v>115249</v>
      </c>
      <c r="H370" s="14">
        <v>107146</v>
      </c>
      <c r="I370" s="14">
        <v>15</v>
      </c>
      <c r="J370" s="14" t="s">
        <v>283</v>
      </c>
      <c r="K370" s="14" t="s">
        <v>671</v>
      </c>
      <c r="L370" s="14" t="s">
        <v>672</v>
      </c>
      <c r="M370" s="14" t="s">
        <v>9158</v>
      </c>
      <c r="N370" s="14" t="s">
        <v>9158</v>
      </c>
      <c r="O370" s="17" t="s">
        <v>10061</v>
      </c>
      <c r="P370" s="14" t="s">
        <v>3455</v>
      </c>
      <c r="Q370" s="14">
        <v>1</v>
      </c>
      <c r="R370" s="14"/>
    </row>
    <row r="371" spans="1:18">
      <c r="A371" s="9" t="s">
        <v>5848</v>
      </c>
      <c r="B371" s="14" t="s">
        <v>330</v>
      </c>
      <c r="C371" s="14" t="s">
        <v>200</v>
      </c>
      <c r="D371" s="14" t="s">
        <v>1138</v>
      </c>
      <c r="E371" s="15" t="str">
        <f>HYPERLINK("https://stat100.ameba.jp/tnk47/ratio20/illustrations/card/ill_72963_0_amenohanayomehiguchiichiyo03.jpg?201905-i_prefecture_active_user", "■")</f>
        <v>■</v>
      </c>
      <c r="F371" s="14" t="s">
        <v>1139</v>
      </c>
      <c r="G371" s="14">
        <v>100502</v>
      </c>
      <c r="H371" s="14">
        <v>93450</v>
      </c>
      <c r="I371" s="14">
        <v>15</v>
      </c>
      <c r="J371" s="14" t="s">
        <v>173</v>
      </c>
      <c r="K371" s="14" t="s">
        <v>1140</v>
      </c>
      <c r="L371" s="14" t="s">
        <v>1141</v>
      </c>
      <c r="M371" s="14" t="s">
        <v>9158</v>
      </c>
      <c r="N371" s="14" t="s">
        <v>9158</v>
      </c>
      <c r="O371" s="9" t="s">
        <v>3409</v>
      </c>
      <c r="P371" s="14" t="s">
        <v>3410</v>
      </c>
      <c r="Q371" s="14">
        <v>1</v>
      </c>
      <c r="R371" s="14"/>
    </row>
    <row r="372" spans="1:18">
      <c r="A372" s="9" t="s">
        <v>5622</v>
      </c>
      <c r="B372" s="14" t="s">
        <v>330</v>
      </c>
      <c r="C372" s="14" t="s">
        <v>335</v>
      </c>
      <c r="D372" s="14" t="s">
        <v>509</v>
      </c>
      <c r="E372" s="15" t="str">
        <f>HYPERLINK("https://stat100.ameba.jp/tnk47/ratio20/illustrations/card/ill_49953_0_yushamarihime03.jpg?201905-i_prefecture_active_user", "■")</f>
        <v>■</v>
      </c>
      <c r="F372" s="14" t="s">
        <v>510</v>
      </c>
      <c r="G372" s="14">
        <v>94236</v>
      </c>
      <c r="H372" s="14">
        <v>83712</v>
      </c>
      <c r="I372" s="14">
        <v>15</v>
      </c>
      <c r="J372" s="14" t="s">
        <v>315</v>
      </c>
      <c r="K372" s="14" t="s">
        <v>511</v>
      </c>
      <c r="L372" s="14" t="s">
        <v>512</v>
      </c>
      <c r="M372" s="14" t="s">
        <v>9158</v>
      </c>
      <c r="N372" s="14" t="s">
        <v>9158</v>
      </c>
      <c r="O372" s="14" t="s">
        <v>9158</v>
      </c>
      <c r="P372" s="14" t="s">
        <v>9158</v>
      </c>
      <c r="Q372" s="14" t="s">
        <v>9158</v>
      </c>
      <c r="R372" s="14"/>
    </row>
    <row r="373" spans="1:18">
      <c r="A373" s="9">
        <v>81563</v>
      </c>
      <c r="B373" s="14" t="s">
        <v>334</v>
      </c>
      <c r="C373" s="14" t="s">
        <v>14</v>
      </c>
      <c r="D373" s="14" t="s">
        <v>4748</v>
      </c>
      <c r="E373" s="15" t="str">
        <f>HYPERLINK("https://stat100.ameba.jp/tnk47/ratio20/illustrations/card/ill_81563_kyamerajoshisankichioni03.jpg?201905-i_prefecture_active_user", "■")</f>
        <v>■</v>
      </c>
      <c r="F373" s="14" t="s">
        <v>4749</v>
      </c>
      <c r="G373" s="14">
        <v>118343</v>
      </c>
      <c r="H373" s="14">
        <v>66606</v>
      </c>
      <c r="I373" s="14">
        <v>23</v>
      </c>
      <c r="J373" s="14" t="s">
        <v>73</v>
      </c>
      <c r="K373" s="14" t="s">
        <v>4750</v>
      </c>
      <c r="L373" s="14" t="s">
        <v>3518</v>
      </c>
      <c r="M373" s="14" t="s">
        <v>9158</v>
      </c>
      <c r="N373" s="14" t="s">
        <v>9158</v>
      </c>
      <c r="O373" s="14" t="s">
        <v>9158</v>
      </c>
      <c r="P373" s="14" t="s">
        <v>9158</v>
      </c>
      <c r="Q373" s="14" t="s">
        <v>9158</v>
      </c>
      <c r="R373" s="14"/>
    </row>
    <row r="374" spans="1:18">
      <c r="A374" s="9">
        <v>72583</v>
      </c>
      <c r="B374" s="14" t="s">
        <v>334</v>
      </c>
      <c r="C374" s="14" t="s">
        <v>107</v>
      </c>
      <c r="D374" s="14" t="s">
        <v>4751</v>
      </c>
      <c r="E374" s="15" t="str">
        <f>HYPERLINK("https://stat100.ameba.jp/tnk47/ratio20/illustrations/card/ill_72583_itohime03.jpg?201905-i_prefecture_active_user", "■")</f>
        <v>■</v>
      </c>
      <c r="F374" s="14" t="s">
        <v>4752</v>
      </c>
      <c r="G374" s="14">
        <v>91632</v>
      </c>
      <c r="H374" s="14">
        <v>51560</v>
      </c>
      <c r="I374" s="14">
        <v>19</v>
      </c>
      <c r="J374" s="14" t="s">
        <v>77</v>
      </c>
      <c r="K374" s="14" t="s">
        <v>4753</v>
      </c>
      <c r="L374" s="14" t="s">
        <v>76</v>
      </c>
      <c r="M374" s="14" t="s">
        <v>9158</v>
      </c>
      <c r="N374" s="14" t="s">
        <v>9158</v>
      </c>
      <c r="O374" s="14" t="s">
        <v>9158</v>
      </c>
      <c r="P374" s="14" t="s">
        <v>9158</v>
      </c>
      <c r="Q374" s="14" t="s">
        <v>9158</v>
      </c>
      <c r="R374" s="14"/>
    </row>
    <row r="375" spans="1:18">
      <c r="A375" s="9">
        <v>49793</v>
      </c>
      <c r="B375" s="14" t="s">
        <v>334</v>
      </c>
      <c r="C375" s="14" t="s">
        <v>264</v>
      </c>
      <c r="D375" s="14" t="s">
        <v>4754</v>
      </c>
      <c r="E375" s="15" t="str">
        <f>HYPERLINK("https://stat100.ameba.jp/tnk47/ratio20/illustrations/card/ill_49793_akakurage03.jpg?201905-i_prefecture_active_user", "■")</f>
        <v>■</v>
      </c>
      <c r="F375" s="14" t="s">
        <v>4755</v>
      </c>
      <c r="G375" s="14">
        <v>68088</v>
      </c>
      <c r="H375" s="14">
        <v>73232</v>
      </c>
      <c r="I375" s="14">
        <v>19</v>
      </c>
      <c r="J375" s="14" t="s">
        <v>44</v>
      </c>
      <c r="K375" s="14" t="s">
        <v>4756</v>
      </c>
      <c r="L375" s="14" t="s">
        <v>2270</v>
      </c>
      <c r="M375" s="14" t="s">
        <v>9158</v>
      </c>
      <c r="N375" s="14" t="s">
        <v>9158</v>
      </c>
      <c r="O375" s="14" t="s">
        <v>9158</v>
      </c>
      <c r="P375" s="14" t="s">
        <v>9158</v>
      </c>
      <c r="Q375" s="14" t="s">
        <v>9158</v>
      </c>
      <c r="R375" s="14"/>
    </row>
    <row r="376" spans="1:18">
      <c r="A376" s="9">
        <v>65863</v>
      </c>
      <c r="B376" s="14" t="s">
        <v>348</v>
      </c>
      <c r="C376" s="14" t="s">
        <v>191</v>
      </c>
      <c r="D376" s="14" t="s">
        <v>2905</v>
      </c>
      <c r="E376" s="15" t="str">
        <f>HYPERLINK("https://stat100.ameba.jp/tnk47/ratio20/illustrations/card/ill_65863_jokyurengeso03.jpg?201905-i_prefecture_active_user", "■")</f>
        <v>■</v>
      </c>
      <c r="F376" s="14" t="s">
        <v>2906</v>
      </c>
      <c r="G376" s="14">
        <v>56316</v>
      </c>
      <c r="H376" s="14">
        <v>51078</v>
      </c>
      <c r="I376" s="14">
        <v>19</v>
      </c>
      <c r="J376" s="14" t="s">
        <v>369</v>
      </c>
      <c r="K376" s="14" t="s">
        <v>2907</v>
      </c>
      <c r="L376" s="14" t="s">
        <v>2908</v>
      </c>
      <c r="M376" s="14" t="s">
        <v>9158</v>
      </c>
      <c r="N376" s="14" t="s">
        <v>9158</v>
      </c>
      <c r="O376" s="14" t="s">
        <v>9158</v>
      </c>
      <c r="P376" s="14" t="s">
        <v>9158</v>
      </c>
      <c r="Q376" s="14" t="s">
        <v>9158</v>
      </c>
      <c r="R376" s="14"/>
    </row>
    <row r="377" spans="1:18">
      <c r="A377" s="9">
        <v>65323</v>
      </c>
      <c r="B377" s="14" t="s">
        <v>348</v>
      </c>
      <c r="C377" s="14" t="s">
        <v>96</v>
      </c>
      <c r="D377" s="14" t="s">
        <v>4406</v>
      </c>
      <c r="E377" s="15" t="str">
        <f>HYPERLINK("https://stat100.ameba.jp/tnk47/ratio20/illustrations/card/ill_65323_viranzutoyotomihideyori03.jpg?201905-i_prefecture_active_user", "■")</f>
        <v>■</v>
      </c>
      <c r="F377" s="14" t="s">
        <v>4407</v>
      </c>
      <c r="G377" s="14">
        <v>56316</v>
      </c>
      <c r="H377" s="14">
        <v>51078</v>
      </c>
      <c r="I377" s="14">
        <v>19</v>
      </c>
      <c r="J377" s="14" t="s">
        <v>143</v>
      </c>
      <c r="K377" s="14" t="s">
        <v>4408</v>
      </c>
      <c r="L377" s="14" t="s">
        <v>3524</v>
      </c>
      <c r="M377" s="14" t="s">
        <v>9158</v>
      </c>
      <c r="N377" s="14" t="s">
        <v>9158</v>
      </c>
      <c r="O377" s="14" t="s">
        <v>9158</v>
      </c>
      <c r="P377" s="14" t="s">
        <v>9158</v>
      </c>
      <c r="Q377" s="14" t="s">
        <v>9158</v>
      </c>
      <c r="R377" s="14"/>
    </row>
    <row r="378" spans="1:18">
      <c r="A378" s="9">
        <v>71953</v>
      </c>
      <c r="B378" s="14" t="s">
        <v>348</v>
      </c>
      <c r="C378" s="14" t="s">
        <v>1</v>
      </c>
      <c r="D378" s="14" t="s">
        <v>4409</v>
      </c>
      <c r="E378" s="15" t="str">
        <f>HYPERLINK("https://stat100.ameba.jp/tnk47/ratio20/illustrations/card/ill_71953_tenshikannabiyama03.jpg?201905-i_prefecture_active_user", "■")</f>
        <v>■</v>
      </c>
      <c r="F378" s="14" t="s">
        <v>4410</v>
      </c>
      <c r="G378" s="14">
        <v>56316</v>
      </c>
      <c r="H378" s="14">
        <v>51078</v>
      </c>
      <c r="I378" s="14">
        <v>19</v>
      </c>
      <c r="J378" s="14" t="s">
        <v>44</v>
      </c>
      <c r="K378" s="14" t="s">
        <v>4411</v>
      </c>
      <c r="L378" s="14" t="s">
        <v>3271</v>
      </c>
      <c r="M378" s="14" t="s">
        <v>9158</v>
      </c>
      <c r="N378" s="14" t="s">
        <v>9158</v>
      </c>
      <c r="O378" s="14" t="s">
        <v>9158</v>
      </c>
      <c r="P378" s="14" t="s">
        <v>9158</v>
      </c>
      <c r="Q378" s="14" t="s">
        <v>9158</v>
      </c>
      <c r="R378" s="14"/>
    </row>
    <row r="379" spans="1:18">
      <c r="B379" s="14"/>
      <c r="C379" s="14"/>
      <c r="D379" s="14"/>
      <c r="F379" s="14"/>
      <c r="G379" s="14"/>
      <c r="H379" s="14"/>
      <c r="I379" s="14"/>
      <c r="J379" s="14"/>
      <c r="K379" s="14"/>
      <c r="L379" s="14"/>
      <c r="M379" s="14"/>
      <c r="N379" s="14"/>
      <c r="P379" s="14"/>
      <c r="Q379" s="14"/>
      <c r="R379" s="14"/>
    </row>
    <row r="380" spans="1:18">
      <c r="A380" s="14" t="s">
        <v>11505</v>
      </c>
      <c r="D380" s="14"/>
      <c r="F380" s="14"/>
      <c r="G380" s="14"/>
      <c r="H380" s="14"/>
      <c r="I380" s="14"/>
      <c r="J380" s="14"/>
      <c r="K380" s="14"/>
      <c r="L380" s="14"/>
      <c r="M380" s="14"/>
      <c r="N380" s="14"/>
      <c r="P380" s="14"/>
      <c r="Q380" s="14"/>
      <c r="R380" s="14"/>
    </row>
    <row r="381" spans="1:18">
      <c r="A381" s="14" t="s">
        <v>4758</v>
      </c>
      <c r="B381" s="14"/>
      <c r="C381" s="14"/>
      <c r="D381" s="14"/>
      <c r="F381" s="14"/>
      <c r="G381" s="14"/>
      <c r="H381" s="14"/>
      <c r="I381" s="14"/>
      <c r="J381" s="14"/>
      <c r="K381" s="14"/>
      <c r="L381" s="14"/>
      <c r="M381" s="14"/>
      <c r="N381" s="14"/>
      <c r="P381" s="14"/>
      <c r="Q381" s="14"/>
      <c r="R381" s="14"/>
    </row>
    <row r="382" spans="1:18">
      <c r="A382" s="9">
        <v>69593</v>
      </c>
      <c r="B382" s="14" t="s">
        <v>52</v>
      </c>
      <c r="C382" s="14" t="s">
        <v>185</v>
      </c>
      <c r="D382" s="14" t="s">
        <v>2430</v>
      </c>
      <c r="E382" s="15" t="str">
        <f>HYPERLINK("https://stat100.ameba.jp/tnk47/ratio20/illustrations/card/ill_69593_0_setsubunyukionna03.jpg?201905-i_prefecture_active_user", "■")</f>
        <v>■</v>
      </c>
      <c r="F382" s="14" t="s">
        <v>2431</v>
      </c>
      <c r="G382" s="14">
        <v>142864</v>
      </c>
      <c r="H382" s="14">
        <v>153666</v>
      </c>
      <c r="I382" s="14">
        <v>20</v>
      </c>
      <c r="J382" s="14" t="s">
        <v>73</v>
      </c>
      <c r="K382" s="14" t="s">
        <v>2432</v>
      </c>
      <c r="L382" s="14" t="s">
        <v>2433</v>
      </c>
      <c r="M382" s="14" t="s">
        <v>9158</v>
      </c>
      <c r="N382" s="14" t="s">
        <v>9158</v>
      </c>
      <c r="O382" s="9" t="s">
        <v>3599</v>
      </c>
      <c r="P382" s="14" t="s">
        <v>3600</v>
      </c>
      <c r="Q382" s="14">
        <v>2</v>
      </c>
      <c r="R382" s="14"/>
    </row>
    <row r="383" spans="1:18">
      <c r="B383" s="14" t="s">
        <v>334</v>
      </c>
      <c r="C383" s="14"/>
      <c r="D383" s="14"/>
      <c r="F383" s="14"/>
      <c r="G383" s="14"/>
      <c r="H383" s="14"/>
      <c r="I383" s="14">
        <v>22</v>
      </c>
      <c r="J383" s="14"/>
      <c r="K383" s="14"/>
      <c r="L383" s="14"/>
      <c r="M383" s="14" t="s">
        <v>9158</v>
      </c>
      <c r="N383" s="14" t="s">
        <v>9158</v>
      </c>
      <c r="O383" s="14" t="s">
        <v>9158</v>
      </c>
      <c r="P383" s="14" t="s">
        <v>9158</v>
      </c>
      <c r="Q383" s="14" t="s">
        <v>9158</v>
      </c>
      <c r="R383" s="14"/>
    </row>
    <row r="384" spans="1:18">
      <c r="B384" s="14" t="s">
        <v>334</v>
      </c>
      <c r="C384" s="14"/>
      <c r="D384" s="14"/>
      <c r="F384" s="14"/>
      <c r="G384" s="14"/>
      <c r="H384" s="14"/>
      <c r="I384" s="14">
        <v>22</v>
      </c>
      <c r="J384" s="14"/>
      <c r="K384" s="14"/>
      <c r="L384" s="14"/>
      <c r="M384" s="14" t="s">
        <v>9158</v>
      </c>
      <c r="N384" s="14" t="s">
        <v>9158</v>
      </c>
      <c r="O384" s="14" t="s">
        <v>9158</v>
      </c>
      <c r="P384" s="14" t="s">
        <v>9158</v>
      </c>
      <c r="Q384" s="14" t="s">
        <v>9158</v>
      </c>
      <c r="R384" s="14"/>
    </row>
    <row r="385" spans="1:18">
      <c r="B385" s="14" t="s">
        <v>0</v>
      </c>
      <c r="C385" s="14"/>
      <c r="D385" s="14"/>
      <c r="F385" s="14"/>
      <c r="G385" s="14"/>
      <c r="H385" s="14"/>
      <c r="I385" s="14">
        <v>22</v>
      </c>
      <c r="J385" s="14"/>
      <c r="K385" s="14"/>
      <c r="L385" s="14"/>
      <c r="M385" s="14" t="s">
        <v>9158</v>
      </c>
      <c r="N385" s="14" t="s">
        <v>9158</v>
      </c>
      <c r="O385" s="14" t="s">
        <v>9158</v>
      </c>
      <c r="P385" s="14" t="s">
        <v>9158</v>
      </c>
      <c r="Q385" s="14" t="s">
        <v>9158</v>
      </c>
      <c r="R385" s="14"/>
    </row>
    <row r="386" spans="1:18">
      <c r="B386" s="14"/>
      <c r="C386" s="14"/>
      <c r="D386" s="14"/>
      <c r="F386" s="14"/>
      <c r="G386" s="14"/>
      <c r="H386" s="14"/>
      <c r="I386" s="14"/>
      <c r="J386" s="14"/>
      <c r="K386" s="14"/>
      <c r="L386" s="14"/>
      <c r="M386" s="14"/>
      <c r="N386" s="14"/>
      <c r="P386" s="14"/>
      <c r="Q386" s="14"/>
      <c r="R386" s="14"/>
    </row>
    <row r="387" spans="1:18">
      <c r="A387" s="14" t="s">
        <v>946</v>
      </c>
      <c r="D387" s="14"/>
      <c r="F387" s="14"/>
      <c r="G387" s="14"/>
      <c r="H387" s="14"/>
      <c r="I387" s="14"/>
      <c r="J387" s="14"/>
      <c r="K387" s="14"/>
      <c r="L387" s="14"/>
      <c r="M387" s="14"/>
      <c r="N387" s="14"/>
      <c r="P387" s="14"/>
      <c r="Q387" s="14"/>
      <c r="R387" s="14"/>
    </row>
    <row r="388" spans="1:18">
      <c r="A388" s="14" t="s">
        <v>4759</v>
      </c>
      <c r="B388" s="14"/>
      <c r="C388" s="14"/>
      <c r="D388" s="14"/>
      <c r="F388" s="14"/>
      <c r="G388" s="14"/>
      <c r="H388" s="14"/>
      <c r="I388" s="14"/>
      <c r="J388" s="14"/>
      <c r="K388" s="14"/>
      <c r="L388" s="14"/>
      <c r="M388" s="14"/>
      <c r="N388" s="14"/>
      <c r="P388" s="14"/>
      <c r="Q388" s="14"/>
      <c r="R388" s="14"/>
    </row>
    <row r="389" spans="1:18">
      <c r="A389" s="9" t="s">
        <v>5617</v>
      </c>
      <c r="B389" s="14" t="s">
        <v>330</v>
      </c>
      <c r="C389" s="14" t="s">
        <v>308</v>
      </c>
      <c r="D389" s="14" t="s">
        <v>385</v>
      </c>
      <c r="E389" s="15" t="str">
        <f>HYPERLINK("https://stat100.ameba.jp/tnk47/ratio20/illustrations/card/ill_59673_0_oheyashutendoji03.jpg?201905-i_prefecture_active_user", "■")</f>
        <v>■</v>
      </c>
      <c r="F389" s="14" t="s">
        <v>386</v>
      </c>
      <c r="G389" s="14">
        <v>105545</v>
      </c>
      <c r="H389" s="14">
        <v>113525</v>
      </c>
      <c r="I389" s="14">
        <v>15</v>
      </c>
      <c r="J389" s="14" t="s">
        <v>320</v>
      </c>
      <c r="K389" s="14" t="s">
        <v>387</v>
      </c>
      <c r="L389" s="14" t="s">
        <v>388</v>
      </c>
      <c r="M389" s="14" t="s">
        <v>9158</v>
      </c>
      <c r="N389" s="14" t="s">
        <v>9158</v>
      </c>
      <c r="O389" s="17" t="s">
        <v>10058</v>
      </c>
      <c r="P389" s="14" t="s">
        <v>3022</v>
      </c>
      <c r="Q389" s="14">
        <v>1</v>
      </c>
      <c r="R389" s="14"/>
    </row>
    <row r="390" spans="1:18">
      <c r="A390" s="9" t="s">
        <v>5615</v>
      </c>
      <c r="B390" s="14" t="s">
        <v>330</v>
      </c>
      <c r="C390" s="14" t="s">
        <v>206</v>
      </c>
      <c r="D390" s="14" t="s">
        <v>1015</v>
      </c>
      <c r="E390" s="15" t="str">
        <f>HYPERLINK("https://stat100.ameba.jp/tnk47/ratio20/illustrations/card/ill_57733_0_shogatsunisenjunanaamakusashiro03.jpg?201905-i_prefecture_active_user", "■")</f>
        <v>■</v>
      </c>
      <c r="F390" s="14" t="s">
        <v>2815</v>
      </c>
      <c r="G390" s="14">
        <v>83712</v>
      </c>
      <c r="H390" s="14">
        <v>94236</v>
      </c>
      <c r="I390" s="14">
        <v>15</v>
      </c>
      <c r="J390" s="14" t="s">
        <v>351</v>
      </c>
      <c r="K390" s="14" t="s">
        <v>2816</v>
      </c>
      <c r="L390" s="14" t="s">
        <v>2817</v>
      </c>
      <c r="M390" s="14" t="s">
        <v>9158</v>
      </c>
      <c r="N390" s="14" t="s">
        <v>9158</v>
      </c>
      <c r="O390" s="17" t="s">
        <v>10063</v>
      </c>
      <c r="P390" s="14" t="s">
        <v>3062</v>
      </c>
      <c r="Q390" s="14">
        <v>1</v>
      </c>
      <c r="R390" s="14"/>
    </row>
    <row r="391" spans="1:18">
      <c r="A391" s="9" t="s">
        <v>5612</v>
      </c>
      <c r="B391" s="14" t="s">
        <v>52</v>
      </c>
      <c r="C391" s="14" t="s">
        <v>165</v>
      </c>
      <c r="D391" s="14" t="s">
        <v>1895</v>
      </c>
      <c r="E391" s="15" t="str">
        <f>HYPERLINK("https://stat100.ameba.jp/tnk47/ratio20/illustrations/card/ill_49193_0_onmyoudouabenoseimei03.jpg?201905-i_prefecture_active_user", "■")</f>
        <v>■</v>
      </c>
      <c r="F391" s="14" t="s">
        <v>1896</v>
      </c>
      <c r="G391" s="14">
        <v>83712</v>
      </c>
      <c r="H391" s="14">
        <v>94236</v>
      </c>
      <c r="I391" s="14">
        <v>15</v>
      </c>
      <c r="J391" s="14" t="s">
        <v>10</v>
      </c>
      <c r="K391" s="14" t="s">
        <v>1897</v>
      </c>
      <c r="L391" s="14" t="s">
        <v>1898</v>
      </c>
      <c r="M391" s="14" t="s">
        <v>9158</v>
      </c>
      <c r="N391" s="14" t="s">
        <v>9158</v>
      </c>
      <c r="O391" s="14" t="s">
        <v>9158</v>
      </c>
      <c r="P391" s="14" t="s">
        <v>9158</v>
      </c>
      <c r="Q391" s="14" t="s">
        <v>9158</v>
      </c>
      <c r="R391" s="14"/>
    </row>
    <row r="392" spans="1:18">
      <c r="A392" s="9">
        <v>81553</v>
      </c>
      <c r="B392" s="14" t="s">
        <v>334</v>
      </c>
      <c r="C392" s="14" t="s">
        <v>101</v>
      </c>
      <c r="D392" s="14" t="s">
        <v>4760</v>
      </c>
      <c r="E392" s="15" t="str">
        <f>HYPERLINK("https://stat100.ameba.jp/tnk47/ratio20/illustrations/card/ill_81553_kyamerajoshijukeini03.jpg?201905-i_prefecture_active_user", "■")</f>
        <v>■</v>
      </c>
      <c r="F392" s="14" t="s">
        <v>4761</v>
      </c>
      <c r="G392" s="14">
        <v>62414</v>
      </c>
      <c r="H392" s="14">
        <v>110924</v>
      </c>
      <c r="I392" s="14">
        <v>23</v>
      </c>
      <c r="J392" s="14" t="s">
        <v>16</v>
      </c>
      <c r="K392" s="14" t="s">
        <v>4762</v>
      </c>
      <c r="L392" s="14" t="s">
        <v>82</v>
      </c>
      <c r="M392" s="14" t="s">
        <v>9158</v>
      </c>
      <c r="N392" s="14" t="s">
        <v>9158</v>
      </c>
      <c r="O392" s="14" t="s">
        <v>9158</v>
      </c>
      <c r="P392" s="14" t="s">
        <v>9158</v>
      </c>
      <c r="Q392" s="14" t="s">
        <v>9158</v>
      </c>
      <c r="R392" s="14"/>
    </row>
    <row r="393" spans="1:18">
      <c r="A393" s="9">
        <v>69953</v>
      </c>
      <c r="B393" s="14" t="s">
        <v>334</v>
      </c>
      <c r="C393" s="14" t="s">
        <v>23</v>
      </c>
      <c r="D393" s="14" t="s">
        <v>1258</v>
      </c>
      <c r="E393" s="15" t="str">
        <f>HYPERLINK("https://stat100.ameba.jp/tnk47/ratio20/illustrations/card/ill_69953_hyoketsunonikusutopatororu03.jpg?201905-i_prefecture_active_user", "■")</f>
        <v>■</v>
      </c>
      <c r="F393" s="14" t="s">
        <v>1259</v>
      </c>
      <c r="G393" s="14">
        <v>62343</v>
      </c>
      <c r="H393" s="14">
        <v>110822</v>
      </c>
      <c r="I393" s="14">
        <v>19</v>
      </c>
      <c r="J393" s="14" t="s">
        <v>143</v>
      </c>
      <c r="K393" s="14" t="s">
        <v>1260</v>
      </c>
      <c r="L393" s="14" t="s">
        <v>1190</v>
      </c>
      <c r="M393" s="14" t="s">
        <v>9158</v>
      </c>
      <c r="N393" s="14" t="s">
        <v>9158</v>
      </c>
      <c r="O393" s="14" t="s">
        <v>9158</v>
      </c>
      <c r="P393" s="14" t="s">
        <v>9158</v>
      </c>
      <c r="Q393" s="14" t="s">
        <v>9158</v>
      </c>
      <c r="R393" s="14"/>
    </row>
    <row r="394" spans="1:18">
      <c r="A394" s="9">
        <v>66733</v>
      </c>
      <c r="B394" s="14" t="s">
        <v>334</v>
      </c>
      <c r="C394" s="14" t="s">
        <v>14</v>
      </c>
      <c r="D394" s="14" t="s">
        <v>4763</v>
      </c>
      <c r="E394" s="15" t="str">
        <f>HYPERLINK("https://stat100.ameba.jp/tnk47/ratio20/illustrations/card/ill_66733_shogiyodabenzo03.jpg?201905-i_prefecture_active_user", "■")</f>
        <v>■</v>
      </c>
      <c r="F394" s="14" t="s">
        <v>4764</v>
      </c>
      <c r="G394" s="14">
        <v>68977</v>
      </c>
      <c r="H394" s="14">
        <v>68977</v>
      </c>
      <c r="I394" s="14">
        <v>19</v>
      </c>
      <c r="J394" s="14" t="s">
        <v>10</v>
      </c>
      <c r="K394" s="14" t="s">
        <v>4765</v>
      </c>
      <c r="L394" s="14" t="s">
        <v>12</v>
      </c>
      <c r="M394" s="14" t="s">
        <v>9158</v>
      </c>
      <c r="N394" s="14" t="s">
        <v>9158</v>
      </c>
      <c r="O394" s="14" t="s">
        <v>9158</v>
      </c>
      <c r="P394" s="14" t="s">
        <v>9158</v>
      </c>
      <c r="Q394" s="14" t="s">
        <v>9158</v>
      </c>
      <c r="R394" s="14"/>
    </row>
    <row r="395" spans="1:18">
      <c r="A395" s="9">
        <v>59883</v>
      </c>
      <c r="B395" s="14" t="s">
        <v>348</v>
      </c>
      <c r="C395" s="14" t="s">
        <v>206</v>
      </c>
      <c r="D395" s="14" t="s">
        <v>4432</v>
      </c>
      <c r="E395" s="15" t="str">
        <f>HYPERLINK("https://stat100.ameba.jp/tnk47/ratio20/illustrations/card/ill_59883_yoseienshininden03.jpg?201905-i_prefecture_active_user", "■")</f>
        <v>■</v>
      </c>
      <c r="F395" s="14" t="s">
        <v>4433</v>
      </c>
      <c r="G395" s="14">
        <v>51078</v>
      </c>
      <c r="H395" s="14">
        <v>56316</v>
      </c>
      <c r="I395" s="14">
        <v>19</v>
      </c>
      <c r="J395" s="14" t="s">
        <v>77</v>
      </c>
      <c r="K395" s="14" t="s">
        <v>4434</v>
      </c>
      <c r="L395" s="14" t="s">
        <v>973</v>
      </c>
      <c r="M395" s="14" t="s">
        <v>9158</v>
      </c>
      <c r="N395" s="14" t="s">
        <v>9158</v>
      </c>
      <c r="O395" s="14" t="s">
        <v>9158</v>
      </c>
      <c r="P395" s="14" t="s">
        <v>9158</v>
      </c>
      <c r="Q395" s="14" t="s">
        <v>9158</v>
      </c>
      <c r="R395" s="14"/>
    </row>
    <row r="396" spans="1:18">
      <c r="A396" s="9">
        <v>65103</v>
      </c>
      <c r="B396" s="14" t="s">
        <v>348</v>
      </c>
      <c r="C396" s="14" t="s">
        <v>14</v>
      </c>
      <c r="D396" s="14" t="s">
        <v>2456</v>
      </c>
      <c r="E396" s="15" t="str">
        <f>HYPERLINK("https://stat100.ameba.jp/tnk47/ratio20/illustrations/card/ill_65103_kyusukumizutsuraraonna03.jpg?201905-i_prefecture_active_user", "■")</f>
        <v>■</v>
      </c>
      <c r="F396" s="14" t="s">
        <v>2457</v>
      </c>
      <c r="G396" s="14">
        <v>51078</v>
      </c>
      <c r="H396" s="14">
        <v>56316</v>
      </c>
      <c r="I396" s="14">
        <v>19</v>
      </c>
      <c r="J396" s="14" t="s">
        <v>73</v>
      </c>
      <c r="K396" s="14" t="s">
        <v>2458</v>
      </c>
      <c r="L396" s="14" t="s">
        <v>1706</v>
      </c>
      <c r="M396" s="14" t="s">
        <v>9158</v>
      </c>
      <c r="N396" s="14" t="s">
        <v>9158</v>
      </c>
      <c r="O396" s="14" t="s">
        <v>9158</v>
      </c>
      <c r="P396" s="14" t="s">
        <v>9158</v>
      </c>
      <c r="Q396" s="14" t="s">
        <v>9158</v>
      </c>
      <c r="R396" s="14"/>
    </row>
    <row r="397" spans="1:18">
      <c r="A397" s="9">
        <v>73123</v>
      </c>
      <c r="B397" s="14" t="s">
        <v>348</v>
      </c>
      <c r="C397" s="14" t="s">
        <v>206</v>
      </c>
      <c r="D397" s="14" t="s">
        <v>4435</v>
      </c>
      <c r="E397" s="15" t="str">
        <f>HYPERLINK("https://stat100.ameba.jp/tnk47/ratio20/illustrations/card/ill_73123_raikiri03.jpg?201905-i_prefecture_active_user", "■")</f>
        <v>■</v>
      </c>
      <c r="F397" s="14" t="s">
        <v>4436</v>
      </c>
      <c r="G397" s="14">
        <v>51078</v>
      </c>
      <c r="H397" s="14">
        <v>56316</v>
      </c>
      <c r="I397" s="14">
        <v>19</v>
      </c>
      <c r="J397" s="14" t="s">
        <v>169</v>
      </c>
      <c r="K397" s="14" t="s">
        <v>4437</v>
      </c>
      <c r="L397" s="14" t="s">
        <v>3319</v>
      </c>
      <c r="M397" s="14" t="s">
        <v>9158</v>
      </c>
      <c r="N397" s="14" t="s">
        <v>9158</v>
      </c>
      <c r="O397" s="14" t="s">
        <v>9158</v>
      </c>
      <c r="P397" s="14" t="s">
        <v>9158</v>
      </c>
      <c r="Q397" s="14" t="s">
        <v>9158</v>
      </c>
      <c r="R397" s="14"/>
    </row>
    <row r="398" spans="1:18">
      <c r="B398" s="14"/>
      <c r="C398" s="14"/>
      <c r="D398" s="14"/>
      <c r="F398" s="14"/>
      <c r="G398" s="14"/>
      <c r="H398" s="14"/>
      <c r="I398" s="14"/>
      <c r="J398" s="14"/>
      <c r="K398" s="14"/>
      <c r="L398" s="14"/>
      <c r="M398" s="14"/>
      <c r="N398" s="14"/>
      <c r="P398" s="14"/>
      <c r="Q398" s="14"/>
      <c r="R398" s="14"/>
    </row>
    <row r="399" spans="1:18">
      <c r="A399" s="14" t="s">
        <v>4654</v>
      </c>
      <c r="D399" s="14"/>
      <c r="F399" s="14"/>
      <c r="G399" s="14"/>
      <c r="H399" s="14"/>
      <c r="I399" s="14"/>
      <c r="J399" s="14"/>
      <c r="K399" s="14"/>
      <c r="L399" s="14"/>
      <c r="M399" s="14"/>
      <c r="N399" s="14"/>
      <c r="P399" s="14"/>
      <c r="Q399" s="14"/>
      <c r="R399" s="14"/>
    </row>
    <row r="400" spans="1:18">
      <c r="A400" s="14" t="s">
        <v>4766</v>
      </c>
      <c r="B400" s="14"/>
      <c r="C400" s="14"/>
      <c r="D400" s="14"/>
      <c r="F400" s="14"/>
      <c r="G400" s="14"/>
      <c r="H400" s="14"/>
      <c r="I400" s="14"/>
      <c r="J400" s="14"/>
      <c r="K400" s="14"/>
      <c r="L400" s="14"/>
      <c r="M400" s="14"/>
      <c r="N400" s="14"/>
      <c r="P400" s="14"/>
      <c r="Q400" s="14"/>
      <c r="R400" s="14"/>
    </row>
    <row r="401" spans="1:18">
      <c r="A401" s="9" t="s">
        <v>5787</v>
      </c>
      <c r="B401" s="14" t="s">
        <v>330</v>
      </c>
      <c r="C401" s="14" t="s">
        <v>202</v>
      </c>
      <c r="D401" s="14" t="s">
        <v>1101</v>
      </c>
      <c r="E401" s="15" t="str">
        <f>HYPERLINK("https://stat100.ameba.jp/tnk47/ratio20/illustrations/card/ill_76303_0_haroinkaguya03.jpg?201905-6-RELEASE-conquest-e-411", "■")</f>
        <v>■</v>
      </c>
      <c r="F401" s="14" t="s">
        <v>1102</v>
      </c>
      <c r="G401" s="14">
        <v>285614</v>
      </c>
      <c r="H401" s="14">
        <v>265526</v>
      </c>
      <c r="I401" s="14">
        <v>24</v>
      </c>
      <c r="J401" s="14" t="s">
        <v>38</v>
      </c>
      <c r="K401" s="14" t="s">
        <v>1103</v>
      </c>
      <c r="L401" s="14" t="s">
        <v>1104</v>
      </c>
      <c r="M401" s="14" t="s">
        <v>9158</v>
      </c>
      <c r="N401" s="14" t="s">
        <v>9158</v>
      </c>
      <c r="O401" s="9" t="s">
        <v>2723</v>
      </c>
      <c r="P401" s="14" t="s">
        <v>2724</v>
      </c>
      <c r="Q401" s="14">
        <v>1</v>
      </c>
      <c r="R401" s="14"/>
    </row>
    <row r="402" spans="1:18">
      <c r="A402" s="9">
        <v>69533</v>
      </c>
      <c r="B402" s="14" t="s">
        <v>0</v>
      </c>
      <c r="C402" s="14" t="s">
        <v>101</v>
      </c>
      <c r="D402" s="14" t="s">
        <v>137</v>
      </c>
      <c r="E402" s="15" t="str">
        <f>HYPERLINK("https://stat100.ameba.jp/tnk47/ratio20/illustrations/card/ill_69533_setsubunodainokata03.jpg?201905-6-RELEASE-conquest-e-411", "■")</f>
        <v>■</v>
      </c>
      <c r="F402" s="14" t="s">
        <v>138</v>
      </c>
      <c r="G402" s="14">
        <v>89839</v>
      </c>
      <c r="H402" s="14">
        <v>83499</v>
      </c>
      <c r="I402" s="14">
        <v>23</v>
      </c>
      <c r="J402" s="14" t="s">
        <v>10</v>
      </c>
      <c r="K402" s="14" t="s">
        <v>139</v>
      </c>
      <c r="L402" s="14" t="s">
        <v>140</v>
      </c>
      <c r="M402" s="14" t="s">
        <v>9158</v>
      </c>
      <c r="N402" s="14" t="s">
        <v>9158</v>
      </c>
      <c r="O402" s="17" t="s">
        <v>10055</v>
      </c>
      <c r="P402" s="14" t="s">
        <v>13124</v>
      </c>
      <c r="Q402" s="14">
        <v>1</v>
      </c>
      <c r="R402" s="14"/>
    </row>
    <row r="403" spans="1:18">
      <c r="A403" s="9">
        <v>78633</v>
      </c>
      <c r="B403" s="14" t="s">
        <v>334</v>
      </c>
      <c r="C403" s="14" t="s">
        <v>200</v>
      </c>
      <c r="D403" s="14" t="s">
        <v>2749</v>
      </c>
      <c r="E403" s="15" t="str">
        <f>HYPERLINK("https://stat100.ameba.jp/tnk47/ratio20/illustrations/card/ill_78633_geishunyuramyoinni03.jpg?201905-6-RELEASE-conquest-e-411", "■")</f>
        <v>■</v>
      </c>
      <c r="F403" s="14" t="s">
        <v>2750</v>
      </c>
      <c r="G403" s="14">
        <v>83499</v>
      </c>
      <c r="H403" s="14">
        <v>89839</v>
      </c>
      <c r="I403" s="14">
        <v>23</v>
      </c>
      <c r="J403" s="14" t="s">
        <v>315</v>
      </c>
      <c r="K403" s="14" t="s">
        <v>2751</v>
      </c>
      <c r="L403" s="14" t="s">
        <v>608</v>
      </c>
      <c r="M403" s="14" t="s">
        <v>9158</v>
      </c>
      <c r="N403" s="14" t="s">
        <v>9158</v>
      </c>
      <c r="O403" s="9" t="s">
        <v>2752</v>
      </c>
      <c r="P403" s="14" t="s">
        <v>13123</v>
      </c>
      <c r="Q403" s="14">
        <v>1</v>
      </c>
      <c r="R403" s="14"/>
    </row>
    <row r="404" spans="1:18">
      <c r="A404" s="9">
        <v>62473</v>
      </c>
      <c r="B404" s="14" t="s">
        <v>334</v>
      </c>
      <c r="C404" s="14" t="s">
        <v>203</v>
      </c>
      <c r="D404" s="14" t="s">
        <v>2834</v>
      </c>
      <c r="E404" s="15" t="str">
        <f>HYPERLINK("https://stat100.ameba.jp/tnk47/ratio20/illustrations/card/ill_62473_kokuriko03.jpg?201905-6-RELEASE-conquest-e-411", "■")</f>
        <v>■</v>
      </c>
      <c r="F404" s="14" t="s">
        <v>2835</v>
      </c>
      <c r="G404" s="14">
        <v>104989</v>
      </c>
      <c r="H404" s="14">
        <v>76042</v>
      </c>
      <c r="I404" s="14">
        <v>23</v>
      </c>
      <c r="J404" s="14" t="s">
        <v>401</v>
      </c>
      <c r="K404" s="14" t="s">
        <v>2836</v>
      </c>
      <c r="L404" s="14" t="s">
        <v>2837</v>
      </c>
      <c r="M404" s="14" t="s">
        <v>9158</v>
      </c>
      <c r="N404" s="14" t="s">
        <v>9158</v>
      </c>
      <c r="O404" s="9" t="s">
        <v>2838</v>
      </c>
      <c r="P404" s="14" t="s">
        <v>2839</v>
      </c>
      <c r="Q404" s="14">
        <v>1</v>
      </c>
      <c r="R404" s="14"/>
    </row>
    <row r="405" spans="1:18">
      <c r="B405" s="14"/>
      <c r="C405" s="14"/>
      <c r="D405" s="14"/>
      <c r="F405" s="14"/>
      <c r="G405" s="14"/>
      <c r="H405" s="14"/>
      <c r="I405" s="14"/>
      <c r="J405" s="14"/>
      <c r="K405" s="14"/>
      <c r="L405" s="14"/>
      <c r="M405" s="14"/>
      <c r="N405" s="14"/>
      <c r="P405" s="14"/>
      <c r="Q405" s="14"/>
      <c r="R405" s="14"/>
    </row>
    <row r="406" spans="1:18">
      <c r="A406" s="14" t="s">
        <v>4767</v>
      </c>
      <c r="D406" s="14"/>
      <c r="F406" s="14"/>
      <c r="G406" s="14"/>
      <c r="H406" s="14"/>
      <c r="I406" s="14"/>
      <c r="J406" s="14"/>
      <c r="K406" s="14"/>
      <c r="L406" s="14"/>
      <c r="M406" s="14"/>
      <c r="N406" s="14"/>
      <c r="P406" s="14"/>
      <c r="Q406" s="14"/>
      <c r="R406" s="14"/>
    </row>
    <row r="407" spans="1:18">
      <c r="A407" s="14" t="s">
        <v>4768</v>
      </c>
      <c r="B407" s="14"/>
      <c r="C407" s="14"/>
      <c r="D407" s="14"/>
      <c r="F407" s="14"/>
      <c r="G407" s="14"/>
      <c r="H407" s="14"/>
      <c r="I407" s="14"/>
      <c r="J407" s="14"/>
      <c r="K407" s="14"/>
      <c r="L407" s="14"/>
      <c r="M407" s="14"/>
      <c r="N407" s="14"/>
      <c r="P407" s="14"/>
      <c r="Q407" s="14"/>
      <c r="R407" s="14"/>
    </row>
    <row r="408" spans="1:18">
      <c r="A408" s="9">
        <v>76073</v>
      </c>
      <c r="B408" s="14" t="s">
        <v>334</v>
      </c>
      <c r="C408" s="14" t="s">
        <v>154</v>
      </c>
      <c r="D408" s="14" t="s">
        <v>1216</v>
      </c>
      <c r="E408" s="15" t="str">
        <f>HYPERLINK("https://stat100.ameba.jp/tnk47/ratio20/illustrations/card/ill_76073_kokidogatapatobatora03.jpg?201905-6-RELEASE-conquest-e-411", "■")</f>
        <v>■</v>
      </c>
      <c r="F408" s="14" t="s">
        <v>1217</v>
      </c>
      <c r="G408" s="14">
        <v>140556</v>
      </c>
      <c r="H408" s="14">
        <v>130691</v>
      </c>
      <c r="I408" s="14">
        <v>23</v>
      </c>
      <c r="J408" s="14" t="s">
        <v>143</v>
      </c>
      <c r="K408" s="14" t="s">
        <v>1218</v>
      </c>
      <c r="L408" s="14" t="s">
        <v>1219</v>
      </c>
      <c r="M408" s="14" t="s">
        <v>9158</v>
      </c>
      <c r="N408" s="14" t="s">
        <v>9158</v>
      </c>
      <c r="O408" s="14" t="s">
        <v>9158</v>
      </c>
      <c r="P408" s="14" t="s">
        <v>9158</v>
      </c>
      <c r="Q408" s="14" t="s">
        <v>9158</v>
      </c>
      <c r="R408" s="14"/>
    </row>
    <row r="409" spans="1:18">
      <c r="A409" s="9">
        <v>76083</v>
      </c>
      <c r="B409" s="14" t="s">
        <v>334</v>
      </c>
      <c r="C409" s="14" t="s">
        <v>158</v>
      </c>
      <c r="D409" s="14" t="s">
        <v>1220</v>
      </c>
      <c r="E409" s="15" t="str">
        <f>HYPERLINK("https://stat100.ameba.jp/tnk47/ratio20/illustrations/card/ill_76083_dokutamedeikku03.jpg?201905-6-RELEASE-conquest-e-411", "■")</f>
        <v>■</v>
      </c>
      <c r="F409" s="14" t="s">
        <v>1221</v>
      </c>
      <c r="G409" s="14">
        <v>101002</v>
      </c>
      <c r="H409" s="14">
        <v>108611</v>
      </c>
      <c r="I409" s="14">
        <v>23</v>
      </c>
      <c r="J409" s="14" t="s">
        <v>16</v>
      </c>
      <c r="K409" s="14" t="s">
        <v>1222</v>
      </c>
      <c r="L409" s="14" t="s">
        <v>1223</v>
      </c>
      <c r="M409" s="14" t="s">
        <v>9158</v>
      </c>
      <c r="N409" s="14" t="s">
        <v>9158</v>
      </c>
      <c r="O409" s="14" t="s">
        <v>9158</v>
      </c>
      <c r="P409" s="14" t="s">
        <v>9158</v>
      </c>
      <c r="Q409" s="14" t="s">
        <v>9158</v>
      </c>
      <c r="R409" s="14"/>
    </row>
    <row r="410" spans="1:18">
      <c r="A410" s="9">
        <v>76093</v>
      </c>
      <c r="B410" s="14" t="s">
        <v>334</v>
      </c>
      <c r="C410" s="14" t="s">
        <v>202</v>
      </c>
      <c r="D410" s="14" t="s">
        <v>1224</v>
      </c>
      <c r="E410" s="15" t="str">
        <f>HYPERLINK("https://stat100.ameba.jp/tnk47/ratio20/illustrations/card/ill_76093_fuaiafuaita03.jpg?201905-6-RELEASE-conquest-e-411", "■")</f>
        <v>■</v>
      </c>
      <c r="F410" s="14" t="s">
        <v>1225</v>
      </c>
      <c r="G410" s="14">
        <v>101002</v>
      </c>
      <c r="H410" s="14">
        <v>108611</v>
      </c>
      <c r="I410" s="14">
        <v>23</v>
      </c>
      <c r="J410" s="14" t="s">
        <v>10</v>
      </c>
      <c r="K410" s="14" t="s">
        <v>1226</v>
      </c>
      <c r="L410" s="14" t="s">
        <v>1227</v>
      </c>
      <c r="M410" s="14" t="s">
        <v>9158</v>
      </c>
      <c r="N410" s="14" t="s">
        <v>9158</v>
      </c>
      <c r="O410" s="14" t="s">
        <v>9158</v>
      </c>
      <c r="P410" s="14" t="s">
        <v>9158</v>
      </c>
      <c r="Q410" s="14" t="s">
        <v>9158</v>
      </c>
      <c r="R410" s="14"/>
    </row>
    <row r="411" spans="1:18">
      <c r="A411" s="9">
        <v>74413</v>
      </c>
      <c r="B411" s="14" t="s">
        <v>334</v>
      </c>
      <c r="C411" s="14" t="s">
        <v>202</v>
      </c>
      <c r="D411" s="14" t="s">
        <v>36</v>
      </c>
      <c r="E411" s="15" t="str">
        <f>HYPERLINK("https://stat100.ameba.jp/tnk47/ratio20/illustrations/card/ill_74413_mutekisenkanyamato03.jpg?201905-6-RELEASE-conquest-e-411", "■")</f>
        <v>■</v>
      </c>
      <c r="F411" s="14" t="s">
        <v>37</v>
      </c>
      <c r="G411" s="14">
        <v>135444</v>
      </c>
      <c r="H411" s="14">
        <v>125945</v>
      </c>
      <c r="I411" s="14">
        <v>23</v>
      </c>
      <c r="J411" s="14" t="s">
        <v>38</v>
      </c>
      <c r="K411" s="14" t="s">
        <v>39</v>
      </c>
      <c r="L411" s="14" t="s">
        <v>40</v>
      </c>
      <c r="M411" s="14" t="s">
        <v>9158</v>
      </c>
      <c r="N411" s="14" t="s">
        <v>9158</v>
      </c>
      <c r="O411" s="14" t="s">
        <v>9158</v>
      </c>
      <c r="P411" s="14" t="s">
        <v>9158</v>
      </c>
      <c r="Q411" s="14" t="s">
        <v>9158</v>
      </c>
      <c r="R411" s="14"/>
    </row>
    <row r="412" spans="1:18">
      <c r="A412" s="9">
        <v>74373</v>
      </c>
      <c r="B412" s="14" t="s">
        <v>334</v>
      </c>
      <c r="C412" s="14" t="s">
        <v>203</v>
      </c>
      <c r="D412" s="14" t="s">
        <v>42</v>
      </c>
      <c r="E412" s="15" t="str">
        <f>HYPERLINK("https://stat100.ameba.jp/tnk47/ratio20/illustrations/card/ill_74373_shirasaginomaihimejijou03.jpg?201905-6-RELEASE-conquest-e-411", "■")</f>
        <v>■</v>
      </c>
      <c r="F412" s="14" t="s">
        <v>43</v>
      </c>
      <c r="G412" s="14">
        <v>90723</v>
      </c>
      <c r="H412" s="14">
        <v>84375</v>
      </c>
      <c r="I412" s="14">
        <v>23</v>
      </c>
      <c r="J412" s="14" t="s">
        <v>44</v>
      </c>
      <c r="K412" s="14" t="s">
        <v>45</v>
      </c>
      <c r="L412" s="14" t="s">
        <v>46</v>
      </c>
      <c r="M412" s="14" t="s">
        <v>9158</v>
      </c>
      <c r="N412" s="14" t="s">
        <v>9158</v>
      </c>
      <c r="O412" s="14" t="s">
        <v>9158</v>
      </c>
      <c r="P412" s="14" t="s">
        <v>9158</v>
      </c>
      <c r="Q412" s="14" t="s">
        <v>9158</v>
      </c>
      <c r="R412" s="14"/>
    </row>
    <row r="413" spans="1:18">
      <c r="A413" s="9">
        <v>74363</v>
      </c>
      <c r="B413" s="14" t="s">
        <v>334</v>
      </c>
      <c r="C413" s="14" t="s">
        <v>209</v>
      </c>
      <c r="D413" s="14" t="s">
        <v>48</v>
      </c>
      <c r="E413" s="15" t="str">
        <f>HYPERLINK("https://stat100.ameba.jp/tnk47/ratio20/illustrations/card/ill_74363_gantorikuren03.jpg?201905-6-RELEASE-conquest-e-411", "■")</f>
        <v>■</v>
      </c>
      <c r="F413" s="14" t="s">
        <v>49</v>
      </c>
      <c r="G413" s="14">
        <v>86751</v>
      </c>
      <c r="H413" s="14">
        <v>93277</v>
      </c>
      <c r="I413" s="14">
        <v>23</v>
      </c>
      <c r="J413" s="14" t="s">
        <v>26</v>
      </c>
      <c r="K413" s="14" t="s">
        <v>50</v>
      </c>
      <c r="L413" s="14" t="s">
        <v>12</v>
      </c>
      <c r="M413" s="14" t="s">
        <v>9158</v>
      </c>
      <c r="N413" s="14" t="s">
        <v>9158</v>
      </c>
      <c r="O413" s="14" t="s">
        <v>9158</v>
      </c>
      <c r="P413" s="14" t="s">
        <v>9158</v>
      </c>
      <c r="Q413" s="14" t="s">
        <v>9158</v>
      </c>
      <c r="R413" s="14"/>
    </row>
    <row r="414" spans="1:18">
      <c r="B414" s="14"/>
      <c r="C414" s="14"/>
      <c r="D414" s="14"/>
      <c r="F414" s="14"/>
      <c r="G414" s="14"/>
      <c r="H414" s="14"/>
      <c r="I414" s="14"/>
      <c r="J414" s="14"/>
      <c r="K414" s="14"/>
      <c r="L414" s="14"/>
      <c r="M414" s="14"/>
      <c r="N414" s="14"/>
      <c r="P414" s="14"/>
      <c r="Q414" s="14"/>
      <c r="R414" s="14"/>
    </row>
    <row r="415" spans="1:18">
      <c r="A415" s="14" t="s">
        <v>3916</v>
      </c>
      <c r="D415" s="14"/>
      <c r="F415" s="14"/>
      <c r="G415" s="14"/>
      <c r="H415" s="14"/>
      <c r="I415" s="14"/>
      <c r="J415" s="14"/>
      <c r="K415" s="14"/>
      <c r="L415" s="14"/>
      <c r="M415" s="14"/>
      <c r="N415" s="14"/>
      <c r="P415" s="14"/>
      <c r="Q415" s="14"/>
      <c r="R415" s="14"/>
    </row>
    <row r="416" spans="1:18">
      <c r="A416" s="14" t="s">
        <v>4769</v>
      </c>
      <c r="B416" s="14"/>
      <c r="C416" s="14"/>
      <c r="D416" s="14"/>
      <c r="F416" s="14"/>
      <c r="G416" s="14"/>
      <c r="H416" s="14"/>
      <c r="I416" s="14"/>
      <c r="J416" s="14"/>
      <c r="K416" s="14"/>
      <c r="L416" s="14"/>
      <c r="M416" s="14"/>
      <c r="N416" s="14"/>
      <c r="P416" s="14"/>
      <c r="Q416" s="14"/>
      <c r="R416" s="14"/>
    </row>
    <row r="417" spans="1:18">
      <c r="A417" s="9">
        <v>76103</v>
      </c>
      <c r="B417" s="14" t="s">
        <v>334</v>
      </c>
      <c r="C417" s="14" t="s">
        <v>154</v>
      </c>
      <c r="D417" s="14" t="s">
        <v>1121</v>
      </c>
      <c r="E417" s="15" t="str">
        <f>HYPERLINK("https://stat100.ameba.jp/tnk47/ratio20/illustrations/card/ill_76103_shibuaji03.jpg?201905-6-RELEASE-conquest-e-411", "■")</f>
        <v>■</v>
      </c>
      <c r="F417" s="14" t="s">
        <v>1122</v>
      </c>
      <c r="G417" s="14">
        <v>94886</v>
      </c>
      <c r="H417" s="14">
        <v>88226</v>
      </c>
      <c r="I417" s="14">
        <v>22</v>
      </c>
      <c r="J417" s="14" t="s">
        <v>143</v>
      </c>
      <c r="K417" s="14" t="s">
        <v>1123</v>
      </c>
      <c r="L417" s="14" t="s">
        <v>1124</v>
      </c>
      <c r="M417" s="14" t="s">
        <v>9158</v>
      </c>
      <c r="N417" s="14" t="s">
        <v>9158</v>
      </c>
      <c r="O417" s="14" t="s">
        <v>9158</v>
      </c>
      <c r="P417" s="14" t="s">
        <v>9158</v>
      </c>
      <c r="Q417" s="14" t="s">
        <v>9158</v>
      </c>
      <c r="R417" s="14"/>
    </row>
    <row r="418" spans="1:18">
      <c r="A418" s="9">
        <v>76113</v>
      </c>
      <c r="B418" s="14" t="s">
        <v>334</v>
      </c>
      <c r="C418" s="14" t="s">
        <v>158</v>
      </c>
      <c r="D418" s="14" t="s">
        <v>1125</v>
      </c>
      <c r="E418" s="15" t="str">
        <f>HYPERLINK("https://stat100.ameba.jp/tnk47/ratio20/illustrations/card/ill_76113_jannudaruku03.jpg?201905-6-RELEASE-conquest-e-411", "■")</f>
        <v>■</v>
      </c>
      <c r="F418" s="14" t="s">
        <v>1126</v>
      </c>
      <c r="G418" s="14">
        <v>94886</v>
      </c>
      <c r="H418" s="14">
        <v>88226</v>
      </c>
      <c r="I418" s="14">
        <v>22</v>
      </c>
      <c r="J418" s="14" t="s">
        <v>10</v>
      </c>
      <c r="K418" s="14" t="s">
        <v>1127</v>
      </c>
      <c r="L418" s="14" t="s">
        <v>1128</v>
      </c>
      <c r="M418" s="14" t="s">
        <v>9158</v>
      </c>
      <c r="N418" s="14" t="s">
        <v>9158</v>
      </c>
      <c r="O418" s="14" t="s">
        <v>9158</v>
      </c>
      <c r="P418" s="14" t="s">
        <v>9158</v>
      </c>
      <c r="Q418" s="14" t="s">
        <v>9158</v>
      </c>
      <c r="R418" s="14"/>
    </row>
    <row r="419" spans="1:18">
      <c r="A419" s="9">
        <v>63323</v>
      </c>
      <c r="B419" s="14" t="s">
        <v>0</v>
      </c>
      <c r="C419" s="14" t="s">
        <v>200</v>
      </c>
      <c r="D419" s="14" t="s">
        <v>3582</v>
      </c>
      <c r="E419" s="15" t="str">
        <f>HYPERLINK("https://stat100.ameba.jp/tnk47/ratio20/illustrations/card/ill_63323_ajisaikushinadahime03.jpg?201905-6-RELEASE-conquest-e-411", "■")</f>
        <v>■</v>
      </c>
      <c r="F419" s="14" t="s">
        <v>3583</v>
      </c>
      <c r="G419" s="14">
        <v>83426</v>
      </c>
      <c r="H419" s="14">
        <v>89736</v>
      </c>
      <c r="I419" s="14">
        <v>22</v>
      </c>
      <c r="J419" s="14" t="s">
        <v>44</v>
      </c>
      <c r="K419" s="14" t="s">
        <v>3584</v>
      </c>
      <c r="L419" s="14" t="s">
        <v>2400</v>
      </c>
      <c r="M419" s="14" t="s">
        <v>9158</v>
      </c>
      <c r="N419" s="14" t="s">
        <v>9158</v>
      </c>
      <c r="O419" s="14" t="s">
        <v>9158</v>
      </c>
      <c r="P419" s="14" t="s">
        <v>9158</v>
      </c>
      <c r="Q419" s="14" t="s">
        <v>9158</v>
      </c>
      <c r="R419" s="14"/>
    </row>
    <row r="420" spans="1:18">
      <c r="A420" s="9">
        <v>59863</v>
      </c>
      <c r="B420" s="14" t="s">
        <v>334</v>
      </c>
      <c r="C420" s="14" t="s">
        <v>165</v>
      </c>
      <c r="D420" s="14" t="s">
        <v>318</v>
      </c>
      <c r="E420" s="15" t="str">
        <f>HYPERLINK("https://stat100.ameba.jp/tnk47/ratio20/illustrations/card/ill_59863_yoseiichimokuren03.jpg?201905-6-RELEASE-conquest-e-411", "■")</f>
        <v>■</v>
      </c>
      <c r="F420" s="14" t="s">
        <v>319</v>
      </c>
      <c r="G420" s="14">
        <v>91664</v>
      </c>
      <c r="H420" s="14">
        <v>85246</v>
      </c>
      <c r="I420" s="14">
        <v>22</v>
      </c>
      <c r="J420" s="14" t="s">
        <v>320</v>
      </c>
      <c r="K420" s="14" t="s">
        <v>321</v>
      </c>
      <c r="L420" s="14" t="s">
        <v>322</v>
      </c>
      <c r="M420" s="14" t="s">
        <v>9158</v>
      </c>
      <c r="N420" s="14" t="s">
        <v>9158</v>
      </c>
      <c r="O420" s="14" t="s">
        <v>9158</v>
      </c>
      <c r="P420" s="14" t="s">
        <v>9158</v>
      </c>
      <c r="Q420" s="14" t="s">
        <v>9158</v>
      </c>
      <c r="R420" s="14"/>
    </row>
    <row r="421" spans="1:18">
      <c r="B421" s="14"/>
      <c r="C421" s="14"/>
      <c r="D421" s="14"/>
      <c r="F421" s="14"/>
      <c r="G421" s="14"/>
      <c r="H421" s="14"/>
      <c r="I421" s="14"/>
      <c r="J421" s="14"/>
      <c r="K421" s="14"/>
      <c r="L421" s="14"/>
      <c r="M421" s="14"/>
      <c r="N421" s="14"/>
      <c r="P421" s="14"/>
      <c r="Q421" s="14"/>
      <c r="R421" s="14"/>
    </row>
    <row r="422" spans="1:18">
      <c r="A422" s="14" t="s">
        <v>4770</v>
      </c>
      <c r="F422" s="14"/>
      <c r="G422" s="14"/>
      <c r="H422" s="14"/>
      <c r="I422" s="14"/>
      <c r="J422" s="14"/>
      <c r="K422" s="14"/>
      <c r="L422" s="14"/>
      <c r="M422" s="14"/>
      <c r="N422" s="14"/>
      <c r="P422" s="14"/>
      <c r="Q422" s="14"/>
      <c r="R422" s="14"/>
    </row>
    <row r="423" spans="1:18">
      <c r="A423" s="14" t="s">
        <v>4771</v>
      </c>
      <c r="B423" s="14"/>
      <c r="C423" s="14"/>
      <c r="D423" s="14"/>
      <c r="F423" s="14"/>
      <c r="G423" s="14"/>
      <c r="H423" s="14"/>
      <c r="I423" s="14"/>
      <c r="J423" s="14"/>
      <c r="K423" s="14"/>
      <c r="L423" s="14"/>
      <c r="M423" s="14"/>
      <c r="N423" s="14"/>
      <c r="P423" s="14"/>
      <c r="Q423" s="14"/>
      <c r="R423" s="14"/>
    </row>
    <row r="424" spans="1:18">
      <c r="A424" s="14" t="s">
        <v>11493</v>
      </c>
      <c r="B424" s="14"/>
      <c r="C424" s="14"/>
      <c r="D424" s="14"/>
      <c r="F424" s="14"/>
      <c r="G424" s="14"/>
      <c r="H424" s="14"/>
      <c r="I424" s="14"/>
      <c r="J424" s="14"/>
      <c r="K424" s="14"/>
      <c r="L424" s="14"/>
      <c r="M424" s="14"/>
      <c r="N424" s="14"/>
      <c r="P424" s="14"/>
      <c r="Q424" s="14"/>
      <c r="R424" s="14"/>
    </row>
    <row r="425" spans="1:18">
      <c r="A425" s="9" t="s">
        <v>5619</v>
      </c>
      <c r="B425" s="14" t="s">
        <v>330</v>
      </c>
      <c r="C425" s="14" t="s">
        <v>202</v>
      </c>
      <c r="D425" s="14" t="s">
        <v>4504</v>
      </c>
      <c r="E425" s="15" t="str">
        <f>HYPERLINK("https://stat100.ameba.jp/tnk47/ratio20/illustrations/card/ill_81183_0_shinryokunokisetsuamaterasu03.jpg?201905-6-RELEASE-conquest-e-411", "■")</f>
        <v>■</v>
      </c>
      <c r="F425" s="14" t="s">
        <v>4505</v>
      </c>
      <c r="G425" s="14">
        <v>157575</v>
      </c>
      <c r="H425" s="14">
        <v>174365</v>
      </c>
      <c r="I425" s="14">
        <v>15</v>
      </c>
      <c r="J425" s="14" t="s">
        <v>44</v>
      </c>
      <c r="K425" s="14" t="s">
        <v>4506</v>
      </c>
      <c r="L425" s="14" t="s">
        <v>4507</v>
      </c>
      <c r="M425" s="14" t="s">
        <v>9158</v>
      </c>
      <c r="N425" s="14" t="s">
        <v>9158</v>
      </c>
      <c r="O425" s="9" t="s">
        <v>4508</v>
      </c>
      <c r="P425" s="14" t="s">
        <v>4509</v>
      </c>
      <c r="Q425" s="14">
        <v>0</v>
      </c>
      <c r="R425" s="14"/>
    </row>
    <row r="426" spans="1:18">
      <c r="A426" s="9">
        <v>81493</v>
      </c>
      <c r="B426" s="14" t="s">
        <v>0</v>
      </c>
      <c r="C426" s="14" t="s">
        <v>206</v>
      </c>
      <c r="D426" s="14" t="s">
        <v>4773</v>
      </c>
      <c r="E426" s="15" t="str">
        <f>HYPERLINK("https://stat100.ameba.jp/tnk47/ratio20/illustrations/card/ill_81493_puchidebiruraikirimaru03.jpg?201905-6-RELEASE-conquest-e-411", "■")</f>
        <v>■</v>
      </c>
      <c r="F426" s="14" t="s">
        <v>4774</v>
      </c>
      <c r="G426" s="14">
        <v>127130</v>
      </c>
      <c r="H426" s="14">
        <v>136729</v>
      </c>
      <c r="I426" s="14">
        <v>23</v>
      </c>
      <c r="J426" s="14" t="s">
        <v>44</v>
      </c>
      <c r="K426" s="14" t="s">
        <v>4775</v>
      </c>
      <c r="L426" s="14" t="s">
        <v>4800</v>
      </c>
      <c r="M426" s="14" t="s">
        <v>9158</v>
      </c>
      <c r="N426" s="14" t="s">
        <v>9158</v>
      </c>
      <c r="O426" s="14" t="s">
        <v>9158</v>
      </c>
      <c r="P426" s="14" t="s">
        <v>9158</v>
      </c>
      <c r="Q426" s="14" t="s">
        <v>9158</v>
      </c>
      <c r="R426" s="14"/>
    </row>
    <row r="427" spans="1:18">
      <c r="A427" s="9">
        <v>81503</v>
      </c>
      <c r="B427" s="14" t="s">
        <v>15</v>
      </c>
      <c r="C427" s="14" t="s">
        <v>165</v>
      </c>
      <c r="D427" s="14" t="s">
        <v>4776</v>
      </c>
      <c r="E427" s="15" t="str">
        <f>HYPERLINK("https://stat100.ameba.jp/tnk47/ratio20/illustrations/card/ill_81503_kurotengu03.jpg?201905-6-RELEASE-conquest-e-411", "■")</f>
        <v>■</v>
      </c>
      <c r="F427" s="14" t="s">
        <v>4777</v>
      </c>
      <c r="G427" s="14">
        <v>65208</v>
      </c>
      <c r="H427" s="14">
        <v>65208</v>
      </c>
      <c r="I427" s="14">
        <v>22</v>
      </c>
      <c r="J427" s="14" t="s">
        <v>73</v>
      </c>
      <c r="K427" s="14" t="s">
        <v>4778</v>
      </c>
      <c r="L427" s="14" t="s">
        <v>3835</v>
      </c>
      <c r="M427" s="14" t="s">
        <v>9158</v>
      </c>
      <c r="N427" s="14" t="s">
        <v>9158</v>
      </c>
      <c r="O427" s="14" t="s">
        <v>9158</v>
      </c>
      <c r="P427" s="14" t="s">
        <v>9158</v>
      </c>
      <c r="Q427" s="14" t="s">
        <v>9158</v>
      </c>
      <c r="R427" s="14"/>
    </row>
    <row r="428" spans="1:18">
      <c r="A428" s="9">
        <v>81513</v>
      </c>
      <c r="B428" s="14" t="s">
        <v>22</v>
      </c>
      <c r="C428" s="14" t="s">
        <v>205</v>
      </c>
      <c r="D428" s="14" t="s">
        <v>4779</v>
      </c>
      <c r="E428" s="15" t="str">
        <f>HYPERLINK("https://stat100.ameba.jp/tnk47/ratio20/illustrations/card/ill_81513_buampaiaakiyamasaneyuki03.jpg?201905-6-RELEASE-conquest-e-411", "■")</f>
        <v>■</v>
      </c>
      <c r="F428" s="14" t="s">
        <v>4780</v>
      </c>
      <c r="G428" s="14">
        <v>36304</v>
      </c>
      <c r="H428" s="14">
        <v>43662</v>
      </c>
      <c r="I428" s="14">
        <v>21</v>
      </c>
      <c r="J428" s="14" t="s">
        <v>143</v>
      </c>
      <c r="K428" s="14" t="s">
        <v>4781</v>
      </c>
      <c r="L428" s="14" t="s">
        <v>3403</v>
      </c>
      <c r="M428" s="14" t="s">
        <v>9158</v>
      </c>
      <c r="N428" s="14" t="s">
        <v>9158</v>
      </c>
      <c r="O428" s="14" t="s">
        <v>9158</v>
      </c>
      <c r="P428" s="14" t="s">
        <v>9158</v>
      </c>
      <c r="Q428" s="14" t="s">
        <v>9158</v>
      </c>
      <c r="R428" s="14"/>
    </row>
    <row r="429" spans="1:18">
      <c r="A429" s="9">
        <v>81523</v>
      </c>
      <c r="B429" s="14" t="s">
        <v>30</v>
      </c>
      <c r="C429" s="14" t="s">
        <v>4772</v>
      </c>
      <c r="D429" s="14" t="s">
        <v>4782</v>
      </c>
      <c r="E429" s="15" t="str">
        <f>HYPERLINK("https://stat100.ameba.jp/tnk47/ratio20/illustrations/card/ill_81523_makaiiwakoshimpu03.jpg?201905-6-RELEASE-conquest-e-411", "■")</f>
        <v>■</v>
      </c>
      <c r="F429" s="14" t="s">
        <v>4783</v>
      </c>
      <c r="G429" s="14">
        <v>26434</v>
      </c>
      <c r="H429" s="14">
        <v>22200</v>
      </c>
      <c r="I429" s="14">
        <v>21</v>
      </c>
      <c r="J429" s="14" t="s">
        <v>44</v>
      </c>
      <c r="K429" s="14" t="s">
        <v>4784</v>
      </c>
      <c r="L429" s="14" t="s">
        <v>34</v>
      </c>
      <c r="M429" s="14" t="s">
        <v>9158</v>
      </c>
      <c r="N429" s="14" t="s">
        <v>9158</v>
      </c>
      <c r="O429" s="14" t="s">
        <v>9158</v>
      </c>
      <c r="P429" s="14" t="s">
        <v>9158</v>
      </c>
      <c r="Q429" s="14" t="s">
        <v>9158</v>
      </c>
      <c r="R429" s="14"/>
    </row>
    <row r="430" spans="1:18">
      <c r="B430" s="14"/>
      <c r="C430" s="14"/>
      <c r="D430" s="14"/>
      <c r="F430" s="14"/>
      <c r="G430" s="14"/>
      <c r="H430" s="14"/>
      <c r="I430" s="14"/>
      <c r="J430" s="14"/>
      <c r="K430" s="14"/>
      <c r="L430" s="14"/>
      <c r="M430" s="14"/>
      <c r="N430" s="14"/>
      <c r="P430" s="14"/>
      <c r="Q430" s="14"/>
      <c r="R430" s="14"/>
    </row>
    <row r="431" spans="1:18">
      <c r="A431" s="14" t="s">
        <v>1357</v>
      </c>
      <c r="D431" s="14"/>
      <c r="F431" s="14"/>
      <c r="G431" s="14"/>
      <c r="H431" s="14"/>
      <c r="I431" s="14"/>
      <c r="J431" s="14"/>
      <c r="K431" s="14"/>
      <c r="L431" s="14"/>
      <c r="M431" s="14"/>
      <c r="N431" s="14"/>
      <c r="P431" s="14"/>
      <c r="Q431" s="14"/>
      <c r="R431" s="14"/>
    </row>
    <row r="432" spans="1:18">
      <c r="A432" s="14" t="s">
        <v>4785</v>
      </c>
      <c r="B432" s="14"/>
      <c r="C432" s="14"/>
      <c r="D432" s="14"/>
      <c r="F432" s="14"/>
      <c r="G432" s="14"/>
      <c r="H432" s="14"/>
      <c r="I432" s="14"/>
      <c r="J432" s="14"/>
      <c r="K432" s="14"/>
      <c r="L432" s="14"/>
      <c r="M432" s="14"/>
      <c r="N432" s="14"/>
      <c r="P432" s="14"/>
      <c r="Q432" s="14"/>
      <c r="R432" s="14"/>
    </row>
    <row r="433" spans="1:18">
      <c r="A433" s="9" t="s">
        <v>5623</v>
      </c>
      <c r="B433" s="14" t="s">
        <v>330</v>
      </c>
      <c r="C433" s="14" t="s">
        <v>165</v>
      </c>
      <c r="D433" s="14" t="s">
        <v>3146</v>
      </c>
      <c r="E433" s="15" t="str">
        <f>HYPERLINK("https://stat100.ameba.jp/tnk47/ratio20/illustrations/card/ill_65713_0_undokaionikirimaru03.jpg?201905-6-RELEASE-conquest-e-411", "■")</f>
        <v>■</v>
      </c>
      <c r="F433" s="14" t="s">
        <v>535</v>
      </c>
      <c r="G433" s="14">
        <v>113525</v>
      </c>
      <c r="H433" s="14">
        <v>105545</v>
      </c>
      <c r="I433" s="14">
        <v>15</v>
      </c>
      <c r="J433" s="14" t="s">
        <v>320</v>
      </c>
      <c r="K433" s="14" t="s">
        <v>3147</v>
      </c>
      <c r="L433" s="14" t="s">
        <v>3148</v>
      </c>
      <c r="M433" s="14" t="s">
        <v>9158</v>
      </c>
      <c r="N433" s="14" t="s">
        <v>9158</v>
      </c>
      <c r="O433" s="9" t="s">
        <v>2869</v>
      </c>
      <c r="P433" s="14" t="s">
        <v>2870</v>
      </c>
      <c r="Q433" s="14">
        <v>1</v>
      </c>
      <c r="R433" s="14"/>
    </row>
    <row r="434" spans="1:18">
      <c r="A434" s="9" t="s">
        <v>5650</v>
      </c>
      <c r="B434" s="14" t="s">
        <v>52</v>
      </c>
      <c r="C434" s="14" t="s">
        <v>200</v>
      </c>
      <c r="D434" s="14" t="s">
        <v>136</v>
      </c>
      <c r="E434" s="15" t="str">
        <f>HYPERLINK("https://stat100.ameba.jp/tnk47/ratio20/illustrations/card/ill_68033_0_kurisumasupateikandamyojin03.jpg?201905-6-RELEASE-conquest-e-411", "■")</f>
        <v>■</v>
      </c>
      <c r="F434" s="14" t="s">
        <v>1871</v>
      </c>
      <c r="G434" s="14">
        <v>95371</v>
      </c>
      <c r="H434" s="14">
        <v>102590</v>
      </c>
      <c r="I434" s="14">
        <v>15</v>
      </c>
      <c r="J434" s="14" t="s">
        <v>44</v>
      </c>
      <c r="K434" s="14" t="s">
        <v>1872</v>
      </c>
      <c r="L434" s="14" t="s">
        <v>1873</v>
      </c>
      <c r="M434" s="14" t="s">
        <v>9158</v>
      </c>
      <c r="N434" s="14" t="s">
        <v>9158</v>
      </c>
      <c r="O434" s="9" t="s">
        <v>3482</v>
      </c>
      <c r="P434" s="14" t="s">
        <v>3483</v>
      </c>
      <c r="Q434" s="14">
        <v>2</v>
      </c>
      <c r="R434" s="14"/>
    </row>
    <row r="435" spans="1:18">
      <c r="A435" s="9" t="s">
        <v>6132</v>
      </c>
      <c r="B435" s="14" t="s">
        <v>52</v>
      </c>
      <c r="C435" s="14" t="s">
        <v>205</v>
      </c>
      <c r="D435" s="14" t="s">
        <v>2281</v>
      </c>
      <c r="E435" s="15" t="str">
        <f>HYPERLINK("https://stat100.ameba.jp/tnk47/ratio20/illustrations/card/ill_50693_0_hanamizugimimuratsuru03.jpg?201905-6-RELEASE-conquest-e-411", "■")</f>
        <v>■</v>
      </c>
      <c r="F435" s="14" t="s">
        <v>2282</v>
      </c>
      <c r="G435" s="14">
        <v>83712</v>
      </c>
      <c r="H435" s="14">
        <v>94236</v>
      </c>
      <c r="I435" s="14">
        <v>15</v>
      </c>
      <c r="J435" s="14" t="s">
        <v>143</v>
      </c>
      <c r="K435" s="14" t="s">
        <v>2283</v>
      </c>
      <c r="L435" s="14" t="s">
        <v>2284</v>
      </c>
      <c r="M435" s="14" t="s">
        <v>9158</v>
      </c>
      <c r="N435" s="14" t="s">
        <v>9158</v>
      </c>
      <c r="O435" s="14" t="s">
        <v>9158</v>
      </c>
      <c r="P435" s="14" t="s">
        <v>9158</v>
      </c>
      <c r="Q435" s="14" t="s">
        <v>9158</v>
      </c>
      <c r="R435" s="14"/>
    </row>
    <row r="436" spans="1:18">
      <c r="A436" s="9">
        <v>75193</v>
      </c>
      <c r="B436" s="14" t="s">
        <v>334</v>
      </c>
      <c r="C436" s="14" t="s">
        <v>269</v>
      </c>
      <c r="D436" s="14" t="s">
        <v>1935</v>
      </c>
      <c r="E436" s="15" t="str">
        <f>HYPERLINK("https://stat100.ameba.jp/tnk47/ratio20/illustrations/card/ill_75193_rabanommyonojiomansa03.jpg?201905-6-RELEASE-conquest-e-411", "■")</f>
        <v>■</v>
      </c>
      <c r="F436" s="14" t="s">
        <v>490</v>
      </c>
      <c r="G436" s="14">
        <v>88403</v>
      </c>
      <c r="H436" s="14">
        <v>95068</v>
      </c>
      <c r="I436" s="14">
        <v>23</v>
      </c>
      <c r="J436" s="14" t="s">
        <v>401</v>
      </c>
      <c r="K436" s="14" t="s">
        <v>491</v>
      </c>
      <c r="L436" s="14" t="s">
        <v>492</v>
      </c>
      <c r="M436" s="14" t="s">
        <v>9158</v>
      </c>
      <c r="N436" s="14" t="s">
        <v>9158</v>
      </c>
      <c r="O436" s="14" t="s">
        <v>9158</v>
      </c>
      <c r="P436" s="14" t="s">
        <v>9158</v>
      </c>
      <c r="Q436" s="14" t="s">
        <v>9158</v>
      </c>
      <c r="R436" s="14"/>
    </row>
    <row r="437" spans="1:18">
      <c r="A437" s="9">
        <v>75213</v>
      </c>
      <c r="B437" s="14" t="s">
        <v>0</v>
      </c>
      <c r="C437" s="14" t="s">
        <v>41</v>
      </c>
      <c r="D437" s="14" t="s">
        <v>3797</v>
      </c>
      <c r="E437" s="15" t="str">
        <f>HYPERLINK("https://stat100.ameba.jp/tnk47/ratio20/illustrations/card/ill_75213_rengokunoshishapuratea03.jpg?201905-6-RELEASE-conquest-e-411", "■")</f>
        <v>■</v>
      </c>
      <c r="F437" s="14" t="s">
        <v>3798</v>
      </c>
      <c r="G437" s="14">
        <v>88625</v>
      </c>
      <c r="H437" s="14">
        <v>95322</v>
      </c>
      <c r="I437" s="14">
        <v>23</v>
      </c>
      <c r="J437" s="14" t="s">
        <v>73</v>
      </c>
      <c r="K437" s="14" t="s">
        <v>3799</v>
      </c>
      <c r="L437" s="14" t="s">
        <v>3379</v>
      </c>
      <c r="M437" s="14" t="s">
        <v>9158</v>
      </c>
      <c r="N437" s="14" t="s">
        <v>9158</v>
      </c>
      <c r="O437" s="9" t="s">
        <v>3800</v>
      </c>
      <c r="P437" s="14" t="s">
        <v>13189</v>
      </c>
      <c r="Q437" s="14">
        <v>1</v>
      </c>
      <c r="R437" s="14"/>
    </row>
    <row r="438" spans="1:18">
      <c r="A438" s="9">
        <v>76963</v>
      </c>
      <c r="B438" s="14" t="s">
        <v>334</v>
      </c>
      <c r="C438" s="14" t="s">
        <v>154</v>
      </c>
      <c r="D438" s="14" t="s">
        <v>2891</v>
      </c>
      <c r="E438" s="15" t="str">
        <f>HYPERLINK("https://stat100.ameba.jp/tnk47/ratio20/illustrations/card/ill_76963_pavariaojo03.jpg?201905-6-RELEASE-conquest-e-411", "■")</f>
        <v>■</v>
      </c>
      <c r="F438" s="14" t="s">
        <v>2892</v>
      </c>
      <c r="G438" s="14">
        <v>110924</v>
      </c>
      <c r="H438" s="14">
        <v>62414</v>
      </c>
      <c r="I438" s="14">
        <v>23</v>
      </c>
      <c r="J438" s="14" t="s">
        <v>315</v>
      </c>
      <c r="K438" s="14" t="s">
        <v>2893</v>
      </c>
      <c r="L438" s="14" t="s">
        <v>1432</v>
      </c>
      <c r="M438" s="14" t="s">
        <v>9158</v>
      </c>
      <c r="N438" s="14" t="s">
        <v>9158</v>
      </c>
      <c r="O438" s="14" t="s">
        <v>9158</v>
      </c>
      <c r="P438" s="14" t="s">
        <v>9158</v>
      </c>
      <c r="Q438" s="14" t="s">
        <v>9158</v>
      </c>
      <c r="R438" s="14"/>
    </row>
    <row r="439" spans="1:18">
      <c r="A439" s="9">
        <v>53663</v>
      </c>
      <c r="B439" s="14" t="s">
        <v>15</v>
      </c>
      <c r="C439" s="14" t="s">
        <v>185</v>
      </c>
      <c r="D439" s="14" t="s">
        <v>1095</v>
      </c>
      <c r="E439" s="15" t="str">
        <f>HYPERLINK("https://stat100.ameba.jp/tnk47/ratio20/illustrations/card/ill_53663_kanibaruotsukisamaniittausagi03.jpg?201905-6-RELEASE-conquest-e-411", "■")</f>
        <v>■</v>
      </c>
      <c r="F439" s="14" t="s">
        <v>1096</v>
      </c>
      <c r="G439" s="14">
        <v>61832</v>
      </c>
      <c r="H439" s="14">
        <v>68172</v>
      </c>
      <c r="I439" s="14">
        <v>23</v>
      </c>
      <c r="J439" s="14" t="s">
        <v>38</v>
      </c>
      <c r="K439" s="14" t="s">
        <v>1097</v>
      </c>
      <c r="L439" s="14" t="s">
        <v>1098</v>
      </c>
      <c r="M439" s="14" t="s">
        <v>9158</v>
      </c>
      <c r="N439" s="14" t="s">
        <v>9158</v>
      </c>
      <c r="O439" s="14" t="s">
        <v>9158</v>
      </c>
      <c r="P439" s="14" t="s">
        <v>9158</v>
      </c>
      <c r="Q439" s="14" t="s">
        <v>9158</v>
      </c>
      <c r="R439" s="14"/>
    </row>
    <row r="440" spans="1:18">
      <c r="A440" s="9">
        <v>58933</v>
      </c>
      <c r="B440" s="14" t="s">
        <v>15</v>
      </c>
      <c r="C440" s="14" t="s">
        <v>205</v>
      </c>
      <c r="D440" s="14" t="s">
        <v>3503</v>
      </c>
      <c r="E440" s="15" t="str">
        <f>HYPERLINK("https://stat100.ameba.jp/tnk47/ratio20/illustrations/card/ill_58933_chokonoguchishohin03.jpg?201905-6-RELEASE-conquest-e-411", "■")</f>
        <v>■</v>
      </c>
      <c r="F440" s="14" t="s">
        <v>3504</v>
      </c>
      <c r="G440" s="14">
        <v>68172</v>
      </c>
      <c r="H440" s="14">
        <v>61832</v>
      </c>
      <c r="I440" s="14">
        <v>23</v>
      </c>
      <c r="J440" s="14" t="s">
        <v>16</v>
      </c>
      <c r="K440" s="14" t="s">
        <v>3505</v>
      </c>
      <c r="L440" s="14" t="s">
        <v>2462</v>
      </c>
      <c r="M440" s="14" t="s">
        <v>9158</v>
      </c>
      <c r="N440" s="14" t="s">
        <v>9158</v>
      </c>
      <c r="O440" s="14" t="s">
        <v>9158</v>
      </c>
      <c r="P440" s="14" t="s">
        <v>9158</v>
      </c>
      <c r="Q440" s="14" t="s">
        <v>9158</v>
      </c>
      <c r="R440" s="14"/>
    </row>
    <row r="441" spans="1:18">
      <c r="A441" s="9">
        <v>64203</v>
      </c>
      <c r="B441" s="14" t="s">
        <v>348</v>
      </c>
      <c r="C441" s="14" t="s">
        <v>200</v>
      </c>
      <c r="D441" s="14" t="s">
        <v>3320</v>
      </c>
      <c r="E441" s="15" t="str">
        <f>HYPERLINK("https://stat100.ameba.jp/tnk47/ratio20/illustrations/card/ill_64203_meikoazabunooneko03.jpg?201905-6-RELEASE-conquest-e-411", "■")</f>
        <v>■</v>
      </c>
      <c r="F441" s="14" t="s">
        <v>3321</v>
      </c>
      <c r="G441" s="14">
        <v>61832</v>
      </c>
      <c r="H441" s="14">
        <v>68172</v>
      </c>
      <c r="I441" s="14">
        <v>23</v>
      </c>
      <c r="J441" s="14" t="s">
        <v>73</v>
      </c>
      <c r="K441" s="14" t="s">
        <v>3322</v>
      </c>
      <c r="L441" s="14" t="s">
        <v>1706</v>
      </c>
      <c r="M441" s="14" t="s">
        <v>9158</v>
      </c>
      <c r="N441" s="14" t="s">
        <v>9158</v>
      </c>
      <c r="O441" s="14" t="s">
        <v>9158</v>
      </c>
      <c r="P441" s="14" t="s">
        <v>9158</v>
      </c>
      <c r="Q441" s="14" t="s">
        <v>9158</v>
      </c>
      <c r="R441" s="14"/>
    </row>
    <row r="442" spans="1:18">
      <c r="B442" s="14"/>
      <c r="C442" s="14"/>
      <c r="D442" s="14"/>
      <c r="F442" s="14"/>
      <c r="G442" s="14"/>
      <c r="H442" s="14"/>
      <c r="I442" s="14"/>
      <c r="J442" s="14"/>
      <c r="K442" s="14"/>
      <c r="L442" s="14"/>
      <c r="M442" s="14"/>
      <c r="N442" s="14"/>
      <c r="P442" s="14"/>
      <c r="Q442" s="14"/>
      <c r="R442" s="14"/>
    </row>
    <row r="443" spans="1:18">
      <c r="A443" s="14" t="s">
        <v>222</v>
      </c>
      <c r="D443" s="14"/>
      <c r="F443" s="14"/>
      <c r="G443" s="14"/>
      <c r="H443" s="14"/>
      <c r="I443" s="14"/>
      <c r="J443" s="14"/>
      <c r="K443" s="14"/>
      <c r="L443" s="14"/>
      <c r="M443" s="14"/>
      <c r="N443" s="14"/>
      <c r="P443" s="14"/>
      <c r="Q443" s="14"/>
      <c r="R443" s="14"/>
    </row>
    <row r="444" spans="1:18">
      <c r="A444" s="14" t="s">
        <v>4786</v>
      </c>
      <c r="B444" s="14"/>
      <c r="C444" s="14"/>
      <c r="D444" s="14"/>
      <c r="F444" s="14"/>
      <c r="G444" s="14"/>
      <c r="H444" s="14"/>
      <c r="I444" s="14"/>
      <c r="J444" s="14"/>
      <c r="K444" s="14"/>
      <c r="L444" s="14"/>
      <c r="M444" s="14"/>
      <c r="N444" s="14"/>
      <c r="P444" s="14"/>
      <c r="Q444" s="14"/>
      <c r="R444" s="14"/>
    </row>
    <row r="445" spans="1:18">
      <c r="A445" s="9" t="s">
        <v>5615</v>
      </c>
      <c r="B445" s="14" t="s">
        <v>330</v>
      </c>
      <c r="C445" s="14" t="s">
        <v>206</v>
      </c>
      <c r="D445" s="14" t="s">
        <v>1015</v>
      </c>
      <c r="E445" s="15" t="str">
        <f>HYPERLINK("https://stat100.ameba.jp/tnk47/ratio20/illustrations/card/ill_57733_0_shogatsunisenjunanaamakusashiro03.jpg?201905-6-RELEASE-conquest-e-411", "■")</f>
        <v>■</v>
      </c>
      <c r="F445" s="14" t="s">
        <v>1016</v>
      </c>
      <c r="G445" s="14">
        <v>106034</v>
      </c>
      <c r="H445" s="14">
        <v>119364</v>
      </c>
      <c r="I445" s="14">
        <v>19</v>
      </c>
      <c r="J445" s="14" t="s">
        <v>10</v>
      </c>
      <c r="K445" s="14" t="s">
        <v>1017</v>
      </c>
      <c r="L445" s="14" t="s">
        <v>1018</v>
      </c>
      <c r="M445" s="14" t="s">
        <v>9158</v>
      </c>
      <c r="N445" s="14" t="s">
        <v>9158</v>
      </c>
      <c r="O445" s="17" t="s">
        <v>10063</v>
      </c>
      <c r="P445" s="14" t="s">
        <v>3062</v>
      </c>
      <c r="Q445" s="14">
        <v>1</v>
      </c>
      <c r="R445" s="14"/>
    </row>
    <row r="446" spans="1:18">
      <c r="A446" s="9" t="s">
        <v>9473</v>
      </c>
      <c r="B446" s="14" t="s">
        <v>330</v>
      </c>
      <c r="C446" s="14" t="s">
        <v>191</v>
      </c>
      <c r="D446" s="14" t="s">
        <v>1072</v>
      </c>
      <c r="E446" s="15" t="str">
        <f>HYPERLINK("https://stat100.ameba.jp/tnk47/ratio20/illustrations/card/ill_46283_0_odanobunaga03.jpg?201905-6-RELEASE-conquest-e-411", "■")</f>
        <v>■</v>
      </c>
      <c r="F446" s="14" t="s">
        <v>1073</v>
      </c>
      <c r="G446" s="14">
        <v>104134</v>
      </c>
      <c r="H446" s="14">
        <v>111188</v>
      </c>
      <c r="I446" s="14">
        <v>19</v>
      </c>
      <c r="J446" s="14" t="s">
        <v>143</v>
      </c>
      <c r="K446" s="14" t="s">
        <v>1074</v>
      </c>
      <c r="L446" s="14" t="s">
        <v>1075</v>
      </c>
      <c r="M446" s="14" t="s">
        <v>9158</v>
      </c>
      <c r="N446" s="14" t="s">
        <v>9158</v>
      </c>
      <c r="O446" s="14" t="s">
        <v>9158</v>
      </c>
      <c r="P446" s="14" t="s">
        <v>9158</v>
      </c>
      <c r="Q446" s="14" t="s">
        <v>9158</v>
      </c>
      <c r="R446" s="14"/>
    </row>
    <row r="447" spans="1:18">
      <c r="A447" s="9">
        <v>69251</v>
      </c>
      <c r="B447" s="14" t="s">
        <v>334</v>
      </c>
      <c r="C447" s="14" t="s">
        <v>154</v>
      </c>
      <c r="D447" s="14" t="s">
        <v>4787</v>
      </c>
      <c r="E447" s="15" t="str">
        <f>HYPERLINK("https://stat100.ameba.jp/tnk47/ratio20/illustrations/card/ill_69251_higashinobusoengi01.jpg?201905-6-RELEASE-conquest-e-411", "■")</f>
        <v>■</v>
      </c>
      <c r="F447" s="14" t="s">
        <v>4788</v>
      </c>
      <c r="G447" s="14">
        <v>81650</v>
      </c>
      <c r="H447" s="14">
        <v>75624</v>
      </c>
      <c r="I447" s="14">
        <v>23</v>
      </c>
      <c r="J447" s="14" t="s">
        <v>143</v>
      </c>
      <c r="K447" s="14" t="s">
        <v>4789</v>
      </c>
      <c r="L447" s="14" t="s">
        <v>4790</v>
      </c>
      <c r="M447" s="14" t="s">
        <v>9158</v>
      </c>
      <c r="N447" s="14" t="s">
        <v>9158</v>
      </c>
      <c r="O447" s="14" t="s">
        <v>9158</v>
      </c>
      <c r="P447" s="14" t="s">
        <v>9158</v>
      </c>
      <c r="Q447" s="14" t="s">
        <v>9158</v>
      </c>
      <c r="R447" s="14"/>
    </row>
    <row r="448" spans="1:18">
      <c r="A448" s="9">
        <v>69261</v>
      </c>
      <c r="B448" s="14" t="s">
        <v>0</v>
      </c>
      <c r="C448" s="14" t="s">
        <v>158</v>
      </c>
      <c r="D448" s="14" t="s">
        <v>4791</v>
      </c>
      <c r="E448" s="15" t="str">
        <f>HYPERLINK("https://stat100.ameba.jp/tnk47/ratio20/illustrations/card/ill_69261_nishinobusoengi01.jpg?201905-6-RELEASE-conquest-e-411", "■")</f>
        <v>■</v>
      </c>
      <c r="F448" s="14" t="s">
        <v>4792</v>
      </c>
      <c r="G448" s="14">
        <v>81650</v>
      </c>
      <c r="H448" s="14">
        <v>75624</v>
      </c>
      <c r="I448" s="14">
        <v>23</v>
      </c>
      <c r="J448" s="14" t="s">
        <v>143</v>
      </c>
      <c r="K448" s="14" t="s">
        <v>4793</v>
      </c>
      <c r="L448" s="14" t="s">
        <v>4790</v>
      </c>
      <c r="M448" s="14" t="s">
        <v>9158</v>
      </c>
      <c r="N448" s="14" t="s">
        <v>9158</v>
      </c>
      <c r="O448" s="14" t="s">
        <v>9158</v>
      </c>
      <c r="P448" s="14" t="s">
        <v>9158</v>
      </c>
      <c r="Q448" s="14" t="s">
        <v>9158</v>
      </c>
      <c r="R448" s="14"/>
    </row>
    <row r="449" spans="1:18">
      <c r="A449" s="9">
        <v>69273</v>
      </c>
      <c r="B449" s="14" t="s">
        <v>334</v>
      </c>
      <c r="C449" s="14" t="s">
        <v>202</v>
      </c>
      <c r="D449" s="14" t="s">
        <v>4794</v>
      </c>
      <c r="E449" s="15" t="str">
        <f>HYPERLINK("https://stat100.ameba.jp/tnk47/ratio20/illustrations/card/ill_69273_rengekibusoengi03.jpg?201905-6-RELEASE-conquest-e-411", "■")</f>
        <v>■</v>
      </c>
      <c r="F449" s="14" t="s">
        <v>4795</v>
      </c>
      <c r="G449" s="14">
        <v>143910</v>
      </c>
      <c r="H449" s="14">
        <v>133759</v>
      </c>
      <c r="I449" s="14">
        <v>23</v>
      </c>
      <c r="J449" s="14" t="s">
        <v>143</v>
      </c>
      <c r="K449" s="14" t="s">
        <v>4796</v>
      </c>
      <c r="L449" s="14" t="s">
        <v>145</v>
      </c>
      <c r="M449" s="14" t="s">
        <v>9158</v>
      </c>
      <c r="N449" s="14" t="s">
        <v>9158</v>
      </c>
      <c r="O449" s="14" t="s">
        <v>9158</v>
      </c>
      <c r="P449" s="14" t="s">
        <v>9158</v>
      </c>
      <c r="Q449" s="14" t="s">
        <v>9158</v>
      </c>
      <c r="R449" s="14"/>
    </row>
    <row r="450" spans="1:18">
      <c r="A450" s="9">
        <v>58451</v>
      </c>
      <c r="B450" s="14" t="s">
        <v>334</v>
      </c>
      <c r="C450" s="14" t="s">
        <v>154</v>
      </c>
      <c r="D450" s="14" t="s">
        <v>3289</v>
      </c>
      <c r="E450" s="15" t="str">
        <f>HYPERLINK("https://stat100.ameba.jp/tnk47/ratio20/illustrations/card/ill_58451_fuyunodetosupottohigashinihon01.jpg?201905-6-RELEASE-conquest-e-411", "■")</f>
        <v>■</v>
      </c>
      <c r="F450" s="14" t="s">
        <v>3290</v>
      </c>
      <c r="G450" s="14">
        <v>52670</v>
      </c>
      <c r="H450" s="14">
        <v>56580</v>
      </c>
      <c r="I450" s="14">
        <v>23</v>
      </c>
      <c r="J450" s="14" t="s">
        <v>26</v>
      </c>
      <c r="K450" s="14" t="s">
        <v>3291</v>
      </c>
      <c r="L450" s="14" t="s">
        <v>3292</v>
      </c>
      <c r="M450" s="14" t="s">
        <v>9158</v>
      </c>
      <c r="N450" s="14" t="s">
        <v>9158</v>
      </c>
      <c r="O450" s="14" t="s">
        <v>9158</v>
      </c>
      <c r="P450" s="14" t="s">
        <v>9158</v>
      </c>
      <c r="Q450" s="14" t="s">
        <v>9158</v>
      </c>
      <c r="R450" s="14"/>
    </row>
    <row r="451" spans="1:18">
      <c r="A451" s="9">
        <v>58461</v>
      </c>
      <c r="B451" s="14" t="s">
        <v>0</v>
      </c>
      <c r="C451" s="14" t="s">
        <v>158</v>
      </c>
      <c r="D451" s="14" t="s">
        <v>3293</v>
      </c>
      <c r="E451" s="15" t="str">
        <f>HYPERLINK("https://stat100.ameba.jp/tnk47/ratio20/illustrations/card/ill_58461_fuyunodetosupottonishinihon01.jpg?201905-6-RELEASE-conquest-e-411", "■")</f>
        <v>■</v>
      </c>
      <c r="F451" s="14" t="s">
        <v>3294</v>
      </c>
      <c r="G451" s="14">
        <v>52670</v>
      </c>
      <c r="H451" s="14">
        <v>56580</v>
      </c>
      <c r="I451" s="14">
        <v>23</v>
      </c>
      <c r="J451" s="14" t="s">
        <v>26</v>
      </c>
      <c r="K451" s="14" t="s">
        <v>3295</v>
      </c>
      <c r="L451" s="14" t="s">
        <v>3292</v>
      </c>
      <c r="M451" s="14" t="s">
        <v>9158</v>
      </c>
      <c r="N451" s="14" t="s">
        <v>9158</v>
      </c>
      <c r="O451" s="14" t="s">
        <v>9158</v>
      </c>
      <c r="P451" s="14" t="s">
        <v>9158</v>
      </c>
      <c r="Q451" s="14" t="s">
        <v>9158</v>
      </c>
      <c r="R451" s="14"/>
    </row>
    <row r="452" spans="1:18">
      <c r="A452" s="9">
        <v>58473</v>
      </c>
      <c r="B452" s="14" t="s">
        <v>334</v>
      </c>
      <c r="C452" s="14" t="s">
        <v>202</v>
      </c>
      <c r="D452" s="14" t="s">
        <v>3296</v>
      </c>
      <c r="E452" s="15" t="str">
        <f>HYPERLINK("https://stat100.ameba.jp/tnk47/ratio20/illustrations/card/ill_58473_fuyunodetosupottotokushu03.jpg?201905-6-RELEASE-conquest-e-411", "■")</f>
        <v>■</v>
      </c>
      <c r="F452" s="14" t="s">
        <v>3297</v>
      </c>
      <c r="G452" s="14">
        <v>97704</v>
      </c>
      <c r="H452" s="14">
        <v>105056</v>
      </c>
      <c r="I452" s="14">
        <v>23</v>
      </c>
      <c r="J452" s="14" t="s">
        <v>26</v>
      </c>
      <c r="K452" s="14" t="s">
        <v>3298</v>
      </c>
      <c r="L452" s="14" t="s">
        <v>3299</v>
      </c>
      <c r="M452" s="14" t="s">
        <v>9158</v>
      </c>
      <c r="N452" s="14" t="s">
        <v>9158</v>
      </c>
      <c r="O452" s="14" t="s">
        <v>9158</v>
      </c>
      <c r="P452" s="14" t="s">
        <v>9158</v>
      </c>
      <c r="Q452" s="14" t="s">
        <v>9158</v>
      </c>
      <c r="R452" s="14"/>
    </row>
    <row r="453" spans="1:18">
      <c r="B453" s="14"/>
      <c r="C453" s="14"/>
      <c r="D453" s="14"/>
      <c r="F453" s="14"/>
      <c r="G453" s="14"/>
      <c r="H453" s="14"/>
      <c r="I453" s="14"/>
      <c r="J453" s="14"/>
      <c r="K453" s="14"/>
      <c r="L453" s="14"/>
      <c r="M453" s="14"/>
      <c r="N453" s="14"/>
      <c r="P453" s="14"/>
      <c r="Q453" s="14"/>
      <c r="R453" s="14"/>
    </row>
    <row r="454" spans="1:18">
      <c r="A454" s="14" t="s">
        <v>13326</v>
      </c>
      <c r="D454" s="14"/>
      <c r="F454" s="14"/>
      <c r="G454" s="14"/>
      <c r="H454" s="14"/>
      <c r="I454" s="14"/>
      <c r="J454" s="14"/>
      <c r="K454" s="14"/>
      <c r="L454" s="14"/>
      <c r="M454" s="14"/>
      <c r="N454" s="14"/>
      <c r="P454" s="14"/>
      <c r="Q454" s="14"/>
      <c r="R454" s="14"/>
    </row>
    <row r="455" spans="1:18">
      <c r="A455" s="14" t="s">
        <v>4797</v>
      </c>
      <c r="B455" s="14"/>
      <c r="C455" s="14"/>
      <c r="D455" s="14"/>
      <c r="F455" s="14"/>
      <c r="G455" s="14"/>
      <c r="H455" s="14"/>
      <c r="I455" s="14"/>
      <c r="J455" s="14"/>
      <c r="K455" s="14"/>
      <c r="L455" s="14"/>
      <c r="M455" s="14"/>
      <c r="N455" s="14"/>
      <c r="P455" s="14"/>
      <c r="Q455" s="14"/>
      <c r="R455" s="14"/>
    </row>
    <row r="456" spans="1:18">
      <c r="A456" s="9">
        <v>66113</v>
      </c>
      <c r="B456" s="14" t="s">
        <v>334</v>
      </c>
      <c r="C456" s="14" t="s">
        <v>185</v>
      </c>
      <c r="D456" s="14" t="s">
        <v>1292</v>
      </c>
      <c r="E456" s="15" t="str">
        <f>HYPERLINK("https://stat100.ameba.jp/tnk47/ratio20/illustrations/card/ill_66113_shirarikahime03.jpg?201905-6-RELEASE-conquest-e-411", "■")</f>
        <v>■</v>
      </c>
      <c r="F456" s="14" t="s">
        <v>1293</v>
      </c>
      <c r="G456" s="14">
        <v>118152</v>
      </c>
      <c r="H456" s="14">
        <v>109852</v>
      </c>
      <c r="I456" s="14">
        <v>24</v>
      </c>
      <c r="J456" s="14" t="s">
        <v>274</v>
      </c>
      <c r="K456" s="14" t="s">
        <v>1304</v>
      </c>
      <c r="L456" s="2" t="s">
        <v>9908</v>
      </c>
      <c r="M456" s="14" t="s">
        <v>13151</v>
      </c>
      <c r="N456" s="14" t="s">
        <v>251</v>
      </c>
      <c r="O456" s="14" t="s">
        <v>9158</v>
      </c>
      <c r="P456" s="14" t="s">
        <v>9158</v>
      </c>
      <c r="Q456" s="14" t="s">
        <v>9158</v>
      </c>
      <c r="R456" s="14" t="s">
        <v>14858</v>
      </c>
    </row>
    <row r="457" spans="1:18">
      <c r="A457" s="9">
        <v>66112</v>
      </c>
      <c r="B457" s="14" t="s">
        <v>334</v>
      </c>
      <c r="C457" s="14" t="s">
        <v>185</v>
      </c>
      <c r="D457" s="14" t="s">
        <v>1292</v>
      </c>
      <c r="E457" s="15" t="str">
        <f>HYPERLINK("https://stat100.ameba.jp/tnk47/ratio20/illustrations/card/ill_66112_shirarikahime02.jpg?201905-6-RELEASE-conquest-e-411", "■")</f>
        <v>■</v>
      </c>
      <c r="F457" s="14" t="s">
        <v>1293</v>
      </c>
      <c r="G457" s="14">
        <v>98768</v>
      </c>
      <c r="H457" s="14">
        <v>90984</v>
      </c>
      <c r="I457" s="14">
        <v>24</v>
      </c>
      <c r="J457" s="14" t="s">
        <v>274</v>
      </c>
      <c r="K457" s="14" t="s">
        <v>1304</v>
      </c>
      <c r="L457" s="2" t="s">
        <v>9908</v>
      </c>
      <c r="M457" s="14" t="s">
        <v>13156</v>
      </c>
      <c r="N457" s="14" t="s">
        <v>1310</v>
      </c>
      <c r="O457" s="14" t="s">
        <v>9158</v>
      </c>
      <c r="P457" s="14" t="s">
        <v>9158</v>
      </c>
      <c r="Q457" s="14" t="s">
        <v>9158</v>
      </c>
      <c r="R457" s="14" t="s">
        <v>14858</v>
      </c>
    </row>
    <row r="458" spans="1:18">
      <c r="A458" s="9">
        <v>66111</v>
      </c>
      <c r="B458" s="14" t="s">
        <v>334</v>
      </c>
      <c r="C458" s="14" t="s">
        <v>185</v>
      </c>
      <c r="D458" s="14" t="s">
        <v>1292</v>
      </c>
      <c r="E458" s="15" t="str">
        <f>HYPERLINK("https://stat100.ameba.jp/tnk47/ratio20/illustrations/card/ill_66111_shirarikahime01.jpg?201905-6-RELEASE-conquest-e-411", "■")</f>
        <v>■</v>
      </c>
      <c r="F458" s="14" t="s">
        <v>1293</v>
      </c>
      <c r="G458" s="14">
        <v>75408</v>
      </c>
      <c r="H458" s="14">
        <v>70200</v>
      </c>
      <c r="I458" s="14">
        <v>24</v>
      </c>
      <c r="J458" s="14" t="s">
        <v>274</v>
      </c>
      <c r="K458" s="14" t="s">
        <v>1304</v>
      </c>
      <c r="L458" s="2" t="s">
        <v>9908</v>
      </c>
      <c r="M458" s="14" t="s">
        <v>13156</v>
      </c>
      <c r="N458" s="14" t="s">
        <v>1310</v>
      </c>
      <c r="O458" s="14" t="s">
        <v>9158</v>
      </c>
      <c r="P458" s="14" t="s">
        <v>9158</v>
      </c>
      <c r="Q458" s="14" t="s">
        <v>9158</v>
      </c>
      <c r="R458" s="14" t="s">
        <v>14858</v>
      </c>
    </row>
    <row r="459" spans="1:18">
      <c r="A459" s="9">
        <v>65383</v>
      </c>
      <c r="B459" s="14" t="s">
        <v>334</v>
      </c>
      <c r="C459" s="14" t="s">
        <v>200</v>
      </c>
      <c r="D459" s="14" t="s">
        <v>1294</v>
      </c>
      <c r="E459" s="15" t="str">
        <f>HYPERLINK("https://stat100.ameba.jp/tnk47/ratio20/illustrations/card/ill_65383_aogashimachan03.jpg?201905-6-RELEASE-conquest-e-411", "■")</f>
        <v>■</v>
      </c>
      <c r="F459" s="14" t="s">
        <v>1295</v>
      </c>
      <c r="G459" s="14">
        <v>109852</v>
      </c>
      <c r="H459" s="14">
        <v>118152</v>
      </c>
      <c r="I459" s="14">
        <v>24</v>
      </c>
      <c r="J459" s="14" t="s">
        <v>369</v>
      </c>
      <c r="K459" s="14" t="s">
        <v>1305</v>
      </c>
      <c r="L459" s="2" t="s">
        <v>9909</v>
      </c>
      <c r="M459" s="14" t="s">
        <v>13151</v>
      </c>
      <c r="N459" s="14" t="s">
        <v>251</v>
      </c>
      <c r="O459" s="14" t="s">
        <v>9158</v>
      </c>
      <c r="P459" s="14" t="s">
        <v>9158</v>
      </c>
      <c r="Q459" s="14" t="s">
        <v>9158</v>
      </c>
      <c r="R459" s="14" t="s">
        <v>14858</v>
      </c>
    </row>
    <row r="460" spans="1:18">
      <c r="A460" s="9">
        <v>66123</v>
      </c>
      <c r="B460" s="14" t="s">
        <v>334</v>
      </c>
      <c r="C460" s="14" t="s">
        <v>191</v>
      </c>
      <c r="D460" s="14" t="s">
        <v>1296</v>
      </c>
      <c r="E460" s="15" t="str">
        <f>HYPERLINK("https://stat100.ameba.jp/tnk47/ratio20/illustrations/card/ill_66123_taikemmoninnohorikawa03.jpg?201905-6-RELEASE-conquest-e-411", "■")</f>
        <v>■</v>
      </c>
      <c r="F460" s="14" t="s">
        <v>1297</v>
      </c>
      <c r="G460" s="14">
        <v>118152</v>
      </c>
      <c r="H460" s="14">
        <v>109852</v>
      </c>
      <c r="I460" s="14">
        <v>24</v>
      </c>
      <c r="J460" s="14" t="s">
        <v>414</v>
      </c>
      <c r="K460" s="14" t="s">
        <v>1306</v>
      </c>
      <c r="L460" s="2" t="s">
        <v>9910</v>
      </c>
      <c r="M460" s="14" t="s">
        <v>13151</v>
      </c>
      <c r="N460" s="14" t="s">
        <v>251</v>
      </c>
      <c r="O460" s="14" t="s">
        <v>9158</v>
      </c>
      <c r="P460" s="14" t="s">
        <v>9158</v>
      </c>
      <c r="Q460" s="14" t="s">
        <v>9158</v>
      </c>
      <c r="R460" s="14" t="s">
        <v>14858</v>
      </c>
    </row>
    <row r="461" spans="1:18">
      <c r="A461" s="9">
        <v>66133</v>
      </c>
      <c r="B461" s="14" t="s">
        <v>334</v>
      </c>
      <c r="C461" s="14" t="s">
        <v>165</v>
      </c>
      <c r="D461" s="14" t="s">
        <v>1298</v>
      </c>
      <c r="E461" s="15" t="str">
        <f>HYPERLINK("https://stat100.ameba.jp/tnk47/ratio20/illustrations/card/ill_66133_iinaosuke03.jpg?201905-6-RELEASE-conquest-e-411", "■")</f>
        <v>■</v>
      </c>
      <c r="F461" s="14" t="s">
        <v>1299</v>
      </c>
      <c r="G461" s="14">
        <v>109852</v>
      </c>
      <c r="H461" s="14">
        <v>118152</v>
      </c>
      <c r="I461" s="14">
        <v>24</v>
      </c>
      <c r="J461" s="14" t="s">
        <v>351</v>
      </c>
      <c r="K461" s="14" t="s">
        <v>1307</v>
      </c>
      <c r="L461" s="2" t="s">
        <v>9911</v>
      </c>
      <c r="M461" s="14" t="s">
        <v>13151</v>
      </c>
      <c r="N461" s="14" t="s">
        <v>251</v>
      </c>
      <c r="O461" s="14" t="s">
        <v>9158</v>
      </c>
      <c r="P461" s="14" t="s">
        <v>9158</v>
      </c>
      <c r="Q461" s="14" t="s">
        <v>9158</v>
      </c>
      <c r="R461" s="14" t="s">
        <v>14858</v>
      </c>
    </row>
    <row r="462" spans="1:18">
      <c r="A462" s="9">
        <v>65393</v>
      </c>
      <c r="B462" s="14" t="s">
        <v>334</v>
      </c>
      <c r="C462" s="14" t="s">
        <v>205</v>
      </c>
      <c r="D462" s="14" t="s">
        <v>1300</v>
      </c>
      <c r="E462" s="15" t="str">
        <f>HYPERLINK("https://stat100.ameba.jp/tnk47/ratio20/illustrations/card/ill_65393_motochikafujin03.jpg?201905-6-RELEASE-conquest-e-411", "■")</f>
        <v>■</v>
      </c>
      <c r="F462" s="14" t="s">
        <v>1301</v>
      </c>
      <c r="G462" s="14">
        <v>109852</v>
      </c>
      <c r="H462" s="14">
        <v>118152</v>
      </c>
      <c r="I462" s="14">
        <v>24</v>
      </c>
      <c r="J462" s="14" t="s">
        <v>315</v>
      </c>
      <c r="K462" s="14" t="s">
        <v>1308</v>
      </c>
      <c r="L462" s="2" t="s">
        <v>9912</v>
      </c>
      <c r="M462" s="14" t="s">
        <v>13151</v>
      </c>
      <c r="N462" s="14" t="s">
        <v>251</v>
      </c>
      <c r="O462" s="14" t="s">
        <v>9158</v>
      </c>
      <c r="P462" s="14" t="s">
        <v>9158</v>
      </c>
      <c r="Q462" s="14" t="s">
        <v>9158</v>
      </c>
      <c r="R462" s="14" t="s">
        <v>14858</v>
      </c>
    </row>
    <row r="463" spans="1:18">
      <c r="A463" s="9">
        <v>65403</v>
      </c>
      <c r="B463" s="14" t="s">
        <v>334</v>
      </c>
      <c r="C463" s="14" t="s">
        <v>206</v>
      </c>
      <c r="D463" s="14" t="s">
        <v>1302</v>
      </c>
      <c r="E463" s="15" t="str">
        <f>HYPERLINK("https://stat100.ameba.jp/tnk47/ratio20/illustrations/card/ill_65403_amenokoyanenomikoto03.jpg?201905-6-RELEASE-conquest-e-411", "■")</f>
        <v>■</v>
      </c>
      <c r="F463" s="14" t="s">
        <v>1303</v>
      </c>
      <c r="G463" s="14">
        <v>118152</v>
      </c>
      <c r="H463" s="14">
        <v>109852</v>
      </c>
      <c r="I463" s="14">
        <v>24</v>
      </c>
      <c r="J463" s="14" t="s">
        <v>401</v>
      </c>
      <c r="K463" s="14" t="s">
        <v>1309</v>
      </c>
      <c r="L463" s="2" t="s">
        <v>9913</v>
      </c>
      <c r="M463" s="14" t="s">
        <v>13151</v>
      </c>
      <c r="N463" s="14" t="s">
        <v>251</v>
      </c>
      <c r="O463" s="14" t="s">
        <v>9158</v>
      </c>
      <c r="P463" s="14" t="s">
        <v>9158</v>
      </c>
      <c r="Q463" s="14" t="s">
        <v>9158</v>
      </c>
      <c r="R463" s="14" t="s">
        <v>14858</v>
      </c>
    </row>
    <row r="464" spans="1:18">
      <c r="B464" s="14"/>
      <c r="C464" s="14"/>
      <c r="D464" s="14"/>
      <c r="F464" s="14"/>
      <c r="G464" s="14"/>
      <c r="H464" s="14"/>
      <c r="I464" s="14"/>
      <c r="J464" s="14"/>
      <c r="K464" s="14"/>
      <c r="L464" s="14"/>
      <c r="M464" s="14"/>
      <c r="N464" s="14"/>
      <c r="P464" s="14"/>
      <c r="Q464" s="14"/>
      <c r="R464" s="14"/>
    </row>
    <row r="465" spans="1:18">
      <c r="A465" s="14" t="s">
        <v>3446</v>
      </c>
      <c r="D465" s="14"/>
      <c r="F465" s="14"/>
      <c r="G465" s="14"/>
      <c r="H465" s="14"/>
      <c r="I465" s="14"/>
      <c r="J465" s="14"/>
      <c r="K465" s="14"/>
      <c r="L465" s="14"/>
      <c r="M465" s="14"/>
      <c r="N465" s="14"/>
      <c r="P465" s="14"/>
      <c r="Q465" s="14"/>
      <c r="R465" s="14"/>
    </row>
    <row r="466" spans="1:18">
      <c r="A466" s="14" t="s">
        <v>4798</v>
      </c>
      <c r="B466" s="14"/>
      <c r="C466" s="14"/>
      <c r="D466" s="14"/>
      <c r="F466" s="14"/>
      <c r="G466" s="14"/>
      <c r="H466" s="14"/>
      <c r="I466" s="14"/>
      <c r="J466" s="14"/>
      <c r="K466" s="14"/>
      <c r="L466" s="14"/>
      <c r="M466" s="14"/>
      <c r="N466" s="14"/>
      <c r="P466" s="14"/>
      <c r="Q466" s="14"/>
      <c r="R466" s="14"/>
    </row>
    <row r="467" spans="1:18">
      <c r="A467" s="9" t="s">
        <v>5606</v>
      </c>
      <c r="B467" s="14" t="s">
        <v>52</v>
      </c>
      <c r="C467" s="14" t="s">
        <v>206</v>
      </c>
      <c r="D467" s="14" t="s">
        <v>1011</v>
      </c>
      <c r="E467" s="15" t="str">
        <f>HYPERLINK("https://stat100.ameba.jp/tnk47/ratio20/illustrations/card/ill_72233_0_koinoboriryugujin03.jpg?201906-1-RELEASE-raid-412x", "■")</f>
        <v>■</v>
      </c>
      <c r="F467" s="14" t="s">
        <v>1012</v>
      </c>
      <c r="G467" s="14">
        <v>144312</v>
      </c>
      <c r="H467" s="14">
        <v>155224</v>
      </c>
      <c r="I467" s="14">
        <v>22</v>
      </c>
      <c r="J467" s="14" t="s">
        <v>44</v>
      </c>
      <c r="K467" s="14" t="s">
        <v>1013</v>
      </c>
      <c r="L467" s="14" t="s">
        <v>1014</v>
      </c>
      <c r="M467" s="14" t="s">
        <v>9158</v>
      </c>
      <c r="N467" s="14" t="s">
        <v>9158</v>
      </c>
      <c r="O467" s="9" t="s">
        <v>3419</v>
      </c>
      <c r="P467" s="14" t="s">
        <v>3420</v>
      </c>
      <c r="Q467" s="14">
        <v>2</v>
      </c>
      <c r="R467" s="14"/>
    </row>
    <row r="468" spans="1:18">
      <c r="A468" s="9" t="s">
        <v>5830</v>
      </c>
      <c r="B468" s="14" t="s">
        <v>330</v>
      </c>
      <c r="C468" s="14" t="s">
        <v>191</v>
      </c>
      <c r="D468" s="14" t="s">
        <v>1719</v>
      </c>
      <c r="E468" s="15" t="str">
        <f>HYPERLINK("https://stat100.ameba.jp/tnk47/ratio20/illustrations/card/ill_39933_0_reihiiinaotora03.jpg?201906-1-RELEASE-raid-412x", "■")</f>
        <v>■</v>
      </c>
      <c r="F468" s="14" t="s">
        <v>794</v>
      </c>
      <c r="G468" s="14">
        <v>120576</v>
      </c>
      <c r="H468" s="14">
        <v>128744</v>
      </c>
      <c r="I468" s="14">
        <v>22</v>
      </c>
      <c r="J468" s="14" t="s">
        <v>315</v>
      </c>
      <c r="K468" s="14" t="s">
        <v>795</v>
      </c>
      <c r="L468" s="14" t="s">
        <v>796</v>
      </c>
      <c r="M468" s="14" t="s">
        <v>9158</v>
      </c>
      <c r="N468" s="14" t="s">
        <v>9158</v>
      </c>
      <c r="O468" s="14" t="s">
        <v>9158</v>
      </c>
      <c r="P468" s="14" t="s">
        <v>9158</v>
      </c>
      <c r="Q468" s="14" t="s">
        <v>9158</v>
      </c>
      <c r="R468" s="14"/>
    </row>
    <row r="469" spans="1:18">
      <c r="A469" s="9" t="s">
        <v>5608</v>
      </c>
      <c r="B469" s="14" t="s">
        <v>330</v>
      </c>
      <c r="C469" s="14" t="s">
        <v>308</v>
      </c>
      <c r="D469" s="14" t="s">
        <v>2037</v>
      </c>
      <c r="E469" s="15" t="str">
        <f>HYPERLINK("https://stat100.ameba.jp/tnk47/ratio20/illustrations/card/ill_40963_0_makami03.jpg?201906-1-RELEASE-raid-412x", "■")</f>
        <v>■</v>
      </c>
      <c r="F469" s="14" t="s">
        <v>635</v>
      </c>
      <c r="G469" s="14">
        <v>128744</v>
      </c>
      <c r="H469" s="14">
        <v>120576</v>
      </c>
      <c r="I469" s="14">
        <v>22</v>
      </c>
      <c r="J469" s="14" t="s">
        <v>401</v>
      </c>
      <c r="K469" s="14" t="s">
        <v>636</v>
      </c>
      <c r="L469" s="14" t="s">
        <v>637</v>
      </c>
      <c r="M469" s="14" t="s">
        <v>9158</v>
      </c>
      <c r="N469" s="14" t="s">
        <v>9158</v>
      </c>
      <c r="O469" s="14" t="s">
        <v>9158</v>
      </c>
      <c r="P469" s="14" t="s">
        <v>9158</v>
      </c>
      <c r="Q469" s="14" t="s">
        <v>9158</v>
      </c>
      <c r="R469" s="14"/>
    </row>
    <row r="470" spans="1:18">
      <c r="A470" s="9">
        <v>81493</v>
      </c>
      <c r="B470" s="14" t="s">
        <v>0</v>
      </c>
      <c r="C470" s="14" t="s">
        <v>206</v>
      </c>
      <c r="D470" s="14" t="s">
        <v>4773</v>
      </c>
      <c r="E470" s="15" t="str">
        <f>HYPERLINK("https://stat100.ameba.jp/tnk47/ratio20/illustrations/card/ill_81493_puchidebiruraikirimaru03.jpg?201906-1-RELEASE-raid-412x", "■")</f>
        <v>■</v>
      </c>
      <c r="F470" s="14" t="s">
        <v>4774</v>
      </c>
      <c r="G470" s="14">
        <v>121604</v>
      </c>
      <c r="H470" s="14">
        <v>130784</v>
      </c>
      <c r="I470" s="14">
        <v>22</v>
      </c>
      <c r="J470" s="14" t="s">
        <v>44</v>
      </c>
      <c r="K470" s="14" t="s">
        <v>4775</v>
      </c>
      <c r="L470" s="14" t="s">
        <v>4800</v>
      </c>
      <c r="M470" s="14" t="s">
        <v>9158</v>
      </c>
      <c r="N470" s="14" t="s">
        <v>9158</v>
      </c>
      <c r="O470" s="14" t="s">
        <v>9158</v>
      </c>
      <c r="P470" s="14" t="s">
        <v>9158</v>
      </c>
      <c r="Q470" s="14" t="s">
        <v>9158</v>
      </c>
      <c r="R470" s="14"/>
    </row>
    <row r="471" spans="1:18">
      <c r="A471" s="9">
        <v>81503</v>
      </c>
      <c r="B471" s="14" t="s">
        <v>15</v>
      </c>
      <c r="C471" s="14" t="s">
        <v>165</v>
      </c>
      <c r="D471" s="14" t="s">
        <v>4776</v>
      </c>
      <c r="E471" s="15" t="str">
        <f>HYPERLINK("https://stat100.ameba.jp/tnk47/ratio20/illustrations/card/ill_81503_kurotengu03.jpg?201906-1-RELEASE-raid-412x", "■")</f>
        <v>■</v>
      </c>
      <c r="F471" s="14" t="s">
        <v>4777</v>
      </c>
      <c r="G471" s="14">
        <v>53352</v>
      </c>
      <c r="H471" s="14">
        <v>48390</v>
      </c>
      <c r="I471" s="14">
        <v>18</v>
      </c>
      <c r="J471" s="14" t="s">
        <v>73</v>
      </c>
      <c r="K471" s="14" t="s">
        <v>4778</v>
      </c>
      <c r="L471" s="14" t="s">
        <v>3835</v>
      </c>
      <c r="M471" s="14" t="s">
        <v>9158</v>
      </c>
      <c r="N471" s="14" t="s">
        <v>9158</v>
      </c>
      <c r="O471" s="14" t="s">
        <v>9158</v>
      </c>
      <c r="P471" s="14" t="s">
        <v>9158</v>
      </c>
      <c r="Q471" s="14" t="s">
        <v>9158</v>
      </c>
      <c r="R471" s="14"/>
    </row>
    <row r="472" spans="1:18">
      <c r="A472" s="9">
        <v>81513</v>
      </c>
      <c r="B472" s="14" t="s">
        <v>22</v>
      </c>
      <c r="C472" s="14" t="s">
        <v>205</v>
      </c>
      <c r="D472" s="14" t="s">
        <v>4779</v>
      </c>
      <c r="E472" s="15" t="str">
        <f>HYPERLINK("https://stat100.ameba.jp/tnk47/ratio20/illustrations/card/ill_81513_buampaiaakiyamasaneyuki03.jpg?201906-1-RELEASE-raid-412x", "■")</f>
        <v>■</v>
      </c>
      <c r="F472" s="14" t="s">
        <v>4780</v>
      </c>
      <c r="G472" s="14">
        <v>29388</v>
      </c>
      <c r="H472" s="14">
        <v>35346</v>
      </c>
      <c r="I472" s="14">
        <v>17</v>
      </c>
      <c r="J472" s="14" t="s">
        <v>143</v>
      </c>
      <c r="K472" s="14" t="s">
        <v>4781</v>
      </c>
      <c r="L472" s="14" t="s">
        <v>3403</v>
      </c>
      <c r="M472" s="14" t="s">
        <v>9158</v>
      </c>
      <c r="N472" s="14" t="s">
        <v>9158</v>
      </c>
      <c r="O472" s="14" t="s">
        <v>9158</v>
      </c>
      <c r="P472" s="14" t="s">
        <v>9158</v>
      </c>
      <c r="Q472" s="14" t="s">
        <v>9158</v>
      </c>
      <c r="R472" s="14"/>
    </row>
    <row r="473" spans="1:18">
      <c r="A473" s="9">
        <v>81523</v>
      </c>
      <c r="B473" s="14" t="s">
        <v>30</v>
      </c>
      <c r="C473" s="14" t="s">
        <v>4772</v>
      </c>
      <c r="D473" s="14" t="s">
        <v>4782</v>
      </c>
      <c r="E473" s="15" t="str">
        <f>HYPERLINK("https://stat100.ameba.jp/tnk47/ratio20/illustrations/card/ill_81523_makaiiwakoshimpu03.jpg?201906-1-RELEASE-raid-412x", "■")</f>
        <v>■</v>
      </c>
      <c r="F473" s="14" t="s">
        <v>4783</v>
      </c>
      <c r="G473" s="14">
        <v>21398</v>
      </c>
      <c r="H473" s="14">
        <v>17972</v>
      </c>
      <c r="I473" s="14">
        <v>17</v>
      </c>
      <c r="J473" s="14" t="s">
        <v>44</v>
      </c>
      <c r="K473" s="14" t="s">
        <v>4784</v>
      </c>
      <c r="L473" s="14" t="s">
        <v>34</v>
      </c>
      <c r="M473" s="14" t="s">
        <v>9158</v>
      </c>
      <c r="N473" s="14" t="s">
        <v>9158</v>
      </c>
      <c r="O473" s="14" t="s">
        <v>9158</v>
      </c>
      <c r="P473" s="14" t="s">
        <v>9158</v>
      </c>
      <c r="Q473" s="14" t="s">
        <v>9158</v>
      </c>
      <c r="R473" s="14"/>
    </row>
    <row r="474" spans="1:18">
      <c r="B474" s="14"/>
      <c r="C474" s="14"/>
      <c r="D474" s="14"/>
      <c r="F474" s="14"/>
      <c r="G474" s="14"/>
      <c r="H474" s="14"/>
      <c r="I474" s="14"/>
      <c r="J474" s="14"/>
      <c r="K474" s="14"/>
      <c r="L474" s="14"/>
      <c r="M474" s="14"/>
      <c r="N474" s="14"/>
      <c r="P474" s="14"/>
      <c r="Q474" s="14"/>
      <c r="R474" s="14"/>
    </row>
    <row r="475" spans="1:18">
      <c r="A475" s="14" t="s">
        <v>2695</v>
      </c>
      <c r="D475" s="14"/>
      <c r="F475" s="14"/>
      <c r="G475" s="14"/>
      <c r="H475" s="14"/>
      <c r="I475" s="14"/>
      <c r="J475" s="14"/>
      <c r="K475" s="14"/>
      <c r="L475" s="14"/>
      <c r="M475" s="14"/>
      <c r="N475" s="14"/>
      <c r="P475" s="14"/>
      <c r="Q475" s="14"/>
      <c r="R475" s="14"/>
    </row>
    <row r="476" spans="1:18">
      <c r="A476" s="14" t="s">
        <v>4799</v>
      </c>
      <c r="B476" s="14"/>
      <c r="C476" s="14"/>
      <c r="D476" s="14"/>
      <c r="F476" s="14"/>
      <c r="G476" s="14"/>
      <c r="H476" s="14"/>
      <c r="I476" s="14"/>
      <c r="J476" s="14"/>
      <c r="K476" s="14"/>
      <c r="L476" s="14"/>
      <c r="M476" s="14"/>
      <c r="N476" s="14"/>
      <c r="P476" s="14"/>
      <c r="Q476" s="14"/>
      <c r="R476" s="14"/>
    </row>
    <row r="477" spans="1:18">
      <c r="A477" s="9" t="s">
        <v>5611</v>
      </c>
      <c r="B477" s="14" t="s">
        <v>330</v>
      </c>
      <c r="C477" s="14" t="s">
        <v>185</v>
      </c>
      <c r="D477" s="14" t="s">
        <v>539</v>
      </c>
      <c r="E477" s="15" t="str">
        <f>HYPERLINK("https://stat100.ameba.jp/tnk47/ratio20/illustrations/card/ill_60633_0_harumaisentoin03.jpg?201906-1-RELEASE-raid-412x", "■")</f>
        <v>■</v>
      </c>
      <c r="F477" s="14" t="s">
        <v>540</v>
      </c>
      <c r="G477" s="14">
        <v>95371</v>
      </c>
      <c r="H477" s="14">
        <v>102590</v>
      </c>
      <c r="I477" s="14">
        <v>15</v>
      </c>
      <c r="J477" s="14" t="s">
        <v>274</v>
      </c>
      <c r="K477" s="14" t="s">
        <v>541</v>
      </c>
      <c r="L477" s="14" t="s">
        <v>542</v>
      </c>
      <c r="M477" s="14" t="s">
        <v>9158</v>
      </c>
      <c r="N477" s="14" t="s">
        <v>9158</v>
      </c>
      <c r="O477" s="9" t="s">
        <v>2888</v>
      </c>
      <c r="P477" s="14" t="s">
        <v>3144</v>
      </c>
      <c r="Q477" s="14">
        <v>1</v>
      </c>
      <c r="R477" s="14"/>
    </row>
    <row r="478" spans="1:18">
      <c r="A478" s="9" t="s">
        <v>6195</v>
      </c>
      <c r="B478" s="14" t="s">
        <v>52</v>
      </c>
      <c r="C478" s="14" t="s">
        <v>191</v>
      </c>
      <c r="D478" s="14" t="s">
        <v>1768</v>
      </c>
      <c r="E478" s="15" t="str">
        <f>HYPERLINK("https://stat100.ameba.jp/tnk47/ratio20/illustrations/card/ill_56493_0_poppukurisumasuikomakitsuno03.jpg?201906-1-RELEASE-raid-412x", "■")</f>
        <v>■</v>
      </c>
      <c r="F478" s="14" t="s">
        <v>1769</v>
      </c>
      <c r="G478" s="14">
        <v>94236</v>
      </c>
      <c r="H478" s="14">
        <v>83712</v>
      </c>
      <c r="I478" s="14">
        <v>15</v>
      </c>
      <c r="J478" s="14" t="s">
        <v>77</v>
      </c>
      <c r="K478" s="14" t="s">
        <v>1770</v>
      </c>
      <c r="L478" s="14" t="s">
        <v>1771</v>
      </c>
      <c r="M478" s="14" t="s">
        <v>9158</v>
      </c>
      <c r="N478" s="14" t="s">
        <v>9158</v>
      </c>
      <c r="O478" s="9" t="s">
        <v>3893</v>
      </c>
      <c r="P478" s="14" t="s">
        <v>2724</v>
      </c>
      <c r="Q478" s="14">
        <v>1</v>
      </c>
      <c r="R478" s="14"/>
    </row>
    <row r="479" spans="1:18">
      <c r="A479" s="9" t="s">
        <v>5721</v>
      </c>
      <c r="B479" s="14" t="s">
        <v>330</v>
      </c>
      <c r="C479" s="14" t="s">
        <v>205</v>
      </c>
      <c r="D479" s="14" t="s">
        <v>1715</v>
      </c>
      <c r="E479" s="15" t="str">
        <f>HYPERLINK("https://stat100.ameba.jp/tnk47/ratio20/illustrations/card/ill_44283_0_izumonokuni03.jpg?201906-1-RELEASE-raid-412x", "■")</f>
        <v>■</v>
      </c>
      <c r="F479" s="14" t="s">
        <v>514</v>
      </c>
      <c r="G479" s="14">
        <v>87780</v>
      </c>
      <c r="H479" s="14">
        <v>82212</v>
      </c>
      <c r="I479" s="14">
        <v>15</v>
      </c>
      <c r="J479" s="14" t="s">
        <v>159</v>
      </c>
      <c r="K479" s="14" t="s">
        <v>1717</v>
      </c>
      <c r="L479" s="14" t="s">
        <v>516</v>
      </c>
      <c r="M479" s="14" t="s">
        <v>9158</v>
      </c>
      <c r="N479" s="14" t="s">
        <v>9158</v>
      </c>
      <c r="O479" s="14" t="s">
        <v>9158</v>
      </c>
      <c r="P479" s="14" t="s">
        <v>9158</v>
      </c>
      <c r="Q479" s="14" t="s">
        <v>9158</v>
      </c>
      <c r="R479" s="14"/>
    </row>
    <row r="480" spans="1:18">
      <c r="A480" s="9">
        <v>66503</v>
      </c>
      <c r="B480" s="14" t="s">
        <v>334</v>
      </c>
      <c r="C480" s="14" t="s">
        <v>200</v>
      </c>
      <c r="D480" s="14" t="s">
        <v>2942</v>
      </c>
      <c r="E480" s="15" t="str">
        <f>HYPERLINK("https://stat100.ameba.jp/tnk47/ratio20/illustrations/card/ill_66503_yuenchiraguzatama03.jpg?201906-1-RELEASE-raid-412x", "■")</f>
        <v>■</v>
      </c>
      <c r="F480" s="14" t="s">
        <v>2943</v>
      </c>
      <c r="G480" s="14">
        <v>93263</v>
      </c>
      <c r="H480" s="14">
        <v>86751</v>
      </c>
      <c r="I480" s="14">
        <v>23</v>
      </c>
      <c r="J480" s="14" t="s">
        <v>414</v>
      </c>
      <c r="K480" s="14" t="s">
        <v>2944</v>
      </c>
      <c r="L480" s="14" t="s">
        <v>855</v>
      </c>
      <c r="M480" s="14" t="s">
        <v>9158</v>
      </c>
      <c r="N480" s="14" t="s">
        <v>9158</v>
      </c>
      <c r="O480" s="14" t="s">
        <v>9158</v>
      </c>
      <c r="P480" s="14" t="s">
        <v>9158</v>
      </c>
      <c r="Q480" s="14" t="s">
        <v>9158</v>
      </c>
      <c r="R480" s="14"/>
    </row>
    <row r="481" spans="1:19">
      <c r="A481" s="9">
        <v>75793</v>
      </c>
      <c r="B481" s="14" t="s">
        <v>334</v>
      </c>
      <c r="C481" s="14" t="s">
        <v>205</v>
      </c>
      <c r="D481" s="14" t="s">
        <v>2738</v>
      </c>
      <c r="E481" s="15" t="str">
        <f>HYPERLINK("https://stat100.ameba.jp/tnk47/ratio20/illustrations/card/ill_75793_izumonokuni03.jpg?201906-1-RELEASE-raid-412x", "■")</f>
        <v>■</v>
      </c>
      <c r="F481" s="14" t="s">
        <v>2739</v>
      </c>
      <c r="G481" s="14">
        <v>83499</v>
      </c>
      <c r="H481" s="14">
        <v>89839</v>
      </c>
      <c r="I481" s="14">
        <v>23</v>
      </c>
      <c r="J481" s="14" t="s">
        <v>351</v>
      </c>
      <c r="K481" s="14" t="s">
        <v>2740</v>
      </c>
      <c r="L481" s="14" t="s">
        <v>1625</v>
      </c>
      <c r="M481" s="14" t="s">
        <v>9158</v>
      </c>
      <c r="N481" s="14" t="s">
        <v>9158</v>
      </c>
      <c r="O481" s="14" t="s">
        <v>9158</v>
      </c>
      <c r="P481" s="14" t="s">
        <v>9158</v>
      </c>
      <c r="Q481" s="14" t="s">
        <v>9158</v>
      </c>
      <c r="R481" s="14"/>
    </row>
    <row r="482" spans="1:19">
      <c r="A482" s="9">
        <v>73893</v>
      </c>
      <c r="B482" s="14" t="s">
        <v>334</v>
      </c>
      <c r="C482" s="14" t="s">
        <v>203</v>
      </c>
      <c r="D482" s="14" t="s">
        <v>2061</v>
      </c>
      <c r="E482" s="15" t="str">
        <f>HYPERLINK("https://stat100.ameba.jp/tnk47/ratio20/illustrations/card/ill_73893_kurohachidaimyojintookami03.jpg?201906-1-RELEASE-raid-412x", "■")</f>
        <v>■</v>
      </c>
      <c r="F482" s="14" t="s">
        <v>685</v>
      </c>
      <c r="G482" s="14">
        <v>117374</v>
      </c>
      <c r="H482" s="14">
        <v>85010</v>
      </c>
      <c r="I482" s="14">
        <v>23</v>
      </c>
      <c r="J482" s="14" t="s">
        <v>274</v>
      </c>
      <c r="K482" s="14" t="s">
        <v>686</v>
      </c>
      <c r="L482" s="14" t="s">
        <v>428</v>
      </c>
      <c r="M482" s="14" t="s">
        <v>9158</v>
      </c>
      <c r="N482" s="14" t="s">
        <v>9158</v>
      </c>
      <c r="O482" s="9" t="s">
        <v>3809</v>
      </c>
      <c r="P482" s="14" t="s">
        <v>3810</v>
      </c>
      <c r="Q482" s="14">
        <v>1</v>
      </c>
      <c r="R482" s="14"/>
    </row>
    <row r="483" spans="1:19">
      <c r="B483" s="14"/>
      <c r="C483" s="14"/>
      <c r="D483" s="14"/>
      <c r="F483" s="14"/>
      <c r="G483" s="14"/>
      <c r="H483" s="14"/>
      <c r="I483" s="14"/>
      <c r="J483" s="14"/>
      <c r="K483" s="14"/>
      <c r="L483" s="14"/>
      <c r="M483" s="14"/>
      <c r="N483" s="14"/>
      <c r="P483" s="14"/>
      <c r="Q483" s="14"/>
      <c r="R483" s="14"/>
    </row>
    <row r="484" spans="1:19">
      <c r="A484" s="14" t="s">
        <v>4065</v>
      </c>
      <c r="D484" s="14"/>
      <c r="F484" s="14"/>
      <c r="G484" s="14"/>
      <c r="H484" s="14"/>
      <c r="I484" s="14"/>
      <c r="J484" s="14"/>
      <c r="K484" s="14"/>
      <c r="L484" s="14"/>
      <c r="M484" s="14"/>
      <c r="N484" s="14"/>
      <c r="P484" s="14"/>
      <c r="Q484" s="14"/>
      <c r="R484" s="14"/>
    </row>
    <row r="485" spans="1:19">
      <c r="A485" s="14" t="s">
        <v>4801</v>
      </c>
      <c r="C485" s="14"/>
      <c r="D485" s="14"/>
      <c r="F485" s="14"/>
      <c r="G485" s="14"/>
      <c r="H485" s="14"/>
      <c r="I485" s="14"/>
      <c r="J485" s="14"/>
      <c r="K485" s="14"/>
      <c r="L485" s="14"/>
      <c r="M485" s="14"/>
      <c r="N485" s="14"/>
      <c r="P485" s="14"/>
      <c r="Q485" s="14"/>
      <c r="R485" s="14"/>
    </row>
    <row r="486" spans="1:19">
      <c r="A486" s="9" t="s">
        <v>5607</v>
      </c>
      <c r="B486" s="14" t="s">
        <v>330</v>
      </c>
      <c r="C486" s="14" t="s">
        <v>271</v>
      </c>
      <c r="D486" s="14" t="s">
        <v>1039</v>
      </c>
      <c r="E486" s="15" t="str">
        <f>HYPERLINK("https://stat100.ameba.jp/tnk47/ratio20/illustrations/card/ill_58853_0_setsubumpanikkuhiratsukaraicho03.jpg?201906-1-RELEASE-raid-412x", "■")</f>
        <v>■</v>
      </c>
      <c r="F486" s="14" t="s">
        <v>422</v>
      </c>
      <c r="G486" s="14">
        <v>150776</v>
      </c>
      <c r="H486" s="14">
        <v>133938</v>
      </c>
      <c r="I486" s="14">
        <v>24</v>
      </c>
      <c r="J486" s="14" t="s">
        <v>414</v>
      </c>
      <c r="K486" s="14" t="s">
        <v>423</v>
      </c>
      <c r="L486" s="14" t="s">
        <v>424</v>
      </c>
      <c r="M486" s="14" t="s">
        <v>9158</v>
      </c>
      <c r="N486" s="14" t="s">
        <v>9158</v>
      </c>
      <c r="O486" s="17" t="s">
        <v>10059</v>
      </c>
      <c r="P486" s="14" t="s">
        <v>2870</v>
      </c>
      <c r="Q486" s="14">
        <v>1</v>
      </c>
      <c r="R486" s="14"/>
    </row>
    <row r="487" spans="1:19">
      <c r="A487" s="9">
        <v>60763</v>
      </c>
      <c r="B487" s="14" t="s">
        <v>334</v>
      </c>
      <c r="C487" s="14" t="s">
        <v>203</v>
      </c>
      <c r="D487" s="14" t="s">
        <v>1145</v>
      </c>
      <c r="E487" s="15" t="str">
        <f>HYPERLINK("https://stat100.ameba.jp/tnk47/ratio20/illustrations/card/ill_60763_fujiwarakagekiyo03.jpg?201906-1-RELEASE-raid-412x", "■")</f>
        <v>■</v>
      </c>
      <c r="F487" s="14" t="s">
        <v>1146</v>
      </c>
      <c r="G487" s="14">
        <v>110837</v>
      </c>
      <c r="H487" s="14">
        <v>153022</v>
      </c>
      <c r="I487" s="14">
        <v>23</v>
      </c>
      <c r="J487" s="14" t="s">
        <v>143</v>
      </c>
      <c r="K487" s="14" t="s">
        <v>1147</v>
      </c>
      <c r="L487" s="14" t="s">
        <v>1148</v>
      </c>
      <c r="M487" s="14" t="s">
        <v>9158</v>
      </c>
      <c r="N487" s="14" t="s">
        <v>9158</v>
      </c>
      <c r="O487" s="17" t="s">
        <v>10064</v>
      </c>
      <c r="P487" s="14" t="s">
        <v>13150</v>
      </c>
      <c r="Q487" s="14">
        <v>1</v>
      </c>
      <c r="R487" s="14"/>
    </row>
    <row r="488" spans="1:19">
      <c r="A488" s="9">
        <v>67103</v>
      </c>
      <c r="B488" s="14" t="s">
        <v>0</v>
      </c>
      <c r="C488" s="14" t="s">
        <v>154</v>
      </c>
      <c r="D488" s="14" t="s">
        <v>1282</v>
      </c>
      <c r="E488" s="15" t="str">
        <f>HYPERLINK("https://stat100.ameba.jp/tnk47/ratio20/illustrations/card/ill_67103_ankonabe03.jpg?201906-1-RELEASE-raid-412x", "■")</f>
        <v>■</v>
      </c>
      <c r="F488" s="14" t="s">
        <v>1283</v>
      </c>
      <c r="G488" s="14">
        <v>88047</v>
      </c>
      <c r="H488" s="14">
        <v>121572</v>
      </c>
      <c r="I488" s="14">
        <v>23</v>
      </c>
      <c r="J488" s="14" t="s">
        <v>216</v>
      </c>
      <c r="K488" s="14" t="s">
        <v>1284</v>
      </c>
      <c r="L488" s="14" t="s">
        <v>13153</v>
      </c>
      <c r="M488" s="14" t="s">
        <v>9158</v>
      </c>
      <c r="N488" s="14" t="s">
        <v>9158</v>
      </c>
      <c r="O488" s="9" t="s">
        <v>3461</v>
      </c>
      <c r="P488" s="14" t="s">
        <v>3462</v>
      </c>
      <c r="Q488" s="14">
        <v>1</v>
      </c>
      <c r="R488" s="14"/>
    </row>
    <row r="489" spans="1:19">
      <c r="A489" s="9">
        <v>77123</v>
      </c>
      <c r="B489" s="14" t="s">
        <v>334</v>
      </c>
      <c r="C489" s="14" t="s">
        <v>191</v>
      </c>
      <c r="D489" s="14" t="s">
        <v>3659</v>
      </c>
      <c r="E489" s="15" t="str">
        <f>HYPERLINK("https://stat100.ameba.jp/tnk47/ratio20/illustrations/card/ill_77123_yukemuriizuna03.jpg?201906-1-RELEASE-raid-412x", "■")</f>
        <v>■</v>
      </c>
      <c r="F489" s="14" t="s">
        <v>1377</v>
      </c>
      <c r="G489" s="14">
        <v>95830</v>
      </c>
      <c r="H489" s="14">
        <v>89121</v>
      </c>
      <c r="I489" s="14">
        <v>23</v>
      </c>
      <c r="J489" s="14" t="s">
        <v>320</v>
      </c>
      <c r="K489" s="14" t="s">
        <v>1378</v>
      </c>
      <c r="L489" s="14" t="s">
        <v>1379</v>
      </c>
      <c r="M489" s="14" t="s">
        <v>9158</v>
      </c>
      <c r="N489" s="14" t="s">
        <v>9158</v>
      </c>
      <c r="O489" s="9" t="s">
        <v>3660</v>
      </c>
      <c r="P489" s="14" t="s">
        <v>3579</v>
      </c>
      <c r="Q489" s="14">
        <v>1</v>
      </c>
      <c r="R489" s="14"/>
    </row>
    <row r="490" spans="1:19">
      <c r="B490" s="14"/>
      <c r="C490" s="14"/>
      <c r="D490" s="14"/>
      <c r="F490" s="14"/>
      <c r="G490" s="14"/>
      <c r="H490" s="14"/>
      <c r="I490" s="14"/>
      <c r="J490" s="14"/>
      <c r="K490" s="14"/>
      <c r="L490" s="14"/>
      <c r="M490" s="14"/>
      <c r="N490" s="14"/>
      <c r="P490" s="14"/>
      <c r="Q490" s="14"/>
      <c r="R490" s="14"/>
    </row>
    <row r="491" spans="1:19">
      <c r="A491" s="14" t="s">
        <v>4012</v>
      </c>
      <c r="D491" s="14"/>
      <c r="F491" s="14"/>
      <c r="G491" s="14"/>
      <c r="H491" s="14"/>
      <c r="I491" s="14"/>
      <c r="J491" s="14"/>
      <c r="K491" s="14"/>
      <c r="L491" s="14"/>
      <c r="M491" s="14"/>
      <c r="N491" s="14"/>
      <c r="P491" s="14"/>
      <c r="Q491" s="14"/>
      <c r="R491" s="14"/>
    </row>
    <row r="492" spans="1:19">
      <c r="A492" s="14" t="s">
        <v>4802</v>
      </c>
      <c r="C492" s="14"/>
      <c r="D492" s="14"/>
      <c r="F492" s="14"/>
      <c r="G492" s="14"/>
      <c r="H492" s="14"/>
      <c r="I492" s="14"/>
      <c r="J492" s="14"/>
      <c r="K492" s="14"/>
      <c r="L492" s="14"/>
      <c r="M492" s="14"/>
      <c r="N492" s="14"/>
      <c r="P492" s="14"/>
      <c r="Q492" s="14"/>
      <c r="R492" s="14"/>
    </row>
    <row r="493" spans="1:19">
      <c r="A493" s="9" t="s">
        <v>5603</v>
      </c>
      <c r="B493" s="14" t="s">
        <v>330</v>
      </c>
      <c r="C493" s="14" t="s">
        <v>205</v>
      </c>
      <c r="D493" s="14" t="s">
        <v>1868</v>
      </c>
      <c r="E493" s="15" t="str">
        <f>HYPERLINK("https://stat100.ameba.jp/tnk47/ratio20/illustrations/card/ill_61893_0_onikirishumiyamotomusashi03.jpg?201906-1-RELEASE-raid-412x", "■")</f>
        <v>■</v>
      </c>
      <c r="F493" s="14" t="s">
        <v>612</v>
      </c>
      <c r="G493" s="14">
        <v>140016</v>
      </c>
      <c r="H493" s="14">
        <v>130194</v>
      </c>
      <c r="I493" s="14">
        <v>15</v>
      </c>
      <c r="J493" s="14" t="s">
        <v>310</v>
      </c>
      <c r="K493" s="14" t="s">
        <v>613</v>
      </c>
      <c r="L493" s="14" t="s">
        <v>312</v>
      </c>
      <c r="M493" s="14" t="s">
        <v>9158</v>
      </c>
      <c r="N493" s="14" t="s">
        <v>9158</v>
      </c>
      <c r="O493" s="9" t="s">
        <v>3252</v>
      </c>
      <c r="P493" s="14" t="s">
        <v>3253</v>
      </c>
      <c r="Q493" s="14">
        <v>1</v>
      </c>
      <c r="R493" s="14"/>
    </row>
    <row r="494" spans="1:19">
      <c r="A494" s="9" t="s">
        <v>5618</v>
      </c>
      <c r="B494" s="14" t="s">
        <v>52</v>
      </c>
      <c r="C494" s="14" t="s">
        <v>23</v>
      </c>
      <c r="D494" s="14" t="s">
        <v>83</v>
      </c>
      <c r="E494" s="15" t="str">
        <f>HYPERLINK("https://stat100.ameba.jp/tnk47/ratio20/illustrations/card/ill_63173_0_minazukikonakaiteruko03.jpg?201906-1-RELEASE-raid-412x", "■")</f>
        <v>■</v>
      </c>
      <c r="F494" s="14" t="s">
        <v>1188</v>
      </c>
      <c r="G494" s="14">
        <v>130194</v>
      </c>
      <c r="H494" s="14">
        <v>140016</v>
      </c>
      <c r="I494" s="14">
        <v>15</v>
      </c>
      <c r="J494" s="14" t="s">
        <v>143</v>
      </c>
      <c r="K494" s="14" t="s">
        <v>1189</v>
      </c>
      <c r="L494" s="14" t="s">
        <v>1190</v>
      </c>
      <c r="M494" s="14" t="s">
        <v>9158</v>
      </c>
      <c r="N494" s="14" t="s">
        <v>9158</v>
      </c>
      <c r="O494" s="9" t="s">
        <v>3328</v>
      </c>
      <c r="P494" s="14" t="s">
        <v>3329</v>
      </c>
      <c r="Q494" s="14">
        <v>1</v>
      </c>
      <c r="R494" s="14"/>
    </row>
    <row r="495" spans="1:19">
      <c r="A495" s="9" t="s">
        <v>5604</v>
      </c>
      <c r="B495" s="14" t="s">
        <v>330</v>
      </c>
      <c r="C495" s="14" t="s">
        <v>206</v>
      </c>
      <c r="D495" s="14" t="s">
        <v>614</v>
      </c>
      <c r="E495" s="15" t="str">
        <f>HYPERLINK("https://stat100.ameba.jp/tnk47/ratio20/illustrations/card/ill_47263_0_oukyuuatsuhime03.jpg?201906-1-RELEASE-raid-412x", "■")</f>
        <v>■</v>
      </c>
      <c r="F495" s="14" t="s">
        <v>615</v>
      </c>
      <c r="G495" s="14">
        <v>94236</v>
      </c>
      <c r="H495" s="14">
        <v>83712</v>
      </c>
      <c r="I495" s="14">
        <v>15</v>
      </c>
      <c r="J495" s="14" t="s">
        <v>315</v>
      </c>
      <c r="K495" s="14" t="s">
        <v>616</v>
      </c>
      <c r="L495" s="14" t="s">
        <v>617</v>
      </c>
      <c r="M495" s="14" t="s">
        <v>9158</v>
      </c>
      <c r="N495" s="14" t="s">
        <v>9158</v>
      </c>
      <c r="O495" s="14" t="s">
        <v>9158</v>
      </c>
      <c r="P495" s="14" t="s">
        <v>9158</v>
      </c>
      <c r="Q495" s="14" t="s">
        <v>9158</v>
      </c>
      <c r="R495" s="14"/>
    </row>
    <row r="496" spans="1:19">
      <c r="A496" s="9">
        <v>67783</v>
      </c>
      <c r="B496" s="14" t="s">
        <v>0</v>
      </c>
      <c r="C496" s="14" t="s">
        <v>41</v>
      </c>
      <c r="D496" s="14" t="s">
        <v>4803</v>
      </c>
      <c r="E496" s="15" t="str">
        <f>HYPERLINK("https://stat100.ameba.jp/tnk47/ratio20/illustrations/card/ill_67783_ginfubukiyukijoro03.jpg?201906-1-RELEASE-raid-412x", "■")</f>
        <v>■</v>
      </c>
      <c r="F496" s="14" t="s">
        <v>4804</v>
      </c>
      <c r="G496" s="14">
        <v>109528</v>
      </c>
      <c r="H496" s="14">
        <v>101656</v>
      </c>
      <c r="I496" s="14">
        <v>24</v>
      </c>
      <c r="J496" s="14" t="s">
        <v>38</v>
      </c>
      <c r="K496" s="14" t="s">
        <v>4805</v>
      </c>
      <c r="L496" s="14" t="s">
        <v>4806</v>
      </c>
      <c r="M496" s="14" t="s">
        <v>9158</v>
      </c>
      <c r="N496" s="14" t="s">
        <v>9158</v>
      </c>
      <c r="O496" s="14" t="s">
        <v>9158</v>
      </c>
      <c r="P496" s="14" t="s">
        <v>9158</v>
      </c>
      <c r="Q496" s="14" t="s">
        <v>9158</v>
      </c>
      <c r="S496" s="14" t="s">
        <v>11742</v>
      </c>
    </row>
    <row r="497" spans="1:19">
      <c r="A497" s="9">
        <v>65893</v>
      </c>
      <c r="B497" s="14" t="s">
        <v>0</v>
      </c>
      <c r="C497" s="14" t="s">
        <v>41</v>
      </c>
      <c r="D497" s="14" t="s">
        <v>4807</v>
      </c>
      <c r="E497" s="15" t="str">
        <f>HYPERLINK("https://stat100.ameba.jp/tnk47/ratio20/illustrations/card/ill_65893_arabianhabanero03.jpg?201906-1-RELEASE-raid-412x", "■")</f>
        <v>■</v>
      </c>
      <c r="F497" s="14" t="s">
        <v>4808</v>
      </c>
      <c r="G497" s="14">
        <v>105394</v>
      </c>
      <c r="H497" s="14">
        <v>113340</v>
      </c>
      <c r="I497" s="14">
        <v>24</v>
      </c>
      <c r="J497" s="14" t="s">
        <v>104</v>
      </c>
      <c r="K497" s="14" t="s">
        <v>4809</v>
      </c>
      <c r="L497" s="14" t="s">
        <v>131</v>
      </c>
      <c r="M497" s="14" t="s">
        <v>9158</v>
      </c>
      <c r="N497" s="14" t="s">
        <v>9158</v>
      </c>
      <c r="O497" s="14" t="s">
        <v>9158</v>
      </c>
      <c r="P497" s="14" t="s">
        <v>9158</v>
      </c>
      <c r="Q497" s="14" t="s">
        <v>9158</v>
      </c>
      <c r="S497" s="14" t="s">
        <v>11771</v>
      </c>
    </row>
    <row r="498" spans="1:19">
      <c r="A498" s="9">
        <v>68283</v>
      </c>
      <c r="B498" s="14" t="s">
        <v>0</v>
      </c>
      <c r="C498" s="14" t="s">
        <v>154</v>
      </c>
      <c r="D498" s="14" t="s">
        <v>4810</v>
      </c>
      <c r="E498" s="15" t="str">
        <f>HYPERLINK("https://stat100.ameba.jp/tnk47/ratio20/illustrations/card/ill_68283_shurambonenkaikitaharasatoko03.jpg?201906-1-RELEASE-raid-412x", "■")</f>
        <v>■</v>
      </c>
      <c r="F498" s="14" t="s">
        <v>4811</v>
      </c>
      <c r="G498" s="14">
        <v>93746</v>
      </c>
      <c r="H498" s="14">
        <v>87128</v>
      </c>
      <c r="I498" s="14">
        <v>24</v>
      </c>
      <c r="J498" s="14" t="s">
        <v>10</v>
      </c>
      <c r="K498" s="14" t="s">
        <v>4812</v>
      </c>
      <c r="L498" s="14" t="s">
        <v>4813</v>
      </c>
      <c r="M498" s="14" t="s">
        <v>9158</v>
      </c>
      <c r="N498" s="14" t="s">
        <v>9158</v>
      </c>
      <c r="O498" s="14" t="s">
        <v>9158</v>
      </c>
      <c r="P498" s="14" t="s">
        <v>9158</v>
      </c>
      <c r="Q498" s="14" t="s">
        <v>9158</v>
      </c>
      <c r="S498" s="14" t="s">
        <v>11772</v>
      </c>
    </row>
    <row r="499" spans="1:19">
      <c r="A499" s="9">
        <v>74953</v>
      </c>
      <c r="B499" s="14" t="s">
        <v>15</v>
      </c>
      <c r="C499" s="14" t="s">
        <v>101</v>
      </c>
      <c r="D499" s="14" t="s">
        <v>4642</v>
      </c>
      <c r="E499" s="15" t="str">
        <f>HYPERLINK("https://stat100.ameba.jp/tnk47/ratio20/illustrations/card/ill_74953_amenowaharunomikoto03.jpg?201906-1-RELEASE-raid-412x", "■")</f>
        <v>■</v>
      </c>
      <c r="F499" s="14" t="s">
        <v>4643</v>
      </c>
      <c r="G499" s="14">
        <v>51078</v>
      </c>
      <c r="H499" s="14">
        <v>56316</v>
      </c>
      <c r="I499" s="14">
        <v>19</v>
      </c>
      <c r="J499" s="14" t="s">
        <v>44</v>
      </c>
      <c r="K499" s="14" t="s">
        <v>4644</v>
      </c>
      <c r="L499" s="14" t="s">
        <v>4645</v>
      </c>
      <c r="M499" s="14" t="s">
        <v>9158</v>
      </c>
      <c r="N499" s="14" t="s">
        <v>9158</v>
      </c>
      <c r="O499" s="14" t="s">
        <v>9158</v>
      </c>
      <c r="P499" s="14" t="s">
        <v>9158</v>
      </c>
      <c r="Q499" s="14" t="s">
        <v>9158</v>
      </c>
      <c r="S499" s="14" t="s">
        <v>11773</v>
      </c>
    </row>
    <row r="500" spans="1:19">
      <c r="A500" s="9">
        <v>70233</v>
      </c>
      <c r="B500" s="14" t="s">
        <v>15</v>
      </c>
      <c r="C500" s="14" t="s">
        <v>101</v>
      </c>
      <c r="D500" s="14" t="s">
        <v>4646</v>
      </c>
      <c r="E500" s="15" t="str">
        <f>HYPERLINK("https://stat100.ameba.jp/tnk47/ratio20/illustrations/card/ill_70233_enjunojashin03.jpg?201906-1-RELEASE-raid-412x", "■")</f>
        <v>■</v>
      </c>
      <c r="F500" s="14" t="s">
        <v>4647</v>
      </c>
      <c r="G500" s="14">
        <v>56316</v>
      </c>
      <c r="H500" s="14">
        <v>51078</v>
      </c>
      <c r="I500" s="14">
        <v>19</v>
      </c>
      <c r="J500" s="14" t="s">
        <v>73</v>
      </c>
      <c r="K500" s="14" t="s">
        <v>4648</v>
      </c>
      <c r="L500" s="14" t="s">
        <v>4649</v>
      </c>
      <c r="M500" s="14" t="s">
        <v>9158</v>
      </c>
      <c r="N500" s="14" t="s">
        <v>9158</v>
      </c>
      <c r="O500" s="14" t="s">
        <v>9158</v>
      </c>
      <c r="P500" s="14" t="s">
        <v>9158</v>
      </c>
      <c r="Q500" s="14" t="s">
        <v>9158</v>
      </c>
      <c r="S500" s="14" t="s">
        <v>11774</v>
      </c>
    </row>
    <row r="501" spans="1:19">
      <c r="A501" s="9">
        <v>59573</v>
      </c>
      <c r="B501" s="14" t="s">
        <v>15</v>
      </c>
      <c r="C501" s="14" t="s">
        <v>101</v>
      </c>
      <c r="D501" s="14" t="s">
        <v>4650</v>
      </c>
      <c r="E501" s="15" t="str">
        <f>HYPERLINK("https://stat100.ameba.jp/tnk47/ratio20/illustrations/card/ill_59573_hidaikibinamatsuri03.jpg?201906-1-RELEASE-raid-412x", "■")</f>
        <v>■</v>
      </c>
      <c r="F501" s="14" t="s">
        <v>4651</v>
      </c>
      <c r="G501" s="14">
        <v>56316</v>
      </c>
      <c r="H501" s="14">
        <v>51078</v>
      </c>
      <c r="I501" s="14">
        <v>19</v>
      </c>
      <c r="J501" s="14" t="s">
        <v>38</v>
      </c>
      <c r="K501" s="14" t="s">
        <v>4652</v>
      </c>
      <c r="L501" s="14" t="s">
        <v>4653</v>
      </c>
      <c r="M501" s="14" t="s">
        <v>9158</v>
      </c>
      <c r="N501" s="14" t="s">
        <v>9158</v>
      </c>
      <c r="O501" s="14" t="s">
        <v>9158</v>
      </c>
      <c r="P501" s="14" t="s">
        <v>9158</v>
      </c>
      <c r="Q501" s="14" t="s">
        <v>9158</v>
      </c>
      <c r="S501" s="14" t="s">
        <v>11735</v>
      </c>
    </row>
    <row r="502" spans="1:19">
      <c r="B502" s="14"/>
      <c r="C502" s="14"/>
      <c r="D502" s="14"/>
      <c r="F502" s="14"/>
      <c r="G502" s="14"/>
      <c r="H502" s="14"/>
      <c r="I502" s="14"/>
      <c r="J502" s="14"/>
      <c r="K502" s="14"/>
      <c r="L502" s="14"/>
      <c r="M502" s="14"/>
      <c r="N502" s="14"/>
      <c r="P502" s="14"/>
      <c r="Q502" s="14"/>
      <c r="R502" s="14"/>
    </row>
    <row r="503" spans="1:19">
      <c r="A503" s="14" t="s">
        <v>223</v>
      </c>
      <c r="D503" s="14"/>
      <c r="F503" s="14"/>
      <c r="G503" s="14"/>
      <c r="H503" s="14"/>
      <c r="I503" s="14"/>
      <c r="J503" s="14"/>
      <c r="K503" s="14"/>
      <c r="L503" s="14"/>
      <c r="M503" s="14"/>
      <c r="N503" s="14"/>
      <c r="P503" s="14"/>
      <c r="Q503" s="14"/>
      <c r="R503" s="14"/>
    </row>
    <row r="504" spans="1:19">
      <c r="A504" s="14" t="s">
        <v>4814</v>
      </c>
      <c r="C504" s="14"/>
      <c r="D504" s="14"/>
      <c r="F504" s="14"/>
      <c r="G504" s="14"/>
      <c r="H504" s="14"/>
      <c r="I504" s="14"/>
      <c r="J504" s="14"/>
      <c r="K504" s="14"/>
      <c r="L504" s="14"/>
      <c r="M504" s="14"/>
      <c r="N504" s="14"/>
      <c r="P504" s="14"/>
      <c r="Q504" s="14"/>
      <c r="R504" s="14"/>
    </row>
    <row r="505" spans="1:19">
      <c r="A505" s="9" t="s">
        <v>5899</v>
      </c>
      <c r="B505" s="14" t="s">
        <v>330</v>
      </c>
      <c r="C505" s="14" t="s">
        <v>205</v>
      </c>
      <c r="D505" s="14" t="s">
        <v>1185</v>
      </c>
      <c r="E505" s="15" t="str">
        <f>HYPERLINK("https://stat100.ameba.jp/tnk47/ratio20/illustrations/card/ill_73773_0_umibirakiinugamigyobu03.jpg?201906-1-RELEASE-raid-412x", "■")</f>
        <v>■</v>
      </c>
      <c r="F505" s="14" t="s">
        <v>935</v>
      </c>
      <c r="G505" s="14">
        <v>173548</v>
      </c>
      <c r="H505" s="14">
        <v>186668</v>
      </c>
      <c r="I505" s="14">
        <v>20</v>
      </c>
      <c r="J505" s="14" t="s">
        <v>73</v>
      </c>
      <c r="K505" s="14" t="s">
        <v>1186</v>
      </c>
      <c r="L505" s="14" t="s">
        <v>1187</v>
      </c>
      <c r="M505" s="14" t="s">
        <v>9158</v>
      </c>
      <c r="N505" s="14" t="s">
        <v>9158</v>
      </c>
      <c r="O505" s="9" t="s">
        <v>2978</v>
      </c>
      <c r="P505" s="14" t="s">
        <v>2979</v>
      </c>
      <c r="Q505" s="14">
        <v>2</v>
      </c>
      <c r="R505" s="14"/>
    </row>
    <row r="506" spans="1:19">
      <c r="A506" s="9">
        <v>70843</v>
      </c>
      <c r="B506" s="14" t="s">
        <v>0</v>
      </c>
      <c r="C506" s="14" t="s">
        <v>154</v>
      </c>
      <c r="D506" s="14" t="s">
        <v>3596</v>
      </c>
      <c r="E506" s="15" t="str">
        <f>HYPERLINK("https://stat100.ameba.jp/tnk47/ratio20/illustrations/card/ill_70843_indoshinwakurionechan03.jpg?201906-1-RELEASE-raid-412x", "■")</f>
        <v>■</v>
      </c>
      <c r="F506" s="14" t="s">
        <v>3597</v>
      </c>
      <c r="G506" s="14">
        <v>93184</v>
      </c>
      <c r="H506" s="14">
        <v>100224</v>
      </c>
      <c r="I506" s="14">
        <v>22</v>
      </c>
      <c r="J506" s="14" t="s">
        <v>26</v>
      </c>
      <c r="K506" s="14" t="s">
        <v>3598</v>
      </c>
      <c r="L506" s="14" t="s">
        <v>2137</v>
      </c>
      <c r="M506" s="14" t="s">
        <v>9158</v>
      </c>
      <c r="N506" s="14" t="s">
        <v>9158</v>
      </c>
      <c r="O506" s="17" t="s">
        <v>10053</v>
      </c>
      <c r="P506" s="14" t="s">
        <v>3592</v>
      </c>
      <c r="Q506" s="14">
        <v>1</v>
      </c>
      <c r="R506" s="14"/>
    </row>
    <row r="507" spans="1:19">
      <c r="A507" s="9">
        <v>75073</v>
      </c>
      <c r="B507" s="14" t="s">
        <v>334</v>
      </c>
      <c r="C507" s="14" t="s">
        <v>154</v>
      </c>
      <c r="D507" s="14" t="s">
        <v>3346</v>
      </c>
      <c r="E507" s="15" t="str">
        <f>HYPERLINK("https://stat100.ameba.jp/tnk47/ratio20/illustrations/card/ill_75073_puruchacha03.jpg?201906-1-RELEASE-raid-412x", "■")</f>
        <v>■</v>
      </c>
      <c r="F507" s="14" t="s">
        <v>3347</v>
      </c>
      <c r="G507" s="14">
        <v>96148</v>
      </c>
      <c r="H507" s="14">
        <v>69652</v>
      </c>
      <c r="I507" s="14">
        <v>22</v>
      </c>
      <c r="J507" s="14" t="s">
        <v>77</v>
      </c>
      <c r="K507" s="14" t="s">
        <v>3348</v>
      </c>
      <c r="L507" s="14" t="s">
        <v>76</v>
      </c>
      <c r="M507" s="14" t="s">
        <v>9158</v>
      </c>
      <c r="N507" s="14" t="s">
        <v>9158</v>
      </c>
      <c r="O507" s="17" t="s">
        <v>10055</v>
      </c>
      <c r="P507" s="14" t="s">
        <v>13124</v>
      </c>
      <c r="Q507" s="14">
        <v>1</v>
      </c>
      <c r="R507" s="14"/>
    </row>
    <row r="508" spans="1:19">
      <c r="A508" s="9">
        <v>75893</v>
      </c>
      <c r="B508" s="14" t="s">
        <v>334</v>
      </c>
      <c r="C508" s="14" t="s">
        <v>158</v>
      </c>
      <c r="D508" s="14" t="s">
        <v>3095</v>
      </c>
      <c r="E508" s="15" t="str">
        <f>HYPERLINK("https://stat100.ameba.jp/tnk47/ratio20/illustrations/card/ill_75893_hamamatsutakuni03.jpg?201906-1-RELEASE-raid-412x", "■")</f>
        <v>■</v>
      </c>
      <c r="F508" s="14" t="s">
        <v>3096</v>
      </c>
      <c r="G508" s="14">
        <v>99846</v>
      </c>
      <c r="H508" s="14">
        <v>72340</v>
      </c>
      <c r="I508" s="14">
        <v>22</v>
      </c>
      <c r="J508" s="14" t="s">
        <v>414</v>
      </c>
      <c r="K508" s="14" t="s">
        <v>3097</v>
      </c>
      <c r="L508" s="14" t="s">
        <v>1485</v>
      </c>
      <c r="M508" s="14" t="s">
        <v>9158</v>
      </c>
      <c r="N508" s="14" t="s">
        <v>9158</v>
      </c>
      <c r="O508" s="9" t="s">
        <v>3037</v>
      </c>
      <c r="P508" s="14" t="s">
        <v>13128</v>
      </c>
      <c r="Q508" s="14">
        <v>1</v>
      </c>
      <c r="R508" s="14"/>
    </row>
    <row r="509" spans="1:19">
      <c r="B509" s="14"/>
      <c r="C509" s="14"/>
      <c r="D509" s="14"/>
      <c r="F509" s="14"/>
      <c r="G509" s="14"/>
      <c r="H509" s="14"/>
      <c r="I509" s="14"/>
      <c r="J509" s="14"/>
      <c r="K509" s="14"/>
      <c r="L509" s="14"/>
      <c r="M509" s="14"/>
      <c r="N509" s="14"/>
      <c r="P509" s="14"/>
      <c r="Q509" s="14"/>
      <c r="R509" s="14"/>
    </row>
    <row r="510" spans="1:19">
      <c r="A510" s="14" t="s">
        <v>1236</v>
      </c>
      <c r="D510" s="14"/>
      <c r="F510" s="14"/>
      <c r="G510" s="14"/>
      <c r="H510" s="14"/>
      <c r="I510" s="14"/>
      <c r="J510" s="14"/>
      <c r="K510" s="14"/>
      <c r="L510" s="14"/>
      <c r="M510" s="14"/>
      <c r="N510" s="14"/>
      <c r="P510" s="14"/>
      <c r="Q510" s="14"/>
      <c r="R510" s="14"/>
    </row>
    <row r="511" spans="1:19">
      <c r="A511" s="14" t="s">
        <v>4815</v>
      </c>
      <c r="B511" s="14"/>
      <c r="C511" s="14"/>
      <c r="D511" s="14"/>
      <c r="F511" s="14"/>
      <c r="G511" s="14"/>
      <c r="H511" s="14"/>
      <c r="I511" s="14"/>
      <c r="J511" s="14"/>
      <c r="K511" s="14"/>
      <c r="L511" s="14"/>
      <c r="M511" s="14"/>
      <c r="N511" s="14"/>
      <c r="P511" s="14"/>
      <c r="Q511" s="14"/>
      <c r="R511" s="14"/>
    </row>
    <row r="512" spans="1:19">
      <c r="A512" s="9" t="s">
        <v>11509</v>
      </c>
      <c r="B512" s="14" t="s">
        <v>117</v>
      </c>
      <c r="C512" s="14" t="s">
        <v>35</v>
      </c>
      <c r="D512" s="14" t="s">
        <v>4816</v>
      </c>
      <c r="E512" s="15" t="str">
        <f>HYPERLINK("https://stat100.ameba.jp/tnk47/ratio20/illustrations/card/ill_66933_0_ishinsaneiketsu03.jpg?201906-1-RELEASE-raid-412x", "■")</f>
        <v>■</v>
      </c>
      <c r="F512" s="14" t="s">
        <v>4817</v>
      </c>
      <c r="G512" s="14">
        <v>144714</v>
      </c>
      <c r="H512" s="14">
        <v>155680</v>
      </c>
      <c r="I512" s="14">
        <v>28</v>
      </c>
      <c r="J512" s="14" t="s">
        <v>10</v>
      </c>
      <c r="K512" s="14" t="s">
        <v>4818</v>
      </c>
      <c r="L512" s="14" t="s">
        <v>4819</v>
      </c>
      <c r="M512" s="14" t="s">
        <v>9158</v>
      </c>
      <c r="N512" s="14" t="s">
        <v>9158</v>
      </c>
      <c r="O512" s="14" t="s">
        <v>9158</v>
      </c>
      <c r="P512" s="14" t="s">
        <v>9158</v>
      </c>
      <c r="Q512" s="14" t="s">
        <v>9158</v>
      </c>
      <c r="R512" s="14"/>
    </row>
    <row r="513" spans="1:18">
      <c r="A513" s="9" t="s">
        <v>5901</v>
      </c>
      <c r="B513" s="14" t="s">
        <v>52</v>
      </c>
      <c r="C513" s="14" t="s">
        <v>101</v>
      </c>
      <c r="D513" s="14" t="s">
        <v>119</v>
      </c>
      <c r="E513" s="15" t="str">
        <f>HYPERLINK("https://stat100.ameba.jp/tnk47/ratio20/illustrations/card/ill_64953_0_yukatatokugawayoshinobu03.jpg?201906-1-RELEASE-raid-412x", "■")</f>
        <v>■</v>
      </c>
      <c r="F513" s="14" t="s">
        <v>2090</v>
      </c>
      <c r="G513" s="14">
        <v>124600</v>
      </c>
      <c r="H513" s="14">
        <v>134004</v>
      </c>
      <c r="I513" s="14">
        <v>20</v>
      </c>
      <c r="J513" s="14" t="s">
        <v>10</v>
      </c>
      <c r="K513" s="14" t="s">
        <v>2091</v>
      </c>
      <c r="L513" s="14" t="s">
        <v>2092</v>
      </c>
      <c r="M513" s="14" t="s">
        <v>9158</v>
      </c>
      <c r="N513" s="14" t="s">
        <v>9158</v>
      </c>
      <c r="O513" s="9" t="s">
        <v>2889</v>
      </c>
      <c r="P513" s="14" t="s">
        <v>2890</v>
      </c>
      <c r="Q513" s="14">
        <v>1</v>
      </c>
      <c r="R513" s="14"/>
    </row>
    <row r="514" spans="1:18">
      <c r="A514" s="9" t="s">
        <v>5719</v>
      </c>
      <c r="B514" s="14" t="s">
        <v>52</v>
      </c>
      <c r="C514" s="14" t="s">
        <v>165</v>
      </c>
      <c r="D514" s="14" t="s">
        <v>1772</v>
      </c>
      <c r="E514" s="15" t="str">
        <f>HYPERLINK("https://stat100.ameba.jp/tnk47/ratio20/illustrations/card/ill_54523_0_yonshunennionohime03.jpg?201906-1-RELEASE-raid-412x", "■")</f>
        <v>■</v>
      </c>
      <c r="F514" s="14" t="s">
        <v>1773</v>
      </c>
      <c r="G514" s="14">
        <v>111616</v>
      </c>
      <c r="H514" s="14">
        <v>125648</v>
      </c>
      <c r="I514" s="14">
        <v>20</v>
      </c>
      <c r="J514" s="14" t="s">
        <v>38</v>
      </c>
      <c r="K514" s="14" t="s">
        <v>1774</v>
      </c>
      <c r="L514" s="14" t="s">
        <v>1775</v>
      </c>
      <c r="M514" s="14" t="s">
        <v>9158</v>
      </c>
      <c r="N514" s="14" t="s">
        <v>9158</v>
      </c>
      <c r="O514" s="9" t="s">
        <v>3576</v>
      </c>
      <c r="P514" s="14" t="s">
        <v>13168</v>
      </c>
      <c r="Q514" s="14">
        <v>1</v>
      </c>
      <c r="R514" s="14"/>
    </row>
    <row r="515" spans="1:18">
      <c r="A515" s="9">
        <v>66363</v>
      </c>
      <c r="B515" s="14" t="s">
        <v>334</v>
      </c>
      <c r="C515" s="14" t="s">
        <v>158</v>
      </c>
      <c r="D515" s="14" t="s">
        <v>2910</v>
      </c>
      <c r="E515" s="15" t="str">
        <f>HYPERLINK("https://stat100.ameba.jp/tnk47/ratio20/illustrations/card/ill_66363_iharasaikaku03.jpg?201906-1-RELEASE-raid-412x", "■")</f>
        <v>■</v>
      </c>
      <c r="F515" s="14" t="s">
        <v>537</v>
      </c>
      <c r="G515" s="14">
        <v>72340</v>
      </c>
      <c r="H515" s="14">
        <v>99846</v>
      </c>
      <c r="I515" s="14">
        <v>22</v>
      </c>
      <c r="J515" s="14" t="s">
        <v>414</v>
      </c>
      <c r="K515" s="14" t="s">
        <v>2911</v>
      </c>
      <c r="L515" s="14" t="s">
        <v>1575</v>
      </c>
      <c r="M515" s="14" t="s">
        <v>9158</v>
      </c>
      <c r="N515" s="14" t="s">
        <v>9158</v>
      </c>
      <c r="O515" s="17" t="s">
        <v>10053</v>
      </c>
      <c r="P515" s="14" t="s">
        <v>2822</v>
      </c>
      <c r="Q515" s="14">
        <v>1</v>
      </c>
      <c r="R515" s="14"/>
    </row>
    <row r="516" spans="1:18">
      <c r="A516" s="9">
        <v>64883</v>
      </c>
      <c r="B516" s="14" t="s">
        <v>0</v>
      </c>
      <c r="C516" s="14" t="s">
        <v>47</v>
      </c>
      <c r="D516" s="14" t="s">
        <v>125</v>
      </c>
      <c r="E516" s="15" t="str">
        <f>HYPERLINK("https://stat100.ameba.jp/tnk47/ratio20/illustrations/card/ill_64883_kasane03.jpg?201906-1-RELEASE-raid-412x", "■")</f>
        <v>■</v>
      </c>
      <c r="F516" s="14" t="s">
        <v>126</v>
      </c>
      <c r="G516" s="14">
        <v>81314</v>
      </c>
      <c r="H516" s="14">
        <v>112270</v>
      </c>
      <c r="I516" s="14">
        <v>22</v>
      </c>
      <c r="J516" s="14" t="s">
        <v>38</v>
      </c>
      <c r="K516" s="14" t="s">
        <v>127</v>
      </c>
      <c r="L516" s="14" t="s">
        <v>128</v>
      </c>
      <c r="M516" s="14" t="s">
        <v>9158</v>
      </c>
      <c r="N516" s="14" t="s">
        <v>9158</v>
      </c>
      <c r="O516" s="14" t="s">
        <v>9158</v>
      </c>
      <c r="P516" s="14" t="s">
        <v>9158</v>
      </c>
      <c r="Q516" s="14" t="s">
        <v>9158</v>
      </c>
      <c r="R516" s="14"/>
    </row>
    <row r="517" spans="1:18">
      <c r="A517" s="9">
        <v>64033</v>
      </c>
      <c r="B517" s="14" t="s">
        <v>0</v>
      </c>
      <c r="C517" s="14" t="s">
        <v>41</v>
      </c>
      <c r="D517" s="14" t="s">
        <v>129</v>
      </c>
      <c r="E517" s="15" t="str">
        <f>HYPERLINK("https://stat100.ameba.jp/tnk47/ratio20/illustrations/card/ill_64033_sobameshi03.jpg?201906-1-RELEASE-raid-412x", "■")</f>
        <v>■</v>
      </c>
      <c r="F517" s="14" t="s">
        <v>129</v>
      </c>
      <c r="G517" s="14">
        <v>84220</v>
      </c>
      <c r="H517" s="14">
        <v>116286</v>
      </c>
      <c r="I517" s="14">
        <v>22</v>
      </c>
      <c r="J517" s="14" t="s">
        <v>104</v>
      </c>
      <c r="K517" s="14" t="s">
        <v>130</v>
      </c>
      <c r="L517" s="14" t="s">
        <v>131</v>
      </c>
      <c r="M517" s="14" t="s">
        <v>9158</v>
      </c>
      <c r="N517" s="14" t="s">
        <v>9158</v>
      </c>
      <c r="O517" s="14" t="s">
        <v>9158</v>
      </c>
      <c r="P517" s="14" t="s">
        <v>9158</v>
      </c>
      <c r="Q517" s="14" t="s">
        <v>9158</v>
      </c>
      <c r="R517" s="14"/>
    </row>
    <row r="518" spans="1:18">
      <c r="B518" s="14"/>
      <c r="C518" s="14"/>
      <c r="D518" s="14"/>
      <c r="F518" s="14"/>
      <c r="G518" s="14"/>
      <c r="H518" s="14"/>
      <c r="I518" s="14"/>
      <c r="J518" s="14"/>
      <c r="K518" s="14"/>
      <c r="L518" s="14"/>
      <c r="M518" s="14"/>
      <c r="N518" s="14"/>
      <c r="P518" s="14"/>
      <c r="Q518" s="14"/>
      <c r="R518" s="14"/>
    </row>
    <row r="519" spans="1:18">
      <c r="A519" s="14" t="s">
        <v>13327</v>
      </c>
      <c r="D519" s="14"/>
      <c r="F519" s="14"/>
      <c r="G519" s="14"/>
      <c r="H519" s="14"/>
      <c r="I519" s="14"/>
      <c r="J519" s="14"/>
      <c r="K519" s="14"/>
      <c r="L519" s="14"/>
      <c r="M519" s="14"/>
      <c r="N519" s="14"/>
      <c r="P519" s="14"/>
      <c r="Q519" s="14"/>
      <c r="R519" s="14"/>
    </row>
    <row r="520" spans="1:18">
      <c r="A520" s="14" t="s">
        <v>4820</v>
      </c>
      <c r="B520" s="14"/>
      <c r="C520" s="14"/>
      <c r="D520" s="14"/>
      <c r="F520" s="14"/>
      <c r="G520" s="14"/>
      <c r="H520" s="14"/>
      <c r="I520" s="14"/>
      <c r="J520" s="14"/>
      <c r="K520" s="14"/>
      <c r="L520" s="14"/>
      <c r="M520" s="14"/>
      <c r="N520" s="14"/>
      <c r="P520" s="14"/>
      <c r="Q520" s="14"/>
      <c r="R520" s="14"/>
    </row>
    <row r="521" spans="1:18">
      <c r="A521" s="9">
        <v>71873</v>
      </c>
      <c r="B521" s="14" t="s">
        <v>334</v>
      </c>
      <c r="C521" s="14" t="s">
        <v>185</v>
      </c>
      <c r="D521" s="14" t="s">
        <v>210</v>
      </c>
      <c r="E521" s="15" t="str">
        <f>HYPERLINK("https://stat100.ameba.jp/tnk47/ratio20/illustrations/card/ill_71873_akashita03.jpg?201906-1-RELEASE-raid-412x", "■")</f>
        <v>■</v>
      </c>
      <c r="F521" s="14" t="s">
        <v>691</v>
      </c>
      <c r="G521" s="14">
        <v>120818</v>
      </c>
      <c r="H521" s="14">
        <v>112324</v>
      </c>
      <c r="I521" s="14">
        <v>24</v>
      </c>
      <c r="J521" s="14" t="s">
        <v>182</v>
      </c>
      <c r="K521" s="14" t="s">
        <v>217</v>
      </c>
      <c r="L521" s="14" t="s">
        <v>13140</v>
      </c>
      <c r="M521" s="14" t="s">
        <v>13131</v>
      </c>
      <c r="N521" s="14" t="s">
        <v>251</v>
      </c>
      <c r="O521" s="14" t="s">
        <v>9158</v>
      </c>
      <c r="P521" s="14" t="s">
        <v>9158</v>
      </c>
      <c r="Q521" s="14" t="s">
        <v>9158</v>
      </c>
      <c r="R521" s="14"/>
    </row>
    <row r="522" spans="1:18">
      <c r="A522" s="9">
        <v>71872</v>
      </c>
      <c r="B522" s="14" t="s">
        <v>334</v>
      </c>
      <c r="C522" s="14" t="s">
        <v>185</v>
      </c>
      <c r="D522" s="14" t="s">
        <v>210</v>
      </c>
      <c r="E522" s="15" t="str">
        <f>HYPERLINK("https://stat100.ameba.jp/tnk47/ratio20/illustrations/card/ill_71872_akashita02.jpg?201906-1-RELEASE-raid-412x", "■")</f>
        <v>■</v>
      </c>
      <c r="F522" s="14" t="s">
        <v>691</v>
      </c>
      <c r="G522" s="14">
        <v>100934</v>
      </c>
      <c r="H522" s="14">
        <v>93028</v>
      </c>
      <c r="I522" s="14">
        <v>24</v>
      </c>
      <c r="J522" s="14" t="s">
        <v>182</v>
      </c>
      <c r="K522" s="14" t="s">
        <v>217</v>
      </c>
      <c r="L522" s="14" t="s">
        <v>13140</v>
      </c>
      <c r="M522" s="14" t="s">
        <v>13131</v>
      </c>
      <c r="N522" s="14" t="s">
        <v>251</v>
      </c>
      <c r="O522" s="14" t="s">
        <v>9158</v>
      </c>
      <c r="P522" s="14" t="s">
        <v>9158</v>
      </c>
      <c r="Q522" s="14" t="s">
        <v>9158</v>
      </c>
      <c r="R522" s="14"/>
    </row>
    <row r="523" spans="1:18">
      <c r="A523" s="9">
        <v>71871</v>
      </c>
      <c r="B523" s="14" t="s">
        <v>334</v>
      </c>
      <c r="C523" s="14" t="s">
        <v>185</v>
      </c>
      <c r="D523" s="14" t="s">
        <v>210</v>
      </c>
      <c r="E523" s="15" t="str">
        <f>HYPERLINK("https://stat100.ameba.jp/tnk47/ratio20/illustrations/card/ill_71871_akashita01.jpg?201906-1-RELEASE-raid-412x", "■")</f>
        <v>■</v>
      </c>
      <c r="F523" s="14" t="s">
        <v>691</v>
      </c>
      <c r="G523" s="14">
        <v>77112</v>
      </c>
      <c r="H523" s="14">
        <v>71784</v>
      </c>
      <c r="I523" s="14">
        <v>24</v>
      </c>
      <c r="J523" s="14" t="s">
        <v>182</v>
      </c>
      <c r="K523" s="14" t="s">
        <v>217</v>
      </c>
      <c r="L523" s="14" t="s">
        <v>13140</v>
      </c>
      <c r="M523" s="14" t="s">
        <v>13131</v>
      </c>
      <c r="N523" s="14" t="s">
        <v>251</v>
      </c>
      <c r="O523" s="14" t="s">
        <v>9158</v>
      </c>
      <c r="P523" s="14" t="s">
        <v>9158</v>
      </c>
      <c r="Q523" s="14" t="s">
        <v>9158</v>
      </c>
      <c r="R523" s="14"/>
    </row>
    <row r="524" spans="1:18">
      <c r="A524" s="9">
        <v>72693</v>
      </c>
      <c r="B524" s="14" t="s">
        <v>334</v>
      </c>
      <c r="C524" s="14" t="s">
        <v>200</v>
      </c>
      <c r="D524" s="14" t="s">
        <v>211</v>
      </c>
      <c r="E524" s="15" t="str">
        <f>HYPERLINK("https://stat100.ameba.jp/tnk47/ratio20/illustrations/card/ill_72693_sagarasozo03.jpg?201906-1-RELEASE-raid-412x", "■")</f>
        <v>■</v>
      </c>
      <c r="F524" s="14" t="s">
        <v>692</v>
      </c>
      <c r="G524" s="14">
        <v>112324</v>
      </c>
      <c r="H524" s="14">
        <v>120818</v>
      </c>
      <c r="I524" s="14">
        <v>24</v>
      </c>
      <c r="J524" s="14" t="s">
        <v>194</v>
      </c>
      <c r="K524" s="14" t="s">
        <v>218</v>
      </c>
      <c r="L524" s="14" t="s">
        <v>9892</v>
      </c>
      <c r="M524" s="14" t="s">
        <v>13131</v>
      </c>
      <c r="N524" s="14" t="s">
        <v>251</v>
      </c>
      <c r="O524" s="14" t="s">
        <v>9158</v>
      </c>
      <c r="P524" s="14" t="s">
        <v>9158</v>
      </c>
      <c r="Q524" s="14" t="s">
        <v>9158</v>
      </c>
      <c r="R524" s="14"/>
    </row>
    <row r="525" spans="1:18">
      <c r="A525" s="9">
        <v>72703</v>
      </c>
      <c r="B525" s="14" t="s">
        <v>334</v>
      </c>
      <c r="C525" s="14" t="s">
        <v>191</v>
      </c>
      <c r="D525" s="14" t="s">
        <v>212</v>
      </c>
      <c r="E525" s="15" t="str">
        <f>HYPERLINK("https://stat100.ameba.jp/tnk47/ratio20/illustrations/card/ill_72703_hayakawanoritsugu03.jpg?201906-1-RELEASE-raid-412x", "■")</f>
        <v>■</v>
      </c>
      <c r="F525" s="14" t="s">
        <v>693</v>
      </c>
      <c r="G525" s="14">
        <v>120818</v>
      </c>
      <c r="H525" s="14">
        <v>112324</v>
      </c>
      <c r="I525" s="14">
        <v>24</v>
      </c>
      <c r="J525" s="14" t="s">
        <v>173</v>
      </c>
      <c r="K525" s="14" t="s">
        <v>219</v>
      </c>
      <c r="L525" s="14" t="s">
        <v>9893</v>
      </c>
      <c r="M525" s="14" t="s">
        <v>13131</v>
      </c>
      <c r="N525" s="14" t="s">
        <v>251</v>
      </c>
      <c r="O525" s="14" t="s">
        <v>9158</v>
      </c>
      <c r="P525" s="14" t="s">
        <v>9158</v>
      </c>
      <c r="Q525" s="14" t="s">
        <v>9158</v>
      </c>
      <c r="R525" s="14"/>
    </row>
    <row r="526" spans="1:18">
      <c r="A526" s="9">
        <v>73523</v>
      </c>
      <c r="B526" s="14" t="s">
        <v>334</v>
      </c>
      <c r="C526" s="14" t="s">
        <v>165</v>
      </c>
      <c r="D526" s="14" t="s">
        <v>213</v>
      </c>
      <c r="E526" s="15" t="str">
        <f>HYPERLINK("https://stat100.ameba.jp/tnk47/ratio20/illustrations/card/ill_73523_marunomarudono03.jpg?201906-1-RELEASE-raid-412x", "■")</f>
        <v>■</v>
      </c>
      <c r="F526" s="14" t="s">
        <v>694</v>
      </c>
      <c r="G526" s="14">
        <v>112324</v>
      </c>
      <c r="H526" s="14">
        <v>120818</v>
      </c>
      <c r="I526" s="14">
        <v>24</v>
      </c>
      <c r="J526" s="14" t="s">
        <v>187</v>
      </c>
      <c r="K526" s="14" t="s">
        <v>220</v>
      </c>
      <c r="L526" s="14" t="s">
        <v>9894</v>
      </c>
      <c r="M526" s="14" t="s">
        <v>13131</v>
      </c>
      <c r="N526" s="14" t="s">
        <v>251</v>
      </c>
      <c r="O526" s="14" t="s">
        <v>9158</v>
      </c>
      <c r="P526" s="14" t="s">
        <v>9158</v>
      </c>
      <c r="Q526" s="14" t="s">
        <v>9158</v>
      </c>
      <c r="R526" s="14"/>
    </row>
    <row r="527" spans="1:18">
      <c r="A527" s="9">
        <v>72713</v>
      </c>
      <c r="B527" s="14" t="s">
        <v>334</v>
      </c>
      <c r="C527" s="14" t="s">
        <v>205</v>
      </c>
      <c r="D527" s="14" t="s">
        <v>214</v>
      </c>
      <c r="E527" s="15" t="str">
        <f>HYPERLINK("https://stat100.ameba.jp/tnk47/ratio20/illustrations/card/ill_72713_okamuzuminomikoto03.jpg?201906-1-RELEASE-raid-412x", "■")</f>
        <v>■</v>
      </c>
      <c r="F527" s="14" t="s">
        <v>695</v>
      </c>
      <c r="G527" s="14">
        <v>112324</v>
      </c>
      <c r="H527" s="14">
        <v>120818</v>
      </c>
      <c r="I527" s="14">
        <v>24</v>
      </c>
      <c r="J527" s="14" t="s">
        <v>169</v>
      </c>
      <c r="K527" s="14" t="s">
        <v>221</v>
      </c>
      <c r="L527" s="14" t="s">
        <v>9895</v>
      </c>
      <c r="M527" s="14" t="s">
        <v>13131</v>
      </c>
      <c r="N527" s="14" t="s">
        <v>251</v>
      </c>
      <c r="O527" s="14" t="s">
        <v>9158</v>
      </c>
      <c r="P527" s="14" t="s">
        <v>9158</v>
      </c>
      <c r="Q527" s="14" t="s">
        <v>9158</v>
      </c>
      <c r="R527" s="14"/>
    </row>
    <row r="528" spans="1:18">
      <c r="A528" s="9">
        <v>73533</v>
      </c>
      <c r="B528" s="14" t="s">
        <v>334</v>
      </c>
      <c r="C528" s="14" t="s">
        <v>206</v>
      </c>
      <c r="D528" s="14" t="s">
        <v>215</v>
      </c>
      <c r="E528" s="15" t="str">
        <f>HYPERLINK("https://stat100.ameba.jp/tnk47/ratio20/illustrations/card/ill_73533_agubutachan03.jpg?201906-1-RELEASE-raid-412x", "■")</f>
        <v>■</v>
      </c>
      <c r="F528" s="14" t="s">
        <v>696</v>
      </c>
      <c r="G528" s="14">
        <v>120818</v>
      </c>
      <c r="H528" s="14">
        <v>112324</v>
      </c>
      <c r="I528" s="14">
        <v>24</v>
      </c>
      <c r="J528" s="14" t="s">
        <v>216</v>
      </c>
      <c r="K528" s="14" t="s">
        <v>697</v>
      </c>
      <c r="L528" s="14" t="s">
        <v>9896</v>
      </c>
      <c r="M528" s="14" t="s">
        <v>13131</v>
      </c>
      <c r="N528" s="14" t="s">
        <v>251</v>
      </c>
      <c r="O528" s="14" t="s">
        <v>9158</v>
      </c>
      <c r="P528" s="14" t="s">
        <v>9158</v>
      </c>
      <c r="Q528" s="14" t="s">
        <v>9158</v>
      </c>
      <c r="R528" s="14"/>
    </row>
    <row r="529" spans="1:18">
      <c r="B529" s="14"/>
      <c r="C529" s="14"/>
      <c r="D529" s="14"/>
      <c r="F529" s="14"/>
      <c r="G529" s="14"/>
      <c r="H529" s="14"/>
      <c r="I529" s="14"/>
      <c r="J529" s="14"/>
      <c r="K529" s="14"/>
      <c r="L529" s="14"/>
      <c r="M529" s="14"/>
      <c r="N529" s="14"/>
      <c r="P529" s="14"/>
      <c r="Q529" s="14"/>
      <c r="R529" s="14"/>
    </row>
    <row r="530" spans="1:18">
      <c r="A530" s="14" t="s">
        <v>3643</v>
      </c>
      <c r="D530" s="14"/>
      <c r="F530" s="14"/>
      <c r="G530" s="14"/>
      <c r="H530" s="14"/>
      <c r="I530" s="14"/>
      <c r="J530" s="14"/>
      <c r="K530" s="14"/>
      <c r="L530" s="14"/>
      <c r="M530" s="14"/>
      <c r="N530" s="14"/>
      <c r="P530" s="14"/>
      <c r="Q530" s="14"/>
      <c r="R530" s="14"/>
    </row>
    <row r="531" spans="1:18">
      <c r="A531" s="14" t="s">
        <v>4821</v>
      </c>
      <c r="B531" s="14"/>
      <c r="C531" s="14"/>
      <c r="D531" s="14"/>
      <c r="F531" s="14"/>
      <c r="G531" s="14"/>
      <c r="H531" s="14"/>
      <c r="I531" s="14"/>
      <c r="J531" s="14"/>
      <c r="K531" s="14"/>
      <c r="L531" s="14"/>
      <c r="M531" s="14"/>
      <c r="N531" s="14"/>
      <c r="P531" s="14"/>
      <c r="Q531" s="14"/>
      <c r="R531" s="14"/>
    </row>
    <row r="532" spans="1:18">
      <c r="A532" s="9">
        <v>58315</v>
      </c>
      <c r="B532" s="14" t="s">
        <v>0</v>
      </c>
      <c r="C532" s="14" t="s">
        <v>202</v>
      </c>
      <c r="D532" s="14" t="s">
        <v>4822</v>
      </c>
      <c r="E532" s="15" t="str">
        <f>HYPERLINK("https://stat100.ameba.jp/tnk47/ratio20/illustrations/card/ill_58315_sonshinaishinno05.jpg?201906-1-RELEASE-raid-412x", "■")</f>
        <v>■</v>
      </c>
      <c r="F532" s="14" t="s">
        <v>4823</v>
      </c>
      <c r="G532" s="14">
        <v>99312</v>
      </c>
      <c r="H532" s="14">
        <v>76078</v>
      </c>
      <c r="I532" s="14">
        <v>22</v>
      </c>
      <c r="J532" s="14" t="s">
        <v>187</v>
      </c>
      <c r="K532" s="14" t="s">
        <v>4824</v>
      </c>
      <c r="L532" s="14" t="s">
        <v>4825</v>
      </c>
      <c r="M532" s="14" t="s">
        <v>9158</v>
      </c>
      <c r="N532" s="14" t="s">
        <v>9158</v>
      </c>
      <c r="O532" s="9" t="s">
        <v>3580</v>
      </c>
      <c r="P532" s="14" t="s">
        <v>3581</v>
      </c>
      <c r="Q532" s="14">
        <v>1</v>
      </c>
      <c r="R532" s="14" t="s">
        <v>174</v>
      </c>
    </row>
    <row r="533" spans="1:18">
      <c r="A533" s="9">
        <v>58313</v>
      </c>
      <c r="B533" s="14" t="s">
        <v>15</v>
      </c>
      <c r="C533" s="14" t="s">
        <v>158</v>
      </c>
      <c r="D533" s="14" t="s">
        <v>4822</v>
      </c>
      <c r="E533" s="15" t="str">
        <f>HYPERLINK("https://stat100.ameba.jp/tnk47/ratio20/illustrations/card/ill_58313_sonshinaishinno03.jpg?201906-1-RELEASE-raid-412x", "■")</f>
        <v>■</v>
      </c>
      <c r="F533" s="14" t="s">
        <v>4823</v>
      </c>
      <c r="G533" s="14">
        <v>70306</v>
      </c>
      <c r="H533" s="14">
        <v>58922</v>
      </c>
      <c r="I533" s="14">
        <v>22</v>
      </c>
      <c r="J533" s="14" t="s">
        <v>187</v>
      </c>
      <c r="K533" s="14" t="s">
        <v>4824</v>
      </c>
      <c r="L533" s="14" t="s">
        <v>4826</v>
      </c>
      <c r="M533" s="14" t="s">
        <v>9158</v>
      </c>
      <c r="N533" s="14" t="s">
        <v>9158</v>
      </c>
      <c r="O533" s="9" t="s">
        <v>3580</v>
      </c>
      <c r="P533" s="14" t="s">
        <v>3581</v>
      </c>
      <c r="Q533" s="14">
        <v>1</v>
      </c>
      <c r="R533" s="14" t="s">
        <v>175</v>
      </c>
    </row>
    <row r="534" spans="1:18">
      <c r="A534" s="9">
        <v>58311</v>
      </c>
      <c r="B534" s="14" t="s">
        <v>15</v>
      </c>
      <c r="C534" s="14" t="s">
        <v>158</v>
      </c>
      <c r="D534" s="14" t="s">
        <v>4822</v>
      </c>
      <c r="E534" s="15" t="str">
        <f>HYPERLINK("https://stat100.ameba.jp/tnk47/ratio20/illustrations/card/ill_58311_sonshinaishinno01.jpg?201906-1-RELEASE-raid-412x", "■")</f>
        <v>■</v>
      </c>
      <c r="F534" s="14" t="s">
        <v>4823</v>
      </c>
      <c r="G534" s="14">
        <v>43648</v>
      </c>
      <c r="H534" s="14">
        <v>38566</v>
      </c>
      <c r="I534" s="14">
        <v>22</v>
      </c>
      <c r="J534" s="14" t="s">
        <v>187</v>
      </c>
      <c r="K534" s="14" t="s">
        <v>4824</v>
      </c>
      <c r="L534" s="14" t="s">
        <v>3843</v>
      </c>
      <c r="M534" s="14" t="s">
        <v>9158</v>
      </c>
      <c r="N534" s="14" t="s">
        <v>9158</v>
      </c>
      <c r="O534" s="9" t="s">
        <v>3580</v>
      </c>
      <c r="P534" s="14" t="s">
        <v>3581</v>
      </c>
      <c r="Q534" s="14">
        <v>1</v>
      </c>
      <c r="R534" s="14" t="s">
        <v>176</v>
      </c>
    </row>
    <row r="535" spans="1:18">
      <c r="A535" s="9">
        <v>67065</v>
      </c>
      <c r="B535" s="14" t="s">
        <v>0</v>
      </c>
      <c r="C535" s="14" t="s">
        <v>202</v>
      </c>
      <c r="D535" s="14" t="s">
        <v>4827</v>
      </c>
      <c r="E535" s="15" t="str">
        <f>HYPERLINK("https://stat100.ameba.jp/tnk47/ratio20/illustrations/card/ill_67065_kanoeitoku05.jpg?201906-1-RELEASE-raid-412x", "■")</f>
        <v>■</v>
      </c>
      <c r="F535" s="14" t="s">
        <v>4828</v>
      </c>
      <c r="G535" s="14">
        <v>77760</v>
      </c>
      <c r="H535" s="14">
        <v>107396</v>
      </c>
      <c r="I535" s="14">
        <v>22</v>
      </c>
      <c r="J535" s="14" t="s">
        <v>159</v>
      </c>
      <c r="K535" s="14" t="s">
        <v>4829</v>
      </c>
      <c r="L535" s="14" t="s">
        <v>4830</v>
      </c>
      <c r="M535" s="14" t="s">
        <v>9158</v>
      </c>
      <c r="N535" s="14" t="s">
        <v>9158</v>
      </c>
      <c r="O535" s="14" t="s">
        <v>9158</v>
      </c>
      <c r="P535" s="14" t="s">
        <v>9158</v>
      </c>
      <c r="Q535" s="14" t="s">
        <v>9158</v>
      </c>
      <c r="R535" s="14" t="s">
        <v>174</v>
      </c>
    </row>
    <row r="536" spans="1:18">
      <c r="A536" s="9">
        <v>67063</v>
      </c>
      <c r="B536" s="14" t="s">
        <v>15</v>
      </c>
      <c r="C536" s="14" t="s">
        <v>158</v>
      </c>
      <c r="D536" s="14" t="s">
        <v>4827</v>
      </c>
      <c r="E536" s="15" t="str">
        <f>HYPERLINK("https://stat100.ameba.jp/tnk47/ratio20/illustrations/card/ill_67063_kanoeitoku03.jpg?201906-1-RELEASE-raid-412x", "■")</f>
        <v>■</v>
      </c>
      <c r="F536" s="14" t="s">
        <v>4828</v>
      </c>
      <c r="G536" s="14">
        <v>57284</v>
      </c>
      <c r="H536" s="14">
        <v>79126</v>
      </c>
      <c r="I536" s="14">
        <v>22</v>
      </c>
      <c r="J536" s="14" t="s">
        <v>159</v>
      </c>
      <c r="K536" s="14" t="s">
        <v>4829</v>
      </c>
      <c r="L536" s="14" t="s">
        <v>4831</v>
      </c>
      <c r="M536" s="14" t="s">
        <v>9158</v>
      </c>
      <c r="N536" s="14" t="s">
        <v>9158</v>
      </c>
      <c r="O536" s="14" t="s">
        <v>9158</v>
      </c>
      <c r="P536" s="14" t="s">
        <v>9158</v>
      </c>
      <c r="Q536" s="14" t="s">
        <v>9158</v>
      </c>
      <c r="R536" s="14" t="s">
        <v>175</v>
      </c>
    </row>
    <row r="537" spans="1:18">
      <c r="A537" s="9">
        <v>67061</v>
      </c>
      <c r="B537" s="14" t="s">
        <v>15</v>
      </c>
      <c r="C537" s="14" t="s">
        <v>158</v>
      </c>
      <c r="D537" s="14" t="s">
        <v>4827</v>
      </c>
      <c r="E537" s="15" t="str">
        <f>HYPERLINK("https://stat100.ameba.jp/tnk47/ratio20/illustrations/card/ill_67061_kanoeitoku01.jpg?201906-1-RELEASE-raid-412x", "■")</f>
        <v>■</v>
      </c>
      <c r="F537" s="14" t="s">
        <v>4828</v>
      </c>
      <c r="G537" s="14">
        <v>36454</v>
      </c>
      <c r="H537" s="14">
        <v>50336</v>
      </c>
      <c r="I537" s="14">
        <v>22</v>
      </c>
      <c r="J537" s="14" t="s">
        <v>159</v>
      </c>
      <c r="K537" s="14" t="s">
        <v>4829</v>
      </c>
      <c r="L537" s="14" t="s">
        <v>4832</v>
      </c>
      <c r="M537" s="14" t="s">
        <v>9158</v>
      </c>
      <c r="N537" s="14" t="s">
        <v>9158</v>
      </c>
      <c r="O537" s="14" t="s">
        <v>9158</v>
      </c>
      <c r="P537" s="14" t="s">
        <v>9158</v>
      </c>
      <c r="Q537" s="14" t="s">
        <v>9158</v>
      </c>
      <c r="R537" s="14" t="s">
        <v>176</v>
      </c>
    </row>
    <row r="538" spans="1:18">
      <c r="A538" s="9">
        <v>58985</v>
      </c>
      <c r="B538" s="14" t="s">
        <v>0</v>
      </c>
      <c r="C538" s="14" t="s">
        <v>202</v>
      </c>
      <c r="D538" s="14" t="s">
        <v>151</v>
      </c>
      <c r="E538" s="15" t="str">
        <f>HYPERLINK("https://stat100.ameba.jp/tnk47/ratio20/illustrations/card/ill_58985_nanachanningyo05.jpg?201906-1-RELEASE-raid-412x", "■")</f>
        <v>■</v>
      </c>
      <c r="F538" s="14" t="s">
        <v>1323</v>
      </c>
      <c r="G538" s="14">
        <v>121144</v>
      </c>
      <c r="H538" s="14">
        <v>87710</v>
      </c>
      <c r="I538" s="14">
        <v>22</v>
      </c>
      <c r="J538" s="14" t="s">
        <v>229</v>
      </c>
      <c r="K538" s="14" t="s">
        <v>1324</v>
      </c>
      <c r="L538" s="14" t="s">
        <v>1325</v>
      </c>
      <c r="M538" s="14" t="s">
        <v>9158</v>
      </c>
      <c r="N538" s="14" t="s">
        <v>9158</v>
      </c>
      <c r="O538" s="14" t="s">
        <v>9158</v>
      </c>
      <c r="P538" s="14" t="s">
        <v>9158</v>
      </c>
      <c r="Q538" s="14" t="s">
        <v>9158</v>
      </c>
      <c r="R538" s="14" t="s">
        <v>174</v>
      </c>
    </row>
    <row r="539" spans="1:18">
      <c r="A539" s="9">
        <v>58983</v>
      </c>
      <c r="B539" s="14" t="s">
        <v>15</v>
      </c>
      <c r="C539" s="14" t="s">
        <v>154</v>
      </c>
      <c r="D539" s="14" t="s">
        <v>151</v>
      </c>
      <c r="E539" s="15" t="str">
        <f>HYPERLINK("https://stat100.ameba.jp/tnk47/ratio20/illustrations/card/ill_58983_nanachanningyo03.jpg?201906-1-RELEASE-raid-412x", "■")</f>
        <v>■</v>
      </c>
      <c r="F539" s="14" t="s">
        <v>1323</v>
      </c>
      <c r="G539" s="14">
        <v>87540</v>
      </c>
      <c r="H539" s="14">
        <v>63378</v>
      </c>
      <c r="I539" s="14">
        <v>22</v>
      </c>
      <c r="J539" s="14" t="s">
        <v>229</v>
      </c>
      <c r="K539" s="14" t="s">
        <v>1324</v>
      </c>
      <c r="L539" s="14" t="s">
        <v>1326</v>
      </c>
      <c r="M539" s="14" t="s">
        <v>9158</v>
      </c>
      <c r="N539" s="14" t="s">
        <v>9158</v>
      </c>
      <c r="O539" s="14" t="s">
        <v>9158</v>
      </c>
      <c r="P539" s="14" t="s">
        <v>9158</v>
      </c>
      <c r="Q539" s="14" t="s">
        <v>9158</v>
      </c>
      <c r="R539" s="14" t="s">
        <v>175</v>
      </c>
    </row>
    <row r="540" spans="1:18">
      <c r="A540" s="9">
        <v>58981</v>
      </c>
      <c r="B540" s="14" t="s">
        <v>15</v>
      </c>
      <c r="C540" s="14" t="s">
        <v>154</v>
      </c>
      <c r="D540" s="14" t="s">
        <v>151</v>
      </c>
      <c r="E540" s="15" t="str">
        <f>HYPERLINK("https://stat100.ameba.jp/tnk47/ratio20/illustrations/card/ill_58981_nanachanningyo01.jpg?201906-1-RELEASE-raid-412x", "■")</f>
        <v>■</v>
      </c>
      <c r="F540" s="14" t="s">
        <v>1323</v>
      </c>
      <c r="G540" s="14">
        <v>50776</v>
      </c>
      <c r="H540" s="14">
        <v>36762</v>
      </c>
      <c r="I540" s="14">
        <v>22</v>
      </c>
      <c r="J540" s="14" t="s">
        <v>229</v>
      </c>
      <c r="K540" s="14" t="s">
        <v>1324</v>
      </c>
      <c r="L540" s="14" t="s">
        <v>1327</v>
      </c>
      <c r="M540" s="14" t="s">
        <v>9158</v>
      </c>
      <c r="N540" s="14" t="s">
        <v>9158</v>
      </c>
      <c r="O540" s="14" t="s">
        <v>9158</v>
      </c>
      <c r="P540" s="14" t="s">
        <v>9158</v>
      </c>
      <c r="Q540" s="14" t="s">
        <v>9158</v>
      </c>
      <c r="R540" s="14" t="s">
        <v>176</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1809</vt:lpstr>
      <vt:lpstr>1810</vt:lpstr>
      <vt:lpstr>1811</vt:lpstr>
      <vt:lpstr>1812</vt:lpstr>
      <vt:lpstr>1901</vt:lpstr>
      <vt:lpstr>1902</vt:lpstr>
      <vt:lpstr>1903</vt:lpstr>
      <vt:lpstr>1904</vt:lpstr>
      <vt:lpstr>1905</vt:lpstr>
      <vt:lpstr>1906</vt:lpstr>
      <vt:lpstr>1907</vt:lpstr>
      <vt:lpstr>1908</vt:lpstr>
      <vt:lpstr>1909</vt:lpstr>
      <vt:lpstr>1910</vt:lpstr>
      <vt:lpstr>1911</vt:lpstr>
      <vt:lpstr>1912</vt:lpstr>
      <vt:lpstr>2001</vt:lpstr>
      <vt:lpstr>2002</vt:lpstr>
      <vt:lpstr>2003</vt:lpstr>
      <vt:lpstr>2004</vt:lpstr>
      <vt:lpstr>2005</vt:lpstr>
      <vt:lpstr>2006</vt:lpstr>
      <vt:lpstr>2007</vt:lpstr>
      <vt:lpstr>2008</vt:lpstr>
      <vt:lpstr>2009</vt:lpstr>
      <vt:lpstr>2010</vt:lpstr>
      <vt:lpstr>2011</vt:lpstr>
      <vt:lpstr>2012</vt:lpstr>
      <vt:lpstr>2101</vt:lpstr>
      <vt:lpstr>2102</vt:lpstr>
      <vt:lpstr>2103</vt:lpstr>
      <vt:lpstr>2104</vt:lpstr>
      <vt:lpstr>2105</vt:lpstr>
      <vt:lpstr>2106</vt:lpstr>
      <vt:lpstr>2107</vt:lpstr>
      <vt:lpstr>2108</vt:lpstr>
      <vt:lpstr>2109</vt:lpstr>
      <vt:lpstr>2110</vt:lpstr>
      <vt:lpstr>2111</vt:lpstr>
      <vt:lpstr>テンプレ</vt:lpstr>
      <vt:lpstr>宝船玉手箱SR</vt:lpstr>
      <vt:lpstr>5進化隊士SSR</vt:lpstr>
      <vt:lpstr>復活ZRチケ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2022-05-14T15:27:57Z</dcterms:modified>
</cp:coreProperties>
</file>